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印刷（兄弟確認）" sheetId="8" state="visible" r:id="rId8"/>
    <sheet xmlns:r="http://schemas.openxmlformats.org/officeDocument/2006/relationships" name="計算A" sheetId="9" state="hidden" r:id="rId9"/>
    <sheet xmlns:r="http://schemas.openxmlformats.org/officeDocument/2006/relationships" name="計算B" sheetId="10" state="hidden" r:id="rId10"/>
    <sheet xmlns:r="http://schemas.openxmlformats.org/officeDocument/2006/relationships" name="計算C" sheetId="11" state="hidden" r:id="rId11"/>
  </sheets>
  <definedNames>
    <definedName name="自動案Aの表">'自動案A'!$C$6:$H$29</definedName>
    <definedName name="自動案Bの表">'自動案B'!$C$6:$H$29</definedName>
    <definedName name="決定の表">'調整・決定'!$C$6:$H$29</definedName>
    <definedName name="_xlnm._FilterDatabase" localSheetId="2" hidden="1">'名簿'!$A$4:$R$49</definedName>
    <definedName name="_xlnm.Print_Area" localSheetId="7">OFFSET('印刷（兄弟確認）'!$B$3,0,0,3+'設定'!$B$6,1+COUNT('設定'!$B$11:$B$16))</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5">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sz val="14"/>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94">
    <xf numFmtId="0" fontId="0" fillId="0" borderId="0" pivotButton="0" quotePrefix="0" xfId="0"/>
    <xf numFmtId="0" fontId="38" fillId="22" borderId="0" applyAlignment="1" pivotButton="0" quotePrefix="0" xfId="0">
      <alignment vertical="center" indent="1"/>
    </xf>
    <xf numFmtId="0" fontId="0" fillId="22" borderId="0" pivotButton="0" quotePrefix="0" xfId="0"/>
    <xf numFmtId="0" fontId="39"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0" fillId="6" borderId="9" applyAlignment="1" pivotButton="0" quotePrefix="0" xfId="0">
      <alignment horizontal="center" vertical="center" wrapText="1"/>
    </xf>
    <xf numFmtId="0" fontId="41" fillId="23" borderId="9" applyAlignment="1" pivotButton="0" quotePrefix="0" xfId="0">
      <alignment horizontal="center" vertical="center" wrapText="1"/>
    </xf>
    <xf numFmtId="0" fontId="0" fillId="0" borderId="12" pivotButton="0" quotePrefix="0" xfId="0"/>
    <xf numFmtId="0" fontId="44"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2"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2" fillId="4" borderId="0" applyAlignment="1" pivotButton="0" quotePrefix="0" xfId="0">
      <alignment horizontal="center" vertical="center" wrapText="1"/>
    </xf>
    <xf numFmtId="166"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3" fillId="24" borderId="4" applyAlignment="1" pivotButton="0" quotePrefix="0" xfId="0">
      <alignment horizontal="center" vertical="center" wrapText="1"/>
    </xf>
    <xf numFmtId="0" fontId="43"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38" fillId="22" borderId="0" applyAlignment="1" pivotButton="0" quotePrefix="0" xfId="0">
      <alignment vertical="center"/>
    </xf>
    <xf numFmtId="0" fontId="39" fillId="2" borderId="0" applyAlignment="1" pivotButton="0" quotePrefix="0" xfId="0">
      <alignment vertical="center"/>
    </xf>
    <xf numFmtId="0" fontId="37"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37" fillId="0" borderId="0" applyAlignment="1" pivotButton="0" quotePrefix="0" xfId="0">
      <alignment horizontal="left" vertical="center"/>
    </xf>
    <xf numFmtId="0" fontId="3" fillId="0" borderId="0" applyAlignment="1" pivotButton="0" quotePrefix="0" xfId="0">
      <alignment horizontal="right" vertical="center"/>
    </xf>
    <xf numFmtId="0" fontId="1" fillId="0" borderId="0" pivotButton="0" quotePrefix="0" xfId="0"/>
  </cellXfs>
  <cellStyles count="1">
    <cellStyle name="Normal" xfId="0" builtinId="0" hidden="0"/>
  </cellStyles>
  <dxfs count="23">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
      <font>
        <name val="BIZ UDPゴシック"/>
        <b val="1"/>
        <color rgb="003F2A66"/>
      </font>
      <fill>
        <patternFill patternType="solid">
          <fgColor rgb="00E3D7F2"/>
          <bgColor rgb="00E3D7F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9"/>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COUNTIF('名簿'!$J$5:$J$49,"入力済み")+COUNTIF('名簿'!$J$5:$J$49,"×なし")</f>
        <v/>
      </c>
      <c r="E6" s="9" t="n"/>
      <c r="F6" s="8">
        <f>COUNTIF('名簿'!$J$5:$J$49,"未入力")</f>
        <v/>
      </c>
      <c r="G6" s="9" t="n"/>
      <c r="H6" s="8">
        <f>COUNTIF('名簿'!$J$5:$J$49,"未提出")</f>
        <v/>
      </c>
      <c r="I6" s="9" t="n"/>
      <c r="J6" s="8">
        <f>SUMPRODUCT(('名簿'!$N$5:$N$49&lt;&gt;"")*1)</f>
        <v/>
      </c>
      <c r="K6" s="9" t="n"/>
      <c r="L6" s="8">
        <f>COUNTIF('名簿'!$P$5:$P$49,"未決定")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ht="24" customHeight="1">
      <c r="B24" s="10" t="n">
        <v>6</v>
      </c>
      <c r="C24" s="11" t="inlineStr">
        <is>
          <t>印刷して兄弟を確認する</t>
        </is>
      </c>
      <c r="K24" s="12">
        <f>HYPERLINK("#'印刷（兄弟確認）'!A1","開く ▶")</f>
        <v/>
      </c>
    </row>
    <row r="25" ht="30" customHeight="1">
      <c r="C25" s="13" t="inlineStr">
        <is>
          <t>決めた日程を予定表の形で印刷。兄弟がいる子は色付きで、兄弟のクラスも出ます。</t>
        </is>
      </c>
      <c r="D25" s="14" t="n"/>
      <c r="E25" s="14" t="n"/>
      <c r="F25" s="14" t="n"/>
      <c r="G25" s="14" t="n"/>
      <c r="H25" s="14" t="n"/>
      <c r="I25" s="14" t="n"/>
      <c r="J25" s="14" t="n"/>
    </row>
    <row r="26"/>
    <row r="27"/>
    <row r="28"/>
    <row r="29">
      <c r="B29" s="5" t="inlineStr">
        <is>
          <t>くわしい使い方</t>
        </is>
      </c>
    </row>
    <row r="30">
      <c r="B30" s="16" t="inlineStr">
        <is>
          <t>1. 「設定」シート</t>
        </is>
      </c>
    </row>
    <row r="31">
      <c r="B31" s="17" t="inlineStr">
        <is>
          <t>・面談の日付（上から順に、最大6日）、時間帯（午前と午後に分けるときは2つ）と1枠の長さを入れます（1日最大24枠）。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「印刷（兄弟確認）」シート</t>
        </is>
      </c>
    </row>
    <row r="61" ht="30" customHeight="1">
      <c r="B61" s="17" t="inlineStr">
        <is>
          <t>・調整・決定で決めた日程が、予定表と同じ形で出ます。兄弟がいる子は色付きで、名前の下に兄弟のクラスが出ます（名簿の「兄弟メモ」にはクラス名だけを書きます。例：2年1組）。</t>
        </is>
      </c>
    </row>
    <row r="62">
      <c r="B62" s="17" t="inlineStr">
        <is>
          <t>・兄弟の担任から面談の日時を聞いたら、名簿の「兄弟の日付」「兄弟の時刻」を選びます。自動案では、できるだけ兄弟のすぐ前かすぐ後に入れます。</t>
        </is>
      </c>
    </row>
    <row r="63" ht="30" customHeight="1">
      <c r="B63" s="17" t="inlineStr">
        <is>
          <t>・Word の表に名前を入れるときは、「調整・決定」の名前のマスを選んでコピーし、Word の表の左上のマスで右クリック →「セルの上書き」で貼り付けます。</t>
        </is>
      </c>
    </row>
    <row r="64">
      <c r="B64" s="16" t="inlineStr">
        <is>
          <t>7. 結果</t>
        </is>
      </c>
    </row>
    <row r="65">
      <c r="B65" s="17" t="inlineStr">
        <is>
          <t>・「名簿」シートの右側に、決まった日時・注意（×の枠／2か所／後ろが空いていない／使えない枠／未決定）・自動案が表示されます。</t>
        </is>
      </c>
    </row>
    <row r="66">
      <c r="B66" s="17" t="inlineStr">
        <is>
          <t>・CSVが必要なときは「名簿」シートを開いて［ファイル］→［名前を付けて保存］→ 種類を「CSV UTF-8」にします。</t>
        </is>
      </c>
    </row>
    <row r="67">
      <c r="B67" s="17" t="inlineStr">
        <is>
          <t>・兄弟ありの家庭だけ見たいときは、名簿の「兄弟」の列でフィルターをかけます。</t>
        </is>
      </c>
    </row>
    <row r="68">
      <c r="B68" s="17" t="inlineStr"/>
    </row>
    <row r="69">
      <c r="B69" s="19" t="inlineStr">
        <is>
          <t>※ 「計算A」「計算B」「計算C」は計算用の隠しシートです。さわらないでください。</t>
        </is>
      </c>
    </row>
  </sheetData>
  <mergeCells count="77">
    <mergeCell ref="B42:M42"/>
    <mergeCell ref="B12:B13"/>
    <mergeCell ref="B60:M60"/>
    <mergeCell ref="B44:M44"/>
    <mergeCell ref="B53:M53"/>
    <mergeCell ref="D6:E6"/>
    <mergeCell ref="B34:M34"/>
    <mergeCell ref="B37:M37"/>
    <mergeCell ref="C25:J25"/>
    <mergeCell ref="L5:M5"/>
    <mergeCell ref="B30:M30"/>
    <mergeCell ref="B15:B16"/>
    <mergeCell ref="B54:M54"/>
    <mergeCell ref="C13:J13"/>
    <mergeCell ref="B56:M56"/>
    <mergeCell ref="B43:M43"/>
    <mergeCell ref="C15:J15"/>
    <mergeCell ref="C24:J24"/>
    <mergeCell ref="F6:G6"/>
    <mergeCell ref="B57:M57"/>
    <mergeCell ref="L18:L19"/>
    <mergeCell ref="F5:G5"/>
    <mergeCell ref="C10:J10"/>
    <mergeCell ref="C16:J16"/>
    <mergeCell ref="B68:M68"/>
    <mergeCell ref="C9:J9"/>
    <mergeCell ref="B45:M45"/>
    <mergeCell ref="K21:L22"/>
    <mergeCell ref="B6:C6"/>
    <mergeCell ref="B47:M47"/>
    <mergeCell ref="B62:M62"/>
    <mergeCell ref="L6:M6"/>
    <mergeCell ref="B59:M59"/>
    <mergeCell ref="B31:M31"/>
    <mergeCell ref="B46:M46"/>
    <mergeCell ref="H5:I5"/>
    <mergeCell ref="B39:M39"/>
    <mergeCell ref="B48:M48"/>
    <mergeCell ref="K12:L13"/>
    <mergeCell ref="B18:B19"/>
    <mergeCell ref="B65:M65"/>
    <mergeCell ref="B9:B10"/>
    <mergeCell ref="K15:L16"/>
    <mergeCell ref="K24:L25"/>
    <mergeCell ref="B63:M63"/>
    <mergeCell ref="B36:M36"/>
    <mergeCell ref="B50:M50"/>
    <mergeCell ref="B5:C5"/>
    <mergeCell ref="D5:E5"/>
    <mergeCell ref="C19:J19"/>
    <mergeCell ref="B21:B22"/>
    <mergeCell ref="K18:K19"/>
    <mergeCell ref="J5:K5"/>
    <mergeCell ref="B67:M67"/>
    <mergeCell ref="B61:M61"/>
    <mergeCell ref="B69:M69"/>
    <mergeCell ref="B38:M38"/>
    <mergeCell ref="H6:I6"/>
    <mergeCell ref="J6:K6"/>
    <mergeCell ref="B40:M40"/>
    <mergeCell ref="C22:J22"/>
    <mergeCell ref="B49:M49"/>
    <mergeCell ref="B24:B25"/>
    <mergeCell ref="B55:M55"/>
    <mergeCell ref="K9:L10"/>
    <mergeCell ref="C12:J12"/>
    <mergeCell ref="B64:M64"/>
    <mergeCell ref="B33:M33"/>
    <mergeCell ref="C21:J21"/>
    <mergeCell ref="B51:M51"/>
    <mergeCell ref="B32:M32"/>
    <mergeCell ref="B41:M41"/>
    <mergeCell ref="B35:M35"/>
    <mergeCell ref="B66:M66"/>
    <mergeCell ref="B58:M58"/>
    <mergeCell ref="B52:M52"/>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HYPERLINK("#'印刷（兄弟確認）'!A1","⑥ 印刷")</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row>
    <row r="11">
      <c r="A11" s="25" t="inlineStr">
        <is>
          <t>1日目</t>
        </is>
      </c>
      <c r="B11" s="38"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row>
    <row r="12">
      <c r="A12" s="25" t="inlineStr">
        <is>
          <t>2日目</t>
        </is>
      </c>
      <c r="B12" s="38"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row>
    <row r="13">
      <c r="A13" s="25" t="inlineStr">
        <is>
          <t>3日目</t>
        </is>
      </c>
      <c r="B13" s="38"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row>
    <row r="14">
      <c r="A14" s="25" t="inlineStr">
        <is>
          <t>4日目</t>
        </is>
      </c>
      <c r="B14" s="38"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row>
    <row r="15">
      <c r="A15" s="25" t="inlineStr">
        <is>
          <t>5日目</t>
        </is>
      </c>
      <c r="B15" s="38"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row>
    <row r="16">
      <c r="A16" s="25" t="inlineStr">
        <is>
          <t>6日目</t>
        </is>
      </c>
      <c r="B16" s="38"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row>
    <row r="17">
      <c r="F17" s="42" t="n">
        <v>7</v>
      </c>
      <c r="G17" s="43">
        <f>IF(F17&lt;=MIN('計算A'!$A$3,24),$B$3+(F17-1)*$B$5/1440,IF(F17&lt;=$B$6,$B$4+(F17-'計算A'!$A$3-1)*$B$5/1440,""))</f>
        <v/>
      </c>
      <c r="H17" s="40" t="n"/>
      <c r="I17" s="39">
        <f>IF(G17="","",TEXT(G17,"h:mm")&amp;"〜")</f>
        <v/>
      </c>
      <c r="K17" s="33" t="n"/>
      <c r="L17" s="44">
        <f>$I$17</f>
        <v/>
      </c>
      <c r="M17" s="45" t="n"/>
      <c r="N17" s="45" t="n"/>
      <c r="O17" s="45" t="n"/>
      <c r="P17" s="45" t="n"/>
      <c r="Q17" s="45" t="n"/>
      <c r="R17" s="45" t="n"/>
    </row>
    <row r="18">
      <c r="F18" s="42" t="n">
        <v>8</v>
      </c>
      <c r="G18" s="43">
        <f>IF(F18&lt;=MIN('計算A'!$A$3,24),$B$3+(F18-1)*$B$5/1440,IF(F18&lt;=$B$6,$B$4+(F18-'計算A'!$A$3-1)*$B$5/1440,""))</f>
        <v/>
      </c>
      <c r="H18" s="40" t="n"/>
      <c r="I18" s="39">
        <f>IF(G18="","",TEXT(G18,"h:mm")&amp;"〜")</f>
        <v/>
      </c>
      <c r="K18" s="33" t="n"/>
      <c r="L18" s="44">
        <f>$I$18</f>
        <v/>
      </c>
      <c r="M18" s="45" t="n"/>
      <c r="N18" s="45" t="n"/>
      <c r="O18" s="45" t="n"/>
      <c r="P18" s="45" t="n"/>
      <c r="Q18" s="45" t="n"/>
      <c r="R18" s="45" t="n"/>
    </row>
    <row r="19">
      <c r="F19" s="42" t="n">
        <v>9</v>
      </c>
      <c r="G19" s="43">
        <f>IF(F19&lt;=MIN('計算A'!$A$3,24),$B$3+(F19-1)*$B$5/1440,IF(F19&lt;=$B$6,$B$4+(F19-'計算A'!$A$3-1)*$B$5/1440,""))</f>
        <v/>
      </c>
      <c r="H19" s="40" t="n"/>
      <c r="I19" s="39">
        <f>IF(G19="","",TEXT(G19,"h:mm")&amp;"〜")</f>
        <v/>
      </c>
      <c r="K19" s="33" t="n"/>
      <c r="L19" s="44">
        <f>$I$19</f>
        <v/>
      </c>
      <c r="M19" s="45" t="n"/>
      <c r="N19" s="45" t="n"/>
      <c r="O19" s="45" t="n"/>
      <c r="P19" s="45" t="n"/>
      <c r="Q19" s="45" t="n"/>
      <c r="R19" s="45" t="n"/>
    </row>
    <row r="20">
      <c r="F20" s="42" t="n">
        <v>10</v>
      </c>
      <c r="G20" s="43">
        <f>IF(F20&lt;=MIN('計算A'!$A$3,24),$B$3+(F20-1)*$B$5/1440,IF(F20&lt;=$B$6,$B$4+(F20-'計算A'!$A$3-1)*$B$5/1440,""))</f>
        <v/>
      </c>
      <c r="H20" s="40" t="n"/>
      <c r="I20" s="39">
        <f>IF(G20="","",TEXT(G20,"h:mm")&amp;"〜")</f>
        <v/>
      </c>
      <c r="K20" s="33" t="n"/>
      <c r="L20" s="44">
        <f>$I$20</f>
        <v/>
      </c>
      <c r="M20" s="45" t="n"/>
      <c r="N20" s="45" t="n"/>
      <c r="O20" s="45" t="n"/>
      <c r="P20" s="45" t="n"/>
      <c r="Q20" s="45" t="n"/>
      <c r="R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R9">
    <cfRule type="expression" priority="2" dxfId="3" stopIfTrue="1">
      <formula>INDEX($B$11:$B$16,COLUMN(M9)-12)=""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R34">
    <cfRule type="expression" priority="7" dxfId="3" stopIfTrue="1">
      <formula>OR(INDEX($B$11:$B$16,COLUMN(M11)-12)="",ROW(M11)-10&gt;$B$6)</formula>
    </cfRule>
    <cfRule type="expression" priority="8" dxfId="5" stopIfTrue="1">
      <formula>OR(M11&lt;&gt;"",M$9&lt;&gt;"",$K11&lt;&gt;"")</formula>
    </cfRule>
    <cfRule type="expression" priority="9" dxfId="4">
      <formula>TRUE</formula>
    </cfRule>
  </conditionalFormatting>
  <conditionalFormatting sqref="M10:R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16"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H11 H12 H13 H14 H15 H16 H17 H18 H19 H20 H21 H22 H23 H24 H25 H26 H27 H28 H29 H30 H31 H32 H33 H34" showDropDown="0" showInputMessage="0" showErrorMessage="0" allowBlank="1" type="list">
      <formula1>"〇"</formula1>
    </dataValidation>
    <dataValidation sqref="K11:K34 M9:R9 M11:R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HYPERLINK("#'印刷（兄弟確認）'!A1","⑥ 印刷")</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兄弟メモ：兄弟のクラス名（例 2年1組）。兄弟の日付・時刻：兄弟の担任から聞いた面談の日時。希望：早い時刻／遅い時刻／早い日／遅い日。後ろを空ける：必ず空けたい／出来れば空けたい。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兄弟メモ（クラス）</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c r="B5" s="51" t="n"/>
      <c r="C5" s="50" t="n"/>
      <c r="D5" s="51" t="n"/>
      <c r="E5" s="50" t="n"/>
      <c r="F5" s="50" t="n"/>
      <c r="G5" s="50" t="n"/>
      <c r="H5" s="50" t="n"/>
      <c r="I5" s="41">
        <f>IF(B5="","",IF(COUNTIF($B$5:$B$49,B5)&gt;1,IF(A5="","",A5&amp;" ")&amp;B5,B5))</f>
        <v/>
      </c>
      <c r="J5" s="39">
        <f>IF(B5="","",IF('×入力'!F5="未提出","未提出",IF(K5&gt;0,"入力済み",IF('×入力'!F5="×なし（どこでもOK）","×なし","未入力"))))</f>
        <v/>
      </c>
      <c r="K5" s="39">
        <f>IF(B5="","",'計算A'!IN10)</f>
        <v/>
      </c>
      <c r="L5" s="39">
        <f>IF(OR(J5="入力済み",J5="×なし"),'計算A'!IM10,"")</f>
        <v/>
      </c>
      <c r="M5" s="39">
        <f>IF('計算A'!C10=1,COUNTIFS('計算A'!$C$10:$C$54,1,'計算A'!$IM$10:$IM$54,"&lt;"&amp;'計算A'!IM10)+1,"")</f>
        <v/>
      </c>
      <c r="N5" s="41">
        <f>IF('計算A'!IO10=0,"",INDEX('設定'!$E$11:$E$16,INDEX('計算A'!$D$2:$EQ$2,'計算A'!IO10)))</f>
        <v/>
      </c>
      <c r="O5" s="39">
        <f>IF('計算A'!IO10=0,"",INDEX('設定'!$I$11:$I$34,INDEX('計算A'!$D$3:$EQ$3,'計算A'!IO10)))</f>
        <v/>
      </c>
      <c r="P5" s="41">
        <f>IF(I5="","",IF('計算A'!IT10&lt;0,"兄弟の日付・時刻が表にありません",IF(COUNTIF('調整・決定'!$C$6:$H$29,I5)&gt;1,"2か所以上に入っています",IF('計算A'!IO10&gt;0,IF(INDEX('計算A'!$D$4:$EQ$4,'計算A'!IO10)=0,"使えない枠に入っています",IF(INDEX('計算A'!$D$10:$EQ$10,'計算A'!IO10)=1,"×の枠に入っています",IF('計算A'!IV10=0,"（出来れば）兄弟の前後ではありません",IF(AND(RIGHT(H5,4)="空けたい",INDEX('計算A'!$D$106:$EQ$106,'計算A'!IO10)=1,INDEX('計算A'!$D$109:$EQ$109,'計算A'!IO10+1)=1),IF(H5="必ず空けたい","後ろの枠が空いていません","（出来れば）後ろが空いていません"),IF(AND(H5="空けない",INDEX('計算A'!$D$106:$EQ$106,'計算A'!IO10)=1,INDEX('計算A'!$D$109:$EQ$109,'計算A'!IO10+1)=0),"（出来れば）すぐ後が空いています",""))))),IF(OR(J5="入力済み",J5="×なし"),"未決定","")))))</f>
        <v/>
      </c>
      <c r="Q5" s="41">
        <f>IF('計算A'!IK10=0,IF('計算A'!IL10=1,"入る枠がありません",""),INDEX('計算A'!$D$8:$EQ$8,'計算A'!IK10))</f>
        <v/>
      </c>
      <c r="R5" s="41">
        <f>IF('計算A'!IR10=0,IF('計算A'!IS10=1,"入る枠がありません",""),INDEX('計算A'!$D$8:$EQ$8,'計算A'!IR10))</f>
        <v/>
      </c>
      <c r="S5" s="52">
        <f>HYPERLINK("#'×入力'!B5","×入力へ")</f>
        <v/>
      </c>
    </row>
    <row r="6" ht="19" customHeight="1">
      <c r="A6" s="50" t="n"/>
      <c r="B6" s="51" t="n"/>
      <c r="C6" s="50" t="n"/>
      <c r="D6" s="51" t="n"/>
      <c r="E6" s="50" t="n"/>
      <c r="F6" s="50" t="n"/>
      <c r="G6" s="50" t="n"/>
      <c r="H6" s="50" t="n"/>
      <c r="I6" s="41">
        <f>IF(B6="","",IF(COUNTIF($B$5:$B$49,B6)&gt;1,IF(A6="","",A6&amp;" ")&amp;B6,B6))</f>
        <v/>
      </c>
      <c r="J6" s="39">
        <f>IF(B6="","",IF('×入力'!F33="未提出","未提出",IF(K6&gt;0,"入力済み",IF('×入力'!F33="×なし（どこでもOK）","×なし","未入力"))))</f>
        <v/>
      </c>
      <c r="K6" s="39">
        <f>IF(B6="","",'計算A'!IN11)</f>
        <v/>
      </c>
      <c r="L6" s="39">
        <f>IF(OR(J6="入力済み",J6="×なし"),'計算A'!IM11,"")</f>
        <v/>
      </c>
      <c r="M6" s="39">
        <f>IF('計算A'!C11=1,COUNTIFS('計算A'!$C$10:$C$54,1,'計算A'!$IM$10:$IM$54,"&lt;"&amp;'計算A'!IM11)+1,"")</f>
        <v/>
      </c>
      <c r="N6" s="41">
        <f>IF('計算A'!IO11=0,"",INDEX('設定'!$E$11:$E$16,INDEX('計算A'!$D$2:$EQ$2,'計算A'!IO11)))</f>
        <v/>
      </c>
      <c r="O6" s="39">
        <f>IF('計算A'!IO11=0,"",INDEX('設定'!$I$11:$I$34,INDEX('計算A'!$D$3:$EQ$3,'計算A'!IO11)))</f>
        <v/>
      </c>
      <c r="P6" s="41">
        <f>IF(I6="","",IF('計算A'!IT11&lt;0,"兄弟の日付・時刻が表にありません",IF(COUNTIF('調整・決定'!$C$6:$H$29,I6)&gt;1,"2か所以上に入っています",IF('計算A'!IO11&gt;0,IF(INDEX('計算A'!$D$4:$EQ$4,'計算A'!IO11)=0,"使えない枠に入っています",IF(INDEX('計算A'!$D$11:$EQ$11,'計算A'!IO11)=1,"×の枠に入っています",IF('計算A'!IV11=0,"（出来れば）兄弟の前後ではありません",IF(AND(RIGHT(H6,4)="空けたい",INDEX('計算A'!$D$106:$EQ$106,'計算A'!IO11)=1,INDEX('計算A'!$D$109:$EQ$109,'計算A'!IO11+1)=1),IF(H6="必ず空けたい","後ろの枠が空いていません","（出来れば）後ろが空いていません"),IF(AND(H6="空けない",INDEX('計算A'!$D$106:$EQ$106,'計算A'!IO11)=1,INDEX('計算A'!$D$109:$EQ$109,'計算A'!IO11+1)=0),"（出来れば）すぐ後が空いています",""))))),IF(OR(J6="入力済み",J6="×なし"),"未決定","")))))</f>
        <v/>
      </c>
      <c r="Q6" s="41">
        <f>IF('計算A'!IK11=0,IF('計算A'!IL11=1,"入る枠がありません",""),INDEX('計算A'!$D$8:$EQ$8,'計算A'!IK11))</f>
        <v/>
      </c>
      <c r="R6" s="41">
        <f>IF('計算A'!IR11=0,IF('計算A'!IS11=1,"入る枠がありません",""),INDEX('計算A'!$D$8:$EQ$8,'計算A'!IR11))</f>
        <v/>
      </c>
      <c r="S6" s="52">
        <f>HYPERLINK("#'×入力'!B33","×入力へ")</f>
        <v/>
      </c>
    </row>
    <row r="7" ht="19" customHeight="1">
      <c r="A7" s="50" t="n"/>
      <c r="B7" s="51" t="n"/>
      <c r="C7" s="50" t="n"/>
      <c r="D7" s="51" t="n"/>
      <c r="E7" s="50" t="n"/>
      <c r="F7" s="50" t="n"/>
      <c r="G7" s="50" t="n"/>
      <c r="H7" s="50" t="n"/>
      <c r="I7" s="41">
        <f>IF(B7="","",IF(COUNTIF($B$5:$B$49,B7)&gt;1,IF(A7="","",A7&amp;" ")&amp;B7,B7))</f>
        <v/>
      </c>
      <c r="J7" s="39">
        <f>IF(B7="","",IF('×入力'!F61="未提出","未提出",IF(K7&gt;0,"入力済み",IF('×入力'!F61="×なし（どこでもOK）","×なし","未入力"))))</f>
        <v/>
      </c>
      <c r="K7" s="39">
        <f>IF(B7="","",'計算A'!IN12)</f>
        <v/>
      </c>
      <c r="L7" s="39">
        <f>IF(OR(J7="入力済み",J7="×なし"),'計算A'!IM12,"")</f>
        <v/>
      </c>
      <c r="M7" s="39">
        <f>IF('計算A'!C12=1,COUNTIFS('計算A'!$C$10:$C$54,1,'計算A'!$IM$10:$IM$54,"&lt;"&amp;'計算A'!IM12)+1,"")</f>
        <v/>
      </c>
      <c r="N7" s="41">
        <f>IF('計算A'!IO12=0,"",INDEX('設定'!$E$11:$E$16,INDEX('計算A'!$D$2:$EQ$2,'計算A'!IO12)))</f>
        <v/>
      </c>
      <c r="O7" s="39">
        <f>IF('計算A'!IO12=0,"",INDEX('設定'!$I$11:$I$34,INDEX('計算A'!$D$3:$EQ$3,'計算A'!IO12)))</f>
        <v/>
      </c>
      <c r="P7" s="41">
        <f>IF(I7="","",IF('計算A'!IT12&lt;0,"兄弟の日付・時刻が表にありません",IF(COUNTIF('調整・決定'!$C$6:$H$29,I7)&gt;1,"2か所以上に入っています",IF('計算A'!IO12&gt;0,IF(INDEX('計算A'!$D$4:$EQ$4,'計算A'!IO12)=0,"使えない枠に入っています",IF(INDEX('計算A'!$D$12:$EQ$12,'計算A'!IO12)=1,"×の枠に入っています",IF('計算A'!IV12=0,"（出来れば）兄弟の前後ではありません",IF(AND(RIGHT(H7,4)="空けたい",INDEX('計算A'!$D$106:$EQ$106,'計算A'!IO12)=1,INDEX('計算A'!$D$109:$EQ$109,'計算A'!IO12+1)=1),IF(H7="必ず空けたい","後ろの枠が空いていません","（出来れば）後ろが空いていません"),IF(AND(H7="空けない",INDEX('計算A'!$D$106:$EQ$106,'計算A'!IO12)=1,INDEX('計算A'!$D$109:$EQ$109,'計算A'!IO12+1)=0),"（出来れば）すぐ後が空いています",""))))),IF(OR(J7="入力済み",J7="×なし"),"未決定","")))))</f>
        <v/>
      </c>
      <c r="Q7" s="41">
        <f>IF('計算A'!IK12=0,IF('計算A'!IL12=1,"入る枠がありません",""),INDEX('計算A'!$D$8:$EQ$8,'計算A'!IK12))</f>
        <v/>
      </c>
      <c r="R7" s="41">
        <f>IF('計算A'!IR12=0,IF('計算A'!IS12=1,"入る枠がありません",""),INDEX('計算A'!$D$8:$EQ$8,'計算A'!IR12))</f>
        <v/>
      </c>
      <c r="S7" s="52">
        <f>HYPERLINK("#'×入力'!B61","×入力へ")</f>
        <v/>
      </c>
    </row>
    <row r="8" ht="19" customHeight="1">
      <c r="A8" s="50" t="n"/>
      <c r="B8" s="51" t="n"/>
      <c r="C8" s="50" t="n"/>
      <c r="D8" s="51" t="n"/>
      <c r="E8" s="50" t="n"/>
      <c r="F8" s="50" t="n"/>
      <c r="G8" s="50" t="n"/>
      <c r="H8" s="50" t="n"/>
      <c r="I8" s="41">
        <f>IF(B8="","",IF(COUNTIF($B$5:$B$49,B8)&gt;1,IF(A8="","",A8&amp;" ")&amp;B8,B8))</f>
        <v/>
      </c>
      <c r="J8" s="39">
        <f>IF(B8="","",IF('×入力'!F89="未提出","未提出",IF(K8&gt;0,"入力済み",IF('×入力'!F89="×なし（どこでもOK）","×なし","未入力"))))</f>
        <v/>
      </c>
      <c r="K8" s="39">
        <f>IF(B8="","",'計算A'!IN13)</f>
        <v/>
      </c>
      <c r="L8" s="39">
        <f>IF(OR(J8="入力済み",J8="×なし"),'計算A'!IM13,"")</f>
        <v/>
      </c>
      <c r="M8" s="39">
        <f>IF('計算A'!C13=1,COUNTIFS('計算A'!$C$10:$C$54,1,'計算A'!$IM$10:$IM$54,"&lt;"&amp;'計算A'!IM13)+1,"")</f>
        <v/>
      </c>
      <c r="N8" s="41">
        <f>IF('計算A'!IO13=0,"",INDEX('設定'!$E$11:$E$16,INDEX('計算A'!$D$2:$EQ$2,'計算A'!IO13)))</f>
        <v/>
      </c>
      <c r="O8" s="39">
        <f>IF('計算A'!IO13=0,"",INDEX('設定'!$I$11:$I$34,INDEX('計算A'!$D$3:$EQ$3,'計算A'!IO13)))</f>
        <v/>
      </c>
      <c r="P8" s="41">
        <f>IF(I8="","",IF('計算A'!IT13&lt;0,"兄弟の日付・時刻が表にありません",IF(COUNTIF('調整・決定'!$C$6:$H$29,I8)&gt;1,"2か所以上に入っています",IF('計算A'!IO13&gt;0,IF(INDEX('計算A'!$D$4:$EQ$4,'計算A'!IO13)=0,"使えない枠に入っています",IF(INDEX('計算A'!$D$13:$EQ$13,'計算A'!IO13)=1,"×の枠に入っています",IF('計算A'!IV13=0,"（出来れば）兄弟の前後ではありません",IF(AND(RIGHT(H8,4)="空けたい",INDEX('計算A'!$D$106:$EQ$106,'計算A'!IO13)=1,INDEX('計算A'!$D$109:$EQ$109,'計算A'!IO13+1)=1),IF(H8="必ず空けたい","後ろの枠が空いていません","（出来れば）後ろが空いていません"),IF(AND(H8="空けない",INDEX('計算A'!$D$106:$EQ$106,'計算A'!IO13)=1,INDEX('計算A'!$D$109:$EQ$109,'計算A'!IO13+1)=0),"（出来れば）すぐ後が空いています",""))))),IF(OR(J8="入力済み",J8="×なし"),"未決定","")))))</f>
        <v/>
      </c>
      <c r="Q8" s="41">
        <f>IF('計算A'!IK13=0,IF('計算A'!IL13=1,"入る枠がありません",""),INDEX('計算A'!$D$8:$EQ$8,'計算A'!IK13))</f>
        <v/>
      </c>
      <c r="R8" s="41">
        <f>IF('計算A'!IR13=0,IF('計算A'!IS13=1,"入る枠がありません",""),INDEX('計算A'!$D$8:$EQ$8,'計算A'!IR13))</f>
        <v/>
      </c>
      <c r="S8" s="52">
        <f>HYPERLINK("#'×入力'!B89","×入力へ")</f>
        <v/>
      </c>
    </row>
    <row r="9" ht="19" customHeight="1">
      <c r="A9" s="50" t="n"/>
      <c r="B9" s="51" t="n"/>
      <c r="C9" s="50" t="n"/>
      <c r="D9" s="51" t="n"/>
      <c r="E9" s="50" t="n"/>
      <c r="F9" s="50" t="n"/>
      <c r="G9" s="50" t="n"/>
      <c r="H9" s="50" t="n"/>
      <c r="I9" s="41">
        <f>IF(B9="","",IF(COUNTIF($B$5:$B$49,B9)&gt;1,IF(A9="","",A9&amp;" ")&amp;B9,B9))</f>
        <v/>
      </c>
      <c r="J9" s="39">
        <f>IF(B9="","",IF('×入力'!F117="未提出","未提出",IF(K9&gt;0,"入力済み",IF('×入力'!F117="×なし（どこでもOK）","×なし","未入力"))))</f>
        <v/>
      </c>
      <c r="K9" s="39">
        <f>IF(B9="","",'計算A'!IN14)</f>
        <v/>
      </c>
      <c r="L9" s="39">
        <f>IF(OR(J9="入力済み",J9="×なし"),'計算A'!IM14,"")</f>
        <v/>
      </c>
      <c r="M9" s="39">
        <f>IF('計算A'!C14=1,COUNTIFS('計算A'!$C$10:$C$54,1,'計算A'!$IM$10:$IM$54,"&lt;"&amp;'計算A'!IM14)+1,"")</f>
        <v/>
      </c>
      <c r="N9" s="41">
        <f>IF('計算A'!IO14=0,"",INDEX('設定'!$E$11:$E$16,INDEX('計算A'!$D$2:$EQ$2,'計算A'!IO14)))</f>
        <v/>
      </c>
      <c r="O9" s="39">
        <f>IF('計算A'!IO14=0,"",INDEX('設定'!$I$11:$I$34,INDEX('計算A'!$D$3:$EQ$3,'計算A'!IO14)))</f>
        <v/>
      </c>
      <c r="P9" s="41">
        <f>IF(I9="","",IF('計算A'!IT14&lt;0,"兄弟の日付・時刻が表にありません",IF(COUNTIF('調整・決定'!$C$6:$H$29,I9)&gt;1,"2か所以上に入っています",IF('計算A'!IO14&gt;0,IF(INDEX('計算A'!$D$4:$EQ$4,'計算A'!IO14)=0,"使えない枠に入っています",IF(INDEX('計算A'!$D$14:$EQ$14,'計算A'!IO14)=1,"×の枠に入っています",IF('計算A'!IV14=0,"（出来れば）兄弟の前後ではありません",IF(AND(RIGHT(H9,4)="空けたい",INDEX('計算A'!$D$106:$EQ$106,'計算A'!IO14)=1,INDEX('計算A'!$D$109:$EQ$109,'計算A'!IO14+1)=1),IF(H9="必ず空けたい","後ろの枠が空いていません","（出来れば）後ろが空いていません"),IF(AND(H9="空けない",INDEX('計算A'!$D$106:$EQ$106,'計算A'!IO14)=1,INDEX('計算A'!$D$109:$EQ$109,'計算A'!IO14+1)=0),"（出来れば）すぐ後が空いています",""))))),IF(OR(J9="入力済み",J9="×なし"),"未決定","")))))</f>
        <v/>
      </c>
      <c r="Q9" s="41">
        <f>IF('計算A'!IK14=0,IF('計算A'!IL14=1,"入る枠がありません",""),INDEX('計算A'!$D$8:$EQ$8,'計算A'!IK14))</f>
        <v/>
      </c>
      <c r="R9" s="41">
        <f>IF('計算A'!IR14=0,IF('計算A'!IS14=1,"入る枠がありません",""),INDEX('計算A'!$D$8:$EQ$8,'計算A'!IR14))</f>
        <v/>
      </c>
      <c r="S9" s="52">
        <f>HYPERLINK("#'×入力'!B117","×入力へ")</f>
        <v/>
      </c>
    </row>
    <row r="10" ht="19" customHeight="1">
      <c r="A10" s="50" t="n"/>
      <c r="B10" s="51" t="n"/>
      <c r="C10" s="50" t="n"/>
      <c r="D10" s="51" t="n"/>
      <c r="E10" s="50" t="n"/>
      <c r="F10" s="50" t="n"/>
      <c r="G10" s="50" t="n"/>
      <c r="H10" s="50" t="n"/>
      <c r="I10" s="41">
        <f>IF(B10="","",IF(COUNTIF($B$5:$B$49,B10)&gt;1,IF(A10="","",A10&amp;" ")&amp;B10,B10))</f>
        <v/>
      </c>
      <c r="J10" s="39">
        <f>IF(B10="","",IF('×入力'!F145="未提出","未提出",IF(K10&gt;0,"入力済み",IF('×入力'!F145="×なし（どこでもOK）","×なし","未入力"))))</f>
        <v/>
      </c>
      <c r="K10" s="39">
        <f>IF(B10="","",'計算A'!IN15)</f>
        <v/>
      </c>
      <c r="L10" s="39">
        <f>IF(OR(J10="入力済み",J10="×なし"),'計算A'!IM15,"")</f>
        <v/>
      </c>
      <c r="M10" s="39">
        <f>IF('計算A'!C15=1,COUNTIFS('計算A'!$C$10:$C$54,1,'計算A'!$IM$10:$IM$54,"&lt;"&amp;'計算A'!IM15)+1,"")</f>
        <v/>
      </c>
      <c r="N10" s="41">
        <f>IF('計算A'!IO15=0,"",INDEX('設定'!$E$11:$E$16,INDEX('計算A'!$D$2:$EQ$2,'計算A'!IO15)))</f>
        <v/>
      </c>
      <c r="O10" s="39">
        <f>IF('計算A'!IO15=0,"",INDEX('設定'!$I$11:$I$34,INDEX('計算A'!$D$3:$EQ$3,'計算A'!IO15)))</f>
        <v/>
      </c>
      <c r="P10" s="41">
        <f>IF(I10="","",IF('計算A'!IT15&lt;0,"兄弟の日付・時刻が表にありません",IF(COUNTIF('調整・決定'!$C$6:$H$29,I10)&gt;1,"2か所以上に入っています",IF('計算A'!IO15&gt;0,IF(INDEX('計算A'!$D$4:$EQ$4,'計算A'!IO15)=0,"使えない枠に入っています",IF(INDEX('計算A'!$D$15:$EQ$15,'計算A'!IO15)=1,"×の枠に入っています",IF('計算A'!IV15=0,"（出来れば）兄弟の前後ではありません",IF(AND(RIGHT(H10,4)="空けたい",INDEX('計算A'!$D$106:$EQ$106,'計算A'!IO15)=1,INDEX('計算A'!$D$109:$EQ$109,'計算A'!IO15+1)=1),IF(H10="必ず空けたい","後ろの枠が空いていません","（出来れば）後ろが空いていません"),IF(AND(H10="空けない",INDEX('計算A'!$D$106:$EQ$106,'計算A'!IO15)=1,INDEX('計算A'!$D$109:$EQ$109,'計算A'!IO15+1)=0),"（出来れば）すぐ後が空いています",""))))),IF(OR(J10="入力済み",J10="×なし"),"未決定","")))))</f>
        <v/>
      </c>
      <c r="Q10" s="41">
        <f>IF('計算A'!IK15=0,IF('計算A'!IL15=1,"入る枠がありません",""),INDEX('計算A'!$D$8:$EQ$8,'計算A'!IK15))</f>
        <v/>
      </c>
      <c r="R10" s="41">
        <f>IF('計算A'!IR15=0,IF('計算A'!IS15=1,"入る枠がありません",""),INDEX('計算A'!$D$8:$EQ$8,'計算A'!IR15))</f>
        <v/>
      </c>
      <c r="S10" s="52">
        <f>HYPERLINK("#'×入力'!B145","×入力へ")</f>
        <v/>
      </c>
    </row>
    <row r="11" ht="19" customHeight="1">
      <c r="A11" s="50" t="n"/>
      <c r="B11" s="51" t="n"/>
      <c r="C11" s="50" t="n"/>
      <c r="D11" s="51" t="n"/>
      <c r="E11" s="50" t="n"/>
      <c r="F11" s="50" t="n"/>
      <c r="G11" s="50" t="n"/>
      <c r="H11" s="50" t="n"/>
      <c r="I11" s="41">
        <f>IF(B11="","",IF(COUNTIF($B$5:$B$49,B11)&gt;1,IF(A11="","",A11&amp;" ")&amp;B11,B11))</f>
        <v/>
      </c>
      <c r="J11" s="39">
        <f>IF(B11="","",IF('×入力'!F173="未提出","未提出",IF(K11&gt;0,"入力済み",IF('×入力'!F173="×なし（どこでもOK）","×なし","未入力"))))</f>
        <v/>
      </c>
      <c r="K11" s="39">
        <f>IF(B11="","",'計算A'!IN16)</f>
        <v/>
      </c>
      <c r="L11" s="39">
        <f>IF(OR(J11="入力済み",J11="×なし"),'計算A'!IM16,"")</f>
        <v/>
      </c>
      <c r="M11" s="39">
        <f>IF('計算A'!C16=1,COUNTIFS('計算A'!$C$10:$C$54,1,'計算A'!$IM$10:$IM$54,"&lt;"&amp;'計算A'!IM16)+1,"")</f>
        <v/>
      </c>
      <c r="N11" s="41">
        <f>IF('計算A'!IO16=0,"",INDEX('設定'!$E$11:$E$16,INDEX('計算A'!$D$2:$EQ$2,'計算A'!IO16)))</f>
        <v/>
      </c>
      <c r="O11" s="39">
        <f>IF('計算A'!IO16=0,"",INDEX('設定'!$I$11:$I$34,INDEX('計算A'!$D$3:$EQ$3,'計算A'!IO16)))</f>
        <v/>
      </c>
      <c r="P11" s="41">
        <f>IF(I11="","",IF('計算A'!IT16&lt;0,"兄弟の日付・時刻が表にありません",IF(COUNTIF('調整・決定'!$C$6:$H$29,I11)&gt;1,"2か所以上に入っています",IF('計算A'!IO16&gt;0,IF(INDEX('計算A'!$D$4:$EQ$4,'計算A'!IO16)=0,"使えない枠に入っています",IF(INDEX('計算A'!$D$16:$EQ$16,'計算A'!IO16)=1,"×の枠に入っています",IF('計算A'!IV16=0,"（出来れば）兄弟の前後ではありません",IF(AND(RIGHT(H11,4)="空けたい",INDEX('計算A'!$D$106:$EQ$106,'計算A'!IO16)=1,INDEX('計算A'!$D$109:$EQ$109,'計算A'!IO16+1)=1),IF(H11="必ず空けたい","後ろの枠が空いていません","（出来れば）後ろが空いていません"),IF(AND(H11="空けない",INDEX('計算A'!$D$106:$EQ$106,'計算A'!IO16)=1,INDEX('計算A'!$D$109:$EQ$109,'計算A'!IO16+1)=0),"（出来れば）すぐ後が空いています",""))))),IF(OR(J11="入力済み",J11="×なし"),"未決定","")))))</f>
        <v/>
      </c>
      <c r="Q11" s="41">
        <f>IF('計算A'!IK16=0,IF('計算A'!IL16=1,"入る枠がありません",""),INDEX('計算A'!$D$8:$EQ$8,'計算A'!IK16))</f>
        <v/>
      </c>
      <c r="R11" s="41">
        <f>IF('計算A'!IR16=0,IF('計算A'!IS16=1,"入る枠がありません",""),INDEX('計算A'!$D$8:$EQ$8,'計算A'!IR16))</f>
        <v/>
      </c>
      <c r="S11" s="52">
        <f>HYPERLINK("#'×入力'!B173","×入力へ")</f>
        <v/>
      </c>
    </row>
    <row r="12" ht="19" customHeight="1">
      <c r="A12" s="50" t="n"/>
      <c r="B12" s="51" t="n"/>
      <c r="C12" s="50" t="n"/>
      <c r="D12" s="51" t="n"/>
      <c r="E12" s="50" t="n"/>
      <c r="F12" s="50" t="n"/>
      <c r="G12" s="50" t="n"/>
      <c r="H12" s="50" t="n"/>
      <c r="I12" s="41">
        <f>IF(B12="","",IF(COUNTIF($B$5:$B$49,B12)&gt;1,IF(A12="","",A12&amp;" ")&amp;B12,B12))</f>
        <v/>
      </c>
      <c r="J12" s="39">
        <f>IF(B12="","",IF('×入力'!F201="未提出","未提出",IF(K12&gt;0,"入力済み",IF('×入力'!F201="×なし（どこでもOK）","×なし","未入力"))))</f>
        <v/>
      </c>
      <c r="K12" s="39">
        <f>IF(B12="","",'計算A'!IN17)</f>
        <v/>
      </c>
      <c r="L12" s="39">
        <f>IF(OR(J12="入力済み",J12="×なし"),'計算A'!IM17,"")</f>
        <v/>
      </c>
      <c r="M12" s="39">
        <f>IF('計算A'!C17=1,COUNTIFS('計算A'!$C$10:$C$54,1,'計算A'!$IM$10:$IM$54,"&lt;"&amp;'計算A'!IM17)+1,"")</f>
        <v/>
      </c>
      <c r="N12" s="41">
        <f>IF('計算A'!IO17=0,"",INDEX('設定'!$E$11:$E$16,INDEX('計算A'!$D$2:$EQ$2,'計算A'!IO17)))</f>
        <v/>
      </c>
      <c r="O12" s="39">
        <f>IF('計算A'!IO17=0,"",INDEX('設定'!$I$11:$I$34,INDEX('計算A'!$D$3:$EQ$3,'計算A'!IO17)))</f>
        <v/>
      </c>
      <c r="P12" s="41">
        <f>IF(I12="","",IF('計算A'!IT17&lt;0,"兄弟の日付・時刻が表にありません",IF(COUNTIF('調整・決定'!$C$6:$H$29,I12)&gt;1,"2か所以上に入っています",IF('計算A'!IO17&gt;0,IF(INDEX('計算A'!$D$4:$EQ$4,'計算A'!IO17)=0,"使えない枠に入っています",IF(INDEX('計算A'!$D$17:$EQ$17,'計算A'!IO17)=1,"×の枠に入っています",IF('計算A'!IV17=0,"（出来れば）兄弟の前後ではありません",IF(AND(RIGHT(H12,4)="空けたい",INDEX('計算A'!$D$106:$EQ$106,'計算A'!IO17)=1,INDEX('計算A'!$D$109:$EQ$109,'計算A'!IO17+1)=1),IF(H12="必ず空けたい","後ろの枠が空いていません","（出来れば）後ろが空いていません"),IF(AND(H12="空けない",INDEX('計算A'!$D$106:$EQ$106,'計算A'!IO17)=1,INDEX('計算A'!$D$109:$EQ$109,'計算A'!IO17+1)=0),"（出来れば）すぐ後が空いています",""))))),IF(OR(J12="入力済み",J12="×なし"),"未決定","")))))</f>
        <v/>
      </c>
      <c r="Q12" s="41">
        <f>IF('計算A'!IK17=0,IF('計算A'!IL17=1,"入る枠がありません",""),INDEX('計算A'!$D$8:$EQ$8,'計算A'!IK17))</f>
        <v/>
      </c>
      <c r="R12" s="41">
        <f>IF('計算A'!IR17=0,IF('計算A'!IS17=1,"入る枠がありません",""),INDEX('計算A'!$D$8:$EQ$8,'計算A'!IR17))</f>
        <v/>
      </c>
      <c r="S12" s="52">
        <f>HYPERLINK("#'×入力'!B201","×入力へ")</f>
        <v/>
      </c>
    </row>
    <row r="13" ht="19" customHeight="1">
      <c r="A13" s="50" t="n"/>
      <c r="B13" s="51" t="n"/>
      <c r="C13" s="50" t="n"/>
      <c r="D13" s="51" t="n"/>
      <c r="E13" s="50" t="n"/>
      <c r="F13" s="50" t="n"/>
      <c r="G13" s="50" t="n"/>
      <c r="H13" s="50" t="n"/>
      <c r="I13" s="41">
        <f>IF(B13="","",IF(COUNTIF($B$5:$B$49,B13)&gt;1,IF(A13="","",A13&amp;" ")&amp;B13,B13))</f>
        <v/>
      </c>
      <c r="J13" s="39">
        <f>IF(B13="","",IF('×入力'!F229="未提出","未提出",IF(K13&gt;0,"入力済み",IF('×入力'!F229="×なし（どこでもOK）","×なし","未入力"))))</f>
        <v/>
      </c>
      <c r="K13" s="39">
        <f>IF(B13="","",'計算A'!IN18)</f>
        <v/>
      </c>
      <c r="L13" s="39">
        <f>IF(OR(J13="入力済み",J13="×なし"),'計算A'!IM18,"")</f>
        <v/>
      </c>
      <c r="M13" s="39">
        <f>IF('計算A'!C18=1,COUNTIFS('計算A'!$C$10:$C$54,1,'計算A'!$IM$10:$IM$54,"&lt;"&amp;'計算A'!IM18)+1,"")</f>
        <v/>
      </c>
      <c r="N13" s="41">
        <f>IF('計算A'!IO18=0,"",INDEX('設定'!$E$11:$E$16,INDEX('計算A'!$D$2:$EQ$2,'計算A'!IO18)))</f>
        <v/>
      </c>
      <c r="O13" s="39">
        <f>IF('計算A'!IO18=0,"",INDEX('設定'!$I$11:$I$34,INDEX('計算A'!$D$3:$EQ$3,'計算A'!IO18)))</f>
        <v/>
      </c>
      <c r="P13" s="41">
        <f>IF(I13="","",IF('計算A'!IT18&lt;0,"兄弟の日付・時刻が表にありません",IF(COUNTIF('調整・決定'!$C$6:$H$29,I13)&gt;1,"2か所以上に入っています",IF('計算A'!IO18&gt;0,IF(INDEX('計算A'!$D$4:$EQ$4,'計算A'!IO18)=0,"使えない枠に入っています",IF(INDEX('計算A'!$D$18:$EQ$18,'計算A'!IO18)=1,"×の枠に入っています",IF('計算A'!IV18=0,"（出来れば）兄弟の前後ではありません",IF(AND(RIGHT(H13,4)="空けたい",INDEX('計算A'!$D$106:$EQ$106,'計算A'!IO18)=1,INDEX('計算A'!$D$109:$EQ$109,'計算A'!IO18+1)=1),IF(H13="必ず空けたい","後ろの枠が空いていません","（出来れば）後ろが空いていません"),IF(AND(H13="空けない",INDEX('計算A'!$D$106:$EQ$106,'計算A'!IO18)=1,INDEX('計算A'!$D$109:$EQ$109,'計算A'!IO18+1)=0),"（出来れば）すぐ後が空いています",""))))),IF(OR(J13="入力済み",J13="×なし"),"未決定","")))))</f>
        <v/>
      </c>
      <c r="Q13" s="41">
        <f>IF('計算A'!IK18=0,IF('計算A'!IL18=1,"入る枠がありません",""),INDEX('計算A'!$D$8:$EQ$8,'計算A'!IK18))</f>
        <v/>
      </c>
      <c r="R13" s="41">
        <f>IF('計算A'!IR18=0,IF('計算A'!IS18=1,"入る枠がありません",""),INDEX('計算A'!$D$8:$EQ$8,'計算A'!IR18))</f>
        <v/>
      </c>
      <c r="S13" s="52">
        <f>HYPERLINK("#'×入力'!B229","×入力へ")</f>
        <v/>
      </c>
    </row>
    <row r="14" ht="19" customHeight="1">
      <c r="A14" s="50" t="n"/>
      <c r="B14" s="51" t="n"/>
      <c r="C14" s="50" t="n"/>
      <c r="D14" s="51" t="n"/>
      <c r="E14" s="50" t="n"/>
      <c r="F14" s="50" t="n"/>
      <c r="G14" s="50" t="n"/>
      <c r="H14" s="50" t="n"/>
      <c r="I14" s="41">
        <f>IF(B14="","",IF(COUNTIF($B$5:$B$49,B14)&gt;1,IF(A14="","",A14&amp;" ")&amp;B14,B14))</f>
        <v/>
      </c>
      <c r="J14" s="39">
        <f>IF(B14="","",IF('×入力'!F257="未提出","未提出",IF(K14&gt;0,"入力済み",IF('×入力'!F257="×なし（どこでもOK）","×なし","未入力"))))</f>
        <v/>
      </c>
      <c r="K14" s="39">
        <f>IF(B14="","",'計算A'!IN19)</f>
        <v/>
      </c>
      <c r="L14" s="39">
        <f>IF(OR(J14="入力済み",J14="×なし"),'計算A'!IM19,"")</f>
        <v/>
      </c>
      <c r="M14" s="39">
        <f>IF('計算A'!C19=1,COUNTIFS('計算A'!$C$10:$C$54,1,'計算A'!$IM$10:$IM$54,"&lt;"&amp;'計算A'!IM19)+1,"")</f>
        <v/>
      </c>
      <c r="N14" s="41">
        <f>IF('計算A'!IO19=0,"",INDEX('設定'!$E$11:$E$16,INDEX('計算A'!$D$2:$EQ$2,'計算A'!IO19)))</f>
        <v/>
      </c>
      <c r="O14" s="39">
        <f>IF('計算A'!IO19=0,"",INDEX('設定'!$I$11:$I$34,INDEX('計算A'!$D$3:$EQ$3,'計算A'!IO19)))</f>
        <v/>
      </c>
      <c r="P14" s="41">
        <f>IF(I14="","",IF('計算A'!IT19&lt;0,"兄弟の日付・時刻が表にありません",IF(COUNTIF('調整・決定'!$C$6:$H$29,I14)&gt;1,"2か所以上に入っています",IF('計算A'!IO19&gt;0,IF(INDEX('計算A'!$D$4:$EQ$4,'計算A'!IO19)=0,"使えない枠に入っています",IF(INDEX('計算A'!$D$19:$EQ$19,'計算A'!IO19)=1,"×の枠に入っています",IF('計算A'!IV19=0,"（出来れば）兄弟の前後ではありません",IF(AND(RIGHT(H14,4)="空けたい",INDEX('計算A'!$D$106:$EQ$106,'計算A'!IO19)=1,INDEX('計算A'!$D$109:$EQ$109,'計算A'!IO19+1)=1),IF(H14="必ず空けたい","後ろの枠が空いていません","（出来れば）後ろが空いていません"),IF(AND(H14="空けない",INDEX('計算A'!$D$106:$EQ$106,'計算A'!IO19)=1,INDEX('計算A'!$D$109:$EQ$109,'計算A'!IO19+1)=0),"（出来れば）すぐ後が空いています",""))))),IF(OR(J14="入力済み",J14="×なし"),"未決定","")))))</f>
        <v/>
      </c>
      <c r="Q14" s="41">
        <f>IF('計算A'!IK19=0,IF('計算A'!IL19=1,"入る枠がありません",""),INDEX('計算A'!$D$8:$EQ$8,'計算A'!IK19))</f>
        <v/>
      </c>
      <c r="R14" s="41">
        <f>IF('計算A'!IR19=0,IF('計算A'!IS19=1,"入る枠がありません",""),INDEX('計算A'!$D$8:$EQ$8,'計算A'!IR19))</f>
        <v/>
      </c>
      <c r="S14" s="52">
        <f>HYPERLINK("#'×入力'!B257","×入力へ")</f>
        <v/>
      </c>
    </row>
    <row r="15" ht="19" customHeight="1">
      <c r="A15" s="50" t="n"/>
      <c r="B15" s="51" t="n"/>
      <c r="C15" s="50" t="n"/>
      <c r="D15" s="51" t="n"/>
      <c r="E15" s="50" t="n"/>
      <c r="F15" s="50" t="n"/>
      <c r="G15" s="50" t="n"/>
      <c r="H15" s="50" t="n"/>
      <c r="I15" s="41">
        <f>IF(B15="","",IF(COUNTIF($B$5:$B$49,B15)&gt;1,IF(A15="","",A15&amp;" ")&amp;B15,B15))</f>
        <v/>
      </c>
      <c r="J15" s="39">
        <f>IF(B15="","",IF('×入力'!F285="未提出","未提出",IF(K15&gt;0,"入力済み",IF('×入力'!F285="×なし（どこでもOK）","×なし","未入力"))))</f>
        <v/>
      </c>
      <c r="K15" s="39">
        <f>IF(B15="","",'計算A'!IN20)</f>
        <v/>
      </c>
      <c r="L15" s="39">
        <f>IF(OR(J15="入力済み",J15="×なし"),'計算A'!IM20,"")</f>
        <v/>
      </c>
      <c r="M15" s="39">
        <f>IF('計算A'!C20=1,COUNTIFS('計算A'!$C$10:$C$54,1,'計算A'!$IM$10:$IM$54,"&lt;"&amp;'計算A'!IM20)+1,"")</f>
        <v/>
      </c>
      <c r="N15" s="41">
        <f>IF('計算A'!IO20=0,"",INDEX('設定'!$E$11:$E$16,INDEX('計算A'!$D$2:$EQ$2,'計算A'!IO20)))</f>
        <v/>
      </c>
      <c r="O15" s="39">
        <f>IF('計算A'!IO20=0,"",INDEX('設定'!$I$11:$I$34,INDEX('計算A'!$D$3:$EQ$3,'計算A'!IO20)))</f>
        <v/>
      </c>
      <c r="P15" s="41">
        <f>IF(I15="","",IF('計算A'!IT20&lt;0,"兄弟の日付・時刻が表にありません",IF(COUNTIF('調整・決定'!$C$6:$H$29,I15)&gt;1,"2か所以上に入っています",IF('計算A'!IO20&gt;0,IF(INDEX('計算A'!$D$4:$EQ$4,'計算A'!IO20)=0,"使えない枠に入っています",IF(INDEX('計算A'!$D$20:$EQ$20,'計算A'!IO20)=1,"×の枠に入っています",IF('計算A'!IV20=0,"（出来れば）兄弟の前後ではありません",IF(AND(RIGHT(H15,4)="空けたい",INDEX('計算A'!$D$106:$EQ$106,'計算A'!IO20)=1,INDEX('計算A'!$D$109:$EQ$109,'計算A'!IO20+1)=1),IF(H15="必ず空けたい","後ろの枠が空いていません","（出来れば）後ろが空いていません"),IF(AND(H15="空けない",INDEX('計算A'!$D$106:$EQ$106,'計算A'!IO20)=1,INDEX('計算A'!$D$109:$EQ$109,'計算A'!IO20+1)=0),"（出来れば）すぐ後が空いています",""))))),IF(OR(J15="入力済み",J15="×なし"),"未決定","")))))</f>
        <v/>
      </c>
      <c r="Q15" s="41">
        <f>IF('計算A'!IK20=0,IF('計算A'!IL20=1,"入る枠がありません",""),INDEX('計算A'!$D$8:$EQ$8,'計算A'!IK20))</f>
        <v/>
      </c>
      <c r="R15" s="41">
        <f>IF('計算A'!IR20=0,IF('計算A'!IS20=1,"入る枠がありません",""),INDEX('計算A'!$D$8:$EQ$8,'計算A'!IR20))</f>
        <v/>
      </c>
      <c r="S15" s="52">
        <f>HYPERLINK("#'×入力'!B285","×入力へ")</f>
        <v/>
      </c>
    </row>
    <row r="16" ht="19" customHeight="1">
      <c r="A16" s="50" t="n"/>
      <c r="B16" s="51" t="n"/>
      <c r="C16" s="50" t="n"/>
      <c r="D16" s="51" t="n"/>
      <c r="E16" s="50" t="n"/>
      <c r="F16" s="50" t="n"/>
      <c r="G16" s="50" t="n"/>
      <c r="H16" s="50" t="n"/>
      <c r="I16" s="41">
        <f>IF(B16="","",IF(COUNTIF($B$5:$B$49,B16)&gt;1,IF(A16="","",A16&amp;" ")&amp;B16,B16))</f>
        <v/>
      </c>
      <c r="J16" s="39">
        <f>IF(B16="","",IF('×入力'!F313="未提出","未提出",IF(K16&gt;0,"入力済み",IF('×入力'!F313="×なし（どこでもOK）","×なし","未入力"))))</f>
        <v/>
      </c>
      <c r="K16" s="39">
        <f>IF(B16="","",'計算A'!IN21)</f>
        <v/>
      </c>
      <c r="L16" s="39">
        <f>IF(OR(J16="入力済み",J16="×なし"),'計算A'!IM21,"")</f>
        <v/>
      </c>
      <c r="M16" s="39">
        <f>IF('計算A'!C21=1,COUNTIFS('計算A'!$C$10:$C$54,1,'計算A'!$IM$10:$IM$54,"&lt;"&amp;'計算A'!IM21)+1,"")</f>
        <v/>
      </c>
      <c r="N16" s="41">
        <f>IF('計算A'!IO21=0,"",INDEX('設定'!$E$11:$E$16,INDEX('計算A'!$D$2:$EQ$2,'計算A'!IO21)))</f>
        <v/>
      </c>
      <c r="O16" s="39">
        <f>IF('計算A'!IO21=0,"",INDEX('設定'!$I$11:$I$34,INDEX('計算A'!$D$3:$EQ$3,'計算A'!IO21)))</f>
        <v/>
      </c>
      <c r="P16" s="41">
        <f>IF(I16="","",IF('計算A'!IT21&lt;0,"兄弟の日付・時刻が表にありません",IF(COUNTIF('調整・決定'!$C$6:$H$29,I16)&gt;1,"2か所以上に入っています",IF('計算A'!IO21&gt;0,IF(INDEX('計算A'!$D$4:$EQ$4,'計算A'!IO21)=0,"使えない枠に入っています",IF(INDEX('計算A'!$D$21:$EQ$21,'計算A'!IO21)=1,"×の枠に入っています",IF('計算A'!IV21=0,"（出来れば）兄弟の前後ではありません",IF(AND(RIGHT(H16,4)="空けたい",INDEX('計算A'!$D$106:$EQ$106,'計算A'!IO21)=1,INDEX('計算A'!$D$109:$EQ$109,'計算A'!IO21+1)=1),IF(H16="必ず空けたい","後ろの枠が空いていません","（出来れば）後ろが空いていません"),IF(AND(H16="空けない",INDEX('計算A'!$D$106:$EQ$106,'計算A'!IO21)=1,INDEX('計算A'!$D$109:$EQ$109,'計算A'!IO21+1)=0),"（出来れば）すぐ後が空いています",""))))),IF(OR(J16="入力済み",J16="×なし"),"未決定","")))))</f>
        <v/>
      </c>
      <c r="Q16" s="41">
        <f>IF('計算A'!IK21=0,IF('計算A'!IL21=1,"入る枠がありません",""),INDEX('計算A'!$D$8:$EQ$8,'計算A'!IK21))</f>
        <v/>
      </c>
      <c r="R16" s="41">
        <f>IF('計算A'!IR21=0,IF('計算A'!IS21=1,"入る枠がありません",""),INDEX('計算A'!$D$8:$EQ$8,'計算A'!IR21))</f>
        <v/>
      </c>
      <c r="S16" s="52">
        <f>HYPERLINK("#'×入力'!B313","×入力へ")</f>
        <v/>
      </c>
    </row>
    <row r="17" ht="19" customHeight="1">
      <c r="A17" s="50" t="n"/>
      <c r="B17" s="51" t="n"/>
      <c r="C17" s="50" t="n"/>
      <c r="D17" s="51" t="n"/>
      <c r="E17" s="50" t="n"/>
      <c r="F17" s="50" t="n"/>
      <c r="G17" s="50" t="n"/>
      <c r="H17" s="50" t="n"/>
      <c r="I17" s="41">
        <f>IF(B17="","",IF(COUNTIF($B$5:$B$49,B17)&gt;1,IF(A17="","",A17&amp;" ")&amp;B17,B17))</f>
        <v/>
      </c>
      <c r="J17" s="39">
        <f>IF(B17="","",IF('×入力'!F341="未提出","未提出",IF(K17&gt;0,"入力済み",IF('×入力'!F341="×なし（どこでもOK）","×なし","未入力"))))</f>
        <v/>
      </c>
      <c r="K17" s="39">
        <f>IF(B17="","",'計算A'!IN22)</f>
        <v/>
      </c>
      <c r="L17" s="39">
        <f>IF(OR(J17="入力済み",J17="×なし"),'計算A'!IM22,"")</f>
        <v/>
      </c>
      <c r="M17" s="39">
        <f>IF('計算A'!C22=1,COUNTIFS('計算A'!$C$10:$C$54,1,'計算A'!$IM$10:$IM$54,"&lt;"&amp;'計算A'!IM22)+1,"")</f>
        <v/>
      </c>
      <c r="N17" s="41">
        <f>IF('計算A'!IO22=0,"",INDEX('設定'!$E$11:$E$16,INDEX('計算A'!$D$2:$EQ$2,'計算A'!IO22)))</f>
        <v/>
      </c>
      <c r="O17" s="39">
        <f>IF('計算A'!IO22=0,"",INDEX('設定'!$I$11:$I$34,INDEX('計算A'!$D$3:$EQ$3,'計算A'!IO22)))</f>
        <v/>
      </c>
      <c r="P17" s="41">
        <f>IF(I17="","",IF('計算A'!IT22&lt;0,"兄弟の日付・時刻が表にありません",IF(COUNTIF('調整・決定'!$C$6:$H$29,I17)&gt;1,"2か所以上に入っています",IF('計算A'!IO22&gt;0,IF(INDEX('計算A'!$D$4:$EQ$4,'計算A'!IO22)=0,"使えない枠に入っています",IF(INDEX('計算A'!$D$22:$EQ$22,'計算A'!IO22)=1,"×の枠に入っています",IF('計算A'!IV22=0,"（出来れば）兄弟の前後ではありません",IF(AND(RIGHT(H17,4)="空けたい",INDEX('計算A'!$D$106:$EQ$106,'計算A'!IO22)=1,INDEX('計算A'!$D$109:$EQ$109,'計算A'!IO22+1)=1),IF(H17="必ず空けたい","後ろの枠が空いていません","（出来れば）後ろが空いていません"),IF(AND(H17="空けない",INDEX('計算A'!$D$106:$EQ$106,'計算A'!IO22)=1,INDEX('計算A'!$D$109:$EQ$109,'計算A'!IO22+1)=0),"（出来れば）すぐ後が空いています",""))))),IF(OR(J17="入力済み",J17="×なし"),"未決定","")))))</f>
        <v/>
      </c>
      <c r="Q17" s="41">
        <f>IF('計算A'!IK22=0,IF('計算A'!IL22=1,"入る枠がありません",""),INDEX('計算A'!$D$8:$EQ$8,'計算A'!IK22))</f>
        <v/>
      </c>
      <c r="R17" s="41">
        <f>IF('計算A'!IR22=0,IF('計算A'!IS22=1,"入る枠がありません",""),INDEX('計算A'!$D$8:$EQ$8,'計算A'!IR22))</f>
        <v/>
      </c>
      <c r="S17" s="52">
        <f>HYPERLINK("#'×入力'!B341","×入力へ")</f>
        <v/>
      </c>
    </row>
    <row r="18" ht="19" customHeight="1">
      <c r="A18" s="50" t="n"/>
      <c r="B18" s="51" t="n"/>
      <c r="C18" s="50" t="n"/>
      <c r="D18" s="51" t="n"/>
      <c r="E18" s="50" t="n"/>
      <c r="F18" s="50" t="n"/>
      <c r="G18" s="50" t="n"/>
      <c r="H18" s="50" t="n"/>
      <c r="I18" s="41">
        <f>IF(B18="","",IF(COUNTIF($B$5:$B$49,B18)&gt;1,IF(A18="","",A18&amp;" ")&amp;B18,B18))</f>
        <v/>
      </c>
      <c r="J18" s="39">
        <f>IF(B18="","",IF('×入力'!F369="未提出","未提出",IF(K18&gt;0,"入力済み",IF('×入力'!F369="×なし（どこでもOK）","×なし","未入力"))))</f>
        <v/>
      </c>
      <c r="K18" s="39">
        <f>IF(B18="","",'計算A'!IN23)</f>
        <v/>
      </c>
      <c r="L18" s="39">
        <f>IF(OR(J18="入力済み",J18="×なし"),'計算A'!IM23,"")</f>
        <v/>
      </c>
      <c r="M18" s="39">
        <f>IF('計算A'!C23=1,COUNTIFS('計算A'!$C$10:$C$54,1,'計算A'!$IM$10:$IM$54,"&lt;"&amp;'計算A'!IM23)+1,"")</f>
        <v/>
      </c>
      <c r="N18" s="41">
        <f>IF('計算A'!IO23=0,"",INDEX('設定'!$E$11:$E$16,INDEX('計算A'!$D$2:$EQ$2,'計算A'!IO23)))</f>
        <v/>
      </c>
      <c r="O18" s="39">
        <f>IF('計算A'!IO23=0,"",INDEX('設定'!$I$11:$I$34,INDEX('計算A'!$D$3:$EQ$3,'計算A'!IO23)))</f>
        <v/>
      </c>
      <c r="P18" s="41">
        <f>IF(I18="","",IF('計算A'!IT23&lt;0,"兄弟の日付・時刻が表にありません",IF(COUNTIF('調整・決定'!$C$6:$H$29,I18)&gt;1,"2か所以上に入っています",IF('計算A'!IO23&gt;0,IF(INDEX('計算A'!$D$4:$EQ$4,'計算A'!IO23)=0,"使えない枠に入っています",IF(INDEX('計算A'!$D$23:$EQ$23,'計算A'!IO23)=1,"×の枠に入っています",IF('計算A'!IV23=0,"（出来れば）兄弟の前後ではありません",IF(AND(RIGHT(H18,4)="空けたい",INDEX('計算A'!$D$106:$EQ$106,'計算A'!IO23)=1,INDEX('計算A'!$D$109:$EQ$109,'計算A'!IO23+1)=1),IF(H18="必ず空けたい","後ろの枠が空いていません","（出来れば）後ろが空いていません"),IF(AND(H18="空けない",INDEX('計算A'!$D$106:$EQ$106,'計算A'!IO23)=1,INDEX('計算A'!$D$109:$EQ$109,'計算A'!IO23+1)=0),"（出来れば）すぐ後が空いています",""))))),IF(OR(J18="入力済み",J18="×なし"),"未決定","")))))</f>
        <v/>
      </c>
      <c r="Q18" s="41">
        <f>IF('計算A'!IK23=0,IF('計算A'!IL23=1,"入る枠がありません",""),INDEX('計算A'!$D$8:$EQ$8,'計算A'!IK23))</f>
        <v/>
      </c>
      <c r="R18" s="41">
        <f>IF('計算A'!IR23=0,IF('計算A'!IS23=1,"入る枠がありません",""),INDEX('計算A'!$D$8:$EQ$8,'計算A'!IR23))</f>
        <v/>
      </c>
      <c r="S18" s="52">
        <f>HYPERLINK("#'×入力'!B369","×入力へ")</f>
        <v/>
      </c>
    </row>
    <row r="19" ht="19" customHeight="1">
      <c r="A19" s="50" t="n"/>
      <c r="B19" s="51" t="n"/>
      <c r="C19" s="50" t="n"/>
      <c r="D19" s="51" t="n"/>
      <c r="E19" s="50" t="n"/>
      <c r="F19" s="50" t="n"/>
      <c r="G19" s="50" t="n"/>
      <c r="H19" s="50" t="n"/>
      <c r="I19" s="41">
        <f>IF(B19="","",IF(COUNTIF($B$5:$B$49,B19)&gt;1,IF(A19="","",A19&amp;" ")&amp;B19,B19))</f>
        <v/>
      </c>
      <c r="J19" s="39">
        <f>IF(B19="","",IF('×入力'!F397="未提出","未提出",IF(K19&gt;0,"入力済み",IF('×入力'!F397="×なし（どこでもOK）","×なし","未入力"))))</f>
        <v/>
      </c>
      <c r="K19" s="39">
        <f>IF(B19="","",'計算A'!IN24)</f>
        <v/>
      </c>
      <c r="L19" s="39">
        <f>IF(OR(J19="入力済み",J19="×なし"),'計算A'!IM24,"")</f>
        <v/>
      </c>
      <c r="M19" s="39">
        <f>IF('計算A'!C24=1,COUNTIFS('計算A'!$C$10:$C$54,1,'計算A'!$IM$10:$IM$54,"&lt;"&amp;'計算A'!IM24)+1,"")</f>
        <v/>
      </c>
      <c r="N19" s="41">
        <f>IF('計算A'!IO24=0,"",INDEX('設定'!$E$11:$E$16,INDEX('計算A'!$D$2:$EQ$2,'計算A'!IO24)))</f>
        <v/>
      </c>
      <c r="O19" s="39">
        <f>IF('計算A'!IO24=0,"",INDEX('設定'!$I$11:$I$34,INDEX('計算A'!$D$3:$EQ$3,'計算A'!IO24)))</f>
        <v/>
      </c>
      <c r="P19" s="41">
        <f>IF(I19="","",IF('計算A'!IT24&lt;0,"兄弟の日付・時刻が表にありません",IF(COUNTIF('調整・決定'!$C$6:$H$29,I19)&gt;1,"2か所以上に入っています",IF('計算A'!IO24&gt;0,IF(INDEX('計算A'!$D$4:$EQ$4,'計算A'!IO24)=0,"使えない枠に入っています",IF(INDEX('計算A'!$D$24:$EQ$24,'計算A'!IO24)=1,"×の枠に入っています",IF('計算A'!IV24=0,"（出来れば）兄弟の前後ではありません",IF(AND(RIGHT(H19,4)="空けたい",INDEX('計算A'!$D$106:$EQ$106,'計算A'!IO24)=1,INDEX('計算A'!$D$109:$EQ$109,'計算A'!IO24+1)=1),IF(H19="必ず空けたい","後ろの枠が空いていません","（出来れば）後ろが空いていません"),IF(AND(H19="空けない",INDEX('計算A'!$D$106:$EQ$106,'計算A'!IO24)=1,INDEX('計算A'!$D$109:$EQ$109,'計算A'!IO24+1)=0),"（出来れば）すぐ後が空いています",""))))),IF(OR(J19="入力済み",J19="×なし"),"未決定","")))))</f>
        <v/>
      </c>
      <c r="Q19" s="41">
        <f>IF('計算A'!IK24=0,IF('計算A'!IL24=1,"入る枠がありません",""),INDEX('計算A'!$D$8:$EQ$8,'計算A'!IK24))</f>
        <v/>
      </c>
      <c r="R19" s="41">
        <f>IF('計算A'!IR24=0,IF('計算A'!IS24=1,"入る枠がありません",""),INDEX('計算A'!$D$8:$EQ$8,'計算A'!IR24))</f>
        <v/>
      </c>
      <c r="S19" s="52">
        <f>HYPERLINK("#'×入力'!B397","×入力へ")</f>
        <v/>
      </c>
    </row>
    <row r="20" ht="19" customHeight="1">
      <c r="A20" s="50" t="n"/>
      <c r="B20" s="51" t="n"/>
      <c r="C20" s="50" t="n"/>
      <c r="D20" s="51" t="n"/>
      <c r="E20" s="50" t="n"/>
      <c r="F20" s="50" t="n"/>
      <c r="G20" s="50" t="n"/>
      <c r="H20" s="50" t="n"/>
      <c r="I20" s="41">
        <f>IF(B20="","",IF(COUNTIF($B$5:$B$49,B20)&gt;1,IF(A20="","",A20&amp;" ")&amp;B20,B20))</f>
        <v/>
      </c>
      <c r="J20" s="39">
        <f>IF(B20="","",IF('×入力'!F425="未提出","未提出",IF(K20&gt;0,"入力済み",IF('×入力'!F425="×なし（どこでもOK）","×なし","未入力"))))</f>
        <v/>
      </c>
      <c r="K20" s="39">
        <f>IF(B20="","",'計算A'!IN25)</f>
        <v/>
      </c>
      <c r="L20" s="39">
        <f>IF(OR(J20="入力済み",J20="×なし"),'計算A'!IM25,"")</f>
        <v/>
      </c>
      <c r="M20" s="39">
        <f>IF('計算A'!C25=1,COUNTIFS('計算A'!$C$10:$C$54,1,'計算A'!$IM$10:$IM$54,"&lt;"&amp;'計算A'!IM25)+1,"")</f>
        <v/>
      </c>
      <c r="N20" s="41">
        <f>IF('計算A'!IO25=0,"",INDEX('設定'!$E$11:$E$16,INDEX('計算A'!$D$2:$EQ$2,'計算A'!IO25)))</f>
        <v/>
      </c>
      <c r="O20" s="39">
        <f>IF('計算A'!IO25=0,"",INDEX('設定'!$I$11:$I$34,INDEX('計算A'!$D$3:$EQ$3,'計算A'!IO25)))</f>
        <v/>
      </c>
      <c r="P20" s="41">
        <f>IF(I20="","",IF('計算A'!IT25&lt;0,"兄弟の日付・時刻が表にありません",IF(COUNTIF('調整・決定'!$C$6:$H$29,I20)&gt;1,"2か所以上に入っています",IF('計算A'!IO25&gt;0,IF(INDEX('計算A'!$D$4:$EQ$4,'計算A'!IO25)=0,"使えない枠に入っています",IF(INDEX('計算A'!$D$25:$EQ$25,'計算A'!IO25)=1,"×の枠に入っています",IF('計算A'!IV25=0,"（出来れば）兄弟の前後ではありません",IF(AND(RIGHT(H20,4)="空けたい",INDEX('計算A'!$D$106:$EQ$106,'計算A'!IO25)=1,INDEX('計算A'!$D$109:$EQ$109,'計算A'!IO25+1)=1),IF(H20="必ず空けたい","後ろの枠が空いていません","（出来れば）後ろが空いていません"),IF(AND(H20="空けない",INDEX('計算A'!$D$106:$EQ$106,'計算A'!IO25)=1,INDEX('計算A'!$D$109:$EQ$109,'計算A'!IO25+1)=0),"（出来れば）すぐ後が空いています",""))))),IF(OR(J20="入力済み",J20="×なし"),"未決定","")))))</f>
        <v/>
      </c>
      <c r="Q20" s="41">
        <f>IF('計算A'!IK25=0,IF('計算A'!IL25=1,"入る枠がありません",""),INDEX('計算A'!$D$8:$EQ$8,'計算A'!IK25))</f>
        <v/>
      </c>
      <c r="R20" s="41">
        <f>IF('計算A'!IR25=0,IF('計算A'!IS25=1,"入る枠がありません",""),INDEX('計算A'!$D$8:$EQ$8,'計算A'!IR25))</f>
        <v/>
      </c>
      <c r="S20" s="52">
        <f>HYPERLINK("#'×入力'!B425","×入力へ")</f>
        <v/>
      </c>
    </row>
    <row r="21" ht="19" customHeight="1">
      <c r="A21" s="50" t="n"/>
      <c r="B21" s="51" t="n"/>
      <c r="C21" s="50" t="n"/>
      <c r="D21" s="51" t="n"/>
      <c r="E21" s="50" t="n"/>
      <c r="F21" s="50" t="n"/>
      <c r="G21" s="50" t="n"/>
      <c r="H21" s="50" t="n"/>
      <c r="I21" s="41">
        <f>IF(B21="","",IF(COUNTIF($B$5:$B$49,B21)&gt;1,IF(A21="","",A21&amp;" ")&amp;B21,B21))</f>
        <v/>
      </c>
      <c r="J21" s="39">
        <f>IF(B21="","",IF('×入力'!F453="未提出","未提出",IF(K21&gt;0,"入力済み",IF('×入力'!F453="×なし（どこでもOK）","×なし","未入力"))))</f>
        <v/>
      </c>
      <c r="K21" s="39">
        <f>IF(B21="","",'計算A'!IN26)</f>
        <v/>
      </c>
      <c r="L21" s="39">
        <f>IF(OR(J21="入力済み",J21="×なし"),'計算A'!IM26,"")</f>
        <v/>
      </c>
      <c r="M21" s="39">
        <f>IF('計算A'!C26=1,COUNTIFS('計算A'!$C$10:$C$54,1,'計算A'!$IM$10:$IM$54,"&lt;"&amp;'計算A'!IM26)+1,"")</f>
        <v/>
      </c>
      <c r="N21" s="41">
        <f>IF('計算A'!IO26=0,"",INDEX('設定'!$E$11:$E$16,INDEX('計算A'!$D$2:$EQ$2,'計算A'!IO26)))</f>
        <v/>
      </c>
      <c r="O21" s="39">
        <f>IF('計算A'!IO26=0,"",INDEX('設定'!$I$11:$I$34,INDEX('計算A'!$D$3:$EQ$3,'計算A'!IO26)))</f>
        <v/>
      </c>
      <c r="P21" s="41">
        <f>IF(I21="","",IF('計算A'!IT26&lt;0,"兄弟の日付・時刻が表にありません",IF(COUNTIF('調整・決定'!$C$6:$H$29,I21)&gt;1,"2か所以上に入っています",IF('計算A'!IO26&gt;0,IF(INDEX('計算A'!$D$4:$EQ$4,'計算A'!IO26)=0,"使えない枠に入っています",IF(INDEX('計算A'!$D$26:$EQ$26,'計算A'!IO26)=1,"×の枠に入っています",IF('計算A'!IV26=0,"（出来れば）兄弟の前後ではありません",IF(AND(RIGHT(H21,4)="空けたい",INDEX('計算A'!$D$106:$EQ$106,'計算A'!IO26)=1,INDEX('計算A'!$D$109:$EQ$109,'計算A'!IO26+1)=1),IF(H21="必ず空けたい","後ろの枠が空いていません","（出来れば）後ろが空いていません"),IF(AND(H21="空けない",INDEX('計算A'!$D$106:$EQ$106,'計算A'!IO26)=1,INDEX('計算A'!$D$109:$EQ$109,'計算A'!IO26+1)=0),"（出来れば）すぐ後が空いています",""))))),IF(OR(J21="入力済み",J21="×なし"),"未決定","")))))</f>
        <v/>
      </c>
      <c r="Q21" s="41">
        <f>IF('計算A'!IK26=0,IF('計算A'!IL26=1,"入る枠がありません",""),INDEX('計算A'!$D$8:$EQ$8,'計算A'!IK26))</f>
        <v/>
      </c>
      <c r="R21" s="41">
        <f>IF('計算A'!IR26=0,IF('計算A'!IS26=1,"入る枠がありません",""),INDEX('計算A'!$D$8:$EQ$8,'計算A'!IR26))</f>
        <v/>
      </c>
      <c r="S21" s="52">
        <f>HYPERLINK("#'×入力'!B453","×入力へ")</f>
        <v/>
      </c>
    </row>
    <row r="22" ht="19" customHeight="1">
      <c r="A22" s="50" t="n"/>
      <c r="B22" s="51" t="n"/>
      <c r="C22" s="50" t="n"/>
      <c r="D22" s="51" t="n"/>
      <c r="E22" s="50" t="n"/>
      <c r="F22" s="50" t="n"/>
      <c r="G22" s="50" t="n"/>
      <c r="H22" s="50" t="n"/>
      <c r="I22" s="41">
        <f>IF(B22="","",IF(COUNTIF($B$5:$B$49,B22)&gt;1,IF(A22="","",A22&amp;" ")&amp;B22,B22))</f>
        <v/>
      </c>
      <c r="J22" s="39">
        <f>IF(B22="","",IF('×入力'!F481="未提出","未提出",IF(K22&gt;0,"入力済み",IF('×入力'!F481="×なし（どこでもOK）","×なし","未入力"))))</f>
        <v/>
      </c>
      <c r="K22" s="39">
        <f>IF(B22="","",'計算A'!IN27)</f>
        <v/>
      </c>
      <c r="L22" s="39">
        <f>IF(OR(J22="入力済み",J22="×なし"),'計算A'!IM27,"")</f>
        <v/>
      </c>
      <c r="M22" s="39">
        <f>IF('計算A'!C27=1,COUNTIFS('計算A'!$C$10:$C$54,1,'計算A'!$IM$10:$IM$54,"&lt;"&amp;'計算A'!IM27)+1,"")</f>
        <v/>
      </c>
      <c r="N22" s="41">
        <f>IF('計算A'!IO27=0,"",INDEX('設定'!$E$11:$E$16,INDEX('計算A'!$D$2:$EQ$2,'計算A'!IO27)))</f>
        <v/>
      </c>
      <c r="O22" s="39">
        <f>IF('計算A'!IO27=0,"",INDEX('設定'!$I$11:$I$34,INDEX('計算A'!$D$3:$EQ$3,'計算A'!IO27)))</f>
        <v/>
      </c>
      <c r="P22" s="41">
        <f>IF(I22="","",IF('計算A'!IT27&lt;0,"兄弟の日付・時刻が表にありません",IF(COUNTIF('調整・決定'!$C$6:$H$29,I22)&gt;1,"2か所以上に入っています",IF('計算A'!IO27&gt;0,IF(INDEX('計算A'!$D$4:$EQ$4,'計算A'!IO27)=0,"使えない枠に入っています",IF(INDEX('計算A'!$D$27:$EQ$27,'計算A'!IO27)=1,"×の枠に入っています",IF('計算A'!IV27=0,"（出来れば）兄弟の前後ではありません",IF(AND(RIGHT(H22,4)="空けたい",INDEX('計算A'!$D$106:$EQ$106,'計算A'!IO27)=1,INDEX('計算A'!$D$109:$EQ$109,'計算A'!IO27+1)=1),IF(H22="必ず空けたい","後ろの枠が空いていません","（出来れば）後ろが空いていません"),IF(AND(H22="空けない",INDEX('計算A'!$D$106:$EQ$106,'計算A'!IO27)=1,INDEX('計算A'!$D$109:$EQ$109,'計算A'!IO27+1)=0),"（出来れば）すぐ後が空いています",""))))),IF(OR(J22="入力済み",J22="×なし"),"未決定","")))))</f>
        <v/>
      </c>
      <c r="Q22" s="41">
        <f>IF('計算A'!IK27=0,IF('計算A'!IL27=1,"入る枠がありません",""),INDEX('計算A'!$D$8:$EQ$8,'計算A'!IK27))</f>
        <v/>
      </c>
      <c r="R22" s="41">
        <f>IF('計算A'!IR27=0,IF('計算A'!IS27=1,"入る枠がありません",""),INDEX('計算A'!$D$8:$EQ$8,'計算A'!IR27))</f>
        <v/>
      </c>
      <c r="S22" s="52">
        <f>HYPERLINK("#'×入力'!B481","×入力へ")</f>
        <v/>
      </c>
    </row>
    <row r="23" ht="19" customHeight="1">
      <c r="A23" s="50" t="n"/>
      <c r="B23" s="51" t="n"/>
      <c r="C23" s="50" t="n"/>
      <c r="D23" s="51" t="n"/>
      <c r="E23" s="50" t="n"/>
      <c r="F23" s="50" t="n"/>
      <c r="G23" s="50" t="n"/>
      <c r="H23" s="50" t="n"/>
      <c r="I23" s="41">
        <f>IF(B23="","",IF(COUNTIF($B$5:$B$49,B23)&gt;1,IF(A23="","",A23&amp;" ")&amp;B23,B23))</f>
        <v/>
      </c>
      <c r="J23" s="39">
        <f>IF(B23="","",IF('×入力'!F509="未提出","未提出",IF(K23&gt;0,"入力済み",IF('×入力'!F509="×なし（どこでもOK）","×なし","未入力"))))</f>
        <v/>
      </c>
      <c r="K23" s="39">
        <f>IF(B23="","",'計算A'!IN28)</f>
        <v/>
      </c>
      <c r="L23" s="39">
        <f>IF(OR(J23="入力済み",J23="×なし"),'計算A'!IM28,"")</f>
        <v/>
      </c>
      <c r="M23" s="39">
        <f>IF('計算A'!C28=1,COUNTIFS('計算A'!$C$10:$C$54,1,'計算A'!$IM$10:$IM$54,"&lt;"&amp;'計算A'!IM28)+1,"")</f>
        <v/>
      </c>
      <c r="N23" s="41">
        <f>IF('計算A'!IO28=0,"",INDEX('設定'!$E$11:$E$16,INDEX('計算A'!$D$2:$EQ$2,'計算A'!IO28)))</f>
        <v/>
      </c>
      <c r="O23" s="39">
        <f>IF('計算A'!IO28=0,"",INDEX('設定'!$I$11:$I$34,INDEX('計算A'!$D$3:$EQ$3,'計算A'!IO28)))</f>
        <v/>
      </c>
      <c r="P23" s="41">
        <f>IF(I23="","",IF('計算A'!IT28&lt;0,"兄弟の日付・時刻が表にありません",IF(COUNTIF('調整・決定'!$C$6:$H$29,I23)&gt;1,"2か所以上に入っています",IF('計算A'!IO28&gt;0,IF(INDEX('計算A'!$D$4:$EQ$4,'計算A'!IO28)=0,"使えない枠に入っています",IF(INDEX('計算A'!$D$28:$EQ$28,'計算A'!IO28)=1,"×の枠に入っています",IF('計算A'!IV28=0,"（出来れば）兄弟の前後ではありません",IF(AND(RIGHT(H23,4)="空けたい",INDEX('計算A'!$D$106:$EQ$106,'計算A'!IO28)=1,INDEX('計算A'!$D$109:$EQ$109,'計算A'!IO28+1)=1),IF(H23="必ず空けたい","後ろの枠が空いていません","（出来れば）後ろが空いていません"),IF(AND(H23="空けない",INDEX('計算A'!$D$106:$EQ$106,'計算A'!IO28)=1,INDEX('計算A'!$D$109:$EQ$109,'計算A'!IO28+1)=0),"（出来れば）すぐ後が空いています",""))))),IF(OR(J23="入力済み",J23="×なし"),"未決定","")))))</f>
        <v/>
      </c>
      <c r="Q23" s="41">
        <f>IF('計算A'!IK28=0,IF('計算A'!IL28=1,"入る枠がありません",""),INDEX('計算A'!$D$8:$EQ$8,'計算A'!IK28))</f>
        <v/>
      </c>
      <c r="R23" s="41">
        <f>IF('計算A'!IR28=0,IF('計算A'!IS28=1,"入る枠がありません",""),INDEX('計算A'!$D$8:$EQ$8,'計算A'!IR28))</f>
        <v/>
      </c>
      <c r="S23" s="52">
        <f>HYPERLINK("#'×入力'!B509","×入力へ")</f>
        <v/>
      </c>
    </row>
    <row r="24" ht="19" customHeight="1">
      <c r="A24" s="50" t="n"/>
      <c r="B24" s="51" t="n"/>
      <c r="C24" s="50" t="n"/>
      <c r="D24" s="51" t="n"/>
      <c r="E24" s="50" t="n"/>
      <c r="F24" s="50" t="n"/>
      <c r="G24" s="50" t="n"/>
      <c r="H24" s="50" t="n"/>
      <c r="I24" s="41">
        <f>IF(B24="","",IF(COUNTIF($B$5:$B$49,B24)&gt;1,IF(A24="","",A24&amp;" ")&amp;B24,B24))</f>
        <v/>
      </c>
      <c r="J24" s="39">
        <f>IF(B24="","",IF('×入力'!F537="未提出","未提出",IF(K24&gt;0,"入力済み",IF('×入力'!F537="×なし（どこでもOK）","×なし","未入力"))))</f>
        <v/>
      </c>
      <c r="K24" s="39">
        <f>IF(B24="","",'計算A'!IN29)</f>
        <v/>
      </c>
      <c r="L24" s="39">
        <f>IF(OR(J24="入力済み",J24="×なし"),'計算A'!IM29,"")</f>
        <v/>
      </c>
      <c r="M24" s="39">
        <f>IF('計算A'!C29=1,COUNTIFS('計算A'!$C$10:$C$54,1,'計算A'!$IM$10:$IM$54,"&lt;"&amp;'計算A'!IM29)+1,"")</f>
        <v/>
      </c>
      <c r="N24" s="41">
        <f>IF('計算A'!IO29=0,"",INDEX('設定'!$E$11:$E$16,INDEX('計算A'!$D$2:$EQ$2,'計算A'!IO29)))</f>
        <v/>
      </c>
      <c r="O24" s="39">
        <f>IF('計算A'!IO29=0,"",INDEX('設定'!$I$11:$I$34,INDEX('計算A'!$D$3:$EQ$3,'計算A'!IO29)))</f>
        <v/>
      </c>
      <c r="P24" s="41">
        <f>IF(I24="","",IF('計算A'!IT29&lt;0,"兄弟の日付・時刻が表にありません",IF(COUNTIF('調整・決定'!$C$6:$H$29,I24)&gt;1,"2か所以上に入っています",IF('計算A'!IO29&gt;0,IF(INDEX('計算A'!$D$4:$EQ$4,'計算A'!IO29)=0,"使えない枠に入っています",IF(INDEX('計算A'!$D$29:$EQ$29,'計算A'!IO29)=1,"×の枠に入っています",IF('計算A'!IV29=0,"（出来れば）兄弟の前後ではありません",IF(AND(RIGHT(H24,4)="空けたい",INDEX('計算A'!$D$106:$EQ$106,'計算A'!IO29)=1,INDEX('計算A'!$D$109:$EQ$109,'計算A'!IO29+1)=1),IF(H24="必ず空けたい","後ろの枠が空いていません","（出来れば）後ろが空いていません"),IF(AND(H24="空けない",INDEX('計算A'!$D$106:$EQ$106,'計算A'!IO29)=1,INDEX('計算A'!$D$109:$EQ$109,'計算A'!IO29+1)=0),"（出来れば）すぐ後が空いています",""))))),IF(OR(J24="入力済み",J24="×なし"),"未決定","")))))</f>
        <v/>
      </c>
      <c r="Q24" s="41">
        <f>IF('計算A'!IK29=0,IF('計算A'!IL29=1,"入る枠がありません",""),INDEX('計算A'!$D$8:$EQ$8,'計算A'!IK29))</f>
        <v/>
      </c>
      <c r="R24" s="41">
        <f>IF('計算A'!IR29=0,IF('計算A'!IS29=1,"入る枠がありません",""),INDEX('計算A'!$D$8:$EQ$8,'計算A'!IR29))</f>
        <v/>
      </c>
      <c r="S24" s="52">
        <f>HYPERLINK("#'×入力'!B537","×入力へ")</f>
        <v/>
      </c>
    </row>
    <row r="25" ht="19" customHeight="1">
      <c r="A25" s="50" t="n"/>
      <c r="B25" s="51" t="n"/>
      <c r="C25" s="50" t="n"/>
      <c r="D25" s="51" t="n"/>
      <c r="E25" s="50" t="n"/>
      <c r="F25" s="50" t="n"/>
      <c r="G25" s="50" t="n"/>
      <c r="H25" s="50" t="n"/>
      <c r="I25" s="41">
        <f>IF(B25="","",IF(COUNTIF($B$5:$B$49,B25)&gt;1,IF(A25="","",A25&amp;" ")&amp;B25,B25))</f>
        <v/>
      </c>
      <c r="J25" s="39">
        <f>IF(B25="","",IF('×入力'!F565="未提出","未提出",IF(K25&gt;0,"入力済み",IF('×入力'!F565="×なし（どこでもOK）","×なし","未入力"))))</f>
        <v/>
      </c>
      <c r="K25" s="39">
        <f>IF(B25="","",'計算A'!IN30)</f>
        <v/>
      </c>
      <c r="L25" s="39">
        <f>IF(OR(J25="入力済み",J25="×なし"),'計算A'!IM30,"")</f>
        <v/>
      </c>
      <c r="M25" s="39">
        <f>IF('計算A'!C30=1,COUNTIFS('計算A'!$C$10:$C$54,1,'計算A'!$IM$10:$IM$54,"&lt;"&amp;'計算A'!IM30)+1,"")</f>
        <v/>
      </c>
      <c r="N25" s="41">
        <f>IF('計算A'!IO30=0,"",INDEX('設定'!$E$11:$E$16,INDEX('計算A'!$D$2:$EQ$2,'計算A'!IO30)))</f>
        <v/>
      </c>
      <c r="O25" s="39">
        <f>IF('計算A'!IO30=0,"",INDEX('設定'!$I$11:$I$34,INDEX('計算A'!$D$3:$EQ$3,'計算A'!IO30)))</f>
        <v/>
      </c>
      <c r="P25" s="41">
        <f>IF(I25="","",IF('計算A'!IT30&lt;0,"兄弟の日付・時刻が表にありません",IF(COUNTIF('調整・決定'!$C$6:$H$29,I25)&gt;1,"2か所以上に入っています",IF('計算A'!IO30&gt;0,IF(INDEX('計算A'!$D$4:$EQ$4,'計算A'!IO30)=0,"使えない枠に入っています",IF(INDEX('計算A'!$D$30:$EQ$30,'計算A'!IO30)=1,"×の枠に入っています",IF('計算A'!IV30=0,"（出来れば）兄弟の前後ではありません",IF(AND(RIGHT(H25,4)="空けたい",INDEX('計算A'!$D$106:$EQ$106,'計算A'!IO30)=1,INDEX('計算A'!$D$109:$EQ$109,'計算A'!IO30+1)=1),IF(H25="必ず空けたい","後ろの枠が空いていません","（出来れば）後ろが空いていません"),IF(AND(H25="空けない",INDEX('計算A'!$D$106:$EQ$106,'計算A'!IO30)=1,INDEX('計算A'!$D$109:$EQ$109,'計算A'!IO30+1)=0),"（出来れば）すぐ後が空いています",""))))),IF(OR(J25="入力済み",J25="×なし"),"未決定","")))))</f>
        <v/>
      </c>
      <c r="Q25" s="41">
        <f>IF('計算A'!IK30=0,IF('計算A'!IL30=1,"入る枠がありません",""),INDEX('計算A'!$D$8:$EQ$8,'計算A'!IK30))</f>
        <v/>
      </c>
      <c r="R25" s="41">
        <f>IF('計算A'!IR30=0,IF('計算A'!IS30=1,"入る枠がありません",""),INDEX('計算A'!$D$8:$EQ$8,'計算A'!IR30))</f>
        <v/>
      </c>
      <c r="S25" s="52">
        <f>HYPERLINK("#'×入力'!B565","×入力へ")</f>
        <v/>
      </c>
    </row>
    <row r="26" ht="19" customHeight="1">
      <c r="A26" s="50" t="n"/>
      <c r="B26" s="51" t="n"/>
      <c r="C26" s="50" t="n"/>
      <c r="D26" s="51" t="n"/>
      <c r="E26" s="50" t="n"/>
      <c r="F26" s="50" t="n"/>
      <c r="G26" s="50" t="n"/>
      <c r="H26" s="50" t="n"/>
      <c r="I26" s="41">
        <f>IF(B26="","",IF(COUNTIF($B$5:$B$49,B26)&gt;1,IF(A26="","",A26&amp;" ")&amp;B26,B26))</f>
        <v/>
      </c>
      <c r="J26" s="39">
        <f>IF(B26="","",IF('×入力'!F593="未提出","未提出",IF(K26&gt;0,"入力済み",IF('×入力'!F593="×なし（どこでもOK）","×なし","未入力"))))</f>
        <v/>
      </c>
      <c r="K26" s="39">
        <f>IF(B26="","",'計算A'!IN31)</f>
        <v/>
      </c>
      <c r="L26" s="39">
        <f>IF(OR(J26="入力済み",J26="×なし"),'計算A'!IM31,"")</f>
        <v/>
      </c>
      <c r="M26" s="39">
        <f>IF('計算A'!C31=1,COUNTIFS('計算A'!$C$10:$C$54,1,'計算A'!$IM$10:$IM$54,"&lt;"&amp;'計算A'!IM31)+1,"")</f>
        <v/>
      </c>
      <c r="N26" s="41">
        <f>IF('計算A'!IO31=0,"",INDEX('設定'!$E$11:$E$16,INDEX('計算A'!$D$2:$EQ$2,'計算A'!IO31)))</f>
        <v/>
      </c>
      <c r="O26" s="39">
        <f>IF('計算A'!IO31=0,"",INDEX('設定'!$I$11:$I$34,INDEX('計算A'!$D$3:$EQ$3,'計算A'!IO31)))</f>
        <v/>
      </c>
      <c r="P26" s="41">
        <f>IF(I26="","",IF('計算A'!IT31&lt;0,"兄弟の日付・時刻が表にありません",IF(COUNTIF('調整・決定'!$C$6:$H$29,I26)&gt;1,"2か所以上に入っています",IF('計算A'!IO31&gt;0,IF(INDEX('計算A'!$D$4:$EQ$4,'計算A'!IO31)=0,"使えない枠に入っています",IF(INDEX('計算A'!$D$31:$EQ$31,'計算A'!IO31)=1,"×の枠に入っています",IF('計算A'!IV31=0,"（出来れば）兄弟の前後ではありません",IF(AND(RIGHT(H26,4)="空けたい",INDEX('計算A'!$D$106:$EQ$106,'計算A'!IO31)=1,INDEX('計算A'!$D$109:$EQ$109,'計算A'!IO31+1)=1),IF(H26="必ず空けたい","後ろの枠が空いていません","（出来れば）後ろが空いていません"),IF(AND(H26="空けない",INDEX('計算A'!$D$106:$EQ$106,'計算A'!IO31)=1,INDEX('計算A'!$D$109:$EQ$109,'計算A'!IO31+1)=0),"（出来れば）すぐ後が空いています",""))))),IF(OR(J26="入力済み",J26="×なし"),"未決定","")))))</f>
        <v/>
      </c>
      <c r="Q26" s="41">
        <f>IF('計算A'!IK31=0,IF('計算A'!IL31=1,"入る枠がありません",""),INDEX('計算A'!$D$8:$EQ$8,'計算A'!IK31))</f>
        <v/>
      </c>
      <c r="R26" s="41">
        <f>IF('計算A'!IR31=0,IF('計算A'!IS31=1,"入る枠がありません",""),INDEX('計算A'!$D$8:$EQ$8,'計算A'!IR31))</f>
        <v/>
      </c>
      <c r="S26" s="52">
        <f>HYPERLINK("#'×入力'!B593","×入力へ")</f>
        <v/>
      </c>
    </row>
    <row r="27" ht="19" customHeight="1">
      <c r="A27" s="50" t="n"/>
      <c r="B27" s="51" t="n"/>
      <c r="C27" s="50" t="n"/>
      <c r="D27" s="51" t="n"/>
      <c r="E27" s="50" t="n"/>
      <c r="F27" s="50" t="n"/>
      <c r="G27" s="50" t="n"/>
      <c r="H27" s="50" t="n"/>
      <c r="I27" s="41">
        <f>IF(B27="","",IF(COUNTIF($B$5:$B$49,B27)&gt;1,IF(A27="","",A27&amp;" ")&amp;B27,B27))</f>
        <v/>
      </c>
      <c r="J27" s="39">
        <f>IF(B27="","",IF('×入力'!F621="未提出","未提出",IF(K27&gt;0,"入力済み",IF('×入力'!F621="×なし（どこでもOK）","×なし","未入力"))))</f>
        <v/>
      </c>
      <c r="K27" s="39">
        <f>IF(B27="","",'計算A'!IN32)</f>
        <v/>
      </c>
      <c r="L27" s="39">
        <f>IF(OR(J27="入力済み",J27="×なし"),'計算A'!IM32,"")</f>
        <v/>
      </c>
      <c r="M27" s="39">
        <f>IF('計算A'!C32=1,COUNTIFS('計算A'!$C$10:$C$54,1,'計算A'!$IM$10:$IM$54,"&lt;"&amp;'計算A'!IM32)+1,"")</f>
        <v/>
      </c>
      <c r="N27" s="41">
        <f>IF('計算A'!IO32=0,"",INDEX('設定'!$E$11:$E$16,INDEX('計算A'!$D$2:$EQ$2,'計算A'!IO32)))</f>
        <v/>
      </c>
      <c r="O27" s="39">
        <f>IF('計算A'!IO32=0,"",INDEX('設定'!$I$11:$I$34,INDEX('計算A'!$D$3:$EQ$3,'計算A'!IO32)))</f>
        <v/>
      </c>
      <c r="P27" s="41">
        <f>IF(I27="","",IF('計算A'!IT32&lt;0,"兄弟の日付・時刻が表にありません",IF(COUNTIF('調整・決定'!$C$6:$H$29,I27)&gt;1,"2か所以上に入っています",IF('計算A'!IO32&gt;0,IF(INDEX('計算A'!$D$4:$EQ$4,'計算A'!IO32)=0,"使えない枠に入っています",IF(INDEX('計算A'!$D$32:$EQ$32,'計算A'!IO32)=1,"×の枠に入っています",IF('計算A'!IV32=0,"（出来れば）兄弟の前後ではありません",IF(AND(RIGHT(H27,4)="空けたい",INDEX('計算A'!$D$106:$EQ$106,'計算A'!IO32)=1,INDEX('計算A'!$D$109:$EQ$109,'計算A'!IO32+1)=1),IF(H27="必ず空けたい","後ろの枠が空いていません","（出来れば）後ろが空いていません"),IF(AND(H27="空けない",INDEX('計算A'!$D$106:$EQ$106,'計算A'!IO32)=1,INDEX('計算A'!$D$109:$EQ$109,'計算A'!IO32+1)=0),"（出来れば）すぐ後が空いています",""))))),IF(OR(J27="入力済み",J27="×なし"),"未決定","")))))</f>
        <v/>
      </c>
      <c r="Q27" s="41">
        <f>IF('計算A'!IK32=0,IF('計算A'!IL32=1,"入る枠がありません",""),INDEX('計算A'!$D$8:$EQ$8,'計算A'!IK32))</f>
        <v/>
      </c>
      <c r="R27" s="41">
        <f>IF('計算A'!IR32=0,IF('計算A'!IS32=1,"入る枠がありません",""),INDEX('計算A'!$D$8:$EQ$8,'計算A'!IR32))</f>
        <v/>
      </c>
      <c r="S27" s="52">
        <f>HYPERLINK("#'×入力'!B621","×入力へ")</f>
        <v/>
      </c>
    </row>
    <row r="28" ht="19" customHeight="1">
      <c r="A28" s="50" t="n"/>
      <c r="B28" s="51" t="n"/>
      <c r="C28" s="50" t="n"/>
      <c r="D28" s="51" t="n"/>
      <c r="E28" s="50" t="n"/>
      <c r="F28" s="50" t="n"/>
      <c r="G28" s="50" t="n"/>
      <c r="H28" s="50" t="n"/>
      <c r="I28" s="41">
        <f>IF(B28="","",IF(COUNTIF($B$5:$B$49,B28)&gt;1,IF(A28="","",A28&amp;" ")&amp;B28,B28))</f>
        <v/>
      </c>
      <c r="J28" s="39">
        <f>IF(B28="","",IF('×入力'!F649="未提出","未提出",IF(K28&gt;0,"入力済み",IF('×入力'!F649="×なし（どこでもOK）","×なし","未入力"))))</f>
        <v/>
      </c>
      <c r="K28" s="39">
        <f>IF(B28="","",'計算A'!IN33)</f>
        <v/>
      </c>
      <c r="L28" s="39">
        <f>IF(OR(J28="入力済み",J28="×なし"),'計算A'!IM33,"")</f>
        <v/>
      </c>
      <c r="M28" s="39">
        <f>IF('計算A'!C33=1,COUNTIFS('計算A'!$C$10:$C$54,1,'計算A'!$IM$10:$IM$54,"&lt;"&amp;'計算A'!IM33)+1,"")</f>
        <v/>
      </c>
      <c r="N28" s="41">
        <f>IF('計算A'!IO33=0,"",INDEX('設定'!$E$11:$E$16,INDEX('計算A'!$D$2:$EQ$2,'計算A'!IO33)))</f>
        <v/>
      </c>
      <c r="O28" s="39">
        <f>IF('計算A'!IO33=0,"",INDEX('設定'!$I$11:$I$34,INDEX('計算A'!$D$3:$EQ$3,'計算A'!IO33)))</f>
        <v/>
      </c>
      <c r="P28" s="41">
        <f>IF(I28="","",IF('計算A'!IT33&lt;0,"兄弟の日付・時刻が表にありません",IF(COUNTIF('調整・決定'!$C$6:$H$29,I28)&gt;1,"2か所以上に入っています",IF('計算A'!IO33&gt;0,IF(INDEX('計算A'!$D$4:$EQ$4,'計算A'!IO33)=0,"使えない枠に入っています",IF(INDEX('計算A'!$D$33:$EQ$33,'計算A'!IO33)=1,"×の枠に入っています",IF('計算A'!IV33=0,"（出来れば）兄弟の前後ではありません",IF(AND(RIGHT(H28,4)="空けたい",INDEX('計算A'!$D$106:$EQ$106,'計算A'!IO33)=1,INDEX('計算A'!$D$109:$EQ$109,'計算A'!IO33+1)=1),IF(H28="必ず空けたい","後ろの枠が空いていません","（出来れば）後ろが空いていません"),IF(AND(H28="空けない",INDEX('計算A'!$D$106:$EQ$106,'計算A'!IO33)=1,INDEX('計算A'!$D$109:$EQ$109,'計算A'!IO33+1)=0),"（出来れば）すぐ後が空いています",""))))),IF(OR(J28="入力済み",J28="×なし"),"未決定","")))))</f>
        <v/>
      </c>
      <c r="Q28" s="41">
        <f>IF('計算A'!IK33=0,IF('計算A'!IL33=1,"入る枠がありません",""),INDEX('計算A'!$D$8:$EQ$8,'計算A'!IK33))</f>
        <v/>
      </c>
      <c r="R28" s="41">
        <f>IF('計算A'!IR33=0,IF('計算A'!IS33=1,"入る枠がありません",""),INDEX('計算A'!$D$8:$EQ$8,'計算A'!IR33))</f>
        <v/>
      </c>
      <c r="S28" s="52">
        <f>HYPERLINK("#'×入力'!B649","×入力へ")</f>
        <v/>
      </c>
    </row>
    <row r="29" ht="19" customHeight="1">
      <c r="A29" s="50" t="n"/>
      <c r="B29" s="51" t="n"/>
      <c r="C29" s="50" t="n"/>
      <c r="D29" s="51" t="n"/>
      <c r="E29" s="50" t="n"/>
      <c r="F29" s="50" t="n"/>
      <c r="G29" s="50" t="n"/>
      <c r="H29" s="50" t="n"/>
      <c r="I29" s="41">
        <f>IF(B29="","",IF(COUNTIF($B$5:$B$49,B29)&gt;1,IF(A29="","",A29&amp;" ")&amp;B29,B29))</f>
        <v/>
      </c>
      <c r="J29" s="39">
        <f>IF(B29="","",IF('×入力'!F677="未提出","未提出",IF(K29&gt;0,"入力済み",IF('×入力'!F677="×なし（どこでもOK）","×なし","未入力"))))</f>
        <v/>
      </c>
      <c r="K29" s="39">
        <f>IF(B29="","",'計算A'!IN34)</f>
        <v/>
      </c>
      <c r="L29" s="39">
        <f>IF(OR(J29="入力済み",J29="×なし"),'計算A'!IM34,"")</f>
        <v/>
      </c>
      <c r="M29" s="39">
        <f>IF('計算A'!C34=1,COUNTIFS('計算A'!$C$10:$C$54,1,'計算A'!$IM$10:$IM$54,"&lt;"&amp;'計算A'!IM34)+1,"")</f>
        <v/>
      </c>
      <c r="N29" s="41">
        <f>IF('計算A'!IO34=0,"",INDEX('設定'!$E$11:$E$16,INDEX('計算A'!$D$2:$EQ$2,'計算A'!IO34)))</f>
        <v/>
      </c>
      <c r="O29" s="39">
        <f>IF('計算A'!IO34=0,"",INDEX('設定'!$I$11:$I$34,INDEX('計算A'!$D$3:$EQ$3,'計算A'!IO34)))</f>
        <v/>
      </c>
      <c r="P29" s="41">
        <f>IF(I29="","",IF('計算A'!IT34&lt;0,"兄弟の日付・時刻が表にありません",IF(COUNTIF('調整・決定'!$C$6:$H$29,I29)&gt;1,"2か所以上に入っています",IF('計算A'!IO34&gt;0,IF(INDEX('計算A'!$D$4:$EQ$4,'計算A'!IO34)=0,"使えない枠に入っています",IF(INDEX('計算A'!$D$34:$EQ$34,'計算A'!IO34)=1,"×の枠に入っています",IF('計算A'!IV34=0,"（出来れば）兄弟の前後ではありません",IF(AND(RIGHT(H29,4)="空けたい",INDEX('計算A'!$D$106:$EQ$106,'計算A'!IO34)=1,INDEX('計算A'!$D$109:$EQ$109,'計算A'!IO34+1)=1),IF(H29="必ず空けたい","後ろの枠が空いていません","（出来れば）後ろが空いていません"),IF(AND(H29="空けない",INDEX('計算A'!$D$106:$EQ$106,'計算A'!IO34)=1,INDEX('計算A'!$D$109:$EQ$109,'計算A'!IO34+1)=0),"（出来れば）すぐ後が空いています",""))))),IF(OR(J29="入力済み",J29="×なし"),"未決定","")))))</f>
        <v/>
      </c>
      <c r="Q29" s="41">
        <f>IF('計算A'!IK34=0,IF('計算A'!IL34=1,"入る枠がありません",""),INDEX('計算A'!$D$8:$EQ$8,'計算A'!IK34))</f>
        <v/>
      </c>
      <c r="R29" s="41">
        <f>IF('計算A'!IR34=0,IF('計算A'!IS34=1,"入る枠がありません",""),INDEX('計算A'!$D$8:$EQ$8,'計算A'!IR34))</f>
        <v/>
      </c>
      <c r="S29" s="52">
        <f>HYPERLINK("#'×入力'!B677","×入力へ")</f>
        <v/>
      </c>
    </row>
    <row r="30" ht="19" customHeight="1">
      <c r="A30" s="50" t="n"/>
      <c r="B30" s="51" t="n"/>
      <c r="C30" s="50" t="n"/>
      <c r="D30" s="51" t="n"/>
      <c r="E30" s="50" t="n"/>
      <c r="F30" s="50" t="n"/>
      <c r="G30" s="50" t="n"/>
      <c r="H30" s="50" t="n"/>
      <c r="I30" s="41">
        <f>IF(B30="","",IF(COUNTIF($B$5:$B$49,B30)&gt;1,IF(A30="","",A30&amp;" ")&amp;B30,B30))</f>
        <v/>
      </c>
      <c r="J30" s="39">
        <f>IF(B30="","",IF('×入力'!F705="未提出","未提出",IF(K30&gt;0,"入力済み",IF('×入力'!F705="×なし（どこでもOK）","×なし","未入力"))))</f>
        <v/>
      </c>
      <c r="K30" s="39">
        <f>IF(B30="","",'計算A'!IN35)</f>
        <v/>
      </c>
      <c r="L30" s="39">
        <f>IF(OR(J30="入力済み",J30="×なし"),'計算A'!IM35,"")</f>
        <v/>
      </c>
      <c r="M30" s="39">
        <f>IF('計算A'!C35=1,COUNTIFS('計算A'!$C$10:$C$54,1,'計算A'!$IM$10:$IM$54,"&lt;"&amp;'計算A'!IM35)+1,"")</f>
        <v/>
      </c>
      <c r="N30" s="41">
        <f>IF('計算A'!IO35=0,"",INDEX('設定'!$E$11:$E$16,INDEX('計算A'!$D$2:$EQ$2,'計算A'!IO35)))</f>
        <v/>
      </c>
      <c r="O30" s="39">
        <f>IF('計算A'!IO35=0,"",INDEX('設定'!$I$11:$I$34,INDEX('計算A'!$D$3:$EQ$3,'計算A'!IO35)))</f>
        <v/>
      </c>
      <c r="P30" s="41">
        <f>IF(I30="","",IF('計算A'!IT35&lt;0,"兄弟の日付・時刻が表にありません",IF(COUNTIF('調整・決定'!$C$6:$H$29,I30)&gt;1,"2か所以上に入っています",IF('計算A'!IO35&gt;0,IF(INDEX('計算A'!$D$4:$EQ$4,'計算A'!IO35)=0,"使えない枠に入っています",IF(INDEX('計算A'!$D$35:$EQ$35,'計算A'!IO35)=1,"×の枠に入っています",IF('計算A'!IV35=0,"（出来れば）兄弟の前後ではありません",IF(AND(RIGHT(H30,4)="空けたい",INDEX('計算A'!$D$106:$EQ$106,'計算A'!IO35)=1,INDEX('計算A'!$D$109:$EQ$109,'計算A'!IO35+1)=1),IF(H30="必ず空けたい","後ろの枠が空いていません","（出来れば）後ろが空いていません"),IF(AND(H30="空けない",INDEX('計算A'!$D$106:$EQ$106,'計算A'!IO35)=1,INDEX('計算A'!$D$109:$EQ$109,'計算A'!IO35+1)=0),"（出来れば）すぐ後が空いています",""))))),IF(OR(J30="入力済み",J30="×なし"),"未決定","")))))</f>
        <v/>
      </c>
      <c r="Q30" s="41">
        <f>IF('計算A'!IK35=0,IF('計算A'!IL35=1,"入る枠がありません",""),INDEX('計算A'!$D$8:$EQ$8,'計算A'!IK35))</f>
        <v/>
      </c>
      <c r="R30" s="41">
        <f>IF('計算A'!IR35=0,IF('計算A'!IS35=1,"入る枠がありません",""),INDEX('計算A'!$D$8:$EQ$8,'計算A'!IR35))</f>
        <v/>
      </c>
      <c r="S30" s="52">
        <f>HYPERLINK("#'×入力'!B705","×入力へ")</f>
        <v/>
      </c>
    </row>
    <row r="31" ht="19" customHeight="1">
      <c r="A31" s="50" t="n"/>
      <c r="B31" s="51" t="n"/>
      <c r="C31" s="50" t="n"/>
      <c r="D31" s="51" t="n"/>
      <c r="E31" s="50" t="n"/>
      <c r="F31" s="50" t="n"/>
      <c r="G31" s="50" t="n"/>
      <c r="H31" s="50" t="n"/>
      <c r="I31" s="41">
        <f>IF(B31="","",IF(COUNTIF($B$5:$B$49,B31)&gt;1,IF(A31="","",A31&amp;" ")&amp;B31,B31))</f>
        <v/>
      </c>
      <c r="J31" s="39">
        <f>IF(B31="","",IF('×入力'!F733="未提出","未提出",IF(K31&gt;0,"入力済み",IF('×入力'!F733="×なし（どこでもOK）","×なし","未入力"))))</f>
        <v/>
      </c>
      <c r="K31" s="39">
        <f>IF(B31="","",'計算A'!IN36)</f>
        <v/>
      </c>
      <c r="L31" s="39">
        <f>IF(OR(J31="入力済み",J31="×なし"),'計算A'!IM36,"")</f>
        <v/>
      </c>
      <c r="M31" s="39">
        <f>IF('計算A'!C36=1,COUNTIFS('計算A'!$C$10:$C$54,1,'計算A'!$IM$10:$IM$54,"&lt;"&amp;'計算A'!IM36)+1,"")</f>
        <v/>
      </c>
      <c r="N31" s="41">
        <f>IF('計算A'!IO36=0,"",INDEX('設定'!$E$11:$E$16,INDEX('計算A'!$D$2:$EQ$2,'計算A'!IO36)))</f>
        <v/>
      </c>
      <c r="O31" s="39">
        <f>IF('計算A'!IO36=0,"",INDEX('設定'!$I$11:$I$34,INDEX('計算A'!$D$3:$EQ$3,'計算A'!IO36)))</f>
        <v/>
      </c>
      <c r="P31" s="41">
        <f>IF(I31="","",IF('計算A'!IT36&lt;0,"兄弟の日付・時刻が表にありません",IF(COUNTIF('調整・決定'!$C$6:$H$29,I31)&gt;1,"2か所以上に入っています",IF('計算A'!IO36&gt;0,IF(INDEX('計算A'!$D$4:$EQ$4,'計算A'!IO36)=0,"使えない枠に入っています",IF(INDEX('計算A'!$D$36:$EQ$36,'計算A'!IO36)=1,"×の枠に入っています",IF('計算A'!IV36=0,"（出来れば）兄弟の前後ではありません",IF(AND(RIGHT(H31,4)="空けたい",INDEX('計算A'!$D$106:$EQ$106,'計算A'!IO36)=1,INDEX('計算A'!$D$109:$EQ$109,'計算A'!IO36+1)=1),IF(H31="必ず空けたい","後ろの枠が空いていません","（出来れば）後ろが空いていません"),IF(AND(H31="空けない",INDEX('計算A'!$D$106:$EQ$106,'計算A'!IO36)=1,INDEX('計算A'!$D$109:$EQ$109,'計算A'!IO36+1)=0),"（出来れば）すぐ後が空いています",""))))),IF(OR(J31="入力済み",J31="×なし"),"未決定","")))))</f>
        <v/>
      </c>
      <c r="Q31" s="41">
        <f>IF('計算A'!IK36=0,IF('計算A'!IL36=1,"入る枠がありません",""),INDEX('計算A'!$D$8:$EQ$8,'計算A'!IK36))</f>
        <v/>
      </c>
      <c r="R31" s="41">
        <f>IF('計算A'!IR36=0,IF('計算A'!IS36=1,"入る枠がありません",""),INDEX('計算A'!$D$8:$EQ$8,'計算A'!IR36))</f>
        <v/>
      </c>
      <c r="S31" s="52">
        <f>HYPERLINK("#'×入力'!B733","×入力へ")</f>
        <v/>
      </c>
    </row>
    <row r="32" ht="19" customHeight="1">
      <c r="A32" s="50" t="n"/>
      <c r="B32" s="51" t="n"/>
      <c r="C32" s="50" t="n"/>
      <c r="D32" s="51" t="n"/>
      <c r="E32" s="50" t="n"/>
      <c r="F32" s="50" t="n"/>
      <c r="G32" s="50" t="n"/>
      <c r="H32" s="50" t="n"/>
      <c r="I32" s="41">
        <f>IF(B32="","",IF(COUNTIF($B$5:$B$49,B32)&gt;1,IF(A32="","",A32&amp;" ")&amp;B32,B32))</f>
        <v/>
      </c>
      <c r="J32" s="39">
        <f>IF(B32="","",IF('×入力'!F761="未提出","未提出",IF(K32&gt;0,"入力済み",IF('×入力'!F761="×なし（どこでもOK）","×なし","未入力"))))</f>
        <v/>
      </c>
      <c r="K32" s="39">
        <f>IF(B32="","",'計算A'!IN37)</f>
        <v/>
      </c>
      <c r="L32" s="39">
        <f>IF(OR(J32="入力済み",J32="×なし"),'計算A'!IM37,"")</f>
        <v/>
      </c>
      <c r="M32" s="39">
        <f>IF('計算A'!C37=1,COUNTIFS('計算A'!$C$10:$C$54,1,'計算A'!$IM$10:$IM$54,"&lt;"&amp;'計算A'!IM37)+1,"")</f>
        <v/>
      </c>
      <c r="N32" s="41">
        <f>IF('計算A'!IO37=0,"",INDEX('設定'!$E$11:$E$16,INDEX('計算A'!$D$2:$EQ$2,'計算A'!IO37)))</f>
        <v/>
      </c>
      <c r="O32" s="39">
        <f>IF('計算A'!IO37=0,"",INDEX('設定'!$I$11:$I$34,INDEX('計算A'!$D$3:$EQ$3,'計算A'!IO37)))</f>
        <v/>
      </c>
      <c r="P32" s="41">
        <f>IF(I32="","",IF('計算A'!IT37&lt;0,"兄弟の日付・時刻が表にありません",IF(COUNTIF('調整・決定'!$C$6:$H$29,I32)&gt;1,"2か所以上に入っています",IF('計算A'!IO37&gt;0,IF(INDEX('計算A'!$D$4:$EQ$4,'計算A'!IO37)=0,"使えない枠に入っています",IF(INDEX('計算A'!$D$37:$EQ$37,'計算A'!IO37)=1,"×の枠に入っています",IF('計算A'!IV37=0,"（出来れば）兄弟の前後ではありません",IF(AND(RIGHT(H32,4)="空けたい",INDEX('計算A'!$D$106:$EQ$106,'計算A'!IO37)=1,INDEX('計算A'!$D$109:$EQ$109,'計算A'!IO37+1)=1),IF(H32="必ず空けたい","後ろの枠が空いていません","（出来れば）後ろが空いていません"),IF(AND(H32="空けない",INDEX('計算A'!$D$106:$EQ$106,'計算A'!IO37)=1,INDEX('計算A'!$D$109:$EQ$109,'計算A'!IO37+1)=0),"（出来れば）すぐ後が空いています",""))))),IF(OR(J32="入力済み",J32="×なし"),"未決定","")))))</f>
        <v/>
      </c>
      <c r="Q32" s="41">
        <f>IF('計算A'!IK37=0,IF('計算A'!IL37=1,"入る枠がありません",""),INDEX('計算A'!$D$8:$EQ$8,'計算A'!IK37))</f>
        <v/>
      </c>
      <c r="R32" s="41">
        <f>IF('計算A'!IR37=0,IF('計算A'!IS37=1,"入る枠がありません",""),INDEX('計算A'!$D$8:$EQ$8,'計算A'!IR37))</f>
        <v/>
      </c>
      <c r="S32" s="52">
        <f>HYPERLINK("#'×入力'!B761","×入力へ")</f>
        <v/>
      </c>
    </row>
    <row r="33" ht="19" customHeight="1">
      <c r="A33" s="50" t="n"/>
      <c r="B33" s="51" t="n"/>
      <c r="C33" s="50" t="n"/>
      <c r="D33" s="51" t="n"/>
      <c r="E33" s="50" t="n"/>
      <c r="F33" s="50" t="n"/>
      <c r="G33" s="50" t="n"/>
      <c r="H33" s="50" t="n"/>
      <c r="I33" s="41">
        <f>IF(B33="","",IF(COUNTIF($B$5:$B$49,B33)&gt;1,IF(A33="","",A33&amp;" ")&amp;B33,B33))</f>
        <v/>
      </c>
      <c r="J33" s="39">
        <f>IF(B33="","",IF('×入力'!F789="未提出","未提出",IF(K33&gt;0,"入力済み",IF('×入力'!F789="×なし（どこでもOK）","×なし","未入力"))))</f>
        <v/>
      </c>
      <c r="K33" s="39">
        <f>IF(B33="","",'計算A'!IN38)</f>
        <v/>
      </c>
      <c r="L33" s="39">
        <f>IF(OR(J33="入力済み",J33="×なし"),'計算A'!IM38,"")</f>
        <v/>
      </c>
      <c r="M33" s="39">
        <f>IF('計算A'!C38=1,COUNTIFS('計算A'!$C$10:$C$54,1,'計算A'!$IM$10:$IM$54,"&lt;"&amp;'計算A'!IM38)+1,"")</f>
        <v/>
      </c>
      <c r="N33" s="41">
        <f>IF('計算A'!IO38=0,"",INDEX('設定'!$E$11:$E$16,INDEX('計算A'!$D$2:$EQ$2,'計算A'!IO38)))</f>
        <v/>
      </c>
      <c r="O33" s="39">
        <f>IF('計算A'!IO38=0,"",INDEX('設定'!$I$11:$I$34,INDEX('計算A'!$D$3:$EQ$3,'計算A'!IO38)))</f>
        <v/>
      </c>
      <c r="P33" s="41">
        <f>IF(I33="","",IF('計算A'!IT38&lt;0,"兄弟の日付・時刻が表にありません",IF(COUNTIF('調整・決定'!$C$6:$H$29,I33)&gt;1,"2か所以上に入っています",IF('計算A'!IO38&gt;0,IF(INDEX('計算A'!$D$4:$EQ$4,'計算A'!IO38)=0,"使えない枠に入っています",IF(INDEX('計算A'!$D$38:$EQ$38,'計算A'!IO38)=1,"×の枠に入っています",IF('計算A'!IV38=0,"（出来れば）兄弟の前後ではありません",IF(AND(RIGHT(H33,4)="空けたい",INDEX('計算A'!$D$106:$EQ$106,'計算A'!IO38)=1,INDEX('計算A'!$D$109:$EQ$109,'計算A'!IO38+1)=1),IF(H33="必ず空けたい","後ろの枠が空いていません","（出来れば）後ろが空いていません"),IF(AND(H33="空けない",INDEX('計算A'!$D$106:$EQ$106,'計算A'!IO38)=1,INDEX('計算A'!$D$109:$EQ$109,'計算A'!IO38+1)=0),"（出来れば）すぐ後が空いています",""))))),IF(OR(J33="入力済み",J33="×なし"),"未決定","")))))</f>
        <v/>
      </c>
      <c r="Q33" s="41">
        <f>IF('計算A'!IK38=0,IF('計算A'!IL38=1,"入る枠がありません",""),INDEX('計算A'!$D$8:$EQ$8,'計算A'!IK38))</f>
        <v/>
      </c>
      <c r="R33" s="41">
        <f>IF('計算A'!IR38=0,IF('計算A'!IS38=1,"入る枠がありません",""),INDEX('計算A'!$D$8:$EQ$8,'計算A'!IR38))</f>
        <v/>
      </c>
      <c r="S33" s="52">
        <f>HYPERLINK("#'×入力'!B789","×入力へ")</f>
        <v/>
      </c>
    </row>
    <row r="34" ht="19" customHeight="1">
      <c r="A34" s="50" t="n"/>
      <c r="B34" s="51" t="n"/>
      <c r="C34" s="50" t="n"/>
      <c r="D34" s="51" t="n"/>
      <c r="E34" s="50" t="n"/>
      <c r="F34" s="50" t="n"/>
      <c r="G34" s="50" t="n"/>
      <c r="H34" s="50" t="n"/>
      <c r="I34" s="41">
        <f>IF(B34="","",IF(COUNTIF($B$5:$B$49,B34)&gt;1,IF(A34="","",A34&amp;" ")&amp;B34,B34))</f>
        <v/>
      </c>
      <c r="J34" s="39">
        <f>IF(B34="","",IF('×入力'!F817="未提出","未提出",IF(K34&gt;0,"入力済み",IF('×入力'!F817="×なし（どこでもOK）","×なし","未入力"))))</f>
        <v/>
      </c>
      <c r="K34" s="39">
        <f>IF(B34="","",'計算A'!IN39)</f>
        <v/>
      </c>
      <c r="L34" s="39">
        <f>IF(OR(J34="入力済み",J34="×なし"),'計算A'!IM39,"")</f>
        <v/>
      </c>
      <c r="M34" s="39">
        <f>IF('計算A'!C39=1,COUNTIFS('計算A'!$C$10:$C$54,1,'計算A'!$IM$10:$IM$54,"&lt;"&amp;'計算A'!IM39)+1,"")</f>
        <v/>
      </c>
      <c r="N34" s="41">
        <f>IF('計算A'!IO39=0,"",INDEX('設定'!$E$11:$E$16,INDEX('計算A'!$D$2:$EQ$2,'計算A'!IO39)))</f>
        <v/>
      </c>
      <c r="O34" s="39">
        <f>IF('計算A'!IO39=0,"",INDEX('設定'!$I$11:$I$34,INDEX('計算A'!$D$3:$EQ$3,'計算A'!IO39)))</f>
        <v/>
      </c>
      <c r="P34" s="41">
        <f>IF(I34="","",IF('計算A'!IT39&lt;0,"兄弟の日付・時刻が表にありません",IF(COUNTIF('調整・決定'!$C$6:$H$29,I34)&gt;1,"2か所以上に入っています",IF('計算A'!IO39&gt;0,IF(INDEX('計算A'!$D$4:$EQ$4,'計算A'!IO39)=0,"使えない枠に入っています",IF(INDEX('計算A'!$D$39:$EQ$39,'計算A'!IO39)=1,"×の枠に入っています",IF('計算A'!IV39=0,"（出来れば）兄弟の前後ではありません",IF(AND(RIGHT(H34,4)="空けたい",INDEX('計算A'!$D$106:$EQ$106,'計算A'!IO39)=1,INDEX('計算A'!$D$109:$EQ$109,'計算A'!IO39+1)=1),IF(H34="必ず空けたい","後ろの枠が空いていません","（出来れば）後ろが空いていません"),IF(AND(H34="空けない",INDEX('計算A'!$D$106:$EQ$106,'計算A'!IO39)=1,INDEX('計算A'!$D$109:$EQ$109,'計算A'!IO39+1)=0),"（出来れば）すぐ後が空いています",""))))),IF(OR(J34="入力済み",J34="×なし"),"未決定","")))))</f>
        <v/>
      </c>
      <c r="Q34" s="41">
        <f>IF('計算A'!IK39=0,IF('計算A'!IL39=1,"入る枠がありません",""),INDEX('計算A'!$D$8:$EQ$8,'計算A'!IK39))</f>
        <v/>
      </c>
      <c r="R34" s="41">
        <f>IF('計算A'!IR39=0,IF('計算A'!IS39=1,"入る枠がありません",""),INDEX('計算A'!$D$8:$EQ$8,'計算A'!IR39))</f>
        <v/>
      </c>
      <c r="S34" s="52">
        <f>HYPERLINK("#'×入力'!B817","×入力へ")</f>
        <v/>
      </c>
    </row>
    <row r="35" ht="19" customHeight="1">
      <c r="A35" s="50" t="n"/>
      <c r="B35" s="51" t="n"/>
      <c r="C35" s="50" t="n"/>
      <c r="D35" s="51" t="n"/>
      <c r="E35" s="50" t="n"/>
      <c r="F35" s="50" t="n"/>
      <c r="G35" s="50" t="n"/>
      <c r="H35" s="50" t="n"/>
      <c r="I35" s="41">
        <f>IF(B35="","",IF(COUNTIF($B$5:$B$49,B35)&gt;1,IF(A35="","",A35&amp;" ")&amp;B35,B35))</f>
        <v/>
      </c>
      <c r="J35" s="39">
        <f>IF(B35="","",IF('×入力'!F845="未提出","未提出",IF(K35&gt;0,"入力済み",IF('×入力'!F845="×なし（どこでもOK）","×なし","未入力"))))</f>
        <v/>
      </c>
      <c r="K35" s="39">
        <f>IF(B35="","",'計算A'!IN40)</f>
        <v/>
      </c>
      <c r="L35" s="39">
        <f>IF(OR(J35="入力済み",J35="×なし"),'計算A'!IM40,"")</f>
        <v/>
      </c>
      <c r="M35" s="39">
        <f>IF('計算A'!C40=1,COUNTIFS('計算A'!$C$10:$C$54,1,'計算A'!$IM$10:$IM$54,"&lt;"&amp;'計算A'!IM40)+1,"")</f>
        <v/>
      </c>
      <c r="N35" s="41">
        <f>IF('計算A'!IO40=0,"",INDEX('設定'!$E$11:$E$16,INDEX('計算A'!$D$2:$EQ$2,'計算A'!IO40)))</f>
        <v/>
      </c>
      <c r="O35" s="39">
        <f>IF('計算A'!IO40=0,"",INDEX('設定'!$I$11:$I$34,INDEX('計算A'!$D$3:$EQ$3,'計算A'!IO40)))</f>
        <v/>
      </c>
      <c r="P35" s="41">
        <f>IF(I35="","",IF('計算A'!IT40&lt;0,"兄弟の日付・時刻が表にありません",IF(COUNTIF('調整・決定'!$C$6:$H$29,I35)&gt;1,"2か所以上に入っています",IF('計算A'!IO40&gt;0,IF(INDEX('計算A'!$D$4:$EQ$4,'計算A'!IO40)=0,"使えない枠に入っています",IF(INDEX('計算A'!$D$40:$EQ$40,'計算A'!IO40)=1,"×の枠に入っています",IF('計算A'!IV40=0,"（出来れば）兄弟の前後ではありません",IF(AND(RIGHT(H35,4)="空けたい",INDEX('計算A'!$D$106:$EQ$106,'計算A'!IO40)=1,INDEX('計算A'!$D$109:$EQ$109,'計算A'!IO40+1)=1),IF(H35="必ず空けたい","後ろの枠が空いていません","（出来れば）後ろが空いていません"),IF(AND(H35="空けない",INDEX('計算A'!$D$106:$EQ$106,'計算A'!IO40)=1,INDEX('計算A'!$D$109:$EQ$109,'計算A'!IO40+1)=0),"（出来れば）すぐ後が空いています",""))))),IF(OR(J35="入力済み",J35="×なし"),"未決定","")))))</f>
        <v/>
      </c>
      <c r="Q35" s="41">
        <f>IF('計算A'!IK40=0,IF('計算A'!IL40=1,"入る枠がありません",""),INDEX('計算A'!$D$8:$EQ$8,'計算A'!IK40))</f>
        <v/>
      </c>
      <c r="R35" s="41">
        <f>IF('計算A'!IR40=0,IF('計算A'!IS40=1,"入る枠がありません",""),INDEX('計算A'!$D$8:$EQ$8,'計算A'!IR40))</f>
        <v/>
      </c>
      <c r="S35" s="52">
        <f>HYPERLINK("#'×入力'!B845","×入力へ")</f>
        <v/>
      </c>
    </row>
    <row r="36" ht="19" customHeight="1">
      <c r="A36" s="50" t="n"/>
      <c r="B36" s="51" t="n"/>
      <c r="C36" s="50" t="n"/>
      <c r="D36" s="51" t="n"/>
      <c r="E36" s="50" t="n"/>
      <c r="F36" s="50" t="n"/>
      <c r="G36" s="50" t="n"/>
      <c r="H36" s="50" t="n"/>
      <c r="I36" s="41">
        <f>IF(B36="","",IF(COUNTIF($B$5:$B$49,B36)&gt;1,IF(A36="","",A36&amp;" ")&amp;B36,B36))</f>
        <v/>
      </c>
      <c r="J36" s="39">
        <f>IF(B36="","",IF('×入力'!F873="未提出","未提出",IF(K36&gt;0,"入力済み",IF('×入力'!F873="×なし（どこでもOK）","×なし","未入力"))))</f>
        <v/>
      </c>
      <c r="K36" s="39">
        <f>IF(B36="","",'計算A'!IN41)</f>
        <v/>
      </c>
      <c r="L36" s="39">
        <f>IF(OR(J36="入力済み",J36="×なし"),'計算A'!IM41,"")</f>
        <v/>
      </c>
      <c r="M36" s="39">
        <f>IF('計算A'!C41=1,COUNTIFS('計算A'!$C$10:$C$54,1,'計算A'!$IM$10:$IM$54,"&lt;"&amp;'計算A'!IM41)+1,"")</f>
        <v/>
      </c>
      <c r="N36" s="41">
        <f>IF('計算A'!IO41=0,"",INDEX('設定'!$E$11:$E$16,INDEX('計算A'!$D$2:$EQ$2,'計算A'!IO41)))</f>
        <v/>
      </c>
      <c r="O36" s="39">
        <f>IF('計算A'!IO41=0,"",INDEX('設定'!$I$11:$I$34,INDEX('計算A'!$D$3:$EQ$3,'計算A'!IO41)))</f>
        <v/>
      </c>
      <c r="P36" s="41">
        <f>IF(I36="","",IF('計算A'!IT41&lt;0,"兄弟の日付・時刻が表にありません",IF(COUNTIF('調整・決定'!$C$6:$H$29,I36)&gt;1,"2か所以上に入っています",IF('計算A'!IO41&gt;0,IF(INDEX('計算A'!$D$4:$EQ$4,'計算A'!IO41)=0,"使えない枠に入っています",IF(INDEX('計算A'!$D$41:$EQ$41,'計算A'!IO41)=1,"×の枠に入っています",IF('計算A'!IV41=0,"（出来れば）兄弟の前後ではありません",IF(AND(RIGHT(H36,4)="空けたい",INDEX('計算A'!$D$106:$EQ$106,'計算A'!IO41)=1,INDEX('計算A'!$D$109:$EQ$109,'計算A'!IO41+1)=1),IF(H36="必ず空けたい","後ろの枠が空いていません","（出来れば）後ろが空いていません"),IF(AND(H36="空けない",INDEX('計算A'!$D$106:$EQ$106,'計算A'!IO41)=1,INDEX('計算A'!$D$109:$EQ$109,'計算A'!IO41+1)=0),"（出来れば）すぐ後が空いています",""))))),IF(OR(J36="入力済み",J36="×なし"),"未決定","")))))</f>
        <v/>
      </c>
      <c r="Q36" s="41">
        <f>IF('計算A'!IK41=0,IF('計算A'!IL41=1,"入る枠がありません",""),INDEX('計算A'!$D$8:$EQ$8,'計算A'!IK41))</f>
        <v/>
      </c>
      <c r="R36" s="41">
        <f>IF('計算A'!IR41=0,IF('計算A'!IS41=1,"入る枠がありません",""),INDEX('計算A'!$D$8:$EQ$8,'計算A'!IR41))</f>
        <v/>
      </c>
      <c r="S36" s="52">
        <f>HYPERLINK("#'×入力'!B873","×入力へ")</f>
        <v/>
      </c>
    </row>
    <row r="37" ht="19" customHeight="1">
      <c r="A37" s="50" t="n"/>
      <c r="B37" s="51" t="n"/>
      <c r="C37" s="50" t="n"/>
      <c r="D37" s="51" t="n"/>
      <c r="E37" s="50" t="n"/>
      <c r="F37" s="50" t="n"/>
      <c r="G37" s="50" t="n"/>
      <c r="H37" s="50" t="n"/>
      <c r="I37" s="41">
        <f>IF(B37="","",IF(COUNTIF($B$5:$B$49,B37)&gt;1,IF(A37="","",A37&amp;" ")&amp;B37,B37))</f>
        <v/>
      </c>
      <c r="J37" s="39">
        <f>IF(B37="","",IF('×入力'!F901="未提出","未提出",IF(K37&gt;0,"入力済み",IF('×入力'!F901="×なし（どこでもOK）","×なし","未入力"))))</f>
        <v/>
      </c>
      <c r="K37" s="39">
        <f>IF(B37="","",'計算A'!IN42)</f>
        <v/>
      </c>
      <c r="L37" s="39">
        <f>IF(OR(J37="入力済み",J37="×なし"),'計算A'!IM42,"")</f>
        <v/>
      </c>
      <c r="M37" s="39">
        <f>IF('計算A'!C42=1,COUNTIFS('計算A'!$C$10:$C$54,1,'計算A'!$IM$10:$IM$54,"&lt;"&amp;'計算A'!IM42)+1,"")</f>
        <v/>
      </c>
      <c r="N37" s="41">
        <f>IF('計算A'!IO42=0,"",INDEX('設定'!$E$11:$E$16,INDEX('計算A'!$D$2:$EQ$2,'計算A'!IO42)))</f>
        <v/>
      </c>
      <c r="O37" s="39">
        <f>IF('計算A'!IO42=0,"",INDEX('設定'!$I$11:$I$34,INDEX('計算A'!$D$3:$EQ$3,'計算A'!IO42)))</f>
        <v/>
      </c>
      <c r="P37" s="41">
        <f>IF(I37="","",IF('計算A'!IT42&lt;0,"兄弟の日付・時刻が表にありません",IF(COUNTIF('調整・決定'!$C$6:$H$29,I37)&gt;1,"2か所以上に入っています",IF('計算A'!IO42&gt;0,IF(INDEX('計算A'!$D$4:$EQ$4,'計算A'!IO42)=0,"使えない枠に入っています",IF(INDEX('計算A'!$D$42:$EQ$42,'計算A'!IO42)=1,"×の枠に入っています",IF('計算A'!IV42=0,"（出来れば）兄弟の前後ではありません",IF(AND(RIGHT(H37,4)="空けたい",INDEX('計算A'!$D$106:$EQ$106,'計算A'!IO42)=1,INDEX('計算A'!$D$109:$EQ$109,'計算A'!IO42+1)=1),IF(H37="必ず空けたい","後ろの枠が空いていません","（出来れば）後ろが空いていません"),IF(AND(H37="空けない",INDEX('計算A'!$D$106:$EQ$106,'計算A'!IO42)=1,INDEX('計算A'!$D$109:$EQ$109,'計算A'!IO42+1)=0),"（出来れば）すぐ後が空いています",""))))),IF(OR(J37="入力済み",J37="×なし"),"未決定","")))))</f>
        <v/>
      </c>
      <c r="Q37" s="41">
        <f>IF('計算A'!IK42=0,IF('計算A'!IL42=1,"入る枠がありません",""),INDEX('計算A'!$D$8:$EQ$8,'計算A'!IK42))</f>
        <v/>
      </c>
      <c r="R37" s="41">
        <f>IF('計算A'!IR42=0,IF('計算A'!IS42=1,"入る枠がありません",""),INDEX('計算A'!$D$8:$EQ$8,'計算A'!IR42))</f>
        <v/>
      </c>
      <c r="S37" s="52">
        <f>HYPERLINK("#'×入力'!B901","×入力へ")</f>
        <v/>
      </c>
    </row>
    <row r="38" ht="19" customHeight="1">
      <c r="A38" s="50" t="n"/>
      <c r="B38" s="51" t="n"/>
      <c r="C38" s="50" t="n"/>
      <c r="D38" s="51" t="n"/>
      <c r="E38" s="50" t="n"/>
      <c r="F38" s="50" t="n"/>
      <c r="G38" s="50" t="n"/>
      <c r="H38" s="50" t="n"/>
      <c r="I38" s="41">
        <f>IF(B38="","",IF(COUNTIF($B$5:$B$49,B38)&gt;1,IF(A38="","",A38&amp;" ")&amp;B38,B38))</f>
        <v/>
      </c>
      <c r="J38" s="39">
        <f>IF(B38="","",IF('×入力'!F929="未提出","未提出",IF(K38&gt;0,"入力済み",IF('×入力'!F929="×なし（どこでもOK）","×なし","未入力"))))</f>
        <v/>
      </c>
      <c r="K38" s="39">
        <f>IF(B38="","",'計算A'!IN43)</f>
        <v/>
      </c>
      <c r="L38" s="39">
        <f>IF(OR(J38="入力済み",J38="×なし"),'計算A'!IM43,"")</f>
        <v/>
      </c>
      <c r="M38" s="39">
        <f>IF('計算A'!C43=1,COUNTIFS('計算A'!$C$10:$C$54,1,'計算A'!$IM$10:$IM$54,"&lt;"&amp;'計算A'!IM43)+1,"")</f>
        <v/>
      </c>
      <c r="N38" s="41">
        <f>IF('計算A'!IO43=0,"",INDEX('設定'!$E$11:$E$16,INDEX('計算A'!$D$2:$EQ$2,'計算A'!IO43)))</f>
        <v/>
      </c>
      <c r="O38" s="39">
        <f>IF('計算A'!IO43=0,"",INDEX('設定'!$I$11:$I$34,INDEX('計算A'!$D$3:$EQ$3,'計算A'!IO43)))</f>
        <v/>
      </c>
      <c r="P38" s="41">
        <f>IF(I38="","",IF('計算A'!IT43&lt;0,"兄弟の日付・時刻が表にありません",IF(COUNTIF('調整・決定'!$C$6:$H$29,I38)&gt;1,"2か所以上に入っています",IF('計算A'!IO43&gt;0,IF(INDEX('計算A'!$D$4:$EQ$4,'計算A'!IO43)=0,"使えない枠に入っています",IF(INDEX('計算A'!$D$43:$EQ$43,'計算A'!IO43)=1,"×の枠に入っています",IF('計算A'!IV43=0,"（出来れば）兄弟の前後ではありません",IF(AND(RIGHT(H38,4)="空けたい",INDEX('計算A'!$D$106:$EQ$106,'計算A'!IO43)=1,INDEX('計算A'!$D$109:$EQ$109,'計算A'!IO43+1)=1),IF(H38="必ず空けたい","後ろの枠が空いていません","（出来れば）後ろが空いていません"),IF(AND(H38="空けない",INDEX('計算A'!$D$106:$EQ$106,'計算A'!IO43)=1,INDEX('計算A'!$D$109:$EQ$109,'計算A'!IO43+1)=0),"（出来れば）すぐ後が空いています",""))))),IF(OR(J38="入力済み",J38="×なし"),"未決定","")))))</f>
        <v/>
      </c>
      <c r="Q38" s="41">
        <f>IF('計算A'!IK43=0,IF('計算A'!IL43=1,"入る枠がありません",""),INDEX('計算A'!$D$8:$EQ$8,'計算A'!IK43))</f>
        <v/>
      </c>
      <c r="R38" s="41">
        <f>IF('計算A'!IR43=0,IF('計算A'!IS43=1,"入る枠がありません",""),INDEX('計算A'!$D$8:$EQ$8,'計算A'!IR43))</f>
        <v/>
      </c>
      <c r="S38" s="52">
        <f>HYPERLINK("#'×入力'!B929","×入力へ")</f>
        <v/>
      </c>
    </row>
    <row r="39" ht="19" customHeight="1">
      <c r="A39" s="50" t="n"/>
      <c r="B39" s="51" t="n"/>
      <c r="C39" s="50" t="n"/>
      <c r="D39" s="51" t="n"/>
      <c r="E39" s="50" t="n"/>
      <c r="F39" s="50" t="n"/>
      <c r="G39" s="50" t="n"/>
      <c r="H39" s="50" t="n"/>
      <c r="I39" s="41">
        <f>IF(B39="","",IF(COUNTIF($B$5:$B$49,B39)&gt;1,IF(A39="","",A39&amp;" ")&amp;B39,B39))</f>
        <v/>
      </c>
      <c r="J39" s="39">
        <f>IF(B39="","",IF('×入力'!F957="未提出","未提出",IF(K39&gt;0,"入力済み",IF('×入力'!F957="×なし（どこでもOK）","×なし","未入力"))))</f>
        <v/>
      </c>
      <c r="K39" s="39">
        <f>IF(B39="","",'計算A'!IN44)</f>
        <v/>
      </c>
      <c r="L39" s="39">
        <f>IF(OR(J39="入力済み",J39="×なし"),'計算A'!IM44,"")</f>
        <v/>
      </c>
      <c r="M39" s="39">
        <f>IF('計算A'!C44=1,COUNTIFS('計算A'!$C$10:$C$54,1,'計算A'!$IM$10:$IM$54,"&lt;"&amp;'計算A'!IM44)+1,"")</f>
        <v/>
      </c>
      <c r="N39" s="41">
        <f>IF('計算A'!IO44=0,"",INDEX('設定'!$E$11:$E$16,INDEX('計算A'!$D$2:$EQ$2,'計算A'!IO44)))</f>
        <v/>
      </c>
      <c r="O39" s="39">
        <f>IF('計算A'!IO44=0,"",INDEX('設定'!$I$11:$I$34,INDEX('計算A'!$D$3:$EQ$3,'計算A'!IO44)))</f>
        <v/>
      </c>
      <c r="P39" s="41">
        <f>IF(I39="","",IF('計算A'!IT44&lt;0,"兄弟の日付・時刻が表にありません",IF(COUNTIF('調整・決定'!$C$6:$H$29,I39)&gt;1,"2か所以上に入っています",IF('計算A'!IO44&gt;0,IF(INDEX('計算A'!$D$4:$EQ$4,'計算A'!IO44)=0,"使えない枠に入っています",IF(INDEX('計算A'!$D$44:$EQ$44,'計算A'!IO44)=1,"×の枠に入っています",IF('計算A'!IV44=0,"（出来れば）兄弟の前後ではありません",IF(AND(RIGHT(H39,4)="空けたい",INDEX('計算A'!$D$106:$EQ$106,'計算A'!IO44)=1,INDEX('計算A'!$D$109:$EQ$109,'計算A'!IO44+1)=1),IF(H39="必ず空けたい","後ろの枠が空いていません","（出来れば）後ろが空いていません"),IF(AND(H39="空けない",INDEX('計算A'!$D$106:$EQ$106,'計算A'!IO44)=1,INDEX('計算A'!$D$109:$EQ$109,'計算A'!IO44+1)=0),"（出来れば）すぐ後が空いています",""))))),IF(OR(J39="入力済み",J39="×なし"),"未決定","")))))</f>
        <v/>
      </c>
      <c r="Q39" s="41">
        <f>IF('計算A'!IK44=0,IF('計算A'!IL44=1,"入る枠がありません",""),INDEX('計算A'!$D$8:$EQ$8,'計算A'!IK44))</f>
        <v/>
      </c>
      <c r="R39" s="41">
        <f>IF('計算A'!IR44=0,IF('計算A'!IS44=1,"入る枠がありません",""),INDEX('計算A'!$D$8:$EQ$8,'計算A'!IR44))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IF(B40="","",IF('×入力'!F985="未提出","未提出",IF(K40&gt;0,"入力済み",IF('×入力'!F985="×なし（どこでもOK）","×なし","未入力"))))</f>
        <v/>
      </c>
      <c r="K40" s="39">
        <f>IF(B40="","",'計算A'!IN45)</f>
        <v/>
      </c>
      <c r="L40" s="39">
        <f>IF(OR(J40="入力済み",J40="×なし"),'計算A'!IM45,"")</f>
        <v/>
      </c>
      <c r="M40" s="39">
        <f>IF('計算A'!C45=1,COUNTIFS('計算A'!$C$10:$C$54,1,'計算A'!$IM$10:$IM$54,"&lt;"&amp;'計算A'!IM45)+1,"")</f>
        <v/>
      </c>
      <c r="N40" s="41">
        <f>IF('計算A'!IO45=0,"",INDEX('設定'!$E$11:$E$16,INDEX('計算A'!$D$2:$EQ$2,'計算A'!IO45)))</f>
        <v/>
      </c>
      <c r="O40" s="39">
        <f>IF('計算A'!IO45=0,"",INDEX('設定'!$I$11:$I$34,INDEX('計算A'!$D$3:$EQ$3,'計算A'!IO45)))</f>
        <v/>
      </c>
      <c r="P40" s="41">
        <f>IF(I40="","",IF('計算A'!IT45&lt;0,"兄弟の日付・時刻が表にありません",IF(COUNTIF('調整・決定'!$C$6:$H$29,I40)&gt;1,"2か所以上に入っています",IF('計算A'!IO45&gt;0,IF(INDEX('計算A'!$D$4:$EQ$4,'計算A'!IO45)=0,"使えない枠に入っています",IF(INDEX('計算A'!$D$45:$EQ$45,'計算A'!IO45)=1,"×の枠に入っています",IF('計算A'!IV45=0,"（出来れば）兄弟の前後ではありません",IF(AND(RIGHT(H40,4)="空けたい",INDEX('計算A'!$D$106:$EQ$106,'計算A'!IO45)=1,INDEX('計算A'!$D$109:$EQ$109,'計算A'!IO45+1)=1),IF(H40="必ず空けたい","後ろの枠が空いていません","（出来れば）後ろが空いていません"),IF(AND(H40="空けない",INDEX('計算A'!$D$106:$EQ$106,'計算A'!IO45)=1,INDEX('計算A'!$D$109:$EQ$109,'計算A'!IO45+1)=0),"（出来れば）すぐ後が空いています",""))))),IF(OR(J40="入力済み",J40="×なし"),"未決定","")))))</f>
        <v/>
      </c>
      <c r="Q40" s="41">
        <f>IF('計算A'!IK45=0,IF('計算A'!IL45=1,"入る枠がありません",""),INDEX('計算A'!$D$8:$EQ$8,'計算A'!IK45))</f>
        <v/>
      </c>
      <c r="R40" s="41">
        <f>IF('計算A'!IR45=0,IF('計算A'!IS45=1,"入る枠がありません",""),INDEX('計算A'!$D$8:$EQ$8,'計算A'!IR45))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IF(B41="","",IF('×入力'!F1013="未提出","未提出",IF(K41&gt;0,"入力済み",IF('×入力'!F1013="×なし（どこでもOK）","×なし","未入力"))))</f>
        <v/>
      </c>
      <c r="K41" s="39">
        <f>IF(B41="","",'計算A'!IN46)</f>
        <v/>
      </c>
      <c r="L41" s="39">
        <f>IF(OR(J41="入力済み",J41="×なし"),'計算A'!IM46,"")</f>
        <v/>
      </c>
      <c r="M41" s="39">
        <f>IF('計算A'!C46=1,COUNTIFS('計算A'!$C$10:$C$54,1,'計算A'!$IM$10:$IM$54,"&lt;"&amp;'計算A'!IM46)+1,"")</f>
        <v/>
      </c>
      <c r="N41" s="41">
        <f>IF('計算A'!IO46=0,"",INDEX('設定'!$E$11:$E$16,INDEX('計算A'!$D$2:$EQ$2,'計算A'!IO46)))</f>
        <v/>
      </c>
      <c r="O41" s="39">
        <f>IF('計算A'!IO46=0,"",INDEX('設定'!$I$11:$I$34,INDEX('計算A'!$D$3:$EQ$3,'計算A'!IO46)))</f>
        <v/>
      </c>
      <c r="P41" s="41">
        <f>IF(I41="","",IF('計算A'!IT46&lt;0,"兄弟の日付・時刻が表にありません",IF(COUNTIF('調整・決定'!$C$6:$H$29,I41)&gt;1,"2か所以上に入っています",IF('計算A'!IO46&gt;0,IF(INDEX('計算A'!$D$4:$EQ$4,'計算A'!IO46)=0,"使えない枠に入っています",IF(INDEX('計算A'!$D$46:$EQ$46,'計算A'!IO46)=1,"×の枠に入っています",IF('計算A'!IV46=0,"（出来れば）兄弟の前後ではありません",IF(AND(RIGHT(H41,4)="空けたい",INDEX('計算A'!$D$106:$EQ$106,'計算A'!IO46)=1,INDEX('計算A'!$D$109:$EQ$109,'計算A'!IO46+1)=1),IF(H41="必ず空けたい","後ろの枠が空いていません","（出来れば）後ろが空いていません"),IF(AND(H41="空けない",INDEX('計算A'!$D$106:$EQ$106,'計算A'!IO46)=1,INDEX('計算A'!$D$109:$EQ$109,'計算A'!IO46+1)=0),"（出来れば）すぐ後が空いています",""))))),IF(OR(J41="入力済み",J41="×なし"),"未決定","")))))</f>
        <v/>
      </c>
      <c r="Q41" s="41">
        <f>IF('計算A'!IK46=0,IF('計算A'!IL46=1,"入る枠がありません",""),INDEX('計算A'!$D$8:$EQ$8,'計算A'!IK46))</f>
        <v/>
      </c>
      <c r="R41" s="41">
        <f>IF('計算A'!IR46=0,IF('計算A'!IS46=1,"入る枠がありません",""),INDEX('計算A'!$D$8:$EQ$8,'計算A'!IR46))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IF(B42="","",IF('×入力'!F1041="未提出","未提出",IF(K42&gt;0,"入力済み",IF('×入力'!F1041="×なし（どこでもOK）","×なし","未入力"))))</f>
        <v/>
      </c>
      <c r="K42" s="39">
        <f>IF(B42="","",'計算A'!IN47)</f>
        <v/>
      </c>
      <c r="L42" s="39">
        <f>IF(OR(J42="入力済み",J42="×なし"),'計算A'!IM47,"")</f>
        <v/>
      </c>
      <c r="M42" s="39">
        <f>IF('計算A'!C47=1,COUNTIFS('計算A'!$C$10:$C$54,1,'計算A'!$IM$10:$IM$54,"&lt;"&amp;'計算A'!IM47)+1,"")</f>
        <v/>
      </c>
      <c r="N42" s="41">
        <f>IF('計算A'!IO47=0,"",INDEX('設定'!$E$11:$E$16,INDEX('計算A'!$D$2:$EQ$2,'計算A'!IO47)))</f>
        <v/>
      </c>
      <c r="O42" s="39">
        <f>IF('計算A'!IO47=0,"",INDEX('設定'!$I$11:$I$34,INDEX('計算A'!$D$3:$EQ$3,'計算A'!IO47)))</f>
        <v/>
      </c>
      <c r="P42" s="41">
        <f>IF(I42="","",IF('計算A'!IT47&lt;0,"兄弟の日付・時刻が表にありません",IF(COUNTIF('調整・決定'!$C$6:$H$29,I42)&gt;1,"2か所以上に入っています",IF('計算A'!IO47&gt;0,IF(INDEX('計算A'!$D$4:$EQ$4,'計算A'!IO47)=0,"使えない枠に入っています",IF(INDEX('計算A'!$D$47:$EQ$47,'計算A'!IO47)=1,"×の枠に入っています",IF('計算A'!IV47=0,"（出来れば）兄弟の前後ではありません",IF(AND(RIGHT(H42,4)="空けたい",INDEX('計算A'!$D$106:$EQ$106,'計算A'!IO47)=1,INDEX('計算A'!$D$109:$EQ$109,'計算A'!IO47+1)=1),IF(H42="必ず空けたい","後ろの枠が空いていません","（出来れば）後ろが空いていません"),IF(AND(H42="空けない",INDEX('計算A'!$D$106:$EQ$106,'計算A'!IO47)=1,INDEX('計算A'!$D$109:$EQ$109,'計算A'!IO47+1)=0),"（出来れば）すぐ後が空いています",""))))),IF(OR(J42="入力済み",J42="×なし"),"未決定","")))))</f>
        <v/>
      </c>
      <c r="Q42" s="41">
        <f>IF('計算A'!IK47=0,IF('計算A'!IL47=1,"入る枠がありません",""),INDEX('計算A'!$D$8:$EQ$8,'計算A'!IK47))</f>
        <v/>
      </c>
      <c r="R42" s="41">
        <f>IF('計算A'!IR47=0,IF('計算A'!IS47=1,"入る枠がありません",""),INDEX('計算A'!$D$8:$EQ$8,'計算A'!IR47))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IF(B43="","",IF('×入力'!F1069="未提出","未提出",IF(K43&gt;0,"入力済み",IF('×入力'!F1069="×なし（どこでもOK）","×なし","未入力"))))</f>
        <v/>
      </c>
      <c r="K43" s="39">
        <f>IF(B43="","",'計算A'!IN48)</f>
        <v/>
      </c>
      <c r="L43" s="39">
        <f>IF(OR(J43="入力済み",J43="×なし"),'計算A'!IM48,"")</f>
        <v/>
      </c>
      <c r="M43" s="39">
        <f>IF('計算A'!C48=1,COUNTIFS('計算A'!$C$10:$C$54,1,'計算A'!$IM$10:$IM$54,"&lt;"&amp;'計算A'!IM48)+1,"")</f>
        <v/>
      </c>
      <c r="N43" s="41">
        <f>IF('計算A'!IO48=0,"",INDEX('設定'!$E$11:$E$16,INDEX('計算A'!$D$2:$EQ$2,'計算A'!IO48)))</f>
        <v/>
      </c>
      <c r="O43" s="39">
        <f>IF('計算A'!IO48=0,"",INDEX('設定'!$I$11:$I$34,INDEX('計算A'!$D$3:$EQ$3,'計算A'!IO48)))</f>
        <v/>
      </c>
      <c r="P43" s="41">
        <f>IF(I43="","",IF('計算A'!IT48&lt;0,"兄弟の日付・時刻が表にありません",IF(COUNTIF('調整・決定'!$C$6:$H$29,I43)&gt;1,"2か所以上に入っています",IF('計算A'!IO48&gt;0,IF(INDEX('計算A'!$D$4:$EQ$4,'計算A'!IO48)=0,"使えない枠に入っています",IF(INDEX('計算A'!$D$48:$EQ$48,'計算A'!IO48)=1,"×の枠に入っています",IF('計算A'!IV48=0,"（出来れば）兄弟の前後ではありません",IF(AND(RIGHT(H43,4)="空けたい",INDEX('計算A'!$D$106:$EQ$106,'計算A'!IO48)=1,INDEX('計算A'!$D$109:$EQ$109,'計算A'!IO48+1)=1),IF(H43="必ず空けたい","後ろの枠が空いていません","（出来れば）後ろが空いていません"),IF(AND(H43="空けない",INDEX('計算A'!$D$106:$EQ$106,'計算A'!IO48)=1,INDEX('計算A'!$D$109:$EQ$109,'計算A'!IO48+1)=0),"（出来れば）すぐ後が空いています",""))))),IF(OR(J43="入力済み",J43="×なし"),"未決定","")))))</f>
        <v/>
      </c>
      <c r="Q43" s="41">
        <f>IF('計算A'!IK48=0,IF('計算A'!IL48=1,"入る枠がありません",""),INDEX('計算A'!$D$8:$EQ$8,'計算A'!IK48))</f>
        <v/>
      </c>
      <c r="R43" s="41">
        <f>IF('計算A'!IR48=0,IF('計算A'!IS48=1,"入る枠がありません",""),INDEX('計算A'!$D$8:$EQ$8,'計算A'!IR48))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IF(B44="","",IF('×入力'!F1097="未提出","未提出",IF(K44&gt;0,"入力済み",IF('×入力'!F1097="×なし（どこでもOK）","×なし","未入力"))))</f>
        <v/>
      </c>
      <c r="K44" s="39">
        <f>IF(B44="","",'計算A'!IN49)</f>
        <v/>
      </c>
      <c r="L44" s="39">
        <f>IF(OR(J44="入力済み",J44="×なし"),'計算A'!IM49,"")</f>
        <v/>
      </c>
      <c r="M44" s="39">
        <f>IF('計算A'!C49=1,COUNTIFS('計算A'!$C$10:$C$54,1,'計算A'!$IM$10:$IM$54,"&lt;"&amp;'計算A'!IM49)+1,"")</f>
        <v/>
      </c>
      <c r="N44" s="41">
        <f>IF('計算A'!IO49=0,"",INDEX('設定'!$E$11:$E$16,INDEX('計算A'!$D$2:$EQ$2,'計算A'!IO49)))</f>
        <v/>
      </c>
      <c r="O44" s="39">
        <f>IF('計算A'!IO49=0,"",INDEX('設定'!$I$11:$I$34,INDEX('計算A'!$D$3:$EQ$3,'計算A'!IO49)))</f>
        <v/>
      </c>
      <c r="P44" s="41">
        <f>IF(I44="","",IF('計算A'!IT49&lt;0,"兄弟の日付・時刻が表にありません",IF(COUNTIF('調整・決定'!$C$6:$H$29,I44)&gt;1,"2か所以上に入っています",IF('計算A'!IO49&gt;0,IF(INDEX('計算A'!$D$4:$EQ$4,'計算A'!IO49)=0,"使えない枠に入っています",IF(INDEX('計算A'!$D$49:$EQ$49,'計算A'!IO49)=1,"×の枠に入っています",IF('計算A'!IV49=0,"（出来れば）兄弟の前後ではありません",IF(AND(RIGHT(H44,4)="空けたい",INDEX('計算A'!$D$106:$EQ$106,'計算A'!IO49)=1,INDEX('計算A'!$D$109:$EQ$109,'計算A'!IO49+1)=1),IF(H44="必ず空けたい","後ろの枠が空いていません","（出来れば）後ろが空いていません"),IF(AND(H44="空けない",INDEX('計算A'!$D$106:$EQ$106,'計算A'!IO49)=1,INDEX('計算A'!$D$109:$EQ$109,'計算A'!IO49+1)=0),"（出来れば）すぐ後が空いています",""))))),IF(OR(J44="入力済み",J44="×なし"),"未決定","")))))</f>
        <v/>
      </c>
      <c r="Q44" s="41">
        <f>IF('計算A'!IK49=0,IF('計算A'!IL49=1,"入る枠がありません",""),INDEX('計算A'!$D$8:$EQ$8,'計算A'!IK49))</f>
        <v/>
      </c>
      <c r="R44" s="41">
        <f>IF('計算A'!IR49=0,IF('計算A'!IS49=1,"入る枠がありません",""),INDEX('計算A'!$D$8:$EQ$8,'計算A'!IR49))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IF(B45="","",IF('×入力'!F1125="未提出","未提出",IF(K45&gt;0,"入力済み",IF('×入力'!F1125="×なし（どこでもOK）","×なし","未入力"))))</f>
        <v/>
      </c>
      <c r="K45" s="39">
        <f>IF(B45="","",'計算A'!IN50)</f>
        <v/>
      </c>
      <c r="L45" s="39">
        <f>IF(OR(J45="入力済み",J45="×なし"),'計算A'!IM50,"")</f>
        <v/>
      </c>
      <c r="M45" s="39">
        <f>IF('計算A'!C50=1,COUNTIFS('計算A'!$C$10:$C$54,1,'計算A'!$IM$10:$IM$54,"&lt;"&amp;'計算A'!IM50)+1,"")</f>
        <v/>
      </c>
      <c r="N45" s="41">
        <f>IF('計算A'!IO50=0,"",INDEX('設定'!$E$11:$E$16,INDEX('計算A'!$D$2:$EQ$2,'計算A'!IO50)))</f>
        <v/>
      </c>
      <c r="O45" s="39">
        <f>IF('計算A'!IO50=0,"",INDEX('設定'!$I$11:$I$34,INDEX('計算A'!$D$3:$EQ$3,'計算A'!IO50)))</f>
        <v/>
      </c>
      <c r="P45" s="41">
        <f>IF(I45="","",IF('計算A'!IT50&lt;0,"兄弟の日付・時刻が表にありません",IF(COUNTIF('調整・決定'!$C$6:$H$29,I45)&gt;1,"2か所以上に入っています",IF('計算A'!IO50&gt;0,IF(INDEX('計算A'!$D$4:$EQ$4,'計算A'!IO50)=0,"使えない枠に入っています",IF(INDEX('計算A'!$D$50:$EQ$50,'計算A'!IO50)=1,"×の枠に入っています",IF('計算A'!IV50=0,"（出来れば）兄弟の前後ではありません",IF(AND(RIGHT(H45,4)="空けたい",INDEX('計算A'!$D$106:$EQ$106,'計算A'!IO50)=1,INDEX('計算A'!$D$109:$EQ$109,'計算A'!IO50+1)=1),IF(H45="必ず空けたい","後ろの枠が空いていません","（出来れば）後ろが空いていません"),IF(AND(H45="空けない",INDEX('計算A'!$D$106:$EQ$106,'計算A'!IO50)=1,INDEX('計算A'!$D$109:$EQ$109,'計算A'!IO50+1)=0),"（出来れば）すぐ後が空いています",""))))),IF(OR(J45="入力済み",J45="×なし"),"未決定","")))))</f>
        <v/>
      </c>
      <c r="Q45" s="41">
        <f>IF('計算A'!IK50=0,IF('計算A'!IL50=1,"入る枠がありません",""),INDEX('計算A'!$D$8:$EQ$8,'計算A'!IK50))</f>
        <v/>
      </c>
      <c r="R45" s="41">
        <f>IF('計算A'!IR50=0,IF('計算A'!IS50=1,"入る枠がありません",""),INDEX('計算A'!$D$8:$EQ$8,'計算A'!IR50))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IF(B46="","",IF('×入力'!F1153="未提出","未提出",IF(K46&gt;0,"入力済み",IF('×入力'!F1153="×なし（どこでもOK）","×なし","未入力"))))</f>
        <v/>
      </c>
      <c r="K46" s="39">
        <f>IF(B46="","",'計算A'!IN51)</f>
        <v/>
      </c>
      <c r="L46" s="39">
        <f>IF(OR(J46="入力済み",J46="×なし"),'計算A'!IM51,"")</f>
        <v/>
      </c>
      <c r="M46" s="39">
        <f>IF('計算A'!C51=1,COUNTIFS('計算A'!$C$10:$C$54,1,'計算A'!$IM$10:$IM$54,"&lt;"&amp;'計算A'!IM51)+1,"")</f>
        <v/>
      </c>
      <c r="N46" s="41">
        <f>IF('計算A'!IO51=0,"",INDEX('設定'!$E$11:$E$16,INDEX('計算A'!$D$2:$EQ$2,'計算A'!IO51)))</f>
        <v/>
      </c>
      <c r="O46" s="39">
        <f>IF('計算A'!IO51=0,"",INDEX('設定'!$I$11:$I$34,INDEX('計算A'!$D$3:$EQ$3,'計算A'!IO51)))</f>
        <v/>
      </c>
      <c r="P46" s="41">
        <f>IF(I46="","",IF('計算A'!IT51&lt;0,"兄弟の日付・時刻が表にありません",IF(COUNTIF('調整・決定'!$C$6:$H$29,I46)&gt;1,"2か所以上に入っています",IF('計算A'!IO51&gt;0,IF(INDEX('計算A'!$D$4:$EQ$4,'計算A'!IO51)=0,"使えない枠に入っています",IF(INDEX('計算A'!$D$51:$EQ$51,'計算A'!IO51)=1,"×の枠に入っています",IF('計算A'!IV51=0,"（出来れば）兄弟の前後ではありません",IF(AND(RIGHT(H46,4)="空けたい",INDEX('計算A'!$D$106:$EQ$106,'計算A'!IO51)=1,INDEX('計算A'!$D$109:$EQ$109,'計算A'!IO51+1)=1),IF(H46="必ず空けたい","後ろの枠が空いていません","（出来れば）後ろが空いていません"),IF(AND(H46="空けない",INDEX('計算A'!$D$106:$EQ$106,'計算A'!IO51)=1,INDEX('計算A'!$D$109:$EQ$109,'計算A'!IO51+1)=0),"（出来れば）すぐ後が空いています",""))))),IF(OR(J46="入力済み",J46="×なし"),"未決定","")))))</f>
        <v/>
      </c>
      <c r="Q46" s="41">
        <f>IF('計算A'!IK51=0,IF('計算A'!IL51=1,"入る枠がありません",""),INDEX('計算A'!$D$8:$EQ$8,'計算A'!IK51))</f>
        <v/>
      </c>
      <c r="R46" s="41">
        <f>IF('計算A'!IR51=0,IF('計算A'!IS51=1,"入る枠がありません",""),INDEX('計算A'!$D$8:$EQ$8,'計算A'!IR51))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IF(B47="","",IF('×入力'!F1181="未提出","未提出",IF(K47&gt;0,"入力済み",IF('×入力'!F1181="×なし（どこでもOK）","×なし","未入力"))))</f>
        <v/>
      </c>
      <c r="K47" s="39">
        <f>IF(B47="","",'計算A'!IN52)</f>
        <v/>
      </c>
      <c r="L47" s="39">
        <f>IF(OR(J47="入力済み",J47="×なし"),'計算A'!IM52,"")</f>
        <v/>
      </c>
      <c r="M47" s="39">
        <f>IF('計算A'!C52=1,COUNTIFS('計算A'!$C$10:$C$54,1,'計算A'!$IM$10:$IM$54,"&lt;"&amp;'計算A'!IM52)+1,"")</f>
        <v/>
      </c>
      <c r="N47" s="41">
        <f>IF('計算A'!IO52=0,"",INDEX('設定'!$E$11:$E$16,INDEX('計算A'!$D$2:$EQ$2,'計算A'!IO52)))</f>
        <v/>
      </c>
      <c r="O47" s="39">
        <f>IF('計算A'!IO52=0,"",INDEX('設定'!$I$11:$I$34,INDEX('計算A'!$D$3:$EQ$3,'計算A'!IO52)))</f>
        <v/>
      </c>
      <c r="P47" s="41">
        <f>IF(I47="","",IF('計算A'!IT52&lt;0,"兄弟の日付・時刻が表にありません",IF(COUNTIF('調整・決定'!$C$6:$H$29,I47)&gt;1,"2か所以上に入っています",IF('計算A'!IO52&gt;0,IF(INDEX('計算A'!$D$4:$EQ$4,'計算A'!IO52)=0,"使えない枠に入っています",IF(INDEX('計算A'!$D$52:$EQ$52,'計算A'!IO52)=1,"×の枠に入っています",IF('計算A'!IV52=0,"（出来れば）兄弟の前後ではありません",IF(AND(RIGHT(H47,4)="空けたい",INDEX('計算A'!$D$106:$EQ$106,'計算A'!IO52)=1,INDEX('計算A'!$D$109:$EQ$109,'計算A'!IO52+1)=1),IF(H47="必ず空けたい","後ろの枠が空いていません","（出来れば）後ろが空いていません"),IF(AND(H47="空けない",INDEX('計算A'!$D$106:$EQ$106,'計算A'!IO52)=1,INDEX('計算A'!$D$109:$EQ$109,'計算A'!IO52+1)=0),"（出来れば）すぐ後が空いています",""))))),IF(OR(J47="入力済み",J47="×なし"),"未決定","")))))</f>
        <v/>
      </c>
      <c r="Q47" s="41">
        <f>IF('計算A'!IK52=0,IF('計算A'!IL52=1,"入る枠がありません",""),INDEX('計算A'!$D$8:$EQ$8,'計算A'!IK52))</f>
        <v/>
      </c>
      <c r="R47" s="41">
        <f>IF('計算A'!IR52=0,IF('計算A'!IS52=1,"入る枠がありません",""),INDEX('計算A'!$D$8:$EQ$8,'計算A'!IR52))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IF(B48="","",IF('×入力'!F1209="未提出","未提出",IF(K48&gt;0,"入力済み",IF('×入力'!F1209="×なし（どこでもOK）","×なし","未入力"))))</f>
        <v/>
      </c>
      <c r="K48" s="39">
        <f>IF(B48="","",'計算A'!IN53)</f>
        <v/>
      </c>
      <c r="L48" s="39">
        <f>IF(OR(J48="入力済み",J48="×なし"),'計算A'!IM53,"")</f>
        <v/>
      </c>
      <c r="M48" s="39">
        <f>IF('計算A'!C53=1,COUNTIFS('計算A'!$C$10:$C$54,1,'計算A'!$IM$10:$IM$54,"&lt;"&amp;'計算A'!IM53)+1,"")</f>
        <v/>
      </c>
      <c r="N48" s="41">
        <f>IF('計算A'!IO53=0,"",INDEX('設定'!$E$11:$E$16,INDEX('計算A'!$D$2:$EQ$2,'計算A'!IO53)))</f>
        <v/>
      </c>
      <c r="O48" s="39">
        <f>IF('計算A'!IO53=0,"",INDEX('設定'!$I$11:$I$34,INDEX('計算A'!$D$3:$EQ$3,'計算A'!IO53)))</f>
        <v/>
      </c>
      <c r="P48" s="41">
        <f>IF(I48="","",IF('計算A'!IT53&lt;0,"兄弟の日付・時刻が表にありません",IF(COUNTIF('調整・決定'!$C$6:$H$29,I48)&gt;1,"2か所以上に入っています",IF('計算A'!IO53&gt;0,IF(INDEX('計算A'!$D$4:$EQ$4,'計算A'!IO53)=0,"使えない枠に入っています",IF(INDEX('計算A'!$D$53:$EQ$53,'計算A'!IO53)=1,"×の枠に入っています",IF('計算A'!IV53=0,"（出来れば）兄弟の前後ではありません",IF(AND(RIGHT(H48,4)="空けたい",INDEX('計算A'!$D$106:$EQ$106,'計算A'!IO53)=1,INDEX('計算A'!$D$109:$EQ$109,'計算A'!IO53+1)=1),IF(H48="必ず空けたい","後ろの枠が空いていません","（出来れば）後ろが空いていません"),IF(AND(H48="空けない",INDEX('計算A'!$D$106:$EQ$106,'計算A'!IO53)=1,INDEX('計算A'!$D$109:$EQ$109,'計算A'!IO53+1)=0),"（出来れば）すぐ後が空いています",""))))),IF(OR(J48="入力済み",J48="×なし"),"未決定","")))))</f>
        <v/>
      </c>
      <c r="Q48" s="41">
        <f>IF('計算A'!IK53=0,IF('計算A'!IL53=1,"入る枠がありません",""),INDEX('計算A'!$D$8:$EQ$8,'計算A'!IK53))</f>
        <v/>
      </c>
      <c r="R48" s="41">
        <f>IF('計算A'!IR53=0,IF('計算A'!IS53=1,"入る枠がありません",""),INDEX('計算A'!$D$8:$EQ$8,'計算A'!IR53))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IF(B49="","",IF('×入力'!F1237="未提出","未提出",IF(K49&gt;0,"入力済み",IF('×入力'!F1237="×なし（どこでもOK）","×なし","未入力"))))</f>
        <v/>
      </c>
      <c r="K49" s="39">
        <f>IF(B49="","",'計算A'!IN54)</f>
        <v/>
      </c>
      <c r="L49" s="39">
        <f>IF(OR(J49="入力済み",J49="×なし"),'計算A'!IM54,"")</f>
        <v/>
      </c>
      <c r="M49" s="39">
        <f>IF('計算A'!C54=1,COUNTIFS('計算A'!$C$10:$C$54,1,'計算A'!$IM$10:$IM$54,"&lt;"&amp;'計算A'!IM54)+1,"")</f>
        <v/>
      </c>
      <c r="N49" s="41">
        <f>IF('計算A'!IO54=0,"",INDEX('設定'!$E$11:$E$16,INDEX('計算A'!$D$2:$EQ$2,'計算A'!IO54)))</f>
        <v/>
      </c>
      <c r="O49" s="39">
        <f>IF('計算A'!IO54=0,"",INDEX('設定'!$I$11:$I$34,INDEX('計算A'!$D$3:$EQ$3,'計算A'!IO54)))</f>
        <v/>
      </c>
      <c r="P49" s="41">
        <f>IF(I49="","",IF('計算A'!IT54&lt;0,"兄弟の日付・時刻が表にありません",IF(COUNTIF('調整・決定'!$C$6:$H$29,I49)&gt;1,"2か所以上に入っています",IF('計算A'!IO54&gt;0,IF(INDEX('計算A'!$D$4:$EQ$4,'計算A'!IO54)=0,"使えない枠に入っています",IF(INDEX('計算A'!$D$54:$EQ$54,'計算A'!IO54)=1,"×の枠に入っています",IF('計算A'!IV54=0,"（出来れば）兄弟の前後ではありません",IF(AND(RIGHT(H49,4)="空けたい",INDEX('計算A'!$D$106:$EQ$106,'計算A'!IO54)=1,INDEX('計算A'!$D$109:$EQ$109,'計算A'!IO54+1)=1),IF(H49="必ず空けたい","後ろの枠が空いていません","（出来れば）後ろが空いていません"),IF(AND(H49="空けない",INDEX('計算A'!$D$106:$EQ$106,'計算A'!IO54)=1,INDEX('計算A'!$D$109:$EQ$109,'計算A'!IO54+1)=0),"（出来れば）すぐ後が空いています",""))))),IF(OR(J49="入力済み",J49="×なし"),"未決定","")))))</f>
        <v/>
      </c>
      <c r="Q49" s="41">
        <f>IF('計算A'!IK54=0,IF('計算A'!IL54=1,"入る枠がありません",""),INDEX('計算A'!$D$8:$EQ$8,'計算A'!IK54))</f>
        <v/>
      </c>
      <c r="R49" s="41">
        <f>IF('計算A'!IR54=0,IF('計算A'!IS54=1,"入る枠がありません",""),INDEX('計算A'!$D$8:$EQ$8,'計算A'!IR54))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='設定'!$E$11:$E$16</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"必ず空けたい,出来れば空けたい,空けない"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HYPERLINK("#'印刷（兄弟確認）'!A1","⑥ 印刷")</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4"/>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row>
    <row r="7" ht="28" customHeight="1">
      <c r="A7" s="35" t="inlineStr">
        <is>
          <t>この時間
全部 ▼</t>
        </is>
      </c>
      <c r="B7" s="36" t="inlineStr"/>
      <c r="C7" s="37">
        <f>'設定'!$E$11</f>
        <v/>
      </c>
      <c r="D7" s="37">
        <f>'設定'!$E$12</f>
        <v/>
      </c>
      <c r="E7" s="37">
        <f>'設定'!$E$13</f>
        <v/>
      </c>
      <c r="F7" s="37">
        <f>'設定'!$E$14</f>
        <v/>
      </c>
      <c r="G7" s="37">
        <f>'設定'!$E$15</f>
        <v/>
      </c>
      <c r="H7" s="37">
        <f>'設定'!$E$16</f>
        <v/>
      </c>
    </row>
    <row r="8" ht="21" customHeight="1">
      <c r="A8" s="61" t="n"/>
      <c r="B8" s="44">
        <f>'設定'!$I$11</f>
        <v/>
      </c>
      <c r="C8" s="62" t="n"/>
      <c r="D8" s="62" t="n"/>
      <c r="E8" s="62" t="n"/>
      <c r="F8" s="62" t="n"/>
      <c r="G8" s="62" t="n"/>
      <c r="H8" s="62" t="n"/>
    </row>
    <row r="9" ht="21" customHeight="1">
      <c r="A9" s="61" t="n"/>
      <c r="B9" s="44">
        <f>'設定'!$I$12</f>
        <v/>
      </c>
      <c r="C9" s="62" t="n"/>
      <c r="D9" s="62" t="n"/>
      <c r="E9" s="62" t="n"/>
      <c r="F9" s="62" t="n"/>
      <c r="G9" s="62" t="n"/>
      <c r="H9" s="62" t="n"/>
    </row>
    <row r="10" ht="21" customHeight="1">
      <c r="A10" s="61" t="n"/>
      <c r="B10" s="44">
        <f>'設定'!$I$13</f>
        <v/>
      </c>
      <c r="C10" s="62" t="n"/>
      <c r="D10" s="62" t="n"/>
      <c r="E10" s="62" t="n"/>
      <c r="F10" s="62" t="n"/>
      <c r="G10" s="62" t="n"/>
      <c r="H10" s="62" t="n"/>
    </row>
    <row r="11" ht="21" customHeight="1">
      <c r="A11" s="61" t="n"/>
      <c r="B11" s="44">
        <f>'設定'!$I$14</f>
        <v/>
      </c>
      <c r="C11" s="62" t="n"/>
      <c r="D11" s="62" t="n"/>
      <c r="E11" s="62" t="n"/>
      <c r="F11" s="62" t="n"/>
      <c r="G11" s="62" t="n"/>
      <c r="H11" s="62" t="n"/>
    </row>
    <row r="12" ht="21" customHeight="1">
      <c r="A12" s="61" t="n"/>
      <c r="B12" s="44">
        <f>'設定'!$I$15</f>
        <v/>
      </c>
      <c r="C12" s="62" t="n"/>
      <c r="D12" s="62" t="n"/>
      <c r="E12" s="62" t="n"/>
      <c r="F12" s="62" t="n"/>
      <c r="G12" s="62" t="n"/>
      <c r="H12" s="62" t="n"/>
    </row>
    <row r="13" ht="21" customHeight="1">
      <c r="A13" s="61" t="n"/>
      <c r="B13" s="44">
        <f>'設定'!$I$16</f>
        <v/>
      </c>
      <c r="C13" s="62" t="n"/>
      <c r="D13" s="62" t="n"/>
      <c r="E13" s="62" t="n"/>
      <c r="F13" s="62" t="n"/>
      <c r="G13" s="62" t="n"/>
      <c r="H13" s="62" t="n"/>
    </row>
    <row r="14" ht="21" customHeight="1">
      <c r="A14" s="61" t="n"/>
      <c r="B14" s="44">
        <f>'設定'!$I$17</f>
        <v/>
      </c>
      <c r="C14" s="62" t="n"/>
      <c r="D14" s="62" t="n"/>
      <c r="E14" s="62" t="n"/>
      <c r="F14" s="62" t="n"/>
      <c r="G14" s="62" t="n"/>
      <c r="H14" s="62" t="n"/>
    </row>
    <row r="15" ht="21" customHeight="1">
      <c r="A15" s="61" t="n"/>
      <c r="B15" s="44">
        <f>'設定'!$I$18</f>
        <v/>
      </c>
      <c r="C15" s="62" t="n"/>
      <c r="D15" s="62" t="n"/>
      <c r="E15" s="62" t="n"/>
      <c r="F15" s="62" t="n"/>
      <c r="G15" s="62" t="n"/>
      <c r="H15" s="62" t="n"/>
    </row>
    <row r="16" ht="21" customHeight="1">
      <c r="A16" s="61" t="n"/>
      <c r="B16" s="44">
        <f>'設定'!$I$19</f>
        <v/>
      </c>
      <c r="C16" s="62" t="n"/>
      <c r="D16" s="62" t="n"/>
      <c r="E16" s="62" t="n"/>
      <c r="F16" s="62" t="n"/>
      <c r="G16" s="62" t="n"/>
      <c r="H16" s="62" t="n"/>
    </row>
    <row r="17" ht="21" customHeight="1">
      <c r="A17" s="61" t="n"/>
      <c r="B17" s="44">
        <f>'設定'!$I$20</f>
        <v/>
      </c>
      <c r="C17" s="62" t="n"/>
      <c r="D17" s="62" t="n"/>
      <c r="E17" s="62" t="n"/>
      <c r="F17" s="62" t="n"/>
      <c r="G17" s="62" t="n"/>
      <c r="H17" s="62" t="n"/>
    </row>
    <row r="18" ht="21" customHeight="1">
      <c r="A18" s="61" t="n"/>
      <c r="B18" s="44">
        <f>'設定'!$I$21</f>
        <v/>
      </c>
      <c r="C18" s="62" t="n"/>
      <c r="D18" s="62" t="n"/>
      <c r="E18" s="62" t="n"/>
      <c r="F18" s="62" t="n"/>
      <c r="G18" s="62" t="n"/>
      <c r="H18" s="62" t="n"/>
    </row>
    <row r="19" ht="21" customHeight="1">
      <c r="A19" s="61" t="n"/>
      <c r="B19" s="44">
        <f>'設定'!$I$22</f>
        <v/>
      </c>
      <c r="C19" s="62" t="n"/>
      <c r="D19" s="62" t="n"/>
      <c r="E19" s="62" t="n"/>
      <c r="F19" s="62" t="n"/>
      <c r="G19" s="62" t="n"/>
      <c r="H19" s="62" t="n"/>
    </row>
    <row r="20" ht="21" customHeight="1">
      <c r="A20" s="61" t="n"/>
      <c r="B20" s="44">
        <f>'設定'!$I$23</f>
        <v/>
      </c>
      <c r="C20" s="62" t="n"/>
      <c r="D20" s="62" t="n"/>
      <c r="E20" s="62" t="n"/>
      <c r="F20" s="62" t="n"/>
      <c r="G20" s="62" t="n"/>
      <c r="H20" s="62" t="n"/>
    </row>
    <row r="21" ht="21" customHeight="1">
      <c r="A21" s="61" t="n"/>
      <c r="B21" s="44">
        <f>'設定'!$I$24</f>
        <v/>
      </c>
      <c r="C21" s="62" t="n"/>
      <c r="D21" s="62" t="n"/>
      <c r="E21" s="62" t="n"/>
      <c r="F21" s="62" t="n"/>
      <c r="G21" s="62" t="n"/>
      <c r="H21" s="62" t="n"/>
    </row>
    <row r="22" ht="21" customHeight="1">
      <c r="A22" s="61" t="n"/>
      <c r="B22" s="44">
        <f>'設定'!$I$25</f>
        <v/>
      </c>
      <c r="C22" s="62" t="n"/>
      <c r="D22" s="62" t="n"/>
      <c r="E22" s="62" t="n"/>
      <c r="F22" s="62" t="n"/>
      <c r="G22" s="62" t="n"/>
      <c r="H22" s="62" t="n"/>
    </row>
    <row r="23" ht="21" customHeight="1">
      <c r="A23" s="61" t="n"/>
      <c r="B23" s="44">
        <f>'設定'!$I$26</f>
        <v/>
      </c>
      <c r="C23" s="62" t="n"/>
      <c r="D23" s="62" t="n"/>
      <c r="E23" s="62" t="n"/>
      <c r="F23" s="62" t="n"/>
      <c r="G23" s="62" t="n"/>
      <c r="H23" s="62" t="n"/>
    </row>
    <row r="24" ht="21" customHeight="1">
      <c r="A24" s="61" t="n"/>
      <c r="B24" s="44">
        <f>'設定'!$I$27</f>
        <v/>
      </c>
      <c r="C24" s="62" t="n"/>
      <c r="D24" s="62" t="n"/>
      <c r="E24" s="62" t="n"/>
      <c r="F24" s="62" t="n"/>
      <c r="G24" s="62" t="n"/>
      <c r="H24" s="62" t="n"/>
    </row>
    <row r="25" ht="21" customHeight="1">
      <c r="A25" s="61" t="n"/>
      <c r="B25" s="44">
        <f>'設定'!$I$28</f>
        <v/>
      </c>
      <c r="C25" s="62" t="n"/>
      <c r="D25" s="62" t="n"/>
      <c r="E25" s="62" t="n"/>
      <c r="F25" s="62" t="n"/>
      <c r="G25" s="62" t="n"/>
      <c r="H25" s="62" t="n"/>
    </row>
    <row r="26" ht="21" customHeight="1">
      <c r="A26" s="61" t="n"/>
      <c r="B26" s="44">
        <f>'設定'!$I$29</f>
        <v/>
      </c>
      <c r="C26" s="62" t="n"/>
      <c r="D26" s="62" t="n"/>
      <c r="E26" s="62" t="n"/>
      <c r="F26" s="62" t="n"/>
      <c r="G26" s="62" t="n"/>
      <c r="H26" s="62" t="n"/>
    </row>
    <row r="27" ht="21" customHeight="1">
      <c r="A27" s="61" t="n"/>
      <c r="B27" s="44">
        <f>'設定'!$I$30</f>
        <v/>
      </c>
      <c r="C27" s="62" t="n"/>
      <c r="D27" s="62" t="n"/>
      <c r="E27" s="62" t="n"/>
      <c r="F27" s="62" t="n"/>
      <c r="G27" s="62" t="n"/>
      <c r="H27" s="62" t="n"/>
    </row>
    <row r="28" ht="21" customHeight="1">
      <c r="A28" s="61" t="n"/>
      <c r="B28" s="44">
        <f>'設定'!$I$31</f>
        <v/>
      </c>
      <c r="C28" s="62" t="n"/>
      <c r="D28" s="62" t="n"/>
      <c r="E28" s="62" t="n"/>
      <c r="F28" s="62" t="n"/>
      <c r="G28" s="62" t="n"/>
      <c r="H28" s="62" t="n"/>
    </row>
    <row r="29" ht="21" customHeight="1">
      <c r="A29" s="61" t="n"/>
      <c r="B29" s="44">
        <f>'設定'!$I$32</f>
        <v/>
      </c>
      <c r="C29" s="62" t="n"/>
      <c r="D29" s="62" t="n"/>
      <c r="E29" s="62" t="n"/>
      <c r="F29" s="62" t="n"/>
      <c r="G29" s="62" t="n"/>
      <c r="H29" s="62" t="n"/>
    </row>
    <row r="30" ht="21" customHeight="1">
      <c r="A30" s="61" t="n"/>
      <c r="B30" s="44">
        <f>'設定'!$I$33</f>
        <v/>
      </c>
      <c r="C30" s="62" t="n"/>
      <c r="D30" s="62" t="n"/>
      <c r="E30" s="62" t="n"/>
      <c r="F30" s="62" t="n"/>
      <c r="G30" s="62" t="n"/>
      <c r="H30" s="62" t="n"/>
    </row>
    <row r="31" ht="21" customHeight="1">
      <c r="A31" s="61" t="n"/>
      <c r="B31" s="44">
        <f>'設定'!$I$34</f>
        <v/>
      </c>
      <c r="C31" s="62" t="n"/>
      <c r="D31" s="62" t="n"/>
      <c r="E31" s="62" t="n"/>
      <c r="F31" s="62" t="n"/>
      <c r="G31" s="62" t="n"/>
      <c r="H31" s="62" t="n"/>
    </row>
    <row r="32"/>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row>
    <row r="35" ht="28" customHeight="1">
      <c r="A35" s="35" t="inlineStr">
        <is>
          <t>この時間
全部 ▼</t>
        </is>
      </c>
      <c r="B35" s="36" t="inlineStr"/>
      <c r="C35" s="37">
        <f>'設定'!$E$11</f>
        <v/>
      </c>
      <c r="D35" s="37">
        <f>'設定'!$E$12</f>
        <v/>
      </c>
      <c r="E35" s="37">
        <f>'設定'!$E$13</f>
        <v/>
      </c>
      <c r="F35" s="37">
        <f>'設定'!$E$14</f>
        <v/>
      </c>
      <c r="G35" s="37">
        <f>'設定'!$E$15</f>
        <v/>
      </c>
      <c r="H35" s="37">
        <f>'設定'!$E$16</f>
        <v/>
      </c>
    </row>
    <row r="36" ht="21" customHeight="1">
      <c r="A36" s="61" t="n"/>
      <c r="B36" s="44">
        <f>'設定'!$I$11</f>
        <v/>
      </c>
      <c r="C36" s="62" t="n"/>
      <c r="D36" s="62" t="n"/>
      <c r="E36" s="62" t="n"/>
      <c r="F36" s="62" t="n"/>
      <c r="G36" s="62" t="n"/>
      <c r="H36" s="62" t="n"/>
    </row>
    <row r="37" ht="21" customHeight="1">
      <c r="A37" s="61" t="n"/>
      <c r="B37" s="44">
        <f>'設定'!$I$12</f>
        <v/>
      </c>
      <c r="C37" s="62" t="n"/>
      <c r="D37" s="62" t="n"/>
      <c r="E37" s="62" t="n"/>
      <c r="F37" s="62" t="n"/>
      <c r="G37" s="62" t="n"/>
      <c r="H37" s="62" t="n"/>
    </row>
    <row r="38" ht="21" customHeight="1">
      <c r="A38" s="61" t="n"/>
      <c r="B38" s="44">
        <f>'設定'!$I$13</f>
        <v/>
      </c>
      <c r="C38" s="62" t="n"/>
      <c r="D38" s="62" t="n"/>
      <c r="E38" s="62" t="n"/>
      <c r="F38" s="62" t="n"/>
      <c r="G38" s="62" t="n"/>
      <c r="H38" s="62" t="n"/>
    </row>
    <row r="39" ht="21" customHeight="1">
      <c r="A39" s="61" t="n"/>
      <c r="B39" s="44">
        <f>'設定'!$I$14</f>
        <v/>
      </c>
      <c r="C39" s="62" t="n"/>
      <c r="D39" s="62" t="n"/>
      <c r="E39" s="62" t="n"/>
      <c r="F39" s="62" t="n"/>
      <c r="G39" s="62" t="n"/>
      <c r="H39" s="62" t="n"/>
    </row>
    <row r="40" ht="21" customHeight="1">
      <c r="A40" s="61" t="n"/>
      <c r="B40" s="44">
        <f>'設定'!$I$15</f>
        <v/>
      </c>
      <c r="C40" s="62" t="n"/>
      <c r="D40" s="62" t="n"/>
      <c r="E40" s="62" t="n"/>
      <c r="F40" s="62" t="n"/>
      <c r="G40" s="62" t="n"/>
      <c r="H40" s="62" t="n"/>
    </row>
    <row r="41" ht="21" customHeight="1">
      <c r="A41" s="61" t="n"/>
      <c r="B41" s="44">
        <f>'設定'!$I$16</f>
        <v/>
      </c>
      <c r="C41" s="62" t="n"/>
      <c r="D41" s="62" t="n"/>
      <c r="E41" s="62" t="n"/>
      <c r="F41" s="62" t="n"/>
      <c r="G41" s="62" t="n"/>
      <c r="H41" s="62" t="n"/>
    </row>
    <row r="42" ht="21" customHeight="1">
      <c r="A42" s="61" t="n"/>
      <c r="B42" s="44">
        <f>'設定'!$I$17</f>
        <v/>
      </c>
      <c r="C42" s="62" t="n"/>
      <c r="D42" s="62" t="n"/>
      <c r="E42" s="62" t="n"/>
      <c r="F42" s="62" t="n"/>
      <c r="G42" s="62" t="n"/>
      <c r="H42" s="62" t="n"/>
    </row>
    <row r="43" ht="21" customHeight="1">
      <c r="A43" s="61" t="n"/>
      <c r="B43" s="44">
        <f>'設定'!$I$18</f>
        <v/>
      </c>
      <c r="C43" s="62" t="n"/>
      <c r="D43" s="62" t="n"/>
      <c r="E43" s="62" t="n"/>
      <c r="F43" s="62" t="n"/>
      <c r="G43" s="62" t="n"/>
      <c r="H43" s="62" t="n"/>
    </row>
    <row r="44" ht="21" customHeight="1">
      <c r="A44" s="61" t="n"/>
      <c r="B44" s="44">
        <f>'設定'!$I$19</f>
        <v/>
      </c>
      <c r="C44" s="62" t="n"/>
      <c r="D44" s="62" t="n"/>
      <c r="E44" s="62" t="n"/>
      <c r="F44" s="62" t="n"/>
      <c r="G44" s="62" t="n"/>
      <c r="H44" s="62" t="n"/>
    </row>
    <row r="45" ht="21" customHeight="1">
      <c r="A45" s="61" t="n"/>
      <c r="B45" s="44">
        <f>'設定'!$I$20</f>
        <v/>
      </c>
      <c r="C45" s="62" t="n"/>
      <c r="D45" s="62" t="n"/>
      <c r="E45" s="62" t="n"/>
      <c r="F45" s="62" t="n"/>
      <c r="G45" s="62" t="n"/>
      <c r="H45" s="62" t="n"/>
    </row>
    <row r="46" ht="21" customHeight="1">
      <c r="A46" s="61" t="n"/>
      <c r="B46" s="44">
        <f>'設定'!$I$21</f>
        <v/>
      </c>
      <c r="C46" s="62" t="n"/>
      <c r="D46" s="62" t="n"/>
      <c r="E46" s="62" t="n"/>
      <c r="F46" s="62" t="n"/>
      <c r="G46" s="62" t="n"/>
      <c r="H46" s="62" t="n"/>
    </row>
    <row r="47" ht="21" customHeight="1">
      <c r="A47" s="61" t="n"/>
      <c r="B47" s="44">
        <f>'設定'!$I$22</f>
        <v/>
      </c>
      <c r="C47" s="62" t="n"/>
      <c r="D47" s="62" t="n"/>
      <c r="E47" s="62" t="n"/>
      <c r="F47" s="62" t="n"/>
      <c r="G47" s="62" t="n"/>
      <c r="H47" s="62" t="n"/>
    </row>
    <row r="48" ht="21" customHeight="1">
      <c r="A48" s="61" t="n"/>
      <c r="B48" s="44">
        <f>'設定'!$I$23</f>
        <v/>
      </c>
      <c r="C48" s="62" t="n"/>
      <c r="D48" s="62" t="n"/>
      <c r="E48" s="62" t="n"/>
      <c r="F48" s="62" t="n"/>
      <c r="G48" s="62" t="n"/>
      <c r="H48" s="62" t="n"/>
    </row>
    <row r="49" ht="21" customHeight="1">
      <c r="A49" s="61" t="n"/>
      <c r="B49" s="44">
        <f>'設定'!$I$24</f>
        <v/>
      </c>
      <c r="C49" s="62" t="n"/>
      <c r="D49" s="62" t="n"/>
      <c r="E49" s="62" t="n"/>
      <c r="F49" s="62" t="n"/>
      <c r="G49" s="62" t="n"/>
      <c r="H49" s="62" t="n"/>
    </row>
    <row r="50" ht="21" customHeight="1">
      <c r="A50" s="61" t="n"/>
      <c r="B50" s="44">
        <f>'設定'!$I$25</f>
        <v/>
      </c>
      <c r="C50" s="62" t="n"/>
      <c r="D50" s="62" t="n"/>
      <c r="E50" s="62" t="n"/>
      <c r="F50" s="62" t="n"/>
      <c r="G50" s="62" t="n"/>
      <c r="H50" s="62" t="n"/>
    </row>
    <row r="51" ht="21" customHeight="1">
      <c r="A51" s="61" t="n"/>
      <c r="B51" s="44">
        <f>'設定'!$I$26</f>
        <v/>
      </c>
      <c r="C51" s="62" t="n"/>
      <c r="D51" s="62" t="n"/>
      <c r="E51" s="62" t="n"/>
      <c r="F51" s="62" t="n"/>
      <c r="G51" s="62" t="n"/>
      <c r="H51" s="62" t="n"/>
    </row>
    <row r="52" ht="21" customHeight="1">
      <c r="A52" s="61" t="n"/>
      <c r="B52" s="44">
        <f>'設定'!$I$27</f>
        <v/>
      </c>
      <c r="C52" s="62" t="n"/>
      <c r="D52" s="62" t="n"/>
      <c r="E52" s="62" t="n"/>
      <c r="F52" s="62" t="n"/>
      <c r="G52" s="62" t="n"/>
      <c r="H52" s="62" t="n"/>
    </row>
    <row r="53" ht="21" customHeight="1">
      <c r="A53" s="61" t="n"/>
      <c r="B53" s="44">
        <f>'設定'!$I$28</f>
        <v/>
      </c>
      <c r="C53" s="62" t="n"/>
      <c r="D53" s="62" t="n"/>
      <c r="E53" s="62" t="n"/>
      <c r="F53" s="62" t="n"/>
      <c r="G53" s="62" t="n"/>
      <c r="H53" s="62" t="n"/>
    </row>
    <row r="54" ht="21" customHeight="1">
      <c r="A54" s="61" t="n"/>
      <c r="B54" s="44">
        <f>'設定'!$I$29</f>
        <v/>
      </c>
      <c r="C54" s="62" t="n"/>
      <c r="D54" s="62" t="n"/>
      <c r="E54" s="62" t="n"/>
      <c r="F54" s="62" t="n"/>
      <c r="G54" s="62" t="n"/>
      <c r="H54" s="62" t="n"/>
    </row>
    <row r="55" ht="21" customHeight="1">
      <c r="A55" s="61" t="n"/>
      <c r="B55" s="44">
        <f>'設定'!$I$30</f>
        <v/>
      </c>
      <c r="C55" s="62" t="n"/>
      <c r="D55" s="62" t="n"/>
      <c r="E55" s="62" t="n"/>
      <c r="F55" s="62" t="n"/>
      <c r="G55" s="62" t="n"/>
      <c r="H55" s="62" t="n"/>
    </row>
    <row r="56" ht="21" customHeight="1">
      <c r="A56" s="61" t="n"/>
      <c r="B56" s="44">
        <f>'設定'!$I$31</f>
        <v/>
      </c>
      <c r="C56" s="62" t="n"/>
      <c r="D56" s="62" t="n"/>
      <c r="E56" s="62" t="n"/>
      <c r="F56" s="62" t="n"/>
      <c r="G56" s="62" t="n"/>
      <c r="H56" s="62" t="n"/>
    </row>
    <row r="57" ht="21" customHeight="1">
      <c r="A57" s="61" t="n"/>
      <c r="B57" s="44">
        <f>'設定'!$I$32</f>
        <v/>
      </c>
      <c r="C57" s="62" t="n"/>
      <c r="D57" s="62" t="n"/>
      <c r="E57" s="62" t="n"/>
      <c r="F57" s="62" t="n"/>
      <c r="G57" s="62" t="n"/>
      <c r="H57" s="62" t="n"/>
    </row>
    <row r="58" ht="21" customHeight="1">
      <c r="A58" s="61" t="n"/>
      <c r="B58" s="44">
        <f>'設定'!$I$33</f>
        <v/>
      </c>
      <c r="C58" s="62" t="n"/>
      <c r="D58" s="62" t="n"/>
      <c r="E58" s="62" t="n"/>
      <c r="F58" s="62" t="n"/>
      <c r="G58" s="62" t="n"/>
      <c r="H58" s="62" t="n"/>
    </row>
    <row r="59" ht="21" customHeight="1">
      <c r="A59" s="61" t="n"/>
      <c r="B59" s="44">
        <f>'設定'!$I$34</f>
        <v/>
      </c>
      <c r="C59" s="62" t="n"/>
      <c r="D59" s="62" t="n"/>
      <c r="E59" s="62" t="n"/>
      <c r="F59" s="62" t="n"/>
      <c r="G59" s="62" t="n"/>
      <c r="H59" s="62" t="n"/>
    </row>
    <row r="60"/>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n"/>
      <c r="E62" s="61" t="n"/>
      <c r="F62" s="61" t="n"/>
      <c r="G62" s="61" t="n"/>
      <c r="H62" s="61" t="n"/>
    </row>
    <row r="63" ht="28" customHeight="1">
      <c r="A63" s="35" t="inlineStr">
        <is>
          <t>この時間
全部 ▼</t>
        </is>
      </c>
      <c r="B63" s="36" t="inlineStr"/>
      <c r="C63" s="37">
        <f>'設定'!$E$11</f>
        <v/>
      </c>
      <c r="D63" s="37">
        <f>'設定'!$E$12</f>
        <v/>
      </c>
      <c r="E63" s="37">
        <f>'設定'!$E$13</f>
        <v/>
      </c>
      <c r="F63" s="37">
        <f>'設定'!$E$14</f>
        <v/>
      </c>
      <c r="G63" s="37">
        <f>'設定'!$E$15</f>
        <v/>
      </c>
      <c r="H63" s="37">
        <f>'設定'!$E$16</f>
        <v/>
      </c>
    </row>
    <row r="64" ht="21" customHeight="1">
      <c r="A64" s="61" t="n"/>
      <c r="B64" s="44">
        <f>'設定'!$I$11</f>
        <v/>
      </c>
      <c r="C64" s="62" t="n"/>
      <c r="D64" s="62" t="n"/>
      <c r="E64" s="62" t="n"/>
      <c r="F64" s="62" t="n"/>
      <c r="G64" s="62" t="n"/>
      <c r="H64" s="62" t="n"/>
    </row>
    <row r="65" ht="21" customHeight="1">
      <c r="A65" s="61" t="n"/>
      <c r="B65" s="44">
        <f>'設定'!$I$12</f>
        <v/>
      </c>
      <c r="C65" s="62" t="n"/>
      <c r="D65" s="62" t="n"/>
      <c r="E65" s="62" t="n"/>
      <c r="F65" s="62" t="n"/>
      <c r="G65" s="62" t="n"/>
      <c r="H65" s="62" t="n"/>
    </row>
    <row r="66" ht="21" customHeight="1">
      <c r="A66" s="61" t="n"/>
      <c r="B66" s="44">
        <f>'設定'!$I$13</f>
        <v/>
      </c>
      <c r="C66" s="62" t="n"/>
      <c r="D66" s="62" t="n"/>
      <c r="E66" s="62" t="n"/>
      <c r="F66" s="62" t="n"/>
      <c r="G66" s="62" t="n"/>
      <c r="H66" s="62" t="n"/>
    </row>
    <row r="67" ht="21" customHeight="1">
      <c r="A67" s="61" t="n"/>
      <c r="B67" s="44">
        <f>'設定'!$I$14</f>
        <v/>
      </c>
      <c r="C67" s="62" t="n"/>
      <c r="D67" s="62" t="n"/>
      <c r="E67" s="62" t="n"/>
      <c r="F67" s="62" t="n"/>
      <c r="G67" s="62" t="n"/>
      <c r="H67" s="62" t="n"/>
    </row>
    <row r="68" ht="21" customHeight="1">
      <c r="A68" s="61" t="n"/>
      <c r="B68" s="44">
        <f>'設定'!$I$15</f>
        <v/>
      </c>
      <c r="C68" s="62" t="n"/>
      <c r="D68" s="62" t="n"/>
      <c r="E68" s="62" t="n"/>
      <c r="F68" s="62" t="n"/>
      <c r="G68" s="62" t="n"/>
      <c r="H68" s="62" t="n"/>
    </row>
    <row r="69" ht="21" customHeight="1">
      <c r="A69" s="61" t="n"/>
      <c r="B69" s="44">
        <f>'設定'!$I$16</f>
        <v/>
      </c>
      <c r="C69" s="62" t="n"/>
      <c r="D69" s="62" t="n"/>
      <c r="E69" s="62" t="n"/>
      <c r="F69" s="62" t="n"/>
      <c r="G69" s="62" t="n"/>
      <c r="H69" s="62" t="n"/>
    </row>
    <row r="70" ht="21" customHeight="1">
      <c r="A70" s="61" t="n"/>
      <c r="B70" s="44">
        <f>'設定'!$I$17</f>
        <v/>
      </c>
      <c r="C70" s="62" t="n"/>
      <c r="D70" s="62" t="n"/>
      <c r="E70" s="62" t="n"/>
      <c r="F70" s="62" t="n"/>
      <c r="G70" s="62" t="n"/>
      <c r="H70" s="62" t="n"/>
    </row>
    <row r="71" ht="21" customHeight="1">
      <c r="A71" s="61" t="n"/>
      <c r="B71" s="44">
        <f>'設定'!$I$18</f>
        <v/>
      </c>
      <c r="C71" s="62" t="n"/>
      <c r="D71" s="62" t="n"/>
      <c r="E71" s="62" t="n"/>
      <c r="F71" s="62" t="n"/>
      <c r="G71" s="62" t="n"/>
      <c r="H71" s="62" t="n"/>
    </row>
    <row r="72" ht="21" customHeight="1">
      <c r="A72" s="61" t="n"/>
      <c r="B72" s="44">
        <f>'設定'!$I$19</f>
        <v/>
      </c>
      <c r="C72" s="62" t="n"/>
      <c r="D72" s="62" t="n"/>
      <c r="E72" s="62" t="n"/>
      <c r="F72" s="62" t="n"/>
      <c r="G72" s="62" t="n"/>
      <c r="H72" s="62" t="n"/>
    </row>
    <row r="73" ht="21" customHeight="1">
      <c r="A73" s="61" t="n"/>
      <c r="B73" s="44">
        <f>'設定'!$I$20</f>
        <v/>
      </c>
      <c r="C73" s="62" t="n"/>
      <c r="D73" s="62" t="n"/>
      <c r="E73" s="62" t="n"/>
      <c r="F73" s="62" t="n"/>
      <c r="G73" s="62" t="n"/>
      <c r="H73" s="62" t="n"/>
    </row>
    <row r="74" ht="21" customHeight="1">
      <c r="A74" s="61" t="n"/>
      <c r="B74" s="44">
        <f>'設定'!$I$21</f>
        <v/>
      </c>
      <c r="C74" s="62" t="n"/>
      <c r="D74" s="62" t="n"/>
      <c r="E74" s="62" t="n"/>
      <c r="F74" s="62" t="n"/>
      <c r="G74" s="62" t="n"/>
      <c r="H74" s="62" t="n"/>
    </row>
    <row r="75" ht="21" customHeight="1">
      <c r="A75" s="61" t="n"/>
      <c r="B75" s="44">
        <f>'設定'!$I$22</f>
        <v/>
      </c>
      <c r="C75" s="62" t="n"/>
      <c r="D75" s="62" t="n"/>
      <c r="E75" s="62" t="n"/>
      <c r="F75" s="62" t="n"/>
      <c r="G75" s="62" t="n"/>
      <c r="H75" s="62" t="n"/>
    </row>
    <row r="76" ht="21" customHeight="1">
      <c r="A76" s="61" t="n"/>
      <c r="B76" s="44">
        <f>'設定'!$I$23</f>
        <v/>
      </c>
      <c r="C76" s="62" t="n"/>
      <c r="D76" s="62" t="n"/>
      <c r="E76" s="62" t="n"/>
      <c r="F76" s="62" t="n"/>
      <c r="G76" s="62" t="n"/>
      <c r="H76" s="62" t="n"/>
    </row>
    <row r="77" ht="21" customHeight="1">
      <c r="A77" s="61" t="n"/>
      <c r="B77" s="44">
        <f>'設定'!$I$24</f>
        <v/>
      </c>
      <c r="C77" s="62" t="n"/>
      <c r="D77" s="62" t="n"/>
      <c r="E77" s="62" t="n"/>
      <c r="F77" s="62" t="n"/>
      <c r="G77" s="62" t="n"/>
      <c r="H77" s="62" t="n"/>
    </row>
    <row r="78" ht="21" customHeight="1">
      <c r="A78" s="61" t="n"/>
      <c r="B78" s="44">
        <f>'設定'!$I$25</f>
        <v/>
      </c>
      <c r="C78" s="62" t="n"/>
      <c r="D78" s="62" t="n"/>
      <c r="E78" s="62" t="n"/>
      <c r="F78" s="62" t="n"/>
      <c r="G78" s="62" t="n"/>
      <c r="H78" s="62" t="n"/>
    </row>
    <row r="79" ht="21" customHeight="1">
      <c r="A79" s="61" t="n"/>
      <c r="B79" s="44">
        <f>'設定'!$I$26</f>
        <v/>
      </c>
      <c r="C79" s="62" t="n"/>
      <c r="D79" s="62" t="n"/>
      <c r="E79" s="62" t="n"/>
      <c r="F79" s="62" t="n"/>
      <c r="G79" s="62" t="n"/>
      <c r="H79" s="62" t="n"/>
    </row>
    <row r="80" ht="21" customHeight="1">
      <c r="A80" s="61" t="n"/>
      <c r="B80" s="44">
        <f>'設定'!$I$27</f>
        <v/>
      </c>
      <c r="C80" s="62" t="n"/>
      <c r="D80" s="62" t="n"/>
      <c r="E80" s="62" t="n"/>
      <c r="F80" s="62" t="n"/>
      <c r="G80" s="62" t="n"/>
      <c r="H80" s="62" t="n"/>
    </row>
    <row r="81" ht="21" customHeight="1">
      <c r="A81" s="61" t="n"/>
      <c r="B81" s="44">
        <f>'設定'!$I$28</f>
        <v/>
      </c>
      <c r="C81" s="62" t="n"/>
      <c r="D81" s="62" t="n"/>
      <c r="E81" s="62" t="n"/>
      <c r="F81" s="62" t="n"/>
      <c r="G81" s="62" t="n"/>
      <c r="H81" s="62" t="n"/>
    </row>
    <row r="82" ht="21" customHeight="1">
      <c r="A82" s="61" t="n"/>
      <c r="B82" s="44">
        <f>'設定'!$I$29</f>
        <v/>
      </c>
      <c r="C82" s="62" t="n"/>
      <c r="D82" s="62" t="n"/>
      <c r="E82" s="62" t="n"/>
      <c r="F82" s="62" t="n"/>
      <c r="G82" s="62" t="n"/>
      <c r="H82" s="62" t="n"/>
    </row>
    <row r="83" ht="21" customHeight="1">
      <c r="A83" s="61" t="n"/>
      <c r="B83" s="44">
        <f>'設定'!$I$30</f>
        <v/>
      </c>
      <c r="C83" s="62" t="n"/>
      <c r="D83" s="62" t="n"/>
      <c r="E83" s="62" t="n"/>
      <c r="F83" s="62" t="n"/>
      <c r="G83" s="62" t="n"/>
      <c r="H83" s="62" t="n"/>
    </row>
    <row r="84" ht="21" customHeight="1">
      <c r="A84" s="61" t="n"/>
      <c r="B84" s="44">
        <f>'設定'!$I$31</f>
        <v/>
      </c>
      <c r="C84" s="62" t="n"/>
      <c r="D84" s="62" t="n"/>
      <c r="E84" s="62" t="n"/>
      <c r="F84" s="62" t="n"/>
      <c r="G84" s="62" t="n"/>
      <c r="H84" s="62" t="n"/>
    </row>
    <row r="85" ht="21" customHeight="1">
      <c r="A85" s="61" t="n"/>
      <c r="B85" s="44">
        <f>'設定'!$I$32</f>
        <v/>
      </c>
      <c r="C85" s="62" t="n"/>
      <c r="D85" s="62" t="n"/>
      <c r="E85" s="62" t="n"/>
      <c r="F85" s="62" t="n"/>
      <c r="G85" s="62" t="n"/>
      <c r="H85" s="62" t="n"/>
    </row>
    <row r="86" ht="21" customHeight="1">
      <c r="A86" s="61" t="n"/>
      <c r="B86" s="44">
        <f>'設定'!$I$33</f>
        <v/>
      </c>
      <c r="C86" s="62" t="n"/>
      <c r="D86" s="62" t="n"/>
      <c r="E86" s="62" t="n"/>
      <c r="F86" s="62" t="n"/>
      <c r="G86" s="62" t="n"/>
      <c r="H86" s="62" t="n"/>
    </row>
    <row r="87" ht="21" customHeight="1">
      <c r="A87" s="61" t="n"/>
      <c r="B87" s="44">
        <f>'設定'!$I$34</f>
        <v/>
      </c>
      <c r="C87" s="62" t="n"/>
      <c r="D87" s="62" t="n"/>
      <c r="E87" s="62" t="n"/>
      <c r="F87" s="62" t="n"/>
      <c r="G87" s="62" t="n"/>
      <c r="H87" s="62" t="n"/>
    </row>
    <row r="88"/>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row>
    <row r="91" ht="28" customHeight="1">
      <c r="A91" s="35" t="inlineStr">
        <is>
          <t>この時間
全部 ▼</t>
        </is>
      </c>
      <c r="B91" s="36" t="inlineStr"/>
      <c r="C91" s="37">
        <f>'設定'!$E$11</f>
        <v/>
      </c>
      <c r="D91" s="37">
        <f>'設定'!$E$12</f>
        <v/>
      </c>
      <c r="E91" s="37">
        <f>'設定'!$E$13</f>
        <v/>
      </c>
      <c r="F91" s="37">
        <f>'設定'!$E$14</f>
        <v/>
      </c>
      <c r="G91" s="37">
        <f>'設定'!$E$15</f>
        <v/>
      </c>
      <c r="H91" s="37">
        <f>'設定'!$E$16</f>
        <v/>
      </c>
    </row>
    <row r="92" ht="21" customHeight="1">
      <c r="A92" s="61" t="n"/>
      <c r="B92" s="44">
        <f>'設定'!$I$11</f>
        <v/>
      </c>
      <c r="C92" s="62" t="n"/>
      <c r="D92" s="62" t="n"/>
      <c r="E92" s="62" t="n"/>
      <c r="F92" s="62" t="n"/>
      <c r="G92" s="62" t="n"/>
      <c r="H92" s="62" t="n"/>
    </row>
    <row r="93" ht="21" customHeight="1">
      <c r="A93" s="61" t="n"/>
      <c r="B93" s="44">
        <f>'設定'!$I$12</f>
        <v/>
      </c>
      <c r="C93" s="62" t="n"/>
      <c r="D93" s="62" t="n"/>
      <c r="E93" s="62" t="n"/>
      <c r="F93" s="62" t="n"/>
      <c r="G93" s="62" t="n"/>
      <c r="H93" s="62" t="n"/>
    </row>
    <row r="94" ht="21" customHeight="1">
      <c r="A94" s="61" t="n"/>
      <c r="B94" s="44">
        <f>'設定'!$I$13</f>
        <v/>
      </c>
      <c r="C94" s="62" t="n"/>
      <c r="D94" s="62" t="n"/>
      <c r="E94" s="62" t="n"/>
      <c r="F94" s="62" t="n"/>
      <c r="G94" s="62" t="n"/>
      <c r="H94" s="62" t="n"/>
    </row>
    <row r="95" ht="21" customHeight="1">
      <c r="A95" s="61" t="n"/>
      <c r="B95" s="44">
        <f>'設定'!$I$14</f>
        <v/>
      </c>
      <c r="C95" s="62" t="n"/>
      <c r="D95" s="62" t="n"/>
      <c r="E95" s="62" t="n"/>
      <c r="F95" s="62" t="n"/>
      <c r="G95" s="62" t="n"/>
      <c r="H95" s="62" t="n"/>
    </row>
    <row r="96" ht="21" customHeight="1">
      <c r="A96" s="61" t="n"/>
      <c r="B96" s="44">
        <f>'設定'!$I$15</f>
        <v/>
      </c>
      <c r="C96" s="62" t="n"/>
      <c r="D96" s="62" t="n"/>
      <c r="E96" s="62" t="n"/>
      <c r="F96" s="62" t="n"/>
      <c r="G96" s="62" t="n"/>
      <c r="H96" s="62" t="n"/>
    </row>
    <row r="97" ht="21" customHeight="1">
      <c r="A97" s="61" t="n"/>
      <c r="B97" s="44">
        <f>'設定'!$I$16</f>
        <v/>
      </c>
      <c r="C97" s="62" t="n"/>
      <c r="D97" s="62" t="n"/>
      <c r="E97" s="62" t="n"/>
      <c r="F97" s="62" t="n"/>
      <c r="G97" s="62" t="n"/>
      <c r="H97" s="62" t="n"/>
    </row>
    <row r="98" ht="21" customHeight="1">
      <c r="A98" s="61" t="n"/>
      <c r="B98" s="44">
        <f>'設定'!$I$17</f>
        <v/>
      </c>
      <c r="C98" s="62" t="n"/>
      <c r="D98" s="62" t="n"/>
      <c r="E98" s="62" t="n"/>
      <c r="F98" s="62" t="n"/>
      <c r="G98" s="62" t="n"/>
      <c r="H98" s="62" t="n"/>
    </row>
    <row r="99" ht="21" customHeight="1">
      <c r="A99" s="61" t="n"/>
      <c r="B99" s="44">
        <f>'設定'!$I$18</f>
        <v/>
      </c>
      <c r="C99" s="62" t="n"/>
      <c r="D99" s="62" t="n"/>
      <c r="E99" s="62" t="n"/>
      <c r="F99" s="62" t="n"/>
      <c r="G99" s="62" t="n"/>
      <c r="H99" s="62" t="n"/>
    </row>
    <row r="100" ht="21" customHeight="1">
      <c r="A100" s="61" t="n"/>
      <c r="B100" s="44">
        <f>'設定'!$I$19</f>
        <v/>
      </c>
      <c r="C100" s="62" t="n"/>
      <c r="D100" s="62" t="n"/>
      <c r="E100" s="62" t="n"/>
      <c r="F100" s="62" t="n"/>
      <c r="G100" s="62" t="n"/>
      <c r="H100" s="62" t="n"/>
    </row>
    <row r="101" ht="21" customHeight="1">
      <c r="A101" s="61" t="n"/>
      <c r="B101" s="44">
        <f>'設定'!$I$20</f>
        <v/>
      </c>
      <c r="C101" s="62" t="n"/>
      <c r="D101" s="62" t="n"/>
      <c r="E101" s="62" t="n"/>
      <c r="F101" s="62" t="n"/>
      <c r="G101" s="62" t="n"/>
      <c r="H101" s="62" t="n"/>
    </row>
    <row r="102" ht="21" customHeight="1">
      <c r="A102" s="61" t="n"/>
      <c r="B102" s="44">
        <f>'設定'!$I$21</f>
        <v/>
      </c>
      <c r="C102" s="62" t="n"/>
      <c r="D102" s="62" t="n"/>
      <c r="E102" s="62" t="n"/>
      <c r="F102" s="62" t="n"/>
      <c r="G102" s="62" t="n"/>
      <c r="H102" s="62" t="n"/>
    </row>
    <row r="103" ht="21" customHeight="1">
      <c r="A103" s="61" t="n"/>
      <c r="B103" s="44">
        <f>'設定'!$I$22</f>
        <v/>
      </c>
      <c r="C103" s="62" t="n"/>
      <c r="D103" s="62" t="n"/>
      <c r="E103" s="62" t="n"/>
      <c r="F103" s="62" t="n"/>
      <c r="G103" s="62" t="n"/>
      <c r="H103" s="62" t="n"/>
    </row>
    <row r="104" ht="21" customHeight="1">
      <c r="A104" s="61" t="n"/>
      <c r="B104" s="44">
        <f>'設定'!$I$23</f>
        <v/>
      </c>
      <c r="C104" s="62" t="n"/>
      <c r="D104" s="62" t="n"/>
      <c r="E104" s="62" t="n"/>
      <c r="F104" s="62" t="n"/>
      <c r="G104" s="62" t="n"/>
      <c r="H104" s="62" t="n"/>
    </row>
    <row r="105" ht="21" customHeight="1">
      <c r="A105" s="61" t="n"/>
      <c r="B105" s="44">
        <f>'設定'!$I$24</f>
        <v/>
      </c>
      <c r="C105" s="62" t="n"/>
      <c r="D105" s="62" t="n"/>
      <c r="E105" s="62" t="n"/>
      <c r="F105" s="62" t="n"/>
      <c r="G105" s="62" t="n"/>
      <c r="H105" s="62" t="n"/>
    </row>
    <row r="106" ht="21" customHeight="1">
      <c r="A106" s="61" t="n"/>
      <c r="B106" s="44">
        <f>'設定'!$I$25</f>
        <v/>
      </c>
      <c r="C106" s="62" t="n"/>
      <c r="D106" s="62" t="n"/>
      <c r="E106" s="62" t="n"/>
      <c r="F106" s="62" t="n"/>
      <c r="G106" s="62" t="n"/>
      <c r="H106" s="62" t="n"/>
    </row>
    <row r="107" ht="21" customHeight="1">
      <c r="A107" s="61" t="n"/>
      <c r="B107" s="44">
        <f>'設定'!$I$26</f>
        <v/>
      </c>
      <c r="C107" s="62" t="n"/>
      <c r="D107" s="62" t="n"/>
      <c r="E107" s="62" t="n"/>
      <c r="F107" s="62" t="n"/>
      <c r="G107" s="62" t="n"/>
      <c r="H107" s="62" t="n"/>
    </row>
    <row r="108" ht="21" customHeight="1">
      <c r="A108" s="61" t="n"/>
      <c r="B108" s="44">
        <f>'設定'!$I$27</f>
        <v/>
      </c>
      <c r="C108" s="62" t="n"/>
      <c r="D108" s="62" t="n"/>
      <c r="E108" s="62" t="n"/>
      <c r="F108" s="62" t="n"/>
      <c r="G108" s="62" t="n"/>
      <c r="H108" s="62" t="n"/>
    </row>
    <row r="109" ht="21" customHeight="1">
      <c r="A109" s="61" t="n"/>
      <c r="B109" s="44">
        <f>'設定'!$I$28</f>
        <v/>
      </c>
      <c r="C109" s="62" t="n"/>
      <c r="D109" s="62" t="n"/>
      <c r="E109" s="62" t="n"/>
      <c r="F109" s="62" t="n"/>
      <c r="G109" s="62" t="n"/>
      <c r="H109" s="62" t="n"/>
    </row>
    <row r="110" ht="21" customHeight="1">
      <c r="A110" s="61" t="n"/>
      <c r="B110" s="44">
        <f>'設定'!$I$29</f>
        <v/>
      </c>
      <c r="C110" s="62" t="n"/>
      <c r="D110" s="62" t="n"/>
      <c r="E110" s="62" t="n"/>
      <c r="F110" s="62" t="n"/>
      <c r="G110" s="62" t="n"/>
      <c r="H110" s="62" t="n"/>
    </row>
    <row r="111" ht="21" customHeight="1">
      <c r="A111" s="61" t="n"/>
      <c r="B111" s="44">
        <f>'設定'!$I$30</f>
        <v/>
      </c>
      <c r="C111" s="62" t="n"/>
      <c r="D111" s="62" t="n"/>
      <c r="E111" s="62" t="n"/>
      <c r="F111" s="62" t="n"/>
      <c r="G111" s="62" t="n"/>
      <c r="H111" s="62" t="n"/>
    </row>
    <row r="112" ht="21" customHeight="1">
      <c r="A112" s="61" t="n"/>
      <c r="B112" s="44">
        <f>'設定'!$I$31</f>
        <v/>
      </c>
      <c r="C112" s="62" t="n"/>
      <c r="D112" s="62" t="n"/>
      <c r="E112" s="62" t="n"/>
      <c r="F112" s="62" t="n"/>
      <c r="G112" s="62" t="n"/>
      <c r="H112" s="62" t="n"/>
    </row>
    <row r="113" ht="21" customHeight="1">
      <c r="A113" s="61" t="n"/>
      <c r="B113" s="44">
        <f>'設定'!$I$32</f>
        <v/>
      </c>
      <c r="C113" s="62" t="n"/>
      <c r="D113" s="62" t="n"/>
      <c r="E113" s="62" t="n"/>
      <c r="F113" s="62" t="n"/>
      <c r="G113" s="62" t="n"/>
      <c r="H113" s="62" t="n"/>
    </row>
    <row r="114" ht="21" customHeight="1">
      <c r="A114" s="61" t="n"/>
      <c r="B114" s="44">
        <f>'設定'!$I$33</f>
        <v/>
      </c>
      <c r="C114" s="62" t="n"/>
      <c r="D114" s="62" t="n"/>
      <c r="E114" s="62" t="n"/>
      <c r="F114" s="62" t="n"/>
      <c r="G114" s="62" t="n"/>
      <c r="H114" s="62" t="n"/>
    </row>
    <row r="115" ht="21" customHeight="1">
      <c r="A115" s="61" t="n"/>
      <c r="B115" s="44">
        <f>'設定'!$I$34</f>
        <v/>
      </c>
      <c r="C115" s="62" t="n"/>
      <c r="D115" s="62" t="n"/>
      <c r="E115" s="62" t="n"/>
      <c r="F115" s="62" t="n"/>
      <c r="G115" s="62" t="n"/>
      <c r="H115" s="62" t="n"/>
    </row>
    <row r="116"/>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row>
    <row r="120" ht="21" customHeight="1">
      <c r="A120" s="61" t="n"/>
      <c r="B120" s="44">
        <f>'設定'!$I$11</f>
        <v/>
      </c>
      <c r="C120" s="62" t="n"/>
      <c r="D120" s="62" t="n"/>
      <c r="E120" s="62" t="n"/>
      <c r="F120" s="62" t="n"/>
      <c r="G120" s="62" t="n"/>
      <c r="H120" s="62" t="n"/>
    </row>
    <row r="121" ht="21" customHeight="1">
      <c r="A121" s="61" t="n"/>
      <c r="B121" s="44">
        <f>'設定'!$I$12</f>
        <v/>
      </c>
      <c r="C121" s="62" t="n"/>
      <c r="D121" s="62" t="n"/>
      <c r="E121" s="62" t="n"/>
      <c r="F121" s="62" t="n"/>
      <c r="G121" s="62" t="n"/>
      <c r="H121" s="62" t="n"/>
    </row>
    <row r="122" ht="21" customHeight="1">
      <c r="A122" s="61" t="n"/>
      <c r="B122" s="44">
        <f>'設定'!$I$13</f>
        <v/>
      </c>
      <c r="C122" s="62" t="n"/>
      <c r="D122" s="62" t="n"/>
      <c r="E122" s="62" t="n"/>
      <c r="F122" s="62" t="n"/>
      <c r="G122" s="62" t="n"/>
      <c r="H122" s="62" t="n"/>
    </row>
    <row r="123" ht="21" customHeight="1">
      <c r="A123" s="61" t="n"/>
      <c r="B123" s="44">
        <f>'設定'!$I$14</f>
        <v/>
      </c>
      <c r="C123" s="62" t="n"/>
      <c r="D123" s="62" t="n"/>
      <c r="E123" s="62" t="n"/>
      <c r="F123" s="62" t="n"/>
      <c r="G123" s="62" t="n"/>
      <c r="H123" s="62" t="n"/>
    </row>
    <row r="124" ht="21" customHeight="1">
      <c r="A124" s="61" t="n"/>
      <c r="B124" s="44">
        <f>'設定'!$I$15</f>
        <v/>
      </c>
      <c r="C124" s="62" t="n"/>
      <c r="D124" s="62" t="n"/>
      <c r="E124" s="62" t="n"/>
      <c r="F124" s="62" t="n"/>
      <c r="G124" s="62" t="n"/>
      <c r="H124" s="62" t="n"/>
    </row>
    <row r="125" ht="21" customHeight="1">
      <c r="A125" s="61" t="n"/>
      <c r="B125" s="44">
        <f>'設定'!$I$16</f>
        <v/>
      </c>
      <c r="C125" s="62" t="n"/>
      <c r="D125" s="62" t="n"/>
      <c r="E125" s="62" t="n"/>
      <c r="F125" s="62" t="n"/>
      <c r="G125" s="62" t="n"/>
      <c r="H125" s="62" t="n"/>
    </row>
    <row r="126" ht="21" customHeight="1">
      <c r="A126" s="61" t="n"/>
      <c r="B126" s="44">
        <f>'設定'!$I$17</f>
        <v/>
      </c>
      <c r="C126" s="62" t="n"/>
      <c r="D126" s="62" t="n"/>
      <c r="E126" s="62" t="n"/>
      <c r="F126" s="62" t="n"/>
      <c r="G126" s="62" t="n"/>
      <c r="H126" s="62" t="n"/>
    </row>
    <row r="127" ht="21" customHeight="1">
      <c r="A127" s="61" t="n"/>
      <c r="B127" s="44">
        <f>'設定'!$I$18</f>
        <v/>
      </c>
      <c r="C127" s="62" t="n"/>
      <c r="D127" s="62" t="n"/>
      <c r="E127" s="62" t="n"/>
      <c r="F127" s="62" t="n"/>
      <c r="G127" s="62" t="n"/>
      <c r="H127" s="62" t="n"/>
    </row>
    <row r="128" ht="21" customHeight="1">
      <c r="A128" s="61" t="n"/>
      <c r="B128" s="44">
        <f>'設定'!$I$19</f>
        <v/>
      </c>
      <c r="C128" s="62" t="n"/>
      <c r="D128" s="62" t="n"/>
      <c r="E128" s="62" t="n"/>
      <c r="F128" s="62" t="n"/>
      <c r="G128" s="62" t="n"/>
      <c r="H128" s="62" t="n"/>
    </row>
    <row r="129" ht="21" customHeight="1">
      <c r="A129" s="61" t="n"/>
      <c r="B129" s="44">
        <f>'設定'!$I$20</f>
        <v/>
      </c>
      <c r="C129" s="62" t="n"/>
      <c r="D129" s="62" t="n"/>
      <c r="E129" s="62" t="n"/>
      <c r="F129" s="62" t="n"/>
      <c r="G129" s="62" t="n"/>
      <c r="H129" s="62" t="n"/>
    </row>
    <row r="130" ht="21" customHeight="1">
      <c r="A130" s="61" t="n"/>
      <c r="B130" s="44">
        <f>'設定'!$I$21</f>
        <v/>
      </c>
      <c r="C130" s="62" t="n"/>
      <c r="D130" s="62" t="n"/>
      <c r="E130" s="62" t="n"/>
      <c r="F130" s="62" t="n"/>
      <c r="G130" s="62" t="n"/>
      <c r="H130" s="62" t="n"/>
    </row>
    <row r="131" ht="21" customHeight="1">
      <c r="A131" s="61" t="n"/>
      <c r="B131" s="44">
        <f>'設定'!$I$22</f>
        <v/>
      </c>
      <c r="C131" s="62" t="n"/>
      <c r="D131" s="62" t="n"/>
      <c r="E131" s="62" t="n"/>
      <c r="F131" s="62" t="n"/>
      <c r="G131" s="62" t="n"/>
      <c r="H131" s="62" t="n"/>
    </row>
    <row r="132" ht="21" customHeight="1">
      <c r="A132" s="61" t="n"/>
      <c r="B132" s="44">
        <f>'設定'!$I$23</f>
        <v/>
      </c>
      <c r="C132" s="62" t="n"/>
      <c r="D132" s="62" t="n"/>
      <c r="E132" s="62" t="n"/>
      <c r="F132" s="62" t="n"/>
      <c r="G132" s="62" t="n"/>
      <c r="H132" s="62" t="n"/>
    </row>
    <row r="133" ht="21" customHeight="1">
      <c r="A133" s="61" t="n"/>
      <c r="B133" s="44">
        <f>'設定'!$I$24</f>
        <v/>
      </c>
      <c r="C133" s="62" t="n"/>
      <c r="D133" s="62" t="n"/>
      <c r="E133" s="62" t="n"/>
      <c r="F133" s="62" t="n"/>
      <c r="G133" s="62" t="n"/>
      <c r="H133" s="62" t="n"/>
    </row>
    <row r="134" ht="21" customHeight="1">
      <c r="A134" s="61" t="n"/>
      <c r="B134" s="44">
        <f>'設定'!$I$25</f>
        <v/>
      </c>
      <c r="C134" s="62" t="n"/>
      <c r="D134" s="62" t="n"/>
      <c r="E134" s="62" t="n"/>
      <c r="F134" s="62" t="n"/>
      <c r="G134" s="62" t="n"/>
      <c r="H134" s="62" t="n"/>
    </row>
    <row r="135" ht="21" customHeight="1">
      <c r="A135" s="61" t="n"/>
      <c r="B135" s="44">
        <f>'設定'!$I$26</f>
        <v/>
      </c>
      <c r="C135" s="62" t="n"/>
      <c r="D135" s="62" t="n"/>
      <c r="E135" s="62" t="n"/>
      <c r="F135" s="62" t="n"/>
      <c r="G135" s="62" t="n"/>
      <c r="H135" s="62" t="n"/>
    </row>
    <row r="136" ht="21" customHeight="1">
      <c r="A136" s="61" t="n"/>
      <c r="B136" s="44">
        <f>'設定'!$I$27</f>
        <v/>
      </c>
      <c r="C136" s="62" t="n"/>
      <c r="D136" s="62" t="n"/>
      <c r="E136" s="62" t="n"/>
      <c r="F136" s="62" t="n"/>
      <c r="G136" s="62" t="n"/>
      <c r="H136" s="62" t="n"/>
    </row>
    <row r="137" ht="21" customHeight="1">
      <c r="A137" s="61" t="n"/>
      <c r="B137" s="44">
        <f>'設定'!$I$28</f>
        <v/>
      </c>
      <c r="C137" s="62" t="n"/>
      <c r="D137" s="62" t="n"/>
      <c r="E137" s="62" t="n"/>
      <c r="F137" s="62" t="n"/>
      <c r="G137" s="62" t="n"/>
      <c r="H137" s="62" t="n"/>
    </row>
    <row r="138" ht="21" customHeight="1">
      <c r="A138" s="61" t="n"/>
      <c r="B138" s="44">
        <f>'設定'!$I$29</f>
        <v/>
      </c>
      <c r="C138" s="62" t="n"/>
      <c r="D138" s="62" t="n"/>
      <c r="E138" s="62" t="n"/>
      <c r="F138" s="62" t="n"/>
      <c r="G138" s="62" t="n"/>
      <c r="H138" s="62" t="n"/>
    </row>
    <row r="139" ht="21" customHeight="1">
      <c r="A139" s="61" t="n"/>
      <c r="B139" s="44">
        <f>'設定'!$I$30</f>
        <v/>
      </c>
      <c r="C139" s="62" t="n"/>
      <c r="D139" s="62" t="n"/>
      <c r="E139" s="62" t="n"/>
      <c r="F139" s="62" t="n"/>
      <c r="G139" s="62" t="n"/>
      <c r="H139" s="62" t="n"/>
    </row>
    <row r="140" ht="21" customHeight="1">
      <c r="A140" s="61" t="n"/>
      <c r="B140" s="44">
        <f>'設定'!$I$31</f>
        <v/>
      </c>
      <c r="C140" s="62" t="n"/>
      <c r="D140" s="62" t="n"/>
      <c r="E140" s="62" t="n"/>
      <c r="F140" s="62" t="n"/>
      <c r="G140" s="62" t="n"/>
      <c r="H140" s="62" t="n"/>
    </row>
    <row r="141" ht="21" customHeight="1">
      <c r="A141" s="61" t="n"/>
      <c r="B141" s="44">
        <f>'設定'!$I$32</f>
        <v/>
      </c>
      <c r="C141" s="62" t="n"/>
      <c r="D141" s="62" t="n"/>
      <c r="E141" s="62" t="n"/>
      <c r="F141" s="62" t="n"/>
      <c r="G141" s="62" t="n"/>
      <c r="H141" s="62" t="n"/>
    </row>
    <row r="142" ht="21" customHeight="1">
      <c r="A142" s="61" t="n"/>
      <c r="B142" s="44">
        <f>'設定'!$I$33</f>
        <v/>
      </c>
      <c r="C142" s="62" t="n"/>
      <c r="D142" s="62" t="n"/>
      <c r="E142" s="62" t="n"/>
      <c r="F142" s="62" t="n"/>
      <c r="G142" s="62" t="n"/>
      <c r="H142" s="62" t="n"/>
    </row>
    <row r="143" ht="21" customHeight="1">
      <c r="A143" s="61" t="n"/>
      <c r="B143" s="44">
        <f>'設定'!$I$34</f>
        <v/>
      </c>
      <c r="C143" s="62" t="n"/>
      <c r="D143" s="62" t="n"/>
      <c r="E143" s="62" t="n"/>
      <c r="F143" s="62" t="n"/>
      <c r="G143" s="62" t="n"/>
      <c r="H143" s="62" t="n"/>
    </row>
    <row r="144"/>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row>
    <row r="148" ht="21" customHeight="1">
      <c r="A148" s="61" t="n"/>
      <c r="B148" s="44">
        <f>'設定'!$I$11</f>
        <v/>
      </c>
      <c r="C148" s="62" t="n"/>
      <c r="D148" s="62" t="n"/>
      <c r="E148" s="62" t="n"/>
      <c r="F148" s="62" t="n"/>
      <c r="G148" s="62" t="n"/>
      <c r="H148" s="62" t="n"/>
    </row>
    <row r="149" ht="21" customHeight="1">
      <c r="A149" s="61" t="n"/>
      <c r="B149" s="44">
        <f>'設定'!$I$12</f>
        <v/>
      </c>
      <c r="C149" s="62" t="n"/>
      <c r="D149" s="62" t="n"/>
      <c r="E149" s="62" t="n"/>
      <c r="F149" s="62" t="n"/>
      <c r="G149" s="62" t="n"/>
      <c r="H149" s="62" t="n"/>
    </row>
    <row r="150" ht="21" customHeight="1">
      <c r="A150" s="61" t="n"/>
      <c r="B150" s="44">
        <f>'設定'!$I$13</f>
        <v/>
      </c>
      <c r="C150" s="62" t="n"/>
      <c r="D150" s="62" t="n"/>
      <c r="E150" s="62" t="n"/>
      <c r="F150" s="62" t="n"/>
      <c r="G150" s="62" t="n"/>
      <c r="H150" s="62" t="n"/>
    </row>
    <row r="151" ht="21" customHeight="1">
      <c r="A151" s="61" t="n"/>
      <c r="B151" s="44">
        <f>'設定'!$I$14</f>
        <v/>
      </c>
      <c r="C151" s="62" t="n"/>
      <c r="D151" s="62" t="n"/>
      <c r="E151" s="62" t="n"/>
      <c r="F151" s="62" t="n"/>
      <c r="G151" s="62" t="n"/>
      <c r="H151" s="62" t="n"/>
    </row>
    <row r="152" ht="21" customHeight="1">
      <c r="A152" s="61" t="n"/>
      <c r="B152" s="44">
        <f>'設定'!$I$15</f>
        <v/>
      </c>
      <c r="C152" s="62" t="n"/>
      <c r="D152" s="62" t="n"/>
      <c r="E152" s="62" t="n"/>
      <c r="F152" s="62" t="n"/>
      <c r="G152" s="62" t="n"/>
      <c r="H152" s="62" t="n"/>
    </row>
    <row r="153" ht="21" customHeight="1">
      <c r="A153" s="61" t="n"/>
      <c r="B153" s="44">
        <f>'設定'!$I$16</f>
        <v/>
      </c>
      <c r="C153" s="62" t="n"/>
      <c r="D153" s="62" t="n"/>
      <c r="E153" s="62" t="n"/>
      <c r="F153" s="62" t="n"/>
      <c r="G153" s="62" t="n"/>
      <c r="H153" s="62" t="n"/>
    </row>
    <row r="154" ht="21" customHeight="1">
      <c r="A154" s="61" t="n"/>
      <c r="B154" s="44">
        <f>'設定'!$I$17</f>
        <v/>
      </c>
      <c r="C154" s="62" t="n"/>
      <c r="D154" s="62" t="n"/>
      <c r="E154" s="62" t="n"/>
      <c r="F154" s="62" t="n"/>
      <c r="G154" s="62" t="n"/>
      <c r="H154" s="62" t="n"/>
    </row>
    <row r="155" ht="21" customHeight="1">
      <c r="A155" s="61" t="n"/>
      <c r="B155" s="44">
        <f>'設定'!$I$18</f>
        <v/>
      </c>
      <c r="C155" s="62" t="n"/>
      <c r="D155" s="62" t="n"/>
      <c r="E155" s="62" t="n"/>
      <c r="F155" s="62" t="n"/>
      <c r="G155" s="62" t="n"/>
      <c r="H155" s="62" t="n"/>
    </row>
    <row r="156" ht="21" customHeight="1">
      <c r="A156" s="61" t="n"/>
      <c r="B156" s="44">
        <f>'設定'!$I$19</f>
        <v/>
      </c>
      <c r="C156" s="62" t="n"/>
      <c r="D156" s="62" t="n"/>
      <c r="E156" s="62" t="n"/>
      <c r="F156" s="62" t="n"/>
      <c r="G156" s="62" t="n"/>
      <c r="H156" s="62" t="n"/>
    </row>
    <row r="157" ht="21" customHeight="1">
      <c r="A157" s="61" t="n"/>
      <c r="B157" s="44">
        <f>'設定'!$I$20</f>
        <v/>
      </c>
      <c r="C157" s="62" t="n"/>
      <c r="D157" s="62" t="n"/>
      <c r="E157" s="62" t="n"/>
      <c r="F157" s="62" t="n"/>
      <c r="G157" s="62" t="n"/>
      <c r="H157" s="62" t="n"/>
    </row>
    <row r="158" ht="21" customHeight="1">
      <c r="A158" s="61" t="n"/>
      <c r="B158" s="44">
        <f>'設定'!$I$21</f>
        <v/>
      </c>
      <c r="C158" s="62" t="n"/>
      <c r="D158" s="62" t="n"/>
      <c r="E158" s="62" t="n"/>
      <c r="F158" s="62" t="n"/>
      <c r="G158" s="62" t="n"/>
      <c r="H158" s="62" t="n"/>
    </row>
    <row r="159" ht="21" customHeight="1">
      <c r="A159" s="61" t="n"/>
      <c r="B159" s="44">
        <f>'設定'!$I$22</f>
        <v/>
      </c>
      <c r="C159" s="62" t="n"/>
      <c r="D159" s="62" t="n"/>
      <c r="E159" s="62" t="n"/>
      <c r="F159" s="62" t="n"/>
      <c r="G159" s="62" t="n"/>
      <c r="H159" s="62" t="n"/>
    </row>
    <row r="160" ht="21" customHeight="1">
      <c r="A160" s="61" t="n"/>
      <c r="B160" s="44">
        <f>'設定'!$I$23</f>
        <v/>
      </c>
      <c r="C160" s="62" t="n"/>
      <c r="D160" s="62" t="n"/>
      <c r="E160" s="62" t="n"/>
      <c r="F160" s="62" t="n"/>
      <c r="G160" s="62" t="n"/>
      <c r="H160" s="62" t="n"/>
    </row>
    <row r="161" ht="21" customHeight="1">
      <c r="A161" s="61" t="n"/>
      <c r="B161" s="44">
        <f>'設定'!$I$24</f>
        <v/>
      </c>
      <c r="C161" s="62" t="n"/>
      <c r="D161" s="62" t="n"/>
      <c r="E161" s="62" t="n"/>
      <c r="F161" s="62" t="n"/>
      <c r="G161" s="62" t="n"/>
      <c r="H161" s="62" t="n"/>
    </row>
    <row r="162" ht="21" customHeight="1">
      <c r="A162" s="61" t="n"/>
      <c r="B162" s="44">
        <f>'設定'!$I$25</f>
        <v/>
      </c>
      <c r="C162" s="62" t="n"/>
      <c r="D162" s="62" t="n"/>
      <c r="E162" s="62" t="n"/>
      <c r="F162" s="62" t="n"/>
      <c r="G162" s="62" t="n"/>
      <c r="H162" s="62" t="n"/>
    </row>
    <row r="163" ht="21" customHeight="1">
      <c r="A163" s="61" t="n"/>
      <c r="B163" s="44">
        <f>'設定'!$I$26</f>
        <v/>
      </c>
      <c r="C163" s="62" t="n"/>
      <c r="D163" s="62" t="n"/>
      <c r="E163" s="62" t="n"/>
      <c r="F163" s="62" t="n"/>
      <c r="G163" s="62" t="n"/>
      <c r="H163" s="62" t="n"/>
    </row>
    <row r="164" ht="21" customHeight="1">
      <c r="A164" s="61" t="n"/>
      <c r="B164" s="44">
        <f>'設定'!$I$27</f>
        <v/>
      </c>
      <c r="C164" s="62" t="n"/>
      <c r="D164" s="62" t="n"/>
      <c r="E164" s="62" t="n"/>
      <c r="F164" s="62" t="n"/>
      <c r="G164" s="62" t="n"/>
      <c r="H164" s="62" t="n"/>
    </row>
    <row r="165" ht="21" customHeight="1">
      <c r="A165" s="61" t="n"/>
      <c r="B165" s="44">
        <f>'設定'!$I$28</f>
        <v/>
      </c>
      <c r="C165" s="62" t="n"/>
      <c r="D165" s="62" t="n"/>
      <c r="E165" s="62" t="n"/>
      <c r="F165" s="62" t="n"/>
      <c r="G165" s="62" t="n"/>
      <c r="H165" s="62" t="n"/>
    </row>
    <row r="166" ht="21" customHeight="1">
      <c r="A166" s="61" t="n"/>
      <c r="B166" s="44">
        <f>'設定'!$I$29</f>
        <v/>
      </c>
      <c r="C166" s="62" t="n"/>
      <c r="D166" s="62" t="n"/>
      <c r="E166" s="62" t="n"/>
      <c r="F166" s="62" t="n"/>
      <c r="G166" s="62" t="n"/>
      <c r="H166" s="62" t="n"/>
    </row>
    <row r="167" ht="21" customHeight="1">
      <c r="A167" s="61" t="n"/>
      <c r="B167" s="44">
        <f>'設定'!$I$30</f>
        <v/>
      </c>
      <c r="C167" s="62" t="n"/>
      <c r="D167" s="62" t="n"/>
      <c r="E167" s="62" t="n"/>
      <c r="F167" s="62" t="n"/>
      <c r="G167" s="62" t="n"/>
      <c r="H167" s="62" t="n"/>
    </row>
    <row r="168" ht="21" customHeight="1">
      <c r="A168" s="61" t="n"/>
      <c r="B168" s="44">
        <f>'設定'!$I$31</f>
        <v/>
      </c>
      <c r="C168" s="62" t="n"/>
      <c r="D168" s="62" t="n"/>
      <c r="E168" s="62" t="n"/>
      <c r="F168" s="62" t="n"/>
      <c r="G168" s="62" t="n"/>
      <c r="H168" s="62" t="n"/>
    </row>
    <row r="169" ht="21" customHeight="1">
      <c r="A169" s="61" t="n"/>
      <c r="B169" s="44">
        <f>'設定'!$I$32</f>
        <v/>
      </c>
      <c r="C169" s="62" t="n"/>
      <c r="D169" s="62" t="n"/>
      <c r="E169" s="62" t="n"/>
      <c r="F169" s="62" t="n"/>
      <c r="G169" s="62" t="n"/>
      <c r="H169" s="62" t="n"/>
    </row>
    <row r="170" ht="21" customHeight="1">
      <c r="A170" s="61" t="n"/>
      <c r="B170" s="44">
        <f>'設定'!$I$33</f>
        <v/>
      </c>
      <c r="C170" s="62" t="n"/>
      <c r="D170" s="62" t="n"/>
      <c r="E170" s="62" t="n"/>
      <c r="F170" s="62" t="n"/>
      <c r="G170" s="62" t="n"/>
      <c r="H170" s="62" t="n"/>
    </row>
    <row r="171" ht="21" customHeight="1">
      <c r="A171" s="61" t="n"/>
      <c r="B171" s="44">
        <f>'設定'!$I$34</f>
        <v/>
      </c>
      <c r="C171" s="62" t="n"/>
      <c r="D171" s="62" t="n"/>
      <c r="E171" s="62" t="n"/>
      <c r="F171" s="62" t="n"/>
      <c r="G171" s="62" t="n"/>
      <c r="H171" s="62" t="n"/>
    </row>
    <row r="172"/>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row>
    <row r="176" ht="21" customHeight="1">
      <c r="A176" s="61" t="n"/>
      <c r="B176" s="44">
        <f>'設定'!$I$11</f>
        <v/>
      </c>
      <c r="C176" s="62" t="n"/>
      <c r="D176" s="62" t="n"/>
      <c r="E176" s="62" t="n"/>
      <c r="F176" s="62" t="n"/>
      <c r="G176" s="62" t="n"/>
      <c r="H176" s="62" t="n"/>
    </row>
    <row r="177" ht="21" customHeight="1">
      <c r="A177" s="61" t="n"/>
      <c r="B177" s="44">
        <f>'設定'!$I$12</f>
        <v/>
      </c>
      <c r="C177" s="62" t="n"/>
      <c r="D177" s="62" t="n"/>
      <c r="E177" s="62" t="n"/>
      <c r="F177" s="62" t="n"/>
      <c r="G177" s="62" t="n"/>
      <c r="H177" s="62" t="n"/>
    </row>
    <row r="178" ht="21" customHeight="1">
      <c r="A178" s="61" t="n"/>
      <c r="B178" s="44">
        <f>'設定'!$I$13</f>
        <v/>
      </c>
      <c r="C178" s="62" t="n"/>
      <c r="D178" s="62" t="n"/>
      <c r="E178" s="62" t="n"/>
      <c r="F178" s="62" t="n"/>
      <c r="G178" s="62" t="n"/>
      <c r="H178" s="62" t="n"/>
    </row>
    <row r="179" ht="21" customHeight="1">
      <c r="A179" s="61" t="n"/>
      <c r="B179" s="44">
        <f>'設定'!$I$14</f>
        <v/>
      </c>
      <c r="C179" s="62" t="n"/>
      <c r="D179" s="62" t="n"/>
      <c r="E179" s="62" t="n"/>
      <c r="F179" s="62" t="n"/>
      <c r="G179" s="62" t="n"/>
      <c r="H179" s="62" t="n"/>
    </row>
    <row r="180" ht="21" customHeight="1">
      <c r="A180" s="61" t="n"/>
      <c r="B180" s="44">
        <f>'設定'!$I$15</f>
        <v/>
      </c>
      <c r="C180" s="62" t="n"/>
      <c r="D180" s="62" t="n"/>
      <c r="E180" s="62" t="n"/>
      <c r="F180" s="62" t="n"/>
      <c r="G180" s="62" t="n"/>
      <c r="H180" s="62" t="n"/>
    </row>
    <row r="181" ht="21" customHeight="1">
      <c r="A181" s="61" t="n"/>
      <c r="B181" s="44">
        <f>'設定'!$I$16</f>
        <v/>
      </c>
      <c r="C181" s="62" t="n"/>
      <c r="D181" s="62" t="n"/>
      <c r="E181" s="62" t="n"/>
      <c r="F181" s="62" t="n"/>
      <c r="G181" s="62" t="n"/>
      <c r="H181" s="62" t="n"/>
    </row>
    <row r="182" ht="21" customHeight="1">
      <c r="A182" s="61" t="n"/>
      <c r="B182" s="44">
        <f>'設定'!$I$17</f>
        <v/>
      </c>
      <c r="C182" s="62" t="n"/>
      <c r="D182" s="62" t="n"/>
      <c r="E182" s="62" t="n"/>
      <c r="F182" s="62" t="n"/>
      <c r="G182" s="62" t="n"/>
      <c r="H182" s="62" t="n"/>
    </row>
    <row r="183" ht="21" customHeight="1">
      <c r="A183" s="61" t="n"/>
      <c r="B183" s="44">
        <f>'設定'!$I$18</f>
        <v/>
      </c>
      <c r="C183" s="62" t="n"/>
      <c r="D183" s="62" t="n"/>
      <c r="E183" s="62" t="n"/>
      <c r="F183" s="62" t="n"/>
      <c r="G183" s="62" t="n"/>
      <c r="H183" s="62" t="n"/>
    </row>
    <row r="184" ht="21" customHeight="1">
      <c r="A184" s="61" t="n"/>
      <c r="B184" s="44">
        <f>'設定'!$I$19</f>
        <v/>
      </c>
      <c r="C184" s="62" t="n"/>
      <c r="D184" s="62" t="n"/>
      <c r="E184" s="62" t="n"/>
      <c r="F184" s="62" t="n"/>
      <c r="G184" s="62" t="n"/>
      <c r="H184" s="62" t="n"/>
    </row>
    <row r="185" ht="21" customHeight="1">
      <c r="A185" s="61" t="n"/>
      <c r="B185" s="44">
        <f>'設定'!$I$20</f>
        <v/>
      </c>
      <c r="C185" s="62" t="n"/>
      <c r="D185" s="62" t="n"/>
      <c r="E185" s="62" t="n"/>
      <c r="F185" s="62" t="n"/>
      <c r="G185" s="62" t="n"/>
      <c r="H185" s="62" t="n"/>
    </row>
    <row r="186" ht="21" customHeight="1">
      <c r="A186" s="61" t="n"/>
      <c r="B186" s="44">
        <f>'設定'!$I$21</f>
        <v/>
      </c>
      <c r="C186" s="62" t="n"/>
      <c r="D186" s="62" t="n"/>
      <c r="E186" s="62" t="n"/>
      <c r="F186" s="62" t="n"/>
      <c r="G186" s="62" t="n"/>
      <c r="H186" s="62" t="n"/>
    </row>
    <row r="187" ht="21" customHeight="1">
      <c r="A187" s="61" t="n"/>
      <c r="B187" s="44">
        <f>'設定'!$I$22</f>
        <v/>
      </c>
      <c r="C187" s="62" t="n"/>
      <c r="D187" s="62" t="n"/>
      <c r="E187" s="62" t="n"/>
      <c r="F187" s="62" t="n"/>
      <c r="G187" s="62" t="n"/>
      <c r="H187" s="62" t="n"/>
    </row>
    <row r="188" ht="21" customHeight="1">
      <c r="A188" s="61" t="n"/>
      <c r="B188" s="44">
        <f>'設定'!$I$23</f>
        <v/>
      </c>
      <c r="C188" s="62" t="n"/>
      <c r="D188" s="62" t="n"/>
      <c r="E188" s="62" t="n"/>
      <c r="F188" s="62" t="n"/>
      <c r="G188" s="62" t="n"/>
      <c r="H188" s="62" t="n"/>
    </row>
    <row r="189" ht="21" customHeight="1">
      <c r="A189" s="61" t="n"/>
      <c r="B189" s="44">
        <f>'設定'!$I$24</f>
        <v/>
      </c>
      <c r="C189" s="62" t="n"/>
      <c r="D189" s="62" t="n"/>
      <c r="E189" s="62" t="n"/>
      <c r="F189" s="62" t="n"/>
      <c r="G189" s="62" t="n"/>
      <c r="H189" s="62" t="n"/>
    </row>
    <row r="190" ht="21" customHeight="1">
      <c r="A190" s="61" t="n"/>
      <c r="B190" s="44">
        <f>'設定'!$I$25</f>
        <v/>
      </c>
      <c r="C190" s="62" t="n"/>
      <c r="D190" s="62" t="n"/>
      <c r="E190" s="62" t="n"/>
      <c r="F190" s="62" t="n"/>
      <c r="G190" s="62" t="n"/>
      <c r="H190" s="62" t="n"/>
    </row>
    <row r="191" ht="21" customHeight="1">
      <c r="A191" s="61" t="n"/>
      <c r="B191" s="44">
        <f>'設定'!$I$26</f>
        <v/>
      </c>
      <c r="C191" s="62" t="n"/>
      <c r="D191" s="62" t="n"/>
      <c r="E191" s="62" t="n"/>
      <c r="F191" s="62" t="n"/>
      <c r="G191" s="62" t="n"/>
      <c r="H191" s="62" t="n"/>
    </row>
    <row r="192" ht="21" customHeight="1">
      <c r="A192" s="61" t="n"/>
      <c r="B192" s="44">
        <f>'設定'!$I$27</f>
        <v/>
      </c>
      <c r="C192" s="62" t="n"/>
      <c r="D192" s="62" t="n"/>
      <c r="E192" s="62" t="n"/>
      <c r="F192" s="62" t="n"/>
      <c r="G192" s="62" t="n"/>
      <c r="H192" s="62" t="n"/>
    </row>
    <row r="193" ht="21" customHeight="1">
      <c r="A193" s="61" t="n"/>
      <c r="B193" s="44">
        <f>'設定'!$I$28</f>
        <v/>
      </c>
      <c r="C193" s="62" t="n"/>
      <c r="D193" s="62" t="n"/>
      <c r="E193" s="62" t="n"/>
      <c r="F193" s="62" t="n"/>
      <c r="G193" s="62" t="n"/>
      <c r="H193" s="62" t="n"/>
    </row>
    <row r="194" ht="21" customHeight="1">
      <c r="A194" s="61" t="n"/>
      <c r="B194" s="44">
        <f>'設定'!$I$29</f>
        <v/>
      </c>
      <c r="C194" s="62" t="n"/>
      <c r="D194" s="62" t="n"/>
      <c r="E194" s="62" t="n"/>
      <c r="F194" s="62" t="n"/>
      <c r="G194" s="62" t="n"/>
      <c r="H194" s="62" t="n"/>
    </row>
    <row r="195" ht="21" customHeight="1">
      <c r="A195" s="61" t="n"/>
      <c r="B195" s="44">
        <f>'設定'!$I$30</f>
        <v/>
      </c>
      <c r="C195" s="62" t="n"/>
      <c r="D195" s="62" t="n"/>
      <c r="E195" s="62" t="n"/>
      <c r="F195" s="62" t="n"/>
      <c r="G195" s="62" t="n"/>
      <c r="H195" s="62" t="n"/>
    </row>
    <row r="196" ht="21" customHeight="1">
      <c r="A196" s="61" t="n"/>
      <c r="B196" s="44">
        <f>'設定'!$I$31</f>
        <v/>
      </c>
      <c r="C196" s="62" t="n"/>
      <c r="D196" s="62" t="n"/>
      <c r="E196" s="62" t="n"/>
      <c r="F196" s="62" t="n"/>
      <c r="G196" s="62" t="n"/>
      <c r="H196" s="62" t="n"/>
    </row>
    <row r="197" ht="21" customHeight="1">
      <c r="A197" s="61" t="n"/>
      <c r="B197" s="44">
        <f>'設定'!$I$32</f>
        <v/>
      </c>
      <c r="C197" s="62" t="n"/>
      <c r="D197" s="62" t="n"/>
      <c r="E197" s="62" t="n"/>
      <c r="F197" s="62" t="n"/>
      <c r="G197" s="62" t="n"/>
      <c r="H197" s="62" t="n"/>
    </row>
    <row r="198" ht="21" customHeight="1">
      <c r="A198" s="61" t="n"/>
      <c r="B198" s="44">
        <f>'設定'!$I$33</f>
        <v/>
      </c>
      <c r="C198" s="62" t="n"/>
      <c r="D198" s="62" t="n"/>
      <c r="E198" s="62" t="n"/>
      <c r="F198" s="62" t="n"/>
      <c r="G198" s="62" t="n"/>
      <c r="H198" s="62" t="n"/>
    </row>
    <row r="199" ht="21" customHeight="1">
      <c r="A199" s="61" t="n"/>
      <c r="B199" s="44">
        <f>'設定'!$I$34</f>
        <v/>
      </c>
      <c r="C199" s="62" t="n"/>
      <c r="D199" s="62" t="n"/>
      <c r="E199" s="62" t="n"/>
      <c r="F199" s="62" t="n"/>
      <c r="G199" s="62" t="n"/>
      <c r="H199" s="62" t="n"/>
    </row>
    <row r="200"/>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row>
    <row r="204" ht="21" customHeight="1">
      <c r="A204" s="61" t="n"/>
      <c r="B204" s="44">
        <f>'設定'!$I$11</f>
        <v/>
      </c>
      <c r="C204" s="62" t="n"/>
      <c r="D204" s="62" t="n"/>
      <c r="E204" s="62" t="n"/>
      <c r="F204" s="62" t="n"/>
      <c r="G204" s="62" t="n"/>
      <c r="H204" s="62" t="n"/>
    </row>
    <row r="205" ht="21" customHeight="1">
      <c r="A205" s="61" t="n"/>
      <c r="B205" s="44">
        <f>'設定'!$I$12</f>
        <v/>
      </c>
      <c r="C205" s="62" t="n"/>
      <c r="D205" s="62" t="n"/>
      <c r="E205" s="62" t="n"/>
      <c r="F205" s="62" t="n"/>
      <c r="G205" s="62" t="n"/>
      <c r="H205" s="62" t="n"/>
    </row>
    <row r="206" ht="21" customHeight="1">
      <c r="A206" s="61" t="n"/>
      <c r="B206" s="44">
        <f>'設定'!$I$13</f>
        <v/>
      </c>
      <c r="C206" s="62" t="n"/>
      <c r="D206" s="62" t="n"/>
      <c r="E206" s="62" t="n"/>
      <c r="F206" s="62" t="n"/>
      <c r="G206" s="62" t="n"/>
      <c r="H206" s="62" t="n"/>
    </row>
    <row r="207" ht="21" customHeight="1">
      <c r="A207" s="61" t="n"/>
      <c r="B207" s="44">
        <f>'設定'!$I$14</f>
        <v/>
      </c>
      <c r="C207" s="62" t="n"/>
      <c r="D207" s="62" t="n"/>
      <c r="E207" s="62" t="n"/>
      <c r="F207" s="62" t="n"/>
      <c r="G207" s="62" t="n"/>
      <c r="H207" s="62" t="n"/>
    </row>
    <row r="208" ht="21" customHeight="1">
      <c r="A208" s="61" t="n"/>
      <c r="B208" s="44">
        <f>'設定'!$I$15</f>
        <v/>
      </c>
      <c r="C208" s="62" t="n"/>
      <c r="D208" s="62" t="n"/>
      <c r="E208" s="62" t="n"/>
      <c r="F208" s="62" t="n"/>
      <c r="G208" s="62" t="n"/>
      <c r="H208" s="62" t="n"/>
    </row>
    <row r="209" ht="21" customHeight="1">
      <c r="A209" s="61" t="n"/>
      <c r="B209" s="44">
        <f>'設定'!$I$16</f>
        <v/>
      </c>
      <c r="C209" s="62" t="n"/>
      <c r="D209" s="62" t="n"/>
      <c r="E209" s="62" t="n"/>
      <c r="F209" s="62" t="n"/>
      <c r="G209" s="62" t="n"/>
      <c r="H209" s="62" t="n"/>
    </row>
    <row r="210" ht="21" customHeight="1">
      <c r="A210" s="61" t="n"/>
      <c r="B210" s="44">
        <f>'設定'!$I$17</f>
        <v/>
      </c>
      <c r="C210" s="62" t="n"/>
      <c r="D210" s="62" t="n"/>
      <c r="E210" s="62" t="n"/>
      <c r="F210" s="62" t="n"/>
      <c r="G210" s="62" t="n"/>
      <c r="H210" s="62" t="n"/>
    </row>
    <row r="211" ht="21" customHeight="1">
      <c r="A211" s="61" t="n"/>
      <c r="B211" s="44">
        <f>'設定'!$I$18</f>
        <v/>
      </c>
      <c r="C211" s="62" t="n"/>
      <c r="D211" s="62" t="n"/>
      <c r="E211" s="62" t="n"/>
      <c r="F211" s="62" t="n"/>
      <c r="G211" s="62" t="n"/>
      <c r="H211" s="62" t="n"/>
    </row>
    <row r="212" ht="21" customHeight="1">
      <c r="A212" s="61" t="n"/>
      <c r="B212" s="44">
        <f>'設定'!$I$19</f>
        <v/>
      </c>
      <c r="C212" s="62" t="n"/>
      <c r="D212" s="62" t="n"/>
      <c r="E212" s="62" t="n"/>
      <c r="F212" s="62" t="n"/>
      <c r="G212" s="62" t="n"/>
      <c r="H212" s="62" t="n"/>
    </row>
    <row r="213" ht="21" customHeight="1">
      <c r="A213" s="61" t="n"/>
      <c r="B213" s="44">
        <f>'設定'!$I$20</f>
        <v/>
      </c>
      <c r="C213" s="62" t="n"/>
      <c r="D213" s="62" t="n"/>
      <c r="E213" s="62" t="n"/>
      <c r="F213" s="62" t="n"/>
      <c r="G213" s="62" t="n"/>
      <c r="H213" s="62" t="n"/>
    </row>
    <row r="214" ht="21" customHeight="1">
      <c r="A214" s="61" t="n"/>
      <c r="B214" s="44">
        <f>'設定'!$I$21</f>
        <v/>
      </c>
      <c r="C214" s="62" t="n"/>
      <c r="D214" s="62" t="n"/>
      <c r="E214" s="62" t="n"/>
      <c r="F214" s="62" t="n"/>
      <c r="G214" s="62" t="n"/>
      <c r="H214" s="62" t="n"/>
    </row>
    <row r="215" ht="21" customHeight="1">
      <c r="A215" s="61" t="n"/>
      <c r="B215" s="44">
        <f>'設定'!$I$22</f>
        <v/>
      </c>
      <c r="C215" s="62" t="n"/>
      <c r="D215" s="62" t="n"/>
      <c r="E215" s="62" t="n"/>
      <c r="F215" s="62" t="n"/>
      <c r="G215" s="62" t="n"/>
      <c r="H215" s="62" t="n"/>
    </row>
    <row r="216" ht="21" customHeight="1">
      <c r="A216" s="61" t="n"/>
      <c r="B216" s="44">
        <f>'設定'!$I$23</f>
        <v/>
      </c>
      <c r="C216" s="62" t="n"/>
      <c r="D216" s="62" t="n"/>
      <c r="E216" s="62" t="n"/>
      <c r="F216" s="62" t="n"/>
      <c r="G216" s="62" t="n"/>
      <c r="H216" s="62" t="n"/>
    </row>
    <row r="217" ht="21" customHeight="1">
      <c r="A217" s="61" t="n"/>
      <c r="B217" s="44">
        <f>'設定'!$I$24</f>
        <v/>
      </c>
      <c r="C217" s="62" t="n"/>
      <c r="D217" s="62" t="n"/>
      <c r="E217" s="62" t="n"/>
      <c r="F217" s="62" t="n"/>
      <c r="G217" s="62" t="n"/>
      <c r="H217" s="62" t="n"/>
    </row>
    <row r="218" ht="21" customHeight="1">
      <c r="A218" s="61" t="n"/>
      <c r="B218" s="44">
        <f>'設定'!$I$25</f>
        <v/>
      </c>
      <c r="C218" s="62" t="n"/>
      <c r="D218" s="62" t="n"/>
      <c r="E218" s="62" t="n"/>
      <c r="F218" s="62" t="n"/>
      <c r="G218" s="62" t="n"/>
      <c r="H218" s="62" t="n"/>
    </row>
    <row r="219" ht="21" customHeight="1">
      <c r="A219" s="61" t="n"/>
      <c r="B219" s="44">
        <f>'設定'!$I$26</f>
        <v/>
      </c>
      <c r="C219" s="62" t="n"/>
      <c r="D219" s="62" t="n"/>
      <c r="E219" s="62" t="n"/>
      <c r="F219" s="62" t="n"/>
      <c r="G219" s="62" t="n"/>
      <c r="H219" s="62" t="n"/>
    </row>
    <row r="220" ht="21" customHeight="1">
      <c r="A220" s="61" t="n"/>
      <c r="B220" s="44">
        <f>'設定'!$I$27</f>
        <v/>
      </c>
      <c r="C220" s="62" t="n"/>
      <c r="D220" s="62" t="n"/>
      <c r="E220" s="62" t="n"/>
      <c r="F220" s="62" t="n"/>
      <c r="G220" s="62" t="n"/>
      <c r="H220" s="62" t="n"/>
    </row>
    <row r="221" ht="21" customHeight="1">
      <c r="A221" s="61" t="n"/>
      <c r="B221" s="44">
        <f>'設定'!$I$28</f>
        <v/>
      </c>
      <c r="C221" s="62" t="n"/>
      <c r="D221" s="62" t="n"/>
      <c r="E221" s="62" t="n"/>
      <c r="F221" s="62" t="n"/>
      <c r="G221" s="62" t="n"/>
      <c r="H221" s="62" t="n"/>
    </row>
    <row r="222" ht="21" customHeight="1">
      <c r="A222" s="61" t="n"/>
      <c r="B222" s="44">
        <f>'設定'!$I$29</f>
        <v/>
      </c>
      <c r="C222" s="62" t="n"/>
      <c r="D222" s="62" t="n"/>
      <c r="E222" s="62" t="n"/>
      <c r="F222" s="62" t="n"/>
      <c r="G222" s="62" t="n"/>
      <c r="H222" s="62" t="n"/>
    </row>
    <row r="223" ht="21" customHeight="1">
      <c r="A223" s="61" t="n"/>
      <c r="B223" s="44">
        <f>'設定'!$I$30</f>
        <v/>
      </c>
      <c r="C223" s="62" t="n"/>
      <c r="D223" s="62" t="n"/>
      <c r="E223" s="62" t="n"/>
      <c r="F223" s="62" t="n"/>
      <c r="G223" s="62" t="n"/>
      <c r="H223" s="62" t="n"/>
    </row>
    <row r="224" ht="21" customHeight="1">
      <c r="A224" s="61" t="n"/>
      <c r="B224" s="44">
        <f>'設定'!$I$31</f>
        <v/>
      </c>
      <c r="C224" s="62" t="n"/>
      <c r="D224" s="62" t="n"/>
      <c r="E224" s="62" t="n"/>
      <c r="F224" s="62" t="n"/>
      <c r="G224" s="62" t="n"/>
      <c r="H224" s="62" t="n"/>
    </row>
    <row r="225" ht="21" customHeight="1">
      <c r="A225" s="61" t="n"/>
      <c r="B225" s="44">
        <f>'設定'!$I$32</f>
        <v/>
      </c>
      <c r="C225" s="62" t="n"/>
      <c r="D225" s="62" t="n"/>
      <c r="E225" s="62" t="n"/>
      <c r="F225" s="62" t="n"/>
      <c r="G225" s="62" t="n"/>
      <c r="H225" s="62" t="n"/>
    </row>
    <row r="226" ht="21" customHeight="1">
      <c r="A226" s="61" t="n"/>
      <c r="B226" s="44">
        <f>'設定'!$I$33</f>
        <v/>
      </c>
      <c r="C226" s="62" t="n"/>
      <c r="D226" s="62" t="n"/>
      <c r="E226" s="62" t="n"/>
      <c r="F226" s="62" t="n"/>
      <c r="G226" s="62" t="n"/>
      <c r="H226" s="62" t="n"/>
    </row>
    <row r="227" ht="21" customHeight="1">
      <c r="A227" s="61" t="n"/>
      <c r="B227" s="44">
        <f>'設定'!$I$34</f>
        <v/>
      </c>
      <c r="C227" s="62" t="n"/>
      <c r="D227" s="62" t="n"/>
      <c r="E227" s="62" t="n"/>
      <c r="F227" s="62" t="n"/>
      <c r="G227" s="62" t="n"/>
      <c r="H227" s="62" t="n"/>
    </row>
    <row r="228"/>
    <row r="229" ht="26" customHeight="1">
      <c r="B229" s="55">
        <f>IF('名簿'!B13="","（名簿 9行目：なし）",'名簿'!I13)</f>
        <v/>
      </c>
      <c r="C229" s="4" t="n"/>
      <c r="D229" s="4" t="n"/>
      <c r="E229" s="56" t="inlineStr">
        <is>
          <t>提出状況 ▶</t>
        </is>
      </c>
      <c r="F229" s="40" t="n"/>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row>
    <row r="232" ht="21" customHeight="1">
      <c r="A232" s="61" t="n"/>
      <c r="B232" s="44">
        <f>'設定'!$I$11</f>
        <v/>
      </c>
      <c r="C232" s="62" t="n"/>
      <c r="D232" s="62" t="n"/>
      <c r="E232" s="62" t="n"/>
      <c r="F232" s="62" t="n"/>
      <c r="G232" s="62" t="n"/>
      <c r="H232" s="62" t="n"/>
    </row>
    <row r="233" ht="21" customHeight="1">
      <c r="A233" s="61" t="n"/>
      <c r="B233" s="44">
        <f>'設定'!$I$12</f>
        <v/>
      </c>
      <c r="C233" s="62" t="n"/>
      <c r="D233" s="62" t="n"/>
      <c r="E233" s="62" t="n"/>
      <c r="F233" s="62" t="n"/>
      <c r="G233" s="62" t="n"/>
      <c r="H233" s="62" t="n"/>
    </row>
    <row r="234" ht="21" customHeight="1">
      <c r="A234" s="61" t="n"/>
      <c r="B234" s="44">
        <f>'設定'!$I$13</f>
        <v/>
      </c>
      <c r="C234" s="62" t="n"/>
      <c r="D234" s="62" t="n"/>
      <c r="E234" s="62" t="n"/>
      <c r="F234" s="62" t="n"/>
      <c r="G234" s="62" t="n"/>
      <c r="H234" s="62" t="n"/>
    </row>
    <row r="235" ht="21" customHeight="1">
      <c r="A235" s="61" t="n"/>
      <c r="B235" s="44">
        <f>'設定'!$I$14</f>
        <v/>
      </c>
      <c r="C235" s="62" t="n"/>
      <c r="D235" s="62" t="n"/>
      <c r="E235" s="62" t="n"/>
      <c r="F235" s="62" t="n"/>
      <c r="G235" s="62" t="n"/>
      <c r="H235" s="62" t="n"/>
    </row>
    <row r="236" ht="21" customHeight="1">
      <c r="A236" s="61" t="n"/>
      <c r="B236" s="44">
        <f>'設定'!$I$15</f>
        <v/>
      </c>
      <c r="C236" s="62" t="n"/>
      <c r="D236" s="62" t="n"/>
      <c r="E236" s="62" t="n"/>
      <c r="F236" s="62" t="n"/>
      <c r="G236" s="62" t="n"/>
      <c r="H236" s="62" t="n"/>
    </row>
    <row r="237" ht="21" customHeight="1">
      <c r="A237" s="61" t="n"/>
      <c r="B237" s="44">
        <f>'設定'!$I$16</f>
        <v/>
      </c>
      <c r="C237" s="62" t="n"/>
      <c r="D237" s="62" t="n"/>
      <c r="E237" s="62" t="n"/>
      <c r="F237" s="62" t="n"/>
      <c r="G237" s="62" t="n"/>
      <c r="H237" s="62" t="n"/>
    </row>
    <row r="238" ht="21" customHeight="1">
      <c r="A238" s="61" t="n"/>
      <c r="B238" s="44">
        <f>'設定'!$I$17</f>
        <v/>
      </c>
      <c r="C238" s="62" t="n"/>
      <c r="D238" s="62" t="n"/>
      <c r="E238" s="62" t="n"/>
      <c r="F238" s="62" t="n"/>
      <c r="G238" s="62" t="n"/>
      <c r="H238" s="62" t="n"/>
    </row>
    <row r="239" ht="21" customHeight="1">
      <c r="A239" s="61" t="n"/>
      <c r="B239" s="44">
        <f>'設定'!$I$18</f>
        <v/>
      </c>
      <c r="C239" s="62" t="n"/>
      <c r="D239" s="62" t="n"/>
      <c r="E239" s="62" t="n"/>
      <c r="F239" s="62" t="n"/>
      <c r="G239" s="62" t="n"/>
      <c r="H239" s="62" t="n"/>
    </row>
    <row r="240" ht="21" customHeight="1">
      <c r="A240" s="61" t="n"/>
      <c r="B240" s="44">
        <f>'設定'!$I$19</f>
        <v/>
      </c>
      <c r="C240" s="62" t="n"/>
      <c r="D240" s="62" t="n"/>
      <c r="E240" s="62" t="n"/>
      <c r="F240" s="62" t="n"/>
      <c r="G240" s="62" t="n"/>
      <c r="H240" s="62" t="n"/>
    </row>
    <row r="241" ht="21" customHeight="1">
      <c r="A241" s="61" t="n"/>
      <c r="B241" s="44">
        <f>'設定'!$I$20</f>
        <v/>
      </c>
      <c r="C241" s="62" t="n"/>
      <c r="D241" s="62" t="n"/>
      <c r="E241" s="62" t="n"/>
      <c r="F241" s="62" t="n"/>
      <c r="G241" s="62" t="n"/>
      <c r="H241" s="62" t="n"/>
    </row>
    <row r="242" ht="21" customHeight="1">
      <c r="A242" s="61" t="n"/>
      <c r="B242" s="44">
        <f>'設定'!$I$21</f>
        <v/>
      </c>
      <c r="C242" s="62" t="n"/>
      <c r="D242" s="62" t="n"/>
      <c r="E242" s="62" t="n"/>
      <c r="F242" s="62" t="n"/>
      <c r="G242" s="62" t="n"/>
      <c r="H242" s="62" t="n"/>
    </row>
    <row r="243" ht="21" customHeight="1">
      <c r="A243" s="61" t="n"/>
      <c r="B243" s="44">
        <f>'設定'!$I$22</f>
        <v/>
      </c>
      <c r="C243" s="62" t="n"/>
      <c r="D243" s="62" t="n"/>
      <c r="E243" s="62" t="n"/>
      <c r="F243" s="62" t="n"/>
      <c r="G243" s="62" t="n"/>
      <c r="H243" s="62" t="n"/>
    </row>
    <row r="244" ht="21" customHeight="1">
      <c r="A244" s="61" t="n"/>
      <c r="B244" s="44">
        <f>'設定'!$I$23</f>
        <v/>
      </c>
      <c r="C244" s="62" t="n"/>
      <c r="D244" s="62" t="n"/>
      <c r="E244" s="62" t="n"/>
      <c r="F244" s="62" t="n"/>
      <c r="G244" s="62" t="n"/>
      <c r="H244" s="62" t="n"/>
    </row>
    <row r="245" ht="21" customHeight="1">
      <c r="A245" s="61" t="n"/>
      <c r="B245" s="44">
        <f>'設定'!$I$24</f>
        <v/>
      </c>
      <c r="C245" s="62" t="n"/>
      <c r="D245" s="62" t="n"/>
      <c r="E245" s="62" t="n"/>
      <c r="F245" s="62" t="n"/>
      <c r="G245" s="62" t="n"/>
      <c r="H245" s="62" t="n"/>
    </row>
    <row r="246" ht="21" customHeight="1">
      <c r="A246" s="61" t="n"/>
      <c r="B246" s="44">
        <f>'設定'!$I$25</f>
        <v/>
      </c>
      <c r="C246" s="62" t="n"/>
      <c r="D246" s="62" t="n"/>
      <c r="E246" s="62" t="n"/>
      <c r="F246" s="62" t="n"/>
      <c r="G246" s="62" t="n"/>
      <c r="H246" s="62" t="n"/>
    </row>
    <row r="247" ht="21" customHeight="1">
      <c r="A247" s="61" t="n"/>
      <c r="B247" s="44">
        <f>'設定'!$I$26</f>
        <v/>
      </c>
      <c r="C247" s="62" t="n"/>
      <c r="D247" s="62" t="n"/>
      <c r="E247" s="62" t="n"/>
      <c r="F247" s="62" t="n"/>
      <c r="G247" s="62" t="n"/>
      <c r="H247" s="62" t="n"/>
    </row>
    <row r="248" ht="21" customHeight="1">
      <c r="A248" s="61" t="n"/>
      <c r="B248" s="44">
        <f>'設定'!$I$27</f>
        <v/>
      </c>
      <c r="C248" s="62" t="n"/>
      <c r="D248" s="62" t="n"/>
      <c r="E248" s="62" t="n"/>
      <c r="F248" s="62" t="n"/>
      <c r="G248" s="62" t="n"/>
      <c r="H248" s="62" t="n"/>
    </row>
    <row r="249" ht="21" customHeight="1">
      <c r="A249" s="61" t="n"/>
      <c r="B249" s="44">
        <f>'設定'!$I$28</f>
        <v/>
      </c>
      <c r="C249" s="62" t="n"/>
      <c r="D249" s="62" t="n"/>
      <c r="E249" s="62" t="n"/>
      <c r="F249" s="62" t="n"/>
      <c r="G249" s="62" t="n"/>
      <c r="H249" s="62" t="n"/>
    </row>
    <row r="250" ht="21" customHeight="1">
      <c r="A250" s="61" t="n"/>
      <c r="B250" s="44">
        <f>'設定'!$I$29</f>
        <v/>
      </c>
      <c r="C250" s="62" t="n"/>
      <c r="D250" s="62" t="n"/>
      <c r="E250" s="62" t="n"/>
      <c r="F250" s="62" t="n"/>
      <c r="G250" s="62" t="n"/>
      <c r="H250" s="62" t="n"/>
    </row>
    <row r="251" ht="21" customHeight="1">
      <c r="A251" s="61" t="n"/>
      <c r="B251" s="44">
        <f>'設定'!$I$30</f>
        <v/>
      </c>
      <c r="C251" s="62" t="n"/>
      <c r="D251" s="62" t="n"/>
      <c r="E251" s="62" t="n"/>
      <c r="F251" s="62" t="n"/>
      <c r="G251" s="62" t="n"/>
      <c r="H251" s="62" t="n"/>
    </row>
    <row r="252" ht="21" customHeight="1">
      <c r="A252" s="61" t="n"/>
      <c r="B252" s="44">
        <f>'設定'!$I$31</f>
        <v/>
      </c>
      <c r="C252" s="62" t="n"/>
      <c r="D252" s="62" t="n"/>
      <c r="E252" s="62" t="n"/>
      <c r="F252" s="62" t="n"/>
      <c r="G252" s="62" t="n"/>
      <c r="H252" s="62" t="n"/>
    </row>
    <row r="253" ht="21" customHeight="1">
      <c r="A253" s="61" t="n"/>
      <c r="B253" s="44">
        <f>'設定'!$I$32</f>
        <v/>
      </c>
      <c r="C253" s="62" t="n"/>
      <c r="D253" s="62" t="n"/>
      <c r="E253" s="62" t="n"/>
      <c r="F253" s="62" t="n"/>
      <c r="G253" s="62" t="n"/>
      <c r="H253" s="62" t="n"/>
    </row>
    <row r="254" ht="21" customHeight="1">
      <c r="A254" s="61" t="n"/>
      <c r="B254" s="44">
        <f>'設定'!$I$33</f>
        <v/>
      </c>
      <c r="C254" s="62" t="n"/>
      <c r="D254" s="62" t="n"/>
      <c r="E254" s="62" t="n"/>
      <c r="F254" s="62" t="n"/>
      <c r="G254" s="62" t="n"/>
      <c r="H254" s="62" t="n"/>
    </row>
    <row r="255" ht="21" customHeight="1">
      <c r="A255" s="61" t="n"/>
      <c r="B255" s="44">
        <f>'設定'!$I$34</f>
        <v/>
      </c>
      <c r="C255" s="62" t="n"/>
      <c r="D255" s="62" t="n"/>
      <c r="E255" s="62" t="n"/>
      <c r="F255" s="62" t="n"/>
      <c r="G255" s="62" t="n"/>
      <c r="H255" s="62" t="n"/>
    </row>
    <row r="256"/>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row>
    <row r="260" ht="21" customHeight="1">
      <c r="A260" s="61" t="n"/>
      <c r="B260" s="44">
        <f>'設定'!$I$11</f>
        <v/>
      </c>
      <c r="C260" s="62" t="n"/>
      <c r="D260" s="62" t="n"/>
      <c r="E260" s="62" t="n"/>
      <c r="F260" s="62" t="n"/>
      <c r="G260" s="62" t="n"/>
      <c r="H260" s="62" t="n"/>
    </row>
    <row r="261" ht="21" customHeight="1">
      <c r="A261" s="61" t="n"/>
      <c r="B261" s="44">
        <f>'設定'!$I$12</f>
        <v/>
      </c>
      <c r="C261" s="62" t="n"/>
      <c r="D261" s="62" t="n"/>
      <c r="E261" s="62" t="n"/>
      <c r="F261" s="62" t="n"/>
      <c r="G261" s="62" t="n"/>
      <c r="H261" s="62" t="n"/>
    </row>
    <row r="262" ht="21" customHeight="1">
      <c r="A262" s="61" t="n"/>
      <c r="B262" s="44">
        <f>'設定'!$I$13</f>
        <v/>
      </c>
      <c r="C262" s="62" t="n"/>
      <c r="D262" s="62" t="n"/>
      <c r="E262" s="62" t="n"/>
      <c r="F262" s="62" t="n"/>
      <c r="G262" s="62" t="n"/>
      <c r="H262" s="62" t="n"/>
    </row>
    <row r="263" ht="21" customHeight="1">
      <c r="A263" s="61" t="n"/>
      <c r="B263" s="44">
        <f>'設定'!$I$14</f>
        <v/>
      </c>
      <c r="C263" s="62" t="n"/>
      <c r="D263" s="62" t="n"/>
      <c r="E263" s="62" t="n"/>
      <c r="F263" s="62" t="n"/>
      <c r="G263" s="62" t="n"/>
      <c r="H263" s="62" t="n"/>
    </row>
    <row r="264" ht="21" customHeight="1">
      <c r="A264" s="61" t="n"/>
      <c r="B264" s="44">
        <f>'設定'!$I$15</f>
        <v/>
      </c>
      <c r="C264" s="62" t="n"/>
      <c r="D264" s="62" t="n"/>
      <c r="E264" s="62" t="n"/>
      <c r="F264" s="62" t="n"/>
      <c r="G264" s="62" t="n"/>
      <c r="H264" s="62" t="n"/>
    </row>
    <row r="265" ht="21" customHeight="1">
      <c r="A265" s="61" t="n"/>
      <c r="B265" s="44">
        <f>'設定'!$I$16</f>
        <v/>
      </c>
      <c r="C265" s="62" t="n"/>
      <c r="D265" s="62" t="n"/>
      <c r="E265" s="62" t="n"/>
      <c r="F265" s="62" t="n"/>
      <c r="G265" s="62" t="n"/>
      <c r="H265" s="62" t="n"/>
    </row>
    <row r="266" ht="21" customHeight="1">
      <c r="A266" s="61" t="n"/>
      <c r="B266" s="44">
        <f>'設定'!$I$17</f>
        <v/>
      </c>
      <c r="C266" s="62" t="n"/>
      <c r="D266" s="62" t="n"/>
      <c r="E266" s="62" t="n"/>
      <c r="F266" s="62" t="n"/>
      <c r="G266" s="62" t="n"/>
      <c r="H266" s="62" t="n"/>
    </row>
    <row r="267" ht="21" customHeight="1">
      <c r="A267" s="61" t="n"/>
      <c r="B267" s="44">
        <f>'設定'!$I$18</f>
        <v/>
      </c>
      <c r="C267" s="62" t="n"/>
      <c r="D267" s="62" t="n"/>
      <c r="E267" s="62" t="n"/>
      <c r="F267" s="62" t="n"/>
      <c r="G267" s="62" t="n"/>
      <c r="H267" s="62" t="n"/>
    </row>
    <row r="268" ht="21" customHeight="1">
      <c r="A268" s="61" t="n"/>
      <c r="B268" s="44">
        <f>'設定'!$I$19</f>
        <v/>
      </c>
      <c r="C268" s="62" t="n"/>
      <c r="D268" s="62" t="n"/>
      <c r="E268" s="62" t="n"/>
      <c r="F268" s="62" t="n"/>
      <c r="G268" s="62" t="n"/>
      <c r="H268" s="62" t="n"/>
    </row>
    <row r="269" ht="21" customHeight="1">
      <c r="A269" s="61" t="n"/>
      <c r="B269" s="44">
        <f>'設定'!$I$20</f>
        <v/>
      </c>
      <c r="C269" s="62" t="n"/>
      <c r="D269" s="62" t="n"/>
      <c r="E269" s="62" t="n"/>
      <c r="F269" s="62" t="n"/>
      <c r="G269" s="62" t="n"/>
      <c r="H269" s="62" t="n"/>
    </row>
    <row r="270" ht="21" customHeight="1">
      <c r="A270" s="61" t="n"/>
      <c r="B270" s="44">
        <f>'設定'!$I$21</f>
        <v/>
      </c>
      <c r="C270" s="62" t="n"/>
      <c r="D270" s="62" t="n"/>
      <c r="E270" s="62" t="n"/>
      <c r="F270" s="62" t="n"/>
      <c r="G270" s="62" t="n"/>
      <c r="H270" s="62" t="n"/>
    </row>
    <row r="271" ht="21" customHeight="1">
      <c r="A271" s="61" t="n"/>
      <c r="B271" s="44">
        <f>'設定'!$I$22</f>
        <v/>
      </c>
      <c r="C271" s="62" t="n"/>
      <c r="D271" s="62" t="n"/>
      <c r="E271" s="62" t="n"/>
      <c r="F271" s="62" t="n"/>
      <c r="G271" s="62" t="n"/>
      <c r="H271" s="62" t="n"/>
    </row>
    <row r="272" ht="21" customHeight="1">
      <c r="A272" s="61" t="n"/>
      <c r="B272" s="44">
        <f>'設定'!$I$23</f>
        <v/>
      </c>
      <c r="C272" s="62" t="n"/>
      <c r="D272" s="62" t="n"/>
      <c r="E272" s="62" t="n"/>
      <c r="F272" s="62" t="n"/>
      <c r="G272" s="62" t="n"/>
      <c r="H272" s="62" t="n"/>
    </row>
    <row r="273" ht="21" customHeight="1">
      <c r="A273" s="61" t="n"/>
      <c r="B273" s="44">
        <f>'設定'!$I$24</f>
        <v/>
      </c>
      <c r="C273" s="62" t="n"/>
      <c r="D273" s="62" t="n"/>
      <c r="E273" s="62" t="n"/>
      <c r="F273" s="62" t="n"/>
      <c r="G273" s="62" t="n"/>
      <c r="H273" s="62" t="n"/>
    </row>
    <row r="274" ht="21" customHeight="1">
      <c r="A274" s="61" t="n"/>
      <c r="B274" s="44">
        <f>'設定'!$I$25</f>
        <v/>
      </c>
      <c r="C274" s="62" t="n"/>
      <c r="D274" s="62" t="n"/>
      <c r="E274" s="62" t="n"/>
      <c r="F274" s="62" t="n"/>
      <c r="G274" s="62" t="n"/>
      <c r="H274" s="62" t="n"/>
    </row>
    <row r="275" ht="21" customHeight="1">
      <c r="A275" s="61" t="n"/>
      <c r="B275" s="44">
        <f>'設定'!$I$26</f>
        <v/>
      </c>
      <c r="C275" s="62" t="n"/>
      <c r="D275" s="62" t="n"/>
      <c r="E275" s="62" t="n"/>
      <c r="F275" s="62" t="n"/>
      <c r="G275" s="62" t="n"/>
      <c r="H275" s="62" t="n"/>
    </row>
    <row r="276" ht="21" customHeight="1">
      <c r="A276" s="61" t="n"/>
      <c r="B276" s="44">
        <f>'設定'!$I$27</f>
        <v/>
      </c>
      <c r="C276" s="62" t="n"/>
      <c r="D276" s="62" t="n"/>
      <c r="E276" s="62" t="n"/>
      <c r="F276" s="62" t="n"/>
      <c r="G276" s="62" t="n"/>
      <c r="H276" s="62" t="n"/>
    </row>
    <row r="277" ht="21" customHeight="1">
      <c r="A277" s="61" t="n"/>
      <c r="B277" s="44">
        <f>'設定'!$I$28</f>
        <v/>
      </c>
      <c r="C277" s="62" t="n"/>
      <c r="D277" s="62" t="n"/>
      <c r="E277" s="62" t="n"/>
      <c r="F277" s="62" t="n"/>
      <c r="G277" s="62" t="n"/>
      <c r="H277" s="62" t="n"/>
    </row>
    <row r="278" ht="21" customHeight="1">
      <c r="A278" s="61" t="n"/>
      <c r="B278" s="44">
        <f>'設定'!$I$29</f>
        <v/>
      </c>
      <c r="C278" s="62" t="n"/>
      <c r="D278" s="62" t="n"/>
      <c r="E278" s="62" t="n"/>
      <c r="F278" s="62" t="n"/>
      <c r="G278" s="62" t="n"/>
      <c r="H278" s="62" t="n"/>
    </row>
    <row r="279" ht="21" customHeight="1">
      <c r="A279" s="61" t="n"/>
      <c r="B279" s="44">
        <f>'設定'!$I$30</f>
        <v/>
      </c>
      <c r="C279" s="62" t="n"/>
      <c r="D279" s="62" t="n"/>
      <c r="E279" s="62" t="n"/>
      <c r="F279" s="62" t="n"/>
      <c r="G279" s="62" t="n"/>
      <c r="H279" s="62" t="n"/>
    </row>
    <row r="280" ht="21" customHeight="1">
      <c r="A280" s="61" t="n"/>
      <c r="B280" s="44">
        <f>'設定'!$I$31</f>
        <v/>
      </c>
      <c r="C280" s="62" t="n"/>
      <c r="D280" s="62" t="n"/>
      <c r="E280" s="62" t="n"/>
      <c r="F280" s="62" t="n"/>
      <c r="G280" s="62" t="n"/>
      <c r="H280" s="62" t="n"/>
    </row>
    <row r="281" ht="21" customHeight="1">
      <c r="A281" s="61" t="n"/>
      <c r="B281" s="44">
        <f>'設定'!$I$32</f>
        <v/>
      </c>
      <c r="C281" s="62" t="n"/>
      <c r="D281" s="62" t="n"/>
      <c r="E281" s="62" t="n"/>
      <c r="F281" s="62" t="n"/>
      <c r="G281" s="62" t="n"/>
      <c r="H281" s="62" t="n"/>
    </row>
    <row r="282" ht="21" customHeight="1">
      <c r="A282" s="61" t="n"/>
      <c r="B282" s="44">
        <f>'設定'!$I$33</f>
        <v/>
      </c>
      <c r="C282" s="62" t="n"/>
      <c r="D282" s="62" t="n"/>
      <c r="E282" s="62" t="n"/>
      <c r="F282" s="62" t="n"/>
      <c r="G282" s="62" t="n"/>
      <c r="H282" s="62" t="n"/>
    </row>
    <row r="283" ht="21" customHeight="1">
      <c r="A283" s="61" t="n"/>
      <c r="B283" s="44">
        <f>'設定'!$I$34</f>
        <v/>
      </c>
      <c r="C283" s="62" t="n"/>
      <c r="D283" s="62" t="n"/>
      <c r="E283" s="62" t="n"/>
      <c r="F283" s="62" t="n"/>
      <c r="G283" s="62" t="n"/>
      <c r="H283" s="62" t="n"/>
    </row>
    <row r="284"/>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row>
    <row r="288" ht="21" customHeight="1">
      <c r="A288" s="61" t="n"/>
      <c r="B288" s="44">
        <f>'設定'!$I$11</f>
        <v/>
      </c>
      <c r="C288" s="62" t="n"/>
      <c r="D288" s="62" t="n"/>
      <c r="E288" s="62" t="n"/>
      <c r="F288" s="62" t="n"/>
      <c r="G288" s="62" t="n"/>
      <c r="H288" s="62" t="n"/>
    </row>
    <row r="289" ht="21" customHeight="1">
      <c r="A289" s="61" t="n"/>
      <c r="B289" s="44">
        <f>'設定'!$I$12</f>
        <v/>
      </c>
      <c r="C289" s="62" t="n"/>
      <c r="D289" s="62" t="n"/>
      <c r="E289" s="62" t="n"/>
      <c r="F289" s="62" t="n"/>
      <c r="G289" s="62" t="n"/>
      <c r="H289" s="62" t="n"/>
    </row>
    <row r="290" ht="21" customHeight="1">
      <c r="A290" s="61" t="n"/>
      <c r="B290" s="44">
        <f>'設定'!$I$13</f>
        <v/>
      </c>
      <c r="C290" s="62" t="n"/>
      <c r="D290" s="62" t="n"/>
      <c r="E290" s="62" t="n"/>
      <c r="F290" s="62" t="n"/>
      <c r="G290" s="62" t="n"/>
      <c r="H290" s="62" t="n"/>
    </row>
    <row r="291" ht="21" customHeight="1">
      <c r="A291" s="61" t="n"/>
      <c r="B291" s="44">
        <f>'設定'!$I$14</f>
        <v/>
      </c>
      <c r="C291" s="62" t="n"/>
      <c r="D291" s="62" t="n"/>
      <c r="E291" s="62" t="n"/>
      <c r="F291" s="62" t="n"/>
      <c r="G291" s="62" t="n"/>
      <c r="H291" s="62" t="n"/>
    </row>
    <row r="292" ht="21" customHeight="1">
      <c r="A292" s="61" t="n"/>
      <c r="B292" s="44">
        <f>'設定'!$I$15</f>
        <v/>
      </c>
      <c r="C292" s="62" t="n"/>
      <c r="D292" s="62" t="n"/>
      <c r="E292" s="62" t="n"/>
      <c r="F292" s="62" t="n"/>
      <c r="G292" s="62" t="n"/>
      <c r="H292" s="62" t="n"/>
    </row>
    <row r="293" ht="21" customHeight="1">
      <c r="A293" s="61" t="n"/>
      <c r="B293" s="44">
        <f>'設定'!$I$16</f>
        <v/>
      </c>
      <c r="C293" s="62" t="n"/>
      <c r="D293" s="62" t="n"/>
      <c r="E293" s="62" t="n"/>
      <c r="F293" s="62" t="n"/>
      <c r="G293" s="62" t="n"/>
      <c r="H293" s="62" t="n"/>
    </row>
    <row r="294" ht="21" customHeight="1">
      <c r="A294" s="61" t="n"/>
      <c r="B294" s="44">
        <f>'設定'!$I$17</f>
        <v/>
      </c>
      <c r="C294" s="62" t="n"/>
      <c r="D294" s="62" t="n"/>
      <c r="E294" s="62" t="n"/>
      <c r="F294" s="62" t="n"/>
      <c r="G294" s="62" t="n"/>
      <c r="H294" s="62" t="n"/>
    </row>
    <row r="295" ht="21" customHeight="1">
      <c r="A295" s="61" t="n"/>
      <c r="B295" s="44">
        <f>'設定'!$I$18</f>
        <v/>
      </c>
      <c r="C295" s="62" t="n"/>
      <c r="D295" s="62" t="n"/>
      <c r="E295" s="62" t="n"/>
      <c r="F295" s="62" t="n"/>
      <c r="G295" s="62" t="n"/>
      <c r="H295" s="62" t="n"/>
    </row>
    <row r="296" ht="21" customHeight="1">
      <c r="A296" s="61" t="n"/>
      <c r="B296" s="44">
        <f>'設定'!$I$19</f>
        <v/>
      </c>
      <c r="C296" s="62" t="n"/>
      <c r="D296" s="62" t="n"/>
      <c r="E296" s="62" t="n"/>
      <c r="F296" s="62" t="n"/>
      <c r="G296" s="62" t="n"/>
      <c r="H296" s="62" t="n"/>
    </row>
    <row r="297" ht="21" customHeight="1">
      <c r="A297" s="61" t="n"/>
      <c r="B297" s="44">
        <f>'設定'!$I$20</f>
        <v/>
      </c>
      <c r="C297" s="62" t="n"/>
      <c r="D297" s="62" t="n"/>
      <c r="E297" s="62" t="n"/>
      <c r="F297" s="62" t="n"/>
      <c r="G297" s="62" t="n"/>
      <c r="H297" s="62" t="n"/>
    </row>
    <row r="298" ht="21" customHeight="1">
      <c r="A298" s="61" t="n"/>
      <c r="B298" s="44">
        <f>'設定'!$I$21</f>
        <v/>
      </c>
      <c r="C298" s="62" t="n"/>
      <c r="D298" s="62" t="n"/>
      <c r="E298" s="62" t="n"/>
      <c r="F298" s="62" t="n"/>
      <c r="G298" s="62" t="n"/>
      <c r="H298" s="62" t="n"/>
    </row>
    <row r="299" ht="21" customHeight="1">
      <c r="A299" s="61" t="n"/>
      <c r="B299" s="44">
        <f>'設定'!$I$22</f>
        <v/>
      </c>
      <c r="C299" s="62" t="n"/>
      <c r="D299" s="62" t="n"/>
      <c r="E299" s="62" t="n"/>
      <c r="F299" s="62" t="n"/>
      <c r="G299" s="62" t="n"/>
      <c r="H299" s="62" t="n"/>
    </row>
    <row r="300" ht="21" customHeight="1">
      <c r="A300" s="61" t="n"/>
      <c r="B300" s="44">
        <f>'設定'!$I$23</f>
        <v/>
      </c>
      <c r="C300" s="62" t="n"/>
      <c r="D300" s="62" t="n"/>
      <c r="E300" s="62" t="n"/>
      <c r="F300" s="62" t="n"/>
      <c r="G300" s="62" t="n"/>
      <c r="H300" s="62" t="n"/>
    </row>
    <row r="301" ht="21" customHeight="1">
      <c r="A301" s="61" t="n"/>
      <c r="B301" s="44">
        <f>'設定'!$I$24</f>
        <v/>
      </c>
      <c r="C301" s="62" t="n"/>
      <c r="D301" s="62" t="n"/>
      <c r="E301" s="62" t="n"/>
      <c r="F301" s="62" t="n"/>
      <c r="G301" s="62" t="n"/>
      <c r="H301" s="62" t="n"/>
    </row>
    <row r="302" ht="21" customHeight="1">
      <c r="A302" s="61" t="n"/>
      <c r="B302" s="44">
        <f>'設定'!$I$25</f>
        <v/>
      </c>
      <c r="C302" s="62" t="n"/>
      <c r="D302" s="62" t="n"/>
      <c r="E302" s="62" t="n"/>
      <c r="F302" s="62" t="n"/>
      <c r="G302" s="62" t="n"/>
      <c r="H302" s="62" t="n"/>
    </row>
    <row r="303" ht="21" customHeight="1">
      <c r="A303" s="61" t="n"/>
      <c r="B303" s="44">
        <f>'設定'!$I$26</f>
        <v/>
      </c>
      <c r="C303" s="62" t="n"/>
      <c r="D303" s="62" t="n"/>
      <c r="E303" s="62" t="n"/>
      <c r="F303" s="62" t="n"/>
      <c r="G303" s="62" t="n"/>
      <c r="H303" s="62" t="n"/>
    </row>
    <row r="304" ht="21" customHeight="1">
      <c r="A304" s="61" t="n"/>
      <c r="B304" s="44">
        <f>'設定'!$I$27</f>
        <v/>
      </c>
      <c r="C304" s="62" t="n"/>
      <c r="D304" s="62" t="n"/>
      <c r="E304" s="62" t="n"/>
      <c r="F304" s="62" t="n"/>
      <c r="G304" s="62" t="n"/>
      <c r="H304" s="62" t="n"/>
    </row>
    <row r="305" ht="21" customHeight="1">
      <c r="A305" s="61" t="n"/>
      <c r="B305" s="44">
        <f>'設定'!$I$28</f>
        <v/>
      </c>
      <c r="C305" s="62" t="n"/>
      <c r="D305" s="62" t="n"/>
      <c r="E305" s="62" t="n"/>
      <c r="F305" s="62" t="n"/>
      <c r="G305" s="62" t="n"/>
      <c r="H305" s="62" t="n"/>
    </row>
    <row r="306" ht="21" customHeight="1">
      <c r="A306" s="61" t="n"/>
      <c r="B306" s="44">
        <f>'設定'!$I$29</f>
        <v/>
      </c>
      <c r="C306" s="62" t="n"/>
      <c r="D306" s="62" t="n"/>
      <c r="E306" s="62" t="n"/>
      <c r="F306" s="62" t="n"/>
      <c r="G306" s="62" t="n"/>
      <c r="H306" s="62" t="n"/>
    </row>
    <row r="307" ht="21" customHeight="1">
      <c r="A307" s="61" t="n"/>
      <c r="B307" s="44">
        <f>'設定'!$I$30</f>
        <v/>
      </c>
      <c r="C307" s="62" t="n"/>
      <c r="D307" s="62" t="n"/>
      <c r="E307" s="62" t="n"/>
      <c r="F307" s="62" t="n"/>
      <c r="G307" s="62" t="n"/>
      <c r="H307" s="62" t="n"/>
    </row>
    <row r="308" ht="21" customHeight="1">
      <c r="A308" s="61" t="n"/>
      <c r="B308" s="44">
        <f>'設定'!$I$31</f>
        <v/>
      </c>
      <c r="C308" s="62" t="n"/>
      <c r="D308" s="62" t="n"/>
      <c r="E308" s="62" t="n"/>
      <c r="F308" s="62" t="n"/>
      <c r="G308" s="62" t="n"/>
      <c r="H308" s="62" t="n"/>
    </row>
    <row r="309" ht="21" customHeight="1">
      <c r="A309" s="61" t="n"/>
      <c r="B309" s="44">
        <f>'設定'!$I$32</f>
        <v/>
      </c>
      <c r="C309" s="62" t="n"/>
      <c r="D309" s="62" t="n"/>
      <c r="E309" s="62" t="n"/>
      <c r="F309" s="62" t="n"/>
      <c r="G309" s="62" t="n"/>
      <c r="H309" s="62" t="n"/>
    </row>
    <row r="310" ht="21" customHeight="1">
      <c r="A310" s="61" t="n"/>
      <c r="B310" s="44">
        <f>'設定'!$I$33</f>
        <v/>
      </c>
      <c r="C310" s="62" t="n"/>
      <c r="D310" s="62" t="n"/>
      <c r="E310" s="62" t="n"/>
      <c r="F310" s="62" t="n"/>
      <c r="G310" s="62" t="n"/>
      <c r="H310" s="62" t="n"/>
    </row>
    <row r="311" ht="21" customHeight="1">
      <c r="A311" s="61" t="n"/>
      <c r="B311" s="44">
        <f>'設定'!$I$34</f>
        <v/>
      </c>
      <c r="C311" s="62" t="n"/>
      <c r="D311" s="62" t="n"/>
      <c r="E311" s="62" t="n"/>
      <c r="F311" s="62" t="n"/>
      <c r="G311" s="62" t="n"/>
      <c r="H311" s="62" t="n"/>
    </row>
    <row r="312"/>
    <row r="313" ht="26" customHeight="1">
      <c r="B313" s="55">
        <f>IF('名簿'!B16="","（名簿 12行目：なし）",'名簿'!I16)</f>
        <v/>
      </c>
      <c r="C313" s="4" t="n"/>
      <c r="D313" s="4" t="n"/>
      <c r="E313" s="56" t="inlineStr">
        <is>
          <t>提出状況 ▶</t>
        </is>
      </c>
      <c r="F313" s="40" t="n"/>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row>
    <row r="316" ht="21" customHeight="1">
      <c r="A316" s="61" t="n"/>
      <c r="B316" s="44">
        <f>'設定'!$I$11</f>
        <v/>
      </c>
      <c r="C316" s="62" t="n"/>
      <c r="D316" s="62" t="n"/>
      <c r="E316" s="62" t="n"/>
      <c r="F316" s="62" t="n"/>
      <c r="G316" s="62" t="n"/>
      <c r="H316" s="62" t="n"/>
    </row>
    <row r="317" ht="21" customHeight="1">
      <c r="A317" s="61" t="n"/>
      <c r="B317" s="44">
        <f>'設定'!$I$12</f>
        <v/>
      </c>
      <c r="C317" s="62" t="n"/>
      <c r="D317" s="62" t="n"/>
      <c r="E317" s="62" t="n"/>
      <c r="F317" s="62" t="n"/>
      <c r="G317" s="62" t="n"/>
      <c r="H317" s="62" t="n"/>
    </row>
    <row r="318" ht="21" customHeight="1">
      <c r="A318" s="61" t="n"/>
      <c r="B318" s="44">
        <f>'設定'!$I$13</f>
        <v/>
      </c>
      <c r="C318" s="62" t="n"/>
      <c r="D318" s="62" t="n"/>
      <c r="E318" s="62" t="n"/>
      <c r="F318" s="62" t="n"/>
      <c r="G318" s="62" t="n"/>
      <c r="H318" s="62" t="n"/>
    </row>
    <row r="319" ht="21" customHeight="1">
      <c r="A319" s="61" t="n"/>
      <c r="B319" s="44">
        <f>'設定'!$I$14</f>
        <v/>
      </c>
      <c r="C319" s="62" t="n"/>
      <c r="D319" s="62" t="n"/>
      <c r="E319" s="62" t="n"/>
      <c r="F319" s="62" t="n"/>
      <c r="G319" s="62" t="n"/>
      <c r="H319" s="62" t="n"/>
    </row>
    <row r="320" ht="21" customHeight="1">
      <c r="A320" s="61" t="n"/>
      <c r="B320" s="44">
        <f>'設定'!$I$15</f>
        <v/>
      </c>
      <c r="C320" s="62" t="n"/>
      <c r="D320" s="62" t="n"/>
      <c r="E320" s="62" t="n"/>
      <c r="F320" s="62" t="n"/>
      <c r="G320" s="62" t="n"/>
      <c r="H320" s="62" t="n"/>
    </row>
    <row r="321" ht="21" customHeight="1">
      <c r="A321" s="61" t="n"/>
      <c r="B321" s="44">
        <f>'設定'!$I$16</f>
        <v/>
      </c>
      <c r="C321" s="62" t="n"/>
      <c r="D321" s="62" t="n"/>
      <c r="E321" s="62" t="n"/>
      <c r="F321" s="62" t="n"/>
      <c r="G321" s="62" t="n"/>
      <c r="H321" s="62" t="n"/>
    </row>
    <row r="322" ht="21" customHeight="1">
      <c r="A322" s="61" t="n"/>
      <c r="B322" s="44">
        <f>'設定'!$I$17</f>
        <v/>
      </c>
      <c r="C322" s="62" t="n"/>
      <c r="D322" s="62" t="n"/>
      <c r="E322" s="62" t="n"/>
      <c r="F322" s="62" t="n"/>
      <c r="G322" s="62" t="n"/>
      <c r="H322" s="62" t="n"/>
    </row>
    <row r="323" ht="21" customHeight="1">
      <c r="A323" s="61" t="n"/>
      <c r="B323" s="44">
        <f>'設定'!$I$18</f>
        <v/>
      </c>
      <c r="C323" s="62" t="n"/>
      <c r="D323" s="62" t="n"/>
      <c r="E323" s="62" t="n"/>
      <c r="F323" s="62" t="n"/>
      <c r="G323" s="62" t="n"/>
      <c r="H323" s="62" t="n"/>
    </row>
    <row r="324" ht="21" customHeight="1">
      <c r="A324" s="61" t="n"/>
      <c r="B324" s="44">
        <f>'設定'!$I$19</f>
        <v/>
      </c>
      <c r="C324" s="62" t="n"/>
      <c r="D324" s="62" t="n"/>
      <c r="E324" s="62" t="n"/>
      <c r="F324" s="62" t="n"/>
      <c r="G324" s="62" t="n"/>
      <c r="H324" s="62" t="n"/>
    </row>
    <row r="325" ht="21" customHeight="1">
      <c r="A325" s="61" t="n"/>
      <c r="B325" s="44">
        <f>'設定'!$I$20</f>
        <v/>
      </c>
      <c r="C325" s="62" t="n"/>
      <c r="D325" s="62" t="n"/>
      <c r="E325" s="62" t="n"/>
      <c r="F325" s="62" t="n"/>
      <c r="G325" s="62" t="n"/>
      <c r="H325" s="62" t="n"/>
    </row>
    <row r="326" ht="21" customHeight="1">
      <c r="A326" s="61" t="n"/>
      <c r="B326" s="44">
        <f>'設定'!$I$21</f>
        <v/>
      </c>
      <c r="C326" s="62" t="n"/>
      <c r="D326" s="62" t="n"/>
      <c r="E326" s="62" t="n"/>
      <c r="F326" s="62" t="n"/>
      <c r="G326" s="62" t="n"/>
      <c r="H326" s="62" t="n"/>
    </row>
    <row r="327" ht="21" customHeight="1">
      <c r="A327" s="61" t="n"/>
      <c r="B327" s="44">
        <f>'設定'!$I$22</f>
        <v/>
      </c>
      <c r="C327" s="62" t="n"/>
      <c r="D327" s="62" t="n"/>
      <c r="E327" s="62" t="n"/>
      <c r="F327" s="62" t="n"/>
      <c r="G327" s="62" t="n"/>
      <c r="H327" s="62" t="n"/>
    </row>
    <row r="328" ht="21" customHeight="1">
      <c r="A328" s="61" t="n"/>
      <c r="B328" s="44">
        <f>'設定'!$I$23</f>
        <v/>
      </c>
      <c r="C328" s="62" t="n"/>
      <c r="D328" s="62" t="n"/>
      <c r="E328" s="62" t="n"/>
      <c r="F328" s="62" t="n"/>
      <c r="G328" s="62" t="n"/>
      <c r="H328" s="62" t="n"/>
    </row>
    <row r="329" ht="21" customHeight="1">
      <c r="A329" s="61" t="n"/>
      <c r="B329" s="44">
        <f>'設定'!$I$24</f>
        <v/>
      </c>
      <c r="C329" s="62" t="n"/>
      <c r="D329" s="62" t="n"/>
      <c r="E329" s="62" t="n"/>
      <c r="F329" s="62" t="n"/>
      <c r="G329" s="62" t="n"/>
      <c r="H329" s="62" t="n"/>
    </row>
    <row r="330" ht="21" customHeight="1">
      <c r="A330" s="61" t="n"/>
      <c r="B330" s="44">
        <f>'設定'!$I$25</f>
        <v/>
      </c>
      <c r="C330" s="62" t="n"/>
      <c r="D330" s="62" t="n"/>
      <c r="E330" s="62" t="n"/>
      <c r="F330" s="62" t="n"/>
      <c r="G330" s="62" t="n"/>
      <c r="H330" s="62" t="n"/>
    </row>
    <row r="331" ht="21" customHeight="1">
      <c r="A331" s="61" t="n"/>
      <c r="B331" s="44">
        <f>'設定'!$I$26</f>
        <v/>
      </c>
      <c r="C331" s="62" t="n"/>
      <c r="D331" s="62" t="n"/>
      <c r="E331" s="62" t="n"/>
      <c r="F331" s="62" t="n"/>
      <c r="G331" s="62" t="n"/>
      <c r="H331" s="62" t="n"/>
    </row>
    <row r="332" ht="21" customHeight="1">
      <c r="A332" s="61" t="n"/>
      <c r="B332" s="44">
        <f>'設定'!$I$27</f>
        <v/>
      </c>
      <c r="C332" s="62" t="n"/>
      <c r="D332" s="62" t="n"/>
      <c r="E332" s="62" t="n"/>
      <c r="F332" s="62" t="n"/>
      <c r="G332" s="62" t="n"/>
      <c r="H332" s="62" t="n"/>
    </row>
    <row r="333" ht="21" customHeight="1">
      <c r="A333" s="61" t="n"/>
      <c r="B333" s="44">
        <f>'設定'!$I$28</f>
        <v/>
      </c>
      <c r="C333" s="62" t="n"/>
      <c r="D333" s="62" t="n"/>
      <c r="E333" s="62" t="n"/>
      <c r="F333" s="62" t="n"/>
      <c r="G333" s="62" t="n"/>
      <c r="H333" s="62" t="n"/>
    </row>
    <row r="334" ht="21" customHeight="1">
      <c r="A334" s="61" t="n"/>
      <c r="B334" s="44">
        <f>'設定'!$I$29</f>
        <v/>
      </c>
      <c r="C334" s="62" t="n"/>
      <c r="D334" s="62" t="n"/>
      <c r="E334" s="62" t="n"/>
      <c r="F334" s="62" t="n"/>
      <c r="G334" s="62" t="n"/>
      <c r="H334" s="62" t="n"/>
    </row>
    <row r="335" ht="21" customHeight="1">
      <c r="A335" s="61" t="n"/>
      <c r="B335" s="44">
        <f>'設定'!$I$30</f>
        <v/>
      </c>
      <c r="C335" s="62" t="n"/>
      <c r="D335" s="62" t="n"/>
      <c r="E335" s="62" t="n"/>
      <c r="F335" s="62" t="n"/>
      <c r="G335" s="62" t="n"/>
      <c r="H335" s="62" t="n"/>
    </row>
    <row r="336" ht="21" customHeight="1">
      <c r="A336" s="61" t="n"/>
      <c r="B336" s="44">
        <f>'設定'!$I$31</f>
        <v/>
      </c>
      <c r="C336" s="62" t="n"/>
      <c r="D336" s="62" t="n"/>
      <c r="E336" s="62" t="n"/>
      <c r="F336" s="62" t="n"/>
      <c r="G336" s="62" t="n"/>
      <c r="H336" s="62" t="n"/>
    </row>
    <row r="337" ht="21" customHeight="1">
      <c r="A337" s="61" t="n"/>
      <c r="B337" s="44">
        <f>'設定'!$I$32</f>
        <v/>
      </c>
      <c r="C337" s="62" t="n"/>
      <c r="D337" s="62" t="n"/>
      <c r="E337" s="62" t="n"/>
      <c r="F337" s="62" t="n"/>
      <c r="G337" s="62" t="n"/>
      <c r="H337" s="62" t="n"/>
    </row>
    <row r="338" ht="21" customHeight="1">
      <c r="A338" s="61" t="n"/>
      <c r="B338" s="44">
        <f>'設定'!$I$33</f>
        <v/>
      </c>
      <c r="C338" s="62" t="n"/>
      <c r="D338" s="62" t="n"/>
      <c r="E338" s="62" t="n"/>
      <c r="F338" s="62" t="n"/>
      <c r="G338" s="62" t="n"/>
      <c r="H338" s="62" t="n"/>
    </row>
    <row r="339" ht="21" customHeight="1">
      <c r="A339" s="61" t="n"/>
      <c r="B339" s="44">
        <f>'設定'!$I$34</f>
        <v/>
      </c>
      <c r="C339" s="62" t="n"/>
      <c r="D339" s="62" t="n"/>
      <c r="E339" s="62" t="n"/>
      <c r="F339" s="62" t="n"/>
      <c r="G339" s="62" t="n"/>
      <c r="H339" s="62" t="n"/>
    </row>
    <row r="340"/>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row>
    <row r="344" ht="21" customHeight="1">
      <c r="A344" s="61" t="n"/>
      <c r="B344" s="44">
        <f>'設定'!$I$11</f>
        <v/>
      </c>
      <c r="C344" s="62" t="n"/>
      <c r="D344" s="62" t="n"/>
      <c r="E344" s="62" t="n"/>
      <c r="F344" s="62" t="n"/>
      <c r="G344" s="62" t="n"/>
      <c r="H344" s="62" t="n"/>
    </row>
    <row r="345" ht="21" customHeight="1">
      <c r="A345" s="61" t="n"/>
      <c r="B345" s="44">
        <f>'設定'!$I$12</f>
        <v/>
      </c>
      <c r="C345" s="62" t="n"/>
      <c r="D345" s="62" t="n"/>
      <c r="E345" s="62" t="n"/>
      <c r="F345" s="62" t="n"/>
      <c r="G345" s="62" t="n"/>
      <c r="H345" s="62" t="n"/>
    </row>
    <row r="346" ht="21" customHeight="1">
      <c r="A346" s="61" t="n"/>
      <c r="B346" s="44">
        <f>'設定'!$I$13</f>
        <v/>
      </c>
      <c r="C346" s="62" t="n"/>
      <c r="D346" s="62" t="n"/>
      <c r="E346" s="62" t="n"/>
      <c r="F346" s="62" t="n"/>
      <c r="G346" s="62" t="n"/>
      <c r="H346" s="62" t="n"/>
    </row>
    <row r="347" ht="21" customHeight="1">
      <c r="A347" s="61" t="n"/>
      <c r="B347" s="44">
        <f>'設定'!$I$14</f>
        <v/>
      </c>
      <c r="C347" s="62" t="n"/>
      <c r="D347" s="62" t="n"/>
      <c r="E347" s="62" t="n"/>
      <c r="F347" s="62" t="n"/>
      <c r="G347" s="62" t="n"/>
      <c r="H347" s="62" t="n"/>
    </row>
    <row r="348" ht="21" customHeight="1">
      <c r="A348" s="61" t="n"/>
      <c r="B348" s="44">
        <f>'設定'!$I$15</f>
        <v/>
      </c>
      <c r="C348" s="62" t="n"/>
      <c r="D348" s="62" t="n"/>
      <c r="E348" s="62" t="n"/>
      <c r="F348" s="62" t="n"/>
      <c r="G348" s="62" t="n"/>
      <c r="H348" s="62" t="n"/>
    </row>
    <row r="349" ht="21" customHeight="1">
      <c r="A349" s="61" t="n"/>
      <c r="B349" s="44">
        <f>'設定'!$I$16</f>
        <v/>
      </c>
      <c r="C349" s="62" t="n"/>
      <c r="D349" s="62" t="n"/>
      <c r="E349" s="62" t="n"/>
      <c r="F349" s="62" t="n"/>
      <c r="G349" s="62" t="n"/>
      <c r="H349" s="62" t="n"/>
    </row>
    <row r="350" ht="21" customHeight="1">
      <c r="A350" s="61" t="n"/>
      <c r="B350" s="44">
        <f>'設定'!$I$17</f>
        <v/>
      </c>
      <c r="C350" s="62" t="n"/>
      <c r="D350" s="62" t="n"/>
      <c r="E350" s="62" t="n"/>
      <c r="F350" s="62" t="n"/>
      <c r="G350" s="62" t="n"/>
      <c r="H350" s="62" t="n"/>
    </row>
    <row r="351" ht="21" customHeight="1">
      <c r="A351" s="61" t="n"/>
      <c r="B351" s="44">
        <f>'設定'!$I$18</f>
        <v/>
      </c>
      <c r="C351" s="62" t="n"/>
      <c r="D351" s="62" t="n"/>
      <c r="E351" s="62" t="n"/>
      <c r="F351" s="62" t="n"/>
      <c r="G351" s="62" t="n"/>
      <c r="H351" s="62" t="n"/>
    </row>
    <row r="352" ht="21" customHeight="1">
      <c r="A352" s="61" t="n"/>
      <c r="B352" s="44">
        <f>'設定'!$I$19</f>
        <v/>
      </c>
      <c r="C352" s="62" t="n"/>
      <c r="D352" s="62" t="n"/>
      <c r="E352" s="62" t="n"/>
      <c r="F352" s="62" t="n"/>
      <c r="G352" s="62" t="n"/>
      <c r="H352" s="62" t="n"/>
    </row>
    <row r="353" ht="21" customHeight="1">
      <c r="A353" s="61" t="n"/>
      <c r="B353" s="44">
        <f>'設定'!$I$20</f>
        <v/>
      </c>
      <c r="C353" s="62" t="n"/>
      <c r="D353" s="62" t="n"/>
      <c r="E353" s="62" t="n"/>
      <c r="F353" s="62" t="n"/>
      <c r="G353" s="62" t="n"/>
      <c r="H353" s="62" t="n"/>
    </row>
    <row r="354" ht="21" customHeight="1">
      <c r="A354" s="61" t="n"/>
      <c r="B354" s="44">
        <f>'設定'!$I$21</f>
        <v/>
      </c>
      <c r="C354" s="62" t="n"/>
      <c r="D354" s="62" t="n"/>
      <c r="E354" s="62" t="n"/>
      <c r="F354" s="62" t="n"/>
      <c r="G354" s="62" t="n"/>
      <c r="H354" s="62" t="n"/>
    </row>
    <row r="355" ht="21" customHeight="1">
      <c r="A355" s="61" t="n"/>
      <c r="B355" s="44">
        <f>'設定'!$I$22</f>
        <v/>
      </c>
      <c r="C355" s="62" t="n"/>
      <c r="D355" s="62" t="n"/>
      <c r="E355" s="62" t="n"/>
      <c r="F355" s="62" t="n"/>
      <c r="G355" s="62" t="n"/>
      <c r="H355" s="62" t="n"/>
    </row>
    <row r="356" ht="21" customHeight="1">
      <c r="A356" s="61" t="n"/>
      <c r="B356" s="44">
        <f>'設定'!$I$23</f>
        <v/>
      </c>
      <c r="C356" s="62" t="n"/>
      <c r="D356" s="62" t="n"/>
      <c r="E356" s="62" t="n"/>
      <c r="F356" s="62" t="n"/>
      <c r="G356" s="62" t="n"/>
      <c r="H356" s="62" t="n"/>
    </row>
    <row r="357" ht="21" customHeight="1">
      <c r="A357" s="61" t="n"/>
      <c r="B357" s="44">
        <f>'設定'!$I$24</f>
        <v/>
      </c>
      <c r="C357" s="62" t="n"/>
      <c r="D357" s="62" t="n"/>
      <c r="E357" s="62" t="n"/>
      <c r="F357" s="62" t="n"/>
      <c r="G357" s="62" t="n"/>
      <c r="H357" s="62" t="n"/>
    </row>
    <row r="358" ht="21" customHeight="1">
      <c r="A358" s="61" t="n"/>
      <c r="B358" s="44">
        <f>'設定'!$I$25</f>
        <v/>
      </c>
      <c r="C358" s="62" t="n"/>
      <c r="D358" s="62" t="n"/>
      <c r="E358" s="62" t="n"/>
      <c r="F358" s="62" t="n"/>
      <c r="G358" s="62" t="n"/>
      <c r="H358" s="62" t="n"/>
    </row>
    <row r="359" ht="21" customHeight="1">
      <c r="A359" s="61" t="n"/>
      <c r="B359" s="44">
        <f>'設定'!$I$26</f>
        <v/>
      </c>
      <c r="C359" s="62" t="n"/>
      <c r="D359" s="62" t="n"/>
      <c r="E359" s="62" t="n"/>
      <c r="F359" s="62" t="n"/>
      <c r="G359" s="62" t="n"/>
      <c r="H359" s="62" t="n"/>
    </row>
    <row r="360" ht="21" customHeight="1">
      <c r="A360" s="61" t="n"/>
      <c r="B360" s="44">
        <f>'設定'!$I$27</f>
        <v/>
      </c>
      <c r="C360" s="62" t="n"/>
      <c r="D360" s="62" t="n"/>
      <c r="E360" s="62" t="n"/>
      <c r="F360" s="62" t="n"/>
      <c r="G360" s="62" t="n"/>
      <c r="H360" s="62" t="n"/>
    </row>
    <row r="361" ht="21" customHeight="1">
      <c r="A361" s="61" t="n"/>
      <c r="B361" s="44">
        <f>'設定'!$I$28</f>
        <v/>
      </c>
      <c r="C361" s="62" t="n"/>
      <c r="D361" s="62" t="n"/>
      <c r="E361" s="62" t="n"/>
      <c r="F361" s="62" t="n"/>
      <c r="G361" s="62" t="n"/>
      <c r="H361" s="62" t="n"/>
    </row>
    <row r="362" ht="21" customHeight="1">
      <c r="A362" s="61" t="n"/>
      <c r="B362" s="44">
        <f>'設定'!$I$29</f>
        <v/>
      </c>
      <c r="C362" s="62" t="n"/>
      <c r="D362" s="62" t="n"/>
      <c r="E362" s="62" t="n"/>
      <c r="F362" s="62" t="n"/>
      <c r="G362" s="62" t="n"/>
      <c r="H362" s="62" t="n"/>
    </row>
    <row r="363" ht="21" customHeight="1">
      <c r="A363" s="61" t="n"/>
      <c r="B363" s="44">
        <f>'設定'!$I$30</f>
        <v/>
      </c>
      <c r="C363" s="62" t="n"/>
      <c r="D363" s="62" t="n"/>
      <c r="E363" s="62" t="n"/>
      <c r="F363" s="62" t="n"/>
      <c r="G363" s="62" t="n"/>
      <c r="H363" s="62" t="n"/>
    </row>
    <row r="364" ht="21" customHeight="1">
      <c r="A364" s="61" t="n"/>
      <c r="B364" s="44">
        <f>'設定'!$I$31</f>
        <v/>
      </c>
      <c r="C364" s="62" t="n"/>
      <c r="D364" s="62" t="n"/>
      <c r="E364" s="62" t="n"/>
      <c r="F364" s="62" t="n"/>
      <c r="G364" s="62" t="n"/>
      <c r="H364" s="62" t="n"/>
    </row>
    <row r="365" ht="21" customHeight="1">
      <c r="A365" s="61" t="n"/>
      <c r="B365" s="44">
        <f>'設定'!$I$32</f>
        <v/>
      </c>
      <c r="C365" s="62" t="n"/>
      <c r="D365" s="62" t="n"/>
      <c r="E365" s="62" t="n"/>
      <c r="F365" s="62" t="n"/>
      <c r="G365" s="62" t="n"/>
      <c r="H365" s="62" t="n"/>
    </row>
    <row r="366" ht="21" customHeight="1">
      <c r="A366" s="61" t="n"/>
      <c r="B366" s="44">
        <f>'設定'!$I$33</f>
        <v/>
      </c>
      <c r="C366" s="62" t="n"/>
      <c r="D366" s="62" t="n"/>
      <c r="E366" s="62" t="n"/>
      <c r="F366" s="62" t="n"/>
      <c r="G366" s="62" t="n"/>
      <c r="H366" s="62" t="n"/>
    </row>
    <row r="367" ht="21" customHeight="1">
      <c r="A367" s="61" t="n"/>
      <c r="B367" s="44">
        <f>'設定'!$I$34</f>
        <v/>
      </c>
      <c r="C367" s="62" t="n"/>
      <c r="D367" s="62" t="n"/>
      <c r="E367" s="62" t="n"/>
      <c r="F367" s="62" t="n"/>
      <c r="G367" s="62" t="n"/>
      <c r="H367" s="62" t="n"/>
    </row>
    <row r="368"/>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row>
    <row r="372" ht="21" customHeight="1">
      <c r="A372" s="61" t="n"/>
      <c r="B372" s="44">
        <f>'設定'!$I$11</f>
        <v/>
      </c>
      <c r="C372" s="62" t="n"/>
      <c r="D372" s="62" t="n"/>
      <c r="E372" s="62" t="n"/>
      <c r="F372" s="62" t="n"/>
      <c r="G372" s="62" t="n"/>
      <c r="H372" s="62" t="n"/>
    </row>
    <row r="373" ht="21" customHeight="1">
      <c r="A373" s="61" t="n"/>
      <c r="B373" s="44">
        <f>'設定'!$I$12</f>
        <v/>
      </c>
      <c r="C373" s="62" t="n"/>
      <c r="D373" s="62" t="n"/>
      <c r="E373" s="62" t="n"/>
      <c r="F373" s="62" t="n"/>
      <c r="G373" s="62" t="n"/>
      <c r="H373" s="62" t="n"/>
    </row>
    <row r="374" ht="21" customHeight="1">
      <c r="A374" s="61" t="n"/>
      <c r="B374" s="44">
        <f>'設定'!$I$13</f>
        <v/>
      </c>
      <c r="C374" s="62" t="n"/>
      <c r="D374" s="62" t="n"/>
      <c r="E374" s="62" t="n"/>
      <c r="F374" s="62" t="n"/>
      <c r="G374" s="62" t="n"/>
      <c r="H374" s="62" t="n"/>
    </row>
    <row r="375" ht="21" customHeight="1">
      <c r="A375" s="61" t="n"/>
      <c r="B375" s="44">
        <f>'設定'!$I$14</f>
        <v/>
      </c>
      <c r="C375" s="62" t="n"/>
      <c r="D375" s="62" t="n"/>
      <c r="E375" s="62" t="n"/>
      <c r="F375" s="62" t="n"/>
      <c r="G375" s="62" t="n"/>
      <c r="H375" s="62" t="n"/>
    </row>
    <row r="376" ht="21" customHeight="1">
      <c r="A376" s="61" t="n"/>
      <c r="B376" s="44">
        <f>'設定'!$I$15</f>
        <v/>
      </c>
      <c r="C376" s="62" t="n"/>
      <c r="D376" s="62" t="n"/>
      <c r="E376" s="62" t="n"/>
      <c r="F376" s="62" t="n"/>
      <c r="G376" s="62" t="n"/>
      <c r="H376" s="62" t="n"/>
    </row>
    <row r="377" ht="21" customHeight="1">
      <c r="A377" s="61" t="n"/>
      <c r="B377" s="44">
        <f>'設定'!$I$16</f>
        <v/>
      </c>
      <c r="C377" s="62" t="n"/>
      <c r="D377" s="62" t="n"/>
      <c r="E377" s="62" t="n"/>
      <c r="F377" s="62" t="n"/>
      <c r="G377" s="62" t="n"/>
      <c r="H377" s="62" t="n"/>
    </row>
    <row r="378" ht="21" customHeight="1">
      <c r="A378" s="61" t="n"/>
      <c r="B378" s="44">
        <f>'設定'!$I$17</f>
        <v/>
      </c>
      <c r="C378" s="62" t="n"/>
      <c r="D378" s="62" t="n"/>
      <c r="E378" s="62" t="n"/>
      <c r="F378" s="62" t="n"/>
      <c r="G378" s="62" t="n"/>
      <c r="H378" s="62" t="n"/>
    </row>
    <row r="379" ht="21" customHeight="1">
      <c r="A379" s="61" t="n"/>
      <c r="B379" s="44">
        <f>'設定'!$I$18</f>
        <v/>
      </c>
      <c r="C379" s="62" t="n"/>
      <c r="D379" s="62" t="n"/>
      <c r="E379" s="62" t="n"/>
      <c r="F379" s="62" t="n"/>
      <c r="G379" s="62" t="n"/>
      <c r="H379" s="62" t="n"/>
    </row>
    <row r="380" ht="21" customHeight="1">
      <c r="A380" s="61" t="n"/>
      <c r="B380" s="44">
        <f>'設定'!$I$19</f>
        <v/>
      </c>
      <c r="C380" s="62" t="n"/>
      <c r="D380" s="62" t="n"/>
      <c r="E380" s="62" t="n"/>
      <c r="F380" s="62" t="n"/>
      <c r="G380" s="62" t="n"/>
      <c r="H380" s="62" t="n"/>
    </row>
    <row r="381" ht="21" customHeight="1">
      <c r="A381" s="61" t="n"/>
      <c r="B381" s="44">
        <f>'設定'!$I$20</f>
        <v/>
      </c>
      <c r="C381" s="62" t="n"/>
      <c r="D381" s="62" t="n"/>
      <c r="E381" s="62" t="n"/>
      <c r="F381" s="62" t="n"/>
      <c r="G381" s="62" t="n"/>
      <c r="H381" s="62" t="n"/>
    </row>
    <row r="382" ht="21" customHeight="1">
      <c r="A382" s="61" t="n"/>
      <c r="B382" s="44">
        <f>'設定'!$I$21</f>
        <v/>
      </c>
      <c r="C382" s="62" t="n"/>
      <c r="D382" s="62" t="n"/>
      <c r="E382" s="62" t="n"/>
      <c r="F382" s="62" t="n"/>
      <c r="G382" s="62" t="n"/>
      <c r="H382" s="62" t="n"/>
    </row>
    <row r="383" ht="21" customHeight="1">
      <c r="A383" s="61" t="n"/>
      <c r="B383" s="44">
        <f>'設定'!$I$22</f>
        <v/>
      </c>
      <c r="C383" s="62" t="n"/>
      <c r="D383" s="62" t="n"/>
      <c r="E383" s="62" t="n"/>
      <c r="F383" s="62" t="n"/>
      <c r="G383" s="62" t="n"/>
      <c r="H383" s="62" t="n"/>
    </row>
    <row r="384" ht="21" customHeight="1">
      <c r="A384" s="61" t="n"/>
      <c r="B384" s="44">
        <f>'設定'!$I$23</f>
        <v/>
      </c>
      <c r="C384" s="62" t="n"/>
      <c r="D384" s="62" t="n"/>
      <c r="E384" s="62" t="n"/>
      <c r="F384" s="62" t="n"/>
      <c r="G384" s="62" t="n"/>
      <c r="H384" s="62" t="n"/>
    </row>
    <row r="385" ht="21" customHeight="1">
      <c r="A385" s="61" t="n"/>
      <c r="B385" s="44">
        <f>'設定'!$I$24</f>
        <v/>
      </c>
      <c r="C385" s="62" t="n"/>
      <c r="D385" s="62" t="n"/>
      <c r="E385" s="62" t="n"/>
      <c r="F385" s="62" t="n"/>
      <c r="G385" s="62" t="n"/>
      <c r="H385" s="62" t="n"/>
    </row>
    <row r="386" ht="21" customHeight="1">
      <c r="A386" s="61" t="n"/>
      <c r="B386" s="44">
        <f>'設定'!$I$25</f>
        <v/>
      </c>
      <c r="C386" s="62" t="n"/>
      <c r="D386" s="62" t="n"/>
      <c r="E386" s="62" t="n"/>
      <c r="F386" s="62" t="n"/>
      <c r="G386" s="62" t="n"/>
      <c r="H386" s="62" t="n"/>
    </row>
    <row r="387" ht="21" customHeight="1">
      <c r="A387" s="61" t="n"/>
      <c r="B387" s="44">
        <f>'設定'!$I$26</f>
        <v/>
      </c>
      <c r="C387" s="62" t="n"/>
      <c r="D387" s="62" t="n"/>
      <c r="E387" s="62" t="n"/>
      <c r="F387" s="62" t="n"/>
      <c r="G387" s="62" t="n"/>
      <c r="H387" s="62" t="n"/>
    </row>
    <row r="388" ht="21" customHeight="1">
      <c r="A388" s="61" t="n"/>
      <c r="B388" s="44">
        <f>'設定'!$I$27</f>
        <v/>
      </c>
      <c r="C388" s="62" t="n"/>
      <c r="D388" s="62" t="n"/>
      <c r="E388" s="62" t="n"/>
      <c r="F388" s="62" t="n"/>
      <c r="G388" s="62" t="n"/>
      <c r="H388" s="62" t="n"/>
    </row>
    <row r="389" ht="21" customHeight="1">
      <c r="A389" s="61" t="n"/>
      <c r="B389" s="44">
        <f>'設定'!$I$28</f>
        <v/>
      </c>
      <c r="C389" s="62" t="n"/>
      <c r="D389" s="62" t="n"/>
      <c r="E389" s="62" t="n"/>
      <c r="F389" s="62" t="n"/>
      <c r="G389" s="62" t="n"/>
      <c r="H389" s="62" t="n"/>
    </row>
    <row r="390" ht="21" customHeight="1">
      <c r="A390" s="61" t="n"/>
      <c r="B390" s="44">
        <f>'設定'!$I$29</f>
        <v/>
      </c>
      <c r="C390" s="62" t="n"/>
      <c r="D390" s="62" t="n"/>
      <c r="E390" s="62" t="n"/>
      <c r="F390" s="62" t="n"/>
      <c r="G390" s="62" t="n"/>
      <c r="H390" s="62" t="n"/>
    </row>
    <row r="391" ht="21" customHeight="1">
      <c r="A391" s="61" t="n"/>
      <c r="B391" s="44">
        <f>'設定'!$I$30</f>
        <v/>
      </c>
      <c r="C391" s="62" t="n"/>
      <c r="D391" s="62" t="n"/>
      <c r="E391" s="62" t="n"/>
      <c r="F391" s="62" t="n"/>
      <c r="G391" s="62" t="n"/>
      <c r="H391" s="62" t="n"/>
    </row>
    <row r="392" ht="21" customHeight="1">
      <c r="A392" s="61" t="n"/>
      <c r="B392" s="44">
        <f>'設定'!$I$31</f>
        <v/>
      </c>
      <c r="C392" s="62" t="n"/>
      <c r="D392" s="62" t="n"/>
      <c r="E392" s="62" t="n"/>
      <c r="F392" s="62" t="n"/>
      <c r="G392" s="62" t="n"/>
      <c r="H392" s="62" t="n"/>
    </row>
    <row r="393" ht="21" customHeight="1">
      <c r="A393" s="61" t="n"/>
      <c r="B393" s="44">
        <f>'設定'!$I$32</f>
        <v/>
      </c>
      <c r="C393" s="62" t="n"/>
      <c r="D393" s="62" t="n"/>
      <c r="E393" s="62" t="n"/>
      <c r="F393" s="62" t="n"/>
      <c r="G393" s="62" t="n"/>
      <c r="H393" s="62" t="n"/>
    </row>
    <row r="394" ht="21" customHeight="1">
      <c r="A394" s="61" t="n"/>
      <c r="B394" s="44">
        <f>'設定'!$I$33</f>
        <v/>
      </c>
      <c r="C394" s="62" t="n"/>
      <c r="D394" s="62" t="n"/>
      <c r="E394" s="62" t="n"/>
      <c r="F394" s="62" t="n"/>
      <c r="G394" s="62" t="n"/>
      <c r="H394" s="62" t="n"/>
    </row>
    <row r="395" ht="21" customHeight="1">
      <c r="A395" s="61" t="n"/>
      <c r="B395" s="44">
        <f>'設定'!$I$34</f>
        <v/>
      </c>
      <c r="C395" s="62" t="n"/>
      <c r="D395" s="62" t="n"/>
      <c r="E395" s="62" t="n"/>
      <c r="F395" s="62" t="n"/>
      <c r="G395" s="62" t="n"/>
      <c r="H395" s="62" t="n"/>
    </row>
    <row r="396"/>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row>
    <row r="400" ht="21" customHeight="1">
      <c r="A400" s="61" t="n"/>
      <c r="B400" s="44">
        <f>'設定'!$I$11</f>
        <v/>
      </c>
      <c r="C400" s="62" t="n"/>
      <c r="D400" s="62" t="n"/>
      <c r="E400" s="62" t="n"/>
      <c r="F400" s="62" t="n"/>
      <c r="G400" s="62" t="n"/>
      <c r="H400" s="62" t="n"/>
    </row>
    <row r="401" ht="21" customHeight="1">
      <c r="A401" s="61" t="n"/>
      <c r="B401" s="44">
        <f>'設定'!$I$12</f>
        <v/>
      </c>
      <c r="C401" s="62" t="n"/>
      <c r="D401" s="62" t="n"/>
      <c r="E401" s="62" t="n"/>
      <c r="F401" s="62" t="n"/>
      <c r="G401" s="62" t="n"/>
      <c r="H401" s="62" t="n"/>
    </row>
    <row r="402" ht="21" customHeight="1">
      <c r="A402" s="61" t="n"/>
      <c r="B402" s="44">
        <f>'設定'!$I$13</f>
        <v/>
      </c>
      <c r="C402" s="62" t="n"/>
      <c r="D402" s="62" t="n"/>
      <c r="E402" s="62" t="n"/>
      <c r="F402" s="62" t="n"/>
      <c r="G402" s="62" t="n"/>
      <c r="H402" s="62" t="n"/>
    </row>
    <row r="403" ht="21" customHeight="1">
      <c r="A403" s="61" t="n"/>
      <c r="B403" s="44">
        <f>'設定'!$I$14</f>
        <v/>
      </c>
      <c r="C403" s="62" t="n"/>
      <c r="D403" s="62" t="n"/>
      <c r="E403" s="62" t="n"/>
      <c r="F403" s="62" t="n"/>
      <c r="G403" s="62" t="n"/>
      <c r="H403" s="62" t="n"/>
    </row>
    <row r="404" ht="21" customHeight="1">
      <c r="A404" s="61" t="n"/>
      <c r="B404" s="44">
        <f>'設定'!$I$15</f>
        <v/>
      </c>
      <c r="C404" s="62" t="n"/>
      <c r="D404" s="62" t="n"/>
      <c r="E404" s="62" t="n"/>
      <c r="F404" s="62" t="n"/>
      <c r="G404" s="62" t="n"/>
      <c r="H404" s="62" t="n"/>
    </row>
    <row r="405" ht="21" customHeight="1">
      <c r="A405" s="61" t="n"/>
      <c r="B405" s="44">
        <f>'設定'!$I$16</f>
        <v/>
      </c>
      <c r="C405" s="62" t="n"/>
      <c r="D405" s="62" t="n"/>
      <c r="E405" s="62" t="n"/>
      <c r="F405" s="62" t="n"/>
      <c r="G405" s="62" t="n"/>
      <c r="H405" s="62" t="n"/>
    </row>
    <row r="406" ht="21" customHeight="1">
      <c r="A406" s="61" t="n"/>
      <c r="B406" s="44">
        <f>'設定'!$I$17</f>
        <v/>
      </c>
      <c r="C406" s="62" t="n"/>
      <c r="D406" s="62" t="n"/>
      <c r="E406" s="62" t="n"/>
      <c r="F406" s="62" t="n"/>
      <c r="G406" s="62" t="n"/>
      <c r="H406" s="62" t="n"/>
    </row>
    <row r="407" ht="21" customHeight="1">
      <c r="A407" s="61" t="n"/>
      <c r="B407" s="44">
        <f>'設定'!$I$18</f>
        <v/>
      </c>
      <c r="C407" s="62" t="n"/>
      <c r="D407" s="62" t="n"/>
      <c r="E407" s="62" t="n"/>
      <c r="F407" s="62" t="n"/>
      <c r="G407" s="62" t="n"/>
      <c r="H407" s="62" t="n"/>
    </row>
    <row r="408" ht="21" customHeight="1">
      <c r="A408" s="61" t="n"/>
      <c r="B408" s="44">
        <f>'設定'!$I$19</f>
        <v/>
      </c>
      <c r="C408" s="62" t="n"/>
      <c r="D408" s="62" t="n"/>
      <c r="E408" s="62" t="n"/>
      <c r="F408" s="62" t="n"/>
      <c r="G408" s="62" t="n"/>
      <c r="H408" s="62" t="n"/>
    </row>
    <row r="409" ht="21" customHeight="1">
      <c r="A409" s="61" t="n"/>
      <c r="B409" s="44">
        <f>'設定'!$I$20</f>
        <v/>
      </c>
      <c r="C409" s="62" t="n"/>
      <c r="D409" s="62" t="n"/>
      <c r="E409" s="62" t="n"/>
      <c r="F409" s="62" t="n"/>
      <c r="G409" s="62" t="n"/>
      <c r="H409" s="62" t="n"/>
    </row>
    <row r="410" ht="21" customHeight="1">
      <c r="A410" s="61" t="n"/>
      <c r="B410" s="44">
        <f>'設定'!$I$21</f>
        <v/>
      </c>
      <c r="C410" s="62" t="n"/>
      <c r="D410" s="62" t="n"/>
      <c r="E410" s="62" t="n"/>
      <c r="F410" s="62" t="n"/>
      <c r="G410" s="62" t="n"/>
      <c r="H410" s="62" t="n"/>
    </row>
    <row r="411" ht="21" customHeight="1">
      <c r="A411" s="61" t="n"/>
      <c r="B411" s="44">
        <f>'設定'!$I$22</f>
        <v/>
      </c>
      <c r="C411" s="62" t="n"/>
      <c r="D411" s="62" t="n"/>
      <c r="E411" s="62" t="n"/>
      <c r="F411" s="62" t="n"/>
      <c r="G411" s="62" t="n"/>
      <c r="H411" s="62" t="n"/>
    </row>
    <row r="412" ht="21" customHeight="1">
      <c r="A412" s="61" t="n"/>
      <c r="B412" s="44">
        <f>'設定'!$I$23</f>
        <v/>
      </c>
      <c r="C412" s="62" t="n"/>
      <c r="D412" s="62" t="n"/>
      <c r="E412" s="62" t="n"/>
      <c r="F412" s="62" t="n"/>
      <c r="G412" s="62" t="n"/>
      <c r="H412" s="62" t="n"/>
    </row>
    <row r="413" ht="21" customHeight="1">
      <c r="A413" s="61" t="n"/>
      <c r="B413" s="44">
        <f>'設定'!$I$24</f>
        <v/>
      </c>
      <c r="C413" s="62" t="n"/>
      <c r="D413" s="62" t="n"/>
      <c r="E413" s="62" t="n"/>
      <c r="F413" s="62" t="n"/>
      <c r="G413" s="62" t="n"/>
      <c r="H413" s="62" t="n"/>
    </row>
    <row r="414" ht="21" customHeight="1">
      <c r="A414" s="61" t="n"/>
      <c r="B414" s="44">
        <f>'設定'!$I$25</f>
        <v/>
      </c>
      <c r="C414" s="62" t="n"/>
      <c r="D414" s="62" t="n"/>
      <c r="E414" s="62" t="n"/>
      <c r="F414" s="62" t="n"/>
      <c r="G414" s="62" t="n"/>
      <c r="H414" s="62" t="n"/>
    </row>
    <row r="415" ht="21" customHeight="1">
      <c r="A415" s="61" t="n"/>
      <c r="B415" s="44">
        <f>'設定'!$I$26</f>
        <v/>
      </c>
      <c r="C415" s="62" t="n"/>
      <c r="D415" s="62" t="n"/>
      <c r="E415" s="62" t="n"/>
      <c r="F415" s="62" t="n"/>
      <c r="G415" s="62" t="n"/>
      <c r="H415" s="62" t="n"/>
    </row>
    <row r="416" ht="21" customHeight="1">
      <c r="A416" s="61" t="n"/>
      <c r="B416" s="44">
        <f>'設定'!$I$27</f>
        <v/>
      </c>
      <c r="C416" s="62" t="n"/>
      <c r="D416" s="62" t="n"/>
      <c r="E416" s="62" t="n"/>
      <c r="F416" s="62" t="n"/>
      <c r="G416" s="62" t="n"/>
      <c r="H416" s="62" t="n"/>
    </row>
    <row r="417" ht="21" customHeight="1">
      <c r="A417" s="61" t="n"/>
      <c r="B417" s="44">
        <f>'設定'!$I$28</f>
        <v/>
      </c>
      <c r="C417" s="62" t="n"/>
      <c r="D417" s="62" t="n"/>
      <c r="E417" s="62" t="n"/>
      <c r="F417" s="62" t="n"/>
      <c r="G417" s="62" t="n"/>
      <c r="H417" s="62" t="n"/>
    </row>
    <row r="418" ht="21" customHeight="1">
      <c r="A418" s="61" t="n"/>
      <c r="B418" s="44">
        <f>'設定'!$I$29</f>
        <v/>
      </c>
      <c r="C418" s="62" t="n"/>
      <c r="D418" s="62" t="n"/>
      <c r="E418" s="62" t="n"/>
      <c r="F418" s="62" t="n"/>
      <c r="G418" s="62" t="n"/>
      <c r="H418" s="62" t="n"/>
    </row>
    <row r="419" ht="21" customHeight="1">
      <c r="A419" s="61" t="n"/>
      <c r="B419" s="44">
        <f>'設定'!$I$30</f>
        <v/>
      </c>
      <c r="C419" s="62" t="n"/>
      <c r="D419" s="62" t="n"/>
      <c r="E419" s="62" t="n"/>
      <c r="F419" s="62" t="n"/>
      <c r="G419" s="62" t="n"/>
      <c r="H419" s="62" t="n"/>
    </row>
    <row r="420" ht="21" customHeight="1">
      <c r="A420" s="61" t="n"/>
      <c r="B420" s="44">
        <f>'設定'!$I$31</f>
        <v/>
      </c>
      <c r="C420" s="62" t="n"/>
      <c r="D420" s="62" t="n"/>
      <c r="E420" s="62" t="n"/>
      <c r="F420" s="62" t="n"/>
      <c r="G420" s="62" t="n"/>
      <c r="H420" s="62" t="n"/>
    </row>
    <row r="421" ht="21" customHeight="1">
      <c r="A421" s="61" t="n"/>
      <c r="B421" s="44">
        <f>'設定'!$I$32</f>
        <v/>
      </c>
      <c r="C421" s="62" t="n"/>
      <c r="D421" s="62" t="n"/>
      <c r="E421" s="62" t="n"/>
      <c r="F421" s="62" t="n"/>
      <c r="G421" s="62" t="n"/>
      <c r="H421" s="62" t="n"/>
    </row>
    <row r="422" ht="21" customHeight="1">
      <c r="A422" s="61" t="n"/>
      <c r="B422" s="44">
        <f>'設定'!$I$33</f>
        <v/>
      </c>
      <c r="C422" s="62" t="n"/>
      <c r="D422" s="62" t="n"/>
      <c r="E422" s="62" t="n"/>
      <c r="F422" s="62" t="n"/>
      <c r="G422" s="62" t="n"/>
      <c r="H422" s="62" t="n"/>
    </row>
    <row r="423" ht="21" customHeight="1">
      <c r="A423" s="61" t="n"/>
      <c r="B423" s="44">
        <f>'設定'!$I$34</f>
        <v/>
      </c>
      <c r="C423" s="62" t="n"/>
      <c r="D423" s="62" t="n"/>
      <c r="E423" s="62" t="n"/>
      <c r="F423" s="62" t="n"/>
      <c r="G423" s="62" t="n"/>
      <c r="H423" s="62" t="n"/>
    </row>
    <row r="424"/>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row>
    <row r="428" ht="21" customHeight="1">
      <c r="A428" s="61" t="n"/>
      <c r="B428" s="44">
        <f>'設定'!$I$11</f>
        <v/>
      </c>
      <c r="C428" s="62" t="n"/>
      <c r="D428" s="62" t="n"/>
      <c r="E428" s="62" t="n"/>
      <c r="F428" s="62" t="n"/>
      <c r="G428" s="62" t="n"/>
      <c r="H428" s="62" t="n"/>
    </row>
    <row r="429" ht="21" customHeight="1">
      <c r="A429" s="61" t="n"/>
      <c r="B429" s="44">
        <f>'設定'!$I$12</f>
        <v/>
      </c>
      <c r="C429" s="62" t="n"/>
      <c r="D429" s="62" t="n"/>
      <c r="E429" s="62" t="n"/>
      <c r="F429" s="62" t="n"/>
      <c r="G429" s="62" t="n"/>
      <c r="H429" s="62" t="n"/>
    </row>
    <row r="430" ht="21" customHeight="1">
      <c r="A430" s="61" t="n"/>
      <c r="B430" s="44">
        <f>'設定'!$I$13</f>
        <v/>
      </c>
      <c r="C430" s="62" t="n"/>
      <c r="D430" s="62" t="n"/>
      <c r="E430" s="62" t="n"/>
      <c r="F430" s="62" t="n"/>
      <c r="G430" s="62" t="n"/>
      <c r="H430" s="62" t="n"/>
    </row>
    <row r="431" ht="21" customHeight="1">
      <c r="A431" s="61" t="n"/>
      <c r="B431" s="44">
        <f>'設定'!$I$14</f>
        <v/>
      </c>
      <c r="C431" s="62" t="n"/>
      <c r="D431" s="62" t="n"/>
      <c r="E431" s="62" t="n"/>
      <c r="F431" s="62" t="n"/>
      <c r="G431" s="62" t="n"/>
      <c r="H431" s="62" t="n"/>
    </row>
    <row r="432" ht="21" customHeight="1">
      <c r="A432" s="61" t="n"/>
      <c r="B432" s="44">
        <f>'設定'!$I$15</f>
        <v/>
      </c>
      <c r="C432" s="62" t="n"/>
      <c r="D432" s="62" t="n"/>
      <c r="E432" s="62" t="n"/>
      <c r="F432" s="62" t="n"/>
      <c r="G432" s="62" t="n"/>
      <c r="H432" s="62" t="n"/>
    </row>
    <row r="433" ht="21" customHeight="1">
      <c r="A433" s="61" t="n"/>
      <c r="B433" s="44">
        <f>'設定'!$I$16</f>
        <v/>
      </c>
      <c r="C433" s="62" t="n"/>
      <c r="D433" s="62" t="n"/>
      <c r="E433" s="62" t="n"/>
      <c r="F433" s="62" t="n"/>
      <c r="G433" s="62" t="n"/>
      <c r="H433" s="62" t="n"/>
    </row>
    <row r="434" ht="21" customHeight="1">
      <c r="A434" s="61" t="n"/>
      <c r="B434" s="44">
        <f>'設定'!$I$17</f>
        <v/>
      </c>
      <c r="C434" s="62" t="n"/>
      <c r="D434" s="62" t="n"/>
      <c r="E434" s="62" t="n"/>
      <c r="F434" s="62" t="n"/>
      <c r="G434" s="62" t="n"/>
      <c r="H434" s="62" t="n"/>
    </row>
    <row r="435" ht="21" customHeight="1">
      <c r="A435" s="61" t="n"/>
      <c r="B435" s="44">
        <f>'設定'!$I$18</f>
        <v/>
      </c>
      <c r="C435" s="62" t="n"/>
      <c r="D435" s="62" t="n"/>
      <c r="E435" s="62" t="n"/>
      <c r="F435" s="62" t="n"/>
      <c r="G435" s="62" t="n"/>
      <c r="H435" s="62" t="n"/>
    </row>
    <row r="436" ht="21" customHeight="1">
      <c r="A436" s="61" t="n"/>
      <c r="B436" s="44">
        <f>'設定'!$I$19</f>
        <v/>
      </c>
      <c r="C436" s="62" t="n"/>
      <c r="D436" s="62" t="n"/>
      <c r="E436" s="62" t="n"/>
      <c r="F436" s="62" t="n"/>
      <c r="G436" s="62" t="n"/>
      <c r="H436" s="62" t="n"/>
    </row>
    <row r="437" ht="21" customHeight="1">
      <c r="A437" s="61" t="n"/>
      <c r="B437" s="44">
        <f>'設定'!$I$20</f>
        <v/>
      </c>
      <c r="C437" s="62" t="n"/>
      <c r="D437" s="62" t="n"/>
      <c r="E437" s="62" t="n"/>
      <c r="F437" s="62" t="n"/>
      <c r="G437" s="62" t="n"/>
      <c r="H437" s="62" t="n"/>
    </row>
    <row r="438" ht="21" customHeight="1">
      <c r="A438" s="61" t="n"/>
      <c r="B438" s="44">
        <f>'設定'!$I$21</f>
        <v/>
      </c>
      <c r="C438" s="62" t="n"/>
      <c r="D438" s="62" t="n"/>
      <c r="E438" s="62" t="n"/>
      <c r="F438" s="62" t="n"/>
      <c r="G438" s="62" t="n"/>
      <c r="H438" s="62" t="n"/>
    </row>
    <row r="439" ht="21" customHeight="1">
      <c r="A439" s="61" t="n"/>
      <c r="B439" s="44">
        <f>'設定'!$I$22</f>
        <v/>
      </c>
      <c r="C439" s="62" t="n"/>
      <c r="D439" s="62" t="n"/>
      <c r="E439" s="62" t="n"/>
      <c r="F439" s="62" t="n"/>
      <c r="G439" s="62" t="n"/>
      <c r="H439" s="62" t="n"/>
    </row>
    <row r="440" ht="21" customHeight="1">
      <c r="A440" s="61" t="n"/>
      <c r="B440" s="44">
        <f>'設定'!$I$23</f>
        <v/>
      </c>
      <c r="C440" s="62" t="n"/>
      <c r="D440" s="62" t="n"/>
      <c r="E440" s="62" t="n"/>
      <c r="F440" s="62" t="n"/>
      <c r="G440" s="62" t="n"/>
      <c r="H440" s="62" t="n"/>
    </row>
    <row r="441" ht="21" customHeight="1">
      <c r="A441" s="61" t="n"/>
      <c r="B441" s="44">
        <f>'設定'!$I$24</f>
        <v/>
      </c>
      <c r="C441" s="62" t="n"/>
      <c r="D441" s="62" t="n"/>
      <c r="E441" s="62" t="n"/>
      <c r="F441" s="62" t="n"/>
      <c r="G441" s="62" t="n"/>
      <c r="H441" s="62" t="n"/>
    </row>
    <row r="442" ht="21" customHeight="1">
      <c r="A442" s="61" t="n"/>
      <c r="B442" s="44">
        <f>'設定'!$I$25</f>
        <v/>
      </c>
      <c r="C442" s="62" t="n"/>
      <c r="D442" s="62" t="n"/>
      <c r="E442" s="62" t="n"/>
      <c r="F442" s="62" t="n"/>
      <c r="G442" s="62" t="n"/>
      <c r="H442" s="62" t="n"/>
    </row>
    <row r="443" ht="21" customHeight="1">
      <c r="A443" s="61" t="n"/>
      <c r="B443" s="44">
        <f>'設定'!$I$26</f>
        <v/>
      </c>
      <c r="C443" s="62" t="n"/>
      <c r="D443" s="62" t="n"/>
      <c r="E443" s="62" t="n"/>
      <c r="F443" s="62" t="n"/>
      <c r="G443" s="62" t="n"/>
      <c r="H443" s="62" t="n"/>
    </row>
    <row r="444" ht="21" customHeight="1">
      <c r="A444" s="61" t="n"/>
      <c r="B444" s="44">
        <f>'設定'!$I$27</f>
        <v/>
      </c>
      <c r="C444" s="62" t="n"/>
      <c r="D444" s="62" t="n"/>
      <c r="E444" s="62" t="n"/>
      <c r="F444" s="62" t="n"/>
      <c r="G444" s="62" t="n"/>
      <c r="H444" s="62" t="n"/>
    </row>
    <row r="445" ht="21" customHeight="1">
      <c r="A445" s="61" t="n"/>
      <c r="B445" s="44">
        <f>'設定'!$I$28</f>
        <v/>
      </c>
      <c r="C445" s="62" t="n"/>
      <c r="D445" s="62" t="n"/>
      <c r="E445" s="62" t="n"/>
      <c r="F445" s="62" t="n"/>
      <c r="G445" s="62" t="n"/>
      <c r="H445" s="62" t="n"/>
    </row>
    <row r="446" ht="21" customHeight="1">
      <c r="A446" s="61" t="n"/>
      <c r="B446" s="44">
        <f>'設定'!$I$29</f>
        <v/>
      </c>
      <c r="C446" s="62" t="n"/>
      <c r="D446" s="62" t="n"/>
      <c r="E446" s="62" t="n"/>
      <c r="F446" s="62" t="n"/>
      <c r="G446" s="62" t="n"/>
      <c r="H446" s="62" t="n"/>
    </row>
    <row r="447" ht="21" customHeight="1">
      <c r="A447" s="61" t="n"/>
      <c r="B447" s="44">
        <f>'設定'!$I$30</f>
        <v/>
      </c>
      <c r="C447" s="62" t="n"/>
      <c r="D447" s="62" t="n"/>
      <c r="E447" s="62" t="n"/>
      <c r="F447" s="62" t="n"/>
      <c r="G447" s="62" t="n"/>
      <c r="H447" s="62" t="n"/>
    </row>
    <row r="448" ht="21" customHeight="1">
      <c r="A448" s="61" t="n"/>
      <c r="B448" s="44">
        <f>'設定'!$I$31</f>
        <v/>
      </c>
      <c r="C448" s="62" t="n"/>
      <c r="D448" s="62" t="n"/>
      <c r="E448" s="62" t="n"/>
      <c r="F448" s="62" t="n"/>
      <c r="G448" s="62" t="n"/>
      <c r="H448" s="62" t="n"/>
    </row>
    <row r="449" ht="21" customHeight="1">
      <c r="A449" s="61" t="n"/>
      <c r="B449" s="44">
        <f>'設定'!$I$32</f>
        <v/>
      </c>
      <c r="C449" s="62" t="n"/>
      <c r="D449" s="62" t="n"/>
      <c r="E449" s="62" t="n"/>
      <c r="F449" s="62" t="n"/>
      <c r="G449" s="62" t="n"/>
      <c r="H449" s="62" t="n"/>
    </row>
    <row r="450" ht="21" customHeight="1">
      <c r="A450" s="61" t="n"/>
      <c r="B450" s="44">
        <f>'設定'!$I$33</f>
        <v/>
      </c>
      <c r="C450" s="62" t="n"/>
      <c r="D450" s="62" t="n"/>
      <c r="E450" s="62" t="n"/>
      <c r="F450" s="62" t="n"/>
      <c r="G450" s="62" t="n"/>
      <c r="H450" s="62" t="n"/>
    </row>
    <row r="451" ht="21" customHeight="1">
      <c r="A451" s="61" t="n"/>
      <c r="B451" s="44">
        <f>'設定'!$I$34</f>
        <v/>
      </c>
      <c r="C451" s="62" t="n"/>
      <c r="D451" s="62" t="n"/>
      <c r="E451" s="62" t="n"/>
      <c r="F451" s="62" t="n"/>
      <c r="G451" s="62" t="n"/>
      <c r="H451" s="62" t="n"/>
    </row>
    <row r="452"/>
    <row r="453" ht="26" customHeight="1">
      <c r="B453" s="55">
        <f>IF('名簿'!B21="","（名簿 17行目：なし）",'名簿'!I21)</f>
        <v/>
      </c>
      <c r="C453" s="4" t="n"/>
      <c r="D453" s="4" t="n"/>
      <c r="E453" s="56" t="inlineStr">
        <is>
          <t>提出状況 ▶</t>
        </is>
      </c>
      <c r="F453" s="40" t="n"/>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row>
    <row r="456" ht="21" customHeight="1">
      <c r="A456" s="61" t="n"/>
      <c r="B456" s="44">
        <f>'設定'!$I$11</f>
        <v/>
      </c>
      <c r="C456" s="62" t="n"/>
      <c r="D456" s="62" t="n"/>
      <c r="E456" s="62" t="n"/>
      <c r="F456" s="62" t="n"/>
      <c r="G456" s="62" t="n"/>
      <c r="H456" s="62" t="n"/>
    </row>
    <row r="457" ht="21" customHeight="1">
      <c r="A457" s="61" t="n"/>
      <c r="B457" s="44">
        <f>'設定'!$I$12</f>
        <v/>
      </c>
      <c r="C457" s="62" t="n"/>
      <c r="D457" s="62" t="n"/>
      <c r="E457" s="62" t="n"/>
      <c r="F457" s="62" t="n"/>
      <c r="G457" s="62" t="n"/>
      <c r="H457" s="62" t="n"/>
    </row>
    <row r="458" ht="21" customHeight="1">
      <c r="A458" s="61" t="n"/>
      <c r="B458" s="44">
        <f>'設定'!$I$13</f>
        <v/>
      </c>
      <c r="C458" s="62" t="n"/>
      <c r="D458" s="62" t="n"/>
      <c r="E458" s="62" t="n"/>
      <c r="F458" s="62" t="n"/>
      <c r="G458" s="62" t="n"/>
      <c r="H458" s="62" t="n"/>
    </row>
    <row r="459" ht="21" customHeight="1">
      <c r="A459" s="61" t="n"/>
      <c r="B459" s="44">
        <f>'設定'!$I$14</f>
        <v/>
      </c>
      <c r="C459" s="62" t="n"/>
      <c r="D459" s="62" t="n"/>
      <c r="E459" s="62" t="n"/>
      <c r="F459" s="62" t="n"/>
      <c r="G459" s="62" t="n"/>
      <c r="H459" s="62" t="n"/>
    </row>
    <row r="460" ht="21" customHeight="1">
      <c r="A460" s="61" t="n"/>
      <c r="B460" s="44">
        <f>'設定'!$I$15</f>
        <v/>
      </c>
      <c r="C460" s="62" t="n"/>
      <c r="D460" s="62" t="n"/>
      <c r="E460" s="62" t="n"/>
      <c r="F460" s="62" t="n"/>
      <c r="G460" s="62" t="n"/>
      <c r="H460" s="62" t="n"/>
    </row>
    <row r="461" ht="21" customHeight="1">
      <c r="A461" s="61" t="n"/>
      <c r="B461" s="44">
        <f>'設定'!$I$16</f>
        <v/>
      </c>
      <c r="C461" s="62" t="n"/>
      <c r="D461" s="62" t="n"/>
      <c r="E461" s="62" t="n"/>
      <c r="F461" s="62" t="n"/>
      <c r="G461" s="62" t="n"/>
      <c r="H461" s="62" t="n"/>
    </row>
    <row r="462" ht="21" customHeight="1">
      <c r="A462" s="61" t="n"/>
      <c r="B462" s="44">
        <f>'設定'!$I$17</f>
        <v/>
      </c>
      <c r="C462" s="62" t="n"/>
      <c r="D462" s="62" t="n"/>
      <c r="E462" s="62" t="n"/>
      <c r="F462" s="62" t="n"/>
      <c r="G462" s="62" t="n"/>
      <c r="H462" s="62" t="n"/>
    </row>
    <row r="463" ht="21" customHeight="1">
      <c r="A463" s="61" t="n"/>
      <c r="B463" s="44">
        <f>'設定'!$I$18</f>
        <v/>
      </c>
      <c r="C463" s="62" t="n"/>
      <c r="D463" s="62" t="n"/>
      <c r="E463" s="62" t="n"/>
      <c r="F463" s="62" t="n"/>
      <c r="G463" s="62" t="n"/>
      <c r="H463" s="62" t="n"/>
    </row>
    <row r="464" ht="21" customHeight="1">
      <c r="A464" s="61" t="n"/>
      <c r="B464" s="44">
        <f>'設定'!$I$19</f>
        <v/>
      </c>
      <c r="C464" s="62" t="n"/>
      <c r="D464" s="62" t="n"/>
      <c r="E464" s="62" t="n"/>
      <c r="F464" s="62" t="n"/>
      <c r="G464" s="62" t="n"/>
      <c r="H464" s="62" t="n"/>
    </row>
    <row r="465" ht="21" customHeight="1">
      <c r="A465" s="61" t="n"/>
      <c r="B465" s="44">
        <f>'設定'!$I$20</f>
        <v/>
      </c>
      <c r="C465" s="62" t="n"/>
      <c r="D465" s="62" t="n"/>
      <c r="E465" s="62" t="n"/>
      <c r="F465" s="62" t="n"/>
      <c r="G465" s="62" t="n"/>
      <c r="H465" s="62" t="n"/>
    </row>
    <row r="466" ht="21" customHeight="1">
      <c r="A466" s="61" t="n"/>
      <c r="B466" s="44">
        <f>'設定'!$I$21</f>
        <v/>
      </c>
      <c r="C466" s="62" t="n"/>
      <c r="D466" s="62" t="n"/>
      <c r="E466" s="62" t="n"/>
      <c r="F466" s="62" t="n"/>
      <c r="G466" s="62" t="n"/>
      <c r="H466" s="62" t="n"/>
    </row>
    <row r="467" ht="21" customHeight="1">
      <c r="A467" s="61" t="n"/>
      <c r="B467" s="44">
        <f>'設定'!$I$22</f>
        <v/>
      </c>
      <c r="C467" s="62" t="n"/>
      <c r="D467" s="62" t="n"/>
      <c r="E467" s="62" t="n"/>
      <c r="F467" s="62" t="n"/>
      <c r="G467" s="62" t="n"/>
      <c r="H467" s="62" t="n"/>
    </row>
    <row r="468" ht="21" customHeight="1">
      <c r="A468" s="61" t="n"/>
      <c r="B468" s="44">
        <f>'設定'!$I$23</f>
        <v/>
      </c>
      <c r="C468" s="62" t="n"/>
      <c r="D468" s="62" t="n"/>
      <c r="E468" s="62" t="n"/>
      <c r="F468" s="62" t="n"/>
      <c r="G468" s="62" t="n"/>
      <c r="H468" s="62" t="n"/>
    </row>
    <row r="469" ht="21" customHeight="1">
      <c r="A469" s="61" t="n"/>
      <c r="B469" s="44">
        <f>'設定'!$I$24</f>
        <v/>
      </c>
      <c r="C469" s="62" t="n"/>
      <c r="D469" s="62" t="n"/>
      <c r="E469" s="62" t="n"/>
      <c r="F469" s="62" t="n"/>
      <c r="G469" s="62" t="n"/>
      <c r="H469" s="62" t="n"/>
    </row>
    <row r="470" ht="21" customHeight="1">
      <c r="A470" s="61" t="n"/>
      <c r="B470" s="44">
        <f>'設定'!$I$25</f>
        <v/>
      </c>
      <c r="C470" s="62" t="n"/>
      <c r="D470" s="62" t="n"/>
      <c r="E470" s="62" t="n"/>
      <c r="F470" s="62" t="n"/>
      <c r="G470" s="62" t="n"/>
      <c r="H470" s="62" t="n"/>
    </row>
    <row r="471" ht="21" customHeight="1">
      <c r="A471" s="61" t="n"/>
      <c r="B471" s="44">
        <f>'設定'!$I$26</f>
        <v/>
      </c>
      <c r="C471" s="62" t="n"/>
      <c r="D471" s="62" t="n"/>
      <c r="E471" s="62" t="n"/>
      <c r="F471" s="62" t="n"/>
      <c r="G471" s="62" t="n"/>
      <c r="H471" s="62" t="n"/>
    </row>
    <row r="472" ht="21" customHeight="1">
      <c r="A472" s="61" t="n"/>
      <c r="B472" s="44">
        <f>'設定'!$I$27</f>
        <v/>
      </c>
      <c r="C472" s="62" t="n"/>
      <c r="D472" s="62" t="n"/>
      <c r="E472" s="62" t="n"/>
      <c r="F472" s="62" t="n"/>
      <c r="G472" s="62" t="n"/>
      <c r="H472" s="62" t="n"/>
    </row>
    <row r="473" ht="21" customHeight="1">
      <c r="A473" s="61" t="n"/>
      <c r="B473" s="44">
        <f>'設定'!$I$28</f>
        <v/>
      </c>
      <c r="C473" s="62" t="n"/>
      <c r="D473" s="62" t="n"/>
      <c r="E473" s="62" t="n"/>
      <c r="F473" s="62" t="n"/>
      <c r="G473" s="62" t="n"/>
      <c r="H473" s="62" t="n"/>
    </row>
    <row r="474" ht="21" customHeight="1">
      <c r="A474" s="61" t="n"/>
      <c r="B474" s="44">
        <f>'設定'!$I$29</f>
        <v/>
      </c>
      <c r="C474" s="62" t="n"/>
      <c r="D474" s="62" t="n"/>
      <c r="E474" s="62" t="n"/>
      <c r="F474" s="62" t="n"/>
      <c r="G474" s="62" t="n"/>
      <c r="H474" s="62" t="n"/>
    </row>
    <row r="475" ht="21" customHeight="1">
      <c r="A475" s="61" t="n"/>
      <c r="B475" s="44">
        <f>'設定'!$I$30</f>
        <v/>
      </c>
      <c r="C475" s="62" t="n"/>
      <c r="D475" s="62" t="n"/>
      <c r="E475" s="62" t="n"/>
      <c r="F475" s="62" t="n"/>
      <c r="G475" s="62" t="n"/>
      <c r="H475" s="62" t="n"/>
    </row>
    <row r="476" ht="21" customHeight="1">
      <c r="A476" s="61" t="n"/>
      <c r="B476" s="44">
        <f>'設定'!$I$31</f>
        <v/>
      </c>
      <c r="C476" s="62" t="n"/>
      <c r="D476" s="62" t="n"/>
      <c r="E476" s="62" t="n"/>
      <c r="F476" s="62" t="n"/>
      <c r="G476" s="62" t="n"/>
      <c r="H476" s="62" t="n"/>
    </row>
    <row r="477" ht="21" customHeight="1">
      <c r="A477" s="61" t="n"/>
      <c r="B477" s="44">
        <f>'設定'!$I$32</f>
        <v/>
      </c>
      <c r="C477" s="62" t="n"/>
      <c r="D477" s="62" t="n"/>
      <c r="E477" s="62" t="n"/>
      <c r="F477" s="62" t="n"/>
      <c r="G477" s="62" t="n"/>
      <c r="H477" s="62" t="n"/>
    </row>
    <row r="478" ht="21" customHeight="1">
      <c r="A478" s="61" t="n"/>
      <c r="B478" s="44">
        <f>'設定'!$I$33</f>
        <v/>
      </c>
      <c r="C478" s="62" t="n"/>
      <c r="D478" s="62" t="n"/>
      <c r="E478" s="62" t="n"/>
      <c r="F478" s="62" t="n"/>
      <c r="G478" s="62" t="n"/>
      <c r="H478" s="62" t="n"/>
    </row>
    <row r="479" ht="21" customHeight="1">
      <c r="A479" s="61" t="n"/>
      <c r="B479" s="44">
        <f>'設定'!$I$34</f>
        <v/>
      </c>
      <c r="C479" s="62" t="n"/>
      <c r="D479" s="62" t="n"/>
      <c r="E479" s="62" t="n"/>
      <c r="F479" s="62" t="n"/>
      <c r="G479" s="62" t="n"/>
      <c r="H479" s="62" t="n"/>
    </row>
    <row r="480"/>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row>
    <row r="484" ht="21" customHeight="1">
      <c r="A484" s="61" t="n"/>
      <c r="B484" s="44">
        <f>'設定'!$I$11</f>
        <v/>
      </c>
      <c r="C484" s="62" t="n"/>
      <c r="D484" s="62" t="n"/>
      <c r="E484" s="62" t="n"/>
      <c r="F484" s="62" t="n"/>
      <c r="G484" s="62" t="n"/>
      <c r="H484" s="62" t="n"/>
    </row>
    <row r="485" ht="21" customHeight="1">
      <c r="A485" s="61" t="n"/>
      <c r="B485" s="44">
        <f>'設定'!$I$12</f>
        <v/>
      </c>
      <c r="C485" s="62" t="n"/>
      <c r="D485" s="62" t="n"/>
      <c r="E485" s="62" t="n"/>
      <c r="F485" s="62" t="n"/>
      <c r="G485" s="62" t="n"/>
      <c r="H485" s="62" t="n"/>
    </row>
    <row r="486" ht="21" customHeight="1">
      <c r="A486" s="61" t="n"/>
      <c r="B486" s="44">
        <f>'設定'!$I$13</f>
        <v/>
      </c>
      <c r="C486" s="62" t="n"/>
      <c r="D486" s="62" t="n"/>
      <c r="E486" s="62" t="n"/>
      <c r="F486" s="62" t="n"/>
      <c r="G486" s="62" t="n"/>
      <c r="H486" s="62" t="n"/>
    </row>
    <row r="487" ht="21" customHeight="1">
      <c r="A487" s="61" t="n"/>
      <c r="B487" s="44">
        <f>'設定'!$I$14</f>
        <v/>
      </c>
      <c r="C487" s="62" t="n"/>
      <c r="D487" s="62" t="n"/>
      <c r="E487" s="62" t="n"/>
      <c r="F487" s="62" t="n"/>
      <c r="G487" s="62" t="n"/>
      <c r="H487" s="62" t="n"/>
    </row>
    <row r="488" ht="21" customHeight="1">
      <c r="A488" s="61" t="n"/>
      <c r="B488" s="44">
        <f>'設定'!$I$15</f>
        <v/>
      </c>
      <c r="C488" s="62" t="n"/>
      <c r="D488" s="62" t="n"/>
      <c r="E488" s="62" t="n"/>
      <c r="F488" s="62" t="n"/>
      <c r="G488" s="62" t="n"/>
      <c r="H488" s="62" t="n"/>
    </row>
    <row r="489" ht="21" customHeight="1">
      <c r="A489" s="61" t="n"/>
      <c r="B489" s="44">
        <f>'設定'!$I$16</f>
        <v/>
      </c>
      <c r="C489" s="62" t="n"/>
      <c r="D489" s="62" t="n"/>
      <c r="E489" s="62" t="n"/>
      <c r="F489" s="62" t="n"/>
      <c r="G489" s="62" t="n"/>
      <c r="H489" s="62" t="n"/>
    </row>
    <row r="490" ht="21" customHeight="1">
      <c r="A490" s="61" t="n"/>
      <c r="B490" s="44">
        <f>'設定'!$I$17</f>
        <v/>
      </c>
      <c r="C490" s="62" t="n"/>
      <c r="D490" s="62" t="n"/>
      <c r="E490" s="62" t="n"/>
      <c r="F490" s="62" t="n"/>
      <c r="G490" s="62" t="n"/>
      <c r="H490" s="62" t="n"/>
    </row>
    <row r="491" ht="21" customHeight="1">
      <c r="A491" s="61" t="n"/>
      <c r="B491" s="44">
        <f>'設定'!$I$18</f>
        <v/>
      </c>
      <c r="C491" s="62" t="n"/>
      <c r="D491" s="62" t="n"/>
      <c r="E491" s="62" t="n"/>
      <c r="F491" s="62" t="n"/>
      <c r="G491" s="62" t="n"/>
      <c r="H491" s="62" t="n"/>
    </row>
    <row r="492" ht="21" customHeight="1">
      <c r="A492" s="61" t="n"/>
      <c r="B492" s="44">
        <f>'設定'!$I$19</f>
        <v/>
      </c>
      <c r="C492" s="62" t="n"/>
      <c r="D492" s="62" t="n"/>
      <c r="E492" s="62" t="n"/>
      <c r="F492" s="62" t="n"/>
      <c r="G492" s="62" t="n"/>
      <c r="H492" s="62" t="n"/>
    </row>
    <row r="493" ht="21" customHeight="1">
      <c r="A493" s="61" t="n"/>
      <c r="B493" s="44">
        <f>'設定'!$I$20</f>
        <v/>
      </c>
      <c r="C493" s="62" t="n"/>
      <c r="D493" s="62" t="n"/>
      <c r="E493" s="62" t="n"/>
      <c r="F493" s="62" t="n"/>
      <c r="G493" s="62" t="n"/>
      <c r="H493" s="62" t="n"/>
    </row>
    <row r="494" ht="21" customHeight="1">
      <c r="A494" s="61" t="n"/>
      <c r="B494" s="44">
        <f>'設定'!$I$21</f>
        <v/>
      </c>
      <c r="C494" s="62" t="n"/>
      <c r="D494" s="62" t="n"/>
      <c r="E494" s="62" t="n"/>
      <c r="F494" s="62" t="n"/>
      <c r="G494" s="62" t="n"/>
      <c r="H494" s="62" t="n"/>
    </row>
    <row r="495" ht="21" customHeight="1">
      <c r="A495" s="61" t="n"/>
      <c r="B495" s="44">
        <f>'設定'!$I$22</f>
        <v/>
      </c>
      <c r="C495" s="62" t="n"/>
      <c r="D495" s="62" t="n"/>
      <c r="E495" s="62" t="n"/>
      <c r="F495" s="62" t="n"/>
      <c r="G495" s="62" t="n"/>
      <c r="H495" s="62" t="n"/>
    </row>
    <row r="496" ht="21" customHeight="1">
      <c r="A496" s="61" t="n"/>
      <c r="B496" s="44">
        <f>'設定'!$I$23</f>
        <v/>
      </c>
      <c r="C496" s="62" t="n"/>
      <c r="D496" s="62" t="n"/>
      <c r="E496" s="62" t="n"/>
      <c r="F496" s="62" t="n"/>
      <c r="G496" s="62" t="n"/>
      <c r="H496" s="62" t="n"/>
    </row>
    <row r="497" ht="21" customHeight="1">
      <c r="A497" s="61" t="n"/>
      <c r="B497" s="44">
        <f>'設定'!$I$24</f>
        <v/>
      </c>
      <c r="C497" s="62" t="n"/>
      <c r="D497" s="62" t="n"/>
      <c r="E497" s="62" t="n"/>
      <c r="F497" s="62" t="n"/>
      <c r="G497" s="62" t="n"/>
      <c r="H497" s="62" t="n"/>
    </row>
    <row r="498" ht="21" customHeight="1">
      <c r="A498" s="61" t="n"/>
      <c r="B498" s="44">
        <f>'設定'!$I$25</f>
        <v/>
      </c>
      <c r="C498" s="62" t="n"/>
      <c r="D498" s="62" t="n"/>
      <c r="E498" s="62" t="n"/>
      <c r="F498" s="62" t="n"/>
      <c r="G498" s="62" t="n"/>
      <c r="H498" s="62" t="n"/>
    </row>
    <row r="499" ht="21" customHeight="1">
      <c r="A499" s="61" t="n"/>
      <c r="B499" s="44">
        <f>'設定'!$I$26</f>
        <v/>
      </c>
      <c r="C499" s="62" t="n"/>
      <c r="D499" s="62" t="n"/>
      <c r="E499" s="62" t="n"/>
      <c r="F499" s="62" t="n"/>
      <c r="G499" s="62" t="n"/>
      <c r="H499" s="62" t="n"/>
    </row>
    <row r="500" ht="21" customHeight="1">
      <c r="A500" s="61" t="n"/>
      <c r="B500" s="44">
        <f>'設定'!$I$27</f>
        <v/>
      </c>
      <c r="C500" s="62" t="n"/>
      <c r="D500" s="62" t="n"/>
      <c r="E500" s="62" t="n"/>
      <c r="F500" s="62" t="n"/>
      <c r="G500" s="62" t="n"/>
      <c r="H500" s="62" t="n"/>
    </row>
    <row r="501" ht="21" customHeight="1">
      <c r="A501" s="61" t="n"/>
      <c r="B501" s="44">
        <f>'設定'!$I$28</f>
        <v/>
      </c>
      <c r="C501" s="62" t="n"/>
      <c r="D501" s="62" t="n"/>
      <c r="E501" s="62" t="n"/>
      <c r="F501" s="62" t="n"/>
      <c r="G501" s="62" t="n"/>
      <c r="H501" s="62" t="n"/>
    </row>
    <row r="502" ht="21" customHeight="1">
      <c r="A502" s="61" t="n"/>
      <c r="B502" s="44">
        <f>'設定'!$I$29</f>
        <v/>
      </c>
      <c r="C502" s="62" t="n"/>
      <c r="D502" s="62" t="n"/>
      <c r="E502" s="62" t="n"/>
      <c r="F502" s="62" t="n"/>
      <c r="G502" s="62" t="n"/>
      <c r="H502" s="62" t="n"/>
    </row>
    <row r="503" ht="21" customHeight="1">
      <c r="A503" s="61" t="n"/>
      <c r="B503" s="44">
        <f>'設定'!$I$30</f>
        <v/>
      </c>
      <c r="C503" s="62" t="n"/>
      <c r="D503" s="62" t="n"/>
      <c r="E503" s="62" t="n"/>
      <c r="F503" s="62" t="n"/>
      <c r="G503" s="62" t="n"/>
      <c r="H503" s="62" t="n"/>
    </row>
    <row r="504" ht="21" customHeight="1">
      <c r="A504" s="61" t="n"/>
      <c r="B504" s="44">
        <f>'設定'!$I$31</f>
        <v/>
      </c>
      <c r="C504" s="62" t="n"/>
      <c r="D504" s="62" t="n"/>
      <c r="E504" s="62" t="n"/>
      <c r="F504" s="62" t="n"/>
      <c r="G504" s="62" t="n"/>
      <c r="H504" s="62" t="n"/>
    </row>
    <row r="505" ht="21" customHeight="1">
      <c r="A505" s="61" t="n"/>
      <c r="B505" s="44">
        <f>'設定'!$I$32</f>
        <v/>
      </c>
      <c r="C505" s="62" t="n"/>
      <c r="D505" s="62" t="n"/>
      <c r="E505" s="62" t="n"/>
      <c r="F505" s="62" t="n"/>
      <c r="G505" s="62" t="n"/>
      <c r="H505" s="62" t="n"/>
    </row>
    <row r="506" ht="21" customHeight="1">
      <c r="A506" s="61" t="n"/>
      <c r="B506" s="44">
        <f>'設定'!$I$33</f>
        <v/>
      </c>
      <c r="C506" s="62" t="n"/>
      <c r="D506" s="62" t="n"/>
      <c r="E506" s="62" t="n"/>
      <c r="F506" s="62" t="n"/>
      <c r="G506" s="62" t="n"/>
      <c r="H506" s="62" t="n"/>
    </row>
    <row r="507" ht="21" customHeight="1">
      <c r="A507" s="61" t="n"/>
      <c r="B507" s="44">
        <f>'設定'!$I$34</f>
        <v/>
      </c>
      <c r="C507" s="62" t="n"/>
      <c r="D507" s="62" t="n"/>
      <c r="E507" s="62" t="n"/>
      <c r="F507" s="62" t="n"/>
      <c r="G507" s="62" t="n"/>
      <c r="H507" s="62" t="n"/>
    </row>
    <row r="508"/>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row>
    <row r="512" ht="21" customHeight="1">
      <c r="A512" s="61" t="n"/>
      <c r="B512" s="44">
        <f>'設定'!$I$11</f>
        <v/>
      </c>
      <c r="C512" s="62" t="n"/>
      <c r="D512" s="62" t="n"/>
      <c r="E512" s="62" t="n"/>
      <c r="F512" s="62" t="n"/>
      <c r="G512" s="62" t="n"/>
      <c r="H512" s="62" t="n"/>
    </row>
    <row r="513" ht="21" customHeight="1">
      <c r="A513" s="61" t="n"/>
      <c r="B513" s="44">
        <f>'設定'!$I$12</f>
        <v/>
      </c>
      <c r="C513" s="62" t="n"/>
      <c r="D513" s="62" t="n"/>
      <c r="E513" s="62" t="n"/>
      <c r="F513" s="62" t="n"/>
      <c r="G513" s="62" t="n"/>
      <c r="H513" s="62" t="n"/>
    </row>
    <row r="514" ht="21" customHeight="1">
      <c r="A514" s="61" t="n"/>
      <c r="B514" s="44">
        <f>'設定'!$I$13</f>
        <v/>
      </c>
      <c r="C514" s="62" t="n"/>
      <c r="D514" s="62" t="n"/>
      <c r="E514" s="62" t="n"/>
      <c r="F514" s="62" t="n"/>
      <c r="G514" s="62" t="n"/>
      <c r="H514" s="62" t="n"/>
    </row>
    <row r="515" ht="21" customHeight="1">
      <c r="A515" s="61" t="n"/>
      <c r="B515" s="44">
        <f>'設定'!$I$14</f>
        <v/>
      </c>
      <c r="C515" s="62" t="n"/>
      <c r="D515" s="62" t="n"/>
      <c r="E515" s="62" t="n"/>
      <c r="F515" s="62" t="n"/>
      <c r="G515" s="62" t="n"/>
      <c r="H515" s="62" t="n"/>
    </row>
    <row r="516" ht="21" customHeight="1">
      <c r="A516" s="61" t="n"/>
      <c r="B516" s="44">
        <f>'設定'!$I$15</f>
        <v/>
      </c>
      <c r="C516" s="62" t="n"/>
      <c r="D516" s="62" t="n"/>
      <c r="E516" s="62" t="n"/>
      <c r="F516" s="62" t="n"/>
      <c r="G516" s="62" t="n"/>
      <c r="H516" s="62" t="n"/>
    </row>
    <row r="517" ht="21" customHeight="1">
      <c r="A517" s="61" t="n"/>
      <c r="B517" s="44">
        <f>'設定'!$I$16</f>
        <v/>
      </c>
      <c r="C517" s="62" t="n"/>
      <c r="D517" s="62" t="n"/>
      <c r="E517" s="62" t="n"/>
      <c r="F517" s="62" t="n"/>
      <c r="G517" s="62" t="n"/>
      <c r="H517" s="62" t="n"/>
    </row>
    <row r="518" ht="21" customHeight="1">
      <c r="A518" s="61" t="n"/>
      <c r="B518" s="44">
        <f>'設定'!$I$17</f>
        <v/>
      </c>
      <c r="C518" s="62" t="n"/>
      <c r="D518" s="62" t="n"/>
      <c r="E518" s="62" t="n"/>
      <c r="F518" s="62" t="n"/>
      <c r="G518" s="62" t="n"/>
      <c r="H518" s="62" t="n"/>
    </row>
    <row r="519" ht="21" customHeight="1">
      <c r="A519" s="61" t="n"/>
      <c r="B519" s="44">
        <f>'設定'!$I$18</f>
        <v/>
      </c>
      <c r="C519" s="62" t="n"/>
      <c r="D519" s="62" t="n"/>
      <c r="E519" s="62" t="n"/>
      <c r="F519" s="62" t="n"/>
      <c r="G519" s="62" t="n"/>
      <c r="H519" s="62" t="n"/>
    </row>
    <row r="520" ht="21" customHeight="1">
      <c r="A520" s="61" t="n"/>
      <c r="B520" s="44">
        <f>'設定'!$I$19</f>
        <v/>
      </c>
      <c r="C520" s="62" t="n"/>
      <c r="D520" s="62" t="n"/>
      <c r="E520" s="62" t="n"/>
      <c r="F520" s="62" t="n"/>
      <c r="G520" s="62" t="n"/>
      <c r="H520" s="62" t="n"/>
    </row>
    <row r="521" ht="21" customHeight="1">
      <c r="A521" s="61" t="n"/>
      <c r="B521" s="44">
        <f>'設定'!$I$20</f>
        <v/>
      </c>
      <c r="C521" s="62" t="n"/>
      <c r="D521" s="62" t="n"/>
      <c r="E521" s="62" t="n"/>
      <c r="F521" s="62" t="n"/>
      <c r="G521" s="62" t="n"/>
      <c r="H521" s="62" t="n"/>
    </row>
    <row r="522" ht="21" customHeight="1">
      <c r="A522" s="61" t="n"/>
      <c r="B522" s="44">
        <f>'設定'!$I$21</f>
        <v/>
      </c>
      <c r="C522" s="62" t="n"/>
      <c r="D522" s="62" t="n"/>
      <c r="E522" s="62" t="n"/>
      <c r="F522" s="62" t="n"/>
      <c r="G522" s="62" t="n"/>
      <c r="H522" s="62" t="n"/>
    </row>
    <row r="523" ht="21" customHeight="1">
      <c r="A523" s="61" t="n"/>
      <c r="B523" s="44">
        <f>'設定'!$I$22</f>
        <v/>
      </c>
      <c r="C523" s="62" t="n"/>
      <c r="D523" s="62" t="n"/>
      <c r="E523" s="62" t="n"/>
      <c r="F523" s="62" t="n"/>
      <c r="G523" s="62" t="n"/>
      <c r="H523" s="62" t="n"/>
    </row>
    <row r="524" ht="21" customHeight="1">
      <c r="A524" s="61" t="n"/>
      <c r="B524" s="44">
        <f>'設定'!$I$23</f>
        <v/>
      </c>
      <c r="C524" s="62" t="n"/>
      <c r="D524" s="62" t="n"/>
      <c r="E524" s="62" t="n"/>
      <c r="F524" s="62" t="n"/>
      <c r="G524" s="62" t="n"/>
      <c r="H524" s="62" t="n"/>
    </row>
    <row r="525" ht="21" customHeight="1">
      <c r="A525" s="61" t="n"/>
      <c r="B525" s="44">
        <f>'設定'!$I$24</f>
        <v/>
      </c>
      <c r="C525" s="62" t="n"/>
      <c r="D525" s="62" t="n"/>
      <c r="E525" s="62" t="n"/>
      <c r="F525" s="62" t="n"/>
      <c r="G525" s="62" t="n"/>
      <c r="H525" s="62" t="n"/>
    </row>
    <row r="526" ht="21" customHeight="1">
      <c r="A526" s="61" t="n"/>
      <c r="B526" s="44">
        <f>'設定'!$I$25</f>
        <v/>
      </c>
      <c r="C526" s="62" t="n"/>
      <c r="D526" s="62" t="n"/>
      <c r="E526" s="62" t="n"/>
      <c r="F526" s="62" t="n"/>
      <c r="G526" s="62" t="n"/>
      <c r="H526" s="62" t="n"/>
    </row>
    <row r="527" ht="21" customHeight="1">
      <c r="A527" s="61" t="n"/>
      <c r="B527" s="44">
        <f>'設定'!$I$26</f>
        <v/>
      </c>
      <c r="C527" s="62" t="n"/>
      <c r="D527" s="62" t="n"/>
      <c r="E527" s="62" t="n"/>
      <c r="F527" s="62" t="n"/>
      <c r="G527" s="62" t="n"/>
      <c r="H527" s="62" t="n"/>
    </row>
    <row r="528" ht="21" customHeight="1">
      <c r="A528" s="61" t="n"/>
      <c r="B528" s="44">
        <f>'設定'!$I$27</f>
        <v/>
      </c>
      <c r="C528" s="62" t="n"/>
      <c r="D528" s="62" t="n"/>
      <c r="E528" s="62" t="n"/>
      <c r="F528" s="62" t="n"/>
      <c r="G528" s="62" t="n"/>
      <c r="H528" s="62" t="n"/>
    </row>
    <row r="529" ht="21" customHeight="1">
      <c r="A529" s="61" t="n"/>
      <c r="B529" s="44">
        <f>'設定'!$I$28</f>
        <v/>
      </c>
      <c r="C529" s="62" t="n"/>
      <c r="D529" s="62" t="n"/>
      <c r="E529" s="62" t="n"/>
      <c r="F529" s="62" t="n"/>
      <c r="G529" s="62" t="n"/>
      <c r="H529" s="62" t="n"/>
    </row>
    <row r="530" ht="21" customHeight="1">
      <c r="A530" s="61" t="n"/>
      <c r="B530" s="44">
        <f>'設定'!$I$29</f>
        <v/>
      </c>
      <c r="C530" s="62" t="n"/>
      <c r="D530" s="62" t="n"/>
      <c r="E530" s="62" t="n"/>
      <c r="F530" s="62" t="n"/>
      <c r="G530" s="62" t="n"/>
      <c r="H530" s="62" t="n"/>
    </row>
    <row r="531" ht="21" customHeight="1">
      <c r="A531" s="61" t="n"/>
      <c r="B531" s="44">
        <f>'設定'!$I$30</f>
        <v/>
      </c>
      <c r="C531" s="62" t="n"/>
      <c r="D531" s="62" t="n"/>
      <c r="E531" s="62" t="n"/>
      <c r="F531" s="62" t="n"/>
      <c r="G531" s="62" t="n"/>
      <c r="H531" s="62" t="n"/>
    </row>
    <row r="532" ht="21" customHeight="1">
      <c r="A532" s="61" t="n"/>
      <c r="B532" s="44">
        <f>'設定'!$I$31</f>
        <v/>
      </c>
      <c r="C532" s="62" t="n"/>
      <c r="D532" s="62" t="n"/>
      <c r="E532" s="62" t="n"/>
      <c r="F532" s="62" t="n"/>
      <c r="G532" s="62" t="n"/>
      <c r="H532" s="62" t="n"/>
    </row>
    <row r="533" ht="21" customHeight="1">
      <c r="A533" s="61" t="n"/>
      <c r="B533" s="44">
        <f>'設定'!$I$32</f>
        <v/>
      </c>
      <c r="C533" s="62" t="n"/>
      <c r="D533" s="62" t="n"/>
      <c r="E533" s="62" t="n"/>
      <c r="F533" s="62" t="n"/>
      <c r="G533" s="62" t="n"/>
      <c r="H533" s="62" t="n"/>
    </row>
    <row r="534" ht="21" customHeight="1">
      <c r="A534" s="61" t="n"/>
      <c r="B534" s="44">
        <f>'設定'!$I$33</f>
        <v/>
      </c>
      <c r="C534" s="62" t="n"/>
      <c r="D534" s="62" t="n"/>
      <c r="E534" s="62" t="n"/>
      <c r="F534" s="62" t="n"/>
      <c r="G534" s="62" t="n"/>
      <c r="H534" s="62" t="n"/>
    </row>
    <row r="535" ht="21" customHeight="1">
      <c r="A535" s="61" t="n"/>
      <c r="B535" s="44">
        <f>'設定'!$I$34</f>
        <v/>
      </c>
      <c r="C535" s="62" t="n"/>
      <c r="D535" s="62" t="n"/>
      <c r="E535" s="62" t="n"/>
      <c r="F535" s="62" t="n"/>
      <c r="G535" s="62" t="n"/>
      <c r="H535" s="62" t="n"/>
    </row>
    <row r="536"/>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n"/>
      <c r="H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row>
    <row r="540" ht="21" customHeight="1">
      <c r="A540" s="61" t="n"/>
      <c r="B540" s="44">
        <f>'設定'!$I$11</f>
        <v/>
      </c>
      <c r="C540" s="62" t="n"/>
      <c r="D540" s="62" t="n"/>
      <c r="E540" s="62" t="n"/>
      <c r="F540" s="62" t="n"/>
      <c r="G540" s="62" t="n"/>
      <c r="H540" s="62" t="n"/>
    </row>
    <row r="541" ht="21" customHeight="1">
      <c r="A541" s="61" t="n"/>
      <c r="B541" s="44">
        <f>'設定'!$I$12</f>
        <v/>
      </c>
      <c r="C541" s="62" t="n"/>
      <c r="D541" s="62" t="n"/>
      <c r="E541" s="62" t="n"/>
      <c r="F541" s="62" t="n"/>
      <c r="G541" s="62" t="n"/>
      <c r="H541" s="62" t="n"/>
    </row>
    <row r="542" ht="21" customHeight="1">
      <c r="A542" s="61" t="n"/>
      <c r="B542" s="44">
        <f>'設定'!$I$13</f>
        <v/>
      </c>
      <c r="C542" s="62" t="n"/>
      <c r="D542" s="62" t="n"/>
      <c r="E542" s="62" t="n"/>
      <c r="F542" s="62" t="n"/>
      <c r="G542" s="62" t="n"/>
      <c r="H542" s="62" t="n"/>
    </row>
    <row r="543" ht="21" customHeight="1">
      <c r="A543" s="61" t="n"/>
      <c r="B543" s="44">
        <f>'設定'!$I$14</f>
        <v/>
      </c>
      <c r="C543" s="62" t="n"/>
      <c r="D543" s="62" t="n"/>
      <c r="E543" s="62" t="n"/>
      <c r="F543" s="62" t="n"/>
      <c r="G543" s="62" t="n"/>
      <c r="H543" s="62" t="n"/>
    </row>
    <row r="544" ht="21" customHeight="1">
      <c r="A544" s="61" t="n"/>
      <c r="B544" s="44">
        <f>'設定'!$I$15</f>
        <v/>
      </c>
      <c r="C544" s="62" t="n"/>
      <c r="D544" s="62" t="n"/>
      <c r="E544" s="62" t="n"/>
      <c r="F544" s="62" t="n"/>
      <c r="G544" s="62" t="n"/>
      <c r="H544" s="62" t="n"/>
    </row>
    <row r="545" ht="21" customHeight="1">
      <c r="A545" s="61" t="n"/>
      <c r="B545" s="44">
        <f>'設定'!$I$16</f>
        <v/>
      </c>
      <c r="C545" s="62" t="n"/>
      <c r="D545" s="62" t="n"/>
      <c r="E545" s="62" t="n"/>
      <c r="F545" s="62" t="n"/>
      <c r="G545" s="62" t="n"/>
      <c r="H545" s="62" t="n"/>
    </row>
    <row r="546" ht="21" customHeight="1">
      <c r="A546" s="61" t="n"/>
      <c r="B546" s="44">
        <f>'設定'!$I$17</f>
        <v/>
      </c>
      <c r="C546" s="62" t="n"/>
      <c r="D546" s="62" t="n"/>
      <c r="E546" s="62" t="n"/>
      <c r="F546" s="62" t="n"/>
      <c r="G546" s="62" t="n"/>
      <c r="H546" s="62" t="n"/>
    </row>
    <row r="547" ht="21" customHeight="1">
      <c r="A547" s="61" t="n"/>
      <c r="B547" s="44">
        <f>'設定'!$I$18</f>
        <v/>
      </c>
      <c r="C547" s="62" t="n"/>
      <c r="D547" s="62" t="n"/>
      <c r="E547" s="62" t="n"/>
      <c r="F547" s="62" t="n"/>
      <c r="G547" s="62" t="n"/>
      <c r="H547" s="62" t="n"/>
    </row>
    <row r="548" ht="21" customHeight="1">
      <c r="A548" s="61" t="n"/>
      <c r="B548" s="44">
        <f>'設定'!$I$19</f>
        <v/>
      </c>
      <c r="C548" s="62" t="n"/>
      <c r="D548" s="62" t="n"/>
      <c r="E548" s="62" t="n"/>
      <c r="F548" s="62" t="n"/>
      <c r="G548" s="62" t="n"/>
      <c r="H548" s="62" t="n"/>
    </row>
    <row r="549" ht="21" customHeight="1">
      <c r="A549" s="61" t="n"/>
      <c r="B549" s="44">
        <f>'設定'!$I$20</f>
        <v/>
      </c>
      <c r="C549" s="62" t="n"/>
      <c r="D549" s="62" t="n"/>
      <c r="E549" s="62" t="n"/>
      <c r="F549" s="62" t="n"/>
      <c r="G549" s="62" t="n"/>
      <c r="H549" s="62" t="n"/>
    </row>
    <row r="550" ht="21" customHeight="1">
      <c r="A550" s="61" t="n"/>
      <c r="B550" s="44">
        <f>'設定'!$I$21</f>
        <v/>
      </c>
      <c r="C550" s="62" t="n"/>
      <c r="D550" s="62" t="n"/>
      <c r="E550" s="62" t="n"/>
      <c r="F550" s="62" t="n"/>
      <c r="G550" s="62" t="n"/>
      <c r="H550" s="62" t="n"/>
    </row>
    <row r="551" ht="21" customHeight="1">
      <c r="A551" s="61" t="n"/>
      <c r="B551" s="44">
        <f>'設定'!$I$22</f>
        <v/>
      </c>
      <c r="C551" s="62" t="n"/>
      <c r="D551" s="62" t="n"/>
      <c r="E551" s="62" t="n"/>
      <c r="F551" s="62" t="n"/>
      <c r="G551" s="62" t="n"/>
      <c r="H551" s="62" t="n"/>
    </row>
    <row r="552" ht="21" customHeight="1">
      <c r="A552" s="61" t="n"/>
      <c r="B552" s="44">
        <f>'設定'!$I$23</f>
        <v/>
      </c>
      <c r="C552" s="62" t="n"/>
      <c r="D552" s="62" t="n"/>
      <c r="E552" s="62" t="n"/>
      <c r="F552" s="62" t="n"/>
      <c r="G552" s="62" t="n"/>
      <c r="H552" s="62" t="n"/>
    </row>
    <row r="553" ht="21" customHeight="1">
      <c r="A553" s="61" t="n"/>
      <c r="B553" s="44">
        <f>'設定'!$I$24</f>
        <v/>
      </c>
      <c r="C553" s="62" t="n"/>
      <c r="D553" s="62" t="n"/>
      <c r="E553" s="62" t="n"/>
      <c r="F553" s="62" t="n"/>
      <c r="G553" s="62" t="n"/>
      <c r="H553" s="62" t="n"/>
    </row>
    <row r="554" ht="21" customHeight="1">
      <c r="A554" s="61" t="n"/>
      <c r="B554" s="44">
        <f>'設定'!$I$25</f>
        <v/>
      </c>
      <c r="C554" s="62" t="n"/>
      <c r="D554" s="62" t="n"/>
      <c r="E554" s="62" t="n"/>
      <c r="F554" s="62" t="n"/>
      <c r="G554" s="62" t="n"/>
      <c r="H554" s="62" t="n"/>
    </row>
    <row r="555" ht="21" customHeight="1">
      <c r="A555" s="61" t="n"/>
      <c r="B555" s="44">
        <f>'設定'!$I$26</f>
        <v/>
      </c>
      <c r="C555" s="62" t="n"/>
      <c r="D555" s="62" t="n"/>
      <c r="E555" s="62" t="n"/>
      <c r="F555" s="62" t="n"/>
      <c r="G555" s="62" t="n"/>
      <c r="H555" s="62" t="n"/>
    </row>
    <row r="556" ht="21" customHeight="1">
      <c r="A556" s="61" t="n"/>
      <c r="B556" s="44">
        <f>'設定'!$I$27</f>
        <v/>
      </c>
      <c r="C556" s="62" t="n"/>
      <c r="D556" s="62" t="n"/>
      <c r="E556" s="62" t="n"/>
      <c r="F556" s="62" t="n"/>
      <c r="G556" s="62" t="n"/>
      <c r="H556" s="62" t="n"/>
    </row>
    <row r="557" ht="21" customHeight="1">
      <c r="A557" s="61" t="n"/>
      <c r="B557" s="44">
        <f>'設定'!$I$28</f>
        <v/>
      </c>
      <c r="C557" s="62" t="n"/>
      <c r="D557" s="62" t="n"/>
      <c r="E557" s="62" t="n"/>
      <c r="F557" s="62" t="n"/>
      <c r="G557" s="62" t="n"/>
      <c r="H557" s="62" t="n"/>
    </row>
    <row r="558" ht="21" customHeight="1">
      <c r="A558" s="61" t="n"/>
      <c r="B558" s="44">
        <f>'設定'!$I$29</f>
        <v/>
      </c>
      <c r="C558" s="62" t="n"/>
      <c r="D558" s="62" t="n"/>
      <c r="E558" s="62" t="n"/>
      <c r="F558" s="62" t="n"/>
      <c r="G558" s="62" t="n"/>
      <c r="H558" s="62" t="n"/>
    </row>
    <row r="559" ht="21" customHeight="1">
      <c r="A559" s="61" t="n"/>
      <c r="B559" s="44">
        <f>'設定'!$I$30</f>
        <v/>
      </c>
      <c r="C559" s="62" t="n"/>
      <c r="D559" s="62" t="n"/>
      <c r="E559" s="62" t="n"/>
      <c r="F559" s="62" t="n"/>
      <c r="G559" s="62" t="n"/>
      <c r="H559" s="62" t="n"/>
    </row>
    <row r="560" ht="21" customHeight="1">
      <c r="A560" s="61" t="n"/>
      <c r="B560" s="44">
        <f>'設定'!$I$31</f>
        <v/>
      </c>
      <c r="C560" s="62" t="n"/>
      <c r="D560" s="62" t="n"/>
      <c r="E560" s="62" t="n"/>
      <c r="F560" s="62" t="n"/>
      <c r="G560" s="62" t="n"/>
      <c r="H560" s="62" t="n"/>
    </row>
    <row r="561" ht="21" customHeight="1">
      <c r="A561" s="61" t="n"/>
      <c r="B561" s="44">
        <f>'設定'!$I$32</f>
        <v/>
      </c>
      <c r="C561" s="62" t="n"/>
      <c r="D561" s="62" t="n"/>
      <c r="E561" s="62" t="n"/>
      <c r="F561" s="62" t="n"/>
      <c r="G561" s="62" t="n"/>
      <c r="H561" s="62" t="n"/>
    </row>
    <row r="562" ht="21" customHeight="1">
      <c r="A562" s="61" t="n"/>
      <c r="B562" s="44">
        <f>'設定'!$I$33</f>
        <v/>
      </c>
      <c r="C562" s="62" t="n"/>
      <c r="D562" s="62" t="n"/>
      <c r="E562" s="62" t="n"/>
      <c r="F562" s="62" t="n"/>
      <c r="G562" s="62" t="n"/>
      <c r="H562" s="62" t="n"/>
    </row>
    <row r="563" ht="21" customHeight="1">
      <c r="A563" s="61" t="n"/>
      <c r="B563" s="44">
        <f>'設定'!$I$34</f>
        <v/>
      </c>
      <c r="C563" s="62" t="n"/>
      <c r="D563" s="62" t="n"/>
      <c r="E563" s="62" t="n"/>
      <c r="F563" s="62" t="n"/>
      <c r="G563" s="62" t="n"/>
      <c r="H563" s="62" t="n"/>
    </row>
    <row r="564"/>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row>
    <row r="568" ht="21" customHeight="1">
      <c r="A568" s="61" t="n"/>
      <c r="B568" s="44">
        <f>'設定'!$I$11</f>
        <v/>
      </c>
      <c r="C568" s="62" t="n"/>
      <c r="D568" s="62" t="n"/>
      <c r="E568" s="62" t="n"/>
      <c r="F568" s="62" t="n"/>
      <c r="G568" s="62" t="n"/>
      <c r="H568" s="62" t="n"/>
    </row>
    <row r="569" ht="21" customHeight="1">
      <c r="A569" s="61" t="n"/>
      <c r="B569" s="44">
        <f>'設定'!$I$12</f>
        <v/>
      </c>
      <c r="C569" s="62" t="n"/>
      <c r="D569" s="62" t="n"/>
      <c r="E569" s="62" t="n"/>
      <c r="F569" s="62" t="n"/>
      <c r="G569" s="62" t="n"/>
      <c r="H569" s="62" t="n"/>
    </row>
    <row r="570" ht="21" customHeight="1">
      <c r="A570" s="61" t="n"/>
      <c r="B570" s="44">
        <f>'設定'!$I$13</f>
        <v/>
      </c>
      <c r="C570" s="62" t="n"/>
      <c r="D570" s="62" t="n"/>
      <c r="E570" s="62" t="n"/>
      <c r="F570" s="62" t="n"/>
      <c r="G570" s="62" t="n"/>
      <c r="H570" s="62" t="n"/>
    </row>
    <row r="571" ht="21" customHeight="1">
      <c r="A571" s="61" t="n"/>
      <c r="B571" s="44">
        <f>'設定'!$I$14</f>
        <v/>
      </c>
      <c r="C571" s="62" t="n"/>
      <c r="D571" s="62" t="n"/>
      <c r="E571" s="62" t="n"/>
      <c r="F571" s="62" t="n"/>
      <c r="G571" s="62" t="n"/>
      <c r="H571" s="62" t="n"/>
    </row>
    <row r="572" ht="21" customHeight="1">
      <c r="A572" s="61" t="n"/>
      <c r="B572" s="44">
        <f>'設定'!$I$15</f>
        <v/>
      </c>
      <c r="C572" s="62" t="n"/>
      <c r="D572" s="62" t="n"/>
      <c r="E572" s="62" t="n"/>
      <c r="F572" s="62" t="n"/>
      <c r="G572" s="62" t="n"/>
      <c r="H572" s="62" t="n"/>
    </row>
    <row r="573" ht="21" customHeight="1">
      <c r="A573" s="61" t="n"/>
      <c r="B573" s="44">
        <f>'設定'!$I$16</f>
        <v/>
      </c>
      <c r="C573" s="62" t="n"/>
      <c r="D573" s="62" t="n"/>
      <c r="E573" s="62" t="n"/>
      <c r="F573" s="62" t="n"/>
      <c r="G573" s="62" t="n"/>
      <c r="H573" s="62" t="n"/>
    </row>
    <row r="574" ht="21" customHeight="1">
      <c r="A574" s="61" t="n"/>
      <c r="B574" s="44">
        <f>'設定'!$I$17</f>
        <v/>
      </c>
      <c r="C574" s="62" t="n"/>
      <c r="D574" s="62" t="n"/>
      <c r="E574" s="62" t="n"/>
      <c r="F574" s="62" t="n"/>
      <c r="G574" s="62" t="n"/>
      <c r="H574" s="62" t="n"/>
    </row>
    <row r="575" ht="21" customHeight="1">
      <c r="A575" s="61" t="n"/>
      <c r="B575" s="44">
        <f>'設定'!$I$18</f>
        <v/>
      </c>
      <c r="C575" s="62" t="n"/>
      <c r="D575" s="62" t="n"/>
      <c r="E575" s="62" t="n"/>
      <c r="F575" s="62" t="n"/>
      <c r="G575" s="62" t="n"/>
      <c r="H575" s="62" t="n"/>
    </row>
    <row r="576" ht="21" customHeight="1">
      <c r="A576" s="61" t="n"/>
      <c r="B576" s="44">
        <f>'設定'!$I$19</f>
        <v/>
      </c>
      <c r="C576" s="62" t="n"/>
      <c r="D576" s="62" t="n"/>
      <c r="E576" s="62" t="n"/>
      <c r="F576" s="62" t="n"/>
      <c r="G576" s="62" t="n"/>
      <c r="H576" s="62" t="n"/>
    </row>
    <row r="577" ht="21" customHeight="1">
      <c r="A577" s="61" t="n"/>
      <c r="B577" s="44">
        <f>'設定'!$I$20</f>
        <v/>
      </c>
      <c r="C577" s="62" t="n"/>
      <c r="D577" s="62" t="n"/>
      <c r="E577" s="62" t="n"/>
      <c r="F577" s="62" t="n"/>
      <c r="G577" s="62" t="n"/>
      <c r="H577" s="62" t="n"/>
    </row>
    <row r="578" ht="21" customHeight="1">
      <c r="A578" s="61" t="n"/>
      <c r="B578" s="44">
        <f>'設定'!$I$21</f>
        <v/>
      </c>
      <c r="C578" s="62" t="n"/>
      <c r="D578" s="62" t="n"/>
      <c r="E578" s="62" t="n"/>
      <c r="F578" s="62" t="n"/>
      <c r="G578" s="62" t="n"/>
      <c r="H578" s="62" t="n"/>
    </row>
    <row r="579" ht="21" customHeight="1">
      <c r="A579" s="61" t="n"/>
      <c r="B579" s="44">
        <f>'設定'!$I$22</f>
        <v/>
      </c>
      <c r="C579" s="62" t="n"/>
      <c r="D579" s="62" t="n"/>
      <c r="E579" s="62" t="n"/>
      <c r="F579" s="62" t="n"/>
      <c r="G579" s="62" t="n"/>
      <c r="H579" s="62" t="n"/>
    </row>
    <row r="580" ht="21" customHeight="1">
      <c r="A580" s="61" t="n"/>
      <c r="B580" s="44">
        <f>'設定'!$I$23</f>
        <v/>
      </c>
      <c r="C580" s="62" t="n"/>
      <c r="D580" s="62" t="n"/>
      <c r="E580" s="62" t="n"/>
      <c r="F580" s="62" t="n"/>
      <c r="G580" s="62" t="n"/>
      <c r="H580" s="62" t="n"/>
    </row>
    <row r="581" ht="21" customHeight="1">
      <c r="A581" s="61" t="n"/>
      <c r="B581" s="44">
        <f>'設定'!$I$24</f>
        <v/>
      </c>
      <c r="C581" s="62" t="n"/>
      <c r="D581" s="62" t="n"/>
      <c r="E581" s="62" t="n"/>
      <c r="F581" s="62" t="n"/>
      <c r="G581" s="62" t="n"/>
      <c r="H581" s="62" t="n"/>
    </row>
    <row r="582" ht="21" customHeight="1">
      <c r="A582" s="61" t="n"/>
      <c r="B582" s="44">
        <f>'設定'!$I$25</f>
        <v/>
      </c>
      <c r="C582" s="62" t="n"/>
      <c r="D582" s="62" t="n"/>
      <c r="E582" s="62" t="n"/>
      <c r="F582" s="62" t="n"/>
      <c r="G582" s="62" t="n"/>
      <c r="H582" s="62" t="n"/>
    </row>
    <row r="583" ht="21" customHeight="1">
      <c r="A583" s="61" t="n"/>
      <c r="B583" s="44">
        <f>'設定'!$I$26</f>
        <v/>
      </c>
      <c r="C583" s="62" t="n"/>
      <c r="D583" s="62" t="n"/>
      <c r="E583" s="62" t="n"/>
      <c r="F583" s="62" t="n"/>
      <c r="G583" s="62" t="n"/>
      <c r="H583" s="62" t="n"/>
    </row>
    <row r="584" ht="21" customHeight="1">
      <c r="A584" s="61" t="n"/>
      <c r="B584" s="44">
        <f>'設定'!$I$27</f>
        <v/>
      </c>
      <c r="C584" s="62" t="n"/>
      <c r="D584" s="62" t="n"/>
      <c r="E584" s="62" t="n"/>
      <c r="F584" s="62" t="n"/>
      <c r="G584" s="62" t="n"/>
      <c r="H584" s="62" t="n"/>
    </row>
    <row r="585" ht="21" customHeight="1">
      <c r="A585" s="61" t="n"/>
      <c r="B585" s="44">
        <f>'設定'!$I$28</f>
        <v/>
      </c>
      <c r="C585" s="62" t="n"/>
      <c r="D585" s="62" t="n"/>
      <c r="E585" s="62" t="n"/>
      <c r="F585" s="62" t="n"/>
      <c r="G585" s="62" t="n"/>
      <c r="H585" s="62" t="n"/>
    </row>
    <row r="586" ht="21" customHeight="1">
      <c r="A586" s="61" t="n"/>
      <c r="B586" s="44">
        <f>'設定'!$I$29</f>
        <v/>
      </c>
      <c r="C586" s="62" t="n"/>
      <c r="D586" s="62" t="n"/>
      <c r="E586" s="62" t="n"/>
      <c r="F586" s="62" t="n"/>
      <c r="G586" s="62" t="n"/>
      <c r="H586" s="62" t="n"/>
    </row>
    <row r="587" ht="21" customHeight="1">
      <c r="A587" s="61" t="n"/>
      <c r="B587" s="44">
        <f>'設定'!$I$30</f>
        <v/>
      </c>
      <c r="C587" s="62" t="n"/>
      <c r="D587" s="62" t="n"/>
      <c r="E587" s="62" t="n"/>
      <c r="F587" s="62" t="n"/>
      <c r="G587" s="62" t="n"/>
      <c r="H587" s="62" t="n"/>
    </row>
    <row r="588" ht="21" customHeight="1">
      <c r="A588" s="61" t="n"/>
      <c r="B588" s="44">
        <f>'設定'!$I$31</f>
        <v/>
      </c>
      <c r="C588" s="62" t="n"/>
      <c r="D588" s="62" t="n"/>
      <c r="E588" s="62" t="n"/>
      <c r="F588" s="62" t="n"/>
      <c r="G588" s="62" t="n"/>
      <c r="H588" s="62" t="n"/>
    </row>
    <row r="589" ht="21" customHeight="1">
      <c r="A589" s="61" t="n"/>
      <c r="B589" s="44">
        <f>'設定'!$I$32</f>
        <v/>
      </c>
      <c r="C589" s="62" t="n"/>
      <c r="D589" s="62" t="n"/>
      <c r="E589" s="62" t="n"/>
      <c r="F589" s="62" t="n"/>
      <c r="G589" s="62" t="n"/>
      <c r="H589" s="62" t="n"/>
    </row>
    <row r="590" ht="21" customHeight="1">
      <c r="A590" s="61" t="n"/>
      <c r="B590" s="44">
        <f>'設定'!$I$33</f>
        <v/>
      </c>
      <c r="C590" s="62" t="n"/>
      <c r="D590" s="62" t="n"/>
      <c r="E590" s="62" t="n"/>
      <c r="F590" s="62" t="n"/>
      <c r="G590" s="62" t="n"/>
      <c r="H590" s="62" t="n"/>
    </row>
    <row r="591" ht="21" customHeight="1">
      <c r="A591" s="61" t="n"/>
      <c r="B591" s="44">
        <f>'設定'!$I$34</f>
        <v/>
      </c>
      <c r="C591" s="62" t="n"/>
      <c r="D591" s="62" t="n"/>
      <c r="E591" s="62" t="n"/>
      <c r="F591" s="62" t="n"/>
      <c r="G591" s="62" t="n"/>
      <c r="H591" s="62" t="n"/>
    </row>
    <row r="592"/>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row>
    <row r="596" ht="21" customHeight="1">
      <c r="A596" s="61" t="n"/>
      <c r="B596" s="44">
        <f>'設定'!$I$11</f>
        <v/>
      </c>
      <c r="C596" s="62" t="n"/>
      <c r="D596" s="62" t="n"/>
      <c r="E596" s="62" t="n"/>
      <c r="F596" s="62" t="n"/>
      <c r="G596" s="62" t="n"/>
      <c r="H596" s="62" t="n"/>
    </row>
    <row r="597" ht="21" customHeight="1">
      <c r="A597" s="61" t="n"/>
      <c r="B597" s="44">
        <f>'設定'!$I$12</f>
        <v/>
      </c>
      <c r="C597" s="62" t="n"/>
      <c r="D597" s="62" t="n"/>
      <c r="E597" s="62" t="n"/>
      <c r="F597" s="62" t="n"/>
      <c r="G597" s="62" t="n"/>
      <c r="H597" s="62" t="n"/>
    </row>
    <row r="598" ht="21" customHeight="1">
      <c r="A598" s="61" t="n"/>
      <c r="B598" s="44">
        <f>'設定'!$I$13</f>
        <v/>
      </c>
      <c r="C598" s="62" t="n"/>
      <c r="D598" s="62" t="n"/>
      <c r="E598" s="62" t="n"/>
      <c r="F598" s="62" t="n"/>
      <c r="G598" s="62" t="n"/>
      <c r="H598" s="62" t="n"/>
    </row>
    <row r="599" ht="21" customHeight="1">
      <c r="A599" s="61" t="n"/>
      <c r="B599" s="44">
        <f>'設定'!$I$14</f>
        <v/>
      </c>
      <c r="C599" s="62" t="n"/>
      <c r="D599" s="62" t="n"/>
      <c r="E599" s="62" t="n"/>
      <c r="F599" s="62" t="n"/>
      <c r="G599" s="62" t="n"/>
      <c r="H599" s="62" t="n"/>
    </row>
    <row r="600" ht="21" customHeight="1">
      <c r="A600" s="61" t="n"/>
      <c r="B600" s="44">
        <f>'設定'!$I$15</f>
        <v/>
      </c>
      <c r="C600" s="62" t="n"/>
      <c r="D600" s="62" t="n"/>
      <c r="E600" s="62" t="n"/>
      <c r="F600" s="62" t="n"/>
      <c r="G600" s="62" t="n"/>
      <c r="H600" s="62" t="n"/>
    </row>
    <row r="601" ht="21" customHeight="1">
      <c r="A601" s="61" t="n"/>
      <c r="B601" s="44">
        <f>'設定'!$I$16</f>
        <v/>
      </c>
      <c r="C601" s="62" t="n"/>
      <c r="D601" s="62" t="n"/>
      <c r="E601" s="62" t="n"/>
      <c r="F601" s="62" t="n"/>
      <c r="G601" s="62" t="n"/>
      <c r="H601" s="62" t="n"/>
    </row>
    <row r="602" ht="21" customHeight="1">
      <c r="A602" s="61" t="n"/>
      <c r="B602" s="44">
        <f>'設定'!$I$17</f>
        <v/>
      </c>
      <c r="C602" s="62" t="n"/>
      <c r="D602" s="62" t="n"/>
      <c r="E602" s="62" t="n"/>
      <c r="F602" s="62" t="n"/>
      <c r="G602" s="62" t="n"/>
      <c r="H602" s="62" t="n"/>
    </row>
    <row r="603" ht="21" customHeight="1">
      <c r="A603" s="61" t="n"/>
      <c r="B603" s="44">
        <f>'設定'!$I$18</f>
        <v/>
      </c>
      <c r="C603" s="62" t="n"/>
      <c r="D603" s="62" t="n"/>
      <c r="E603" s="62" t="n"/>
      <c r="F603" s="62" t="n"/>
      <c r="G603" s="62" t="n"/>
      <c r="H603" s="62" t="n"/>
    </row>
    <row r="604" ht="21" customHeight="1">
      <c r="A604" s="61" t="n"/>
      <c r="B604" s="44">
        <f>'設定'!$I$19</f>
        <v/>
      </c>
      <c r="C604" s="62" t="n"/>
      <c r="D604" s="62" t="n"/>
      <c r="E604" s="62" t="n"/>
      <c r="F604" s="62" t="n"/>
      <c r="G604" s="62" t="n"/>
      <c r="H604" s="62" t="n"/>
    </row>
    <row r="605" ht="21" customHeight="1">
      <c r="A605" s="61" t="n"/>
      <c r="B605" s="44">
        <f>'設定'!$I$20</f>
        <v/>
      </c>
      <c r="C605" s="62" t="n"/>
      <c r="D605" s="62" t="n"/>
      <c r="E605" s="62" t="n"/>
      <c r="F605" s="62" t="n"/>
      <c r="G605" s="62" t="n"/>
      <c r="H605" s="62" t="n"/>
    </row>
    <row r="606" ht="21" customHeight="1">
      <c r="A606" s="61" t="n"/>
      <c r="B606" s="44">
        <f>'設定'!$I$21</f>
        <v/>
      </c>
      <c r="C606" s="62" t="n"/>
      <c r="D606" s="62" t="n"/>
      <c r="E606" s="62" t="n"/>
      <c r="F606" s="62" t="n"/>
      <c r="G606" s="62" t="n"/>
      <c r="H606" s="62" t="n"/>
    </row>
    <row r="607" ht="21" customHeight="1">
      <c r="A607" s="61" t="n"/>
      <c r="B607" s="44">
        <f>'設定'!$I$22</f>
        <v/>
      </c>
      <c r="C607" s="62" t="n"/>
      <c r="D607" s="62" t="n"/>
      <c r="E607" s="62" t="n"/>
      <c r="F607" s="62" t="n"/>
      <c r="G607" s="62" t="n"/>
      <c r="H607" s="62" t="n"/>
    </row>
    <row r="608" ht="21" customHeight="1">
      <c r="A608" s="61" t="n"/>
      <c r="B608" s="44">
        <f>'設定'!$I$23</f>
        <v/>
      </c>
      <c r="C608" s="62" t="n"/>
      <c r="D608" s="62" t="n"/>
      <c r="E608" s="62" t="n"/>
      <c r="F608" s="62" t="n"/>
      <c r="G608" s="62" t="n"/>
      <c r="H608" s="62" t="n"/>
    </row>
    <row r="609" ht="21" customHeight="1">
      <c r="A609" s="61" t="n"/>
      <c r="B609" s="44">
        <f>'設定'!$I$24</f>
        <v/>
      </c>
      <c r="C609" s="62" t="n"/>
      <c r="D609" s="62" t="n"/>
      <c r="E609" s="62" t="n"/>
      <c r="F609" s="62" t="n"/>
      <c r="G609" s="62" t="n"/>
      <c r="H609" s="62" t="n"/>
    </row>
    <row r="610" ht="21" customHeight="1">
      <c r="A610" s="61" t="n"/>
      <c r="B610" s="44">
        <f>'設定'!$I$25</f>
        <v/>
      </c>
      <c r="C610" s="62" t="n"/>
      <c r="D610" s="62" t="n"/>
      <c r="E610" s="62" t="n"/>
      <c r="F610" s="62" t="n"/>
      <c r="G610" s="62" t="n"/>
      <c r="H610" s="62" t="n"/>
    </row>
    <row r="611" ht="21" customHeight="1">
      <c r="A611" s="61" t="n"/>
      <c r="B611" s="44">
        <f>'設定'!$I$26</f>
        <v/>
      </c>
      <c r="C611" s="62" t="n"/>
      <c r="D611" s="62" t="n"/>
      <c r="E611" s="62" t="n"/>
      <c r="F611" s="62" t="n"/>
      <c r="G611" s="62" t="n"/>
      <c r="H611" s="62" t="n"/>
    </row>
    <row r="612" ht="21" customHeight="1">
      <c r="A612" s="61" t="n"/>
      <c r="B612" s="44">
        <f>'設定'!$I$27</f>
        <v/>
      </c>
      <c r="C612" s="62" t="n"/>
      <c r="D612" s="62" t="n"/>
      <c r="E612" s="62" t="n"/>
      <c r="F612" s="62" t="n"/>
      <c r="G612" s="62" t="n"/>
      <c r="H612" s="62" t="n"/>
    </row>
    <row r="613" ht="21" customHeight="1">
      <c r="A613" s="61" t="n"/>
      <c r="B613" s="44">
        <f>'設定'!$I$28</f>
        <v/>
      </c>
      <c r="C613" s="62" t="n"/>
      <c r="D613" s="62" t="n"/>
      <c r="E613" s="62" t="n"/>
      <c r="F613" s="62" t="n"/>
      <c r="G613" s="62" t="n"/>
      <c r="H613" s="62" t="n"/>
    </row>
    <row r="614" ht="21" customHeight="1">
      <c r="A614" s="61" t="n"/>
      <c r="B614" s="44">
        <f>'設定'!$I$29</f>
        <v/>
      </c>
      <c r="C614" s="62" t="n"/>
      <c r="D614" s="62" t="n"/>
      <c r="E614" s="62" t="n"/>
      <c r="F614" s="62" t="n"/>
      <c r="G614" s="62" t="n"/>
      <c r="H614" s="62" t="n"/>
    </row>
    <row r="615" ht="21" customHeight="1">
      <c r="A615" s="61" t="n"/>
      <c r="B615" s="44">
        <f>'設定'!$I$30</f>
        <v/>
      </c>
      <c r="C615" s="62" t="n"/>
      <c r="D615" s="62" t="n"/>
      <c r="E615" s="62" t="n"/>
      <c r="F615" s="62" t="n"/>
      <c r="G615" s="62" t="n"/>
      <c r="H615" s="62" t="n"/>
    </row>
    <row r="616" ht="21" customHeight="1">
      <c r="A616" s="61" t="n"/>
      <c r="B616" s="44">
        <f>'設定'!$I$31</f>
        <v/>
      </c>
      <c r="C616" s="62" t="n"/>
      <c r="D616" s="62" t="n"/>
      <c r="E616" s="62" t="n"/>
      <c r="F616" s="62" t="n"/>
      <c r="G616" s="62" t="n"/>
      <c r="H616" s="62" t="n"/>
    </row>
    <row r="617" ht="21" customHeight="1">
      <c r="A617" s="61" t="n"/>
      <c r="B617" s="44">
        <f>'設定'!$I$32</f>
        <v/>
      </c>
      <c r="C617" s="62" t="n"/>
      <c r="D617" s="62" t="n"/>
      <c r="E617" s="62" t="n"/>
      <c r="F617" s="62" t="n"/>
      <c r="G617" s="62" t="n"/>
      <c r="H617" s="62" t="n"/>
    </row>
    <row r="618" ht="21" customHeight="1">
      <c r="A618" s="61" t="n"/>
      <c r="B618" s="44">
        <f>'設定'!$I$33</f>
        <v/>
      </c>
      <c r="C618" s="62" t="n"/>
      <c r="D618" s="62" t="n"/>
      <c r="E618" s="62" t="n"/>
      <c r="F618" s="62" t="n"/>
      <c r="G618" s="62" t="n"/>
      <c r="H618" s="62" t="n"/>
    </row>
    <row r="619" ht="21" customHeight="1">
      <c r="A619" s="61" t="n"/>
      <c r="B619" s="44">
        <f>'設定'!$I$34</f>
        <v/>
      </c>
      <c r="C619" s="62" t="n"/>
      <c r="D619" s="62" t="n"/>
      <c r="E619" s="62" t="n"/>
      <c r="F619" s="62" t="n"/>
      <c r="G619" s="62" t="n"/>
      <c r="H619" s="62" t="n"/>
    </row>
    <row r="620"/>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row>
    <row r="624" ht="21" customHeight="1">
      <c r="A624" s="61" t="n"/>
      <c r="B624" s="44">
        <f>'設定'!$I$11</f>
        <v/>
      </c>
      <c r="C624" s="62" t="n"/>
      <c r="D624" s="62" t="n"/>
      <c r="E624" s="62" t="n"/>
      <c r="F624" s="62" t="n"/>
      <c r="G624" s="62" t="n"/>
      <c r="H624" s="62" t="n"/>
    </row>
    <row r="625" ht="21" customHeight="1">
      <c r="A625" s="61" t="n"/>
      <c r="B625" s="44">
        <f>'設定'!$I$12</f>
        <v/>
      </c>
      <c r="C625" s="62" t="n"/>
      <c r="D625" s="62" t="n"/>
      <c r="E625" s="62" t="n"/>
      <c r="F625" s="62" t="n"/>
      <c r="G625" s="62" t="n"/>
      <c r="H625" s="62" t="n"/>
    </row>
    <row r="626" ht="21" customHeight="1">
      <c r="A626" s="61" t="n"/>
      <c r="B626" s="44">
        <f>'設定'!$I$13</f>
        <v/>
      </c>
      <c r="C626" s="62" t="n"/>
      <c r="D626" s="62" t="n"/>
      <c r="E626" s="62" t="n"/>
      <c r="F626" s="62" t="n"/>
      <c r="G626" s="62" t="n"/>
      <c r="H626" s="62" t="n"/>
    </row>
    <row r="627" ht="21" customHeight="1">
      <c r="A627" s="61" t="n"/>
      <c r="B627" s="44">
        <f>'設定'!$I$14</f>
        <v/>
      </c>
      <c r="C627" s="62" t="n"/>
      <c r="D627" s="62" t="n"/>
      <c r="E627" s="62" t="n"/>
      <c r="F627" s="62" t="n"/>
      <c r="G627" s="62" t="n"/>
      <c r="H627" s="62" t="n"/>
    </row>
    <row r="628" ht="21" customHeight="1">
      <c r="A628" s="61" t="n"/>
      <c r="B628" s="44">
        <f>'設定'!$I$15</f>
        <v/>
      </c>
      <c r="C628" s="62" t="n"/>
      <c r="D628" s="62" t="n"/>
      <c r="E628" s="62" t="n"/>
      <c r="F628" s="62" t="n"/>
      <c r="G628" s="62" t="n"/>
      <c r="H628" s="62" t="n"/>
    </row>
    <row r="629" ht="21" customHeight="1">
      <c r="A629" s="61" t="n"/>
      <c r="B629" s="44">
        <f>'設定'!$I$16</f>
        <v/>
      </c>
      <c r="C629" s="62" t="n"/>
      <c r="D629" s="62" t="n"/>
      <c r="E629" s="62" t="n"/>
      <c r="F629" s="62" t="n"/>
      <c r="G629" s="62" t="n"/>
      <c r="H629" s="62" t="n"/>
    </row>
    <row r="630" ht="21" customHeight="1">
      <c r="A630" s="61" t="n"/>
      <c r="B630" s="44">
        <f>'設定'!$I$17</f>
        <v/>
      </c>
      <c r="C630" s="62" t="n"/>
      <c r="D630" s="62" t="n"/>
      <c r="E630" s="62" t="n"/>
      <c r="F630" s="62" t="n"/>
      <c r="G630" s="62" t="n"/>
      <c r="H630" s="62" t="n"/>
    </row>
    <row r="631" ht="21" customHeight="1">
      <c r="A631" s="61" t="n"/>
      <c r="B631" s="44">
        <f>'設定'!$I$18</f>
        <v/>
      </c>
      <c r="C631" s="62" t="n"/>
      <c r="D631" s="62" t="n"/>
      <c r="E631" s="62" t="n"/>
      <c r="F631" s="62" t="n"/>
      <c r="G631" s="62" t="n"/>
      <c r="H631" s="62" t="n"/>
    </row>
    <row r="632" ht="21" customHeight="1">
      <c r="A632" s="61" t="n"/>
      <c r="B632" s="44">
        <f>'設定'!$I$19</f>
        <v/>
      </c>
      <c r="C632" s="62" t="n"/>
      <c r="D632" s="62" t="n"/>
      <c r="E632" s="62" t="n"/>
      <c r="F632" s="62" t="n"/>
      <c r="G632" s="62" t="n"/>
      <c r="H632" s="62" t="n"/>
    </row>
    <row r="633" ht="21" customHeight="1">
      <c r="A633" s="61" t="n"/>
      <c r="B633" s="44">
        <f>'設定'!$I$20</f>
        <v/>
      </c>
      <c r="C633" s="62" t="n"/>
      <c r="D633" s="62" t="n"/>
      <c r="E633" s="62" t="n"/>
      <c r="F633" s="62" t="n"/>
      <c r="G633" s="62" t="n"/>
      <c r="H633" s="62" t="n"/>
    </row>
    <row r="634" ht="21" customHeight="1">
      <c r="A634" s="61" t="n"/>
      <c r="B634" s="44">
        <f>'設定'!$I$21</f>
        <v/>
      </c>
      <c r="C634" s="62" t="n"/>
      <c r="D634" s="62" t="n"/>
      <c r="E634" s="62" t="n"/>
      <c r="F634" s="62" t="n"/>
      <c r="G634" s="62" t="n"/>
      <c r="H634" s="62" t="n"/>
    </row>
    <row r="635" ht="21" customHeight="1">
      <c r="A635" s="61" t="n"/>
      <c r="B635" s="44">
        <f>'設定'!$I$22</f>
        <v/>
      </c>
      <c r="C635" s="62" t="n"/>
      <c r="D635" s="62" t="n"/>
      <c r="E635" s="62" t="n"/>
      <c r="F635" s="62" t="n"/>
      <c r="G635" s="62" t="n"/>
      <c r="H635" s="62" t="n"/>
    </row>
    <row r="636" ht="21" customHeight="1">
      <c r="A636" s="61" t="n"/>
      <c r="B636" s="44">
        <f>'設定'!$I$23</f>
        <v/>
      </c>
      <c r="C636" s="62" t="n"/>
      <c r="D636" s="62" t="n"/>
      <c r="E636" s="62" t="n"/>
      <c r="F636" s="62" t="n"/>
      <c r="G636" s="62" t="n"/>
      <c r="H636" s="62" t="n"/>
    </row>
    <row r="637" ht="21" customHeight="1">
      <c r="A637" s="61" t="n"/>
      <c r="B637" s="44">
        <f>'設定'!$I$24</f>
        <v/>
      </c>
      <c r="C637" s="62" t="n"/>
      <c r="D637" s="62" t="n"/>
      <c r="E637" s="62" t="n"/>
      <c r="F637" s="62" t="n"/>
      <c r="G637" s="62" t="n"/>
      <c r="H637" s="62" t="n"/>
    </row>
    <row r="638" ht="21" customHeight="1">
      <c r="A638" s="61" t="n"/>
      <c r="B638" s="44">
        <f>'設定'!$I$25</f>
        <v/>
      </c>
      <c r="C638" s="62" t="n"/>
      <c r="D638" s="62" t="n"/>
      <c r="E638" s="62" t="n"/>
      <c r="F638" s="62" t="n"/>
      <c r="G638" s="62" t="n"/>
      <c r="H638" s="62" t="n"/>
    </row>
    <row r="639" ht="21" customHeight="1">
      <c r="A639" s="61" t="n"/>
      <c r="B639" s="44">
        <f>'設定'!$I$26</f>
        <v/>
      </c>
      <c r="C639" s="62" t="n"/>
      <c r="D639" s="62" t="n"/>
      <c r="E639" s="62" t="n"/>
      <c r="F639" s="62" t="n"/>
      <c r="G639" s="62" t="n"/>
      <c r="H639" s="62" t="n"/>
    </row>
    <row r="640" ht="21" customHeight="1">
      <c r="A640" s="61" t="n"/>
      <c r="B640" s="44">
        <f>'設定'!$I$27</f>
        <v/>
      </c>
      <c r="C640" s="62" t="n"/>
      <c r="D640" s="62" t="n"/>
      <c r="E640" s="62" t="n"/>
      <c r="F640" s="62" t="n"/>
      <c r="G640" s="62" t="n"/>
      <c r="H640" s="62" t="n"/>
    </row>
    <row r="641" ht="21" customHeight="1">
      <c r="A641" s="61" t="n"/>
      <c r="B641" s="44">
        <f>'設定'!$I$28</f>
        <v/>
      </c>
      <c r="C641" s="62" t="n"/>
      <c r="D641" s="62" t="n"/>
      <c r="E641" s="62" t="n"/>
      <c r="F641" s="62" t="n"/>
      <c r="G641" s="62" t="n"/>
      <c r="H641" s="62" t="n"/>
    </row>
    <row r="642" ht="21" customHeight="1">
      <c r="A642" s="61" t="n"/>
      <c r="B642" s="44">
        <f>'設定'!$I$29</f>
        <v/>
      </c>
      <c r="C642" s="62" t="n"/>
      <c r="D642" s="62" t="n"/>
      <c r="E642" s="62" t="n"/>
      <c r="F642" s="62" t="n"/>
      <c r="G642" s="62" t="n"/>
      <c r="H642" s="62" t="n"/>
    </row>
    <row r="643" ht="21" customHeight="1">
      <c r="A643" s="61" t="n"/>
      <c r="B643" s="44">
        <f>'設定'!$I$30</f>
        <v/>
      </c>
      <c r="C643" s="62" t="n"/>
      <c r="D643" s="62" t="n"/>
      <c r="E643" s="62" t="n"/>
      <c r="F643" s="62" t="n"/>
      <c r="G643" s="62" t="n"/>
      <c r="H643" s="62" t="n"/>
    </row>
    <row r="644" ht="21" customHeight="1">
      <c r="A644" s="61" t="n"/>
      <c r="B644" s="44">
        <f>'設定'!$I$31</f>
        <v/>
      </c>
      <c r="C644" s="62" t="n"/>
      <c r="D644" s="62" t="n"/>
      <c r="E644" s="62" t="n"/>
      <c r="F644" s="62" t="n"/>
      <c r="G644" s="62" t="n"/>
      <c r="H644" s="62" t="n"/>
    </row>
    <row r="645" ht="21" customHeight="1">
      <c r="A645" s="61" t="n"/>
      <c r="B645" s="44">
        <f>'設定'!$I$32</f>
        <v/>
      </c>
      <c r="C645" s="62" t="n"/>
      <c r="D645" s="62" t="n"/>
      <c r="E645" s="62" t="n"/>
      <c r="F645" s="62" t="n"/>
      <c r="G645" s="62" t="n"/>
      <c r="H645" s="62" t="n"/>
    </row>
    <row r="646" ht="21" customHeight="1">
      <c r="A646" s="61" t="n"/>
      <c r="B646" s="44">
        <f>'設定'!$I$33</f>
        <v/>
      </c>
      <c r="C646" s="62" t="n"/>
      <c r="D646" s="62" t="n"/>
      <c r="E646" s="62" t="n"/>
      <c r="F646" s="62" t="n"/>
      <c r="G646" s="62" t="n"/>
      <c r="H646" s="62" t="n"/>
    </row>
    <row r="647" ht="21" customHeight="1">
      <c r="A647" s="61" t="n"/>
      <c r="B647" s="44">
        <f>'設定'!$I$34</f>
        <v/>
      </c>
      <c r="C647" s="62" t="n"/>
      <c r="D647" s="62" t="n"/>
      <c r="E647" s="62" t="n"/>
      <c r="F647" s="62" t="n"/>
      <c r="G647" s="62" t="n"/>
      <c r="H647" s="62" t="n"/>
    </row>
    <row r="648"/>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row>
    <row r="652" ht="21" customHeight="1">
      <c r="A652" s="61" t="n"/>
      <c r="B652" s="44">
        <f>'設定'!$I$11</f>
        <v/>
      </c>
      <c r="C652" s="62" t="n"/>
      <c r="D652" s="62" t="n"/>
      <c r="E652" s="62" t="n"/>
      <c r="F652" s="62" t="n"/>
      <c r="G652" s="62" t="n"/>
      <c r="H652" s="62" t="n"/>
    </row>
    <row r="653" ht="21" customHeight="1">
      <c r="A653" s="61" t="n"/>
      <c r="B653" s="44">
        <f>'設定'!$I$12</f>
        <v/>
      </c>
      <c r="C653" s="62" t="n"/>
      <c r="D653" s="62" t="n"/>
      <c r="E653" s="62" t="n"/>
      <c r="F653" s="62" t="n"/>
      <c r="G653" s="62" t="n"/>
      <c r="H653" s="62" t="n"/>
    </row>
    <row r="654" ht="21" customHeight="1">
      <c r="A654" s="61" t="n"/>
      <c r="B654" s="44">
        <f>'設定'!$I$13</f>
        <v/>
      </c>
      <c r="C654" s="62" t="n"/>
      <c r="D654" s="62" t="n"/>
      <c r="E654" s="62" t="n"/>
      <c r="F654" s="62" t="n"/>
      <c r="G654" s="62" t="n"/>
      <c r="H654" s="62" t="n"/>
    </row>
    <row r="655" ht="21" customHeight="1">
      <c r="A655" s="61" t="n"/>
      <c r="B655" s="44">
        <f>'設定'!$I$14</f>
        <v/>
      </c>
      <c r="C655" s="62" t="n"/>
      <c r="D655" s="62" t="n"/>
      <c r="E655" s="62" t="n"/>
      <c r="F655" s="62" t="n"/>
      <c r="G655" s="62" t="n"/>
      <c r="H655" s="62" t="n"/>
    </row>
    <row r="656" ht="21" customHeight="1">
      <c r="A656" s="61" t="n"/>
      <c r="B656" s="44">
        <f>'設定'!$I$15</f>
        <v/>
      </c>
      <c r="C656" s="62" t="n"/>
      <c r="D656" s="62" t="n"/>
      <c r="E656" s="62" t="n"/>
      <c r="F656" s="62" t="n"/>
      <c r="G656" s="62" t="n"/>
      <c r="H656" s="62" t="n"/>
    </row>
    <row r="657" ht="21" customHeight="1">
      <c r="A657" s="61" t="n"/>
      <c r="B657" s="44">
        <f>'設定'!$I$16</f>
        <v/>
      </c>
      <c r="C657" s="62" t="n"/>
      <c r="D657" s="62" t="n"/>
      <c r="E657" s="62" t="n"/>
      <c r="F657" s="62" t="n"/>
      <c r="G657" s="62" t="n"/>
      <c r="H657" s="62" t="n"/>
    </row>
    <row r="658" ht="21" customHeight="1">
      <c r="A658" s="61" t="n"/>
      <c r="B658" s="44">
        <f>'設定'!$I$17</f>
        <v/>
      </c>
      <c r="C658" s="62" t="n"/>
      <c r="D658" s="62" t="n"/>
      <c r="E658" s="62" t="n"/>
      <c r="F658" s="62" t="n"/>
      <c r="G658" s="62" t="n"/>
      <c r="H658" s="62" t="n"/>
    </row>
    <row r="659" ht="21" customHeight="1">
      <c r="A659" s="61" t="n"/>
      <c r="B659" s="44">
        <f>'設定'!$I$18</f>
        <v/>
      </c>
      <c r="C659" s="62" t="n"/>
      <c r="D659" s="62" t="n"/>
      <c r="E659" s="62" t="n"/>
      <c r="F659" s="62" t="n"/>
      <c r="G659" s="62" t="n"/>
      <c r="H659" s="62" t="n"/>
    </row>
    <row r="660" ht="21" customHeight="1">
      <c r="A660" s="61" t="n"/>
      <c r="B660" s="44">
        <f>'設定'!$I$19</f>
        <v/>
      </c>
      <c r="C660" s="62" t="n"/>
      <c r="D660" s="62" t="n"/>
      <c r="E660" s="62" t="n"/>
      <c r="F660" s="62" t="n"/>
      <c r="G660" s="62" t="n"/>
      <c r="H660" s="62" t="n"/>
    </row>
    <row r="661" ht="21" customHeight="1">
      <c r="A661" s="61" t="n"/>
      <c r="B661" s="44">
        <f>'設定'!$I$20</f>
        <v/>
      </c>
      <c r="C661" s="62" t="n"/>
      <c r="D661" s="62" t="n"/>
      <c r="E661" s="62" t="n"/>
      <c r="F661" s="62" t="n"/>
      <c r="G661" s="62" t="n"/>
      <c r="H661" s="62" t="n"/>
    </row>
    <row r="662" ht="21" customHeight="1">
      <c r="A662" s="61" t="n"/>
      <c r="B662" s="44">
        <f>'設定'!$I$21</f>
        <v/>
      </c>
      <c r="C662" s="62" t="n"/>
      <c r="D662" s="62" t="n"/>
      <c r="E662" s="62" t="n"/>
      <c r="F662" s="62" t="n"/>
      <c r="G662" s="62" t="n"/>
      <c r="H662" s="62" t="n"/>
    </row>
    <row r="663" ht="21" customHeight="1">
      <c r="A663" s="61" t="n"/>
      <c r="B663" s="44">
        <f>'設定'!$I$22</f>
        <v/>
      </c>
      <c r="C663" s="62" t="n"/>
      <c r="D663" s="62" t="n"/>
      <c r="E663" s="62" t="n"/>
      <c r="F663" s="62" t="n"/>
      <c r="G663" s="62" t="n"/>
      <c r="H663" s="62" t="n"/>
    </row>
    <row r="664" ht="21" customHeight="1">
      <c r="A664" s="61" t="n"/>
      <c r="B664" s="44">
        <f>'設定'!$I$23</f>
        <v/>
      </c>
      <c r="C664" s="62" t="n"/>
      <c r="D664" s="62" t="n"/>
      <c r="E664" s="62" t="n"/>
      <c r="F664" s="62" t="n"/>
      <c r="G664" s="62" t="n"/>
      <c r="H664" s="62" t="n"/>
    </row>
    <row r="665" ht="21" customHeight="1">
      <c r="A665" s="61" t="n"/>
      <c r="B665" s="44">
        <f>'設定'!$I$24</f>
        <v/>
      </c>
      <c r="C665" s="62" t="n"/>
      <c r="D665" s="62" t="n"/>
      <c r="E665" s="62" t="n"/>
      <c r="F665" s="62" t="n"/>
      <c r="G665" s="62" t="n"/>
      <c r="H665" s="62" t="n"/>
    </row>
    <row r="666" ht="21" customHeight="1">
      <c r="A666" s="61" t="n"/>
      <c r="B666" s="44">
        <f>'設定'!$I$25</f>
        <v/>
      </c>
      <c r="C666" s="62" t="n"/>
      <c r="D666" s="62" t="n"/>
      <c r="E666" s="62" t="n"/>
      <c r="F666" s="62" t="n"/>
      <c r="G666" s="62" t="n"/>
      <c r="H666" s="62" t="n"/>
    </row>
    <row r="667" ht="21" customHeight="1">
      <c r="A667" s="61" t="n"/>
      <c r="B667" s="44">
        <f>'設定'!$I$26</f>
        <v/>
      </c>
      <c r="C667" s="62" t="n"/>
      <c r="D667" s="62" t="n"/>
      <c r="E667" s="62" t="n"/>
      <c r="F667" s="62" t="n"/>
      <c r="G667" s="62" t="n"/>
      <c r="H667" s="62" t="n"/>
    </row>
    <row r="668" ht="21" customHeight="1">
      <c r="A668" s="61" t="n"/>
      <c r="B668" s="44">
        <f>'設定'!$I$27</f>
        <v/>
      </c>
      <c r="C668" s="62" t="n"/>
      <c r="D668" s="62" t="n"/>
      <c r="E668" s="62" t="n"/>
      <c r="F668" s="62" t="n"/>
      <c r="G668" s="62" t="n"/>
      <c r="H668" s="62" t="n"/>
    </row>
    <row r="669" ht="21" customHeight="1">
      <c r="A669" s="61" t="n"/>
      <c r="B669" s="44">
        <f>'設定'!$I$28</f>
        <v/>
      </c>
      <c r="C669" s="62" t="n"/>
      <c r="D669" s="62" t="n"/>
      <c r="E669" s="62" t="n"/>
      <c r="F669" s="62" t="n"/>
      <c r="G669" s="62" t="n"/>
      <c r="H669" s="62" t="n"/>
    </row>
    <row r="670" ht="21" customHeight="1">
      <c r="A670" s="61" t="n"/>
      <c r="B670" s="44">
        <f>'設定'!$I$29</f>
        <v/>
      </c>
      <c r="C670" s="62" t="n"/>
      <c r="D670" s="62" t="n"/>
      <c r="E670" s="62" t="n"/>
      <c r="F670" s="62" t="n"/>
      <c r="G670" s="62" t="n"/>
      <c r="H670" s="62" t="n"/>
    </row>
    <row r="671" ht="21" customHeight="1">
      <c r="A671" s="61" t="n"/>
      <c r="B671" s="44">
        <f>'設定'!$I$30</f>
        <v/>
      </c>
      <c r="C671" s="62" t="n"/>
      <c r="D671" s="62" t="n"/>
      <c r="E671" s="62" t="n"/>
      <c r="F671" s="62" t="n"/>
      <c r="G671" s="62" t="n"/>
      <c r="H671" s="62" t="n"/>
    </row>
    <row r="672" ht="21" customHeight="1">
      <c r="A672" s="61" t="n"/>
      <c r="B672" s="44">
        <f>'設定'!$I$31</f>
        <v/>
      </c>
      <c r="C672" s="62" t="n"/>
      <c r="D672" s="62" t="n"/>
      <c r="E672" s="62" t="n"/>
      <c r="F672" s="62" t="n"/>
      <c r="G672" s="62" t="n"/>
      <c r="H672" s="62" t="n"/>
    </row>
    <row r="673" ht="21" customHeight="1">
      <c r="A673" s="61" t="n"/>
      <c r="B673" s="44">
        <f>'設定'!$I$32</f>
        <v/>
      </c>
      <c r="C673" s="62" t="n"/>
      <c r="D673" s="62" t="n"/>
      <c r="E673" s="62" t="n"/>
      <c r="F673" s="62" t="n"/>
      <c r="G673" s="62" t="n"/>
      <c r="H673" s="62" t="n"/>
    </row>
    <row r="674" ht="21" customHeight="1">
      <c r="A674" s="61" t="n"/>
      <c r="B674" s="44">
        <f>'設定'!$I$33</f>
        <v/>
      </c>
      <c r="C674" s="62" t="n"/>
      <c r="D674" s="62" t="n"/>
      <c r="E674" s="62" t="n"/>
      <c r="F674" s="62" t="n"/>
      <c r="G674" s="62" t="n"/>
      <c r="H674" s="62" t="n"/>
    </row>
    <row r="675" ht="21" customHeight="1">
      <c r="A675" s="61" t="n"/>
      <c r="B675" s="44">
        <f>'設定'!$I$34</f>
        <v/>
      </c>
      <c r="C675" s="62" t="n"/>
      <c r="D675" s="62" t="n"/>
      <c r="E675" s="62" t="n"/>
      <c r="F675" s="62" t="n"/>
      <c r="G675" s="62" t="n"/>
      <c r="H675" s="62" t="n"/>
    </row>
    <row r="676"/>
    <row r="677" ht="26" customHeight="1">
      <c r="B677" s="55">
        <f>IF('名簿'!B29="","（名簿 25行目：なし）",'名簿'!I29)</f>
        <v/>
      </c>
      <c r="C677" s="4" t="n"/>
      <c r="D677" s="4" t="n"/>
      <c r="E677" s="56" t="inlineStr">
        <is>
          <t>提出状況 ▶</t>
        </is>
      </c>
      <c r="F677" s="40" t="n"/>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row>
    <row r="680" ht="21" customHeight="1">
      <c r="A680" s="61" t="n"/>
      <c r="B680" s="44">
        <f>'設定'!$I$11</f>
        <v/>
      </c>
      <c r="C680" s="62" t="n"/>
      <c r="D680" s="62" t="n"/>
      <c r="E680" s="62" t="n"/>
      <c r="F680" s="62" t="n"/>
      <c r="G680" s="62" t="n"/>
      <c r="H680" s="62" t="n"/>
    </row>
    <row r="681" ht="21" customHeight="1">
      <c r="A681" s="61" t="n"/>
      <c r="B681" s="44">
        <f>'設定'!$I$12</f>
        <v/>
      </c>
      <c r="C681" s="62" t="n"/>
      <c r="D681" s="62" t="n"/>
      <c r="E681" s="62" t="n"/>
      <c r="F681" s="62" t="n"/>
      <c r="G681" s="62" t="n"/>
      <c r="H681" s="62" t="n"/>
    </row>
    <row r="682" ht="21" customHeight="1">
      <c r="A682" s="61" t="n"/>
      <c r="B682" s="44">
        <f>'設定'!$I$13</f>
        <v/>
      </c>
      <c r="C682" s="62" t="n"/>
      <c r="D682" s="62" t="n"/>
      <c r="E682" s="62" t="n"/>
      <c r="F682" s="62" t="n"/>
      <c r="G682" s="62" t="n"/>
      <c r="H682" s="62" t="n"/>
    </row>
    <row r="683" ht="21" customHeight="1">
      <c r="A683" s="61" t="n"/>
      <c r="B683" s="44">
        <f>'設定'!$I$14</f>
        <v/>
      </c>
      <c r="C683" s="62" t="n"/>
      <c r="D683" s="62" t="n"/>
      <c r="E683" s="62" t="n"/>
      <c r="F683" s="62" t="n"/>
      <c r="G683" s="62" t="n"/>
      <c r="H683" s="62" t="n"/>
    </row>
    <row r="684" ht="21" customHeight="1">
      <c r="A684" s="61" t="n"/>
      <c r="B684" s="44">
        <f>'設定'!$I$15</f>
        <v/>
      </c>
      <c r="C684" s="62" t="n"/>
      <c r="D684" s="62" t="n"/>
      <c r="E684" s="62" t="n"/>
      <c r="F684" s="62" t="n"/>
      <c r="G684" s="62" t="n"/>
      <c r="H684" s="62" t="n"/>
    </row>
    <row r="685" ht="21" customHeight="1">
      <c r="A685" s="61" t="n"/>
      <c r="B685" s="44">
        <f>'設定'!$I$16</f>
        <v/>
      </c>
      <c r="C685" s="62" t="n"/>
      <c r="D685" s="62" t="n"/>
      <c r="E685" s="62" t="n"/>
      <c r="F685" s="62" t="n"/>
      <c r="G685" s="62" t="n"/>
      <c r="H685" s="62" t="n"/>
    </row>
    <row r="686" ht="21" customHeight="1">
      <c r="A686" s="61" t="n"/>
      <c r="B686" s="44">
        <f>'設定'!$I$17</f>
        <v/>
      </c>
      <c r="C686" s="62" t="n"/>
      <c r="D686" s="62" t="n"/>
      <c r="E686" s="62" t="n"/>
      <c r="F686" s="62" t="n"/>
      <c r="G686" s="62" t="n"/>
      <c r="H686" s="62" t="n"/>
    </row>
    <row r="687" ht="21" customHeight="1">
      <c r="A687" s="61" t="n"/>
      <c r="B687" s="44">
        <f>'設定'!$I$18</f>
        <v/>
      </c>
      <c r="C687" s="62" t="n"/>
      <c r="D687" s="62" t="n"/>
      <c r="E687" s="62" t="n"/>
      <c r="F687" s="62" t="n"/>
      <c r="G687" s="62" t="n"/>
      <c r="H687" s="62" t="n"/>
    </row>
    <row r="688" ht="21" customHeight="1">
      <c r="A688" s="61" t="n"/>
      <c r="B688" s="44">
        <f>'設定'!$I$19</f>
        <v/>
      </c>
      <c r="C688" s="62" t="n"/>
      <c r="D688" s="62" t="n"/>
      <c r="E688" s="62" t="n"/>
      <c r="F688" s="62" t="n"/>
      <c r="G688" s="62" t="n"/>
      <c r="H688" s="62" t="n"/>
    </row>
    <row r="689" ht="21" customHeight="1">
      <c r="A689" s="61" t="n"/>
      <c r="B689" s="44">
        <f>'設定'!$I$20</f>
        <v/>
      </c>
      <c r="C689" s="62" t="n"/>
      <c r="D689" s="62" t="n"/>
      <c r="E689" s="62" t="n"/>
      <c r="F689" s="62" t="n"/>
      <c r="G689" s="62" t="n"/>
      <c r="H689" s="62" t="n"/>
    </row>
    <row r="690" ht="21" customHeight="1">
      <c r="A690" s="61" t="n"/>
      <c r="B690" s="44">
        <f>'設定'!$I$21</f>
        <v/>
      </c>
      <c r="C690" s="62" t="n"/>
      <c r="D690" s="62" t="n"/>
      <c r="E690" s="62" t="n"/>
      <c r="F690" s="62" t="n"/>
      <c r="G690" s="62" t="n"/>
      <c r="H690" s="62" t="n"/>
    </row>
    <row r="691" ht="21" customHeight="1">
      <c r="A691" s="61" t="n"/>
      <c r="B691" s="44">
        <f>'設定'!$I$22</f>
        <v/>
      </c>
      <c r="C691" s="62" t="n"/>
      <c r="D691" s="62" t="n"/>
      <c r="E691" s="62" t="n"/>
      <c r="F691" s="62" t="n"/>
      <c r="G691" s="62" t="n"/>
      <c r="H691" s="62" t="n"/>
    </row>
    <row r="692" ht="21" customHeight="1">
      <c r="A692" s="61" t="n"/>
      <c r="B692" s="44">
        <f>'設定'!$I$23</f>
        <v/>
      </c>
      <c r="C692" s="62" t="n"/>
      <c r="D692" s="62" t="n"/>
      <c r="E692" s="62" t="n"/>
      <c r="F692" s="62" t="n"/>
      <c r="G692" s="62" t="n"/>
      <c r="H692" s="62" t="n"/>
    </row>
    <row r="693" ht="21" customHeight="1">
      <c r="A693" s="61" t="n"/>
      <c r="B693" s="44">
        <f>'設定'!$I$24</f>
        <v/>
      </c>
      <c r="C693" s="62" t="n"/>
      <c r="D693" s="62" t="n"/>
      <c r="E693" s="62" t="n"/>
      <c r="F693" s="62" t="n"/>
      <c r="G693" s="62" t="n"/>
      <c r="H693" s="62" t="n"/>
    </row>
    <row r="694" ht="21" customHeight="1">
      <c r="A694" s="61" t="n"/>
      <c r="B694" s="44">
        <f>'設定'!$I$25</f>
        <v/>
      </c>
      <c r="C694" s="62" t="n"/>
      <c r="D694" s="62" t="n"/>
      <c r="E694" s="62" t="n"/>
      <c r="F694" s="62" t="n"/>
      <c r="G694" s="62" t="n"/>
      <c r="H694" s="62" t="n"/>
    </row>
    <row r="695" ht="21" customHeight="1">
      <c r="A695" s="61" t="n"/>
      <c r="B695" s="44">
        <f>'設定'!$I$26</f>
        <v/>
      </c>
      <c r="C695" s="62" t="n"/>
      <c r="D695" s="62" t="n"/>
      <c r="E695" s="62" t="n"/>
      <c r="F695" s="62" t="n"/>
      <c r="G695" s="62" t="n"/>
      <c r="H695" s="62" t="n"/>
    </row>
    <row r="696" ht="21" customHeight="1">
      <c r="A696" s="61" t="n"/>
      <c r="B696" s="44">
        <f>'設定'!$I$27</f>
        <v/>
      </c>
      <c r="C696" s="62" t="n"/>
      <c r="D696" s="62" t="n"/>
      <c r="E696" s="62" t="n"/>
      <c r="F696" s="62" t="n"/>
      <c r="G696" s="62" t="n"/>
      <c r="H696" s="62" t="n"/>
    </row>
    <row r="697" ht="21" customHeight="1">
      <c r="A697" s="61" t="n"/>
      <c r="B697" s="44">
        <f>'設定'!$I$28</f>
        <v/>
      </c>
      <c r="C697" s="62" t="n"/>
      <c r="D697" s="62" t="n"/>
      <c r="E697" s="62" t="n"/>
      <c r="F697" s="62" t="n"/>
      <c r="G697" s="62" t="n"/>
      <c r="H697" s="62" t="n"/>
    </row>
    <row r="698" ht="21" customHeight="1">
      <c r="A698" s="61" t="n"/>
      <c r="B698" s="44">
        <f>'設定'!$I$29</f>
        <v/>
      </c>
      <c r="C698" s="62" t="n"/>
      <c r="D698" s="62" t="n"/>
      <c r="E698" s="62" t="n"/>
      <c r="F698" s="62" t="n"/>
      <c r="G698" s="62" t="n"/>
      <c r="H698" s="62" t="n"/>
    </row>
    <row r="699" ht="21" customHeight="1">
      <c r="A699" s="61" t="n"/>
      <c r="B699" s="44">
        <f>'設定'!$I$30</f>
        <v/>
      </c>
      <c r="C699" s="62" t="n"/>
      <c r="D699" s="62" t="n"/>
      <c r="E699" s="62" t="n"/>
      <c r="F699" s="62" t="n"/>
      <c r="G699" s="62" t="n"/>
      <c r="H699" s="62" t="n"/>
    </row>
    <row r="700" ht="21" customHeight="1">
      <c r="A700" s="61" t="n"/>
      <c r="B700" s="44">
        <f>'設定'!$I$31</f>
        <v/>
      </c>
      <c r="C700" s="62" t="n"/>
      <c r="D700" s="62" t="n"/>
      <c r="E700" s="62" t="n"/>
      <c r="F700" s="62" t="n"/>
      <c r="G700" s="62" t="n"/>
      <c r="H700" s="62" t="n"/>
    </row>
    <row r="701" ht="21" customHeight="1">
      <c r="A701" s="61" t="n"/>
      <c r="B701" s="44">
        <f>'設定'!$I$32</f>
        <v/>
      </c>
      <c r="C701" s="62" t="n"/>
      <c r="D701" s="62" t="n"/>
      <c r="E701" s="62" t="n"/>
      <c r="F701" s="62" t="n"/>
      <c r="G701" s="62" t="n"/>
      <c r="H701" s="62" t="n"/>
    </row>
    <row r="702" ht="21" customHeight="1">
      <c r="A702" s="61" t="n"/>
      <c r="B702" s="44">
        <f>'設定'!$I$33</f>
        <v/>
      </c>
      <c r="C702" s="62" t="n"/>
      <c r="D702" s="62" t="n"/>
      <c r="E702" s="62" t="n"/>
      <c r="F702" s="62" t="n"/>
      <c r="G702" s="62" t="n"/>
      <c r="H702" s="62" t="n"/>
    </row>
    <row r="703" ht="21" customHeight="1">
      <c r="A703" s="61" t="n"/>
      <c r="B703" s="44">
        <f>'設定'!$I$34</f>
        <v/>
      </c>
      <c r="C703" s="62" t="n"/>
      <c r="D703" s="62" t="n"/>
      <c r="E703" s="62" t="n"/>
      <c r="F703" s="62" t="n"/>
      <c r="G703" s="62" t="n"/>
      <c r="H703" s="62" t="n"/>
    </row>
    <row r="704"/>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row>
    <row r="708" ht="21" customHeight="1">
      <c r="A708" s="61" t="n"/>
      <c r="B708" s="44">
        <f>'設定'!$I$11</f>
        <v/>
      </c>
      <c r="C708" s="62" t="n"/>
      <c r="D708" s="62" t="n"/>
      <c r="E708" s="62" t="n"/>
      <c r="F708" s="62" t="n"/>
      <c r="G708" s="62" t="n"/>
      <c r="H708" s="62" t="n"/>
    </row>
    <row r="709" ht="21" customHeight="1">
      <c r="A709" s="61" t="n"/>
      <c r="B709" s="44">
        <f>'設定'!$I$12</f>
        <v/>
      </c>
      <c r="C709" s="62" t="n"/>
      <c r="D709" s="62" t="n"/>
      <c r="E709" s="62" t="n"/>
      <c r="F709" s="62" t="n"/>
      <c r="G709" s="62" t="n"/>
      <c r="H709" s="62" t="n"/>
    </row>
    <row r="710" ht="21" customHeight="1">
      <c r="A710" s="61" t="n"/>
      <c r="B710" s="44">
        <f>'設定'!$I$13</f>
        <v/>
      </c>
      <c r="C710" s="62" t="n"/>
      <c r="D710" s="62" t="n"/>
      <c r="E710" s="62" t="n"/>
      <c r="F710" s="62" t="n"/>
      <c r="G710" s="62" t="n"/>
      <c r="H710" s="62" t="n"/>
    </row>
    <row r="711" ht="21" customHeight="1">
      <c r="A711" s="61" t="n"/>
      <c r="B711" s="44">
        <f>'設定'!$I$14</f>
        <v/>
      </c>
      <c r="C711" s="62" t="n"/>
      <c r="D711" s="62" t="n"/>
      <c r="E711" s="62" t="n"/>
      <c r="F711" s="62" t="n"/>
      <c r="G711" s="62" t="n"/>
      <c r="H711" s="62" t="n"/>
    </row>
    <row r="712" ht="21" customHeight="1">
      <c r="A712" s="61" t="n"/>
      <c r="B712" s="44">
        <f>'設定'!$I$15</f>
        <v/>
      </c>
      <c r="C712" s="62" t="n"/>
      <c r="D712" s="62" t="n"/>
      <c r="E712" s="62" t="n"/>
      <c r="F712" s="62" t="n"/>
      <c r="G712" s="62" t="n"/>
      <c r="H712" s="62" t="n"/>
    </row>
    <row r="713" ht="21" customHeight="1">
      <c r="A713" s="61" t="n"/>
      <c r="B713" s="44">
        <f>'設定'!$I$16</f>
        <v/>
      </c>
      <c r="C713" s="62" t="n"/>
      <c r="D713" s="62" t="n"/>
      <c r="E713" s="62" t="n"/>
      <c r="F713" s="62" t="n"/>
      <c r="G713" s="62" t="n"/>
      <c r="H713" s="62" t="n"/>
    </row>
    <row r="714" ht="21" customHeight="1">
      <c r="A714" s="61" t="n"/>
      <c r="B714" s="44">
        <f>'設定'!$I$17</f>
        <v/>
      </c>
      <c r="C714" s="62" t="n"/>
      <c r="D714" s="62" t="n"/>
      <c r="E714" s="62" t="n"/>
      <c r="F714" s="62" t="n"/>
      <c r="G714" s="62" t="n"/>
      <c r="H714" s="62" t="n"/>
    </row>
    <row r="715" ht="21" customHeight="1">
      <c r="A715" s="61" t="n"/>
      <c r="B715" s="44">
        <f>'設定'!$I$18</f>
        <v/>
      </c>
      <c r="C715" s="62" t="n"/>
      <c r="D715" s="62" t="n"/>
      <c r="E715" s="62" t="n"/>
      <c r="F715" s="62" t="n"/>
      <c r="G715" s="62" t="n"/>
      <c r="H715" s="62" t="n"/>
    </row>
    <row r="716" ht="21" customHeight="1">
      <c r="A716" s="61" t="n"/>
      <c r="B716" s="44">
        <f>'設定'!$I$19</f>
        <v/>
      </c>
      <c r="C716" s="62" t="n"/>
      <c r="D716" s="62" t="n"/>
      <c r="E716" s="62" t="n"/>
      <c r="F716" s="62" t="n"/>
      <c r="G716" s="62" t="n"/>
      <c r="H716" s="62" t="n"/>
    </row>
    <row r="717" ht="21" customHeight="1">
      <c r="A717" s="61" t="n"/>
      <c r="B717" s="44">
        <f>'設定'!$I$20</f>
        <v/>
      </c>
      <c r="C717" s="62" t="n"/>
      <c r="D717" s="62" t="n"/>
      <c r="E717" s="62" t="n"/>
      <c r="F717" s="62" t="n"/>
      <c r="G717" s="62" t="n"/>
      <c r="H717" s="62" t="n"/>
    </row>
    <row r="718" ht="21" customHeight="1">
      <c r="A718" s="61" t="n"/>
      <c r="B718" s="44">
        <f>'設定'!$I$21</f>
        <v/>
      </c>
      <c r="C718" s="62" t="n"/>
      <c r="D718" s="62" t="n"/>
      <c r="E718" s="62" t="n"/>
      <c r="F718" s="62" t="n"/>
      <c r="G718" s="62" t="n"/>
      <c r="H718" s="62" t="n"/>
    </row>
    <row r="719" ht="21" customHeight="1">
      <c r="A719" s="61" t="n"/>
      <c r="B719" s="44">
        <f>'設定'!$I$22</f>
        <v/>
      </c>
      <c r="C719" s="62" t="n"/>
      <c r="D719" s="62" t="n"/>
      <c r="E719" s="62" t="n"/>
      <c r="F719" s="62" t="n"/>
      <c r="G719" s="62" t="n"/>
      <c r="H719" s="62" t="n"/>
    </row>
    <row r="720" ht="21" customHeight="1">
      <c r="A720" s="61" t="n"/>
      <c r="B720" s="44">
        <f>'設定'!$I$23</f>
        <v/>
      </c>
      <c r="C720" s="62" t="n"/>
      <c r="D720" s="62" t="n"/>
      <c r="E720" s="62" t="n"/>
      <c r="F720" s="62" t="n"/>
      <c r="G720" s="62" t="n"/>
      <c r="H720" s="62" t="n"/>
    </row>
    <row r="721" ht="21" customHeight="1">
      <c r="A721" s="61" t="n"/>
      <c r="B721" s="44">
        <f>'設定'!$I$24</f>
        <v/>
      </c>
      <c r="C721" s="62" t="n"/>
      <c r="D721" s="62" t="n"/>
      <c r="E721" s="62" t="n"/>
      <c r="F721" s="62" t="n"/>
      <c r="G721" s="62" t="n"/>
      <c r="H721" s="62" t="n"/>
    </row>
    <row r="722" ht="21" customHeight="1">
      <c r="A722" s="61" t="n"/>
      <c r="B722" s="44">
        <f>'設定'!$I$25</f>
        <v/>
      </c>
      <c r="C722" s="62" t="n"/>
      <c r="D722" s="62" t="n"/>
      <c r="E722" s="62" t="n"/>
      <c r="F722" s="62" t="n"/>
      <c r="G722" s="62" t="n"/>
      <c r="H722" s="62" t="n"/>
    </row>
    <row r="723" ht="21" customHeight="1">
      <c r="A723" s="61" t="n"/>
      <c r="B723" s="44">
        <f>'設定'!$I$26</f>
        <v/>
      </c>
      <c r="C723" s="62" t="n"/>
      <c r="D723" s="62" t="n"/>
      <c r="E723" s="62" t="n"/>
      <c r="F723" s="62" t="n"/>
      <c r="G723" s="62" t="n"/>
      <c r="H723" s="62" t="n"/>
    </row>
    <row r="724" ht="21" customHeight="1">
      <c r="A724" s="61" t="n"/>
      <c r="B724" s="44">
        <f>'設定'!$I$27</f>
        <v/>
      </c>
      <c r="C724" s="62" t="n"/>
      <c r="D724" s="62" t="n"/>
      <c r="E724" s="62" t="n"/>
      <c r="F724" s="62" t="n"/>
      <c r="G724" s="62" t="n"/>
      <c r="H724" s="62" t="n"/>
    </row>
    <row r="725" ht="21" customHeight="1">
      <c r="A725" s="61" t="n"/>
      <c r="B725" s="44">
        <f>'設定'!$I$28</f>
        <v/>
      </c>
      <c r="C725" s="62" t="n"/>
      <c r="D725" s="62" t="n"/>
      <c r="E725" s="62" t="n"/>
      <c r="F725" s="62" t="n"/>
      <c r="G725" s="62" t="n"/>
      <c r="H725" s="62" t="n"/>
    </row>
    <row r="726" ht="21" customHeight="1">
      <c r="A726" s="61" t="n"/>
      <c r="B726" s="44">
        <f>'設定'!$I$29</f>
        <v/>
      </c>
      <c r="C726" s="62" t="n"/>
      <c r="D726" s="62" t="n"/>
      <c r="E726" s="62" t="n"/>
      <c r="F726" s="62" t="n"/>
      <c r="G726" s="62" t="n"/>
      <c r="H726" s="62" t="n"/>
    </row>
    <row r="727" ht="21" customHeight="1">
      <c r="A727" s="61" t="n"/>
      <c r="B727" s="44">
        <f>'設定'!$I$30</f>
        <v/>
      </c>
      <c r="C727" s="62" t="n"/>
      <c r="D727" s="62" t="n"/>
      <c r="E727" s="62" t="n"/>
      <c r="F727" s="62" t="n"/>
      <c r="G727" s="62" t="n"/>
      <c r="H727" s="62" t="n"/>
    </row>
    <row r="728" ht="21" customHeight="1">
      <c r="A728" s="61" t="n"/>
      <c r="B728" s="44">
        <f>'設定'!$I$31</f>
        <v/>
      </c>
      <c r="C728" s="62" t="n"/>
      <c r="D728" s="62" t="n"/>
      <c r="E728" s="62" t="n"/>
      <c r="F728" s="62" t="n"/>
      <c r="G728" s="62" t="n"/>
      <c r="H728" s="62" t="n"/>
    </row>
    <row r="729" ht="21" customHeight="1">
      <c r="A729" s="61" t="n"/>
      <c r="B729" s="44">
        <f>'設定'!$I$32</f>
        <v/>
      </c>
      <c r="C729" s="62" t="n"/>
      <c r="D729" s="62" t="n"/>
      <c r="E729" s="62" t="n"/>
      <c r="F729" s="62" t="n"/>
      <c r="G729" s="62" t="n"/>
      <c r="H729" s="62" t="n"/>
    </row>
    <row r="730" ht="21" customHeight="1">
      <c r="A730" s="61" t="n"/>
      <c r="B730" s="44">
        <f>'設定'!$I$33</f>
        <v/>
      </c>
      <c r="C730" s="62" t="n"/>
      <c r="D730" s="62" t="n"/>
      <c r="E730" s="62" t="n"/>
      <c r="F730" s="62" t="n"/>
      <c r="G730" s="62" t="n"/>
      <c r="H730" s="62" t="n"/>
    </row>
    <row r="731" ht="21" customHeight="1">
      <c r="A731" s="61" t="n"/>
      <c r="B731" s="44">
        <f>'設定'!$I$34</f>
        <v/>
      </c>
      <c r="C731" s="62" t="n"/>
      <c r="D731" s="62" t="n"/>
      <c r="E731" s="62" t="n"/>
      <c r="F731" s="62" t="n"/>
      <c r="G731" s="62" t="n"/>
      <c r="H731" s="62" t="n"/>
    </row>
    <row r="732"/>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row>
    <row r="736" ht="21" customHeight="1">
      <c r="A736" s="61" t="n"/>
      <c r="B736" s="44">
        <f>'設定'!$I$11</f>
        <v/>
      </c>
      <c r="C736" s="62" t="n"/>
      <c r="D736" s="62" t="n"/>
      <c r="E736" s="62" t="n"/>
      <c r="F736" s="62" t="n"/>
      <c r="G736" s="62" t="n"/>
      <c r="H736" s="62" t="n"/>
    </row>
    <row r="737" ht="21" customHeight="1">
      <c r="A737" s="61" t="n"/>
      <c r="B737" s="44">
        <f>'設定'!$I$12</f>
        <v/>
      </c>
      <c r="C737" s="62" t="n"/>
      <c r="D737" s="62" t="n"/>
      <c r="E737" s="62" t="n"/>
      <c r="F737" s="62" t="n"/>
      <c r="G737" s="62" t="n"/>
      <c r="H737" s="62" t="n"/>
    </row>
    <row r="738" ht="21" customHeight="1">
      <c r="A738" s="61" t="n"/>
      <c r="B738" s="44">
        <f>'設定'!$I$13</f>
        <v/>
      </c>
      <c r="C738" s="62" t="n"/>
      <c r="D738" s="62" t="n"/>
      <c r="E738" s="62" t="n"/>
      <c r="F738" s="62" t="n"/>
      <c r="G738" s="62" t="n"/>
      <c r="H738" s="62" t="n"/>
    </row>
    <row r="739" ht="21" customHeight="1">
      <c r="A739" s="61" t="n"/>
      <c r="B739" s="44">
        <f>'設定'!$I$14</f>
        <v/>
      </c>
      <c r="C739" s="62" t="n"/>
      <c r="D739" s="62" t="n"/>
      <c r="E739" s="62" t="n"/>
      <c r="F739" s="62" t="n"/>
      <c r="G739" s="62" t="n"/>
      <c r="H739" s="62" t="n"/>
    </row>
    <row r="740" ht="21" customHeight="1">
      <c r="A740" s="61" t="n"/>
      <c r="B740" s="44">
        <f>'設定'!$I$15</f>
        <v/>
      </c>
      <c r="C740" s="62" t="n"/>
      <c r="D740" s="62" t="n"/>
      <c r="E740" s="62" t="n"/>
      <c r="F740" s="62" t="n"/>
      <c r="G740" s="62" t="n"/>
      <c r="H740" s="62" t="n"/>
    </row>
    <row r="741" ht="21" customHeight="1">
      <c r="A741" s="61" t="n"/>
      <c r="B741" s="44">
        <f>'設定'!$I$16</f>
        <v/>
      </c>
      <c r="C741" s="62" t="n"/>
      <c r="D741" s="62" t="n"/>
      <c r="E741" s="62" t="n"/>
      <c r="F741" s="62" t="n"/>
      <c r="G741" s="62" t="n"/>
      <c r="H741" s="62" t="n"/>
    </row>
    <row r="742" ht="21" customHeight="1">
      <c r="A742" s="61" t="n"/>
      <c r="B742" s="44">
        <f>'設定'!$I$17</f>
        <v/>
      </c>
      <c r="C742" s="62" t="n"/>
      <c r="D742" s="62" t="n"/>
      <c r="E742" s="62" t="n"/>
      <c r="F742" s="62" t="n"/>
      <c r="G742" s="62" t="n"/>
      <c r="H742" s="62" t="n"/>
    </row>
    <row r="743" ht="21" customHeight="1">
      <c r="A743" s="61" t="n"/>
      <c r="B743" s="44">
        <f>'設定'!$I$18</f>
        <v/>
      </c>
      <c r="C743" s="62" t="n"/>
      <c r="D743" s="62" t="n"/>
      <c r="E743" s="62" t="n"/>
      <c r="F743" s="62" t="n"/>
      <c r="G743" s="62" t="n"/>
      <c r="H743" s="62" t="n"/>
    </row>
    <row r="744" ht="21" customHeight="1">
      <c r="A744" s="61" t="n"/>
      <c r="B744" s="44">
        <f>'設定'!$I$19</f>
        <v/>
      </c>
      <c r="C744" s="62" t="n"/>
      <c r="D744" s="62" t="n"/>
      <c r="E744" s="62" t="n"/>
      <c r="F744" s="62" t="n"/>
      <c r="G744" s="62" t="n"/>
      <c r="H744" s="62" t="n"/>
    </row>
    <row r="745" ht="21" customHeight="1">
      <c r="A745" s="61" t="n"/>
      <c r="B745" s="44">
        <f>'設定'!$I$20</f>
        <v/>
      </c>
      <c r="C745" s="62" t="n"/>
      <c r="D745" s="62" t="n"/>
      <c r="E745" s="62" t="n"/>
      <c r="F745" s="62" t="n"/>
      <c r="G745" s="62" t="n"/>
      <c r="H745" s="62" t="n"/>
    </row>
    <row r="746" ht="21" customHeight="1">
      <c r="A746" s="61" t="n"/>
      <c r="B746" s="44">
        <f>'設定'!$I$21</f>
        <v/>
      </c>
      <c r="C746" s="62" t="n"/>
      <c r="D746" s="62" t="n"/>
      <c r="E746" s="62" t="n"/>
      <c r="F746" s="62" t="n"/>
      <c r="G746" s="62" t="n"/>
      <c r="H746" s="62" t="n"/>
    </row>
    <row r="747" ht="21" customHeight="1">
      <c r="A747" s="61" t="n"/>
      <c r="B747" s="44">
        <f>'設定'!$I$22</f>
        <v/>
      </c>
      <c r="C747" s="62" t="n"/>
      <c r="D747" s="62" t="n"/>
      <c r="E747" s="62" t="n"/>
      <c r="F747" s="62" t="n"/>
      <c r="G747" s="62" t="n"/>
      <c r="H747" s="62" t="n"/>
    </row>
    <row r="748" ht="21" customHeight="1">
      <c r="A748" s="61" t="n"/>
      <c r="B748" s="44">
        <f>'設定'!$I$23</f>
        <v/>
      </c>
      <c r="C748" s="62" t="n"/>
      <c r="D748" s="62" t="n"/>
      <c r="E748" s="62" t="n"/>
      <c r="F748" s="62" t="n"/>
      <c r="G748" s="62" t="n"/>
      <c r="H748" s="62" t="n"/>
    </row>
    <row r="749" ht="21" customHeight="1">
      <c r="A749" s="61" t="n"/>
      <c r="B749" s="44">
        <f>'設定'!$I$24</f>
        <v/>
      </c>
      <c r="C749" s="62" t="n"/>
      <c r="D749" s="62" t="n"/>
      <c r="E749" s="62" t="n"/>
      <c r="F749" s="62" t="n"/>
      <c r="G749" s="62" t="n"/>
      <c r="H749" s="62" t="n"/>
    </row>
    <row r="750" ht="21" customHeight="1">
      <c r="A750" s="61" t="n"/>
      <c r="B750" s="44">
        <f>'設定'!$I$25</f>
        <v/>
      </c>
      <c r="C750" s="62" t="n"/>
      <c r="D750" s="62" t="n"/>
      <c r="E750" s="62" t="n"/>
      <c r="F750" s="62" t="n"/>
      <c r="G750" s="62" t="n"/>
      <c r="H750" s="62" t="n"/>
    </row>
    <row r="751" ht="21" customHeight="1">
      <c r="A751" s="61" t="n"/>
      <c r="B751" s="44">
        <f>'設定'!$I$26</f>
        <v/>
      </c>
      <c r="C751" s="62" t="n"/>
      <c r="D751" s="62" t="n"/>
      <c r="E751" s="62" t="n"/>
      <c r="F751" s="62" t="n"/>
      <c r="G751" s="62" t="n"/>
      <c r="H751" s="62" t="n"/>
    </row>
    <row r="752" ht="21" customHeight="1">
      <c r="A752" s="61" t="n"/>
      <c r="B752" s="44">
        <f>'設定'!$I$27</f>
        <v/>
      </c>
      <c r="C752" s="62" t="n"/>
      <c r="D752" s="62" t="n"/>
      <c r="E752" s="62" t="n"/>
      <c r="F752" s="62" t="n"/>
      <c r="G752" s="62" t="n"/>
      <c r="H752" s="62" t="n"/>
    </row>
    <row r="753" ht="21" customHeight="1">
      <c r="A753" s="61" t="n"/>
      <c r="B753" s="44">
        <f>'設定'!$I$28</f>
        <v/>
      </c>
      <c r="C753" s="62" t="n"/>
      <c r="D753" s="62" t="n"/>
      <c r="E753" s="62" t="n"/>
      <c r="F753" s="62" t="n"/>
      <c r="G753" s="62" t="n"/>
      <c r="H753" s="62" t="n"/>
    </row>
    <row r="754" ht="21" customHeight="1">
      <c r="A754" s="61" t="n"/>
      <c r="B754" s="44">
        <f>'設定'!$I$29</f>
        <v/>
      </c>
      <c r="C754" s="62" t="n"/>
      <c r="D754" s="62" t="n"/>
      <c r="E754" s="62" t="n"/>
      <c r="F754" s="62" t="n"/>
      <c r="G754" s="62" t="n"/>
      <c r="H754" s="62" t="n"/>
    </row>
    <row r="755" ht="21" customHeight="1">
      <c r="A755" s="61" t="n"/>
      <c r="B755" s="44">
        <f>'設定'!$I$30</f>
        <v/>
      </c>
      <c r="C755" s="62" t="n"/>
      <c r="D755" s="62" t="n"/>
      <c r="E755" s="62" t="n"/>
      <c r="F755" s="62" t="n"/>
      <c r="G755" s="62" t="n"/>
      <c r="H755" s="62" t="n"/>
    </row>
    <row r="756" ht="21" customHeight="1">
      <c r="A756" s="61" t="n"/>
      <c r="B756" s="44">
        <f>'設定'!$I$31</f>
        <v/>
      </c>
      <c r="C756" s="62" t="n"/>
      <c r="D756" s="62" t="n"/>
      <c r="E756" s="62" t="n"/>
      <c r="F756" s="62" t="n"/>
      <c r="G756" s="62" t="n"/>
      <c r="H756" s="62" t="n"/>
    </row>
    <row r="757" ht="21" customHeight="1">
      <c r="A757" s="61" t="n"/>
      <c r="B757" s="44">
        <f>'設定'!$I$32</f>
        <v/>
      </c>
      <c r="C757" s="62" t="n"/>
      <c r="D757" s="62" t="n"/>
      <c r="E757" s="62" t="n"/>
      <c r="F757" s="62" t="n"/>
      <c r="G757" s="62" t="n"/>
      <c r="H757" s="62" t="n"/>
    </row>
    <row r="758" ht="21" customHeight="1">
      <c r="A758" s="61" t="n"/>
      <c r="B758" s="44">
        <f>'設定'!$I$33</f>
        <v/>
      </c>
      <c r="C758" s="62" t="n"/>
      <c r="D758" s="62" t="n"/>
      <c r="E758" s="62" t="n"/>
      <c r="F758" s="62" t="n"/>
      <c r="G758" s="62" t="n"/>
      <c r="H758" s="62" t="n"/>
    </row>
    <row r="759" ht="21" customHeight="1">
      <c r="A759" s="61" t="n"/>
      <c r="B759" s="44">
        <f>'設定'!$I$34</f>
        <v/>
      </c>
      <c r="C759" s="62" t="n"/>
      <c r="D759" s="62" t="n"/>
      <c r="E759" s="62" t="n"/>
      <c r="F759" s="62" t="n"/>
      <c r="G759" s="62" t="n"/>
      <c r="H759" s="62" t="n"/>
    </row>
    <row r="760"/>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row>
    <row r="764" ht="21" customHeight="1">
      <c r="A764" s="61" t="n"/>
      <c r="B764" s="44">
        <f>'設定'!$I$11</f>
        <v/>
      </c>
      <c r="C764" s="62" t="n"/>
      <c r="D764" s="62" t="n"/>
      <c r="E764" s="62" t="n"/>
      <c r="F764" s="62" t="n"/>
      <c r="G764" s="62" t="n"/>
      <c r="H764" s="62" t="n"/>
    </row>
    <row r="765" ht="21" customHeight="1">
      <c r="A765" s="61" t="n"/>
      <c r="B765" s="44">
        <f>'設定'!$I$12</f>
        <v/>
      </c>
      <c r="C765" s="62" t="n"/>
      <c r="D765" s="62" t="n"/>
      <c r="E765" s="62" t="n"/>
      <c r="F765" s="62" t="n"/>
      <c r="G765" s="62" t="n"/>
      <c r="H765" s="62" t="n"/>
    </row>
    <row r="766" ht="21" customHeight="1">
      <c r="A766" s="61" t="n"/>
      <c r="B766" s="44">
        <f>'設定'!$I$13</f>
        <v/>
      </c>
      <c r="C766" s="62" t="n"/>
      <c r="D766" s="62" t="n"/>
      <c r="E766" s="62" t="n"/>
      <c r="F766" s="62" t="n"/>
      <c r="G766" s="62" t="n"/>
      <c r="H766" s="62" t="n"/>
    </row>
    <row r="767" ht="21" customHeight="1">
      <c r="A767" s="61" t="n"/>
      <c r="B767" s="44">
        <f>'設定'!$I$14</f>
        <v/>
      </c>
      <c r="C767" s="62" t="n"/>
      <c r="D767" s="62" t="n"/>
      <c r="E767" s="62" t="n"/>
      <c r="F767" s="62" t="n"/>
      <c r="G767" s="62" t="n"/>
      <c r="H767" s="62" t="n"/>
    </row>
    <row r="768" ht="21" customHeight="1">
      <c r="A768" s="61" t="n"/>
      <c r="B768" s="44">
        <f>'設定'!$I$15</f>
        <v/>
      </c>
      <c r="C768" s="62" t="n"/>
      <c r="D768" s="62" t="n"/>
      <c r="E768" s="62" t="n"/>
      <c r="F768" s="62" t="n"/>
      <c r="G768" s="62" t="n"/>
      <c r="H768" s="62" t="n"/>
    </row>
    <row r="769" ht="21" customHeight="1">
      <c r="A769" s="61" t="n"/>
      <c r="B769" s="44">
        <f>'設定'!$I$16</f>
        <v/>
      </c>
      <c r="C769" s="62" t="n"/>
      <c r="D769" s="62" t="n"/>
      <c r="E769" s="62" t="n"/>
      <c r="F769" s="62" t="n"/>
      <c r="G769" s="62" t="n"/>
      <c r="H769" s="62" t="n"/>
    </row>
    <row r="770" ht="21" customHeight="1">
      <c r="A770" s="61" t="n"/>
      <c r="B770" s="44">
        <f>'設定'!$I$17</f>
        <v/>
      </c>
      <c r="C770" s="62" t="n"/>
      <c r="D770" s="62" t="n"/>
      <c r="E770" s="62" t="n"/>
      <c r="F770" s="62" t="n"/>
      <c r="G770" s="62" t="n"/>
      <c r="H770" s="62" t="n"/>
    </row>
    <row r="771" ht="21" customHeight="1">
      <c r="A771" s="61" t="n"/>
      <c r="B771" s="44">
        <f>'設定'!$I$18</f>
        <v/>
      </c>
      <c r="C771" s="62" t="n"/>
      <c r="D771" s="62" t="n"/>
      <c r="E771" s="62" t="n"/>
      <c r="F771" s="62" t="n"/>
      <c r="G771" s="62" t="n"/>
      <c r="H771" s="62" t="n"/>
    </row>
    <row r="772" ht="21" customHeight="1">
      <c r="A772" s="61" t="n"/>
      <c r="B772" s="44">
        <f>'設定'!$I$19</f>
        <v/>
      </c>
      <c r="C772" s="62" t="n"/>
      <c r="D772" s="62" t="n"/>
      <c r="E772" s="62" t="n"/>
      <c r="F772" s="62" t="n"/>
      <c r="G772" s="62" t="n"/>
      <c r="H772" s="62" t="n"/>
    </row>
    <row r="773" ht="21" customHeight="1">
      <c r="A773" s="61" t="n"/>
      <c r="B773" s="44">
        <f>'設定'!$I$20</f>
        <v/>
      </c>
      <c r="C773" s="62" t="n"/>
      <c r="D773" s="62" t="n"/>
      <c r="E773" s="62" t="n"/>
      <c r="F773" s="62" t="n"/>
      <c r="G773" s="62" t="n"/>
      <c r="H773" s="62" t="n"/>
    </row>
    <row r="774" ht="21" customHeight="1">
      <c r="A774" s="61" t="n"/>
      <c r="B774" s="44">
        <f>'設定'!$I$21</f>
        <v/>
      </c>
      <c r="C774" s="62" t="n"/>
      <c r="D774" s="62" t="n"/>
      <c r="E774" s="62" t="n"/>
      <c r="F774" s="62" t="n"/>
      <c r="G774" s="62" t="n"/>
      <c r="H774" s="62" t="n"/>
    </row>
    <row r="775" ht="21" customHeight="1">
      <c r="A775" s="61" t="n"/>
      <c r="B775" s="44">
        <f>'設定'!$I$22</f>
        <v/>
      </c>
      <c r="C775" s="62" t="n"/>
      <c r="D775" s="62" t="n"/>
      <c r="E775" s="62" t="n"/>
      <c r="F775" s="62" t="n"/>
      <c r="G775" s="62" t="n"/>
      <c r="H775" s="62" t="n"/>
    </row>
    <row r="776" ht="21" customHeight="1">
      <c r="A776" s="61" t="n"/>
      <c r="B776" s="44">
        <f>'設定'!$I$23</f>
        <v/>
      </c>
      <c r="C776" s="62" t="n"/>
      <c r="D776" s="62" t="n"/>
      <c r="E776" s="62" t="n"/>
      <c r="F776" s="62" t="n"/>
      <c r="G776" s="62" t="n"/>
      <c r="H776" s="62" t="n"/>
    </row>
    <row r="777" ht="21" customHeight="1">
      <c r="A777" s="61" t="n"/>
      <c r="B777" s="44">
        <f>'設定'!$I$24</f>
        <v/>
      </c>
      <c r="C777" s="62" t="n"/>
      <c r="D777" s="62" t="n"/>
      <c r="E777" s="62" t="n"/>
      <c r="F777" s="62" t="n"/>
      <c r="G777" s="62" t="n"/>
      <c r="H777" s="62" t="n"/>
    </row>
    <row r="778" ht="21" customHeight="1">
      <c r="A778" s="61" t="n"/>
      <c r="B778" s="44">
        <f>'設定'!$I$25</f>
        <v/>
      </c>
      <c r="C778" s="62" t="n"/>
      <c r="D778" s="62" t="n"/>
      <c r="E778" s="62" t="n"/>
      <c r="F778" s="62" t="n"/>
      <c r="G778" s="62" t="n"/>
      <c r="H778" s="62" t="n"/>
    </row>
    <row r="779" ht="21" customHeight="1">
      <c r="A779" s="61" t="n"/>
      <c r="B779" s="44">
        <f>'設定'!$I$26</f>
        <v/>
      </c>
      <c r="C779" s="62" t="n"/>
      <c r="D779" s="62" t="n"/>
      <c r="E779" s="62" t="n"/>
      <c r="F779" s="62" t="n"/>
      <c r="G779" s="62" t="n"/>
      <c r="H779" s="62" t="n"/>
    </row>
    <row r="780" ht="21" customHeight="1">
      <c r="A780" s="61" t="n"/>
      <c r="B780" s="44">
        <f>'設定'!$I$27</f>
        <v/>
      </c>
      <c r="C780" s="62" t="n"/>
      <c r="D780" s="62" t="n"/>
      <c r="E780" s="62" t="n"/>
      <c r="F780" s="62" t="n"/>
      <c r="G780" s="62" t="n"/>
      <c r="H780" s="62" t="n"/>
    </row>
    <row r="781" ht="21" customHeight="1">
      <c r="A781" s="61" t="n"/>
      <c r="B781" s="44">
        <f>'設定'!$I$28</f>
        <v/>
      </c>
      <c r="C781" s="62" t="n"/>
      <c r="D781" s="62" t="n"/>
      <c r="E781" s="62" t="n"/>
      <c r="F781" s="62" t="n"/>
      <c r="G781" s="62" t="n"/>
      <c r="H781" s="62" t="n"/>
    </row>
    <row r="782" ht="21" customHeight="1">
      <c r="A782" s="61" t="n"/>
      <c r="B782" s="44">
        <f>'設定'!$I$29</f>
        <v/>
      </c>
      <c r="C782" s="62" t="n"/>
      <c r="D782" s="62" t="n"/>
      <c r="E782" s="62" t="n"/>
      <c r="F782" s="62" t="n"/>
      <c r="G782" s="62" t="n"/>
      <c r="H782" s="62" t="n"/>
    </row>
    <row r="783" ht="21" customHeight="1">
      <c r="A783" s="61" t="n"/>
      <c r="B783" s="44">
        <f>'設定'!$I$30</f>
        <v/>
      </c>
      <c r="C783" s="62" t="n"/>
      <c r="D783" s="62" t="n"/>
      <c r="E783" s="62" t="n"/>
      <c r="F783" s="62" t="n"/>
      <c r="G783" s="62" t="n"/>
      <c r="H783" s="62" t="n"/>
    </row>
    <row r="784" ht="21" customHeight="1">
      <c r="A784" s="61" t="n"/>
      <c r="B784" s="44">
        <f>'設定'!$I$31</f>
        <v/>
      </c>
      <c r="C784" s="62" t="n"/>
      <c r="D784" s="62" t="n"/>
      <c r="E784" s="62" t="n"/>
      <c r="F784" s="62" t="n"/>
      <c r="G784" s="62" t="n"/>
      <c r="H784" s="62" t="n"/>
    </row>
    <row r="785" ht="21" customHeight="1">
      <c r="A785" s="61" t="n"/>
      <c r="B785" s="44">
        <f>'設定'!$I$32</f>
        <v/>
      </c>
      <c r="C785" s="62" t="n"/>
      <c r="D785" s="62" t="n"/>
      <c r="E785" s="62" t="n"/>
      <c r="F785" s="62" t="n"/>
      <c r="G785" s="62" t="n"/>
      <c r="H785" s="62" t="n"/>
    </row>
    <row r="786" ht="21" customHeight="1">
      <c r="A786" s="61" t="n"/>
      <c r="B786" s="44">
        <f>'設定'!$I$33</f>
        <v/>
      </c>
      <c r="C786" s="62" t="n"/>
      <c r="D786" s="62" t="n"/>
      <c r="E786" s="62" t="n"/>
      <c r="F786" s="62" t="n"/>
      <c r="G786" s="62" t="n"/>
      <c r="H786" s="62" t="n"/>
    </row>
    <row r="787" ht="21" customHeight="1">
      <c r="A787" s="61" t="n"/>
      <c r="B787" s="44">
        <f>'設定'!$I$34</f>
        <v/>
      </c>
      <c r="C787" s="62" t="n"/>
      <c r="D787" s="62" t="n"/>
      <c r="E787" s="62" t="n"/>
      <c r="F787" s="62" t="n"/>
      <c r="G787" s="62" t="n"/>
      <c r="H787" s="62" t="n"/>
    </row>
    <row r="788"/>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row>
    <row r="792" ht="21" customHeight="1">
      <c r="A792" s="61" t="n"/>
      <c r="B792" s="44">
        <f>'設定'!$I$11</f>
        <v/>
      </c>
      <c r="C792" s="62" t="n"/>
      <c r="D792" s="62" t="n"/>
      <c r="E792" s="62" t="n"/>
      <c r="F792" s="62" t="n"/>
      <c r="G792" s="62" t="n"/>
      <c r="H792" s="62" t="n"/>
    </row>
    <row r="793" ht="21" customHeight="1">
      <c r="A793" s="61" t="n"/>
      <c r="B793" s="44">
        <f>'設定'!$I$12</f>
        <v/>
      </c>
      <c r="C793" s="62" t="n"/>
      <c r="D793" s="62" t="n"/>
      <c r="E793" s="62" t="n"/>
      <c r="F793" s="62" t="n"/>
      <c r="G793" s="62" t="n"/>
      <c r="H793" s="62" t="n"/>
    </row>
    <row r="794" ht="21" customHeight="1">
      <c r="A794" s="61" t="n"/>
      <c r="B794" s="44">
        <f>'設定'!$I$13</f>
        <v/>
      </c>
      <c r="C794" s="62" t="n"/>
      <c r="D794" s="62" t="n"/>
      <c r="E794" s="62" t="n"/>
      <c r="F794" s="62" t="n"/>
      <c r="G794" s="62" t="n"/>
      <c r="H794" s="62" t="n"/>
    </row>
    <row r="795" ht="21" customHeight="1">
      <c r="A795" s="61" t="n"/>
      <c r="B795" s="44">
        <f>'設定'!$I$14</f>
        <v/>
      </c>
      <c r="C795" s="62" t="n"/>
      <c r="D795" s="62" t="n"/>
      <c r="E795" s="62" t="n"/>
      <c r="F795" s="62" t="n"/>
      <c r="G795" s="62" t="n"/>
      <c r="H795" s="62" t="n"/>
    </row>
    <row r="796" ht="21" customHeight="1">
      <c r="A796" s="61" t="n"/>
      <c r="B796" s="44">
        <f>'設定'!$I$15</f>
        <v/>
      </c>
      <c r="C796" s="62" t="n"/>
      <c r="D796" s="62" t="n"/>
      <c r="E796" s="62" t="n"/>
      <c r="F796" s="62" t="n"/>
      <c r="G796" s="62" t="n"/>
      <c r="H796" s="62" t="n"/>
    </row>
    <row r="797" ht="21" customHeight="1">
      <c r="A797" s="61" t="n"/>
      <c r="B797" s="44">
        <f>'設定'!$I$16</f>
        <v/>
      </c>
      <c r="C797" s="62" t="n"/>
      <c r="D797" s="62" t="n"/>
      <c r="E797" s="62" t="n"/>
      <c r="F797" s="62" t="n"/>
      <c r="G797" s="62" t="n"/>
      <c r="H797" s="62" t="n"/>
    </row>
    <row r="798" ht="21" customHeight="1">
      <c r="A798" s="61" t="n"/>
      <c r="B798" s="44">
        <f>'設定'!$I$17</f>
        <v/>
      </c>
      <c r="C798" s="62" t="n"/>
      <c r="D798" s="62" t="n"/>
      <c r="E798" s="62" t="n"/>
      <c r="F798" s="62" t="n"/>
      <c r="G798" s="62" t="n"/>
      <c r="H798" s="62" t="n"/>
    </row>
    <row r="799" ht="21" customHeight="1">
      <c r="A799" s="61" t="n"/>
      <c r="B799" s="44">
        <f>'設定'!$I$18</f>
        <v/>
      </c>
      <c r="C799" s="62" t="n"/>
      <c r="D799" s="62" t="n"/>
      <c r="E799" s="62" t="n"/>
      <c r="F799" s="62" t="n"/>
      <c r="G799" s="62" t="n"/>
      <c r="H799" s="62" t="n"/>
    </row>
    <row r="800" ht="21" customHeight="1">
      <c r="A800" s="61" t="n"/>
      <c r="B800" s="44">
        <f>'設定'!$I$19</f>
        <v/>
      </c>
      <c r="C800" s="62" t="n"/>
      <c r="D800" s="62" t="n"/>
      <c r="E800" s="62" t="n"/>
      <c r="F800" s="62" t="n"/>
      <c r="G800" s="62" t="n"/>
      <c r="H800" s="62" t="n"/>
    </row>
    <row r="801" ht="21" customHeight="1">
      <c r="A801" s="61" t="n"/>
      <c r="B801" s="44">
        <f>'設定'!$I$20</f>
        <v/>
      </c>
      <c r="C801" s="62" t="n"/>
      <c r="D801" s="62" t="n"/>
      <c r="E801" s="62" t="n"/>
      <c r="F801" s="62" t="n"/>
      <c r="G801" s="62" t="n"/>
      <c r="H801" s="62" t="n"/>
    </row>
    <row r="802" ht="21" customHeight="1">
      <c r="A802" s="61" t="n"/>
      <c r="B802" s="44">
        <f>'設定'!$I$21</f>
        <v/>
      </c>
      <c r="C802" s="62" t="n"/>
      <c r="D802" s="62" t="n"/>
      <c r="E802" s="62" t="n"/>
      <c r="F802" s="62" t="n"/>
      <c r="G802" s="62" t="n"/>
      <c r="H802" s="62" t="n"/>
    </row>
    <row r="803" ht="21" customHeight="1">
      <c r="A803" s="61" t="n"/>
      <c r="B803" s="44">
        <f>'設定'!$I$22</f>
        <v/>
      </c>
      <c r="C803" s="62" t="n"/>
      <c r="D803" s="62" t="n"/>
      <c r="E803" s="62" t="n"/>
      <c r="F803" s="62" t="n"/>
      <c r="G803" s="62" t="n"/>
      <c r="H803" s="62" t="n"/>
    </row>
    <row r="804" ht="21" customHeight="1">
      <c r="A804" s="61" t="n"/>
      <c r="B804" s="44">
        <f>'設定'!$I$23</f>
        <v/>
      </c>
      <c r="C804" s="62" t="n"/>
      <c r="D804" s="62" t="n"/>
      <c r="E804" s="62" t="n"/>
      <c r="F804" s="62" t="n"/>
      <c r="G804" s="62" t="n"/>
      <c r="H804" s="62" t="n"/>
    </row>
    <row r="805" ht="21" customHeight="1">
      <c r="A805" s="61" t="n"/>
      <c r="B805" s="44">
        <f>'設定'!$I$24</f>
        <v/>
      </c>
      <c r="C805" s="62" t="n"/>
      <c r="D805" s="62" t="n"/>
      <c r="E805" s="62" t="n"/>
      <c r="F805" s="62" t="n"/>
      <c r="G805" s="62" t="n"/>
      <c r="H805" s="62" t="n"/>
    </row>
    <row r="806" ht="21" customHeight="1">
      <c r="A806" s="61" t="n"/>
      <c r="B806" s="44">
        <f>'設定'!$I$25</f>
        <v/>
      </c>
      <c r="C806" s="62" t="n"/>
      <c r="D806" s="62" t="n"/>
      <c r="E806" s="62" t="n"/>
      <c r="F806" s="62" t="n"/>
      <c r="G806" s="62" t="n"/>
      <c r="H806" s="62" t="n"/>
    </row>
    <row r="807" ht="21" customHeight="1">
      <c r="A807" s="61" t="n"/>
      <c r="B807" s="44">
        <f>'設定'!$I$26</f>
        <v/>
      </c>
      <c r="C807" s="62" t="n"/>
      <c r="D807" s="62" t="n"/>
      <c r="E807" s="62" t="n"/>
      <c r="F807" s="62" t="n"/>
      <c r="G807" s="62" t="n"/>
      <c r="H807" s="62" t="n"/>
    </row>
    <row r="808" ht="21" customHeight="1">
      <c r="A808" s="61" t="n"/>
      <c r="B808" s="44">
        <f>'設定'!$I$27</f>
        <v/>
      </c>
      <c r="C808" s="62" t="n"/>
      <c r="D808" s="62" t="n"/>
      <c r="E808" s="62" t="n"/>
      <c r="F808" s="62" t="n"/>
      <c r="G808" s="62" t="n"/>
      <c r="H808" s="62" t="n"/>
    </row>
    <row r="809" ht="21" customHeight="1">
      <c r="A809" s="61" t="n"/>
      <c r="B809" s="44">
        <f>'設定'!$I$28</f>
        <v/>
      </c>
      <c r="C809" s="62" t="n"/>
      <c r="D809" s="62" t="n"/>
      <c r="E809" s="62" t="n"/>
      <c r="F809" s="62" t="n"/>
      <c r="G809" s="62" t="n"/>
      <c r="H809" s="62" t="n"/>
    </row>
    <row r="810" ht="21" customHeight="1">
      <c r="A810" s="61" t="n"/>
      <c r="B810" s="44">
        <f>'設定'!$I$29</f>
        <v/>
      </c>
      <c r="C810" s="62" t="n"/>
      <c r="D810" s="62" t="n"/>
      <c r="E810" s="62" t="n"/>
      <c r="F810" s="62" t="n"/>
      <c r="G810" s="62" t="n"/>
      <c r="H810" s="62" t="n"/>
    </row>
    <row r="811" ht="21" customHeight="1">
      <c r="A811" s="61" t="n"/>
      <c r="B811" s="44">
        <f>'設定'!$I$30</f>
        <v/>
      </c>
      <c r="C811" s="62" t="n"/>
      <c r="D811" s="62" t="n"/>
      <c r="E811" s="62" t="n"/>
      <c r="F811" s="62" t="n"/>
      <c r="G811" s="62" t="n"/>
      <c r="H811" s="62" t="n"/>
    </row>
    <row r="812" ht="21" customHeight="1">
      <c r="A812" s="61" t="n"/>
      <c r="B812" s="44">
        <f>'設定'!$I$31</f>
        <v/>
      </c>
      <c r="C812" s="62" t="n"/>
      <c r="D812" s="62" t="n"/>
      <c r="E812" s="62" t="n"/>
      <c r="F812" s="62" t="n"/>
      <c r="G812" s="62" t="n"/>
      <c r="H812" s="62" t="n"/>
    </row>
    <row r="813" ht="21" customHeight="1">
      <c r="A813" s="61" t="n"/>
      <c r="B813" s="44">
        <f>'設定'!$I$32</f>
        <v/>
      </c>
      <c r="C813" s="62" t="n"/>
      <c r="D813" s="62" t="n"/>
      <c r="E813" s="62" t="n"/>
      <c r="F813" s="62" t="n"/>
      <c r="G813" s="62" t="n"/>
      <c r="H813" s="62" t="n"/>
    </row>
    <row r="814" ht="21" customHeight="1">
      <c r="A814" s="61" t="n"/>
      <c r="B814" s="44">
        <f>'設定'!$I$33</f>
        <v/>
      </c>
      <c r="C814" s="62" t="n"/>
      <c r="D814" s="62" t="n"/>
      <c r="E814" s="62" t="n"/>
      <c r="F814" s="62" t="n"/>
      <c r="G814" s="62" t="n"/>
      <c r="H814" s="62" t="n"/>
    </row>
    <row r="815" ht="21" customHeight="1">
      <c r="A815" s="61" t="n"/>
      <c r="B815" s="44">
        <f>'設定'!$I$34</f>
        <v/>
      </c>
      <c r="C815" s="62" t="n"/>
      <c r="D815" s="62" t="n"/>
      <c r="E815" s="62" t="n"/>
      <c r="F815" s="62" t="n"/>
      <c r="G815" s="62" t="n"/>
      <c r="H815" s="62" t="n"/>
    </row>
    <row r="816"/>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row>
    <row r="820" ht="21" customHeight="1">
      <c r="A820" s="61" t="n"/>
      <c r="B820" s="44">
        <f>'設定'!$I$11</f>
        <v/>
      </c>
      <c r="C820" s="62" t="n"/>
      <c r="D820" s="62" t="n"/>
      <c r="E820" s="62" t="n"/>
      <c r="F820" s="62" t="n"/>
      <c r="G820" s="62" t="n"/>
      <c r="H820" s="62" t="n"/>
    </row>
    <row r="821" ht="21" customHeight="1">
      <c r="A821" s="61" t="n"/>
      <c r="B821" s="44">
        <f>'設定'!$I$12</f>
        <v/>
      </c>
      <c r="C821" s="62" t="n"/>
      <c r="D821" s="62" t="n"/>
      <c r="E821" s="62" t="n"/>
      <c r="F821" s="62" t="n"/>
      <c r="G821" s="62" t="n"/>
      <c r="H821" s="62" t="n"/>
    </row>
    <row r="822" ht="21" customHeight="1">
      <c r="A822" s="61" t="n"/>
      <c r="B822" s="44">
        <f>'設定'!$I$13</f>
        <v/>
      </c>
      <c r="C822" s="62" t="n"/>
      <c r="D822" s="62" t="n"/>
      <c r="E822" s="62" t="n"/>
      <c r="F822" s="62" t="n"/>
      <c r="G822" s="62" t="n"/>
      <c r="H822" s="62" t="n"/>
    </row>
    <row r="823" ht="21" customHeight="1">
      <c r="A823" s="61" t="n"/>
      <c r="B823" s="44">
        <f>'設定'!$I$14</f>
        <v/>
      </c>
      <c r="C823" s="62" t="n"/>
      <c r="D823" s="62" t="n"/>
      <c r="E823" s="62" t="n"/>
      <c r="F823" s="62" t="n"/>
      <c r="G823" s="62" t="n"/>
      <c r="H823" s="62" t="n"/>
    </row>
    <row r="824" ht="21" customHeight="1">
      <c r="A824" s="61" t="n"/>
      <c r="B824" s="44">
        <f>'設定'!$I$15</f>
        <v/>
      </c>
      <c r="C824" s="62" t="n"/>
      <c r="D824" s="62" t="n"/>
      <c r="E824" s="62" t="n"/>
      <c r="F824" s="62" t="n"/>
      <c r="G824" s="62" t="n"/>
      <c r="H824" s="62" t="n"/>
    </row>
    <row r="825" ht="21" customHeight="1">
      <c r="A825" s="61" t="n"/>
      <c r="B825" s="44">
        <f>'設定'!$I$16</f>
        <v/>
      </c>
      <c r="C825" s="62" t="n"/>
      <c r="D825" s="62" t="n"/>
      <c r="E825" s="62" t="n"/>
      <c r="F825" s="62" t="n"/>
      <c r="G825" s="62" t="n"/>
      <c r="H825" s="62" t="n"/>
    </row>
    <row r="826" ht="21" customHeight="1">
      <c r="A826" s="61" t="n"/>
      <c r="B826" s="44">
        <f>'設定'!$I$17</f>
        <v/>
      </c>
      <c r="C826" s="62" t="n"/>
      <c r="D826" s="62" t="n"/>
      <c r="E826" s="62" t="n"/>
      <c r="F826" s="62" t="n"/>
      <c r="G826" s="62" t="n"/>
      <c r="H826" s="62" t="n"/>
    </row>
    <row r="827" ht="21" customHeight="1">
      <c r="A827" s="61" t="n"/>
      <c r="B827" s="44">
        <f>'設定'!$I$18</f>
        <v/>
      </c>
      <c r="C827" s="62" t="n"/>
      <c r="D827" s="62" t="n"/>
      <c r="E827" s="62" t="n"/>
      <c r="F827" s="62" t="n"/>
      <c r="G827" s="62" t="n"/>
      <c r="H827" s="62" t="n"/>
    </row>
    <row r="828" ht="21" customHeight="1">
      <c r="A828" s="61" t="n"/>
      <c r="B828" s="44">
        <f>'設定'!$I$19</f>
        <v/>
      </c>
      <c r="C828" s="62" t="n"/>
      <c r="D828" s="62" t="n"/>
      <c r="E828" s="62" t="n"/>
      <c r="F828" s="62" t="n"/>
      <c r="G828" s="62" t="n"/>
      <c r="H828" s="62" t="n"/>
    </row>
    <row r="829" ht="21" customHeight="1">
      <c r="A829" s="61" t="n"/>
      <c r="B829" s="44">
        <f>'設定'!$I$20</f>
        <v/>
      </c>
      <c r="C829" s="62" t="n"/>
      <c r="D829" s="62" t="n"/>
      <c r="E829" s="62" t="n"/>
      <c r="F829" s="62" t="n"/>
      <c r="G829" s="62" t="n"/>
      <c r="H829" s="62" t="n"/>
    </row>
    <row r="830" ht="21" customHeight="1">
      <c r="A830" s="61" t="n"/>
      <c r="B830" s="44">
        <f>'設定'!$I$21</f>
        <v/>
      </c>
      <c r="C830" s="62" t="n"/>
      <c r="D830" s="62" t="n"/>
      <c r="E830" s="62" t="n"/>
      <c r="F830" s="62" t="n"/>
      <c r="G830" s="62" t="n"/>
      <c r="H830" s="62" t="n"/>
    </row>
    <row r="831" ht="21" customHeight="1">
      <c r="A831" s="61" t="n"/>
      <c r="B831" s="44">
        <f>'設定'!$I$22</f>
        <v/>
      </c>
      <c r="C831" s="62" t="n"/>
      <c r="D831" s="62" t="n"/>
      <c r="E831" s="62" t="n"/>
      <c r="F831" s="62" t="n"/>
      <c r="G831" s="62" t="n"/>
      <c r="H831" s="62" t="n"/>
    </row>
    <row r="832" ht="21" customHeight="1">
      <c r="A832" s="61" t="n"/>
      <c r="B832" s="44">
        <f>'設定'!$I$23</f>
        <v/>
      </c>
      <c r="C832" s="62" t="n"/>
      <c r="D832" s="62" t="n"/>
      <c r="E832" s="62" t="n"/>
      <c r="F832" s="62" t="n"/>
      <c r="G832" s="62" t="n"/>
      <c r="H832" s="62" t="n"/>
    </row>
    <row r="833" ht="21" customHeight="1">
      <c r="A833" s="61" t="n"/>
      <c r="B833" s="44">
        <f>'設定'!$I$24</f>
        <v/>
      </c>
      <c r="C833" s="62" t="n"/>
      <c r="D833" s="62" t="n"/>
      <c r="E833" s="62" t="n"/>
      <c r="F833" s="62" t="n"/>
      <c r="G833" s="62" t="n"/>
      <c r="H833" s="62" t="n"/>
    </row>
    <row r="834" ht="21" customHeight="1">
      <c r="A834" s="61" t="n"/>
      <c r="B834" s="44">
        <f>'設定'!$I$25</f>
        <v/>
      </c>
      <c r="C834" s="62" t="n"/>
      <c r="D834" s="62" t="n"/>
      <c r="E834" s="62" t="n"/>
      <c r="F834" s="62" t="n"/>
      <c r="G834" s="62" t="n"/>
      <c r="H834" s="62" t="n"/>
    </row>
    <row r="835" ht="21" customHeight="1">
      <c r="A835" s="61" t="n"/>
      <c r="B835" s="44">
        <f>'設定'!$I$26</f>
        <v/>
      </c>
      <c r="C835" s="62" t="n"/>
      <c r="D835" s="62" t="n"/>
      <c r="E835" s="62" t="n"/>
      <c r="F835" s="62" t="n"/>
      <c r="G835" s="62" t="n"/>
      <c r="H835" s="62" t="n"/>
    </row>
    <row r="836" ht="21" customHeight="1">
      <c r="A836" s="61" t="n"/>
      <c r="B836" s="44">
        <f>'設定'!$I$27</f>
        <v/>
      </c>
      <c r="C836" s="62" t="n"/>
      <c r="D836" s="62" t="n"/>
      <c r="E836" s="62" t="n"/>
      <c r="F836" s="62" t="n"/>
      <c r="G836" s="62" t="n"/>
      <c r="H836" s="62" t="n"/>
    </row>
    <row r="837" ht="21" customHeight="1">
      <c r="A837" s="61" t="n"/>
      <c r="B837" s="44">
        <f>'設定'!$I$28</f>
        <v/>
      </c>
      <c r="C837" s="62" t="n"/>
      <c r="D837" s="62" t="n"/>
      <c r="E837" s="62" t="n"/>
      <c r="F837" s="62" t="n"/>
      <c r="G837" s="62" t="n"/>
      <c r="H837" s="62" t="n"/>
    </row>
    <row r="838" ht="21" customHeight="1">
      <c r="A838" s="61" t="n"/>
      <c r="B838" s="44">
        <f>'設定'!$I$29</f>
        <v/>
      </c>
      <c r="C838" s="62" t="n"/>
      <c r="D838" s="62" t="n"/>
      <c r="E838" s="62" t="n"/>
      <c r="F838" s="62" t="n"/>
      <c r="G838" s="62" t="n"/>
      <c r="H838" s="62" t="n"/>
    </row>
    <row r="839" ht="21" customHeight="1">
      <c r="A839" s="61" t="n"/>
      <c r="B839" s="44">
        <f>'設定'!$I$30</f>
        <v/>
      </c>
      <c r="C839" s="62" t="n"/>
      <c r="D839" s="62" t="n"/>
      <c r="E839" s="62" t="n"/>
      <c r="F839" s="62" t="n"/>
      <c r="G839" s="62" t="n"/>
      <c r="H839" s="62" t="n"/>
    </row>
    <row r="840" ht="21" customHeight="1">
      <c r="A840" s="61" t="n"/>
      <c r="B840" s="44">
        <f>'設定'!$I$31</f>
        <v/>
      </c>
      <c r="C840" s="62" t="n"/>
      <c r="D840" s="62" t="n"/>
      <c r="E840" s="62" t="n"/>
      <c r="F840" s="62" t="n"/>
      <c r="G840" s="62" t="n"/>
      <c r="H840" s="62" t="n"/>
    </row>
    <row r="841" ht="21" customHeight="1">
      <c r="A841" s="61" t="n"/>
      <c r="B841" s="44">
        <f>'設定'!$I$32</f>
        <v/>
      </c>
      <c r="C841" s="62" t="n"/>
      <c r="D841" s="62" t="n"/>
      <c r="E841" s="62" t="n"/>
      <c r="F841" s="62" t="n"/>
      <c r="G841" s="62" t="n"/>
      <c r="H841" s="62" t="n"/>
    </row>
    <row r="842" ht="21" customHeight="1">
      <c r="A842" s="61" t="n"/>
      <c r="B842" s="44">
        <f>'設定'!$I$33</f>
        <v/>
      </c>
      <c r="C842" s="62" t="n"/>
      <c r="D842" s="62" t="n"/>
      <c r="E842" s="62" t="n"/>
      <c r="F842" s="62" t="n"/>
      <c r="G842" s="62" t="n"/>
      <c r="H842" s="62" t="n"/>
    </row>
    <row r="843" ht="21" customHeight="1">
      <c r="A843" s="61" t="n"/>
      <c r="B843" s="44">
        <f>'設定'!$I$34</f>
        <v/>
      </c>
      <c r="C843" s="62" t="n"/>
      <c r="D843" s="62" t="n"/>
      <c r="E843" s="62" t="n"/>
      <c r="F843" s="62" t="n"/>
      <c r="G843" s="62" t="n"/>
      <c r="H843" s="62" t="n"/>
    </row>
    <row r="844"/>
    <row r="845" ht="26" customHeight="1">
      <c r="B845" s="55">
        <f>IF('名簿'!B35="","（名簿 31行目：なし）",'名簿'!I35)</f>
        <v/>
      </c>
      <c r="C845" s="4" t="n"/>
      <c r="D845" s="4" t="n"/>
      <c r="E845" s="56" t="inlineStr">
        <is>
          <t>提出状況 ▶</t>
        </is>
      </c>
      <c r="F845" s="40" t="n"/>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row>
    <row r="848" ht="21" customHeight="1">
      <c r="A848" s="61" t="n"/>
      <c r="B848" s="44">
        <f>'設定'!$I$11</f>
        <v/>
      </c>
      <c r="C848" s="62" t="n"/>
      <c r="D848" s="62" t="n"/>
      <c r="E848" s="62" t="n"/>
      <c r="F848" s="62" t="n"/>
      <c r="G848" s="62" t="n"/>
      <c r="H848" s="62" t="n"/>
    </row>
    <row r="849" ht="21" customHeight="1">
      <c r="A849" s="61" t="n"/>
      <c r="B849" s="44">
        <f>'設定'!$I$12</f>
        <v/>
      </c>
      <c r="C849" s="62" t="n"/>
      <c r="D849" s="62" t="n"/>
      <c r="E849" s="62" t="n"/>
      <c r="F849" s="62" t="n"/>
      <c r="G849" s="62" t="n"/>
      <c r="H849" s="62" t="n"/>
    </row>
    <row r="850" ht="21" customHeight="1">
      <c r="A850" s="61" t="n"/>
      <c r="B850" s="44">
        <f>'設定'!$I$13</f>
        <v/>
      </c>
      <c r="C850" s="62" t="n"/>
      <c r="D850" s="62" t="n"/>
      <c r="E850" s="62" t="n"/>
      <c r="F850" s="62" t="n"/>
      <c r="G850" s="62" t="n"/>
      <c r="H850" s="62" t="n"/>
    </row>
    <row r="851" ht="21" customHeight="1">
      <c r="A851" s="61" t="n"/>
      <c r="B851" s="44">
        <f>'設定'!$I$14</f>
        <v/>
      </c>
      <c r="C851" s="62" t="n"/>
      <c r="D851" s="62" t="n"/>
      <c r="E851" s="62" t="n"/>
      <c r="F851" s="62" t="n"/>
      <c r="G851" s="62" t="n"/>
      <c r="H851" s="62" t="n"/>
    </row>
    <row r="852" ht="21" customHeight="1">
      <c r="A852" s="61" t="n"/>
      <c r="B852" s="44">
        <f>'設定'!$I$15</f>
        <v/>
      </c>
      <c r="C852" s="62" t="n"/>
      <c r="D852" s="62" t="n"/>
      <c r="E852" s="62" t="n"/>
      <c r="F852" s="62" t="n"/>
      <c r="G852" s="62" t="n"/>
      <c r="H852" s="62" t="n"/>
    </row>
    <row r="853" ht="21" customHeight="1">
      <c r="A853" s="61" t="n"/>
      <c r="B853" s="44">
        <f>'設定'!$I$16</f>
        <v/>
      </c>
      <c r="C853" s="62" t="n"/>
      <c r="D853" s="62" t="n"/>
      <c r="E853" s="62" t="n"/>
      <c r="F853" s="62" t="n"/>
      <c r="G853" s="62" t="n"/>
      <c r="H853" s="62" t="n"/>
    </row>
    <row r="854" ht="21" customHeight="1">
      <c r="A854" s="61" t="n"/>
      <c r="B854" s="44">
        <f>'設定'!$I$17</f>
        <v/>
      </c>
      <c r="C854" s="62" t="n"/>
      <c r="D854" s="62" t="n"/>
      <c r="E854" s="62" t="n"/>
      <c r="F854" s="62" t="n"/>
      <c r="G854" s="62" t="n"/>
      <c r="H854" s="62" t="n"/>
    </row>
    <row r="855" ht="21" customHeight="1">
      <c r="A855" s="61" t="n"/>
      <c r="B855" s="44">
        <f>'設定'!$I$18</f>
        <v/>
      </c>
      <c r="C855" s="62" t="n"/>
      <c r="D855" s="62" t="n"/>
      <c r="E855" s="62" t="n"/>
      <c r="F855" s="62" t="n"/>
      <c r="G855" s="62" t="n"/>
      <c r="H855" s="62" t="n"/>
    </row>
    <row r="856" ht="21" customHeight="1">
      <c r="A856" s="61" t="n"/>
      <c r="B856" s="44">
        <f>'設定'!$I$19</f>
        <v/>
      </c>
      <c r="C856" s="62" t="n"/>
      <c r="D856" s="62" t="n"/>
      <c r="E856" s="62" t="n"/>
      <c r="F856" s="62" t="n"/>
      <c r="G856" s="62" t="n"/>
      <c r="H856" s="62" t="n"/>
    </row>
    <row r="857" ht="21" customHeight="1">
      <c r="A857" s="61" t="n"/>
      <c r="B857" s="44">
        <f>'設定'!$I$20</f>
        <v/>
      </c>
      <c r="C857" s="62" t="n"/>
      <c r="D857" s="62" t="n"/>
      <c r="E857" s="62" t="n"/>
      <c r="F857" s="62" t="n"/>
      <c r="G857" s="62" t="n"/>
      <c r="H857" s="62" t="n"/>
    </row>
    <row r="858" ht="21" customHeight="1">
      <c r="A858" s="61" t="n"/>
      <c r="B858" s="44">
        <f>'設定'!$I$21</f>
        <v/>
      </c>
      <c r="C858" s="62" t="n"/>
      <c r="D858" s="62" t="n"/>
      <c r="E858" s="62" t="n"/>
      <c r="F858" s="62" t="n"/>
      <c r="G858" s="62" t="n"/>
      <c r="H858" s="62" t="n"/>
    </row>
    <row r="859" ht="21" customHeight="1">
      <c r="A859" s="61" t="n"/>
      <c r="B859" s="44">
        <f>'設定'!$I$22</f>
        <v/>
      </c>
      <c r="C859" s="62" t="n"/>
      <c r="D859" s="62" t="n"/>
      <c r="E859" s="62" t="n"/>
      <c r="F859" s="62" t="n"/>
      <c r="G859" s="62" t="n"/>
      <c r="H859" s="62" t="n"/>
    </row>
    <row r="860" ht="21" customHeight="1">
      <c r="A860" s="61" t="n"/>
      <c r="B860" s="44">
        <f>'設定'!$I$23</f>
        <v/>
      </c>
      <c r="C860" s="62" t="n"/>
      <c r="D860" s="62" t="n"/>
      <c r="E860" s="62" t="n"/>
      <c r="F860" s="62" t="n"/>
      <c r="G860" s="62" t="n"/>
      <c r="H860" s="62" t="n"/>
    </row>
    <row r="861" ht="21" customHeight="1">
      <c r="A861" s="61" t="n"/>
      <c r="B861" s="44">
        <f>'設定'!$I$24</f>
        <v/>
      </c>
      <c r="C861" s="62" t="n"/>
      <c r="D861" s="62" t="n"/>
      <c r="E861" s="62" t="n"/>
      <c r="F861" s="62" t="n"/>
      <c r="G861" s="62" t="n"/>
      <c r="H861" s="62" t="n"/>
    </row>
    <row r="862" ht="21" customHeight="1">
      <c r="A862" s="61" t="n"/>
      <c r="B862" s="44">
        <f>'設定'!$I$25</f>
        <v/>
      </c>
      <c r="C862" s="62" t="n"/>
      <c r="D862" s="62" t="n"/>
      <c r="E862" s="62" t="n"/>
      <c r="F862" s="62" t="n"/>
      <c r="G862" s="62" t="n"/>
      <c r="H862" s="62" t="n"/>
    </row>
    <row r="863" ht="21" customHeight="1">
      <c r="A863" s="61" t="n"/>
      <c r="B863" s="44">
        <f>'設定'!$I$26</f>
        <v/>
      </c>
      <c r="C863" s="62" t="n"/>
      <c r="D863" s="62" t="n"/>
      <c r="E863" s="62" t="n"/>
      <c r="F863" s="62" t="n"/>
      <c r="G863" s="62" t="n"/>
      <c r="H863" s="62" t="n"/>
    </row>
    <row r="864" ht="21" customHeight="1">
      <c r="A864" s="61" t="n"/>
      <c r="B864" s="44">
        <f>'設定'!$I$27</f>
        <v/>
      </c>
      <c r="C864" s="62" t="n"/>
      <c r="D864" s="62" t="n"/>
      <c r="E864" s="62" t="n"/>
      <c r="F864" s="62" t="n"/>
      <c r="G864" s="62" t="n"/>
      <c r="H864" s="62" t="n"/>
    </row>
    <row r="865" ht="21" customHeight="1">
      <c r="A865" s="61" t="n"/>
      <c r="B865" s="44">
        <f>'設定'!$I$28</f>
        <v/>
      </c>
      <c r="C865" s="62" t="n"/>
      <c r="D865" s="62" t="n"/>
      <c r="E865" s="62" t="n"/>
      <c r="F865" s="62" t="n"/>
      <c r="G865" s="62" t="n"/>
      <c r="H865" s="62" t="n"/>
    </row>
    <row r="866" ht="21" customHeight="1">
      <c r="A866" s="61" t="n"/>
      <c r="B866" s="44">
        <f>'設定'!$I$29</f>
        <v/>
      </c>
      <c r="C866" s="62" t="n"/>
      <c r="D866" s="62" t="n"/>
      <c r="E866" s="62" t="n"/>
      <c r="F866" s="62" t="n"/>
      <c r="G866" s="62" t="n"/>
      <c r="H866" s="62" t="n"/>
    </row>
    <row r="867" ht="21" customHeight="1">
      <c r="A867" s="61" t="n"/>
      <c r="B867" s="44">
        <f>'設定'!$I$30</f>
        <v/>
      </c>
      <c r="C867" s="62" t="n"/>
      <c r="D867" s="62" t="n"/>
      <c r="E867" s="62" t="n"/>
      <c r="F867" s="62" t="n"/>
      <c r="G867" s="62" t="n"/>
      <c r="H867" s="62" t="n"/>
    </row>
    <row r="868" ht="21" customHeight="1">
      <c r="A868" s="61" t="n"/>
      <c r="B868" s="44">
        <f>'設定'!$I$31</f>
        <v/>
      </c>
      <c r="C868" s="62" t="n"/>
      <c r="D868" s="62" t="n"/>
      <c r="E868" s="62" t="n"/>
      <c r="F868" s="62" t="n"/>
      <c r="G868" s="62" t="n"/>
      <c r="H868" s="62" t="n"/>
    </row>
    <row r="869" ht="21" customHeight="1">
      <c r="A869" s="61" t="n"/>
      <c r="B869" s="44">
        <f>'設定'!$I$32</f>
        <v/>
      </c>
      <c r="C869" s="62" t="n"/>
      <c r="D869" s="62" t="n"/>
      <c r="E869" s="62" t="n"/>
      <c r="F869" s="62" t="n"/>
      <c r="G869" s="62" t="n"/>
      <c r="H869" s="62" t="n"/>
    </row>
    <row r="870" ht="21" customHeight="1">
      <c r="A870" s="61" t="n"/>
      <c r="B870" s="44">
        <f>'設定'!$I$33</f>
        <v/>
      </c>
      <c r="C870" s="62" t="n"/>
      <c r="D870" s="62" t="n"/>
      <c r="E870" s="62" t="n"/>
      <c r="F870" s="62" t="n"/>
      <c r="G870" s="62" t="n"/>
      <c r="H870" s="62" t="n"/>
    </row>
    <row r="871" ht="21" customHeight="1">
      <c r="A871" s="61" t="n"/>
      <c r="B871" s="44">
        <f>'設定'!$I$34</f>
        <v/>
      </c>
      <c r="C871" s="62" t="n"/>
      <c r="D871" s="62" t="n"/>
      <c r="E871" s="62" t="n"/>
      <c r="F871" s="62" t="n"/>
      <c r="G871" s="62" t="n"/>
      <c r="H871" s="62" t="n"/>
    </row>
    <row r="872"/>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row>
    <row r="876" ht="21" customHeight="1">
      <c r="A876" s="61" t="n"/>
      <c r="B876" s="44">
        <f>'設定'!$I$11</f>
        <v/>
      </c>
      <c r="C876" s="62" t="n"/>
      <c r="D876" s="62" t="n"/>
      <c r="E876" s="62" t="n"/>
      <c r="F876" s="62" t="n"/>
      <c r="G876" s="62" t="n"/>
      <c r="H876" s="62" t="n"/>
    </row>
    <row r="877" ht="21" customHeight="1">
      <c r="A877" s="61" t="n"/>
      <c r="B877" s="44">
        <f>'設定'!$I$12</f>
        <v/>
      </c>
      <c r="C877" s="62" t="n"/>
      <c r="D877" s="62" t="n"/>
      <c r="E877" s="62" t="n"/>
      <c r="F877" s="62" t="n"/>
      <c r="G877" s="62" t="n"/>
      <c r="H877" s="62" t="n"/>
    </row>
    <row r="878" ht="21" customHeight="1">
      <c r="A878" s="61" t="n"/>
      <c r="B878" s="44">
        <f>'設定'!$I$13</f>
        <v/>
      </c>
      <c r="C878" s="62" t="n"/>
      <c r="D878" s="62" t="n"/>
      <c r="E878" s="62" t="n"/>
      <c r="F878" s="62" t="n"/>
      <c r="G878" s="62" t="n"/>
      <c r="H878" s="62" t="n"/>
    </row>
    <row r="879" ht="21" customHeight="1">
      <c r="A879" s="61" t="n"/>
      <c r="B879" s="44">
        <f>'設定'!$I$14</f>
        <v/>
      </c>
      <c r="C879" s="62" t="n"/>
      <c r="D879" s="62" t="n"/>
      <c r="E879" s="62" t="n"/>
      <c r="F879" s="62" t="n"/>
      <c r="G879" s="62" t="n"/>
      <c r="H879" s="62" t="n"/>
    </row>
    <row r="880" ht="21" customHeight="1">
      <c r="A880" s="61" t="n"/>
      <c r="B880" s="44">
        <f>'設定'!$I$15</f>
        <v/>
      </c>
      <c r="C880" s="62" t="n"/>
      <c r="D880" s="62" t="n"/>
      <c r="E880" s="62" t="n"/>
      <c r="F880" s="62" t="n"/>
      <c r="G880" s="62" t="n"/>
      <c r="H880" s="62" t="n"/>
    </row>
    <row r="881" ht="21" customHeight="1">
      <c r="A881" s="61" t="n"/>
      <c r="B881" s="44">
        <f>'設定'!$I$16</f>
        <v/>
      </c>
      <c r="C881" s="62" t="n"/>
      <c r="D881" s="62" t="n"/>
      <c r="E881" s="62" t="n"/>
      <c r="F881" s="62" t="n"/>
      <c r="G881" s="62" t="n"/>
      <c r="H881" s="62" t="n"/>
    </row>
    <row r="882" ht="21" customHeight="1">
      <c r="A882" s="61" t="n"/>
      <c r="B882" s="44">
        <f>'設定'!$I$17</f>
        <v/>
      </c>
      <c r="C882" s="62" t="n"/>
      <c r="D882" s="62" t="n"/>
      <c r="E882" s="62" t="n"/>
      <c r="F882" s="62" t="n"/>
      <c r="G882" s="62" t="n"/>
      <c r="H882" s="62" t="n"/>
    </row>
    <row r="883" ht="21" customHeight="1">
      <c r="A883" s="61" t="n"/>
      <c r="B883" s="44">
        <f>'設定'!$I$18</f>
        <v/>
      </c>
      <c r="C883" s="62" t="n"/>
      <c r="D883" s="62" t="n"/>
      <c r="E883" s="62" t="n"/>
      <c r="F883" s="62" t="n"/>
      <c r="G883" s="62" t="n"/>
      <c r="H883" s="62" t="n"/>
    </row>
    <row r="884" ht="21" customHeight="1">
      <c r="A884" s="61" t="n"/>
      <c r="B884" s="44">
        <f>'設定'!$I$19</f>
        <v/>
      </c>
      <c r="C884" s="62" t="n"/>
      <c r="D884" s="62" t="n"/>
      <c r="E884" s="62" t="n"/>
      <c r="F884" s="62" t="n"/>
      <c r="G884" s="62" t="n"/>
      <c r="H884" s="62" t="n"/>
    </row>
    <row r="885" ht="21" customHeight="1">
      <c r="A885" s="61" t="n"/>
      <c r="B885" s="44">
        <f>'設定'!$I$20</f>
        <v/>
      </c>
      <c r="C885" s="62" t="n"/>
      <c r="D885" s="62" t="n"/>
      <c r="E885" s="62" t="n"/>
      <c r="F885" s="62" t="n"/>
      <c r="G885" s="62" t="n"/>
      <c r="H885" s="62" t="n"/>
    </row>
    <row r="886" ht="21" customHeight="1">
      <c r="A886" s="61" t="n"/>
      <c r="B886" s="44">
        <f>'設定'!$I$21</f>
        <v/>
      </c>
      <c r="C886" s="62" t="n"/>
      <c r="D886" s="62" t="n"/>
      <c r="E886" s="62" t="n"/>
      <c r="F886" s="62" t="n"/>
      <c r="G886" s="62" t="n"/>
      <c r="H886" s="62" t="n"/>
    </row>
    <row r="887" ht="21" customHeight="1">
      <c r="A887" s="61" t="n"/>
      <c r="B887" s="44">
        <f>'設定'!$I$22</f>
        <v/>
      </c>
      <c r="C887" s="62" t="n"/>
      <c r="D887" s="62" t="n"/>
      <c r="E887" s="62" t="n"/>
      <c r="F887" s="62" t="n"/>
      <c r="G887" s="62" t="n"/>
      <c r="H887" s="62" t="n"/>
    </row>
    <row r="888" ht="21" customHeight="1">
      <c r="A888" s="61" t="n"/>
      <c r="B888" s="44">
        <f>'設定'!$I$23</f>
        <v/>
      </c>
      <c r="C888" s="62" t="n"/>
      <c r="D888" s="62" t="n"/>
      <c r="E888" s="62" t="n"/>
      <c r="F888" s="62" t="n"/>
      <c r="G888" s="62" t="n"/>
      <c r="H888" s="62" t="n"/>
    </row>
    <row r="889" ht="21" customHeight="1">
      <c r="A889" s="61" t="n"/>
      <c r="B889" s="44">
        <f>'設定'!$I$24</f>
        <v/>
      </c>
      <c r="C889" s="62" t="n"/>
      <c r="D889" s="62" t="n"/>
      <c r="E889" s="62" t="n"/>
      <c r="F889" s="62" t="n"/>
      <c r="G889" s="62" t="n"/>
      <c r="H889" s="62" t="n"/>
    </row>
    <row r="890" ht="21" customHeight="1">
      <c r="A890" s="61" t="n"/>
      <c r="B890" s="44">
        <f>'設定'!$I$25</f>
        <v/>
      </c>
      <c r="C890" s="62" t="n"/>
      <c r="D890" s="62" t="n"/>
      <c r="E890" s="62" t="n"/>
      <c r="F890" s="62" t="n"/>
      <c r="G890" s="62" t="n"/>
      <c r="H890" s="62" t="n"/>
    </row>
    <row r="891" ht="21" customHeight="1">
      <c r="A891" s="61" t="n"/>
      <c r="B891" s="44">
        <f>'設定'!$I$26</f>
        <v/>
      </c>
      <c r="C891" s="62" t="n"/>
      <c r="D891" s="62" t="n"/>
      <c r="E891" s="62" t="n"/>
      <c r="F891" s="62" t="n"/>
      <c r="G891" s="62" t="n"/>
      <c r="H891" s="62" t="n"/>
    </row>
    <row r="892" ht="21" customHeight="1">
      <c r="A892" s="61" t="n"/>
      <c r="B892" s="44">
        <f>'設定'!$I$27</f>
        <v/>
      </c>
      <c r="C892" s="62" t="n"/>
      <c r="D892" s="62" t="n"/>
      <c r="E892" s="62" t="n"/>
      <c r="F892" s="62" t="n"/>
      <c r="G892" s="62" t="n"/>
      <c r="H892" s="62" t="n"/>
    </row>
    <row r="893" ht="21" customHeight="1">
      <c r="A893" s="61" t="n"/>
      <c r="B893" s="44">
        <f>'設定'!$I$28</f>
        <v/>
      </c>
      <c r="C893" s="62" t="n"/>
      <c r="D893" s="62" t="n"/>
      <c r="E893" s="62" t="n"/>
      <c r="F893" s="62" t="n"/>
      <c r="G893" s="62" t="n"/>
      <c r="H893" s="62" t="n"/>
    </row>
    <row r="894" ht="21" customHeight="1">
      <c r="A894" s="61" t="n"/>
      <c r="B894" s="44">
        <f>'設定'!$I$29</f>
        <v/>
      </c>
      <c r="C894" s="62" t="n"/>
      <c r="D894" s="62" t="n"/>
      <c r="E894" s="62" t="n"/>
      <c r="F894" s="62" t="n"/>
      <c r="G894" s="62" t="n"/>
      <c r="H894" s="62" t="n"/>
    </row>
    <row r="895" ht="21" customHeight="1">
      <c r="A895" s="61" t="n"/>
      <c r="B895" s="44">
        <f>'設定'!$I$30</f>
        <v/>
      </c>
      <c r="C895" s="62" t="n"/>
      <c r="D895" s="62" t="n"/>
      <c r="E895" s="62" t="n"/>
      <c r="F895" s="62" t="n"/>
      <c r="G895" s="62" t="n"/>
      <c r="H895" s="62" t="n"/>
    </row>
    <row r="896" ht="21" customHeight="1">
      <c r="A896" s="61" t="n"/>
      <c r="B896" s="44">
        <f>'設定'!$I$31</f>
        <v/>
      </c>
      <c r="C896" s="62" t="n"/>
      <c r="D896" s="62" t="n"/>
      <c r="E896" s="62" t="n"/>
      <c r="F896" s="62" t="n"/>
      <c r="G896" s="62" t="n"/>
      <c r="H896" s="62" t="n"/>
    </row>
    <row r="897" ht="21" customHeight="1">
      <c r="A897" s="61" t="n"/>
      <c r="B897" s="44">
        <f>'設定'!$I$32</f>
        <v/>
      </c>
      <c r="C897" s="62" t="n"/>
      <c r="D897" s="62" t="n"/>
      <c r="E897" s="62" t="n"/>
      <c r="F897" s="62" t="n"/>
      <c r="G897" s="62" t="n"/>
      <c r="H897" s="62" t="n"/>
    </row>
    <row r="898" ht="21" customHeight="1">
      <c r="A898" s="61" t="n"/>
      <c r="B898" s="44">
        <f>'設定'!$I$33</f>
        <v/>
      </c>
      <c r="C898" s="62" t="n"/>
      <c r="D898" s="62" t="n"/>
      <c r="E898" s="62" t="n"/>
      <c r="F898" s="62" t="n"/>
      <c r="G898" s="62" t="n"/>
      <c r="H898" s="62" t="n"/>
    </row>
    <row r="899" ht="21" customHeight="1">
      <c r="A899" s="61" t="n"/>
      <c r="B899" s="44">
        <f>'設定'!$I$34</f>
        <v/>
      </c>
      <c r="C899" s="62" t="n"/>
      <c r="D899" s="62" t="n"/>
      <c r="E899" s="62" t="n"/>
      <c r="F899" s="62" t="n"/>
      <c r="G899" s="62" t="n"/>
      <c r="H899" s="62" t="n"/>
    </row>
    <row r="900"/>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row>
    <row r="904" ht="21" customHeight="1">
      <c r="A904" s="61" t="n"/>
      <c r="B904" s="44">
        <f>'設定'!$I$11</f>
        <v/>
      </c>
      <c r="C904" s="62" t="n"/>
      <c r="D904" s="62" t="n"/>
      <c r="E904" s="62" t="n"/>
      <c r="F904" s="62" t="n"/>
      <c r="G904" s="62" t="n"/>
      <c r="H904" s="62" t="n"/>
    </row>
    <row r="905" ht="21" customHeight="1">
      <c r="A905" s="61" t="n"/>
      <c r="B905" s="44">
        <f>'設定'!$I$12</f>
        <v/>
      </c>
      <c r="C905" s="62" t="n"/>
      <c r="D905" s="62" t="n"/>
      <c r="E905" s="62" t="n"/>
      <c r="F905" s="62" t="n"/>
      <c r="G905" s="62" t="n"/>
      <c r="H905" s="62" t="n"/>
    </row>
    <row r="906" ht="21" customHeight="1">
      <c r="A906" s="61" t="n"/>
      <c r="B906" s="44">
        <f>'設定'!$I$13</f>
        <v/>
      </c>
      <c r="C906" s="62" t="n"/>
      <c r="D906" s="62" t="n"/>
      <c r="E906" s="62" t="n"/>
      <c r="F906" s="62" t="n"/>
      <c r="G906" s="62" t="n"/>
      <c r="H906" s="62" t="n"/>
    </row>
    <row r="907" ht="21" customHeight="1">
      <c r="A907" s="61" t="n"/>
      <c r="B907" s="44">
        <f>'設定'!$I$14</f>
        <v/>
      </c>
      <c r="C907" s="62" t="n"/>
      <c r="D907" s="62" t="n"/>
      <c r="E907" s="62" t="n"/>
      <c r="F907" s="62" t="n"/>
      <c r="G907" s="62" t="n"/>
      <c r="H907" s="62" t="n"/>
    </row>
    <row r="908" ht="21" customHeight="1">
      <c r="A908" s="61" t="n"/>
      <c r="B908" s="44">
        <f>'設定'!$I$15</f>
        <v/>
      </c>
      <c r="C908" s="62" t="n"/>
      <c r="D908" s="62" t="n"/>
      <c r="E908" s="62" t="n"/>
      <c r="F908" s="62" t="n"/>
      <c r="G908" s="62" t="n"/>
      <c r="H908" s="62" t="n"/>
    </row>
    <row r="909" ht="21" customHeight="1">
      <c r="A909" s="61" t="n"/>
      <c r="B909" s="44">
        <f>'設定'!$I$16</f>
        <v/>
      </c>
      <c r="C909" s="62" t="n"/>
      <c r="D909" s="62" t="n"/>
      <c r="E909" s="62" t="n"/>
      <c r="F909" s="62" t="n"/>
      <c r="G909" s="62" t="n"/>
      <c r="H909" s="62" t="n"/>
    </row>
    <row r="910" ht="21" customHeight="1">
      <c r="A910" s="61" t="n"/>
      <c r="B910" s="44">
        <f>'設定'!$I$17</f>
        <v/>
      </c>
      <c r="C910" s="62" t="n"/>
      <c r="D910" s="62" t="n"/>
      <c r="E910" s="62" t="n"/>
      <c r="F910" s="62" t="n"/>
      <c r="G910" s="62" t="n"/>
      <c r="H910" s="62" t="n"/>
    </row>
    <row r="911" ht="21" customHeight="1">
      <c r="A911" s="61" t="n"/>
      <c r="B911" s="44">
        <f>'設定'!$I$18</f>
        <v/>
      </c>
      <c r="C911" s="62" t="n"/>
      <c r="D911" s="62" t="n"/>
      <c r="E911" s="62" t="n"/>
      <c r="F911" s="62" t="n"/>
      <c r="G911" s="62" t="n"/>
      <c r="H911" s="62" t="n"/>
    </row>
    <row r="912" ht="21" customHeight="1">
      <c r="A912" s="61" t="n"/>
      <c r="B912" s="44">
        <f>'設定'!$I$19</f>
        <v/>
      </c>
      <c r="C912" s="62" t="n"/>
      <c r="D912" s="62" t="n"/>
      <c r="E912" s="62" t="n"/>
      <c r="F912" s="62" t="n"/>
      <c r="G912" s="62" t="n"/>
      <c r="H912" s="62" t="n"/>
    </row>
    <row r="913" ht="21" customHeight="1">
      <c r="A913" s="61" t="n"/>
      <c r="B913" s="44">
        <f>'設定'!$I$20</f>
        <v/>
      </c>
      <c r="C913" s="62" t="n"/>
      <c r="D913" s="62" t="n"/>
      <c r="E913" s="62" t="n"/>
      <c r="F913" s="62" t="n"/>
      <c r="G913" s="62" t="n"/>
      <c r="H913" s="62" t="n"/>
    </row>
    <row r="914" ht="21" customHeight="1">
      <c r="A914" s="61" t="n"/>
      <c r="B914" s="44">
        <f>'設定'!$I$21</f>
        <v/>
      </c>
      <c r="C914" s="62" t="n"/>
      <c r="D914" s="62" t="n"/>
      <c r="E914" s="62" t="n"/>
      <c r="F914" s="62" t="n"/>
      <c r="G914" s="62" t="n"/>
      <c r="H914" s="62" t="n"/>
    </row>
    <row r="915" ht="21" customHeight="1">
      <c r="A915" s="61" t="n"/>
      <c r="B915" s="44">
        <f>'設定'!$I$22</f>
        <v/>
      </c>
      <c r="C915" s="62" t="n"/>
      <c r="D915" s="62" t="n"/>
      <c r="E915" s="62" t="n"/>
      <c r="F915" s="62" t="n"/>
      <c r="G915" s="62" t="n"/>
      <c r="H915" s="62" t="n"/>
    </row>
    <row r="916" ht="21" customHeight="1">
      <c r="A916" s="61" t="n"/>
      <c r="B916" s="44">
        <f>'設定'!$I$23</f>
        <v/>
      </c>
      <c r="C916" s="62" t="n"/>
      <c r="D916" s="62" t="n"/>
      <c r="E916" s="62" t="n"/>
      <c r="F916" s="62" t="n"/>
      <c r="G916" s="62" t="n"/>
      <c r="H916" s="62" t="n"/>
    </row>
    <row r="917" ht="21" customHeight="1">
      <c r="A917" s="61" t="n"/>
      <c r="B917" s="44">
        <f>'設定'!$I$24</f>
        <v/>
      </c>
      <c r="C917" s="62" t="n"/>
      <c r="D917" s="62" t="n"/>
      <c r="E917" s="62" t="n"/>
      <c r="F917" s="62" t="n"/>
      <c r="G917" s="62" t="n"/>
      <c r="H917" s="62" t="n"/>
    </row>
    <row r="918" ht="21" customHeight="1">
      <c r="A918" s="61" t="n"/>
      <c r="B918" s="44">
        <f>'設定'!$I$25</f>
        <v/>
      </c>
      <c r="C918" s="62" t="n"/>
      <c r="D918" s="62" t="n"/>
      <c r="E918" s="62" t="n"/>
      <c r="F918" s="62" t="n"/>
      <c r="G918" s="62" t="n"/>
      <c r="H918" s="62" t="n"/>
    </row>
    <row r="919" ht="21" customHeight="1">
      <c r="A919" s="61" t="n"/>
      <c r="B919" s="44">
        <f>'設定'!$I$26</f>
        <v/>
      </c>
      <c r="C919" s="62" t="n"/>
      <c r="D919" s="62" t="n"/>
      <c r="E919" s="62" t="n"/>
      <c r="F919" s="62" t="n"/>
      <c r="G919" s="62" t="n"/>
      <c r="H919" s="62" t="n"/>
    </row>
    <row r="920" ht="21" customHeight="1">
      <c r="A920" s="61" t="n"/>
      <c r="B920" s="44">
        <f>'設定'!$I$27</f>
        <v/>
      </c>
      <c r="C920" s="62" t="n"/>
      <c r="D920" s="62" t="n"/>
      <c r="E920" s="62" t="n"/>
      <c r="F920" s="62" t="n"/>
      <c r="G920" s="62" t="n"/>
      <c r="H920" s="62" t="n"/>
    </row>
    <row r="921" ht="21" customHeight="1">
      <c r="A921" s="61" t="n"/>
      <c r="B921" s="44">
        <f>'設定'!$I$28</f>
        <v/>
      </c>
      <c r="C921" s="62" t="n"/>
      <c r="D921" s="62" t="n"/>
      <c r="E921" s="62" t="n"/>
      <c r="F921" s="62" t="n"/>
      <c r="G921" s="62" t="n"/>
      <c r="H921" s="62" t="n"/>
    </row>
    <row r="922" ht="21" customHeight="1">
      <c r="A922" s="61" t="n"/>
      <c r="B922" s="44">
        <f>'設定'!$I$29</f>
        <v/>
      </c>
      <c r="C922" s="62" t="n"/>
      <c r="D922" s="62" t="n"/>
      <c r="E922" s="62" t="n"/>
      <c r="F922" s="62" t="n"/>
      <c r="G922" s="62" t="n"/>
      <c r="H922" s="62" t="n"/>
    </row>
    <row r="923" ht="21" customHeight="1">
      <c r="A923" s="61" t="n"/>
      <c r="B923" s="44">
        <f>'設定'!$I$30</f>
        <v/>
      </c>
      <c r="C923" s="62" t="n"/>
      <c r="D923" s="62" t="n"/>
      <c r="E923" s="62" t="n"/>
      <c r="F923" s="62" t="n"/>
      <c r="G923" s="62" t="n"/>
      <c r="H923" s="62" t="n"/>
    </row>
    <row r="924" ht="21" customHeight="1">
      <c r="A924" s="61" t="n"/>
      <c r="B924" s="44">
        <f>'設定'!$I$31</f>
        <v/>
      </c>
      <c r="C924" s="62" t="n"/>
      <c r="D924" s="62" t="n"/>
      <c r="E924" s="62" t="n"/>
      <c r="F924" s="62" t="n"/>
      <c r="G924" s="62" t="n"/>
      <c r="H924" s="62" t="n"/>
    </row>
    <row r="925" ht="21" customHeight="1">
      <c r="A925" s="61" t="n"/>
      <c r="B925" s="44">
        <f>'設定'!$I$32</f>
        <v/>
      </c>
      <c r="C925" s="62" t="n"/>
      <c r="D925" s="62" t="n"/>
      <c r="E925" s="62" t="n"/>
      <c r="F925" s="62" t="n"/>
      <c r="G925" s="62" t="n"/>
      <c r="H925" s="62" t="n"/>
    </row>
    <row r="926" ht="21" customHeight="1">
      <c r="A926" s="61" t="n"/>
      <c r="B926" s="44">
        <f>'設定'!$I$33</f>
        <v/>
      </c>
      <c r="C926" s="62" t="n"/>
      <c r="D926" s="62" t="n"/>
      <c r="E926" s="62" t="n"/>
      <c r="F926" s="62" t="n"/>
      <c r="G926" s="62" t="n"/>
      <c r="H926" s="62" t="n"/>
    </row>
    <row r="927" ht="21" customHeight="1">
      <c r="A927" s="61" t="n"/>
      <c r="B927" s="44">
        <f>'設定'!$I$34</f>
        <v/>
      </c>
      <c r="C927" s="62" t="n"/>
      <c r="D927" s="62" t="n"/>
      <c r="E927" s="62" t="n"/>
      <c r="F927" s="62" t="n"/>
      <c r="G927" s="62" t="n"/>
      <c r="H927" s="62" t="n"/>
    </row>
    <row r="928"/>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row>
    <row r="932" ht="21" customHeight="1">
      <c r="A932" s="61" t="n"/>
      <c r="B932" s="44">
        <f>'設定'!$I$11</f>
        <v/>
      </c>
      <c r="C932" s="62" t="n"/>
      <c r="D932" s="62" t="n"/>
      <c r="E932" s="62" t="n"/>
      <c r="F932" s="62" t="n"/>
      <c r="G932" s="62" t="n"/>
      <c r="H932" s="62" t="n"/>
    </row>
    <row r="933" ht="21" customHeight="1">
      <c r="A933" s="61" t="n"/>
      <c r="B933" s="44">
        <f>'設定'!$I$12</f>
        <v/>
      </c>
      <c r="C933" s="62" t="n"/>
      <c r="D933" s="62" t="n"/>
      <c r="E933" s="62" t="n"/>
      <c r="F933" s="62" t="n"/>
      <c r="G933" s="62" t="n"/>
      <c r="H933" s="62" t="n"/>
    </row>
    <row r="934" ht="21" customHeight="1">
      <c r="A934" s="61" t="n"/>
      <c r="B934" s="44">
        <f>'設定'!$I$13</f>
        <v/>
      </c>
      <c r="C934" s="62" t="n"/>
      <c r="D934" s="62" t="n"/>
      <c r="E934" s="62" t="n"/>
      <c r="F934" s="62" t="n"/>
      <c r="G934" s="62" t="n"/>
      <c r="H934" s="62" t="n"/>
    </row>
    <row r="935" ht="21" customHeight="1">
      <c r="A935" s="61" t="n"/>
      <c r="B935" s="44">
        <f>'設定'!$I$14</f>
        <v/>
      </c>
      <c r="C935" s="62" t="n"/>
      <c r="D935" s="62" t="n"/>
      <c r="E935" s="62" t="n"/>
      <c r="F935" s="62" t="n"/>
      <c r="G935" s="62" t="n"/>
      <c r="H935" s="62" t="n"/>
    </row>
    <row r="936" ht="21" customHeight="1">
      <c r="A936" s="61" t="n"/>
      <c r="B936" s="44">
        <f>'設定'!$I$15</f>
        <v/>
      </c>
      <c r="C936" s="62" t="n"/>
      <c r="D936" s="62" t="n"/>
      <c r="E936" s="62" t="n"/>
      <c r="F936" s="62" t="n"/>
      <c r="G936" s="62" t="n"/>
      <c r="H936" s="62" t="n"/>
    </row>
    <row r="937" ht="21" customHeight="1">
      <c r="A937" s="61" t="n"/>
      <c r="B937" s="44">
        <f>'設定'!$I$16</f>
        <v/>
      </c>
      <c r="C937" s="62" t="n"/>
      <c r="D937" s="62" t="n"/>
      <c r="E937" s="62" t="n"/>
      <c r="F937" s="62" t="n"/>
      <c r="G937" s="62" t="n"/>
      <c r="H937" s="62" t="n"/>
    </row>
    <row r="938" ht="21" customHeight="1">
      <c r="A938" s="61" t="n"/>
      <c r="B938" s="44">
        <f>'設定'!$I$17</f>
        <v/>
      </c>
      <c r="C938" s="62" t="n"/>
      <c r="D938" s="62" t="n"/>
      <c r="E938" s="62" t="n"/>
      <c r="F938" s="62" t="n"/>
      <c r="G938" s="62" t="n"/>
      <c r="H938" s="62" t="n"/>
    </row>
    <row r="939" ht="21" customHeight="1">
      <c r="A939" s="61" t="n"/>
      <c r="B939" s="44">
        <f>'設定'!$I$18</f>
        <v/>
      </c>
      <c r="C939" s="62" t="n"/>
      <c r="D939" s="62" t="n"/>
      <c r="E939" s="62" t="n"/>
      <c r="F939" s="62" t="n"/>
      <c r="G939" s="62" t="n"/>
      <c r="H939" s="62" t="n"/>
    </row>
    <row r="940" ht="21" customHeight="1">
      <c r="A940" s="61" t="n"/>
      <c r="B940" s="44">
        <f>'設定'!$I$19</f>
        <v/>
      </c>
      <c r="C940" s="62" t="n"/>
      <c r="D940" s="62" t="n"/>
      <c r="E940" s="62" t="n"/>
      <c r="F940" s="62" t="n"/>
      <c r="G940" s="62" t="n"/>
      <c r="H940" s="62" t="n"/>
    </row>
    <row r="941" ht="21" customHeight="1">
      <c r="A941" s="61" t="n"/>
      <c r="B941" s="44">
        <f>'設定'!$I$20</f>
        <v/>
      </c>
      <c r="C941" s="62" t="n"/>
      <c r="D941" s="62" t="n"/>
      <c r="E941" s="62" t="n"/>
      <c r="F941" s="62" t="n"/>
      <c r="G941" s="62" t="n"/>
      <c r="H941" s="62" t="n"/>
    </row>
    <row r="942" ht="21" customHeight="1">
      <c r="A942" s="61" t="n"/>
      <c r="B942" s="44">
        <f>'設定'!$I$21</f>
        <v/>
      </c>
      <c r="C942" s="62" t="n"/>
      <c r="D942" s="62" t="n"/>
      <c r="E942" s="62" t="n"/>
      <c r="F942" s="62" t="n"/>
      <c r="G942" s="62" t="n"/>
      <c r="H942" s="62" t="n"/>
    </row>
    <row r="943" ht="21" customHeight="1">
      <c r="A943" s="61" t="n"/>
      <c r="B943" s="44">
        <f>'設定'!$I$22</f>
        <v/>
      </c>
      <c r="C943" s="62" t="n"/>
      <c r="D943" s="62" t="n"/>
      <c r="E943" s="62" t="n"/>
      <c r="F943" s="62" t="n"/>
      <c r="G943" s="62" t="n"/>
      <c r="H943" s="62" t="n"/>
    </row>
    <row r="944" ht="21" customHeight="1">
      <c r="A944" s="61" t="n"/>
      <c r="B944" s="44">
        <f>'設定'!$I$23</f>
        <v/>
      </c>
      <c r="C944" s="62" t="n"/>
      <c r="D944" s="62" t="n"/>
      <c r="E944" s="62" t="n"/>
      <c r="F944" s="62" t="n"/>
      <c r="G944" s="62" t="n"/>
      <c r="H944" s="62" t="n"/>
    </row>
    <row r="945" ht="21" customHeight="1">
      <c r="A945" s="61" t="n"/>
      <c r="B945" s="44">
        <f>'設定'!$I$24</f>
        <v/>
      </c>
      <c r="C945" s="62" t="n"/>
      <c r="D945" s="62" t="n"/>
      <c r="E945" s="62" t="n"/>
      <c r="F945" s="62" t="n"/>
      <c r="G945" s="62" t="n"/>
      <c r="H945" s="62" t="n"/>
    </row>
    <row r="946" ht="21" customHeight="1">
      <c r="A946" s="61" t="n"/>
      <c r="B946" s="44">
        <f>'設定'!$I$25</f>
        <v/>
      </c>
      <c r="C946" s="62" t="n"/>
      <c r="D946" s="62" t="n"/>
      <c r="E946" s="62" t="n"/>
      <c r="F946" s="62" t="n"/>
      <c r="G946" s="62" t="n"/>
      <c r="H946" s="62" t="n"/>
    </row>
    <row r="947" ht="21" customHeight="1">
      <c r="A947" s="61" t="n"/>
      <c r="B947" s="44">
        <f>'設定'!$I$26</f>
        <v/>
      </c>
      <c r="C947" s="62" t="n"/>
      <c r="D947" s="62" t="n"/>
      <c r="E947" s="62" t="n"/>
      <c r="F947" s="62" t="n"/>
      <c r="G947" s="62" t="n"/>
      <c r="H947" s="62" t="n"/>
    </row>
    <row r="948" ht="21" customHeight="1">
      <c r="A948" s="61" t="n"/>
      <c r="B948" s="44">
        <f>'設定'!$I$27</f>
        <v/>
      </c>
      <c r="C948" s="62" t="n"/>
      <c r="D948" s="62" t="n"/>
      <c r="E948" s="62" t="n"/>
      <c r="F948" s="62" t="n"/>
      <c r="G948" s="62" t="n"/>
      <c r="H948" s="62" t="n"/>
    </row>
    <row r="949" ht="21" customHeight="1">
      <c r="A949" s="61" t="n"/>
      <c r="B949" s="44">
        <f>'設定'!$I$28</f>
        <v/>
      </c>
      <c r="C949" s="62" t="n"/>
      <c r="D949" s="62" t="n"/>
      <c r="E949" s="62" t="n"/>
      <c r="F949" s="62" t="n"/>
      <c r="G949" s="62" t="n"/>
      <c r="H949" s="62" t="n"/>
    </row>
    <row r="950" ht="21" customHeight="1">
      <c r="A950" s="61" t="n"/>
      <c r="B950" s="44">
        <f>'設定'!$I$29</f>
        <v/>
      </c>
      <c r="C950" s="62" t="n"/>
      <c r="D950" s="62" t="n"/>
      <c r="E950" s="62" t="n"/>
      <c r="F950" s="62" t="n"/>
      <c r="G950" s="62" t="n"/>
      <c r="H950" s="62" t="n"/>
    </row>
    <row r="951" ht="21" customHeight="1">
      <c r="A951" s="61" t="n"/>
      <c r="B951" s="44">
        <f>'設定'!$I$30</f>
        <v/>
      </c>
      <c r="C951" s="62" t="n"/>
      <c r="D951" s="62" t="n"/>
      <c r="E951" s="62" t="n"/>
      <c r="F951" s="62" t="n"/>
      <c r="G951" s="62" t="n"/>
      <c r="H951" s="62" t="n"/>
    </row>
    <row r="952" ht="21" customHeight="1">
      <c r="A952" s="61" t="n"/>
      <c r="B952" s="44">
        <f>'設定'!$I$31</f>
        <v/>
      </c>
      <c r="C952" s="62" t="n"/>
      <c r="D952" s="62" t="n"/>
      <c r="E952" s="62" t="n"/>
      <c r="F952" s="62" t="n"/>
      <c r="G952" s="62" t="n"/>
      <c r="H952" s="62" t="n"/>
    </row>
    <row r="953" ht="21" customHeight="1">
      <c r="A953" s="61" t="n"/>
      <c r="B953" s="44">
        <f>'設定'!$I$32</f>
        <v/>
      </c>
      <c r="C953" s="62" t="n"/>
      <c r="D953" s="62" t="n"/>
      <c r="E953" s="62" t="n"/>
      <c r="F953" s="62" t="n"/>
      <c r="G953" s="62" t="n"/>
      <c r="H953" s="62" t="n"/>
    </row>
    <row r="954" ht="21" customHeight="1">
      <c r="A954" s="61" t="n"/>
      <c r="B954" s="44">
        <f>'設定'!$I$33</f>
        <v/>
      </c>
      <c r="C954" s="62" t="n"/>
      <c r="D954" s="62" t="n"/>
      <c r="E954" s="62" t="n"/>
      <c r="F954" s="62" t="n"/>
      <c r="G954" s="62" t="n"/>
      <c r="H954" s="62" t="n"/>
    </row>
    <row r="955" ht="21" customHeight="1">
      <c r="A955" s="61" t="n"/>
      <c r="B955" s="44">
        <f>'設定'!$I$34</f>
        <v/>
      </c>
      <c r="C955" s="62" t="n"/>
      <c r="D955" s="62" t="n"/>
      <c r="E955" s="62" t="n"/>
      <c r="F955" s="62" t="n"/>
      <c r="G955" s="62" t="n"/>
      <c r="H955" s="62" t="n"/>
    </row>
    <row r="956"/>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row>
    <row r="960" ht="21" customHeight="1">
      <c r="A960" s="61" t="n"/>
      <c r="B960" s="44">
        <f>'設定'!$I$11</f>
        <v/>
      </c>
      <c r="C960" s="62" t="n"/>
      <c r="D960" s="62" t="n"/>
      <c r="E960" s="62" t="n"/>
      <c r="F960" s="62" t="n"/>
      <c r="G960" s="62" t="n"/>
      <c r="H960" s="62" t="n"/>
    </row>
    <row r="961" ht="21" customHeight="1">
      <c r="A961" s="61" t="n"/>
      <c r="B961" s="44">
        <f>'設定'!$I$12</f>
        <v/>
      </c>
      <c r="C961" s="62" t="n"/>
      <c r="D961" s="62" t="n"/>
      <c r="E961" s="62" t="n"/>
      <c r="F961" s="62" t="n"/>
      <c r="G961" s="62" t="n"/>
      <c r="H961" s="62" t="n"/>
    </row>
    <row r="962" ht="21" customHeight="1">
      <c r="A962" s="61" t="n"/>
      <c r="B962" s="44">
        <f>'設定'!$I$13</f>
        <v/>
      </c>
      <c r="C962" s="62" t="n"/>
      <c r="D962" s="62" t="n"/>
      <c r="E962" s="62" t="n"/>
      <c r="F962" s="62" t="n"/>
      <c r="G962" s="62" t="n"/>
      <c r="H962" s="62" t="n"/>
    </row>
    <row r="963" ht="21" customHeight="1">
      <c r="A963" s="61" t="n"/>
      <c r="B963" s="44">
        <f>'設定'!$I$14</f>
        <v/>
      </c>
      <c r="C963" s="62" t="n"/>
      <c r="D963" s="62" t="n"/>
      <c r="E963" s="62" t="n"/>
      <c r="F963" s="62" t="n"/>
      <c r="G963" s="62" t="n"/>
      <c r="H963" s="62" t="n"/>
    </row>
    <row r="964" ht="21" customHeight="1">
      <c r="A964" s="61" t="n"/>
      <c r="B964" s="44">
        <f>'設定'!$I$15</f>
        <v/>
      </c>
      <c r="C964" s="62" t="n"/>
      <c r="D964" s="62" t="n"/>
      <c r="E964" s="62" t="n"/>
      <c r="F964" s="62" t="n"/>
      <c r="G964" s="62" t="n"/>
      <c r="H964" s="62" t="n"/>
    </row>
    <row r="965" ht="21" customHeight="1">
      <c r="A965" s="61" t="n"/>
      <c r="B965" s="44">
        <f>'設定'!$I$16</f>
        <v/>
      </c>
      <c r="C965" s="62" t="n"/>
      <c r="D965" s="62" t="n"/>
      <c r="E965" s="62" t="n"/>
      <c r="F965" s="62" t="n"/>
      <c r="G965" s="62" t="n"/>
      <c r="H965" s="62" t="n"/>
    </row>
    <row r="966" ht="21" customHeight="1">
      <c r="A966" s="61" t="n"/>
      <c r="B966" s="44">
        <f>'設定'!$I$17</f>
        <v/>
      </c>
      <c r="C966" s="62" t="n"/>
      <c r="D966" s="62" t="n"/>
      <c r="E966" s="62" t="n"/>
      <c r="F966" s="62" t="n"/>
      <c r="G966" s="62" t="n"/>
      <c r="H966" s="62" t="n"/>
    </row>
    <row r="967" ht="21" customHeight="1">
      <c r="A967" s="61" t="n"/>
      <c r="B967" s="44">
        <f>'設定'!$I$18</f>
        <v/>
      </c>
      <c r="C967" s="62" t="n"/>
      <c r="D967" s="62" t="n"/>
      <c r="E967" s="62" t="n"/>
      <c r="F967" s="62" t="n"/>
      <c r="G967" s="62" t="n"/>
      <c r="H967" s="62" t="n"/>
    </row>
    <row r="968" ht="21" customHeight="1">
      <c r="A968" s="61" t="n"/>
      <c r="B968" s="44">
        <f>'設定'!$I$19</f>
        <v/>
      </c>
      <c r="C968" s="62" t="n"/>
      <c r="D968" s="62" t="n"/>
      <c r="E968" s="62" t="n"/>
      <c r="F968" s="62" t="n"/>
      <c r="G968" s="62" t="n"/>
      <c r="H968" s="62" t="n"/>
    </row>
    <row r="969" ht="21" customHeight="1">
      <c r="A969" s="61" t="n"/>
      <c r="B969" s="44">
        <f>'設定'!$I$20</f>
        <v/>
      </c>
      <c r="C969" s="62" t="n"/>
      <c r="D969" s="62" t="n"/>
      <c r="E969" s="62" t="n"/>
      <c r="F969" s="62" t="n"/>
      <c r="G969" s="62" t="n"/>
      <c r="H969" s="62" t="n"/>
    </row>
    <row r="970" ht="21" customHeight="1">
      <c r="A970" s="61" t="n"/>
      <c r="B970" s="44">
        <f>'設定'!$I$21</f>
        <v/>
      </c>
      <c r="C970" s="62" t="n"/>
      <c r="D970" s="62" t="n"/>
      <c r="E970" s="62" t="n"/>
      <c r="F970" s="62" t="n"/>
      <c r="G970" s="62" t="n"/>
      <c r="H970" s="62" t="n"/>
    </row>
    <row r="971" ht="21" customHeight="1">
      <c r="A971" s="61" t="n"/>
      <c r="B971" s="44">
        <f>'設定'!$I$22</f>
        <v/>
      </c>
      <c r="C971" s="62" t="n"/>
      <c r="D971" s="62" t="n"/>
      <c r="E971" s="62" t="n"/>
      <c r="F971" s="62" t="n"/>
      <c r="G971" s="62" t="n"/>
      <c r="H971" s="62" t="n"/>
    </row>
    <row r="972" ht="21" customHeight="1">
      <c r="A972" s="61" t="n"/>
      <c r="B972" s="44">
        <f>'設定'!$I$23</f>
        <v/>
      </c>
      <c r="C972" s="62" t="n"/>
      <c r="D972" s="62" t="n"/>
      <c r="E972" s="62" t="n"/>
      <c r="F972" s="62" t="n"/>
      <c r="G972" s="62" t="n"/>
      <c r="H972" s="62" t="n"/>
    </row>
    <row r="973" ht="21" customHeight="1">
      <c r="A973" s="61" t="n"/>
      <c r="B973" s="44">
        <f>'設定'!$I$24</f>
        <v/>
      </c>
      <c r="C973" s="62" t="n"/>
      <c r="D973" s="62" t="n"/>
      <c r="E973" s="62" t="n"/>
      <c r="F973" s="62" t="n"/>
      <c r="G973" s="62" t="n"/>
      <c r="H973" s="62" t="n"/>
    </row>
    <row r="974" ht="21" customHeight="1">
      <c r="A974" s="61" t="n"/>
      <c r="B974" s="44">
        <f>'設定'!$I$25</f>
        <v/>
      </c>
      <c r="C974" s="62" t="n"/>
      <c r="D974" s="62" t="n"/>
      <c r="E974" s="62" t="n"/>
      <c r="F974" s="62" t="n"/>
      <c r="G974" s="62" t="n"/>
      <c r="H974" s="62" t="n"/>
    </row>
    <row r="975" ht="21" customHeight="1">
      <c r="A975" s="61" t="n"/>
      <c r="B975" s="44">
        <f>'設定'!$I$26</f>
        <v/>
      </c>
      <c r="C975" s="62" t="n"/>
      <c r="D975" s="62" t="n"/>
      <c r="E975" s="62" t="n"/>
      <c r="F975" s="62" t="n"/>
      <c r="G975" s="62" t="n"/>
      <c r="H975" s="62" t="n"/>
    </row>
    <row r="976" ht="21" customHeight="1">
      <c r="A976" s="61" t="n"/>
      <c r="B976" s="44">
        <f>'設定'!$I$27</f>
        <v/>
      </c>
      <c r="C976" s="62" t="n"/>
      <c r="D976" s="62" t="n"/>
      <c r="E976" s="62" t="n"/>
      <c r="F976" s="62" t="n"/>
      <c r="G976" s="62" t="n"/>
      <c r="H976" s="62" t="n"/>
    </row>
    <row r="977" ht="21" customHeight="1">
      <c r="A977" s="61" t="n"/>
      <c r="B977" s="44">
        <f>'設定'!$I$28</f>
        <v/>
      </c>
      <c r="C977" s="62" t="n"/>
      <c r="D977" s="62" t="n"/>
      <c r="E977" s="62" t="n"/>
      <c r="F977" s="62" t="n"/>
      <c r="G977" s="62" t="n"/>
      <c r="H977" s="62" t="n"/>
    </row>
    <row r="978" ht="21" customHeight="1">
      <c r="A978" s="61" t="n"/>
      <c r="B978" s="44">
        <f>'設定'!$I$29</f>
        <v/>
      </c>
      <c r="C978" s="62" t="n"/>
      <c r="D978" s="62" t="n"/>
      <c r="E978" s="62" t="n"/>
      <c r="F978" s="62" t="n"/>
      <c r="G978" s="62" t="n"/>
      <c r="H978" s="62" t="n"/>
    </row>
    <row r="979" ht="21" customHeight="1">
      <c r="A979" s="61" t="n"/>
      <c r="B979" s="44">
        <f>'設定'!$I$30</f>
        <v/>
      </c>
      <c r="C979" s="62" t="n"/>
      <c r="D979" s="62" t="n"/>
      <c r="E979" s="62" t="n"/>
      <c r="F979" s="62" t="n"/>
      <c r="G979" s="62" t="n"/>
      <c r="H979" s="62" t="n"/>
    </row>
    <row r="980" ht="21" customHeight="1">
      <c r="A980" s="61" t="n"/>
      <c r="B980" s="44">
        <f>'設定'!$I$31</f>
        <v/>
      </c>
      <c r="C980" s="62" t="n"/>
      <c r="D980" s="62" t="n"/>
      <c r="E980" s="62" t="n"/>
      <c r="F980" s="62" t="n"/>
      <c r="G980" s="62" t="n"/>
      <c r="H980" s="62" t="n"/>
    </row>
    <row r="981" ht="21" customHeight="1">
      <c r="A981" s="61" t="n"/>
      <c r="B981" s="44">
        <f>'設定'!$I$32</f>
        <v/>
      </c>
      <c r="C981" s="62" t="n"/>
      <c r="D981" s="62" t="n"/>
      <c r="E981" s="62" t="n"/>
      <c r="F981" s="62" t="n"/>
      <c r="G981" s="62" t="n"/>
      <c r="H981" s="62" t="n"/>
    </row>
    <row r="982" ht="21" customHeight="1">
      <c r="A982" s="61" t="n"/>
      <c r="B982" s="44">
        <f>'設定'!$I$33</f>
        <v/>
      </c>
      <c r="C982" s="62" t="n"/>
      <c r="D982" s="62" t="n"/>
      <c r="E982" s="62" t="n"/>
      <c r="F982" s="62" t="n"/>
      <c r="G982" s="62" t="n"/>
      <c r="H982" s="62" t="n"/>
    </row>
    <row r="983" ht="21" customHeight="1">
      <c r="A983" s="61" t="n"/>
      <c r="B983" s="44">
        <f>'設定'!$I$34</f>
        <v/>
      </c>
      <c r="C983" s="62" t="n"/>
      <c r="D983" s="62" t="n"/>
      <c r="E983" s="62" t="n"/>
      <c r="F983" s="62" t="n"/>
      <c r="G983" s="62" t="n"/>
      <c r="H983" s="62" t="n"/>
    </row>
    <row r="984"/>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row>
    <row r="988" ht="21" customHeight="1">
      <c r="A988" s="61" t="n"/>
      <c r="B988" s="44">
        <f>'設定'!$I$11</f>
        <v/>
      </c>
      <c r="C988" s="62" t="n"/>
      <c r="D988" s="62" t="n"/>
      <c r="E988" s="62" t="n"/>
      <c r="F988" s="62" t="n"/>
      <c r="G988" s="62" t="n"/>
      <c r="H988" s="62" t="n"/>
    </row>
    <row r="989" ht="21" customHeight="1">
      <c r="A989" s="61" t="n"/>
      <c r="B989" s="44">
        <f>'設定'!$I$12</f>
        <v/>
      </c>
      <c r="C989" s="62" t="n"/>
      <c r="D989" s="62" t="n"/>
      <c r="E989" s="62" t="n"/>
      <c r="F989" s="62" t="n"/>
      <c r="G989" s="62" t="n"/>
      <c r="H989" s="62" t="n"/>
    </row>
    <row r="990" ht="21" customHeight="1">
      <c r="A990" s="61" t="n"/>
      <c r="B990" s="44">
        <f>'設定'!$I$13</f>
        <v/>
      </c>
      <c r="C990" s="62" t="n"/>
      <c r="D990" s="62" t="n"/>
      <c r="E990" s="62" t="n"/>
      <c r="F990" s="62" t="n"/>
      <c r="G990" s="62" t="n"/>
      <c r="H990" s="62" t="n"/>
    </row>
    <row r="991" ht="21" customHeight="1">
      <c r="A991" s="61" t="n"/>
      <c r="B991" s="44">
        <f>'設定'!$I$14</f>
        <v/>
      </c>
      <c r="C991" s="62" t="n"/>
      <c r="D991" s="62" t="n"/>
      <c r="E991" s="62" t="n"/>
      <c r="F991" s="62" t="n"/>
      <c r="G991" s="62" t="n"/>
      <c r="H991" s="62" t="n"/>
    </row>
    <row r="992" ht="21" customHeight="1">
      <c r="A992" s="61" t="n"/>
      <c r="B992" s="44">
        <f>'設定'!$I$15</f>
        <v/>
      </c>
      <c r="C992" s="62" t="n"/>
      <c r="D992" s="62" t="n"/>
      <c r="E992" s="62" t="n"/>
      <c r="F992" s="62" t="n"/>
      <c r="G992" s="62" t="n"/>
      <c r="H992" s="62" t="n"/>
    </row>
    <row r="993" ht="21" customHeight="1">
      <c r="A993" s="61" t="n"/>
      <c r="B993" s="44">
        <f>'設定'!$I$16</f>
        <v/>
      </c>
      <c r="C993" s="62" t="n"/>
      <c r="D993" s="62" t="n"/>
      <c r="E993" s="62" t="n"/>
      <c r="F993" s="62" t="n"/>
      <c r="G993" s="62" t="n"/>
      <c r="H993" s="62" t="n"/>
    </row>
    <row r="994" ht="21" customHeight="1">
      <c r="A994" s="61" t="n"/>
      <c r="B994" s="44">
        <f>'設定'!$I$17</f>
        <v/>
      </c>
      <c r="C994" s="62" t="n"/>
      <c r="D994" s="62" t="n"/>
      <c r="E994" s="62" t="n"/>
      <c r="F994" s="62" t="n"/>
      <c r="G994" s="62" t="n"/>
      <c r="H994" s="62" t="n"/>
    </row>
    <row r="995" ht="21" customHeight="1">
      <c r="A995" s="61" t="n"/>
      <c r="B995" s="44">
        <f>'設定'!$I$18</f>
        <v/>
      </c>
      <c r="C995" s="62" t="n"/>
      <c r="D995" s="62" t="n"/>
      <c r="E995" s="62" t="n"/>
      <c r="F995" s="62" t="n"/>
      <c r="G995" s="62" t="n"/>
      <c r="H995" s="62" t="n"/>
    </row>
    <row r="996" ht="21" customHeight="1">
      <c r="A996" s="61" t="n"/>
      <c r="B996" s="44">
        <f>'設定'!$I$19</f>
        <v/>
      </c>
      <c r="C996" s="62" t="n"/>
      <c r="D996" s="62" t="n"/>
      <c r="E996" s="62" t="n"/>
      <c r="F996" s="62" t="n"/>
      <c r="G996" s="62" t="n"/>
      <c r="H996" s="62" t="n"/>
    </row>
    <row r="997" ht="21" customHeight="1">
      <c r="A997" s="61" t="n"/>
      <c r="B997" s="44">
        <f>'設定'!$I$20</f>
        <v/>
      </c>
      <c r="C997" s="62" t="n"/>
      <c r="D997" s="62" t="n"/>
      <c r="E997" s="62" t="n"/>
      <c r="F997" s="62" t="n"/>
      <c r="G997" s="62" t="n"/>
      <c r="H997" s="62" t="n"/>
    </row>
    <row r="998" ht="21" customHeight="1">
      <c r="A998" s="61" t="n"/>
      <c r="B998" s="44">
        <f>'設定'!$I$21</f>
        <v/>
      </c>
      <c r="C998" s="62" t="n"/>
      <c r="D998" s="62" t="n"/>
      <c r="E998" s="62" t="n"/>
      <c r="F998" s="62" t="n"/>
      <c r="G998" s="62" t="n"/>
      <c r="H998" s="62" t="n"/>
    </row>
    <row r="999" ht="21" customHeight="1">
      <c r="A999" s="61" t="n"/>
      <c r="B999" s="44">
        <f>'設定'!$I$22</f>
        <v/>
      </c>
      <c r="C999" s="62" t="n"/>
      <c r="D999" s="62" t="n"/>
      <c r="E999" s="62" t="n"/>
      <c r="F999" s="62" t="n"/>
      <c r="G999" s="62" t="n"/>
      <c r="H999" s="62" t="n"/>
    </row>
    <row r="1000" ht="21" customHeight="1">
      <c r="A1000" s="61" t="n"/>
      <c r="B1000" s="44">
        <f>'設定'!$I$23</f>
        <v/>
      </c>
      <c r="C1000" s="62" t="n"/>
      <c r="D1000" s="62" t="n"/>
      <c r="E1000" s="62" t="n"/>
      <c r="F1000" s="62" t="n"/>
      <c r="G1000" s="62" t="n"/>
      <c r="H1000" s="62" t="n"/>
    </row>
    <row r="1001" ht="21" customHeight="1">
      <c r="A1001" s="61" t="n"/>
      <c r="B1001" s="44">
        <f>'設定'!$I$24</f>
        <v/>
      </c>
      <c r="C1001" s="62" t="n"/>
      <c r="D1001" s="62" t="n"/>
      <c r="E1001" s="62" t="n"/>
      <c r="F1001" s="62" t="n"/>
      <c r="G1001" s="62" t="n"/>
      <c r="H1001" s="62" t="n"/>
    </row>
    <row r="1002" ht="21" customHeight="1">
      <c r="A1002" s="61" t="n"/>
      <c r="B1002" s="44">
        <f>'設定'!$I$25</f>
        <v/>
      </c>
      <c r="C1002" s="62" t="n"/>
      <c r="D1002" s="62" t="n"/>
      <c r="E1002" s="62" t="n"/>
      <c r="F1002" s="62" t="n"/>
      <c r="G1002" s="62" t="n"/>
      <c r="H1002" s="62" t="n"/>
    </row>
    <row r="1003" ht="21" customHeight="1">
      <c r="A1003" s="61" t="n"/>
      <c r="B1003" s="44">
        <f>'設定'!$I$26</f>
        <v/>
      </c>
      <c r="C1003" s="62" t="n"/>
      <c r="D1003" s="62" t="n"/>
      <c r="E1003" s="62" t="n"/>
      <c r="F1003" s="62" t="n"/>
      <c r="G1003" s="62" t="n"/>
      <c r="H1003" s="62" t="n"/>
    </row>
    <row r="1004" ht="21" customHeight="1">
      <c r="A1004" s="61" t="n"/>
      <c r="B1004" s="44">
        <f>'設定'!$I$27</f>
        <v/>
      </c>
      <c r="C1004" s="62" t="n"/>
      <c r="D1004" s="62" t="n"/>
      <c r="E1004" s="62" t="n"/>
      <c r="F1004" s="62" t="n"/>
      <c r="G1004" s="62" t="n"/>
      <c r="H1004" s="62" t="n"/>
    </row>
    <row r="1005" ht="21" customHeight="1">
      <c r="A1005" s="61" t="n"/>
      <c r="B1005" s="44">
        <f>'設定'!$I$28</f>
        <v/>
      </c>
      <c r="C1005" s="62" t="n"/>
      <c r="D1005" s="62" t="n"/>
      <c r="E1005" s="62" t="n"/>
      <c r="F1005" s="62" t="n"/>
      <c r="G1005" s="62" t="n"/>
      <c r="H1005" s="62" t="n"/>
    </row>
    <row r="1006" ht="21" customHeight="1">
      <c r="A1006" s="61" t="n"/>
      <c r="B1006" s="44">
        <f>'設定'!$I$29</f>
        <v/>
      </c>
      <c r="C1006" s="62" t="n"/>
      <c r="D1006" s="62" t="n"/>
      <c r="E1006" s="62" t="n"/>
      <c r="F1006" s="62" t="n"/>
      <c r="G1006" s="62" t="n"/>
      <c r="H1006" s="62" t="n"/>
    </row>
    <row r="1007" ht="21" customHeight="1">
      <c r="A1007" s="61" t="n"/>
      <c r="B1007" s="44">
        <f>'設定'!$I$30</f>
        <v/>
      </c>
      <c r="C1007" s="62" t="n"/>
      <c r="D1007" s="62" t="n"/>
      <c r="E1007" s="62" t="n"/>
      <c r="F1007" s="62" t="n"/>
      <c r="G1007" s="62" t="n"/>
      <c r="H1007" s="62" t="n"/>
    </row>
    <row r="1008" ht="21" customHeight="1">
      <c r="A1008" s="61" t="n"/>
      <c r="B1008" s="44">
        <f>'設定'!$I$31</f>
        <v/>
      </c>
      <c r="C1008" s="62" t="n"/>
      <c r="D1008" s="62" t="n"/>
      <c r="E1008" s="62" t="n"/>
      <c r="F1008" s="62" t="n"/>
      <c r="G1008" s="62" t="n"/>
      <c r="H1008" s="62" t="n"/>
    </row>
    <row r="1009" ht="21" customHeight="1">
      <c r="A1009" s="61" t="n"/>
      <c r="B1009" s="44">
        <f>'設定'!$I$32</f>
        <v/>
      </c>
      <c r="C1009" s="62" t="n"/>
      <c r="D1009" s="62" t="n"/>
      <c r="E1009" s="62" t="n"/>
      <c r="F1009" s="62" t="n"/>
      <c r="G1009" s="62" t="n"/>
      <c r="H1009" s="62" t="n"/>
    </row>
    <row r="1010" ht="21" customHeight="1">
      <c r="A1010" s="61" t="n"/>
      <c r="B1010" s="44">
        <f>'設定'!$I$33</f>
        <v/>
      </c>
      <c r="C1010" s="62" t="n"/>
      <c r="D1010" s="62" t="n"/>
      <c r="E1010" s="62" t="n"/>
      <c r="F1010" s="62" t="n"/>
      <c r="G1010" s="62" t="n"/>
      <c r="H1010" s="62" t="n"/>
    </row>
    <row r="1011" ht="21" customHeight="1">
      <c r="A1011" s="61" t="n"/>
      <c r="B1011" s="44">
        <f>'設定'!$I$34</f>
        <v/>
      </c>
      <c r="C1011" s="62" t="n"/>
      <c r="D1011" s="62" t="n"/>
      <c r="E1011" s="62" t="n"/>
      <c r="F1011" s="62" t="n"/>
      <c r="G1011" s="62" t="n"/>
      <c r="H1011" s="62" t="n"/>
    </row>
    <row r="1012"/>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row>
    <row r="1016" ht="21" customHeight="1">
      <c r="A1016" s="61" t="n"/>
      <c r="B1016" s="44">
        <f>'設定'!$I$11</f>
        <v/>
      </c>
      <c r="C1016" s="62" t="n"/>
      <c r="D1016" s="62" t="n"/>
      <c r="E1016" s="62" t="n"/>
      <c r="F1016" s="62" t="n"/>
      <c r="G1016" s="62" t="n"/>
      <c r="H1016" s="62" t="n"/>
    </row>
    <row r="1017" ht="21" customHeight="1">
      <c r="A1017" s="61" t="n"/>
      <c r="B1017" s="44">
        <f>'設定'!$I$12</f>
        <v/>
      </c>
      <c r="C1017" s="62" t="n"/>
      <c r="D1017" s="62" t="n"/>
      <c r="E1017" s="62" t="n"/>
      <c r="F1017" s="62" t="n"/>
      <c r="G1017" s="62" t="n"/>
      <c r="H1017" s="62" t="n"/>
    </row>
    <row r="1018" ht="21" customHeight="1">
      <c r="A1018" s="61" t="n"/>
      <c r="B1018" s="44">
        <f>'設定'!$I$13</f>
        <v/>
      </c>
      <c r="C1018" s="62" t="n"/>
      <c r="D1018" s="62" t="n"/>
      <c r="E1018" s="62" t="n"/>
      <c r="F1018" s="62" t="n"/>
      <c r="G1018" s="62" t="n"/>
      <c r="H1018" s="62" t="n"/>
    </row>
    <row r="1019" ht="21" customHeight="1">
      <c r="A1019" s="61" t="n"/>
      <c r="B1019" s="44">
        <f>'設定'!$I$14</f>
        <v/>
      </c>
      <c r="C1019" s="62" t="n"/>
      <c r="D1019" s="62" t="n"/>
      <c r="E1019" s="62" t="n"/>
      <c r="F1019" s="62" t="n"/>
      <c r="G1019" s="62" t="n"/>
      <c r="H1019" s="62" t="n"/>
    </row>
    <row r="1020" ht="21" customHeight="1">
      <c r="A1020" s="61" t="n"/>
      <c r="B1020" s="44">
        <f>'設定'!$I$15</f>
        <v/>
      </c>
      <c r="C1020" s="62" t="n"/>
      <c r="D1020" s="62" t="n"/>
      <c r="E1020" s="62" t="n"/>
      <c r="F1020" s="62" t="n"/>
      <c r="G1020" s="62" t="n"/>
      <c r="H1020" s="62" t="n"/>
    </row>
    <row r="1021" ht="21" customHeight="1">
      <c r="A1021" s="61" t="n"/>
      <c r="B1021" s="44">
        <f>'設定'!$I$16</f>
        <v/>
      </c>
      <c r="C1021" s="62" t="n"/>
      <c r="D1021" s="62" t="n"/>
      <c r="E1021" s="62" t="n"/>
      <c r="F1021" s="62" t="n"/>
      <c r="G1021" s="62" t="n"/>
      <c r="H1021" s="62" t="n"/>
    </row>
    <row r="1022" ht="21" customHeight="1">
      <c r="A1022" s="61" t="n"/>
      <c r="B1022" s="44">
        <f>'設定'!$I$17</f>
        <v/>
      </c>
      <c r="C1022" s="62" t="n"/>
      <c r="D1022" s="62" t="n"/>
      <c r="E1022" s="62" t="n"/>
      <c r="F1022" s="62" t="n"/>
      <c r="G1022" s="62" t="n"/>
      <c r="H1022" s="62" t="n"/>
    </row>
    <row r="1023" ht="21" customHeight="1">
      <c r="A1023" s="61" t="n"/>
      <c r="B1023" s="44">
        <f>'設定'!$I$18</f>
        <v/>
      </c>
      <c r="C1023" s="62" t="n"/>
      <c r="D1023" s="62" t="n"/>
      <c r="E1023" s="62" t="n"/>
      <c r="F1023" s="62" t="n"/>
      <c r="G1023" s="62" t="n"/>
      <c r="H1023" s="62" t="n"/>
    </row>
    <row r="1024" ht="21" customHeight="1">
      <c r="A1024" s="61" t="n"/>
      <c r="B1024" s="44">
        <f>'設定'!$I$19</f>
        <v/>
      </c>
      <c r="C1024" s="62" t="n"/>
      <c r="D1024" s="62" t="n"/>
      <c r="E1024" s="62" t="n"/>
      <c r="F1024" s="62" t="n"/>
      <c r="G1024" s="62" t="n"/>
      <c r="H1024" s="62" t="n"/>
    </row>
    <row r="1025" ht="21" customHeight="1">
      <c r="A1025" s="61" t="n"/>
      <c r="B1025" s="44">
        <f>'設定'!$I$20</f>
        <v/>
      </c>
      <c r="C1025" s="62" t="n"/>
      <c r="D1025" s="62" t="n"/>
      <c r="E1025" s="62" t="n"/>
      <c r="F1025" s="62" t="n"/>
      <c r="G1025" s="62" t="n"/>
      <c r="H1025" s="62" t="n"/>
    </row>
    <row r="1026" ht="21" customHeight="1">
      <c r="A1026" s="61" t="n"/>
      <c r="B1026" s="44">
        <f>'設定'!$I$21</f>
        <v/>
      </c>
      <c r="C1026" s="62" t="n"/>
      <c r="D1026" s="62" t="n"/>
      <c r="E1026" s="62" t="n"/>
      <c r="F1026" s="62" t="n"/>
      <c r="G1026" s="62" t="n"/>
      <c r="H1026" s="62" t="n"/>
    </row>
    <row r="1027" ht="21" customHeight="1">
      <c r="A1027" s="61" t="n"/>
      <c r="B1027" s="44">
        <f>'設定'!$I$22</f>
        <v/>
      </c>
      <c r="C1027" s="62" t="n"/>
      <c r="D1027" s="62" t="n"/>
      <c r="E1027" s="62" t="n"/>
      <c r="F1027" s="62" t="n"/>
      <c r="G1027" s="62" t="n"/>
      <c r="H1027" s="62" t="n"/>
    </row>
    <row r="1028" ht="21" customHeight="1">
      <c r="A1028" s="61" t="n"/>
      <c r="B1028" s="44">
        <f>'設定'!$I$23</f>
        <v/>
      </c>
      <c r="C1028" s="62" t="n"/>
      <c r="D1028" s="62" t="n"/>
      <c r="E1028" s="62" t="n"/>
      <c r="F1028" s="62" t="n"/>
      <c r="G1028" s="62" t="n"/>
      <c r="H1028" s="62" t="n"/>
    </row>
    <row r="1029" ht="21" customHeight="1">
      <c r="A1029" s="61" t="n"/>
      <c r="B1029" s="44">
        <f>'設定'!$I$24</f>
        <v/>
      </c>
      <c r="C1029" s="62" t="n"/>
      <c r="D1029" s="62" t="n"/>
      <c r="E1029" s="62" t="n"/>
      <c r="F1029" s="62" t="n"/>
      <c r="G1029" s="62" t="n"/>
      <c r="H1029" s="62" t="n"/>
    </row>
    <row r="1030" ht="21" customHeight="1">
      <c r="A1030" s="61" t="n"/>
      <c r="B1030" s="44">
        <f>'設定'!$I$25</f>
        <v/>
      </c>
      <c r="C1030" s="62" t="n"/>
      <c r="D1030" s="62" t="n"/>
      <c r="E1030" s="62" t="n"/>
      <c r="F1030" s="62" t="n"/>
      <c r="G1030" s="62" t="n"/>
      <c r="H1030" s="62" t="n"/>
    </row>
    <row r="1031" ht="21" customHeight="1">
      <c r="A1031" s="61" t="n"/>
      <c r="B1031" s="44">
        <f>'設定'!$I$26</f>
        <v/>
      </c>
      <c r="C1031" s="62" t="n"/>
      <c r="D1031" s="62" t="n"/>
      <c r="E1031" s="62" t="n"/>
      <c r="F1031" s="62" t="n"/>
      <c r="G1031" s="62" t="n"/>
      <c r="H1031" s="62" t="n"/>
    </row>
    <row r="1032" ht="21" customHeight="1">
      <c r="A1032" s="61" t="n"/>
      <c r="B1032" s="44">
        <f>'設定'!$I$27</f>
        <v/>
      </c>
      <c r="C1032" s="62" t="n"/>
      <c r="D1032" s="62" t="n"/>
      <c r="E1032" s="62" t="n"/>
      <c r="F1032" s="62" t="n"/>
      <c r="G1032" s="62" t="n"/>
      <c r="H1032" s="62" t="n"/>
    </row>
    <row r="1033" ht="21" customHeight="1">
      <c r="A1033" s="61" t="n"/>
      <c r="B1033" s="44">
        <f>'設定'!$I$28</f>
        <v/>
      </c>
      <c r="C1033" s="62" t="n"/>
      <c r="D1033" s="62" t="n"/>
      <c r="E1033" s="62" t="n"/>
      <c r="F1033" s="62" t="n"/>
      <c r="G1033" s="62" t="n"/>
      <c r="H1033" s="62" t="n"/>
    </row>
    <row r="1034" ht="21" customHeight="1">
      <c r="A1034" s="61" t="n"/>
      <c r="B1034" s="44">
        <f>'設定'!$I$29</f>
        <v/>
      </c>
      <c r="C1034" s="62" t="n"/>
      <c r="D1034" s="62" t="n"/>
      <c r="E1034" s="62" t="n"/>
      <c r="F1034" s="62" t="n"/>
      <c r="G1034" s="62" t="n"/>
      <c r="H1034" s="62" t="n"/>
    </row>
    <row r="1035" ht="21" customHeight="1">
      <c r="A1035" s="61" t="n"/>
      <c r="B1035" s="44">
        <f>'設定'!$I$30</f>
        <v/>
      </c>
      <c r="C1035" s="62" t="n"/>
      <c r="D1035" s="62" t="n"/>
      <c r="E1035" s="62" t="n"/>
      <c r="F1035" s="62" t="n"/>
      <c r="G1035" s="62" t="n"/>
      <c r="H1035" s="62" t="n"/>
    </row>
    <row r="1036" ht="21" customHeight="1">
      <c r="A1036" s="61" t="n"/>
      <c r="B1036" s="44">
        <f>'設定'!$I$31</f>
        <v/>
      </c>
      <c r="C1036" s="62" t="n"/>
      <c r="D1036" s="62" t="n"/>
      <c r="E1036" s="62" t="n"/>
      <c r="F1036" s="62" t="n"/>
      <c r="G1036" s="62" t="n"/>
      <c r="H1036" s="62" t="n"/>
    </row>
    <row r="1037" ht="21" customHeight="1">
      <c r="A1037" s="61" t="n"/>
      <c r="B1037" s="44">
        <f>'設定'!$I$32</f>
        <v/>
      </c>
      <c r="C1037" s="62" t="n"/>
      <c r="D1037" s="62" t="n"/>
      <c r="E1037" s="62" t="n"/>
      <c r="F1037" s="62" t="n"/>
      <c r="G1037" s="62" t="n"/>
      <c r="H1037" s="62" t="n"/>
    </row>
    <row r="1038" ht="21" customHeight="1">
      <c r="A1038" s="61" t="n"/>
      <c r="B1038" s="44">
        <f>'設定'!$I$33</f>
        <v/>
      </c>
      <c r="C1038" s="62" t="n"/>
      <c r="D1038" s="62" t="n"/>
      <c r="E1038" s="62" t="n"/>
      <c r="F1038" s="62" t="n"/>
      <c r="G1038" s="62" t="n"/>
      <c r="H1038" s="62" t="n"/>
    </row>
    <row r="1039" ht="21" customHeight="1">
      <c r="A1039" s="61" t="n"/>
      <c r="B1039" s="44">
        <f>'設定'!$I$34</f>
        <v/>
      </c>
      <c r="C1039" s="62" t="n"/>
      <c r="D1039" s="62" t="n"/>
      <c r="E1039" s="62" t="n"/>
      <c r="F1039" s="62" t="n"/>
      <c r="G1039" s="62" t="n"/>
      <c r="H1039" s="62" t="n"/>
    </row>
    <row r="1040"/>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row>
    <row r="1044" ht="21" customHeight="1">
      <c r="A1044" s="61" t="n"/>
      <c r="B1044" s="44">
        <f>'設定'!$I$11</f>
        <v/>
      </c>
      <c r="C1044" s="62" t="n"/>
      <c r="D1044" s="62" t="n"/>
      <c r="E1044" s="62" t="n"/>
      <c r="F1044" s="62" t="n"/>
      <c r="G1044" s="62" t="n"/>
      <c r="H1044" s="62" t="n"/>
    </row>
    <row r="1045" ht="21" customHeight="1">
      <c r="A1045" s="61" t="n"/>
      <c r="B1045" s="44">
        <f>'設定'!$I$12</f>
        <v/>
      </c>
      <c r="C1045" s="62" t="n"/>
      <c r="D1045" s="62" t="n"/>
      <c r="E1045" s="62" t="n"/>
      <c r="F1045" s="62" t="n"/>
      <c r="G1045" s="62" t="n"/>
      <c r="H1045" s="62" t="n"/>
    </row>
    <row r="1046" ht="21" customHeight="1">
      <c r="A1046" s="61" t="n"/>
      <c r="B1046" s="44">
        <f>'設定'!$I$13</f>
        <v/>
      </c>
      <c r="C1046" s="62" t="n"/>
      <c r="D1046" s="62" t="n"/>
      <c r="E1046" s="62" t="n"/>
      <c r="F1046" s="62" t="n"/>
      <c r="G1046" s="62" t="n"/>
      <c r="H1046" s="62" t="n"/>
    </row>
    <row r="1047" ht="21" customHeight="1">
      <c r="A1047" s="61" t="n"/>
      <c r="B1047" s="44">
        <f>'設定'!$I$14</f>
        <v/>
      </c>
      <c r="C1047" s="62" t="n"/>
      <c r="D1047" s="62" t="n"/>
      <c r="E1047" s="62" t="n"/>
      <c r="F1047" s="62" t="n"/>
      <c r="G1047" s="62" t="n"/>
      <c r="H1047" s="62" t="n"/>
    </row>
    <row r="1048" ht="21" customHeight="1">
      <c r="A1048" s="61" t="n"/>
      <c r="B1048" s="44">
        <f>'設定'!$I$15</f>
        <v/>
      </c>
      <c r="C1048" s="62" t="n"/>
      <c r="D1048" s="62" t="n"/>
      <c r="E1048" s="62" t="n"/>
      <c r="F1048" s="62" t="n"/>
      <c r="G1048" s="62" t="n"/>
      <c r="H1048" s="62" t="n"/>
    </row>
    <row r="1049" ht="21" customHeight="1">
      <c r="A1049" s="61" t="n"/>
      <c r="B1049" s="44">
        <f>'設定'!$I$16</f>
        <v/>
      </c>
      <c r="C1049" s="62" t="n"/>
      <c r="D1049" s="62" t="n"/>
      <c r="E1049" s="62" t="n"/>
      <c r="F1049" s="62" t="n"/>
      <c r="G1049" s="62" t="n"/>
      <c r="H1049" s="62" t="n"/>
    </row>
    <row r="1050" ht="21" customHeight="1">
      <c r="A1050" s="61" t="n"/>
      <c r="B1050" s="44">
        <f>'設定'!$I$17</f>
        <v/>
      </c>
      <c r="C1050" s="62" t="n"/>
      <c r="D1050" s="62" t="n"/>
      <c r="E1050" s="62" t="n"/>
      <c r="F1050" s="62" t="n"/>
      <c r="G1050" s="62" t="n"/>
      <c r="H1050" s="62" t="n"/>
    </row>
    <row r="1051" ht="21" customHeight="1">
      <c r="A1051" s="61" t="n"/>
      <c r="B1051" s="44">
        <f>'設定'!$I$18</f>
        <v/>
      </c>
      <c r="C1051" s="62" t="n"/>
      <c r="D1051" s="62" t="n"/>
      <c r="E1051" s="62" t="n"/>
      <c r="F1051" s="62" t="n"/>
      <c r="G1051" s="62" t="n"/>
      <c r="H1051" s="62" t="n"/>
    </row>
    <row r="1052" ht="21" customHeight="1">
      <c r="A1052" s="61" t="n"/>
      <c r="B1052" s="44">
        <f>'設定'!$I$19</f>
        <v/>
      </c>
      <c r="C1052" s="62" t="n"/>
      <c r="D1052" s="62" t="n"/>
      <c r="E1052" s="62" t="n"/>
      <c r="F1052" s="62" t="n"/>
      <c r="G1052" s="62" t="n"/>
      <c r="H1052" s="62" t="n"/>
    </row>
    <row r="1053" ht="21" customHeight="1">
      <c r="A1053" s="61" t="n"/>
      <c r="B1053" s="44">
        <f>'設定'!$I$20</f>
        <v/>
      </c>
      <c r="C1053" s="62" t="n"/>
      <c r="D1053" s="62" t="n"/>
      <c r="E1053" s="62" t="n"/>
      <c r="F1053" s="62" t="n"/>
      <c r="G1053" s="62" t="n"/>
      <c r="H1053" s="62" t="n"/>
    </row>
    <row r="1054" ht="21" customHeight="1">
      <c r="A1054" s="61" t="n"/>
      <c r="B1054" s="44">
        <f>'設定'!$I$21</f>
        <v/>
      </c>
      <c r="C1054" s="62" t="n"/>
      <c r="D1054" s="62" t="n"/>
      <c r="E1054" s="62" t="n"/>
      <c r="F1054" s="62" t="n"/>
      <c r="G1054" s="62" t="n"/>
      <c r="H1054" s="62" t="n"/>
    </row>
    <row r="1055" ht="21" customHeight="1">
      <c r="A1055" s="61" t="n"/>
      <c r="B1055" s="44">
        <f>'設定'!$I$22</f>
        <v/>
      </c>
      <c r="C1055" s="62" t="n"/>
      <c r="D1055" s="62" t="n"/>
      <c r="E1055" s="62" t="n"/>
      <c r="F1055" s="62" t="n"/>
      <c r="G1055" s="62" t="n"/>
      <c r="H1055" s="62" t="n"/>
    </row>
    <row r="1056" ht="21" customHeight="1">
      <c r="A1056" s="61" t="n"/>
      <c r="B1056" s="44">
        <f>'設定'!$I$23</f>
        <v/>
      </c>
      <c r="C1056" s="62" t="n"/>
      <c r="D1056" s="62" t="n"/>
      <c r="E1056" s="62" t="n"/>
      <c r="F1056" s="62" t="n"/>
      <c r="G1056" s="62" t="n"/>
      <c r="H1056" s="62" t="n"/>
    </row>
    <row r="1057" ht="21" customHeight="1">
      <c r="A1057" s="61" t="n"/>
      <c r="B1057" s="44">
        <f>'設定'!$I$24</f>
        <v/>
      </c>
      <c r="C1057" s="62" t="n"/>
      <c r="D1057" s="62" t="n"/>
      <c r="E1057" s="62" t="n"/>
      <c r="F1057" s="62" t="n"/>
      <c r="G1057" s="62" t="n"/>
      <c r="H1057" s="62" t="n"/>
    </row>
    <row r="1058" ht="21" customHeight="1">
      <c r="A1058" s="61" t="n"/>
      <c r="B1058" s="44">
        <f>'設定'!$I$25</f>
        <v/>
      </c>
      <c r="C1058" s="62" t="n"/>
      <c r="D1058" s="62" t="n"/>
      <c r="E1058" s="62" t="n"/>
      <c r="F1058" s="62" t="n"/>
      <c r="G1058" s="62" t="n"/>
      <c r="H1058" s="62" t="n"/>
    </row>
    <row r="1059" ht="21" customHeight="1">
      <c r="A1059" s="61" t="n"/>
      <c r="B1059" s="44">
        <f>'設定'!$I$26</f>
        <v/>
      </c>
      <c r="C1059" s="62" t="n"/>
      <c r="D1059" s="62" t="n"/>
      <c r="E1059" s="62" t="n"/>
      <c r="F1059" s="62" t="n"/>
      <c r="G1059" s="62" t="n"/>
      <c r="H1059" s="62" t="n"/>
    </row>
    <row r="1060" ht="21" customHeight="1">
      <c r="A1060" s="61" t="n"/>
      <c r="B1060" s="44">
        <f>'設定'!$I$27</f>
        <v/>
      </c>
      <c r="C1060" s="62" t="n"/>
      <c r="D1060" s="62" t="n"/>
      <c r="E1060" s="62" t="n"/>
      <c r="F1060" s="62" t="n"/>
      <c r="G1060" s="62" t="n"/>
      <c r="H1060" s="62" t="n"/>
    </row>
    <row r="1061" ht="21" customHeight="1">
      <c r="A1061" s="61" t="n"/>
      <c r="B1061" s="44">
        <f>'設定'!$I$28</f>
        <v/>
      </c>
      <c r="C1061" s="62" t="n"/>
      <c r="D1061" s="62" t="n"/>
      <c r="E1061" s="62" t="n"/>
      <c r="F1061" s="62" t="n"/>
      <c r="G1061" s="62" t="n"/>
      <c r="H1061" s="62" t="n"/>
    </row>
    <row r="1062" ht="21" customHeight="1">
      <c r="A1062" s="61" t="n"/>
      <c r="B1062" s="44">
        <f>'設定'!$I$29</f>
        <v/>
      </c>
      <c r="C1062" s="62" t="n"/>
      <c r="D1062" s="62" t="n"/>
      <c r="E1062" s="62" t="n"/>
      <c r="F1062" s="62" t="n"/>
      <c r="G1062" s="62" t="n"/>
      <c r="H1062" s="62" t="n"/>
    </row>
    <row r="1063" ht="21" customHeight="1">
      <c r="A1063" s="61" t="n"/>
      <c r="B1063" s="44">
        <f>'設定'!$I$30</f>
        <v/>
      </c>
      <c r="C1063" s="62" t="n"/>
      <c r="D1063" s="62" t="n"/>
      <c r="E1063" s="62" t="n"/>
      <c r="F1063" s="62" t="n"/>
      <c r="G1063" s="62" t="n"/>
      <c r="H1063" s="62" t="n"/>
    </row>
    <row r="1064" ht="21" customHeight="1">
      <c r="A1064" s="61" t="n"/>
      <c r="B1064" s="44">
        <f>'設定'!$I$31</f>
        <v/>
      </c>
      <c r="C1064" s="62" t="n"/>
      <c r="D1064" s="62" t="n"/>
      <c r="E1064" s="62" t="n"/>
      <c r="F1064" s="62" t="n"/>
      <c r="G1064" s="62" t="n"/>
      <c r="H1064" s="62" t="n"/>
    </row>
    <row r="1065" ht="21" customHeight="1">
      <c r="A1065" s="61" t="n"/>
      <c r="B1065" s="44">
        <f>'設定'!$I$32</f>
        <v/>
      </c>
      <c r="C1065" s="62" t="n"/>
      <c r="D1065" s="62" t="n"/>
      <c r="E1065" s="62" t="n"/>
      <c r="F1065" s="62" t="n"/>
      <c r="G1065" s="62" t="n"/>
      <c r="H1065" s="62" t="n"/>
    </row>
    <row r="1066" ht="21" customHeight="1">
      <c r="A1066" s="61" t="n"/>
      <c r="B1066" s="44">
        <f>'設定'!$I$33</f>
        <v/>
      </c>
      <c r="C1066" s="62" t="n"/>
      <c r="D1066" s="62" t="n"/>
      <c r="E1066" s="62" t="n"/>
      <c r="F1066" s="62" t="n"/>
      <c r="G1066" s="62" t="n"/>
      <c r="H1066" s="62" t="n"/>
    </row>
    <row r="1067" ht="21" customHeight="1">
      <c r="A1067" s="61" t="n"/>
      <c r="B1067" s="44">
        <f>'設定'!$I$34</f>
        <v/>
      </c>
      <c r="C1067" s="62" t="n"/>
      <c r="D1067" s="62" t="n"/>
      <c r="E1067" s="62" t="n"/>
      <c r="F1067" s="62" t="n"/>
      <c r="G1067" s="62" t="n"/>
      <c r="H1067" s="62" t="n"/>
    </row>
    <row r="1068"/>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row>
    <row r="1072" ht="21" customHeight="1">
      <c r="A1072" s="61" t="n"/>
      <c r="B1072" s="44">
        <f>'設定'!$I$11</f>
        <v/>
      </c>
      <c r="C1072" s="62" t="n"/>
      <c r="D1072" s="62" t="n"/>
      <c r="E1072" s="62" t="n"/>
      <c r="F1072" s="62" t="n"/>
      <c r="G1072" s="62" t="n"/>
      <c r="H1072" s="62" t="n"/>
    </row>
    <row r="1073" ht="21" customHeight="1">
      <c r="A1073" s="61" t="n"/>
      <c r="B1073" s="44">
        <f>'設定'!$I$12</f>
        <v/>
      </c>
      <c r="C1073" s="62" t="n"/>
      <c r="D1073" s="62" t="n"/>
      <c r="E1073" s="62" t="n"/>
      <c r="F1073" s="62" t="n"/>
      <c r="G1073" s="62" t="n"/>
      <c r="H1073" s="62" t="n"/>
    </row>
    <row r="1074" ht="21" customHeight="1">
      <c r="A1074" s="61" t="n"/>
      <c r="B1074" s="44">
        <f>'設定'!$I$13</f>
        <v/>
      </c>
      <c r="C1074" s="62" t="n"/>
      <c r="D1074" s="62" t="n"/>
      <c r="E1074" s="62" t="n"/>
      <c r="F1074" s="62" t="n"/>
      <c r="G1074" s="62" t="n"/>
      <c r="H1074" s="62" t="n"/>
    </row>
    <row r="1075" ht="21" customHeight="1">
      <c r="A1075" s="61" t="n"/>
      <c r="B1075" s="44">
        <f>'設定'!$I$14</f>
        <v/>
      </c>
      <c r="C1075" s="62" t="n"/>
      <c r="D1075" s="62" t="n"/>
      <c r="E1075" s="62" t="n"/>
      <c r="F1075" s="62" t="n"/>
      <c r="G1075" s="62" t="n"/>
      <c r="H1075" s="62" t="n"/>
    </row>
    <row r="1076" ht="21" customHeight="1">
      <c r="A1076" s="61" t="n"/>
      <c r="B1076" s="44">
        <f>'設定'!$I$15</f>
        <v/>
      </c>
      <c r="C1076" s="62" t="n"/>
      <c r="D1076" s="62" t="n"/>
      <c r="E1076" s="62" t="n"/>
      <c r="F1076" s="62" t="n"/>
      <c r="G1076" s="62" t="n"/>
      <c r="H1076" s="62" t="n"/>
    </row>
    <row r="1077" ht="21" customHeight="1">
      <c r="A1077" s="61" t="n"/>
      <c r="B1077" s="44">
        <f>'設定'!$I$16</f>
        <v/>
      </c>
      <c r="C1077" s="62" t="n"/>
      <c r="D1077" s="62" t="n"/>
      <c r="E1077" s="62" t="n"/>
      <c r="F1077" s="62" t="n"/>
      <c r="G1077" s="62" t="n"/>
      <c r="H1077" s="62" t="n"/>
    </row>
    <row r="1078" ht="21" customHeight="1">
      <c r="A1078" s="61" t="n"/>
      <c r="B1078" s="44">
        <f>'設定'!$I$17</f>
        <v/>
      </c>
      <c r="C1078" s="62" t="n"/>
      <c r="D1078" s="62" t="n"/>
      <c r="E1078" s="62" t="n"/>
      <c r="F1078" s="62" t="n"/>
      <c r="G1078" s="62" t="n"/>
      <c r="H1078" s="62" t="n"/>
    </row>
    <row r="1079" ht="21" customHeight="1">
      <c r="A1079" s="61" t="n"/>
      <c r="B1079" s="44">
        <f>'設定'!$I$18</f>
        <v/>
      </c>
      <c r="C1079" s="62" t="n"/>
      <c r="D1079" s="62" t="n"/>
      <c r="E1079" s="62" t="n"/>
      <c r="F1079" s="62" t="n"/>
      <c r="G1079" s="62" t="n"/>
      <c r="H1079" s="62" t="n"/>
    </row>
    <row r="1080" ht="21" customHeight="1">
      <c r="A1080" s="61" t="n"/>
      <c r="B1080" s="44">
        <f>'設定'!$I$19</f>
        <v/>
      </c>
      <c r="C1080" s="62" t="n"/>
      <c r="D1080" s="62" t="n"/>
      <c r="E1080" s="62" t="n"/>
      <c r="F1080" s="62" t="n"/>
      <c r="G1080" s="62" t="n"/>
      <c r="H1080" s="62" t="n"/>
    </row>
    <row r="1081" ht="21" customHeight="1">
      <c r="A1081" s="61" t="n"/>
      <c r="B1081" s="44">
        <f>'設定'!$I$20</f>
        <v/>
      </c>
      <c r="C1081" s="62" t="n"/>
      <c r="D1081" s="62" t="n"/>
      <c r="E1081" s="62" t="n"/>
      <c r="F1081" s="62" t="n"/>
      <c r="G1081" s="62" t="n"/>
      <c r="H1081" s="62" t="n"/>
    </row>
    <row r="1082" ht="21" customHeight="1">
      <c r="A1082" s="61" t="n"/>
      <c r="B1082" s="44">
        <f>'設定'!$I$21</f>
        <v/>
      </c>
      <c r="C1082" s="62" t="n"/>
      <c r="D1082" s="62" t="n"/>
      <c r="E1082" s="62" t="n"/>
      <c r="F1082" s="62" t="n"/>
      <c r="G1082" s="62" t="n"/>
      <c r="H1082" s="62" t="n"/>
    </row>
    <row r="1083" ht="21" customHeight="1">
      <c r="A1083" s="61" t="n"/>
      <c r="B1083" s="44">
        <f>'設定'!$I$22</f>
        <v/>
      </c>
      <c r="C1083" s="62" t="n"/>
      <c r="D1083" s="62" t="n"/>
      <c r="E1083" s="62" t="n"/>
      <c r="F1083" s="62" t="n"/>
      <c r="G1083" s="62" t="n"/>
      <c r="H1083" s="62" t="n"/>
    </row>
    <row r="1084" ht="21" customHeight="1">
      <c r="A1084" s="61" t="n"/>
      <c r="B1084" s="44">
        <f>'設定'!$I$23</f>
        <v/>
      </c>
      <c r="C1084" s="62" t="n"/>
      <c r="D1084" s="62" t="n"/>
      <c r="E1084" s="62" t="n"/>
      <c r="F1084" s="62" t="n"/>
      <c r="G1084" s="62" t="n"/>
      <c r="H1084" s="62" t="n"/>
    </row>
    <row r="1085" ht="21" customHeight="1">
      <c r="A1085" s="61" t="n"/>
      <c r="B1085" s="44">
        <f>'設定'!$I$24</f>
        <v/>
      </c>
      <c r="C1085" s="62" t="n"/>
      <c r="D1085" s="62" t="n"/>
      <c r="E1085" s="62" t="n"/>
      <c r="F1085" s="62" t="n"/>
      <c r="G1085" s="62" t="n"/>
      <c r="H1085" s="62" t="n"/>
    </row>
    <row r="1086" ht="21" customHeight="1">
      <c r="A1086" s="61" t="n"/>
      <c r="B1086" s="44">
        <f>'設定'!$I$25</f>
        <v/>
      </c>
      <c r="C1086" s="62" t="n"/>
      <c r="D1086" s="62" t="n"/>
      <c r="E1086" s="62" t="n"/>
      <c r="F1086" s="62" t="n"/>
      <c r="G1086" s="62" t="n"/>
      <c r="H1086" s="62" t="n"/>
    </row>
    <row r="1087" ht="21" customHeight="1">
      <c r="A1087" s="61" t="n"/>
      <c r="B1087" s="44">
        <f>'設定'!$I$26</f>
        <v/>
      </c>
      <c r="C1087" s="62" t="n"/>
      <c r="D1087" s="62" t="n"/>
      <c r="E1087" s="62" t="n"/>
      <c r="F1087" s="62" t="n"/>
      <c r="G1087" s="62" t="n"/>
      <c r="H1087" s="62" t="n"/>
    </row>
    <row r="1088" ht="21" customHeight="1">
      <c r="A1088" s="61" t="n"/>
      <c r="B1088" s="44">
        <f>'設定'!$I$27</f>
        <v/>
      </c>
      <c r="C1088" s="62" t="n"/>
      <c r="D1088" s="62" t="n"/>
      <c r="E1088" s="62" t="n"/>
      <c r="F1088" s="62" t="n"/>
      <c r="G1088" s="62" t="n"/>
      <c r="H1088" s="62" t="n"/>
    </row>
    <row r="1089" ht="21" customHeight="1">
      <c r="A1089" s="61" t="n"/>
      <c r="B1089" s="44">
        <f>'設定'!$I$28</f>
        <v/>
      </c>
      <c r="C1089" s="62" t="n"/>
      <c r="D1089" s="62" t="n"/>
      <c r="E1089" s="62" t="n"/>
      <c r="F1089" s="62" t="n"/>
      <c r="G1089" s="62" t="n"/>
      <c r="H1089" s="62" t="n"/>
    </row>
    <row r="1090" ht="21" customHeight="1">
      <c r="A1090" s="61" t="n"/>
      <c r="B1090" s="44">
        <f>'設定'!$I$29</f>
        <v/>
      </c>
      <c r="C1090" s="62" t="n"/>
      <c r="D1090" s="62" t="n"/>
      <c r="E1090" s="62" t="n"/>
      <c r="F1090" s="62" t="n"/>
      <c r="G1090" s="62" t="n"/>
      <c r="H1090" s="62" t="n"/>
    </row>
    <row r="1091" ht="21" customHeight="1">
      <c r="A1091" s="61" t="n"/>
      <c r="B1091" s="44">
        <f>'設定'!$I$30</f>
        <v/>
      </c>
      <c r="C1091" s="62" t="n"/>
      <c r="D1091" s="62" t="n"/>
      <c r="E1091" s="62" t="n"/>
      <c r="F1091" s="62" t="n"/>
      <c r="G1091" s="62" t="n"/>
      <c r="H1091" s="62" t="n"/>
    </row>
    <row r="1092" ht="21" customHeight="1">
      <c r="A1092" s="61" t="n"/>
      <c r="B1092" s="44">
        <f>'設定'!$I$31</f>
        <v/>
      </c>
      <c r="C1092" s="62" t="n"/>
      <c r="D1092" s="62" t="n"/>
      <c r="E1092" s="62" t="n"/>
      <c r="F1092" s="62" t="n"/>
      <c r="G1092" s="62" t="n"/>
      <c r="H1092" s="62" t="n"/>
    </row>
    <row r="1093" ht="21" customHeight="1">
      <c r="A1093" s="61" t="n"/>
      <c r="B1093" s="44">
        <f>'設定'!$I$32</f>
        <v/>
      </c>
      <c r="C1093" s="62" t="n"/>
      <c r="D1093" s="62" t="n"/>
      <c r="E1093" s="62" t="n"/>
      <c r="F1093" s="62" t="n"/>
      <c r="G1093" s="62" t="n"/>
      <c r="H1093" s="62" t="n"/>
    </row>
    <row r="1094" ht="21" customHeight="1">
      <c r="A1094" s="61" t="n"/>
      <c r="B1094" s="44">
        <f>'設定'!$I$33</f>
        <v/>
      </c>
      <c r="C1094" s="62" t="n"/>
      <c r="D1094" s="62" t="n"/>
      <c r="E1094" s="62" t="n"/>
      <c r="F1094" s="62" t="n"/>
      <c r="G1094" s="62" t="n"/>
      <c r="H1094" s="62" t="n"/>
    </row>
    <row r="1095" ht="21" customHeight="1">
      <c r="A1095" s="61" t="n"/>
      <c r="B1095" s="44">
        <f>'設定'!$I$34</f>
        <v/>
      </c>
      <c r="C1095" s="62" t="n"/>
      <c r="D1095" s="62" t="n"/>
      <c r="E1095" s="62" t="n"/>
      <c r="F1095" s="62" t="n"/>
      <c r="G1095" s="62" t="n"/>
      <c r="H1095" s="62" t="n"/>
    </row>
    <row r="1096"/>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row>
    <row r="1100" ht="21" customHeight="1">
      <c r="A1100" s="61" t="n"/>
      <c r="B1100" s="44">
        <f>'設定'!$I$11</f>
        <v/>
      </c>
      <c r="C1100" s="62" t="n"/>
      <c r="D1100" s="62" t="n"/>
      <c r="E1100" s="62" t="n"/>
      <c r="F1100" s="62" t="n"/>
      <c r="G1100" s="62" t="n"/>
      <c r="H1100" s="62" t="n"/>
    </row>
    <row r="1101" ht="21" customHeight="1">
      <c r="A1101" s="61" t="n"/>
      <c r="B1101" s="44">
        <f>'設定'!$I$12</f>
        <v/>
      </c>
      <c r="C1101" s="62" t="n"/>
      <c r="D1101" s="62" t="n"/>
      <c r="E1101" s="62" t="n"/>
      <c r="F1101" s="62" t="n"/>
      <c r="G1101" s="62" t="n"/>
      <c r="H1101" s="62" t="n"/>
    </row>
    <row r="1102" ht="21" customHeight="1">
      <c r="A1102" s="61" t="n"/>
      <c r="B1102" s="44">
        <f>'設定'!$I$13</f>
        <v/>
      </c>
      <c r="C1102" s="62" t="n"/>
      <c r="D1102" s="62" t="n"/>
      <c r="E1102" s="62" t="n"/>
      <c r="F1102" s="62" t="n"/>
      <c r="G1102" s="62" t="n"/>
      <c r="H1102" s="62" t="n"/>
    </row>
    <row r="1103" ht="21" customHeight="1">
      <c r="A1103" s="61" t="n"/>
      <c r="B1103" s="44">
        <f>'設定'!$I$14</f>
        <v/>
      </c>
      <c r="C1103" s="62" t="n"/>
      <c r="D1103" s="62" t="n"/>
      <c r="E1103" s="62" t="n"/>
      <c r="F1103" s="62" t="n"/>
      <c r="G1103" s="62" t="n"/>
      <c r="H1103" s="62" t="n"/>
    </row>
    <row r="1104" ht="21" customHeight="1">
      <c r="A1104" s="61" t="n"/>
      <c r="B1104" s="44">
        <f>'設定'!$I$15</f>
        <v/>
      </c>
      <c r="C1104" s="62" t="n"/>
      <c r="D1104" s="62" t="n"/>
      <c r="E1104" s="62" t="n"/>
      <c r="F1104" s="62" t="n"/>
      <c r="G1104" s="62" t="n"/>
      <c r="H1104" s="62" t="n"/>
    </row>
    <row r="1105" ht="21" customHeight="1">
      <c r="A1105" s="61" t="n"/>
      <c r="B1105" s="44">
        <f>'設定'!$I$16</f>
        <v/>
      </c>
      <c r="C1105" s="62" t="n"/>
      <c r="D1105" s="62" t="n"/>
      <c r="E1105" s="62" t="n"/>
      <c r="F1105" s="62" t="n"/>
      <c r="G1105" s="62" t="n"/>
      <c r="H1105" s="62" t="n"/>
    </row>
    <row r="1106" ht="21" customHeight="1">
      <c r="A1106" s="61" t="n"/>
      <c r="B1106" s="44">
        <f>'設定'!$I$17</f>
        <v/>
      </c>
      <c r="C1106" s="62" t="n"/>
      <c r="D1106" s="62" t="n"/>
      <c r="E1106" s="62" t="n"/>
      <c r="F1106" s="62" t="n"/>
      <c r="G1106" s="62" t="n"/>
      <c r="H1106" s="62" t="n"/>
    </row>
    <row r="1107" ht="21" customHeight="1">
      <c r="A1107" s="61" t="n"/>
      <c r="B1107" s="44">
        <f>'設定'!$I$18</f>
        <v/>
      </c>
      <c r="C1107" s="62" t="n"/>
      <c r="D1107" s="62" t="n"/>
      <c r="E1107" s="62" t="n"/>
      <c r="F1107" s="62" t="n"/>
      <c r="G1107" s="62" t="n"/>
      <c r="H1107" s="62" t="n"/>
    </row>
    <row r="1108" ht="21" customHeight="1">
      <c r="A1108" s="61" t="n"/>
      <c r="B1108" s="44">
        <f>'設定'!$I$19</f>
        <v/>
      </c>
      <c r="C1108" s="62" t="n"/>
      <c r="D1108" s="62" t="n"/>
      <c r="E1108" s="62" t="n"/>
      <c r="F1108" s="62" t="n"/>
      <c r="G1108" s="62" t="n"/>
      <c r="H1108" s="62" t="n"/>
    </row>
    <row r="1109" ht="21" customHeight="1">
      <c r="A1109" s="61" t="n"/>
      <c r="B1109" s="44">
        <f>'設定'!$I$20</f>
        <v/>
      </c>
      <c r="C1109" s="62" t="n"/>
      <c r="D1109" s="62" t="n"/>
      <c r="E1109" s="62" t="n"/>
      <c r="F1109" s="62" t="n"/>
      <c r="G1109" s="62" t="n"/>
      <c r="H1109" s="62" t="n"/>
    </row>
    <row r="1110" ht="21" customHeight="1">
      <c r="A1110" s="61" t="n"/>
      <c r="B1110" s="44">
        <f>'設定'!$I$21</f>
        <v/>
      </c>
      <c r="C1110" s="62" t="n"/>
      <c r="D1110" s="62" t="n"/>
      <c r="E1110" s="62" t="n"/>
      <c r="F1110" s="62" t="n"/>
      <c r="G1110" s="62" t="n"/>
      <c r="H1110" s="62" t="n"/>
    </row>
    <row r="1111" ht="21" customHeight="1">
      <c r="A1111" s="61" t="n"/>
      <c r="B1111" s="44">
        <f>'設定'!$I$22</f>
        <v/>
      </c>
      <c r="C1111" s="62" t="n"/>
      <c r="D1111" s="62" t="n"/>
      <c r="E1111" s="62" t="n"/>
      <c r="F1111" s="62" t="n"/>
      <c r="G1111" s="62" t="n"/>
      <c r="H1111" s="62" t="n"/>
    </row>
    <row r="1112" ht="21" customHeight="1">
      <c r="A1112" s="61" t="n"/>
      <c r="B1112" s="44">
        <f>'設定'!$I$23</f>
        <v/>
      </c>
      <c r="C1112" s="62" t="n"/>
      <c r="D1112" s="62" t="n"/>
      <c r="E1112" s="62" t="n"/>
      <c r="F1112" s="62" t="n"/>
      <c r="G1112" s="62" t="n"/>
      <c r="H1112" s="62" t="n"/>
    </row>
    <row r="1113" ht="21" customHeight="1">
      <c r="A1113" s="61" t="n"/>
      <c r="B1113" s="44">
        <f>'設定'!$I$24</f>
        <v/>
      </c>
      <c r="C1113" s="62" t="n"/>
      <c r="D1113" s="62" t="n"/>
      <c r="E1113" s="62" t="n"/>
      <c r="F1113" s="62" t="n"/>
      <c r="G1113" s="62" t="n"/>
      <c r="H1113" s="62" t="n"/>
    </row>
    <row r="1114" ht="21" customHeight="1">
      <c r="A1114" s="61" t="n"/>
      <c r="B1114" s="44">
        <f>'設定'!$I$25</f>
        <v/>
      </c>
      <c r="C1114" s="62" t="n"/>
      <c r="D1114" s="62" t="n"/>
      <c r="E1114" s="62" t="n"/>
      <c r="F1114" s="62" t="n"/>
      <c r="G1114" s="62" t="n"/>
      <c r="H1114" s="62" t="n"/>
    </row>
    <row r="1115" ht="21" customHeight="1">
      <c r="A1115" s="61" t="n"/>
      <c r="B1115" s="44">
        <f>'設定'!$I$26</f>
        <v/>
      </c>
      <c r="C1115" s="62" t="n"/>
      <c r="D1115" s="62" t="n"/>
      <c r="E1115" s="62" t="n"/>
      <c r="F1115" s="62" t="n"/>
      <c r="G1115" s="62" t="n"/>
      <c r="H1115" s="62" t="n"/>
    </row>
    <row r="1116" ht="21" customHeight="1">
      <c r="A1116" s="61" t="n"/>
      <c r="B1116" s="44">
        <f>'設定'!$I$27</f>
        <v/>
      </c>
      <c r="C1116" s="62" t="n"/>
      <c r="D1116" s="62" t="n"/>
      <c r="E1116" s="62" t="n"/>
      <c r="F1116" s="62" t="n"/>
      <c r="G1116" s="62" t="n"/>
      <c r="H1116" s="62" t="n"/>
    </row>
    <row r="1117" ht="21" customHeight="1">
      <c r="A1117" s="61" t="n"/>
      <c r="B1117" s="44">
        <f>'設定'!$I$28</f>
        <v/>
      </c>
      <c r="C1117" s="62" t="n"/>
      <c r="D1117" s="62" t="n"/>
      <c r="E1117" s="62" t="n"/>
      <c r="F1117" s="62" t="n"/>
      <c r="G1117" s="62" t="n"/>
      <c r="H1117" s="62" t="n"/>
    </row>
    <row r="1118" ht="21" customHeight="1">
      <c r="A1118" s="61" t="n"/>
      <c r="B1118" s="44">
        <f>'設定'!$I$29</f>
        <v/>
      </c>
      <c r="C1118" s="62" t="n"/>
      <c r="D1118" s="62" t="n"/>
      <c r="E1118" s="62" t="n"/>
      <c r="F1118" s="62" t="n"/>
      <c r="G1118" s="62" t="n"/>
      <c r="H1118" s="62" t="n"/>
    </row>
    <row r="1119" ht="21" customHeight="1">
      <c r="A1119" s="61" t="n"/>
      <c r="B1119" s="44">
        <f>'設定'!$I$30</f>
        <v/>
      </c>
      <c r="C1119" s="62" t="n"/>
      <c r="D1119" s="62" t="n"/>
      <c r="E1119" s="62" t="n"/>
      <c r="F1119" s="62" t="n"/>
      <c r="G1119" s="62" t="n"/>
      <c r="H1119" s="62" t="n"/>
    </row>
    <row r="1120" ht="21" customHeight="1">
      <c r="A1120" s="61" t="n"/>
      <c r="B1120" s="44">
        <f>'設定'!$I$31</f>
        <v/>
      </c>
      <c r="C1120" s="62" t="n"/>
      <c r="D1120" s="62" t="n"/>
      <c r="E1120" s="62" t="n"/>
      <c r="F1120" s="62" t="n"/>
      <c r="G1120" s="62" t="n"/>
      <c r="H1120" s="62" t="n"/>
    </row>
    <row r="1121" ht="21" customHeight="1">
      <c r="A1121" s="61" t="n"/>
      <c r="B1121" s="44">
        <f>'設定'!$I$32</f>
        <v/>
      </c>
      <c r="C1121" s="62" t="n"/>
      <c r="D1121" s="62" t="n"/>
      <c r="E1121" s="62" t="n"/>
      <c r="F1121" s="62" t="n"/>
      <c r="G1121" s="62" t="n"/>
      <c r="H1121" s="62" t="n"/>
    </row>
    <row r="1122" ht="21" customHeight="1">
      <c r="A1122" s="61" t="n"/>
      <c r="B1122" s="44">
        <f>'設定'!$I$33</f>
        <v/>
      </c>
      <c r="C1122" s="62" t="n"/>
      <c r="D1122" s="62" t="n"/>
      <c r="E1122" s="62" t="n"/>
      <c r="F1122" s="62" t="n"/>
      <c r="G1122" s="62" t="n"/>
      <c r="H1122" s="62" t="n"/>
    </row>
    <row r="1123" ht="21" customHeight="1">
      <c r="A1123" s="61" t="n"/>
      <c r="B1123" s="44">
        <f>'設定'!$I$34</f>
        <v/>
      </c>
      <c r="C1123" s="62" t="n"/>
      <c r="D1123" s="62" t="n"/>
      <c r="E1123" s="62" t="n"/>
      <c r="F1123" s="62" t="n"/>
      <c r="G1123" s="62" t="n"/>
      <c r="H1123" s="62" t="n"/>
    </row>
    <row r="1124"/>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row>
    <row r="1128" ht="21" customHeight="1">
      <c r="A1128" s="61" t="n"/>
      <c r="B1128" s="44">
        <f>'設定'!$I$11</f>
        <v/>
      </c>
      <c r="C1128" s="62" t="n"/>
      <c r="D1128" s="62" t="n"/>
      <c r="E1128" s="62" t="n"/>
      <c r="F1128" s="62" t="n"/>
      <c r="G1128" s="62" t="n"/>
      <c r="H1128" s="62" t="n"/>
    </row>
    <row r="1129" ht="21" customHeight="1">
      <c r="A1129" s="61" t="n"/>
      <c r="B1129" s="44">
        <f>'設定'!$I$12</f>
        <v/>
      </c>
      <c r="C1129" s="62" t="n"/>
      <c r="D1129" s="62" t="n"/>
      <c r="E1129" s="62" t="n"/>
      <c r="F1129" s="62" t="n"/>
      <c r="G1129" s="62" t="n"/>
      <c r="H1129" s="62" t="n"/>
    </row>
    <row r="1130" ht="21" customHeight="1">
      <c r="A1130" s="61" t="n"/>
      <c r="B1130" s="44">
        <f>'設定'!$I$13</f>
        <v/>
      </c>
      <c r="C1130" s="62" t="n"/>
      <c r="D1130" s="62" t="n"/>
      <c r="E1130" s="62" t="n"/>
      <c r="F1130" s="62" t="n"/>
      <c r="G1130" s="62" t="n"/>
      <c r="H1130" s="62" t="n"/>
    </row>
    <row r="1131" ht="21" customHeight="1">
      <c r="A1131" s="61" t="n"/>
      <c r="B1131" s="44">
        <f>'設定'!$I$14</f>
        <v/>
      </c>
      <c r="C1131" s="62" t="n"/>
      <c r="D1131" s="62" t="n"/>
      <c r="E1131" s="62" t="n"/>
      <c r="F1131" s="62" t="n"/>
      <c r="G1131" s="62" t="n"/>
      <c r="H1131" s="62" t="n"/>
    </row>
    <row r="1132" ht="21" customHeight="1">
      <c r="A1132" s="61" t="n"/>
      <c r="B1132" s="44">
        <f>'設定'!$I$15</f>
        <v/>
      </c>
      <c r="C1132" s="62" t="n"/>
      <c r="D1132" s="62" t="n"/>
      <c r="E1132" s="62" t="n"/>
      <c r="F1132" s="62" t="n"/>
      <c r="G1132" s="62" t="n"/>
      <c r="H1132" s="62" t="n"/>
    </row>
    <row r="1133" ht="21" customHeight="1">
      <c r="A1133" s="61" t="n"/>
      <c r="B1133" s="44">
        <f>'設定'!$I$16</f>
        <v/>
      </c>
      <c r="C1133" s="62" t="n"/>
      <c r="D1133" s="62" t="n"/>
      <c r="E1133" s="62" t="n"/>
      <c r="F1133" s="62" t="n"/>
      <c r="G1133" s="62" t="n"/>
      <c r="H1133" s="62" t="n"/>
    </row>
    <row r="1134" ht="21" customHeight="1">
      <c r="A1134" s="61" t="n"/>
      <c r="B1134" s="44">
        <f>'設定'!$I$17</f>
        <v/>
      </c>
      <c r="C1134" s="62" t="n"/>
      <c r="D1134" s="62" t="n"/>
      <c r="E1134" s="62" t="n"/>
      <c r="F1134" s="62" t="n"/>
      <c r="G1134" s="62" t="n"/>
      <c r="H1134" s="62" t="n"/>
    </row>
    <row r="1135" ht="21" customHeight="1">
      <c r="A1135" s="61" t="n"/>
      <c r="B1135" s="44">
        <f>'設定'!$I$18</f>
        <v/>
      </c>
      <c r="C1135" s="62" t="n"/>
      <c r="D1135" s="62" t="n"/>
      <c r="E1135" s="62" t="n"/>
      <c r="F1135" s="62" t="n"/>
      <c r="G1135" s="62" t="n"/>
      <c r="H1135" s="62" t="n"/>
    </row>
    <row r="1136" ht="21" customHeight="1">
      <c r="A1136" s="61" t="n"/>
      <c r="B1136" s="44">
        <f>'設定'!$I$19</f>
        <v/>
      </c>
      <c r="C1136" s="62" t="n"/>
      <c r="D1136" s="62" t="n"/>
      <c r="E1136" s="62" t="n"/>
      <c r="F1136" s="62" t="n"/>
      <c r="G1136" s="62" t="n"/>
      <c r="H1136" s="62" t="n"/>
    </row>
    <row r="1137" ht="21" customHeight="1">
      <c r="A1137" s="61" t="n"/>
      <c r="B1137" s="44">
        <f>'設定'!$I$20</f>
        <v/>
      </c>
      <c r="C1137" s="62" t="n"/>
      <c r="D1137" s="62" t="n"/>
      <c r="E1137" s="62" t="n"/>
      <c r="F1137" s="62" t="n"/>
      <c r="G1137" s="62" t="n"/>
      <c r="H1137" s="62" t="n"/>
    </row>
    <row r="1138" ht="21" customHeight="1">
      <c r="A1138" s="61" t="n"/>
      <c r="B1138" s="44">
        <f>'設定'!$I$21</f>
        <v/>
      </c>
      <c r="C1138" s="62" t="n"/>
      <c r="D1138" s="62" t="n"/>
      <c r="E1138" s="62" t="n"/>
      <c r="F1138" s="62" t="n"/>
      <c r="G1138" s="62" t="n"/>
      <c r="H1138" s="62" t="n"/>
    </row>
    <row r="1139" ht="21" customHeight="1">
      <c r="A1139" s="61" t="n"/>
      <c r="B1139" s="44">
        <f>'設定'!$I$22</f>
        <v/>
      </c>
      <c r="C1139" s="62" t="n"/>
      <c r="D1139" s="62" t="n"/>
      <c r="E1139" s="62" t="n"/>
      <c r="F1139" s="62" t="n"/>
      <c r="G1139" s="62" t="n"/>
      <c r="H1139" s="62" t="n"/>
    </row>
    <row r="1140" ht="21" customHeight="1">
      <c r="A1140" s="61" t="n"/>
      <c r="B1140" s="44">
        <f>'設定'!$I$23</f>
        <v/>
      </c>
      <c r="C1140" s="62" t="n"/>
      <c r="D1140" s="62" t="n"/>
      <c r="E1140" s="62" t="n"/>
      <c r="F1140" s="62" t="n"/>
      <c r="G1140" s="62" t="n"/>
      <c r="H1140" s="62" t="n"/>
    </row>
    <row r="1141" ht="21" customHeight="1">
      <c r="A1141" s="61" t="n"/>
      <c r="B1141" s="44">
        <f>'設定'!$I$24</f>
        <v/>
      </c>
      <c r="C1141" s="62" t="n"/>
      <c r="D1141" s="62" t="n"/>
      <c r="E1141" s="62" t="n"/>
      <c r="F1141" s="62" t="n"/>
      <c r="G1141" s="62" t="n"/>
      <c r="H1141" s="62" t="n"/>
    </row>
    <row r="1142" ht="21" customHeight="1">
      <c r="A1142" s="61" t="n"/>
      <c r="B1142" s="44">
        <f>'設定'!$I$25</f>
        <v/>
      </c>
      <c r="C1142" s="62" t="n"/>
      <c r="D1142" s="62" t="n"/>
      <c r="E1142" s="62" t="n"/>
      <c r="F1142" s="62" t="n"/>
      <c r="G1142" s="62" t="n"/>
      <c r="H1142" s="62" t="n"/>
    </row>
    <row r="1143" ht="21" customHeight="1">
      <c r="A1143" s="61" t="n"/>
      <c r="B1143" s="44">
        <f>'設定'!$I$26</f>
        <v/>
      </c>
      <c r="C1143" s="62" t="n"/>
      <c r="D1143" s="62" t="n"/>
      <c r="E1143" s="62" t="n"/>
      <c r="F1143" s="62" t="n"/>
      <c r="G1143" s="62" t="n"/>
      <c r="H1143" s="62" t="n"/>
    </row>
    <row r="1144" ht="21" customHeight="1">
      <c r="A1144" s="61" t="n"/>
      <c r="B1144" s="44">
        <f>'設定'!$I$27</f>
        <v/>
      </c>
      <c r="C1144" s="62" t="n"/>
      <c r="D1144" s="62" t="n"/>
      <c r="E1144" s="62" t="n"/>
      <c r="F1144" s="62" t="n"/>
      <c r="G1144" s="62" t="n"/>
      <c r="H1144" s="62" t="n"/>
    </row>
    <row r="1145" ht="21" customHeight="1">
      <c r="A1145" s="61" t="n"/>
      <c r="B1145" s="44">
        <f>'設定'!$I$28</f>
        <v/>
      </c>
      <c r="C1145" s="62" t="n"/>
      <c r="D1145" s="62" t="n"/>
      <c r="E1145" s="62" t="n"/>
      <c r="F1145" s="62" t="n"/>
      <c r="G1145" s="62" t="n"/>
      <c r="H1145" s="62" t="n"/>
    </row>
    <row r="1146" ht="21" customHeight="1">
      <c r="A1146" s="61" t="n"/>
      <c r="B1146" s="44">
        <f>'設定'!$I$29</f>
        <v/>
      </c>
      <c r="C1146" s="62" t="n"/>
      <c r="D1146" s="62" t="n"/>
      <c r="E1146" s="62" t="n"/>
      <c r="F1146" s="62" t="n"/>
      <c r="G1146" s="62" t="n"/>
      <c r="H1146" s="62" t="n"/>
    </row>
    <row r="1147" ht="21" customHeight="1">
      <c r="A1147" s="61" t="n"/>
      <c r="B1147" s="44">
        <f>'設定'!$I$30</f>
        <v/>
      </c>
      <c r="C1147" s="62" t="n"/>
      <c r="D1147" s="62" t="n"/>
      <c r="E1147" s="62" t="n"/>
      <c r="F1147" s="62" t="n"/>
      <c r="G1147" s="62" t="n"/>
      <c r="H1147" s="62" t="n"/>
    </row>
    <row r="1148" ht="21" customHeight="1">
      <c r="A1148" s="61" t="n"/>
      <c r="B1148" s="44">
        <f>'設定'!$I$31</f>
        <v/>
      </c>
      <c r="C1148" s="62" t="n"/>
      <c r="D1148" s="62" t="n"/>
      <c r="E1148" s="62" t="n"/>
      <c r="F1148" s="62" t="n"/>
      <c r="G1148" s="62" t="n"/>
      <c r="H1148" s="62" t="n"/>
    </row>
    <row r="1149" ht="21" customHeight="1">
      <c r="A1149" s="61" t="n"/>
      <c r="B1149" s="44">
        <f>'設定'!$I$32</f>
        <v/>
      </c>
      <c r="C1149" s="62" t="n"/>
      <c r="D1149" s="62" t="n"/>
      <c r="E1149" s="62" t="n"/>
      <c r="F1149" s="62" t="n"/>
      <c r="G1149" s="62" t="n"/>
      <c r="H1149" s="62" t="n"/>
    </row>
    <row r="1150" ht="21" customHeight="1">
      <c r="A1150" s="61" t="n"/>
      <c r="B1150" s="44">
        <f>'設定'!$I$33</f>
        <v/>
      </c>
      <c r="C1150" s="62" t="n"/>
      <c r="D1150" s="62" t="n"/>
      <c r="E1150" s="62" t="n"/>
      <c r="F1150" s="62" t="n"/>
      <c r="G1150" s="62" t="n"/>
      <c r="H1150" s="62" t="n"/>
    </row>
    <row r="1151" ht="21" customHeight="1">
      <c r="A1151" s="61" t="n"/>
      <c r="B1151" s="44">
        <f>'設定'!$I$34</f>
        <v/>
      </c>
      <c r="C1151" s="62" t="n"/>
      <c r="D1151" s="62" t="n"/>
      <c r="E1151" s="62" t="n"/>
      <c r="F1151" s="62" t="n"/>
      <c r="G1151" s="62" t="n"/>
      <c r="H1151" s="62" t="n"/>
    </row>
    <row r="1152"/>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row>
    <row r="1156" ht="21" customHeight="1">
      <c r="A1156" s="61" t="n"/>
      <c r="B1156" s="44">
        <f>'設定'!$I$11</f>
        <v/>
      </c>
      <c r="C1156" s="62" t="n"/>
      <c r="D1156" s="62" t="n"/>
      <c r="E1156" s="62" t="n"/>
      <c r="F1156" s="62" t="n"/>
      <c r="G1156" s="62" t="n"/>
      <c r="H1156" s="62" t="n"/>
    </row>
    <row r="1157" ht="21" customHeight="1">
      <c r="A1157" s="61" t="n"/>
      <c r="B1157" s="44">
        <f>'設定'!$I$12</f>
        <v/>
      </c>
      <c r="C1157" s="62" t="n"/>
      <c r="D1157" s="62" t="n"/>
      <c r="E1157" s="62" t="n"/>
      <c r="F1157" s="62" t="n"/>
      <c r="G1157" s="62" t="n"/>
      <c r="H1157" s="62" t="n"/>
    </row>
    <row r="1158" ht="21" customHeight="1">
      <c r="A1158" s="61" t="n"/>
      <c r="B1158" s="44">
        <f>'設定'!$I$13</f>
        <v/>
      </c>
      <c r="C1158" s="62" t="n"/>
      <c r="D1158" s="62" t="n"/>
      <c r="E1158" s="62" t="n"/>
      <c r="F1158" s="62" t="n"/>
      <c r="G1158" s="62" t="n"/>
      <c r="H1158" s="62" t="n"/>
    </row>
    <row r="1159" ht="21" customHeight="1">
      <c r="A1159" s="61" t="n"/>
      <c r="B1159" s="44">
        <f>'設定'!$I$14</f>
        <v/>
      </c>
      <c r="C1159" s="62" t="n"/>
      <c r="D1159" s="62" t="n"/>
      <c r="E1159" s="62" t="n"/>
      <c r="F1159" s="62" t="n"/>
      <c r="G1159" s="62" t="n"/>
      <c r="H1159" s="62" t="n"/>
    </row>
    <row r="1160" ht="21" customHeight="1">
      <c r="A1160" s="61" t="n"/>
      <c r="B1160" s="44">
        <f>'設定'!$I$15</f>
        <v/>
      </c>
      <c r="C1160" s="62" t="n"/>
      <c r="D1160" s="62" t="n"/>
      <c r="E1160" s="62" t="n"/>
      <c r="F1160" s="62" t="n"/>
      <c r="G1160" s="62" t="n"/>
      <c r="H1160" s="62" t="n"/>
    </row>
    <row r="1161" ht="21" customHeight="1">
      <c r="A1161" s="61" t="n"/>
      <c r="B1161" s="44">
        <f>'設定'!$I$16</f>
        <v/>
      </c>
      <c r="C1161" s="62" t="n"/>
      <c r="D1161" s="62" t="n"/>
      <c r="E1161" s="62" t="n"/>
      <c r="F1161" s="62" t="n"/>
      <c r="G1161" s="62" t="n"/>
      <c r="H1161" s="62" t="n"/>
    </row>
    <row r="1162" ht="21" customHeight="1">
      <c r="A1162" s="61" t="n"/>
      <c r="B1162" s="44">
        <f>'設定'!$I$17</f>
        <v/>
      </c>
      <c r="C1162" s="62" t="n"/>
      <c r="D1162" s="62" t="n"/>
      <c r="E1162" s="62" t="n"/>
      <c r="F1162" s="62" t="n"/>
      <c r="G1162" s="62" t="n"/>
      <c r="H1162" s="62" t="n"/>
    </row>
    <row r="1163" ht="21" customHeight="1">
      <c r="A1163" s="61" t="n"/>
      <c r="B1163" s="44">
        <f>'設定'!$I$18</f>
        <v/>
      </c>
      <c r="C1163" s="62" t="n"/>
      <c r="D1163" s="62" t="n"/>
      <c r="E1163" s="62" t="n"/>
      <c r="F1163" s="62" t="n"/>
      <c r="G1163" s="62" t="n"/>
      <c r="H1163" s="62" t="n"/>
    </row>
    <row r="1164" ht="21" customHeight="1">
      <c r="A1164" s="61" t="n"/>
      <c r="B1164" s="44">
        <f>'設定'!$I$19</f>
        <v/>
      </c>
      <c r="C1164" s="62" t="n"/>
      <c r="D1164" s="62" t="n"/>
      <c r="E1164" s="62" t="n"/>
      <c r="F1164" s="62" t="n"/>
      <c r="G1164" s="62" t="n"/>
      <c r="H1164" s="62" t="n"/>
    </row>
    <row r="1165" ht="21" customHeight="1">
      <c r="A1165" s="61" t="n"/>
      <c r="B1165" s="44">
        <f>'設定'!$I$20</f>
        <v/>
      </c>
      <c r="C1165" s="62" t="n"/>
      <c r="D1165" s="62" t="n"/>
      <c r="E1165" s="62" t="n"/>
      <c r="F1165" s="62" t="n"/>
      <c r="G1165" s="62" t="n"/>
      <c r="H1165" s="62" t="n"/>
    </row>
    <row r="1166" ht="21" customHeight="1">
      <c r="A1166" s="61" t="n"/>
      <c r="B1166" s="44">
        <f>'設定'!$I$21</f>
        <v/>
      </c>
      <c r="C1166" s="62" t="n"/>
      <c r="D1166" s="62" t="n"/>
      <c r="E1166" s="62" t="n"/>
      <c r="F1166" s="62" t="n"/>
      <c r="G1166" s="62" t="n"/>
      <c r="H1166" s="62" t="n"/>
    </row>
    <row r="1167" ht="21" customHeight="1">
      <c r="A1167" s="61" t="n"/>
      <c r="B1167" s="44">
        <f>'設定'!$I$22</f>
        <v/>
      </c>
      <c r="C1167" s="62" t="n"/>
      <c r="D1167" s="62" t="n"/>
      <c r="E1167" s="62" t="n"/>
      <c r="F1167" s="62" t="n"/>
      <c r="G1167" s="62" t="n"/>
      <c r="H1167" s="62" t="n"/>
    </row>
    <row r="1168" ht="21" customHeight="1">
      <c r="A1168" s="61" t="n"/>
      <c r="B1168" s="44">
        <f>'設定'!$I$23</f>
        <v/>
      </c>
      <c r="C1168" s="62" t="n"/>
      <c r="D1168" s="62" t="n"/>
      <c r="E1168" s="62" t="n"/>
      <c r="F1168" s="62" t="n"/>
      <c r="G1168" s="62" t="n"/>
      <c r="H1168" s="62" t="n"/>
    </row>
    <row r="1169" ht="21" customHeight="1">
      <c r="A1169" s="61" t="n"/>
      <c r="B1169" s="44">
        <f>'設定'!$I$24</f>
        <v/>
      </c>
      <c r="C1169" s="62" t="n"/>
      <c r="D1169" s="62" t="n"/>
      <c r="E1169" s="62" t="n"/>
      <c r="F1169" s="62" t="n"/>
      <c r="G1169" s="62" t="n"/>
      <c r="H1169" s="62" t="n"/>
    </row>
    <row r="1170" ht="21" customHeight="1">
      <c r="A1170" s="61" t="n"/>
      <c r="B1170" s="44">
        <f>'設定'!$I$25</f>
        <v/>
      </c>
      <c r="C1170" s="62" t="n"/>
      <c r="D1170" s="62" t="n"/>
      <c r="E1170" s="62" t="n"/>
      <c r="F1170" s="62" t="n"/>
      <c r="G1170" s="62" t="n"/>
      <c r="H1170" s="62" t="n"/>
    </row>
    <row r="1171" ht="21" customHeight="1">
      <c r="A1171" s="61" t="n"/>
      <c r="B1171" s="44">
        <f>'設定'!$I$26</f>
        <v/>
      </c>
      <c r="C1171" s="62" t="n"/>
      <c r="D1171" s="62" t="n"/>
      <c r="E1171" s="62" t="n"/>
      <c r="F1171" s="62" t="n"/>
      <c r="G1171" s="62" t="n"/>
      <c r="H1171" s="62" t="n"/>
    </row>
    <row r="1172" ht="21" customHeight="1">
      <c r="A1172" s="61" t="n"/>
      <c r="B1172" s="44">
        <f>'設定'!$I$27</f>
        <v/>
      </c>
      <c r="C1172" s="62" t="n"/>
      <c r="D1172" s="62" t="n"/>
      <c r="E1172" s="62" t="n"/>
      <c r="F1172" s="62" t="n"/>
      <c r="G1172" s="62" t="n"/>
      <c r="H1172" s="62" t="n"/>
    </row>
    <row r="1173" ht="21" customHeight="1">
      <c r="A1173" s="61" t="n"/>
      <c r="B1173" s="44">
        <f>'設定'!$I$28</f>
        <v/>
      </c>
      <c r="C1173" s="62" t="n"/>
      <c r="D1173" s="62" t="n"/>
      <c r="E1173" s="62" t="n"/>
      <c r="F1173" s="62" t="n"/>
      <c r="G1173" s="62" t="n"/>
      <c r="H1173" s="62" t="n"/>
    </row>
    <row r="1174" ht="21" customHeight="1">
      <c r="A1174" s="61" t="n"/>
      <c r="B1174" s="44">
        <f>'設定'!$I$29</f>
        <v/>
      </c>
      <c r="C1174" s="62" t="n"/>
      <c r="D1174" s="62" t="n"/>
      <c r="E1174" s="62" t="n"/>
      <c r="F1174" s="62" t="n"/>
      <c r="G1174" s="62" t="n"/>
      <c r="H1174" s="62" t="n"/>
    </row>
    <row r="1175" ht="21" customHeight="1">
      <c r="A1175" s="61" t="n"/>
      <c r="B1175" s="44">
        <f>'設定'!$I$30</f>
        <v/>
      </c>
      <c r="C1175" s="62" t="n"/>
      <c r="D1175" s="62" t="n"/>
      <c r="E1175" s="62" t="n"/>
      <c r="F1175" s="62" t="n"/>
      <c r="G1175" s="62" t="n"/>
      <c r="H1175" s="62" t="n"/>
    </row>
    <row r="1176" ht="21" customHeight="1">
      <c r="A1176" s="61" t="n"/>
      <c r="B1176" s="44">
        <f>'設定'!$I$31</f>
        <v/>
      </c>
      <c r="C1176" s="62" t="n"/>
      <c r="D1176" s="62" t="n"/>
      <c r="E1176" s="62" t="n"/>
      <c r="F1176" s="62" t="n"/>
      <c r="G1176" s="62" t="n"/>
      <c r="H1176" s="62" t="n"/>
    </row>
    <row r="1177" ht="21" customHeight="1">
      <c r="A1177" s="61" t="n"/>
      <c r="B1177" s="44">
        <f>'設定'!$I$32</f>
        <v/>
      </c>
      <c r="C1177" s="62" t="n"/>
      <c r="D1177" s="62" t="n"/>
      <c r="E1177" s="62" t="n"/>
      <c r="F1177" s="62" t="n"/>
      <c r="G1177" s="62" t="n"/>
      <c r="H1177" s="62" t="n"/>
    </row>
    <row r="1178" ht="21" customHeight="1">
      <c r="A1178" s="61" t="n"/>
      <c r="B1178" s="44">
        <f>'設定'!$I$33</f>
        <v/>
      </c>
      <c r="C1178" s="62" t="n"/>
      <c r="D1178" s="62" t="n"/>
      <c r="E1178" s="62" t="n"/>
      <c r="F1178" s="62" t="n"/>
      <c r="G1178" s="62" t="n"/>
      <c r="H1178" s="62" t="n"/>
    </row>
    <row r="1179" ht="21" customHeight="1">
      <c r="A1179" s="61" t="n"/>
      <c r="B1179" s="44">
        <f>'設定'!$I$34</f>
        <v/>
      </c>
      <c r="C1179" s="62" t="n"/>
      <c r="D1179" s="62" t="n"/>
      <c r="E1179" s="62" t="n"/>
      <c r="F1179" s="62" t="n"/>
      <c r="G1179" s="62" t="n"/>
      <c r="H1179" s="62" t="n"/>
    </row>
    <row r="1180"/>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row>
    <row r="1184" ht="21" customHeight="1">
      <c r="A1184" s="61" t="n"/>
      <c r="B1184" s="44">
        <f>'設定'!$I$11</f>
        <v/>
      </c>
      <c r="C1184" s="62" t="n"/>
      <c r="D1184" s="62" t="n"/>
      <c r="E1184" s="62" t="n"/>
      <c r="F1184" s="62" t="n"/>
      <c r="G1184" s="62" t="n"/>
      <c r="H1184" s="62" t="n"/>
    </row>
    <row r="1185" ht="21" customHeight="1">
      <c r="A1185" s="61" t="n"/>
      <c r="B1185" s="44">
        <f>'設定'!$I$12</f>
        <v/>
      </c>
      <c r="C1185" s="62" t="n"/>
      <c r="D1185" s="62" t="n"/>
      <c r="E1185" s="62" t="n"/>
      <c r="F1185" s="62" t="n"/>
      <c r="G1185" s="62" t="n"/>
      <c r="H1185" s="62" t="n"/>
    </row>
    <row r="1186" ht="21" customHeight="1">
      <c r="A1186" s="61" t="n"/>
      <c r="B1186" s="44">
        <f>'設定'!$I$13</f>
        <v/>
      </c>
      <c r="C1186" s="62" t="n"/>
      <c r="D1186" s="62" t="n"/>
      <c r="E1186" s="62" t="n"/>
      <c r="F1186" s="62" t="n"/>
      <c r="G1186" s="62" t="n"/>
      <c r="H1186" s="62" t="n"/>
    </row>
    <row r="1187" ht="21" customHeight="1">
      <c r="A1187" s="61" t="n"/>
      <c r="B1187" s="44">
        <f>'設定'!$I$14</f>
        <v/>
      </c>
      <c r="C1187" s="62" t="n"/>
      <c r="D1187" s="62" t="n"/>
      <c r="E1187" s="62" t="n"/>
      <c r="F1187" s="62" t="n"/>
      <c r="G1187" s="62" t="n"/>
      <c r="H1187" s="62" t="n"/>
    </row>
    <row r="1188" ht="21" customHeight="1">
      <c r="A1188" s="61" t="n"/>
      <c r="B1188" s="44">
        <f>'設定'!$I$15</f>
        <v/>
      </c>
      <c r="C1188" s="62" t="n"/>
      <c r="D1188" s="62" t="n"/>
      <c r="E1188" s="62" t="n"/>
      <c r="F1188" s="62" t="n"/>
      <c r="G1188" s="62" t="n"/>
      <c r="H1188" s="62" t="n"/>
    </row>
    <row r="1189" ht="21" customHeight="1">
      <c r="A1189" s="61" t="n"/>
      <c r="B1189" s="44">
        <f>'設定'!$I$16</f>
        <v/>
      </c>
      <c r="C1189" s="62" t="n"/>
      <c r="D1189" s="62" t="n"/>
      <c r="E1189" s="62" t="n"/>
      <c r="F1189" s="62" t="n"/>
      <c r="G1189" s="62" t="n"/>
      <c r="H1189" s="62" t="n"/>
    </row>
    <row r="1190" ht="21" customHeight="1">
      <c r="A1190" s="61" t="n"/>
      <c r="B1190" s="44">
        <f>'設定'!$I$17</f>
        <v/>
      </c>
      <c r="C1190" s="62" t="n"/>
      <c r="D1190" s="62" t="n"/>
      <c r="E1190" s="62" t="n"/>
      <c r="F1190" s="62" t="n"/>
      <c r="G1190" s="62" t="n"/>
      <c r="H1190" s="62" t="n"/>
    </row>
    <row r="1191" ht="21" customHeight="1">
      <c r="A1191" s="61" t="n"/>
      <c r="B1191" s="44">
        <f>'設定'!$I$18</f>
        <v/>
      </c>
      <c r="C1191" s="62" t="n"/>
      <c r="D1191" s="62" t="n"/>
      <c r="E1191" s="62" t="n"/>
      <c r="F1191" s="62" t="n"/>
      <c r="G1191" s="62" t="n"/>
      <c r="H1191" s="62" t="n"/>
    </row>
    <row r="1192" ht="21" customHeight="1">
      <c r="A1192" s="61" t="n"/>
      <c r="B1192" s="44">
        <f>'設定'!$I$19</f>
        <v/>
      </c>
      <c r="C1192" s="62" t="n"/>
      <c r="D1192" s="62" t="n"/>
      <c r="E1192" s="62" t="n"/>
      <c r="F1192" s="62" t="n"/>
      <c r="G1192" s="62" t="n"/>
      <c r="H1192" s="62" t="n"/>
    </row>
    <row r="1193" ht="21" customHeight="1">
      <c r="A1193" s="61" t="n"/>
      <c r="B1193" s="44">
        <f>'設定'!$I$20</f>
        <v/>
      </c>
      <c r="C1193" s="62" t="n"/>
      <c r="D1193" s="62" t="n"/>
      <c r="E1193" s="62" t="n"/>
      <c r="F1193" s="62" t="n"/>
      <c r="G1193" s="62" t="n"/>
      <c r="H1193" s="62" t="n"/>
    </row>
    <row r="1194" ht="21" customHeight="1">
      <c r="A1194" s="61" t="n"/>
      <c r="B1194" s="44">
        <f>'設定'!$I$21</f>
        <v/>
      </c>
      <c r="C1194" s="62" t="n"/>
      <c r="D1194" s="62" t="n"/>
      <c r="E1194" s="62" t="n"/>
      <c r="F1194" s="62" t="n"/>
      <c r="G1194" s="62" t="n"/>
      <c r="H1194" s="62" t="n"/>
    </row>
    <row r="1195" ht="21" customHeight="1">
      <c r="A1195" s="61" t="n"/>
      <c r="B1195" s="44">
        <f>'設定'!$I$22</f>
        <v/>
      </c>
      <c r="C1195" s="62" t="n"/>
      <c r="D1195" s="62" t="n"/>
      <c r="E1195" s="62" t="n"/>
      <c r="F1195" s="62" t="n"/>
      <c r="G1195" s="62" t="n"/>
      <c r="H1195" s="62" t="n"/>
    </row>
    <row r="1196" ht="21" customHeight="1">
      <c r="A1196" s="61" t="n"/>
      <c r="B1196" s="44">
        <f>'設定'!$I$23</f>
        <v/>
      </c>
      <c r="C1196" s="62" t="n"/>
      <c r="D1196" s="62" t="n"/>
      <c r="E1196" s="62" t="n"/>
      <c r="F1196" s="62" t="n"/>
      <c r="G1196" s="62" t="n"/>
      <c r="H1196" s="62" t="n"/>
    </row>
    <row r="1197" ht="21" customHeight="1">
      <c r="A1197" s="61" t="n"/>
      <c r="B1197" s="44">
        <f>'設定'!$I$24</f>
        <v/>
      </c>
      <c r="C1197" s="62" t="n"/>
      <c r="D1197" s="62" t="n"/>
      <c r="E1197" s="62" t="n"/>
      <c r="F1197" s="62" t="n"/>
      <c r="G1197" s="62" t="n"/>
      <c r="H1197" s="62" t="n"/>
    </row>
    <row r="1198" ht="21" customHeight="1">
      <c r="A1198" s="61" t="n"/>
      <c r="B1198" s="44">
        <f>'設定'!$I$25</f>
        <v/>
      </c>
      <c r="C1198" s="62" t="n"/>
      <c r="D1198" s="62" t="n"/>
      <c r="E1198" s="62" t="n"/>
      <c r="F1198" s="62" t="n"/>
      <c r="G1198" s="62" t="n"/>
      <c r="H1198" s="62" t="n"/>
    </row>
    <row r="1199" ht="21" customHeight="1">
      <c r="A1199" s="61" t="n"/>
      <c r="B1199" s="44">
        <f>'設定'!$I$26</f>
        <v/>
      </c>
      <c r="C1199" s="62" t="n"/>
      <c r="D1199" s="62" t="n"/>
      <c r="E1199" s="62" t="n"/>
      <c r="F1199" s="62" t="n"/>
      <c r="G1199" s="62" t="n"/>
      <c r="H1199" s="62" t="n"/>
    </row>
    <row r="1200" ht="21" customHeight="1">
      <c r="A1200" s="61" t="n"/>
      <c r="B1200" s="44">
        <f>'設定'!$I$27</f>
        <v/>
      </c>
      <c r="C1200" s="62" t="n"/>
      <c r="D1200" s="62" t="n"/>
      <c r="E1200" s="62" t="n"/>
      <c r="F1200" s="62" t="n"/>
      <c r="G1200" s="62" t="n"/>
      <c r="H1200" s="62" t="n"/>
    </row>
    <row r="1201" ht="21" customHeight="1">
      <c r="A1201" s="61" t="n"/>
      <c r="B1201" s="44">
        <f>'設定'!$I$28</f>
        <v/>
      </c>
      <c r="C1201" s="62" t="n"/>
      <c r="D1201" s="62" t="n"/>
      <c r="E1201" s="62" t="n"/>
      <c r="F1201" s="62" t="n"/>
      <c r="G1201" s="62" t="n"/>
      <c r="H1201" s="62" t="n"/>
    </row>
    <row r="1202" ht="21" customHeight="1">
      <c r="A1202" s="61" t="n"/>
      <c r="B1202" s="44">
        <f>'設定'!$I$29</f>
        <v/>
      </c>
      <c r="C1202" s="62" t="n"/>
      <c r="D1202" s="62" t="n"/>
      <c r="E1202" s="62" t="n"/>
      <c r="F1202" s="62" t="n"/>
      <c r="G1202" s="62" t="n"/>
      <c r="H1202" s="62" t="n"/>
    </row>
    <row r="1203" ht="21" customHeight="1">
      <c r="A1203" s="61" t="n"/>
      <c r="B1203" s="44">
        <f>'設定'!$I$30</f>
        <v/>
      </c>
      <c r="C1203" s="62" t="n"/>
      <c r="D1203" s="62" t="n"/>
      <c r="E1203" s="62" t="n"/>
      <c r="F1203" s="62" t="n"/>
      <c r="G1203" s="62" t="n"/>
      <c r="H1203" s="62" t="n"/>
    </row>
    <row r="1204" ht="21" customHeight="1">
      <c r="A1204" s="61" t="n"/>
      <c r="B1204" s="44">
        <f>'設定'!$I$31</f>
        <v/>
      </c>
      <c r="C1204" s="62" t="n"/>
      <c r="D1204" s="62" t="n"/>
      <c r="E1204" s="62" t="n"/>
      <c r="F1204" s="62" t="n"/>
      <c r="G1204" s="62" t="n"/>
      <c r="H1204" s="62" t="n"/>
    </row>
    <row r="1205" ht="21" customHeight="1">
      <c r="A1205" s="61" t="n"/>
      <c r="B1205" s="44">
        <f>'設定'!$I$32</f>
        <v/>
      </c>
      <c r="C1205" s="62" t="n"/>
      <c r="D1205" s="62" t="n"/>
      <c r="E1205" s="62" t="n"/>
      <c r="F1205" s="62" t="n"/>
      <c r="G1205" s="62" t="n"/>
      <c r="H1205" s="62" t="n"/>
    </row>
    <row r="1206" ht="21" customHeight="1">
      <c r="A1206" s="61" t="n"/>
      <c r="B1206" s="44">
        <f>'設定'!$I$33</f>
        <v/>
      </c>
      <c r="C1206" s="62" t="n"/>
      <c r="D1206" s="62" t="n"/>
      <c r="E1206" s="62" t="n"/>
      <c r="F1206" s="62" t="n"/>
      <c r="G1206" s="62" t="n"/>
      <c r="H1206" s="62" t="n"/>
    </row>
    <row r="1207" ht="21" customHeight="1">
      <c r="A1207" s="61" t="n"/>
      <c r="B1207" s="44">
        <f>'設定'!$I$34</f>
        <v/>
      </c>
      <c r="C1207" s="62" t="n"/>
      <c r="D1207" s="62" t="n"/>
      <c r="E1207" s="62" t="n"/>
      <c r="F1207" s="62" t="n"/>
      <c r="G1207" s="62" t="n"/>
      <c r="H1207" s="62" t="n"/>
    </row>
    <row r="1208"/>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row>
    <row r="1212" ht="21" customHeight="1">
      <c r="A1212" s="61" t="n"/>
      <c r="B1212" s="44">
        <f>'設定'!$I$11</f>
        <v/>
      </c>
      <c r="C1212" s="62" t="n"/>
      <c r="D1212" s="62" t="n"/>
      <c r="E1212" s="62" t="n"/>
      <c r="F1212" s="62" t="n"/>
      <c r="G1212" s="62" t="n"/>
      <c r="H1212" s="62" t="n"/>
    </row>
    <row r="1213" ht="21" customHeight="1">
      <c r="A1213" s="61" t="n"/>
      <c r="B1213" s="44">
        <f>'設定'!$I$12</f>
        <v/>
      </c>
      <c r="C1213" s="62" t="n"/>
      <c r="D1213" s="62" t="n"/>
      <c r="E1213" s="62" t="n"/>
      <c r="F1213" s="62" t="n"/>
      <c r="G1213" s="62" t="n"/>
      <c r="H1213" s="62" t="n"/>
    </row>
    <row r="1214" ht="21" customHeight="1">
      <c r="A1214" s="61" t="n"/>
      <c r="B1214" s="44">
        <f>'設定'!$I$13</f>
        <v/>
      </c>
      <c r="C1214" s="62" t="n"/>
      <c r="D1214" s="62" t="n"/>
      <c r="E1214" s="62" t="n"/>
      <c r="F1214" s="62" t="n"/>
      <c r="G1214" s="62" t="n"/>
      <c r="H1214" s="62" t="n"/>
    </row>
    <row r="1215" ht="21" customHeight="1">
      <c r="A1215" s="61" t="n"/>
      <c r="B1215" s="44">
        <f>'設定'!$I$14</f>
        <v/>
      </c>
      <c r="C1215" s="62" t="n"/>
      <c r="D1215" s="62" t="n"/>
      <c r="E1215" s="62" t="n"/>
      <c r="F1215" s="62" t="n"/>
      <c r="G1215" s="62" t="n"/>
      <c r="H1215" s="62" t="n"/>
    </row>
    <row r="1216" ht="21" customHeight="1">
      <c r="A1216" s="61" t="n"/>
      <c r="B1216" s="44">
        <f>'設定'!$I$15</f>
        <v/>
      </c>
      <c r="C1216" s="62" t="n"/>
      <c r="D1216" s="62" t="n"/>
      <c r="E1216" s="62" t="n"/>
      <c r="F1216" s="62" t="n"/>
      <c r="G1216" s="62" t="n"/>
      <c r="H1216" s="62" t="n"/>
    </row>
    <row r="1217" ht="21" customHeight="1">
      <c r="A1217" s="61" t="n"/>
      <c r="B1217" s="44">
        <f>'設定'!$I$16</f>
        <v/>
      </c>
      <c r="C1217" s="62" t="n"/>
      <c r="D1217" s="62" t="n"/>
      <c r="E1217" s="62" t="n"/>
      <c r="F1217" s="62" t="n"/>
      <c r="G1217" s="62" t="n"/>
      <c r="H1217" s="62" t="n"/>
    </row>
    <row r="1218" ht="21" customHeight="1">
      <c r="A1218" s="61" t="n"/>
      <c r="B1218" s="44">
        <f>'設定'!$I$17</f>
        <v/>
      </c>
      <c r="C1218" s="62" t="n"/>
      <c r="D1218" s="62" t="n"/>
      <c r="E1218" s="62" t="n"/>
      <c r="F1218" s="62" t="n"/>
      <c r="G1218" s="62" t="n"/>
      <c r="H1218" s="62" t="n"/>
    </row>
    <row r="1219" ht="21" customHeight="1">
      <c r="A1219" s="61" t="n"/>
      <c r="B1219" s="44">
        <f>'設定'!$I$18</f>
        <v/>
      </c>
      <c r="C1219" s="62" t="n"/>
      <c r="D1219" s="62" t="n"/>
      <c r="E1219" s="62" t="n"/>
      <c r="F1219" s="62" t="n"/>
      <c r="G1219" s="62" t="n"/>
      <c r="H1219" s="62" t="n"/>
    </row>
    <row r="1220" ht="21" customHeight="1">
      <c r="A1220" s="61" t="n"/>
      <c r="B1220" s="44">
        <f>'設定'!$I$19</f>
        <v/>
      </c>
      <c r="C1220" s="62" t="n"/>
      <c r="D1220" s="62" t="n"/>
      <c r="E1220" s="62" t="n"/>
      <c r="F1220" s="62" t="n"/>
      <c r="G1220" s="62" t="n"/>
      <c r="H1220" s="62" t="n"/>
    </row>
    <row r="1221" ht="21" customHeight="1">
      <c r="A1221" s="61" t="n"/>
      <c r="B1221" s="44">
        <f>'設定'!$I$20</f>
        <v/>
      </c>
      <c r="C1221" s="62" t="n"/>
      <c r="D1221" s="62" t="n"/>
      <c r="E1221" s="62" t="n"/>
      <c r="F1221" s="62" t="n"/>
      <c r="G1221" s="62" t="n"/>
      <c r="H1221" s="62" t="n"/>
    </row>
    <row r="1222" ht="21" customHeight="1">
      <c r="A1222" s="61" t="n"/>
      <c r="B1222" s="44">
        <f>'設定'!$I$21</f>
        <v/>
      </c>
      <c r="C1222" s="62" t="n"/>
      <c r="D1222" s="62" t="n"/>
      <c r="E1222" s="62" t="n"/>
      <c r="F1222" s="62" t="n"/>
      <c r="G1222" s="62" t="n"/>
      <c r="H1222" s="62" t="n"/>
    </row>
    <row r="1223" ht="21" customHeight="1">
      <c r="A1223" s="61" t="n"/>
      <c r="B1223" s="44">
        <f>'設定'!$I$22</f>
        <v/>
      </c>
      <c r="C1223" s="62" t="n"/>
      <c r="D1223" s="62" t="n"/>
      <c r="E1223" s="62" t="n"/>
      <c r="F1223" s="62" t="n"/>
      <c r="G1223" s="62" t="n"/>
      <c r="H1223" s="62" t="n"/>
    </row>
    <row r="1224" ht="21" customHeight="1">
      <c r="A1224" s="61" t="n"/>
      <c r="B1224" s="44">
        <f>'設定'!$I$23</f>
        <v/>
      </c>
      <c r="C1224" s="62" t="n"/>
      <c r="D1224" s="62" t="n"/>
      <c r="E1224" s="62" t="n"/>
      <c r="F1224" s="62" t="n"/>
      <c r="G1224" s="62" t="n"/>
      <c r="H1224" s="62" t="n"/>
    </row>
    <row r="1225" ht="21" customHeight="1">
      <c r="A1225" s="61" t="n"/>
      <c r="B1225" s="44">
        <f>'設定'!$I$24</f>
        <v/>
      </c>
      <c r="C1225" s="62" t="n"/>
      <c r="D1225" s="62" t="n"/>
      <c r="E1225" s="62" t="n"/>
      <c r="F1225" s="62" t="n"/>
      <c r="G1225" s="62" t="n"/>
      <c r="H1225" s="62" t="n"/>
    </row>
    <row r="1226" ht="21" customHeight="1">
      <c r="A1226" s="61" t="n"/>
      <c r="B1226" s="44">
        <f>'設定'!$I$25</f>
        <v/>
      </c>
      <c r="C1226" s="62" t="n"/>
      <c r="D1226" s="62" t="n"/>
      <c r="E1226" s="62" t="n"/>
      <c r="F1226" s="62" t="n"/>
      <c r="G1226" s="62" t="n"/>
      <c r="H1226" s="62" t="n"/>
    </row>
    <row r="1227" ht="21" customHeight="1">
      <c r="A1227" s="61" t="n"/>
      <c r="B1227" s="44">
        <f>'設定'!$I$26</f>
        <v/>
      </c>
      <c r="C1227" s="62" t="n"/>
      <c r="D1227" s="62" t="n"/>
      <c r="E1227" s="62" t="n"/>
      <c r="F1227" s="62" t="n"/>
      <c r="G1227" s="62" t="n"/>
      <c r="H1227" s="62" t="n"/>
    </row>
    <row r="1228" ht="21" customHeight="1">
      <c r="A1228" s="61" t="n"/>
      <c r="B1228" s="44">
        <f>'設定'!$I$27</f>
        <v/>
      </c>
      <c r="C1228" s="62" t="n"/>
      <c r="D1228" s="62" t="n"/>
      <c r="E1228" s="62" t="n"/>
      <c r="F1228" s="62" t="n"/>
      <c r="G1228" s="62" t="n"/>
      <c r="H1228" s="62" t="n"/>
    </row>
    <row r="1229" ht="21" customHeight="1">
      <c r="A1229" s="61" t="n"/>
      <c r="B1229" s="44">
        <f>'設定'!$I$28</f>
        <v/>
      </c>
      <c r="C1229" s="62" t="n"/>
      <c r="D1229" s="62" t="n"/>
      <c r="E1229" s="62" t="n"/>
      <c r="F1229" s="62" t="n"/>
      <c r="G1229" s="62" t="n"/>
      <c r="H1229" s="62" t="n"/>
    </row>
    <row r="1230" ht="21" customHeight="1">
      <c r="A1230" s="61" t="n"/>
      <c r="B1230" s="44">
        <f>'設定'!$I$29</f>
        <v/>
      </c>
      <c r="C1230" s="62" t="n"/>
      <c r="D1230" s="62" t="n"/>
      <c r="E1230" s="62" t="n"/>
      <c r="F1230" s="62" t="n"/>
      <c r="G1230" s="62" t="n"/>
      <c r="H1230" s="62" t="n"/>
    </row>
    <row r="1231" ht="21" customHeight="1">
      <c r="A1231" s="61" t="n"/>
      <c r="B1231" s="44">
        <f>'設定'!$I$30</f>
        <v/>
      </c>
      <c r="C1231" s="62" t="n"/>
      <c r="D1231" s="62" t="n"/>
      <c r="E1231" s="62" t="n"/>
      <c r="F1231" s="62" t="n"/>
      <c r="G1231" s="62" t="n"/>
      <c r="H1231" s="62" t="n"/>
    </row>
    <row r="1232" ht="21" customHeight="1">
      <c r="A1232" s="61" t="n"/>
      <c r="B1232" s="44">
        <f>'設定'!$I$31</f>
        <v/>
      </c>
      <c r="C1232" s="62" t="n"/>
      <c r="D1232" s="62" t="n"/>
      <c r="E1232" s="62" t="n"/>
      <c r="F1232" s="62" t="n"/>
      <c r="G1232" s="62" t="n"/>
      <c r="H1232" s="62" t="n"/>
    </row>
    <row r="1233" ht="21" customHeight="1">
      <c r="A1233" s="61" t="n"/>
      <c r="B1233" s="44">
        <f>'設定'!$I$32</f>
        <v/>
      </c>
      <c r="C1233" s="62" t="n"/>
      <c r="D1233" s="62" t="n"/>
      <c r="E1233" s="62" t="n"/>
      <c r="F1233" s="62" t="n"/>
      <c r="G1233" s="62" t="n"/>
      <c r="H1233" s="62" t="n"/>
    </row>
    <row r="1234" ht="21" customHeight="1">
      <c r="A1234" s="61" t="n"/>
      <c r="B1234" s="44">
        <f>'設定'!$I$33</f>
        <v/>
      </c>
      <c r="C1234" s="62" t="n"/>
      <c r="D1234" s="62" t="n"/>
      <c r="E1234" s="62" t="n"/>
      <c r="F1234" s="62" t="n"/>
      <c r="G1234" s="62" t="n"/>
      <c r="H1234" s="62" t="n"/>
    </row>
    <row r="1235" ht="21" customHeight="1">
      <c r="A1235" s="61" t="n"/>
      <c r="B1235" s="44">
        <f>'設定'!$I$34</f>
        <v/>
      </c>
      <c r="C1235" s="62" t="n"/>
      <c r="D1235" s="62" t="n"/>
      <c r="E1235" s="62" t="n"/>
      <c r="F1235" s="62" t="n"/>
      <c r="G1235" s="62" t="n"/>
      <c r="H1235" s="62" t="n"/>
    </row>
    <row r="1236"/>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row>
    <row r="1240" ht="21" customHeight="1">
      <c r="A1240" s="61" t="n"/>
      <c r="B1240" s="44">
        <f>'設定'!$I$11</f>
        <v/>
      </c>
      <c r="C1240" s="62" t="n"/>
      <c r="D1240" s="62" t="n"/>
      <c r="E1240" s="62" t="n"/>
      <c r="F1240" s="62" t="n"/>
      <c r="G1240" s="62" t="n"/>
      <c r="H1240" s="62" t="n"/>
    </row>
    <row r="1241" ht="21" customHeight="1">
      <c r="A1241" s="61" t="n"/>
      <c r="B1241" s="44">
        <f>'設定'!$I$12</f>
        <v/>
      </c>
      <c r="C1241" s="62" t="n"/>
      <c r="D1241" s="62" t="n"/>
      <c r="E1241" s="62" t="n"/>
      <c r="F1241" s="62" t="n"/>
      <c r="G1241" s="62" t="n"/>
      <c r="H1241" s="62" t="n"/>
    </row>
    <row r="1242" ht="21" customHeight="1">
      <c r="A1242" s="61" t="n"/>
      <c r="B1242" s="44">
        <f>'設定'!$I$13</f>
        <v/>
      </c>
      <c r="C1242" s="62" t="n"/>
      <c r="D1242" s="62" t="n"/>
      <c r="E1242" s="62" t="n"/>
      <c r="F1242" s="62" t="n"/>
      <c r="G1242" s="62" t="n"/>
      <c r="H1242" s="62" t="n"/>
    </row>
    <row r="1243" ht="21" customHeight="1">
      <c r="A1243" s="61" t="n"/>
      <c r="B1243" s="44">
        <f>'設定'!$I$14</f>
        <v/>
      </c>
      <c r="C1243" s="62" t="n"/>
      <c r="D1243" s="62" t="n"/>
      <c r="E1243" s="62" t="n"/>
      <c r="F1243" s="62" t="n"/>
      <c r="G1243" s="62" t="n"/>
      <c r="H1243" s="62" t="n"/>
    </row>
    <row r="1244" ht="21" customHeight="1">
      <c r="A1244" s="61" t="n"/>
      <c r="B1244" s="44">
        <f>'設定'!$I$15</f>
        <v/>
      </c>
      <c r="C1244" s="62" t="n"/>
      <c r="D1244" s="62" t="n"/>
      <c r="E1244" s="62" t="n"/>
      <c r="F1244" s="62" t="n"/>
      <c r="G1244" s="62" t="n"/>
      <c r="H1244" s="62" t="n"/>
    </row>
    <row r="1245" ht="21" customHeight="1">
      <c r="A1245" s="61" t="n"/>
      <c r="B1245" s="44">
        <f>'設定'!$I$16</f>
        <v/>
      </c>
      <c r="C1245" s="62" t="n"/>
      <c r="D1245" s="62" t="n"/>
      <c r="E1245" s="62" t="n"/>
      <c r="F1245" s="62" t="n"/>
      <c r="G1245" s="62" t="n"/>
      <c r="H1245" s="62" t="n"/>
    </row>
    <row r="1246" ht="21" customHeight="1">
      <c r="A1246" s="61" t="n"/>
      <c r="B1246" s="44">
        <f>'設定'!$I$17</f>
        <v/>
      </c>
      <c r="C1246" s="62" t="n"/>
      <c r="D1246" s="62" t="n"/>
      <c r="E1246" s="62" t="n"/>
      <c r="F1246" s="62" t="n"/>
      <c r="G1246" s="62" t="n"/>
      <c r="H1246" s="62" t="n"/>
    </row>
    <row r="1247" ht="21" customHeight="1">
      <c r="A1247" s="61" t="n"/>
      <c r="B1247" s="44">
        <f>'設定'!$I$18</f>
        <v/>
      </c>
      <c r="C1247" s="62" t="n"/>
      <c r="D1247" s="62" t="n"/>
      <c r="E1247" s="62" t="n"/>
      <c r="F1247" s="62" t="n"/>
      <c r="G1247" s="62" t="n"/>
      <c r="H1247" s="62" t="n"/>
    </row>
    <row r="1248" ht="21" customHeight="1">
      <c r="A1248" s="61" t="n"/>
      <c r="B1248" s="44">
        <f>'設定'!$I$19</f>
        <v/>
      </c>
      <c r="C1248" s="62" t="n"/>
      <c r="D1248" s="62" t="n"/>
      <c r="E1248" s="62" t="n"/>
      <c r="F1248" s="62" t="n"/>
      <c r="G1248" s="62" t="n"/>
      <c r="H1248" s="62" t="n"/>
    </row>
    <row r="1249" ht="21" customHeight="1">
      <c r="A1249" s="61" t="n"/>
      <c r="B1249" s="44">
        <f>'設定'!$I$20</f>
        <v/>
      </c>
      <c r="C1249" s="62" t="n"/>
      <c r="D1249" s="62" t="n"/>
      <c r="E1249" s="62" t="n"/>
      <c r="F1249" s="62" t="n"/>
      <c r="G1249" s="62" t="n"/>
      <c r="H1249" s="62" t="n"/>
    </row>
    <row r="1250" ht="21" customHeight="1">
      <c r="A1250" s="61" t="n"/>
      <c r="B1250" s="44">
        <f>'設定'!$I$21</f>
        <v/>
      </c>
      <c r="C1250" s="62" t="n"/>
      <c r="D1250" s="62" t="n"/>
      <c r="E1250" s="62" t="n"/>
      <c r="F1250" s="62" t="n"/>
      <c r="G1250" s="62" t="n"/>
      <c r="H1250" s="62" t="n"/>
    </row>
    <row r="1251" ht="21" customHeight="1">
      <c r="A1251" s="61" t="n"/>
      <c r="B1251" s="44">
        <f>'設定'!$I$22</f>
        <v/>
      </c>
      <c r="C1251" s="62" t="n"/>
      <c r="D1251" s="62" t="n"/>
      <c r="E1251" s="62" t="n"/>
      <c r="F1251" s="62" t="n"/>
      <c r="G1251" s="62" t="n"/>
      <c r="H1251" s="62" t="n"/>
    </row>
    <row r="1252" ht="21" customHeight="1">
      <c r="A1252" s="61" t="n"/>
      <c r="B1252" s="44">
        <f>'設定'!$I$23</f>
        <v/>
      </c>
      <c r="C1252" s="62" t="n"/>
      <c r="D1252" s="62" t="n"/>
      <c r="E1252" s="62" t="n"/>
      <c r="F1252" s="62" t="n"/>
      <c r="G1252" s="62" t="n"/>
      <c r="H1252" s="62" t="n"/>
    </row>
    <row r="1253" ht="21" customHeight="1">
      <c r="A1253" s="61" t="n"/>
      <c r="B1253" s="44">
        <f>'設定'!$I$24</f>
        <v/>
      </c>
      <c r="C1253" s="62" t="n"/>
      <c r="D1253" s="62" t="n"/>
      <c r="E1253" s="62" t="n"/>
      <c r="F1253" s="62" t="n"/>
      <c r="G1253" s="62" t="n"/>
      <c r="H1253" s="62" t="n"/>
    </row>
    <row r="1254" ht="21" customHeight="1">
      <c r="A1254" s="61" t="n"/>
      <c r="B1254" s="44">
        <f>'設定'!$I$25</f>
        <v/>
      </c>
      <c r="C1254" s="62" t="n"/>
      <c r="D1254" s="62" t="n"/>
      <c r="E1254" s="62" t="n"/>
      <c r="F1254" s="62" t="n"/>
      <c r="G1254" s="62" t="n"/>
      <c r="H1254" s="62" t="n"/>
    </row>
    <row r="1255" ht="21" customHeight="1">
      <c r="A1255" s="61" t="n"/>
      <c r="B1255" s="44">
        <f>'設定'!$I$26</f>
        <v/>
      </c>
      <c r="C1255" s="62" t="n"/>
      <c r="D1255" s="62" t="n"/>
      <c r="E1255" s="62" t="n"/>
      <c r="F1255" s="62" t="n"/>
      <c r="G1255" s="62" t="n"/>
      <c r="H1255" s="62" t="n"/>
    </row>
    <row r="1256" ht="21" customHeight="1">
      <c r="A1256" s="61" t="n"/>
      <c r="B1256" s="44">
        <f>'設定'!$I$27</f>
        <v/>
      </c>
      <c r="C1256" s="62" t="n"/>
      <c r="D1256" s="62" t="n"/>
      <c r="E1256" s="62" t="n"/>
      <c r="F1256" s="62" t="n"/>
      <c r="G1256" s="62" t="n"/>
      <c r="H1256" s="62" t="n"/>
    </row>
    <row r="1257" ht="21" customHeight="1">
      <c r="A1257" s="61" t="n"/>
      <c r="B1257" s="44">
        <f>'設定'!$I$28</f>
        <v/>
      </c>
      <c r="C1257" s="62" t="n"/>
      <c r="D1257" s="62" t="n"/>
      <c r="E1257" s="62" t="n"/>
      <c r="F1257" s="62" t="n"/>
      <c r="G1257" s="62" t="n"/>
      <c r="H1257" s="62" t="n"/>
    </row>
    <row r="1258" ht="21" customHeight="1">
      <c r="A1258" s="61" t="n"/>
      <c r="B1258" s="44">
        <f>'設定'!$I$29</f>
        <v/>
      </c>
      <c r="C1258" s="62" t="n"/>
      <c r="D1258" s="62" t="n"/>
      <c r="E1258" s="62" t="n"/>
      <c r="F1258" s="62" t="n"/>
      <c r="G1258" s="62" t="n"/>
      <c r="H1258" s="62" t="n"/>
    </row>
    <row r="1259" ht="21" customHeight="1">
      <c r="A1259" s="61" t="n"/>
      <c r="B1259" s="44">
        <f>'設定'!$I$30</f>
        <v/>
      </c>
      <c r="C1259" s="62" t="n"/>
      <c r="D1259" s="62" t="n"/>
      <c r="E1259" s="62" t="n"/>
      <c r="F1259" s="62" t="n"/>
      <c r="G1259" s="62" t="n"/>
      <c r="H1259" s="62" t="n"/>
    </row>
    <row r="1260" ht="21" customHeight="1">
      <c r="A1260" s="61" t="n"/>
      <c r="B1260" s="44">
        <f>'設定'!$I$31</f>
        <v/>
      </c>
      <c r="C1260" s="62" t="n"/>
      <c r="D1260" s="62" t="n"/>
      <c r="E1260" s="62" t="n"/>
      <c r="F1260" s="62" t="n"/>
      <c r="G1260" s="62" t="n"/>
      <c r="H1260" s="62" t="n"/>
    </row>
    <row r="1261" ht="21" customHeight="1">
      <c r="A1261" s="61" t="n"/>
      <c r="B1261" s="44">
        <f>'設定'!$I$32</f>
        <v/>
      </c>
      <c r="C1261" s="62" t="n"/>
      <c r="D1261" s="62" t="n"/>
      <c r="E1261" s="62" t="n"/>
      <c r="F1261" s="62" t="n"/>
      <c r="G1261" s="62" t="n"/>
      <c r="H1261" s="62" t="n"/>
    </row>
    <row r="1262" ht="21" customHeight="1">
      <c r="A1262" s="61" t="n"/>
      <c r="B1262" s="44">
        <f>'設定'!$I$33</f>
        <v/>
      </c>
      <c r="C1262" s="62" t="n"/>
      <c r="D1262" s="62" t="n"/>
      <c r="E1262" s="62" t="n"/>
      <c r="F1262" s="62" t="n"/>
      <c r="G1262" s="62" t="n"/>
      <c r="H1262" s="62" t="n"/>
    </row>
    <row r="1263" ht="21" customHeight="1">
      <c r="A1263" s="61" t="n"/>
      <c r="B1263" s="44">
        <f>'設定'!$I$34</f>
        <v/>
      </c>
      <c r="C1263" s="62" t="n"/>
      <c r="D1263" s="62" t="n"/>
      <c r="E1263" s="62" t="n"/>
      <c r="F1263" s="62" t="n"/>
      <c r="G1263" s="62" t="n"/>
      <c r="H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H31 C36:H59 C64:H87 C92:H115 C120:H143 C148:H171 C176:H199 C204:H227 C232:H255 C260:H283 C288:H311 C316:H339 C344:H367 C372:H395 C400:H423 C428:H451 C456:H479 C484:H507 C512:H535 C540:H563 C568:H591 C596:H619 C624:H647 C652:H675 C680:H703 C708:H731 C736:H759 C764:H787 C792:H815 C820:H843 C848:H871 C876:H899 C904:H927 C932:H955 C960:H983 C988:H1011 C1016:H1039 C1044:H1067 C1072:H1095 C1100:H1123 C1128:H1151 C1156:H1179 C1184:H1207 C1212:H1235 C1240:H1263">
    <cfRule type="expression" priority="1" dxfId="3" stopIfTrue="1">
      <formula>INDEX('計算A'!$D$115:$EQ$115,(COLUMN(C8)-3)*24+MOD(ROW(C8)-5,28)-2)=0</formula>
    </cfRule>
    <cfRule type="expression" priority="2" dxfId="10" stopIfTrue="1">
      <formula>INDEX('計算A'!$D$4:$EQ$4,(COLUMN(C8)-3)*24+MOD(ROW(C8)-5,28)-2)=0</formula>
    </cfRule>
    <cfRule type="expression" priority="3" dxfId="5" stopIfTrue="1">
      <formula>OR(C8&lt;&gt;"",INDEX('計算A'!$D$10:$EQ$54,INT((ROW(C8)-5)/28)+1,(COLUMN(C8)-3)*24+MOD(ROW(C8)-5,28)-2)=1)</formula>
    </cfRule>
    <cfRule type="expression" priority="4" dxfId="4">
      <formula>TRUE</formula>
    </cfRule>
  </conditionalFormatting>
  <conditionalFormatting sqref="C6:H6 C34:H34 C62:H62 C90:H90 C118:H118 C146:H146 C174:H174 C202:H202 C230:H230 C258:H258 C286:H286 C314:H314 C342:H342 C370:H370 C398:H398 C426:H426 C454:H454 C482:H482 C510:H510 C538:H538 C566:H566 C594:H594 C622:H622 C650:H650 C678:H678 C706:H706 C734:H734 C762:H762 C790:H790 C818:H818 C846:H846 C874:H874 C902:H902 C930:H930 C958:H958 C986:H986 C1014:H1014 C1042:H1042 C1070:H1070 C1098:H1098 C1126:H1126 C1154:H1154 C1182:H1182 C1210:H1210 C1238:H1238">
    <cfRule type="expression" priority="5" dxfId="3" stopIfTrue="1">
      <formula>INDEX('設定'!$B$11:$B$16,COLUMN(C6)-2)=""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H7 C35:H35 C63:H63 C91:H91 C119:H119 C147:H147 C175:H175 C203:H203 C231:H231 C259:H259 C287:H287 C315:H315 C343:H343 C371:H371 C399:H399 C427:H427 C455:H455 C483:H483 C511:H511 C539:H539 C567:H567 C595:H595 C623:H623 C651:H651 C679:H679 C707:H707 C735:H735 C763:H763 C791:H791 C819:H819 C847:H847 C875:H875 C903:H903 C931:H931 C959:H959 C987:H987 C1015:H1015 C1043:H1043 C1071:H1071 C1099:H1099 C1127:H1127 C1155:H1155 C1183:H1183 C1211:H1211 C1239:H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H6 C34:H34 C62:H62 C90:H90 C118:H118 C146:H146 C174:H174 C202:H202 C230:H230 C258:H258 C286:H286 C314:H314 C342:H342 C370:H370 C398:H398 C426:H426 C454:H454 C482:H482 C510:H510 C538:H538 C566:H566 C594:H594 C622:H622 C650:H650 C678:H678 C706:H706 C734:H734 C762:H762 C790:H790 C818:H818 C846:H846 C874:H874 C902:H902 C930:H930 C958:H958 C986:H986 C1014:H1014 C1042:H1042 C1070:H1070 C1098:H1098 C1126:H1126 C1154:H1154 C1182:H1182 C1210:H1210 C1238:H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HYPERLINK("#'印刷（兄弟確認）'!A1","⑥ 印刷")</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N5" s="67" t="inlineStr">
        <is>
          <t>決定済み（調整・決定シート）</t>
        </is>
      </c>
      <c r="O5" s="68">
        <f>SUMPRODUCT(('調整・決定'!$C$6:$H$29&lt;&gt;"")*1)&amp;"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H29">
    <cfRule type="expression" priority="2" dxfId="3" stopIfTrue="1">
      <formula>INDEX('計算A'!$D$115:$EQ$115,(COLUMN(C6)-3)*24+ROW(C6)-5)=0</formula>
    </cfRule>
    <cfRule type="expression" priority="3" dxfId="10" stopIfTrue="1">
      <formula>INDEX('計算A'!$D$4:$EQ$4,(COLUMN(C6)-3)*24+ROW(C6)-5)=0</formula>
    </cfRule>
    <cfRule type="expression" priority="4" dxfId="11" stopIfTrue="1">
      <formula>AND(C6&lt;&gt;"",'調整・決定'!C6="")</formula>
    </cfRule>
    <cfRule type="expression" priority="5" dxfId="12" stopIfTrue="1">
      <formula>AND(C6="",INDEX('計算A'!$D$107:$EQ$107,(COLUMN(C6)-3)*24+ROW(C6)-5)+INDEX('計算A'!$D$108:$EQ$108,(COLUMN(C6)-3)*24+ROW(C6)-5)&gt;0)</formula>
    </cfRule>
    <cfRule type="expression" priority="6" dxfId="13" stopIfTrue="1">
      <formula>AND(C6="",INDEX('計算A'!$D$5:$EQ$5,(COLUMN(C6)-3)*24+ROW(C6)-5)=1)</formula>
    </cfRule>
    <cfRule type="expression" priority="7" dxfId="4">
      <formula>TRUE</formula>
    </cfRule>
  </conditionalFormatting>
  <conditionalFormatting sqref="C5:H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HYPERLINK("#'印刷（兄弟確認）'!A1","⑥ 印刷")</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N5" s="67" t="inlineStr">
        <is>
          <t>決定済み（調整・決定シート）</t>
        </is>
      </c>
      <c r="O5" s="68">
        <f>SUMPRODUCT(('調整・決定'!$C$6:$H$29&lt;&gt;"")*1)&amp;"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H29">
    <cfRule type="expression" priority="2" dxfId="3" stopIfTrue="1">
      <formula>INDEX('計算A'!$D$115:$EQ$115,(COLUMN(C6)-3)*24+ROW(C6)-5)=0</formula>
    </cfRule>
    <cfRule type="expression" priority="3" dxfId="10" stopIfTrue="1">
      <formula>INDEX('計算A'!$D$4:$EQ$4,(COLUMN(C6)-3)*24+ROW(C6)-5)=0</formula>
    </cfRule>
    <cfRule type="expression" priority="4" dxfId="11" stopIfTrue="1">
      <formula>AND(C6&lt;&gt;"",'調整・決定'!C6="")</formula>
    </cfRule>
    <cfRule type="expression" priority="5" dxfId="12" stopIfTrue="1">
      <formula>AND(C6="",INDEX('計算A'!$D$116:$EQ$116,(COLUMN(C6)-3)*24+ROW(C6)-5)+INDEX('計算A'!$D$108:$EQ$108,(COLUMN(C6)-3)*24+ROW(C6)-5)&gt;0)</formula>
    </cfRule>
    <cfRule type="expression" priority="6" dxfId="13" stopIfTrue="1">
      <formula>AND(C6="",INDEX('計算A'!$D$5:$EQ$5,(COLUMN(C6)-3)*24+ROW(C6)-5)=1)</formula>
    </cfRule>
    <cfRule type="expression" priority="7" dxfId="4">
      <formula>TRUE</formula>
    </cfRule>
  </conditionalFormatting>
  <conditionalFormatting sqref="C5:H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F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HYPERLINK("#'印刷（兄弟確認）'!A1","⑥ 印刷")</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IF(SUMPRODUCT(_xlfn.ISFORMULA(C6:H29)*1)&gt;0,"⚠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N5" s="87" t="n"/>
      <c r="O5" s="31" t="n"/>
    </row>
    <row r="6" ht="26" customHeight="1">
      <c r="B6" s="44">
        <f>'設定'!$I$11</f>
        <v/>
      </c>
      <c r="C6" s="25" t="n"/>
      <c r="D6" s="25" t="n"/>
      <c r="E6" s="25" t="n"/>
      <c r="F6" s="25" t="n"/>
      <c r="G6" s="25" t="n"/>
      <c r="H6" s="25" t="n"/>
      <c r="AA6">
        <f>IF(AND(C6="",'計算A'!D$115=0),0,IF(AND(C6&lt;&gt;"",'計算A'!D$4=0),1,IF(IF(C6="",0,IFERROR(INDEX('計算A'!D$10:D$54,MATCH(C6,'計算A'!$B$10:$B$54,0)),0))=1,2,IF(AND(C6&lt;&gt;"",COUNTIF($C$6:$H$29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H$29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H$29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H$29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H$29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H$29,H6)&gt;1),3,IF('計算A'!DT$4=0,4,IF(AND(H6&lt;&gt;"",'計算A'!DT$108=1),5,IF(AND(H6="",'計算A'!DT$108=1),6,IF(AND(H6&lt;&gt;"",H6=$N$5),7,IF(IF('計算A'!$B$8&gt;0,INDEX('計算A'!DT$10:DT$54,'計算A'!$B$8),0)=1,8,IF(AND(H6="",IF('計算A'!$B$8&gt;0,INDEX('計算A'!DT$60:DT$104,'計算A'!$B$8),0)=1),9,IF(AND(H6&lt;&gt;"",IF('計算A'!$B$8&gt;0,INDEX('計算A'!DT$60:DT$104,'計算A'!$B$8),0)=1),10,IF(AND(H6="",'計算A'!DT$5=1),11,12))))))))))))</f>
        <v/>
      </c>
    </row>
    <row r="7" ht="26" customHeight="1">
      <c r="B7" s="44">
        <f>'設定'!$I$12</f>
        <v/>
      </c>
      <c r="C7" s="25" t="n"/>
      <c r="D7" s="25" t="n"/>
      <c r="E7" s="25" t="n"/>
      <c r="F7" s="25" t="n"/>
      <c r="G7" s="25" t="n"/>
      <c r="H7" s="25" t="n"/>
      <c r="N7" s="67" t="inlineStr">
        <is>
          <t>状況</t>
        </is>
      </c>
      <c r="O7" s="88">
        <f>IF('計算A'!$B$8=0,"",INDEX('名簿'!$J$5:$J$49,'計算A'!$B$8))</f>
        <v/>
      </c>
      <c r="AA7">
        <f>IF(AND(C7="",'計算A'!E$115=0),0,IF(AND(C7&lt;&gt;"",'計算A'!E$4=0),1,IF(IF(C7="",0,IFERROR(INDEX('計算A'!E$10:E$54,MATCH(C7,'計算A'!$B$10:$B$54,0)),0))=1,2,IF(AND(C7&lt;&gt;"",COUNTIF($C$6:$H$29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H$29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H$29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H$29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H$29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H$29,H7)&gt;1),3,IF('計算A'!DU$4=0,4,IF(AND(H7&lt;&gt;"",'計算A'!DU$108=1),5,IF(AND(H7="",'計算A'!DU$108=1),6,IF(AND(H7&lt;&gt;"",H7=$N$5),7,IF(IF('計算A'!$B$8&gt;0,INDEX('計算A'!DU$10:DU$54,'計算A'!$B$8),0)=1,8,IF(AND(H7="",IF('計算A'!$B$8&gt;0,INDEX('計算A'!DU$60:DU$104,'計算A'!$B$8),0)=1),9,IF(AND(H7&lt;&gt;"",IF('計算A'!$B$8&gt;0,INDEX('計算A'!DU$60:DU$104,'計算A'!$B$8),0)=1),10,IF(AND(H7="",'計算A'!DU$5=1),11,12))))))))))))</f>
        <v/>
      </c>
    </row>
    <row r="8" ht="26" customHeight="1">
      <c r="B8" s="44">
        <f>'設定'!$I$13</f>
        <v/>
      </c>
      <c r="C8" s="25" t="n"/>
      <c r="D8" s="25" t="n"/>
      <c r="E8" s="25" t="n"/>
      <c r="F8" s="25" t="n"/>
      <c r="G8" s="25" t="n"/>
      <c r="H8" s="25" t="n"/>
      <c r="N8" s="67" t="inlineStr">
        <is>
          <t>×の数</t>
        </is>
      </c>
      <c r="O8" s="88">
        <f>IF('計算A'!$B$8=0,"",INDEX('名簿'!$K$5:$K$49,'計算A'!$B$8))</f>
        <v/>
      </c>
      <c r="AA8">
        <f>IF(AND(C8="",'計算A'!F$115=0),0,IF(AND(C8&lt;&gt;"",'計算A'!F$4=0),1,IF(IF(C8="",0,IFERROR(INDEX('計算A'!F$10:F$54,MATCH(C8,'計算A'!$B$10:$B$54,0)),0))=1,2,IF(AND(C8&lt;&gt;"",COUNTIF($C$6:$H$29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H$29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H$29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H$29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H$29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H$29,H8)&gt;1),3,IF('計算A'!DV$4=0,4,IF(AND(H8&lt;&gt;"",'計算A'!DV$108=1),5,IF(AND(H8="",'計算A'!DV$108=1),6,IF(AND(H8&lt;&gt;"",H8=$N$5),7,IF(IF('計算A'!$B$8&gt;0,INDEX('計算A'!DV$10:DV$54,'計算A'!$B$8),0)=1,8,IF(AND(H8="",IF('計算A'!$B$8&gt;0,INDEX('計算A'!DV$60:DV$104,'計算A'!$B$8),0)=1),9,IF(AND(H8&lt;&gt;"",IF('計算A'!$B$8&gt;0,INDEX('計算A'!DV$60:DV$104,'計算A'!$B$8),0)=1),10,IF(AND(H8="",'計算A'!DV$5=1),11,12))))))))))))</f>
        <v/>
      </c>
    </row>
    <row r="9" ht="26" customHeight="1">
      <c r="B9" s="44">
        <f>'設定'!$I$14</f>
        <v/>
      </c>
      <c r="C9" s="25" t="n"/>
      <c r="D9" s="25" t="n"/>
      <c r="E9" s="25" t="n"/>
      <c r="F9" s="25" t="n"/>
      <c r="G9" s="25" t="n"/>
      <c r="H9" s="25" t="n"/>
      <c r="N9" s="67" t="inlineStr">
        <is>
          <t>今の枠</t>
        </is>
      </c>
      <c r="O9" s="88">
        <f>IF('計算A'!$B$8=0,"",INDEX('名簿'!$N$5:$N$49,'計算A'!$B$8)&amp;" "&amp;INDEX('名簿'!$O$5:$O$49,'計算A'!$B$8))</f>
        <v/>
      </c>
      <c r="AA9">
        <f>IF(AND(C9="",'計算A'!G$115=0),0,IF(AND(C9&lt;&gt;"",'計算A'!G$4=0),1,IF(IF(C9="",0,IFERROR(INDEX('計算A'!G$10:G$54,MATCH(C9,'計算A'!$B$10:$B$54,0)),0))=1,2,IF(AND(C9&lt;&gt;"",COUNTIF($C$6:$H$29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H$29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H$29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H$29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H$29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H$29,H9)&gt;1),3,IF('計算A'!DW$4=0,4,IF(AND(H9&lt;&gt;"",'計算A'!DW$108=1),5,IF(AND(H9="",'計算A'!DW$108=1),6,IF(AND(H9&lt;&gt;"",H9=$N$5),7,IF(IF('計算A'!$B$8&gt;0,INDEX('計算A'!DW$10:DW$54,'計算A'!$B$8),0)=1,8,IF(AND(H9="",IF('計算A'!$B$8&gt;0,INDEX('計算A'!DW$60:DW$104,'計算A'!$B$8),0)=1),9,IF(AND(H9&lt;&gt;"",IF('計算A'!$B$8&gt;0,INDEX('計算A'!DW$60:DW$104,'計算A'!$B$8),0)=1),10,IF(AND(H9="",'計算A'!DW$5=1),11,12))))))))))))</f>
        <v/>
      </c>
    </row>
    <row r="10" ht="26" customHeight="1">
      <c r="B10" s="44">
        <f>'設定'!$I$15</f>
        <v/>
      </c>
      <c r="C10" s="25" t="n"/>
      <c r="D10" s="25" t="n"/>
      <c r="E10" s="25" t="n"/>
      <c r="F10" s="25" t="n"/>
      <c r="G10" s="25" t="n"/>
      <c r="H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H$29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H$29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H$29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H$29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H$29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H$29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row>
    <row r="11" ht="26" customHeight="1">
      <c r="B11" s="44">
        <f>'設定'!$I$16</f>
        <v/>
      </c>
      <c r="C11" s="25" t="n"/>
      <c r="D11" s="25" t="n"/>
      <c r="E11" s="25" t="n"/>
      <c r="F11" s="25" t="n"/>
      <c r="G11" s="25" t="n"/>
      <c r="H11" s="25" t="n"/>
      <c r="N11" s="67" t="inlineStr">
        <is>
          <t>入れられる空き枠</t>
        </is>
      </c>
      <c r="O11" s="72">
        <f t="array" ref="O11">IFERROR(IF('計算A'!$B$8=0,"",_xlfn.TEXTJOIN("、",TRUE,IF((INDEX('計算A'!$D$60:$EQ$104,'計算A'!$B$8,0)=1)*('計算A'!$D$7:$EQ$7=0),'計算A'!$D$8:$EQ$8,""))),"")</f>
        <v/>
      </c>
      <c r="AA11">
        <f>IF(AND(C11="",'計算A'!I$115=0),0,IF(AND(C11&lt;&gt;"",'計算A'!I$4=0),1,IF(IF(C11="",0,IFERROR(INDEX('計算A'!I$10:I$54,MATCH(C11,'計算A'!$B$10:$B$54,0)),0))=1,2,IF(AND(C11&lt;&gt;"",COUNTIF($C$6:$H$29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H$29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H$29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H$29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H$29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H$29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row>
    <row r="12" ht="26" customHeight="1">
      <c r="B12" s="44">
        <f>'設定'!$I$17</f>
        <v/>
      </c>
      <c r="C12" s="25" t="n"/>
      <c r="D12" s="25" t="n"/>
      <c r="E12" s="25" t="n"/>
      <c r="F12" s="25" t="n"/>
      <c r="G12" s="25" t="n"/>
      <c r="H12" s="25" t="n"/>
      <c r="AA12">
        <f>IF(AND(C12="",'計算A'!J$115=0),0,IF(AND(C12&lt;&gt;"",'計算A'!J$4=0),1,IF(IF(C12="",0,IFERROR(INDEX('計算A'!J$10:J$54,MATCH(C12,'計算A'!$B$10:$B$54,0)),0))=1,2,IF(AND(C12&lt;&gt;"",COUNTIF($C$6:$H$29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H$29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H$29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H$29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H$29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H$29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row>
    <row r="13" ht="26" customHeight="1">
      <c r="B13" s="44">
        <f>'設定'!$I$18</f>
        <v/>
      </c>
      <c r="C13" s="25" t="n"/>
      <c r="D13" s="25" t="n"/>
      <c r="E13" s="25" t="n"/>
      <c r="F13" s="25" t="n"/>
      <c r="G13" s="25" t="n"/>
      <c r="H13" s="25" t="n"/>
      <c r="AA13">
        <f>IF(AND(C13="",'計算A'!K$115=0),0,IF(AND(C13&lt;&gt;"",'計算A'!K$4=0),1,IF(IF(C13="",0,IFERROR(INDEX('計算A'!K$10:K$54,MATCH(C13,'計算A'!$B$10:$B$54,0)),0))=1,2,IF(AND(C13&lt;&gt;"",COUNTIF($C$6:$H$29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H$29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H$29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H$29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H$29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H$29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row>
    <row r="14" ht="26" customHeight="1">
      <c r="B14" s="44">
        <f>'設定'!$I$19</f>
        <v/>
      </c>
      <c r="C14" s="25" t="n"/>
      <c r="D14" s="25" t="n"/>
      <c r="E14" s="25" t="n"/>
      <c r="F14" s="25" t="n"/>
      <c r="G14" s="25" t="n"/>
      <c r="H14" s="25" t="n"/>
      <c r="AA14">
        <f>IF(AND(C14="",'計算A'!L$115=0),0,IF(AND(C14&lt;&gt;"",'計算A'!L$4=0),1,IF(IF(C14="",0,IFERROR(INDEX('計算A'!L$10:L$54,MATCH(C14,'計算A'!$B$10:$B$54,0)),0))=1,2,IF(AND(C14&lt;&gt;"",COUNTIF($C$6:$H$29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H$29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H$29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H$29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H$29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H$29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row>
    <row r="15" ht="26" customHeight="1">
      <c r="B15" s="44">
        <f>'設定'!$I$20</f>
        <v/>
      </c>
      <c r="C15" s="25" t="n"/>
      <c r="D15" s="25" t="n"/>
      <c r="E15" s="25" t="n"/>
      <c r="F15" s="25" t="n"/>
      <c r="G15" s="25" t="n"/>
      <c r="H15" s="25" t="n"/>
      <c r="AA15">
        <f>IF(AND(C15="",'計算A'!M$115=0),0,IF(AND(C15&lt;&gt;"",'計算A'!M$4=0),1,IF(IF(C15="",0,IFERROR(INDEX('計算A'!M$10:M$54,MATCH(C15,'計算A'!$B$10:$B$54,0)),0))=1,2,IF(AND(C15&lt;&gt;"",COUNTIF($C$6:$H$29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H$29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H$29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H$29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H$29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H$29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row>
    <row r="16" ht="26" customHeight="1">
      <c r="B16" s="44">
        <f>'設定'!$I$21</f>
        <v/>
      </c>
      <c r="C16" s="25" t="n"/>
      <c r="D16" s="25" t="n"/>
      <c r="E16" s="25" t="n"/>
      <c r="F16" s="25" t="n"/>
      <c r="G16" s="25" t="n"/>
      <c r="H16" s="25" t="n"/>
      <c r="AA16">
        <f>IF(AND(C16="",'計算A'!N$115=0),0,IF(AND(C16&lt;&gt;"",'計算A'!N$4=0),1,IF(IF(C16="",0,IFERROR(INDEX('計算A'!N$10:N$54,MATCH(C16,'計算A'!$B$10:$B$54,0)),0))=1,2,IF(AND(C16&lt;&gt;"",COUNTIF($C$6:$H$29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H$29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H$29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H$29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H$29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H$29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row>
    <row r="17" ht="26" customHeight="1">
      <c r="B17" s="44">
        <f>'設定'!$I$22</f>
        <v/>
      </c>
      <c r="C17" s="25" t="n"/>
      <c r="D17" s="25" t="n"/>
      <c r="E17" s="25" t="n"/>
      <c r="F17" s="25" t="n"/>
      <c r="G17" s="25" t="n"/>
      <c r="H17" s="25" t="n"/>
      <c r="AA17">
        <f>IF(AND(C17="",'計算A'!O$115=0),0,IF(AND(C17&lt;&gt;"",'計算A'!O$4=0),1,IF(IF(C17="",0,IFERROR(INDEX('計算A'!O$10:O$54,MATCH(C17,'計算A'!$B$10:$B$54,0)),0))=1,2,IF(AND(C17&lt;&gt;"",COUNTIF($C$6:$H$29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H$29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H$29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H$29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H$29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H$29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row>
    <row r="18" ht="26" customHeight="1">
      <c r="B18" s="44">
        <f>'設定'!$I$23</f>
        <v/>
      </c>
      <c r="C18" s="25" t="n"/>
      <c r="D18" s="25" t="n"/>
      <c r="E18" s="25" t="n"/>
      <c r="F18" s="25" t="n"/>
      <c r="G18" s="25" t="n"/>
      <c r="H18" s="25" t="n"/>
      <c r="N18" s="75" t="inlineStr">
        <is>
          <t>「調整・決定」への貼り付けかた</t>
        </is>
      </c>
      <c r="AA18">
        <f>IF(AND(C18="",'計算A'!P$115=0),0,IF(AND(C18&lt;&gt;"",'計算A'!P$4=0),1,IF(IF(C18="",0,IFERROR(INDEX('計算A'!P$10:P$54,MATCH(C18,'計算A'!$B$10:$B$54,0)),0))=1,2,IF(AND(C18&lt;&gt;"",COUNTIF($C$6:$H$29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H$29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H$29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H$29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H$29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H$29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row>
    <row r="19" ht="26" customHeight="1">
      <c r="B19" s="44">
        <f>'設定'!$I$24</f>
        <v/>
      </c>
      <c r="C19" s="25" t="n"/>
      <c r="D19" s="25" t="n"/>
      <c r="E19" s="25" t="n"/>
      <c r="F19" s="25" t="n"/>
      <c r="G19" s="25" t="n"/>
      <c r="H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H$29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H$29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H$29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H$29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H$29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H$29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row>
    <row r="20" ht="26" customHeight="1">
      <c r="B20" s="44">
        <f>'設定'!$I$25</f>
        <v/>
      </c>
      <c r="C20" s="25" t="n"/>
      <c r="D20" s="25" t="n"/>
      <c r="E20" s="25" t="n"/>
      <c r="F20" s="25" t="n"/>
      <c r="G20" s="25" t="n"/>
      <c r="H20" s="25" t="n"/>
      <c r="N20" s="76" t="inlineStr">
        <is>
          <t>② 「調整・決定」の表の左上（いちばん早い日・時刻のマス）をクリック</t>
        </is>
      </c>
      <c r="AA20">
        <f>IF(AND(C20="",'計算A'!R$115=0),0,IF(AND(C20&lt;&gt;"",'計算A'!R$4=0),1,IF(IF(C20="",0,IFERROR(INDEX('計算A'!R$10:R$54,MATCH(C20,'計算A'!$B$10:$B$54,0)),0))=1,2,IF(AND(C20&lt;&gt;"",COUNTIF($C$6:$H$29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H$29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H$29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H$29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H$29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H$29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row>
    <row r="21" ht="26" customHeight="1">
      <c r="B21" s="44">
        <f>'設定'!$I$26</f>
        <v/>
      </c>
      <c r="C21" s="25" t="n"/>
      <c r="D21" s="25" t="n"/>
      <c r="E21" s="25" t="n"/>
      <c r="F21" s="25" t="n"/>
      <c r="G21" s="25" t="n"/>
      <c r="H21" s="25" t="n"/>
      <c r="N21" s="76" t="inlineStr">
        <is>
          <t>③ 右クリック →［貼り付けのオプション］の「値」（123 の絵）。または Ctrl + Shift + V</t>
        </is>
      </c>
      <c r="AA21">
        <f>IF(AND(C21="",'計算A'!S$115=0),0,IF(AND(C21&lt;&gt;"",'計算A'!S$4=0),1,IF(IF(C21="",0,IFERROR(INDEX('計算A'!S$10:S$54,MATCH(C21,'計算A'!$B$10:$B$54,0)),0))=1,2,IF(AND(C21&lt;&gt;"",COUNTIF($C$6:$H$29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H$29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H$29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H$29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H$29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H$29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row>
    <row r="22" ht="26" customHeight="1">
      <c r="B22" s="44">
        <f>'設定'!$I$27</f>
        <v/>
      </c>
      <c r="C22" s="25" t="n"/>
      <c r="D22" s="25" t="n"/>
      <c r="E22" s="25" t="n"/>
      <c r="F22" s="25" t="n"/>
      <c r="G22" s="25" t="n"/>
      <c r="H22" s="25" t="n"/>
      <c r="N22" s="77" t="inlineStr">
        <is>
          <t>※ ふつうの貼り付け（Ctrl + V）は×。「循環参照」の注意が出たら、すぐ Ctrl + Z で元に戻します。</t>
        </is>
      </c>
      <c r="AA22">
        <f>IF(AND(C22="",'計算A'!T$115=0),0,IF(AND(C22&lt;&gt;"",'計算A'!T$4=0),1,IF(IF(C22="",0,IFERROR(INDEX('計算A'!T$10:T$54,MATCH(C22,'計算A'!$B$10:$B$54,0)),0))=1,2,IF(AND(C22&lt;&gt;"",COUNTIF($C$6:$H$29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H$29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H$29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H$29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H$29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H$29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row>
    <row r="23" ht="26" customHeight="1">
      <c r="B23" s="44">
        <f>'設定'!$I$28</f>
        <v/>
      </c>
      <c r="C23" s="25" t="n"/>
      <c r="D23" s="25" t="n"/>
      <c r="E23" s="25" t="n"/>
      <c r="F23" s="25" t="n"/>
      <c r="G23" s="25" t="n"/>
      <c r="H23" s="25" t="n"/>
      <c r="AA23">
        <f>IF(AND(C23="",'計算A'!U$115=0),0,IF(AND(C23&lt;&gt;"",'計算A'!U$4=0),1,IF(IF(C23="",0,IFERROR(INDEX('計算A'!U$10:U$54,MATCH(C23,'計算A'!$B$10:$B$54,0)),0))=1,2,IF(AND(C23&lt;&gt;"",COUNTIF($C$6:$H$29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H$29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H$29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H$29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H$29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H$29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row>
    <row r="24" ht="26" customHeight="1">
      <c r="B24" s="44">
        <f>'設定'!$I$29</f>
        <v/>
      </c>
      <c r="C24" s="25" t="n"/>
      <c r="D24" s="25" t="n"/>
      <c r="E24" s="25" t="n"/>
      <c r="F24" s="25" t="n"/>
      <c r="G24" s="25" t="n"/>
      <c r="H24" s="25" t="n"/>
      <c r="AA24">
        <f>IF(AND(C24="",'計算A'!V$115=0),0,IF(AND(C24&lt;&gt;"",'計算A'!V$4=0),1,IF(IF(C24="",0,IFERROR(INDEX('計算A'!V$10:V$54,MATCH(C24,'計算A'!$B$10:$B$54,0)),0))=1,2,IF(AND(C24&lt;&gt;"",COUNTIF($C$6:$H$29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H$29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H$29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H$29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H$29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H$29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row>
    <row r="25" ht="26" customHeight="1">
      <c r="B25" s="44">
        <f>'設定'!$I$30</f>
        <v/>
      </c>
      <c r="C25" s="25" t="n"/>
      <c r="D25" s="25" t="n"/>
      <c r="E25" s="25" t="n"/>
      <c r="F25" s="25" t="n"/>
      <c r="G25" s="25" t="n"/>
      <c r="H25" s="25" t="n"/>
      <c r="AA25">
        <f>IF(AND(C25="",'計算A'!W$115=0),0,IF(AND(C25&lt;&gt;"",'計算A'!W$4=0),1,IF(IF(C25="",0,IFERROR(INDEX('計算A'!W$10:W$54,MATCH(C25,'計算A'!$B$10:$B$54,0)),0))=1,2,IF(AND(C25&lt;&gt;"",COUNTIF($C$6:$H$29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H$29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H$29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H$29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H$29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H$29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row>
    <row r="26" ht="26" customHeight="1">
      <c r="B26" s="44">
        <f>'設定'!$I$31</f>
        <v/>
      </c>
      <c r="C26" s="25" t="n"/>
      <c r="D26" s="25" t="n"/>
      <c r="E26" s="25" t="n"/>
      <c r="F26" s="25" t="n"/>
      <c r="G26" s="25" t="n"/>
      <c r="H26" s="25" t="n"/>
      <c r="AA26">
        <f>IF(AND(C26="",'計算A'!X$115=0),0,IF(AND(C26&lt;&gt;"",'計算A'!X$4=0),1,IF(IF(C26="",0,IFERROR(INDEX('計算A'!X$10:X$54,MATCH(C26,'計算A'!$B$10:$B$54,0)),0))=1,2,IF(AND(C26&lt;&gt;"",COUNTIF($C$6:$H$29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H$29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H$29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H$29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H$29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H$29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row>
    <row r="27" ht="26" customHeight="1">
      <c r="B27" s="44">
        <f>'設定'!$I$32</f>
        <v/>
      </c>
      <c r="C27" s="25" t="n"/>
      <c r="D27" s="25" t="n"/>
      <c r="E27" s="25" t="n"/>
      <c r="F27" s="25" t="n"/>
      <c r="G27" s="25" t="n"/>
      <c r="H27" s="25" t="n"/>
      <c r="AA27">
        <f>IF(AND(C27="",'計算A'!Y$115=0),0,IF(AND(C27&lt;&gt;"",'計算A'!Y$4=0),1,IF(IF(C27="",0,IFERROR(INDEX('計算A'!Y$10:Y$54,MATCH(C27,'計算A'!$B$10:$B$54,0)),0))=1,2,IF(AND(C27&lt;&gt;"",COUNTIF($C$6:$H$29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H$29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H$29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H$29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H$29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H$29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row>
    <row r="28" ht="26" customHeight="1">
      <c r="B28" s="44">
        <f>'設定'!$I$33</f>
        <v/>
      </c>
      <c r="C28" s="25" t="n"/>
      <c r="D28" s="25" t="n"/>
      <c r="E28" s="25" t="n"/>
      <c r="F28" s="25" t="n"/>
      <c r="G28" s="25" t="n"/>
      <c r="H28" s="25" t="n"/>
      <c r="AA28">
        <f>IF(AND(C28="",'計算A'!Z$115=0),0,IF(AND(C28&lt;&gt;"",'計算A'!Z$4=0),1,IF(IF(C28="",0,IFERROR(INDEX('計算A'!Z$10:Z$54,MATCH(C28,'計算A'!$B$10:$B$54,0)),0))=1,2,IF(AND(C28&lt;&gt;"",COUNTIF($C$6:$H$29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H$29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H$29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H$29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H$29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H$29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row>
    <row r="29" ht="26" customHeight="1">
      <c r="B29" s="44">
        <f>'設定'!$I$34</f>
        <v/>
      </c>
      <c r="C29" s="25" t="n"/>
      <c r="D29" s="25" t="n"/>
      <c r="E29" s="25" t="n"/>
      <c r="F29" s="25" t="n"/>
      <c r="G29" s="25" t="n"/>
      <c r="H29" s="25" t="n"/>
      <c r="AA29">
        <f>IF(AND(C29="",'計算A'!AA$115=0),0,IF(AND(C29&lt;&gt;"",'計算A'!AA$4=0),1,IF(IF(C29="",0,IFERROR(INDEX('計算A'!AA$10:AA$54,MATCH(C29,'計算A'!$B$10:$B$54,0)),0))=1,2,IF(AND(C29&lt;&gt;"",COUNTIF($C$6:$H$29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H$29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H$29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H$29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H$29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H$29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row>
    <row r="30"/>
    <row r="31"/>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H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H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H5">
    <cfRule type="expression" priority="21" dxfId="3">
      <formula>C5=""</formula>
    </cfRule>
  </conditionalFormatting>
  <conditionalFormatting sqref="C34:H34">
    <cfRule type="expression" priority="22" dxfId="3">
      <formula>C34=""</formula>
    </cfRule>
  </conditionalFormatting>
  <dataValidations count="1">
    <dataValidation sqref="C6:H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AF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0" customWidth="1" min="14" max="14"/>
    <col width="22"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s>
  <sheetData>
    <row r="1" ht="44" customHeight="1">
      <c r="A1" s="2" t="n"/>
      <c r="B1" s="53" t="inlineStr">
        <is>
          <t>印刷（兄弟確認）</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0">
        <f>HYPERLINK("#'調整・決定'!A1","⑤ 調整・決定")</f>
        <v/>
      </c>
      <c r="M1" s="2" t="n"/>
      <c r="N1" s="21">
        <f>HYPERLINK("#'印刷（兄弟確認）'!A1","⑥ 印刷")</f>
        <v/>
      </c>
      <c r="O1" s="2" t="n"/>
    </row>
    <row r="2" ht="24" customHeight="1">
      <c r="A2" s="4" t="n"/>
      <c r="B2" s="54" t="inlineStr">
        <is>
          <t>「調整・決定」で決めた日程を、予定表と同じ形で印刷します。兄弟がいる子は色付きで、名前の下に兄弟のクラス（名簿の兄弟メモ）が出ます。</t>
        </is>
      </c>
      <c r="C2" s="4" t="n"/>
      <c r="D2" s="4" t="n"/>
      <c r="E2" s="4" t="n"/>
      <c r="F2" s="4" t="n"/>
      <c r="G2" s="4" t="n"/>
      <c r="H2" s="4" t="n"/>
      <c r="I2" s="4" t="n"/>
      <c r="J2" s="4" t="n"/>
      <c r="K2" s="4" t="n"/>
      <c r="L2" s="4" t="n"/>
      <c r="M2" s="4" t="n"/>
      <c r="N2" s="4" t="n"/>
      <c r="O2" s="4" t="n"/>
    </row>
    <row r="3" ht="28" customHeight="1">
      <c r="B3" s="91">
        <f>"個人面談日程"&amp;IF(O3="","","　"&amp;O3)</f>
        <v/>
      </c>
      <c r="N3" s="92" t="inlineStr">
        <is>
          <t>クラス・担任など ▶</t>
        </is>
      </c>
      <c r="O3" s="29" t="n"/>
    </row>
    <row r="4"/>
    <row r="5">
      <c r="B5" s="36" t="inlineStr"/>
      <c r="C5" s="37">
        <f>'設定'!$E$11</f>
        <v/>
      </c>
      <c r="D5" s="37">
        <f>'設定'!$E$12</f>
        <v/>
      </c>
      <c r="E5" s="37">
        <f>'設定'!$E$13</f>
        <v/>
      </c>
      <c r="F5" s="37">
        <f>'設定'!$E$14</f>
        <v/>
      </c>
      <c r="G5" s="37">
        <f>'設定'!$E$15</f>
        <v/>
      </c>
      <c r="H5" s="37">
        <f>'設定'!$E$16</f>
        <v/>
      </c>
    </row>
    <row r="6" ht="34" customHeight="1">
      <c r="B6" s="44">
        <f>'設定'!$I$11</f>
        <v/>
      </c>
      <c r="C6" s="25">
        <f>IF('調整・決定'!C6="","",'調整・決定'!C6&amp;IF(IFERROR(INDEX('名簿'!$C$5:$C$49,MATCH('調整・決定'!C6,'名簿'!$I$5:$I$49,0))&lt;&gt;"",FALSE),CHAR(10)&amp;INDEX('名簿'!$D$5:$D$49,MATCH('調整・決定'!C6,'名簿'!$I$5:$I$49,0)),""))</f>
        <v/>
      </c>
      <c r="D6" s="25">
        <f>IF('調整・決定'!D6="","",'調整・決定'!D6&amp;IF(IFERROR(INDEX('名簿'!$C$5:$C$49,MATCH('調整・決定'!D6,'名簿'!$I$5:$I$49,0))&lt;&gt;"",FALSE),CHAR(10)&amp;INDEX('名簿'!$D$5:$D$49,MATCH('調整・決定'!D6,'名簿'!$I$5:$I$49,0)),""))</f>
        <v/>
      </c>
      <c r="E6" s="25">
        <f>IF('調整・決定'!E6="","",'調整・決定'!E6&amp;IF(IFERROR(INDEX('名簿'!$C$5:$C$49,MATCH('調整・決定'!E6,'名簿'!$I$5:$I$49,0))&lt;&gt;"",FALSE),CHAR(10)&amp;INDEX('名簿'!$D$5:$D$49,MATCH('調整・決定'!E6,'名簿'!$I$5:$I$49,0)),""))</f>
        <v/>
      </c>
      <c r="F6" s="25">
        <f>IF('調整・決定'!F6="","",'調整・決定'!F6&amp;IF(IFERROR(INDEX('名簿'!$C$5:$C$49,MATCH('調整・決定'!F6,'名簿'!$I$5:$I$49,0))&lt;&gt;"",FALSE),CHAR(10)&amp;INDEX('名簿'!$D$5:$D$49,MATCH('調整・決定'!F6,'名簿'!$I$5:$I$49,0)),""))</f>
        <v/>
      </c>
      <c r="G6" s="25">
        <f>IF('調整・決定'!G6="","",'調整・決定'!G6&amp;IF(IFERROR(INDEX('名簿'!$C$5:$C$49,MATCH('調整・決定'!G6,'名簿'!$I$5:$I$49,0))&lt;&gt;"",FALSE),CHAR(10)&amp;INDEX('名簿'!$D$5:$D$49,MATCH('調整・決定'!G6,'名簿'!$I$5:$I$49,0)),""))</f>
        <v/>
      </c>
      <c r="H6" s="25">
        <f>IF('調整・決定'!H6="","",'調整・決定'!H6&amp;IF(IFERROR(INDEX('名簿'!$C$5:$C$49,MATCH('調整・決定'!H6,'名簿'!$I$5:$I$49,0))&lt;&gt;"",FALSE),CHAR(10)&amp;INDEX('名簿'!$D$5:$D$49,MATCH('調整・決定'!H6,'名簿'!$I$5:$I$49,0)),""))</f>
        <v/>
      </c>
      <c r="AA6">
        <f>IF('計算A'!D$115=0,0,IF(IFERROR(INDEX('名簿'!$C$5:$C$49,MATCH('調整・決定'!C6,'名簿'!$I$5:$I$49,0))&lt;&gt;"",FALSE),1,2))</f>
        <v/>
      </c>
      <c r="AB6">
        <f>IF('計算A'!AB$115=0,0,IF(IFERROR(INDEX('名簿'!$C$5:$C$49,MATCH('調整・決定'!D6,'名簿'!$I$5:$I$49,0))&lt;&gt;"",FALSE),1,2))</f>
        <v/>
      </c>
      <c r="AC6">
        <f>IF('計算A'!AZ$115=0,0,IF(IFERROR(INDEX('名簿'!$C$5:$C$49,MATCH('調整・決定'!E6,'名簿'!$I$5:$I$49,0))&lt;&gt;"",FALSE),1,2))</f>
        <v/>
      </c>
      <c r="AD6">
        <f>IF('計算A'!BX$115=0,0,IF(IFERROR(INDEX('名簿'!$C$5:$C$49,MATCH('調整・決定'!F6,'名簿'!$I$5:$I$49,0))&lt;&gt;"",FALSE),1,2))</f>
        <v/>
      </c>
      <c r="AE6">
        <f>IF('計算A'!CV$115=0,0,IF(IFERROR(INDEX('名簿'!$C$5:$C$49,MATCH('調整・決定'!G6,'名簿'!$I$5:$I$49,0))&lt;&gt;"",FALSE),1,2))</f>
        <v/>
      </c>
      <c r="AF6">
        <f>IF('計算A'!DT$115=0,0,IF(IFERROR(INDEX('名簿'!$C$5:$C$49,MATCH('調整・決定'!H6,'名簿'!$I$5:$I$49,0))&lt;&gt;"",FALSE),1,2))</f>
        <v/>
      </c>
    </row>
    <row r="7" ht="34" customHeight="1">
      <c r="B7" s="44">
        <f>'設定'!$I$12</f>
        <v/>
      </c>
      <c r="C7" s="25">
        <f>IF('調整・決定'!C7="","",'調整・決定'!C7&amp;IF(IFERROR(INDEX('名簿'!$C$5:$C$49,MATCH('調整・決定'!C7,'名簿'!$I$5:$I$49,0))&lt;&gt;"",FALSE),CHAR(10)&amp;INDEX('名簿'!$D$5:$D$49,MATCH('調整・決定'!C7,'名簿'!$I$5:$I$49,0)),""))</f>
        <v/>
      </c>
      <c r="D7" s="25">
        <f>IF('調整・決定'!D7="","",'調整・決定'!D7&amp;IF(IFERROR(INDEX('名簿'!$C$5:$C$49,MATCH('調整・決定'!D7,'名簿'!$I$5:$I$49,0))&lt;&gt;"",FALSE),CHAR(10)&amp;INDEX('名簿'!$D$5:$D$49,MATCH('調整・決定'!D7,'名簿'!$I$5:$I$49,0)),""))</f>
        <v/>
      </c>
      <c r="E7" s="25">
        <f>IF('調整・決定'!E7="","",'調整・決定'!E7&amp;IF(IFERROR(INDEX('名簿'!$C$5:$C$49,MATCH('調整・決定'!E7,'名簿'!$I$5:$I$49,0))&lt;&gt;"",FALSE),CHAR(10)&amp;INDEX('名簿'!$D$5:$D$49,MATCH('調整・決定'!E7,'名簿'!$I$5:$I$49,0)),""))</f>
        <v/>
      </c>
      <c r="F7" s="25">
        <f>IF('調整・決定'!F7="","",'調整・決定'!F7&amp;IF(IFERROR(INDEX('名簿'!$C$5:$C$49,MATCH('調整・決定'!F7,'名簿'!$I$5:$I$49,0))&lt;&gt;"",FALSE),CHAR(10)&amp;INDEX('名簿'!$D$5:$D$49,MATCH('調整・決定'!F7,'名簿'!$I$5:$I$49,0)),""))</f>
        <v/>
      </c>
      <c r="G7" s="25">
        <f>IF('調整・決定'!G7="","",'調整・決定'!G7&amp;IF(IFERROR(INDEX('名簿'!$C$5:$C$49,MATCH('調整・決定'!G7,'名簿'!$I$5:$I$49,0))&lt;&gt;"",FALSE),CHAR(10)&amp;INDEX('名簿'!$D$5:$D$49,MATCH('調整・決定'!G7,'名簿'!$I$5:$I$49,0)),""))</f>
        <v/>
      </c>
      <c r="H7" s="25">
        <f>IF('調整・決定'!H7="","",'調整・決定'!H7&amp;IF(IFERROR(INDEX('名簿'!$C$5:$C$49,MATCH('調整・決定'!H7,'名簿'!$I$5:$I$49,0))&lt;&gt;"",FALSE),CHAR(10)&amp;INDEX('名簿'!$D$5:$D$49,MATCH('調整・決定'!H7,'名簿'!$I$5:$I$49,0)),""))</f>
        <v/>
      </c>
      <c r="AA7">
        <f>IF('計算A'!E$115=0,0,IF(IFERROR(INDEX('名簿'!$C$5:$C$49,MATCH('調整・決定'!C7,'名簿'!$I$5:$I$49,0))&lt;&gt;"",FALSE),1,2))</f>
        <v/>
      </c>
      <c r="AB7">
        <f>IF('計算A'!AC$115=0,0,IF(IFERROR(INDEX('名簿'!$C$5:$C$49,MATCH('調整・決定'!D7,'名簿'!$I$5:$I$49,0))&lt;&gt;"",FALSE),1,2))</f>
        <v/>
      </c>
      <c r="AC7">
        <f>IF('計算A'!BA$115=0,0,IF(IFERROR(INDEX('名簿'!$C$5:$C$49,MATCH('調整・決定'!E7,'名簿'!$I$5:$I$49,0))&lt;&gt;"",FALSE),1,2))</f>
        <v/>
      </c>
      <c r="AD7">
        <f>IF('計算A'!BY$115=0,0,IF(IFERROR(INDEX('名簿'!$C$5:$C$49,MATCH('調整・決定'!F7,'名簿'!$I$5:$I$49,0))&lt;&gt;"",FALSE),1,2))</f>
        <v/>
      </c>
      <c r="AE7">
        <f>IF('計算A'!CW$115=0,0,IF(IFERROR(INDEX('名簿'!$C$5:$C$49,MATCH('調整・決定'!G7,'名簿'!$I$5:$I$49,0))&lt;&gt;"",FALSE),1,2))</f>
        <v/>
      </c>
      <c r="AF7">
        <f>IF('計算A'!DU$115=0,0,IF(IFERROR(INDEX('名簿'!$C$5:$C$49,MATCH('調整・決定'!H7,'名簿'!$I$5:$I$49,0))&lt;&gt;"",FALSE),1,2))</f>
        <v/>
      </c>
    </row>
    <row r="8" ht="34" customHeight="1">
      <c r="B8" s="44">
        <f>'設定'!$I$13</f>
        <v/>
      </c>
      <c r="C8" s="25">
        <f>IF('調整・決定'!C8="","",'調整・決定'!C8&amp;IF(IFERROR(INDEX('名簿'!$C$5:$C$49,MATCH('調整・決定'!C8,'名簿'!$I$5:$I$49,0))&lt;&gt;"",FALSE),CHAR(10)&amp;INDEX('名簿'!$D$5:$D$49,MATCH('調整・決定'!C8,'名簿'!$I$5:$I$49,0)),""))</f>
        <v/>
      </c>
      <c r="D8" s="25">
        <f>IF('調整・決定'!D8="","",'調整・決定'!D8&amp;IF(IFERROR(INDEX('名簿'!$C$5:$C$49,MATCH('調整・決定'!D8,'名簿'!$I$5:$I$49,0))&lt;&gt;"",FALSE),CHAR(10)&amp;INDEX('名簿'!$D$5:$D$49,MATCH('調整・決定'!D8,'名簿'!$I$5:$I$49,0)),""))</f>
        <v/>
      </c>
      <c r="E8" s="25">
        <f>IF('調整・決定'!E8="","",'調整・決定'!E8&amp;IF(IFERROR(INDEX('名簿'!$C$5:$C$49,MATCH('調整・決定'!E8,'名簿'!$I$5:$I$49,0))&lt;&gt;"",FALSE),CHAR(10)&amp;INDEX('名簿'!$D$5:$D$49,MATCH('調整・決定'!E8,'名簿'!$I$5:$I$49,0)),""))</f>
        <v/>
      </c>
      <c r="F8" s="25">
        <f>IF('調整・決定'!F8="","",'調整・決定'!F8&amp;IF(IFERROR(INDEX('名簿'!$C$5:$C$49,MATCH('調整・決定'!F8,'名簿'!$I$5:$I$49,0))&lt;&gt;"",FALSE),CHAR(10)&amp;INDEX('名簿'!$D$5:$D$49,MATCH('調整・決定'!F8,'名簿'!$I$5:$I$49,0)),""))</f>
        <v/>
      </c>
      <c r="G8" s="25">
        <f>IF('調整・決定'!G8="","",'調整・決定'!G8&amp;IF(IFERROR(INDEX('名簿'!$C$5:$C$49,MATCH('調整・決定'!G8,'名簿'!$I$5:$I$49,0))&lt;&gt;"",FALSE),CHAR(10)&amp;INDEX('名簿'!$D$5:$D$49,MATCH('調整・決定'!G8,'名簿'!$I$5:$I$49,0)),""))</f>
        <v/>
      </c>
      <c r="H8" s="25">
        <f>IF('調整・決定'!H8="","",'調整・決定'!H8&amp;IF(IFERROR(INDEX('名簿'!$C$5:$C$49,MATCH('調整・決定'!H8,'名簿'!$I$5:$I$49,0))&lt;&gt;"",FALSE),CHAR(10)&amp;INDEX('名簿'!$D$5:$D$49,MATCH('調整・決定'!H8,'名簿'!$I$5:$I$49,0)),""))</f>
        <v/>
      </c>
      <c r="AA8">
        <f>IF('計算A'!F$115=0,0,IF(IFERROR(INDEX('名簿'!$C$5:$C$49,MATCH('調整・決定'!C8,'名簿'!$I$5:$I$49,0))&lt;&gt;"",FALSE),1,2))</f>
        <v/>
      </c>
      <c r="AB8">
        <f>IF('計算A'!AD$115=0,0,IF(IFERROR(INDEX('名簿'!$C$5:$C$49,MATCH('調整・決定'!D8,'名簿'!$I$5:$I$49,0))&lt;&gt;"",FALSE),1,2))</f>
        <v/>
      </c>
      <c r="AC8">
        <f>IF('計算A'!BB$115=0,0,IF(IFERROR(INDEX('名簿'!$C$5:$C$49,MATCH('調整・決定'!E8,'名簿'!$I$5:$I$49,0))&lt;&gt;"",FALSE),1,2))</f>
        <v/>
      </c>
      <c r="AD8">
        <f>IF('計算A'!BZ$115=0,0,IF(IFERROR(INDEX('名簿'!$C$5:$C$49,MATCH('調整・決定'!F8,'名簿'!$I$5:$I$49,0))&lt;&gt;"",FALSE),1,2))</f>
        <v/>
      </c>
      <c r="AE8">
        <f>IF('計算A'!CX$115=0,0,IF(IFERROR(INDEX('名簿'!$C$5:$C$49,MATCH('調整・決定'!G8,'名簿'!$I$5:$I$49,0))&lt;&gt;"",FALSE),1,2))</f>
        <v/>
      </c>
      <c r="AF8">
        <f>IF('計算A'!DV$115=0,0,IF(IFERROR(INDEX('名簿'!$C$5:$C$49,MATCH('調整・決定'!H8,'名簿'!$I$5:$I$49,0))&lt;&gt;"",FALSE),1,2))</f>
        <v/>
      </c>
    </row>
    <row r="9" ht="34" customHeight="1">
      <c r="B9" s="44">
        <f>'設定'!$I$14</f>
        <v/>
      </c>
      <c r="C9" s="25">
        <f>IF('調整・決定'!C9="","",'調整・決定'!C9&amp;IF(IFERROR(INDEX('名簿'!$C$5:$C$49,MATCH('調整・決定'!C9,'名簿'!$I$5:$I$49,0))&lt;&gt;"",FALSE),CHAR(10)&amp;INDEX('名簿'!$D$5:$D$49,MATCH('調整・決定'!C9,'名簿'!$I$5:$I$49,0)),""))</f>
        <v/>
      </c>
      <c r="D9" s="25">
        <f>IF('調整・決定'!D9="","",'調整・決定'!D9&amp;IF(IFERROR(INDEX('名簿'!$C$5:$C$49,MATCH('調整・決定'!D9,'名簿'!$I$5:$I$49,0))&lt;&gt;"",FALSE),CHAR(10)&amp;INDEX('名簿'!$D$5:$D$49,MATCH('調整・決定'!D9,'名簿'!$I$5:$I$49,0)),""))</f>
        <v/>
      </c>
      <c r="E9" s="25">
        <f>IF('調整・決定'!E9="","",'調整・決定'!E9&amp;IF(IFERROR(INDEX('名簿'!$C$5:$C$49,MATCH('調整・決定'!E9,'名簿'!$I$5:$I$49,0))&lt;&gt;"",FALSE),CHAR(10)&amp;INDEX('名簿'!$D$5:$D$49,MATCH('調整・決定'!E9,'名簿'!$I$5:$I$49,0)),""))</f>
        <v/>
      </c>
      <c r="F9" s="25">
        <f>IF('調整・決定'!F9="","",'調整・決定'!F9&amp;IF(IFERROR(INDEX('名簿'!$C$5:$C$49,MATCH('調整・決定'!F9,'名簿'!$I$5:$I$49,0))&lt;&gt;"",FALSE),CHAR(10)&amp;INDEX('名簿'!$D$5:$D$49,MATCH('調整・決定'!F9,'名簿'!$I$5:$I$49,0)),""))</f>
        <v/>
      </c>
      <c r="G9" s="25">
        <f>IF('調整・決定'!G9="","",'調整・決定'!G9&amp;IF(IFERROR(INDEX('名簿'!$C$5:$C$49,MATCH('調整・決定'!G9,'名簿'!$I$5:$I$49,0))&lt;&gt;"",FALSE),CHAR(10)&amp;INDEX('名簿'!$D$5:$D$49,MATCH('調整・決定'!G9,'名簿'!$I$5:$I$49,0)),""))</f>
        <v/>
      </c>
      <c r="H9" s="25">
        <f>IF('調整・決定'!H9="","",'調整・決定'!H9&amp;IF(IFERROR(INDEX('名簿'!$C$5:$C$49,MATCH('調整・決定'!H9,'名簿'!$I$5:$I$49,0))&lt;&gt;"",FALSE),CHAR(10)&amp;INDEX('名簿'!$D$5:$D$49,MATCH('調整・決定'!H9,'名簿'!$I$5:$I$49,0)),""))</f>
        <v/>
      </c>
      <c r="AA9">
        <f>IF('計算A'!G$115=0,0,IF(IFERROR(INDEX('名簿'!$C$5:$C$49,MATCH('調整・決定'!C9,'名簿'!$I$5:$I$49,0))&lt;&gt;"",FALSE),1,2))</f>
        <v/>
      </c>
      <c r="AB9">
        <f>IF('計算A'!AE$115=0,0,IF(IFERROR(INDEX('名簿'!$C$5:$C$49,MATCH('調整・決定'!D9,'名簿'!$I$5:$I$49,0))&lt;&gt;"",FALSE),1,2))</f>
        <v/>
      </c>
      <c r="AC9">
        <f>IF('計算A'!BC$115=0,0,IF(IFERROR(INDEX('名簿'!$C$5:$C$49,MATCH('調整・決定'!E9,'名簿'!$I$5:$I$49,0))&lt;&gt;"",FALSE),1,2))</f>
        <v/>
      </c>
      <c r="AD9">
        <f>IF('計算A'!CA$115=0,0,IF(IFERROR(INDEX('名簿'!$C$5:$C$49,MATCH('調整・決定'!F9,'名簿'!$I$5:$I$49,0))&lt;&gt;"",FALSE),1,2))</f>
        <v/>
      </c>
      <c r="AE9">
        <f>IF('計算A'!CY$115=0,0,IF(IFERROR(INDEX('名簿'!$C$5:$C$49,MATCH('調整・決定'!G9,'名簿'!$I$5:$I$49,0))&lt;&gt;"",FALSE),1,2))</f>
        <v/>
      </c>
      <c r="AF9">
        <f>IF('計算A'!DW$115=0,0,IF(IFERROR(INDEX('名簿'!$C$5:$C$49,MATCH('調整・決定'!H9,'名簿'!$I$5:$I$49,0))&lt;&gt;"",FALSE),1,2))</f>
        <v/>
      </c>
    </row>
    <row r="10" ht="34" customHeight="1">
      <c r="B10" s="44">
        <f>'設定'!$I$15</f>
        <v/>
      </c>
      <c r="C10" s="25">
        <f>IF('調整・決定'!C10="","",'調整・決定'!C10&amp;IF(IFERROR(INDEX('名簿'!$C$5:$C$49,MATCH('調整・決定'!C10,'名簿'!$I$5:$I$49,0))&lt;&gt;"",FALSE),CHAR(10)&amp;INDEX('名簿'!$D$5:$D$49,MATCH('調整・決定'!C10,'名簿'!$I$5:$I$49,0)),""))</f>
        <v/>
      </c>
      <c r="D10" s="25">
        <f>IF('調整・決定'!D10="","",'調整・決定'!D10&amp;IF(IFERROR(INDEX('名簿'!$C$5:$C$49,MATCH('調整・決定'!D10,'名簿'!$I$5:$I$49,0))&lt;&gt;"",FALSE),CHAR(10)&amp;INDEX('名簿'!$D$5:$D$49,MATCH('調整・決定'!D10,'名簿'!$I$5:$I$49,0)),""))</f>
        <v/>
      </c>
      <c r="E10" s="25">
        <f>IF('調整・決定'!E10="","",'調整・決定'!E10&amp;IF(IFERROR(INDEX('名簿'!$C$5:$C$49,MATCH('調整・決定'!E10,'名簿'!$I$5:$I$49,0))&lt;&gt;"",FALSE),CHAR(10)&amp;INDEX('名簿'!$D$5:$D$49,MATCH('調整・決定'!E10,'名簿'!$I$5:$I$49,0)),""))</f>
        <v/>
      </c>
      <c r="F10" s="25">
        <f>IF('調整・決定'!F10="","",'調整・決定'!F10&amp;IF(IFERROR(INDEX('名簿'!$C$5:$C$49,MATCH('調整・決定'!F10,'名簿'!$I$5:$I$49,0))&lt;&gt;"",FALSE),CHAR(10)&amp;INDEX('名簿'!$D$5:$D$49,MATCH('調整・決定'!F10,'名簿'!$I$5:$I$49,0)),""))</f>
        <v/>
      </c>
      <c r="G10" s="25">
        <f>IF('調整・決定'!G10="","",'調整・決定'!G10&amp;IF(IFERROR(INDEX('名簿'!$C$5:$C$49,MATCH('調整・決定'!G10,'名簿'!$I$5:$I$49,0))&lt;&gt;"",FALSE),CHAR(10)&amp;INDEX('名簿'!$D$5:$D$49,MATCH('調整・決定'!G10,'名簿'!$I$5:$I$49,0)),""))</f>
        <v/>
      </c>
      <c r="H10" s="25">
        <f>IF('調整・決定'!H10="","",'調整・決定'!H10&amp;IF(IFERROR(INDEX('名簿'!$C$5:$C$49,MATCH('調整・決定'!H10,'名簿'!$I$5:$I$49,0))&lt;&gt;"",FALSE),CHAR(10)&amp;INDEX('名簿'!$D$5:$D$49,MATCH('調整・決定'!H10,'名簿'!$I$5:$I$49,0)),""))</f>
        <v/>
      </c>
      <c r="AA10">
        <f>IF('計算A'!H$115=0,0,IF(IFERROR(INDEX('名簿'!$C$5:$C$49,MATCH('調整・決定'!C10,'名簿'!$I$5:$I$49,0))&lt;&gt;"",FALSE),1,2))</f>
        <v/>
      </c>
      <c r="AB10">
        <f>IF('計算A'!AF$115=0,0,IF(IFERROR(INDEX('名簿'!$C$5:$C$49,MATCH('調整・決定'!D10,'名簿'!$I$5:$I$49,0))&lt;&gt;"",FALSE),1,2))</f>
        <v/>
      </c>
      <c r="AC10">
        <f>IF('計算A'!BD$115=0,0,IF(IFERROR(INDEX('名簿'!$C$5:$C$49,MATCH('調整・決定'!E10,'名簿'!$I$5:$I$49,0))&lt;&gt;"",FALSE),1,2))</f>
        <v/>
      </c>
      <c r="AD10">
        <f>IF('計算A'!CB$115=0,0,IF(IFERROR(INDEX('名簿'!$C$5:$C$49,MATCH('調整・決定'!F10,'名簿'!$I$5:$I$49,0))&lt;&gt;"",FALSE),1,2))</f>
        <v/>
      </c>
      <c r="AE10">
        <f>IF('計算A'!CZ$115=0,0,IF(IFERROR(INDEX('名簿'!$C$5:$C$49,MATCH('調整・決定'!G10,'名簿'!$I$5:$I$49,0))&lt;&gt;"",FALSE),1,2))</f>
        <v/>
      </c>
      <c r="AF10">
        <f>IF('計算A'!DX$115=0,0,IF(IFERROR(INDEX('名簿'!$C$5:$C$49,MATCH('調整・決定'!H10,'名簿'!$I$5:$I$49,0))&lt;&gt;"",FALSE),1,2))</f>
        <v/>
      </c>
    </row>
    <row r="11" ht="34" customHeight="1">
      <c r="B11" s="44">
        <f>'設定'!$I$16</f>
        <v/>
      </c>
      <c r="C11" s="25">
        <f>IF('調整・決定'!C11="","",'調整・決定'!C11&amp;IF(IFERROR(INDEX('名簿'!$C$5:$C$49,MATCH('調整・決定'!C11,'名簿'!$I$5:$I$49,0))&lt;&gt;"",FALSE),CHAR(10)&amp;INDEX('名簿'!$D$5:$D$49,MATCH('調整・決定'!C11,'名簿'!$I$5:$I$49,0)),""))</f>
        <v/>
      </c>
      <c r="D11" s="25">
        <f>IF('調整・決定'!D11="","",'調整・決定'!D11&amp;IF(IFERROR(INDEX('名簿'!$C$5:$C$49,MATCH('調整・決定'!D11,'名簿'!$I$5:$I$49,0))&lt;&gt;"",FALSE),CHAR(10)&amp;INDEX('名簿'!$D$5:$D$49,MATCH('調整・決定'!D11,'名簿'!$I$5:$I$49,0)),""))</f>
        <v/>
      </c>
      <c r="E11" s="25">
        <f>IF('調整・決定'!E11="","",'調整・決定'!E11&amp;IF(IFERROR(INDEX('名簿'!$C$5:$C$49,MATCH('調整・決定'!E11,'名簿'!$I$5:$I$49,0))&lt;&gt;"",FALSE),CHAR(10)&amp;INDEX('名簿'!$D$5:$D$49,MATCH('調整・決定'!E11,'名簿'!$I$5:$I$49,0)),""))</f>
        <v/>
      </c>
      <c r="F11" s="25">
        <f>IF('調整・決定'!F11="","",'調整・決定'!F11&amp;IF(IFERROR(INDEX('名簿'!$C$5:$C$49,MATCH('調整・決定'!F11,'名簿'!$I$5:$I$49,0))&lt;&gt;"",FALSE),CHAR(10)&amp;INDEX('名簿'!$D$5:$D$49,MATCH('調整・決定'!F11,'名簿'!$I$5:$I$49,0)),""))</f>
        <v/>
      </c>
      <c r="G11" s="25">
        <f>IF('調整・決定'!G11="","",'調整・決定'!G11&amp;IF(IFERROR(INDEX('名簿'!$C$5:$C$49,MATCH('調整・決定'!G11,'名簿'!$I$5:$I$49,0))&lt;&gt;"",FALSE),CHAR(10)&amp;INDEX('名簿'!$D$5:$D$49,MATCH('調整・決定'!G11,'名簿'!$I$5:$I$49,0)),""))</f>
        <v/>
      </c>
      <c r="H11" s="25">
        <f>IF('調整・決定'!H11="","",'調整・決定'!H11&amp;IF(IFERROR(INDEX('名簿'!$C$5:$C$49,MATCH('調整・決定'!H11,'名簿'!$I$5:$I$49,0))&lt;&gt;"",FALSE),CHAR(10)&amp;INDEX('名簿'!$D$5:$D$49,MATCH('調整・決定'!H11,'名簿'!$I$5:$I$49,0)),""))</f>
        <v/>
      </c>
      <c r="AA11">
        <f>IF('計算A'!I$115=0,0,IF(IFERROR(INDEX('名簿'!$C$5:$C$49,MATCH('調整・決定'!C11,'名簿'!$I$5:$I$49,0))&lt;&gt;"",FALSE),1,2))</f>
        <v/>
      </c>
      <c r="AB11">
        <f>IF('計算A'!AG$115=0,0,IF(IFERROR(INDEX('名簿'!$C$5:$C$49,MATCH('調整・決定'!D11,'名簿'!$I$5:$I$49,0))&lt;&gt;"",FALSE),1,2))</f>
        <v/>
      </c>
      <c r="AC11">
        <f>IF('計算A'!BE$115=0,0,IF(IFERROR(INDEX('名簿'!$C$5:$C$49,MATCH('調整・決定'!E11,'名簿'!$I$5:$I$49,0))&lt;&gt;"",FALSE),1,2))</f>
        <v/>
      </c>
      <c r="AD11">
        <f>IF('計算A'!CC$115=0,0,IF(IFERROR(INDEX('名簿'!$C$5:$C$49,MATCH('調整・決定'!F11,'名簿'!$I$5:$I$49,0))&lt;&gt;"",FALSE),1,2))</f>
        <v/>
      </c>
      <c r="AE11">
        <f>IF('計算A'!DA$115=0,0,IF(IFERROR(INDEX('名簿'!$C$5:$C$49,MATCH('調整・決定'!G11,'名簿'!$I$5:$I$49,0))&lt;&gt;"",FALSE),1,2))</f>
        <v/>
      </c>
      <c r="AF11">
        <f>IF('計算A'!DY$115=0,0,IF(IFERROR(INDEX('名簿'!$C$5:$C$49,MATCH('調整・決定'!H11,'名簿'!$I$5:$I$49,0))&lt;&gt;"",FALSE),1,2))</f>
        <v/>
      </c>
    </row>
    <row r="12" ht="34" customHeight="1">
      <c r="B12" s="44">
        <f>'設定'!$I$17</f>
        <v/>
      </c>
      <c r="C12" s="25">
        <f>IF('調整・決定'!C12="","",'調整・決定'!C12&amp;IF(IFERROR(INDEX('名簿'!$C$5:$C$49,MATCH('調整・決定'!C12,'名簿'!$I$5:$I$49,0))&lt;&gt;"",FALSE),CHAR(10)&amp;INDEX('名簿'!$D$5:$D$49,MATCH('調整・決定'!C12,'名簿'!$I$5:$I$49,0)),""))</f>
        <v/>
      </c>
      <c r="D12" s="25">
        <f>IF('調整・決定'!D12="","",'調整・決定'!D12&amp;IF(IFERROR(INDEX('名簿'!$C$5:$C$49,MATCH('調整・決定'!D12,'名簿'!$I$5:$I$49,0))&lt;&gt;"",FALSE),CHAR(10)&amp;INDEX('名簿'!$D$5:$D$49,MATCH('調整・決定'!D12,'名簿'!$I$5:$I$49,0)),""))</f>
        <v/>
      </c>
      <c r="E12" s="25">
        <f>IF('調整・決定'!E12="","",'調整・決定'!E12&amp;IF(IFERROR(INDEX('名簿'!$C$5:$C$49,MATCH('調整・決定'!E12,'名簿'!$I$5:$I$49,0))&lt;&gt;"",FALSE),CHAR(10)&amp;INDEX('名簿'!$D$5:$D$49,MATCH('調整・決定'!E12,'名簿'!$I$5:$I$49,0)),""))</f>
        <v/>
      </c>
      <c r="F12" s="25">
        <f>IF('調整・決定'!F12="","",'調整・決定'!F12&amp;IF(IFERROR(INDEX('名簿'!$C$5:$C$49,MATCH('調整・決定'!F12,'名簿'!$I$5:$I$49,0))&lt;&gt;"",FALSE),CHAR(10)&amp;INDEX('名簿'!$D$5:$D$49,MATCH('調整・決定'!F12,'名簿'!$I$5:$I$49,0)),""))</f>
        <v/>
      </c>
      <c r="G12" s="25">
        <f>IF('調整・決定'!G12="","",'調整・決定'!G12&amp;IF(IFERROR(INDEX('名簿'!$C$5:$C$49,MATCH('調整・決定'!G12,'名簿'!$I$5:$I$49,0))&lt;&gt;"",FALSE),CHAR(10)&amp;INDEX('名簿'!$D$5:$D$49,MATCH('調整・決定'!G12,'名簿'!$I$5:$I$49,0)),""))</f>
        <v/>
      </c>
      <c r="H12" s="25">
        <f>IF('調整・決定'!H12="","",'調整・決定'!H12&amp;IF(IFERROR(INDEX('名簿'!$C$5:$C$49,MATCH('調整・決定'!H12,'名簿'!$I$5:$I$49,0))&lt;&gt;"",FALSE),CHAR(10)&amp;INDEX('名簿'!$D$5:$D$49,MATCH('調整・決定'!H12,'名簿'!$I$5:$I$49,0)),""))</f>
        <v/>
      </c>
      <c r="AA12">
        <f>IF('計算A'!J$115=0,0,IF(IFERROR(INDEX('名簿'!$C$5:$C$49,MATCH('調整・決定'!C12,'名簿'!$I$5:$I$49,0))&lt;&gt;"",FALSE),1,2))</f>
        <v/>
      </c>
      <c r="AB12">
        <f>IF('計算A'!AH$115=0,0,IF(IFERROR(INDEX('名簿'!$C$5:$C$49,MATCH('調整・決定'!D12,'名簿'!$I$5:$I$49,0))&lt;&gt;"",FALSE),1,2))</f>
        <v/>
      </c>
      <c r="AC12">
        <f>IF('計算A'!BF$115=0,0,IF(IFERROR(INDEX('名簿'!$C$5:$C$49,MATCH('調整・決定'!E12,'名簿'!$I$5:$I$49,0))&lt;&gt;"",FALSE),1,2))</f>
        <v/>
      </c>
      <c r="AD12">
        <f>IF('計算A'!CD$115=0,0,IF(IFERROR(INDEX('名簿'!$C$5:$C$49,MATCH('調整・決定'!F12,'名簿'!$I$5:$I$49,0))&lt;&gt;"",FALSE),1,2))</f>
        <v/>
      </c>
      <c r="AE12">
        <f>IF('計算A'!DB$115=0,0,IF(IFERROR(INDEX('名簿'!$C$5:$C$49,MATCH('調整・決定'!G12,'名簿'!$I$5:$I$49,0))&lt;&gt;"",FALSE),1,2))</f>
        <v/>
      </c>
      <c r="AF12">
        <f>IF('計算A'!DZ$115=0,0,IF(IFERROR(INDEX('名簿'!$C$5:$C$49,MATCH('調整・決定'!H12,'名簿'!$I$5:$I$49,0))&lt;&gt;"",FALSE),1,2))</f>
        <v/>
      </c>
    </row>
    <row r="13" ht="34" customHeight="1">
      <c r="B13" s="44">
        <f>'設定'!$I$18</f>
        <v/>
      </c>
      <c r="C13" s="25">
        <f>IF('調整・決定'!C13="","",'調整・決定'!C13&amp;IF(IFERROR(INDEX('名簿'!$C$5:$C$49,MATCH('調整・決定'!C13,'名簿'!$I$5:$I$49,0))&lt;&gt;"",FALSE),CHAR(10)&amp;INDEX('名簿'!$D$5:$D$49,MATCH('調整・決定'!C13,'名簿'!$I$5:$I$49,0)),""))</f>
        <v/>
      </c>
      <c r="D13" s="25">
        <f>IF('調整・決定'!D13="","",'調整・決定'!D13&amp;IF(IFERROR(INDEX('名簿'!$C$5:$C$49,MATCH('調整・決定'!D13,'名簿'!$I$5:$I$49,0))&lt;&gt;"",FALSE),CHAR(10)&amp;INDEX('名簿'!$D$5:$D$49,MATCH('調整・決定'!D13,'名簿'!$I$5:$I$49,0)),""))</f>
        <v/>
      </c>
      <c r="E13" s="25">
        <f>IF('調整・決定'!E13="","",'調整・決定'!E13&amp;IF(IFERROR(INDEX('名簿'!$C$5:$C$49,MATCH('調整・決定'!E13,'名簿'!$I$5:$I$49,0))&lt;&gt;"",FALSE),CHAR(10)&amp;INDEX('名簿'!$D$5:$D$49,MATCH('調整・決定'!E13,'名簿'!$I$5:$I$49,0)),""))</f>
        <v/>
      </c>
      <c r="F13" s="25">
        <f>IF('調整・決定'!F13="","",'調整・決定'!F13&amp;IF(IFERROR(INDEX('名簿'!$C$5:$C$49,MATCH('調整・決定'!F13,'名簿'!$I$5:$I$49,0))&lt;&gt;"",FALSE),CHAR(10)&amp;INDEX('名簿'!$D$5:$D$49,MATCH('調整・決定'!F13,'名簿'!$I$5:$I$49,0)),""))</f>
        <v/>
      </c>
      <c r="G13" s="25">
        <f>IF('調整・決定'!G13="","",'調整・決定'!G13&amp;IF(IFERROR(INDEX('名簿'!$C$5:$C$49,MATCH('調整・決定'!G13,'名簿'!$I$5:$I$49,0))&lt;&gt;"",FALSE),CHAR(10)&amp;INDEX('名簿'!$D$5:$D$49,MATCH('調整・決定'!G13,'名簿'!$I$5:$I$49,0)),""))</f>
        <v/>
      </c>
      <c r="H13" s="25">
        <f>IF('調整・決定'!H13="","",'調整・決定'!H13&amp;IF(IFERROR(INDEX('名簿'!$C$5:$C$49,MATCH('調整・決定'!H13,'名簿'!$I$5:$I$49,0))&lt;&gt;"",FALSE),CHAR(10)&amp;INDEX('名簿'!$D$5:$D$49,MATCH('調整・決定'!H13,'名簿'!$I$5:$I$49,0)),""))</f>
        <v/>
      </c>
      <c r="AA13">
        <f>IF('計算A'!K$115=0,0,IF(IFERROR(INDEX('名簿'!$C$5:$C$49,MATCH('調整・決定'!C13,'名簿'!$I$5:$I$49,0))&lt;&gt;"",FALSE),1,2))</f>
        <v/>
      </c>
      <c r="AB13">
        <f>IF('計算A'!AI$115=0,0,IF(IFERROR(INDEX('名簿'!$C$5:$C$49,MATCH('調整・決定'!D13,'名簿'!$I$5:$I$49,0))&lt;&gt;"",FALSE),1,2))</f>
        <v/>
      </c>
      <c r="AC13">
        <f>IF('計算A'!BG$115=0,0,IF(IFERROR(INDEX('名簿'!$C$5:$C$49,MATCH('調整・決定'!E13,'名簿'!$I$5:$I$49,0))&lt;&gt;"",FALSE),1,2))</f>
        <v/>
      </c>
      <c r="AD13">
        <f>IF('計算A'!CE$115=0,0,IF(IFERROR(INDEX('名簿'!$C$5:$C$49,MATCH('調整・決定'!F13,'名簿'!$I$5:$I$49,0))&lt;&gt;"",FALSE),1,2))</f>
        <v/>
      </c>
      <c r="AE13">
        <f>IF('計算A'!DC$115=0,0,IF(IFERROR(INDEX('名簿'!$C$5:$C$49,MATCH('調整・決定'!G13,'名簿'!$I$5:$I$49,0))&lt;&gt;"",FALSE),1,2))</f>
        <v/>
      </c>
      <c r="AF13">
        <f>IF('計算A'!EA$115=0,0,IF(IFERROR(INDEX('名簿'!$C$5:$C$49,MATCH('調整・決定'!H13,'名簿'!$I$5:$I$49,0))&lt;&gt;"",FALSE),1,2))</f>
        <v/>
      </c>
    </row>
    <row r="14" ht="34" customHeight="1">
      <c r="B14" s="44">
        <f>'設定'!$I$19</f>
        <v/>
      </c>
      <c r="C14" s="25">
        <f>IF('調整・決定'!C14="","",'調整・決定'!C14&amp;IF(IFERROR(INDEX('名簿'!$C$5:$C$49,MATCH('調整・決定'!C14,'名簿'!$I$5:$I$49,0))&lt;&gt;"",FALSE),CHAR(10)&amp;INDEX('名簿'!$D$5:$D$49,MATCH('調整・決定'!C14,'名簿'!$I$5:$I$49,0)),""))</f>
        <v/>
      </c>
      <c r="D14" s="25">
        <f>IF('調整・決定'!D14="","",'調整・決定'!D14&amp;IF(IFERROR(INDEX('名簿'!$C$5:$C$49,MATCH('調整・決定'!D14,'名簿'!$I$5:$I$49,0))&lt;&gt;"",FALSE),CHAR(10)&amp;INDEX('名簿'!$D$5:$D$49,MATCH('調整・決定'!D14,'名簿'!$I$5:$I$49,0)),""))</f>
        <v/>
      </c>
      <c r="E14" s="25">
        <f>IF('調整・決定'!E14="","",'調整・決定'!E14&amp;IF(IFERROR(INDEX('名簿'!$C$5:$C$49,MATCH('調整・決定'!E14,'名簿'!$I$5:$I$49,0))&lt;&gt;"",FALSE),CHAR(10)&amp;INDEX('名簿'!$D$5:$D$49,MATCH('調整・決定'!E14,'名簿'!$I$5:$I$49,0)),""))</f>
        <v/>
      </c>
      <c r="F14" s="25">
        <f>IF('調整・決定'!F14="","",'調整・決定'!F14&amp;IF(IFERROR(INDEX('名簿'!$C$5:$C$49,MATCH('調整・決定'!F14,'名簿'!$I$5:$I$49,0))&lt;&gt;"",FALSE),CHAR(10)&amp;INDEX('名簿'!$D$5:$D$49,MATCH('調整・決定'!F14,'名簿'!$I$5:$I$49,0)),""))</f>
        <v/>
      </c>
      <c r="G14" s="25">
        <f>IF('調整・決定'!G14="","",'調整・決定'!G14&amp;IF(IFERROR(INDEX('名簿'!$C$5:$C$49,MATCH('調整・決定'!G14,'名簿'!$I$5:$I$49,0))&lt;&gt;"",FALSE),CHAR(10)&amp;INDEX('名簿'!$D$5:$D$49,MATCH('調整・決定'!G14,'名簿'!$I$5:$I$49,0)),""))</f>
        <v/>
      </c>
      <c r="H14" s="25">
        <f>IF('調整・決定'!H14="","",'調整・決定'!H14&amp;IF(IFERROR(INDEX('名簿'!$C$5:$C$49,MATCH('調整・決定'!H14,'名簿'!$I$5:$I$49,0))&lt;&gt;"",FALSE),CHAR(10)&amp;INDEX('名簿'!$D$5:$D$49,MATCH('調整・決定'!H14,'名簿'!$I$5:$I$49,0)),""))</f>
        <v/>
      </c>
      <c r="AA14">
        <f>IF('計算A'!L$115=0,0,IF(IFERROR(INDEX('名簿'!$C$5:$C$49,MATCH('調整・決定'!C14,'名簿'!$I$5:$I$49,0))&lt;&gt;"",FALSE),1,2))</f>
        <v/>
      </c>
      <c r="AB14">
        <f>IF('計算A'!AJ$115=0,0,IF(IFERROR(INDEX('名簿'!$C$5:$C$49,MATCH('調整・決定'!D14,'名簿'!$I$5:$I$49,0))&lt;&gt;"",FALSE),1,2))</f>
        <v/>
      </c>
      <c r="AC14">
        <f>IF('計算A'!BH$115=0,0,IF(IFERROR(INDEX('名簿'!$C$5:$C$49,MATCH('調整・決定'!E14,'名簿'!$I$5:$I$49,0))&lt;&gt;"",FALSE),1,2))</f>
        <v/>
      </c>
      <c r="AD14">
        <f>IF('計算A'!CF$115=0,0,IF(IFERROR(INDEX('名簿'!$C$5:$C$49,MATCH('調整・決定'!F14,'名簿'!$I$5:$I$49,0))&lt;&gt;"",FALSE),1,2))</f>
        <v/>
      </c>
      <c r="AE14">
        <f>IF('計算A'!DD$115=0,0,IF(IFERROR(INDEX('名簿'!$C$5:$C$49,MATCH('調整・決定'!G14,'名簿'!$I$5:$I$49,0))&lt;&gt;"",FALSE),1,2))</f>
        <v/>
      </c>
      <c r="AF14">
        <f>IF('計算A'!EB$115=0,0,IF(IFERROR(INDEX('名簿'!$C$5:$C$49,MATCH('調整・決定'!H14,'名簿'!$I$5:$I$49,0))&lt;&gt;"",FALSE),1,2))</f>
        <v/>
      </c>
    </row>
    <row r="15" ht="34" customHeight="1">
      <c r="B15" s="44">
        <f>'設定'!$I$20</f>
        <v/>
      </c>
      <c r="C15" s="25">
        <f>IF('調整・決定'!C15="","",'調整・決定'!C15&amp;IF(IFERROR(INDEX('名簿'!$C$5:$C$49,MATCH('調整・決定'!C15,'名簿'!$I$5:$I$49,0))&lt;&gt;"",FALSE),CHAR(10)&amp;INDEX('名簿'!$D$5:$D$49,MATCH('調整・決定'!C15,'名簿'!$I$5:$I$49,0)),""))</f>
        <v/>
      </c>
      <c r="D15" s="25">
        <f>IF('調整・決定'!D15="","",'調整・決定'!D15&amp;IF(IFERROR(INDEX('名簿'!$C$5:$C$49,MATCH('調整・決定'!D15,'名簿'!$I$5:$I$49,0))&lt;&gt;"",FALSE),CHAR(10)&amp;INDEX('名簿'!$D$5:$D$49,MATCH('調整・決定'!D15,'名簿'!$I$5:$I$49,0)),""))</f>
        <v/>
      </c>
      <c r="E15" s="25">
        <f>IF('調整・決定'!E15="","",'調整・決定'!E15&amp;IF(IFERROR(INDEX('名簿'!$C$5:$C$49,MATCH('調整・決定'!E15,'名簿'!$I$5:$I$49,0))&lt;&gt;"",FALSE),CHAR(10)&amp;INDEX('名簿'!$D$5:$D$49,MATCH('調整・決定'!E15,'名簿'!$I$5:$I$49,0)),""))</f>
        <v/>
      </c>
      <c r="F15" s="25">
        <f>IF('調整・決定'!F15="","",'調整・決定'!F15&amp;IF(IFERROR(INDEX('名簿'!$C$5:$C$49,MATCH('調整・決定'!F15,'名簿'!$I$5:$I$49,0))&lt;&gt;"",FALSE),CHAR(10)&amp;INDEX('名簿'!$D$5:$D$49,MATCH('調整・決定'!F15,'名簿'!$I$5:$I$49,0)),""))</f>
        <v/>
      </c>
      <c r="G15" s="25">
        <f>IF('調整・決定'!G15="","",'調整・決定'!G15&amp;IF(IFERROR(INDEX('名簿'!$C$5:$C$49,MATCH('調整・決定'!G15,'名簿'!$I$5:$I$49,0))&lt;&gt;"",FALSE),CHAR(10)&amp;INDEX('名簿'!$D$5:$D$49,MATCH('調整・決定'!G15,'名簿'!$I$5:$I$49,0)),""))</f>
        <v/>
      </c>
      <c r="H15" s="25">
        <f>IF('調整・決定'!H15="","",'調整・決定'!H15&amp;IF(IFERROR(INDEX('名簿'!$C$5:$C$49,MATCH('調整・決定'!H15,'名簿'!$I$5:$I$49,0))&lt;&gt;"",FALSE),CHAR(10)&amp;INDEX('名簿'!$D$5:$D$49,MATCH('調整・決定'!H15,'名簿'!$I$5:$I$49,0)),""))</f>
        <v/>
      </c>
      <c r="AA15">
        <f>IF('計算A'!M$115=0,0,IF(IFERROR(INDEX('名簿'!$C$5:$C$49,MATCH('調整・決定'!C15,'名簿'!$I$5:$I$49,0))&lt;&gt;"",FALSE),1,2))</f>
        <v/>
      </c>
      <c r="AB15">
        <f>IF('計算A'!AK$115=0,0,IF(IFERROR(INDEX('名簿'!$C$5:$C$49,MATCH('調整・決定'!D15,'名簿'!$I$5:$I$49,0))&lt;&gt;"",FALSE),1,2))</f>
        <v/>
      </c>
      <c r="AC15">
        <f>IF('計算A'!BI$115=0,0,IF(IFERROR(INDEX('名簿'!$C$5:$C$49,MATCH('調整・決定'!E15,'名簿'!$I$5:$I$49,0))&lt;&gt;"",FALSE),1,2))</f>
        <v/>
      </c>
      <c r="AD15">
        <f>IF('計算A'!CG$115=0,0,IF(IFERROR(INDEX('名簿'!$C$5:$C$49,MATCH('調整・決定'!F15,'名簿'!$I$5:$I$49,0))&lt;&gt;"",FALSE),1,2))</f>
        <v/>
      </c>
      <c r="AE15">
        <f>IF('計算A'!DE$115=0,0,IF(IFERROR(INDEX('名簿'!$C$5:$C$49,MATCH('調整・決定'!G15,'名簿'!$I$5:$I$49,0))&lt;&gt;"",FALSE),1,2))</f>
        <v/>
      </c>
      <c r="AF15">
        <f>IF('計算A'!EC$115=0,0,IF(IFERROR(INDEX('名簿'!$C$5:$C$49,MATCH('調整・決定'!H15,'名簿'!$I$5:$I$49,0))&lt;&gt;"",FALSE),1,2))</f>
        <v/>
      </c>
    </row>
    <row r="16" ht="34" customHeight="1">
      <c r="B16" s="44">
        <f>'設定'!$I$21</f>
        <v/>
      </c>
      <c r="C16" s="25">
        <f>IF('調整・決定'!C16="","",'調整・決定'!C16&amp;IF(IFERROR(INDEX('名簿'!$C$5:$C$49,MATCH('調整・決定'!C16,'名簿'!$I$5:$I$49,0))&lt;&gt;"",FALSE),CHAR(10)&amp;INDEX('名簿'!$D$5:$D$49,MATCH('調整・決定'!C16,'名簿'!$I$5:$I$49,0)),""))</f>
        <v/>
      </c>
      <c r="D16" s="25">
        <f>IF('調整・決定'!D16="","",'調整・決定'!D16&amp;IF(IFERROR(INDEX('名簿'!$C$5:$C$49,MATCH('調整・決定'!D16,'名簿'!$I$5:$I$49,0))&lt;&gt;"",FALSE),CHAR(10)&amp;INDEX('名簿'!$D$5:$D$49,MATCH('調整・決定'!D16,'名簿'!$I$5:$I$49,0)),""))</f>
        <v/>
      </c>
      <c r="E16" s="25">
        <f>IF('調整・決定'!E16="","",'調整・決定'!E16&amp;IF(IFERROR(INDEX('名簿'!$C$5:$C$49,MATCH('調整・決定'!E16,'名簿'!$I$5:$I$49,0))&lt;&gt;"",FALSE),CHAR(10)&amp;INDEX('名簿'!$D$5:$D$49,MATCH('調整・決定'!E16,'名簿'!$I$5:$I$49,0)),""))</f>
        <v/>
      </c>
      <c r="F16" s="25">
        <f>IF('調整・決定'!F16="","",'調整・決定'!F16&amp;IF(IFERROR(INDEX('名簿'!$C$5:$C$49,MATCH('調整・決定'!F16,'名簿'!$I$5:$I$49,0))&lt;&gt;"",FALSE),CHAR(10)&amp;INDEX('名簿'!$D$5:$D$49,MATCH('調整・決定'!F16,'名簿'!$I$5:$I$49,0)),""))</f>
        <v/>
      </c>
      <c r="G16" s="25">
        <f>IF('調整・決定'!G16="","",'調整・決定'!G16&amp;IF(IFERROR(INDEX('名簿'!$C$5:$C$49,MATCH('調整・決定'!G16,'名簿'!$I$5:$I$49,0))&lt;&gt;"",FALSE),CHAR(10)&amp;INDEX('名簿'!$D$5:$D$49,MATCH('調整・決定'!G16,'名簿'!$I$5:$I$49,0)),""))</f>
        <v/>
      </c>
      <c r="H16" s="25">
        <f>IF('調整・決定'!H16="","",'調整・決定'!H16&amp;IF(IFERROR(INDEX('名簿'!$C$5:$C$49,MATCH('調整・決定'!H16,'名簿'!$I$5:$I$49,0))&lt;&gt;"",FALSE),CHAR(10)&amp;INDEX('名簿'!$D$5:$D$49,MATCH('調整・決定'!H16,'名簿'!$I$5:$I$49,0)),""))</f>
        <v/>
      </c>
      <c r="AA16">
        <f>IF('計算A'!N$115=0,0,IF(IFERROR(INDEX('名簿'!$C$5:$C$49,MATCH('調整・決定'!C16,'名簿'!$I$5:$I$49,0))&lt;&gt;"",FALSE),1,2))</f>
        <v/>
      </c>
      <c r="AB16">
        <f>IF('計算A'!AL$115=0,0,IF(IFERROR(INDEX('名簿'!$C$5:$C$49,MATCH('調整・決定'!D16,'名簿'!$I$5:$I$49,0))&lt;&gt;"",FALSE),1,2))</f>
        <v/>
      </c>
      <c r="AC16">
        <f>IF('計算A'!BJ$115=0,0,IF(IFERROR(INDEX('名簿'!$C$5:$C$49,MATCH('調整・決定'!E16,'名簿'!$I$5:$I$49,0))&lt;&gt;"",FALSE),1,2))</f>
        <v/>
      </c>
      <c r="AD16">
        <f>IF('計算A'!CH$115=0,0,IF(IFERROR(INDEX('名簿'!$C$5:$C$49,MATCH('調整・決定'!F16,'名簿'!$I$5:$I$49,0))&lt;&gt;"",FALSE),1,2))</f>
        <v/>
      </c>
      <c r="AE16">
        <f>IF('計算A'!DF$115=0,0,IF(IFERROR(INDEX('名簿'!$C$5:$C$49,MATCH('調整・決定'!G16,'名簿'!$I$5:$I$49,0))&lt;&gt;"",FALSE),1,2))</f>
        <v/>
      </c>
      <c r="AF16">
        <f>IF('計算A'!ED$115=0,0,IF(IFERROR(INDEX('名簿'!$C$5:$C$49,MATCH('調整・決定'!H16,'名簿'!$I$5:$I$49,0))&lt;&gt;"",FALSE),1,2))</f>
        <v/>
      </c>
    </row>
    <row r="17" ht="34" customHeight="1">
      <c r="B17" s="44">
        <f>'設定'!$I$22</f>
        <v/>
      </c>
      <c r="C17" s="25">
        <f>IF('調整・決定'!C17="","",'調整・決定'!C17&amp;IF(IFERROR(INDEX('名簿'!$C$5:$C$49,MATCH('調整・決定'!C17,'名簿'!$I$5:$I$49,0))&lt;&gt;"",FALSE),CHAR(10)&amp;INDEX('名簿'!$D$5:$D$49,MATCH('調整・決定'!C17,'名簿'!$I$5:$I$49,0)),""))</f>
        <v/>
      </c>
      <c r="D17" s="25">
        <f>IF('調整・決定'!D17="","",'調整・決定'!D17&amp;IF(IFERROR(INDEX('名簿'!$C$5:$C$49,MATCH('調整・決定'!D17,'名簿'!$I$5:$I$49,0))&lt;&gt;"",FALSE),CHAR(10)&amp;INDEX('名簿'!$D$5:$D$49,MATCH('調整・決定'!D17,'名簿'!$I$5:$I$49,0)),""))</f>
        <v/>
      </c>
      <c r="E17" s="25">
        <f>IF('調整・決定'!E17="","",'調整・決定'!E17&amp;IF(IFERROR(INDEX('名簿'!$C$5:$C$49,MATCH('調整・決定'!E17,'名簿'!$I$5:$I$49,0))&lt;&gt;"",FALSE),CHAR(10)&amp;INDEX('名簿'!$D$5:$D$49,MATCH('調整・決定'!E17,'名簿'!$I$5:$I$49,0)),""))</f>
        <v/>
      </c>
      <c r="F17" s="25">
        <f>IF('調整・決定'!F17="","",'調整・決定'!F17&amp;IF(IFERROR(INDEX('名簿'!$C$5:$C$49,MATCH('調整・決定'!F17,'名簿'!$I$5:$I$49,0))&lt;&gt;"",FALSE),CHAR(10)&amp;INDEX('名簿'!$D$5:$D$49,MATCH('調整・決定'!F17,'名簿'!$I$5:$I$49,0)),""))</f>
        <v/>
      </c>
      <c r="G17" s="25">
        <f>IF('調整・決定'!G17="","",'調整・決定'!G17&amp;IF(IFERROR(INDEX('名簿'!$C$5:$C$49,MATCH('調整・決定'!G17,'名簿'!$I$5:$I$49,0))&lt;&gt;"",FALSE),CHAR(10)&amp;INDEX('名簿'!$D$5:$D$49,MATCH('調整・決定'!G17,'名簿'!$I$5:$I$49,0)),""))</f>
        <v/>
      </c>
      <c r="H17" s="25">
        <f>IF('調整・決定'!H17="","",'調整・決定'!H17&amp;IF(IFERROR(INDEX('名簿'!$C$5:$C$49,MATCH('調整・決定'!H17,'名簿'!$I$5:$I$49,0))&lt;&gt;"",FALSE),CHAR(10)&amp;INDEX('名簿'!$D$5:$D$49,MATCH('調整・決定'!H17,'名簿'!$I$5:$I$49,0)),""))</f>
        <v/>
      </c>
      <c r="AA17">
        <f>IF('計算A'!O$115=0,0,IF(IFERROR(INDEX('名簿'!$C$5:$C$49,MATCH('調整・決定'!C17,'名簿'!$I$5:$I$49,0))&lt;&gt;"",FALSE),1,2))</f>
        <v/>
      </c>
      <c r="AB17">
        <f>IF('計算A'!AM$115=0,0,IF(IFERROR(INDEX('名簿'!$C$5:$C$49,MATCH('調整・決定'!D17,'名簿'!$I$5:$I$49,0))&lt;&gt;"",FALSE),1,2))</f>
        <v/>
      </c>
      <c r="AC17">
        <f>IF('計算A'!BK$115=0,0,IF(IFERROR(INDEX('名簿'!$C$5:$C$49,MATCH('調整・決定'!E17,'名簿'!$I$5:$I$49,0))&lt;&gt;"",FALSE),1,2))</f>
        <v/>
      </c>
      <c r="AD17">
        <f>IF('計算A'!CI$115=0,0,IF(IFERROR(INDEX('名簿'!$C$5:$C$49,MATCH('調整・決定'!F17,'名簿'!$I$5:$I$49,0))&lt;&gt;"",FALSE),1,2))</f>
        <v/>
      </c>
      <c r="AE17">
        <f>IF('計算A'!DG$115=0,0,IF(IFERROR(INDEX('名簿'!$C$5:$C$49,MATCH('調整・決定'!G17,'名簿'!$I$5:$I$49,0))&lt;&gt;"",FALSE),1,2))</f>
        <v/>
      </c>
      <c r="AF17">
        <f>IF('計算A'!EE$115=0,0,IF(IFERROR(INDEX('名簿'!$C$5:$C$49,MATCH('調整・決定'!H17,'名簿'!$I$5:$I$49,0))&lt;&gt;"",FALSE),1,2))</f>
        <v/>
      </c>
    </row>
    <row r="18" ht="34" customHeight="1">
      <c r="B18" s="44">
        <f>'設定'!$I$23</f>
        <v/>
      </c>
      <c r="C18" s="25">
        <f>IF('調整・決定'!C18="","",'調整・決定'!C18&amp;IF(IFERROR(INDEX('名簿'!$C$5:$C$49,MATCH('調整・決定'!C18,'名簿'!$I$5:$I$49,0))&lt;&gt;"",FALSE),CHAR(10)&amp;INDEX('名簿'!$D$5:$D$49,MATCH('調整・決定'!C18,'名簿'!$I$5:$I$49,0)),""))</f>
        <v/>
      </c>
      <c r="D18" s="25">
        <f>IF('調整・決定'!D18="","",'調整・決定'!D18&amp;IF(IFERROR(INDEX('名簿'!$C$5:$C$49,MATCH('調整・決定'!D18,'名簿'!$I$5:$I$49,0))&lt;&gt;"",FALSE),CHAR(10)&amp;INDEX('名簿'!$D$5:$D$49,MATCH('調整・決定'!D18,'名簿'!$I$5:$I$49,0)),""))</f>
        <v/>
      </c>
      <c r="E18" s="25">
        <f>IF('調整・決定'!E18="","",'調整・決定'!E18&amp;IF(IFERROR(INDEX('名簿'!$C$5:$C$49,MATCH('調整・決定'!E18,'名簿'!$I$5:$I$49,0))&lt;&gt;"",FALSE),CHAR(10)&amp;INDEX('名簿'!$D$5:$D$49,MATCH('調整・決定'!E18,'名簿'!$I$5:$I$49,0)),""))</f>
        <v/>
      </c>
      <c r="F18" s="25">
        <f>IF('調整・決定'!F18="","",'調整・決定'!F18&amp;IF(IFERROR(INDEX('名簿'!$C$5:$C$49,MATCH('調整・決定'!F18,'名簿'!$I$5:$I$49,0))&lt;&gt;"",FALSE),CHAR(10)&amp;INDEX('名簿'!$D$5:$D$49,MATCH('調整・決定'!F18,'名簿'!$I$5:$I$49,0)),""))</f>
        <v/>
      </c>
      <c r="G18" s="25">
        <f>IF('調整・決定'!G18="","",'調整・決定'!G18&amp;IF(IFERROR(INDEX('名簿'!$C$5:$C$49,MATCH('調整・決定'!G18,'名簿'!$I$5:$I$49,0))&lt;&gt;"",FALSE),CHAR(10)&amp;INDEX('名簿'!$D$5:$D$49,MATCH('調整・決定'!G18,'名簿'!$I$5:$I$49,0)),""))</f>
        <v/>
      </c>
      <c r="H18" s="25">
        <f>IF('調整・決定'!H18="","",'調整・決定'!H18&amp;IF(IFERROR(INDEX('名簿'!$C$5:$C$49,MATCH('調整・決定'!H18,'名簿'!$I$5:$I$49,0))&lt;&gt;"",FALSE),CHAR(10)&amp;INDEX('名簿'!$D$5:$D$49,MATCH('調整・決定'!H18,'名簿'!$I$5:$I$49,0)),""))</f>
        <v/>
      </c>
      <c r="AA18">
        <f>IF('計算A'!P$115=0,0,IF(IFERROR(INDEX('名簿'!$C$5:$C$49,MATCH('調整・決定'!C18,'名簿'!$I$5:$I$49,0))&lt;&gt;"",FALSE),1,2))</f>
        <v/>
      </c>
      <c r="AB18">
        <f>IF('計算A'!AN$115=0,0,IF(IFERROR(INDEX('名簿'!$C$5:$C$49,MATCH('調整・決定'!D18,'名簿'!$I$5:$I$49,0))&lt;&gt;"",FALSE),1,2))</f>
        <v/>
      </c>
      <c r="AC18">
        <f>IF('計算A'!BL$115=0,0,IF(IFERROR(INDEX('名簿'!$C$5:$C$49,MATCH('調整・決定'!E18,'名簿'!$I$5:$I$49,0))&lt;&gt;"",FALSE),1,2))</f>
        <v/>
      </c>
      <c r="AD18">
        <f>IF('計算A'!CJ$115=0,0,IF(IFERROR(INDEX('名簿'!$C$5:$C$49,MATCH('調整・決定'!F18,'名簿'!$I$5:$I$49,0))&lt;&gt;"",FALSE),1,2))</f>
        <v/>
      </c>
      <c r="AE18">
        <f>IF('計算A'!DH$115=0,0,IF(IFERROR(INDEX('名簿'!$C$5:$C$49,MATCH('調整・決定'!G18,'名簿'!$I$5:$I$49,0))&lt;&gt;"",FALSE),1,2))</f>
        <v/>
      </c>
      <c r="AF18">
        <f>IF('計算A'!EF$115=0,0,IF(IFERROR(INDEX('名簿'!$C$5:$C$49,MATCH('調整・決定'!H18,'名簿'!$I$5:$I$49,0))&lt;&gt;"",FALSE),1,2))</f>
        <v/>
      </c>
    </row>
    <row r="19" ht="34" customHeight="1">
      <c r="B19" s="44">
        <f>'設定'!$I$24</f>
        <v/>
      </c>
      <c r="C19" s="25">
        <f>IF('調整・決定'!C19="","",'調整・決定'!C19&amp;IF(IFERROR(INDEX('名簿'!$C$5:$C$49,MATCH('調整・決定'!C19,'名簿'!$I$5:$I$49,0))&lt;&gt;"",FALSE),CHAR(10)&amp;INDEX('名簿'!$D$5:$D$49,MATCH('調整・決定'!C19,'名簿'!$I$5:$I$49,0)),""))</f>
        <v/>
      </c>
      <c r="D19" s="25">
        <f>IF('調整・決定'!D19="","",'調整・決定'!D19&amp;IF(IFERROR(INDEX('名簿'!$C$5:$C$49,MATCH('調整・決定'!D19,'名簿'!$I$5:$I$49,0))&lt;&gt;"",FALSE),CHAR(10)&amp;INDEX('名簿'!$D$5:$D$49,MATCH('調整・決定'!D19,'名簿'!$I$5:$I$49,0)),""))</f>
        <v/>
      </c>
      <c r="E19" s="25">
        <f>IF('調整・決定'!E19="","",'調整・決定'!E19&amp;IF(IFERROR(INDEX('名簿'!$C$5:$C$49,MATCH('調整・決定'!E19,'名簿'!$I$5:$I$49,0))&lt;&gt;"",FALSE),CHAR(10)&amp;INDEX('名簿'!$D$5:$D$49,MATCH('調整・決定'!E19,'名簿'!$I$5:$I$49,0)),""))</f>
        <v/>
      </c>
      <c r="F19" s="25">
        <f>IF('調整・決定'!F19="","",'調整・決定'!F19&amp;IF(IFERROR(INDEX('名簿'!$C$5:$C$49,MATCH('調整・決定'!F19,'名簿'!$I$5:$I$49,0))&lt;&gt;"",FALSE),CHAR(10)&amp;INDEX('名簿'!$D$5:$D$49,MATCH('調整・決定'!F19,'名簿'!$I$5:$I$49,0)),""))</f>
        <v/>
      </c>
      <c r="G19" s="25">
        <f>IF('調整・決定'!G19="","",'調整・決定'!G19&amp;IF(IFERROR(INDEX('名簿'!$C$5:$C$49,MATCH('調整・決定'!G19,'名簿'!$I$5:$I$49,0))&lt;&gt;"",FALSE),CHAR(10)&amp;INDEX('名簿'!$D$5:$D$49,MATCH('調整・決定'!G19,'名簿'!$I$5:$I$49,0)),""))</f>
        <v/>
      </c>
      <c r="H19" s="25">
        <f>IF('調整・決定'!H19="","",'調整・決定'!H19&amp;IF(IFERROR(INDEX('名簿'!$C$5:$C$49,MATCH('調整・決定'!H19,'名簿'!$I$5:$I$49,0))&lt;&gt;"",FALSE),CHAR(10)&amp;INDEX('名簿'!$D$5:$D$49,MATCH('調整・決定'!H19,'名簿'!$I$5:$I$49,0)),""))</f>
        <v/>
      </c>
      <c r="AA19">
        <f>IF('計算A'!Q$115=0,0,IF(IFERROR(INDEX('名簿'!$C$5:$C$49,MATCH('調整・決定'!C19,'名簿'!$I$5:$I$49,0))&lt;&gt;"",FALSE),1,2))</f>
        <v/>
      </c>
      <c r="AB19">
        <f>IF('計算A'!AO$115=0,0,IF(IFERROR(INDEX('名簿'!$C$5:$C$49,MATCH('調整・決定'!D19,'名簿'!$I$5:$I$49,0))&lt;&gt;"",FALSE),1,2))</f>
        <v/>
      </c>
      <c r="AC19">
        <f>IF('計算A'!BM$115=0,0,IF(IFERROR(INDEX('名簿'!$C$5:$C$49,MATCH('調整・決定'!E19,'名簿'!$I$5:$I$49,0))&lt;&gt;"",FALSE),1,2))</f>
        <v/>
      </c>
      <c r="AD19">
        <f>IF('計算A'!CK$115=0,0,IF(IFERROR(INDEX('名簿'!$C$5:$C$49,MATCH('調整・決定'!F19,'名簿'!$I$5:$I$49,0))&lt;&gt;"",FALSE),1,2))</f>
        <v/>
      </c>
      <c r="AE19">
        <f>IF('計算A'!DI$115=0,0,IF(IFERROR(INDEX('名簿'!$C$5:$C$49,MATCH('調整・決定'!G19,'名簿'!$I$5:$I$49,0))&lt;&gt;"",FALSE),1,2))</f>
        <v/>
      </c>
      <c r="AF19">
        <f>IF('計算A'!EG$115=0,0,IF(IFERROR(INDEX('名簿'!$C$5:$C$49,MATCH('調整・決定'!H19,'名簿'!$I$5:$I$49,0))&lt;&gt;"",FALSE),1,2))</f>
        <v/>
      </c>
    </row>
    <row r="20" ht="34" customHeight="1">
      <c r="B20" s="44">
        <f>'設定'!$I$25</f>
        <v/>
      </c>
      <c r="C20" s="25">
        <f>IF('調整・決定'!C20="","",'調整・決定'!C20&amp;IF(IFERROR(INDEX('名簿'!$C$5:$C$49,MATCH('調整・決定'!C20,'名簿'!$I$5:$I$49,0))&lt;&gt;"",FALSE),CHAR(10)&amp;INDEX('名簿'!$D$5:$D$49,MATCH('調整・決定'!C20,'名簿'!$I$5:$I$49,0)),""))</f>
        <v/>
      </c>
      <c r="D20" s="25">
        <f>IF('調整・決定'!D20="","",'調整・決定'!D20&amp;IF(IFERROR(INDEX('名簿'!$C$5:$C$49,MATCH('調整・決定'!D20,'名簿'!$I$5:$I$49,0))&lt;&gt;"",FALSE),CHAR(10)&amp;INDEX('名簿'!$D$5:$D$49,MATCH('調整・決定'!D20,'名簿'!$I$5:$I$49,0)),""))</f>
        <v/>
      </c>
      <c r="E20" s="25">
        <f>IF('調整・決定'!E20="","",'調整・決定'!E20&amp;IF(IFERROR(INDEX('名簿'!$C$5:$C$49,MATCH('調整・決定'!E20,'名簿'!$I$5:$I$49,0))&lt;&gt;"",FALSE),CHAR(10)&amp;INDEX('名簿'!$D$5:$D$49,MATCH('調整・決定'!E20,'名簿'!$I$5:$I$49,0)),""))</f>
        <v/>
      </c>
      <c r="F20" s="25">
        <f>IF('調整・決定'!F20="","",'調整・決定'!F20&amp;IF(IFERROR(INDEX('名簿'!$C$5:$C$49,MATCH('調整・決定'!F20,'名簿'!$I$5:$I$49,0))&lt;&gt;"",FALSE),CHAR(10)&amp;INDEX('名簿'!$D$5:$D$49,MATCH('調整・決定'!F20,'名簿'!$I$5:$I$49,0)),""))</f>
        <v/>
      </c>
      <c r="G20" s="25">
        <f>IF('調整・決定'!G20="","",'調整・決定'!G20&amp;IF(IFERROR(INDEX('名簿'!$C$5:$C$49,MATCH('調整・決定'!G20,'名簿'!$I$5:$I$49,0))&lt;&gt;"",FALSE),CHAR(10)&amp;INDEX('名簿'!$D$5:$D$49,MATCH('調整・決定'!G20,'名簿'!$I$5:$I$49,0)),""))</f>
        <v/>
      </c>
      <c r="H20" s="25">
        <f>IF('調整・決定'!H20="","",'調整・決定'!H20&amp;IF(IFERROR(INDEX('名簿'!$C$5:$C$49,MATCH('調整・決定'!H20,'名簿'!$I$5:$I$49,0))&lt;&gt;"",FALSE),CHAR(10)&amp;INDEX('名簿'!$D$5:$D$49,MATCH('調整・決定'!H20,'名簿'!$I$5:$I$49,0)),""))</f>
        <v/>
      </c>
      <c r="AA20">
        <f>IF('計算A'!R$115=0,0,IF(IFERROR(INDEX('名簿'!$C$5:$C$49,MATCH('調整・決定'!C20,'名簿'!$I$5:$I$49,0))&lt;&gt;"",FALSE),1,2))</f>
        <v/>
      </c>
      <c r="AB20">
        <f>IF('計算A'!AP$115=0,0,IF(IFERROR(INDEX('名簿'!$C$5:$C$49,MATCH('調整・決定'!D20,'名簿'!$I$5:$I$49,0))&lt;&gt;"",FALSE),1,2))</f>
        <v/>
      </c>
      <c r="AC20">
        <f>IF('計算A'!BN$115=0,0,IF(IFERROR(INDEX('名簿'!$C$5:$C$49,MATCH('調整・決定'!E20,'名簿'!$I$5:$I$49,0))&lt;&gt;"",FALSE),1,2))</f>
        <v/>
      </c>
      <c r="AD20">
        <f>IF('計算A'!CL$115=0,0,IF(IFERROR(INDEX('名簿'!$C$5:$C$49,MATCH('調整・決定'!F20,'名簿'!$I$5:$I$49,0))&lt;&gt;"",FALSE),1,2))</f>
        <v/>
      </c>
      <c r="AE20">
        <f>IF('計算A'!DJ$115=0,0,IF(IFERROR(INDEX('名簿'!$C$5:$C$49,MATCH('調整・決定'!G20,'名簿'!$I$5:$I$49,0))&lt;&gt;"",FALSE),1,2))</f>
        <v/>
      </c>
      <c r="AF20">
        <f>IF('計算A'!EH$115=0,0,IF(IFERROR(INDEX('名簿'!$C$5:$C$49,MATCH('調整・決定'!H20,'名簿'!$I$5:$I$49,0))&lt;&gt;"",FALSE),1,2))</f>
        <v/>
      </c>
    </row>
    <row r="21" ht="34" customHeight="1">
      <c r="B21" s="44">
        <f>'設定'!$I$26</f>
        <v/>
      </c>
      <c r="C21" s="25">
        <f>IF('調整・決定'!C21="","",'調整・決定'!C21&amp;IF(IFERROR(INDEX('名簿'!$C$5:$C$49,MATCH('調整・決定'!C21,'名簿'!$I$5:$I$49,0))&lt;&gt;"",FALSE),CHAR(10)&amp;INDEX('名簿'!$D$5:$D$49,MATCH('調整・決定'!C21,'名簿'!$I$5:$I$49,0)),""))</f>
        <v/>
      </c>
      <c r="D21" s="25">
        <f>IF('調整・決定'!D21="","",'調整・決定'!D21&amp;IF(IFERROR(INDEX('名簿'!$C$5:$C$49,MATCH('調整・決定'!D21,'名簿'!$I$5:$I$49,0))&lt;&gt;"",FALSE),CHAR(10)&amp;INDEX('名簿'!$D$5:$D$49,MATCH('調整・決定'!D21,'名簿'!$I$5:$I$49,0)),""))</f>
        <v/>
      </c>
      <c r="E21" s="25">
        <f>IF('調整・決定'!E21="","",'調整・決定'!E21&amp;IF(IFERROR(INDEX('名簿'!$C$5:$C$49,MATCH('調整・決定'!E21,'名簿'!$I$5:$I$49,0))&lt;&gt;"",FALSE),CHAR(10)&amp;INDEX('名簿'!$D$5:$D$49,MATCH('調整・決定'!E21,'名簿'!$I$5:$I$49,0)),""))</f>
        <v/>
      </c>
      <c r="F21" s="25">
        <f>IF('調整・決定'!F21="","",'調整・決定'!F21&amp;IF(IFERROR(INDEX('名簿'!$C$5:$C$49,MATCH('調整・決定'!F21,'名簿'!$I$5:$I$49,0))&lt;&gt;"",FALSE),CHAR(10)&amp;INDEX('名簿'!$D$5:$D$49,MATCH('調整・決定'!F21,'名簿'!$I$5:$I$49,0)),""))</f>
        <v/>
      </c>
      <c r="G21" s="25">
        <f>IF('調整・決定'!G21="","",'調整・決定'!G21&amp;IF(IFERROR(INDEX('名簿'!$C$5:$C$49,MATCH('調整・決定'!G21,'名簿'!$I$5:$I$49,0))&lt;&gt;"",FALSE),CHAR(10)&amp;INDEX('名簿'!$D$5:$D$49,MATCH('調整・決定'!G21,'名簿'!$I$5:$I$49,0)),""))</f>
        <v/>
      </c>
      <c r="H21" s="25">
        <f>IF('調整・決定'!H21="","",'調整・決定'!H21&amp;IF(IFERROR(INDEX('名簿'!$C$5:$C$49,MATCH('調整・決定'!H21,'名簿'!$I$5:$I$49,0))&lt;&gt;"",FALSE),CHAR(10)&amp;INDEX('名簿'!$D$5:$D$49,MATCH('調整・決定'!H21,'名簿'!$I$5:$I$49,0)),""))</f>
        <v/>
      </c>
      <c r="AA21">
        <f>IF('計算A'!S$115=0,0,IF(IFERROR(INDEX('名簿'!$C$5:$C$49,MATCH('調整・決定'!C21,'名簿'!$I$5:$I$49,0))&lt;&gt;"",FALSE),1,2))</f>
        <v/>
      </c>
      <c r="AB21">
        <f>IF('計算A'!AQ$115=0,0,IF(IFERROR(INDEX('名簿'!$C$5:$C$49,MATCH('調整・決定'!D21,'名簿'!$I$5:$I$49,0))&lt;&gt;"",FALSE),1,2))</f>
        <v/>
      </c>
      <c r="AC21">
        <f>IF('計算A'!BO$115=0,0,IF(IFERROR(INDEX('名簿'!$C$5:$C$49,MATCH('調整・決定'!E21,'名簿'!$I$5:$I$49,0))&lt;&gt;"",FALSE),1,2))</f>
        <v/>
      </c>
      <c r="AD21">
        <f>IF('計算A'!CM$115=0,0,IF(IFERROR(INDEX('名簿'!$C$5:$C$49,MATCH('調整・決定'!F21,'名簿'!$I$5:$I$49,0))&lt;&gt;"",FALSE),1,2))</f>
        <v/>
      </c>
      <c r="AE21">
        <f>IF('計算A'!DK$115=0,0,IF(IFERROR(INDEX('名簿'!$C$5:$C$49,MATCH('調整・決定'!G21,'名簿'!$I$5:$I$49,0))&lt;&gt;"",FALSE),1,2))</f>
        <v/>
      </c>
      <c r="AF21">
        <f>IF('計算A'!EI$115=0,0,IF(IFERROR(INDEX('名簿'!$C$5:$C$49,MATCH('調整・決定'!H21,'名簿'!$I$5:$I$49,0))&lt;&gt;"",FALSE),1,2))</f>
        <v/>
      </c>
    </row>
    <row r="22" ht="34" customHeight="1">
      <c r="B22" s="44">
        <f>'設定'!$I$27</f>
        <v/>
      </c>
      <c r="C22" s="25">
        <f>IF('調整・決定'!C22="","",'調整・決定'!C22&amp;IF(IFERROR(INDEX('名簿'!$C$5:$C$49,MATCH('調整・決定'!C22,'名簿'!$I$5:$I$49,0))&lt;&gt;"",FALSE),CHAR(10)&amp;INDEX('名簿'!$D$5:$D$49,MATCH('調整・決定'!C22,'名簿'!$I$5:$I$49,0)),""))</f>
        <v/>
      </c>
      <c r="D22" s="25">
        <f>IF('調整・決定'!D22="","",'調整・決定'!D22&amp;IF(IFERROR(INDEX('名簿'!$C$5:$C$49,MATCH('調整・決定'!D22,'名簿'!$I$5:$I$49,0))&lt;&gt;"",FALSE),CHAR(10)&amp;INDEX('名簿'!$D$5:$D$49,MATCH('調整・決定'!D22,'名簿'!$I$5:$I$49,0)),""))</f>
        <v/>
      </c>
      <c r="E22" s="25">
        <f>IF('調整・決定'!E22="","",'調整・決定'!E22&amp;IF(IFERROR(INDEX('名簿'!$C$5:$C$49,MATCH('調整・決定'!E22,'名簿'!$I$5:$I$49,0))&lt;&gt;"",FALSE),CHAR(10)&amp;INDEX('名簿'!$D$5:$D$49,MATCH('調整・決定'!E22,'名簿'!$I$5:$I$49,0)),""))</f>
        <v/>
      </c>
      <c r="F22" s="25">
        <f>IF('調整・決定'!F22="","",'調整・決定'!F22&amp;IF(IFERROR(INDEX('名簿'!$C$5:$C$49,MATCH('調整・決定'!F22,'名簿'!$I$5:$I$49,0))&lt;&gt;"",FALSE),CHAR(10)&amp;INDEX('名簿'!$D$5:$D$49,MATCH('調整・決定'!F22,'名簿'!$I$5:$I$49,0)),""))</f>
        <v/>
      </c>
      <c r="G22" s="25">
        <f>IF('調整・決定'!G22="","",'調整・決定'!G22&amp;IF(IFERROR(INDEX('名簿'!$C$5:$C$49,MATCH('調整・決定'!G22,'名簿'!$I$5:$I$49,0))&lt;&gt;"",FALSE),CHAR(10)&amp;INDEX('名簿'!$D$5:$D$49,MATCH('調整・決定'!G22,'名簿'!$I$5:$I$49,0)),""))</f>
        <v/>
      </c>
      <c r="H22" s="25">
        <f>IF('調整・決定'!H22="","",'調整・決定'!H22&amp;IF(IFERROR(INDEX('名簿'!$C$5:$C$49,MATCH('調整・決定'!H22,'名簿'!$I$5:$I$49,0))&lt;&gt;"",FALSE),CHAR(10)&amp;INDEX('名簿'!$D$5:$D$49,MATCH('調整・決定'!H22,'名簿'!$I$5:$I$49,0)),""))</f>
        <v/>
      </c>
      <c r="AA22">
        <f>IF('計算A'!T$115=0,0,IF(IFERROR(INDEX('名簿'!$C$5:$C$49,MATCH('調整・決定'!C22,'名簿'!$I$5:$I$49,0))&lt;&gt;"",FALSE),1,2))</f>
        <v/>
      </c>
      <c r="AB22">
        <f>IF('計算A'!AR$115=0,0,IF(IFERROR(INDEX('名簿'!$C$5:$C$49,MATCH('調整・決定'!D22,'名簿'!$I$5:$I$49,0))&lt;&gt;"",FALSE),1,2))</f>
        <v/>
      </c>
      <c r="AC22">
        <f>IF('計算A'!BP$115=0,0,IF(IFERROR(INDEX('名簿'!$C$5:$C$49,MATCH('調整・決定'!E22,'名簿'!$I$5:$I$49,0))&lt;&gt;"",FALSE),1,2))</f>
        <v/>
      </c>
      <c r="AD22">
        <f>IF('計算A'!CN$115=0,0,IF(IFERROR(INDEX('名簿'!$C$5:$C$49,MATCH('調整・決定'!F22,'名簿'!$I$5:$I$49,0))&lt;&gt;"",FALSE),1,2))</f>
        <v/>
      </c>
      <c r="AE22">
        <f>IF('計算A'!DL$115=0,0,IF(IFERROR(INDEX('名簿'!$C$5:$C$49,MATCH('調整・決定'!G22,'名簿'!$I$5:$I$49,0))&lt;&gt;"",FALSE),1,2))</f>
        <v/>
      </c>
      <c r="AF22">
        <f>IF('計算A'!EJ$115=0,0,IF(IFERROR(INDEX('名簿'!$C$5:$C$49,MATCH('調整・決定'!H22,'名簿'!$I$5:$I$49,0))&lt;&gt;"",FALSE),1,2))</f>
        <v/>
      </c>
    </row>
    <row r="23" ht="34" customHeight="1">
      <c r="B23" s="44">
        <f>'設定'!$I$28</f>
        <v/>
      </c>
      <c r="C23" s="25">
        <f>IF('調整・決定'!C23="","",'調整・決定'!C23&amp;IF(IFERROR(INDEX('名簿'!$C$5:$C$49,MATCH('調整・決定'!C23,'名簿'!$I$5:$I$49,0))&lt;&gt;"",FALSE),CHAR(10)&amp;INDEX('名簿'!$D$5:$D$49,MATCH('調整・決定'!C23,'名簿'!$I$5:$I$49,0)),""))</f>
        <v/>
      </c>
      <c r="D23" s="25">
        <f>IF('調整・決定'!D23="","",'調整・決定'!D23&amp;IF(IFERROR(INDEX('名簿'!$C$5:$C$49,MATCH('調整・決定'!D23,'名簿'!$I$5:$I$49,0))&lt;&gt;"",FALSE),CHAR(10)&amp;INDEX('名簿'!$D$5:$D$49,MATCH('調整・決定'!D23,'名簿'!$I$5:$I$49,0)),""))</f>
        <v/>
      </c>
      <c r="E23" s="25">
        <f>IF('調整・決定'!E23="","",'調整・決定'!E23&amp;IF(IFERROR(INDEX('名簿'!$C$5:$C$49,MATCH('調整・決定'!E23,'名簿'!$I$5:$I$49,0))&lt;&gt;"",FALSE),CHAR(10)&amp;INDEX('名簿'!$D$5:$D$49,MATCH('調整・決定'!E23,'名簿'!$I$5:$I$49,0)),""))</f>
        <v/>
      </c>
      <c r="F23" s="25">
        <f>IF('調整・決定'!F23="","",'調整・決定'!F23&amp;IF(IFERROR(INDEX('名簿'!$C$5:$C$49,MATCH('調整・決定'!F23,'名簿'!$I$5:$I$49,0))&lt;&gt;"",FALSE),CHAR(10)&amp;INDEX('名簿'!$D$5:$D$49,MATCH('調整・決定'!F23,'名簿'!$I$5:$I$49,0)),""))</f>
        <v/>
      </c>
      <c r="G23" s="25">
        <f>IF('調整・決定'!G23="","",'調整・決定'!G23&amp;IF(IFERROR(INDEX('名簿'!$C$5:$C$49,MATCH('調整・決定'!G23,'名簿'!$I$5:$I$49,0))&lt;&gt;"",FALSE),CHAR(10)&amp;INDEX('名簿'!$D$5:$D$49,MATCH('調整・決定'!G23,'名簿'!$I$5:$I$49,0)),""))</f>
        <v/>
      </c>
      <c r="H23" s="25">
        <f>IF('調整・決定'!H23="","",'調整・決定'!H23&amp;IF(IFERROR(INDEX('名簿'!$C$5:$C$49,MATCH('調整・決定'!H23,'名簿'!$I$5:$I$49,0))&lt;&gt;"",FALSE),CHAR(10)&amp;INDEX('名簿'!$D$5:$D$49,MATCH('調整・決定'!H23,'名簿'!$I$5:$I$49,0)),""))</f>
        <v/>
      </c>
      <c r="AA23">
        <f>IF('計算A'!U$115=0,0,IF(IFERROR(INDEX('名簿'!$C$5:$C$49,MATCH('調整・決定'!C23,'名簿'!$I$5:$I$49,0))&lt;&gt;"",FALSE),1,2))</f>
        <v/>
      </c>
      <c r="AB23">
        <f>IF('計算A'!AS$115=0,0,IF(IFERROR(INDEX('名簿'!$C$5:$C$49,MATCH('調整・決定'!D23,'名簿'!$I$5:$I$49,0))&lt;&gt;"",FALSE),1,2))</f>
        <v/>
      </c>
      <c r="AC23">
        <f>IF('計算A'!BQ$115=0,0,IF(IFERROR(INDEX('名簿'!$C$5:$C$49,MATCH('調整・決定'!E23,'名簿'!$I$5:$I$49,0))&lt;&gt;"",FALSE),1,2))</f>
        <v/>
      </c>
      <c r="AD23">
        <f>IF('計算A'!CO$115=0,0,IF(IFERROR(INDEX('名簿'!$C$5:$C$49,MATCH('調整・決定'!F23,'名簿'!$I$5:$I$49,0))&lt;&gt;"",FALSE),1,2))</f>
        <v/>
      </c>
      <c r="AE23">
        <f>IF('計算A'!DM$115=0,0,IF(IFERROR(INDEX('名簿'!$C$5:$C$49,MATCH('調整・決定'!G23,'名簿'!$I$5:$I$49,0))&lt;&gt;"",FALSE),1,2))</f>
        <v/>
      </c>
      <c r="AF23">
        <f>IF('計算A'!EK$115=0,0,IF(IFERROR(INDEX('名簿'!$C$5:$C$49,MATCH('調整・決定'!H23,'名簿'!$I$5:$I$49,0))&lt;&gt;"",FALSE),1,2))</f>
        <v/>
      </c>
    </row>
    <row r="24" ht="34" customHeight="1">
      <c r="B24" s="44">
        <f>'設定'!$I$29</f>
        <v/>
      </c>
      <c r="C24" s="25">
        <f>IF('調整・決定'!C24="","",'調整・決定'!C24&amp;IF(IFERROR(INDEX('名簿'!$C$5:$C$49,MATCH('調整・決定'!C24,'名簿'!$I$5:$I$49,0))&lt;&gt;"",FALSE),CHAR(10)&amp;INDEX('名簿'!$D$5:$D$49,MATCH('調整・決定'!C24,'名簿'!$I$5:$I$49,0)),""))</f>
        <v/>
      </c>
      <c r="D24" s="25">
        <f>IF('調整・決定'!D24="","",'調整・決定'!D24&amp;IF(IFERROR(INDEX('名簿'!$C$5:$C$49,MATCH('調整・決定'!D24,'名簿'!$I$5:$I$49,0))&lt;&gt;"",FALSE),CHAR(10)&amp;INDEX('名簿'!$D$5:$D$49,MATCH('調整・決定'!D24,'名簿'!$I$5:$I$49,0)),""))</f>
        <v/>
      </c>
      <c r="E24" s="25">
        <f>IF('調整・決定'!E24="","",'調整・決定'!E24&amp;IF(IFERROR(INDEX('名簿'!$C$5:$C$49,MATCH('調整・決定'!E24,'名簿'!$I$5:$I$49,0))&lt;&gt;"",FALSE),CHAR(10)&amp;INDEX('名簿'!$D$5:$D$49,MATCH('調整・決定'!E24,'名簿'!$I$5:$I$49,0)),""))</f>
        <v/>
      </c>
      <c r="F24" s="25">
        <f>IF('調整・決定'!F24="","",'調整・決定'!F24&amp;IF(IFERROR(INDEX('名簿'!$C$5:$C$49,MATCH('調整・決定'!F24,'名簿'!$I$5:$I$49,0))&lt;&gt;"",FALSE),CHAR(10)&amp;INDEX('名簿'!$D$5:$D$49,MATCH('調整・決定'!F24,'名簿'!$I$5:$I$49,0)),""))</f>
        <v/>
      </c>
      <c r="G24" s="25">
        <f>IF('調整・決定'!G24="","",'調整・決定'!G24&amp;IF(IFERROR(INDEX('名簿'!$C$5:$C$49,MATCH('調整・決定'!G24,'名簿'!$I$5:$I$49,0))&lt;&gt;"",FALSE),CHAR(10)&amp;INDEX('名簿'!$D$5:$D$49,MATCH('調整・決定'!G24,'名簿'!$I$5:$I$49,0)),""))</f>
        <v/>
      </c>
      <c r="H24" s="25">
        <f>IF('調整・決定'!H24="","",'調整・決定'!H24&amp;IF(IFERROR(INDEX('名簿'!$C$5:$C$49,MATCH('調整・決定'!H24,'名簿'!$I$5:$I$49,0))&lt;&gt;"",FALSE),CHAR(10)&amp;INDEX('名簿'!$D$5:$D$49,MATCH('調整・決定'!H24,'名簿'!$I$5:$I$49,0)),""))</f>
        <v/>
      </c>
      <c r="AA24">
        <f>IF('計算A'!V$115=0,0,IF(IFERROR(INDEX('名簿'!$C$5:$C$49,MATCH('調整・決定'!C24,'名簿'!$I$5:$I$49,0))&lt;&gt;"",FALSE),1,2))</f>
        <v/>
      </c>
      <c r="AB24">
        <f>IF('計算A'!AT$115=0,0,IF(IFERROR(INDEX('名簿'!$C$5:$C$49,MATCH('調整・決定'!D24,'名簿'!$I$5:$I$49,0))&lt;&gt;"",FALSE),1,2))</f>
        <v/>
      </c>
      <c r="AC24">
        <f>IF('計算A'!BR$115=0,0,IF(IFERROR(INDEX('名簿'!$C$5:$C$49,MATCH('調整・決定'!E24,'名簿'!$I$5:$I$49,0))&lt;&gt;"",FALSE),1,2))</f>
        <v/>
      </c>
      <c r="AD24">
        <f>IF('計算A'!CP$115=0,0,IF(IFERROR(INDEX('名簿'!$C$5:$C$49,MATCH('調整・決定'!F24,'名簿'!$I$5:$I$49,0))&lt;&gt;"",FALSE),1,2))</f>
        <v/>
      </c>
      <c r="AE24">
        <f>IF('計算A'!DN$115=0,0,IF(IFERROR(INDEX('名簿'!$C$5:$C$49,MATCH('調整・決定'!G24,'名簿'!$I$5:$I$49,0))&lt;&gt;"",FALSE),1,2))</f>
        <v/>
      </c>
      <c r="AF24">
        <f>IF('計算A'!EL$115=0,0,IF(IFERROR(INDEX('名簿'!$C$5:$C$49,MATCH('調整・決定'!H24,'名簿'!$I$5:$I$49,0))&lt;&gt;"",FALSE),1,2))</f>
        <v/>
      </c>
    </row>
    <row r="25" ht="34" customHeight="1">
      <c r="B25" s="44">
        <f>'設定'!$I$30</f>
        <v/>
      </c>
      <c r="C25" s="25">
        <f>IF('調整・決定'!C25="","",'調整・決定'!C25&amp;IF(IFERROR(INDEX('名簿'!$C$5:$C$49,MATCH('調整・決定'!C25,'名簿'!$I$5:$I$49,0))&lt;&gt;"",FALSE),CHAR(10)&amp;INDEX('名簿'!$D$5:$D$49,MATCH('調整・決定'!C25,'名簿'!$I$5:$I$49,0)),""))</f>
        <v/>
      </c>
      <c r="D25" s="25">
        <f>IF('調整・決定'!D25="","",'調整・決定'!D25&amp;IF(IFERROR(INDEX('名簿'!$C$5:$C$49,MATCH('調整・決定'!D25,'名簿'!$I$5:$I$49,0))&lt;&gt;"",FALSE),CHAR(10)&amp;INDEX('名簿'!$D$5:$D$49,MATCH('調整・決定'!D25,'名簿'!$I$5:$I$49,0)),""))</f>
        <v/>
      </c>
      <c r="E25" s="25">
        <f>IF('調整・決定'!E25="","",'調整・決定'!E25&amp;IF(IFERROR(INDEX('名簿'!$C$5:$C$49,MATCH('調整・決定'!E25,'名簿'!$I$5:$I$49,0))&lt;&gt;"",FALSE),CHAR(10)&amp;INDEX('名簿'!$D$5:$D$49,MATCH('調整・決定'!E25,'名簿'!$I$5:$I$49,0)),""))</f>
        <v/>
      </c>
      <c r="F25" s="25">
        <f>IF('調整・決定'!F25="","",'調整・決定'!F25&amp;IF(IFERROR(INDEX('名簿'!$C$5:$C$49,MATCH('調整・決定'!F25,'名簿'!$I$5:$I$49,0))&lt;&gt;"",FALSE),CHAR(10)&amp;INDEX('名簿'!$D$5:$D$49,MATCH('調整・決定'!F25,'名簿'!$I$5:$I$49,0)),""))</f>
        <v/>
      </c>
      <c r="G25" s="25">
        <f>IF('調整・決定'!G25="","",'調整・決定'!G25&amp;IF(IFERROR(INDEX('名簿'!$C$5:$C$49,MATCH('調整・決定'!G25,'名簿'!$I$5:$I$49,0))&lt;&gt;"",FALSE),CHAR(10)&amp;INDEX('名簿'!$D$5:$D$49,MATCH('調整・決定'!G25,'名簿'!$I$5:$I$49,0)),""))</f>
        <v/>
      </c>
      <c r="H25" s="25">
        <f>IF('調整・決定'!H25="","",'調整・決定'!H25&amp;IF(IFERROR(INDEX('名簿'!$C$5:$C$49,MATCH('調整・決定'!H25,'名簿'!$I$5:$I$49,0))&lt;&gt;"",FALSE),CHAR(10)&amp;INDEX('名簿'!$D$5:$D$49,MATCH('調整・決定'!H25,'名簿'!$I$5:$I$49,0)),""))</f>
        <v/>
      </c>
      <c r="AA25">
        <f>IF('計算A'!W$115=0,0,IF(IFERROR(INDEX('名簿'!$C$5:$C$49,MATCH('調整・決定'!C25,'名簿'!$I$5:$I$49,0))&lt;&gt;"",FALSE),1,2))</f>
        <v/>
      </c>
      <c r="AB25">
        <f>IF('計算A'!AU$115=0,0,IF(IFERROR(INDEX('名簿'!$C$5:$C$49,MATCH('調整・決定'!D25,'名簿'!$I$5:$I$49,0))&lt;&gt;"",FALSE),1,2))</f>
        <v/>
      </c>
      <c r="AC25">
        <f>IF('計算A'!BS$115=0,0,IF(IFERROR(INDEX('名簿'!$C$5:$C$49,MATCH('調整・決定'!E25,'名簿'!$I$5:$I$49,0))&lt;&gt;"",FALSE),1,2))</f>
        <v/>
      </c>
      <c r="AD25">
        <f>IF('計算A'!CQ$115=0,0,IF(IFERROR(INDEX('名簿'!$C$5:$C$49,MATCH('調整・決定'!F25,'名簿'!$I$5:$I$49,0))&lt;&gt;"",FALSE),1,2))</f>
        <v/>
      </c>
      <c r="AE25">
        <f>IF('計算A'!DO$115=0,0,IF(IFERROR(INDEX('名簿'!$C$5:$C$49,MATCH('調整・決定'!G25,'名簿'!$I$5:$I$49,0))&lt;&gt;"",FALSE),1,2))</f>
        <v/>
      </c>
      <c r="AF25">
        <f>IF('計算A'!EM$115=0,0,IF(IFERROR(INDEX('名簿'!$C$5:$C$49,MATCH('調整・決定'!H25,'名簿'!$I$5:$I$49,0))&lt;&gt;"",FALSE),1,2))</f>
        <v/>
      </c>
    </row>
    <row r="26" ht="34" customHeight="1">
      <c r="B26" s="44">
        <f>'設定'!$I$31</f>
        <v/>
      </c>
      <c r="C26" s="25">
        <f>IF('調整・決定'!C26="","",'調整・決定'!C26&amp;IF(IFERROR(INDEX('名簿'!$C$5:$C$49,MATCH('調整・決定'!C26,'名簿'!$I$5:$I$49,0))&lt;&gt;"",FALSE),CHAR(10)&amp;INDEX('名簿'!$D$5:$D$49,MATCH('調整・決定'!C26,'名簿'!$I$5:$I$49,0)),""))</f>
        <v/>
      </c>
      <c r="D26" s="25">
        <f>IF('調整・決定'!D26="","",'調整・決定'!D26&amp;IF(IFERROR(INDEX('名簿'!$C$5:$C$49,MATCH('調整・決定'!D26,'名簿'!$I$5:$I$49,0))&lt;&gt;"",FALSE),CHAR(10)&amp;INDEX('名簿'!$D$5:$D$49,MATCH('調整・決定'!D26,'名簿'!$I$5:$I$49,0)),""))</f>
        <v/>
      </c>
      <c r="E26" s="25">
        <f>IF('調整・決定'!E26="","",'調整・決定'!E26&amp;IF(IFERROR(INDEX('名簿'!$C$5:$C$49,MATCH('調整・決定'!E26,'名簿'!$I$5:$I$49,0))&lt;&gt;"",FALSE),CHAR(10)&amp;INDEX('名簿'!$D$5:$D$49,MATCH('調整・決定'!E26,'名簿'!$I$5:$I$49,0)),""))</f>
        <v/>
      </c>
      <c r="F26" s="25">
        <f>IF('調整・決定'!F26="","",'調整・決定'!F26&amp;IF(IFERROR(INDEX('名簿'!$C$5:$C$49,MATCH('調整・決定'!F26,'名簿'!$I$5:$I$49,0))&lt;&gt;"",FALSE),CHAR(10)&amp;INDEX('名簿'!$D$5:$D$49,MATCH('調整・決定'!F26,'名簿'!$I$5:$I$49,0)),""))</f>
        <v/>
      </c>
      <c r="G26" s="25">
        <f>IF('調整・決定'!G26="","",'調整・決定'!G26&amp;IF(IFERROR(INDEX('名簿'!$C$5:$C$49,MATCH('調整・決定'!G26,'名簿'!$I$5:$I$49,0))&lt;&gt;"",FALSE),CHAR(10)&amp;INDEX('名簿'!$D$5:$D$49,MATCH('調整・決定'!G26,'名簿'!$I$5:$I$49,0)),""))</f>
        <v/>
      </c>
      <c r="H26" s="25">
        <f>IF('調整・決定'!H26="","",'調整・決定'!H26&amp;IF(IFERROR(INDEX('名簿'!$C$5:$C$49,MATCH('調整・決定'!H26,'名簿'!$I$5:$I$49,0))&lt;&gt;"",FALSE),CHAR(10)&amp;INDEX('名簿'!$D$5:$D$49,MATCH('調整・決定'!H26,'名簿'!$I$5:$I$49,0)),""))</f>
        <v/>
      </c>
      <c r="AA26">
        <f>IF('計算A'!X$115=0,0,IF(IFERROR(INDEX('名簿'!$C$5:$C$49,MATCH('調整・決定'!C26,'名簿'!$I$5:$I$49,0))&lt;&gt;"",FALSE),1,2))</f>
        <v/>
      </c>
      <c r="AB26">
        <f>IF('計算A'!AV$115=0,0,IF(IFERROR(INDEX('名簿'!$C$5:$C$49,MATCH('調整・決定'!D26,'名簿'!$I$5:$I$49,0))&lt;&gt;"",FALSE),1,2))</f>
        <v/>
      </c>
      <c r="AC26">
        <f>IF('計算A'!BT$115=0,0,IF(IFERROR(INDEX('名簿'!$C$5:$C$49,MATCH('調整・決定'!E26,'名簿'!$I$5:$I$49,0))&lt;&gt;"",FALSE),1,2))</f>
        <v/>
      </c>
      <c r="AD26">
        <f>IF('計算A'!CR$115=0,0,IF(IFERROR(INDEX('名簿'!$C$5:$C$49,MATCH('調整・決定'!F26,'名簿'!$I$5:$I$49,0))&lt;&gt;"",FALSE),1,2))</f>
        <v/>
      </c>
      <c r="AE26">
        <f>IF('計算A'!DP$115=0,0,IF(IFERROR(INDEX('名簿'!$C$5:$C$49,MATCH('調整・決定'!G26,'名簿'!$I$5:$I$49,0))&lt;&gt;"",FALSE),1,2))</f>
        <v/>
      </c>
      <c r="AF26">
        <f>IF('計算A'!EN$115=0,0,IF(IFERROR(INDEX('名簿'!$C$5:$C$49,MATCH('調整・決定'!H26,'名簿'!$I$5:$I$49,0))&lt;&gt;"",FALSE),1,2))</f>
        <v/>
      </c>
    </row>
    <row r="27" ht="34" customHeight="1">
      <c r="B27" s="44">
        <f>'設定'!$I$32</f>
        <v/>
      </c>
      <c r="C27" s="25">
        <f>IF('調整・決定'!C27="","",'調整・決定'!C27&amp;IF(IFERROR(INDEX('名簿'!$C$5:$C$49,MATCH('調整・決定'!C27,'名簿'!$I$5:$I$49,0))&lt;&gt;"",FALSE),CHAR(10)&amp;INDEX('名簿'!$D$5:$D$49,MATCH('調整・決定'!C27,'名簿'!$I$5:$I$49,0)),""))</f>
        <v/>
      </c>
      <c r="D27" s="25">
        <f>IF('調整・決定'!D27="","",'調整・決定'!D27&amp;IF(IFERROR(INDEX('名簿'!$C$5:$C$49,MATCH('調整・決定'!D27,'名簿'!$I$5:$I$49,0))&lt;&gt;"",FALSE),CHAR(10)&amp;INDEX('名簿'!$D$5:$D$49,MATCH('調整・決定'!D27,'名簿'!$I$5:$I$49,0)),""))</f>
        <v/>
      </c>
      <c r="E27" s="25">
        <f>IF('調整・決定'!E27="","",'調整・決定'!E27&amp;IF(IFERROR(INDEX('名簿'!$C$5:$C$49,MATCH('調整・決定'!E27,'名簿'!$I$5:$I$49,0))&lt;&gt;"",FALSE),CHAR(10)&amp;INDEX('名簿'!$D$5:$D$49,MATCH('調整・決定'!E27,'名簿'!$I$5:$I$49,0)),""))</f>
        <v/>
      </c>
      <c r="F27" s="25">
        <f>IF('調整・決定'!F27="","",'調整・決定'!F27&amp;IF(IFERROR(INDEX('名簿'!$C$5:$C$49,MATCH('調整・決定'!F27,'名簿'!$I$5:$I$49,0))&lt;&gt;"",FALSE),CHAR(10)&amp;INDEX('名簿'!$D$5:$D$49,MATCH('調整・決定'!F27,'名簿'!$I$5:$I$49,0)),""))</f>
        <v/>
      </c>
      <c r="G27" s="25">
        <f>IF('調整・決定'!G27="","",'調整・決定'!G27&amp;IF(IFERROR(INDEX('名簿'!$C$5:$C$49,MATCH('調整・決定'!G27,'名簿'!$I$5:$I$49,0))&lt;&gt;"",FALSE),CHAR(10)&amp;INDEX('名簿'!$D$5:$D$49,MATCH('調整・決定'!G27,'名簿'!$I$5:$I$49,0)),""))</f>
        <v/>
      </c>
      <c r="H27" s="25">
        <f>IF('調整・決定'!H27="","",'調整・決定'!H27&amp;IF(IFERROR(INDEX('名簿'!$C$5:$C$49,MATCH('調整・決定'!H27,'名簿'!$I$5:$I$49,0))&lt;&gt;"",FALSE),CHAR(10)&amp;INDEX('名簿'!$D$5:$D$49,MATCH('調整・決定'!H27,'名簿'!$I$5:$I$49,0)),""))</f>
        <v/>
      </c>
      <c r="AA27">
        <f>IF('計算A'!Y$115=0,0,IF(IFERROR(INDEX('名簿'!$C$5:$C$49,MATCH('調整・決定'!C27,'名簿'!$I$5:$I$49,0))&lt;&gt;"",FALSE),1,2))</f>
        <v/>
      </c>
      <c r="AB27">
        <f>IF('計算A'!AW$115=0,0,IF(IFERROR(INDEX('名簿'!$C$5:$C$49,MATCH('調整・決定'!D27,'名簿'!$I$5:$I$49,0))&lt;&gt;"",FALSE),1,2))</f>
        <v/>
      </c>
      <c r="AC27">
        <f>IF('計算A'!BU$115=0,0,IF(IFERROR(INDEX('名簿'!$C$5:$C$49,MATCH('調整・決定'!E27,'名簿'!$I$5:$I$49,0))&lt;&gt;"",FALSE),1,2))</f>
        <v/>
      </c>
      <c r="AD27">
        <f>IF('計算A'!CS$115=0,0,IF(IFERROR(INDEX('名簿'!$C$5:$C$49,MATCH('調整・決定'!F27,'名簿'!$I$5:$I$49,0))&lt;&gt;"",FALSE),1,2))</f>
        <v/>
      </c>
      <c r="AE27">
        <f>IF('計算A'!DQ$115=0,0,IF(IFERROR(INDEX('名簿'!$C$5:$C$49,MATCH('調整・決定'!G27,'名簿'!$I$5:$I$49,0))&lt;&gt;"",FALSE),1,2))</f>
        <v/>
      </c>
      <c r="AF27">
        <f>IF('計算A'!EO$115=0,0,IF(IFERROR(INDEX('名簿'!$C$5:$C$49,MATCH('調整・決定'!H27,'名簿'!$I$5:$I$49,0))&lt;&gt;"",FALSE),1,2))</f>
        <v/>
      </c>
    </row>
    <row r="28" ht="34" customHeight="1">
      <c r="B28" s="44">
        <f>'設定'!$I$33</f>
        <v/>
      </c>
      <c r="C28" s="25">
        <f>IF('調整・決定'!C28="","",'調整・決定'!C28&amp;IF(IFERROR(INDEX('名簿'!$C$5:$C$49,MATCH('調整・決定'!C28,'名簿'!$I$5:$I$49,0))&lt;&gt;"",FALSE),CHAR(10)&amp;INDEX('名簿'!$D$5:$D$49,MATCH('調整・決定'!C28,'名簿'!$I$5:$I$49,0)),""))</f>
        <v/>
      </c>
      <c r="D28" s="25">
        <f>IF('調整・決定'!D28="","",'調整・決定'!D28&amp;IF(IFERROR(INDEX('名簿'!$C$5:$C$49,MATCH('調整・決定'!D28,'名簿'!$I$5:$I$49,0))&lt;&gt;"",FALSE),CHAR(10)&amp;INDEX('名簿'!$D$5:$D$49,MATCH('調整・決定'!D28,'名簿'!$I$5:$I$49,0)),""))</f>
        <v/>
      </c>
      <c r="E28" s="25">
        <f>IF('調整・決定'!E28="","",'調整・決定'!E28&amp;IF(IFERROR(INDEX('名簿'!$C$5:$C$49,MATCH('調整・決定'!E28,'名簿'!$I$5:$I$49,0))&lt;&gt;"",FALSE),CHAR(10)&amp;INDEX('名簿'!$D$5:$D$49,MATCH('調整・決定'!E28,'名簿'!$I$5:$I$49,0)),""))</f>
        <v/>
      </c>
      <c r="F28" s="25">
        <f>IF('調整・決定'!F28="","",'調整・決定'!F28&amp;IF(IFERROR(INDEX('名簿'!$C$5:$C$49,MATCH('調整・決定'!F28,'名簿'!$I$5:$I$49,0))&lt;&gt;"",FALSE),CHAR(10)&amp;INDEX('名簿'!$D$5:$D$49,MATCH('調整・決定'!F28,'名簿'!$I$5:$I$49,0)),""))</f>
        <v/>
      </c>
      <c r="G28" s="25">
        <f>IF('調整・決定'!G28="","",'調整・決定'!G28&amp;IF(IFERROR(INDEX('名簿'!$C$5:$C$49,MATCH('調整・決定'!G28,'名簿'!$I$5:$I$49,0))&lt;&gt;"",FALSE),CHAR(10)&amp;INDEX('名簿'!$D$5:$D$49,MATCH('調整・決定'!G28,'名簿'!$I$5:$I$49,0)),""))</f>
        <v/>
      </c>
      <c r="H28" s="25">
        <f>IF('調整・決定'!H28="","",'調整・決定'!H28&amp;IF(IFERROR(INDEX('名簿'!$C$5:$C$49,MATCH('調整・決定'!H28,'名簿'!$I$5:$I$49,0))&lt;&gt;"",FALSE),CHAR(10)&amp;INDEX('名簿'!$D$5:$D$49,MATCH('調整・決定'!H28,'名簿'!$I$5:$I$49,0)),""))</f>
        <v/>
      </c>
      <c r="AA28">
        <f>IF('計算A'!Z$115=0,0,IF(IFERROR(INDEX('名簿'!$C$5:$C$49,MATCH('調整・決定'!C28,'名簿'!$I$5:$I$49,0))&lt;&gt;"",FALSE),1,2))</f>
        <v/>
      </c>
      <c r="AB28">
        <f>IF('計算A'!AX$115=0,0,IF(IFERROR(INDEX('名簿'!$C$5:$C$49,MATCH('調整・決定'!D28,'名簿'!$I$5:$I$49,0))&lt;&gt;"",FALSE),1,2))</f>
        <v/>
      </c>
      <c r="AC28">
        <f>IF('計算A'!BV$115=0,0,IF(IFERROR(INDEX('名簿'!$C$5:$C$49,MATCH('調整・決定'!E28,'名簿'!$I$5:$I$49,0))&lt;&gt;"",FALSE),1,2))</f>
        <v/>
      </c>
      <c r="AD28">
        <f>IF('計算A'!CT$115=0,0,IF(IFERROR(INDEX('名簿'!$C$5:$C$49,MATCH('調整・決定'!F28,'名簿'!$I$5:$I$49,0))&lt;&gt;"",FALSE),1,2))</f>
        <v/>
      </c>
      <c r="AE28">
        <f>IF('計算A'!DR$115=0,0,IF(IFERROR(INDEX('名簿'!$C$5:$C$49,MATCH('調整・決定'!G28,'名簿'!$I$5:$I$49,0))&lt;&gt;"",FALSE),1,2))</f>
        <v/>
      </c>
      <c r="AF28">
        <f>IF('計算A'!EP$115=0,0,IF(IFERROR(INDEX('名簿'!$C$5:$C$49,MATCH('調整・決定'!H28,'名簿'!$I$5:$I$49,0))&lt;&gt;"",FALSE),1,2))</f>
        <v/>
      </c>
    </row>
    <row r="29" ht="34" customHeight="1">
      <c r="B29" s="44">
        <f>'設定'!$I$34</f>
        <v/>
      </c>
      <c r="C29" s="25">
        <f>IF('調整・決定'!C29="","",'調整・決定'!C29&amp;IF(IFERROR(INDEX('名簿'!$C$5:$C$49,MATCH('調整・決定'!C29,'名簿'!$I$5:$I$49,0))&lt;&gt;"",FALSE),CHAR(10)&amp;INDEX('名簿'!$D$5:$D$49,MATCH('調整・決定'!C29,'名簿'!$I$5:$I$49,0)),""))</f>
        <v/>
      </c>
      <c r="D29" s="25">
        <f>IF('調整・決定'!D29="","",'調整・決定'!D29&amp;IF(IFERROR(INDEX('名簿'!$C$5:$C$49,MATCH('調整・決定'!D29,'名簿'!$I$5:$I$49,0))&lt;&gt;"",FALSE),CHAR(10)&amp;INDEX('名簿'!$D$5:$D$49,MATCH('調整・決定'!D29,'名簿'!$I$5:$I$49,0)),""))</f>
        <v/>
      </c>
      <c r="E29" s="25">
        <f>IF('調整・決定'!E29="","",'調整・決定'!E29&amp;IF(IFERROR(INDEX('名簿'!$C$5:$C$49,MATCH('調整・決定'!E29,'名簿'!$I$5:$I$49,0))&lt;&gt;"",FALSE),CHAR(10)&amp;INDEX('名簿'!$D$5:$D$49,MATCH('調整・決定'!E29,'名簿'!$I$5:$I$49,0)),""))</f>
        <v/>
      </c>
      <c r="F29" s="25">
        <f>IF('調整・決定'!F29="","",'調整・決定'!F29&amp;IF(IFERROR(INDEX('名簿'!$C$5:$C$49,MATCH('調整・決定'!F29,'名簿'!$I$5:$I$49,0))&lt;&gt;"",FALSE),CHAR(10)&amp;INDEX('名簿'!$D$5:$D$49,MATCH('調整・決定'!F29,'名簿'!$I$5:$I$49,0)),""))</f>
        <v/>
      </c>
      <c r="G29" s="25">
        <f>IF('調整・決定'!G29="","",'調整・決定'!G29&amp;IF(IFERROR(INDEX('名簿'!$C$5:$C$49,MATCH('調整・決定'!G29,'名簿'!$I$5:$I$49,0))&lt;&gt;"",FALSE),CHAR(10)&amp;INDEX('名簿'!$D$5:$D$49,MATCH('調整・決定'!G29,'名簿'!$I$5:$I$49,0)),""))</f>
        <v/>
      </c>
      <c r="H29" s="25">
        <f>IF('調整・決定'!H29="","",'調整・決定'!H29&amp;IF(IFERROR(INDEX('名簿'!$C$5:$C$49,MATCH('調整・決定'!H29,'名簿'!$I$5:$I$49,0))&lt;&gt;"",FALSE),CHAR(10)&amp;INDEX('名簿'!$D$5:$D$49,MATCH('調整・決定'!H29,'名簿'!$I$5:$I$49,0)),""))</f>
        <v/>
      </c>
      <c r="AA29">
        <f>IF('計算A'!AA$115=0,0,IF(IFERROR(INDEX('名簿'!$C$5:$C$49,MATCH('調整・決定'!C29,'名簿'!$I$5:$I$49,0))&lt;&gt;"",FALSE),1,2))</f>
        <v/>
      </c>
      <c r="AB29">
        <f>IF('計算A'!AY$115=0,0,IF(IFERROR(INDEX('名簿'!$C$5:$C$49,MATCH('調整・決定'!D29,'名簿'!$I$5:$I$49,0))&lt;&gt;"",FALSE),1,2))</f>
        <v/>
      </c>
      <c r="AC29">
        <f>IF('計算A'!BW$115=0,0,IF(IFERROR(INDEX('名簿'!$C$5:$C$49,MATCH('調整・決定'!E29,'名簿'!$I$5:$I$49,0))&lt;&gt;"",FALSE),1,2))</f>
        <v/>
      </c>
      <c r="AD29">
        <f>IF('計算A'!CU$115=0,0,IF(IFERROR(INDEX('名簿'!$C$5:$C$49,MATCH('調整・決定'!F29,'名簿'!$I$5:$I$49,0))&lt;&gt;"",FALSE),1,2))</f>
        <v/>
      </c>
      <c r="AE29">
        <f>IF('計算A'!DS$115=0,0,IF(IFERROR(INDEX('名簿'!$C$5:$C$49,MATCH('調整・決定'!G29,'名簿'!$I$5:$I$49,0))&lt;&gt;"",FALSE),1,2))</f>
        <v/>
      </c>
      <c r="AF29">
        <f>IF('計算A'!EQ$115=0,0,IF(IFERROR(INDEX('名簿'!$C$5:$C$49,MATCH('調整・決定'!H29,'名簿'!$I$5:$I$49,0))&lt;&gt;"",FALSE),1,2))</f>
        <v/>
      </c>
    </row>
  </sheetData>
  <mergeCells count="1">
    <mergeCell ref="B3:L3"/>
  </mergeCells>
  <conditionalFormatting sqref="B6:B29">
    <cfRule type="expression" priority="1" dxfId="3" stopIfTrue="1">
      <formula>B6=""</formula>
    </cfRule>
  </conditionalFormatting>
  <conditionalFormatting sqref="C6:H29">
    <cfRule type="expression" priority="2" dxfId="3" stopIfTrue="1">
      <formula>AA6=0</formula>
    </cfRule>
    <cfRule type="expression" priority="3" dxfId="22" stopIfTrue="1">
      <formula>AA6=1</formula>
    </cfRule>
    <cfRule type="expression" priority="4" dxfId="4">
      <formula>TRUE</formula>
    </cfRule>
  </conditionalFormatting>
  <conditionalFormatting sqref="C5:H5">
    <cfRule type="expression" priority="5" dxfId="3">
      <formula>C5=""</formula>
    </cfRule>
  </conditionalFormatting>
  <pageMargins left="0.75" right="0.75" top="1" bottom="1" header="0.5" footer="0.5"/>
  <pageSetup orientation="landscape" fitToHeight="1" fitToWidth="1"/>
</worksheet>
</file>

<file path=xl/worksheets/sheet9.xml><?xml version="1.0" encoding="utf-8"?>
<worksheet xmlns="http://schemas.openxmlformats.org/spreadsheetml/2006/main">
  <sheetPr>
    <outlinePr summaryBelow="1" summaryRight="1"/>
    <pageSetUpPr/>
  </sheetPr>
  <dimension ref="A1:IX118"/>
  <sheetViews>
    <sheetView showGridLines="0" workbookViewId="0">
      <selection activeCell="A1" sqref="A1"/>
    </sheetView>
  </sheetViews>
  <sheetFormatPr baseColWidth="8" defaultRowHeight="15"/>
  <sheetData>
    <row r="1">
      <c r="A1" s="69" t="inlineStr">
        <is>
          <t>計算用（さわらないでください）</t>
        </is>
      </c>
      <c r="C1" s="93"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row>
    <row r="2">
      <c r="A2" s="93" t="inlineStr">
        <is>
          <t>時間帯の枠数</t>
        </is>
      </c>
      <c r="C2" s="93"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row>
    <row r="3">
      <c r="A3" s="93">
        <f>IF(AND(ISNUMBER('設定'!$B$3),ISNUMBER('設定'!$D$3),ISNUMBER('設定'!$B$5)),IF(AND('設定'!$B$5&gt;0,'設定'!$D$3&gt;='設定'!$B$3),ROUND(('設定'!$D$3-'設定'!$B$3)*1440/'設定'!$B$5,0)+1,0),0)</f>
        <v/>
      </c>
      <c r="B3" s="93" t="inlineStr">
        <is>
          <t>←時間帯1</t>
        </is>
      </c>
      <c r="C3" s="93"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row>
    <row r="4">
      <c r="A4" s="93">
        <f>IF(AND(A3&gt;0,ISNUMBER('設定'!$B$4),ISNUMBER('設定'!$D$4)),IF(AND('設定'!$D$4&gt;='設定'!$B$4,'設定'!$B$4&gt;'設定'!$D$3),ROUND(('設定'!$D$4-'設定'!$B$4)*1440/'設定'!$B$5,0)+1,0),0)</f>
        <v/>
      </c>
      <c r="B4" s="93" t="inlineStr">
        <is>
          <t>←時間帯2</t>
        </is>
      </c>
      <c r="C4" s="93" t="inlineStr">
        <is>
          <t>使える</t>
        </is>
      </c>
      <c r="D4">
        <f>IF(AND(D115=1,INDEX('設定'!$M$9:$R$9,D2)="",INDEX('設定'!$K$11:$K$34,D3)="",INDEX('設定'!$M$11:$R$34,D3,D2)=""),1,0)</f>
        <v/>
      </c>
      <c r="E4">
        <f>IF(AND(E115=1,INDEX('設定'!$M$9:$R$9,E2)="",INDEX('設定'!$K$11:$K$34,E3)="",INDEX('設定'!$M$11:$R$34,E3,E2)=""),1,0)</f>
        <v/>
      </c>
      <c r="F4">
        <f>IF(AND(F115=1,INDEX('設定'!$M$9:$R$9,F2)="",INDEX('設定'!$K$11:$K$34,F3)="",INDEX('設定'!$M$11:$R$34,F3,F2)=""),1,0)</f>
        <v/>
      </c>
      <c r="G4">
        <f>IF(AND(G115=1,INDEX('設定'!$M$9:$R$9,G2)="",INDEX('設定'!$K$11:$K$34,G3)="",INDEX('設定'!$M$11:$R$34,G3,G2)=""),1,0)</f>
        <v/>
      </c>
      <c r="H4">
        <f>IF(AND(H115=1,INDEX('設定'!$M$9:$R$9,H2)="",INDEX('設定'!$K$11:$K$34,H3)="",INDEX('設定'!$M$11:$R$34,H3,H2)=""),1,0)</f>
        <v/>
      </c>
      <c r="I4">
        <f>IF(AND(I115=1,INDEX('設定'!$M$9:$R$9,I2)="",INDEX('設定'!$K$11:$K$34,I3)="",INDEX('設定'!$M$11:$R$34,I3,I2)=""),1,0)</f>
        <v/>
      </c>
      <c r="J4">
        <f>IF(AND(J115=1,INDEX('設定'!$M$9:$R$9,J2)="",INDEX('設定'!$K$11:$K$34,J3)="",INDEX('設定'!$M$11:$R$34,J3,J2)=""),1,0)</f>
        <v/>
      </c>
      <c r="K4">
        <f>IF(AND(K115=1,INDEX('設定'!$M$9:$R$9,K2)="",INDEX('設定'!$K$11:$K$34,K3)="",INDEX('設定'!$M$11:$R$34,K3,K2)=""),1,0)</f>
        <v/>
      </c>
      <c r="L4">
        <f>IF(AND(L115=1,INDEX('設定'!$M$9:$R$9,L2)="",INDEX('設定'!$K$11:$K$34,L3)="",INDEX('設定'!$M$11:$R$34,L3,L2)=""),1,0)</f>
        <v/>
      </c>
      <c r="M4">
        <f>IF(AND(M115=1,INDEX('設定'!$M$9:$R$9,M2)="",INDEX('設定'!$K$11:$K$34,M3)="",INDEX('設定'!$M$11:$R$34,M3,M2)=""),1,0)</f>
        <v/>
      </c>
      <c r="N4">
        <f>IF(AND(N115=1,INDEX('設定'!$M$9:$R$9,N2)="",INDEX('設定'!$K$11:$K$34,N3)="",INDEX('設定'!$M$11:$R$34,N3,N2)=""),1,0)</f>
        <v/>
      </c>
      <c r="O4">
        <f>IF(AND(O115=1,INDEX('設定'!$M$9:$R$9,O2)="",INDEX('設定'!$K$11:$K$34,O3)="",INDEX('設定'!$M$11:$R$34,O3,O2)=""),1,0)</f>
        <v/>
      </c>
      <c r="P4">
        <f>IF(AND(P115=1,INDEX('設定'!$M$9:$R$9,P2)="",INDEX('設定'!$K$11:$K$34,P3)="",INDEX('設定'!$M$11:$R$34,P3,P2)=""),1,0)</f>
        <v/>
      </c>
      <c r="Q4">
        <f>IF(AND(Q115=1,INDEX('設定'!$M$9:$R$9,Q2)="",INDEX('設定'!$K$11:$K$34,Q3)="",INDEX('設定'!$M$11:$R$34,Q3,Q2)=""),1,0)</f>
        <v/>
      </c>
      <c r="R4">
        <f>IF(AND(R115=1,INDEX('設定'!$M$9:$R$9,R2)="",INDEX('設定'!$K$11:$K$34,R3)="",INDEX('設定'!$M$11:$R$34,R3,R2)=""),1,0)</f>
        <v/>
      </c>
      <c r="S4">
        <f>IF(AND(S115=1,INDEX('設定'!$M$9:$R$9,S2)="",INDEX('設定'!$K$11:$K$34,S3)="",INDEX('設定'!$M$11:$R$34,S3,S2)=""),1,0)</f>
        <v/>
      </c>
      <c r="T4">
        <f>IF(AND(T115=1,INDEX('設定'!$M$9:$R$9,T2)="",INDEX('設定'!$K$11:$K$34,T3)="",INDEX('設定'!$M$11:$R$34,T3,T2)=""),1,0)</f>
        <v/>
      </c>
      <c r="U4">
        <f>IF(AND(U115=1,INDEX('設定'!$M$9:$R$9,U2)="",INDEX('設定'!$K$11:$K$34,U3)="",INDEX('設定'!$M$11:$R$34,U3,U2)=""),1,0)</f>
        <v/>
      </c>
      <c r="V4">
        <f>IF(AND(V115=1,INDEX('設定'!$M$9:$R$9,V2)="",INDEX('設定'!$K$11:$K$34,V3)="",INDEX('設定'!$M$11:$R$34,V3,V2)=""),1,0)</f>
        <v/>
      </c>
      <c r="W4">
        <f>IF(AND(W115=1,INDEX('設定'!$M$9:$R$9,W2)="",INDEX('設定'!$K$11:$K$34,W3)="",INDEX('設定'!$M$11:$R$34,W3,W2)=""),1,0)</f>
        <v/>
      </c>
      <c r="X4">
        <f>IF(AND(X115=1,INDEX('設定'!$M$9:$R$9,X2)="",INDEX('設定'!$K$11:$K$34,X3)="",INDEX('設定'!$M$11:$R$34,X3,X2)=""),1,0)</f>
        <v/>
      </c>
      <c r="Y4">
        <f>IF(AND(Y115=1,INDEX('設定'!$M$9:$R$9,Y2)="",INDEX('設定'!$K$11:$K$34,Y3)="",INDEX('設定'!$M$11:$R$34,Y3,Y2)=""),1,0)</f>
        <v/>
      </c>
      <c r="Z4">
        <f>IF(AND(Z115=1,INDEX('設定'!$M$9:$R$9,Z2)="",INDEX('設定'!$K$11:$K$34,Z3)="",INDEX('設定'!$M$11:$R$34,Z3,Z2)=""),1,0)</f>
        <v/>
      </c>
      <c r="AA4">
        <f>IF(AND(AA115=1,INDEX('設定'!$M$9:$R$9,AA2)="",INDEX('設定'!$K$11:$K$34,AA3)="",INDEX('設定'!$M$11:$R$34,AA3,AA2)=""),1,0)</f>
        <v/>
      </c>
      <c r="AB4">
        <f>IF(AND(AB115=1,INDEX('設定'!$M$9:$R$9,AB2)="",INDEX('設定'!$K$11:$K$34,AB3)="",INDEX('設定'!$M$11:$R$34,AB3,AB2)=""),1,0)</f>
        <v/>
      </c>
      <c r="AC4">
        <f>IF(AND(AC115=1,INDEX('設定'!$M$9:$R$9,AC2)="",INDEX('設定'!$K$11:$K$34,AC3)="",INDEX('設定'!$M$11:$R$34,AC3,AC2)=""),1,0)</f>
        <v/>
      </c>
      <c r="AD4">
        <f>IF(AND(AD115=1,INDEX('設定'!$M$9:$R$9,AD2)="",INDEX('設定'!$K$11:$K$34,AD3)="",INDEX('設定'!$M$11:$R$34,AD3,AD2)=""),1,0)</f>
        <v/>
      </c>
      <c r="AE4">
        <f>IF(AND(AE115=1,INDEX('設定'!$M$9:$R$9,AE2)="",INDEX('設定'!$K$11:$K$34,AE3)="",INDEX('設定'!$M$11:$R$34,AE3,AE2)=""),1,0)</f>
        <v/>
      </c>
      <c r="AF4">
        <f>IF(AND(AF115=1,INDEX('設定'!$M$9:$R$9,AF2)="",INDEX('設定'!$K$11:$K$34,AF3)="",INDEX('設定'!$M$11:$R$34,AF3,AF2)=""),1,0)</f>
        <v/>
      </c>
      <c r="AG4">
        <f>IF(AND(AG115=1,INDEX('設定'!$M$9:$R$9,AG2)="",INDEX('設定'!$K$11:$K$34,AG3)="",INDEX('設定'!$M$11:$R$34,AG3,AG2)=""),1,0)</f>
        <v/>
      </c>
      <c r="AH4">
        <f>IF(AND(AH115=1,INDEX('設定'!$M$9:$R$9,AH2)="",INDEX('設定'!$K$11:$K$34,AH3)="",INDEX('設定'!$M$11:$R$34,AH3,AH2)=""),1,0)</f>
        <v/>
      </c>
      <c r="AI4">
        <f>IF(AND(AI115=1,INDEX('設定'!$M$9:$R$9,AI2)="",INDEX('設定'!$K$11:$K$34,AI3)="",INDEX('設定'!$M$11:$R$34,AI3,AI2)=""),1,0)</f>
        <v/>
      </c>
      <c r="AJ4">
        <f>IF(AND(AJ115=1,INDEX('設定'!$M$9:$R$9,AJ2)="",INDEX('設定'!$K$11:$K$34,AJ3)="",INDEX('設定'!$M$11:$R$34,AJ3,AJ2)=""),1,0)</f>
        <v/>
      </c>
      <c r="AK4">
        <f>IF(AND(AK115=1,INDEX('設定'!$M$9:$R$9,AK2)="",INDEX('設定'!$K$11:$K$34,AK3)="",INDEX('設定'!$M$11:$R$34,AK3,AK2)=""),1,0)</f>
        <v/>
      </c>
      <c r="AL4">
        <f>IF(AND(AL115=1,INDEX('設定'!$M$9:$R$9,AL2)="",INDEX('設定'!$K$11:$K$34,AL3)="",INDEX('設定'!$M$11:$R$34,AL3,AL2)=""),1,0)</f>
        <v/>
      </c>
      <c r="AM4">
        <f>IF(AND(AM115=1,INDEX('設定'!$M$9:$R$9,AM2)="",INDEX('設定'!$K$11:$K$34,AM3)="",INDEX('設定'!$M$11:$R$34,AM3,AM2)=""),1,0)</f>
        <v/>
      </c>
      <c r="AN4">
        <f>IF(AND(AN115=1,INDEX('設定'!$M$9:$R$9,AN2)="",INDEX('設定'!$K$11:$K$34,AN3)="",INDEX('設定'!$M$11:$R$34,AN3,AN2)=""),1,0)</f>
        <v/>
      </c>
      <c r="AO4">
        <f>IF(AND(AO115=1,INDEX('設定'!$M$9:$R$9,AO2)="",INDEX('設定'!$K$11:$K$34,AO3)="",INDEX('設定'!$M$11:$R$34,AO3,AO2)=""),1,0)</f>
        <v/>
      </c>
      <c r="AP4">
        <f>IF(AND(AP115=1,INDEX('設定'!$M$9:$R$9,AP2)="",INDEX('設定'!$K$11:$K$34,AP3)="",INDEX('設定'!$M$11:$R$34,AP3,AP2)=""),1,0)</f>
        <v/>
      </c>
      <c r="AQ4">
        <f>IF(AND(AQ115=1,INDEX('設定'!$M$9:$R$9,AQ2)="",INDEX('設定'!$K$11:$K$34,AQ3)="",INDEX('設定'!$M$11:$R$34,AQ3,AQ2)=""),1,0)</f>
        <v/>
      </c>
      <c r="AR4">
        <f>IF(AND(AR115=1,INDEX('設定'!$M$9:$R$9,AR2)="",INDEX('設定'!$K$11:$K$34,AR3)="",INDEX('設定'!$M$11:$R$34,AR3,AR2)=""),1,0)</f>
        <v/>
      </c>
      <c r="AS4">
        <f>IF(AND(AS115=1,INDEX('設定'!$M$9:$R$9,AS2)="",INDEX('設定'!$K$11:$K$34,AS3)="",INDEX('設定'!$M$11:$R$34,AS3,AS2)=""),1,0)</f>
        <v/>
      </c>
      <c r="AT4">
        <f>IF(AND(AT115=1,INDEX('設定'!$M$9:$R$9,AT2)="",INDEX('設定'!$K$11:$K$34,AT3)="",INDEX('設定'!$M$11:$R$34,AT3,AT2)=""),1,0)</f>
        <v/>
      </c>
      <c r="AU4">
        <f>IF(AND(AU115=1,INDEX('設定'!$M$9:$R$9,AU2)="",INDEX('設定'!$K$11:$K$34,AU3)="",INDEX('設定'!$M$11:$R$34,AU3,AU2)=""),1,0)</f>
        <v/>
      </c>
      <c r="AV4">
        <f>IF(AND(AV115=1,INDEX('設定'!$M$9:$R$9,AV2)="",INDEX('設定'!$K$11:$K$34,AV3)="",INDEX('設定'!$M$11:$R$34,AV3,AV2)=""),1,0)</f>
        <v/>
      </c>
      <c r="AW4">
        <f>IF(AND(AW115=1,INDEX('設定'!$M$9:$R$9,AW2)="",INDEX('設定'!$K$11:$K$34,AW3)="",INDEX('設定'!$M$11:$R$34,AW3,AW2)=""),1,0)</f>
        <v/>
      </c>
      <c r="AX4">
        <f>IF(AND(AX115=1,INDEX('設定'!$M$9:$R$9,AX2)="",INDEX('設定'!$K$11:$K$34,AX3)="",INDEX('設定'!$M$11:$R$34,AX3,AX2)=""),1,0)</f>
        <v/>
      </c>
      <c r="AY4">
        <f>IF(AND(AY115=1,INDEX('設定'!$M$9:$R$9,AY2)="",INDEX('設定'!$K$11:$K$34,AY3)="",INDEX('設定'!$M$11:$R$34,AY3,AY2)=""),1,0)</f>
        <v/>
      </c>
      <c r="AZ4">
        <f>IF(AND(AZ115=1,INDEX('設定'!$M$9:$R$9,AZ2)="",INDEX('設定'!$K$11:$K$34,AZ3)="",INDEX('設定'!$M$11:$R$34,AZ3,AZ2)=""),1,0)</f>
        <v/>
      </c>
      <c r="BA4">
        <f>IF(AND(BA115=1,INDEX('設定'!$M$9:$R$9,BA2)="",INDEX('設定'!$K$11:$K$34,BA3)="",INDEX('設定'!$M$11:$R$34,BA3,BA2)=""),1,0)</f>
        <v/>
      </c>
      <c r="BB4">
        <f>IF(AND(BB115=1,INDEX('設定'!$M$9:$R$9,BB2)="",INDEX('設定'!$K$11:$K$34,BB3)="",INDEX('設定'!$M$11:$R$34,BB3,BB2)=""),1,0)</f>
        <v/>
      </c>
      <c r="BC4">
        <f>IF(AND(BC115=1,INDEX('設定'!$M$9:$R$9,BC2)="",INDEX('設定'!$K$11:$K$34,BC3)="",INDEX('設定'!$M$11:$R$34,BC3,BC2)=""),1,0)</f>
        <v/>
      </c>
      <c r="BD4">
        <f>IF(AND(BD115=1,INDEX('設定'!$M$9:$R$9,BD2)="",INDEX('設定'!$K$11:$K$34,BD3)="",INDEX('設定'!$M$11:$R$34,BD3,BD2)=""),1,0)</f>
        <v/>
      </c>
      <c r="BE4">
        <f>IF(AND(BE115=1,INDEX('設定'!$M$9:$R$9,BE2)="",INDEX('設定'!$K$11:$K$34,BE3)="",INDEX('設定'!$M$11:$R$34,BE3,BE2)=""),1,0)</f>
        <v/>
      </c>
      <c r="BF4">
        <f>IF(AND(BF115=1,INDEX('設定'!$M$9:$R$9,BF2)="",INDEX('設定'!$K$11:$K$34,BF3)="",INDEX('設定'!$M$11:$R$34,BF3,BF2)=""),1,0)</f>
        <v/>
      </c>
      <c r="BG4">
        <f>IF(AND(BG115=1,INDEX('設定'!$M$9:$R$9,BG2)="",INDEX('設定'!$K$11:$K$34,BG3)="",INDEX('設定'!$M$11:$R$34,BG3,BG2)=""),1,0)</f>
        <v/>
      </c>
      <c r="BH4">
        <f>IF(AND(BH115=1,INDEX('設定'!$M$9:$R$9,BH2)="",INDEX('設定'!$K$11:$K$34,BH3)="",INDEX('設定'!$M$11:$R$34,BH3,BH2)=""),1,0)</f>
        <v/>
      </c>
      <c r="BI4">
        <f>IF(AND(BI115=1,INDEX('設定'!$M$9:$R$9,BI2)="",INDEX('設定'!$K$11:$K$34,BI3)="",INDEX('設定'!$M$11:$R$34,BI3,BI2)=""),1,0)</f>
        <v/>
      </c>
      <c r="BJ4">
        <f>IF(AND(BJ115=1,INDEX('設定'!$M$9:$R$9,BJ2)="",INDEX('設定'!$K$11:$K$34,BJ3)="",INDEX('設定'!$M$11:$R$34,BJ3,BJ2)=""),1,0)</f>
        <v/>
      </c>
      <c r="BK4">
        <f>IF(AND(BK115=1,INDEX('設定'!$M$9:$R$9,BK2)="",INDEX('設定'!$K$11:$K$34,BK3)="",INDEX('設定'!$M$11:$R$34,BK3,BK2)=""),1,0)</f>
        <v/>
      </c>
      <c r="BL4">
        <f>IF(AND(BL115=1,INDEX('設定'!$M$9:$R$9,BL2)="",INDEX('設定'!$K$11:$K$34,BL3)="",INDEX('設定'!$M$11:$R$34,BL3,BL2)=""),1,0)</f>
        <v/>
      </c>
      <c r="BM4">
        <f>IF(AND(BM115=1,INDEX('設定'!$M$9:$R$9,BM2)="",INDEX('設定'!$K$11:$K$34,BM3)="",INDEX('設定'!$M$11:$R$34,BM3,BM2)=""),1,0)</f>
        <v/>
      </c>
      <c r="BN4">
        <f>IF(AND(BN115=1,INDEX('設定'!$M$9:$R$9,BN2)="",INDEX('設定'!$K$11:$K$34,BN3)="",INDEX('設定'!$M$11:$R$34,BN3,BN2)=""),1,0)</f>
        <v/>
      </c>
      <c r="BO4">
        <f>IF(AND(BO115=1,INDEX('設定'!$M$9:$R$9,BO2)="",INDEX('設定'!$K$11:$K$34,BO3)="",INDEX('設定'!$M$11:$R$34,BO3,BO2)=""),1,0)</f>
        <v/>
      </c>
      <c r="BP4">
        <f>IF(AND(BP115=1,INDEX('設定'!$M$9:$R$9,BP2)="",INDEX('設定'!$K$11:$K$34,BP3)="",INDEX('設定'!$M$11:$R$34,BP3,BP2)=""),1,0)</f>
        <v/>
      </c>
      <c r="BQ4">
        <f>IF(AND(BQ115=1,INDEX('設定'!$M$9:$R$9,BQ2)="",INDEX('設定'!$K$11:$K$34,BQ3)="",INDEX('設定'!$M$11:$R$34,BQ3,BQ2)=""),1,0)</f>
        <v/>
      </c>
      <c r="BR4">
        <f>IF(AND(BR115=1,INDEX('設定'!$M$9:$R$9,BR2)="",INDEX('設定'!$K$11:$K$34,BR3)="",INDEX('設定'!$M$11:$R$34,BR3,BR2)=""),1,0)</f>
        <v/>
      </c>
      <c r="BS4">
        <f>IF(AND(BS115=1,INDEX('設定'!$M$9:$R$9,BS2)="",INDEX('設定'!$K$11:$K$34,BS3)="",INDEX('設定'!$M$11:$R$34,BS3,BS2)=""),1,0)</f>
        <v/>
      </c>
      <c r="BT4">
        <f>IF(AND(BT115=1,INDEX('設定'!$M$9:$R$9,BT2)="",INDEX('設定'!$K$11:$K$34,BT3)="",INDEX('設定'!$M$11:$R$34,BT3,BT2)=""),1,0)</f>
        <v/>
      </c>
      <c r="BU4">
        <f>IF(AND(BU115=1,INDEX('設定'!$M$9:$R$9,BU2)="",INDEX('設定'!$K$11:$K$34,BU3)="",INDEX('設定'!$M$11:$R$34,BU3,BU2)=""),1,0)</f>
        <v/>
      </c>
      <c r="BV4">
        <f>IF(AND(BV115=1,INDEX('設定'!$M$9:$R$9,BV2)="",INDEX('設定'!$K$11:$K$34,BV3)="",INDEX('設定'!$M$11:$R$34,BV3,BV2)=""),1,0)</f>
        <v/>
      </c>
      <c r="BW4">
        <f>IF(AND(BW115=1,INDEX('設定'!$M$9:$R$9,BW2)="",INDEX('設定'!$K$11:$K$34,BW3)="",INDEX('設定'!$M$11:$R$34,BW3,BW2)=""),1,0)</f>
        <v/>
      </c>
      <c r="BX4">
        <f>IF(AND(BX115=1,INDEX('設定'!$M$9:$R$9,BX2)="",INDEX('設定'!$K$11:$K$34,BX3)="",INDEX('設定'!$M$11:$R$34,BX3,BX2)=""),1,0)</f>
        <v/>
      </c>
      <c r="BY4">
        <f>IF(AND(BY115=1,INDEX('設定'!$M$9:$R$9,BY2)="",INDEX('設定'!$K$11:$K$34,BY3)="",INDEX('設定'!$M$11:$R$34,BY3,BY2)=""),1,0)</f>
        <v/>
      </c>
      <c r="BZ4">
        <f>IF(AND(BZ115=1,INDEX('設定'!$M$9:$R$9,BZ2)="",INDEX('設定'!$K$11:$K$34,BZ3)="",INDEX('設定'!$M$11:$R$34,BZ3,BZ2)=""),1,0)</f>
        <v/>
      </c>
      <c r="CA4">
        <f>IF(AND(CA115=1,INDEX('設定'!$M$9:$R$9,CA2)="",INDEX('設定'!$K$11:$K$34,CA3)="",INDEX('設定'!$M$11:$R$34,CA3,CA2)=""),1,0)</f>
        <v/>
      </c>
      <c r="CB4">
        <f>IF(AND(CB115=1,INDEX('設定'!$M$9:$R$9,CB2)="",INDEX('設定'!$K$11:$K$34,CB3)="",INDEX('設定'!$M$11:$R$34,CB3,CB2)=""),1,0)</f>
        <v/>
      </c>
      <c r="CC4">
        <f>IF(AND(CC115=1,INDEX('設定'!$M$9:$R$9,CC2)="",INDEX('設定'!$K$11:$K$34,CC3)="",INDEX('設定'!$M$11:$R$34,CC3,CC2)=""),1,0)</f>
        <v/>
      </c>
      <c r="CD4">
        <f>IF(AND(CD115=1,INDEX('設定'!$M$9:$R$9,CD2)="",INDEX('設定'!$K$11:$K$34,CD3)="",INDEX('設定'!$M$11:$R$34,CD3,CD2)=""),1,0)</f>
        <v/>
      </c>
      <c r="CE4">
        <f>IF(AND(CE115=1,INDEX('設定'!$M$9:$R$9,CE2)="",INDEX('設定'!$K$11:$K$34,CE3)="",INDEX('設定'!$M$11:$R$34,CE3,CE2)=""),1,0)</f>
        <v/>
      </c>
      <c r="CF4">
        <f>IF(AND(CF115=1,INDEX('設定'!$M$9:$R$9,CF2)="",INDEX('設定'!$K$11:$K$34,CF3)="",INDEX('設定'!$M$11:$R$34,CF3,CF2)=""),1,0)</f>
        <v/>
      </c>
      <c r="CG4">
        <f>IF(AND(CG115=1,INDEX('設定'!$M$9:$R$9,CG2)="",INDEX('設定'!$K$11:$K$34,CG3)="",INDEX('設定'!$M$11:$R$34,CG3,CG2)=""),1,0)</f>
        <v/>
      </c>
      <c r="CH4">
        <f>IF(AND(CH115=1,INDEX('設定'!$M$9:$R$9,CH2)="",INDEX('設定'!$K$11:$K$34,CH3)="",INDEX('設定'!$M$11:$R$34,CH3,CH2)=""),1,0)</f>
        <v/>
      </c>
      <c r="CI4">
        <f>IF(AND(CI115=1,INDEX('設定'!$M$9:$R$9,CI2)="",INDEX('設定'!$K$11:$K$34,CI3)="",INDEX('設定'!$M$11:$R$34,CI3,CI2)=""),1,0)</f>
        <v/>
      </c>
      <c r="CJ4">
        <f>IF(AND(CJ115=1,INDEX('設定'!$M$9:$R$9,CJ2)="",INDEX('設定'!$K$11:$K$34,CJ3)="",INDEX('設定'!$M$11:$R$34,CJ3,CJ2)=""),1,0)</f>
        <v/>
      </c>
      <c r="CK4">
        <f>IF(AND(CK115=1,INDEX('設定'!$M$9:$R$9,CK2)="",INDEX('設定'!$K$11:$K$34,CK3)="",INDEX('設定'!$M$11:$R$34,CK3,CK2)=""),1,0)</f>
        <v/>
      </c>
      <c r="CL4">
        <f>IF(AND(CL115=1,INDEX('設定'!$M$9:$R$9,CL2)="",INDEX('設定'!$K$11:$K$34,CL3)="",INDEX('設定'!$M$11:$R$34,CL3,CL2)=""),1,0)</f>
        <v/>
      </c>
      <c r="CM4">
        <f>IF(AND(CM115=1,INDEX('設定'!$M$9:$R$9,CM2)="",INDEX('設定'!$K$11:$K$34,CM3)="",INDEX('設定'!$M$11:$R$34,CM3,CM2)=""),1,0)</f>
        <v/>
      </c>
      <c r="CN4">
        <f>IF(AND(CN115=1,INDEX('設定'!$M$9:$R$9,CN2)="",INDEX('設定'!$K$11:$K$34,CN3)="",INDEX('設定'!$M$11:$R$34,CN3,CN2)=""),1,0)</f>
        <v/>
      </c>
      <c r="CO4">
        <f>IF(AND(CO115=1,INDEX('設定'!$M$9:$R$9,CO2)="",INDEX('設定'!$K$11:$K$34,CO3)="",INDEX('設定'!$M$11:$R$34,CO3,CO2)=""),1,0)</f>
        <v/>
      </c>
      <c r="CP4">
        <f>IF(AND(CP115=1,INDEX('設定'!$M$9:$R$9,CP2)="",INDEX('設定'!$K$11:$K$34,CP3)="",INDEX('設定'!$M$11:$R$34,CP3,CP2)=""),1,0)</f>
        <v/>
      </c>
      <c r="CQ4">
        <f>IF(AND(CQ115=1,INDEX('設定'!$M$9:$R$9,CQ2)="",INDEX('設定'!$K$11:$K$34,CQ3)="",INDEX('設定'!$M$11:$R$34,CQ3,CQ2)=""),1,0)</f>
        <v/>
      </c>
      <c r="CR4">
        <f>IF(AND(CR115=1,INDEX('設定'!$M$9:$R$9,CR2)="",INDEX('設定'!$K$11:$K$34,CR3)="",INDEX('設定'!$M$11:$R$34,CR3,CR2)=""),1,0)</f>
        <v/>
      </c>
      <c r="CS4">
        <f>IF(AND(CS115=1,INDEX('設定'!$M$9:$R$9,CS2)="",INDEX('設定'!$K$11:$K$34,CS3)="",INDEX('設定'!$M$11:$R$34,CS3,CS2)=""),1,0)</f>
        <v/>
      </c>
      <c r="CT4">
        <f>IF(AND(CT115=1,INDEX('設定'!$M$9:$R$9,CT2)="",INDEX('設定'!$K$11:$K$34,CT3)="",INDEX('設定'!$M$11:$R$34,CT3,CT2)=""),1,0)</f>
        <v/>
      </c>
      <c r="CU4">
        <f>IF(AND(CU115=1,INDEX('設定'!$M$9:$R$9,CU2)="",INDEX('設定'!$K$11:$K$34,CU3)="",INDEX('設定'!$M$11:$R$34,CU3,CU2)=""),1,0)</f>
        <v/>
      </c>
      <c r="CV4">
        <f>IF(AND(CV115=1,INDEX('設定'!$M$9:$R$9,CV2)="",INDEX('設定'!$K$11:$K$34,CV3)="",INDEX('設定'!$M$11:$R$34,CV3,CV2)=""),1,0)</f>
        <v/>
      </c>
      <c r="CW4">
        <f>IF(AND(CW115=1,INDEX('設定'!$M$9:$R$9,CW2)="",INDEX('設定'!$K$11:$K$34,CW3)="",INDEX('設定'!$M$11:$R$34,CW3,CW2)=""),1,0)</f>
        <v/>
      </c>
      <c r="CX4">
        <f>IF(AND(CX115=1,INDEX('設定'!$M$9:$R$9,CX2)="",INDEX('設定'!$K$11:$K$34,CX3)="",INDEX('設定'!$M$11:$R$34,CX3,CX2)=""),1,0)</f>
        <v/>
      </c>
      <c r="CY4">
        <f>IF(AND(CY115=1,INDEX('設定'!$M$9:$R$9,CY2)="",INDEX('設定'!$K$11:$K$34,CY3)="",INDEX('設定'!$M$11:$R$34,CY3,CY2)=""),1,0)</f>
        <v/>
      </c>
      <c r="CZ4">
        <f>IF(AND(CZ115=1,INDEX('設定'!$M$9:$R$9,CZ2)="",INDEX('設定'!$K$11:$K$34,CZ3)="",INDEX('設定'!$M$11:$R$34,CZ3,CZ2)=""),1,0)</f>
        <v/>
      </c>
      <c r="DA4">
        <f>IF(AND(DA115=1,INDEX('設定'!$M$9:$R$9,DA2)="",INDEX('設定'!$K$11:$K$34,DA3)="",INDEX('設定'!$M$11:$R$34,DA3,DA2)=""),1,0)</f>
        <v/>
      </c>
      <c r="DB4">
        <f>IF(AND(DB115=1,INDEX('設定'!$M$9:$R$9,DB2)="",INDEX('設定'!$K$11:$K$34,DB3)="",INDEX('設定'!$M$11:$R$34,DB3,DB2)=""),1,0)</f>
        <v/>
      </c>
      <c r="DC4">
        <f>IF(AND(DC115=1,INDEX('設定'!$M$9:$R$9,DC2)="",INDEX('設定'!$K$11:$K$34,DC3)="",INDEX('設定'!$M$11:$R$34,DC3,DC2)=""),1,0)</f>
        <v/>
      </c>
      <c r="DD4">
        <f>IF(AND(DD115=1,INDEX('設定'!$M$9:$R$9,DD2)="",INDEX('設定'!$K$11:$K$34,DD3)="",INDEX('設定'!$M$11:$R$34,DD3,DD2)=""),1,0)</f>
        <v/>
      </c>
      <c r="DE4">
        <f>IF(AND(DE115=1,INDEX('設定'!$M$9:$R$9,DE2)="",INDEX('設定'!$K$11:$K$34,DE3)="",INDEX('設定'!$M$11:$R$34,DE3,DE2)=""),1,0)</f>
        <v/>
      </c>
      <c r="DF4">
        <f>IF(AND(DF115=1,INDEX('設定'!$M$9:$R$9,DF2)="",INDEX('設定'!$K$11:$K$34,DF3)="",INDEX('設定'!$M$11:$R$34,DF3,DF2)=""),1,0)</f>
        <v/>
      </c>
      <c r="DG4">
        <f>IF(AND(DG115=1,INDEX('設定'!$M$9:$R$9,DG2)="",INDEX('設定'!$K$11:$K$34,DG3)="",INDEX('設定'!$M$11:$R$34,DG3,DG2)=""),1,0)</f>
        <v/>
      </c>
      <c r="DH4">
        <f>IF(AND(DH115=1,INDEX('設定'!$M$9:$R$9,DH2)="",INDEX('設定'!$K$11:$K$34,DH3)="",INDEX('設定'!$M$11:$R$34,DH3,DH2)=""),1,0)</f>
        <v/>
      </c>
      <c r="DI4">
        <f>IF(AND(DI115=1,INDEX('設定'!$M$9:$R$9,DI2)="",INDEX('設定'!$K$11:$K$34,DI3)="",INDEX('設定'!$M$11:$R$34,DI3,DI2)=""),1,0)</f>
        <v/>
      </c>
      <c r="DJ4">
        <f>IF(AND(DJ115=1,INDEX('設定'!$M$9:$R$9,DJ2)="",INDEX('設定'!$K$11:$K$34,DJ3)="",INDEX('設定'!$M$11:$R$34,DJ3,DJ2)=""),1,0)</f>
        <v/>
      </c>
      <c r="DK4">
        <f>IF(AND(DK115=1,INDEX('設定'!$M$9:$R$9,DK2)="",INDEX('設定'!$K$11:$K$34,DK3)="",INDEX('設定'!$M$11:$R$34,DK3,DK2)=""),1,0)</f>
        <v/>
      </c>
      <c r="DL4">
        <f>IF(AND(DL115=1,INDEX('設定'!$M$9:$R$9,DL2)="",INDEX('設定'!$K$11:$K$34,DL3)="",INDEX('設定'!$M$11:$R$34,DL3,DL2)=""),1,0)</f>
        <v/>
      </c>
      <c r="DM4">
        <f>IF(AND(DM115=1,INDEX('設定'!$M$9:$R$9,DM2)="",INDEX('設定'!$K$11:$K$34,DM3)="",INDEX('設定'!$M$11:$R$34,DM3,DM2)=""),1,0)</f>
        <v/>
      </c>
      <c r="DN4">
        <f>IF(AND(DN115=1,INDEX('設定'!$M$9:$R$9,DN2)="",INDEX('設定'!$K$11:$K$34,DN3)="",INDEX('設定'!$M$11:$R$34,DN3,DN2)=""),1,0)</f>
        <v/>
      </c>
      <c r="DO4">
        <f>IF(AND(DO115=1,INDEX('設定'!$M$9:$R$9,DO2)="",INDEX('設定'!$K$11:$K$34,DO3)="",INDEX('設定'!$M$11:$R$34,DO3,DO2)=""),1,0)</f>
        <v/>
      </c>
      <c r="DP4">
        <f>IF(AND(DP115=1,INDEX('設定'!$M$9:$R$9,DP2)="",INDEX('設定'!$K$11:$K$34,DP3)="",INDEX('設定'!$M$11:$R$34,DP3,DP2)=""),1,0)</f>
        <v/>
      </c>
      <c r="DQ4">
        <f>IF(AND(DQ115=1,INDEX('設定'!$M$9:$R$9,DQ2)="",INDEX('設定'!$K$11:$K$34,DQ3)="",INDEX('設定'!$M$11:$R$34,DQ3,DQ2)=""),1,0)</f>
        <v/>
      </c>
      <c r="DR4">
        <f>IF(AND(DR115=1,INDEX('設定'!$M$9:$R$9,DR2)="",INDEX('設定'!$K$11:$K$34,DR3)="",INDEX('設定'!$M$11:$R$34,DR3,DR2)=""),1,0)</f>
        <v/>
      </c>
      <c r="DS4">
        <f>IF(AND(DS115=1,INDEX('設定'!$M$9:$R$9,DS2)="",INDEX('設定'!$K$11:$K$34,DS3)="",INDEX('設定'!$M$11:$R$34,DS3,DS2)=""),1,0)</f>
        <v/>
      </c>
      <c r="DT4">
        <f>IF(AND(DT115=1,INDEX('設定'!$M$9:$R$9,DT2)="",INDEX('設定'!$K$11:$K$34,DT3)="",INDEX('設定'!$M$11:$R$34,DT3,DT2)=""),1,0)</f>
        <v/>
      </c>
      <c r="DU4">
        <f>IF(AND(DU115=1,INDEX('設定'!$M$9:$R$9,DU2)="",INDEX('設定'!$K$11:$K$34,DU3)="",INDEX('設定'!$M$11:$R$34,DU3,DU2)=""),1,0)</f>
        <v/>
      </c>
      <c r="DV4">
        <f>IF(AND(DV115=1,INDEX('設定'!$M$9:$R$9,DV2)="",INDEX('設定'!$K$11:$K$34,DV3)="",INDEX('設定'!$M$11:$R$34,DV3,DV2)=""),1,0)</f>
        <v/>
      </c>
      <c r="DW4">
        <f>IF(AND(DW115=1,INDEX('設定'!$M$9:$R$9,DW2)="",INDEX('設定'!$K$11:$K$34,DW3)="",INDEX('設定'!$M$11:$R$34,DW3,DW2)=""),1,0)</f>
        <v/>
      </c>
      <c r="DX4">
        <f>IF(AND(DX115=1,INDEX('設定'!$M$9:$R$9,DX2)="",INDEX('設定'!$K$11:$K$34,DX3)="",INDEX('設定'!$M$11:$R$34,DX3,DX2)=""),1,0)</f>
        <v/>
      </c>
      <c r="DY4">
        <f>IF(AND(DY115=1,INDEX('設定'!$M$9:$R$9,DY2)="",INDEX('設定'!$K$11:$K$34,DY3)="",INDEX('設定'!$M$11:$R$34,DY3,DY2)=""),1,0)</f>
        <v/>
      </c>
      <c r="DZ4">
        <f>IF(AND(DZ115=1,INDEX('設定'!$M$9:$R$9,DZ2)="",INDEX('設定'!$K$11:$K$34,DZ3)="",INDEX('設定'!$M$11:$R$34,DZ3,DZ2)=""),1,0)</f>
        <v/>
      </c>
      <c r="EA4">
        <f>IF(AND(EA115=1,INDEX('設定'!$M$9:$R$9,EA2)="",INDEX('設定'!$K$11:$K$34,EA3)="",INDEX('設定'!$M$11:$R$34,EA3,EA2)=""),1,0)</f>
        <v/>
      </c>
      <c r="EB4">
        <f>IF(AND(EB115=1,INDEX('設定'!$M$9:$R$9,EB2)="",INDEX('設定'!$K$11:$K$34,EB3)="",INDEX('設定'!$M$11:$R$34,EB3,EB2)=""),1,0)</f>
        <v/>
      </c>
      <c r="EC4">
        <f>IF(AND(EC115=1,INDEX('設定'!$M$9:$R$9,EC2)="",INDEX('設定'!$K$11:$K$34,EC3)="",INDEX('設定'!$M$11:$R$34,EC3,EC2)=""),1,0)</f>
        <v/>
      </c>
      <c r="ED4">
        <f>IF(AND(ED115=1,INDEX('設定'!$M$9:$R$9,ED2)="",INDEX('設定'!$K$11:$K$34,ED3)="",INDEX('設定'!$M$11:$R$34,ED3,ED2)=""),1,0)</f>
        <v/>
      </c>
      <c r="EE4">
        <f>IF(AND(EE115=1,INDEX('設定'!$M$9:$R$9,EE2)="",INDEX('設定'!$K$11:$K$34,EE3)="",INDEX('設定'!$M$11:$R$34,EE3,EE2)=""),1,0)</f>
        <v/>
      </c>
      <c r="EF4">
        <f>IF(AND(EF115=1,INDEX('設定'!$M$9:$R$9,EF2)="",INDEX('設定'!$K$11:$K$34,EF3)="",INDEX('設定'!$M$11:$R$34,EF3,EF2)=""),1,0)</f>
        <v/>
      </c>
      <c r="EG4">
        <f>IF(AND(EG115=1,INDEX('設定'!$M$9:$R$9,EG2)="",INDEX('設定'!$K$11:$K$34,EG3)="",INDEX('設定'!$M$11:$R$34,EG3,EG2)=""),1,0)</f>
        <v/>
      </c>
      <c r="EH4">
        <f>IF(AND(EH115=1,INDEX('設定'!$M$9:$R$9,EH2)="",INDEX('設定'!$K$11:$K$34,EH3)="",INDEX('設定'!$M$11:$R$34,EH3,EH2)=""),1,0)</f>
        <v/>
      </c>
      <c r="EI4">
        <f>IF(AND(EI115=1,INDEX('設定'!$M$9:$R$9,EI2)="",INDEX('設定'!$K$11:$K$34,EI3)="",INDEX('設定'!$M$11:$R$34,EI3,EI2)=""),1,0)</f>
        <v/>
      </c>
      <c r="EJ4">
        <f>IF(AND(EJ115=1,INDEX('設定'!$M$9:$R$9,EJ2)="",INDEX('設定'!$K$11:$K$34,EJ3)="",INDEX('設定'!$M$11:$R$34,EJ3,EJ2)=""),1,0)</f>
        <v/>
      </c>
      <c r="EK4">
        <f>IF(AND(EK115=1,INDEX('設定'!$M$9:$R$9,EK2)="",INDEX('設定'!$K$11:$K$34,EK3)="",INDEX('設定'!$M$11:$R$34,EK3,EK2)=""),1,0)</f>
        <v/>
      </c>
      <c r="EL4">
        <f>IF(AND(EL115=1,INDEX('設定'!$M$9:$R$9,EL2)="",INDEX('設定'!$K$11:$K$34,EL3)="",INDEX('設定'!$M$11:$R$34,EL3,EL2)=""),1,0)</f>
        <v/>
      </c>
      <c r="EM4">
        <f>IF(AND(EM115=1,INDEX('設定'!$M$9:$R$9,EM2)="",INDEX('設定'!$K$11:$K$34,EM3)="",INDEX('設定'!$M$11:$R$34,EM3,EM2)=""),1,0)</f>
        <v/>
      </c>
      <c r="EN4">
        <f>IF(AND(EN115=1,INDEX('設定'!$M$9:$R$9,EN2)="",INDEX('設定'!$K$11:$K$34,EN3)="",INDEX('設定'!$M$11:$R$34,EN3,EN2)=""),1,0)</f>
        <v/>
      </c>
      <c r="EO4">
        <f>IF(AND(EO115=1,INDEX('設定'!$M$9:$R$9,EO2)="",INDEX('設定'!$K$11:$K$34,EO3)="",INDEX('設定'!$M$11:$R$34,EO3,EO2)=""),1,0)</f>
        <v/>
      </c>
      <c r="EP4">
        <f>IF(AND(EP115=1,INDEX('設定'!$M$9:$R$9,EP2)="",INDEX('設定'!$K$11:$K$34,EP3)="",INDEX('設定'!$M$11:$R$34,EP3,EP2)=""),1,0)</f>
        <v/>
      </c>
      <c r="EQ4">
        <f>IF(AND(EQ115=1,INDEX('設定'!$M$9:$R$9,EQ2)="",INDEX('設定'!$K$11:$K$34,EQ3)="",INDEX('設定'!$M$11:$R$34,EQ3,EQ2)=""),1,0)</f>
        <v/>
      </c>
    </row>
    <row r="5">
      <c r="C5" s="93" t="inlineStr">
        <is>
          <t>空けたい</t>
        </is>
      </c>
      <c r="D5">
        <f>IF(OR(INDEX('設定'!$D$11:$D$16,D2)&lt;&gt;"",INDEX('設定'!$H$11:$H$34,D3)&lt;&gt;""),1,0)</f>
        <v/>
      </c>
      <c r="E5">
        <f>IF(OR(INDEX('設定'!$D$11:$D$16,E2)&lt;&gt;"",INDEX('設定'!$H$11:$H$34,E3)&lt;&gt;""),1,0)</f>
        <v/>
      </c>
      <c r="F5">
        <f>IF(OR(INDEX('設定'!$D$11:$D$16,F2)&lt;&gt;"",INDEX('設定'!$H$11:$H$34,F3)&lt;&gt;""),1,0)</f>
        <v/>
      </c>
      <c r="G5">
        <f>IF(OR(INDEX('設定'!$D$11:$D$16,G2)&lt;&gt;"",INDEX('設定'!$H$11:$H$34,G3)&lt;&gt;""),1,0)</f>
        <v/>
      </c>
      <c r="H5">
        <f>IF(OR(INDEX('設定'!$D$11:$D$16,H2)&lt;&gt;"",INDEX('設定'!$H$11:$H$34,H3)&lt;&gt;""),1,0)</f>
        <v/>
      </c>
      <c r="I5">
        <f>IF(OR(INDEX('設定'!$D$11:$D$16,I2)&lt;&gt;"",INDEX('設定'!$H$11:$H$34,I3)&lt;&gt;""),1,0)</f>
        <v/>
      </c>
      <c r="J5">
        <f>IF(OR(INDEX('設定'!$D$11:$D$16,J2)&lt;&gt;"",INDEX('設定'!$H$11:$H$34,J3)&lt;&gt;""),1,0)</f>
        <v/>
      </c>
      <c r="K5">
        <f>IF(OR(INDEX('設定'!$D$11:$D$16,K2)&lt;&gt;"",INDEX('設定'!$H$11:$H$34,K3)&lt;&gt;""),1,0)</f>
        <v/>
      </c>
      <c r="L5">
        <f>IF(OR(INDEX('設定'!$D$11:$D$16,L2)&lt;&gt;"",INDEX('設定'!$H$11:$H$34,L3)&lt;&gt;""),1,0)</f>
        <v/>
      </c>
      <c r="M5">
        <f>IF(OR(INDEX('設定'!$D$11:$D$16,M2)&lt;&gt;"",INDEX('設定'!$H$11:$H$34,M3)&lt;&gt;""),1,0)</f>
        <v/>
      </c>
      <c r="N5">
        <f>IF(OR(INDEX('設定'!$D$11:$D$16,N2)&lt;&gt;"",INDEX('設定'!$H$11:$H$34,N3)&lt;&gt;""),1,0)</f>
        <v/>
      </c>
      <c r="O5">
        <f>IF(OR(INDEX('設定'!$D$11:$D$16,O2)&lt;&gt;"",INDEX('設定'!$H$11:$H$34,O3)&lt;&gt;""),1,0)</f>
        <v/>
      </c>
      <c r="P5">
        <f>IF(OR(INDEX('設定'!$D$11:$D$16,P2)&lt;&gt;"",INDEX('設定'!$H$11:$H$34,P3)&lt;&gt;""),1,0)</f>
        <v/>
      </c>
      <c r="Q5">
        <f>IF(OR(INDEX('設定'!$D$11:$D$16,Q2)&lt;&gt;"",INDEX('設定'!$H$11:$H$34,Q3)&lt;&gt;""),1,0)</f>
        <v/>
      </c>
      <c r="R5">
        <f>IF(OR(INDEX('設定'!$D$11:$D$16,R2)&lt;&gt;"",INDEX('設定'!$H$11:$H$34,R3)&lt;&gt;""),1,0)</f>
        <v/>
      </c>
      <c r="S5">
        <f>IF(OR(INDEX('設定'!$D$11:$D$16,S2)&lt;&gt;"",INDEX('設定'!$H$11:$H$34,S3)&lt;&gt;""),1,0)</f>
        <v/>
      </c>
      <c r="T5">
        <f>IF(OR(INDEX('設定'!$D$11:$D$16,T2)&lt;&gt;"",INDEX('設定'!$H$11:$H$34,T3)&lt;&gt;""),1,0)</f>
        <v/>
      </c>
      <c r="U5">
        <f>IF(OR(INDEX('設定'!$D$11:$D$16,U2)&lt;&gt;"",INDEX('設定'!$H$11:$H$34,U3)&lt;&gt;""),1,0)</f>
        <v/>
      </c>
      <c r="V5">
        <f>IF(OR(INDEX('設定'!$D$11:$D$16,V2)&lt;&gt;"",INDEX('設定'!$H$11:$H$34,V3)&lt;&gt;""),1,0)</f>
        <v/>
      </c>
      <c r="W5">
        <f>IF(OR(INDEX('設定'!$D$11:$D$16,W2)&lt;&gt;"",INDEX('設定'!$H$11:$H$34,W3)&lt;&gt;""),1,0)</f>
        <v/>
      </c>
      <c r="X5">
        <f>IF(OR(INDEX('設定'!$D$11:$D$16,X2)&lt;&gt;"",INDEX('設定'!$H$11:$H$34,X3)&lt;&gt;""),1,0)</f>
        <v/>
      </c>
      <c r="Y5">
        <f>IF(OR(INDEX('設定'!$D$11:$D$16,Y2)&lt;&gt;"",INDEX('設定'!$H$11:$H$34,Y3)&lt;&gt;""),1,0)</f>
        <v/>
      </c>
      <c r="Z5">
        <f>IF(OR(INDEX('設定'!$D$11:$D$16,Z2)&lt;&gt;"",INDEX('設定'!$H$11:$H$34,Z3)&lt;&gt;""),1,0)</f>
        <v/>
      </c>
      <c r="AA5">
        <f>IF(OR(INDEX('設定'!$D$11:$D$16,AA2)&lt;&gt;"",INDEX('設定'!$H$11:$H$34,AA3)&lt;&gt;""),1,0)</f>
        <v/>
      </c>
      <c r="AB5">
        <f>IF(OR(INDEX('設定'!$D$11:$D$16,AB2)&lt;&gt;"",INDEX('設定'!$H$11:$H$34,AB3)&lt;&gt;""),1,0)</f>
        <v/>
      </c>
      <c r="AC5">
        <f>IF(OR(INDEX('設定'!$D$11:$D$16,AC2)&lt;&gt;"",INDEX('設定'!$H$11:$H$34,AC3)&lt;&gt;""),1,0)</f>
        <v/>
      </c>
      <c r="AD5">
        <f>IF(OR(INDEX('設定'!$D$11:$D$16,AD2)&lt;&gt;"",INDEX('設定'!$H$11:$H$34,AD3)&lt;&gt;""),1,0)</f>
        <v/>
      </c>
      <c r="AE5">
        <f>IF(OR(INDEX('設定'!$D$11:$D$16,AE2)&lt;&gt;"",INDEX('設定'!$H$11:$H$34,AE3)&lt;&gt;""),1,0)</f>
        <v/>
      </c>
      <c r="AF5">
        <f>IF(OR(INDEX('設定'!$D$11:$D$16,AF2)&lt;&gt;"",INDEX('設定'!$H$11:$H$34,AF3)&lt;&gt;""),1,0)</f>
        <v/>
      </c>
      <c r="AG5">
        <f>IF(OR(INDEX('設定'!$D$11:$D$16,AG2)&lt;&gt;"",INDEX('設定'!$H$11:$H$34,AG3)&lt;&gt;""),1,0)</f>
        <v/>
      </c>
      <c r="AH5">
        <f>IF(OR(INDEX('設定'!$D$11:$D$16,AH2)&lt;&gt;"",INDEX('設定'!$H$11:$H$34,AH3)&lt;&gt;""),1,0)</f>
        <v/>
      </c>
      <c r="AI5">
        <f>IF(OR(INDEX('設定'!$D$11:$D$16,AI2)&lt;&gt;"",INDEX('設定'!$H$11:$H$34,AI3)&lt;&gt;""),1,0)</f>
        <v/>
      </c>
      <c r="AJ5">
        <f>IF(OR(INDEX('設定'!$D$11:$D$16,AJ2)&lt;&gt;"",INDEX('設定'!$H$11:$H$34,AJ3)&lt;&gt;""),1,0)</f>
        <v/>
      </c>
      <c r="AK5">
        <f>IF(OR(INDEX('設定'!$D$11:$D$16,AK2)&lt;&gt;"",INDEX('設定'!$H$11:$H$34,AK3)&lt;&gt;""),1,0)</f>
        <v/>
      </c>
      <c r="AL5">
        <f>IF(OR(INDEX('設定'!$D$11:$D$16,AL2)&lt;&gt;"",INDEX('設定'!$H$11:$H$34,AL3)&lt;&gt;""),1,0)</f>
        <v/>
      </c>
      <c r="AM5">
        <f>IF(OR(INDEX('設定'!$D$11:$D$16,AM2)&lt;&gt;"",INDEX('設定'!$H$11:$H$34,AM3)&lt;&gt;""),1,0)</f>
        <v/>
      </c>
      <c r="AN5">
        <f>IF(OR(INDEX('設定'!$D$11:$D$16,AN2)&lt;&gt;"",INDEX('設定'!$H$11:$H$34,AN3)&lt;&gt;""),1,0)</f>
        <v/>
      </c>
      <c r="AO5">
        <f>IF(OR(INDEX('設定'!$D$11:$D$16,AO2)&lt;&gt;"",INDEX('設定'!$H$11:$H$34,AO3)&lt;&gt;""),1,0)</f>
        <v/>
      </c>
      <c r="AP5">
        <f>IF(OR(INDEX('設定'!$D$11:$D$16,AP2)&lt;&gt;"",INDEX('設定'!$H$11:$H$34,AP3)&lt;&gt;""),1,0)</f>
        <v/>
      </c>
      <c r="AQ5">
        <f>IF(OR(INDEX('設定'!$D$11:$D$16,AQ2)&lt;&gt;"",INDEX('設定'!$H$11:$H$34,AQ3)&lt;&gt;""),1,0)</f>
        <v/>
      </c>
      <c r="AR5">
        <f>IF(OR(INDEX('設定'!$D$11:$D$16,AR2)&lt;&gt;"",INDEX('設定'!$H$11:$H$34,AR3)&lt;&gt;""),1,0)</f>
        <v/>
      </c>
      <c r="AS5">
        <f>IF(OR(INDEX('設定'!$D$11:$D$16,AS2)&lt;&gt;"",INDEX('設定'!$H$11:$H$34,AS3)&lt;&gt;""),1,0)</f>
        <v/>
      </c>
      <c r="AT5">
        <f>IF(OR(INDEX('設定'!$D$11:$D$16,AT2)&lt;&gt;"",INDEX('設定'!$H$11:$H$34,AT3)&lt;&gt;""),1,0)</f>
        <v/>
      </c>
      <c r="AU5">
        <f>IF(OR(INDEX('設定'!$D$11:$D$16,AU2)&lt;&gt;"",INDEX('設定'!$H$11:$H$34,AU3)&lt;&gt;""),1,0)</f>
        <v/>
      </c>
      <c r="AV5">
        <f>IF(OR(INDEX('設定'!$D$11:$D$16,AV2)&lt;&gt;"",INDEX('設定'!$H$11:$H$34,AV3)&lt;&gt;""),1,0)</f>
        <v/>
      </c>
      <c r="AW5">
        <f>IF(OR(INDEX('設定'!$D$11:$D$16,AW2)&lt;&gt;"",INDEX('設定'!$H$11:$H$34,AW3)&lt;&gt;""),1,0)</f>
        <v/>
      </c>
      <c r="AX5">
        <f>IF(OR(INDEX('設定'!$D$11:$D$16,AX2)&lt;&gt;"",INDEX('設定'!$H$11:$H$34,AX3)&lt;&gt;""),1,0)</f>
        <v/>
      </c>
      <c r="AY5">
        <f>IF(OR(INDEX('設定'!$D$11:$D$16,AY2)&lt;&gt;"",INDEX('設定'!$H$11:$H$34,AY3)&lt;&gt;""),1,0)</f>
        <v/>
      </c>
      <c r="AZ5">
        <f>IF(OR(INDEX('設定'!$D$11:$D$16,AZ2)&lt;&gt;"",INDEX('設定'!$H$11:$H$34,AZ3)&lt;&gt;""),1,0)</f>
        <v/>
      </c>
      <c r="BA5">
        <f>IF(OR(INDEX('設定'!$D$11:$D$16,BA2)&lt;&gt;"",INDEX('設定'!$H$11:$H$34,BA3)&lt;&gt;""),1,0)</f>
        <v/>
      </c>
      <c r="BB5">
        <f>IF(OR(INDEX('設定'!$D$11:$D$16,BB2)&lt;&gt;"",INDEX('設定'!$H$11:$H$34,BB3)&lt;&gt;""),1,0)</f>
        <v/>
      </c>
      <c r="BC5">
        <f>IF(OR(INDEX('設定'!$D$11:$D$16,BC2)&lt;&gt;"",INDEX('設定'!$H$11:$H$34,BC3)&lt;&gt;""),1,0)</f>
        <v/>
      </c>
      <c r="BD5">
        <f>IF(OR(INDEX('設定'!$D$11:$D$16,BD2)&lt;&gt;"",INDEX('設定'!$H$11:$H$34,BD3)&lt;&gt;""),1,0)</f>
        <v/>
      </c>
      <c r="BE5">
        <f>IF(OR(INDEX('設定'!$D$11:$D$16,BE2)&lt;&gt;"",INDEX('設定'!$H$11:$H$34,BE3)&lt;&gt;""),1,0)</f>
        <v/>
      </c>
      <c r="BF5">
        <f>IF(OR(INDEX('設定'!$D$11:$D$16,BF2)&lt;&gt;"",INDEX('設定'!$H$11:$H$34,BF3)&lt;&gt;""),1,0)</f>
        <v/>
      </c>
      <c r="BG5">
        <f>IF(OR(INDEX('設定'!$D$11:$D$16,BG2)&lt;&gt;"",INDEX('設定'!$H$11:$H$34,BG3)&lt;&gt;""),1,0)</f>
        <v/>
      </c>
      <c r="BH5">
        <f>IF(OR(INDEX('設定'!$D$11:$D$16,BH2)&lt;&gt;"",INDEX('設定'!$H$11:$H$34,BH3)&lt;&gt;""),1,0)</f>
        <v/>
      </c>
      <c r="BI5">
        <f>IF(OR(INDEX('設定'!$D$11:$D$16,BI2)&lt;&gt;"",INDEX('設定'!$H$11:$H$34,BI3)&lt;&gt;""),1,0)</f>
        <v/>
      </c>
      <c r="BJ5">
        <f>IF(OR(INDEX('設定'!$D$11:$D$16,BJ2)&lt;&gt;"",INDEX('設定'!$H$11:$H$34,BJ3)&lt;&gt;""),1,0)</f>
        <v/>
      </c>
      <c r="BK5">
        <f>IF(OR(INDEX('設定'!$D$11:$D$16,BK2)&lt;&gt;"",INDEX('設定'!$H$11:$H$34,BK3)&lt;&gt;""),1,0)</f>
        <v/>
      </c>
      <c r="BL5">
        <f>IF(OR(INDEX('設定'!$D$11:$D$16,BL2)&lt;&gt;"",INDEX('設定'!$H$11:$H$34,BL3)&lt;&gt;""),1,0)</f>
        <v/>
      </c>
      <c r="BM5">
        <f>IF(OR(INDEX('設定'!$D$11:$D$16,BM2)&lt;&gt;"",INDEX('設定'!$H$11:$H$34,BM3)&lt;&gt;""),1,0)</f>
        <v/>
      </c>
      <c r="BN5">
        <f>IF(OR(INDEX('設定'!$D$11:$D$16,BN2)&lt;&gt;"",INDEX('設定'!$H$11:$H$34,BN3)&lt;&gt;""),1,0)</f>
        <v/>
      </c>
      <c r="BO5">
        <f>IF(OR(INDEX('設定'!$D$11:$D$16,BO2)&lt;&gt;"",INDEX('設定'!$H$11:$H$34,BO3)&lt;&gt;""),1,0)</f>
        <v/>
      </c>
      <c r="BP5">
        <f>IF(OR(INDEX('設定'!$D$11:$D$16,BP2)&lt;&gt;"",INDEX('設定'!$H$11:$H$34,BP3)&lt;&gt;""),1,0)</f>
        <v/>
      </c>
      <c r="BQ5">
        <f>IF(OR(INDEX('設定'!$D$11:$D$16,BQ2)&lt;&gt;"",INDEX('設定'!$H$11:$H$34,BQ3)&lt;&gt;""),1,0)</f>
        <v/>
      </c>
      <c r="BR5">
        <f>IF(OR(INDEX('設定'!$D$11:$D$16,BR2)&lt;&gt;"",INDEX('設定'!$H$11:$H$34,BR3)&lt;&gt;""),1,0)</f>
        <v/>
      </c>
      <c r="BS5">
        <f>IF(OR(INDEX('設定'!$D$11:$D$16,BS2)&lt;&gt;"",INDEX('設定'!$H$11:$H$34,BS3)&lt;&gt;""),1,0)</f>
        <v/>
      </c>
      <c r="BT5">
        <f>IF(OR(INDEX('設定'!$D$11:$D$16,BT2)&lt;&gt;"",INDEX('設定'!$H$11:$H$34,BT3)&lt;&gt;""),1,0)</f>
        <v/>
      </c>
      <c r="BU5">
        <f>IF(OR(INDEX('設定'!$D$11:$D$16,BU2)&lt;&gt;"",INDEX('設定'!$H$11:$H$34,BU3)&lt;&gt;""),1,0)</f>
        <v/>
      </c>
      <c r="BV5">
        <f>IF(OR(INDEX('設定'!$D$11:$D$16,BV2)&lt;&gt;"",INDEX('設定'!$H$11:$H$34,BV3)&lt;&gt;""),1,0)</f>
        <v/>
      </c>
      <c r="BW5">
        <f>IF(OR(INDEX('設定'!$D$11:$D$16,BW2)&lt;&gt;"",INDEX('設定'!$H$11:$H$34,BW3)&lt;&gt;""),1,0)</f>
        <v/>
      </c>
      <c r="BX5">
        <f>IF(OR(INDEX('設定'!$D$11:$D$16,BX2)&lt;&gt;"",INDEX('設定'!$H$11:$H$34,BX3)&lt;&gt;""),1,0)</f>
        <v/>
      </c>
      <c r="BY5">
        <f>IF(OR(INDEX('設定'!$D$11:$D$16,BY2)&lt;&gt;"",INDEX('設定'!$H$11:$H$34,BY3)&lt;&gt;""),1,0)</f>
        <v/>
      </c>
      <c r="BZ5">
        <f>IF(OR(INDEX('設定'!$D$11:$D$16,BZ2)&lt;&gt;"",INDEX('設定'!$H$11:$H$34,BZ3)&lt;&gt;""),1,0)</f>
        <v/>
      </c>
      <c r="CA5">
        <f>IF(OR(INDEX('設定'!$D$11:$D$16,CA2)&lt;&gt;"",INDEX('設定'!$H$11:$H$34,CA3)&lt;&gt;""),1,0)</f>
        <v/>
      </c>
      <c r="CB5">
        <f>IF(OR(INDEX('設定'!$D$11:$D$16,CB2)&lt;&gt;"",INDEX('設定'!$H$11:$H$34,CB3)&lt;&gt;""),1,0)</f>
        <v/>
      </c>
      <c r="CC5">
        <f>IF(OR(INDEX('設定'!$D$11:$D$16,CC2)&lt;&gt;"",INDEX('設定'!$H$11:$H$34,CC3)&lt;&gt;""),1,0)</f>
        <v/>
      </c>
      <c r="CD5">
        <f>IF(OR(INDEX('設定'!$D$11:$D$16,CD2)&lt;&gt;"",INDEX('設定'!$H$11:$H$34,CD3)&lt;&gt;""),1,0)</f>
        <v/>
      </c>
      <c r="CE5">
        <f>IF(OR(INDEX('設定'!$D$11:$D$16,CE2)&lt;&gt;"",INDEX('設定'!$H$11:$H$34,CE3)&lt;&gt;""),1,0)</f>
        <v/>
      </c>
      <c r="CF5">
        <f>IF(OR(INDEX('設定'!$D$11:$D$16,CF2)&lt;&gt;"",INDEX('設定'!$H$11:$H$34,CF3)&lt;&gt;""),1,0)</f>
        <v/>
      </c>
      <c r="CG5">
        <f>IF(OR(INDEX('設定'!$D$11:$D$16,CG2)&lt;&gt;"",INDEX('設定'!$H$11:$H$34,CG3)&lt;&gt;""),1,0)</f>
        <v/>
      </c>
      <c r="CH5">
        <f>IF(OR(INDEX('設定'!$D$11:$D$16,CH2)&lt;&gt;"",INDEX('設定'!$H$11:$H$34,CH3)&lt;&gt;""),1,0)</f>
        <v/>
      </c>
      <c r="CI5">
        <f>IF(OR(INDEX('設定'!$D$11:$D$16,CI2)&lt;&gt;"",INDEX('設定'!$H$11:$H$34,CI3)&lt;&gt;""),1,0)</f>
        <v/>
      </c>
      <c r="CJ5">
        <f>IF(OR(INDEX('設定'!$D$11:$D$16,CJ2)&lt;&gt;"",INDEX('設定'!$H$11:$H$34,CJ3)&lt;&gt;""),1,0)</f>
        <v/>
      </c>
      <c r="CK5">
        <f>IF(OR(INDEX('設定'!$D$11:$D$16,CK2)&lt;&gt;"",INDEX('設定'!$H$11:$H$34,CK3)&lt;&gt;""),1,0)</f>
        <v/>
      </c>
      <c r="CL5">
        <f>IF(OR(INDEX('設定'!$D$11:$D$16,CL2)&lt;&gt;"",INDEX('設定'!$H$11:$H$34,CL3)&lt;&gt;""),1,0)</f>
        <v/>
      </c>
      <c r="CM5">
        <f>IF(OR(INDEX('設定'!$D$11:$D$16,CM2)&lt;&gt;"",INDEX('設定'!$H$11:$H$34,CM3)&lt;&gt;""),1,0)</f>
        <v/>
      </c>
      <c r="CN5">
        <f>IF(OR(INDEX('設定'!$D$11:$D$16,CN2)&lt;&gt;"",INDEX('設定'!$H$11:$H$34,CN3)&lt;&gt;""),1,0)</f>
        <v/>
      </c>
      <c r="CO5">
        <f>IF(OR(INDEX('設定'!$D$11:$D$16,CO2)&lt;&gt;"",INDEX('設定'!$H$11:$H$34,CO3)&lt;&gt;""),1,0)</f>
        <v/>
      </c>
      <c r="CP5">
        <f>IF(OR(INDEX('設定'!$D$11:$D$16,CP2)&lt;&gt;"",INDEX('設定'!$H$11:$H$34,CP3)&lt;&gt;""),1,0)</f>
        <v/>
      </c>
      <c r="CQ5">
        <f>IF(OR(INDEX('設定'!$D$11:$D$16,CQ2)&lt;&gt;"",INDEX('設定'!$H$11:$H$34,CQ3)&lt;&gt;""),1,0)</f>
        <v/>
      </c>
      <c r="CR5">
        <f>IF(OR(INDEX('設定'!$D$11:$D$16,CR2)&lt;&gt;"",INDEX('設定'!$H$11:$H$34,CR3)&lt;&gt;""),1,0)</f>
        <v/>
      </c>
      <c r="CS5">
        <f>IF(OR(INDEX('設定'!$D$11:$D$16,CS2)&lt;&gt;"",INDEX('設定'!$H$11:$H$34,CS3)&lt;&gt;""),1,0)</f>
        <v/>
      </c>
      <c r="CT5">
        <f>IF(OR(INDEX('設定'!$D$11:$D$16,CT2)&lt;&gt;"",INDEX('設定'!$H$11:$H$34,CT3)&lt;&gt;""),1,0)</f>
        <v/>
      </c>
      <c r="CU5">
        <f>IF(OR(INDEX('設定'!$D$11:$D$16,CU2)&lt;&gt;"",INDEX('設定'!$H$11:$H$34,CU3)&lt;&gt;""),1,0)</f>
        <v/>
      </c>
      <c r="CV5">
        <f>IF(OR(INDEX('設定'!$D$11:$D$16,CV2)&lt;&gt;"",INDEX('設定'!$H$11:$H$34,CV3)&lt;&gt;""),1,0)</f>
        <v/>
      </c>
      <c r="CW5">
        <f>IF(OR(INDEX('設定'!$D$11:$D$16,CW2)&lt;&gt;"",INDEX('設定'!$H$11:$H$34,CW3)&lt;&gt;""),1,0)</f>
        <v/>
      </c>
      <c r="CX5">
        <f>IF(OR(INDEX('設定'!$D$11:$D$16,CX2)&lt;&gt;"",INDEX('設定'!$H$11:$H$34,CX3)&lt;&gt;""),1,0)</f>
        <v/>
      </c>
      <c r="CY5">
        <f>IF(OR(INDEX('設定'!$D$11:$D$16,CY2)&lt;&gt;"",INDEX('設定'!$H$11:$H$34,CY3)&lt;&gt;""),1,0)</f>
        <v/>
      </c>
      <c r="CZ5">
        <f>IF(OR(INDEX('設定'!$D$11:$D$16,CZ2)&lt;&gt;"",INDEX('設定'!$H$11:$H$34,CZ3)&lt;&gt;""),1,0)</f>
        <v/>
      </c>
      <c r="DA5">
        <f>IF(OR(INDEX('設定'!$D$11:$D$16,DA2)&lt;&gt;"",INDEX('設定'!$H$11:$H$34,DA3)&lt;&gt;""),1,0)</f>
        <v/>
      </c>
      <c r="DB5">
        <f>IF(OR(INDEX('設定'!$D$11:$D$16,DB2)&lt;&gt;"",INDEX('設定'!$H$11:$H$34,DB3)&lt;&gt;""),1,0)</f>
        <v/>
      </c>
      <c r="DC5">
        <f>IF(OR(INDEX('設定'!$D$11:$D$16,DC2)&lt;&gt;"",INDEX('設定'!$H$11:$H$34,DC3)&lt;&gt;""),1,0)</f>
        <v/>
      </c>
      <c r="DD5">
        <f>IF(OR(INDEX('設定'!$D$11:$D$16,DD2)&lt;&gt;"",INDEX('設定'!$H$11:$H$34,DD3)&lt;&gt;""),1,0)</f>
        <v/>
      </c>
      <c r="DE5">
        <f>IF(OR(INDEX('設定'!$D$11:$D$16,DE2)&lt;&gt;"",INDEX('設定'!$H$11:$H$34,DE3)&lt;&gt;""),1,0)</f>
        <v/>
      </c>
      <c r="DF5">
        <f>IF(OR(INDEX('設定'!$D$11:$D$16,DF2)&lt;&gt;"",INDEX('設定'!$H$11:$H$34,DF3)&lt;&gt;""),1,0)</f>
        <v/>
      </c>
      <c r="DG5">
        <f>IF(OR(INDEX('設定'!$D$11:$D$16,DG2)&lt;&gt;"",INDEX('設定'!$H$11:$H$34,DG3)&lt;&gt;""),1,0)</f>
        <v/>
      </c>
      <c r="DH5">
        <f>IF(OR(INDEX('設定'!$D$11:$D$16,DH2)&lt;&gt;"",INDEX('設定'!$H$11:$H$34,DH3)&lt;&gt;""),1,0)</f>
        <v/>
      </c>
      <c r="DI5">
        <f>IF(OR(INDEX('設定'!$D$11:$D$16,DI2)&lt;&gt;"",INDEX('設定'!$H$11:$H$34,DI3)&lt;&gt;""),1,0)</f>
        <v/>
      </c>
      <c r="DJ5">
        <f>IF(OR(INDEX('設定'!$D$11:$D$16,DJ2)&lt;&gt;"",INDEX('設定'!$H$11:$H$34,DJ3)&lt;&gt;""),1,0)</f>
        <v/>
      </c>
      <c r="DK5">
        <f>IF(OR(INDEX('設定'!$D$11:$D$16,DK2)&lt;&gt;"",INDEX('設定'!$H$11:$H$34,DK3)&lt;&gt;""),1,0)</f>
        <v/>
      </c>
      <c r="DL5">
        <f>IF(OR(INDEX('設定'!$D$11:$D$16,DL2)&lt;&gt;"",INDEX('設定'!$H$11:$H$34,DL3)&lt;&gt;""),1,0)</f>
        <v/>
      </c>
      <c r="DM5">
        <f>IF(OR(INDEX('設定'!$D$11:$D$16,DM2)&lt;&gt;"",INDEX('設定'!$H$11:$H$34,DM3)&lt;&gt;""),1,0)</f>
        <v/>
      </c>
      <c r="DN5">
        <f>IF(OR(INDEX('設定'!$D$11:$D$16,DN2)&lt;&gt;"",INDEX('設定'!$H$11:$H$34,DN3)&lt;&gt;""),1,0)</f>
        <v/>
      </c>
      <c r="DO5">
        <f>IF(OR(INDEX('設定'!$D$11:$D$16,DO2)&lt;&gt;"",INDEX('設定'!$H$11:$H$34,DO3)&lt;&gt;""),1,0)</f>
        <v/>
      </c>
      <c r="DP5">
        <f>IF(OR(INDEX('設定'!$D$11:$D$16,DP2)&lt;&gt;"",INDEX('設定'!$H$11:$H$34,DP3)&lt;&gt;""),1,0)</f>
        <v/>
      </c>
      <c r="DQ5">
        <f>IF(OR(INDEX('設定'!$D$11:$D$16,DQ2)&lt;&gt;"",INDEX('設定'!$H$11:$H$34,DQ3)&lt;&gt;""),1,0)</f>
        <v/>
      </c>
      <c r="DR5">
        <f>IF(OR(INDEX('設定'!$D$11:$D$16,DR2)&lt;&gt;"",INDEX('設定'!$H$11:$H$34,DR3)&lt;&gt;""),1,0)</f>
        <v/>
      </c>
      <c r="DS5">
        <f>IF(OR(INDEX('設定'!$D$11:$D$16,DS2)&lt;&gt;"",INDEX('設定'!$H$11:$H$34,DS3)&lt;&gt;""),1,0)</f>
        <v/>
      </c>
      <c r="DT5">
        <f>IF(OR(INDEX('設定'!$D$11:$D$16,DT2)&lt;&gt;"",INDEX('設定'!$H$11:$H$34,DT3)&lt;&gt;""),1,0)</f>
        <v/>
      </c>
      <c r="DU5">
        <f>IF(OR(INDEX('設定'!$D$11:$D$16,DU2)&lt;&gt;"",INDEX('設定'!$H$11:$H$34,DU3)&lt;&gt;""),1,0)</f>
        <v/>
      </c>
      <c r="DV5">
        <f>IF(OR(INDEX('設定'!$D$11:$D$16,DV2)&lt;&gt;"",INDEX('設定'!$H$11:$H$34,DV3)&lt;&gt;""),1,0)</f>
        <v/>
      </c>
      <c r="DW5">
        <f>IF(OR(INDEX('設定'!$D$11:$D$16,DW2)&lt;&gt;"",INDEX('設定'!$H$11:$H$34,DW3)&lt;&gt;""),1,0)</f>
        <v/>
      </c>
      <c r="DX5">
        <f>IF(OR(INDEX('設定'!$D$11:$D$16,DX2)&lt;&gt;"",INDEX('設定'!$H$11:$H$34,DX3)&lt;&gt;""),1,0)</f>
        <v/>
      </c>
      <c r="DY5">
        <f>IF(OR(INDEX('設定'!$D$11:$D$16,DY2)&lt;&gt;"",INDEX('設定'!$H$11:$H$34,DY3)&lt;&gt;""),1,0)</f>
        <v/>
      </c>
      <c r="DZ5">
        <f>IF(OR(INDEX('設定'!$D$11:$D$16,DZ2)&lt;&gt;"",INDEX('設定'!$H$11:$H$34,DZ3)&lt;&gt;""),1,0)</f>
        <v/>
      </c>
      <c r="EA5">
        <f>IF(OR(INDEX('設定'!$D$11:$D$16,EA2)&lt;&gt;"",INDEX('設定'!$H$11:$H$34,EA3)&lt;&gt;""),1,0)</f>
        <v/>
      </c>
      <c r="EB5">
        <f>IF(OR(INDEX('設定'!$D$11:$D$16,EB2)&lt;&gt;"",INDEX('設定'!$H$11:$H$34,EB3)&lt;&gt;""),1,0)</f>
        <v/>
      </c>
      <c r="EC5">
        <f>IF(OR(INDEX('設定'!$D$11:$D$16,EC2)&lt;&gt;"",INDEX('設定'!$H$11:$H$34,EC3)&lt;&gt;""),1,0)</f>
        <v/>
      </c>
      <c r="ED5">
        <f>IF(OR(INDEX('設定'!$D$11:$D$16,ED2)&lt;&gt;"",INDEX('設定'!$H$11:$H$34,ED3)&lt;&gt;""),1,0)</f>
        <v/>
      </c>
      <c r="EE5">
        <f>IF(OR(INDEX('設定'!$D$11:$D$16,EE2)&lt;&gt;"",INDEX('設定'!$H$11:$H$34,EE3)&lt;&gt;""),1,0)</f>
        <v/>
      </c>
      <c r="EF5">
        <f>IF(OR(INDEX('設定'!$D$11:$D$16,EF2)&lt;&gt;"",INDEX('設定'!$H$11:$H$34,EF3)&lt;&gt;""),1,0)</f>
        <v/>
      </c>
      <c r="EG5">
        <f>IF(OR(INDEX('設定'!$D$11:$D$16,EG2)&lt;&gt;"",INDEX('設定'!$H$11:$H$34,EG3)&lt;&gt;""),1,0)</f>
        <v/>
      </c>
      <c r="EH5">
        <f>IF(OR(INDEX('設定'!$D$11:$D$16,EH2)&lt;&gt;"",INDEX('設定'!$H$11:$H$34,EH3)&lt;&gt;""),1,0)</f>
        <v/>
      </c>
      <c r="EI5">
        <f>IF(OR(INDEX('設定'!$D$11:$D$16,EI2)&lt;&gt;"",INDEX('設定'!$H$11:$H$34,EI3)&lt;&gt;""),1,0)</f>
        <v/>
      </c>
      <c r="EJ5">
        <f>IF(OR(INDEX('設定'!$D$11:$D$16,EJ2)&lt;&gt;"",INDEX('設定'!$H$11:$H$34,EJ3)&lt;&gt;""),1,0)</f>
        <v/>
      </c>
      <c r="EK5">
        <f>IF(OR(INDEX('設定'!$D$11:$D$16,EK2)&lt;&gt;"",INDEX('設定'!$H$11:$H$34,EK3)&lt;&gt;""),1,0)</f>
        <v/>
      </c>
      <c r="EL5">
        <f>IF(OR(INDEX('設定'!$D$11:$D$16,EL2)&lt;&gt;"",INDEX('設定'!$H$11:$H$34,EL3)&lt;&gt;""),1,0)</f>
        <v/>
      </c>
      <c r="EM5">
        <f>IF(OR(INDEX('設定'!$D$11:$D$16,EM2)&lt;&gt;"",INDEX('設定'!$H$11:$H$34,EM3)&lt;&gt;""),1,0)</f>
        <v/>
      </c>
      <c r="EN5">
        <f>IF(OR(INDEX('設定'!$D$11:$D$16,EN2)&lt;&gt;"",INDEX('設定'!$H$11:$H$34,EN3)&lt;&gt;""),1,0)</f>
        <v/>
      </c>
      <c r="EO5">
        <f>IF(OR(INDEX('設定'!$D$11:$D$16,EO2)&lt;&gt;"",INDEX('設定'!$H$11:$H$34,EO3)&lt;&gt;""),1,0)</f>
        <v/>
      </c>
      <c r="EP5">
        <f>IF(OR(INDEX('設定'!$D$11:$D$16,EP2)&lt;&gt;"",INDEX('設定'!$H$11:$H$34,EP3)&lt;&gt;""),1,0)</f>
        <v/>
      </c>
      <c r="EQ5">
        <f>IF(OR(INDEX('設定'!$D$11:$D$16,EQ2)&lt;&gt;"",INDEX('設定'!$H$11:$H$34,EQ3)&lt;&gt;""),1,0)</f>
        <v/>
      </c>
    </row>
    <row r="6">
      <c r="C6" s="93" t="inlineStr">
        <is>
          <t>優先順</t>
        </is>
      </c>
      <c r="D6">
        <f>IF(LEFT('設定'!$B$8,3)="日付順",(D2-1)*24+D3,(D3-1)*6+D2)+D5*10000</f>
        <v/>
      </c>
      <c r="E6">
        <f>IF(LEFT('設定'!$B$8,3)="日付順",(E2-1)*24+E3,(E3-1)*6+E2)+E5*10000</f>
        <v/>
      </c>
      <c r="F6">
        <f>IF(LEFT('設定'!$B$8,3)="日付順",(F2-1)*24+F3,(F3-1)*6+F2)+F5*10000</f>
        <v/>
      </c>
      <c r="G6">
        <f>IF(LEFT('設定'!$B$8,3)="日付順",(G2-1)*24+G3,(G3-1)*6+G2)+G5*10000</f>
        <v/>
      </c>
      <c r="H6">
        <f>IF(LEFT('設定'!$B$8,3)="日付順",(H2-1)*24+H3,(H3-1)*6+H2)+H5*10000</f>
        <v/>
      </c>
      <c r="I6">
        <f>IF(LEFT('設定'!$B$8,3)="日付順",(I2-1)*24+I3,(I3-1)*6+I2)+I5*10000</f>
        <v/>
      </c>
      <c r="J6">
        <f>IF(LEFT('設定'!$B$8,3)="日付順",(J2-1)*24+J3,(J3-1)*6+J2)+J5*10000</f>
        <v/>
      </c>
      <c r="K6">
        <f>IF(LEFT('設定'!$B$8,3)="日付順",(K2-1)*24+K3,(K3-1)*6+K2)+K5*10000</f>
        <v/>
      </c>
      <c r="L6">
        <f>IF(LEFT('設定'!$B$8,3)="日付順",(L2-1)*24+L3,(L3-1)*6+L2)+L5*10000</f>
        <v/>
      </c>
      <c r="M6">
        <f>IF(LEFT('設定'!$B$8,3)="日付順",(M2-1)*24+M3,(M3-1)*6+M2)+M5*10000</f>
        <v/>
      </c>
      <c r="N6">
        <f>IF(LEFT('設定'!$B$8,3)="日付順",(N2-1)*24+N3,(N3-1)*6+N2)+N5*10000</f>
        <v/>
      </c>
      <c r="O6">
        <f>IF(LEFT('設定'!$B$8,3)="日付順",(O2-1)*24+O3,(O3-1)*6+O2)+O5*10000</f>
        <v/>
      </c>
      <c r="P6">
        <f>IF(LEFT('設定'!$B$8,3)="日付順",(P2-1)*24+P3,(P3-1)*6+P2)+P5*10000</f>
        <v/>
      </c>
      <c r="Q6">
        <f>IF(LEFT('設定'!$B$8,3)="日付順",(Q2-1)*24+Q3,(Q3-1)*6+Q2)+Q5*10000</f>
        <v/>
      </c>
      <c r="R6">
        <f>IF(LEFT('設定'!$B$8,3)="日付順",(R2-1)*24+R3,(R3-1)*6+R2)+R5*10000</f>
        <v/>
      </c>
      <c r="S6">
        <f>IF(LEFT('設定'!$B$8,3)="日付順",(S2-1)*24+S3,(S3-1)*6+S2)+S5*10000</f>
        <v/>
      </c>
      <c r="T6">
        <f>IF(LEFT('設定'!$B$8,3)="日付順",(T2-1)*24+T3,(T3-1)*6+T2)+T5*10000</f>
        <v/>
      </c>
      <c r="U6">
        <f>IF(LEFT('設定'!$B$8,3)="日付順",(U2-1)*24+U3,(U3-1)*6+U2)+U5*10000</f>
        <v/>
      </c>
      <c r="V6">
        <f>IF(LEFT('設定'!$B$8,3)="日付順",(V2-1)*24+V3,(V3-1)*6+V2)+V5*10000</f>
        <v/>
      </c>
      <c r="W6">
        <f>IF(LEFT('設定'!$B$8,3)="日付順",(W2-1)*24+W3,(W3-1)*6+W2)+W5*10000</f>
        <v/>
      </c>
      <c r="X6">
        <f>IF(LEFT('設定'!$B$8,3)="日付順",(X2-1)*24+X3,(X3-1)*6+X2)+X5*10000</f>
        <v/>
      </c>
      <c r="Y6">
        <f>IF(LEFT('設定'!$B$8,3)="日付順",(Y2-1)*24+Y3,(Y3-1)*6+Y2)+Y5*10000</f>
        <v/>
      </c>
      <c r="Z6">
        <f>IF(LEFT('設定'!$B$8,3)="日付順",(Z2-1)*24+Z3,(Z3-1)*6+Z2)+Z5*10000</f>
        <v/>
      </c>
      <c r="AA6">
        <f>IF(LEFT('設定'!$B$8,3)="日付順",(AA2-1)*24+AA3,(AA3-1)*6+AA2)+AA5*10000</f>
        <v/>
      </c>
      <c r="AB6">
        <f>IF(LEFT('設定'!$B$8,3)="日付順",(AB2-1)*24+AB3,(AB3-1)*6+AB2)+AB5*10000</f>
        <v/>
      </c>
      <c r="AC6">
        <f>IF(LEFT('設定'!$B$8,3)="日付順",(AC2-1)*24+AC3,(AC3-1)*6+AC2)+AC5*10000</f>
        <v/>
      </c>
      <c r="AD6">
        <f>IF(LEFT('設定'!$B$8,3)="日付順",(AD2-1)*24+AD3,(AD3-1)*6+AD2)+AD5*10000</f>
        <v/>
      </c>
      <c r="AE6">
        <f>IF(LEFT('設定'!$B$8,3)="日付順",(AE2-1)*24+AE3,(AE3-1)*6+AE2)+AE5*10000</f>
        <v/>
      </c>
      <c r="AF6">
        <f>IF(LEFT('設定'!$B$8,3)="日付順",(AF2-1)*24+AF3,(AF3-1)*6+AF2)+AF5*10000</f>
        <v/>
      </c>
      <c r="AG6">
        <f>IF(LEFT('設定'!$B$8,3)="日付順",(AG2-1)*24+AG3,(AG3-1)*6+AG2)+AG5*10000</f>
        <v/>
      </c>
      <c r="AH6">
        <f>IF(LEFT('設定'!$B$8,3)="日付順",(AH2-1)*24+AH3,(AH3-1)*6+AH2)+AH5*10000</f>
        <v/>
      </c>
      <c r="AI6">
        <f>IF(LEFT('設定'!$B$8,3)="日付順",(AI2-1)*24+AI3,(AI3-1)*6+AI2)+AI5*10000</f>
        <v/>
      </c>
      <c r="AJ6">
        <f>IF(LEFT('設定'!$B$8,3)="日付順",(AJ2-1)*24+AJ3,(AJ3-1)*6+AJ2)+AJ5*10000</f>
        <v/>
      </c>
      <c r="AK6">
        <f>IF(LEFT('設定'!$B$8,3)="日付順",(AK2-1)*24+AK3,(AK3-1)*6+AK2)+AK5*10000</f>
        <v/>
      </c>
      <c r="AL6">
        <f>IF(LEFT('設定'!$B$8,3)="日付順",(AL2-1)*24+AL3,(AL3-1)*6+AL2)+AL5*10000</f>
        <v/>
      </c>
      <c r="AM6">
        <f>IF(LEFT('設定'!$B$8,3)="日付順",(AM2-1)*24+AM3,(AM3-1)*6+AM2)+AM5*10000</f>
        <v/>
      </c>
      <c r="AN6">
        <f>IF(LEFT('設定'!$B$8,3)="日付順",(AN2-1)*24+AN3,(AN3-1)*6+AN2)+AN5*10000</f>
        <v/>
      </c>
      <c r="AO6">
        <f>IF(LEFT('設定'!$B$8,3)="日付順",(AO2-1)*24+AO3,(AO3-1)*6+AO2)+AO5*10000</f>
        <v/>
      </c>
      <c r="AP6">
        <f>IF(LEFT('設定'!$B$8,3)="日付順",(AP2-1)*24+AP3,(AP3-1)*6+AP2)+AP5*10000</f>
        <v/>
      </c>
      <c r="AQ6">
        <f>IF(LEFT('設定'!$B$8,3)="日付順",(AQ2-1)*24+AQ3,(AQ3-1)*6+AQ2)+AQ5*10000</f>
        <v/>
      </c>
      <c r="AR6">
        <f>IF(LEFT('設定'!$B$8,3)="日付順",(AR2-1)*24+AR3,(AR3-1)*6+AR2)+AR5*10000</f>
        <v/>
      </c>
      <c r="AS6">
        <f>IF(LEFT('設定'!$B$8,3)="日付順",(AS2-1)*24+AS3,(AS3-1)*6+AS2)+AS5*10000</f>
        <v/>
      </c>
      <c r="AT6">
        <f>IF(LEFT('設定'!$B$8,3)="日付順",(AT2-1)*24+AT3,(AT3-1)*6+AT2)+AT5*10000</f>
        <v/>
      </c>
      <c r="AU6">
        <f>IF(LEFT('設定'!$B$8,3)="日付順",(AU2-1)*24+AU3,(AU3-1)*6+AU2)+AU5*10000</f>
        <v/>
      </c>
      <c r="AV6">
        <f>IF(LEFT('設定'!$B$8,3)="日付順",(AV2-1)*24+AV3,(AV3-1)*6+AV2)+AV5*10000</f>
        <v/>
      </c>
      <c r="AW6">
        <f>IF(LEFT('設定'!$B$8,3)="日付順",(AW2-1)*24+AW3,(AW3-1)*6+AW2)+AW5*10000</f>
        <v/>
      </c>
      <c r="AX6">
        <f>IF(LEFT('設定'!$B$8,3)="日付順",(AX2-1)*24+AX3,(AX3-1)*6+AX2)+AX5*10000</f>
        <v/>
      </c>
      <c r="AY6">
        <f>IF(LEFT('設定'!$B$8,3)="日付順",(AY2-1)*24+AY3,(AY3-1)*6+AY2)+AY5*10000</f>
        <v/>
      </c>
      <c r="AZ6">
        <f>IF(LEFT('設定'!$B$8,3)="日付順",(AZ2-1)*24+AZ3,(AZ3-1)*6+AZ2)+AZ5*10000</f>
        <v/>
      </c>
      <c r="BA6">
        <f>IF(LEFT('設定'!$B$8,3)="日付順",(BA2-1)*24+BA3,(BA3-1)*6+BA2)+BA5*10000</f>
        <v/>
      </c>
      <c r="BB6">
        <f>IF(LEFT('設定'!$B$8,3)="日付順",(BB2-1)*24+BB3,(BB3-1)*6+BB2)+BB5*10000</f>
        <v/>
      </c>
      <c r="BC6">
        <f>IF(LEFT('設定'!$B$8,3)="日付順",(BC2-1)*24+BC3,(BC3-1)*6+BC2)+BC5*10000</f>
        <v/>
      </c>
      <c r="BD6">
        <f>IF(LEFT('設定'!$B$8,3)="日付順",(BD2-1)*24+BD3,(BD3-1)*6+BD2)+BD5*10000</f>
        <v/>
      </c>
      <c r="BE6">
        <f>IF(LEFT('設定'!$B$8,3)="日付順",(BE2-1)*24+BE3,(BE3-1)*6+BE2)+BE5*10000</f>
        <v/>
      </c>
      <c r="BF6">
        <f>IF(LEFT('設定'!$B$8,3)="日付順",(BF2-1)*24+BF3,(BF3-1)*6+BF2)+BF5*10000</f>
        <v/>
      </c>
      <c r="BG6">
        <f>IF(LEFT('設定'!$B$8,3)="日付順",(BG2-1)*24+BG3,(BG3-1)*6+BG2)+BG5*10000</f>
        <v/>
      </c>
      <c r="BH6">
        <f>IF(LEFT('設定'!$B$8,3)="日付順",(BH2-1)*24+BH3,(BH3-1)*6+BH2)+BH5*10000</f>
        <v/>
      </c>
      <c r="BI6">
        <f>IF(LEFT('設定'!$B$8,3)="日付順",(BI2-1)*24+BI3,(BI3-1)*6+BI2)+BI5*10000</f>
        <v/>
      </c>
      <c r="BJ6">
        <f>IF(LEFT('設定'!$B$8,3)="日付順",(BJ2-1)*24+BJ3,(BJ3-1)*6+BJ2)+BJ5*10000</f>
        <v/>
      </c>
      <c r="BK6">
        <f>IF(LEFT('設定'!$B$8,3)="日付順",(BK2-1)*24+BK3,(BK3-1)*6+BK2)+BK5*10000</f>
        <v/>
      </c>
      <c r="BL6">
        <f>IF(LEFT('設定'!$B$8,3)="日付順",(BL2-1)*24+BL3,(BL3-1)*6+BL2)+BL5*10000</f>
        <v/>
      </c>
      <c r="BM6">
        <f>IF(LEFT('設定'!$B$8,3)="日付順",(BM2-1)*24+BM3,(BM3-1)*6+BM2)+BM5*10000</f>
        <v/>
      </c>
      <c r="BN6">
        <f>IF(LEFT('設定'!$B$8,3)="日付順",(BN2-1)*24+BN3,(BN3-1)*6+BN2)+BN5*10000</f>
        <v/>
      </c>
      <c r="BO6">
        <f>IF(LEFT('設定'!$B$8,3)="日付順",(BO2-1)*24+BO3,(BO3-1)*6+BO2)+BO5*10000</f>
        <v/>
      </c>
      <c r="BP6">
        <f>IF(LEFT('設定'!$B$8,3)="日付順",(BP2-1)*24+BP3,(BP3-1)*6+BP2)+BP5*10000</f>
        <v/>
      </c>
      <c r="BQ6">
        <f>IF(LEFT('設定'!$B$8,3)="日付順",(BQ2-1)*24+BQ3,(BQ3-1)*6+BQ2)+BQ5*10000</f>
        <v/>
      </c>
      <c r="BR6">
        <f>IF(LEFT('設定'!$B$8,3)="日付順",(BR2-1)*24+BR3,(BR3-1)*6+BR2)+BR5*10000</f>
        <v/>
      </c>
      <c r="BS6">
        <f>IF(LEFT('設定'!$B$8,3)="日付順",(BS2-1)*24+BS3,(BS3-1)*6+BS2)+BS5*10000</f>
        <v/>
      </c>
      <c r="BT6">
        <f>IF(LEFT('設定'!$B$8,3)="日付順",(BT2-1)*24+BT3,(BT3-1)*6+BT2)+BT5*10000</f>
        <v/>
      </c>
      <c r="BU6">
        <f>IF(LEFT('設定'!$B$8,3)="日付順",(BU2-1)*24+BU3,(BU3-1)*6+BU2)+BU5*10000</f>
        <v/>
      </c>
      <c r="BV6">
        <f>IF(LEFT('設定'!$B$8,3)="日付順",(BV2-1)*24+BV3,(BV3-1)*6+BV2)+BV5*10000</f>
        <v/>
      </c>
      <c r="BW6">
        <f>IF(LEFT('設定'!$B$8,3)="日付順",(BW2-1)*24+BW3,(BW3-1)*6+BW2)+BW5*10000</f>
        <v/>
      </c>
      <c r="BX6">
        <f>IF(LEFT('設定'!$B$8,3)="日付順",(BX2-1)*24+BX3,(BX3-1)*6+BX2)+BX5*10000</f>
        <v/>
      </c>
      <c r="BY6">
        <f>IF(LEFT('設定'!$B$8,3)="日付順",(BY2-1)*24+BY3,(BY3-1)*6+BY2)+BY5*10000</f>
        <v/>
      </c>
      <c r="BZ6">
        <f>IF(LEFT('設定'!$B$8,3)="日付順",(BZ2-1)*24+BZ3,(BZ3-1)*6+BZ2)+BZ5*10000</f>
        <v/>
      </c>
      <c r="CA6">
        <f>IF(LEFT('設定'!$B$8,3)="日付順",(CA2-1)*24+CA3,(CA3-1)*6+CA2)+CA5*10000</f>
        <v/>
      </c>
      <c r="CB6">
        <f>IF(LEFT('設定'!$B$8,3)="日付順",(CB2-1)*24+CB3,(CB3-1)*6+CB2)+CB5*10000</f>
        <v/>
      </c>
      <c r="CC6">
        <f>IF(LEFT('設定'!$B$8,3)="日付順",(CC2-1)*24+CC3,(CC3-1)*6+CC2)+CC5*10000</f>
        <v/>
      </c>
      <c r="CD6">
        <f>IF(LEFT('設定'!$B$8,3)="日付順",(CD2-1)*24+CD3,(CD3-1)*6+CD2)+CD5*10000</f>
        <v/>
      </c>
      <c r="CE6">
        <f>IF(LEFT('設定'!$B$8,3)="日付順",(CE2-1)*24+CE3,(CE3-1)*6+CE2)+CE5*10000</f>
        <v/>
      </c>
      <c r="CF6">
        <f>IF(LEFT('設定'!$B$8,3)="日付順",(CF2-1)*24+CF3,(CF3-1)*6+CF2)+CF5*10000</f>
        <v/>
      </c>
      <c r="CG6">
        <f>IF(LEFT('設定'!$B$8,3)="日付順",(CG2-1)*24+CG3,(CG3-1)*6+CG2)+CG5*10000</f>
        <v/>
      </c>
      <c r="CH6">
        <f>IF(LEFT('設定'!$B$8,3)="日付順",(CH2-1)*24+CH3,(CH3-1)*6+CH2)+CH5*10000</f>
        <v/>
      </c>
      <c r="CI6">
        <f>IF(LEFT('設定'!$B$8,3)="日付順",(CI2-1)*24+CI3,(CI3-1)*6+CI2)+CI5*10000</f>
        <v/>
      </c>
      <c r="CJ6">
        <f>IF(LEFT('設定'!$B$8,3)="日付順",(CJ2-1)*24+CJ3,(CJ3-1)*6+CJ2)+CJ5*10000</f>
        <v/>
      </c>
      <c r="CK6">
        <f>IF(LEFT('設定'!$B$8,3)="日付順",(CK2-1)*24+CK3,(CK3-1)*6+CK2)+CK5*10000</f>
        <v/>
      </c>
      <c r="CL6">
        <f>IF(LEFT('設定'!$B$8,3)="日付順",(CL2-1)*24+CL3,(CL3-1)*6+CL2)+CL5*10000</f>
        <v/>
      </c>
      <c r="CM6">
        <f>IF(LEFT('設定'!$B$8,3)="日付順",(CM2-1)*24+CM3,(CM3-1)*6+CM2)+CM5*10000</f>
        <v/>
      </c>
      <c r="CN6">
        <f>IF(LEFT('設定'!$B$8,3)="日付順",(CN2-1)*24+CN3,(CN3-1)*6+CN2)+CN5*10000</f>
        <v/>
      </c>
      <c r="CO6">
        <f>IF(LEFT('設定'!$B$8,3)="日付順",(CO2-1)*24+CO3,(CO3-1)*6+CO2)+CO5*10000</f>
        <v/>
      </c>
      <c r="CP6">
        <f>IF(LEFT('設定'!$B$8,3)="日付順",(CP2-1)*24+CP3,(CP3-1)*6+CP2)+CP5*10000</f>
        <v/>
      </c>
      <c r="CQ6">
        <f>IF(LEFT('設定'!$B$8,3)="日付順",(CQ2-1)*24+CQ3,(CQ3-1)*6+CQ2)+CQ5*10000</f>
        <v/>
      </c>
      <c r="CR6">
        <f>IF(LEFT('設定'!$B$8,3)="日付順",(CR2-1)*24+CR3,(CR3-1)*6+CR2)+CR5*10000</f>
        <v/>
      </c>
      <c r="CS6">
        <f>IF(LEFT('設定'!$B$8,3)="日付順",(CS2-1)*24+CS3,(CS3-1)*6+CS2)+CS5*10000</f>
        <v/>
      </c>
      <c r="CT6">
        <f>IF(LEFT('設定'!$B$8,3)="日付順",(CT2-1)*24+CT3,(CT3-1)*6+CT2)+CT5*10000</f>
        <v/>
      </c>
      <c r="CU6">
        <f>IF(LEFT('設定'!$B$8,3)="日付順",(CU2-1)*24+CU3,(CU3-1)*6+CU2)+CU5*10000</f>
        <v/>
      </c>
      <c r="CV6">
        <f>IF(LEFT('設定'!$B$8,3)="日付順",(CV2-1)*24+CV3,(CV3-1)*6+CV2)+CV5*10000</f>
        <v/>
      </c>
      <c r="CW6">
        <f>IF(LEFT('設定'!$B$8,3)="日付順",(CW2-1)*24+CW3,(CW3-1)*6+CW2)+CW5*10000</f>
        <v/>
      </c>
      <c r="CX6">
        <f>IF(LEFT('設定'!$B$8,3)="日付順",(CX2-1)*24+CX3,(CX3-1)*6+CX2)+CX5*10000</f>
        <v/>
      </c>
      <c r="CY6">
        <f>IF(LEFT('設定'!$B$8,3)="日付順",(CY2-1)*24+CY3,(CY3-1)*6+CY2)+CY5*10000</f>
        <v/>
      </c>
      <c r="CZ6">
        <f>IF(LEFT('設定'!$B$8,3)="日付順",(CZ2-1)*24+CZ3,(CZ3-1)*6+CZ2)+CZ5*10000</f>
        <v/>
      </c>
      <c r="DA6">
        <f>IF(LEFT('設定'!$B$8,3)="日付順",(DA2-1)*24+DA3,(DA3-1)*6+DA2)+DA5*10000</f>
        <v/>
      </c>
      <c r="DB6">
        <f>IF(LEFT('設定'!$B$8,3)="日付順",(DB2-1)*24+DB3,(DB3-1)*6+DB2)+DB5*10000</f>
        <v/>
      </c>
      <c r="DC6">
        <f>IF(LEFT('設定'!$B$8,3)="日付順",(DC2-1)*24+DC3,(DC3-1)*6+DC2)+DC5*10000</f>
        <v/>
      </c>
      <c r="DD6">
        <f>IF(LEFT('設定'!$B$8,3)="日付順",(DD2-1)*24+DD3,(DD3-1)*6+DD2)+DD5*10000</f>
        <v/>
      </c>
      <c r="DE6">
        <f>IF(LEFT('設定'!$B$8,3)="日付順",(DE2-1)*24+DE3,(DE3-1)*6+DE2)+DE5*10000</f>
        <v/>
      </c>
      <c r="DF6">
        <f>IF(LEFT('設定'!$B$8,3)="日付順",(DF2-1)*24+DF3,(DF3-1)*6+DF2)+DF5*10000</f>
        <v/>
      </c>
      <c r="DG6">
        <f>IF(LEFT('設定'!$B$8,3)="日付順",(DG2-1)*24+DG3,(DG3-1)*6+DG2)+DG5*10000</f>
        <v/>
      </c>
      <c r="DH6">
        <f>IF(LEFT('設定'!$B$8,3)="日付順",(DH2-1)*24+DH3,(DH3-1)*6+DH2)+DH5*10000</f>
        <v/>
      </c>
      <c r="DI6">
        <f>IF(LEFT('設定'!$B$8,3)="日付順",(DI2-1)*24+DI3,(DI3-1)*6+DI2)+DI5*10000</f>
        <v/>
      </c>
      <c r="DJ6">
        <f>IF(LEFT('設定'!$B$8,3)="日付順",(DJ2-1)*24+DJ3,(DJ3-1)*6+DJ2)+DJ5*10000</f>
        <v/>
      </c>
      <c r="DK6">
        <f>IF(LEFT('設定'!$B$8,3)="日付順",(DK2-1)*24+DK3,(DK3-1)*6+DK2)+DK5*10000</f>
        <v/>
      </c>
      <c r="DL6">
        <f>IF(LEFT('設定'!$B$8,3)="日付順",(DL2-1)*24+DL3,(DL3-1)*6+DL2)+DL5*10000</f>
        <v/>
      </c>
      <c r="DM6">
        <f>IF(LEFT('設定'!$B$8,3)="日付順",(DM2-1)*24+DM3,(DM3-1)*6+DM2)+DM5*10000</f>
        <v/>
      </c>
      <c r="DN6">
        <f>IF(LEFT('設定'!$B$8,3)="日付順",(DN2-1)*24+DN3,(DN3-1)*6+DN2)+DN5*10000</f>
        <v/>
      </c>
      <c r="DO6">
        <f>IF(LEFT('設定'!$B$8,3)="日付順",(DO2-1)*24+DO3,(DO3-1)*6+DO2)+DO5*10000</f>
        <v/>
      </c>
      <c r="DP6">
        <f>IF(LEFT('設定'!$B$8,3)="日付順",(DP2-1)*24+DP3,(DP3-1)*6+DP2)+DP5*10000</f>
        <v/>
      </c>
      <c r="DQ6">
        <f>IF(LEFT('設定'!$B$8,3)="日付順",(DQ2-1)*24+DQ3,(DQ3-1)*6+DQ2)+DQ5*10000</f>
        <v/>
      </c>
      <c r="DR6">
        <f>IF(LEFT('設定'!$B$8,3)="日付順",(DR2-1)*24+DR3,(DR3-1)*6+DR2)+DR5*10000</f>
        <v/>
      </c>
      <c r="DS6">
        <f>IF(LEFT('設定'!$B$8,3)="日付順",(DS2-1)*24+DS3,(DS3-1)*6+DS2)+DS5*10000</f>
        <v/>
      </c>
      <c r="DT6">
        <f>IF(LEFT('設定'!$B$8,3)="日付順",(DT2-1)*24+DT3,(DT3-1)*6+DT2)+DT5*10000</f>
        <v/>
      </c>
      <c r="DU6">
        <f>IF(LEFT('設定'!$B$8,3)="日付順",(DU2-1)*24+DU3,(DU3-1)*6+DU2)+DU5*10000</f>
        <v/>
      </c>
      <c r="DV6">
        <f>IF(LEFT('設定'!$B$8,3)="日付順",(DV2-1)*24+DV3,(DV3-1)*6+DV2)+DV5*10000</f>
        <v/>
      </c>
      <c r="DW6">
        <f>IF(LEFT('設定'!$B$8,3)="日付順",(DW2-1)*24+DW3,(DW3-1)*6+DW2)+DW5*10000</f>
        <v/>
      </c>
      <c r="DX6">
        <f>IF(LEFT('設定'!$B$8,3)="日付順",(DX2-1)*24+DX3,(DX3-1)*6+DX2)+DX5*10000</f>
        <v/>
      </c>
      <c r="DY6">
        <f>IF(LEFT('設定'!$B$8,3)="日付順",(DY2-1)*24+DY3,(DY3-1)*6+DY2)+DY5*10000</f>
        <v/>
      </c>
      <c r="DZ6">
        <f>IF(LEFT('設定'!$B$8,3)="日付順",(DZ2-1)*24+DZ3,(DZ3-1)*6+DZ2)+DZ5*10000</f>
        <v/>
      </c>
      <c r="EA6">
        <f>IF(LEFT('設定'!$B$8,3)="日付順",(EA2-1)*24+EA3,(EA3-1)*6+EA2)+EA5*10000</f>
        <v/>
      </c>
      <c r="EB6">
        <f>IF(LEFT('設定'!$B$8,3)="日付順",(EB2-1)*24+EB3,(EB3-1)*6+EB2)+EB5*10000</f>
        <v/>
      </c>
      <c r="EC6">
        <f>IF(LEFT('設定'!$B$8,3)="日付順",(EC2-1)*24+EC3,(EC3-1)*6+EC2)+EC5*10000</f>
        <v/>
      </c>
      <c r="ED6">
        <f>IF(LEFT('設定'!$B$8,3)="日付順",(ED2-1)*24+ED3,(ED3-1)*6+ED2)+ED5*10000</f>
        <v/>
      </c>
      <c r="EE6">
        <f>IF(LEFT('設定'!$B$8,3)="日付順",(EE2-1)*24+EE3,(EE3-1)*6+EE2)+EE5*10000</f>
        <v/>
      </c>
      <c r="EF6">
        <f>IF(LEFT('設定'!$B$8,3)="日付順",(EF2-1)*24+EF3,(EF3-1)*6+EF2)+EF5*10000</f>
        <v/>
      </c>
      <c r="EG6">
        <f>IF(LEFT('設定'!$B$8,3)="日付順",(EG2-1)*24+EG3,(EG3-1)*6+EG2)+EG5*10000</f>
        <v/>
      </c>
      <c r="EH6">
        <f>IF(LEFT('設定'!$B$8,3)="日付順",(EH2-1)*24+EH3,(EH3-1)*6+EH2)+EH5*10000</f>
        <v/>
      </c>
      <c r="EI6">
        <f>IF(LEFT('設定'!$B$8,3)="日付順",(EI2-1)*24+EI3,(EI3-1)*6+EI2)+EI5*10000</f>
        <v/>
      </c>
      <c r="EJ6">
        <f>IF(LEFT('設定'!$B$8,3)="日付順",(EJ2-1)*24+EJ3,(EJ3-1)*6+EJ2)+EJ5*10000</f>
        <v/>
      </c>
      <c r="EK6">
        <f>IF(LEFT('設定'!$B$8,3)="日付順",(EK2-1)*24+EK3,(EK3-1)*6+EK2)+EK5*10000</f>
        <v/>
      </c>
      <c r="EL6">
        <f>IF(LEFT('設定'!$B$8,3)="日付順",(EL2-1)*24+EL3,(EL3-1)*6+EL2)+EL5*10000</f>
        <v/>
      </c>
      <c r="EM6">
        <f>IF(LEFT('設定'!$B$8,3)="日付順",(EM2-1)*24+EM3,(EM3-1)*6+EM2)+EM5*10000</f>
        <v/>
      </c>
      <c r="EN6">
        <f>IF(LEFT('設定'!$B$8,3)="日付順",(EN2-1)*24+EN3,(EN3-1)*6+EN2)+EN5*10000</f>
        <v/>
      </c>
      <c r="EO6">
        <f>IF(LEFT('設定'!$B$8,3)="日付順",(EO2-1)*24+EO3,(EO3-1)*6+EO2)+EO5*10000</f>
        <v/>
      </c>
      <c r="EP6">
        <f>IF(LEFT('設定'!$B$8,3)="日付順",(EP2-1)*24+EP3,(EP3-1)*6+EP2)+EP5*10000</f>
        <v/>
      </c>
      <c r="EQ6">
        <f>IF(LEFT('設定'!$B$8,3)="日付順",(EQ2-1)*24+EQ3,(EQ3-1)*6+EQ2)+EQ5*10000</f>
        <v/>
      </c>
    </row>
    <row r="7">
      <c r="C7" s="93"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row>
    <row r="8">
      <c r="A8" s="93" t="inlineStr">
        <is>
          <t>選択中→</t>
        </is>
      </c>
      <c r="B8" s="93">
        <f>IF('調整・決定'!$N$5="",0,IFERROR(MATCH('調整・決定'!$N$5,$B$10:$B$54,0),0))</f>
        <v/>
      </c>
      <c r="C8" s="93" t="inlineStr">
        <is>
          <t>表示</t>
        </is>
      </c>
      <c r="D8">
        <f>IF(D4=1,INDEX('設定'!$E$11:$E$16,D2)&amp;" "&amp;INDEX('設定'!$I$11:$I$34,D3),"")</f>
        <v/>
      </c>
      <c r="E8">
        <f>IF(E4=1,INDEX('設定'!$E$11:$E$16,E2)&amp;" "&amp;INDEX('設定'!$I$11:$I$34,E3),"")</f>
        <v/>
      </c>
      <c r="F8">
        <f>IF(F4=1,INDEX('設定'!$E$11:$E$16,F2)&amp;" "&amp;INDEX('設定'!$I$11:$I$34,F3),"")</f>
        <v/>
      </c>
      <c r="G8">
        <f>IF(G4=1,INDEX('設定'!$E$11:$E$16,G2)&amp;" "&amp;INDEX('設定'!$I$11:$I$34,G3),"")</f>
        <v/>
      </c>
      <c r="H8">
        <f>IF(H4=1,INDEX('設定'!$E$11:$E$16,H2)&amp;" "&amp;INDEX('設定'!$I$11:$I$34,H3),"")</f>
        <v/>
      </c>
      <c r="I8">
        <f>IF(I4=1,INDEX('設定'!$E$11:$E$16,I2)&amp;" "&amp;INDEX('設定'!$I$11:$I$34,I3),"")</f>
        <v/>
      </c>
      <c r="J8">
        <f>IF(J4=1,INDEX('設定'!$E$11:$E$16,J2)&amp;" "&amp;INDEX('設定'!$I$11:$I$34,J3),"")</f>
        <v/>
      </c>
      <c r="K8">
        <f>IF(K4=1,INDEX('設定'!$E$11:$E$16,K2)&amp;" "&amp;INDEX('設定'!$I$11:$I$34,K3),"")</f>
        <v/>
      </c>
      <c r="L8">
        <f>IF(L4=1,INDEX('設定'!$E$11:$E$16,L2)&amp;" "&amp;INDEX('設定'!$I$11:$I$34,L3),"")</f>
        <v/>
      </c>
      <c r="M8">
        <f>IF(M4=1,INDEX('設定'!$E$11:$E$16,M2)&amp;" "&amp;INDEX('設定'!$I$11:$I$34,M3),"")</f>
        <v/>
      </c>
      <c r="N8">
        <f>IF(N4=1,INDEX('設定'!$E$11:$E$16,N2)&amp;" "&amp;INDEX('設定'!$I$11:$I$34,N3),"")</f>
        <v/>
      </c>
      <c r="O8">
        <f>IF(O4=1,INDEX('設定'!$E$11:$E$16,O2)&amp;" "&amp;INDEX('設定'!$I$11:$I$34,O3),"")</f>
        <v/>
      </c>
      <c r="P8">
        <f>IF(P4=1,INDEX('設定'!$E$11:$E$16,P2)&amp;" "&amp;INDEX('設定'!$I$11:$I$34,P3),"")</f>
        <v/>
      </c>
      <c r="Q8">
        <f>IF(Q4=1,INDEX('設定'!$E$11:$E$16,Q2)&amp;" "&amp;INDEX('設定'!$I$11:$I$34,Q3),"")</f>
        <v/>
      </c>
      <c r="R8">
        <f>IF(R4=1,INDEX('設定'!$E$11:$E$16,R2)&amp;" "&amp;INDEX('設定'!$I$11:$I$34,R3),"")</f>
        <v/>
      </c>
      <c r="S8">
        <f>IF(S4=1,INDEX('設定'!$E$11:$E$16,S2)&amp;" "&amp;INDEX('設定'!$I$11:$I$34,S3),"")</f>
        <v/>
      </c>
      <c r="T8">
        <f>IF(T4=1,INDEX('設定'!$E$11:$E$16,T2)&amp;" "&amp;INDEX('設定'!$I$11:$I$34,T3),"")</f>
        <v/>
      </c>
      <c r="U8">
        <f>IF(U4=1,INDEX('設定'!$E$11:$E$16,U2)&amp;" "&amp;INDEX('設定'!$I$11:$I$34,U3),"")</f>
        <v/>
      </c>
      <c r="V8">
        <f>IF(V4=1,INDEX('設定'!$E$11:$E$16,V2)&amp;" "&amp;INDEX('設定'!$I$11:$I$34,V3),"")</f>
        <v/>
      </c>
      <c r="W8">
        <f>IF(W4=1,INDEX('設定'!$E$11:$E$16,W2)&amp;" "&amp;INDEX('設定'!$I$11:$I$34,W3),"")</f>
        <v/>
      </c>
      <c r="X8">
        <f>IF(X4=1,INDEX('設定'!$E$11:$E$16,X2)&amp;" "&amp;INDEX('設定'!$I$11:$I$34,X3),"")</f>
        <v/>
      </c>
      <c r="Y8">
        <f>IF(Y4=1,INDEX('設定'!$E$11:$E$16,Y2)&amp;" "&amp;INDEX('設定'!$I$11:$I$34,Y3),"")</f>
        <v/>
      </c>
      <c r="Z8">
        <f>IF(Z4=1,INDEX('設定'!$E$11:$E$16,Z2)&amp;" "&amp;INDEX('設定'!$I$11:$I$34,Z3),"")</f>
        <v/>
      </c>
      <c r="AA8">
        <f>IF(AA4=1,INDEX('設定'!$E$11:$E$16,AA2)&amp;" "&amp;INDEX('設定'!$I$11:$I$34,AA3),"")</f>
        <v/>
      </c>
      <c r="AB8">
        <f>IF(AB4=1,INDEX('設定'!$E$11:$E$16,AB2)&amp;" "&amp;INDEX('設定'!$I$11:$I$34,AB3),"")</f>
        <v/>
      </c>
      <c r="AC8">
        <f>IF(AC4=1,INDEX('設定'!$E$11:$E$16,AC2)&amp;" "&amp;INDEX('設定'!$I$11:$I$34,AC3),"")</f>
        <v/>
      </c>
      <c r="AD8">
        <f>IF(AD4=1,INDEX('設定'!$E$11:$E$16,AD2)&amp;" "&amp;INDEX('設定'!$I$11:$I$34,AD3),"")</f>
        <v/>
      </c>
      <c r="AE8">
        <f>IF(AE4=1,INDEX('設定'!$E$11:$E$16,AE2)&amp;" "&amp;INDEX('設定'!$I$11:$I$34,AE3),"")</f>
        <v/>
      </c>
      <c r="AF8">
        <f>IF(AF4=1,INDEX('設定'!$E$11:$E$16,AF2)&amp;" "&amp;INDEX('設定'!$I$11:$I$34,AF3),"")</f>
        <v/>
      </c>
      <c r="AG8">
        <f>IF(AG4=1,INDEX('設定'!$E$11:$E$16,AG2)&amp;" "&amp;INDEX('設定'!$I$11:$I$34,AG3),"")</f>
        <v/>
      </c>
      <c r="AH8">
        <f>IF(AH4=1,INDEX('設定'!$E$11:$E$16,AH2)&amp;" "&amp;INDEX('設定'!$I$11:$I$34,AH3),"")</f>
        <v/>
      </c>
      <c r="AI8">
        <f>IF(AI4=1,INDEX('設定'!$E$11:$E$16,AI2)&amp;" "&amp;INDEX('設定'!$I$11:$I$34,AI3),"")</f>
        <v/>
      </c>
      <c r="AJ8">
        <f>IF(AJ4=1,INDEX('設定'!$E$11:$E$16,AJ2)&amp;" "&amp;INDEX('設定'!$I$11:$I$34,AJ3),"")</f>
        <v/>
      </c>
      <c r="AK8">
        <f>IF(AK4=1,INDEX('設定'!$E$11:$E$16,AK2)&amp;" "&amp;INDEX('設定'!$I$11:$I$34,AK3),"")</f>
        <v/>
      </c>
      <c r="AL8">
        <f>IF(AL4=1,INDEX('設定'!$E$11:$E$16,AL2)&amp;" "&amp;INDEX('設定'!$I$11:$I$34,AL3),"")</f>
        <v/>
      </c>
      <c r="AM8">
        <f>IF(AM4=1,INDEX('設定'!$E$11:$E$16,AM2)&amp;" "&amp;INDEX('設定'!$I$11:$I$34,AM3),"")</f>
        <v/>
      </c>
      <c r="AN8">
        <f>IF(AN4=1,INDEX('設定'!$E$11:$E$16,AN2)&amp;" "&amp;INDEX('設定'!$I$11:$I$34,AN3),"")</f>
        <v/>
      </c>
      <c r="AO8">
        <f>IF(AO4=1,INDEX('設定'!$E$11:$E$16,AO2)&amp;" "&amp;INDEX('設定'!$I$11:$I$34,AO3),"")</f>
        <v/>
      </c>
      <c r="AP8">
        <f>IF(AP4=1,INDEX('設定'!$E$11:$E$16,AP2)&amp;" "&amp;INDEX('設定'!$I$11:$I$34,AP3),"")</f>
        <v/>
      </c>
      <c r="AQ8">
        <f>IF(AQ4=1,INDEX('設定'!$E$11:$E$16,AQ2)&amp;" "&amp;INDEX('設定'!$I$11:$I$34,AQ3),"")</f>
        <v/>
      </c>
      <c r="AR8">
        <f>IF(AR4=1,INDEX('設定'!$E$11:$E$16,AR2)&amp;" "&amp;INDEX('設定'!$I$11:$I$34,AR3),"")</f>
        <v/>
      </c>
      <c r="AS8">
        <f>IF(AS4=1,INDEX('設定'!$E$11:$E$16,AS2)&amp;" "&amp;INDEX('設定'!$I$11:$I$34,AS3),"")</f>
        <v/>
      </c>
      <c r="AT8">
        <f>IF(AT4=1,INDEX('設定'!$E$11:$E$16,AT2)&amp;" "&amp;INDEX('設定'!$I$11:$I$34,AT3),"")</f>
        <v/>
      </c>
      <c r="AU8">
        <f>IF(AU4=1,INDEX('設定'!$E$11:$E$16,AU2)&amp;" "&amp;INDEX('設定'!$I$11:$I$34,AU3),"")</f>
        <v/>
      </c>
      <c r="AV8">
        <f>IF(AV4=1,INDEX('設定'!$E$11:$E$16,AV2)&amp;" "&amp;INDEX('設定'!$I$11:$I$34,AV3),"")</f>
        <v/>
      </c>
      <c r="AW8">
        <f>IF(AW4=1,INDEX('設定'!$E$11:$E$16,AW2)&amp;" "&amp;INDEX('設定'!$I$11:$I$34,AW3),"")</f>
        <v/>
      </c>
      <c r="AX8">
        <f>IF(AX4=1,INDEX('設定'!$E$11:$E$16,AX2)&amp;" "&amp;INDEX('設定'!$I$11:$I$34,AX3),"")</f>
        <v/>
      </c>
      <c r="AY8">
        <f>IF(AY4=1,INDEX('設定'!$E$11:$E$16,AY2)&amp;" "&amp;INDEX('設定'!$I$11:$I$34,AY3),"")</f>
        <v/>
      </c>
      <c r="AZ8">
        <f>IF(AZ4=1,INDEX('設定'!$E$11:$E$16,AZ2)&amp;" "&amp;INDEX('設定'!$I$11:$I$34,AZ3),"")</f>
        <v/>
      </c>
      <c r="BA8">
        <f>IF(BA4=1,INDEX('設定'!$E$11:$E$16,BA2)&amp;" "&amp;INDEX('設定'!$I$11:$I$34,BA3),"")</f>
        <v/>
      </c>
      <c r="BB8">
        <f>IF(BB4=1,INDEX('設定'!$E$11:$E$16,BB2)&amp;" "&amp;INDEX('設定'!$I$11:$I$34,BB3),"")</f>
        <v/>
      </c>
      <c r="BC8">
        <f>IF(BC4=1,INDEX('設定'!$E$11:$E$16,BC2)&amp;" "&amp;INDEX('設定'!$I$11:$I$34,BC3),"")</f>
        <v/>
      </c>
      <c r="BD8">
        <f>IF(BD4=1,INDEX('設定'!$E$11:$E$16,BD2)&amp;" "&amp;INDEX('設定'!$I$11:$I$34,BD3),"")</f>
        <v/>
      </c>
      <c r="BE8">
        <f>IF(BE4=1,INDEX('設定'!$E$11:$E$16,BE2)&amp;" "&amp;INDEX('設定'!$I$11:$I$34,BE3),"")</f>
        <v/>
      </c>
      <c r="BF8">
        <f>IF(BF4=1,INDEX('設定'!$E$11:$E$16,BF2)&amp;" "&amp;INDEX('設定'!$I$11:$I$34,BF3),"")</f>
        <v/>
      </c>
      <c r="BG8">
        <f>IF(BG4=1,INDEX('設定'!$E$11:$E$16,BG2)&amp;" "&amp;INDEX('設定'!$I$11:$I$34,BG3),"")</f>
        <v/>
      </c>
      <c r="BH8">
        <f>IF(BH4=1,INDEX('設定'!$E$11:$E$16,BH2)&amp;" "&amp;INDEX('設定'!$I$11:$I$34,BH3),"")</f>
        <v/>
      </c>
      <c r="BI8">
        <f>IF(BI4=1,INDEX('設定'!$E$11:$E$16,BI2)&amp;" "&amp;INDEX('設定'!$I$11:$I$34,BI3),"")</f>
        <v/>
      </c>
      <c r="BJ8">
        <f>IF(BJ4=1,INDEX('設定'!$E$11:$E$16,BJ2)&amp;" "&amp;INDEX('設定'!$I$11:$I$34,BJ3),"")</f>
        <v/>
      </c>
      <c r="BK8">
        <f>IF(BK4=1,INDEX('設定'!$E$11:$E$16,BK2)&amp;" "&amp;INDEX('設定'!$I$11:$I$34,BK3),"")</f>
        <v/>
      </c>
      <c r="BL8">
        <f>IF(BL4=1,INDEX('設定'!$E$11:$E$16,BL2)&amp;" "&amp;INDEX('設定'!$I$11:$I$34,BL3),"")</f>
        <v/>
      </c>
      <c r="BM8">
        <f>IF(BM4=1,INDEX('設定'!$E$11:$E$16,BM2)&amp;" "&amp;INDEX('設定'!$I$11:$I$34,BM3),"")</f>
        <v/>
      </c>
      <c r="BN8">
        <f>IF(BN4=1,INDEX('設定'!$E$11:$E$16,BN2)&amp;" "&amp;INDEX('設定'!$I$11:$I$34,BN3),"")</f>
        <v/>
      </c>
      <c r="BO8">
        <f>IF(BO4=1,INDEX('設定'!$E$11:$E$16,BO2)&amp;" "&amp;INDEX('設定'!$I$11:$I$34,BO3),"")</f>
        <v/>
      </c>
      <c r="BP8">
        <f>IF(BP4=1,INDEX('設定'!$E$11:$E$16,BP2)&amp;" "&amp;INDEX('設定'!$I$11:$I$34,BP3),"")</f>
        <v/>
      </c>
      <c r="BQ8">
        <f>IF(BQ4=1,INDEX('設定'!$E$11:$E$16,BQ2)&amp;" "&amp;INDEX('設定'!$I$11:$I$34,BQ3),"")</f>
        <v/>
      </c>
      <c r="BR8">
        <f>IF(BR4=1,INDEX('設定'!$E$11:$E$16,BR2)&amp;" "&amp;INDEX('設定'!$I$11:$I$34,BR3),"")</f>
        <v/>
      </c>
      <c r="BS8">
        <f>IF(BS4=1,INDEX('設定'!$E$11:$E$16,BS2)&amp;" "&amp;INDEX('設定'!$I$11:$I$34,BS3),"")</f>
        <v/>
      </c>
      <c r="BT8">
        <f>IF(BT4=1,INDEX('設定'!$E$11:$E$16,BT2)&amp;" "&amp;INDEX('設定'!$I$11:$I$34,BT3),"")</f>
        <v/>
      </c>
      <c r="BU8">
        <f>IF(BU4=1,INDEX('設定'!$E$11:$E$16,BU2)&amp;" "&amp;INDEX('設定'!$I$11:$I$34,BU3),"")</f>
        <v/>
      </c>
      <c r="BV8">
        <f>IF(BV4=1,INDEX('設定'!$E$11:$E$16,BV2)&amp;" "&amp;INDEX('設定'!$I$11:$I$34,BV3),"")</f>
        <v/>
      </c>
      <c r="BW8">
        <f>IF(BW4=1,INDEX('設定'!$E$11:$E$16,BW2)&amp;" "&amp;INDEX('設定'!$I$11:$I$34,BW3),"")</f>
        <v/>
      </c>
      <c r="BX8">
        <f>IF(BX4=1,INDEX('設定'!$E$11:$E$16,BX2)&amp;" "&amp;INDEX('設定'!$I$11:$I$34,BX3),"")</f>
        <v/>
      </c>
      <c r="BY8">
        <f>IF(BY4=1,INDEX('設定'!$E$11:$E$16,BY2)&amp;" "&amp;INDEX('設定'!$I$11:$I$34,BY3),"")</f>
        <v/>
      </c>
      <c r="BZ8">
        <f>IF(BZ4=1,INDEX('設定'!$E$11:$E$16,BZ2)&amp;" "&amp;INDEX('設定'!$I$11:$I$34,BZ3),"")</f>
        <v/>
      </c>
      <c r="CA8">
        <f>IF(CA4=1,INDEX('設定'!$E$11:$E$16,CA2)&amp;" "&amp;INDEX('設定'!$I$11:$I$34,CA3),"")</f>
        <v/>
      </c>
      <c r="CB8">
        <f>IF(CB4=1,INDEX('設定'!$E$11:$E$16,CB2)&amp;" "&amp;INDEX('設定'!$I$11:$I$34,CB3),"")</f>
        <v/>
      </c>
      <c r="CC8">
        <f>IF(CC4=1,INDEX('設定'!$E$11:$E$16,CC2)&amp;" "&amp;INDEX('設定'!$I$11:$I$34,CC3),"")</f>
        <v/>
      </c>
      <c r="CD8">
        <f>IF(CD4=1,INDEX('設定'!$E$11:$E$16,CD2)&amp;" "&amp;INDEX('設定'!$I$11:$I$34,CD3),"")</f>
        <v/>
      </c>
      <c r="CE8">
        <f>IF(CE4=1,INDEX('設定'!$E$11:$E$16,CE2)&amp;" "&amp;INDEX('設定'!$I$11:$I$34,CE3),"")</f>
        <v/>
      </c>
      <c r="CF8">
        <f>IF(CF4=1,INDEX('設定'!$E$11:$E$16,CF2)&amp;" "&amp;INDEX('設定'!$I$11:$I$34,CF3),"")</f>
        <v/>
      </c>
      <c r="CG8">
        <f>IF(CG4=1,INDEX('設定'!$E$11:$E$16,CG2)&amp;" "&amp;INDEX('設定'!$I$11:$I$34,CG3),"")</f>
        <v/>
      </c>
      <c r="CH8">
        <f>IF(CH4=1,INDEX('設定'!$E$11:$E$16,CH2)&amp;" "&amp;INDEX('設定'!$I$11:$I$34,CH3),"")</f>
        <v/>
      </c>
      <c r="CI8">
        <f>IF(CI4=1,INDEX('設定'!$E$11:$E$16,CI2)&amp;" "&amp;INDEX('設定'!$I$11:$I$34,CI3),"")</f>
        <v/>
      </c>
      <c r="CJ8">
        <f>IF(CJ4=1,INDEX('設定'!$E$11:$E$16,CJ2)&amp;" "&amp;INDEX('設定'!$I$11:$I$34,CJ3),"")</f>
        <v/>
      </c>
      <c r="CK8">
        <f>IF(CK4=1,INDEX('設定'!$E$11:$E$16,CK2)&amp;" "&amp;INDEX('設定'!$I$11:$I$34,CK3),"")</f>
        <v/>
      </c>
      <c r="CL8">
        <f>IF(CL4=1,INDEX('設定'!$E$11:$E$16,CL2)&amp;" "&amp;INDEX('設定'!$I$11:$I$34,CL3),"")</f>
        <v/>
      </c>
      <c r="CM8">
        <f>IF(CM4=1,INDEX('設定'!$E$11:$E$16,CM2)&amp;" "&amp;INDEX('設定'!$I$11:$I$34,CM3),"")</f>
        <v/>
      </c>
      <c r="CN8">
        <f>IF(CN4=1,INDEX('設定'!$E$11:$E$16,CN2)&amp;" "&amp;INDEX('設定'!$I$11:$I$34,CN3),"")</f>
        <v/>
      </c>
      <c r="CO8">
        <f>IF(CO4=1,INDEX('設定'!$E$11:$E$16,CO2)&amp;" "&amp;INDEX('設定'!$I$11:$I$34,CO3),"")</f>
        <v/>
      </c>
      <c r="CP8">
        <f>IF(CP4=1,INDEX('設定'!$E$11:$E$16,CP2)&amp;" "&amp;INDEX('設定'!$I$11:$I$34,CP3),"")</f>
        <v/>
      </c>
      <c r="CQ8">
        <f>IF(CQ4=1,INDEX('設定'!$E$11:$E$16,CQ2)&amp;" "&amp;INDEX('設定'!$I$11:$I$34,CQ3),"")</f>
        <v/>
      </c>
      <c r="CR8">
        <f>IF(CR4=1,INDEX('設定'!$E$11:$E$16,CR2)&amp;" "&amp;INDEX('設定'!$I$11:$I$34,CR3),"")</f>
        <v/>
      </c>
      <c r="CS8">
        <f>IF(CS4=1,INDEX('設定'!$E$11:$E$16,CS2)&amp;" "&amp;INDEX('設定'!$I$11:$I$34,CS3),"")</f>
        <v/>
      </c>
      <c r="CT8">
        <f>IF(CT4=1,INDEX('設定'!$E$11:$E$16,CT2)&amp;" "&amp;INDEX('設定'!$I$11:$I$34,CT3),"")</f>
        <v/>
      </c>
      <c r="CU8">
        <f>IF(CU4=1,INDEX('設定'!$E$11:$E$16,CU2)&amp;" "&amp;INDEX('設定'!$I$11:$I$34,CU3),"")</f>
        <v/>
      </c>
      <c r="CV8">
        <f>IF(CV4=1,INDEX('設定'!$E$11:$E$16,CV2)&amp;" "&amp;INDEX('設定'!$I$11:$I$34,CV3),"")</f>
        <v/>
      </c>
      <c r="CW8">
        <f>IF(CW4=1,INDEX('設定'!$E$11:$E$16,CW2)&amp;" "&amp;INDEX('設定'!$I$11:$I$34,CW3),"")</f>
        <v/>
      </c>
      <c r="CX8">
        <f>IF(CX4=1,INDEX('設定'!$E$11:$E$16,CX2)&amp;" "&amp;INDEX('設定'!$I$11:$I$34,CX3),"")</f>
        <v/>
      </c>
      <c r="CY8">
        <f>IF(CY4=1,INDEX('設定'!$E$11:$E$16,CY2)&amp;" "&amp;INDEX('設定'!$I$11:$I$34,CY3),"")</f>
        <v/>
      </c>
      <c r="CZ8">
        <f>IF(CZ4=1,INDEX('設定'!$E$11:$E$16,CZ2)&amp;" "&amp;INDEX('設定'!$I$11:$I$34,CZ3),"")</f>
        <v/>
      </c>
      <c r="DA8">
        <f>IF(DA4=1,INDEX('設定'!$E$11:$E$16,DA2)&amp;" "&amp;INDEX('設定'!$I$11:$I$34,DA3),"")</f>
        <v/>
      </c>
      <c r="DB8">
        <f>IF(DB4=1,INDEX('設定'!$E$11:$E$16,DB2)&amp;" "&amp;INDEX('設定'!$I$11:$I$34,DB3),"")</f>
        <v/>
      </c>
      <c r="DC8">
        <f>IF(DC4=1,INDEX('設定'!$E$11:$E$16,DC2)&amp;" "&amp;INDEX('設定'!$I$11:$I$34,DC3),"")</f>
        <v/>
      </c>
      <c r="DD8">
        <f>IF(DD4=1,INDEX('設定'!$E$11:$E$16,DD2)&amp;" "&amp;INDEX('設定'!$I$11:$I$34,DD3),"")</f>
        <v/>
      </c>
      <c r="DE8">
        <f>IF(DE4=1,INDEX('設定'!$E$11:$E$16,DE2)&amp;" "&amp;INDEX('設定'!$I$11:$I$34,DE3),"")</f>
        <v/>
      </c>
      <c r="DF8">
        <f>IF(DF4=1,INDEX('設定'!$E$11:$E$16,DF2)&amp;" "&amp;INDEX('設定'!$I$11:$I$34,DF3),"")</f>
        <v/>
      </c>
      <c r="DG8">
        <f>IF(DG4=1,INDEX('設定'!$E$11:$E$16,DG2)&amp;" "&amp;INDEX('設定'!$I$11:$I$34,DG3),"")</f>
        <v/>
      </c>
      <c r="DH8">
        <f>IF(DH4=1,INDEX('設定'!$E$11:$E$16,DH2)&amp;" "&amp;INDEX('設定'!$I$11:$I$34,DH3),"")</f>
        <v/>
      </c>
      <c r="DI8">
        <f>IF(DI4=1,INDEX('設定'!$E$11:$E$16,DI2)&amp;" "&amp;INDEX('設定'!$I$11:$I$34,DI3),"")</f>
        <v/>
      </c>
      <c r="DJ8">
        <f>IF(DJ4=1,INDEX('設定'!$E$11:$E$16,DJ2)&amp;" "&amp;INDEX('設定'!$I$11:$I$34,DJ3),"")</f>
        <v/>
      </c>
      <c r="DK8">
        <f>IF(DK4=1,INDEX('設定'!$E$11:$E$16,DK2)&amp;" "&amp;INDEX('設定'!$I$11:$I$34,DK3),"")</f>
        <v/>
      </c>
      <c r="DL8">
        <f>IF(DL4=1,INDEX('設定'!$E$11:$E$16,DL2)&amp;" "&amp;INDEX('設定'!$I$11:$I$34,DL3),"")</f>
        <v/>
      </c>
      <c r="DM8">
        <f>IF(DM4=1,INDEX('設定'!$E$11:$E$16,DM2)&amp;" "&amp;INDEX('設定'!$I$11:$I$34,DM3),"")</f>
        <v/>
      </c>
      <c r="DN8">
        <f>IF(DN4=1,INDEX('設定'!$E$11:$E$16,DN2)&amp;" "&amp;INDEX('設定'!$I$11:$I$34,DN3),"")</f>
        <v/>
      </c>
      <c r="DO8">
        <f>IF(DO4=1,INDEX('設定'!$E$11:$E$16,DO2)&amp;" "&amp;INDEX('設定'!$I$11:$I$34,DO3),"")</f>
        <v/>
      </c>
      <c r="DP8">
        <f>IF(DP4=1,INDEX('設定'!$E$11:$E$16,DP2)&amp;" "&amp;INDEX('設定'!$I$11:$I$34,DP3),"")</f>
        <v/>
      </c>
      <c r="DQ8">
        <f>IF(DQ4=1,INDEX('設定'!$E$11:$E$16,DQ2)&amp;" "&amp;INDEX('設定'!$I$11:$I$34,DQ3),"")</f>
        <v/>
      </c>
      <c r="DR8">
        <f>IF(DR4=1,INDEX('設定'!$E$11:$E$16,DR2)&amp;" "&amp;INDEX('設定'!$I$11:$I$34,DR3),"")</f>
        <v/>
      </c>
      <c r="DS8">
        <f>IF(DS4=1,INDEX('設定'!$E$11:$E$16,DS2)&amp;" "&amp;INDEX('設定'!$I$11:$I$34,DS3),"")</f>
        <v/>
      </c>
      <c r="DT8">
        <f>IF(DT4=1,INDEX('設定'!$E$11:$E$16,DT2)&amp;" "&amp;INDEX('設定'!$I$11:$I$34,DT3),"")</f>
        <v/>
      </c>
      <c r="DU8">
        <f>IF(DU4=1,INDEX('設定'!$E$11:$E$16,DU2)&amp;" "&amp;INDEX('設定'!$I$11:$I$34,DU3),"")</f>
        <v/>
      </c>
      <c r="DV8">
        <f>IF(DV4=1,INDEX('設定'!$E$11:$E$16,DV2)&amp;" "&amp;INDEX('設定'!$I$11:$I$34,DV3),"")</f>
        <v/>
      </c>
      <c r="DW8">
        <f>IF(DW4=1,INDEX('設定'!$E$11:$E$16,DW2)&amp;" "&amp;INDEX('設定'!$I$11:$I$34,DW3),"")</f>
        <v/>
      </c>
      <c r="DX8">
        <f>IF(DX4=1,INDEX('設定'!$E$11:$E$16,DX2)&amp;" "&amp;INDEX('設定'!$I$11:$I$34,DX3),"")</f>
        <v/>
      </c>
      <c r="DY8">
        <f>IF(DY4=1,INDEX('設定'!$E$11:$E$16,DY2)&amp;" "&amp;INDEX('設定'!$I$11:$I$34,DY3),"")</f>
        <v/>
      </c>
      <c r="DZ8">
        <f>IF(DZ4=1,INDEX('設定'!$E$11:$E$16,DZ2)&amp;" "&amp;INDEX('設定'!$I$11:$I$34,DZ3),"")</f>
        <v/>
      </c>
      <c r="EA8">
        <f>IF(EA4=1,INDEX('設定'!$E$11:$E$16,EA2)&amp;" "&amp;INDEX('設定'!$I$11:$I$34,EA3),"")</f>
        <v/>
      </c>
      <c r="EB8">
        <f>IF(EB4=1,INDEX('設定'!$E$11:$E$16,EB2)&amp;" "&amp;INDEX('設定'!$I$11:$I$34,EB3),"")</f>
        <v/>
      </c>
      <c r="EC8">
        <f>IF(EC4=1,INDEX('設定'!$E$11:$E$16,EC2)&amp;" "&amp;INDEX('設定'!$I$11:$I$34,EC3),"")</f>
        <v/>
      </c>
      <c r="ED8">
        <f>IF(ED4=1,INDEX('設定'!$E$11:$E$16,ED2)&amp;" "&amp;INDEX('設定'!$I$11:$I$34,ED3),"")</f>
        <v/>
      </c>
      <c r="EE8">
        <f>IF(EE4=1,INDEX('設定'!$E$11:$E$16,EE2)&amp;" "&amp;INDEX('設定'!$I$11:$I$34,EE3),"")</f>
        <v/>
      </c>
      <c r="EF8">
        <f>IF(EF4=1,INDEX('設定'!$E$11:$E$16,EF2)&amp;" "&amp;INDEX('設定'!$I$11:$I$34,EF3),"")</f>
        <v/>
      </c>
      <c r="EG8">
        <f>IF(EG4=1,INDEX('設定'!$E$11:$E$16,EG2)&amp;" "&amp;INDEX('設定'!$I$11:$I$34,EG3),"")</f>
        <v/>
      </c>
      <c r="EH8">
        <f>IF(EH4=1,INDEX('設定'!$E$11:$E$16,EH2)&amp;" "&amp;INDEX('設定'!$I$11:$I$34,EH3),"")</f>
        <v/>
      </c>
      <c r="EI8">
        <f>IF(EI4=1,INDEX('設定'!$E$11:$E$16,EI2)&amp;" "&amp;INDEX('設定'!$I$11:$I$34,EI3),"")</f>
        <v/>
      </c>
      <c r="EJ8">
        <f>IF(EJ4=1,INDEX('設定'!$E$11:$E$16,EJ2)&amp;" "&amp;INDEX('設定'!$I$11:$I$34,EJ3),"")</f>
        <v/>
      </c>
      <c r="EK8">
        <f>IF(EK4=1,INDEX('設定'!$E$11:$E$16,EK2)&amp;" "&amp;INDEX('設定'!$I$11:$I$34,EK3),"")</f>
        <v/>
      </c>
      <c r="EL8">
        <f>IF(EL4=1,INDEX('設定'!$E$11:$E$16,EL2)&amp;" "&amp;INDEX('設定'!$I$11:$I$34,EL3),"")</f>
        <v/>
      </c>
      <c r="EM8">
        <f>IF(EM4=1,INDEX('設定'!$E$11:$E$16,EM2)&amp;" "&amp;INDEX('設定'!$I$11:$I$34,EM3),"")</f>
        <v/>
      </c>
      <c r="EN8">
        <f>IF(EN4=1,INDEX('設定'!$E$11:$E$16,EN2)&amp;" "&amp;INDEX('設定'!$I$11:$I$34,EN3),"")</f>
        <v/>
      </c>
      <c r="EO8">
        <f>IF(EO4=1,INDEX('設定'!$E$11:$E$16,EO2)&amp;" "&amp;INDEX('設定'!$I$11:$I$34,EO3),"")</f>
        <v/>
      </c>
      <c r="EP8">
        <f>IF(EP4=1,INDEX('設定'!$E$11:$E$16,EP2)&amp;" "&amp;INDEX('設定'!$I$11:$I$34,EP3),"")</f>
        <v/>
      </c>
      <c r="EQ8">
        <f>IF(EQ4=1,INDEX('設定'!$E$11:$E$16,EQ2)&amp;" "&amp;INDEX('設定'!$I$11:$I$34,EQ3),"")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c r="IW9" t="inlineStr">
        <is>
          <t>兄弟あり</t>
        </is>
      </c>
      <c r="IX9" t="inlineStr">
        <is>
          <t>空けない</t>
        </is>
      </c>
    </row>
    <row r="10">
      <c r="A10" t="n">
        <v>1</v>
      </c>
      <c r="B10">
        <f>'名簿'!I5</f>
        <v/>
      </c>
      <c r="C10">
        <f>IF(AND(B10&lt;&gt;"",OR('名簿'!J5="入力済み",'名簿'!J5="×なし"),IO10=0,COUNTIF('調整・決定'!$C$6:$H$29,B10)=0),1,0)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IK10">
        <f>IFERROR(INDEX('計算B'!$C$3:$C$47,MATCH(A10,'計算B'!$B$3:$B$47,0)),0)</f>
        <v/>
      </c>
      <c r="IL10">
        <f>IF(AND(C10=1,IK10=0),1,0)</f>
        <v/>
      </c>
      <c r="IM10">
        <f>SUMPRODUCT(D60:EQ60*(1-$D$7:$EQ$7))</f>
        <v/>
      </c>
      <c r="IN10">
        <f>SUM(D10:EQ10)</f>
        <v/>
      </c>
      <c r="IO10">
        <f>IF(B10="",0,IF(COUNTIF('調整・決定'!$C$6:$H$29,B10)=1,SUMPRODUCT(('調整・決定'!$C$6:$H$29=B10)*((COLUMN('調整・決定'!$C$6:$H$29)-3)*24+ROW('調整・決定'!$C$6:$H$29)-5)),0))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IF(OR('名簿'!E5="",'名簿'!F5=""),0,IFERROR((MATCH('名簿'!E5,'設定'!$E$11:$E$16,0)-1)*24+MATCH('名簿'!F5,'設定'!$I$11:$I$34,0),-1))</f>
        <v/>
      </c>
      <c r="IU10">
        <f>IF(IT10&gt;0,INDEX($D$2:$EQ$2,IT10),0)</f>
        <v/>
      </c>
      <c r="IV10">
        <f>IF(OR(IT10&lt;=0,IO10=0),1,IF(AND(INDEX($D$2:$EQ$2,IO10)=IU10,OR(AND(IO10=IT10+1,OR(INDEX($D$3:$EQ$3,IT10)&lt;&gt;$A$3,$A$4=0)),AND(IO10=IT10-1,OR(INDEX($D$3:$EQ$3,IO10)&lt;&gt;$A$3,$A$4=0)))),1,0))</f>
        <v/>
      </c>
      <c r="IW10">
        <f>IF(AND('名簿'!C5&lt;&gt;"",IT10&lt;=0),1,0)</f>
        <v/>
      </c>
      <c r="IX10">
        <f>IF('名簿'!H5="空けない",1,0)</f>
        <v/>
      </c>
    </row>
    <row r="11">
      <c r="A11" t="n">
        <v>2</v>
      </c>
      <c r="B11">
        <f>'名簿'!I6</f>
        <v/>
      </c>
      <c r="C11">
        <f>IF(AND(B11&lt;&gt;"",OR('名簿'!J6="入力済み",'名簿'!J6="×なし"),IO11=0,COUNTIF('調整・決定'!$C$6:$H$29,B11)=0),1,0)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IK11">
        <f>IFERROR(INDEX('計算B'!$C$3:$C$47,MATCH(A11,'計算B'!$B$3:$B$47,0)),0)</f>
        <v/>
      </c>
      <c r="IL11">
        <f>IF(AND(C11=1,IK11=0),1,0)</f>
        <v/>
      </c>
      <c r="IM11">
        <f>SUMPRODUCT(D61:EQ61*(1-$D$7:$EQ$7))</f>
        <v/>
      </c>
      <c r="IN11">
        <f>SUM(D11:EQ11)</f>
        <v/>
      </c>
      <c r="IO11">
        <f>IF(B11="",0,IF(COUNTIF('調整・決定'!$C$6:$H$29,B11)=1,SUMPRODUCT(('調整・決定'!$C$6:$H$29=B11)*((COLUMN('調整・決定'!$C$6:$H$29)-3)*24+ROW('調整・決定'!$C$6:$H$29)-5)),0))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IF(OR('名簿'!E6="",'名簿'!F6=""),0,IFERROR((MATCH('名簿'!E6,'設定'!$E$11:$E$16,0)-1)*24+MATCH('名簿'!F6,'設定'!$I$11:$I$34,0),-1))</f>
        <v/>
      </c>
      <c r="IU11">
        <f>IF(IT11&gt;0,INDEX($D$2:$EQ$2,IT11),0)</f>
        <v/>
      </c>
      <c r="IV11">
        <f>IF(OR(IT11&lt;=0,IO11=0),1,IF(AND(INDEX($D$2:$EQ$2,IO11)=IU11,OR(AND(IO11=IT11+1,OR(INDEX($D$3:$EQ$3,IT11)&lt;&gt;$A$3,$A$4=0)),AND(IO11=IT11-1,OR(INDEX($D$3:$EQ$3,IO11)&lt;&gt;$A$3,$A$4=0)))),1,0))</f>
        <v/>
      </c>
      <c r="IW11">
        <f>IF(AND('名簿'!C6&lt;&gt;"",IT11&lt;=0),1,0)</f>
        <v/>
      </c>
      <c r="IX11">
        <f>IF('名簿'!H6="空けない",1,0)</f>
        <v/>
      </c>
    </row>
    <row r="12">
      <c r="A12" t="n">
        <v>3</v>
      </c>
      <c r="B12">
        <f>'名簿'!I7</f>
        <v/>
      </c>
      <c r="C12">
        <f>IF(AND(B12&lt;&gt;"",OR('名簿'!J7="入力済み",'名簿'!J7="×なし"),IO12=0,COUNTIF('調整・決定'!$C$6:$H$29,B12)=0),1,0)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IK12">
        <f>IFERROR(INDEX('計算B'!$C$3:$C$47,MATCH(A12,'計算B'!$B$3:$B$47,0)),0)</f>
        <v/>
      </c>
      <c r="IL12">
        <f>IF(AND(C12=1,IK12=0),1,0)</f>
        <v/>
      </c>
      <c r="IM12">
        <f>SUMPRODUCT(D62:EQ62*(1-$D$7:$EQ$7))</f>
        <v/>
      </c>
      <c r="IN12">
        <f>SUM(D12:EQ12)</f>
        <v/>
      </c>
      <c r="IO12">
        <f>IF(B12="",0,IF(COUNTIF('調整・決定'!$C$6:$H$29,B12)=1,SUMPRODUCT(('調整・決定'!$C$6:$H$29=B12)*((COLUMN('調整・決定'!$C$6:$H$29)-3)*24+ROW('調整・決定'!$C$6:$H$29)-5)),0))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IF(OR('名簿'!E7="",'名簿'!F7=""),0,IFERROR((MATCH('名簿'!E7,'設定'!$E$11:$E$16,0)-1)*24+MATCH('名簿'!F7,'設定'!$I$11:$I$34,0),-1))</f>
        <v/>
      </c>
      <c r="IU12">
        <f>IF(IT12&gt;0,INDEX($D$2:$EQ$2,IT12),0)</f>
        <v/>
      </c>
      <c r="IV12">
        <f>IF(OR(IT12&lt;=0,IO12=0),1,IF(AND(INDEX($D$2:$EQ$2,IO12)=IU12,OR(AND(IO12=IT12+1,OR(INDEX($D$3:$EQ$3,IT12)&lt;&gt;$A$3,$A$4=0)),AND(IO12=IT12-1,OR(INDEX($D$3:$EQ$3,IO12)&lt;&gt;$A$3,$A$4=0)))),1,0))</f>
        <v/>
      </c>
      <c r="IW12">
        <f>IF(AND('名簿'!C7&lt;&gt;"",IT12&lt;=0),1,0)</f>
        <v/>
      </c>
      <c r="IX12">
        <f>IF('名簿'!H7="空けない",1,0)</f>
        <v/>
      </c>
    </row>
    <row r="13">
      <c r="A13" t="n">
        <v>4</v>
      </c>
      <c r="B13">
        <f>'名簿'!I8</f>
        <v/>
      </c>
      <c r="C13">
        <f>IF(AND(B13&lt;&gt;"",OR('名簿'!J8="入力済み",'名簿'!J8="×なし"),IO13=0,COUNTIF('調整・決定'!$C$6:$H$29,B13)=0),1,0)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IK13">
        <f>IFERROR(INDEX('計算B'!$C$3:$C$47,MATCH(A13,'計算B'!$B$3:$B$47,0)),0)</f>
        <v/>
      </c>
      <c r="IL13">
        <f>IF(AND(C13=1,IK13=0),1,0)</f>
        <v/>
      </c>
      <c r="IM13">
        <f>SUMPRODUCT(D63:EQ63*(1-$D$7:$EQ$7))</f>
        <v/>
      </c>
      <c r="IN13">
        <f>SUM(D13:EQ13)</f>
        <v/>
      </c>
      <c r="IO13">
        <f>IF(B13="",0,IF(COUNTIF('調整・決定'!$C$6:$H$29,B13)=1,SUMPRODUCT(('調整・決定'!$C$6:$H$29=B13)*((COLUMN('調整・決定'!$C$6:$H$29)-3)*24+ROW('調整・決定'!$C$6:$H$29)-5)),0))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IF(OR('名簿'!E8="",'名簿'!F8=""),0,IFERROR((MATCH('名簿'!E8,'設定'!$E$11:$E$16,0)-1)*24+MATCH('名簿'!F8,'設定'!$I$11:$I$34,0),-1))</f>
        <v/>
      </c>
      <c r="IU13">
        <f>IF(IT13&gt;0,INDEX($D$2:$EQ$2,IT13),0)</f>
        <v/>
      </c>
      <c r="IV13">
        <f>IF(OR(IT13&lt;=0,IO13=0),1,IF(AND(INDEX($D$2:$EQ$2,IO13)=IU13,OR(AND(IO13=IT13+1,OR(INDEX($D$3:$EQ$3,IT13)&lt;&gt;$A$3,$A$4=0)),AND(IO13=IT13-1,OR(INDEX($D$3:$EQ$3,IO13)&lt;&gt;$A$3,$A$4=0)))),1,0))</f>
        <v/>
      </c>
      <c r="IW13">
        <f>IF(AND('名簿'!C8&lt;&gt;"",IT13&lt;=0),1,0)</f>
        <v/>
      </c>
      <c r="IX13">
        <f>IF('名簿'!H8="空けない",1,0)</f>
        <v/>
      </c>
    </row>
    <row r="14">
      <c r="A14" t="n">
        <v>5</v>
      </c>
      <c r="B14">
        <f>'名簿'!I9</f>
        <v/>
      </c>
      <c r="C14">
        <f>IF(AND(B14&lt;&gt;"",OR('名簿'!J9="入力済み",'名簿'!J9="×なし"),IO14=0,COUNTIF('調整・決定'!$C$6:$H$29,B14)=0),1,0)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IK14">
        <f>IFERROR(INDEX('計算B'!$C$3:$C$47,MATCH(A14,'計算B'!$B$3:$B$47,0)),0)</f>
        <v/>
      </c>
      <c r="IL14">
        <f>IF(AND(C14=1,IK14=0),1,0)</f>
        <v/>
      </c>
      <c r="IM14">
        <f>SUMPRODUCT(D64:EQ64*(1-$D$7:$EQ$7))</f>
        <v/>
      </c>
      <c r="IN14">
        <f>SUM(D14:EQ14)</f>
        <v/>
      </c>
      <c r="IO14">
        <f>IF(B14="",0,IF(COUNTIF('調整・決定'!$C$6:$H$29,B14)=1,SUMPRODUCT(('調整・決定'!$C$6:$H$29=B14)*((COLUMN('調整・決定'!$C$6:$H$29)-3)*24+ROW('調整・決定'!$C$6:$H$29)-5)),0))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IF(OR('名簿'!E9="",'名簿'!F9=""),0,IFERROR((MATCH('名簿'!E9,'設定'!$E$11:$E$16,0)-1)*24+MATCH('名簿'!F9,'設定'!$I$11:$I$34,0),-1))</f>
        <v/>
      </c>
      <c r="IU14">
        <f>IF(IT14&gt;0,INDEX($D$2:$EQ$2,IT14),0)</f>
        <v/>
      </c>
      <c r="IV14">
        <f>IF(OR(IT14&lt;=0,IO14=0),1,IF(AND(INDEX($D$2:$EQ$2,IO14)=IU14,OR(AND(IO14=IT14+1,OR(INDEX($D$3:$EQ$3,IT14)&lt;&gt;$A$3,$A$4=0)),AND(IO14=IT14-1,OR(INDEX($D$3:$EQ$3,IO14)&lt;&gt;$A$3,$A$4=0)))),1,0))</f>
        <v/>
      </c>
      <c r="IW14">
        <f>IF(AND('名簿'!C9&lt;&gt;"",IT14&lt;=0),1,0)</f>
        <v/>
      </c>
      <c r="IX14">
        <f>IF('名簿'!H9="空けない",1,0)</f>
        <v/>
      </c>
    </row>
    <row r="15">
      <c r="A15" t="n">
        <v>6</v>
      </c>
      <c r="B15">
        <f>'名簿'!I10</f>
        <v/>
      </c>
      <c r="C15">
        <f>IF(AND(B15&lt;&gt;"",OR('名簿'!J10="入力済み",'名簿'!J10="×なし"),IO15=0,COUNTIF('調整・決定'!$C$6:$H$29,B15)=0),1,0)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IK15">
        <f>IFERROR(INDEX('計算B'!$C$3:$C$47,MATCH(A15,'計算B'!$B$3:$B$47,0)),0)</f>
        <v/>
      </c>
      <c r="IL15">
        <f>IF(AND(C15=1,IK15=0),1,0)</f>
        <v/>
      </c>
      <c r="IM15">
        <f>SUMPRODUCT(D65:EQ65*(1-$D$7:$EQ$7))</f>
        <v/>
      </c>
      <c r="IN15">
        <f>SUM(D15:EQ15)</f>
        <v/>
      </c>
      <c r="IO15">
        <f>IF(B15="",0,IF(COUNTIF('調整・決定'!$C$6:$H$29,B15)=1,SUMPRODUCT(('調整・決定'!$C$6:$H$29=B15)*((COLUMN('調整・決定'!$C$6:$H$29)-3)*24+ROW('調整・決定'!$C$6:$H$29)-5)),0))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IF(OR('名簿'!E10="",'名簿'!F10=""),0,IFERROR((MATCH('名簿'!E10,'設定'!$E$11:$E$16,0)-1)*24+MATCH('名簿'!F10,'設定'!$I$11:$I$34,0),-1))</f>
        <v/>
      </c>
      <c r="IU15">
        <f>IF(IT15&gt;0,INDEX($D$2:$EQ$2,IT15),0)</f>
        <v/>
      </c>
      <c r="IV15">
        <f>IF(OR(IT15&lt;=0,IO15=0),1,IF(AND(INDEX($D$2:$EQ$2,IO15)=IU15,OR(AND(IO15=IT15+1,OR(INDEX($D$3:$EQ$3,IT15)&lt;&gt;$A$3,$A$4=0)),AND(IO15=IT15-1,OR(INDEX($D$3:$EQ$3,IO15)&lt;&gt;$A$3,$A$4=0)))),1,0))</f>
        <v/>
      </c>
      <c r="IW15">
        <f>IF(AND('名簿'!C10&lt;&gt;"",IT15&lt;=0),1,0)</f>
        <v/>
      </c>
      <c r="IX15">
        <f>IF('名簿'!H10="空けない",1,0)</f>
        <v/>
      </c>
    </row>
    <row r="16">
      <c r="A16" t="n">
        <v>7</v>
      </c>
      <c r="B16">
        <f>'名簿'!I11</f>
        <v/>
      </c>
      <c r="C16">
        <f>IF(AND(B16&lt;&gt;"",OR('名簿'!J11="入力済み",'名簿'!J11="×なし"),IO16=0,COUNTIF('調整・決定'!$C$6:$H$29,B16)=0),1,0)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IK16">
        <f>IFERROR(INDEX('計算B'!$C$3:$C$47,MATCH(A16,'計算B'!$B$3:$B$47,0)),0)</f>
        <v/>
      </c>
      <c r="IL16">
        <f>IF(AND(C16=1,IK16=0),1,0)</f>
        <v/>
      </c>
      <c r="IM16">
        <f>SUMPRODUCT(D66:EQ66*(1-$D$7:$EQ$7))</f>
        <v/>
      </c>
      <c r="IN16">
        <f>SUM(D16:EQ16)</f>
        <v/>
      </c>
      <c r="IO16">
        <f>IF(B16="",0,IF(COUNTIF('調整・決定'!$C$6:$H$29,B16)=1,SUMPRODUCT(('調整・決定'!$C$6:$H$29=B16)*((COLUMN('調整・決定'!$C$6:$H$29)-3)*24+ROW('調整・決定'!$C$6:$H$29)-5)),0))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IF(OR('名簿'!E11="",'名簿'!F11=""),0,IFERROR((MATCH('名簿'!E11,'設定'!$E$11:$E$16,0)-1)*24+MATCH('名簿'!F11,'設定'!$I$11:$I$34,0),-1))</f>
        <v/>
      </c>
      <c r="IU16">
        <f>IF(IT16&gt;0,INDEX($D$2:$EQ$2,IT16),0)</f>
        <v/>
      </c>
      <c r="IV16">
        <f>IF(OR(IT16&lt;=0,IO16=0),1,IF(AND(INDEX($D$2:$EQ$2,IO16)=IU16,OR(AND(IO16=IT16+1,OR(INDEX($D$3:$EQ$3,IT16)&lt;&gt;$A$3,$A$4=0)),AND(IO16=IT16-1,OR(INDEX($D$3:$EQ$3,IO16)&lt;&gt;$A$3,$A$4=0)))),1,0))</f>
        <v/>
      </c>
      <c r="IW16">
        <f>IF(AND('名簿'!C11&lt;&gt;"",IT16&lt;=0),1,0)</f>
        <v/>
      </c>
      <c r="IX16">
        <f>IF('名簿'!H11="空けない",1,0)</f>
        <v/>
      </c>
    </row>
    <row r="17">
      <c r="A17" t="n">
        <v>8</v>
      </c>
      <c r="B17">
        <f>'名簿'!I12</f>
        <v/>
      </c>
      <c r="C17">
        <f>IF(AND(B17&lt;&gt;"",OR('名簿'!J12="入力済み",'名簿'!J12="×なし"),IO17=0,COUNTIF('調整・決定'!$C$6:$H$29,B17)=0),1,0)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IK17">
        <f>IFERROR(INDEX('計算B'!$C$3:$C$47,MATCH(A17,'計算B'!$B$3:$B$47,0)),0)</f>
        <v/>
      </c>
      <c r="IL17">
        <f>IF(AND(C17=1,IK17=0),1,0)</f>
        <v/>
      </c>
      <c r="IM17">
        <f>SUMPRODUCT(D67:EQ67*(1-$D$7:$EQ$7))</f>
        <v/>
      </c>
      <c r="IN17">
        <f>SUM(D17:EQ17)</f>
        <v/>
      </c>
      <c r="IO17">
        <f>IF(B17="",0,IF(COUNTIF('調整・決定'!$C$6:$H$29,B17)=1,SUMPRODUCT(('調整・決定'!$C$6:$H$29=B17)*((COLUMN('調整・決定'!$C$6:$H$29)-3)*24+ROW('調整・決定'!$C$6:$H$29)-5)),0))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IF(OR('名簿'!E12="",'名簿'!F12=""),0,IFERROR((MATCH('名簿'!E12,'設定'!$E$11:$E$16,0)-1)*24+MATCH('名簿'!F12,'設定'!$I$11:$I$34,0),-1))</f>
        <v/>
      </c>
      <c r="IU17">
        <f>IF(IT17&gt;0,INDEX($D$2:$EQ$2,IT17),0)</f>
        <v/>
      </c>
      <c r="IV17">
        <f>IF(OR(IT17&lt;=0,IO17=0),1,IF(AND(INDEX($D$2:$EQ$2,IO17)=IU17,OR(AND(IO17=IT17+1,OR(INDEX($D$3:$EQ$3,IT17)&lt;&gt;$A$3,$A$4=0)),AND(IO17=IT17-1,OR(INDEX($D$3:$EQ$3,IO17)&lt;&gt;$A$3,$A$4=0)))),1,0))</f>
        <v/>
      </c>
      <c r="IW17">
        <f>IF(AND('名簿'!C12&lt;&gt;"",IT17&lt;=0),1,0)</f>
        <v/>
      </c>
      <c r="IX17">
        <f>IF('名簿'!H12="空けない",1,0)</f>
        <v/>
      </c>
    </row>
    <row r="18">
      <c r="A18" t="n">
        <v>9</v>
      </c>
      <c r="B18">
        <f>'名簿'!I13</f>
        <v/>
      </c>
      <c r="C18">
        <f>IF(AND(B18&lt;&gt;"",OR('名簿'!J13="入力済み",'名簿'!J13="×なし"),IO18=0,COUNTIF('調整・決定'!$C$6:$H$29,B18)=0),1,0)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IK18">
        <f>IFERROR(INDEX('計算B'!$C$3:$C$47,MATCH(A18,'計算B'!$B$3:$B$47,0)),0)</f>
        <v/>
      </c>
      <c r="IL18">
        <f>IF(AND(C18=1,IK18=0),1,0)</f>
        <v/>
      </c>
      <c r="IM18">
        <f>SUMPRODUCT(D68:EQ68*(1-$D$7:$EQ$7))</f>
        <v/>
      </c>
      <c r="IN18">
        <f>SUM(D18:EQ18)</f>
        <v/>
      </c>
      <c r="IO18">
        <f>IF(B18="",0,IF(COUNTIF('調整・決定'!$C$6:$H$29,B18)=1,SUMPRODUCT(('調整・決定'!$C$6:$H$29=B18)*((COLUMN('調整・決定'!$C$6:$H$29)-3)*24+ROW('調整・決定'!$C$6:$H$29)-5)),0))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IF(OR('名簿'!E13="",'名簿'!F13=""),0,IFERROR((MATCH('名簿'!E13,'設定'!$E$11:$E$16,0)-1)*24+MATCH('名簿'!F13,'設定'!$I$11:$I$34,0),-1))</f>
        <v/>
      </c>
      <c r="IU18">
        <f>IF(IT18&gt;0,INDEX($D$2:$EQ$2,IT18),0)</f>
        <v/>
      </c>
      <c r="IV18">
        <f>IF(OR(IT18&lt;=0,IO18=0),1,IF(AND(INDEX($D$2:$EQ$2,IO18)=IU18,OR(AND(IO18=IT18+1,OR(INDEX($D$3:$EQ$3,IT18)&lt;&gt;$A$3,$A$4=0)),AND(IO18=IT18-1,OR(INDEX($D$3:$EQ$3,IO18)&lt;&gt;$A$3,$A$4=0)))),1,0))</f>
        <v/>
      </c>
      <c r="IW18">
        <f>IF(AND('名簿'!C13&lt;&gt;"",IT18&lt;=0),1,0)</f>
        <v/>
      </c>
      <c r="IX18">
        <f>IF('名簿'!H13="空けない",1,0)</f>
        <v/>
      </c>
    </row>
    <row r="19">
      <c r="A19" t="n">
        <v>10</v>
      </c>
      <c r="B19">
        <f>'名簿'!I14</f>
        <v/>
      </c>
      <c r="C19">
        <f>IF(AND(B19&lt;&gt;"",OR('名簿'!J14="入力済み",'名簿'!J14="×なし"),IO19=0,COUNTIF('調整・決定'!$C$6:$H$29,B19)=0),1,0)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IK19">
        <f>IFERROR(INDEX('計算B'!$C$3:$C$47,MATCH(A19,'計算B'!$B$3:$B$47,0)),0)</f>
        <v/>
      </c>
      <c r="IL19">
        <f>IF(AND(C19=1,IK19=0),1,0)</f>
        <v/>
      </c>
      <c r="IM19">
        <f>SUMPRODUCT(D69:EQ69*(1-$D$7:$EQ$7))</f>
        <v/>
      </c>
      <c r="IN19">
        <f>SUM(D19:EQ19)</f>
        <v/>
      </c>
      <c r="IO19">
        <f>IF(B19="",0,IF(COUNTIF('調整・決定'!$C$6:$H$29,B19)=1,SUMPRODUCT(('調整・決定'!$C$6:$H$29=B19)*((COLUMN('調整・決定'!$C$6:$H$29)-3)*24+ROW('調整・決定'!$C$6:$H$29)-5)),0))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IF(OR('名簿'!E14="",'名簿'!F14=""),0,IFERROR((MATCH('名簿'!E14,'設定'!$E$11:$E$16,0)-1)*24+MATCH('名簿'!F14,'設定'!$I$11:$I$34,0),-1))</f>
        <v/>
      </c>
      <c r="IU19">
        <f>IF(IT19&gt;0,INDEX($D$2:$EQ$2,IT19),0)</f>
        <v/>
      </c>
      <c r="IV19">
        <f>IF(OR(IT19&lt;=0,IO19=0),1,IF(AND(INDEX($D$2:$EQ$2,IO19)=IU19,OR(AND(IO19=IT19+1,OR(INDEX($D$3:$EQ$3,IT19)&lt;&gt;$A$3,$A$4=0)),AND(IO19=IT19-1,OR(INDEX($D$3:$EQ$3,IO19)&lt;&gt;$A$3,$A$4=0)))),1,0))</f>
        <v/>
      </c>
      <c r="IW19">
        <f>IF(AND('名簿'!C14&lt;&gt;"",IT19&lt;=0),1,0)</f>
        <v/>
      </c>
      <c r="IX19">
        <f>IF('名簿'!H14="空けない",1,0)</f>
        <v/>
      </c>
    </row>
    <row r="20">
      <c r="A20" t="n">
        <v>11</v>
      </c>
      <c r="B20">
        <f>'名簿'!I15</f>
        <v/>
      </c>
      <c r="C20">
        <f>IF(AND(B20&lt;&gt;"",OR('名簿'!J15="入力済み",'名簿'!J15="×なし"),IO20=0,COUNTIF('調整・決定'!$C$6:$H$29,B20)=0),1,0)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IK20">
        <f>IFERROR(INDEX('計算B'!$C$3:$C$47,MATCH(A20,'計算B'!$B$3:$B$47,0)),0)</f>
        <v/>
      </c>
      <c r="IL20">
        <f>IF(AND(C20=1,IK20=0),1,0)</f>
        <v/>
      </c>
      <c r="IM20">
        <f>SUMPRODUCT(D70:EQ70*(1-$D$7:$EQ$7))</f>
        <v/>
      </c>
      <c r="IN20">
        <f>SUM(D20:EQ20)</f>
        <v/>
      </c>
      <c r="IO20">
        <f>IF(B20="",0,IF(COUNTIF('調整・決定'!$C$6:$H$29,B20)=1,SUMPRODUCT(('調整・決定'!$C$6:$H$29=B20)*((COLUMN('調整・決定'!$C$6:$H$29)-3)*24+ROW('調整・決定'!$C$6:$H$29)-5)),0))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IF(OR('名簿'!E15="",'名簿'!F15=""),0,IFERROR((MATCH('名簿'!E15,'設定'!$E$11:$E$16,0)-1)*24+MATCH('名簿'!F15,'設定'!$I$11:$I$34,0),-1))</f>
        <v/>
      </c>
      <c r="IU20">
        <f>IF(IT20&gt;0,INDEX($D$2:$EQ$2,IT20),0)</f>
        <v/>
      </c>
      <c r="IV20">
        <f>IF(OR(IT20&lt;=0,IO20=0),1,IF(AND(INDEX($D$2:$EQ$2,IO20)=IU20,OR(AND(IO20=IT20+1,OR(INDEX($D$3:$EQ$3,IT20)&lt;&gt;$A$3,$A$4=0)),AND(IO20=IT20-1,OR(INDEX($D$3:$EQ$3,IO20)&lt;&gt;$A$3,$A$4=0)))),1,0))</f>
        <v/>
      </c>
      <c r="IW20">
        <f>IF(AND('名簿'!C15&lt;&gt;"",IT20&lt;=0),1,0)</f>
        <v/>
      </c>
      <c r="IX20">
        <f>IF('名簿'!H15="空けない",1,0)</f>
        <v/>
      </c>
    </row>
    <row r="21">
      <c r="A21" t="n">
        <v>12</v>
      </c>
      <c r="B21">
        <f>'名簿'!I16</f>
        <v/>
      </c>
      <c r="C21">
        <f>IF(AND(B21&lt;&gt;"",OR('名簿'!J16="入力済み",'名簿'!J16="×なし"),IO21=0,COUNTIF('調整・決定'!$C$6:$H$29,B21)=0),1,0)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IK21">
        <f>IFERROR(INDEX('計算B'!$C$3:$C$47,MATCH(A21,'計算B'!$B$3:$B$47,0)),0)</f>
        <v/>
      </c>
      <c r="IL21">
        <f>IF(AND(C21=1,IK21=0),1,0)</f>
        <v/>
      </c>
      <c r="IM21">
        <f>SUMPRODUCT(D71:EQ71*(1-$D$7:$EQ$7))</f>
        <v/>
      </c>
      <c r="IN21">
        <f>SUM(D21:EQ21)</f>
        <v/>
      </c>
      <c r="IO21">
        <f>IF(B21="",0,IF(COUNTIF('調整・決定'!$C$6:$H$29,B21)=1,SUMPRODUCT(('調整・決定'!$C$6:$H$29=B21)*((COLUMN('調整・決定'!$C$6:$H$29)-3)*24+ROW('調整・決定'!$C$6:$H$29)-5)),0))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IF(OR('名簿'!E16="",'名簿'!F16=""),0,IFERROR((MATCH('名簿'!E16,'設定'!$E$11:$E$16,0)-1)*24+MATCH('名簿'!F16,'設定'!$I$11:$I$34,0),-1))</f>
        <v/>
      </c>
      <c r="IU21">
        <f>IF(IT21&gt;0,INDEX($D$2:$EQ$2,IT21),0)</f>
        <v/>
      </c>
      <c r="IV21">
        <f>IF(OR(IT21&lt;=0,IO21=0),1,IF(AND(INDEX($D$2:$EQ$2,IO21)=IU21,OR(AND(IO21=IT21+1,OR(INDEX($D$3:$EQ$3,IT21)&lt;&gt;$A$3,$A$4=0)),AND(IO21=IT21-1,OR(INDEX($D$3:$EQ$3,IO21)&lt;&gt;$A$3,$A$4=0)))),1,0))</f>
        <v/>
      </c>
      <c r="IW21">
        <f>IF(AND('名簿'!C16&lt;&gt;"",IT21&lt;=0),1,0)</f>
        <v/>
      </c>
      <c r="IX21">
        <f>IF('名簿'!H16="空けない",1,0)</f>
        <v/>
      </c>
    </row>
    <row r="22">
      <c r="A22" t="n">
        <v>13</v>
      </c>
      <c r="B22">
        <f>'名簿'!I17</f>
        <v/>
      </c>
      <c r="C22">
        <f>IF(AND(B22&lt;&gt;"",OR('名簿'!J17="入力済み",'名簿'!J17="×なし"),IO22=0,COUNTIF('調整・決定'!$C$6:$H$29,B22)=0),1,0)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IK22">
        <f>IFERROR(INDEX('計算B'!$C$3:$C$47,MATCH(A22,'計算B'!$B$3:$B$47,0)),0)</f>
        <v/>
      </c>
      <c r="IL22">
        <f>IF(AND(C22=1,IK22=0),1,0)</f>
        <v/>
      </c>
      <c r="IM22">
        <f>SUMPRODUCT(D72:EQ72*(1-$D$7:$EQ$7))</f>
        <v/>
      </c>
      <c r="IN22">
        <f>SUM(D22:EQ22)</f>
        <v/>
      </c>
      <c r="IO22">
        <f>IF(B22="",0,IF(COUNTIF('調整・決定'!$C$6:$H$29,B22)=1,SUMPRODUCT(('調整・決定'!$C$6:$H$29=B22)*((COLUMN('調整・決定'!$C$6:$H$29)-3)*24+ROW('調整・決定'!$C$6:$H$29)-5)),0))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IF(OR('名簿'!E17="",'名簿'!F17=""),0,IFERROR((MATCH('名簿'!E17,'設定'!$E$11:$E$16,0)-1)*24+MATCH('名簿'!F17,'設定'!$I$11:$I$34,0),-1))</f>
        <v/>
      </c>
      <c r="IU22">
        <f>IF(IT22&gt;0,INDEX($D$2:$EQ$2,IT22),0)</f>
        <v/>
      </c>
      <c r="IV22">
        <f>IF(OR(IT22&lt;=0,IO22=0),1,IF(AND(INDEX($D$2:$EQ$2,IO22)=IU22,OR(AND(IO22=IT22+1,OR(INDEX($D$3:$EQ$3,IT22)&lt;&gt;$A$3,$A$4=0)),AND(IO22=IT22-1,OR(INDEX($D$3:$EQ$3,IO22)&lt;&gt;$A$3,$A$4=0)))),1,0))</f>
        <v/>
      </c>
      <c r="IW22">
        <f>IF(AND('名簿'!C17&lt;&gt;"",IT22&lt;=0),1,0)</f>
        <v/>
      </c>
      <c r="IX22">
        <f>IF('名簿'!H17="空けない",1,0)</f>
        <v/>
      </c>
    </row>
    <row r="23">
      <c r="A23" t="n">
        <v>14</v>
      </c>
      <c r="B23">
        <f>'名簿'!I18</f>
        <v/>
      </c>
      <c r="C23">
        <f>IF(AND(B23&lt;&gt;"",OR('名簿'!J18="入力済み",'名簿'!J18="×なし"),IO23=0,COUNTIF('調整・決定'!$C$6:$H$29,B23)=0),1,0)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IK23">
        <f>IFERROR(INDEX('計算B'!$C$3:$C$47,MATCH(A23,'計算B'!$B$3:$B$47,0)),0)</f>
        <v/>
      </c>
      <c r="IL23">
        <f>IF(AND(C23=1,IK23=0),1,0)</f>
        <v/>
      </c>
      <c r="IM23">
        <f>SUMPRODUCT(D73:EQ73*(1-$D$7:$EQ$7))</f>
        <v/>
      </c>
      <c r="IN23">
        <f>SUM(D23:EQ23)</f>
        <v/>
      </c>
      <c r="IO23">
        <f>IF(B23="",0,IF(COUNTIF('調整・決定'!$C$6:$H$29,B23)=1,SUMPRODUCT(('調整・決定'!$C$6:$H$29=B23)*((COLUMN('調整・決定'!$C$6:$H$29)-3)*24+ROW('調整・決定'!$C$6:$H$29)-5)),0))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IF(OR('名簿'!E18="",'名簿'!F18=""),0,IFERROR((MATCH('名簿'!E18,'設定'!$E$11:$E$16,0)-1)*24+MATCH('名簿'!F18,'設定'!$I$11:$I$34,0),-1))</f>
        <v/>
      </c>
      <c r="IU23">
        <f>IF(IT23&gt;0,INDEX($D$2:$EQ$2,IT23),0)</f>
        <v/>
      </c>
      <c r="IV23">
        <f>IF(OR(IT23&lt;=0,IO23=0),1,IF(AND(INDEX($D$2:$EQ$2,IO23)=IU23,OR(AND(IO23=IT23+1,OR(INDEX($D$3:$EQ$3,IT23)&lt;&gt;$A$3,$A$4=0)),AND(IO23=IT23-1,OR(INDEX($D$3:$EQ$3,IO23)&lt;&gt;$A$3,$A$4=0)))),1,0))</f>
        <v/>
      </c>
      <c r="IW23">
        <f>IF(AND('名簿'!C18&lt;&gt;"",IT23&lt;=0),1,0)</f>
        <v/>
      </c>
      <c r="IX23">
        <f>IF('名簿'!H18="空けない",1,0)</f>
        <v/>
      </c>
    </row>
    <row r="24">
      <c r="A24" t="n">
        <v>15</v>
      </c>
      <c r="B24">
        <f>'名簿'!I19</f>
        <v/>
      </c>
      <c r="C24">
        <f>IF(AND(B24&lt;&gt;"",OR('名簿'!J19="入力済み",'名簿'!J19="×なし"),IO24=0,COUNTIF('調整・決定'!$C$6:$H$29,B24)=0),1,0)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IK24">
        <f>IFERROR(INDEX('計算B'!$C$3:$C$47,MATCH(A24,'計算B'!$B$3:$B$47,0)),0)</f>
        <v/>
      </c>
      <c r="IL24">
        <f>IF(AND(C24=1,IK24=0),1,0)</f>
        <v/>
      </c>
      <c r="IM24">
        <f>SUMPRODUCT(D74:EQ74*(1-$D$7:$EQ$7))</f>
        <v/>
      </c>
      <c r="IN24">
        <f>SUM(D24:EQ24)</f>
        <v/>
      </c>
      <c r="IO24">
        <f>IF(B24="",0,IF(COUNTIF('調整・決定'!$C$6:$H$29,B24)=1,SUMPRODUCT(('調整・決定'!$C$6:$H$29=B24)*((COLUMN('調整・決定'!$C$6:$H$29)-3)*24+ROW('調整・決定'!$C$6:$H$29)-5)),0))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IF(OR('名簿'!E19="",'名簿'!F19=""),0,IFERROR((MATCH('名簿'!E19,'設定'!$E$11:$E$16,0)-1)*24+MATCH('名簿'!F19,'設定'!$I$11:$I$34,0),-1))</f>
        <v/>
      </c>
      <c r="IU24">
        <f>IF(IT24&gt;0,INDEX($D$2:$EQ$2,IT24),0)</f>
        <v/>
      </c>
      <c r="IV24">
        <f>IF(OR(IT24&lt;=0,IO24=0),1,IF(AND(INDEX($D$2:$EQ$2,IO24)=IU24,OR(AND(IO24=IT24+1,OR(INDEX($D$3:$EQ$3,IT24)&lt;&gt;$A$3,$A$4=0)),AND(IO24=IT24-1,OR(INDEX($D$3:$EQ$3,IO24)&lt;&gt;$A$3,$A$4=0)))),1,0))</f>
        <v/>
      </c>
      <c r="IW24">
        <f>IF(AND('名簿'!C19&lt;&gt;"",IT24&lt;=0),1,0)</f>
        <v/>
      </c>
      <c r="IX24">
        <f>IF('名簿'!H19="空けない",1,0)</f>
        <v/>
      </c>
    </row>
    <row r="25">
      <c r="A25" t="n">
        <v>16</v>
      </c>
      <c r="B25">
        <f>'名簿'!I20</f>
        <v/>
      </c>
      <c r="C25">
        <f>IF(AND(B25&lt;&gt;"",OR('名簿'!J20="入力済み",'名簿'!J20="×なし"),IO25=0,COUNTIF('調整・決定'!$C$6:$H$29,B25)=0),1,0)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IK25">
        <f>IFERROR(INDEX('計算B'!$C$3:$C$47,MATCH(A25,'計算B'!$B$3:$B$47,0)),0)</f>
        <v/>
      </c>
      <c r="IL25">
        <f>IF(AND(C25=1,IK25=0),1,0)</f>
        <v/>
      </c>
      <c r="IM25">
        <f>SUMPRODUCT(D75:EQ75*(1-$D$7:$EQ$7))</f>
        <v/>
      </c>
      <c r="IN25">
        <f>SUM(D25:EQ25)</f>
        <v/>
      </c>
      <c r="IO25">
        <f>IF(B25="",0,IF(COUNTIF('調整・決定'!$C$6:$H$29,B25)=1,SUMPRODUCT(('調整・決定'!$C$6:$H$29=B25)*((COLUMN('調整・決定'!$C$6:$H$29)-3)*24+ROW('調整・決定'!$C$6:$H$29)-5)),0))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IF(OR('名簿'!E20="",'名簿'!F20=""),0,IFERROR((MATCH('名簿'!E20,'設定'!$E$11:$E$16,0)-1)*24+MATCH('名簿'!F20,'設定'!$I$11:$I$34,0),-1))</f>
        <v/>
      </c>
      <c r="IU25">
        <f>IF(IT25&gt;0,INDEX($D$2:$EQ$2,IT25),0)</f>
        <v/>
      </c>
      <c r="IV25">
        <f>IF(OR(IT25&lt;=0,IO25=0),1,IF(AND(INDEX($D$2:$EQ$2,IO25)=IU25,OR(AND(IO25=IT25+1,OR(INDEX($D$3:$EQ$3,IT25)&lt;&gt;$A$3,$A$4=0)),AND(IO25=IT25-1,OR(INDEX($D$3:$EQ$3,IO25)&lt;&gt;$A$3,$A$4=0)))),1,0))</f>
        <v/>
      </c>
      <c r="IW25">
        <f>IF(AND('名簿'!C20&lt;&gt;"",IT25&lt;=0),1,0)</f>
        <v/>
      </c>
      <c r="IX25">
        <f>IF('名簿'!H20="空けない",1,0)</f>
        <v/>
      </c>
    </row>
    <row r="26">
      <c r="A26" t="n">
        <v>17</v>
      </c>
      <c r="B26">
        <f>'名簿'!I21</f>
        <v/>
      </c>
      <c r="C26">
        <f>IF(AND(B26&lt;&gt;"",OR('名簿'!J21="入力済み",'名簿'!J21="×なし"),IO26=0,COUNTIF('調整・決定'!$C$6:$H$29,B26)=0),1,0)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IK26">
        <f>IFERROR(INDEX('計算B'!$C$3:$C$47,MATCH(A26,'計算B'!$B$3:$B$47,0)),0)</f>
        <v/>
      </c>
      <c r="IL26">
        <f>IF(AND(C26=1,IK26=0),1,0)</f>
        <v/>
      </c>
      <c r="IM26">
        <f>SUMPRODUCT(D76:EQ76*(1-$D$7:$EQ$7))</f>
        <v/>
      </c>
      <c r="IN26">
        <f>SUM(D26:EQ26)</f>
        <v/>
      </c>
      <c r="IO26">
        <f>IF(B26="",0,IF(COUNTIF('調整・決定'!$C$6:$H$29,B26)=1,SUMPRODUCT(('調整・決定'!$C$6:$H$29=B26)*((COLUMN('調整・決定'!$C$6:$H$29)-3)*24+ROW('調整・決定'!$C$6:$H$29)-5)),0))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IF(OR('名簿'!E21="",'名簿'!F21=""),0,IFERROR((MATCH('名簿'!E21,'設定'!$E$11:$E$16,0)-1)*24+MATCH('名簿'!F21,'設定'!$I$11:$I$34,0),-1))</f>
        <v/>
      </c>
      <c r="IU26">
        <f>IF(IT26&gt;0,INDEX($D$2:$EQ$2,IT26),0)</f>
        <v/>
      </c>
      <c r="IV26">
        <f>IF(OR(IT26&lt;=0,IO26=0),1,IF(AND(INDEX($D$2:$EQ$2,IO26)=IU26,OR(AND(IO26=IT26+1,OR(INDEX($D$3:$EQ$3,IT26)&lt;&gt;$A$3,$A$4=0)),AND(IO26=IT26-1,OR(INDEX($D$3:$EQ$3,IO26)&lt;&gt;$A$3,$A$4=0)))),1,0))</f>
        <v/>
      </c>
      <c r="IW26">
        <f>IF(AND('名簿'!C21&lt;&gt;"",IT26&lt;=0),1,0)</f>
        <v/>
      </c>
      <c r="IX26">
        <f>IF('名簿'!H21="空けない",1,0)</f>
        <v/>
      </c>
    </row>
    <row r="27">
      <c r="A27" t="n">
        <v>18</v>
      </c>
      <c r="B27">
        <f>'名簿'!I22</f>
        <v/>
      </c>
      <c r="C27">
        <f>IF(AND(B27&lt;&gt;"",OR('名簿'!J22="入力済み",'名簿'!J22="×なし"),IO27=0,COUNTIF('調整・決定'!$C$6:$H$29,B27)=0),1,0)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IK27">
        <f>IFERROR(INDEX('計算B'!$C$3:$C$47,MATCH(A27,'計算B'!$B$3:$B$47,0)),0)</f>
        <v/>
      </c>
      <c r="IL27">
        <f>IF(AND(C27=1,IK27=0),1,0)</f>
        <v/>
      </c>
      <c r="IM27">
        <f>SUMPRODUCT(D77:EQ77*(1-$D$7:$EQ$7))</f>
        <v/>
      </c>
      <c r="IN27">
        <f>SUM(D27:EQ27)</f>
        <v/>
      </c>
      <c r="IO27">
        <f>IF(B27="",0,IF(COUNTIF('調整・決定'!$C$6:$H$29,B27)=1,SUMPRODUCT(('調整・決定'!$C$6:$H$29=B27)*((COLUMN('調整・決定'!$C$6:$H$29)-3)*24+ROW('調整・決定'!$C$6:$H$29)-5)),0))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IF(OR('名簿'!E22="",'名簿'!F22=""),0,IFERROR((MATCH('名簿'!E22,'設定'!$E$11:$E$16,0)-1)*24+MATCH('名簿'!F22,'設定'!$I$11:$I$34,0),-1))</f>
        <v/>
      </c>
      <c r="IU27">
        <f>IF(IT27&gt;0,INDEX($D$2:$EQ$2,IT27),0)</f>
        <v/>
      </c>
      <c r="IV27">
        <f>IF(OR(IT27&lt;=0,IO27=0),1,IF(AND(INDEX($D$2:$EQ$2,IO27)=IU27,OR(AND(IO27=IT27+1,OR(INDEX($D$3:$EQ$3,IT27)&lt;&gt;$A$3,$A$4=0)),AND(IO27=IT27-1,OR(INDEX($D$3:$EQ$3,IO27)&lt;&gt;$A$3,$A$4=0)))),1,0))</f>
        <v/>
      </c>
      <c r="IW27">
        <f>IF(AND('名簿'!C22&lt;&gt;"",IT27&lt;=0),1,0)</f>
        <v/>
      </c>
      <c r="IX27">
        <f>IF('名簿'!H22="空けない",1,0)</f>
        <v/>
      </c>
    </row>
    <row r="28">
      <c r="A28" t="n">
        <v>19</v>
      </c>
      <c r="B28">
        <f>'名簿'!I23</f>
        <v/>
      </c>
      <c r="C28">
        <f>IF(AND(B28&lt;&gt;"",OR('名簿'!J23="入力済み",'名簿'!J23="×なし"),IO28=0,COUNTIF('調整・決定'!$C$6:$H$29,B28)=0),1,0)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IK28">
        <f>IFERROR(INDEX('計算B'!$C$3:$C$47,MATCH(A28,'計算B'!$B$3:$B$47,0)),0)</f>
        <v/>
      </c>
      <c r="IL28">
        <f>IF(AND(C28=1,IK28=0),1,0)</f>
        <v/>
      </c>
      <c r="IM28">
        <f>SUMPRODUCT(D78:EQ78*(1-$D$7:$EQ$7))</f>
        <v/>
      </c>
      <c r="IN28">
        <f>SUM(D28:EQ28)</f>
        <v/>
      </c>
      <c r="IO28">
        <f>IF(B28="",0,IF(COUNTIF('調整・決定'!$C$6:$H$29,B28)=1,SUMPRODUCT(('調整・決定'!$C$6:$H$29=B28)*((COLUMN('調整・決定'!$C$6:$H$29)-3)*24+ROW('調整・決定'!$C$6:$H$29)-5)),0))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IF(OR('名簿'!E23="",'名簿'!F23=""),0,IFERROR((MATCH('名簿'!E23,'設定'!$E$11:$E$16,0)-1)*24+MATCH('名簿'!F23,'設定'!$I$11:$I$34,0),-1))</f>
        <v/>
      </c>
      <c r="IU28">
        <f>IF(IT28&gt;0,INDEX($D$2:$EQ$2,IT28),0)</f>
        <v/>
      </c>
      <c r="IV28">
        <f>IF(OR(IT28&lt;=0,IO28=0),1,IF(AND(INDEX($D$2:$EQ$2,IO28)=IU28,OR(AND(IO28=IT28+1,OR(INDEX($D$3:$EQ$3,IT28)&lt;&gt;$A$3,$A$4=0)),AND(IO28=IT28-1,OR(INDEX($D$3:$EQ$3,IO28)&lt;&gt;$A$3,$A$4=0)))),1,0))</f>
        <v/>
      </c>
      <c r="IW28">
        <f>IF(AND('名簿'!C23&lt;&gt;"",IT28&lt;=0),1,0)</f>
        <v/>
      </c>
      <c r="IX28">
        <f>IF('名簿'!H23="空けない",1,0)</f>
        <v/>
      </c>
    </row>
    <row r="29">
      <c r="A29" t="n">
        <v>20</v>
      </c>
      <c r="B29">
        <f>'名簿'!I24</f>
        <v/>
      </c>
      <c r="C29">
        <f>IF(AND(B29&lt;&gt;"",OR('名簿'!J24="入力済み",'名簿'!J24="×なし"),IO29=0,COUNTIF('調整・決定'!$C$6:$H$29,B29)=0),1,0)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IK29">
        <f>IFERROR(INDEX('計算B'!$C$3:$C$47,MATCH(A29,'計算B'!$B$3:$B$47,0)),0)</f>
        <v/>
      </c>
      <c r="IL29">
        <f>IF(AND(C29=1,IK29=0),1,0)</f>
        <v/>
      </c>
      <c r="IM29">
        <f>SUMPRODUCT(D79:EQ79*(1-$D$7:$EQ$7))</f>
        <v/>
      </c>
      <c r="IN29">
        <f>SUM(D29:EQ29)</f>
        <v/>
      </c>
      <c r="IO29">
        <f>IF(B29="",0,IF(COUNTIF('調整・決定'!$C$6:$H$29,B29)=1,SUMPRODUCT(('調整・決定'!$C$6:$H$29=B29)*((COLUMN('調整・決定'!$C$6:$H$29)-3)*24+ROW('調整・決定'!$C$6:$H$29)-5)),0))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IF(OR('名簿'!E24="",'名簿'!F24=""),0,IFERROR((MATCH('名簿'!E24,'設定'!$E$11:$E$16,0)-1)*24+MATCH('名簿'!F24,'設定'!$I$11:$I$34,0),-1))</f>
        <v/>
      </c>
      <c r="IU29">
        <f>IF(IT29&gt;0,INDEX($D$2:$EQ$2,IT29),0)</f>
        <v/>
      </c>
      <c r="IV29">
        <f>IF(OR(IT29&lt;=0,IO29=0),1,IF(AND(INDEX($D$2:$EQ$2,IO29)=IU29,OR(AND(IO29=IT29+1,OR(INDEX($D$3:$EQ$3,IT29)&lt;&gt;$A$3,$A$4=0)),AND(IO29=IT29-1,OR(INDEX($D$3:$EQ$3,IO29)&lt;&gt;$A$3,$A$4=0)))),1,0))</f>
        <v/>
      </c>
      <c r="IW29">
        <f>IF(AND('名簿'!C24&lt;&gt;"",IT29&lt;=0),1,0)</f>
        <v/>
      </c>
      <c r="IX29">
        <f>IF('名簿'!H24="空けない",1,0)</f>
        <v/>
      </c>
    </row>
    <row r="30">
      <c r="A30" t="n">
        <v>21</v>
      </c>
      <c r="B30">
        <f>'名簿'!I25</f>
        <v/>
      </c>
      <c r="C30">
        <f>IF(AND(B30&lt;&gt;"",OR('名簿'!J25="入力済み",'名簿'!J25="×なし"),IO30=0,COUNTIF('調整・決定'!$C$6:$H$29,B30)=0),1,0)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IK30">
        <f>IFERROR(INDEX('計算B'!$C$3:$C$47,MATCH(A30,'計算B'!$B$3:$B$47,0)),0)</f>
        <v/>
      </c>
      <c r="IL30">
        <f>IF(AND(C30=1,IK30=0),1,0)</f>
        <v/>
      </c>
      <c r="IM30">
        <f>SUMPRODUCT(D80:EQ80*(1-$D$7:$EQ$7))</f>
        <v/>
      </c>
      <c r="IN30">
        <f>SUM(D30:EQ30)</f>
        <v/>
      </c>
      <c r="IO30">
        <f>IF(B30="",0,IF(COUNTIF('調整・決定'!$C$6:$H$29,B30)=1,SUMPRODUCT(('調整・決定'!$C$6:$H$29=B30)*((COLUMN('調整・決定'!$C$6:$H$29)-3)*24+ROW('調整・決定'!$C$6:$H$29)-5)),0))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IF(OR('名簿'!E25="",'名簿'!F25=""),0,IFERROR((MATCH('名簿'!E25,'設定'!$E$11:$E$16,0)-1)*24+MATCH('名簿'!F25,'設定'!$I$11:$I$34,0),-1))</f>
        <v/>
      </c>
      <c r="IU30">
        <f>IF(IT30&gt;0,INDEX($D$2:$EQ$2,IT30),0)</f>
        <v/>
      </c>
      <c r="IV30">
        <f>IF(OR(IT30&lt;=0,IO30=0),1,IF(AND(INDEX($D$2:$EQ$2,IO30)=IU30,OR(AND(IO30=IT30+1,OR(INDEX($D$3:$EQ$3,IT30)&lt;&gt;$A$3,$A$4=0)),AND(IO30=IT30-1,OR(INDEX($D$3:$EQ$3,IO30)&lt;&gt;$A$3,$A$4=0)))),1,0))</f>
        <v/>
      </c>
      <c r="IW30">
        <f>IF(AND('名簿'!C25&lt;&gt;"",IT30&lt;=0),1,0)</f>
        <v/>
      </c>
      <c r="IX30">
        <f>IF('名簿'!H25="空けない",1,0)</f>
        <v/>
      </c>
    </row>
    <row r="31">
      <c r="A31" t="n">
        <v>22</v>
      </c>
      <c r="B31">
        <f>'名簿'!I26</f>
        <v/>
      </c>
      <c r="C31">
        <f>IF(AND(B31&lt;&gt;"",OR('名簿'!J26="入力済み",'名簿'!J26="×なし"),IO31=0,COUNTIF('調整・決定'!$C$6:$H$29,B31)=0),1,0)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IK31">
        <f>IFERROR(INDEX('計算B'!$C$3:$C$47,MATCH(A31,'計算B'!$B$3:$B$47,0)),0)</f>
        <v/>
      </c>
      <c r="IL31">
        <f>IF(AND(C31=1,IK31=0),1,0)</f>
        <v/>
      </c>
      <c r="IM31">
        <f>SUMPRODUCT(D81:EQ81*(1-$D$7:$EQ$7))</f>
        <v/>
      </c>
      <c r="IN31">
        <f>SUM(D31:EQ31)</f>
        <v/>
      </c>
      <c r="IO31">
        <f>IF(B31="",0,IF(COUNTIF('調整・決定'!$C$6:$H$29,B31)=1,SUMPRODUCT(('調整・決定'!$C$6:$H$29=B31)*((COLUMN('調整・決定'!$C$6:$H$29)-3)*24+ROW('調整・決定'!$C$6:$H$29)-5)),0))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IF(OR('名簿'!E26="",'名簿'!F26=""),0,IFERROR((MATCH('名簿'!E26,'設定'!$E$11:$E$16,0)-1)*24+MATCH('名簿'!F26,'設定'!$I$11:$I$34,0),-1))</f>
        <v/>
      </c>
      <c r="IU31">
        <f>IF(IT31&gt;0,INDEX($D$2:$EQ$2,IT31),0)</f>
        <v/>
      </c>
      <c r="IV31">
        <f>IF(OR(IT31&lt;=0,IO31=0),1,IF(AND(INDEX($D$2:$EQ$2,IO31)=IU31,OR(AND(IO31=IT31+1,OR(INDEX($D$3:$EQ$3,IT31)&lt;&gt;$A$3,$A$4=0)),AND(IO31=IT31-1,OR(INDEX($D$3:$EQ$3,IO31)&lt;&gt;$A$3,$A$4=0)))),1,0))</f>
        <v/>
      </c>
      <c r="IW31">
        <f>IF(AND('名簿'!C26&lt;&gt;"",IT31&lt;=0),1,0)</f>
        <v/>
      </c>
      <c r="IX31">
        <f>IF('名簿'!H26="空けない",1,0)</f>
        <v/>
      </c>
    </row>
    <row r="32">
      <c r="A32" t="n">
        <v>23</v>
      </c>
      <c r="B32">
        <f>'名簿'!I27</f>
        <v/>
      </c>
      <c r="C32">
        <f>IF(AND(B32&lt;&gt;"",OR('名簿'!J27="入力済み",'名簿'!J27="×なし"),IO32=0,COUNTIF('調整・決定'!$C$6:$H$29,B32)=0),1,0)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IK32">
        <f>IFERROR(INDEX('計算B'!$C$3:$C$47,MATCH(A32,'計算B'!$B$3:$B$47,0)),0)</f>
        <v/>
      </c>
      <c r="IL32">
        <f>IF(AND(C32=1,IK32=0),1,0)</f>
        <v/>
      </c>
      <c r="IM32">
        <f>SUMPRODUCT(D82:EQ82*(1-$D$7:$EQ$7))</f>
        <v/>
      </c>
      <c r="IN32">
        <f>SUM(D32:EQ32)</f>
        <v/>
      </c>
      <c r="IO32">
        <f>IF(B32="",0,IF(COUNTIF('調整・決定'!$C$6:$H$29,B32)=1,SUMPRODUCT(('調整・決定'!$C$6:$H$29=B32)*((COLUMN('調整・決定'!$C$6:$H$29)-3)*24+ROW('調整・決定'!$C$6:$H$29)-5)),0))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IF(OR('名簿'!E27="",'名簿'!F27=""),0,IFERROR((MATCH('名簿'!E27,'設定'!$E$11:$E$16,0)-1)*24+MATCH('名簿'!F27,'設定'!$I$11:$I$34,0),-1))</f>
        <v/>
      </c>
      <c r="IU32">
        <f>IF(IT32&gt;0,INDEX($D$2:$EQ$2,IT32),0)</f>
        <v/>
      </c>
      <c r="IV32">
        <f>IF(OR(IT32&lt;=0,IO32=0),1,IF(AND(INDEX($D$2:$EQ$2,IO32)=IU32,OR(AND(IO32=IT32+1,OR(INDEX($D$3:$EQ$3,IT32)&lt;&gt;$A$3,$A$4=0)),AND(IO32=IT32-1,OR(INDEX($D$3:$EQ$3,IO32)&lt;&gt;$A$3,$A$4=0)))),1,0))</f>
        <v/>
      </c>
      <c r="IW32">
        <f>IF(AND('名簿'!C27&lt;&gt;"",IT32&lt;=0),1,0)</f>
        <v/>
      </c>
      <c r="IX32">
        <f>IF('名簿'!H27="空けない",1,0)</f>
        <v/>
      </c>
    </row>
    <row r="33">
      <c r="A33" t="n">
        <v>24</v>
      </c>
      <c r="B33">
        <f>'名簿'!I28</f>
        <v/>
      </c>
      <c r="C33">
        <f>IF(AND(B33&lt;&gt;"",OR('名簿'!J28="入力済み",'名簿'!J28="×なし"),IO33=0,COUNTIF('調整・決定'!$C$6:$H$29,B33)=0),1,0)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IK33">
        <f>IFERROR(INDEX('計算B'!$C$3:$C$47,MATCH(A33,'計算B'!$B$3:$B$47,0)),0)</f>
        <v/>
      </c>
      <c r="IL33">
        <f>IF(AND(C33=1,IK33=0),1,0)</f>
        <v/>
      </c>
      <c r="IM33">
        <f>SUMPRODUCT(D83:EQ83*(1-$D$7:$EQ$7))</f>
        <v/>
      </c>
      <c r="IN33">
        <f>SUM(D33:EQ33)</f>
        <v/>
      </c>
      <c r="IO33">
        <f>IF(B33="",0,IF(COUNTIF('調整・決定'!$C$6:$H$29,B33)=1,SUMPRODUCT(('調整・決定'!$C$6:$H$29=B33)*((COLUMN('調整・決定'!$C$6:$H$29)-3)*24+ROW('調整・決定'!$C$6:$H$29)-5)),0))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IF(OR('名簿'!E28="",'名簿'!F28=""),0,IFERROR((MATCH('名簿'!E28,'設定'!$E$11:$E$16,0)-1)*24+MATCH('名簿'!F28,'設定'!$I$11:$I$34,0),-1))</f>
        <v/>
      </c>
      <c r="IU33">
        <f>IF(IT33&gt;0,INDEX($D$2:$EQ$2,IT33),0)</f>
        <v/>
      </c>
      <c r="IV33">
        <f>IF(OR(IT33&lt;=0,IO33=0),1,IF(AND(INDEX($D$2:$EQ$2,IO33)=IU33,OR(AND(IO33=IT33+1,OR(INDEX($D$3:$EQ$3,IT33)&lt;&gt;$A$3,$A$4=0)),AND(IO33=IT33-1,OR(INDEX($D$3:$EQ$3,IO33)&lt;&gt;$A$3,$A$4=0)))),1,0))</f>
        <v/>
      </c>
      <c r="IW33">
        <f>IF(AND('名簿'!C28&lt;&gt;"",IT33&lt;=0),1,0)</f>
        <v/>
      </c>
      <c r="IX33">
        <f>IF('名簿'!H28="空けない",1,0)</f>
        <v/>
      </c>
    </row>
    <row r="34">
      <c r="A34" t="n">
        <v>25</v>
      </c>
      <c r="B34">
        <f>'名簿'!I29</f>
        <v/>
      </c>
      <c r="C34">
        <f>IF(AND(B34&lt;&gt;"",OR('名簿'!J29="入力済み",'名簿'!J29="×なし"),IO34=0,COUNTIF('調整・決定'!$C$6:$H$29,B34)=0),1,0)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IK34">
        <f>IFERROR(INDEX('計算B'!$C$3:$C$47,MATCH(A34,'計算B'!$B$3:$B$47,0)),0)</f>
        <v/>
      </c>
      <c r="IL34">
        <f>IF(AND(C34=1,IK34=0),1,0)</f>
        <v/>
      </c>
      <c r="IM34">
        <f>SUMPRODUCT(D84:EQ84*(1-$D$7:$EQ$7))</f>
        <v/>
      </c>
      <c r="IN34">
        <f>SUM(D34:EQ34)</f>
        <v/>
      </c>
      <c r="IO34">
        <f>IF(B34="",0,IF(COUNTIF('調整・決定'!$C$6:$H$29,B34)=1,SUMPRODUCT(('調整・決定'!$C$6:$H$29=B34)*((COLUMN('調整・決定'!$C$6:$H$29)-3)*24+ROW('調整・決定'!$C$6:$H$29)-5)),0))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IF(OR('名簿'!E29="",'名簿'!F29=""),0,IFERROR((MATCH('名簿'!E29,'設定'!$E$11:$E$16,0)-1)*24+MATCH('名簿'!F29,'設定'!$I$11:$I$34,0),-1))</f>
        <v/>
      </c>
      <c r="IU34">
        <f>IF(IT34&gt;0,INDEX($D$2:$EQ$2,IT34),0)</f>
        <v/>
      </c>
      <c r="IV34">
        <f>IF(OR(IT34&lt;=0,IO34=0),1,IF(AND(INDEX($D$2:$EQ$2,IO34)=IU34,OR(AND(IO34=IT34+1,OR(INDEX($D$3:$EQ$3,IT34)&lt;&gt;$A$3,$A$4=0)),AND(IO34=IT34-1,OR(INDEX($D$3:$EQ$3,IO34)&lt;&gt;$A$3,$A$4=0)))),1,0))</f>
        <v/>
      </c>
      <c r="IW34">
        <f>IF(AND('名簿'!C29&lt;&gt;"",IT34&lt;=0),1,0)</f>
        <v/>
      </c>
      <c r="IX34">
        <f>IF('名簿'!H29="空けない",1,0)</f>
        <v/>
      </c>
    </row>
    <row r="35">
      <c r="A35" t="n">
        <v>26</v>
      </c>
      <c r="B35">
        <f>'名簿'!I30</f>
        <v/>
      </c>
      <c r="C35">
        <f>IF(AND(B35&lt;&gt;"",OR('名簿'!J30="入力済み",'名簿'!J30="×なし"),IO35=0,COUNTIF('調整・決定'!$C$6:$H$29,B35)=0),1,0)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IK35">
        <f>IFERROR(INDEX('計算B'!$C$3:$C$47,MATCH(A35,'計算B'!$B$3:$B$47,0)),0)</f>
        <v/>
      </c>
      <c r="IL35">
        <f>IF(AND(C35=1,IK35=0),1,0)</f>
        <v/>
      </c>
      <c r="IM35">
        <f>SUMPRODUCT(D85:EQ85*(1-$D$7:$EQ$7))</f>
        <v/>
      </c>
      <c r="IN35">
        <f>SUM(D35:EQ35)</f>
        <v/>
      </c>
      <c r="IO35">
        <f>IF(B35="",0,IF(COUNTIF('調整・決定'!$C$6:$H$29,B35)=1,SUMPRODUCT(('調整・決定'!$C$6:$H$29=B35)*((COLUMN('調整・決定'!$C$6:$H$29)-3)*24+ROW('調整・決定'!$C$6:$H$29)-5)),0))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IF(OR('名簿'!E30="",'名簿'!F30=""),0,IFERROR((MATCH('名簿'!E30,'設定'!$E$11:$E$16,0)-1)*24+MATCH('名簿'!F30,'設定'!$I$11:$I$34,0),-1))</f>
        <v/>
      </c>
      <c r="IU35">
        <f>IF(IT35&gt;0,INDEX($D$2:$EQ$2,IT35),0)</f>
        <v/>
      </c>
      <c r="IV35">
        <f>IF(OR(IT35&lt;=0,IO35=0),1,IF(AND(INDEX($D$2:$EQ$2,IO35)=IU35,OR(AND(IO35=IT35+1,OR(INDEX($D$3:$EQ$3,IT35)&lt;&gt;$A$3,$A$4=0)),AND(IO35=IT35-1,OR(INDEX($D$3:$EQ$3,IO35)&lt;&gt;$A$3,$A$4=0)))),1,0))</f>
        <v/>
      </c>
      <c r="IW35">
        <f>IF(AND('名簿'!C30&lt;&gt;"",IT35&lt;=0),1,0)</f>
        <v/>
      </c>
      <c r="IX35">
        <f>IF('名簿'!H30="空けない",1,0)</f>
        <v/>
      </c>
    </row>
    <row r="36">
      <c r="A36" t="n">
        <v>27</v>
      </c>
      <c r="B36">
        <f>'名簿'!I31</f>
        <v/>
      </c>
      <c r="C36">
        <f>IF(AND(B36&lt;&gt;"",OR('名簿'!J31="入力済み",'名簿'!J31="×なし"),IO36=0,COUNTIF('調整・決定'!$C$6:$H$29,B36)=0),1,0)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IK36">
        <f>IFERROR(INDEX('計算B'!$C$3:$C$47,MATCH(A36,'計算B'!$B$3:$B$47,0)),0)</f>
        <v/>
      </c>
      <c r="IL36">
        <f>IF(AND(C36=1,IK36=0),1,0)</f>
        <v/>
      </c>
      <c r="IM36">
        <f>SUMPRODUCT(D86:EQ86*(1-$D$7:$EQ$7))</f>
        <v/>
      </c>
      <c r="IN36">
        <f>SUM(D36:EQ36)</f>
        <v/>
      </c>
      <c r="IO36">
        <f>IF(B36="",0,IF(COUNTIF('調整・決定'!$C$6:$H$29,B36)=1,SUMPRODUCT(('調整・決定'!$C$6:$H$29=B36)*((COLUMN('調整・決定'!$C$6:$H$29)-3)*24+ROW('調整・決定'!$C$6:$H$29)-5)),0))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IF(OR('名簿'!E31="",'名簿'!F31=""),0,IFERROR((MATCH('名簿'!E31,'設定'!$E$11:$E$16,0)-1)*24+MATCH('名簿'!F31,'設定'!$I$11:$I$34,0),-1))</f>
        <v/>
      </c>
      <c r="IU36">
        <f>IF(IT36&gt;0,INDEX($D$2:$EQ$2,IT36),0)</f>
        <v/>
      </c>
      <c r="IV36">
        <f>IF(OR(IT36&lt;=0,IO36=0),1,IF(AND(INDEX($D$2:$EQ$2,IO36)=IU36,OR(AND(IO36=IT36+1,OR(INDEX($D$3:$EQ$3,IT36)&lt;&gt;$A$3,$A$4=0)),AND(IO36=IT36-1,OR(INDEX($D$3:$EQ$3,IO36)&lt;&gt;$A$3,$A$4=0)))),1,0))</f>
        <v/>
      </c>
      <c r="IW36">
        <f>IF(AND('名簿'!C31&lt;&gt;"",IT36&lt;=0),1,0)</f>
        <v/>
      </c>
      <c r="IX36">
        <f>IF('名簿'!H31="空けない",1,0)</f>
        <v/>
      </c>
    </row>
    <row r="37">
      <c r="A37" t="n">
        <v>28</v>
      </c>
      <c r="B37">
        <f>'名簿'!I32</f>
        <v/>
      </c>
      <c r="C37">
        <f>IF(AND(B37&lt;&gt;"",OR('名簿'!J32="入力済み",'名簿'!J32="×なし"),IO37=0,COUNTIF('調整・決定'!$C$6:$H$29,B37)=0),1,0)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IK37">
        <f>IFERROR(INDEX('計算B'!$C$3:$C$47,MATCH(A37,'計算B'!$B$3:$B$47,0)),0)</f>
        <v/>
      </c>
      <c r="IL37">
        <f>IF(AND(C37=1,IK37=0),1,0)</f>
        <v/>
      </c>
      <c r="IM37">
        <f>SUMPRODUCT(D87:EQ87*(1-$D$7:$EQ$7))</f>
        <v/>
      </c>
      <c r="IN37">
        <f>SUM(D37:EQ37)</f>
        <v/>
      </c>
      <c r="IO37">
        <f>IF(B37="",0,IF(COUNTIF('調整・決定'!$C$6:$H$29,B37)=1,SUMPRODUCT(('調整・決定'!$C$6:$H$29=B37)*((COLUMN('調整・決定'!$C$6:$H$29)-3)*24+ROW('調整・決定'!$C$6:$H$29)-5)),0))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IF(OR('名簿'!E32="",'名簿'!F32=""),0,IFERROR((MATCH('名簿'!E32,'設定'!$E$11:$E$16,0)-1)*24+MATCH('名簿'!F32,'設定'!$I$11:$I$34,0),-1))</f>
        <v/>
      </c>
      <c r="IU37">
        <f>IF(IT37&gt;0,INDEX($D$2:$EQ$2,IT37),0)</f>
        <v/>
      </c>
      <c r="IV37">
        <f>IF(OR(IT37&lt;=0,IO37=0),1,IF(AND(INDEX($D$2:$EQ$2,IO37)=IU37,OR(AND(IO37=IT37+1,OR(INDEX($D$3:$EQ$3,IT37)&lt;&gt;$A$3,$A$4=0)),AND(IO37=IT37-1,OR(INDEX($D$3:$EQ$3,IO37)&lt;&gt;$A$3,$A$4=0)))),1,0))</f>
        <v/>
      </c>
      <c r="IW37">
        <f>IF(AND('名簿'!C32&lt;&gt;"",IT37&lt;=0),1,0)</f>
        <v/>
      </c>
      <c r="IX37">
        <f>IF('名簿'!H32="空けない",1,0)</f>
        <v/>
      </c>
    </row>
    <row r="38">
      <c r="A38" t="n">
        <v>29</v>
      </c>
      <c r="B38">
        <f>'名簿'!I33</f>
        <v/>
      </c>
      <c r="C38">
        <f>IF(AND(B38&lt;&gt;"",OR('名簿'!J33="入力済み",'名簿'!J33="×なし"),IO38=0,COUNTIF('調整・決定'!$C$6:$H$29,B38)=0),1,0)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IK38">
        <f>IFERROR(INDEX('計算B'!$C$3:$C$47,MATCH(A38,'計算B'!$B$3:$B$47,0)),0)</f>
        <v/>
      </c>
      <c r="IL38">
        <f>IF(AND(C38=1,IK38=0),1,0)</f>
        <v/>
      </c>
      <c r="IM38">
        <f>SUMPRODUCT(D88:EQ88*(1-$D$7:$EQ$7))</f>
        <v/>
      </c>
      <c r="IN38">
        <f>SUM(D38:EQ38)</f>
        <v/>
      </c>
      <c r="IO38">
        <f>IF(B38="",0,IF(COUNTIF('調整・決定'!$C$6:$H$29,B38)=1,SUMPRODUCT(('調整・決定'!$C$6:$H$29=B38)*((COLUMN('調整・決定'!$C$6:$H$29)-3)*24+ROW('調整・決定'!$C$6:$H$29)-5)),0))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IF(OR('名簿'!E33="",'名簿'!F33=""),0,IFERROR((MATCH('名簿'!E33,'設定'!$E$11:$E$16,0)-1)*24+MATCH('名簿'!F33,'設定'!$I$11:$I$34,0),-1))</f>
        <v/>
      </c>
      <c r="IU38">
        <f>IF(IT38&gt;0,INDEX($D$2:$EQ$2,IT38),0)</f>
        <v/>
      </c>
      <c r="IV38">
        <f>IF(OR(IT38&lt;=0,IO38=0),1,IF(AND(INDEX($D$2:$EQ$2,IO38)=IU38,OR(AND(IO38=IT38+1,OR(INDEX($D$3:$EQ$3,IT38)&lt;&gt;$A$3,$A$4=0)),AND(IO38=IT38-1,OR(INDEX($D$3:$EQ$3,IO38)&lt;&gt;$A$3,$A$4=0)))),1,0))</f>
        <v/>
      </c>
      <c r="IW38">
        <f>IF(AND('名簿'!C33&lt;&gt;"",IT38&lt;=0),1,0)</f>
        <v/>
      </c>
      <c r="IX38">
        <f>IF('名簿'!H33="空けない",1,0)</f>
        <v/>
      </c>
    </row>
    <row r="39">
      <c r="A39" t="n">
        <v>30</v>
      </c>
      <c r="B39">
        <f>'名簿'!I34</f>
        <v/>
      </c>
      <c r="C39">
        <f>IF(AND(B39&lt;&gt;"",OR('名簿'!J34="入力済み",'名簿'!J34="×なし"),IO39=0,COUNTIF('調整・決定'!$C$6:$H$29,B39)=0),1,0)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IK39">
        <f>IFERROR(INDEX('計算B'!$C$3:$C$47,MATCH(A39,'計算B'!$B$3:$B$47,0)),0)</f>
        <v/>
      </c>
      <c r="IL39">
        <f>IF(AND(C39=1,IK39=0),1,0)</f>
        <v/>
      </c>
      <c r="IM39">
        <f>SUMPRODUCT(D89:EQ89*(1-$D$7:$EQ$7))</f>
        <v/>
      </c>
      <c r="IN39">
        <f>SUM(D39:EQ39)</f>
        <v/>
      </c>
      <c r="IO39">
        <f>IF(B39="",0,IF(COUNTIF('調整・決定'!$C$6:$H$29,B39)=1,SUMPRODUCT(('調整・決定'!$C$6:$H$29=B39)*((COLUMN('調整・決定'!$C$6:$H$29)-3)*24+ROW('調整・決定'!$C$6:$H$29)-5)),0))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IF(OR('名簿'!E34="",'名簿'!F34=""),0,IFERROR((MATCH('名簿'!E34,'設定'!$E$11:$E$16,0)-1)*24+MATCH('名簿'!F34,'設定'!$I$11:$I$34,0),-1))</f>
        <v/>
      </c>
      <c r="IU39">
        <f>IF(IT39&gt;0,INDEX($D$2:$EQ$2,IT39),0)</f>
        <v/>
      </c>
      <c r="IV39">
        <f>IF(OR(IT39&lt;=0,IO39=0),1,IF(AND(INDEX($D$2:$EQ$2,IO39)=IU39,OR(AND(IO39=IT39+1,OR(INDEX($D$3:$EQ$3,IT39)&lt;&gt;$A$3,$A$4=0)),AND(IO39=IT39-1,OR(INDEX($D$3:$EQ$3,IO39)&lt;&gt;$A$3,$A$4=0)))),1,0))</f>
        <v/>
      </c>
      <c r="IW39">
        <f>IF(AND('名簿'!C34&lt;&gt;"",IT39&lt;=0),1,0)</f>
        <v/>
      </c>
      <c r="IX39">
        <f>IF('名簿'!H34="空けない",1,0)</f>
        <v/>
      </c>
    </row>
    <row r="40">
      <c r="A40" t="n">
        <v>31</v>
      </c>
      <c r="B40">
        <f>'名簿'!I35</f>
        <v/>
      </c>
      <c r="C40">
        <f>IF(AND(B40&lt;&gt;"",OR('名簿'!J35="入力済み",'名簿'!J35="×なし"),IO40=0,COUNTIF('調整・決定'!$C$6:$H$29,B40)=0),1,0)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IK40">
        <f>IFERROR(INDEX('計算B'!$C$3:$C$47,MATCH(A40,'計算B'!$B$3:$B$47,0)),0)</f>
        <v/>
      </c>
      <c r="IL40">
        <f>IF(AND(C40=1,IK40=0),1,0)</f>
        <v/>
      </c>
      <c r="IM40">
        <f>SUMPRODUCT(D90:EQ90*(1-$D$7:$EQ$7))</f>
        <v/>
      </c>
      <c r="IN40">
        <f>SUM(D40:EQ40)</f>
        <v/>
      </c>
      <c r="IO40">
        <f>IF(B40="",0,IF(COUNTIF('調整・決定'!$C$6:$H$29,B40)=1,SUMPRODUCT(('調整・決定'!$C$6:$H$29=B40)*((COLUMN('調整・決定'!$C$6:$H$29)-3)*24+ROW('調整・決定'!$C$6:$H$29)-5)),0))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IF(OR('名簿'!E35="",'名簿'!F35=""),0,IFERROR((MATCH('名簿'!E35,'設定'!$E$11:$E$16,0)-1)*24+MATCH('名簿'!F35,'設定'!$I$11:$I$34,0),-1))</f>
        <v/>
      </c>
      <c r="IU40">
        <f>IF(IT40&gt;0,INDEX($D$2:$EQ$2,IT40),0)</f>
        <v/>
      </c>
      <c r="IV40">
        <f>IF(OR(IT40&lt;=0,IO40=0),1,IF(AND(INDEX($D$2:$EQ$2,IO40)=IU40,OR(AND(IO40=IT40+1,OR(INDEX($D$3:$EQ$3,IT40)&lt;&gt;$A$3,$A$4=0)),AND(IO40=IT40-1,OR(INDEX($D$3:$EQ$3,IO40)&lt;&gt;$A$3,$A$4=0)))),1,0))</f>
        <v/>
      </c>
      <c r="IW40">
        <f>IF(AND('名簿'!C35&lt;&gt;"",IT40&lt;=0),1,0)</f>
        <v/>
      </c>
      <c r="IX40">
        <f>IF('名簿'!H35="空けない",1,0)</f>
        <v/>
      </c>
    </row>
    <row r="41">
      <c r="A41" t="n">
        <v>32</v>
      </c>
      <c r="B41">
        <f>'名簿'!I36</f>
        <v/>
      </c>
      <c r="C41">
        <f>IF(AND(B41&lt;&gt;"",OR('名簿'!J36="入力済み",'名簿'!J36="×なし"),IO41=0,COUNTIF('調整・決定'!$C$6:$H$29,B41)=0),1,0)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IK41">
        <f>IFERROR(INDEX('計算B'!$C$3:$C$47,MATCH(A41,'計算B'!$B$3:$B$47,0)),0)</f>
        <v/>
      </c>
      <c r="IL41">
        <f>IF(AND(C41=1,IK41=0),1,0)</f>
        <v/>
      </c>
      <c r="IM41">
        <f>SUMPRODUCT(D91:EQ91*(1-$D$7:$EQ$7))</f>
        <v/>
      </c>
      <c r="IN41">
        <f>SUM(D41:EQ41)</f>
        <v/>
      </c>
      <c r="IO41">
        <f>IF(B41="",0,IF(COUNTIF('調整・決定'!$C$6:$H$29,B41)=1,SUMPRODUCT(('調整・決定'!$C$6:$H$29=B41)*((COLUMN('調整・決定'!$C$6:$H$29)-3)*24+ROW('調整・決定'!$C$6:$H$29)-5)),0))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IF(OR('名簿'!E36="",'名簿'!F36=""),0,IFERROR((MATCH('名簿'!E36,'設定'!$E$11:$E$16,0)-1)*24+MATCH('名簿'!F36,'設定'!$I$11:$I$34,0),-1))</f>
        <v/>
      </c>
      <c r="IU41">
        <f>IF(IT41&gt;0,INDEX($D$2:$EQ$2,IT41),0)</f>
        <v/>
      </c>
      <c r="IV41">
        <f>IF(OR(IT41&lt;=0,IO41=0),1,IF(AND(INDEX($D$2:$EQ$2,IO41)=IU41,OR(AND(IO41=IT41+1,OR(INDEX($D$3:$EQ$3,IT41)&lt;&gt;$A$3,$A$4=0)),AND(IO41=IT41-1,OR(INDEX($D$3:$EQ$3,IO41)&lt;&gt;$A$3,$A$4=0)))),1,0))</f>
        <v/>
      </c>
      <c r="IW41">
        <f>IF(AND('名簿'!C36&lt;&gt;"",IT41&lt;=0),1,0)</f>
        <v/>
      </c>
      <c r="IX41">
        <f>IF('名簿'!H36="空けない",1,0)</f>
        <v/>
      </c>
    </row>
    <row r="42">
      <c r="A42" t="n">
        <v>33</v>
      </c>
      <c r="B42">
        <f>'名簿'!I37</f>
        <v/>
      </c>
      <c r="C42">
        <f>IF(AND(B42&lt;&gt;"",OR('名簿'!J37="入力済み",'名簿'!J37="×なし"),IO42=0,COUNTIF('調整・決定'!$C$6:$H$29,B42)=0),1,0)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IK42">
        <f>IFERROR(INDEX('計算B'!$C$3:$C$47,MATCH(A42,'計算B'!$B$3:$B$47,0)),0)</f>
        <v/>
      </c>
      <c r="IL42">
        <f>IF(AND(C42=1,IK42=0),1,0)</f>
        <v/>
      </c>
      <c r="IM42">
        <f>SUMPRODUCT(D92:EQ92*(1-$D$7:$EQ$7))</f>
        <v/>
      </c>
      <c r="IN42">
        <f>SUM(D42:EQ42)</f>
        <v/>
      </c>
      <c r="IO42">
        <f>IF(B42="",0,IF(COUNTIF('調整・決定'!$C$6:$H$29,B42)=1,SUMPRODUCT(('調整・決定'!$C$6:$H$29=B42)*((COLUMN('調整・決定'!$C$6:$H$29)-3)*24+ROW('調整・決定'!$C$6:$H$29)-5)),0))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IF(OR('名簿'!E37="",'名簿'!F37=""),0,IFERROR((MATCH('名簿'!E37,'設定'!$E$11:$E$16,0)-1)*24+MATCH('名簿'!F37,'設定'!$I$11:$I$34,0),-1))</f>
        <v/>
      </c>
      <c r="IU42">
        <f>IF(IT42&gt;0,INDEX($D$2:$EQ$2,IT42),0)</f>
        <v/>
      </c>
      <c r="IV42">
        <f>IF(OR(IT42&lt;=0,IO42=0),1,IF(AND(INDEX($D$2:$EQ$2,IO42)=IU42,OR(AND(IO42=IT42+1,OR(INDEX($D$3:$EQ$3,IT42)&lt;&gt;$A$3,$A$4=0)),AND(IO42=IT42-1,OR(INDEX($D$3:$EQ$3,IO42)&lt;&gt;$A$3,$A$4=0)))),1,0))</f>
        <v/>
      </c>
      <c r="IW42">
        <f>IF(AND('名簿'!C37&lt;&gt;"",IT42&lt;=0),1,0)</f>
        <v/>
      </c>
      <c r="IX42">
        <f>IF('名簿'!H37="空けない",1,0)</f>
        <v/>
      </c>
    </row>
    <row r="43">
      <c r="A43" t="n">
        <v>34</v>
      </c>
      <c r="B43">
        <f>'名簿'!I38</f>
        <v/>
      </c>
      <c r="C43">
        <f>IF(AND(B43&lt;&gt;"",OR('名簿'!J38="入力済み",'名簿'!J38="×なし"),IO43=0,COUNTIF('調整・決定'!$C$6:$H$29,B43)=0),1,0)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IK43">
        <f>IFERROR(INDEX('計算B'!$C$3:$C$47,MATCH(A43,'計算B'!$B$3:$B$47,0)),0)</f>
        <v/>
      </c>
      <c r="IL43">
        <f>IF(AND(C43=1,IK43=0),1,0)</f>
        <v/>
      </c>
      <c r="IM43">
        <f>SUMPRODUCT(D93:EQ93*(1-$D$7:$EQ$7))</f>
        <v/>
      </c>
      <c r="IN43">
        <f>SUM(D43:EQ43)</f>
        <v/>
      </c>
      <c r="IO43">
        <f>IF(B43="",0,IF(COUNTIF('調整・決定'!$C$6:$H$29,B43)=1,SUMPRODUCT(('調整・決定'!$C$6:$H$29=B43)*((COLUMN('調整・決定'!$C$6:$H$29)-3)*24+ROW('調整・決定'!$C$6:$H$29)-5)),0))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IF(OR('名簿'!E38="",'名簿'!F38=""),0,IFERROR((MATCH('名簿'!E38,'設定'!$E$11:$E$16,0)-1)*24+MATCH('名簿'!F38,'設定'!$I$11:$I$34,0),-1))</f>
        <v/>
      </c>
      <c r="IU43">
        <f>IF(IT43&gt;0,INDEX($D$2:$EQ$2,IT43),0)</f>
        <v/>
      </c>
      <c r="IV43">
        <f>IF(OR(IT43&lt;=0,IO43=0),1,IF(AND(INDEX($D$2:$EQ$2,IO43)=IU43,OR(AND(IO43=IT43+1,OR(INDEX($D$3:$EQ$3,IT43)&lt;&gt;$A$3,$A$4=0)),AND(IO43=IT43-1,OR(INDEX($D$3:$EQ$3,IO43)&lt;&gt;$A$3,$A$4=0)))),1,0))</f>
        <v/>
      </c>
      <c r="IW43">
        <f>IF(AND('名簿'!C38&lt;&gt;"",IT43&lt;=0),1,0)</f>
        <v/>
      </c>
      <c r="IX43">
        <f>IF('名簿'!H38="空けない",1,0)</f>
        <v/>
      </c>
    </row>
    <row r="44">
      <c r="A44" t="n">
        <v>35</v>
      </c>
      <c r="B44">
        <f>'名簿'!I39</f>
        <v/>
      </c>
      <c r="C44">
        <f>IF(AND(B44&lt;&gt;"",OR('名簿'!J39="入力済み",'名簿'!J39="×なし"),IO44=0,COUNTIF('調整・決定'!$C$6:$H$29,B44)=0),1,0)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IK44">
        <f>IFERROR(INDEX('計算B'!$C$3:$C$47,MATCH(A44,'計算B'!$B$3:$B$47,0)),0)</f>
        <v/>
      </c>
      <c r="IL44">
        <f>IF(AND(C44=1,IK44=0),1,0)</f>
        <v/>
      </c>
      <c r="IM44">
        <f>SUMPRODUCT(D94:EQ94*(1-$D$7:$EQ$7))</f>
        <v/>
      </c>
      <c r="IN44">
        <f>SUM(D44:EQ44)</f>
        <v/>
      </c>
      <c r="IO44">
        <f>IF(B44="",0,IF(COUNTIF('調整・決定'!$C$6:$H$29,B44)=1,SUMPRODUCT(('調整・決定'!$C$6:$H$29=B44)*((COLUMN('調整・決定'!$C$6:$H$29)-3)*24+ROW('調整・決定'!$C$6:$H$29)-5)),0))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IF(OR('名簿'!E39="",'名簿'!F39=""),0,IFERROR((MATCH('名簿'!E39,'設定'!$E$11:$E$16,0)-1)*24+MATCH('名簿'!F39,'設定'!$I$11:$I$34,0),-1))</f>
        <v/>
      </c>
      <c r="IU44">
        <f>IF(IT44&gt;0,INDEX($D$2:$EQ$2,IT44),0)</f>
        <v/>
      </c>
      <c r="IV44">
        <f>IF(OR(IT44&lt;=0,IO44=0),1,IF(AND(INDEX($D$2:$EQ$2,IO44)=IU44,OR(AND(IO44=IT44+1,OR(INDEX($D$3:$EQ$3,IT44)&lt;&gt;$A$3,$A$4=0)),AND(IO44=IT44-1,OR(INDEX($D$3:$EQ$3,IO44)&lt;&gt;$A$3,$A$4=0)))),1,0))</f>
        <v/>
      </c>
      <c r="IW44">
        <f>IF(AND('名簿'!C39&lt;&gt;"",IT44&lt;=0),1,0)</f>
        <v/>
      </c>
      <c r="IX44">
        <f>IF('名簿'!H39="空けない",1,0)</f>
        <v/>
      </c>
    </row>
    <row r="45">
      <c r="A45" t="n">
        <v>36</v>
      </c>
      <c r="B45">
        <f>'名簿'!I40</f>
        <v/>
      </c>
      <c r="C45">
        <f>IF(AND(B45&lt;&gt;"",OR('名簿'!J40="入力済み",'名簿'!J40="×なし"),IO45=0,COUNTIF('調整・決定'!$C$6:$H$29,B45)=0),1,0)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IK45">
        <f>IFERROR(INDEX('計算B'!$C$3:$C$47,MATCH(A45,'計算B'!$B$3:$B$47,0)),0)</f>
        <v/>
      </c>
      <c r="IL45">
        <f>IF(AND(C45=1,IK45=0),1,0)</f>
        <v/>
      </c>
      <c r="IM45">
        <f>SUMPRODUCT(D95:EQ95*(1-$D$7:$EQ$7))</f>
        <v/>
      </c>
      <c r="IN45">
        <f>SUM(D45:EQ45)</f>
        <v/>
      </c>
      <c r="IO45">
        <f>IF(B45="",0,IF(COUNTIF('調整・決定'!$C$6:$H$29,B45)=1,SUMPRODUCT(('調整・決定'!$C$6:$H$29=B45)*((COLUMN('調整・決定'!$C$6:$H$29)-3)*24+ROW('調整・決定'!$C$6:$H$29)-5)),0))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IF(OR('名簿'!E40="",'名簿'!F40=""),0,IFERROR((MATCH('名簿'!E40,'設定'!$E$11:$E$16,0)-1)*24+MATCH('名簿'!F40,'設定'!$I$11:$I$34,0),-1))</f>
        <v/>
      </c>
      <c r="IU45">
        <f>IF(IT45&gt;0,INDEX($D$2:$EQ$2,IT45),0)</f>
        <v/>
      </c>
      <c r="IV45">
        <f>IF(OR(IT45&lt;=0,IO45=0),1,IF(AND(INDEX($D$2:$EQ$2,IO45)=IU45,OR(AND(IO45=IT45+1,OR(INDEX($D$3:$EQ$3,IT45)&lt;&gt;$A$3,$A$4=0)),AND(IO45=IT45-1,OR(INDEX($D$3:$EQ$3,IO45)&lt;&gt;$A$3,$A$4=0)))),1,0))</f>
        <v/>
      </c>
      <c r="IW45">
        <f>IF(AND('名簿'!C40&lt;&gt;"",IT45&lt;=0),1,0)</f>
        <v/>
      </c>
      <c r="IX45">
        <f>IF('名簿'!H40="空けない",1,0)</f>
        <v/>
      </c>
    </row>
    <row r="46">
      <c r="A46" t="n">
        <v>37</v>
      </c>
      <c r="B46">
        <f>'名簿'!I41</f>
        <v/>
      </c>
      <c r="C46">
        <f>IF(AND(B46&lt;&gt;"",OR('名簿'!J41="入力済み",'名簿'!J41="×なし"),IO46=0,COUNTIF('調整・決定'!$C$6:$H$29,B46)=0),1,0)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IK46">
        <f>IFERROR(INDEX('計算B'!$C$3:$C$47,MATCH(A46,'計算B'!$B$3:$B$47,0)),0)</f>
        <v/>
      </c>
      <c r="IL46">
        <f>IF(AND(C46=1,IK46=0),1,0)</f>
        <v/>
      </c>
      <c r="IM46">
        <f>SUMPRODUCT(D96:EQ96*(1-$D$7:$EQ$7))</f>
        <v/>
      </c>
      <c r="IN46">
        <f>SUM(D46:EQ46)</f>
        <v/>
      </c>
      <c r="IO46">
        <f>IF(B46="",0,IF(COUNTIF('調整・決定'!$C$6:$H$29,B46)=1,SUMPRODUCT(('調整・決定'!$C$6:$H$29=B46)*((COLUMN('調整・決定'!$C$6:$H$29)-3)*24+ROW('調整・決定'!$C$6:$H$29)-5)),0))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IF(OR('名簿'!E41="",'名簿'!F41=""),0,IFERROR((MATCH('名簿'!E41,'設定'!$E$11:$E$16,0)-1)*24+MATCH('名簿'!F41,'設定'!$I$11:$I$34,0),-1))</f>
        <v/>
      </c>
      <c r="IU46">
        <f>IF(IT46&gt;0,INDEX($D$2:$EQ$2,IT46),0)</f>
        <v/>
      </c>
      <c r="IV46">
        <f>IF(OR(IT46&lt;=0,IO46=0),1,IF(AND(INDEX($D$2:$EQ$2,IO46)=IU46,OR(AND(IO46=IT46+1,OR(INDEX($D$3:$EQ$3,IT46)&lt;&gt;$A$3,$A$4=0)),AND(IO46=IT46-1,OR(INDEX($D$3:$EQ$3,IO46)&lt;&gt;$A$3,$A$4=0)))),1,0))</f>
        <v/>
      </c>
      <c r="IW46">
        <f>IF(AND('名簿'!C41&lt;&gt;"",IT46&lt;=0),1,0)</f>
        <v/>
      </c>
      <c r="IX46">
        <f>IF('名簿'!H41="空けない",1,0)</f>
        <v/>
      </c>
    </row>
    <row r="47">
      <c r="A47" t="n">
        <v>38</v>
      </c>
      <c r="B47">
        <f>'名簿'!I42</f>
        <v/>
      </c>
      <c r="C47">
        <f>IF(AND(B47&lt;&gt;"",OR('名簿'!J42="入力済み",'名簿'!J42="×なし"),IO47=0,COUNTIF('調整・決定'!$C$6:$H$29,B47)=0),1,0)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IK47">
        <f>IFERROR(INDEX('計算B'!$C$3:$C$47,MATCH(A47,'計算B'!$B$3:$B$47,0)),0)</f>
        <v/>
      </c>
      <c r="IL47">
        <f>IF(AND(C47=1,IK47=0),1,0)</f>
        <v/>
      </c>
      <c r="IM47">
        <f>SUMPRODUCT(D97:EQ97*(1-$D$7:$EQ$7))</f>
        <v/>
      </c>
      <c r="IN47">
        <f>SUM(D47:EQ47)</f>
        <v/>
      </c>
      <c r="IO47">
        <f>IF(B47="",0,IF(COUNTIF('調整・決定'!$C$6:$H$29,B47)=1,SUMPRODUCT(('調整・決定'!$C$6:$H$29=B47)*((COLUMN('調整・決定'!$C$6:$H$29)-3)*24+ROW('調整・決定'!$C$6:$H$29)-5)),0))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IF(OR('名簿'!E42="",'名簿'!F42=""),0,IFERROR((MATCH('名簿'!E42,'設定'!$E$11:$E$16,0)-1)*24+MATCH('名簿'!F42,'設定'!$I$11:$I$34,0),-1))</f>
        <v/>
      </c>
      <c r="IU47">
        <f>IF(IT47&gt;0,INDEX($D$2:$EQ$2,IT47),0)</f>
        <v/>
      </c>
      <c r="IV47">
        <f>IF(OR(IT47&lt;=0,IO47=0),1,IF(AND(INDEX($D$2:$EQ$2,IO47)=IU47,OR(AND(IO47=IT47+1,OR(INDEX($D$3:$EQ$3,IT47)&lt;&gt;$A$3,$A$4=0)),AND(IO47=IT47-1,OR(INDEX($D$3:$EQ$3,IO47)&lt;&gt;$A$3,$A$4=0)))),1,0))</f>
        <v/>
      </c>
      <c r="IW47">
        <f>IF(AND('名簿'!C42&lt;&gt;"",IT47&lt;=0),1,0)</f>
        <v/>
      </c>
      <c r="IX47">
        <f>IF('名簿'!H42="空けない",1,0)</f>
        <v/>
      </c>
    </row>
    <row r="48">
      <c r="A48" t="n">
        <v>39</v>
      </c>
      <c r="B48">
        <f>'名簿'!I43</f>
        <v/>
      </c>
      <c r="C48">
        <f>IF(AND(B48&lt;&gt;"",OR('名簿'!J43="入力済み",'名簿'!J43="×なし"),IO48=0,COUNTIF('調整・決定'!$C$6:$H$29,B48)=0),1,0)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IK48">
        <f>IFERROR(INDEX('計算B'!$C$3:$C$47,MATCH(A48,'計算B'!$B$3:$B$47,0)),0)</f>
        <v/>
      </c>
      <c r="IL48">
        <f>IF(AND(C48=1,IK48=0),1,0)</f>
        <v/>
      </c>
      <c r="IM48">
        <f>SUMPRODUCT(D98:EQ98*(1-$D$7:$EQ$7))</f>
        <v/>
      </c>
      <c r="IN48">
        <f>SUM(D48:EQ48)</f>
        <v/>
      </c>
      <c r="IO48">
        <f>IF(B48="",0,IF(COUNTIF('調整・決定'!$C$6:$H$29,B48)=1,SUMPRODUCT(('調整・決定'!$C$6:$H$29=B48)*((COLUMN('調整・決定'!$C$6:$H$29)-3)*24+ROW('調整・決定'!$C$6:$H$29)-5)),0))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IF(OR('名簿'!E43="",'名簿'!F43=""),0,IFERROR((MATCH('名簿'!E43,'設定'!$E$11:$E$16,0)-1)*24+MATCH('名簿'!F43,'設定'!$I$11:$I$34,0),-1))</f>
        <v/>
      </c>
      <c r="IU48">
        <f>IF(IT48&gt;0,INDEX($D$2:$EQ$2,IT48),0)</f>
        <v/>
      </c>
      <c r="IV48">
        <f>IF(OR(IT48&lt;=0,IO48=0),1,IF(AND(INDEX($D$2:$EQ$2,IO48)=IU48,OR(AND(IO48=IT48+1,OR(INDEX($D$3:$EQ$3,IT48)&lt;&gt;$A$3,$A$4=0)),AND(IO48=IT48-1,OR(INDEX($D$3:$EQ$3,IO48)&lt;&gt;$A$3,$A$4=0)))),1,0))</f>
        <v/>
      </c>
      <c r="IW48">
        <f>IF(AND('名簿'!C43&lt;&gt;"",IT48&lt;=0),1,0)</f>
        <v/>
      </c>
      <c r="IX48">
        <f>IF('名簿'!H43="空けない",1,0)</f>
        <v/>
      </c>
    </row>
    <row r="49">
      <c r="A49" t="n">
        <v>40</v>
      </c>
      <c r="B49">
        <f>'名簿'!I44</f>
        <v/>
      </c>
      <c r="C49">
        <f>IF(AND(B49&lt;&gt;"",OR('名簿'!J44="入力済み",'名簿'!J44="×なし"),IO49=0,COUNTIF('調整・決定'!$C$6:$H$29,B49)=0),1,0)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IK49">
        <f>IFERROR(INDEX('計算B'!$C$3:$C$47,MATCH(A49,'計算B'!$B$3:$B$47,0)),0)</f>
        <v/>
      </c>
      <c r="IL49">
        <f>IF(AND(C49=1,IK49=0),1,0)</f>
        <v/>
      </c>
      <c r="IM49">
        <f>SUMPRODUCT(D99:EQ99*(1-$D$7:$EQ$7))</f>
        <v/>
      </c>
      <c r="IN49">
        <f>SUM(D49:EQ49)</f>
        <v/>
      </c>
      <c r="IO49">
        <f>IF(B49="",0,IF(COUNTIF('調整・決定'!$C$6:$H$29,B49)=1,SUMPRODUCT(('調整・決定'!$C$6:$H$29=B49)*((COLUMN('調整・決定'!$C$6:$H$29)-3)*24+ROW('調整・決定'!$C$6:$H$29)-5)),0))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IF(OR('名簿'!E44="",'名簿'!F44=""),0,IFERROR((MATCH('名簿'!E44,'設定'!$E$11:$E$16,0)-1)*24+MATCH('名簿'!F44,'設定'!$I$11:$I$34,0),-1))</f>
        <v/>
      </c>
      <c r="IU49">
        <f>IF(IT49&gt;0,INDEX($D$2:$EQ$2,IT49),0)</f>
        <v/>
      </c>
      <c r="IV49">
        <f>IF(OR(IT49&lt;=0,IO49=0),1,IF(AND(INDEX($D$2:$EQ$2,IO49)=IU49,OR(AND(IO49=IT49+1,OR(INDEX($D$3:$EQ$3,IT49)&lt;&gt;$A$3,$A$4=0)),AND(IO49=IT49-1,OR(INDEX($D$3:$EQ$3,IO49)&lt;&gt;$A$3,$A$4=0)))),1,0))</f>
        <v/>
      </c>
      <c r="IW49">
        <f>IF(AND('名簿'!C44&lt;&gt;"",IT49&lt;=0),1,0)</f>
        <v/>
      </c>
      <c r="IX49">
        <f>IF('名簿'!H44="空けない",1,0)</f>
        <v/>
      </c>
    </row>
    <row r="50">
      <c r="A50" t="n">
        <v>41</v>
      </c>
      <c r="B50">
        <f>'名簿'!I45</f>
        <v/>
      </c>
      <c r="C50">
        <f>IF(AND(B50&lt;&gt;"",OR('名簿'!J45="入力済み",'名簿'!J45="×なし"),IO50=0,COUNTIF('調整・決定'!$C$6:$H$29,B50)=0),1,0)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IK50">
        <f>IFERROR(INDEX('計算B'!$C$3:$C$47,MATCH(A50,'計算B'!$B$3:$B$47,0)),0)</f>
        <v/>
      </c>
      <c r="IL50">
        <f>IF(AND(C50=1,IK50=0),1,0)</f>
        <v/>
      </c>
      <c r="IM50">
        <f>SUMPRODUCT(D100:EQ100*(1-$D$7:$EQ$7))</f>
        <v/>
      </c>
      <c r="IN50">
        <f>SUM(D50:EQ50)</f>
        <v/>
      </c>
      <c r="IO50">
        <f>IF(B50="",0,IF(COUNTIF('調整・決定'!$C$6:$H$29,B50)=1,SUMPRODUCT(('調整・決定'!$C$6:$H$29=B50)*((COLUMN('調整・決定'!$C$6:$H$29)-3)*24+ROW('調整・決定'!$C$6:$H$29)-5)),0))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IF(OR('名簿'!E45="",'名簿'!F45=""),0,IFERROR((MATCH('名簿'!E45,'設定'!$E$11:$E$16,0)-1)*24+MATCH('名簿'!F45,'設定'!$I$11:$I$34,0),-1))</f>
        <v/>
      </c>
      <c r="IU50">
        <f>IF(IT50&gt;0,INDEX($D$2:$EQ$2,IT50),0)</f>
        <v/>
      </c>
      <c r="IV50">
        <f>IF(OR(IT50&lt;=0,IO50=0),1,IF(AND(INDEX($D$2:$EQ$2,IO50)=IU50,OR(AND(IO50=IT50+1,OR(INDEX($D$3:$EQ$3,IT50)&lt;&gt;$A$3,$A$4=0)),AND(IO50=IT50-1,OR(INDEX($D$3:$EQ$3,IO50)&lt;&gt;$A$3,$A$4=0)))),1,0))</f>
        <v/>
      </c>
      <c r="IW50">
        <f>IF(AND('名簿'!C45&lt;&gt;"",IT50&lt;=0),1,0)</f>
        <v/>
      </c>
      <c r="IX50">
        <f>IF('名簿'!H45="空けない",1,0)</f>
        <v/>
      </c>
    </row>
    <row r="51">
      <c r="A51" t="n">
        <v>42</v>
      </c>
      <c r="B51">
        <f>'名簿'!I46</f>
        <v/>
      </c>
      <c r="C51">
        <f>IF(AND(B51&lt;&gt;"",OR('名簿'!J46="入力済み",'名簿'!J46="×なし"),IO51=0,COUNTIF('調整・決定'!$C$6:$H$29,B51)=0),1,0)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IK51">
        <f>IFERROR(INDEX('計算B'!$C$3:$C$47,MATCH(A51,'計算B'!$B$3:$B$47,0)),0)</f>
        <v/>
      </c>
      <c r="IL51">
        <f>IF(AND(C51=1,IK51=0),1,0)</f>
        <v/>
      </c>
      <c r="IM51">
        <f>SUMPRODUCT(D101:EQ101*(1-$D$7:$EQ$7))</f>
        <v/>
      </c>
      <c r="IN51">
        <f>SUM(D51:EQ51)</f>
        <v/>
      </c>
      <c r="IO51">
        <f>IF(B51="",0,IF(COUNTIF('調整・決定'!$C$6:$H$29,B51)=1,SUMPRODUCT(('調整・決定'!$C$6:$H$29=B51)*((COLUMN('調整・決定'!$C$6:$H$29)-3)*24+ROW('調整・決定'!$C$6:$H$29)-5)),0))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IF(OR('名簿'!E46="",'名簿'!F46=""),0,IFERROR((MATCH('名簿'!E46,'設定'!$E$11:$E$16,0)-1)*24+MATCH('名簿'!F46,'設定'!$I$11:$I$34,0),-1))</f>
        <v/>
      </c>
      <c r="IU51">
        <f>IF(IT51&gt;0,INDEX($D$2:$EQ$2,IT51),0)</f>
        <v/>
      </c>
      <c r="IV51">
        <f>IF(OR(IT51&lt;=0,IO51=0),1,IF(AND(INDEX($D$2:$EQ$2,IO51)=IU51,OR(AND(IO51=IT51+1,OR(INDEX($D$3:$EQ$3,IT51)&lt;&gt;$A$3,$A$4=0)),AND(IO51=IT51-1,OR(INDEX($D$3:$EQ$3,IO51)&lt;&gt;$A$3,$A$4=0)))),1,0))</f>
        <v/>
      </c>
      <c r="IW51">
        <f>IF(AND('名簿'!C46&lt;&gt;"",IT51&lt;=0),1,0)</f>
        <v/>
      </c>
      <c r="IX51">
        <f>IF('名簿'!H46="空けない",1,0)</f>
        <v/>
      </c>
    </row>
    <row r="52">
      <c r="A52" t="n">
        <v>43</v>
      </c>
      <c r="B52">
        <f>'名簿'!I47</f>
        <v/>
      </c>
      <c r="C52">
        <f>IF(AND(B52&lt;&gt;"",OR('名簿'!J47="入力済み",'名簿'!J47="×なし"),IO52=0,COUNTIF('調整・決定'!$C$6:$H$29,B52)=0),1,0)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IK52">
        <f>IFERROR(INDEX('計算B'!$C$3:$C$47,MATCH(A52,'計算B'!$B$3:$B$47,0)),0)</f>
        <v/>
      </c>
      <c r="IL52">
        <f>IF(AND(C52=1,IK52=0),1,0)</f>
        <v/>
      </c>
      <c r="IM52">
        <f>SUMPRODUCT(D102:EQ102*(1-$D$7:$EQ$7))</f>
        <v/>
      </c>
      <c r="IN52">
        <f>SUM(D52:EQ52)</f>
        <v/>
      </c>
      <c r="IO52">
        <f>IF(B52="",0,IF(COUNTIF('調整・決定'!$C$6:$H$29,B52)=1,SUMPRODUCT(('調整・決定'!$C$6:$H$29=B52)*((COLUMN('調整・決定'!$C$6:$H$29)-3)*24+ROW('調整・決定'!$C$6:$H$29)-5)),0))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IF(OR('名簿'!E47="",'名簿'!F47=""),0,IFERROR((MATCH('名簿'!E47,'設定'!$E$11:$E$16,0)-1)*24+MATCH('名簿'!F47,'設定'!$I$11:$I$34,0),-1))</f>
        <v/>
      </c>
      <c r="IU52">
        <f>IF(IT52&gt;0,INDEX($D$2:$EQ$2,IT52),0)</f>
        <v/>
      </c>
      <c r="IV52">
        <f>IF(OR(IT52&lt;=0,IO52=0),1,IF(AND(INDEX($D$2:$EQ$2,IO52)=IU52,OR(AND(IO52=IT52+1,OR(INDEX($D$3:$EQ$3,IT52)&lt;&gt;$A$3,$A$4=0)),AND(IO52=IT52-1,OR(INDEX($D$3:$EQ$3,IO52)&lt;&gt;$A$3,$A$4=0)))),1,0))</f>
        <v/>
      </c>
      <c r="IW52">
        <f>IF(AND('名簿'!C47&lt;&gt;"",IT52&lt;=0),1,0)</f>
        <v/>
      </c>
      <c r="IX52">
        <f>IF('名簿'!H47="空けない",1,0)</f>
        <v/>
      </c>
    </row>
    <row r="53">
      <c r="A53" t="n">
        <v>44</v>
      </c>
      <c r="B53">
        <f>'名簿'!I48</f>
        <v/>
      </c>
      <c r="C53">
        <f>IF(AND(B53&lt;&gt;"",OR('名簿'!J48="入力済み",'名簿'!J48="×なし"),IO53=0,COUNTIF('調整・決定'!$C$6:$H$29,B53)=0),1,0)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IK53">
        <f>IFERROR(INDEX('計算B'!$C$3:$C$47,MATCH(A53,'計算B'!$B$3:$B$47,0)),0)</f>
        <v/>
      </c>
      <c r="IL53">
        <f>IF(AND(C53=1,IK53=0),1,0)</f>
        <v/>
      </c>
      <c r="IM53">
        <f>SUMPRODUCT(D103:EQ103*(1-$D$7:$EQ$7))</f>
        <v/>
      </c>
      <c r="IN53">
        <f>SUM(D53:EQ53)</f>
        <v/>
      </c>
      <c r="IO53">
        <f>IF(B53="",0,IF(COUNTIF('調整・決定'!$C$6:$H$29,B53)=1,SUMPRODUCT(('調整・決定'!$C$6:$H$29=B53)*((COLUMN('調整・決定'!$C$6:$H$29)-3)*24+ROW('調整・決定'!$C$6:$H$29)-5)),0))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IF(OR('名簿'!E48="",'名簿'!F48=""),0,IFERROR((MATCH('名簿'!E48,'設定'!$E$11:$E$16,0)-1)*24+MATCH('名簿'!F48,'設定'!$I$11:$I$34,0),-1))</f>
        <v/>
      </c>
      <c r="IU53">
        <f>IF(IT53&gt;0,INDEX($D$2:$EQ$2,IT53),0)</f>
        <v/>
      </c>
      <c r="IV53">
        <f>IF(OR(IT53&lt;=0,IO53=0),1,IF(AND(INDEX($D$2:$EQ$2,IO53)=IU53,OR(AND(IO53=IT53+1,OR(INDEX($D$3:$EQ$3,IT53)&lt;&gt;$A$3,$A$4=0)),AND(IO53=IT53-1,OR(INDEX($D$3:$EQ$3,IO53)&lt;&gt;$A$3,$A$4=0)))),1,0))</f>
        <v/>
      </c>
      <c r="IW53">
        <f>IF(AND('名簿'!C48&lt;&gt;"",IT53&lt;=0),1,0)</f>
        <v/>
      </c>
      <c r="IX53">
        <f>IF('名簿'!H48="空けない",1,0)</f>
        <v/>
      </c>
    </row>
    <row r="54">
      <c r="A54" t="n">
        <v>45</v>
      </c>
      <c r="B54">
        <f>'名簿'!I49</f>
        <v/>
      </c>
      <c r="C54">
        <f>IF(AND(B54&lt;&gt;"",OR('名簿'!J49="入力済み",'名簿'!J49="×なし"),IO54=0,COUNTIF('調整・決定'!$C$6:$H$29,B54)=0),1,0)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IK54">
        <f>IFERROR(INDEX('計算B'!$C$3:$C$47,MATCH(A54,'計算B'!$B$3:$B$47,0)),0)</f>
        <v/>
      </c>
      <c r="IL54">
        <f>IF(AND(C54=1,IK54=0),1,0)</f>
        <v/>
      </c>
      <c r="IM54">
        <f>SUMPRODUCT(D104:EQ104*(1-$D$7:$EQ$7))</f>
        <v/>
      </c>
      <c r="IN54">
        <f>SUM(D54:EQ54)</f>
        <v/>
      </c>
      <c r="IO54">
        <f>IF(B54="",0,IF(COUNTIF('調整・決定'!$C$6:$H$29,B54)=1,SUMPRODUCT(('調整・決定'!$C$6:$H$29=B54)*((COLUMN('調整・決定'!$C$6:$H$29)-3)*24+ROW('調整・決定'!$C$6:$H$29)-5)),0))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IF(OR('名簿'!E49="",'名簿'!F49=""),0,IFERROR((MATCH('名簿'!E49,'設定'!$E$11:$E$16,0)-1)*24+MATCH('名簿'!F49,'設定'!$I$11:$I$34,0),-1))</f>
        <v/>
      </c>
      <c r="IU54">
        <f>IF(IT54&gt;0,INDEX($D$2:$EQ$2,IT54),0)</f>
        <v/>
      </c>
      <c r="IV54">
        <f>IF(OR(IT54&lt;=0,IO54=0),1,IF(AND(INDEX($D$2:$EQ$2,IO54)=IU54,OR(AND(IO54=IT54+1,OR(INDEX($D$3:$EQ$3,IT54)&lt;&gt;$A$3,$A$4=0)),AND(IO54=IT54-1,OR(INDEX($D$3:$EQ$3,IO54)&lt;&gt;$A$3,$A$4=0)))),1,0))</f>
        <v/>
      </c>
      <c r="IW54">
        <f>IF(AND('名簿'!C49&lt;&gt;"",IT54&lt;=0),1,0)</f>
        <v/>
      </c>
      <c r="IX54">
        <f>IF('名簿'!H49="空けない",1,0)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row>
    <row r="108">
      <c r="C108" t="inlineStr">
        <is>
          <t>後ろを空ける枠</t>
        </is>
      </c>
      <c r="D108" t="n">
        <v>0</v>
      </c>
      <c r="E108">
        <f>IF(OR(D106=0,INDEX('調整・決定'!$C$6:$H$29,E3-1,E2)=""),0,IF(RIGHT(IFERROR(INDEX('名簿'!$H$5:$H$49,MATCH(INDEX('調整・決定'!$C$6:$H$29,E3-1,E2),'名簿'!$I$5:$I$49,0)),""),4)="空けたい",1,0))</f>
        <v/>
      </c>
      <c r="F108">
        <f>IF(OR(E106=0,INDEX('調整・決定'!$C$6:$H$29,F3-1,F2)=""),0,IF(RIGHT(IFERROR(INDEX('名簿'!$H$5:$H$49,MATCH(INDEX('調整・決定'!$C$6:$H$29,F3-1,F2),'名簿'!$I$5:$I$49,0)),""),4)="空けたい",1,0))</f>
        <v/>
      </c>
      <c r="G108">
        <f>IF(OR(F106=0,INDEX('調整・決定'!$C$6:$H$29,G3-1,G2)=""),0,IF(RIGHT(IFERROR(INDEX('名簿'!$H$5:$H$49,MATCH(INDEX('調整・決定'!$C$6:$H$29,G3-1,G2),'名簿'!$I$5:$I$49,0)),""),4)="空けたい",1,0))</f>
        <v/>
      </c>
      <c r="H108">
        <f>IF(OR(G106=0,INDEX('調整・決定'!$C$6:$H$29,H3-1,H2)=""),0,IF(RIGHT(IFERROR(INDEX('名簿'!$H$5:$H$49,MATCH(INDEX('調整・決定'!$C$6:$H$29,H3-1,H2),'名簿'!$I$5:$I$49,0)),""),4)="空けたい",1,0))</f>
        <v/>
      </c>
      <c r="I108">
        <f>IF(OR(H106=0,INDEX('調整・決定'!$C$6:$H$29,I3-1,I2)=""),0,IF(RIGHT(IFERROR(INDEX('名簿'!$H$5:$H$49,MATCH(INDEX('調整・決定'!$C$6:$H$29,I3-1,I2),'名簿'!$I$5:$I$49,0)),""),4)="空けたい",1,0))</f>
        <v/>
      </c>
      <c r="J108">
        <f>IF(OR(I106=0,INDEX('調整・決定'!$C$6:$H$29,J3-1,J2)=""),0,IF(RIGHT(IFERROR(INDEX('名簿'!$H$5:$H$49,MATCH(INDEX('調整・決定'!$C$6:$H$29,J3-1,J2),'名簿'!$I$5:$I$49,0)),""),4)="空けたい",1,0))</f>
        <v/>
      </c>
      <c r="K108">
        <f>IF(OR(J106=0,INDEX('調整・決定'!$C$6:$H$29,K3-1,K2)=""),0,IF(RIGHT(IFERROR(INDEX('名簿'!$H$5:$H$49,MATCH(INDEX('調整・決定'!$C$6:$H$29,K3-1,K2),'名簿'!$I$5:$I$49,0)),""),4)="空けたい",1,0))</f>
        <v/>
      </c>
      <c r="L108">
        <f>IF(OR(K106=0,INDEX('調整・決定'!$C$6:$H$29,L3-1,L2)=""),0,IF(RIGHT(IFERROR(INDEX('名簿'!$H$5:$H$49,MATCH(INDEX('調整・決定'!$C$6:$H$29,L3-1,L2),'名簿'!$I$5:$I$49,0)),""),4)="空けたい",1,0))</f>
        <v/>
      </c>
      <c r="M108">
        <f>IF(OR(L106=0,INDEX('調整・決定'!$C$6:$H$29,M3-1,M2)=""),0,IF(RIGHT(IFERROR(INDEX('名簿'!$H$5:$H$49,MATCH(INDEX('調整・決定'!$C$6:$H$29,M3-1,M2),'名簿'!$I$5:$I$49,0)),""),4)="空けたい",1,0))</f>
        <v/>
      </c>
      <c r="N108">
        <f>IF(OR(M106=0,INDEX('調整・決定'!$C$6:$H$29,N3-1,N2)=""),0,IF(RIGHT(IFERROR(INDEX('名簿'!$H$5:$H$49,MATCH(INDEX('調整・決定'!$C$6:$H$29,N3-1,N2),'名簿'!$I$5:$I$49,0)),""),4)="空けたい",1,0))</f>
        <v/>
      </c>
      <c r="O108">
        <f>IF(OR(N106=0,INDEX('調整・決定'!$C$6:$H$29,O3-1,O2)=""),0,IF(RIGHT(IFERROR(INDEX('名簿'!$H$5:$H$49,MATCH(INDEX('調整・決定'!$C$6:$H$29,O3-1,O2),'名簿'!$I$5:$I$49,0)),""),4)="空けたい",1,0))</f>
        <v/>
      </c>
      <c r="P108">
        <f>IF(OR(O106=0,INDEX('調整・決定'!$C$6:$H$29,P3-1,P2)=""),0,IF(RIGHT(IFERROR(INDEX('名簿'!$H$5:$H$49,MATCH(INDEX('調整・決定'!$C$6:$H$29,P3-1,P2),'名簿'!$I$5:$I$49,0)),""),4)="空けたい",1,0))</f>
        <v/>
      </c>
      <c r="Q108">
        <f>IF(OR(P106=0,INDEX('調整・決定'!$C$6:$H$29,Q3-1,Q2)=""),0,IF(RIGHT(IFERROR(INDEX('名簿'!$H$5:$H$49,MATCH(INDEX('調整・決定'!$C$6:$H$29,Q3-1,Q2),'名簿'!$I$5:$I$49,0)),""),4)="空けたい",1,0))</f>
        <v/>
      </c>
      <c r="R108">
        <f>IF(OR(Q106=0,INDEX('調整・決定'!$C$6:$H$29,R3-1,R2)=""),0,IF(RIGHT(IFERROR(INDEX('名簿'!$H$5:$H$49,MATCH(INDEX('調整・決定'!$C$6:$H$29,R3-1,R2),'名簿'!$I$5:$I$49,0)),""),4)="空けたい",1,0))</f>
        <v/>
      </c>
      <c r="S108">
        <f>IF(OR(R106=0,INDEX('調整・決定'!$C$6:$H$29,S3-1,S2)=""),0,IF(RIGHT(IFERROR(INDEX('名簿'!$H$5:$H$49,MATCH(INDEX('調整・決定'!$C$6:$H$29,S3-1,S2),'名簿'!$I$5:$I$49,0)),""),4)="空けたい",1,0))</f>
        <v/>
      </c>
      <c r="T108">
        <f>IF(OR(S106=0,INDEX('調整・決定'!$C$6:$H$29,T3-1,T2)=""),0,IF(RIGHT(IFERROR(INDEX('名簿'!$H$5:$H$49,MATCH(INDEX('調整・決定'!$C$6:$H$29,T3-1,T2),'名簿'!$I$5:$I$49,0)),""),4)="空けたい",1,0))</f>
        <v/>
      </c>
      <c r="U108">
        <f>IF(OR(T106=0,INDEX('調整・決定'!$C$6:$H$29,U3-1,U2)=""),0,IF(RIGHT(IFERROR(INDEX('名簿'!$H$5:$H$49,MATCH(INDEX('調整・決定'!$C$6:$H$29,U3-1,U2),'名簿'!$I$5:$I$49,0)),""),4)="空けたい",1,0))</f>
        <v/>
      </c>
      <c r="V108">
        <f>IF(OR(U106=0,INDEX('調整・決定'!$C$6:$H$29,V3-1,V2)=""),0,IF(RIGHT(IFERROR(INDEX('名簿'!$H$5:$H$49,MATCH(INDEX('調整・決定'!$C$6:$H$29,V3-1,V2),'名簿'!$I$5:$I$49,0)),""),4)="空けたい",1,0))</f>
        <v/>
      </c>
      <c r="W108">
        <f>IF(OR(V106=0,INDEX('調整・決定'!$C$6:$H$29,W3-1,W2)=""),0,IF(RIGHT(IFERROR(INDEX('名簿'!$H$5:$H$49,MATCH(INDEX('調整・決定'!$C$6:$H$29,W3-1,W2),'名簿'!$I$5:$I$49,0)),""),4)="空けたい",1,0))</f>
        <v/>
      </c>
      <c r="X108">
        <f>IF(OR(W106=0,INDEX('調整・決定'!$C$6:$H$29,X3-1,X2)=""),0,IF(RIGHT(IFERROR(INDEX('名簿'!$H$5:$H$49,MATCH(INDEX('調整・決定'!$C$6:$H$29,X3-1,X2),'名簿'!$I$5:$I$49,0)),""),4)="空けたい",1,0))</f>
        <v/>
      </c>
      <c r="Y108">
        <f>IF(OR(X106=0,INDEX('調整・決定'!$C$6:$H$29,Y3-1,Y2)=""),0,IF(RIGHT(IFERROR(INDEX('名簿'!$H$5:$H$49,MATCH(INDEX('調整・決定'!$C$6:$H$29,Y3-1,Y2),'名簿'!$I$5:$I$49,0)),""),4)="空けたい",1,0))</f>
        <v/>
      </c>
      <c r="Z108">
        <f>IF(OR(Y106=0,INDEX('調整・決定'!$C$6:$H$29,Z3-1,Z2)=""),0,IF(RIGHT(IFERROR(INDEX('名簿'!$H$5:$H$49,MATCH(INDEX('調整・決定'!$C$6:$H$29,Z3-1,Z2),'名簿'!$I$5:$I$49,0)),""),4)="空けたい",1,0))</f>
        <v/>
      </c>
      <c r="AA108">
        <f>IF(OR(Z106=0,INDEX('調整・決定'!$C$6:$H$29,AA3-1,AA2)=""),0,IF(RIGHT(IFERROR(INDEX('名簿'!$H$5:$H$49,MATCH(INDEX('調整・決定'!$C$6:$H$29,AA3-1,AA2),'名簿'!$I$5:$I$49,0)),""),4)="空けたい",1,0))</f>
        <v/>
      </c>
      <c r="AB108" t="n">
        <v>0</v>
      </c>
      <c r="AC108">
        <f>IF(OR(AB106=0,INDEX('調整・決定'!$C$6:$H$29,AC3-1,AC2)=""),0,IF(RIGHT(IFERROR(INDEX('名簿'!$H$5:$H$49,MATCH(INDEX('調整・決定'!$C$6:$H$29,AC3-1,AC2),'名簿'!$I$5:$I$49,0)),""),4)="空けたい",1,0))</f>
        <v/>
      </c>
      <c r="AD108">
        <f>IF(OR(AC106=0,INDEX('調整・決定'!$C$6:$H$29,AD3-1,AD2)=""),0,IF(RIGHT(IFERROR(INDEX('名簿'!$H$5:$H$49,MATCH(INDEX('調整・決定'!$C$6:$H$29,AD3-1,AD2),'名簿'!$I$5:$I$49,0)),""),4)="空けたい",1,0))</f>
        <v/>
      </c>
      <c r="AE108">
        <f>IF(OR(AD106=0,INDEX('調整・決定'!$C$6:$H$29,AE3-1,AE2)=""),0,IF(RIGHT(IFERROR(INDEX('名簿'!$H$5:$H$49,MATCH(INDEX('調整・決定'!$C$6:$H$29,AE3-1,AE2),'名簿'!$I$5:$I$49,0)),""),4)="空けたい",1,0))</f>
        <v/>
      </c>
      <c r="AF108">
        <f>IF(OR(AE106=0,INDEX('調整・決定'!$C$6:$H$29,AF3-1,AF2)=""),0,IF(RIGHT(IFERROR(INDEX('名簿'!$H$5:$H$49,MATCH(INDEX('調整・決定'!$C$6:$H$29,AF3-1,AF2),'名簿'!$I$5:$I$49,0)),""),4)="空けたい",1,0))</f>
        <v/>
      </c>
      <c r="AG108">
        <f>IF(OR(AF106=0,INDEX('調整・決定'!$C$6:$H$29,AG3-1,AG2)=""),0,IF(RIGHT(IFERROR(INDEX('名簿'!$H$5:$H$49,MATCH(INDEX('調整・決定'!$C$6:$H$29,AG3-1,AG2),'名簿'!$I$5:$I$49,0)),""),4)="空けたい",1,0))</f>
        <v/>
      </c>
      <c r="AH108">
        <f>IF(OR(AG106=0,INDEX('調整・決定'!$C$6:$H$29,AH3-1,AH2)=""),0,IF(RIGHT(IFERROR(INDEX('名簿'!$H$5:$H$49,MATCH(INDEX('調整・決定'!$C$6:$H$29,AH3-1,AH2),'名簿'!$I$5:$I$49,0)),""),4)="空けたい",1,0))</f>
        <v/>
      </c>
      <c r="AI108">
        <f>IF(OR(AH106=0,INDEX('調整・決定'!$C$6:$H$29,AI3-1,AI2)=""),0,IF(RIGHT(IFERROR(INDEX('名簿'!$H$5:$H$49,MATCH(INDEX('調整・決定'!$C$6:$H$29,AI3-1,AI2),'名簿'!$I$5:$I$49,0)),""),4)="空けたい",1,0))</f>
        <v/>
      </c>
      <c r="AJ108">
        <f>IF(OR(AI106=0,INDEX('調整・決定'!$C$6:$H$29,AJ3-1,AJ2)=""),0,IF(RIGHT(IFERROR(INDEX('名簿'!$H$5:$H$49,MATCH(INDEX('調整・決定'!$C$6:$H$29,AJ3-1,AJ2),'名簿'!$I$5:$I$49,0)),""),4)="空けたい",1,0))</f>
        <v/>
      </c>
      <c r="AK108">
        <f>IF(OR(AJ106=0,INDEX('調整・決定'!$C$6:$H$29,AK3-1,AK2)=""),0,IF(RIGHT(IFERROR(INDEX('名簿'!$H$5:$H$49,MATCH(INDEX('調整・決定'!$C$6:$H$29,AK3-1,AK2),'名簿'!$I$5:$I$49,0)),""),4)="空けたい",1,0))</f>
        <v/>
      </c>
      <c r="AL108">
        <f>IF(OR(AK106=0,INDEX('調整・決定'!$C$6:$H$29,AL3-1,AL2)=""),0,IF(RIGHT(IFERROR(INDEX('名簿'!$H$5:$H$49,MATCH(INDEX('調整・決定'!$C$6:$H$29,AL3-1,AL2),'名簿'!$I$5:$I$49,0)),""),4)="空けたい",1,0))</f>
        <v/>
      </c>
      <c r="AM108">
        <f>IF(OR(AL106=0,INDEX('調整・決定'!$C$6:$H$29,AM3-1,AM2)=""),0,IF(RIGHT(IFERROR(INDEX('名簿'!$H$5:$H$49,MATCH(INDEX('調整・決定'!$C$6:$H$29,AM3-1,AM2),'名簿'!$I$5:$I$49,0)),""),4)="空けたい",1,0))</f>
        <v/>
      </c>
      <c r="AN108">
        <f>IF(OR(AM106=0,INDEX('調整・決定'!$C$6:$H$29,AN3-1,AN2)=""),0,IF(RIGHT(IFERROR(INDEX('名簿'!$H$5:$H$49,MATCH(INDEX('調整・決定'!$C$6:$H$29,AN3-1,AN2),'名簿'!$I$5:$I$49,0)),""),4)="空けたい",1,0))</f>
        <v/>
      </c>
      <c r="AO108">
        <f>IF(OR(AN106=0,INDEX('調整・決定'!$C$6:$H$29,AO3-1,AO2)=""),0,IF(RIGHT(IFERROR(INDEX('名簿'!$H$5:$H$49,MATCH(INDEX('調整・決定'!$C$6:$H$29,AO3-1,AO2),'名簿'!$I$5:$I$49,0)),""),4)="空けたい",1,0))</f>
        <v/>
      </c>
      <c r="AP108">
        <f>IF(OR(AO106=0,INDEX('調整・決定'!$C$6:$H$29,AP3-1,AP2)=""),0,IF(RIGHT(IFERROR(INDEX('名簿'!$H$5:$H$49,MATCH(INDEX('調整・決定'!$C$6:$H$29,AP3-1,AP2),'名簿'!$I$5:$I$49,0)),""),4)="空けたい",1,0))</f>
        <v/>
      </c>
      <c r="AQ108">
        <f>IF(OR(AP106=0,INDEX('調整・決定'!$C$6:$H$29,AQ3-1,AQ2)=""),0,IF(RIGHT(IFERROR(INDEX('名簿'!$H$5:$H$49,MATCH(INDEX('調整・決定'!$C$6:$H$29,AQ3-1,AQ2),'名簿'!$I$5:$I$49,0)),""),4)="空けたい",1,0))</f>
        <v/>
      </c>
      <c r="AR108">
        <f>IF(OR(AQ106=0,INDEX('調整・決定'!$C$6:$H$29,AR3-1,AR2)=""),0,IF(RIGHT(IFERROR(INDEX('名簿'!$H$5:$H$49,MATCH(INDEX('調整・決定'!$C$6:$H$29,AR3-1,AR2),'名簿'!$I$5:$I$49,0)),""),4)="空けたい",1,0))</f>
        <v/>
      </c>
      <c r="AS108">
        <f>IF(OR(AR106=0,INDEX('調整・決定'!$C$6:$H$29,AS3-1,AS2)=""),0,IF(RIGHT(IFERROR(INDEX('名簿'!$H$5:$H$49,MATCH(INDEX('調整・決定'!$C$6:$H$29,AS3-1,AS2),'名簿'!$I$5:$I$49,0)),""),4)="空けたい",1,0))</f>
        <v/>
      </c>
      <c r="AT108">
        <f>IF(OR(AS106=0,INDEX('調整・決定'!$C$6:$H$29,AT3-1,AT2)=""),0,IF(RIGHT(IFERROR(INDEX('名簿'!$H$5:$H$49,MATCH(INDEX('調整・決定'!$C$6:$H$29,AT3-1,AT2),'名簿'!$I$5:$I$49,0)),""),4)="空けたい",1,0))</f>
        <v/>
      </c>
      <c r="AU108">
        <f>IF(OR(AT106=0,INDEX('調整・決定'!$C$6:$H$29,AU3-1,AU2)=""),0,IF(RIGHT(IFERROR(INDEX('名簿'!$H$5:$H$49,MATCH(INDEX('調整・決定'!$C$6:$H$29,AU3-1,AU2),'名簿'!$I$5:$I$49,0)),""),4)="空けたい",1,0))</f>
        <v/>
      </c>
      <c r="AV108">
        <f>IF(OR(AU106=0,INDEX('調整・決定'!$C$6:$H$29,AV3-1,AV2)=""),0,IF(RIGHT(IFERROR(INDEX('名簿'!$H$5:$H$49,MATCH(INDEX('調整・決定'!$C$6:$H$29,AV3-1,AV2),'名簿'!$I$5:$I$49,0)),""),4)="空けたい",1,0))</f>
        <v/>
      </c>
      <c r="AW108">
        <f>IF(OR(AV106=0,INDEX('調整・決定'!$C$6:$H$29,AW3-1,AW2)=""),0,IF(RIGHT(IFERROR(INDEX('名簿'!$H$5:$H$49,MATCH(INDEX('調整・決定'!$C$6:$H$29,AW3-1,AW2),'名簿'!$I$5:$I$49,0)),""),4)="空けたい",1,0))</f>
        <v/>
      </c>
      <c r="AX108">
        <f>IF(OR(AW106=0,INDEX('調整・決定'!$C$6:$H$29,AX3-1,AX2)=""),0,IF(RIGHT(IFERROR(INDEX('名簿'!$H$5:$H$49,MATCH(INDEX('調整・決定'!$C$6:$H$29,AX3-1,AX2),'名簿'!$I$5:$I$49,0)),""),4)="空けたい",1,0))</f>
        <v/>
      </c>
      <c r="AY108">
        <f>IF(OR(AX106=0,INDEX('調整・決定'!$C$6:$H$29,AY3-1,AY2)=""),0,IF(RIGHT(IFERROR(INDEX('名簿'!$H$5:$H$49,MATCH(INDEX('調整・決定'!$C$6:$H$29,AY3-1,AY2),'名簿'!$I$5:$I$49,0)),""),4)="空けたい",1,0))</f>
        <v/>
      </c>
      <c r="AZ108" t="n">
        <v>0</v>
      </c>
      <c r="BA108">
        <f>IF(OR(AZ106=0,INDEX('調整・決定'!$C$6:$H$29,BA3-1,BA2)=""),0,IF(RIGHT(IFERROR(INDEX('名簿'!$H$5:$H$49,MATCH(INDEX('調整・決定'!$C$6:$H$29,BA3-1,BA2),'名簿'!$I$5:$I$49,0)),""),4)="空けたい",1,0))</f>
        <v/>
      </c>
      <c r="BB108">
        <f>IF(OR(BA106=0,INDEX('調整・決定'!$C$6:$H$29,BB3-1,BB2)=""),0,IF(RIGHT(IFERROR(INDEX('名簿'!$H$5:$H$49,MATCH(INDEX('調整・決定'!$C$6:$H$29,BB3-1,BB2),'名簿'!$I$5:$I$49,0)),""),4)="空けたい",1,0))</f>
        <v/>
      </c>
      <c r="BC108">
        <f>IF(OR(BB106=0,INDEX('調整・決定'!$C$6:$H$29,BC3-1,BC2)=""),0,IF(RIGHT(IFERROR(INDEX('名簿'!$H$5:$H$49,MATCH(INDEX('調整・決定'!$C$6:$H$29,BC3-1,BC2),'名簿'!$I$5:$I$49,0)),""),4)="空けたい",1,0))</f>
        <v/>
      </c>
      <c r="BD108">
        <f>IF(OR(BC106=0,INDEX('調整・決定'!$C$6:$H$29,BD3-1,BD2)=""),0,IF(RIGHT(IFERROR(INDEX('名簿'!$H$5:$H$49,MATCH(INDEX('調整・決定'!$C$6:$H$29,BD3-1,BD2),'名簿'!$I$5:$I$49,0)),""),4)="空けたい",1,0))</f>
        <v/>
      </c>
      <c r="BE108">
        <f>IF(OR(BD106=0,INDEX('調整・決定'!$C$6:$H$29,BE3-1,BE2)=""),0,IF(RIGHT(IFERROR(INDEX('名簿'!$H$5:$H$49,MATCH(INDEX('調整・決定'!$C$6:$H$29,BE3-1,BE2),'名簿'!$I$5:$I$49,0)),""),4)="空けたい",1,0))</f>
        <v/>
      </c>
      <c r="BF108">
        <f>IF(OR(BE106=0,INDEX('調整・決定'!$C$6:$H$29,BF3-1,BF2)=""),0,IF(RIGHT(IFERROR(INDEX('名簿'!$H$5:$H$49,MATCH(INDEX('調整・決定'!$C$6:$H$29,BF3-1,BF2),'名簿'!$I$5:$I$49,0)),""),4)="空けたい",1,0))</f>
        <v/>
      </c>
      <c r="BG108">
        <f>IF(OR(BF106=0,INDEX('調整・決定'!$C$6:$H$29,BG3-1,BG2)=""),0,IF(RIGHT(IFERROR(INDEX('名簿'!$H$5:$H$49,MATCH(INDEX('調整・決定'!$C$6:$H$29,BG3-1,BG2),'名簿'!$I$5:$I$49,0)),""),4)="空けたい",1,0))</f>
        <v/>
      </c>
      <c r="BH108">
        <f>IF(OR(BG106=0,INDEX('調整・決定'!$C$6:$H$29,BH3-1,BH2)=""),0,IF(RIGHT(IFERROR(INDEX('名簿'!$H$5:$H$49,MATCH(INDEX('調整・決定'!$C$6:$H$29,BH3-1,BH2),'名簿'!$I$5:$I$49,0)),""),4)="空けたい",1,0))</f>
        <v/>
      </c>
      <c r="BI108">
        <f>IF(OR(BH106=0,INDEX('調整・決定'!$C$6:$H$29,BI3-1,BI2)=""),0,IF(RIGHT(IFERROR(INDEX('名簿'!$H$5:$H$49,MATCH(INDEX('調整・決定'!$C$6:$H$29,BI3-1,BI2),'名簿'!$I$5:$I$49,0)),""),4)="空けたい",1,0))</f>
        <v/>
      </c>
      <c r="BJ108">
        <f>IF(OR(BI106=0,INDEX('調整・決定'!$C$6:$H$29,BJ3-1,BJ2)=""),0,IF(RIGHT(IFERROR(INDEX('名簿'!$H$5:$H$49,MATCH(INDEX('調整・決定'!$C$6:$H$29,BJ3-1,BJ2),'名簿'!$I$5:$I$49,0)),""),4)="空けたい",1,0))</f>
        <v/>
      </c>
      <c r="BK108">
        <f>IF(OR(BJ106=0,INDEX('調整・決定'!$C$6:$H$29,BK3-1,BK2)=""),0,IF(RIGHT(IFERROR(INDEX('名簿'!$H$5:$H$49,MATCH(INDEX('調整・決定'!$C$6:$H$29,BK3-1,BK2),'名簿'!$I$5:$I$49,0)),""),4)="空けたい",1,0))</f>
        <v/>
      </c>
      <c r="BL108">
        <f>IF(OR(BK106=0,INDEX('調整・決定'!$C$6:$H$29,BL3-1,BL2)=""),0,IF(RIGHT(IFERROR(INDEX('名簿'!$H$5:$H$49,MATCH(INDEX('調整・決定'!$C$6:$H$29,BL3-1,BL2),'名簿'!$I$5:$I$49,0)),""),4)="空けたい",1,0))</f>
        <v/>
      </c>
      <c r="BM108">
        <f>IF(OR(BL106=0,INDEX('調整・決定'!$C$6:$H$29,BM3-1,BM2)=""),0,IF(RIGHT(IFERROR(INDEX('名簿'!$H$5:$H$49,MATCH(INDEX('調整・決定'!$C$6:$H$29,BM3-1,BM2),'名簿'!$I$5:$I$49,0)),""),4)="空けたい",1,0))</f>
        <v/>
      </c>
      <c r="BN108">
        <f>IF(OR(BM106=0,INDEX('調整・決定'!$C$6:$H$29,BN3-1,BN2)=""),0,IF(RIGHT(IFERROR(INDEX('名簿'!$H$5:$H$49,MATCH(INDEX('調整・決定'!$C$6:$H$29,BN3-1,BN2),'名簿'!$I$5:$I$49,0)),""),4)="空けたい",1,0))</f>
        <v/>
      </c>
      <c r="BO108">
        <f>IF(OR(BN106=0,INDEX('調整・決定'!$C$6:$H$29,BO3-1,BO2)=""),0,IF(RIGHT(IFERROR(INDEX('名簿'!$H$5:$H$49,MATCH(INDEX('調整・決定'!$C$6:$H$29,BO3-1,BO2),'名簿'!$I$5:$I$49,0)),""),4)="空けたい",1,0))</f>
        <v/>
      </c>
      <c r="BP108">
        <f>IF(OR(BO106=0,INDEX('調整・決定'!$C$6:$H$29,BP3-1,BP2)=""),0,IF(RIGHT(IFERROR(INDEX('名簿'!$H$5:$H$49,MATCH(INDEX('調整・決定'!$C$6:$H$29,BP3-1,BP2),'名簿'!$I$5:$I$49,0)),""),4)="空けたい",1,0))</f>
        <v/>
      </c>
      <c r="BQ108">
        <f>IF(OR(BP106=0,INDEX('調整・決定'!$C$6:$H$29,BQ3-1,BQ2)=""),0,IF(RIGHT(IFERROR(INDEX('名簿'!$H$5:$H$49,MATCH(INDEX('調整・決定'!$C$6:$H$29,BQ3-1,BQ2),'名簿'!$I$5:$I$49,0)),""),4)="空けたい",1,0))</f>
        <v/>
      </c>
      <c r="BR108">
        <f>IF(OR(BQ106=0,INDEX('調整・決定'!$C$6:$H$29,BR3-1,BR2)=""),0,IF(RIGHT(IFERROR(INDEX('名簿'!$H$5:$H$49,MATCH(INDEX('調整・決定'!$C$6:$H$29,BR3-1,BR2),'名簿'!$I$5:$I$49,0)),""),4)="空けたい",1,0))</f>
        <v/>
      </c>
      <c r="BS108">
        <f>IF(OR(BR106=0,INDEX('調整・決定'!$C$6:$H$29,BS3-1,BS2)=""),0,IF(RIGHT(IFERROR(INDEX('名簿'!$H$5:$H$49,MATCH(INDEX('調整・決定'!$C$6:$H$29,BS3-1,BS2),'名簿'!$I$5:$I$49,0)),""),4)="空けたい",1,0))</f>
        <v/>
      </c>
      <c r="BT108">
        <f>IF(OR(BS106=0,INDEX('調整・決定'!$C$6:$H$29,BT3-1,BT2)=""),0,IF(RIGHT(IFERROR(INDEX('名簿'!$H$5:$H$49,MATCH(INDEX('調整・決定'!$C$6:$H$29,BT3-1,BT2),'名簿'!$I$5:$I$49,0)),""),4)="空けたい",1,0))</f>
        <v/>
      </c>
      <c r="BU108">
        <f>IF(OR(BT106=0,INDEX('調整・決定'!$C$6:$H$29,BU3-1,BU2)=""),0,IF(RIGHT(IFERROR(INDEX('名簿'!$H$5:$H$49,MATCH(INDEX('調整・決定'!$C$6:$H$29,BU3-1,BU2),'名簿'!$I$5:$I$49,0)),""),4)="空けたい",1,0))</f>
        <v/>
      </c>
      <c r="BV108">
        <f>IF(OR(BU106=0,INDEX('調整・決定'!$C$6:$H$29,BV3-1,BV2)=""),0,IF(RIGHT(IFERROR(INDEX('名簿'!$H$5:$H$49,MATCH(INDEX('調整・決定'!$C$6:$H$29,BV3-1,BV2),'名簿'!$I$5:$I$49,0)),""),4)="空けたい",1,0))</f>
        <v/>
      </c>
      <c r="BW108">
        <f>IF(OR(BV106=0,INDEX('調整・決定'!$C$6:$H$29,BW3-1,BW2)=""),0,IF(RIGHT(IFERROR(INDEX('名簿'!$H$5:$H$49,MATCH(INDEX('調整・決定'!$C$6:$H$29,BW3-1,BW2),'名簿'!$I$5:$I$49,0)),""),4)="空けたい",1,0))</f>
        <v/>
      </c>
      <c r="BX108" t="n">
        <v>0</v>
      </c>
      <c r="BY108">
        <f>IF(OR(BX106=0,INDEX('調整・決定'!$C$6:$H$29,BY3-1,BY2)=""),0,IF(RIGHT(IFERROR(INDEX('名簿'!$H$5:$H$49,MATCH(INDEX('調整・決定'!$C$6:$H$29,BY3-1,BY2),'名簿'!$I$5:$I$49,0)),""),4)="空けたい",1,0))</f>
        <v/>
      </c>
      <c r="BZ108">
        <f>IF(OR(BY106=0,INDEX('調整・決定'!$C$6:$H$29,BZ3-1,BZ2)=""),0,IF(RIGHT(IFERROR(INDEX('名簿'!$H$5:$H$49,MATCH(INDEX('調整・決定'!$C$6:$H$29,BZ3-1,BZ2),'名簿'!$I$5:$I$49,0)),""),4)="空けたい",1,0))</f>
        <v/>
      </c>
      <c r="CA108">
        <f>IF(OR(BZ106=0,INDEX('調整・決定'!$C$6:$H$29,CA3-1,CA2)=""),0,IF(RIGHT(IFERROR(INDEX('名簿'!$H$5:$H$49,MATCH(INDEX('調整・決定'!$C$6:$H$29,CA3-1,CA2),'名簿'!$I$5:$I$49,0)),""),4)="空けたい",1,0))</f>
        <v/>
      </c>
      <c r="CB108">
        <f>IF(OR(CA106=0,INDEX('調整・決定'!$C$6:$H$29,CB3-1,CB2)=""),0,IF(RIGHT(IFERROR(INDEX('名簿'!$H$5:$H$49,MATCH(INDEX('調整・決定'!$C$6:$H$29,CB3-1,CB2),'名簿'!$I$5:$I$49,0)),""),4)="空けたい",1,0))</f>
        <v/>
      </c>
      <c r="CC108">
        <f>IF(OR(CB106=0,INDEX('調整・決定'!$C$6:$H$29,CC3-1,CC2)=""),0,IF(RIGHT(IFERROR(INDEX('名簿'!$H$5:$H$49,MATCH(INDEX('調整・決定'!$C$6:$H$29,CC3-1,CC2),'名簿'!$I$5:$I$49,0)),""),4)="空けたい",1,0))</f>
        <v/>
      </c>
      <c r="CD108">
        <f>IF(OR(CC106=0,INDEX('調整・決定'!$C$6:$H$29,CD3-1,CD2)=""),0,IF(RIGHT(IFERROR(INDEX('名簿'!$H$5:$H$49,MATCH(INDEX('調整・決定'!$C$6:$H$29,CD3-1,CD2),'名簿'!$I$5:$I$49,0)),""),4)="空けたい",1,0))</f>
        <v/>
      </c>
      <c r="CE108">
        <f>IF(OR(CD106=0,INDEX('調整・決定'!$C$6:$H$29,CE3-1,CE2)=""),0,IF(RIGHT(IFERROR(INDEX('名簿'!$H$5:$H$49,MATCH(INDEX('調整・決定'!$C$6:$H$29,CE3-1,CE2),'名簿'!$I$5:$I$49,0)),""),4)="空けたい",1,0))</f>
        <v/>
      </c>
      <c r="CF108">
        <f>IF(OR(CE106=0,INDEX('調整・決定'!$C$6:$H$29,CF3-1,CF2)=""),0,IF(RIGHT(IFERROR(INDEX('名簿'!$H$5:$H$49,MATCH(INDEX('調整・決定'!$C$6:$H$29,CF3-1,CF2),'名簿'!$I$5:$I$49,0)),""),4)="空けたい",1,0))</f>
        <v/>
      </c>
      <c r="CG108">
        <f>IF(OR(CF106=0,INDEX('調整・決定'!$C$6:$H$29,CG3-1,CG2)=""),0,IF(RIGHT(IFERROR(INDEX('名簿'!$H$5:$H$49,MATCH(INDEX('調整・決定'!$C$6:$H$29,CG3-1,CG2),'名簿'!$I$5:$I$49,0)),""),4)="空けたい",1,0))</f>
        <v/>
      </c>
      <c r="CH108">
        <f>IF(OR(CG106=0,INDEX('調整・決定'!$C$6:$H$29,CH3-1,CH2)=""),0,IF(RIGHT(IFERROR(INDEX('名簿'!$H$5:$H$49,MATCH(INDEX('調整・決定'!$C$6:$H$29,CH3-1,CH2),'名簿'!$I$5:$I$49,0)),""),4)="空けたい",1,0))</f>
        <v/>
      </c>
      <c r="CI108">
        <f>IF(OR(CH106=0,INDEX('調整・決定'!$C$6:$H$29,CI3-1,CI2)=""),0,IF(RIGHT(IFERROR(INDEX('名簿'!$H$5:$H$49,MATCH(INDEX('調整・決定'!$C$6:$H$29,CI3-1,CI2),'名簿'!$I$5:$I$49,0)),""),4)="空けたい",1,0))</f>
        <v/>
      </c>
      <c r="CJ108">
        <f>IF(OR(CI106=0,INDEX('調整・決定'!$C$6:$H$29,CJ3-1,CJ2)=""),0,IF(RIGHT(IFERROR(INDEX('名簿'!$H$5:$H$49,MATCH(INDEX('調整・決定'!$C$6:$H$29,CJ3-1,CJ2),'名簿'!$I$5:$I$49,0)),""),4)="空けたい",1,0))</f>
        <v/>
      </c>
      <c r="CK108">
        <f>IF(OR(CJ106=0,INDEX('調整・決定'!$C$6:$H$29,CK3-1,CK2)=""),0,IF(RIGHT(IFERROR(INDEX('名簿'!$H$5:$H$49,MATCH(INDEX('調整・決定'!$C$6:$H$29,CK3-1,CK2),'名簿'!$I$5:$I$49,0)),""),4)="空けたい",1,0))</f>
        <v/>
      </c>
      <c r="CL108">
        <f>IF(OR(CK106=0,INDEX('調整・決定'!$C$6:$H$29,CL3-1,CL2)=""),0,IF(RIGHT(IFERROR(INDEX('名簿'!$H$5:$H$49,MATCH(INDEX('調整・決定'!$C$6:$H$29,CL3-1,CL2),'名簿'!$I$5:$I$49,0)),""),4)="空けたい",1,0))</f>
        <v/>
      </c>
      <c r="CM108">
        <f>IF(OR(CL106=0,INDEX('調整・決定'!$C$6:$H$29,CM3-1,CM2)=""),0,IF(RIGHT(IFERROR(INDEX('名簿'!$H$5:$H$49,MATCH(INDEX('調整・決定'!$C$6:$H$29,CM3-1,CM2),'名簿'!$I$5:$I$49,0)),""),4)="空けたい",1,0))</f>
        <v/>
      </c>
      <c r="CN108">
        <f>IF(OR(CM106=0,INDEX('調整・決定'!$C$6:$H$29,CN3-1,CN2)=""),0,IF(RIGHT(IFERROR(INDEX('名簿'!$H$5:$H$49,MATCH(INDEX('調整・決定'!$C$6:$H$29,CN3-1,CN2),'名簿'!$I$5:$I$49,0)),""),4)="空けたい",1,0))</f>
        <v/>
      </c>
      <c r="CO108">
        <f>IF(OR(CN106=0,INDEX('調整・決定'!$C$6:$H$29,CO3-1,CO2)=""),0,IF(RIGHT(IFERROR(INDEX('名簿'!$H$5:$H$49,MATCH(INDEX('調整・決定'!$C$6:$H$29,CO3-1,CO2),'名簿'!$I$5:$I$49,0)),""),4)="空けたい",1,0))</f>
        <v/>
      </c>
      <c r="CP108">
        <f>IF(OR(CO106=0,INDEX('調整・決定'!$C$6:$H$29,CP3-1,CP2)=""),0,IF(RIGHT(IFERROR(INDEX('名簿'!$H$5:$H$49,MATCH(INDEX('調整・決定'!$C$6:$H$29,CP3-1,CP2),'名簿'!$I$5:$I$49,0)),""),4)="空けたい",1,0))</f>
        <v/>
      </c>
      <c r="CQ108">
        <f>IF(OR(CP106=0,INDEX('調整・決定'!$C$6:$H$29,CQ3-1,CQ2)=""),0,IF(RIGHT(IFERROR(INDEX('名簿'!$H$5:$H$49,MATCH(INDEX('調整・決定'!$C$6:$H$29,CQ3-1,CQ2),'名簿'!$I$5:$I$49,0)),""),4)="空けたい",1,0))</f>
        <v/>
      </c>
      <c r="CR108">
        <f>IF(OR(CQ106=0,INDEX('調整・決定'!$C$6:$H$29,CR3-1,CR2)=""),0,IF(RIGHT(IFERROR(INDEX('名簿'!$H$5:$H$49,MATCH(INDEX('調整・決定'!$C$6:$H$29,CR3-1,CR2),'名簿'!$I$5:$I$49,0)),""),4)="空けたい",1,0))</f>
        <v/>
      </c>
      <c r="CS108">
        <f>IF(OR(CR106=0,INDEX('調整・決定'!$C$6:$H$29,CS3-1,CS2)=""),0,IF(RIGHT(IFERROR(INDEX('名簿'!$H$5:$H$49,MATCH(INDEX('調整・決定'!$C$6:$H$29,CS3-1,CS2),'名簿'!$I$5:$I$49,0)),""),4)="空けたい",1,0))</f>
        <v/>
      </c>
      <c r="CT108">
        <f>IF(OR(CS106=0,INDEX('調整・決定'!$C$6:$H$29,CT3-1,CT2)=""),0,IF(RIGHT(IFERROR(INDEX('名簿'!$H$5:$H$49,MATCH(INDEX('調整・決定'!$C$6:$H$29,CT3-1,CT2),'名簿'!$I$5:$I$49,0)),""),4)="空けたい",1,0))</f>
        <v/>
      </c>
      <c r="CU108">
        <f>IF(OR(CT106=0,INDEX('調整・決定'!$C$6:$H$29,CU3-1,CU2)=""),0,IF(RIGHT(IFERROR(INDEX('名簿'!$H$5:$H$49,MATCH(INDEX('調整・決定'!$C$6:$H$29,CU3-1,CU2),'名簿'!$I$5:$I$49,0)),""),4)="空けたい",1,0))</f>
        <v/>
      </c>
      <c r="CV108" t="n">
        <v>0</v>
      </c>
      <c r="CW108">
        <f>IF(OR(CV106=0,INDEX('調整・決定'!$C$6:$H$29,CW3-1,CW2)=""),0,IF(RIGHT(IFERROR(INDEX('名簿'!$H$5:$H$49,MATCH(INDEX('調整・決定'!$C$6:$H$29,CW3-1,CW2),'名簿'!$I$5:$I$49,0)),""),4)="空けたい",1,0))</f>
        <v/>
      </c>
      <c r="CX108">
        <f>IF(OR(CW106=0,INDEX('調整・決定'!$C$6:$H$29,CX3-1,CX2)=""),0,IF(RIGHT(IFERROR(INDEX('名簿'!$H$5:$H$49,MATCH(INDEX('調整・決定'!$C$6:$H$29,CX3-1,CX2),'名簿'!$I$5:$I$49,0)),""),4)="空けたい",1,0))</f>
        <v/>
      </c>
      <c r="CY108">
        <f>IF(OR(CX106=0,INDEX('調整・決定'!$C$6:$H$29,CY3-1,CY2)=""),0,IF(RIGHT(IFERROR(INDEX('名簿'!$H$5:$H$49,MATCH(INDEX('調整・決定'!$C$6:$H$29,CY3-1,CY2),'名簿'!$I$5:$I$49,0)),""),4)="空けたい",1,0))</f>
        <v/>
      </c>
      <c r="CZ108">
        <f>IF(OR(CY106=0,INDEX('調整・決定'!$C$6:$H$29,CZ3-1,CZ2)=""),0,IF(RIGHT(IFERROR(INDEX('名簿'!$H$5:$H$49,MATCH(INDEX('調整・決定'!$C$6:$H$29,CZ3-1,CZ2),'名簿'!$I$5:$I$49,0)),""),4)="空けたい",1,0))</f>
        <v/>
      </c>
      <c r="DA108">
        <f>IF(OR(CZ106=0,INDEX('調整・決定'!$C$6:$H$29,DA3-1,DA2)=""),0,IF(RIGHT(IFERROR(INDEX('名簿'!$H$5:$H$49,MATCH(INDEX('調整・決定'!$C$6:$H$29,DA3-1,DA2),'名簿'!$I$5:$I$49,0)),""),4)="空けたい",1,0))</f>
        <v/>
      </c>
      <c r="DB108">
        <f>IF(OR(DA106=0,INDEX('調整・決定'!$C$6:$H$29,DB3-1,DB2)=""),0,IF(RIGHT(IFERROR(INDEX('名簿'!$H$5:$H$49,MATCH(INDEX('調整・決定'!$C$6:$H$29,DB3-1,DB2),'名簿'!$I$5:$I$49,0)),""),4)="空けたい",1,0))</f>
        <v/>
      </c>
      <c r="DC108">
        <f>IF(OR(DB106=0,INDEX('調整・決定'!$C$6:$H$29,DC3-1,DC2)=""),0,IF(RIGHT(IFERROR(INDEX('名簿'!$H$5:$H$49,MATCH(INDEX('調整・決定'!$C$6:$H$29,DC3-1,DC2),'名簿'!$I$5:$I$49,0)),""),4)="空けたい",1,0))</f>
        <v/>
      </c>
      <c r="DD108">
        <f>IF(OR(DC106=0,INDEX('調整・決定'!$C$6:$H$29,DD3-1,DD2)=""),0,IF(RIGHT(IFERROR(INDEX('名簿'!$H$5:$H$49,MATCH(INDEX('調整・決定'!$C$6:$H$29,DD3-1,DD2),'名簿'!$I$5:$I$49,0)),""),4)="空けたい",1,0))</f>
        <v/>
      </c>
      <c r="DE108">
        <f>IF(OR(DD106=0,INDEX('調整・決定'!$C$6:$H$29,DE3-1,DE2)=""),0,IF(RIGHT(IFERROR(INDEX('名簿'!$H$5:$H$49,MATCH(INDEX('調整・決定'!$C$6:$H$29,DE3-1,DE2),'名簿'!$I$5:$I$49,0)),""),4)="空けたい",1,0))</f>
        <v/>
      </c>
      <c r="DF108">
        <f>IF(OR(DE106=0,INDEX('調整・決定'!$C$6:$H$29,DF3-1,DF2)=""),0,IF(RIGHT(IFERROR(INDEX('名簿'!$H$5:$H$49,MATCH(INDEX('調整・決定'!$C$6:$H$29,DF3-1,DF2),'名簿'!$I$5:$I$49,0)),""),4)="空けたい",1,0))</f>
        <v/>
      </c>
      <c r="DG108">
        <f>IF(OR(DF106=0,INDEX('調整・決定'!$C$6:$H$29,DG3-1,DG2)=""),0,IF(RIGHT(IFERROR(INDEX('名簿'!$H$5:$H$49,MATCH(INDEX('調整・決定'!$C$6:$H$29,DG3-1,DG2),'名簿'!$I$5:$I$49,0)),""),4)="空けたい",1,0))</f>
        <v/>
      </c>
      <c r="DH108">
        <f>IF(OR(DG106=0,INDEX('調整・決定'!$C$6:$H$29,DH3-1,DH2)=""),0,IF(RIGHT(IFERROR(INDEX('名簿'!$H$5:$H$49,MATCH(INDEX('調整・決定'!$C$6:$H$29,DH3-1,DH2),'名簿'!$I$5:$I$49,0)),""),4)="空けたい",1,0))</f>
        <v/>
      </c>
      <c r="DI108">
        <f>IF(OR(DH106=0,INDEX('調整・決定'!$C$6:$H$29,DI3-1,DI2)=""),0,IF(RIGHT(IFERROR(INDEX('名簿'!$H$5:$H$49,MATCH(INDEX('調整・決定'!$C$6:$H$29,DI3-1,DI2),'名簿'!$I$5:$I$49,0)),""),4)="空けたい",1,0))</f>
        <v/>
      </c>
      <c r="DJ108">
        <f>IF(OR(DI106=0,INDEX('調整・決定'!$C$6:$H$29,DJ3-1,DJ2)=""),0,IF(RIGHT(IFERROR(INDEX('名簿'!$H$5:$H$49,MATCH(INDEX('調整・決定'!$C$6:$H$29,DJ3-1,DJ2),'名簿'!$I$5:$I$49,0)),""),4)="空けたい",1,0))</f>
        <v/>
      </c>
      <c r="DK108">
        <f>IF(OR(DJ106=0,INDEX('調整・決定'!$C$6:$H$29,DK3-1,DK2)=""),0,IF(RIGHT(IFERROR(INDEX('名簿'!$H$5:$H$49,MATCH(INDEX('調整・決定'!$C$6:$H$29,DK3-1,DK2),'名簿'!$I$5:$I$49,0)),""),4)="空けたい",1,0))</f>
        <v/>
      </c>
      <c r="DL108">
        <f>IF(OR(DK106=0,INDEX('調整・決定'!$C$6:$H$29,DL3-1,DL2)=""),0,IF(RIGHT(IFERROR(INDEX('名簿'!$H$5:$H$49,MATCH(INDEX('調整・決定'!$C$6:$H$29,DL3-1,DL2),'名簿'!$I$5:$I$49,0)),""),4)="空けたい",1,0))</f>
        <v/>
      </c>
      <c r="DM108">
        <f>IF(OR(DL106=0,INDEX('調整・決定'!$C$6:$H$29,DM3-1,DM2)=""),0,IF(RIGHT(IFERROR(INDEX('名簿'!$H$5:$H$49,MATCH(INDEX('調整・決定'!$C$6:$H$29,DM3-1,DM2),'名簿'!$I$5:$I$49,0)),""),4)="空けたい",1,0))</f>
        <v/>
      </c>
      <c r="DN108">
        <f>IF(OR(DM106=0,INDEX('調整・決定'!$C$6:$H$29,DN3-1,DN2)=""),0,IF(RIGHT(IFERROR(INDEX('名簿'!$H$5:$H$49,MATCH(INDEX('調整・決定'!$C$6:$H$29,DN3-1,DN2),'名簿'!$I$5:$I$49,0)),""),4)="空けたい",1,0))</f>
        <v/>
      </c>
      <c r="DO108">
        <f>IF(OR(DN106=0,INDEX('調整・決定'!$C$6:$H$29,DO3-1,DO2)=""),0,IF(RIGHT(IFERROR(INDEX('名簿'!$H$5:$H$49,MATCH(INDEX('調整・決定'!$C$6:$H$29,DO3-1,DO2),'名簿'!$I$5:$I$49,0)),""),4)="空けたい",1,0))</f>
        <v/>
      </c>
      <c r="DP108">
        <f>IF(OR(DO106=0,INDEX('調整・決定'!$C$6:$H$29,DP3-1,DP2)=""),0,IF(RIGHT(IFERROR(INDEX('名簿'!$H$5:$H$49,MATCH(INDEX('調整・決定'!$C$6:$H$29,DP3-1,DP2),'名簿'!$I$5:$I$49,0)),""),4)="空けたい",1,0))</f>
        <v/>
      </c>
      <c r="DQ108">
        <f>IF(OR(DP106=0,INDEX('調整・決定'!$C$6:$H$29,DQ3-1,DQ2)=""),0,IF(RIGHT(IFERROR(INDEX('名簿'!$H$5:$H$49,MATCH(INDEX('調整・決定'!$C$6:$H$29,DQ3-1,DQ2),'名簿'!$I$5:$I$49,0)),""),4)="空けたい",1,0))</f>
        <v/>
      </c>
      <c r="DR108">
        <f>IF(OR(DQ106=0,INDEX('調整・決定'!$C$6:$H$29,DR3-1,DR2)=""),0,IF(RIGHT(IFERROR(INDEX('名簿'!$H$5:$H$49,MATCH(INDEX('調整・決定'!$C$6:$H$29,DR3-1,DR2),'名簿'!$I$5:$I$49,0)),""),4)="空けたい",1,0))</f>
        <v/>
      </c>
      <c r="DS108">
        <f>IF(OR(DR106=0,INDEX('調整・決定'!$C$6:$H$29,DS3-1,DS2)=""),0,IF(RIGHT(IFERROR(INDEX('名簿'!$H$5:$H$49,MATCH(INDEX('調整・決定'!$C$6:$H$29,DS3-1,DS2),'名簿'!$I$5:$I$49,0)),""),4)="空けたい",1,0))</f>
        <v/>
      </c>
      <c r="DT108" t="n">
        <v>0</v>
      </c>
      <c r="DU108">
        <f>IF(OR(DT106=0,INDEX('調整・決定'!$C$6:$H$29,DU3-1,DU2)=""),0,IF(RIGHT(IFERROR(INDEX('名簿'!$H$5:$H$49,MATCH(INDEX('調整・決定'!$C$6:$H$29,DU3-1,DU2),'名簿'!$I$5:$I$49,0)),""),4)="空けたい",1,0))</f>
        <v/>
      </c>
      <c r="DV108">
        <f>IF(OR(DU106=0,INDEX('調整・決定'!$C$6:$H$29,DV3-1,DV2)=""),0,IF(RIGHT(IFERROR(INDEX('名簿'!$H$5:$H$49,MATCH(INDEX('調整・決定'!$C$6:$H$29,DV3-1,DV2),'名簿'!$I$5:$I$49,0)),""),4)="空けたい",1,0))</f>
        <v/>
      </c>
      <c r="DW108">
        <f>IF(OR(DV106=0,INDEX('調整・決定'!$C$6:$H$29,DW3-1,DW2)=""),0,IF(RIGHT(IFERROR(INDEX('名簿'!$H$5:$H$49,MATCH(INDEX('調整・決定'!$C$6:$H$29,DW3-1,DW2),'名簿'!$I$5:$I$49,0)),""),4)="空けたい",1,0))</f>
        <v/>
      </c>
      <c r="DX108">
        <f>IF(OR(DW106=0,INDEX('調整・決定'!$C$6:$H$29,DX3-1,DX2)=""),0,IF(RIGHT(IFERROR(INDEX('名簿'!$H$5:$H$49,MATCH(INDEX('調整・決定'!$C$6:$H$29,DX3-1,DX2),'名簿'!$I$5:$I$49,0)),""),4)="空けたい",1,0))</f>
        <v/>
      </c>
      <c r="DY108">
        <f>IF(OR(DX106=0,INDEX('調整・決定'!$C$6:$H$29,DY3-1,DY2)=""),0,IF(RIGHT(IFERROR(INDEX('名簿'!$H$5:$H$49,MATCH(INDEX('調整・決定'!$C$6:$H$29,DY3-1,DY2),'名簿'!$I$5:$I$49,0)),""),4)="空けたい",1,0))</f>
        <v/>
      </c>
      <c r="DZ108">
        <f>IF(OR(DY106=0,INDEX('調整・決定'!$C$6:$H$29,DZ3-1,DZ2)=""),0,IF(RIGHT(IFERROR(INDEX('名簿'!$H$5:$H$49,MATCH(INDEX('調整・決定'!$C$6:$H$29,DZ3-1,DZ2),'名簿'!$I$5:$I$49,0)),""),4)="空けたい",1,0))</f>
        <v/>
      </c>
      <c r="EA108">
        <f>IF(OR(DZ106=0,INDEX('調整・決定'!$C$6:$H$29,EA3-1,EA2)=""),0,IF(RIGHT(IFERROR(INDEX('名簿'!$H$5:$H$49,MATCH(INDEX('調整・決定'!$C$6:$H$29,EA3-1,EA2),'名簿'!$I$5:$I$49,0)),""),4)="空けたい",1,0))</f>
        <v/>
      </c>
      <c r="EB108">
        <f>IF(OR(EA106=0,INDEX('調整・決定'!$C$6:$H$29,EB3-1,EB2)=""),0,IF(RIGHT(IFERROR(INDEX('名簿'!$H$5:$H$49,MATCH(INDEX('調整・決定'!$C$6:$H$29,EB3-1,EB2),'名簿'!$I$5:$I$49,0)),""),4)="空けたい",1,0))</f>
        <v/>
      </c>
      <c r="EC108">
        <f>IF(OR(EB106=0,INDEX('調整・決定'!$C$6:$H$29,EC3-1,EC2)=""),0,IF(RIGHT(IFERROR(INDEX('名簿'!$H$5:$H$49,MATCH(INDEX('調整・決定'!$C$6:$H$29,EC3-1,EC2),'名簿'!$I$5:$I$49,0)),""),4)="空けたい",1,0))</f>
        <v/>
      </c>
      <c r="ED108">
        <f>IF(OR(EC106=0,INDEX('調整・決定'!$C$6:$H$29,ED3-1,ED2)=""),0,IF(RIGHT(IFERROR(INDEX('名簿'!$H$5:$H$49,MATCH(INDEX('調整・決定'!$C$6:$H$29,ED3-1,ED2),'名簿'!$I$5:$I$49,0)),""),4)="空けたい",1,0))</f>
        <v/>
      </c>
      <c r="EE108">
        <f>IF(OR(ED106=0,INDEX('調整・決定'!$C$6:$H$29,EE3-1,EE2)=""),0,IF(RIGHT(IFERROR(INDEX('名簿'!$H$5:$H$49,MATCH(INDEX('調整・決定'!$C$6:$H$29,EE3-1,EE2),'名簿'!$I$5:$I$49,0)),""),4)="空けたい",1,0))</f>
        <v/>
      </c>
      <c r="EF108">
        <f>IF(OR(EE106=0,INDEX('調整・決定'!$C$6:$H$29,EF3-1,EF2)=""),0,IF(RIGHT(IFERROR(INDEX('名簿'!$H$5:$H$49,MATCH(INDEX('調整・決定'!$C$6:$H$29,EF3-1,EF2),'名簿'!$I$5:$I$49,0)),""),4)="空けたい",1,0))</f>
        <v/>
      </c>
      <c r="EG108">
        <f>IF(OR(EF106=0,INDEX('調整・決定'!$C$6:$H$29,EG3-1,EG2)=""),0,IF(RIGHT(IFERROR(INDEX('名簿'!$H$5:$H$49,MATCH(INDEX('調整・決定'!$C$6:$H$29,EG3-1,EG2),'名簿'!$I$5:$I$49,0)),""),4)="空けたい",1,0))</f>
        <v/>
      </c>
      <c r="EH108">
        <f>IF(OR(EG106=0,INDEX('調整・決定'!$C$6:$H$29,EH3-1,EH2)=""),0,IF(RIGHT(IFERROR(INDEX('名簿'!$H$5:$H$49,MATCH(INDEX('調整・決定'!$C$6:$H$29,EH3-1,EH2),'名簿'!$I$5:$I$49,0)),""),4)="空けたい",1,0))</f>
        <v/>
      </c>
      <c r="EI108">
        <f>IF(OR(EH106=0,INDEX('調整・決定'!$C$6:$H$29,EI3-1,EI2)=""),0,IF(RIGHT(IFERROR(INDEX('名簿'!$H$5:$H$49,MATCH(INDEX('調整・決定'!$C$6:$H$29,EI3-1,EI2),'名簿'!$I$5:$I$49,0)),""),4)="空けたい",1,0))</f>
        <v/>
      </c>
      <c r="EJ108">
        <f>IF(OR(EI106=0,INDEX('調整・決定'!$C$6:$H$29,EJ3-1,EJ2)=""),0,IF(RIGHT(IFERROR(INDEX('名簿'!$H$5:$H$49,MATCH(INDEX('調整・決定'!$C$6:$H$29,EJ3-1,EJ2),'名簿'!$I$5:$I$49,0)),""),4)="空けたい",1,0))</f>
        <v/>
      </c>
      <c r="EK108">
        <f>IF(OR(EJ106=0,INDEX('調整・決定'!$C$6:$H$29,EK3-1,EK2)=""),0,IF(RIGHT(IFERROR(INDEX('名簿'!$H$5:$H$49,MATCH(INDEX('調整・決定'!$C$6:$H$29,EK3-1,EK2),'名簿'!$I$5:$I$49,0)),""),4)="空けたい",1,0))</f>
        <v/>
      </c>
      <c r="EL108">
        <f>IF(OR(EK106=0,INDEX('調整・決定'!$C$6:$H$29,EL3-1,EL2)=""),0,IF(RIGHT(IFERROR(INDEX('名簿'!$H$5:$H$49,MATCH(INDEX('調整・決定'!$C$6:$H$29,EL3-1,EL2),'名簿'!$I$5:$I$49,0)),""),4)="空けたい",1,0))</f>
        <v/>
      </c>
      <c r="EM108">
        <f>IF(OR(EL106=0,INDEX('調整・決定'!$C$6:$H$29,EM3-1,EM2)=""),0,IF(RIGHT(IFERROR(INDEX('名簿'!$H$5:$H$49,MATCH(INDEX('調整・決定'!$C$6:$H$29,EM3-1,EM2),'名簿'!$I$5:$I$49,0)),""),4)="空けたい",1,0))</f>
        <v/>
      </c>
      <c r="EN108">
        <f>IF(OR(EM106=0,INDEX('調整・決定'!$C$6:$H$29,EN3-1,EN2)=""),0,IF(RIGHT(IFERROR(INDEX('名簿'!$H$5:$H$49,MATCH(INDEX('調整・決定'!$C$6:$H$29,EN3-1,EN2),'名簿'!$I$5:$I$49,0)),""),4)="空けたい",1,0))</f>
        <v/>
      </c>
      <c r="EO108">
        <f>IF(OR(EN106=0,INDEX('調整・決定'!$C$6:$H$29,EO3-1,EO2)=""),0,IF(RIGHT(IFERROR(INDEX('名簿'!$H$5:$H$49,MATCH(INDEX('調整・決定'!$C$6:$H$29,EO3-1,EO2),'名簿'!$I$5:$I$49,0)),""),4)="空けたい",1,0))</f>
        <v/>
      </c>
      <c r="EP108">
        <f>IF(OR(EO106=0,INDEX('調整・決定'!$C$6:$H$29,EP3-1,EP2)=""),0,IF(RIGHT(IFERROR(INDEX('名簿'!$H$5:$H$49,MATCH(INDEX('調整・決定'!$C$6:$H$29,EP3-1,EP2),'名簿'!$I$5:$I$49,0)),""),4)="空けたい",1,0))</f>
        <v/>
      </c>
      <c r="EQ108">
        <f>IF(OR(EP106=0,INDEX('調整・決定'!$C$6:$H$29,EQ3-1,EQ2)=""),0,IF(RIGHT(IFERROR(INDEX('名簿'!$H$5:$H$49,MATCH(INDEX('調整・決定'!$C$6:$H$29,EQ3-1,EQ2),'名簿'!$I$5:$I$49,0)),""),4)="空けたい",1,0))</f>
        <v/>
      </c>
    </row>
    <row r="109">
      <c r="C109" t="inlineStr">
        <is>
          <t>人がいる</t>
        </is>
      </c>
      <c r="D109">
        <f>IF(INDEX('調整・決定'!$C$6:$H$29,D3,D2)&lt;&gt;"",1,0)</f>
        <v/>
      </c>
      <c r="E109">
        <f>IF(INDEX('調整・決定'!$C$6:$H$29,E3,E2)&lt;&gt;"",1,0)</f>
        <v/>
      </c>
      <c r="F109">
        <f>IF(INDEX('調整・決定'!$C$6:$H$29,F3,F2)&lt;&gt;"",1,0)</f>
        <v/>
      </c>
      <c r="G109">
        <f>IF(INDEX('調整・決定'!$C$6:$H$29,G3,G2)&lt;&gt;"",1,0)</f>
        <v/>
      </c>
      <c r="H109">
        <f>IF(INDEX('調整・決定'!$C$6:$H$29,H3,H2)&lt;&gt;"",1,0)</f>
        <v/>
      </c>
      <c r="I109">
        <f>IF(INDEX('調整・決定'!$C$6:$H$29,I3,I2)&lt;&gt;"",1,0)</f>
        <v/>
      </c>
      <c r="J109">
        <f>IF(INDEX('調整・決定'!$C$6:$H$29,J3,J2)&lt;&gt;"",1,0)</f>
        <v/>
      </c>
      <c r="K109">
        <f>IF(INDEX('調整・決定'!$C$6:$H$29,K3,K2)&lt;&gt;"",1,0)</f>
        <v/>
      </c>
      <c r="L109">
        <f>IF(INDEX('調整・決定'!$C$6:$H$29,L3,L2)&lt;&gt;"",1,0)</f>
        <v/>
      </c>
      <c r="M109">
        <f>IF(INDEX('調整・決定'!$C$6:$H$29,M3,M2)&lt;&gt;"",1,0)</f>
        <v/>
      </c>
      <c r="N109">
        <f>IF(INDEX('調整・決定'!$C$6:$H$29,N3,N2)&lt;&gt;"",1,0)</f>
        <v/>
      </c>
      <c r="O109">
        <f>IF(INDEX('調整・決定'!$C$6:$H$29,O3,O2)&lt;&gt;"",1,0)</f>
        <v/>
      </c>
      <c r="P109">
        <f>IF(INDEX('調整・決定'!$C$6:$H$29,P3,P2)&lt;&gt;"",1,0)</f>
        <v/>
      </c>
      <c r="Q109">
        <f>IF(INDEX('調整・決定'!$C$6:$H$29,Q3,Q2)&lt;&gt;"",1,0)</f>
        <v/>
      </c>
      <c r="R109">
        <f>IF(INDEX('調整・決定'!$C$6:$H$29,R3,R2)&lt;&gt;"",1,0)</f>
        <v/>
      </c>
      <c r="S109">
        <f>IF(INDEX('調整・決定'!$C$6:$H$29,S3,S2)&lt;&gt;"",1,0)</f>
        <v/>
      </c>
      <c r="T109">
        <f>IF(INDEX('調整・決定'!$C$6:$H$29,T3,T2)&lt;&gt;"",1,0)</f>
        <v/>
      </c>
      <c r="U109">
        <f>IF(INDEX('調整・決定'!$C$6:$H$29,U3,U2)&lt;&gt;"",1,0)</f>
        <v/>
      </c>
      <c r="V109">
        <f>IF(INDEX('調整・決定'!$C$6:$H$29,V3,V2)&lt;&gt;"",1,0)</f>
        <v/>
      </c>
      <c r="W109">
        <f>IF(INDEX('調整・決定'!$C$6:$H$29,W3,W2)&lt;&gt;"",1,0)</f>
        <v/>
      </c>
      <c r="X109">
        <f>IF(INDEX('調整・決定'!$C$6:$H$29,X3,X2)&lt;&gt;"",1,0)</f>
        <v/>
      </c>
      <c r="Y109">
        <f>IF(INDEX('調整・決定'!$C$6:$H$29,Y3,Y2)&lt;&gt;"",1,0)</f>
        <v/>
      </c>
      <c r="Z109">
        <f>IF(INDEX('調整・決定'!$C$6:$H$29,Z3,Z2)&lt;&gt;"",1,0)</f>
        <v/>
      </c>
      <c r="AA109">
        <f>IF(INDEX('調整・決定'!$C$6:$H$29,AA3,AA2)&lt;&gt;"",1,0)</f>
        <v/>
      </c>
      <c r="AB109">
        <f>IF(INDEX('調整・決定'!$C$6:$H$29,AB3,AB2)&lt;&gt;"",1,0)</f>
        <v/>
      </c>
      <c r="AC109">
        <f>IF(INDEX('調整・決定'!$C$6:$H$29,AC3,AC2)&lt;&gt;"",1,0)</f>
        <v/>
      </c>
      <c r="AD109">
        <f>IF(INDEX('調整・決定'!$C$6:$H$29,AD3,AD2)&lt;&gt;"",1,0)</f>
        <v/>
      </c>
      <c r="AE109">
        <f>IF(INDEX('調整・決定'!$C$6:$H$29,AE3,AE2)&lt;&gt;"",1,0)</f>
        <v/>
      </c>
      <c r="AF109">
        <f>IF(INDEX('調整・決定'!$C$6:$H$29,AF3,AF2)&lt;&gt;"",1,0)</f>
        <v/>
      </c>
      <c r="AG109">
        <f>IF(INDEX('調整・決定'!$C$6:$H$29,AG3,AG2)&lt;&gt;"",1,0)</f>
        <v/>
      </c>
      <c r="AH109">
        <f>IF(INDEX('調整・決定'!$C$6:$H$29,AH3,AH2)&lt;&gt;"",1,0)</f>
        <v/>
      </c>
      <c r="AI109">
        <f>IF(INDEX('調整・決定'!$C$6:$H$29,AI3,AI2)&lt;&gt;"",1,0)</f>
        <v/>
      </c>
      <c r="AJ109">
        <f>IF(INDEX('調整・決定'!$C$6:$H$29,AJ3,AJ2)&lt;&gt;"",1,0)</f>
        <v/>
      </c>
      <c r="AK109">
        <f>IF(INDEX('調整・決定'!$C$6:$H$29,AK3,AK2)&lt;&gt;"",1,0)</f>
        <v/>
      </c>
      <c r="AL109">
        <f>IF(INDEX('調整・決定'!$C$6:$H$29,AL3,AL2)&lt;&gt;"",1,0)</f>
        <v/>
      </c>
      <c r="AM109">
        <f>IF(INDEX('調整・決定'!$C$6:$H$29,AM3,AM2)&lt;&gt;"",1,0)</f>
        <v/>
      </c>
      <c r="AN109">
        <f>IF(INDEX('調整・決定'!$C$6:$H$29,AN3,AN2)&lt;&gt;"",1,0)</f>
        <v/>
      </c>
      <c r="AO109">
        <f>IF(INDEX('調整・決定'!$C$6:$H$29,AO3,AO2)&lt;&gt;"",1,0)</f>
        <v/>
      </c>
      <c r="AP109">
        <f>IF(INDEX('調整・決定'!$C$6:$H$29,AP3,AP2)&lt;&gt;"",1,0)</f>
        <v/>
      </c>
      <c r="AQ109">
        <f>IF(INDEX('調整・決定'!$C$6:$H$29,AQ3,AQ2)&lt;&gt;"",1,0)</f>
        <v/>
      </c>
      <c r="AR109">
        <f>IF(INDEX('調整・決定'!$C$6:$H$29,AR3,AR2)&lt;&gt;"",1,0)</f>
        <v/>
      </c>
      <c r="AS109">
        <f>IF(INDEX('調整・決定'!$C$6:$H$29,AS3,AS2)&lt;&gt;"",1,0)</f>
        <v/>
      </c>
      <c r="AT109">
        <f>IF(INDEX('調整・決定'!$C$6:$H$29,AT3,AT2)&lt;&gt;"",1,0)</f>
        <v/>
      </c>
      <c r="AU109">
        <f>IF(INDEX('調整・決定'!$C$6:$H$29,AU3,AU2)&lt;&gt;"",1,0)</f>
        <v/>
      </c>
      <c r="AV109">
        <f>IF(INDEX('調整・決定'!$C$6:$H$29,AV3,AV2)&lt;&gt;"",1,0)</f>
        <v/>
      </c>
      <c r="AW109">
        <f>IF(INDEX('調整・決定'!$C$6:$H$29,AW3,AW2)&lt;&gt;"",1,0)</f>
        <v/>
      </c>
      <c r="AX109">
        <f>IF(INDEX('調整・決定'!$C$6:$H$29,AX3,AX2)&lt;&gt;"",1,0)</f>
        <v/>
      </c>
      <c r="AY109">
        <f>IF(INDEX('調整・決定'!$C$6:$H$29,AY3,AY2)&lt;&gt;"",1,0)</f>
        <v/>
      </c>
      <c r="AZ109">
        <f>IF(INDEX('調整・決定'!$C$6:$H$29,AZ3,AZ2)&lt;&gt;"",1,0)</f>
        <v/>
      </c>
      <c r="BA109">
        <f>IF(INDEX('調整・決定'!$C$6:$H$29,BA3,BA2)&lt;&gt;"",1,0)</f>
        <v/>
      </c>
      <c r="BB109">
        <f>IF(INDEX('調整・決定'!$C$6:$H$29,BB3,BB2)&lt;&gt;"",1,0)</f>
        <v/>
      </c>
      <c r="BC109">
        <f>IF(INDEX('調整・決定'!$C$6:$H$29,BC3,BC2)&lt;&gt;"",1,0)</f>
        <v/>
      </c>
      <c r="BD109">
        <f>IF(INDEX('調整・決定'!$C$6:$H$29,BD3,BD2)&lt;&gt;"",1,0)</f>
        <v/>
      </c>
      <c r="BE109">
        <f>IF(INDEX('調整・決定'!$C$6:$H$29,BE3,BE2)&lt;&gt;"",1,0)</f>
        <v/>
      </c>
      <c r="BF109">
        <f>IF(INDEX('調整・決定'!$C$6:$H$29,BF3,BF2)&lt;&gt;"",1,0)</f>
        <v/>
      </c>
      <c r="BG109">
        <f>IF(INDEX('調整・決定'!$C$6:$H$29,BG3,BG2)&lt;&gt;"",1,0)</f>
        <v/>
      </c>
      <c r="BH109">
        <f>IF(INDEX('調整・決定'!$C$6:$H$29,BH3,BH2)&lt;&gt;"",1,0)</f>
        <v/>
      </c>
      <c r="BI109">
        <f>IF(INDEX('調整・決定'!$C$6:$H$29,BI3,BI2)&lt;&gt;"",1,0)</f>
        <v/>
      </c>
      <c r="BJ109">
        <f>IF(INDEX('調整・決定'!$C$6:$H$29,BJ3,BJ2)&lt;&gt;"",1,0)</f>
        <v/>
      </c>
      <c r="BK109">
        <f>IF(INDEX('調整・決定'!$C$6:$H$29,BK3,BK2)&lt;&gt;"",1,0)</f>
        <v/>
      </c>
      <c r="BL109">
        <f>IF(INDEX('調整・決定'!$C$6:$H$29,BL3,BL2)&lt;&gt;"",1,0)</f>
        <v/>
      </c>
      <c r="BM109">
        <f>IF(INDEX('調整・決定'!$C$6:$H$29,BM3,BM2)&lt;&gt;"",1,0)</f>
        <v/>
      </c>
      <c r="BN109">
        <f>IF(INDEX('調整・決定'!$C$6:$H$29,BN3,BN2)&lt;&gt;"",1,0)</f>
        <v/>
      </c>
      <c r="BO109">
        <f>IF(INDEX('調整・決定'!$C$6:$H$29,BO3,BO2)&lt;&gt;"",1,0)</f>
        <v/>
      </c>
      <c r="BP109">
        <f>IF(INDEX('調整・決定'!$C$6:$H$29,BP3,BP2)&lt;&gt;"",1,0)</f>
        <v/>
      </c>
      <c r="BQ109">
        <f>IF(INDEX('調整・決定'!$C$6:$H$29,BQ3,BQ2)&lt;&gt;"",1,0)</f>
        <v/>
      </c>
      <c r="BR109">
        <f>IF(INDEX('調整・決定'!$C$6:$H$29,BR3,BR2)&lt;&gt;"",1,0)</f>
        <v/>
      </c>
      <c r="BS109">
        <f>IF(INDEX('調整・決定'!$C$6:$H$29,BS3,BS2)&lt;&gt;"",1,0)</f>
        <v/>
      </c>
      <c r="BT109">
        <f>IF(INDEX('調整・決定'!$C$6:$H$29,BT3,BT2)&lt;&gt;"",1,0)</f>
        <v/>
      </c>
      <c r="BU109">
        <f>IF(INDEX('調整・決定'!$C$6:$H$29,BU3,BU2)&lt;&gt;"",1,0)</f>
        <v/>
      </c>
      <c r="BV109">
        <f>IF(INDEX('調整・決定'!$C$6:$H$29,BV3,BV2)&lt;&gt;"",1,0)</f>
        <v/>
      </c>
      <c r="BW109">
        <f>IF(INDEX('調整・決定'!$C$6:$H$29,BW3,BW2)&lt;&gt;"",1,0)</f>
        <v/>
      </c>
      <c r="BX109">
        <f>IF(INDEX('調整・決定'!$C$6:$H$29,BX3,BX2)&lt;&gt;"",1,0)</f>
        <v/>
      </c>
      <c r="BY109">
        <f>IF(INDEX('調整・決定'!$C$6:$H$29,BY3,BY2)&lt;&gt;"",1,0)</f>
        <v/>
      </c>
      <c r="BZ109">
        <f>IF(INDEX('調整・決定'!$C$6:$H$29,BZ3,BZ2)&lt;&gt;"",1,0)</f>
        <v/>
      </c>
      <c r="CA109">
        <f>IF(INDEX('調整・決定'!$C$6:$H$29,CA3,CA2)&lt;&gt;"",1,0)</f>
        <v/>
      </c>
      <c r="CB109">
        <f>IF(INDEX('調整・決定'!$C$6:$H$29,CB3,CB2)&lt;&gt;"",1,0)</f>
        <v/>
      </c>
      <c r="CC109">
        <f>IF(INDEX('調整・決定'!$C$6:$H$29,CC3,CC2)&lt;&gt;"",1,0)</f>
        <v/>
      </c>
      <c r="CD109">
        <f>IF(INDEX('調整・決定'!$C$6:$H$29,CD3,CD2)&lt;&gt;"",1,0)</f>
        <v/>
      </c>
      <c r="CE109">
        <f>IF(INDEX('調整・決定'!$C$6:$H$29,CE3,CE2)&lt;&gt;"",1,0)</f>
        <v/>
      </c>
      <c r="CF109">
        <f>IF(INDEX('調整・決定'!$C$6:$H$29,CF3,CF2)&lt;&gt;"",1,0)</f>
        <v/>
      </c>
      <c r="CG109">
        <f>IF(INDEX('調整・決定'!$C$6:$H$29,CG3,CG2)&lt;&gt;"",1,0)</f>
        <v/>
      </c>
      <c r="CH109">
        <f>IF(INDEX('調整・決定'!$C$6:$H$29,CH3,CH2)&lt;&gt;"",1,0)</f>
        <v/>
      </c>
      <c r="CI109">
        <f>IF(INDEX('調整・決定'!$C$6:$H$29,CI3,CI2)&lt;&gt;"",1,0)</f>
        <v/>
      </c>
      <c r="CJ109">
        <f>IF(INDEX('調整・決定'!$C$6:$H$29,CJ3,CJ2)&lt;&gt;"",1,0)</f>
        <v/>
      </c>
      <c r="CK109">
        <f>IF(INDEX('調整・決定'!$C$6:$H$29,CK3,CK2)&lt;&gt;"",1,0)</f>
        <v/>
      </c>
      <c r="CL109">
        <f>IF(INDEX('調整・決定'!$C$6:$H$29,CL3,CL2)&lt;&gt;"",1,0)</f>
        <v/>
      </c>
      <c r="CM109">
        <f>IF(INDEX('調整・決定'!$C$6:$H$29,CM3,CM2)&lt;&gt;"",1,0)</f>
        <v/>
      </c>
      <c r="CN109">
        <f>IF(INDEX('調整・決定'!$C$6:$H$29,CN3,CN2)&lt;&gt;"",1,0)</f>
        <v/>
      </c>
      <c r="CO109">
        <f>IF(INDEX('調整・決定'!$C$6:$H$29,CO3,CO2)&lt;&gt;"",1,0)</f>
        <v/>
      </c>
      <c r="CP109">
        <f>IF(INDEX('調整・決定'!$C$6:$H$29,CP3,CP2)&lt;&gt;"",1,0)</f>
        <v/>
      </c>
      <c r="CQ109">
        <f>IF(INDEX('調整・決定'!$C$6:$H$29,CQ3,CQ2)&lt;&gt;"",1,0)</f>
        <v/>
      </c>
      <c r="CR109">
        <f>IF(INDEX('調整・決定'!$C$6:$H$29,CR3,CR2)&lt;&gt;"",1,0)</f>
        <v/>
      </c>
      <c r="CS109">
        <f>IF(INDEX('調整・決定'!$C$6:$H$29,CS3,CS2)&lt;&gt;"",1,0)</f>
        <v/>
      </c>
      <c r="CT109">
        <f>IF(INDEX('調整・決定'!$C$6:$H$29,CT3,CT2)&lt;&gt;"",1,0)</f>
        <v/>
      </c>
      <c r="CU109">
        <f>IF(INDEX('調整・決定'!$C$6:$H$29,CU3,CU2)&lt;&gt;"",1,0)</f>
        <v/>
      </c>
      <c r="CV109">
        <f>IF(INDEX('調整・決定'!$C$6:$H$29,CV3,CV2)&lt;&gt;"",1,0)</f>
        <v/>
      </c>
      <c r="CW109">
        <f>IF(INDEX('調整・決定'!$C$6:$H$29,CW3,CW2)&lt;&gt;"",1,0)</f>
        <v/>
      </c>
      <c r="CX109">
        <f>IF(INDEX('調整・決定'!$C$6:$H$29,CX3,CX2)&lt;&gt;"",1,0)</f>
        <v/>
      </c>
      <c r="CY109">
        <f>IF(INDEX('調整・決定'!$C$6:$H$29,CY3,CY2)&lt;&gt;"",1,0)</f>
        <v/>
      </c>
      <c r="CZ109">
        <f>IF(INDEX('調整・決定'!$C$6:$H$29,CZ3,CZ2)&lt;&gt;"",1,0)</f>
        <v/>
      </c>
      <c r="DA109">
        <f>IF(INDEX('調整・決定'!$C$6:$H$29,DA3,DA2)&lt;&gt;"",1,0)</f>
        <v/>
      </c>
      <c r="DB109">
        <f>IF(INDEX('調整・決定'!$C$6:$H$29,DB3,DB2)&lt;&gt;"",1,0)</f>
        <v/>
      </c>
      <c r="DC109">
        <f>IF(INDEX('調整・決定'!$C$6:$H$29,DC3,DC2)&lt;&gt;"",1,0)</f>
        <v/>
      </c>
      <c r="DD109">
        <f>IF(INDEX('調整・決定'!$C$6:$H$29,DD3,DD2)&lt;&gt;"",1,0)</f>
        <v/>
      </c>
      <c r="DE109">
        <f>IF(INDEX('調整・決定'!$C$6:$H$29,DE3,DE2)&lt;&gt;"",1,0)</f>
        <v/>
      </c>
      <c r="DF109">
        <f>IF(INDEX('調整・決定'!$C$6:$H$29,DF3,DF2)&lt;&gt;"",1,0)</f>
        <v/>
      </c>
      <c r="DG109">
        <f>IF(INDEX('調整・決定'!$C$6:$H$29,DG3,DG2)&lt;&gt;"",1,0)</f>
        <v/>
      </c>
      <c r="DH109">
        <f>IF(INDEX('調整・決定'!$C$6:$H$29,DH3,DH2)&lt;&gt;"",1,0)</f>
        <v/>
      </c>
      <c r="DI109">
        <f>IF(INDEX('調整・決定'!$C$6:$H$29,DI3,DI2)&lt;&gt;"",1,0)</f>
        <v/>
      </c>
      <c r="DJ109">
        <f>IF(INDEX('調整・決定'!$C$6:$H$29,DJ3,DJ2)&lt;&gt;"",1,0)</f>
        <v/>
      </c>
      <c r="DK109">
        <f>IF(INDEX('調整・決定'!$C$6:$H$29,DK3,DK2)&lt;&gt;"",1,0)</f>
        <v/>
      </c>
      <c r="DL109">
        <f>IF(INDEX('調整・決定'!$C$6:$H$29,DL3,DL2)&lt;&gt;"",1,0)</f>
        <v/>
      </c>
      <c r="DM109">
        <f>IF(INDEX('調整・決定'!$C$6:$H$29,DM3,DM2)&lt;&gt;"",1,0)</f>
        <v/>
      </c>
      <c r="DN109">
        <f>IF(INDEX('調整・決定'!$C$6:$H$29,DN3,DN2)&lt;&gt;"",1,0)</f>
        <v/>
      </c>
      <c r="DO109">
        <f>IF(INDEX('調整・決定'!$C$6:$H$29,DO3,DO2)&lt;&gt;"",1,0)</f>
        <v/>
      </c>
      <c r="DP109">
        <f>IF(INDEX('調整・決定'!$C$6:$H$29,DP3,DP2)&lt;&gt;"",1,0)</f>
        <v/>
      </c>
      <c r="DQ109">
        <f>IF(INDEX('調整・決定'!$C$6:$H$29,DQ3,DQ2)&lt;&gt;"",1,0)</f>
        <v/>
      </c>
      <c r="DR109">
        <f>IF(INDEX('調整・決定'!$C$6:$H$29,DR3,DR2)&lt;&gt;"",1,0)</f>
        <v/>
      </c>
      <c r="DS109">
        <f>IF(INDEX('調整・決定'!$C$6:$H$29,DS3,DS2)&lt;&gt;"",1,0)</f>
        <v/>
      </c>
      <c r="DT109">
        <f>IF(INDEX('調整・決定'!$C$6:$H$29,DT3,DT2)&lt;&gt;"",1,0)</f>
        <v/>
      </c>
      <c r="DU109">
        <f>IF(INDEX('調整・決定'!$C$6:$H$29,DU3,DU2)&lt;&gt;"",1,0)</f>
        <v/>
      </c>
      <c r="DV109">
        <f>IF(INDEX('調整・決定'!$C$6:$H$29,DV3,DV2)&lt;&gt;"",1,0)</f>
        <v/>
      </c>
      <c r="DW109">
        <f>IF(INDEX('調整・決定'!$C$6:$H$29,DW3,DW2)&lt;&gt;"",1,0)</f>
        <v/>
      </c>
      <c r="DX109">
        <f>IF(INDEX('調整・決定'!$C$6:$H$29,DX3,DX2)&lt;&gt;"",1,0)</f>
        <v/>
      </c>
      <c r="DY109">
        <f>IF(INDEX('調整・決定'!$C$6:$H$29,DY3,DY2)&lt;&gt;"",1,0)</f>
        <v/>
      </c>
      <c r="DZ109">
        <f>IF(INDEX('調整・決定'!$C$6:$H$29,DZ3,DZ2)&lt;&gt;"",1,0)</f>
        <v/>
      </c>
      <c r="EA109">
        <f>IF(INDEX('調整・決定'!$C$6:$H$29,EA3,EA2)&lt;&gt;"",1,0)</f>
        <v/>
      </c>
      <c r="EB109">
        <f>IF(INDEX('調整・決定'!$C$6:$H$29,EB3,EB2)&lt;&gt;"",1,0)</f>
        <v/>
      </c>
      <c r="EC109">
        <f>IF(INDEX('調整・決定'!$C$6:$H$29,EC3,EC2)&lt;&gt;"",1,0)</f>
        <v/>
      </c>
      <c r="ED109">
        <f>IF(INDEX('調整・決定'!$C$6:$H$29,ED3,ED2)&lt;&gt;"",1,0)</f>
        <v/>
      </c>
      <c r="EE109">
        <f>IF(INDEX('調整・決定'!$C$6:$H$29,EE3,EE2)&lt;&gt;"",1,0)</f>
        <v/>
      </c>
      <c r="EF109">
        <f>IF(INDEX('調整・決定'!$C$6:$H$29,EF3,EF2)&lt;&gt;"",1,0)</f>
        <v/>
      </c>
      <c r="EG109">
        <f>IF(INDEX('調整・決定'!$C$6:$H$29,EG3,EG2)&lt;&gt;"",1,0)</f>
        <v/>
      </c>
      <c r="EH109">
        <f>IF(INDEX('調整・決定'!$C$6:$H$29,EH3,EH2)&lt;&gt;"",1,0)</f>
        <v/>
      </c>
      <c r="EI109">
        <f>IF(INDEX('調整・決定'!$C$6:$H$29,EI3,EI2)&lt;&gt;"",1,0)</f>
        <v/>
      </c>
      <c r="EJ109">
        <f>IF(INDEX('調整・決定'!$C$6:$H$29,EJ3,EJ2)&lt;&gt;"",1,0)</f>
        <v/>
      </c>
      <c r="EK109">
        <f>IF(INDEX('調整・決定'!$C$6:$H$29,EK3,EK2)&lt;&gt;"",1,0)</f>
        <v/>
      </c>
      <c r="EL109">
        <f>IF(INDEX('調整・決定'!$C$6:$H$29,EL3,EL2)&lt;&gt;"",1,0)</f>
        <v/>
      </c>
      <c r="EM109">
        <f>IF(INDEX('調整・決定'!$C$6:$H$29,EM3,EM2)&lt;&gt;"",1,0)</f>
        <v/>
      </c>
      <c r="EN109">
        <f>IF(INDEX('調整・決定'!$C$6:$H$29,EN3,EN2)&lt;&gt;"",1,0)</f>
        <v/>
      </c>
      <c r="EO109">
        <f>IF(INDEX('調整・決定'!$C$6:$H$29,EO3,EO2)&lt;&gt;"",1,0)</f>
        <v/>
      </c>
      <c r="EP109">
        <f>IF(INDEX('調整・決定'!$C$6:$H$29,EP3,EP2)&lt;&gt;"",1,0)</f>
        <v/>
      </c>
      <c r="EQ109">
        <f>IF(INDEX('調整・決定'!$C$6:$H$29,EQ3,EQ2)&lt;&gt;"",1,0)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row>
    <row r="111">
      <c r="C111" t="inlineStr">
        <is>
          <t>早い時刻</t>
        </is>
      </c>
      <c r="D111">
        <f>(D3-1)*6+D2+D5*10000</f>
        <v/>
      </c>
      <c r="E111">
        <f>(E3-1)*6+E2+E5*10000</f>
        <v/>
      </c>
      <c r="F111">
        <f>(F3-1)*6+F2+F5*10000</f>
        <v/>
      </c>
      <c r="G111">
        <f>(G3-1)*6+G2+G5*10000</f>
        <v/>
      </c>
      <c r="H111">
        <f>(H3-1)*6+H2+H5*10000</f>
        <v/>
      </c>
      <c r="I111">
        <f>(I3-1)*6+I2+I5*10000</f>
        <v/>
      </c>
      <c r="J111">
        <f>(J3-1)*6+J2+J5*10000</f>
        <v/>
      </c>
      <c r="K111">
        <f>(K3-1)*6+K2+K5*10000</f>
        <v/>
      </c>
      <c r="L111">
        <f>(L3-1)*6+L2+L5*10000</f>
        <v/>
      </c>
      <c r="M111">
        <f>(M3-1)*6+M2+M5*10000</f>
        <v/>
      </c>
      <c r="N111">
        <f>(N3-1)*6+N2+N5*10000</f>
        <v/>
      </c>
      <c r="O111">
        <f>(O3-1)*6+O2+O5*10000</f>
        <v/>
      </c>
      <c r="P111">
        <f>(P3-1)*6+P2+P5*10000</f>
        <v/>
      </c>
      <c r="Q111">
        <f>(Q3-1)*6+Q2+Q5*10000</f>
        <v/>
      </c>
      <c r="R111">
        <f>(R3-1)*6+R2+R5*10000</f>
        <v/>
      </c>
      <c r="S111">
        <f>(S3-1)*6+S2+S5*10000</f>
        <v/>
      </c>
      <c r="T111">
        <f>(T3-1)*6+T2+T5*10000</f>
        <v/>
      </c>
      <c r="U111">
        <f>(U3-1)*6+U2+U5*10000</f>
        <v/>
      </c>
      <c r="V111">
        <f>(V3-1)*6+V2+V5*10000</f>
        <v/>
      </c>
      <c r="W111">
        <f>(W3-1)*6+W2+W5*10000</f>
        <v/>
      </c>
      <c r="X111">
        <f>(X3-1)*6+X2+X5*10000</f>
        <v/>
      </c>
      <c r="Y111">
        <f>(Y3-1)*6+Y2+Y5*10000</f>
        <v/>
      </c>
      <c r="Z111">
        <f>(Z3-1)*6+Z2+Z5*10000</f>
        <v/>
      </c>
      <c r="AA111">
        <f>(AA3-1)*6+AA2+AA5*10000</f>
        <v/>
      </c>
      <c r="AB111">
        <f>(AB3-1)*6+AB2+AB5*10000</f>
        <v/>
      </c>
      <c r="AC111">
        <f>(AC3-1)*6+AC2+AC5*10000</f>
        <v/>
      </c>
      <c r="AD111">
        <f>(AD3-1)*6+AD2+AD5*10000</f>
        <v/>
      </c>
      <c r="AE111">
        <f>(AE3-1)*6+AE2+AE5*10000</f>
        <v/>
      </c>
      <c r="AF111">
        <f>(AF3-1)*6+AF2+AF5*10000</f>
        <v/>
      </c>
      <c r="AG111">
        <f>(AG3-1)*6+AG2+AG5*10000</f>
        <v/>
      </c>
      <c r="AH111">
        <f>(AH3-1)*6+AH2+AH5*10000</f>
        <v/>
      </c>
      <c r="AI111">
        <f>(AI3-1)*6+AI2+AI5*10000</f>
        <v/>
      </c>
      <c r="AJ111">
        <f>(AJ3-1)*6+AJ2+AJ5*10000</f>
        <v/>
      </c>
      <c r="AK111">
        <f>(AK3-1)*6+AK2+AK5*10000</f>
        <v/>
      </c>
      <c r="AL111">
        <f>(AL3-1)*6+AL2+AL5*10000</f>
        <v/>
      </c>
      <c r="AM111">
        <f>(AM3-1)*6+AM2+AM5*10000</f>
        <v/>
      </c>
      <c r="AN111">
        <f>(AN3-1)*6+AN2+AN5*10000</f>
        <v/>
      </c>
      <c r="AO111">
        <f>(AO3-1)*6+AO2+AO5*10000</f>
        <v/>
      </c>
      <c r="AP111">
        <f>(AP3-1)*6+AP2+AP5*10000</f>
        <v/>
      </c>
      <c r="AQ111">
        <f>(AQ3-1)*6+AQ2+AQ5*10000</f>
        <v/>
      </c>
      <c r="AR111">
        <f>(AR3-1)*6+AR2+AR5*10000</f>
        <v/>
      </c>
      <c r="AS111">
        <f>(AS3-1)*6+AS2+AS5*10000</f>
        <v/>
      </c>
      <c r="AT111">
        <f>(AT3-1)*6+AT2+AT5*10000</f>
        <v/>
      </c>
      <c r="AU111">
        <f>(AU3-1)*6+AU2+AU5*10000</f>
        <v/>
      </c>
      <c r="AV111">
        <f>(AV3-1)*6+AV2+AV5*10000</f>
        <v/>
      </c>
      <c r="AW111">
        <f>(AW3-1)*6+AW2+AW5*10000</f>
        <v/>
      </c>
      <c r="AX111">
        <f>(AX3-1)*6+AX2+AX5*10000</f>
        <v/>
      </c>
      <c r="AY111">
        <f>(AY3-1)*6+AY2+AY5*10000</f>
        <v/>
      </c>
      <c r="AZ111">
        <f>(AZ3-1)*6+AZ2+AZ5*10000</f>
        <v/>
      </c>
      <c r="BA111">
        <f>(BA3-1)*6+BA2+BA5*10000</f>
        <v/>
      </c>
      <c r="BB111">
        <f>(BB3-1)*6+BB2+BB5*10000</f>
        <v/>
      </c>
      <c r="BC111">
        <f>(BC3-1)*6+BC2+BC5*10000</f>
        <v/>
      </c>
      <c r="BD111">
        <f>(BD3-1)*6+BD2+BD5*10000</f>
        <v/>
      </c>
      <c r="BE111">
        <f>(BE3-1)*6+BE2+BE5*10000</f>
        <v/>
      </c>
      <c r="BF111">
        <f>(BF3-1)*6+BF2+BF5*10000</f>
        <v/>
      </c>
      <c r="BG111">
        <f>(BG3-1)*6+BG2+BG5*10000</f>
        <v/>
      </c>
      <c r="BH111">
        <f>(BH3-1)*6+BH2+BH5*10000</f>
        <v/>
      </c>
      <c r="BI111">
        <f>(BI3-1)*6+BI2+BI5*10000</f>
        <v/>
      </c>
      <c r="BJ111">
        <f>(BJ3-1)*6+BJ2+BJ5*10000</f>
        <v/>
      </c>
      <c r="BK111">
        <f>(BK3-1)*6+BK2+BK5*10000</f>
        <v/>
      </c>
      <c r="BL111">
        <f>(BL3-1)*6+BL2+BL5*10000</f>
        <v/>
      </c>
      <c r="BM111">
        <f>(BM3-1)*6+BM2+BM5*10000</f>
        <v/>
      </c>
      <c r="BN111">
        <f>(BN3-1)*6+BN2+BN5*10000</f>
        <v/>
      </c>
      <c r="BO111">
        <f>(BO3-1)*6+BO2+BO5*10000</f>
        <v/>
      </c>
      <c r="BP111">
        <f>(BP3-1)*6+BP2+BP5*10000</f>
        <v/>
      </c>
      <c r="BQ111">
        <f>(BQ3-1)*6+BQ2+BQ5*10000</f>
        <v/>
      </c>
      <c r="BR111">
        <f>(BR3-1)*6+BR2+BR5*10000</f>
        <v/>
      </c>
      <c r="BS111">
        <f>(BS3-1)*6+BS2+BS5*10000</f>
        <v/>
      </c>
      <c r="BT111">
        <f>(BT3-1)*6+BT2+BT5*10000</f>
        <v/>
      </c>
      <c r="BU111">
        <f>(BU3-1)*6+BU2+BU5*10000</f>
        <v/>
      </c>
      <c r="BV111">
        <f>(BV3-1)*6+BV2+BV5*10000</f>
        <v/>
      </c>
      <c r="BW111">
        <f>(BW3-1)*6+BW2+BW5*10000</f>
        <v/>
      </c>
      <c r="BX111">
        <f>(BX3-1)*6+BX2+BX5*10000</f>
        <v/>
      </c>
      <c r="BY111">
        <f>(BY3-1)*6+BY2+BY5*10000</f>
        <v/>
      </c>
      <c r="BZ111">
        <f>(BZ3-1)*6+BZ2+BZ5*10000</f>
        <v/>
      </c>
      <c r="CA111">
        <f>(CA3-1)*6+CA2+CA5*10000</f>
        <v/>
      </c>
      <c r="CB111">
        <f>(CB3-1)*6+CB2+CB5*10000</f>
        <v/>
      </c>
      <c r="CC111">
        <f>(CC3-1)*6+CC2+CC5*10000</f>
        <v/>
      </c>
      <c r="CD111">
        <f>(CD3-1)*6+CD2+CD5*10000</f>
        <v/>
      </c>
      <c r="CE111">
        <f>(CE3-1)*6+CE2+CE5*10000</f>
        <v/>
      </c>
      <c r="CF111">
        <f>(CF3-1)*6+CF2+CF5*10000</f>
        <v/>
      </c>
      <c r="CG111">
        <f>(CG3-1)*6+CG2+CG5*10000</f>
        <v/>
      </c>
      <c r="CH111">
        <f>(CH3-1)*6+CH2+CH5*10000</f>
        <v/>
      </c>
      <c r="CI111">
        <f>(CI3-1)*6+CI2+CI5*10000</f>
        <v/>
      </c>
      <c r="CJ111">
        <f>(CJ3-1)*6+CJ2+CJ5*10000</f>
        <v/>
      </c>
      <c r="CK111">
        <f>(CK3-1)*6+CK2+CK5*10000</f>
        <v/>
      </c>
      <c r="CL111">
        <f>(CL3-1)*6+CL2+CL5*10000</f>
        <v/>
      </c>
      <c r="CM111">
        <f>(CM3-1)*6+CM2+CM5*10000</f>
        <v/>
      </c>
      <c r="CN111">
        <f>(CN3-1)*6+CN2+CN5*10000</f>
        <v/>
      </c>
      <c r="CO111">
        <f>(CO3-1)*6+CO2+CO5*10000</f>
        <v/>
      </c>
      <c r="CP111">
        <f>(CP3-1)*6+CP2+CP5*10000</f>
        <v/>
      </c>
      <c r="CQ111">
        <f>(CQ3-1)*6+CQ2+CQ5*10000</f>
        <v/>
      </c>
      <c r="CR111">
        <f>(CR3-1)*6+CR2+CR5*10000</f>
        <v/>
      </c>
      <c r="CS111">
        <f>(CS3-1)*6+CS2+CS5*10000</f>
        <v/>
      </c>
      <c r="CT111">
        <f>(CT3-1)*6+CT2+CT5*10000</f>
        <v/>
      </c>
      <c r="CU111">
        <f>(CU3-1)*6+CU2+CU5*10000</f>
        <v/>
      </c>
      <c r="CV111">
        <f>(CV3-1)*6+CV2+CV5*10000</f>
        <v/>
      </c>
      <c r="CW111">
        <f>(CW3-1)*6+CW2+CW5*10000</f>
        <v/>
      </c>
      <c r="CX111">
        <f>(CX3-1)*6+CX2+CX5*10000</f>
        <v/>
      </c>
      <c r="CY111">
        <f>(CY3-1)*6+CY2+CY5*10000</f>
        <v/>
      </c>
      <c r="CZ111">
        <f>(CZ3-1)*6+CZ2+CZ5*10000</f>
        <v/>
      </c>
      <c r="DA111">
        <f>(DA3-1)*6+DA2+DA5*10000</f>
        <v/>
      </c>
      <c r="DB111">
        <f>(DB3-1)*6+DB2+DB5*10000</f>
        <v/>
      </c>
      <c r="DC111">
        <f>(DC3-1)*6+DC2+DC5*10000</f>
        <v/>
      </c>
      <c r="DD111">
        <f>(DD3-1)*6+DD2+DD5*10000</f>
        <v/>
      </c>
      <c r="DE111">
        <f>(DE3-1)*6+DE2+DE5*10000</f>
        <v/>
      </c>
      <c r="DF111">
        <f>(DF3-1)*6+DF2+DF5*10000</f>
        <v/>
      </c>
      <c r="DG111">
        <f>(DG3-1)*6+DG2+DG5*10000</f>
        <v/>
      </c>
      <c r="DH111">
        <f>(DH3-1)*6+DH2+DH5*10000</f>
        <v/>
      </c>
      <c r="DI111">
        <f>(DI3-1)*6+DI2+DI5*10000</f>
        <v/>
      </c>
      <c r="DJ111">
        <f>(DJ3-1)*6+DJ2+DJ5*10000</f>
        <v/>
      </c>
      <c r="DK111">
        <f>(DK3-1)*6+DK2+DK5*10000</f>
        <v/>
      </c>
      <c r="DL111">
        <f>(DL3-1)*6+DL2+DL5*10000</f>
        <v/>
      </c>
      <c r="DM111">
        <f>(DM3-1)*6+DM2+DM5*10000</f>
        <v/>
      </c>
      <c r="DN111">
        <f>(DN3-1)*6+DN2+DN5*10000</f>
        <v/>
      </c>
      <c r="DO111">
        <f>(DO3-1)*6+DO2+DO5*10000</f>
        <v/>
      </c>
      <c r="DP111">
        <f>(DP3-1)*6+DP2+DP5*10000</f>
        <v/>
      </c>
      <c r="DQ111">
        <f>(DQ3-1)*6+DQ2+DQ5*10000</f>
        <v/>
      </c>
      <c r="DR111">
        <f>(DR3-1)*6+DR2+DR5*10000</f>
        <v/>
      </c>
      <c r="DS111">
        <f>(DS3-1)*6+DS2+DS5*10000</f>
        <v/>
      </c>
      <c r="DT111">
        <f>(DT3-1)*6+DT2+DT5*10000</f>
        <v/>
      </c>
      <c r="DU111">
        <f>(DU3-1)*6+DU2+DU5*10000</f>
        <v/>
      </c>
      <c r="DV111">
        <f>(DV3-1)*6+DV2+DV5*10000</f>
        <v/>
      </c>
      <c r="DW111">
        <f>(DW3-1)*6+DW2+DW5*10000</f>
        <v/>
      </c>
      <c r="DX111">
        <f>(DX3-1)*6+DX2+DX5*10000</f>
        <v/>
      </c>
      <c r="DY111">
        <f>(DY3-1)*6+DY2+DY5*10000</f>
        <v/>
      </c>
      <c r="DZ111">
        <f>(DZ3-1)*6+DZ2+DZ5*10000</f>
        <v/>
      </c>
      <c r="EA111">
        <f>(EA3-1)*6+EA2+EA5*10000</f>
        <v/>
      </c>
      <c r="EB111">
        <f>(EB3-1)*6+EB2+EB5*10000</f>
        <v/>
      </c>
      <c r="EC111">
        <f>(EC3-1)*6+EC2+EC5*10000</f>
        <v/>
      </c>
      <c r="ED111">
        <f>(ED3-1)*6+ED2+ED5*10000</f>
        <v/>
      </c>
      <c r="EE111">
        <f>(EE3-1)*6+EE2+EE5*10000</f>
        <v/>
      </c>
      <c r="EF111">
        <f>(EF3-1)*6+EF2+EF5*10000</f>
        <v/>
      </c>
      <c r="EG111">
        <f>(EG3-1)*6+EG2+EG5*10000</f>
        <v/>
      </c>
      <c r="EH111">
        <f>(EH3-1)*6+EH2+EH5*10000</f>
        <v/>
      </c>
      <c r="EI111">
        <f>(EI3-1)*6+EI2+EI5*10000</f>
        <v/>
      </c>
      <c r="EJ111">
        <f>(EJ3-1)*6+EJ2+EJ5*10000</f>
        <v/>
      </c>
      <c r="EK111">
        <f>(EK3-1)*6+EK2+EK5*10000</f>
        <v/>
      </c>
      <c r="EL111">
        <f>(EL3-1)*6+EL2+EL5*10000</f>
        <v/>
      </c>
      <c r="EM111">
        <f>(EM3-1)*6+EM2+EM5*10000</f>
        <v/>
      </c>
      <c r="EN111">
        <f>(EN3-1)*6+EN2+EN5*10000</f>
        <v/>
      </c>
      <c r="EO111">
        <f>(EO3-1)*6+EO2+EO5*10000</f>
        <v/>
      </c>
      <c r="EP111">
        <f>(EP3-1)*6+EP2+EP5*10000</f>
        <v/>
      </c>
      <c r="EQ111">
        <f>(EQ3-1)*6+EQ2+EQ5*10000</f>
        <v/>
      </c>
    </row>
    <row r="112">
      <c r="C112" t="inlineStr">
        <is>
          <t>遅い時刻</t>
        </is>
      </c>
      <c r="D112">
        <f>(24-D3)*6+D2+D5*10000</f>
        <v/>
      </c>
      <c r="E112">
        <f>(24-E3)*6+E2+E5*10000</f>
        <v/>
      </c>
      <c r="F112">
        <f>(24-F3)*6+F2+F5*10000</f>
        <v/>
      </c>
      <c r="G112">
        <f>(24-G3)*6+G2+G5*10000</f>
        <v/>
      </c>
      <c r="H112">
        <f>(24-H3)*6+H2+H5*10000</f>
        <v/>
      </c>
      <c r="I112">
        <f>(24-I3)*6+I2+I5*10000</f>
        <v/>
      </c>
      <c r="J112">
        <f>(24-J3)*6+J2+J5*10000</f>
        <v/>
      </c>
      <c r="K112">
        <f>(24-K3)*6+K2+K5*10000</f>
        <v/>
      </c>
      <c r="L112">
        <f>(24-L3)*6+L2+L5*10000</f>
        <v/>
      </c>
      <c r="M112">
        <f>(24-M3)*6+M2+M5*10000</f>
        <v/>
      </c>
      <c r="N112">
        <f>(24-N3)*6+N2+N5*10000</f>
        <v/>
      </c>
      <c r="O112">
        <f>(24-O3)*6+O2+O5*10000</f>
        <v/>
      </c>
      <c r="P112">
        <f>(24-P3)*6+P2+P5*10000</f>
        <v/>
      </c>
      <c r="Q112">
        <f>(24-Q3)*6+Q2+Q5*10000</f>
        <v/>
      </c>
      <c r="R112">
        <f>(24-R3)*6+R2+R5*10000</f>
        <v/>
      </c>
      <c r="S112">
        <f>(24-S3)*6+S2+S5*10000</f>
        <v/>
      </c>
      <c r="T112">
        <f>(24-T3)*6+T2+T5*10000</f>
        <v/>
      </c>
      <c r="U112">
        <f>(24-U3)*6+U2+U5*10000</f>
        <v/>
      </c>
      <c r="V112">
        <f>(24-V3)*6+V2+V5*10000</f>
        <v/>
      </c>
      <c r="W112">
        <f>(24-W3)*6+W2+W5*10000</f>
        <v/>
      </c>
      <c r="X112">
        <f>(24-X3)*6+X2+X5*10000</f>
        <v/>
      </c>
      <c r="Y112">
        <f>(24-Y3)*6+Y2+Y5*10000</f>
        <v/>
      </c>
      <c r="Z112">
        <f>(24-Z3)*6+Z2+Z5*10000</f>
        <v/>
      </c>
      <c r="AA112">
        <f>(24-AA3)*6+AA2+AA5*10000</f>
        <v/>
      </c>
      <c r="AB112">
        <f>(24-AB3)*6+AB2+AB5*10000</f>
        <v/>
      </c>
      <c r="AC112">
        <f>(24-AC3)*6+AC2+AC5*10000</f>
        <v/>
      </c>
      <c r="AD112">
        <f>(24-AD3)*6+AD2+AD5*10000</f>
        <v/>
      </c>
      <c r="AE112">
        <f>(24-AE3)*6+AE2+AE5*10000</f>
        <v/>
      </c>
      <c r="AF112">
        <f>(24-AF3)*6+AF2+AF5*10000</f>
        <v/>
      </c>
      <c r="AG112">
        <f>(24-AG3)*6+AG2+AG5*10000</f>
        <v/>
      </c>
      <c r="AH112">
        <f>(24-AH3)*6+AH2+AH5*10000</f>
        <v/>
      </c>
      <c r="AI112">
        <f>(24-AI3)*6+AI2+AI5*10000</f>
        <v/>
      </c>
      <c r="AJ112">
        <f>(24-AJ3)*6+AJ2+AJ5*10000</f>
        <v/>
      </c>
      <c r="AK112">
        <f>(24-AK3)*6+AK2+AK5*10000</f>
        <v/>
      </c>
      <c r="AL112">
        <f>(24-AL3)*6+AL2+AL5*10000</f>
        <v/>
      </c>
      <c r="AM112">
        <f>(24-AM3)*6+AM2+AM5*10000</f>
        <v/>
      </c>
      <c r="AN112">
        <f>(24-AN3)*6+AN2+AN5*10000</f>
        <v/>
      </c>
      <c r="AO112">
        <f>(24-AO3)*6+AO2+AO5*10000</f>
        <v/>
      </c>
      <c r="AP112">
        <f>(24-AP3)*6+AP2+AP5*10000</f>
        <v/>
      </c>
      <c r="AQ112">
        <f>(24-AQ3)*6+AQ2+AQ5*10000</f>
        <v/>
      </c>
      <c r="AR112">
        <f>(24-AR3)*6+AR2+AR5*10000</f>
        <v/>
      </c>
      <c r="AS112">
        <f>(24-AS3)*6+AS2+AS5*10000</f>
        <v/>
      </c>
      <c r="AT112">
        <f>(24-AT3)*6+AT2+AT5*10000</f>
        <v/>
      </c>
      <c r="AU112">
        <f>(24-AU3)*6+AU2+AU5*10000</f>
        <v/>
      </c>
      <c r="AV112">
        <f>(24-AV3)*6+AV2+AV5*10000</f>
        <v/>
      </c>
      <c r="AW112">
        <f>(24-AW3)*6+AW2+AW5*10000</f>
        <v/>
      </c>
      <c r="AX112">
        <f>(24-AX3)*6+AX2+AX5*10000</f>
        <v/>
      </c>
      <c r="AY112">
        <f>(24-AY3)*6+AY2+AY5*10000</f>
        <v/>
      </c>
      <c r="AZ112">
        <f>(24-AZ3)*6+AZ2+AZ5*10000</f>
        <v/>
      </c>
      <c r="BA112">
        <f>(24-BA3)*6+BA2+BA5*10000</f>
        <v/>
      </c>
      <c r="BB112">
        <f>(24-BB3)*6+BB2+BB5*10000</f>
        <v/>
      </c>
      <c r="BC112">
        <f>(24-BC3)*6+BC2+BC5*10000</f>
        <v/>
      </c>
      <c r="BD112">
        <f>(24-BD3)*6+BD2+BD5*10000</f>
        <v/>
      </c>
      <c r="BE112">
        <f>(24-BE3)*6+BE2+BE5*10000</f>
        <v/>
      </c>
      <c r="BF112">
        <f>(24-BF3)*6+BF2+BF5*10000</f>
        <v/>
      </c>
      <c r="BG112">
        <f>(24-BG3)*6+BG2+BG5*10000</f>
        <v/>
      </c>
      <c r="BH112">
        <f>(24-BH3)*6+BH2+BH5*10000</f>
        <v/>
      </c>
      <c r="BI112">
        <f>(24-BI3)*6+BI2+BI5*10000</f>
        <v/>
      </c>
      <c r="BJ112">
        <f>(24-BJ3)*6+BJ2+BJ5*10000</f>
        <v/>
      </c>
      <c r="BK112">
        <f>(24-BK3)*6+BK2+BK5*10000</f>
        <v/>
      </c>
      <c r="BL112">
        <f>(24-BL3)*6+BL2+BL5*10000</f>
        <v/>
      </c>
      <c r="BM112">
        <f>(24-BM3)*6+BM2+BM5*10000</f>
        <v/>
      </c>
      <c r="BN112">
        <f>(24-BN3)*6+BN2+BN5*10000</f>
        <v/>
      </c>
      <c r="BO112">
        <f>(24-BO3)*6+BO2+BO5*10000</f>
        <v/>
      </c>
      <c r="BP112">
        <f>(24-BP3)*6+BP2+BP5*10000</f>
        <v/>
      </c>
      <c r="BQ112">
        <f>(24-BQ3)*6+BQ2+BQ5*10000</f>
        <v/>
      </c>
      <c r="BR112">
        <f>(24-BR3)*6+BR2+BR5*10000</f>
        <v/>
      </c>
      <c r="BS112">
        <f>(24-BS3)*6+BS2+BS5*10000</f>
        <v/>
      </c>
      <c r="BT112">
        <f>(24-BT3)*6+BT2+BT5*10000</f>
        <v/>
      </c>
      <c r="BU112">
        <f>(24-BU3)*6+BU2+BU5*10000</f>
        <v/>
      </c>
      <c r="BV112">
        <f>(24-BV3)*6+BV2+BV5*10000</f>
        <v/>
      </c>
      <c r="BW112">
        <f>(24-BW3)*6+BW2+BW5*10000</f>
        <v/>
      </c>
      <c r="BX112">
        <f>(24-BX3)*6+BX2+BX5*10000</f>
        <v/>
      </c>
      <c r="BY112">
        <f>(24-BY3)*6+BY2+BY5*10000</f>
        <v/>
      </c>
      <c r="BZ112">
        <f>(24-BZ3)*6+BZ2+BZ5*10000</f>
        <v/>
      </c>
      <c r="CA112">
        <f>(24-CA3)*6+CA2+CA5*10000</f>
        <v/>
      </c>
      <c r="CB112">
        <f>(24-CB3)*6+CB2+CB5*10000</f>
        <v/>
      </c>
      <c r="CC112">
        <f>(24-CC3)*6+CC2+CC5*10000</f>
        <v/>
      </c>
      <c r="CD112">
        <f>(24-CD3)*6+CD2+CD5*10000</f>
        <v/>
      </c>
      <c r="CE112">
        <f>(24-CE3)*6+CE2+CE5*10000</f>
        <v/>
      </c>
      <c r="CF112">
        <f>(24-CF3)*6+CF2+CF5*10000</f>
        <v/>
      </c>
      <c r="CG112">
        <f>(24-CG3)*6+CG2+CG5*10000</f>
        <v/>
      </c>
      <c r="CH112">
        <f>(24-CH3)*6+CH2+CH5*10000</f>
        <v/>
      </c>
      <c r="CI112">
        <f>(24-CI3)*6+CI2+CI5*10000</f>
        <v/>
      </c>
      <c r="CJ112">
        <f>(24-CJ3)*6+CJ2+CJ5*10000</f>
        <v/>
      </c>
      <c r="CK112">
        <f>(24-CK3)*6+CK2+CK5*10000</f>
        <v/>
      </c>
      <c r="CL112">
        <f>(24-CL3)*6+CL2+CL5*10000</f>
        <v/>
      </c>
      <c r="CM112">
        <f>(24-CM3)*6+CM2+CM5*10000</f>
        <v/>
      </c>
      <c r="CN112">
        <f>(24-CN3)*6+CN2+CN5*10000</f>
        <v/>
      </c>
      <c r="CO112">
        <f>(24-CO3)*6+CO2+CO5*10000</f>
        <v/>
      </c>
      <c r="CP112">
        <f>(24-CP3)*6+CP2+CP5*10000</f>
        <v/>
      </c>
      <c r="CQ112">
        <f>(24-CQ3)*6+CQ2+CQ5*10000</f>
        <v/>
      </c>
      <c r="CR112">
        <f>(24-CR3)*6+CR2+CR5*10000</f>
        <v/>
      </c>
      <c r="CS112">
        <f>(24-CS3)*6+CS2+CS5*10000</f>
        <v/>
      </c>
      <c r="CT112">
        <f>(24-CT3)*6+CT2+CT5*10000</f>
        <v/>
      </c>
      <c r="CU112">
        <f>(24-CU3)*6+CU2+CU5*10000</f>
        <v/>
      </c>
      <c r="CV112">
        <f>(24-CV3)*6+CV2+CV5*10000</f>
        <v/>
      </c>
      <c r="CW112">
        <f>(24-CW3)*6+CW2+CW5*10000</f>
        <v/>
      </c>
      <c r="CX112">
        <f>(24-CX3)*6+CX2+CX5*10000</f>
        <v/>
      </c>
      <c r="CY112">
        <f>(24-CY3)*6+CY2+CY5*10000</f>
        <v/>
      </c>
      <c r="CZ112">
        <f>(24-CZ3)*6+CZ2+CZ5*10000</f>
        <v/>
      </c>
      <c r="DA112">
        <f>(24-DA3)*6+DA2+DA5*10000</f>
        <v/>
      </c>
      <c r="DB112">
        <f>(24-DB3)*6+DB2+DB5*10000</f>
        <v/>
      </c>
      <c r="DC112">
        <f>(24-DC3)*6+DC2+DC5*10000</f>
        <v/>
      </c>
      <c r="DD112">
        <f>(24-DD3)*6+DD2+DD5*10000</f>
        <v/>
      </c>
      <c r="DE112">
        <f>(24-DE3)*6+DE2+DE5*10000</f>
        <v/>
      </c>
      <c r="DF112">
        <f>(24-DF3)*6+DF2+DF5*10000</f>
        <v/>
      </c>
      <c r="DG112">
        <f>(24-DG3)*6+DG2+DG5*10000</f>
        <v/>
      </c>
      <c r="DH112">
        <f>(24-DH3)*6+DH2+DH5*10000</f>
        <v/>
      </c>
      <c r="DI112">
        <f>(24-DI3)*6+DI2+DI5*10000</f>
        <v/>
      </c>
      <c r="DJ112">
        <f>(24-DJ3)*6+DJ2+DJ5*10000</f>
        <v/>
      </c>
      <c r="DK112">
        <f>(24-DK3)*6+DK2+DK5*10000</f>
        <v/>
      </c>
      <c r="DL112">
        <f>(24-DL3)*6+DL2+DL5*10000</f>
        <v/>
      </c>
      <c r="DM112">
        <f>(24-DM3)*6+DM2+DM5*10000</f>
        <v/>
      </c>
      <c r="DN112">
        <f>(24-DN3)*6+DN2+DN5*10000</f>
        <v/>
      </c>
      <c r="DO112">
        <f>(24-DO3)*6+DO2+DO5*10000</f>
        <v/>
      </c>
      <c r="DP112">
        <f>(24-DP3)*6+DP2+DP5*10000</f>
        <v/>
      </c>
      <c r="DQ112">
        <f>(24-DQ3)*6+DQ2+DQ5*10000</f>
        <v/>
      </c>
      <c r="DR112">
        <f>(24-DR3)*6+DR2+DR5*10000</f>
        <v/>
      </c>
      <c r="DS112">
        <f>(24-DS3)*6+DS2+DS5*10000</f>
        <v/>
      </c>
      <c r="DT112">
        <f>(24-DT3)*6+DT2+DT5*10000</f>
        <v/>
      </c>
      <c r="DU112">
        <f>(24-DU3)*6+DU2+DU5*10000</f>
        <v/>
      </c>
      <c r="DV112">
        <f>(24-DV3)*6+DV2+DV5*10000</f>
        <v/>
      </c>
      <c r="DW112">
        <f>(24-DW3)*6+DW2+DW5*10000</f>
        <v/>
      </c>
      <c r="DX112">
        <f>(24-DX3)*6+DX2+DX5*10000</f>
        <v/>
      </c>
      <c r="DY112">
        <f>(24-DY3)*6+DY2+DY5*10000</f>
        <v/>
      </c>
      <c r="DZ112">
        <f>(24-DZ3)*6+DZ2+DZ5*10000</f>
        <v/>
      </c>
      <c r="EA112">
        <f>(24-EA3)*6+EA2+EA5*10000</f>
        <v/>
      </c>
      <c r="EB112">
        <f>(24-EB3)*6+EB2+EB5*10000</f>
        <v/>
      </c>
      <c r="EC112">
        <f>(24-EC3)*6+EC2+EC5*10000</f>
        <v/>
      </c>
      <c r="ED112">
        <f>(24-ED3)*6+ED2+ED5*10000</f>
        <v/>
      </c>
      <c r="EE112">
        <f>(24-EE3)*6+EE2+EE5*10000</f>
        <v/>
      </c>
      <c r="EF112">
        <f>(24-EF3)*6+EF2+EF5*10000</f>
        <v/>
      </c>
      <c r="EG112">
        <f>(24-EG3)*6+EG2+EG5*10000</f>
        <v/>
      </c>
      <c r="EH112">
        <f>(24-EH3)*6+EH2+EH5*10000</f>
        <v/>
      </c>
      <c r="EI112">
        <f>(24-EI3)*6+EI2+EI5*10000</f>
        <v/>
      </c>
      <c r="EJ112">
        <f>(24-EJ3)*6+EJ2+EJ5*10000</f>
        <v/>
      </c>
      <c r="EK112">
        <f>(24-EK3)*6+EK2+EK5*10000</f>
        <v/>
      </c>
      <c r="EL112">
        <f>(24-EL3)*6+EL2+EL5*10000</f>
        <v/>
      </c>
      <c r="EM112">
        <f>(24-EM3)*6+EM2+EM5*10000</f>
        <v/>
      </c>
      <c r="EN112">
        <f>(24-EN3)*6+EN2+EN5*10000</f>
        <v/>
      </c>
      <c r="EO112">
        <f>(24-EO3)*6+EO2+EO5*10000</f>
        <v/>
      </c>
      <c r="EP112">
        <f>(24-EP3)*6+EP2+EP5*10000</f>
        <v/>
      </c>
      <c r="EQ112">
        <f>(24-EQ3)*6+EQ2+EQ5*10000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row>
    <row r="114">
      <c r="C114" t="inlineStr">
        <is>
          <t>遅い日</t>
        </is>
      </c>
      <c r="D114">
        <f>(6-D2)*24+D3+D5*10000</f>
        <v/>
      </c>
      <c r="E114">
        <f>(6-E2)*24+E3+E5*10000</f>
        <v/>
      </c>
      <c r="F114">
        <f>(6-F2)*24+F3+F5*10000</f>
        <v/>
      </c>
      <c r="G114">
        <f>(6-G2)*24+G3+G5*10000</f>
        <v/>
      </c>
      <c r="H114">
        <f>(6-H2)*24+H3+H5*10000</f>
        <v/>
      </c>
      <c r="I114">
        <f>(6-I2)*24+I3+I5*10000</f>
        <v/>
      </c>
      <c r="J114">
        <f>(6-J2)*24+J3+J5*10000</f>
        <v/>
      </c>
      <c r="K114">
        <f>(6-K2)*24+K3+K5*10000</f>
        <v/>
      </c>
      <c r="L114">
        <f>(6-L2)*24+L3+L5*10000</f>
        <v/>
      </c>
      <c r="M114">
        <f>(6-M2)*24+M3+M5*10000</f>
        <v/>
      </c>
      <c r="N114">
        <f>(6-N2)*24+N3+N5*10000</f>
        <v/>
      </c>
      <c r="O114">
        <f>(6-O2)*24+O3+O5*10000</f>
        <v/>
      </c>
      <c r="P114">
        <f>(6-P2)*24+P3+P5*10000</f>
        <v/>
      </c>
      <c r="Q114">
        <f>(6-Q2)*24+Q3+Q5*10000</f>
        <v/>
      </c>
      <c r="R114">
        <f>(6-R2)*24+R3+R5*10000</f>
        <v/>
      </c>
      <c r="S114">
        <f>(6-S2)*24+S3+S5*10000</f>
        <v/>
      </c>
      <c r="T114">
        <f>(6-T2)*24+T3+T5*10000</f>
        <v/>
      </c>
      <c r="U114">
        <f>(6-U2)*24+U3+U5*10000</f>
        <v/>
      </c>
      <c r="V114">
        <f>(6-V2)*24+V3+V5*10000</f>
        <v/>
      </c>
      <c r="W114">
        <f>(6-W2)*24+W3+W5*10000</f>
        <v/>
      </c>
      <c r="X114">
        <f>(6-X2)*24+X3+X5*10000</f>
        <v/>
      </c>
      <c r="Y114">
        <f>(6-Y2)*24+Y3+Y5*10000</f>
        <v/>
      </c>
      <c r="Z114">
        <f>(6-Z2)*24+Z3+Z5*10000</f>
        <v/>
      </c>
      <c r="AA114">
        <f>(6-AA2)*24+AA3+AA5*10000</f>
        <v/>
      </c>
      <c r="AB114">
        <f>(6-AB2)*24+AB3+AB5*10000</f>
        <v/>
      </c>
      <c r="AC114">
        <f>(6-AC2)*24+AC3+AC5*10000</f>
        <v/>
      </c>
      <c r="AD114">
        <f>(6-AD2)*24+AD3+AD5*10000</f>
        <v/>
      </c>
      <c r="AE114">
        <f>(6-AE2)*24+AE3+AE5*10000</f>
        <v/>
      </c>
      <c r="AF114">
        <f>(6-AF2)*24+AF3+AF5*10000</f>
        <v/>
      </c>
      <c r="AG114">
        <f>(6-AG2)*24+AG3+AG5*10000</f>
        <v/>
      </c>
      <c r="AH114">
        <f>(6-AH2)*24+AH3+AH5*10000</f>
        <v/>
      </c>
      <c r="AI114">
        <f>(6-AI2)*24+AI3+AI5*10000</f>
        <v/>
      </c>
      <c r="AJ114">
        <f>(6-AJ2)*24+AJ3+AJ5*10000</f>
        <v/>
      </c>
      <c r="AK114">
        <f>(6-AK2)*24+AK3+AK5*10000</f>
        <v/>
      </c>
      <c r="AL114">
        <f>(6-AL2)*24+AL3+AL5*10000</f>
        <v/>
      </c>
      <c r="AM114">
        <f>(6-AM2)*24+AM3+AM5*10000</f>
        <v/>
      </c>
      <c r="AN114">
        <f>(6-AN2)*24+AN3+AN5*10000</f>
        <v/>
      </c>
      <c r="AO114">
        <f>(6-AO2)*24+AO3+AO5*10000</f>
        <v/>
      </c>
      <c r="AP114">
        <f>(6-AP2)*24+AP3+AP5*10000</f>
        <v/>
      </c>
      <c r="AQ114">
        <f>(6-AQ2)*24+AQ3+AQ5*10000</f>
        <v/>
      </c>
      <c r="AR114">
        <f>(6-AR2)*24+AR3+AR5*10000</f>
        <v/>
      </c>
      <c r="AS114">
        <f>(6-AS2)*24+AS3+AS5*10000</f>
        <v/>
      </c>
      <c r="AT114">
        <f>(6-AT2)*24+AT3+AT5*10000</f>
        <v/>
      </c>
      <c r="AU114">
        <f>(6-AU2)*24+AU3+AU5*10000</f>
        <v/>
      </c>
      <c r="AV114">
        <f>(6-AV2)*24+AV3+AV5*10000</f>
        <v/>
      </c>
      <c r="AW114">
        <f>(6-AW2)*24+AW3+AW5*10000</f>
        <v/>
      </c>
      <c r="AX114">
        <f>(6-AX2)*24+AX3+AX5*10000</f>
        <v/>
      </c>
      <c r="AY114">
        <f>(6-AY2)*24+AY3+AY5*10000</f>
        <v/>
      </c>
      <c r="AZ114">
        <f>(6-AZ2)*24+AZ3+AZ5*10000</f>
        <v/>
      </c>
      <c r="BA114">
        <f>(6-BA2)*24+BA3+BA5*10000</f>
        <v/>
      </c>
      <c r="BB114">
        <f>(6-BB2)*24+BB3+BB5*10000</f>
        <v/>
      </c>
      <c r="BC114">
        <f>(6-BC2)*24+BC3+BC5*10000</f>
        <v/>
      </c>
      <c r="BD114">
        <f>(6-BD2)*24+BD3+BD5*10000</f>
        <v/>
      </c>
      <c r="BE114">
        <f>(6-BE2)*24+BE3+BE5*10000</f>
        <v/>
      </c>
      <c r="BF114">
        <f>(6-BF2)*24+BF3+BF5*10000</f>
        <v/>
      </c>
      <c r="BG114">
        <f>(6-BG2)*24+BG3+BG5*10000</f>
        <v/>
      </c>
      <c r="BH114">
        <f>(6-BH2)*24+BH3+BH5*10000</f>
        <v/>
      </c>
      <c r="BI114">
        <f>(6-BI2)*24+BI3+BI5*10000</f>
        <v/>
      </c>
      <c r="BJ114">
        <f>(6-BJ2)*24+BJ3+BJ5*10000</f>
        <v/>
      </c>
      <c r="BK114">
        <f>(6-BK2)*24+BK3+BK5*10000</f>
        <v/>
      </c>
      <c r="BL114">
        <f>(6-BL2)*24+BL3+BL5*10000</f>
        <v/>
      </c>
      <c r="BM114">
        <f>(6-BM2)*24+BM3+BM5*10000</f>
        <v/>
      </c>
      <c r="BN114">
        <f>(6-BN2)*24+BN3+BN5*10000</f>
        <v/>
      </c>
      <c r="BO114">
        <f>(6-BO2)*24+BO3+BO5*10000</f>
        <v/>
      </c>
      <c r="BP114">
        <f>(6-BP2)*24+BP3+BP5*10000</f>
        <v/>
      </c>
      <c r="BQ114">
        <f>(6-BQ2)*24+BQ3+BQ5*10000</f>
        <v/>
      </c>
      <c r="BR114">
        <f>(6-BR2)*24+BR3+BR5*10000</f>
        <v/>
      </c>
      <c r="BS114">
        <f>(6-BS2)*24+BS3+BS5*10000</f>
        <v/>
      </c>
      <c r="BT114">
        <f>(6-BT2)*24+BT3+BT5*10000</f>
        <v/>
      </c>
      <c r="BU114">
        <f>(6-BU2)*24+BU3+BU5*10000</f>
        <v/>
      </c>
      <c r="BV114">
        <f>(6-BV2)*24+BV3+BV5*10000</f>
        <v/>
      </c>
      <c r="BW114">
        <f>(6-BW2)*24+BW3+BW5*10000</f>
        <v/>
      </c>
      <c r="BX114">
        <f>(6-BX2)*24+BX3+BX5*10000</f>
        <v/>
      </c>
      <c r="BY114">
        <f>(6-BY2)*24+BY3+BY5*10000</f>
        <v/>
      </c>
      <c r="BZ114">
        <f>(6-BZ2)*24+BZ3+BZ5*10000</f>
        <v/>
      </c>
      <c r="CA114">
        <f>(6-CA2)*24+CA3+CA5*10000</f>
        <v/>
      </c>
      <c r="CB114">
        <f>(6-CB2)*24+CB3+CB5*10000</f>
        <v/>
      </c>
      <c r="CC114">
        <f>(6-CC2)*24+CC3+CC5*10000</f>
        <v/>
      </c>
      <c r="CD114">
        <f>(6-CD2)*24+CD3+CD5*10000</f>
        <v/>
      </c>
      <c r="CE114">
        <f>(6-CE2)*24+CE3+CE5*10000</f>
        <v/>
      </c>
      <c r="CF114">
        <f>(6-CF2)*24+CF3+CF5*10000</f>
        <v/>
      </c>
      <c r="CG114">
        <f>(6-CG2)*24+CG3+CG5*10000</f>
        <v/>
      </c>
      <c r="CH114">
        <f>(6-CH2)*24+CH3+CH5*10000</f>
        <v/>
      </c>
      <c r="CI114">
        <f>(6-CI2)*24+CI3+CI5*10000</f>
        <v/>
      </c>
      <c r="CJ114">
        <f>(6-CJ2)*24+CJ3+CJ5*10000</f>
        <v/>
      </c>
      <c r="CK114">
        <f>(6-CK2)*24+CK3+CK5*10000</f>
        <v/>
      </c>
      <c r="CL114">
        <f>(6-CL2)*24+CL3+CL5*10000</f>
        <v/>
      </c>
      <c r="CM114">
        <f>(6-CM2)*24+CM3+CM5*10000</f>
        <v/>
      </c>
      <c r="CN114">
        <f>(6-CN2)*24+CN3+CN5*10000</f>
        <v/>
      </c>
      <c r="CO114">
        <f>(6-CO2)*24+CO3+CO5*10000</f>
        <v/>
      </c>
      <c r="CP114">
        <f>(6-CP2)*24+CP3+CP5*10000</f>
        <v/>
      </c>
      <c r="CQ114">
        <f>(6-CQ2)*24+CQ3+CQ5*10000</f>
        <v/>
      </c>
      <c r="CR114">
        <f>(6-CR2)*24+CR3+CR5*10000</f>
        <v/>
      </c>
      <c r="CS114">
        <f>(6-CS2)*24+CS3+CS5*10000</f>
        <v/>
      </c>
      <c r="CT114">
        <f>(6-CT2)*24+CT3+CT5*10000</f>
        <v/>
      </c>
      <c r="CU114">
        <f>(6-CU2)*24+CU3+CU5*10000</f>
        <v/>
      </c>
      <c r="CV114">
        <f>(6-CV2)*24+CV3+CV5*10000</f>
        <v/>
      </c>
      <c r="CW114">
        <f>(6-CW2)*24+CW3+CW5*10000</f>
        <v/>
      </c>
      <c r="CX114">
        <f>(6-CX2)*24+CX3+CX5*10000</f>
        <v/>
      </c>
      <c r="CY114">
        <f>(6-CY2)*24+CY3+CY5*10000</f>
        <v/>
      </c>
      <c r="CZ114">
        <f>(6-CZ2)*24+CZ3+CZ5*10000</f>
        <v/>
      </c>
      <c r="DA114">
        <f>(6-DA2)*24+DA3+DA5*10000</f>
        <v/>
      </c>
      <c r="DB114">
        <f>(6-DB2)*24+DB3+DB5*10000</f>
        <v/>
      </c>
      <c r="DC114">
        <f>(6-DC2)*24+DC3+DC5*10000</f>
        <v/>
      </c>
      <c r="DD114">
        <f>(6-DD2)*24+DD3+DD5*10000</f>
        <v/>
      </c>
      <c r="DE114">
        <f>(6-DE2)*24+DE3+DE5*10000</f>
        <v/>
      </c>
      <c r="DF114">
        <f>(6-DF2)*24+DF3+DF5*10000</f>
        <v/>
      </c>
      <c r="DG114">
        <f>(6-DG2)*24+DG3+DG5*10000</f>
        <v/>
      </c>
      <c r="DH114">
        <f>(6-DH2)*24+DH3+DH5*10000</f>
        <v/>
      </c>
      <c r="DI114">
        <f>(6-DI2)*24+DI3+DI5*10000</f>
        <v/>
      </c>
      <c r="DJ114">
        <f>(6-DJ2)*24+DJ3+DJ5*10000</f>
        <v/>
      </c>
      <c r="DK114">
        <f>(6-DK2)*24+DK3+DK5*10000</f>
        <v/>
      </c>
      <c r="DL114">
        <f>(6-DL2)*24+DL3+DL5*10000</f>
        <v/>
      </c>
      <c r="DM114">
        <f>(6-DM2)*24+DM3+DM5*10000</f>
        <v/>
      </c>
      <c r="DN114">
        <f>(6-DN2)*24+DN3+DN5*10000</f>
        <v/>
      </c>
      <c r="DO114">
        <f>(6-DO2)*24+DO3+DO5*10000</f>
        <v/>
      </c>
      <c r="DP114">
        <f>(6-DP2)*24+DP3+DP5*10000</f>
        <v/>
      </c>
      <c r="DQ114">
        <f>(6-DQ2)*24+DQ3+DQ5*10000</f>
        <v/>
      </c>
      <c r="DR114">
        <f>(6-DR2)*24+DR3+DR5*10000</f>
        <v/>
      </c>
      <c r="DS114">
        <f>(6-DS2)*24+DS3+DS5*10000</f>
        <v/>
      </c>
      <c r="DT114">
        <f>(6-DT2)*24+DT3+DT5*10000</f>
        <v/>
      </c>
      <c r="DU114">
        <f>(6-DU2)*24+DU3+DU5*10000</f>
        <v/>
      </c>
      <c r="DV114">
        <f>(6-DV2)*24+DV3+DV5*10000</f>
        <v/>
      </c>
      <c r="DW114">
        <f>(6-DW2)*24+DW3+DW5*10000</f>
        <v/>
      </c>
      <c r="DX114">
        <f>(6-DX2)*24+DX3+DX5*10000</f>
        <v/>
      </c>
      <c r="DY114">
        <f>(6-DY2)*24+DY3+DY5*10000</f>
        <v/>
      </c>
      <c r="DZ114">
        <f>(6-DZ2)*24+DZ3+DZ5*10000</f>
        <v/>
      </c>
      <c r="EA114">
        <f>(6-EA2)*24+EA3+EA5*10000</f>
        <v/>
      </c>
      <c r="EB114">
        <f>(6-EB2)*24+EB3+EB5*10000</f>
        <v/>
      </c>
      <c r="EC114">
        <f>(6-EC2)*24+EC3+EC5*10000</f>
        <v/>
      </c>
      <c r="ED114">
        <f>(6-ED2)*24+ED3+ED5*10000</f>
        <v/>
      </c>
      <c r="EE114">
        <f>(6-EE2)*24+EE3+EE5*10000</f>
        <v/>
      </c>
      <c r="EF114">
        <f>(6-EF2)*24+EF3+EF5*10000</f>
        <v/>
      </c>
      <c r="EG114">
        <f>(6-EG2)*24+EG3+EG5*10000</f>
        <v/>
      </c>
      <c r="EH114">
        <f>(6-EH2)*24+EH3+EH5*10000</f>
        <v/>
      </c>
      <c r="EI114">
        <f>(6-EI2)*24+EI3+EI5*10000</f>
        <v/>
      </c>
      <c r="EJ114">
        <f>(6-EJ2)*24+EJ3+EJ5*10000</f>
        <v/>
      </c>
      <c r="EK114">
        <f>(6-EK2)*24+EK3+EK5*10000</f>
        <v/>
      </c>
      <c r="EL114">
        <f>(6-EL2)*24+EL3+EL5*10000</f>
        <v/>
      </c>
      <c r="EM114">
        <f>(6-EM2)*24+EM3+EM5*10000</f>
        <v/>
      </c>
      <c r="EN114">
        <f>(6-EN2)*24+EN3+EN5*10000</f>
        <v/>
      </c>
      <c r="EO114">
        <f>(6-EO2)*24+EO3+EO5*10000</f>
        <v/>
      </c>
      <c r="EP114">
        <f>(6-EP2)*24+EP3+EP5*10000</f>
        <v/>
      </c>
      <c r="EQ114">
        <f>(6-EQ2)*24+EQ3+EQ5*10000</f>
        <v/>
      </c>
    </row>
    <row r="115">
      <c r="C115" t="inlineStr">
        <is>
          <t>設定にある枠</t>
        </is>
      </c>
      <c r="D115">
        <f>IF(AND(INDEX('設定'!$B$11:$B$16,D2)&lt;&gt;"",D3&lt;='設定'!$B$6),1,0)</f>
        <v/>
      </c>
      <c r="E115">
        <f>IF(AND(INDEX('設定'!$B$11:$B$16,E2)&lt;&gt;"",E3&lt;='設定'!$B$6),1,0)</f>
        <v/>
      </c>
      <c r="F115">
        <f>IF(AND(INDEX('設定'!$B$11:$B$16,F2)&lt;&gt;"",F3&lt;='設定'!$B$6),1,0)</f>
        <v/>
      </c>
      <c r="G115">
        <f>IF(AND(INDEX('設定'!$B$11:$B$16,G2)&lt;&gt;"",G3&lt;='設定'!$B$6),1,0)</f>
        <v/>
      </c>
      <c r="H115">
        <f>IF(AND(INDEX('設定'!$B$11:$B$16,H2)&lt;&gt;"",H3&lt;='設定'!$B$6),1,0)</f>
        <v/>
      </c>
      <c r="I115">
        <f>IF(AND(INDEX('設定'!$B$11:$B$16,I2)&lt;&gt;"",I3&lt;='設定'!$B$6),1,0)</f>
        <v/>
      </c>
      <c r="J115">
        <f>IF(AND(INDEX('設定'!$B$11:$B$16,J2)&lt;&gt;"",J3&lt;='設定'!$B$6),1,0)</f>
        <v/>
      </c>
      <c r="K115">
        <f>IF(AND(INDEX('設定'!$B$11:$B$16,K2)&lt;&gt;"",K3&lt;='設定'!$B$6),1,0)</f>
        <v/>
      </c>
      <c r="L115">
        <f>IF(AND(INDEX('設定'!$B$11:$B$16,L2)&lt;&gt;"",L3&lt;='設定'!$B$6),1,0)</f>
        <v/>
      </c>
      <c r="M115">
        <f>IF(AND(INDEX('設定'!$B$11:$B$16,M2)&lt;&gt;"",M3&lt;='設定'!$B$6),1,0)</f>
        <v/>
      </c>
      <c r="N115">
        <f>IF(AND(INDEX('設定'!$B$11:$B$16,N2)&lt;&gt;"",N3&lt;='設定'!$B$6),1,0)</f>
        <v/>
      </c>
      <c r="O115">
        <f>IF(AND(INDEX('設定'!$B$11:$B$16,O2)&lt;&gt;"",O3&lt;='設定'!$B$6),1,0)</f>
        <v/>
      </c>
      <c r="P115">
        <f>IF(AND(INDEX('設定'!$B$11:$B$16,P2)&lt;&gt;"",P3&lt;='設定'!$B$6),1,0)</f>
        <v/>
      </c>
      <c r="Q115">
        <f>IF(AND(INDEX('設定'!$B$11:$B$16,Q2)&lt;&gt;"",Q3&lt;='設定'!$B$6),1,0)</f>
        <v/>
      </c>
      <c r="R115">
        <f>IF(AND(INDEX('設定'!$B$11:$B$16,R2)&lt;&gt;"",R3&lt;='設定'!$B$6),1,0)</f>
        <v/>
      </c>
      <c r="S115">
        <f>IF(AND(INDEX('設定'!$B$11:$B$16,S2)&lt;&gt;"",S3&lt;='設定'!$B$6),1,0)</f>
        <v/>
      </c>
      <c r="T115">
        <f>IF(AND(INDEX('設定'!$B$11:$B$16,T2)&lt;&gt;"",T3&lt;='設定'!$B$6),1,0)</f>
        <v/>
      </c>
      <c r="U115">
        <f>IF(AND(INDEX('設定'!$B$11:$B$16,U2)&lt;&gt;"",U3&lt;='設定'!$B$6),1,0)</f>
        <v/>
      </c>
      <c r="V115">
        <f>IF(AND(INDEX('設定'!$B$11:$B$16,V2)&lt;&gt;"",V3&lt;='設定'!$B$6),1,0)</f>
        <v/>
      </c>
      <c r="W115">
        <f>IF(AND(INDEX('設定'!$B$11:$B$16,W2)&lt;&gt;"",W3&lt;='設定'!$B$6),1,0)</f>
        <v/>
      </c>
      <c r="X115">
        <f>IF(AND(INDEX('設定'!$B$11:$B$16,X2)&lt;&gt;"",X3&lt;='設定'!$B$6),1,0)</f>
        <v/>
      </c>
      <c r="Y115">
        <f>IF(AND(INDEX('設定'!$B$11:$B$16,Y2)&lt;&gt;"",Y3&lt;='設定'!$B$6),1,0)</f>
        <v/>
      </c>
      <c r="Z115">
        <f>IF(AND(INDEX('設定'!$B$11:$B$16,Z2)&lt;&gt;"",Z3&lt;='設定'!$B$6),1,0)</f>
        <v/>
      </c>
      <c r="AA115">
        <f>IF(AND(INDEX('設定'!$B$11:$B$16,AA2)&lt;&gt;"",AA3&lt;='設定'!$B$6),1,0)</f>
        <v/>
      </c>
      <c r="AB115">
        <f>IF(AND(INDEX('設定'!$B$11:$B$16,AB2)&lt;&gt;"",AB3&lt;='設定'!$B$6),1,0)</f>
        <v/>
      </c>
      <c r="AC115">
        <f>IF(AND(INDEX('設定'!$B$11:$B$16,AC2)&lt;&gt;"",AC3&lt;='設定'!$B$6),1,0)</f>
        <v/>
      </c>
      <c r="AD115">
        <f>IF(AND(INDEX('設定'!$B$11:$B$16,AD2)&lt;&gt;"",AD3&lt;='設定'!$B$6),1,0)</f>
        <v/>
      </c>
      <c r="AE115">
        <f>IF(AND(INDEX('設定'!$B$11:$B$16,AE2)&lt;&gt;"",AE3&lt;='設定'!$B$6),1,0)</f>
        <v/>
      </c>
      <c r="AF115">
        <f>IF(AND(INDEX('設定'!$B$11:$B$16,AF2)&lt;&gt;"",AF3&lt;='設定'!$B$6),1,0)</f>
        <v/>
      </c>
      <c r="AG115">
        <f>IF(AND(INDEX('設定'!$B$11:$B$16,AG2)&lt;&gt;"",AG3&lt;='設定'!$B$6),1,0)</f>
        <v/>
      </c>
      <c r="AH115">
        <f>IF(AND(INDEX('設定'!$B$11:$B$16,AH2)&lt;&gt;"",AH3&lt;='設定'!$B$6),1,0)</f>
        <v/>
      </c>
      <c r="AI115">
        <f>IF(AND(INDEX('設定'!$B$11:$B$16,AI2)&lt;&gt;"",AI3&lt;='設定'!$B$6),1,0)</f>
        <v/>
      </c>
      <c r="AJ115">
        <f>IF(AND(INDEX('設定'!$B$11:$B$16,AJ2)&lt;&gt;"",AJ3&lt;='設定'!$B$6),1,0)</f>
        <v/>
      </c>
      <c r="AK115">
        <f>IF(AND(INDEX('設定'!$B$11:$B$16,AK2)&lt;&gt;"",AK3&lt;='設定'!$B$6),1,0)</f>
        <v/>
      </c>
      <c r="AL115">
        <f>IF(AND(INDEX('設定'!$B$11:$B$16,AL2)&lt;&gt;"",AL3&lt;='設定'!$B$6),1,0)</f>
        <v/>
      </c>
      <c r="AM115">
        <f>IF(AND(INDEX('設定'!$B$11:$B$16,AM2)&lt;&gt;"",AM3&lt;='設定'!$B$6),1,0)</f>
        <v/>
      </c>
      <c r="AN115">
        <f>IF(AND(INDEX('設定'!$B$11:$B$16,AN2)&lt;&gt;"",AN3&lt;='設定'!$B$6),1,0)</f>
        <v/>
      </c>
      <c r="AO115">
        <f>IF(AND(INDEX('設定'!$B$11:$B$16,AO2)&lt;&gt;"",AO3&lt;='設定'!$B$6),1,0)</f>
        <v/>
      </c>
      <c r="AP115">
        <f>IF(AND(INDEX('設定'!$B$11:$B$16,AP2)&lt;&gt;"",AP3&lt;='設定'!$B$6),1,0)</f>
        <v/>
      </c>
      <c r="AQ115">
        <f>IF(AND(INDEX('設定'!$B$11:$B$16,AQ2)&lt;&gt;"",AQ3&lt;='設定'!$B$6),1,0)</f>
        <v/>
      </c>
      <c r="AR115">
        <f>IF(AND(INDEX('設定'!$B$11:$B$16,AR2)&lt;&gt;"",AR3&lt;='設定'!$B$6),1,0)</f>
        <v/>
      </c>
      <c r="AS115">
        <f>IF(AND(INDEX('設定'!$B$11:$B$16,AS2)&lt;&gt;"",AS3&lt;='設定'!$B$6),1,0)</f>
        <v/>
      </c>
      <c r="AT115">
        <f>IF(AND(INDEX('設定'!$B$11:$B$16,AT2)&lt;&gt;"",AT3&lt;='設定'!$B$6),1,0)</f>
        <v/>
      </c>
      <c r="AU115">
        <f>IF(AND(INDEX('設定'!$B$11:$B$16,AU2)&lt;&gt;"",AU3&lt;='設定'!$B$6),1,0)</f>
        <v/>
      </c>
      <c r="AV115">
        <f>IF(AND(INDEX('設定'!$B$11:$B$16,AV2)&lt;&gt;"",AV3&lt;='設定'!$B$6),1,0)</f>
        <v/>
      </c>
      <c r="AW115">
        <f>IF(AND(INDEX('設定'!$B$11:$B$16,AW2)&lt;&gt;"",AW3&lt;='設定'!$B$6),1,0)</f>
        <v/>
      </c>
      <c r="AX115">
        <f>IF(AND(INDEX('設定'!$B$11:$B$16,AX2)&lt;&gt;"",AX3&lt;='設定'!$B$6),1,0)</f>
        <v/>
      </c>
      <c r="AY115">
        <f>IF(AND(INDEX('設定'!$B$11:$B$16,AY2)&lt;&gt;"",AY3&lt;='設定'!$B$6),1,0)</f>
        <v/>
      </c>
      <c r="AZ115">
        <f>IF(AND(INDEX('設定'!$B$11:$B$16,AZ2)&lt;&gt;"",AZ3&lt;='設定'!$B$6),1,0)</f>
        <v/>
      </c>
      <c r="BA115">
        <f>IF(AND(INDEX('設定'!$B$11:$B$16,BA2)&lt;&gt;"",BA3&lt;='設定'!$B$6),1,0)</f>
        <v/>
      </c>
      <c r="BB115">
        <f>IF(AND(INDEX('設定'!$B$11:$B$16,BB2)&lt;&gt;"",BB3&lt;='設定'!$B$6),1,0)</f>
        <v/>
      </c>
      <c r="BC115">
        <f>IF(AND(INDEX('設定'!$B$11:$B$16,BC2)&lt;&gt;"",BC3&lt;='設定'!$B$6),1,0)</f>
        <v/>
      </c>
      <c r="BD115">
        <f>IF(AND(INDEX('設定'!$B$11:$B$16,BD2)&lt;&gt;"",BD3&lt;='設定'!$B$6),1,0)</f>
        <v/>
      </c>
      <c r="BE115">
        <f>IF(AND(INDEX('設定'!$B$11:$B$16,BE2)&lt;&gt;"",BE3&lt;='設定'!$B$6),1,0)</f>
        <v/>
      </c>
      <c r="BF115">
        <f>IF(AND(INDEX('設定'!$B$11:$B$16,BF2)&lt;&gt;"",BF3&lt;='設定'!$B$6),1,0)</f>
        <v/>
      </c>
      <c r="BG115">
        <f>IF(AND(INDEX('設定'!$B$11:$B$16,BG2)&lt;&gt;"",BG3&lt;='設定'!$B$6),1,0)</f>
        <v/>
      </c>
      <c r="BH115">
        <f>IF(AND(INDEX('設定'!$B$11:$B$16,BH2)&lt;&gt;"",BH3&lt;='設定'!$B$6),1,0)</f>
        <v/>
      </c>
      <c r="BI115">
        <f>IF(AND(INDEX('設定'!$B$11:$B$16,BI2)&lt;&gt;"",BI3&lt;='設定'!$B$6),1,0)</f>
        <v/>
      </c>
      <c r="BJ115">
        <f>IF(AND(INDEX('設定'!$B$11:$B$16,BJ2)&lt;&gt;"",BJ3&lt;='設定'!$B$6),1,0)</f>
        <v/>
      </c>
      <c r="BK115">
        <f>IF(AND(INDEX('設定'!$B$11:$B$16,BK2)&lt;&gt;"",BK3&lt;='設定'!$B$6),1,0)</f>
        <v/>
      </c>
      <c r="BL115">
        <f>IF(AND(INDEX('設定'!$B$11:$B$16,BL2)&lt;&gt;"",BL3&lt;='設定'!$B$6),1,0)</f>
        <v/>
      </c>
      <c r="BM115">
        <f>IF(AND(INDEX('設定'!$B$11:$B$16,BM2)&lt;&gt;"",BM3&lt;='設定'!$B$6),1,0)</f>
        <v/>
      </c>
      <c r="BN115">
        <f>IF(AND(INDEX('設定'!$B$11:$B$16,BN2)&lt;&gt;"",BN3&lt;='設定'!$B$6),1,0)</f>
        <v/>
      </c>
      <c r="BO115">
        <f>IF(AND(INDEX('設定'!$B$11:$B$16,BO2)&lt;&gt;"",BO3&lt;='設定'!$B$6),1,0)</f>
        <v/>
      </c>
      <c r="BP115">
        <f>IF(AND(INDEX('設定'!$B$11:$B$16,BP2)&lt;&gt;"",BP3&lt;='設定'!$B$6),1,0)</f>
        <v/>
      </c>
      <c r="BQ115">
        <f>IF(AND(INDEX('設定'!$B$11:$B$16,BQ2)&lt;&gt;"",BQ3&lt;='設定'!$B$6),1,0)</f>
        <v/>
      </c>
      <c r="BR115">
        <f>IF(AND(INDEX('設定'!$B$11:$B$16,BR2)&lt;&gt;"",BR3&lt;='設定'!$B$6),1,0)</f>
        <v/>
      </c>
      <c r="BS115">
        <f>IF(AND(INDEX('設定'!$B$11:$B$16,BS2)&lt;&gt;"",BS3&lt;='設定'!$B$6),1,0)</f>
        <v/>
      </c>
      <c r="BT115">
        <f>IF(AND(INDEX('設定'!$B$11:$B$16,BT2)&lt;&gt;"",BT3&lt;='設定'!$B$6),1,0)</f>
        <v/>
      </c>
      <c r="BU115">
        <f>IF(AND(INDEX('設定'!$B$11:$B$16,BU2)&lt;&gt;"",BU3&lt;='設定'!$B$6),1,0)</f>
        <v/>
      </c>
      <c r="BV115">
        <f>IF(AND(INDEX('設定'!$B$11:$B$16,BV2)&lt;&gt;"",BV3&lt;='設定'!$B$6),1,0)</f>
        <v/>
      </c>
      <c r="BW115">
        <f>IF(AND(INDEX('設定'!$B$11:$B$16,BW2)&lt;&gt;"",BW3&lt;='設定'!$B$6),1,0)</f>
        <v/>
      </c>
      <c r="BX115">
        <f>IF(AND(INDEX('設定'!$B$11:$B$16,BX2)&lt;&gt;"",BX3&lt;='設定'!$B$6),1,0)</f>
        <v/>
      </c>
      <c r="BY115">
        <f>IF(AND(INDEX('設定'!$B$11:$B$16,BY2)&lt;&gt;"",BY3&lt;='設定'!$B$6),1,0)</f>
        <v/>
      </c>
      <c r="BZ115">
        <f>IF(AND(INDEX('設定'!$B$11:$B$16,BZ2)&lt;&gt;"",BZ3&lt;='設定'!$B$6),1,0)</f>
        <v/>
      </c>
      <c r="CA115">
        <f>IF(AND(INDEX('設定'!$B$11:$B$16,CA2)&lt;&gt;"",CA3&lt;='設定'!$B$6),1,0)</f>
        <v/>
      </c>
      <c r="CB115">
        <f>IF(AND(INDEX('設定'!$B$11:$B$16,CB2)&lt;&gt;"",CB3&lt;='設定'!$B$6),1,0)</f>
        <v/>
      </c>
      <c r="CC115">
        <f>IF(AND(INDEX('設定'!$B$11:$B$16,CC2)&lt;&gt;"",CC3&lt;='設定'!$B$6),1,0)</f>
        <v/>
      </c>
      <c r="CD115">
        <f>IF(AND(INDEX('設定'!$B$11:$B$16,CD2)&lt;&gt;"",CD3&lt;='設定'!$B$6),1,0)</f>
        <v/>
      </c>
      <c r="CE115">
        <f>IF(AND(INDEX('設定'!$B$11:$B$16,CE2)&lt;&gt;"",CE3&lt;='設定'!$B$6),1,0)</f>
        <v/>
      </c>
      <c r="CF115">
        <f>IF(AND(INDEX('設定'!$B$11:$B$16,CF2)&lt;&gt;"",CF3&lt;='設定'!$B$6),1,0)</f>
        <v/>
      </c>
      <c r="CG115">
        <f>IF(AND(INDEX('設定'!$B$11:$B$16,CG2)&lt;&gt;"",CG3&lt;='設定'!$B$6),1,0)</f>
        <v/>
      </c>
      <c r="CH115">
        <f>IF(AND(INDEX('設定'!$B$11:$B$16,CH2)&lt;&gt;"",CH3&lt;='設定'!$B$6),1,0)</f>
        <v/>
      </c>
      <c r="CI115">
        <f>IF(AND(INDEX('設定'!$B$11:$B$16,CI2)&lt;&gt;"",CI3&lt;='設定'!$B$6),1,0)</f>
        <v/>
      </c>
      <c r="CJ115">
        <f>IF(AND(INDEX('設定'!$B$11:$B$16,CJ2)&lt;&gt;"",CJ3&lt;='設定'!$B$6),1,0)</f>
        <v/>
      </c>
      <c r="CK115">
        <f>IF(AND(INDEX('設定'!$B$11:$B$16,CK2)&lt;&gt;"",CK3&lt;='設定'!$B$6),1,0)</f>
        <v/>
      </c>
      <c r="CL115">
        <f>IF(AND(INDEX('設定'!$B$11:$B$16,CL2)&lt;&gt;"",CL3&lt;='設定'!$B$6),1,0)</f>
        <v/>
      </c>
      <c r="CM115">
        <f>IF(AND(INDEX('設定'!$B$11:$B$16,CM2)&lt;&gt;"",CM3&lt;='設定'!$B$6),1,0)</f>
        <v/>
      </c>
      <c r="CN115">
        <f>IF(AND(INDEX('設定'!$B$11:$B$16,CN2)&lt;&gt;"",CN3&lt;='設定'!$B$6),1,0)</f>
        <v/>
      </c>
      <c r="CO115">
        <f>IF(AND(INDEX('設定'!$B$11:$B$16,CO2)&lt;&gt;"",CO3&lt;='設定'!$B$6),1,0)</f>
        <v/>
      </c>
      <c r="CP115">
        <f>IF(AND(INDEX('設定'!$B$11:$B$16,CP2)&lt;&gt;"",CP3&lt;='設定'!$B$6),1,0)</f>
        <v/>
      </c>
      <c r="CQ115">
        <f>IF(AND(INDEX('設定'!$B$11:$B$16,CQ2)&lt;&gt;"",CQ3&lt;='設定'!$B$6),1,0)</f>
        <v/>
      </c>
      <c r="CR115">
        <f>IF(AND(INDEX('設定'!$B$11:$B$16,CR2)&lt;&gt;"",CR3&lt;='設定'!$B$6),1,0)</f>
        <v/>
      </c>
      <c r="CS115">
        <f>IF(AND(INDEX('設定'!$B$11:$B$16,CS2)&lt;&gt;"",CS3&lt;='設定'!$B$6),1,0)</f>
        <v/>
      </c>
      <c r="CT115">
        <f>IF(AND(INDEX('設定'!$B$11:$B$16,CT2)&lt;&gt;"",CT3&lt;='設定'!$B$6),1,0)</f>
        <v/>
      </c>
      <c r="CU115">
        <f>IF(AND(INDEX('設定'!$B$11:$B$16,CU2)&lt;&gt;"",CU3&lt;='設定'!$B$6),1,0)</f>
        <v/>
      </c>
      <c r="CV115">
        <f>IF(AND(INDEX('設定'!$B$11:$B$16,CV2)&lt;&gt;"",CV3&lt;='設定'!$B$6),1,0)</f>
        <v/>
      </c>
      <c r="CW115">
        <f>IF(AND(INDEX('設定'!$B$11:$B$16,CW2)&lt;&gt;"",CW3&lt;='設定'!$B$6),1,0)</f>
        <v/>
      </c>
      <c r="CX115">
        <f>IF(AND(INDEX('設定'!$B$11:$B$16,CX2)&lt;&gt;"",CX3&lt;='設定'!$B$6),1,0)</f>
        <v/>
      </c>
      <c r="CY115">
        <f>IF(AND(INDEX('設定'!$B$11:$B$16,CY2)&lt;&gt;"",CY3&lt;='設定'!$B$6),1,0)</f>
        <v/>
      </c>
      <c r="CZ115">
        <f>IF(AND(INDEX('設定'!$B$11:$B$16,CZ2)&lt;&gt;"",CZ3&lt;='設定'!$B$6),1,0)</f>
        <v/>
      </c>
      <c r="DA115">
        <f>IF(AND(INDEX('設定'!$B$11:$B$16,DA2)&lt;&gt;"",DA3&lt;='設定'!$B$6),1,0)</f>
        <v/>
      </c>
      <c r="DB115">
        <f>IF(AND(INDEX('設定'!$B$11:$B$16,DB2)&lt;&gt;"",DB3&lt;='設定'!$B$6),1,0)</f>
        <v/>
      </c>
      <c r="DC115">
        <f>IF(AND(INDEX('設定'!$B$11:$B$16,DC2)&lt;&gt;"",DC3&lt;='設定'!$B$6),1,0)</f>
        <v/>
      </c>
      <c r="DD115">
        <f>IF(AND(INDEX('設定'!$B$11:$B$16,DD2)&lt;&gt;"",DD3&lt;='設定'!$B$6),1,0)</f>
        <v/>
      </c>
      <c r="DE115">
        <f>IF(AND(INDEX('設定'!$B$11:$B$16,DE2)&lt;&gt;"",DE3&lt;='設定'!$B$6),1,0)</f>
        <v/>
      </c>
      <c r="DF115">
        <f>IF(AND(INDEX('設定'!$B$11:$B$16,DF2)&lt;&gt;"",DF3&lt;='設定'!$B$6),1,0)</f>
        <v/>
      </c>
      <c r="DG115">
        <f>IF(AND(INDEX('設定'!$B$11:$B$16,DG2)&lt;&gt;"",DG3&lt;='設定'!$B$6),1,0)</f>
        <v/>
      </c>
      <c r="DH115">
        <f>IF(AND(INDEX('設定'!$B$11:$B$16,DH2)&lt;&gt;"",DH3&lt;='設定'!$B$6),1,0)</f>
        <v/>
      </c>
      <c r="DI115">
        <f>IF(AND(INDEX('設定'!$B$11:$B$16,DI2)&lt;&gt;"",DI3&lt;='設定'!$B$6),1,0)</f>
        <v/>
      </c>
      <c r="DJ115">
        <f>IF(AND(INDEX('設定'!$B$11:$B$16,DJ2)&lt;&gt;"",DJ3&lt;='設定'!$B$6),1,0)</f>
        <v/>
      </c>
      <c r="DK115">
        <f>IF(AND(INDEX('設定'!$B$11:$B$16,DK2)&lt;&gt;"",DK3&lt;='設定'!$B$6),1,0)</f>
        <v/>
      </c>
      <c r="DL115">
        <f>IF(AND(INDEX('設定'!$B$11:$B$16,DL2)&lt;&gt;"",DL3&lt;='設定'!$B$6),1,0)</f>
        <v/>
      </c>
      <c r="DM115">
        <f>IF(AND(INDEX('設定'!$B$11:$B$16,DM2)&lt;&gt;"",DM3&lt;='設定'!$B$6),1,0)</f>
        <v/>
      </c>
      <c r="DN115">
        <f>IF(AND(INDEX('設定'!$B$11:$B$16,DN2)&lt;&gt;"",DN3&lt;='設定'!$B$6),1,0)</f>
        <v/>
      </c>
      <c r="DO115">
        <f>IF(AND(INDEX('設定'!$B$11:$B$16,DO2)&lt;&gt;"",DO3&lt;='設定'!$B$6),1,0)</f>
        <v/>
      </c>
      <c r="DP115">
        <f>IF(AND(INDEX('設定'!$B$11:$B$16,DP2)&lt;&gt;"",DP3&lt;='設定'!$B$6),1,0)</f>
        <v/>
      </c>
      <c r="DQ115">
        <f>IF(AND(INDEX('設定'!$B$11:$B$16,DQ2)&lt;&gt;"",DQ3&lt;='設定'!$B$6),1,0)</f>
        <v/>
      </c>
      <c r="DR115">
        <f>IF(AND(INDEX('設定'!$B$11:$B$16,DR2)&lt;&gt;"",DR3&lt;='設定'!$B$6),1,0)</f>
        <v/>
      </c>
      <c r="DS115">
        <f>IF(AND(INDEX('設定'!$B$11:$B$16,DS2)&lt;&gt;"",DS3&lt;='設定'!$B$6),1,0)</f>
        <v/>
      </c>
      <c r="DT115">
        <f>IF(AND(INDEX('設定'!$B$11:$B$16,DT2)&lt;&gt;"",DT3&lt;='設定'!$B$6),1,0)</f>
        <v/>
      </c>
      <c r="DU115">
        <f>IF(AND(INDEX('設定'!$B$11:$B$16,DU2)&lt;&gt;"",DU3&lt;='設定'!$B$6),1,0)</f>
        <v/>
      </c>
      <c r="DV115">
        <f>IF(AND(INDEX('設定'!$B$11:$B$16,DV2)&lt;&gt;"",DV3&lt;='設定'!$B$6),1,0)</f>
        <v/>
      </c>
      <c r="DW115">
        <f>IF(AND(INDEX('設定'!$B$11:$B$16,DW2)&lt;&gt;"",DW3&lt;='設定'!$B$6),1,0)</f>
        <v/>
      </c>
      <c r="DX115">
        <f>IF(AND(INDEX('設定'!$B$11:$B$16,DX2)&lt;&gt;"",DX3&lt;='設定'!$B$6),1,0)</f>
        <v/>
      </c>
      <c r="DY115">
        <f>IF(AND(INDEX('設定'!$B$11:$B$16,DY2)&lt;&gt;"",DY3&lt;='設定'!$B$6),1,0)</f>
        <v/>
      </c>
      <c r="DZ115">
        <f>IF(AND(INDEX('設定'!$B$11:$B$16,DZ2)&lt;&gt;"",DZ3&lt;='設定'!$B$6),1,0)</f>
        <v/>
      </c>
      <c r="EA115">
        <f>IF(AND(INDEX('設定'!$B$11:$B$16,EA2)&lt;&gt;"",EA3&lt;='設定'!$B$6),1,0)</f>
        <v/>
      </c>
      <c r="EB115">
        <f>IF(AND(INDEX('設定'!$B$11:$B$16,EB2)&lt;&gt;"",EB3&lt;='設定'!$B$6),1,0)</f>
        <v/>
      </c>
      <c r="EC115">
        <f>IF(AND(INDEX('設定'!$B$11:$B$16,EC2)&lt;&gt;"",EC3&lt;='設定'!$B$6),1,0)</f>
        <v/>
      </c>
      <c r="ED115">
        <f>IF(AND(INDEX('設定'!$B$11:$B$16,ED2)&lt;&gt;"",ED3&lt;='設定'!$B$6),1,0)</f>
        <v/>
      </c>
      <c r="EE115">
        <f>IF(AND(INDEX('設定'!$B$11:$B$16,EE2)&lt;&gt;"",EE3&lt;='設定'!$B$6),1,0)</f>
        <v/>
      </c>
      <c r="EF115">
        <f>IF(AND(INDEX('設定'!$B$11:$B$16,EF2)&lt;&gt;"",EF3&lt;='設定'!$B$6),1,0)</f>
        <v/>
      </c>
      <c r="EG115">
        <f>IF(AND(INDEX('設定'!$B$11:$B$16,EG2)&lt;&gt;"",EG3&lt;='設定'!$B$6),1,0)</f>
        <v/>
      </c>
      <c r="EH115">
        <f>IF(AND(INDEX('設定'!$B$11:$B$16,EH2)&lt;&gt;"",EH3&lt;='設定'!$B$6),1,0)</f>
        <v/>
      </c>
      <c r="EI115">
        <f>IF(AND(INDEX('設定'!$B$11:$B$16,EI2)&lt;&gt;"",EI3&lt;='設定'!$B$6),1,0)</f>
        <v/>
      </c>
      <c r="EJ115">
        <f>IF(AND(INDEX('設定'!$B$11:$B$16,EJ2)&lt;&gt;"",EJ3&lt;='設定'!$B$6),1,0)</f>
        <v/>
      </c>
      <c r="EK115">
        <f>IF(AND(INDEX('設定'!$B$11:$B$16,EK2)&lt;&gt;"",EK3&lt;='設定'!$B$6),1,0)</f>
        <v/>
      </c>
      <c r="EL115">
        <f>IF(AND(INDEX('設定'!$B$11:$B$16,EL2)&lt;&gt;"",EL3&lt;='設定'!$B$6),1,0)</f>
        <v/>
      </c>
      <c r="EM115">
        <f>IF(AND(INDEX('設定'!$B$11:$B$16,EM2)&lt;&gt;"",EM3&lt;='設定'!$B$6),1,0)</f>
        <v/>
      </c>
      <c r="EN115">
        <f>IF(AND(INDEX('設定'!$B$11:$B$16,EN2)&lt;&gt;"",EN3&lt;='設定'!$B$6),1,0)</f>
        <v/>
      </c>
      <c r="EO115">
        <f>IF(AND(INDEX('設定'!$B$11:$B$16,EO2)&lt;&gt;"",EO3&lt;='設定'!$B$6),1,0)</f>
        <v/>
      </c>
      <c r="EP115">
        <f>IF(AND(INDEX('設定'!$B$11:$B$16,EP2)&lt;&gt;"",EP3&lt;='設定'!$B$6),1,0)</f>
        <v/>
      </c>
      <c r="EQ115">
        <f>IF(AND(INDEX('設定'!$B$11:$B$16,EQ2)&lt;&gt;"",EQ3&lt;='設定'!$B$6),1,0)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row>
    <row r="117">
      <c r="C117" t="inlineStr">
        <is>
          <t>時間として次の枠</t>
        </is>
      </c>
      <c r="D117">
        <f>IF(AND(D115=1,E115=1,OR(D3&lt;&gt;$A$3,$A$4=0)),1,0)</f>
        <v/>
      </c>
      <c r="E117">
        <f>IF(AND(E115=1,F115=1,OR(E3&lt;&gt;$A$3,$A$4=0)),1,0)</f>
        <v/>
      </c>
      <c r="F117">
        <f>IF(AND(F115=1,G115=1,OR(F3&lt;&gt;$A$3,$A$4=0)),1,0)</f>
        <v/>
      </c>
      <c r="G117">
        <f>IF(AND(G115=1,H115=1,OR(G3&lt;&gt;$A$3,$A$4=0)),1,0)</f>
        <v/>
      </c>
      <c r="H117">
        <f>IF(AND(H115=1,I115=1,OR(H3&lt;&gt;$A$3,$A$4=0)),1,0)</f>
        <v/>
      </c>
      <c r="I117">
        <f>IF(AND(I115=1,J115=1,OR(I3&lt;&gt;$A$3,$A$4=0)),1,0)</f>
        <v/>
      </c>
      <c r="J117">
        <f>IF(AND(J115=1,K115=1,OR(J3&lt;&gt;$A$3,$A$4=0)),1,0)</f>
        <v/>
      </c>
      <c r="K117">
        <f>IF(AND(K115=1,L115=1,OR(K3&lt;&gt;$A$3,$A$4=0)),1,0)</f>
        <v/>
      </c>
      <c r="L117">
        <f>IF(AND(L115=1,M115=1,OR(L3&lt;&gt;$A$3,$A$4=0)),1,0)</f>
        <v/>
      </c>
      <c r="M117">
        <f>IF(AND(M115=1,N115=1,OR(M3&lt;&gt;$A$3,$A$4=0)),1,0)</f>
        <v/>
      </c>
      <c r="N117">
        <f>IF(AND(N115=1,O115=1,OR(N3&lt;&gt;$A$3,$A$4=0)),1,0)</f>
        <v/>
      </c>
      <c r="O117">
        <f>IF(AND(O115=1,P115=1,OR(O3&lt;&gt;$A$3,$A$4=0)),1,0)</f>
        <v/>
      </c>
      <c r="P117">
        <f>IF(AND(P115=1,Q115=1,OR(P3&lt;&gt;$A$3,$A$4=0)),1,0)</f>
        <v/>
      </c>
      <c r="Q117">
        <f>IF(AND(Q115=1,R115=1,OR(Q3&lt;&gt;$A$3,$A$4=0)),1,0)</f>
        <v/>
      </c>
      <c r="R117">
        <f>IF(AND(R115=1,S115=1,OR(R3&lt;&gt;$A$3,$A$4=0)),1,0)</f>
        <v/>
      </c>
      <c r="S117">
        <f>IF(AND(S115=1,T115=1,OR(S3&lt;&gt;$A$3,$A$4=0)),1,0)</f>
        <v/>
      </c>
      <c r="T117">
        <f>IF(AND(T115=1,U115=1,OR(T3&lt;&gt;$A$3,$A$4=0)),1,0)</f>
        <v/>
      </c>
      <c r="U117">
        <f>IF(AND(U115=1,V115=1,OR(U3&lt;&gt;$A$3,$A$4=0)),1,0)</f>
        <v/>
      </c>
      <c r="V117">
        <f>IF(AND(V115=1,W115=1,OR(V3&lt;&gt;$A$3,$A$4=0)),1,0)</f>
        <v/>
      </c>
      <c r="W117">
        <f>IF(AND(W115=1,X115=1,OR(W3&lt;&gt;$A$3,$A$4=0)),1,0)</f>
        <v/>
      </c>
      <c r="X117">
        <f>IF(AND(X115=1,Y115=1,OR(X3&lt;&gt;$A$3,$A$4=0)),1,0)</f>
        <v/>
      </c>
      <c r="Y117">
        <f>IF(AND(Y115=1,Z115=1,OR(Y3&lt;&gt;$A$3,$A$4=0)),1,0)</f>
        <v/>
      </c>
      <c r="Z117">
        <f>IF(AND(Z115=1,AA115=1,OR(Z3&lt;&gt;$A$3,$A$4=0)),1,0)</f>
        <v/>
      </c>
      <c r="AA117" t="n">
        <v>0</v>
      </c>
      <c r="AB117">
        <f>IF(AND(AB115=1,AC115=1,OR(AB3&lt;&gt;$A$3,$A$4=0)),1,0)</f>
        <v/>
      </c>
      <c r="AC117">
        <f>IF(AND(AC115=1,AD115=1,OR(AC3&lt;&gt;$A$3,$A$4=0)),1,0)</f>
        <v/>
      </c>
      <c r="AD117">
        <f>IF(AND(AD115=1,AE115=1,OR(AD3&lt;&gt;$A$3,$A$4=0)),1,0)</f>
        <v/>
      </c>
      <c r="AE117">
        <f>IF(AND(AE115=1,AF115=1,OR(AE3&lt;&gt;$A$3,$A$4=0)),1,0)</f>
        <v/>
      </c>
      <c r="AF117">
        <f>IF(AND(AF115=1,AG115=1,OR(AF3&lt;&gt;$A$3,$A$4=0)),1,0)</f>
        <v/>
      </c>
      <c r="AG117">
        <f>IF(AND(AG115=1,AH115=1,OR(AG3&lt;&gt;$A$3,$A$4=0)),1,0)</f>
        <v/>
      </c>
      <c r="AH117">
        <f>IF(AND(AH115=1,AI115=1,OR(AH3&lt;&gt;$A$3,$A$4=0)),1,0)</f>
        <v/>
      </c>
      <c r="AI117">
        <f>IF(AND(AI115=1,AJ115=1,OR(AI3&lt;&gt;$A$3,$A$4=0)),1,0)</f>
        <v/>
      </c>
      <c r="AJ117">
        <f>IF(AND(AJ115=1,AK115=1,OR(AJ3&lt;&gt;$A$3,$A$4=0)),1,0)</f>
        <v/>
      </c>
      <c r="AK117">
        <f>IF(AND(AK115=1,AL115=1,OR(AK3&lt;&gt;$A$3,$A$4=0)),1,0)</f>
        <v/>
      </c>
      <c r="AL117">
        <f>IF(AND(AL115=1,AM115=1,OR(AL3&lt;&gt;$A$3,$A$4=0)),1,0)</f>
        <v/>
      </c>
      <c r="AM117">
        <f>IF(AND(AM115=1,AN115=1,OR(AM3&lt;&gt;$A$3,$A$4=0)),1,0)</f>
        <v/>
      </c>
      <c r="AN117">
        <f>IF(AND(AN115=1,AO115=1,OR(AN3&lt;&gt;$A$3,$A$4=0)),1,0)</f>
        <v/>
      </c>
      <c r="AO117">
        <f>IF(AND(AO115=1,AP115=1,OR(AO3&lt;&gt;$A$3,$A$4=0)),1,0)</f>
        <v/>
      </c>
      <c r="AP117">
        <f>IF(AND(AP115=1,AQ115=1,OR(AP3&lt;&gt;$A$3,$A$4=0)),1,0)</f>
        <v/>
      </c>
      <c r="AQ117">
        <f>IF(AND(AQ115=1,AR115=1,OR(AQ3&lt;&gt;$A$3,$A$4=0)),1,0)</f>
        <v/>
      </c>
      <c r="AR117">
        <f>IF(AND(AR115=1,AS115=1,OR(AR3&lt;&gt;$A$3,$A$4=0)),1,0)</f>
        <v/>
      </c>
      <c r="AS117">
        <f>IF(AND(AS115=1,AT115=1,OR(AS3&lt;&gt;$A$3,$A$4=0)),1,0)</f>
        <v/>
      </c>
      <c r="AT117">
        <f>IF(AND(AT115=1,AU115=1,OR(AT3&lt;&gt;$A$3,$A$4=0)),1,0)</f>
        <v/>
      </c>
      <c r="AU117">
        <f>IF(AND(AU115=1,AV115=1,OR(AU3&lt;&gt;$A$3,$A$4=0)),1,0)</f>
        <v/>
      </c>
      <c r="AV117">
        <f>IF(AND(AV115=1,AW115=1,OR(AV3&lt;&gt;$A$3,$A$4=0)),1,0)</f>
        <v/>
      </c>
      <c r="AW117">
        <f>IF(AND(AW115=1,AX115=1,OR(AW3&lt;&gt;$A$3,$A$4=0)),1,0)</f>
        <v/>
      </c>
      <c r="AX117">
        <f>IF(AND(AX115=1,AY115=1,OR(AX3&lt;&gt;$A$3,$A$4=0)),1,0)</f>
        <v/>
      </c>
      <c r="AY117" t="n">
        <v>0</v>
      </c>
      <c r="AZ117">
        <f>IF(AND(AZ115=1,BA115=1,OR(AZ3&lt;&gt;$A$3,$A$4=0)),1,0)</f>
        <v/>
      </c>
      <c r="BA117">
        <f>IF(AND(BA115=1,BB115=1,OR(BA3&lt;&gt;$A$3,$A$4=0)),1,0)</f>
        <v/>
      </c>
      <c r="BB117">
        <f>IF(AND(BB115=1,BC115=1,OR(BB3&lt;&gt;$A$3,$A$4=0)),1,0)</f>
        <v/>
      </c>
      <c r="BC117">
        <f>IF(AND(BC115=1,BD115=1,OR(BC3&lt;&gt;$A$3,$A$4=0)),1,0)</f>
        <v/>
      </c>
      <c r="BD117">
        <f>IF(AND(BD115=1,BE115=1,OR(BD3&lt;&gt;$A$3,$A$4=0)),1,0)</f>
        <v/>
      </c>
      <c r="BE117">
        <f>IF(AND(BE115=1,BF115=1,OR(BE3&lt;&gt;$A$3,$A$4=0)),1,0)</f>
        <v/>
      </c>
      <c r="BF117">
        <f>IF(AND(BF115=1,BG115=1,OR(BF3&lt;&gt;$A$3,$A$4=0)),1,0)</f>
        <v/>
      </c>
      <c r="BG117">
        <f>IF(AND(BG115=1,BH115=1,OR(BG3&lt;&gt;$A$3,$A$4=0)),1,0)</f>
        <v/>
      </c>
      <c r="BH117">
        <f>IF(AND(BH115=1,BI115=1,OR(BH3&lt;&gt;$A$3,$A$4=0)),1,0)</f>
        <v/>
      </c>
      <c r="BI117">
        <f>IF(AND(BI115=1,BJ115=1,OR(BI3&lt;&gt;$A$3,$A$4=0)),1,0)</f>
        <v/>
      </c>
      <c r="BJ117">
        <f>IF(AND(BJ115=1,BK115=1,OR(BJ3&lt;&gt;$A$3,$A$4=0)),1,0)</f>
        <v/>
      </c>
      <c r="BK117">
        <f>IF(AND(BK115=1,BL115=1,OR(BK3&lt;&gt;$A$3,$A$4=0)),1,0)</f>
        <v/>
      </c>
      <c r="BL117">
        <f>IF(AND(BL115=1,BM115=1,OR(BL3&lt;&gt;$A$3,$A$4=0)),1,0)</f>
        <v/>
      </c>
      <c r="BM117">
        <f>IF(AND(BM115=1,BN115=1,OR(BM3&lt;&gt;$A$3,$A$4=0)),1,0)</f>
        <v/>
      </c>
      <c r="BN117">
        <f>IF(AND(BN115=1,BO115=1,OR(BN3&lt;&gt;$A$3,$A$4=0)),1,0)</f>
        <v/>
      </c>
      <c r="BO117">
        <f>IF(AND(BO115=1,BP115=1,OR(BO3&lt;&gt;$A$3,$A$4=0)),1,0)</f>
        <v/>
      </c>
      <c r="BP117">
        <f>IF(AND(BP115=1,BQ115=1,OR(BP3&lt;&gt;$A$3,$A$4=0)),1,0)</f>
        <v/>
      </c>
      <c r="BQ117">
        <f>IF(AND(BQ115=1,BR115=1,OR(BQ3&lt;&gt;$A$3,$A$4=0)),1,0)</f>
        <v/>
      </c>
      <c r="BR117">
        <f>IF(AND(BR115=1,BS115=1,OR(BR3&lt;&gt;$A$3,$A$4=0)),1,0)</f>
        <v/>
      </c>
      <c r="BS117">
        <f>IF(AND(BS115=1,BT115=1,OR(BS3&lt;&gt;$A$3,$A$4=0)),1,0)</f>
        <v/>
      </c>
      <c r="BT117">
        <f>IF(AND(BT115=1,BU115=1,OR(BT3&lt;&gt;$A$3,$A$4=0)),1,0)</f>
        <v/>
      </c>
      <c r="BU117">
        <f>IF(AND(BU115=1,BV115=1,OR(BU3&lt;&gt;$A$3,$A$4=0)),1,0)</f>
        <v/>
      </c>
      <c r="BV117">
        <f>IF(AND(BV115=1,BW115=1,OR(BV3&lt;&gt;$A$3,$A$4=0)),1,0)</f>
        <v/>
      </c>
      <c r="BW117" t="n">
        <v>0</v>
      </c>
      <c r="BX117">
        <f>IF(AND(BX115=1,BY115=1,OR(BX3&lt;&gt;$A$3,$A$4=0)),1,0)</f>
        <v/>
      </c>
      <c r="BY117">
        <f>IF(AND(BY115=1,BZ115=1,OR(BY3&lt;&gt;$A$3,$A$4=0)),1,0)</f>
        <v/>
      </c>
      <c r="BZ117">
        <f>IF(AND(BZ115=1,CA115=1,OR(BZ3&lt;&gt;$A$3,$A$4=0)),1,0)</f>
        <v/>
      </c>
      <c r="CA117">
        <f>IF(AND(CA115=1,CB115=1,OR(CA3&lt;&gt;$A$3,$A$4=0)),1,0)</f>
        <v/>
      </c>
      <c r="CB117">
        <f>IF(AND(CB115=1,CC115=1,OR(CB3&lt;&gt;$A$3,$A$4=0)),1,0)</f>
        <v/>
      </c>
      <c r="CC117">
        <f>IF(AND(CC115=1,CD115=1,OR(CC3&lt;&gt;$A$3,$A$4=0)),1,0)</f>
        <v/>
      </c>
      <c r="CD117">
        <f>IF(AND(CD115=1,CE115=1,OR(CD3&lt;&gt;$A$3,$A$4=0)),1,0)</f>
        <v/>
      </c>
      <c r="CE117">
        <f>IF(AND(CE115=1,CF115=1,OR(CE3&lt;&gt;$A$3,$A$4=0)),1,0)</f>
        <v/>
      </c>
      <c r="CF117">
        <f>IF(AND(CF115=1,CG115=1,OR(CF3&lt;&gt;$A$3,$A$4=0)),1,0)</f>
        <v/>
      </c>
      <c r="CG117">
        <f>IF(AND(CG115=1,CH115=1,OR(CG3&lt;&gt;$A$3,$A$4=0)),1,0)</f>
        <v/>
      </c>
      <c r="CH117">
        <f>IF(AND(CH115=1,CI115=1,OR(CH3&lt;&gt;$A$3,$A$4=0)),1,0)</f>
        <v/>
      </c>
      <c r="CI117">
        <f>IF(AND(CI115=1,CJ115=1,OR(CI3&lt;&gt;$A$3,$A$4=0)),1,0)</f>
        <v/>
      </c>
      <c r="CJ117">
        <f>IF(AND(CJ115=1,CK115=1,OR(CJ3&lt;&gt;$A$3,$A$4=0)),1,0)</f>
        <v/>
      </c>
      <c r="CK117">
        <f>IF(AND(CK115=1,CL115=1,OR(CK3&lt;&gt;$A$3,$A$4=0)),1,0)</f>
        <v/>
      </c>
      <c r="CL117">
        <f>IF(AND(CL115=1,CM115=1,OR(CL3&lt;&gt;$A$3,$A$4=0)),1,0)</f>
        <v/>
      </c>
      <c r="CM117">
        <f>IF(AND(CM115=1,CN115=1,OR(CM3&lt;&gt;$A$3,$A$4=0)),1,0)</f>
        <v/>
      </c>
      <c r="CN117">
        <f>IF(AND(CN115=1,CO115=1,OR(CN3&lt;&gt;$A$3,$A$4=0)),1,0)</f>
        <v/>
      </c>
      <c r="CO117">
        <f>IF(AND(CO115=1,CP115=1,OR(CO3&lt;&gt;$A$3,$A$4=0)),1,0)</f>
        <v/>
      </c>
      <c r="CP117">
        <f>IF(AND(CP115=1,CQ115=1,OR(CP3&lt;&gt;$A$3,$A$4=0)),1,0)</f>
        <v/>
      </c>
      <c r="CQ117">
        <f>IF(AND(CQ115=1,CR115=1,OR(CQ3&lt;&gt;$A$3,$A$4=0)),1,0)</f>
        <v/>
      </c>
      <c r="CR117">
        <f>IF(AND(CR115=1,CS115=1,OR(CR3&lt;&gt;$A$3,$A$4=0)),1,0)</f>
        <v/>
      </c>
      <c r="CS117">
        <f>IF(AND(CS115=1,CT115=1,OR(CS3&lt;&gt;$A$3,$A$4=0)),1,0)</f>
        <v/>
      </c>
      <c r="CT117">
        <f>IF(AND(CT115=1,CU115=1,OR(CT3&lt;&gt;$A$3,$A$4=0)),1,0)</f>
        <v/>
      </c>
      <c r="CU117" t="n">
        <v>0</v>
      </c>
      <c r="CV117">
        <f>IF(AND(CV115=1,CW115=1,OR(CV3&lt;&gt;$A$3,$A$4=0)),1,0)</f>
        <v/>
      </c>
      <c r="CW117">
        <f>IF(AND(CW115=1,CX115=1,OR(CW3&lt;&gt;$A$3,$A$4=0)),1,0)</f>
        <v/>
      </c>
      <c r="CX117">
        <f>IF(AND(CX115=1,CY115=1,OR(CX3&lt;&gt;$A$3,$A$4=0)),1,0)</f>
        <v/>
      </c>
      <c r="CY117">
        <f>IF(AND(CY115=1,CZ115=1,OR(CY3&lt;&gt;$A$3,$A$4=0)),1,0)</f>
        <v/>
      </c>
      <c r="CZ117">
        <f>IF(AND(CZ115=1,DA115=1,OR(CZ3&lt;&gt;$A$3,$A$4=0)),1,0)</f>
        <v/>
      </c>
      <c r="DA117">
        <f>IF(AND(DA115=1,DB115=1,OR(DA3&lt;&gt;$A$3,$A$4=0)),1,0)</f>
        <v/>
      </c>
      <c r="DB117">
        <f>IF(AND(DB115=1,DC115=1,OR(DB3&lt;&gt;$A$3,$A$4=0)),1,0)</f>
        <v/>
      </c>
      <c r="DC117">
        <f>IF(AND(DC115=1,DD115=1,OR(DC3&lt;&gt;$A$3,$A$4=0)),1,0)</f>
        <v/>
      </c>
      <c r="DD117">
        <f>IF(AND(DD115=1,DE115=1,OR(DD3&lt;&gt;$A$3,$A$4=0)),1,0)</f>
        <v/>
      </c>
      <c r="DE117">
        <f>IF(AND(DE115=1,DF115=1,OR(DE3&lt;&gt;$A$3,$A$4=0)),1,0)</f>
        <v/>
      </c>
      <c r="DF117">
        <f>IF(AND(DF115=1,DG115=1,OR(DF3&lt;&gt;$A$3,$A$4=0)),1,0)</f>
        <v/>
      </c>
      <c r="DG117">
        <f>IF(AND(DG115=1,DH115=1,OR(DG3&lt;&gt;$A$3,$A$4=0)),1,0)</f>
        <v/>
      </c>
      <c r="DH117">
        <f>IF(AND(DH115=1,DI115=1,OR(DH3&lt;&gt;$A$3,$A$4=0)),1,0)</f>
        <v/>
      </c>
      <c r="DI117">
        <f>IF(AND(DI115=1,DJ115=1,OR(DI3&lt;&gt;$A$3,$A$4=0)),1,0)</f>
        <v/>
      </c>
      <c r="DJ117">
        <f>IF(AND(DJ115=1,DK115=1,OR(DJ3&lt;&gt;$A$3,$A$4=0)),1,0)</f>
        <v/>
      </c>
      <c r="DK117">
        <f>IF(AND(DK115=1,DL115=1,OR(DK3&lt;&gt;$A$3,$A$4=0)),1,0)</f>
        <v/>
      </c>
      <c r="DL117">
        <f>IF(AND(DL115=1,DM115=1,OR(DL3&lt;&gt;$A$3,$A$4=0)),1,0)</f>
        <v/>
      </c>
      <c r="DM117">
        <f>IF(AND(DM115=1,DN115=1,OR(DM3&lt;&gt;$A$3,$A$4=0)),1,0)</f>
        <v/>
      </c>
      <c r="DN117">
        <f>IF(AND(DN115=1,DO115=1,OR(DN3&lt;&gt;$A$3,$A$4=0)),1,0)</f>
        <v/>
      </c>
      <c r="DO117">
        <f>IF(AND(DO115=1,DP115=1,OR(DO3&lt;&gt;$A$3,$A$4=0)),1,0)</f>
        <v/>
      </c>
      <c r="DP117">
        <f>IF(AND(DP115=1,DQ115=1,OR(DP3&lt;&gt;$A$3,$A$4=0)),1,0)</f>
        <v/>
      </c>
      <c r="DQ117">
        <f>IF(AND(DQ115=1,DR115=1,OR(DQ3&lt;&gt;$A$3,$A$4=0)),1,0)</f>
        <v/>
      </c>
      <c r="DR117">
        <f>IF(AND(DR115=1,DS115=1,OR(DR3&lt;&gt;$A$3,$A$4=0)),1,0)</f>
        <v/>
      </c>
      <c r="DS117" t="n">
        <v>0</v>
      </c>
      <c r="DT117">
        <f>IF(AND(DT115=1,DU115=1,OR(DT3&lt;&gt;$A$3,$A$4=0)),1,0)</f>
        <v/>
      </c>
      <c r="DU117">
        <f>IF(AND(DU115=1,DV115=1,OR(DU3&lt;&gt;$A$3,$A$4=0)),1,0)</f>
        <v/>
      </c>
      <c r="DV117">
        <f>IF(AND(DV115=1,DW115=1,OR(DV3&lt;&gt;$A$3,$A$4=0)),1,0)</f>
        <v/>
      </c>
      <c r="DW117">
        <f>IF(AND(DW115=1,DX115=1,OR(DW3&lt;&gt;$A$3,$A$4=0)),1,0)</f>
        <v/>
      </c>
      <c r="DX117">
        <f>IF(AND(DX115=1,DY115=1,OR(DX3&lt;&gt;$A$3,$A$4=0)),1,0)</f>
        <v/>
      </c>
      <c r="DY117">
        <f>IF(AND(DY115=1,DZ115=1,OR(DY3&lt;&gt;$A$3,$A$4=0)),1,0)</f>
        <v/>
      </c>
      <c r="DZ117">
        <f>IF(AND(DZ115=1,EA115=1,OR(DZ3&lt;&gt;$A$3,$A$4=0)),1,0)</f>
        <v/>
      </c>
      <c r="EA117">
        <f>IF(AND(EA115=1,EB115=1,OR(EA3&lt;&gt;$A$3,$A$4=0)),1,0)</f>
        <v/>
      </c>
      <c r="EB117">
        <f>IF(AND(EB115=1,EC115=1,OR(EB3&lt;&gt;$A$3,$A$4=0)),1,0)</f>
        <v/>
      </c>
      <c r="EC117">
        <f>IF(AND(EC115=1,ED115=1,OR(EC3&lt;&gt;$A$3,$A$4=0)),1,0)</f>
        <v/>
      </c>
      <c r="ED117">
        <f>IF(AND(ED115=1,EE115=1,OR(ED3&lt;&gt;$A$3,$A$4=0)),1,0)</f>
        <v/>
      </c>
      <c r="EE117">
        <f>IF(AND(EE115=1,EF115=1,OR(EE3&lt;&gt;$A$3,$A$4=0)),1,0)</f>
        <v/>
      </c>
      <c r="EF117">
        <f>IF(AND(EF115=1,EG115=1,OR(EF3&lt;&gt;$A$3,$A$4=0)),1,0)</f>
        <v/>
      </c>
      <c r="EG117">
        <f>IF(AND(EG115=1,EH115=1,OR(EG3&lt;&gt;$A$3,$A$4=0)),1,0)</f>
        <v/>
      </c>
      <c r="EH117">
        <f>IF(AND(EH115=1,EI115=1,OR(EH3&lt;&gt;$A$3,$A$4=0)),1,0)</f>
        <v/>
      </c>
      <c r="EI117">
        <f>IF(AND(EI115=1,EJ115=1,OR(EI3&lt;&gt;$A$3,$A$4=0)),1,0)</f>
        <v/>
      </c>
      <c r="EJ117">
        <f>IF(AND(EJ115=1,EK115=1,OR(EJ3&lt;&gt;$A$3,$A$4=0)),1,0)</f>
        <v/>
      </c>
      <c r="EK117">
        <f>IF(AND(EK115=1,EL115=1,OR(EK3&lt;&gt;$A$3,$A$4=0)),1,0)</f>
        <v/>
      </c>
      <c r="EL117">
        <f>IF(AND(EL115=1,EM115=1,OR(EL3&lt;&gt;$A$3,$A$4=0)),1,0)</f>
        <v/>
      </c>
      <c r="EM117">
        <f>IF(AND(EM115=1,EN115=1,OR(EM3&lt;&gt;$A$3,$A$4=0)),1,0)</f>
        <v/>
      </c>
      <c r="EN117">
        <f>IF(AND(EN115=1,EO115=1,OR(EN3&lt;&gt;$A$3,$A$4=0)),1,0)</f>
        <v/>
      </c>
      <c r="EO117">
        <f>IF(AND(EO115=1,EP115=1,OR(EO3&lt;&gt;$A$3,$A$4=0)),1,0)</f>
        <v/>
      </c>
      <c r="EP117">
        <f>IF(AND(EP115=1,EQ115=1,OR(EP3&lt;&gt;$A$3,$A$4=0)),1,0)</f>
        <v/>
      </c>
      <c r="EQ117" t="n">
        <v>0</v>
      </c>
    </row>
    <row r="118">
      <c r="C118" t="inlineStr">
        <is>
          <t>空けない人がいる</t>
        </is>
      </c>
      <c r="D118">
        <f>IF(INDEX('調整・決定'!$C$6:$H$29,D3,D2)="",0,IF(IFERROR(INDEX('名簿'!$H$5:$H$49,MATCH(INDEX('調整・決定'!$C$6:$H$29,D3,D2),'名簿'!$I$5:$I$49,0)),"")="空けない",1,0))</f>
        <v/>
      </c>
      <c r="E118">
        <f>IF(INDEX('調整・決定'!$C$6:$H$29,E3,E2)="",0,IF(IFERROR(INDEX('名簿'!$H$5:$H$49,MATCH(INDEX('調整・決定'!$C$6:$H$29,E3,E2),'名簿'!$I$5:$I$49,0)),"")="空けない",1,0))</f>
        <v/>
      </c>
      <c r="F118">
        <f>IF(INDEX('調整・決定'!$C$6:$H$29,F3,F2)="",0,IF(IFERROR(INDEX('名簿'!$H$5:$H$49,MATCH(INDEX('調整・決定'!$C$6:$H$29,F3,F2),'名簿'!$I$5:$I$49,0)),"")="空けない",1,0))</f>
        <v/>
      </c>
      <c r="G118">
        <f>IF(INDEX('調整・決定'!$C$6:$H$29,G3,G2)="",0,IF(IFERROR(INDEX('名簿'!$H$5:$H$49,MATCH(INDEX('調整・決定'!$C$6:$H$29,G3,G2),'名簿'!$I$5:$I$49,0)),"")="空けない",1,0))</f>
        <v/>
      </c>
      <c r="H118">
        <f>IF(INDEX('調整・決定'!$C$6:$H$29,H3,H2)="",0,IF(IFERROR(INDEX('名簿'!$H$5:$H$49,MATCH(INDEX('調整・決定'!$C$6:$H$29,H3,H2),'名簿'!$I$5:$I$49,0)),"")="空けない",1,0))</f>
        <v/>
      </c>
      <c r="I118">
        <f>IF(INDEX('調整・決定'!$C$6:$H$29,I3,I2)="",0,IF(IFERROR(INDEX('名簿'!$H$5:$H$49,MATCH(INDEX('調整・決定'!$C$6:$H$29,I3,I2),'名簿'!$I$5:$I$49,0)),"")="空けない",1,0))</f>
        <v/>
      </c>
      <c r="J118">
        <f>IF(INDEX('調整・決定'!$C$6:$H$29,J3,J2)="",0,IF(IFERROR(INDEX('名簿'!$H$5:$H$49,MATCH(INDEX('調整・決定'!$C$6:$H$29,J3,J2),'名簿'!$I$5:$I$49,0)),"")="空けない",1,0))</f>
        <v/>
      </c>
      <c r="K118">
        <f>IF(INDEX('調整・決定'!$C$6:$H$29,K3,K2)="",0,IF(IFERROR(INDEX('名簿'!$H$5:$H$49,MATCH(INDEX('調整・決定'!$C$6:$H$29,K3,K2),'名簿'!$I$5:$I$49,0)),"")="空けない",1,0))</f>
        <v/>
      </c>
      <c r="L118">
        <f>IF(INDEX('調整・決定'!$C$6:$H$29,L3,L2)="",0,IF(IFERROR(INDEX('名簿'!$H$5:$H$49,MATCH(INDEX('調整・決定'!$C$6:$H$29,L3,L2),'名簿'!$I$5:$I$49,0)),"")="空けない",1,0))</f>
        <v/>
      </c>
      <c r="M118">
        <f>IF(INDEX('調整・決定'!$C$6:$H$29,M3,M2)="",0,IF(IFERROR(INDEX('名簿'!$H$5:$H$49,MATCH(INDEX('調整・決定'!$C$6:$H$29,M3,M2),'名簿'!$I$5:$I$49,0)),"")="空けない",1,0))</f>
        <v/>
      </c>
      <c r="N118">
        <f>IF(INDEX('調整・決定'!$C$6:$H$29,N3,N2)="",0,IF(IFERROR(INDEX('名簿'!$H$5:$H$49,MATCH(INDEX('調整・決定'!$C$6:$H$29,N3,N2),'名簿'!$I$5:$I$49,0)),"")="空けない",1,0))</f>
        <v/>
      </c>
      <c r="O118">
        <f>IF(INDEX('調整・決定'!$C$6:$H$29,O3,O2)="",0,IF(IFERROR(INDEX('名簿'!$H$5:$H$49,MATCH(INDEX('調整・決定'!$C$6:$H$29,O3,O2),'名簿'!$I$5:$I$49,0)),"")="空けない",1,0))</f>
        <v/>
      </c>
      <c r="P118">
        <f>IF(INDEX('調整・決定'!$C$6:$H$29,P3,P2)="",0,IF(IFERROR(INDEX('名簿'!$H$5:$H$49,MATCH(INDEX('調整・決定'!$C$6:$H$29,P3,P2),'名簿'!$I$5:$I$49,0)),"")="空けない",1,0))</f>
        <v/>
      </c>
      <c r="Q118">
        <f>IF(INDEX('調整・決定'!$C$6:$H$29,Q3,Q2)="",0,IF(IFERROR(INDEX('名簿'!$H$5:$H$49,MATCH(INDEX('調整・決定'!$C$6:$H$29,Q3,Q2),'名簿'!$I$5:$I$49,0)),"")="空けない",1,0))</f>
        <v/>
      </c>
      <c r="R118">
        <f>IF(INDEX('調整・決定'!$C$6:$H$29,R3,R2)="",0,IF(IFERROR(INDEX('名簿'!$H$5:$H$49,MATCH(INDEX('調整・決定'!$C$6:$H$29,R3,R2),'名簿'!$I$5:$I$49,0)),"")="空けない",1,0))</f>
        <v/>
      </c>
      <c r="S118">
        <f>IF(INDEX('調整・決定'!$C$6:$H$29,S3,S2)="",0,IF(IFERROR(INDEX('名簿'!$H$5:$H$49,MATCH(INDEX('調整・決定'!$C$6:$H$29,S3,S2),'名簿'!$I$5:$I$49,0)),"")="空けない",1,0))</f>
        <v/>
      </c>
      <c r="T118">
        <f>IF(INDEX('調整・決定'!$C$6:$H$29,T3,T2)="",0,IF(IFERROR(INDEX('名簿'!$H$5:$H$49,MATCH(INDEX('調整・決定'!$C$6:$H$29,T3,T2),'名簿'!$I$5:$I$49,0)),"")="空けない",1,0))</f>
        <v/>
      </c>
      <c r="U118">
        <f>IF(INDEX('調整・決定'!$C$6:$H$29,U3,U2)="",0,IF(IFERROR(INDEX('名簿'!$H$5:$H$49,MATCH(INDEX('調整・決定'!$C$6:$H$29,U3,U2),'名簿'!$I$5:$I$49,0)),"")="空けない",1,0))</f>
        <v/>
      </c>
      <c r="V118">
        <f>IF(INDEX('調整・決定'!$C$6:$H$29,V3,V2)="",0,IF(IFERROR(INDEX('名簿'!$H$5:$H$49,MATCH(INDEX('調整・決定'!$C$6:$H$29,V3,V2),'名簿'!$I$5:$I$49,0)),"")="空けない",1,0))</f>
        <v/>
      </c>
      <c r="W118">
        <f>IF(INDEX('調整・決定'!$C$6:$H$29,W3,W2)="",0,IF(IFERROR(INDEX('名簿'!$H$5:$H$49,MATCH(INDEX('調整・決定'!$C$6:$H$29,W3,W2),'名簿'!$I$5:$I$49,0)),"")="空けない",1,0))</f>
        <v/>
      </c>
      <c r="X118">
        <f>IF(INDEX('調整・決定'!$C$6:$H$29,X3,X2)="",0,IF(IFERROR(INDEX('名簿'!$H$5:$H$49,MATCH(INDEX('調整・決定'!$C$6:$H$29,X3,X2),'名簿'!$I$5:$I$49,0)),"")="空けない",1,0))</f>
        <v/>
      </c>
      <c r="Y118">
        <f>IF(INDEX('調整・決定'!$C$6:$H$29,Y3,Y2)="",0,IF(IFERROR(INDEX('名簿'!$H$5:$H$49,MATCH(INDEX('調整・決定'!$C$6:$H$29,Y3,Y2),'名簿'!$I$5:$I$49,0)),"")="空けない",1,0))</f>
        <v/>
      </c>
      <c r="Z118">
        <f>IF(INDEX('調整・決定'!$C$6:$H$29,Z3,Z2)="",0,IF(IFERROR(INDEX('名簿'!$H$5:$H$49,MATCH(INDEX('調整・決定'!$C$6:$H$29,Z3,Z2),'名簿'!$I$5:$I$49,0)),"")="空けない",1,0))</f>
        <v/>
      </c>
      <c r="AA118">
        <f>IF(INDEX('調整・決定'!$C$6:$H$29,AA3,AA2)="",0,IF(IFERROR(INDEX('名簿'!$H$5:$H$49,MATCH(INDEX('調整・決定'!$C$6:$H$29,AA3,AA2),'名簿'!$I$5:$I$49,0)),"")="空けない",1,0))</f>
        <v/>
      </c>
      <c r="AB118">
        <f>IF(INDEX('調整・決定'!$C$6:$H$29,AB3,AB2)="",0,IF(IFERROR(INDEX('名簿'!$H$5:$H$49,MATCH(INDEX('調整・決定'!$C$6:$H$29,AB3,AB2),'名簿'!$I$5:$I$49,0)),"")="空けない",1,0))</f>
        <v/>
      </c>
      <c r="AC118">
        <f>IF(INDEX('調整・決定'!$C$6:$H$29,AC3,AC2)="",0,IF(IFERROR(INDEX('名簿'!$H$5:$H$49,MATCH(INDEX('調整・決定'!$C$6:$H$29,AC3,AC2),'名簿'!$I$5:$I$49,0)),"")="空けない",1,0))</f>
        <v/>
      </c>
      <c r="AD118">
        <f>IF(INDEX('調整・決定'!$C$6:$H$29,AD3,AD2)="",0,IF(IFERROR(INDEX('名簿'!$H$5:$H$49,MATCH(INDEX('調整・決定'!$C$6:$H$29,AD3,AD2),'名簿'!$I$5:$I$49,0)),"")="空けない",1,0))</f>
        <v/>
      </c>
      <c r="AE118">
        <f>IF(INDEX('調整・決定'!$C$6:$H$29,AE3,AE2)="",0,IF(IFERROR(INDEX('名簿'!$H$5:$H$49,MATCH(INDEX('調整・決定'!$C$6:$H$29,AE3,AE2),'名簿'!$I$5:$I$49,0)),"")="空けない",1,0))</f>
        <v/>
      </c>
      <c r="AF118">
        <f>IF(INDEX('調整・決定'!$C$6:$H$29,AF3,AF2)="",0,IF(IFERROR(INDEX('名簿'!$H$5:$H$49,MATCH(INDEX('調整・決定'!$C$6:$H$29,AF3,AF2),'名簿'!$I$5:$I$49,0)),"")="空けない",1,0))</f>
        <v/>
      </c>
      <c r="AG118">
        <f>IF(INDEX('調整・決定'!$C$6:$H$29,AG3,AG2)="",0,IF(IFERROR(INDEX('名簿'!$H$5:$H$49,MATCH(INDEX('調整・決定'!$C$6:$H$29,AG3,AG2),'名簿'!$I$5:$I$49,0)),"")="空けない",1,0))</f>
        <v/>
      </c>
      <c r="AH118">
        <f>IF(INDEX('調整・決定'!$C$6:$H$29,AH3,AH2)="",0,IF(IFERROR(INDEX('名簿'!$H$5:$H$49,MATCH(INDEX('調整・決定'!$C$6:$H$29,AH3,AH2),'名簿'!$I$5:$I$49,0)),"")="空けない",1,0))</f>
        <v/>
      </c>
      <c r="AI118">
        <f>IF(INDEX('調整・決定'!$C$6:$H$29,AI3,AI2)="",0,IF(IFERROR(INDEX('名簿'!$H$5:$H$49,MATCH(INDEX('調整・決定'!$C$6:$H$29,AI3,AI2),'名簿'!$I$5:$I$49,0)),"")="空けない",1,0))</f>
        <v/>
      </c>
      <c r="AJ118">
        <f>IF(INDEX('調整・決定'!$C$6:$H$29,AJ3,AJ2)="",0,IF(IFERROR(INDEX('名簿'!$H$5:$H$49,MATCH(INDEX('調整・決定'!$C$6:$H$29,AJ3,AJ2),'名簿'!$I$5:$I$49,0)),"")="空けない",1,0))</f>
        <v/>
      </c>
      <c r="AK118">
        <f>IF(INDEX('調整・決定'!$C$6:$H$29,AK3,AK2)="",0,IF(IFERROR(INDEX('名簿'!$H$5:$H$49,MATCH(INDEX('調整・決定'!$C$6:$H$29,AK3,AK2),'名簿'!$I$5:$I$49,0)),"")="空けない",1,0))</f>
        <v/>
      </c>
      <c r="AL118">
        <f>IF(INDEX('調整・決定'!$C$6:$H$29,AL3,AL2)="",0,IF(IFERROR(INDEX('名簿'!$H$5:$H$49,MATCH(INDEX('調整・決定'!$C$6:$H$29,AL3,AL2),'名簿'!$I$5:$I$49,0)),"")="空けない",1,0))</f>
        <v/>
      </c>
      <c r="AM118">
        <f>IF(INDEX('調整・決定'!$C$6:$H$29,AM3,AM2)="",0,IF(IFERROR(INDEX('名簿'!$H$5:$H$49,MATCH(INDEX('調整・決定'!$C$6:$H$29,AM3,AM2),'名簿'!$I$5:$I$49,0)),"")="空けない",1,0))</f>
        <v/>
      </c>
      <c r="AN118">
        <f>IF(INDEX('調整・決定'!$C$6:$H$29,AN3,AN2)="",0,IF(IFERROR(INDEX('名簿'!$H$5:$H$49,MATCH(INDEX('調整・決定'!$C$6:$H$29,AN3,AN2),'名簿'!$I$5:$I$49,0)),"")="空けない",1,0))</f>
        <v/>
      </c>
      <c r="AO118">
        <f>IF(INDEX('調整・決定'!$C$6:$H$29,AO3,AO2)="",0,IF(IFERROR(INDEX('名簿'!$H$5:$H$49,MATCH(INDEX('調整・決定'!$C$6:$H$29,AO3,AO2),'名簿'!$I$5:$I$49,0)),"")="空けない",1,0))</f>
        <v/>
      </c>
      <c r="AP118">
        <f>IF(INDEX('調整・決定'!$C$6:$H$29,AP3,AP2)="",0,IF(IFERROR(INDEX('名簿'!$H$5:$H$49,MATCH(INDEX('調整・決定'!$C$6:$H$29,AP3,AP2),'名簿'!$I$5:$I$49,0)),"")="空けない",1,0))</f>
        <v/>
      </c>
      <c r="AQ118">
        <f>IF(INDEX('調整・決定'!$C$6:$H$29,AQ3,AQ2)="",0,IF(IFERROR(INDEX('名簿'!$H$5:$H$49,MATCH(INDEX('調整・決定'!$C$6:$H$29,AQ3,AQ2),'名簿'!$I$5:$I$49,0)),"")="空けない",1,0))</f>
        <v/>
      </c>
      <c r="AR118">
        <f>IF(INDEX('調整・決定'!$C$6:$H$29,AR3,AR2)="",0,IF(IFERROR(INDEX('名簿'!$H$5:$H$49,MATCH(INDEX('調整・決定'!$C$6:$H$29,AR3,AR2),'名簿'!$I$5:$I$49,0)),"")="空けない",1,0))</f>
        <v/>
      </c>
      <c r="AS118">
        <f>IF(INDEX('調整・決定'!$C$6:$H$29,AS3,AS2)="",0,IF(IFERROR(INDEX('名簿'!$H$5:$H$49,MATCH(INDEX('調整・決定'!$C$6:$H$29,AS3,AS2),'名簿'!$I$5:$I$49,0)),"")="空けない",1,0))</f>
        <v/>
      </c>
      <c r="AT118">
        <f>IF(INDEX('調整・決定'!$C$6:$H$29,AT3,AT2)="",0,IF(IFERROR(INDEX('名簿'!$H$5:$H$49,MATCH(INDEX('調整・決定'!$C$6:$H$29,AT3,AT2),'名簿'!$I$5:$I$49,0)),"")="空けない",1,0))</f>
        <v/>
      </c>
      <c r="AU118">
        <f>IF(INDEX('調整・決定'!$C$6:$H$29,AU3,AU2)="",0,IF(IFERROR(INDEX('名簿'!$H$5:$H$49,MATCH(INDEX('調整・決定'!$C$6:$H$29,AU3,AU2),'名簿'!$I$5:$I$49,0)),"")="空けない",1,0))</f>
        <v/>
      </c>
      <c r="AV118">
        <f>IF(INDEX('調整・決定'!$C$6:$H$29,AV3,AV2)="",0,IF(IFERROR(INDEX('名簿'!$H$5:$H$49,MATCH(INDEX('調整・決定'!$C$6:$H$29,AV3,AV2),'名簿'!$I$5:$I$49,0)),"")="空けない",1,0))</f>
        <v/>
      </c>
      <c r="AW118">
        <f>IF(INDEX('調整・決定'!$C$6:$H$29,AW3,AW2)="",0,IF(IFERROR(INDEX('名簿'!$H$5:$H$49,MATCH(INDEX('調整・決定'!$C$6:$H$29,AW3,AW2),'名簿'!$I$5:$I$49,0)),"")="空けない",1,0))</f>
        <v/>
      </c>
      <c r="AX118">
        <f>IF(INDEX('調整・決定'!$C$6:$H$29,AX3,AX2)="",0,IF(IFERROR(INDEX('名簿'!$H$5:$H$49,MATCH(INDEX('調整・決定'!$C$6:$H$29,AX3,AX2),'名簿'!$I$5:$I$49,0)),"")="空けない",1,0))</f>
        <v/>
      </c>
      <c r="AY118">
        <f>IF(INDEX('調整・決定'!$C$6:$H$29,AY3,AY2)="",0,IF(IFERROR(INDEX('名簿'!$H$5:$H$49,MATCH(INDEX('調整・決定'!$C$6:$H$29,AY3,AY2),'名簿'!$I$5:$I$49,0)),"")="空けない",1,0))</f>
        <v/>
      </c>
      <c r="AZ118">
        <f>IF(INDEX('調整・決定'!$C$6:$H$29,AZ3,AZ2)="",0,IF(IFERROR(INDEX('名簿'!$H$5:$H$49,MATCH(INDEX('調整・決定'!$C$6:$H$29,AZ3,AZ2),'名簿'!$I$5:$I$49,0)),"")="空けない",1,0))</f>
        <v/>
      </c>
      <c r="BA118">
        <f>IF(INDEX('調整・決定'!$C$6:$H$29,BA3,BA2)="",0,IF(IFERROR(INDEX('名簿'!$H$5:$H$49,MATCH(INDEX('調整・決定'!$C$6:$H$29,BA3,BA2),'名簿'!$I$5:$I$49,0)),"")="空けない",1,0))</f>
        <v/>
      </c>
      <c r="BB118">
        <f>IF(INDEX('調整・決定'!$C$6:$H$29,BB3,BB2)="",0,IF(IFERROR(INDEX('名簿'!$H$5:$H$49,MATCH(INDEX('調整・決定'!$C$6:$H$29,BB3,BB2),'名簿'!$I$5:$I$49,0)),"")="空けない",1,0))</f>
        <v/>
      </c>
      <c r="BC118">
        <f>IF(INDEX('調整・決定'!$C$6:$H$29,BC3,BC2)="",0,IF(IFERROR(INDEX('名簿'!$H$5:$H$49,MATCH(INDEX('調整・決定'!$C$6:$H$29,BC3,BC2),'名簿'!$I$5:$I$49,0)),"")="空けない",1,0))</f>
        <v/>
      </c>
      <c r="BD118">
        <f>IF(INDEX('調整・決定'!$C$6:$H$29,BD3,BD2)="",0,IF(IFERROR(INDEX('名簿'!$H$5:$H$49,MATCH(INDEX('調整・決定'!$C$6:$H$29,BD3,BD2),'名簿'!$I$5:$I$49,0)),"")="空けない",1,0))</f>
        <v/>
      </c>
      <c r="BE118">
        <f>IF(INDEX('調整・決定'!$C$6:$H$29,BE3,BE2)="",0,IF(IFERROR(INDEX('名簿'!$H$5:$H$49,MATCH(INDEX('調整・決定'!$C$6:$H$29,BE3,BE2),'名簿'!$I$5:$I$49,0)),"")="空けない",1,0))</f>
        <v/>
      </c>
      <c r="BF118">
        <f>IF(INDEX('調整・決定'!$C$6:$H$29,BF3,BF2)="",0,IF(IFERROR(INDEX('名簿'!$H$5:$H$49,MATCH(INDEX('調整・決定'!$C$6:$H$29,BF3,BF2),'名簿'!$I$5:$I$49,0)),"")="空けない",1,0))</f>
        <v/>
      </c>
      <c r="BG118">
        <f>IF(INDEX('調整・決定'!$C$6:$H$29,BG3,BG2)="",0,IF(IFERROR(INDEX('名簿'!$H$5:$H$49,MATCH(INDEX('調整・決定'!$C$6:$H$29,BG3,BG2),'名簿'!$I$5:$I$49,0)),"")="空けない",1,0))</f>
        <v/>
      </c>
      <c r="BH118">
        <f>IF(INDEX('調整・決定'!$C$6:$H$29,BH3,BH2)="",0,IF(IFERROR(INDEX('名簿'!$H$5:$H$49,MATCH(INDEX('調整・決定'!$C$6:$H$29,BH3,BH2),'名簿'!$I$5:$I$49,0)),"")="空けない",1,0))</f>
        <v/>
      </c>
      <c r="BI118">
        <f>IF(INDEX('調整・決定'!$C$6:$H$29,BI3,BI2)="",0,IF(IFERROR(INDEX('名簿'!$H$5:$H$49,MATCH(INDEX('調整・決定'!$C$6:$H$29,BI3,BI2),'名簿'!$I$5:$I$49,0)),"")="空けない",1,0))</f>
        <v/>
      </c>
      <c r="BJ118">
        <f>IF(INDEX('調整・決定'!$C$6:$H$29,BJ3,BJ2)="",0,IF(IFERROR(INDEX('名簿'!$H$5:$H$49,MATCH(INDEX('調整・決定'!$C$6:$H$29,BJ3,BJ2),'名簿'!$I$5:$I$49,0)),"")="空けない",1,0))</f>
        <v/>
      </c>
      <c r="BK118">
        <f>IF(INDEX('調整・決定'!$C$6:$H$29,BK3,BK2)="",0,IF(IFERROR(INDEX('名簿'!$H$5:$H$49,MATCH(INDEX('調整・決定'!$C$6:$H$29,BK3,BK2),'名簿'!$I$5:$I$49,0)),"")="空けない",1,0))</f>
        <v/>
      </c>
      <c r="BL118">
        <f>IF(INDEX('調整・決定'!$C$6:$H$29,BL3,BL2)="",0,IF(IFERROR(INDEX('名簿'!$H$5:$H$49,MATCH(INDEX('調整・決定'!$C$6:$H$29,BL3,BL2),'名簿'!$I$5:$I$49,0)),"")="空けない",1,0))</f>
        <v/>
      </c>
      <c r="BM118">
        <f>IF(INDEX('調整・決定'!$C$6:$H$29,BM3,BM2)="",0,IF(IFERROR(INDEX('名簿'!$H$5:$H$49,MATCH(INDEX('調整・決定'!$C$6:$H$29,BM3,BM2),'名簿'!$I$5:$I$49,0)),"")="空けない",1,0))</f>
        <v/>
      </c>
      <c r="BN118">
        <f>IF(INDEX('調整・決定'!$C$6:$H$29,BN3,BN2)="",0,IF(IFERROR(INDEX('名簿'!$H$5:$H$49,MATCH(INDEX('調整・決定'!$C$6:$H$29,BN3,BN2),'名簿'!$I$5:$I$49,0)),"")="空けない",1,0))</f>
        <v/>
      </c>
      <c r="BO118">
        <f>IF(INDEX('調整・決定'!$C$6:$H$29,BO3,BO2)="",0,IF(IFERROR(INDEX('名簿'!$H$5:$H$49,MATCH(INDEX('調整・決定'!$C$6:$H$29,BO3,BO2),'名簿'!$I$5:$I$49,0)),"")="空けない",1,0))</f>
        <v/>
      </c>
      <c r="BP118">
        <f>IF(INDEX('調整・決定'!$C$6:$H$29,BP3,BP2)="",0,IF(IFERROR(INDEX('名簿'!$H$5:$H$49,MATCH(INDEX('調整・決定'!$C$6:$H$29,BP3,BP2),'名簿'!$I$5:$I$49,0)),"")="空けない",1,0))</f>
        <v/>
      </c>
      <c r="BQ118">
        <f>IF(INDEX('調整・決定'!$C$6:$H$29,BQ3,BQ2)="",0,IF(IFERROR(INDEX('名簿'!$H$5:$H$49,MATCH(INDEX('調整・決定'!$C$6:$H$29,BQ3,BQ2),'名簿'!$I$5:$I$49,0)),"")="空けない",1,0))</f>
        <v/>
      </c>
      <c r="BR118">
        <f>IF(INDEX('調整・決定'!$C$6:$H$29,BR3,BR2)="",0,IF(IFERROR(INDEX('名簿'!$H$5:$H$49,MATCH(INDEX('調整・決定'!$C$6:$H$29,BR3,BR2),'名簿'!$I$5:$I$49,0)),"")="空けない",1,0))</f>
        <v/>
      </c>
      <c r="BS118">
        <f>IF(INDEX('調整・決定'!$C$6:$H$29,BS3,BS2)="",0,IF(IFERROR(INDEX('名簿'!$H$5:$H$49,MATCH(INDEX('調整・決定'!$C$6:$H$29,BS3,BS2),'名簿'!$I$5:$I$49,0)),"")="空けない",1,0))</f>
        <v/>
      </c>
      <c r="BT118">
        <f>IF(INDEX('調整・決定'!$C$6:$H$29,BT3,BT2)="",0,IF(IFERROR(INDEX('名簿'!$H$5:$H$49,MATCH(INDEX('調整・決定'!$C$6:$H$29,BT3,BT2),'名簿'!$I$5:$I$49,0)),"")="空けない",1,0))</f>
        <v/>
      </c>
      <c r="BU118">
        <f>IF(INDEX('調整・決定'!$C$6:$H$29,BU3,BU2)="",0,IF(IFERROR(INDEX('名簿'!$H$5:$H$49,MATCH(INDEX('調整・決定'!$C$6:$H$29,BU3,BU2),'名簿'!$I$5:$I$49,0)),"")="空けない",1,0))</f>
        <v/>
      </c>
      <c r="BV118">
        <f>IF(INDEX('調整・決定'!$C$6:$H$29,BV3,BV2)="",0,IF(IFERROR(INDEX('名簿'!$H$5:$H$49,MATCH(INDEX('調整・決定'!$C$6:$H$29,BV3,BV2),'名簿'!$I$5:$I$49,0)),"")="空けない",1,0))</f>
        <v/>
      </c>
      <c r="BW118">
        <f>IF(INDEX('調整・決定'!$C$6:$H$29,BW3,BW2)="",0,IF(IFERROR(INDEX('名簿'!$H$5:$H$49,MATCH(INDEX('調整・決定'!$C$6:$H$29,BW3,BW2),'名簿'!$I$5:$I$49,0)),"")="空けない",1,0))</f>
        <v/>
      </c>
      <c r="BX118">
        <f>IF(INDEX('調整・決定'!$C$6:$H$29,BX3,BX2)="",0,IF(IFERROR(INDEX('名簿'!$H$5:$H$49,MATCH(INDEX('調整・決定'!$C$6:$H$29,BX3,BX2),'名簿'!$I$5:$I$49,0)),"")="空けない",1,0))</f>
        <v/>
      </c>
      <c r="BY118">
        <f>IF(INDEX('調整・決定'!$C$6:$H$29,BY3,BY2)="",0,IF(IFERROR(INDEX('名簿'!$H$5:$H$49,MATCH(INDEX('調整・決定'!$C$6:$H$29,BY3,BY2),'名簿'!$I$5:$I$49,0)),"")="空けない",1,0))</f>
        <v/>
      </c>
      <c r="BZ118">
        <f>IF(INDEX('調整・決定'!$C$6:$H$29,BZ3,BZ2)="",0,IF(IFERROR(INDEX('名簿'!$H$5:$H$49,MATCH(INDEX('調整・決定'!$C$6:$H$29,BZ3,BZ2),'名簿'!$I$5:$I$49,0)),"")="空けない",1,0))</f>
        <v/>
      </c>
      <c r="CA118">
        <f>IF(INDEX('調整・決定'!$C$6:$H$29,CA3,CA2)="",0,IF(IFERROR(INDEX('名簿'!$H$5:$H$49,MATCH(INDEX('調整・決定'!$C$6:$H$29,CA3,CA2),'名簿'!$I$5:$I$49,0)),"")="空けない",1,0))</f>
        <v/>
      </c>
      <c r="CB118">
        <f>IF(INDEX('調整・決定'!$C$6:$H$29,CB3,CB2)="",0,IF(IFERROR(INDEX('名簿'!$H$5:$H$49,MATCH(INDEX('調整・決定'!$C$6:$H$29,CB3,CB2),'名簿'!$I$5:$I$49,0)),"")="空けない",1,0))</f>
        <v/>
      </c>
      <c r="CC118">
        <f>IF(INDEX('調整・決定'!$C$6:$H$29,CC3,CC2)="",0,IF(IFERROR(INDEX('名簿'!$H$5:$H$49,MATCH(INDEX('調整・決定'!$C$6:$H$29,CC3,CC2),'名簿'!$I$5:$I$49,0)),"")="空けない",1,0))</f>
        <v/>
      </c>
      <c r="CD118">
        <f>IF(INDEX('調整・決定'!$C$6:$H$29,CD3,CD2)="",0,IF(IFERROR(INDEX('名簿'!$H$5:$H$49,MATCH(INDEX('調整・決定'!$C$6:$H$29,CD3,CD2),'名簿'!$I$5:$I$49,0)),"")="空けない",1,0))</f>
        <v/>
      </c>
      <c r="CE118">
        <f>IF(INDEX('調整・決定'!$C$6:$H$29,CE3,CE2)="",0,IF(IFERROR(INDEX('名簿'!$H$5:$H$49,MATCH(INDEX('調整・決定'!$C$6:$H$29,CE3,CE2),'名簿'!$I$5:$I$49,0)),"")="空けない",1,0))</f>
        <v/>
      </c>
      <c r="CF118">
        <f>IF(INDEX('調整・決定'!$C$6:$H$29,CF3,CF2)="",0,IF(IFERROR(INDEX('名簿'!$H$5:$H$49,MATCH(INDEX('調整・決定'!$C$6:$H$29,CF3,CF2),'名簿'!$I$5:$I$49,0)),"")="空けない",1,0))</f>
        <v/>
      </c>
      <c r="CG118">
        <f>IF(INDEX('調整・決定'!$C$6:$H$29,CG3,CG2)="",0,IF(IFERROR(INDEX('名簿'!$H$5:$H$49,MATCH(INDEX('調整・決定'!$C$6:$H$29,CG3,CG2),'名簿'!$I$5:$I$49,0)),"")="空けない",1,0))</f>
        <v/>
      </c>
      <c r="CH118">
        <f>IF(INDEX('調整・決定'!$C$6:$H$29,CH3,CH2)="",0,IF(IFERROR(INDEX('名簿'!$H$5:$H$49,MATCH(INDEX('調整・決定'!$C$6:$H$29,CH3,CH2),'名簿'!$I$5:$I$49,0)),"")="空けない",1,0))</f>
        <v/>
      </c>
      <c r="CI118">
        <f>IF(INDEX('調整・決定'!$C$6:$H$29,CI3,CI2)="",0,IF(IFERROR(INDEX('名簿'!$H$5:$H$49,MATCH(INDEX('調整・決定'!$C$6:$H$29,CI3,CI2),'名簿'!$I$5:$I$49,0)),"")="空けない",1,0))</f>
        <v/>
      </c>
      <c r="CJ118">
        <f>IF(INDEX('調整・決定'!$C$6:$H$29,CJ3,CJ2)="",0,IF(IFERROR(INDEX('名簿'!$H$5:$H$49,MATCH(INDEX('調整・決定'!$C$6:$H$29,CJ3,CJ2),'名簿'!$I$5:$I$49,0)),"")="空けない",1,0))</f>
        <v/>
      </c>
      <c r="CK118">
        <f>IF(INDEX('調整・決定'!$C$6:$H$29,CK3,CK2)="",0,IF(IFERROR(INDEX('名簿'!$H$5:$H$49,MATCH(INDEX('調整・決定'!$C$6:$H$29,CK3,CK2),'名簿'!$I$5:$I$49,0)),"")="空けない",1,0))</f>
        <v/>
      </c>
      <c r="CL118">
        <f>IF(INDEX('調整・決定'!$C$6:$H$29,CL3,CL2)="",0,IF(IFERROR(INDEX('名簿'!$H$5:$H$49,MATCH(INDEX('調整・決定'!$C$6:$H$29,CL3,CL2),'名簿'!$I$5:$I$49,0)),"")="空けない",1,0))</f>
        <v/>
      </c>
      <c r="CM118">
        <f>IF(INDEX('調整・決定'!$C$6:$H$29,CM3,CM2)="",0,IF(IFERROR(INDEX('名簿'!$H$5:$H$49,MATCH(INDEX('調整・決定'!$C$6:$H$29,CM3,CM2),'名簿'!$I$5:$I$49,0)),"")="空けない",1,0))</f>
        <v/>
      </c>
      <c r="CN118">
        <f>IF(INDEX('調整・決定'!$C$6:$H$29,CN3,CN2)="",0,IF(IFERROR(INDEX('名簿'!$H$5:$H$49,MATCH(INDEX('調整・決定'!$C$6:$H$29,CN3,CN2),'名簿'!$I$5:$I$49,0)),"")="空けない",1,0))</f>
        <v/>
      </c>
      <c r="CO118">
        <f>IF(INDEX('調整・決定'!$C$6:$H$29,CO3,CO2)="",0,IF(IFERROR(INDEX('名簿'!$H$5:$H$49,MATCH(INDEX('調整・決定'!$C$6:$H$29,CO3,CO2),'名簿'!$I$5:$I$49,0)),"")="空けない",1,0))</f>
        <v/>
      </c>
      <c r="CP118">
        <f>IF(INDEX('調整・決定'!$C$6:$H$29,CP3,CP2)="",0,IF(IFERROR(INDEX('名簿'!$H$5:$H$49,MATCH(INDEX('調整・決定'!$C$6:$H$29,CP3,CP2),'名簿'!$I$5:$I$49,0)),"")="空けない",1,0))</f>
        <v/>
      </c>
      <c r="CQ118">
        <f>IF(INDEX('調整・決定'!$C$6:$H$29,CQ3,CQ2)="",0,IF(IFERROR(INDEX('名簿'!$H$5:$H$49,MATCH(INDEX('調整・決定'!$C$6:$H$29,CQ3,CQ2),'名簿'!$I$5:$I$49,0)),"")="空けない",1,0))</f>
        <v/>
      </c>
      <c r="CR118">
        <f>IF(INDEX('調整・決定'!$C$6:$H$29,CR3,CR2)="",0,IF(IFERROR(INDEX('名簿'!$H$5:$H$49,MATCH(INDEX('調整・決定'!$C$6:$H$29,CR3,CR2),'名簿'!$I$5:$I$49,0)),"")="空けない",1,0))</f>
        <v/>
      </c>
      <c r="CS118">
        <f>IF(INDEX('調整・決定'!$C$6:$H$29,CS3,CS2)="",0,IF(IFERROR(INDEX('名簿'!$H$5:$H$49,MATCH(INDEX('調整・決定'!$C$6:$H$29,CS3,CS2),'名簿'!$I$5:$I$49,0)),"")="空けない",1,0))</f>
        <v/>
      </c>
      <c r="CT118">
        <f>IF(INDEX('調整・決定'!$C$6:$H$29,CT3,CT2)="",0,IF(IFERROR(INDEX('名簿'!$H$5:$H$49,MATCH(INDEX('調整・決定'!$C$6:$H$29,CT3,CT2),'名簿'!$I$5:$I$49,0)),"")="空けない",1,0))</f>
        <v/>
      </c>
      <c r="CU118">
        <f>IF(INDEX('調整・決定'!$C$6:$H$29,CU3,CU2)="",0,IF(IFERROR(INDEX('名簿'!$H$5:$H$49,MATCH(INDEX('調整・決定'!$C$6:$H$29,CU3,CU2),'名簿'!$I$5:$I$49,0)),"")="空けない",1,0))</f>
        <v/>
      </c>
      <c r="CV118">
        <f>IF(INDEX('調整・決定'!$C$6:$H$29,CV3,CV2)="",0,IF(IFERROR(INDEX('名簿'!$H$5:$H$49,MATCH(INDEX('調整・決定'!$C$6:$H$29,CV3,CV2),'名簿'!$I$5:$I$49,0)),"")="空けない",1,0))</f>
        <v/>
      </c>
      <c r="CW118">
        <f>IF(INDEX('調整・決定'!$C$6:$H$29,CW3,CW2)="",0,IF(IFERROR(INDEX('名簿'!$H$5:$H$49,MATCH(INDEX('調整・決定'!$C$6:$H$29,CW3,CW2),'名簿'!$I$5:$I$49,0)),"")="空けない",1,0))</f>
        <v/>
      </c>
      <c r="CX118">
        <f>IF(INDEX('調整・決定'!$C$6:$H$29,CX3,CX2)="",0,IF(IFERROR(INDEX('名簿'!$H$5:$H$49,MATCH(INDEX('調整・決定'!$C$6:$H$29,CX3,CX2),'名簿'!$I$5:$I$49,0)),"")="空けない",1,0))</f>
        <v/>
      </c>
      <c r="CY118">
        <f>IF(INDEX('調整・決定'!$C$6:$H$29,CY3,CY2)="",0,IF(IFERROR(INDEX('名簿'!$H$5:$H$49,MATCH(INDEX('調整・決定'!$C$6:$H$29,CY3,CY2),'名簿'!$I$5:$I$49,0)),"")="空けない",1,0))</f>
        <v/>
      </c>
      <c r="CZ118">
        <f>IF(INDEX('調整・決定'!$C$6:$H$29,CZ3,CZ2)="",0,IF(IFERROR(INDEX('名簿'!$H$5:$H$49,MATCH(INDEX('調整・決定'!$C$6:$H$29,CZ3,CZ2),'名簿'!$I$5:$I$49,0)),"")="空けない",1,0))</f>
        <v/>
      </c>
      <c r="DA118">
        <f>IF(INDEX('調整・決定'!$C$6:$H$29,DA3,DA2)="",0,IF(IFERROR(INDEX('名簿'!$H$5:$H$49,MATCH(INDEX('調整・決定'!$C$6:$H$29,DA3,DA2),'名簿'!$I$5:$I$49,0)),"")="空けない",1,0))</f>
        <v/>
      </c>
      <c r="DB118">
        <f>IF(INDEX('調整・決定'!$C$6:$H$29,DB3,DB2)="",0,IF(IFERROR(INDEX('名簿'!$H$5:$H$49,MATCH(INDEX('調整・決定'!$C$6:$H$29,DB3,DB2),'名簿'!$I$5:$I$49,0)),"")="空けない",1,0))</f>
        <v/>
      </c>
      <c r="DC118">
        <f>IF(INDEX('調整・決定'!$C$6:$H$29,DC3,DC2)="",0,IF(IFERROR(INDEX('名簿'!$H$5:$H$49,MATCH(INDEX('調整・決定'!$C$6:$H$29,DC3,DC2),'名簿'!$I$5:$I$49,0)),"")="空けない",1,0))</f>
        <v/>
      </c>
      <c r="DD118">
        <f>IF(INDEX('調整・決定'!$C$6:$H$29,DD3,DD2)="",0,IF(IFERROR(INDEX('名簿'!$H$5:$H$49,MATCH(INDEX('調整・決定'!$C$6:$H$29,DD3,DD2),'名簿'!$I$5:$I$49,0)),"")="空けない",1,0))</f>
        <v/>
      </c>
      <c r="DE118">
        <f>IF(INDEX('調整・決定'!$C$6:$H$29,DE3,DE2)="",0,IF(IFERROR(INDEX('名簿'!$H$5:$H$49,MATCH(INDEX('調整・決定'!$C$6:$H$29,DE3,DE2),'名簿'!$I$5:$I$49,0)),"")="空けない",1,0))</f>
        <v/>
      </c>
      <c r="DF118">
        <f>IF(INDEX('調整・決定'!$C$6:$H$29,DF3,DF2)="",0,IF(IFERROR(INDEX('名簿'!$H$5:$H$49,MATCH(INDEX('調整・決定'!$C$6:$H$29,DF3,DF2),'名簿'!$I$5:$I$49,0)),"")="空けない",1,0))</f>
        <v/>
      </c>
      <c r="DG118">
        <f>IF(INDEX('調整・決定'!$C$6:$H$29,DG3,DG2)="",0,IF(IFERROR(INDEX('名簿'!$H$5:$H$49,MATCH(INDEX('調整・決定'!$C$6:$H$29,DG3,DG2),'名簿'!$I$5:$I$49,0)),"")="空けない",1,0))</f>
        <v/>
      </c>
      <c r="DH118">
        <f>IF(INDEX('調整・決定'!$C$6:$H$29,DH3,DH2)="",0,IF(IFERROR(INDEX('名簿'!$H$5:$H$49,MATCH(INDEX('調整・決定'!$C$6:$H$29,DH3,DH2),'名簿'!$I$5:$I$49,0)),"")="空けない",1,0))</f>
        <v/>
      </c>
      <c r="DI118">
        <f>IF(INDEX('調整・決定'!$C$6:$H$29,DI3,DI2)="",0,IF(IFERROR(INDEX('名簿'!$H$5:$H$49,MATCH(INDEX('調整・決定'!$C$6:$H$29,DI3,DI2),'名簿'!$I$5:$I$49,0)),"")="空けない",1,0))</f>
        <v/>
      </c>
      <c r="DJ118">
        <f>IF(INDEX('調整・決定'!$C$6:$H$29,DJ3,DJ2)="",0,IF(IFERROR(INDEX('名簿'!$H$5:$H$49,MATCH(INDEX('調整・決定'!$C$6:$H$29,DJ3,DJ2),'名簿'!$I$5:$I$49,0)),"")="空けない",1,0))</f>
        <v/>
      </c>
      <c r="DK118">
        <f>IF(INDEX('調整・決定'!$C$6:$H$29,DK3,DK2)="",0,IF(IFERROR(INDEX('名簿'!$H$5:$H$49,MATCH(INDEX('調整・決定'!$C$6:$H$29,DK3,DK2),'名簿'!$I$5:$I$49,0)),"")="空けない",1,0))</f>
        <v/>
      </c>
      <c r="DL118">
        <f>IF(INDEX('調整・決定'!$C$6:$H$29,DL3,DL2)="",0,IF(IFERROR(INDEX('名簿'!$H$5:$H$49,MATCH(INDEX('調整・決定'!$C$6:$H$29,DL3,DL2),'名簿'!$I$5:$I$49,0)),"")="空けない",1,0))</f>
        <v/>
      </c>
      <c r="DM118">
        <f>IF(INDEX('調整・決定'!$C$6:$H$29,DM3,DM2)="",0,IF(IFERROR(INDEX('名簿'!$H$5:$H$49,MATCH(INDEX('調整・決定'!$C$6:$H$29,DM3,DM2),'名簿'!$I$5:$I$49,0)),"")="空けない",1,0))</f>
        <v/>
      </c>
      <c r="DN118">
        <f>IF(INDEX('調整・決定'!$C$6:$H$29,DN3,DN2)="",0,IF(IFERROR(INDEX('名簿'!$H$5:$H$49,MATCH(INDEX('調整・決定'!$C$6:$H$29,DN3,DN2),'名簿'!$I$5:$I$49,0)),"")="空けない",1,0))</f>
        <v/>
      </c>
      <c r="DO118">
        <f>IF(INDEX('調整・決定'!$C$6:$H$29,DO3,DO2)="",0,IF(IFERROR(INDEX('名簿'!$H$5:$H$49,MATCH(INDEX('調整・決定'!$C$6:$H$29,DO3,DO2),'名簿'!$I$5:$I$49,0)),"")="空けない",1,0))</f>
        <v/>
      </c>
      <c r="DP118">
        <f>IF(INDEX('調整・決定'!$C$6:$H$29,DP3,DP2)="",0,IF(IFERROR(INDEX('名簿'!$H$5:$H$49,MATCH(INDEX('調整・決定'!$C$6:$H$29,DP3,DP2),'名簿'!$I$5:$I$49,0)),"")="空けない",1,0))</f>
        <v/>
      </c>
      <c r="DQ118">
        <f>IF(INDEX('調整・決定'!$C$6:$H$29,DQ3,DQ2)="",0,IF(IFERROR(INDEX('名簿'!$H$5:$H$49,MATCH(INDEX('調整・決定'!$C$6:$H$29,DQ3,DQ2),'名簿'!$I$5:$I$49,0)),"")="空けない",1,0))</f>
        <v/>
      </c>
      <c r="DR118">
        <f>IF(INDEX('調整・決定'!$C$6:$H$29,DR3,DR2)="",0,IF(IFERROR(INDEX('名簿'!$H$5:$H$49,MATCH(INDEX('調整・決定'!$C$6:$H$29,DR3,DR2),'名簿'!$I$5:$I$49,0)),"")="空けない",1,0))</f>
        <v/>
      </c>
      <c r="DS118">
        <f>IF(INDEX('調整・決定'!$C$6:$H$29,DS3,DS2)="",0,IF(IFERROR(INDEX('名簿'!$H$5:$H$49,MATCH(INDEX('調整・決定'!$C$6:$H$29,DS3,DS2),'名簿'!$I$5:$I$49,0)),"")="空けない",1,0))</f>
        <v/>
      </c>
      <c r="DT118">
        <f>IF(INDEX('調整・決定'!$C$6:$H$29,DT3,DT2)="",0,IF(IFERROR(INDEX('名簿'!$H$5:$H$49,MATCH(INDEX('調整・決定'!$C$6:$H$29,DT3,DT2),'名簿'!$I$5:$I$49,0)),"")="空けない",1,0))</f>
        <v/>
      </c>
      <c r="DU118">
        <f>IF(INDEX('調整・決定'!$C$6:$H$29,DU3,DU2)="",0,IF(IFERROR(INDEX('名簿'!$H$5:$H$49,MATCH(INDEX('調整・決定'!$C$6:$H$29,DU3,DU2),'名簿'!$I$5:$I$49,0)),"")="空けない",1,0))</f>
        <v/>
      </c>
      <c r="DV118">
        <f>IF(INDEX('調整・決定'!$C$6:$H$29,DV3,DV2)="",0,IF(IFERROR(INDEX('名簿'!$H$5:$H$49,MATCH(INDEX('調整・決定'!$C$6:$H$29,DV3,DV2),'名簿'!$I$5:$I$49,0)),"")="空けない",1,0))</f>
        <v/>
      </c>
      <c r="DW118">
        <f>IF(INDEX('調整・決定'!$C$6:$H$29,DW3,DW2)="",0,IF(IFERROR(INDEX('名簿'!$H$5:$H$49,MATCH(INDEX('調整・決定'!$C$6:$H$29,DW3,DW2),'名簿'!$I$5:$I$49,0)),"")="空けない",1,0))</f>
        <v/>
      </c>
      <c r="DX118">
        <f>IF(INDEX('調整・決定'!$C$6:$H$29,DX3,DX2)="",0,IF(IFERROR(INDEX('名簿'!$H$5:$H$49,MATCH(INDEX('調整・決定'!$C$6:$H$29,DX3,DX2),'名簿'!$I$5:$I$49,0)),"")="空けない",1,0))</f>
        <v/>
      </c>
      <c r="DY118">
        <f>IF(INDEX('調整・決定'!$C$6:$H$29,DY3,DY2)="",0,IF(IFERROR(INDEX('名簿'!$H$5:$H$49,MATCH(INDEX('調整・決定'!$C$6:$H$29,DY3,DY2),'名簿'!$I$5:$I$49,0)),"")="空けない",1,0))</f>
        <v/>
      </c>
      <c r="DZ118">
        <f>IF(INDEX('調整・決定'!$C$6:$H$29,DZ3,DZ2)="",0,IF(IFERROR(INDEX('名簿'!$H$5:$H$49,MATCH(INDEX('調整・決定'!$C$6:$H$29,DZ3,DZ2),'名簿'!$I$5:$I$49,0)),"")="空けない",1,0))</f>
        <v/>
      </c>
      <c r="EA118">
        <f>IF(INDEX('調整・決定'!$C$6:$H$29,EA3,EA2)="",0,IF(IFERROR(INDEX('名簿'!$H$5:$H$49,MATCH(INDEX('調整・決定'!$C$6:$H$29,EA3,EA2),'名簿'!$I$5:$I$49,0)),"")="空けない",1,0))</f>
        <v/>
      </c>
      <c r="EB118">
        <f>IF(INDEX('調整・決定'!$C$6:$H$29,EB3,EB2)="",0,IF(IFERROR(INDEX('名簿'!$H$5:$H$49,MATCH(INDEX('調整・決定'!$C$6:$H$29,EB3,EB2),'名簿'!$I$5:$I$49,0)),"")="空けない",1,0))</f>
        <v/>
      </c>
      <c r="EC118">
        <f>IF(INDEX('調整・決定'!$C$6:$H$29,EC3,EC2)="",0,IF(IFERROR(INDEX('名簿'!$H$5:$H$49,MATCH(INDEX('調整・決定'!$C$6:$H$29,EC3,EC2),'名簿'!$I$5:$I$49,0)),"")="空けない",1,0))</f>
        <v/>
      </c>
      <c r="ED118">
        <f>IF(INDEX('調整・決定'!$C$6:$H$29,ED3,ED2)="",0,IF(IFERROR(INDEX('名簿'!$H$5:$H$49,MATCH(INDEX('調整・決定'!$C$6:$H$29,ED3,ED2),'名簿'!$I$5:$I$49,0)),"")="空けない",1,0))</f>
        <v/>
      </c>
      <c r="EE118">
        <f>IF(INDEX('調整・決定'!$C$6:$H$29,EE3,EE2)="",0,IF(IFERROR(INDEX('名簿'!$H$5:$H$49,MATCH(INDEX('調整・決定'!$C$6:$H$29,EE3,EE2),'名簿'!$I$5:$I$49,0)),"")="空けない",1,0))</f>
        <v/>
      </c>
      <c r="EF118">
        <f>IF(INDEX('調整・決定'!$C$6:$H$29,EF3,EF2)="",0,IF(IFERROR(INDEX('名簿'!$H$5:$H$49,MATCH(INDEX('調整・決定'!$C$6:$H$29,EF3,EF2),'名簿'!$I$5:$I$49,0)),"")="空けない",1,0))</f>
        <v/>
      </c>
      <c r="EG118">
        <f>IF(INDEX('調整・決定'!$C$6:$H$29,EG3,EG2)="",0,IF(IFERROR(INDEX('名簿'!$H$5:$H$49,MATCH(INDEX('調整・決定'!$C$6:$H$29,EG3,EG2),'名簿'!$I$5:$I$49,0)),"")="空けない",1,0))</f>
        <v/>
      </c>
      <c r="EH118">
        <f>IF(INDEX('調整・決定'!$C$6:$H$29,EH3,EH2)="",0,IF(IFERROR(INDEX('名簿'!$H$5:$H$49,MATCH(INDEX('調整・決定'!$C$6:$H$29,EH3,EH2),'名簿'!$I$5:$I$49,0)),"")="空けない",1,0))</f>
        <v/>
      </c>
      <c r="EI118">
        <f>IF(INDEX('調整・決定'!$C$6:$H$29,EI3,EI2)="",0,IF(IFERROR(INDEX('名簿'!$H$5:$H$49,MATCH(INDEX('調整・決定'!$C$6:$H$29,EI3,EI2),'名簿'!$I$5:$I$49,0)),"")="空けない",1,0))</f>
        <v/>
      </c>
      <c r="EJ118">
        <f>IF(INDEX('調整・決定'!$C$6:$H$29,EJ3,EJ2)="",0,IF(IFERROR(INDEX('名簿'!$H$5:$H$49,MATCH(INDEX('調整・決定'!$C$6:$H$29,EJ3,EJ2),'名簿'!$I$5:$I$49,0)),"")="空けない",1,0))</f>
        <v/>
      </c>
      <c r="EK118">
        <f>IF(INDEX('調整・決定'!$C$6:$H$29,EK3,EK2)="",0,IF(IFERROR(INDEX('名簿'!$H$5:$H$49,MATCH(INDEX('調整・決定'!$C$6:$H$29,EK3,EK2),'名簿'!$I$5:$I$49,0)),"")="空けない",1,0))</f>
        <v/>
      </c>
      <c r="EL118">
        <f>IF(INDEX('調整・決定'!$C$6:$H$29,EL3,EL2)="",0,IF(IFERROR(INDEX('名簿'!$H$5:$H$49,MATCH(INDEX('調整・決定'!$C$6:$H$29,EL3,EL2),'名簿'!$I$5:$I$49,0)),"")="空けない",1,0))</f>
        <v/>
      </c>
      <c r="EM118">
        <f>IF(INDEX('調整・決定'!$C$6:$H$29,EM3,EM2)="",0,IF(IFERROR(INDEX('名簿'!$H$5:$H$49,MATCH(INDEX('調整・決定'!$C$6:$H$29,EM3,EM2),'名簿'!$I$5:$I$49,0)),"")="空けない",1,0))</f>
        <v/>
      </c>
      <c r="EN118">
        <f>IF(INDEX('調整・決定'!$C$6:$H$29,EN3,EN2)="",0,IF(IFERROR(INDEX('名簿'!$H$5:$H$49,MATCH(INDEX('調整・決定'!$C$6:$H$29,EN3,EN2),'名簿'!$I$5:$I$49,0)),"")="空けない",1,0))</f>
        <v/>
      </c>
      <c r="EO118">
        <f>IF(INDEX('調整・決定'!$C$6:$H$29,EO3,EO2)="",0,IF(IFERROR(INDEX('名簿'!$H$5:$H$49,MATCH(INDEX('調整・決定'!$C$6:$H$29,EO3,EO2),'名簿'!$I$5:$I$49,0)),"")="空けない",1,0))</f>
        <v/>
      </c>
      <c r="EP118">
        <f>IF(INDEX('調整・決定'!$C$6:$H$29,EP3,EP2)="",0,IF(IFERROR(INDEX('名簿'!$H$5:$H$49,MATCH(INDEX('調整・決定'!$C$6:$H$29,EP3,EP2),'名簿'!$I$5:$I$49,0)),"")="空けない",1,0))</f>
        <v/>
      </c>
      <c r="EQ118">
        <f>IF(INDEX('調整・決定'!$C$6:$H$29,EQ3,EQ2)="",0,IF(IFERROR(INDEX('名簿'!$H$5:$H$49,MATCH(INDEX('調整・決定'!$C$6:$H$29,EQ3,EQ2),'名簿'!$I$5:$I$49,0)),"")="空けない",1,0))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O47"/>
  <sheetViews>
    <sheetView showGridLines="0" workbookViewId="0">
      <selection activeCell="A1" sqref="A1"/>
    </sheetView>
  </sheetViews>
  <sheetFormatPr baseColWidth="8" defaultRowHeight="15"/>
  <sheetData>
    <row r="1">
      <c r="A1" s="69" t="inlineStr">
        <is>
          <t>計算用（さわらないでください）</t>
        </is>
      </c>
      <c r="N1" t="inlineStr">
        <is>
          <t>済</t>
        </is>
      </c>
      <c r="BH1" t="inlineStr">
        <is>
          <t>点数（入れられる枠の数）</t>
        </is>
      </c>
      <c r="DB1" t="inlineStr">
        <is>
          <t>空き</t>
        </is>
      </c>
      <c r="IQ1" t="inlineStr">
        <is>
          <t>次の枠が空いている</t>
        </is>
      </c>
      <c r="OF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inlineStr">
        <is>
          <t>空けない</t>
        </is>
      </c>
      <c r="N2" t="n">
        <v>1</v>
      </c>
      <c r="O2" t="n">
        <v>2</v>
      </c>
      <c r="P2" t="n">
        <v>3</v>
      </c>
      <c r="Q2" t="n">
        <v>4</v>
      </c>
      <c r="R2" t="n">
        <v>5</v>
      </c>
      <c r="S2" t="n">
        <v>6</v>
      </c>
      <c r="T2" t="n">
        <v>7</v>
      </c>
      <c r="U2" t="n">
        <v>8</v>
      </c>
      <c r="V2" t="n">
        <v>9</v>
      </c>
      <c r="W2" t="n">
        <v>10</v>
      </c>
      <c r="X2" t="n">
        <v>11</v>
      </c>
      <c r="Y2" t="n">
        <v>12</v>
      </c>
      <c r="Z2" t="n">
        <v>13</v>
      </c>
      <c r="AA2" t="n">
        <v>14</v>
      </c>
      <c r="AB2" t="n">
        <v>15</v>
      </c>
      <c r="AC2" t="n">
        <v>16</v>
      </c>
      <c r="AD2" t="n">
        <v>17</v>
      </c>
      <c r="AE2" t="n">
        <v>18</v>
      </c>
      <c r="AF2" t="n">
        <v>19</v>
      </c>
      <c r="AG2" t="n">
        <v>20</v>
      </c>
      <c r="AH2" t="n">
        <v>21</v>
      </c>
      <c r="AI2" t="n">
        <v>22</v>
      </c>
      <c r="AJ2" t="n">
        <v>23</v>
      </c>
      <c r="AK2" t="n">
        <v>24</v>
      </c>
      <c r="AL2" t="n">
        <v>25</v>
      </c>
      <c r="AM2" t="n">
        <v>26</v>
      </c>
      <c r="AN2" t="n">
        <v>27</v>
      </c>
      <c r="AO2" t="n">
        <v>28</v>
      </c>
      <c r="AP2" t="n">
        <v>29</v>
      </c>
      <c r="AQ2" t="n">
        <v>30</v>
      </c>
      <c r="AR2" t="n">
        <v>31</v>
      </c>
      <c r="AS2" t="n">
        <v>32</v>
      </c>
      <c r="AT2" t="n">
        <v>33</v>
      </c>
      <c r="AU2" t="n">
        <v>34</v>
      </c>
      <c r="AV2" t="n">
        <v>35</v>
      </c>
      <c r="AW2" t="n">
        <v>36</v>
      </c>
      <c r="AX2" t="n">
        <v>37</v>
      </c>
      <c r="AY2" t="n">
        <v>38</v>
      </c>
      <c r="AZ2" t="n">
        <v>39</v>
      </c>
      <c r="BA2" t="n">
        <v>40</v>
      </c>
      <c r="BB2" t="n">
        <v>41</v>
      </c>
      <c r="BC2" t="n">
        <v>42</v>
      </c>
      <c r="BD2" t="n">
        <v>43</v>
      </c>
      <c r="BE2" t="n">
        <v>44</v>
      </c>
      <c r="BF2" t="n">
        <v>45</v>
      </c>
      <c r="BH2" t="n">
        <v>1</v>
      </c>
      <c r="BI2" t="n">
        <v>2</v>
      </c>
      <c r="BJ2" t="n">
        <v>3</v>
      </c>
      <c r="BK2" t="n">
        <v>4</v>
      </c>
      <c r="BL2" t="n">
        <v>5</v>
      </c>
      <c r="BM2" t="n">
        <v>6</v>
      </c>
      <c r="BN2" t="n">
        <v>7</v>
      </c>
      <c r="BO2" t="n">
        <v>8</v>
      </c>
      <c r="BP2" t="n">
        <v>9</v>
      </c>
      <c r="BQ2" t="n">
        <v>10</v>
      </c>
      <c r="BR2" t="n">
        <v>11</v>
      </c>
      <c r="BS2" t="n">
        <v>12</v>
      </c>
      <c r="BT2" t="n">
        <v>13</v>
      </c>
      <c r="BU2" t="n">
        <v>14</v>
      </c>
      <c r="BV2" t="n">
        <v>15</v>
      </c>
      <c r="BW2" t="n">
        <v>16</v>
      </c>
      <c r="BX2" t="n">
        <v>17</v>
      </c>
      <c r="BY2" t="n">
        <v>18</v>
      </c>
      <c r="BZ2" t="n">
        <v>19</v>
      </c>
      <c r="CA2" t="n">
        <v>20</v>
      </c>
      <c r="CB2" t="n">
        <v>21</v>
      </c>
      <c r="CC2" t="n">
        <v>22</v>
      </c>
      <c r="CD2" t="n">
        <v>23</v>
      </c>
      <c r="CE2" t="n">
        <v>24</v>
      </c>
      <c r="CF2" t="n">
        <v>25</v>
      </c>
      <c r="CG2" t="n">
        <v>26</v>
      </c>
      <c r="CH2" t="n">
        <v>27</v>
      </c>
      <c r="CI2" t="n">
        <v>28</v>
      </c>
      <c r="CJ2" t="n">
        <v>29</v>
      </c>
      <c r="CK2" t="n">
        <v>30</v>
      </c>
      <c r="CL2" t="n">
        <v>31</v>
      </c>
      <c r="CM2" t="n">
        <v>32</v>
      </c>
      <c r="CN2" t="n">
        <v>33</v>
      </c>
      <c r="CO2" t="n">
        <v>34</v>
      </c>
      <c r="CP2" t="n">
        <v>35</v>
      </c>
      <c r="CQ2" t="n">
        <v>36</v>
      </c>
      <c r="CR2" t="n">
        <v>37</v>
      </c>
      <c r="CS2" t="n">
        <v>38</v>
      </c>
      <c r="CT2" t="n">
        <v>39</v>
      </c>
      <c r="CU2" t="n">
        <v>40</v>
      </c>
      <c r="CV2" t="n">
        <v>41</v>
      </c>
      <c r="CW2" t="n">
        <v>42</v>
      </c>
      <c r="CX2" t="n">
        <v>43</v>
      </c>
      <c r="CY2" t="n">
        <v>44</v>
      </c>
      <c r="CZ2" t="n">
        <v>45</v>
      </c>
      <c r="DB2" t="n">
        <v>1</v>
      </c>
      <c r="DC2" t="n">
        <v>2</v>
      </c>
      <c r="DD2" t="n">
        <v>3</v>
      </c>
      <c r="DE2" t="n">
        <v>4</v>
      </c>
      <c r="DF2" t="n">
        <v>5</v>
      </c>
      <c r="DG2" t="n">
        <v>6</v>
      </c>
      <c r="DH2" t="n">
        <v>7</v>
      </c>
      <c r="DI2" t="n">
        <v>8</v>
      </c>
      <c r="DJ2" t="n">
        <v>9</v>
      </c>
      <c r="DK2" t="n">
        <v>10</v>
      </c>
      <c r="DL2" t="n">
        <v>11</v>
      </c>
      <c r="DM2" t="n">
        <v>12</v>
      </c>
      <c r="DN2" t="n">
        <v>13</v>
      </c>
      <c r="DO2" t="n">
        <v>14</v>
      </c>
      <c r="DP2" t="n">
        <v>15</v>
      </c>
      <c r="DQ2" t="n">
        <v>16</v>
      </c>
      <c r="DR2" t="n">
        <v>17</v>
      </c>
      <c r="DS2" t="n">
        <v>18</v>
      </c>
      <c r="DT2" t="n">
        <v>19</v>
      </c>
      <c r="DU2" t="n">
        <v>20</v>
      </c>
      <c r="DV2" t="n">
        <v>21</v>
      </c>
      <c r="DW2" t="n">
        <v>22</v>
      </c>
      <c r="DX2" t="n">
        <v>23</v>
      </c>
      <c r="DY2" t="n">
        <v>24</v>
      </c>
      <c r="DZ2" t="n">
        <v>25</v>
      </c>
      <c r="EA2" t="n">
        <v>26</v>
      </c>
      <c r="EB2" t="n">
        <v>27</v>
      </c>
      <c r="EC2" t="n">
        <v>28</v>
      </c>
      <c r="ED2" t="n">
        <v>29</v>
      </c>
      <c r="EE2" t="n">
        <v>30</v>
      </c>
      <c r="EF2" t="n">
        <v>31</v>
      </c>
      <c r="EG2" t="n">
        <v>32</v>
      </c>
      <c r="EH2" t="n">
        <v>33</v>
      </c>
      <c r="EI2" t="n">
        <v>34</v>
      </c>
      <c r="EJ2" t="n">
        <v>35</v>
      </c>
      <c r="EK2" t="n">
        <v>36</v>
      </c>
      <c r="EL2" t="n">
        <v>37</v>
      </c>
      <c r="EM2" t="n">
        <v>38</v>
      </c>
      <c r="EN2" t="n">
        <v>39</v>
      </c>
      <c r="EO2" t="n">
        <v>40</v>
      </c>
      <c r="EP2" t="n">
        <v>41</v>
      </c>
      <c r="EQ2" t="n">
        <v>42</v>
      </c>
      <c r="ER2" t="n">
        <v>43</v>
      </c>
      <c r="ES2" t="n">
        <v>44</v>
      </c>
      <c r="ET2" t="n">
        <v>45</v>
      </c>
      <c r="EU2" t="n">
        <v>46</v>
      </c>
      <c r="EV2" t="n">
        <v>47</v>
      </c>
      <c r="EW2" t="n">
        <v>48</v>
      </c>
      <c r="EX2" t="n">
        <v>49</v>
      </c>
      <c r="EY2" t="n">
        <v>50</v>
      </c>
      <c r="EZ2" t="n">
        <v>51</v>
      </c>
      <c r="FA2" t="n">
        <v>52</v>
      </c>
      <c r="FB2" t="n">
        <v>53</v>
      </c>
      <c r="FC2" t="n">
        <v>54</v>
      </c>
      <c r="FD2" t="n">
        <v>55</v>
      </c>
      <c r="FE2" t="n">
        <v>56</v>
      </c>
      <c r="FF2" t="n">
        <v>57</v>
      </c>
      <c r="FG2" t="n">
        <v>58</v>
      </c>
      <c r="FH2" t="n">
        <v>59</v>
      </c>
      <c r="FI2" t="n">
        <v>60</v>
      </c>
      <c r="FJ2" t="n">
        <v>61</v>
      </c>
      <c r="FK2" t="n">
        <v>62</v>
      </c>
      <c r="FL2" t="n">
        <v>63</v>
      </c>
      <c r="FM2" t="n">
        <v>64</v>
      </c>
      <c r="FN2" t="n">
        <v>65</v>
      </c>
      <c r="FO2" t="n">
        <v>66</v>
      </c>
      <c r="FP2" t="n">
        <v>67</v>
      </c>
      <c r="FQ2" t="n">
        <v>68</v>
      </c>
      <c r="FR2" t="n">
        <v>69</v>
      </c>
      <c r="FS2" t="n">
        <v>70</v>
      </c>
      <c r="FT2" t="n">
        <v>71</v>
      </c>
      <c r="FU2" t="n">
        <v>72</v>
      </c>
      <c r="FV2" t="n">
        <v>73</v>
      </c>
      <c r="FW2" t="n">
        <v>74</v>
      </c>
      <c r="FX2" t="n">
        <v>75</v>
      </c>
      <c r="FY2" t="n">
        <v>76</v>
      </c>
      <c r="FZ2" t="n">
        <v>77</v>
      </c>
      <c r="GA2" t="n">
        <v>78</v>
      </c>
      <c r="GB2" t="n">
        <v>79</v>
      </c>
      <c r="GC2" t="n">
        <v>80</v>
      </c>
      <c r="GD2" t="n">
        <v>81</v>
      </c>
      <c r="GE2" t="n">
        <v>82</v>
      </c>
      <c r="GF2" t="n">
        <v>83</v>
      </c>
      <c r="GG2" t="n">
        <v>84</v>
      </c>
      <c r="GH2" t="n">
        <v>85</v>
      </c>
      <c r="GI2" t="n">
        <v>86</v>
      </c>
      <c r="GJ2" t="n">
        <v>87</v>
      </c>
      <c r="GK2" t="n">
        <v>88</v>
      </c>
      <c r="GL2" t="n">
        <v>89</v>
      </c>
      <c r="GM2" t="n">
        <v>90</v>
      </c>
      <c r="GN2" t="n">
        <v>91</v>
      </c>
      <c r="GO2" t="n">
        <v>92</v>
      </c>
      <c r="GP2" t="n">
        <v>93</v>
      </c>
      <c r="GQ2" t="n">
        <v>94</v>
      </c>
      <c r="GR2" t="n">
        <v>95</v>
      </c>
      <c r="GS2" t="n">
        <v>96</v>
      </c>
      <c r="GT2" t="n">
        <v>97</v>
      </c>
      <c r="GU2" t="n">
        <v>98</v>
      </c>
      <c r="GV2" t="n">
        <v>99</v>
      </c>
      <c r="GW2" t="n">
        <v>100</v>
      </c>
      <c r="GX2" t="n">
        <v>101</v>
      </c>
      <c r="GY2" t="n">
        <v>102</v>
      </c>
      <c r="GZ2" t="n">
        <v>103</v>
      </c>
      <c r="HA2" t="n">
        <v>104</v>
      </c>
      <c r="HB2" t="n">
        <v>105</v>
      </c>
      <c r="HC2" t="n">
        <v>106</v>
      </c>
      <c r="HD2" t="n">
        <v>107</v>
      </c>
      <c r="HE2" t="n">
        <v>108</v>
      </c>
      <c r="HF2" t="n">
        <v>109</v>
      </c>
      <c r="HG2" t="n">
        <v>110</v>
      </c>
      <c r="HH2" t="n">
        <v>111</v>
      </c>
      <c r="HI2" t="n">
        <v>112</v>
      </c>
      <c r="HJ2" t="n">
        <v>113</v>
      </c>
      <c r="HK2" t="n">
        <v>114</v>
      </c>
      <c r="HL2" t="n">
        <v>115</v>
      </c>
      <c r="HM2" t="n">
        <v>116</v>
      </c>
      <c r="HN2" t="n">
        <v>117</v>
      </c>
      <c r="HO2" t="n">
        <v>118</v>
      </c>
      <c r="HP2" t="n">
        <v>119</v>
      </c>
      <c r="HQ2" t="n">
        <v>120</v>
      </c>
      <c r="HR2" t="n">
        <v>121</v>
      </c>
      <c r="HS2" t="n">
        <v>122</v>
      </c>
      <c r="HT2" t="n">
        <v>123</v>
      </c>
      <c r="HU2" t="n">
        <v>124</v>
      </c>
      <c r="HV2" t="n">
        <v>125</v>
      </c>
      <c r="HW2" t="n">
        <v>126</v>
      </c>
      <c r="HX2" t="n">
        <v>127</v>
      </c>
      <c r="HY2" t="n">
        <v>128</v>
      </c>
      <c r="HZ2" t="n">
        <v>129</v>
      </c>
      <c r="IA2" t="n">
        <v>130</v>
      </c>
      <c r="IB2" t="n">
        <v>131</v>
      </c>
      <c r="IC2" t="n">
        <v>132</v>
      </c>
      <c r="ID2" t="n">
        <v>133</v>
      </c>
      <c r="IE2" t="n">
        <v>134</v>
      </c>
      <c r="IF2" t="n">
        <v>135</v>
      </c>
      <c r="IG2" t="n">
        <v>136</v>
      </c>
      <c r="IH2" t="n">
        <v>137</v>
      </c>
      <c r="II2" t="n">
        <v>138</v>
      </c>
      <c r="IJ2" t="n">
        <v>139</v>
      </c>
      <c r="IK2" t="n">
        <v>140</v>
      </c>
      <c r="IL2" t="n">
        <v>141</v>
      </c>
      <c r="IM2" t="n">
        <v>142</v>
      </c>
      <c r="IN2" t="n">
        <v>143</v>
      </c>
      <c r="IO2" t="n">
        <v>144</v>
      </c>
      <c r="IQ2" t="n">
        <v>1</v>
      </c>
      <c r="IR2" t="n">
        <v>2</v>
      </c>
      <c r="IS2" t="n">
        <v>3</v>
      </c>
      <c r="IT2" t="n">
        <v>4</v>
      </c>
      <c r="IU2" t="n">
        <v>5</v>
      </c>
      <c r="IV2" t="n">
        <v>6</v>
      </c>
      <c r="IW2" t="n">
        <v>7</v>
      </c>
      <c r="IX2" t="n">
        <v>8</v>
      </c>
      <c r="IY2" t="n">
        <v>9</v>
      </c>
      <c r="IZ2" t="n">
        <v>10</v>
      </c>
      <c r="JA2" t="n">
        <v>11</v>
      </c>
      <c r="JB2" t="n">
        <v>12</v>
      </c>
      <c r="JC2" t="n">
        <v>13</v>
      </c>
      <c r="JD2" t="n">
        <v>14</v>
      </c>
      <c r="JE2" t="n">
        <v>15</v>
      </c>
      <c r="JF2" t="n">
        <v>16</v>
      </c>
      <c r="JG2" t="n">
        <v>17</v>
      </c>
      <c r="JH2" t="n">
        <v>18</v>
      </c>
      <c r="JI2" t="n">
        <v>19</v>
      </c>
      <c r="JJ2" t="n">
        <v>20</v>
      </c>
      <c r="JK2" t="n">
        <v>21</v>
      </c>
      <c r="JL2" t="n">
        <v>22</v>
      </c>
      <c r="JM2" t="n">
        <v>23</v>
      </c>
      <c r="JN2" t="n">
        <v>24</v>
      </c>
      <c r="JO2" t="n">
        <v>25</v>
      </c>
      <c r="JP2" t="n">
        <v>26</v>
      </c>
      <c r="JQ2" t="n">
        <v>27</v>
      </c>
      <c r="JR2" t="n">
        <v>28</v>
      </c>
      <c r="JS2" t="n">
        <v>29</v>
      </c>
      <c r="JT2" t="n">
        <v>30</v>
      </c>
      <c r="JU2" t="n">
        <v>31</v>
      </c>
      <c r="JV2" t="n">
        <v>32</v>
      </c>
      <c r="JW2" t="n">
        <v>33</v>
      </c>
      <c r="JX2" t="n">
        <v>34</v>
      </c>
      <c r="JY2" t="n">
        <v>35</v>
      </c>
      <c r="JZ2" t="n">
        <v>36</v>
      </c>
      <c r="KA2" t="n">
        <v>37</v>
      </c>
      <c r="KB2" t="n">
        <v>38</v>
      </c>
      <c r="KC2" t="n">
        <v>39</v>
      </c>
      <c r="KD2" t="n">
        <v>40</v>
      </c>
      <c r="KE2" t="n">
        <v>41</v>
      </c>
      <c r="KF2" t="n">
        <v>42</v>
      </c>
      <c r="KG2" t="n">
        <v>43</v>
      </c>
      <c r="KH2" t="n">
        <v>44</v>
      </c>
      <c r="KI2" t="n">
        <v>45</v>
      </c>
      <c r="KJ2" t="n">
        <v>46</v>
      </c>
      <c r="KK2" t="n">
        <v>47</v>
      </c>
      <c r="KL2" t="n">
        <v>48</v>
      </c>
      <c r="KM2" t="n">
        <v>49</v>
      </c>
      <c r="KN2" t="n">
        <v>50</v>
      </c>
      <c r="KO2" t="n">
        <v>51</v>
      </c>
      <c r="KP2" t="n">
        <v>52</v>
      </c>
      <c r="KQ2" t="n">
        <v>53</v>
      </c>
      <c r="KR2" t="n">
        <v>54</v>
      </c>
      <c r="KS2" t="n">
        <v>55</v>
      </c>
      <c r="KT2" t="n">
        <v>56</v>
      </c>
      <c r="KU2" t="n">
        <v>57</v>
      </c>
      <c r="KV2" t="n">
        <v>58</v>
      </c>
      <c r="KW2" t="n">
        <v>59</v>
      </c>
      <c r="KX2" t="n">
        <v>60</v>
      </c>
      <c r="KY2" t="n">
        <v>61</v>
      </c>
      <c r="KZ2" t="n">
        <v>62</v>
      </c>
      <c r="LA2" t="n">
        <v>63</v>
      </c>
      <c r="LB2" t="n">
        <v>64</v>
      </c>
      <c r="LC2" t="n">
        <v>65</v>
      </c>
      <c r="LD2" t="n">
        <v>66</v>
      </c>
      <c r="LE2" t="n">
        <v>67</v>
      </c>
      <c r="LF2" t="n">
        <v>68</v>
      </c>
      <c r="LG2" t="n">
        <v>69</v>
      </c>
      <c r="LH2" t="n">
        <v>70</v>
      </c>
      <c r="LI2" t="n">
        <v>71</v>
      </c>
      <c r="LJ2" t="n">
        <v>72</v>
      </c>
      <c r="LK2" t="n">
        <v>73</v>
      </c>
      <c r="LL2" t="n">
        <v>74</v>
      </c>
      <c r="LM2" t="n">
        <v>75</v>
      </c>
      <c r="LN2" t="n">
        <v>76</v>
      </c>
      <c r="LO2" t="n">
        <v>77</v>
      </c>
      <c r="LP2" t="n">
        <v>78</v>
      </c>
      <c r="LQ2" t="n">
        <v>79</v>
      </c>
      <c r="LR2" t="n">
        <v>80</v>
      </c>
      <c r="LS2" t="n">
        <v>81</v>
      </c>
      <c r="LT2" t="n">
        <v>82</v>
      </c>
      <c r="LU2" t="n">
        <v>83</v>
      </c>
      <c r="LV2" t="n">
        <v>84</v>
      </c>
      <c r="LW2" t="n">
        <v>85</v>
      </c>
      <c r="LX2" t="n">
        <v>86</v>
      </c>
      <c r="LY2" t="n">
        <v>87</v>
      </c>
      <c r="LZ2" t="n">
        <v>88</v>
      </c>
      <c r="MA2" t="n">
        <v>89</v>
      </c>
      <c r="MB2" t="n">
        <v>90</v>
      </c>
      <c r="MC2" t="n">
        <v>91</v>
      </c>
      <c r="MD2" t="n">
        <v>92</v>
      </c>
      <c r="ME2" t="n">
        <v>93</v>
      </c>
      <c r="MF2" t="n">
        <v>94</v>
      </c>
      <c r="MG2" t="n">
        <v>95</v>
      </c>
      <c r="MH2" t="n">
        <v>96</v>
      </c>
      <c r="MI2" t="n">
        <v>97</v>
      </c>
      <c r="MJ2" t="n">
        <v>98</v>
      </c>
      <c r="MK2" t="n">
        <v>99</v>
      </c>
      <c r="ML2" t="n">
        <v>100</v>
      </c>
      <c r="MM2" t="n">
        <v>101</v>
      </c>
      <c r="MN2" t="n">
        <v>102</v>
      </c>
      <c r="MO2" t="n">
        <v>103</v>
      </c>
      <c r="MP2" t="n">
        <v>104</v>
      </c>
      <c r="MQ2" t="n">
        <v>105</v>
      </c>
      <c r="MR2" t="n">
        <v>106</v>
      </c>
      <c r="MS2" t="n">
        <v>107</v>
      </c>
      <c r="MT2" t="n">
        <v>108</v>
      </c>
      <c r="MU2" t="n">
        <v>109</v>
      </c>
      <c r="MV2" t="n">
        <v>110</v>
      </c>
      <c r="MW2" t="n">
        <v>111</v>
      </c>
      <c r="MX2" t="n">
        <v>112</v>
      </c>
      <c r="MY2" t="n">
        <v>113</v>
      </c>
      <c r="MZ2" t="n">
        <v>114</v>
      </c>
      <c r="NA2" t="n">
        <v>115</v>
      </c>
      <c r="NB2" t="n">
        <v>116</v>
      </c>
      <c r="NC2" t="n">
        <v>117</v>
      </c>
      <c r="ND2" t="n">
        <v>118</v>
      </c>
      <c r="NE2" t="n">
        <v>119</v>
      </c>
      <c r="NF2" t="n">
        <v>120</v>
      </c>
      <c r="NG2" t="n">
        <v>121</v>
      </c>
      <c r="NH2" t="n">
        <v>122</v>
      </c>
      <c r="NI2" t="n">
        <v>123</v>
      </c>
      <c r="NJ2" t="n">
        <v>124</v>
      </c>
      <c r="NK2" t="n">
        <v>125</v>
      </c>
      <c r="NL2" t="n">
        <v>126</v>
      </c>
      <c r="NM2" t="n">
        <v>127</v>
      </c>
      <c r="NN2" t="n">
        <v>128</v>
      </c>
      <c r="NO2" t="n">
        <v>129</v>
      </c>
      <c r="NP2" t="n">
        <v>130</v>
      </c>
      <c r="NQ2" t="n">
        <v>131</v>
      </c>
      <c r="NR2" t="n">
        <v>132</v>
      </c>
      <c r="NS2" t="n">
        <v>133</v>
      </c>
      <c r="NT2" t="n">
        <v>134</v>
      </c>
      <c r="NU2" t="n">
        <v>135</v>
      </c>
      <c r="NV2" t="n">
        <v>136</v>
      </c>
      <c r="NW2" t="n">
        <v>137</v>
      </c>
      <c r="NX2" t="n">
        <v>138</v>
      </c>
      <c r="NY2" t="n">
        <v>139</v>
      </c>
      <c r="NZ2" t="n">
        <v>140</v>
      </c>
      <c r="OA2" t="n">
        <v>141</v>
      </c>
      <c r="OB2" t="n">
        <v>142</v>
      </c>
      <c r="OC2" t="n">
        <v>143</v>
      </c>
      <c r="OD2" t="n">
        <v>144</v>
      </c>
      <c r="OF2" t="n">
        <v>1</v>
      </c>
      <c r="OG2" t="n">
        <v>2</v>
      </c>
      <c r="OH2" t="n">
        <v>3</v>
      </c>
      <c r="OI2" t="n">
        <v>4</v>
      </c>
      <c r="OJ2" t="n">
        <v>5</v>
      </c>
      <c r="OK2" t="n">
        <v>6</v>
      </c>
      <c r="OL2" t="n">
        <v>7</v>
      </c>
      <c r="OM2" t="n">
        <v>8</v>
      </c>
      <c r="ON2" t="n">
        <v>9</v>
      </c>
      <c r="OO2" t="n">
        <v>10</v>
      </c>
      <c r="OP2" t="n">
        <v>11</v>
      </c>
      <c r="OQ2" t="n">
        <v>12</v>
      </c>
      <c r="OR2" t="n">
        <v>13</v>
      </c>
      <c r="OS2" t="n">
        <v>14</v>
      </c>
      <c r="OT2" t="n">
        <v>15</v>
      </c>
      <c r="OU2" t="n">
        <v>16</v>
      </c>
      <c r="OV2" t="n">
        <v>17</v>
      </c>
      <c r="OW2" t="n">
        <v>18</v>
      </c>
      <c r="OX2" t="n">
        <v>19</v>
      </c>
      <c r="OY2" t="n">
        <v>20</v>
      </c>
      <c r="OZ2" t="n">
        <v>21</v>
      </c>
      <c r="PA2" t="n">
        <v>22</v>
      </c>
      <c r="PB2" t="n">
        <v>23</v>
      </c>
      <c r="PC2" t="n">
        <v>24</v>
      </c>
      <c r="PD2" t="n">
        <v>25</v>
      </c>
      <c r="PE2" t="n">
        <v>26</v>
      </c>
      <c r="PF2" t="n">
        <v>27</v>
      </c>
      <c r="PG2" t="n">
        <v>28</v>
      </c>
      <c r="PH2" t="n">
        <v>29</v>
      </c>
      <c r="PI2" t="n">
        <v>30</v>
      </c>
      <c r="PJ2" t="n">
        <v>31</v>
      </c>
      <c r="PK2" t="n">
        <v>32</v>
      </c>
      <c r="PL2" t="n">
        <v>33</v>
      </c>
      <c r="PM2" t="n">
        <v>34</v>
      </c>
      <c r="PN2" t="n">
        <v>35</v>
      </c>
      <c r="PO2" t="n">
        <v>36</v>
      </c>
      <c r="PP2" t="n">
        <v>37</v>
      </c>
      <c r="PQ2" t="n">
        <v>38</v>
      </c>
      <c r="PR2" t="n">
        <v>39</v>
      </c>
      <c r="PS2" t="n">
        <v>40</v>
      </c>
      <c r="PT2" t="n">
        <v>41</v>
      </c>
      <c r="PU2" t="n">
        <v>42</v>
      </c>
      <c r="PV2" t="n">
        <v>43</v>
      </c>
      <c r="PW2" t="n">
        <v>44</v>
      </c>
      <c r="PX2" t="n">
        <v>45</v>
      </c>
      <c r="PY2" t="n">
        <v>46</v>
      </c>
      <c r="PZ2" t="n">
        <v>47</v>
      </c>
      <c r="QA2" t="n">
        <v>48</v>
      </c>
      <c r="QB2" t="n">
        <v>49</v>
      </c>
      <c r="QC2" t="n">
        <v>50</v>
      </c>
      <c r="QD2" t="n">
        <v>51</v>
      </c>
      <c r="QE2" t="n">
        <v>52</v>
      </c>
      <c r="QF2" t="n">
        <v>53</v>
      </c>
      <c r="QG2" t="n">
        <v>54</v>
      </c>
      <c r="QH2" t="n">
        <v>55</v>
      </c>
      <c r="QI2" t="n">
        <v>56</v>
      </c>
      <c r="QJ2" t="n">
        <v>57</v>
      </c>
      <c r="QK2" t="n">
        <v>58</v>
      </c>
      <c r="QL2" t="n">
        <v>59</v>
      </c>
      <c r="QM2" t="n">
        <v>60</v>
      </c>
      <c r="QN2" t="n">
        <v>61</v>
      </c>
      <c r="QO2" t="n">
        <v>62</v>
      </c>
      <c r="QP2" t="n">
        <v>63</v>
      </c>
      <c r="QQ2" t="n">
        <v>64</v>
      </c>
      <c r="QR2" t="n">
        <v>65</v>
      </c>
      <c r="QS2" t="n">
        <v>66</v>
      </c>
      <c r="QT2" t="n">
        <v>67</v>
      </c>
      <c r="QU2" t="n">
        <v>68</v>
      </c>
      <c r="QV2" t="n">
        <v>69</v>
      </c>
      <c r="QW2" t="n">
        <v>70</v>
      </c>
      <c r="QX2" t="n">
        <v>71</v>
      </c>
      <c r="QY2" t="n">
        <v>72</v>
      </c>
      <c r="QZ2" t="n">
        <v>73</v>
      </c>
      <c r="RA2" t="n">
        <v>74</v>
      </c>
      <c r="RB2" t="n">
        <v>75</v>
      </c>
      <c r="RC2" t="n">
        <v>76</v>
      </c>
      <c r="RD2" t="n">
        <v>77</v>
      </c>
      <c r="RE2" t="n">
        <v>78</v>
      </c>
      <c r="RF2" t="n">
        <v>79</v>
      </c>
      <c r="RG2" t="n">
        <v>80</v>
      </c>
      <c r="RH2" t="n">
        <v>81</v>
      </c>
      <c r="RI2" t="n">
        <v>82</v>
      </c>
      <c r="RJ2" t="n">
        <v>83</v>
      </c>
      <c r="RK2" t="n">
        <v>84</v>
      </c>
      <c r="RL2" t="n">
        <v>85</v>
      </c>
      <c r="RM2" t="n">
        <v>86</v>
      </c>
      <c r="RN2" t="n">
        <v>87</v>
      </c>
      <c r="RO2" t="n">
        <v>88</v>
      </c>
      <c r="RP2" t="n">
        <v>89</v>
      </c>
      <c r="RQ2" t="n">
        <v>90</v>
      </c>
      <c r="RR2" t="n">
        <v>91</v>
      </c>
      <c r="RS2" t="n">
        <v>92</v>
      </c>
      <c r="RT2" t="n">
        <v>93</v>
      </c>
      <c r="RU2" t="n">
        <v>94</v>
      </c>
      <c r="RV2" t="n">
        <v>95</v>
      </c>
      <c r="RW2" t="n">
        <v>96</v>
      </c>
      <c r="RX2" t="n">
        <v>97</v>
      </c>
      <c r="RY2" t="n">
        <v>98</v>
      </c>
      <c r="RZ2" t="n">
        <v>99</v>
      </c>
      <c r="SA2" t="n">
        <v>100</v>
      </c>
      <c r="SB2" t="n">
        <v>101</v>
      </c>
      <c r="SC2" t="n">
        <v>102</v>
      </c>
      <c r="SD2" t="n">
        <v>103</v>
      </c>
      <c r="SE2" t="n">
        <v>104</v>
      </c>
      <c r="SF2" t="n">
        <v>105</v>
      </c>
      <c r="SG2" t="n">
        <v>106</v>
      </c>
      <c r="SH2" t="n">
        <v>107</v>
      </c>
      <c r="SI2" t="n">
        <v>108</v>
      </c>
      <c r="SJ2" t="n">
        <v>109</v>
      </c>
      <c r="SK2" t="n">
        <v>110</v>
      </c>
      <c r="SL2" t="n">
        <v>111</v>
      </c>
      <c r="SM2" t="n">
        <v>112</v>
      </c>
      <c r="SN2" t="n">
        <v>113</v>
      </c>
      <c r="SO2" t="n">
        <v>114</v>
      </c>
      <c r="SP2" t="n">
        <v>115</v>
      </c>
      <c r="SQ2" t="n">
        <v>116</v>
      </c>
      <c r="SR2" t="n">
        <v>117</v>
      </c>
      <c r="SS2" t="n">
        <v>118</v>
      </c>
      <c r="ST2" t="n">
        <v>119</v>
      </c>
      <c r="SU2" t="n">
        <v>120</v>
      </c>
      <c r="SV2" t="n">
        <v>121</v>
      </c>
      <c r="SW2" t="n">
        <v>122</v>
      </c>
      <c r="SX2" t="n">
        <v>123</v>
      </c>
      <c r="SY2" t="n">
        <v>124</v>
      </c>
      <c r="SZ2" t="n">
        <v>125</v>
      </c>
      <c r="TA2" t="n">
        <v>126</v>
      </c>
      <c r="TB2" t="n">
        <v>127</v>
      </c>
      <c r="TC2" t="n">
        <v>128</v>
      </c>
      <c r="TD2" t="n">
        <v>129</v>
      </c>
      <c r="TE2" t="n">
        <v>130</v>
      </c>
      <c r="TF2" t="n">
        <v>131</v>
      </c>
      <c r="TG2" t="n">
        <v>132</v>
      </c>
      <c r="TH2" t="n">
        <v>133</v>
      </c>
      <c r="TI2" t="n">
        <v>134</v>
      </c>
      <c r="TJ2" t="n">
        <v>135</v>
      </c>
      <c r="TK2" t="n">
        <v>136</v>
      </c>
      <c r="TL2" t="n">
        <v>137</v>
      </c>
      <c r="TM2" t="n">
        <v>138</v>
      </c>
      <c r="TN2" t="n">
        <v>139</v>
      </c>
      <c r="TO2" t="n">
        <v>140</v>
      </c>
      <c r="TP2" t="n">
        <v>141</v>
      </c>
      <c r="TQ2" t="n">
        <v>142</v>
      </c>
      <c r="TR2" t="n">
        <v>143</v>
      </c>
      <c r="TS2" t="n">
        <v>144</v>
      </c>
    </row>
    <row r="3">
      <c r="A3" t="n">
        <v>1</v>
      </c>
      <c r="B3">
        <f>IF(MIN(BH3:CZ3)&gt;=1000000,0,MATCH(MIN(BH3:CZ3),BH3:CZ3,0))</f>
        <v/>
      </c>
      <c r="C3">
        <f>IF(MIN(OF3:TS3)&gt;=1000000,0,MATCH(MIN(OF3:TS3),OF3:TS3,0))</f>
        <v/>
      </c>
      <c r="D3">
        <f>IF(C3&gt;0,INDEX('計算A'!$D$5:$EQ$5,C3),0)</f>
        <v/>
      </c>
      <c r="E3">
        <f>IF(B3=0,0,INDEX('計算A'!$IQ$10:$IQ$54,B3))</f>
        <v/>
      </c>
      <c r="F3">
        <f>IF(B3=0,0,INDEX('計算A'!$IP$10:$IP$54,B3))</f>
        <v/>
      </c>
      <c r="G3">
        <f>IF(AND(C3&gt;0,E3&gt;0),IF(AND(INDEX('計算A'!$D$106:$EQ$106,C3)=1,INDEX($IQ3:$OD3,C3)=1),C3+1,0),0)</f>
        <v/>
      </c>
      <c r="H3">
        <f>IF(B3=0,0,INDEX('計算A'!$IW$10:$IW$54,B3))</f>
        <v/>
      </c>
      <c r="I3">
        <f>IF(B3=0,0,MAX(0,INDEX('計算A'!$IT$10:$IT$54,B3)))</f>
        <v/>
      </c>
      <c r="J3">
        <f>IF(I3=0,0,INDEX('計算A'!$D$2:$EQ$2,I3))</f>
        <v/>
      </c>
      <c r="K3">
        <f>IF(I3=0,0,INDEX('計算A'!$D$3:$EQ$3,I3))</f>
        <v/>
      </c>
      <c r="L3">
        <f>IF(B3=0,0,INDEX('計算A'!$IX$10:$IX$54,B3))</f>
        <v/>
      </c>
      <c r="N3">
        <f>1-'計算A'!C10</f>
        <v/>
      </c>
      <c r="O3">
        <f>1-'計算A'!C11</f>
        <v/>
      </c>
      <c r="P3">
        <f>1-'計算A'!C12</f>
        <v/>
      </c>
      <c r="Q3">
        <f>1-'計算A'!C13</f>
        <v/>
      </c>
      <c r="R3">
        <f>1-'計算A'!C14</f>
        <v/>
      </c>
      <c r="S3">
        <f>1-'計算A'!C15</f>
        <v/>
      </c>
      <c r="T3">
        <f>1-'計算A'!C16</f>
        <v/>
      </c>
      <c r="U3">
        <f>1-'計算A'!C17</f>
        <v/>
      </c>
      <c r="V3">
        <f>1-'計算A'!C18</f>
        <v/>
      </c>
      <c r="W3">
        <f>1-'計算A'!C19</f>
        <v/>
      </c>
      <c r="X3">
        <f>1-'計算A'!C20</f>
        <v/>
      </c>
      <c r="Y3">
        <f>1-'計算A'!C21</f>
        <v/>
      </c>
      <c r="Z3">
        <f>1-'計算A'!C22</f>
        <v/>
      </c>
      <c r="AA3">
        <f>1-'計算A'!C23</f>
        <v/>
      </c>
      <c r="AB3">
        <f>1-'計算A'!C24</f>
        <v/>
      </c>
      <c r="AC3">
        <f>1-'計算A'!C25</f>
        <v/>
      </c>
      <c r="AD3">
        <f>1-'計算A'!C26</f>
        <v/>
      </c>
      <c r="AE3">
        <f>1-'計算A'!C27</f>
        <v/>
      </c>
      <c r="AF3">
        <f>1-'計算A'!C28</f>
        <v/>
      </c>
      <c r="AG3">
        <f>1-'計算A'!C29</f>
        <v/>
      </c>
      <c r="AH3">
        <f>1-'計算A'!C30</f>
        <v/>
      </c>
      <c r="AI3">
        <f>1-'計算A'!C31</f>
        <v/>
      </c>
      <c r="AJ3">
        <f>1-'計算A'!C32</f>
        <v/>
      </c>
      <c r="AK3">
        <f>1-'計算A'!C33</f>
        <v/>
      </c>
      <c r="AL3">
        <f>1-'計算A'!C34</f>
        <v/>
      </c>
      <c r="AM3">
        <f>1-'計算A'!C35</f>
        <v/>
      </c>
      <c r="AN3">
        <f>1-'計算A'!C36</f>
        <v/>
      </c>
      <c r="AO3">
        <f>1-'計算A'!C37</f>
        <v/>
      </c>
      <c r="AP3">
        <f>1-'計算A'!C38</f>
        <v/>
      </c>
      <c r="AQ3">
        <f>1-'計算A'!C39</f>
        <v/>
      </c>
      <c r="AR3">
        <f>1-'計算A'!C40</f>
        <v/>
      </c>
      <c r="AS3">
        <f>1-'計算A'!C41</f>
        <v/>
      </c>
      <c r="AT3">
        <f>1-'計算A'!C42</f>
        <v/>
      </c>
      <c r="AU3">
        <f>1-'計算A'!C43</f>
        <v/>
      </c>
      <c r="AV3">
        <f>1-'計算A'!C44</f>
        <v/>
      </c>
      <c r="AW3">
        <f>1-'計算A'!C45</f>
        <v/>
      </c>
      <c r="AX3">
        <f>1-'計算A'!C46</f>
        <v/>
      </c>
      <c r="AY3">
        <f>1-'計算A'!C47</f>
        <v/>
      </c>
      <c r="AZ3">
        <f>1-'計算A'!C48</f>
        <v/>
      </c>
      <c r="BA3">
        <f>1-'計算A'!C49</f>
        <v/>
      </c>
      <c r="BB3">
        <f>1-'計算A'!C50</f>
        <v/>
      </c>
      <c r="BC3">
        <f>1-'計算A'!C51</f>
        <v/>
      </c>
      <c r="BD3">
        <f>1-'計算A'!C52</f>
        <v/>
      </c>
      <c r="BE3">
        <f>1-'計算A'!C53</f>
        <v/>
      </c>
      <c r="BF3">
        <f>1-'計算A'!C54</f>
        <v/>
      </c>
      <c r="BH3">
        <f>IF(N3=1,1000000,IF('計算A'!$IT$10&gt;0,0,500000)+IF('計算A'!$IQ$10=2,SUMPRODUCT('計算A'!$D$60:$EQ$60,$DB3:$IO3,$IQ3:$OD3),SUMPRODUCT('計算A'!$D$60:$EQ$60,$DB3:$IO3))*1000+1)</f>
        <v/>
      </c>
      <c r="BI3">
        <f>IF(O3=1,1000000,IF('計算A'!$IT$11&gt;0,0,500000)+IF('計算A'!$IQ$11=2,SUMPRODUCT('計算A'!$D$61:$EQ$61,$DB3:$IO3,$IQ3:$OD3),SUMPRODUCT('計算A'!$D$61:$EQ$61,$DB3:$IO3))*1000+2)</f>
        <v/>
      </c>
      <c r="BJ3">
        <f>IF(P3=1,1000000,IF('計算A'!$IT$12&gt;0,0,500000)+IF('計算A'!$IQ$12=2,SUMPRODUCT('計算A'!$D$62:$EQ$62,$DB3:$IO3,$IQ3:$OD3),SUMPRODUCT('計算A'!$D$62:$EQ$62,$DB3:$IO3))*1000+3)</f>
        <v/>
      </c>
      <c r="BK3">
        <f>IF(Q3=1,1000000,IF('計算A'!$IT$13&gt;0,0,500000)+IF('計算A'!$IQ$13=2,SUMPRODUCT('計算A'!$D$63:$EQ$63,$DB3:$IO3,$IQ3:$OD3),SUMPRODUCT('計算A'!$D$63:$EQ$63,$DB3:$IO3))*1000+4)</f>
        <v/>
      </c>
      <c r="BL3">
        <f>IF(R3=1,1000000,IF('計算A'!$IT$14&gt;0,0,500000)+IF('計算A'!$IQ$14=2,SUMPRODUCT('計算A'!$D$64:$EQ$64,$DB3:$IO3,$IQ3:$OD3),SUMPRODUCT('計算A'!$D$64:$EQ$64,$DB3:$IO3))*1000+5)</f>
        <v/>
      </c>
      <c r="BM3">
        <f>IF(S3=1,1000000,IF('計算A'!$IT$15&gt;0,0,500000)+IF('計算A'!$IQ$15=2,SUMPRODUCT('計算A'!$D$65:$EQ$65,$DB3:$IO3,$IQ3:$OD3),SUMPRODUCT('計算A'!$D$65:$EQ$65,$DB3:$IO3))*1000+6)</f>
        <v/>
      </c>
      <c r="BN3">
        <f>IF(T3=1,1000000,IF('計算A'!$IT$16&gt;0,0,500000)+IF('計算A'!$IQ$16=2,SUMPRODUCT('計算A'!$D$66:$EQ$66,$DB3:$IO3,$IQ3:$OD3),SUMPRODUCT('計算A'!$D$66:$EQ$66,$DB3:$IO3))*1000+7)</f>
        <v/>
      </c>
      <c r="BO3">
        <f>IF(U3=1,1000000,IF('計算A'!$IT$17&gt;0,0,500000)+IF('計算A'!$IQ$17=2,SUMPRODUCT('計算A'!$D$67:$EQ$67,$DB3:$IO3,$IQ3:$OD3),SUMPRODUCT('計算A'!$D$67:$EQ$67,$DB3:$IO3))*1000+8)</f>
        <v/>
      </c>
      <c r="BP3">
        <f>IF(V3=1,1000000,IF('計算A'!$IT$18&gt;0,0,500000)+IF('計算A'!$IQ$18=2,SUMPRODUCT('計算A'!$D$68:$EQ$68,$DB3:$IO3,$IQ3:$OD3),SUMPRODUCT('計算A'!$D$68:$EQ$68,$DB3:$IO3))*1000+9)</f>
        <v/>
      </c>
      <c r="BQ3">
        <f>IF(W3=1,1000000,IF('計算A'!$IT$19&gt;0,0,500000)+IF('計算A'!$IQ$19=2,SUMPRODUCT('計算A'!$D$69:$EQ$69,$DB3:$IO3,$IQ3:$OD3),SUMPRODUCT('計算A'!$D$69:$EQ$69,$DB3:$IO3))*1000+10)</f>
        <v/>
      </c>
      <c r="BR3">
        <f>IF(X3=1,1000000,IF('計算A'!$IT$20&gt;0,0,500000)+IF('計算A'!$IQ$20=2,SUMPRODUCT('計算A'!$D$70:$EQ$70,$DB3:$IO3,$IQ3:$OD3),SUMPRODUCT('計算A'!$D$70:$EQ$70,$DB3:$IO3))*1000+11)</f>
        <v/>
      </c>
      <c r="BS3">
        <f>IF(Y3=1,1000000,IF('計算A'!$IT$21&gt;0,0,500000)+IF('計算A'!$IQ$21=2,SUMPRODUCT('計算A'!$D$71:$EQ$71,$DB3:$IO3,$IQ3:$OD3),SUMPRODUCT('計算A'!$D$71:$EQ$71,$DB3:$IO3))*1000+12)</f>
        <v/>
      </c>
      <c r="BT3">
        <f>IF(Z3=1,1000000,IF('計算A'!$IT$22&gt;0,0,500000)+IF('計算A'!$IQ$22=2,SUMPRODUCT('計算A'!$D$72:$EQ$72,$DB3:$IO3,$IQ3:$OD3),SUMPRODUCT('計算A'!$D$72:$EQ$72,$DB3:$IO3))*1000+13)</f>
        <v/>
      </c>
      <c r="BU3">
        <f>IF(AA3=1,1000000,IF('計算A'!$IT$23&gt;0,0,500000)+IF('計算A'!$IQ$23=2,SUMPRODUCT('計算A'!$D$73:$EQ$73,$DB3:$IO3,$IQ3:$OD3),SUMPRODUCT('計算A'!$D$73:$EQ$73,$DB3:$IO3))*1000+14)</f>
        <v/>
      </c>
      <c r="BV3">
        <f>IF(AB3=1,1000000,IF('計算A'!$IT$24&gt;0,0,500000)+IF('計算A'!$IQ$24=2,SUMPRODUCT('計算A'!$D$74:$EQ$74,$DB3:$IO3,$IQ3:$OD3),SUMPRODUCT('計算A'!$D$74:$EQ$74,$DB3:$IO3))*1000+15)</f>
        <v/>
      </c>
      <c r="BW3">
        <f>IF(AC3=1,1000000,IF('計算A'!$IT$25&gt;0,0,500000)+IF('計算A'!$IQ$25=2,SUMPRODUCT('計算A'!$D$75:$EQ$75,$DB3:$IO3,$IQ3:$OD3),SUMPRODUCT('計算A'!$D$75:$EQ$75,$DB3:$IO3))*1000+16)</f>
        <v/>
      </c>
      <c r="BX3">
        <f>IF(AD3=1,1000000,IF('計算A'!$IT$26&gt;0,0,500000)+IF('計算A'!$IQ$26=2,SUMPRODUCT('計算A'!$D$76:$EQ$76,$DB3:$IO3,$IQ3:$OD3),SUMPRODUCT('計算A'!$D$76:$EQ$76,$DB3:$IO3))*1000+17)</f>
        <v/>
      </c>
      <c r="BY3">
        <f>IF(AE3=1,1000000,IF('計算A'!$IT$27&gt;0,0,500000)+IF('計算A'!$IQ$27=2,SUMPRODUCT('計算A'!$D$77:$EQ$77,$DB3:$IO3,$IQ3:$OD3),SUMPRODUCT('計算A'!$D$77:$EQ$77,$DB3:$IO3))*1000+18)</f>
        <v/>
      </c>
      <c r="BZ3">
        <f>IF(AF3=1,1000000,IF('計算A'!$IT$28&gt;0,0,500000)+IF('計算A'!$IQ$28=2,SUMPRODUCT('計算A'!$D$78:$EQ$78,$DB3:$IO3,$IQ3:$OD3),SUMPRODUCT('計算A'!$D$78:$EQ$78,$DB3:$IO3))*1000+19)</f>
        <v/>
      </c>
      <c r="CA3">
        <f>IF(AG3=1,1000000,IF('計算A'!$IT$29&gt;0,0,500000)+IF('計算A'!$IQ$29=2,SUMPRODUCT('計算A'!$D$79:$EQ$79,$DB3:$IO3,$IQ3:$OD3),SUMPRODUCT('計算A'!$D$79:$EQ$79,$DB3:$IO3))*1000+20)</f>
        <v/>
      </c>
      <c r="CB3">
        <f>IF(AH3=1,1000000,IF('計算A'!$IT$30&gt;0,0,500000)+IF('計算A'!$IQ$30=2,SUMPRODUCT('計算A'!$D$80:$EQ$80,$DB3:$IO3,$IQ3:$OD3),SUMPRODUCT('計算A'!$D$80:$EQ$80,$DB3:$IO3))*1000+21)</f>
        <v/>
      </c>
      <c r="CC3">
        <f>IF(AI3=1,1000000,IF('計算A'!$IT$31&gt;0,0,500000)+IF('計算A'!$IQ$31=2,SUMPRODUCT('計算A'!$D$81:$EQ$81,$DB3:$IO3,$IQ3:$OD3),SUMPRODUCT('計算A'!$D$81:$EQ$81,$DB3:$IO3))*1000+22)</f>
        <v/>
      </c>
      <c r="CD3">
        <f>IF(AJ3=1,1000000,IF('計算A'!$IT$32&gt;0,0,500000)+IF('計算A'!$IQ$32=2,SUMPRODUCT('計算A'!$D$82:$EQ$82,$DB3:$IO3,$IQ3:$OD3),SUMPRODUCT('計算A'!$D$82:$EQ$82,$DB3:$IO3))*1000+23)</f>
        <v/>
      </c>
      <c r="CE3">
        <f>IF(AK3=1,1000000,IF('計算A'!$IT$33&gt;0,0,500000)+IF('計算A'!$IQ$33=2,SUMPRODUCT('計算A'!$D$83:$EQ$83,$DB3:$IO3,$IQ3:$OD3),SUMPRODUCT('計算A'!$D$83:$EQ$83,$DB3:$IO3))*1000+24)</f>
        <v/>
      </c>
      <c r="CF3">
        <f>IF(AL3=1,1000000,IF('計算A'!$IT$34&gt;0,0,500000)+IF('計算A'!$IQ$34=2,SUMPRODUCT('計算A'!$D$84:$EQ$84,$DB3:$IO3,$IQ3:$OD3),SUMPRODUCT('計算A'!$D$84:$EQ$84,$DB3:$IO3))*1000+25)</f>
        <v/>
      </c>
      <c r="CG3">
        <f>IF(AM3=1,1000000,IF('計算A'!$IT$35&gt;0,0,500000)+IF('計算A'!$IQ$35=2,SUMPRODUCT('計算A'!$D$85:$EQ$85,$DB3:$IO3,$IQ3:$OD3),SUMPRODUCT('計算A'!$D$85:$EQ$85,$DB3:$IO3))*1000+26)</f>
        <v/>
      </c>
      <c r="CH3">
        <f>IF(AN3=1,1000000,IF('計算A'!$IT$36&gt;0,0,500000)+IF('計算A'!$IQ$36=2,SUMPRODUCT('計算A'!$D$86:$EQ$86,$DB3:$IO3,$IQ3:$OD3),SUMPRODUCT('計算A'!$D$86:$EQ$86,$DB3:$IO3))*1000+27)</f>
        <v/>
      </c>
      <c r="CI3">
        <f>IF(AO3=1,1000000,IF('計算A'!$IT$37&gt;0,0,500000)+IF('計算A'!$IQ$37=2,SUMPRODUCT('計算A'!$D$87:$EQ$87,$DB3:$IO3,$IQ3:$OD3),SUMPRODUCT('計算A'!$D$87:$EQ$87,$DB3:$IO3))*1000+28)</f>
        <v/>
      </c>
      <c r="CJ3">
        <f>IF(AP3=1,1000000,IF('計算A'!$IT$38&gt;0,0,500000)+IF('計算A'!$IQ$38=2,SUMPRODUCT('計算A'!$D$88:$EQ$88,$DB3:$IO3,$IQ3:$OD3),SUMPRODUCT('計算A'!$D$88:$EQ$88,$DB3:$IO3))*1000+29)</f>
        <v/>
      </c>
      <c r="CK3">
        <f>IF(AQ3=1,1000000,IF('計算A'!$IT$39&gt;0,0,500000)+IF('計算A'!$IQ$39=2,SUMPRODUCT('計算A'!$D$89:$EQ$89,$DB3:$IO3,$IQ3:$OD3),SUMPRODUCT('計算A'!$D$89:$EQ$89,$DB3:$IO3))*1000+30)</f>
        <v/>
      </c>
      <c r="CL3">
        <f>IF(AR3=1,1000000,IF('計算A'!$IT$40&gt;0,0,500000)+IF('計算A'!$IQ$40=2,SUMPRODUCT('計算A'!$D$90:$EQ$90,$DB3:$IO3,$IQ3:$OD3),SUMPRODUCT('計算A'!$D$90:$EQ$90,$DB3:$IO3))*1000+31)</f>
        <v/>
      </c>
      <c r="CM3">
        <f>IF(AS3=1,1000000,IF('計算A'!$IT$41&gt;0,0,500000)+IF('計算A'!$IQ$41=2,SUMPRODUCT('計算A'!$D$91:$EQ$91,$DB3:$IO3,$IQ3:$OD3),SUMPRODUCT('計算A'!$D$91:$EQ$91,$DB3:$IO3))*1000+32)</f>
        <v/>
      </c>
      <c r="CN3">
        <f>IF(AT3=1,1000000,IF('計算A'!$IT$42&gt;0,0,500000)+IF('計算A'!$IQ$42=2,SUMPRODUCT('計算A'!$D$92:$EQ$92,$DB3:$IO3,$IQ3:$OD3),SUMPRODUCT('計算A'!$D$92:$EQ$92,$DB3:$IO3))*1000+33)</f>
        <v/>
      </c>
      <c r="CO3">
        <f>IF(AU3=1,1000000,IF('計算A'!$IT$43&gt;0,0,500000)+IF('計算A'!$IQ$43=2,SUMPRODUCT('計算A'!$D$93:$EQ$93,$DB3:$IO3,$IQ3:$OD3),SUMPRODUCT('計算A'!$D$93:$EQ$93,$DB3:$IO3))*1000+34)</f>
        <v/>
      </c>
      <c r="CP3">
        <f>IF(AV3=1,1000000,IF('計算A'!$IT$44&gt;0,0,500000)+IF('計算A'!$IQ$44=2,SUMPRODUCT('計算A'!$D$94:$EQ$94,$DB3:$IO3,$IQ3:$OD3),SUMPRODUCT('計算A'!$D$94:$EQ$94,$DB3:$IO3))*1000+35)</f>
        <v/>
      </c>
      <c r="CQ3">
        <f>IF(AW3=1,1000000,IF('計算A'!$IT$45&gt;0,0,500000)+IF('計算A'!$IQ$45=2,SUMPRODUCT('計算A'!$D$95:$EQ$95,$DB3:$IO3,$IQ3:$OD3),SUMPRODUCT('計算A'!$D$95:$EQ$95,$DB3:$IO3))*1000+36)</f>
        <v/>
      </c>
      <c r="CR3">
        <f>IF(AX3=1,1000000,IF('計算A'!$IT$46&gt;0,0,500000)+IF('計算A'!$IQ$46=2,SUMPRODUCT('計算A'!$D$96:$EQ$96,$DB3:$IO3,$IQ3:$OD3),SUMPRODUCT('計算A'!$D$96:$EQ$96,$DB3:$IO3))*1000+37)</f>
        <v/>
      </c>
      <c r="CS3">
        <f>IF(AY3=1,1000000,IF('計算A'!$IT$47&gt;0,0,500000)+IF('計算A'!$IQ$47=2,SUMPRODUCT('計算A'!$D$97:$EQ$97,$DB3:$IO3,$IQ3:$OD3),SUMPRODUCT('計算A'!$D$97:$EQ$97,$DB3:$IO3))*1000+38)</f>
        <v/>
      </c>
      <c r="CT3">
        <f>IF(AZ3=1,1000000,IF('計算A'!$IT$48&gt;0,0,500000)+IF('計算A'!$IQ$48=2,SUMPRODUCT('計算A'!$D$98:$EQ$98,$DB3:$IO3,$IQ3:$OD3),SUMPRODUCT('計算A'!$D$98:$EQ$98,$DB3:$IO3))*1000+39)</f>
        <v/>
      </c>
      <c r="CU3">
        <f>IF(BA3=1,1000000,IF('計算A'!$IT$49&gt;0,0,500000)+IF('計算A'!$IQ$49=2,SUMPRODUCT('計算A'!$D$99:$EQ$99,$DB3:$IO3,$IQ3:$OD3),SUMPRODUCT('計算A'!$D$99:$EQ$99,$DB3:$IO3))*1000+40)</f>
        <v/>
      </c>
      <c r="CV3">
        <f>IF(BB3=1,1000000,IF('計算A'!$IT$50&gt;0,0,500000)+IF('計算A'!$IQ$50=2,SUMPRODUCT('計算A'!$D$100:$EQ$100,$DB3:$IO3,$IQ3:$OD3),SUMPRODUCT('計算A'!$D$100:$EQ$100,$DB3:$IO3))*1000+41)</f>
        <v/>
      </c>
      <c r="CW3">
        <f>IF(BC3=1,1000000,IF('計算A'!$IT$51&gt;0,0,500000)+IF('計算A'!$IQ$51=2,SUMPRODUCT('計算A'!$D$101:$EQ$101,$DB3:$IO3,$IQ3:$OD3),SUMPRODUCT('計算A'!$D$101:$EQ$101,$DB3:$IO3))*1000+42)</f>
        <v/>
      </c>
      <c r="CX3">
        <f>IF(BD3=1,1000000,IF('計算A'!$IT$52&gt;0,0,500000)+IF('計算A'!$IQ$52=2,SUMPRODUCT('計算A'!$D$102:$EQ$102,$DB3:$IO3,$IQ3:$OD3),SUMPRODUCT('計算A'!$D$102:$EQ$102,$DB3:$IO3))*1000+43)</f>
        <v/>
      </c>
      <c r="CY3">
        <f>IF(BE3=1,1000000,IF('計算A'!$IT$53&gt;0,0,500000)+IF('計算A'!$IQ$53=2,SUMPRODUCT('計算A'!$D$103:$EQ$103,$DB3:$IO3,$IQ3:$OD3),SUMPRODUCT('計算A'!$D$103:$EQ$103,$DB3:$IO3))*1000+44)</f>
        <v/>
      </c>
      <c r="CZ3">
        <f>IF(BF3=1,1000000,IF('計算A'!$IT$54&gt;0,0,500000)+IF('計算A'!$IQ$54=2,SUMPRODUCT('計算A'!$D$104:$EQ$104,$DB3:$IO3,$IQ3:$OD3),SUMPRODUCT('計算A'!$D$104:$EQ$104,$DB3:$IO3))*1000+45)</f>
        <v/>
      </c>
      <c r="DB3">
        <f>1-'計算A'!D$7</f>
        <v/>
      </c>
      <c r="DC3">
        <f>1-'計算A'!E$7</f>
        <v/>
      </c>
      <c r="DD3">
        <f>1-'計算A'!F$7</f>
        <v/>
      </c>
      <c r="DE3">
        <f>1-'計算A'!G$7</f>
        <v/>
      </c>
      <c r="DF3">
        <f>1-'計算A'!H$7</f>
        <v/>
      </c>
      <c r="DG3">
        <f>1-'計算A'!I$7</f>
        <v/>
      </c>
      <c r="DH3">
        <f>1-'計算A'!J$7</f>
        <v/>
      </c>
      <c r="DI3">
        <f>1-'計算A'!K$7</f>
        <v/>
      </c>
      <c r="DJ3">
        <f>1-'計算A'!L$7</f>
        <v/>
      </c>
      <c r="DK3">
        <f>1-'計算A'!M$7</f>
        <v/>
      </c>
      <c r="DL3">
        <f>1-'計算A'!N$7</f>
        <v/>
      </c>
      <c r="DM3">
        <f>1-'計算A'!O$7</f>
        <v/>
      </c>
      <c r="DN3">
        <f>1-'計算A'!P$7</f>
        <v/>
      </c>
      <c r="DO3">
        <f>1-'計算A'!Q$7</f>
        <v/>
      </c>
      <c r="DP3">
        <f>1-'計算A'!R$7</f>
        <v/>
      </c>
      <c r="DQ3">
        <f>1-'計算A'!S$7</f>
        <v/>
      </c>
      <c r="DR3">
        <f>1-'計算A'!T$7</f>
        <v/>
      </c>
      <c r="DS3">
        <f>1-'計算A'!U$7</f>
        <v/>
      </c>
      <c r="DT3">
        <f>1-'計算A'!V$7</f>
        <v/>
      </c>
      <c r="DU3">
        <f>1-'計算A'!W$7</f>
        <v/>
      </c>
      <c r="DV3">
        <f>1-'計算A'!X$7</f>
        <v/>
      </c>
      <c r="DW3">
        <f>1-'計算A'!Y$7</f>
        <v/>
      </c>
      <c r="DX3">
        <f>1-'計算A'!Z$7</f>
        <v/>
      </c>
      <c r="DY3">
        <f>1-'計算A'!AA$7</f>
        <v/>
      </c>
      <c r="DZ3">
        <f>1-'計算A'!AB$7</f>
        <v/>
      </c>
      <c r="EA3">
        <f>1-'計算A'!AC$7</f>
        <v/>
      </c>
      <c r="EB3">
        <f>1-'計算A'!AD$7</f>
        <v/>
      </c>
      <c r="EC3">
        <f>1-'計算A'!AE$7</f>
        <v/>
      </c>
      <c r="ED3">
        <f>1-'計算A'!AF$7</f>
        <v/>
      </c>
      <c r="EE3">
        <f>1-'計算A'!AG$7</f>
        <v/>
      </c>
      <c r="EF3">
        <f>1-'計算A'!AH$7</f>
        <v/>
      </c>
      <c r="EG3">
        <f>1-'計算A'!AI$7</f>
        <v/>
      </c>
      <c r="EH3">
        <f>1-'計算A'!AJ$7</f>
        <v/>
      </c>
      <c r="EI3">
        <f>1-'計算A'!AK$7</f>
        <v/>
      </c>
      <c r="EJ3">
        <f>1-'計算A'!AL$7</f>
        <v/>
      </c>
      <c r="EK3">
        <f>1-'計算A'!AM$7</f>
        <v/>
      </c>
      <c r="EL3">
        <f>1-'計算A'!AN$7</f>
        <v/>
      </c>
      <c r="EM3">
        <f>1-'計算A'!AO$7</f>
        <v/>
      </c>
      <c r="EN3">
        <f>1-'計算A'!AP$7</f>
        <v/>
      </c>
      <c r="EO3">
        <f>1-'計算A'!AQ$7</f>
        <v/>
      </c>
      <c r="EP3">
        <f>1-'計算A'!AR$7</f>
        <v/>
      </c>
      <c r="EQ3">
        <f>1-'計算A'!AS$7</f>
        <v/>
      </c>
      <c r="ER3">
        <f>1-'計算A'!AT$7</f>
        <v/>
      </c>
      <c r="ES3">
        <f>1-'計算A'!AU$7</f>
        <v/>
      </c>
      <c r="ET3">
        <f>1-'計算A'!AV$7</f>
        <v/>
      </c>
      <c r="EU3">
        <f>1-'計算A'!AW$7</f>
        <v/>
      </c>
      <c r="EV3">
        <f>1-'計算A'!AX$7</f>
        <v/>
      </c>
      <c r="EW3">
        <f>1-'計算A'!AY$7</f>
        <v/>
      </c>
      <c r="EX3">
        <f>1-'計算A'!AZ$7</f>
        <v/>
      </c>
      <c r="EY3">
        <f>1-'計算A'!BA$7</f>
        <v/>
      </c>
      <c r="EZ3">
        <f>1-'計算A'!BB$7</f>
        <v/>
      </c>
      <c r="FA3">
        <f>1-'計算A'!BC$7</f>
        <v/>
      </c>
      <c r="FB3">
        <f>1-'計算A'!BD$7</f>
        <v/>
      </c>
      <c r="FC3">
        <f>1-'計算A'!BE$7</f>
        <v/>
      </c>
      <c r="FD3">
        <f>1-'計算A'!BF$7</f>
        <v/>
      </c>
      <c r="FE3">
        <f>1-'計算A'!BG$7</f>
        <v/>
      </c>
      <c r="FF3">
        <f>1-'計算A'!BH$7</f>
        <v/>
      </c>
      <c r="FG3">
        <f>1-'計算A'!BI$7</f>
        <v/>
      </c>
      <c r="FH3">
        <f>1-'計算A'!BJ$7</f>
        <v/>
      </c>
      <c r="FI3">
        <f>1-'計算A'!BK$7</f>
        <v/>
      </c>
      <c r="FJ3">
        <f>1-'計算A'!BL$7</f>
        <v/>
      </c>
      <c r="FK3">
        <f>1-'計算A'!BM$7</f>
        <v/>
      </c>
      <c r="FL3">
        <f>1-'計算A'!BN$7</f>
        <v/>
      </c>
      <c r="FM3">
        <f>1-'計算A'!BO$7</f>
        <v/>
      </c>
      <c r="FN3">
        <f>1-'計算A'!BP$7</f>
        <v/>
      </c>
      <c r="FO3">
        <f>1-'計算A'!BQ$7</f>
        <v/>
      </c>
      <c r="FP3">
        <f>1-'計算A'!BR$7</f>
        <v/>
      </c>
      <c r="FQ3">
        <f>1-'計算A'!BS$7</f>
        <v/>
      </c>
      <c r="FR3">
        <f>1-'計算A'!BT$7</f>
        <v/>
      </c>
      <c r="FS3">
        <f>1-'計算A'!BU$7</f>
        <v/>
      </c>
      <c r="FT3">
        <f>1-'計算A'!BV$7</f>
        <v/>
      </c>
      <c r="FU3">
        <f>1-'計算A'!BW$7</f>
        <v/>
      </c>
      <c r="FV3">
        <f>1-'計算A'!BX$7</f>
        <v/>
      </c>
      <c r="FW3">
        <f>1-'計算A'!BY$7</f>
        <v/>
      </c>
      <c r="FX3">
        <f>1-'計算A'!BZ$7</f>
        <v/>
      </c>
      <c r="FY3">
        <f>1-'計算A'!CA$7</f>
        <v/>
      </c>
      <c r="FZ3">
        <f>1-'計算A'!CB$7</f>
        <v/>
      </c>
      <c r="GA3">
        <f>1-'計算A'!CC$7</f>
        <v/>
      </c>
      <c r="GB3">
        <f>1-'計算A'!CD$7</f>
        <v/>
      </c>
      <c r="GC3">
        <f>1-'計算A'!CE$7</f>
        <v/>
      </c>
      <c r="GD3">
        <f>1-'計算A'!CF$7</f>
        <v/>
      </c>
      <c r="GE3">
        <f>1-'計算A'!CG$7</f>
        <v/>
      </c>
      <c r="GF3">
        <f>1-'計算A'!CH$7</f>
        <v/>
      </c>
      <c r="GG3">
        <f>1-'計算A'!CI$7</f>
        <v/>
      </c>
      <c r="GH3">
        <f>1-'計算A'!CJ$7</f>
        <v/>
      </c>
      <c r="GI3">
        <f>1-'計算A'!CK$7</f>
        <v/>
      </c>
      <c r="GJ3">
        <f>1-'計算A'!CL$7</f>
        <v/>
      </c>
      <c r="GK3">
        <f>1-'計算A'!CM$7</f>
        <v/>
      </c>
      <c r="GL3">
        <f>1-'計算A'!CN$7</f>
        <v/>
      </c>
      <c r="GM3">
        <f>1-'計算A'!CO$7</f>
        <v/>
      </c>
      <c r="GN3">
        <f>1-'計算A'!CP$7</f>
        <v/>
      </c>
      <c r="GO3">
        <f>1-'計算A'!CQ$7</f>
        <v/>
      </c>
      <c r="GP3">
        <f>1-'計算A'!CR$7</f>
        <v/>
      </c>
      <c r="GQ3">
        <f>1-'計算A'!CS$7</f>
        <v/>
      </c>
      <c r="GR3">
        <f>1-'計算A'!CT$7</f>
        <v/>
      </c>
      <c r="GS3">
        <f>1-'計算A'!CU$7</f>
        <v/>
      </c>
      <c r="GT3">
        <f>1-'計算A'!CV$7</f>
        <v/>
      </c>
      <c r="GU3">
        <f>1-'計算A'!CW$7</f>
        <v/>
      </c>
      <c r="GV3">
        <f>1-'計算A'!CX$7</f>
        <v/>
      </c>
      <c r="GW3">
        <f>1-'計算A'!CY$7</f>
        <v/>
      </c>
      <c r="GX3">
        <f>1-'計算A'!CZ$7</f>
        <v/>
      </c>
      <c r="GY3">
        <f>1-'計算A'!DA$7</f>
        <v/>
      </c>
      <c r="GZ3">
        <f>1-'計算A'!DB$7</f>
        <v/>
      </c>
      <c r="HA3">
        <f>1-'計算A'!DC$7</f>
        <v/>
      </c>
      <c r="HB3">
        <f>1-'計算A'!DD$7</f>
        <v/>
      </c>
      <c r="HC3">
        <f>1-'計算A'!DE$7</f>
        <v/>
      </c>
      <c r="HD3">
        <f>1-'計算A'!DF$7</f>
        <v/>
      </c>
      <c r="HE3">
        <f>1-'計算A'!DG$7</f>
        <v/>
      </c>
      <c r="HF3">
        <f>1-'計算A'!DH$7</f>
        <v/>
      </c>
      <c r="HG3">
        <f>1-'計算A'!DI$7</f>
        <v/>
      </c>
      <c r="HH3">
        <f>1-'計算A'!DJ$7</f>
        <v/>
      </c>
      <c r="HI3">
        <f>1-'計算A'!DK$7</f>
        <v/>
      </c>
      <c r="HJ3">
        <f>1-'計算A'!DL$7</f>
        <v/>
      </c>
      <c r="HK3">
        <f>1-'計算A'!DM$7</f>
        <v/>
      </c>
      <c r="HL3">
        <f>1-'計算A'!DN$7</f>
        <v/>
      </c>
      <c r="HM3">
        <f>1-'計算A'!DO$7</f>
        <v/>
      </c>
      <c r="HN3">
        <f>1-'計算A'!DP$7</f>
        <v/>
      </c>
      <c r="HO3">
        <f>1-'計算A'!DQ$7</f>
        <v/>
      </c>
      <c r="HP3">
        <f>1-'計算A'!DR$7</f>
        <v/>
      </c>
      <c r="HQ3">
        <f>1-'計算A'!DS$7</f>
        <v/>
      </c>
      <c r="HR3">
        <f>1-'計算A'!DT$7</f>
        <v/>
      </c>
      <c r="HS3">
        <f>1-'計算A'!DU$7</f>
        <v/>
      </c>
      <c r="HT3">
        <f>1-'計算A'!DV$7</f>
        <v/>
      </c>
      <c r="HU3">
        <f>1-'計算A'!DW$7</f>
        <v/>
      </c>
      <c r="HV3">
        <f>1-'計算A'!DX$7</f>
        <v/>
      </c>
      <c r="HW3">
        <f>1-'計算A'!DY$7</f>
        <v/>
      </c>
      <c r="HX3">
        <f>1-'計算A'!DZ$7</f>
        <v/>
      </c>
      <c r="HY3">
        <f>1-'計算A'!EA$7</f>
        <v/>
      </c>
      <c r="HZ3">
        <f>1-'計算A'!EB$7</f>
        <v/>
      </c>
      <c r="IA3">
        <f>1-'計算A'!EC$7</f>
        <v/>
      </c>
      <c r="IB3">
        <f>1-'計算A'!ED$7</f>
        <v/>
      </c>
      <c r="IC3">
        <f>1-'計算A'!EE$7</f>
        <v/>
      </c>
      <c r="ID3">
        <f>1-'計算A'!EF$7</f>
        <v/>
      </c>
      <c r="IE3">
        <f>1-'計算A'!EG$7</f>
        <v/>
      </c>
      <c r="IF3">
        <f>1-'計算A'!EH$7</f>
        <v/>
      </c>
      <c r="IG3">
        <f>1-'計算A'!EI$7</f>
        <v/>
      </c>
      <c r="IH3">
        <f>1-'計算A'!EJ$7</f>
        <v/>
      </c>
      <c r="II3">
        <f>1-'計算A'!EK$7</f>
        <v/>
      </c>
      <c r="IJ3">
        <f>1-'計算A'!EL$7</f>
        <v/>
      </c>
      <c r="IK3">
        <f>1-'計算A'!EM$7</f>
        <v/>
      </c>
      <c r="IL3">
        <f>1-'計算A'!EN$7</f>
        <v/>
      </c>
      <c r="IM3">
        <f>1-'計算A'!EO$7</f>
        <v/>
      </c>
      <c r="IN3">
        <f>1-'計算A'!EP$7</f>
        <v/>
      </c>
      <c r="IO3">
        <f>1-'計算A'!EQ$7</f>
        <v/>
      </c>
      <c r="IQ3">
        <f>IF('計算A'!D$106=1,DC3,1)</f>
        <v/>
      </c>
      <c r="IR3">
        <f>IF('計算A'!E$106=1,DD3,1)</f>
        <v/>
      </c>
      <c r="IS3">
        <f>IF('計算A'!F$106=1,DE3,1)</f>
        <v/>
      </c>
      <c r="IT3">
        <f>IF('計算A'!G$106=1,DF3,1)</f>
        <v/>
      </c>
      <c r="IU3">
        <f>IF('計算A'!H$106=1,DG3,1)</f>
        <v/>
      </c>
      <c r="IV3">
        <f>IF('計算A'!I$106=1,DH3,1)</f>
        <v/>
      </c>
      <c r="IW3">
        <f>IF('計算A'!J$106=1,DI3,1)</f>
        <v/>
      </c>
      <c r="IX3">
        <f>IF('計算A'!K$106=1,DJ3,1)</f>
        <v/>
      </c>
      <c r="IY3">
        <f>IF('計算A'!L$106=1,DK3,1)</f>
        <v/>
      </c>
      <c r="IZ3">
        <f>IF('計算A'!M$106=1,DL3,1)</f>
        <v/>
      </c>
      <c r="JA3">
        <f>IF('計算A'!N$106=1,DM3,1)</f>
        <v/>
      </c>
      <c r="JB3">
        <f>IF('計算A'!O$106=1,DN3,1)</f>
        <v/>
      </c>
      <c r="JC3">
        <f>IF('計算A'!P$106=1,DO3,1)</f>
        <v/>
      </c>
      <c r="JD3">
        <f>IF('計算A'!Q$106=1,DP3,1)</f>
        <v/>
      </c>
      <c r="JE3">
        <f>IF('計算A'!R$106=1,DQ3,1)</f>
        <v/>
      </c>
      <c r="JF3">
        <f>IF('計算A'!S$106=1,DR3,1)</f>
        <v/>
      </c>
      <c r="JG3">
        <f>IF('計算A'!T$106=1,DS3,1)</f>
        <v/>
      </c>
      <c r="JH3">
        <f>IF('計算A'!U$106=1,DT3,1)</f>
        <v/>
      </c>
      <c r="JI3">
        <f>IF('計算A'!V$106=1,DU3,1)</f>
        <v/>
      </c>
      <c r="JJ3">
        <f>IF('計算A'!W$106=1,DV3,1)</f>
        <v/>
      </c>
      <c r="JK3">
        <f>IF('計算A'!X$106=1,DW3,1)</f>
        <v/>
      </c>
      <c r="JL3">
        <f>IF('計算A'!Y$106=1,DX3,1)</f>
        <v/>
      </c>
      <c r="JM3">
        <f>IF('計算A'!Z$106=1,DY3,1)</f>
        <v/>
      </c>
      <c r="JN3">
        <f>IF('計算A'!AA$106=1,DZ3,1)</f>
        <v/>
      </c>
      <c r="JO3">
        <f>IF('計算A'!AB$106=1,EA3,1)</f>
        <v/>
      </c>
      <c r="JP3">
        <f>IF('計算A'!AC$106=1,EB3,1)</f>
        <v/>
      </c>
      <c r="JQ3">
        <f>IF('計算A'!AD$106=1,EC3,1)</f>
        <v/>
      </c>
      <c r="JR3">
        <f>IF('計算A'!AE$106=1,ED3,1)</f>
        <v/>
      </c>
      <c r="JS3">
        <f>IF('計算A'!AF$106=1,EE3,1)</f>
        <v/>
      </c>
      <c r="JT3">
        <f>IF('計算A'!AG$106=1,EF3,1)</f>
        <v/>
      </c>
      <c r="JU3">
        <f>IF('計算A'!AH$106=1,EG3,1)</f>
        <v/>
      </c>
      <c r="JV3">
        <f>IF('計算A'!AI$106=1,EH3,1)</f>
        <v/>
      </c>
      <c r="JW3">
        <f>IF('計算A'!AJ$106=1,EI3,1)</f>
        <v/>
      </c>
      <c r="JX3">
        <f>IF('計算A'!AK$106=1,EJ3,1)</f>
        <v/>
      </c>
      <c r="JY3">
        <f>IF('計算A'!AL$106=1,EK3,1)</f>
        <v/>
      </c>
      <c r="JZ3">
        <f>IF('計算A'!AM$106=1,EL3,1)</f>
        <v/>
      </c>
      <c r="KA3">
        <f>IF('計算A'!AN$106=1,EM3,1)</f>
        <v/>
      </c>
      <c r="KB3">
        <f>IF('計算A'!AO$106=1,EN3,1)</f>
        <v/>
      </c>
      <c r="KC3">
        <f>IF('計算A'!AP$106=1,EO3,1)</f>
        <v/>
      </c>
      <c r="KD3">
        <f>IF('計算A'!AQ$106=1,EP3,1)</f>
        <v/>
      </c>
      <c r="KE3">
        <f>IF('計算A'!AR$106=1,EQ3,1)</f>
        <v/>
      </c>
      <c r="KF3">
        <f>IF('計算A'!AS$106=1,ER3,1)</f>
        <v/>
      </c>
      <c r="KG3">
        <f>IF('計算A'!AT$106=1,ES3,1)</f>
        <v/>
      </c>
      <c r="KH3">
        <f>IF('計算A'!AU$106=1,ET3,1)</f>
        <v/>
      </c>
      <c r="KI3">
        <f>IF('計算A'!AV$106=1,EU3,1)</f>
        <v/>
      </c>
      <c r="KJ3">
        <f>IF('計算A'!AW$106=1,EV3,1)</f>
        <v/>
      </c>
      <c r="KK3">
        <f>IF('計算A'!AX$106=1,EW3,1)</f>
        <v/>
      </c>
      <c r="KL3">
        <f>IF('計算A'!AY$106=1,EX3,1)</f>
        <v/>
      </c>
      <c r="KM3">
        <f>IF('計算A'!AZ$106=1,EY3,1)</f>
        <v/>
      </c>
      <c r="KN3">
        <f>IF('計算A'!BA$106=1,EZ3,1)</f>
        <v/>
      </c>
      <c r="KO3">
        <f>IF('計算A'!BB$106=1,FA3,1)</f>
        <v/>
      </c>
      <c r="KP3">
        <f>IF('計算A'!BC$106=1,FB3,1)</f>
        <v/>
      </c>
      <c r="KQ3">
        <f>IF('計算A'!BD$106=1,FC3,1)</f>
        <v/>
      </c>
      <c r="KR3">
        <f>IF('計算A'!BE$106=1,FD3,1)</f>
        <v/>
      </c>
      <c r="KS3">
        <f>IF('計算A'!BF$106=1,FE3,1)</f>
        <v/>
      </c>
      <c r="KT3">
        <f>IF('計算A'!BG$106=1,FF3,1)</f>
        <v/>
      </c>
      <c r="KU3">
        <f>IF('計算A'!BH$106=1,FG3,1)</f>
        <v/>
      </c>
      <c r="KV3">
        <f>IF('計算A'!BI$106=1,FH3,1)</f>
        <v/>
      </c>
      <c r="KW3">
        <f>IF('計算A'!BJ$106=1,FI3,1)</f>
        <v/>
      </c>
      <c r="KX3">
        <f>IF('計算A'!BK$106=1,FJ3,1)</f>
        <v/>
      </c>
      <c r="KY3">
        <f>IF('計算A'!BL$106=1,FK3,1)</f>
        <v/>
      </c>
      <c r="KZ3">
        <f>IF('計算A'!BM$106=1,FL3,1)</f>
        <v/>
      </c>
      <c r="LA3">
        <f>IF('計算A'!BN$106=1,FM3,1)</f>
        <v/>
      </c>
      <c r="LB3">
        <f>IF('計算A'!BO$106=1,FN3,1)</f>
        <v/>
      </c>
      <c r="LC3">
        <f>IF('計算A'!BP$106=1,FO3,1)</f>
        <v/>
      </c>
      <c r="LD3">
        <f>IF('計算A'!BQ$106=1,FP3,1)</f>
        <v/>
      </c>
      <c r="LE3">
        <f>IF('計算A'!BR$106=1,FQ3,1)</f>
        <v/>
      </c>
      <c r="LF3">
        <f>IF('計算A'!BS$106=1,FR3,1)</f>
        <v/>
      </c>
      <c r="LG3">
        <f>IF('計算A'!BT$106=1,FS3,1)</f>
        <v/>
      </c>
      <c r="LH3">
        <f>IF('計算A'!BU$106=1,FT3,1)</f>
        <v/>
      </c>
      <c r="LI3">
        <f>IF('計算A'!BV$106=1,FU3,1)</f>
        <v/>
      </c>
      <c r="LJ3">
        <f>IF('計算A'!BW$106=1,FV3,1)</f>
        <v/>
      </c>
      <c r="LK3">
        <f>IF('計算A'!BX$106=1,FW3,1)</f>
        <v/>
      </c>
      <c r="LL3">
        <f>IF('計算A'!BY$106=1,FX3,1)</f>
        <v/>
      </c>
      <c r="LM3">
        <f>IF('計算A'!BZ$106=1,FY3,1)</f>
        <v/>
      </c>
      <c r="LN3">
        <f>IF('計算A'!CA$106=1,FZ3,1)</f>
        <v/>
      </c>
      <c r="LO3">
        <f>IF('計算A'!CB$106=1,GA3,1)</f>
        <v/>
      </c>
      <c r="LP3">
        <f>IF('計算A'!CC$106=1,GB3,1)</f>
        <v/>
      </c>
      <c r="LQ3">
        <f>IF('計算A'!CD$106=1,GC3,1)</f>
        <v/>
      </c>
      <c r="LR3">
        <f>IF('計算A'!CE$106=1,GD3,1)</f>
        <v/>
      </c>
      <c r="LS3">
        <f>IF('計算A'!CF$106=1,GE3,1)</f>
        <v/>
      </c>
      <c r="LT3">
        <f>IF('計算A'!CG$106=1,GF3,1)</f>
        <v/>
      </c>
      <c r="LU3">
        <f>IF('計算A'!CH$106=1,GG3,1)</f>
        <v/>
      </c>
      <c r="LV3">
        <f>IF('計算A'!CI$106=1,GH3,1)</f>
        <v/>
      </c>
      <c r="LW3">
        <f>IF('計算A'!CJ$106=1,GI3,1)</f>
        <v/>
      </c>
      <c r="LX3">
        <f>IF('計算A'!CK$106=1,GJ3,1)</f>
        <v/>
      </c>
      <c r="LY3">
        <f>IF('計算A'!CL$106=1,GK3,1)</f>
        <v/>
      </c>
      <c r="LZ3">
        <f>IF('計算A'!CM$106=1,GL3,1)</f>
        <v/>
      </c>
      <c r="MA3">
        <f>IF('計算A'!CN$106=1,GM3,1)</f>
        <v/>
      </c>
      <c r="MB3">
        <f>IF('計算A'!CO$106=1,GN3,1)</f>
        <v/>
      </c>
      <c r="MC3">
        <f>IF('計算A'!CP$106=1,GO3,1)</f>
        <v/>
      </c>
      <c r="MD3">
        <f>IF('計算A'!CQ$106=1,GP3,1)</f>
        <v/>
      </c>
      <c r="ME3">
        <f>IF('計算A'!CR$106=1,GQ3,1)</f>
        <v/>
      </c>
      <c r="MF3">
        <f>IF('計算A'!CS$106=1,GR3,1)</f>
        <v/>
      </c>
      <c r="MG3">
        <f>IF('計算A'!CT$106=1,GS3,1)</f>
        <v/>
      </c>
      <c r="MH3">
        <f>IF('計算A'!CU$106=1,GT3,1)</f>
        <v/>
      </c>
      <c r="MI3">
        <f>IF('計算A'!CV$106=1,GU3,1)</f>
        <v/>
      </c>
      <c r="MJ3">
        <f>IF('計算A'!CW$106=1,GV3,1)</f>
        <v/>
      </c>
      <c r="MK3">
        <f>IF('計算A'!CX$106=1,GW3,1)</f>
        <v/>
      </c>
      <c r="ML3">
        <f>IF('計算A'!CY$106=1,GX3,1)</f>
        <v/>
      </c>
      <c r="MM3">
        <f>IF('計算A'!CZ$106=1,GY3,1)</f>
        <v/>
      </c>
      <c r="MN3">
        <f>IF('計算A'!DA$106=1,GZ3,1)</f>
        <v/>
      </c>
      <c r="MO3">
        <f>IF('計算A'!DB$106=1,HA3,1)</f>
        <v/>
      </c>
      <c r="MP3">
        <f>IF('計算A'!DC$106=1,HB3,1)</f>
        <v/>
      </c>
      <c r="MQ3">
        <f>IF('計算A'!DD$106=1,HC3,1)</f>
        <v/>
      </c>
      <c r="MR3">
        <f>IF('計算A'!DE$106=1,HD3,1)</f>
        <v/>
      </c>
      <c r="MS3">
        <f>IF('計算A'!DF$106=1,HE3,1)</f>
        <v/>
      </c>
      <c r="MT3">
        <f>IF('計算A'!DG$106=1,HF3,1)</f>
        <v/>
      </c>
      <c r="MU3">
        <f>IF('計算A'!DH$106=1,HG3,1)</f>
        <v/>
      </c>
      <c r="MV3">
        <f>IF('計算A'!DI$106=1,HH3,1)</f>
        <v/>
      </c>
      <c r="MW3">
        <f>IF('計算A'!DJ$106=1,HI3,1)</f>
        <v/>
      </c>
      <c r="MX3">
        <f>IF('計算A'!DK$106=1,HJ3,1)</f>
        <v/>
      </c>
      <c r="MY3">
        <f>IF('計算A'!DL$106=1,HK3,1)</f>
        <v/>
      </c>
      <c r="MZ3">
        <f>IF('計算A'!DM$106=1,HL3,1)</f>
        <v/>
      </c>
      <c r="NA3">
        <f>IF('計算A'!DN$106=1,HM3,1)</f>
        <v/>
      </c>
      <c r="NB3">
        <f>IF('計算A'!DO$106=1,HN3,1)</f>
        <v/>
      </c>
      <c r="NC3">
        <f>IF('計算A'!DP$106=1,HO3,1)</f>
        <v/>
      </c>
      <c r="ND3">
        <f>IF('計算A'!DQ$106=1,HP3,1)</f>
        <v/>
      </c>
      <c r="NE3">
        <f>IF('計算A'!DR$106=1,HQ3,1)</f>
        <v/>
      </c>
      <c r="NF3">
        <f>IF('計算A'!DS$106=1,HR3,1)</f>
        <v/>
      </c>
      <c r="NG3">
        <f>IF('計算A'!DT$106=1,HS3,1)</f>
        <v/>
      </c>
      <c r="NH3">
        <f>IF('計算A'!DU$106=1,HT3,1)</f>
        <v/>
      </c>
      <c r="NI3">
        <f>IF('計算A'!DV$106=1,HU3,1)</f>
        <v/>
      </c>
      <c r="NJ3">
        <f>IF('計算A'!DW$106=1,HV3,1)</f>
        <v/>
      </c>
      <c r="NK3">
        <f>IF('計算A'!DX$106=1,HW3,1)</f>
        <v/>
      </c>
      <c r="NL3">
        <f>IF('計算A'!DY$106=1,HX3,1)</f>
        <v/>
      </c>
      <c r="NM3">
        <f>IF('計算A'!DZ$106=1,HY3,1)</f>
        <v/>
      </c>
      <c r="NN3">
        <f>IF('計算A'!EA$106=1,HZ3,1)</f>
        <v/>
      </c>
      <c r="NO3">
        <f>IF('計算A'!EB$106=1,IA3,1)</f>
        <v/>
      </c>
      <c r="NP3">
        <f>IF('計算A'!EC$106=1,IB3,1)</f>
        <v/>
      </c>
      <c r="NQ3">
        <f>IF('計算A'!ED$106=1,IC3,1)</f>
        <v/>
      </c>
      <c r="NR3">
        <f>IF('計算A'!EE$106=1,ID3,1)</f>
        <v/>
      </c>
      <c r="NS3">
        <f>IF('計算A'!EF$106=1,IE3,1)</f>
        <v/>
      </c>
      <c r="NT3">
        <f>IF('計算A'!EG$106=1,IF3,1)</f>
        <v/>
      </c>
      <c r="NU3">
        <f>IF('計算A'!EH$106=1,IG3,1)</f>
        <v/>
      </c>
      <c r="NV3">
        <f>IF('計算A'!EI$106=1,IH3,1)</f>
        <v/>
      </c>
      <c r="NW3">
        <f>IF('計算A'!EJ$106=1,II3,1)</f>
        <v/>
      </c>
      <c r="NX3">
        <f>IF('計算A'!EK$106=1,IJ3,1)</f>
        <v/>
      </c>
      <c r="NY3">
        <f>IF('計算A'!EL$106=1,IK3,1)</f>
        <v/>
      </c>
      <c r="NZ3">
        <f>IF('計算A'!EM$106=1,IL3,1)</f>
        <v/>
      </c>
      <c r="OA3">
        <f>IF('計算A'!EN$106=1,IM3,1)</f>
        <v/>
      </c>
      <c r="OB3">
        <f>IF('計算A'!EO$106=1,IN3,1)</f>
        <v/>
      </c>
      <c r="OC3">
        <f>IF('計算A'!EP$106=1,IO3,1)</f>
        <v/>
      </c>
      <c r="OD3" t="n">
        <v>1</v>
      </c>
      <c r="OF3">
        <f>IF($B3=0,1000000,IF(INDEX('計算A'!$D$60:$EQ$104,$B3,1)*DB3=1,IF(AND($E3=2,IQ3=0),1000000,IF($I3&gt;0,IF(1=$J3,IF(OR(AND(1=$I3+1,OR($K3&lt;&gt;'計算A'!$A$3,'計算A'!$A$4=0)),AND(1=$I3-1,OR(1&lt;&gt;'計算A'!$A$3,'計算A'!$A$4=0))),0,IF(1=$K3,200000,ABS(1-$K3)*100)),100000+ABS(1-$J3)*1000+10)+'計算A'!D$5*50+IF(AND($E3=1,IQ3=0),25,0),INDEX('計算A'!D$110:D$114,$F3+1)+IF(AND($E3=1,IQ3=0),1000,0)+IF($H3=1,(IF('計算A'!D$117=1,INDEX('計算A'!E$10:E$54,$B3),0))*500,0)-IF(AND($L3=1,'計算A'!D$117=1,DC3=0),300,0))),1000000))</f>
        <v/>
      </c>
      <c r="OG3">
        <f>IF($B3=0,1000000,IF(INDEX('計算A'!$D$60:$EQ$104,$B3,2)*DC3=1,IF(AND($E3=2,IR3=0),1000000,IF($I3&gt;0,IF(1=$J3,IF(OR(AND(2=$I3+1,OR($K3&lt;&gt;'計算A'!$A$3,'計算A'!$A$4=0)),AND(2=$I3-1,OR(2&lt;&gt;'計算A'!$A$3,'計算A'!$A$4=0))),0,IF(2=$K3,200000,ABS(2-$K3)*100)),100000+ABS(1-$J3)*1000+20)+'計算A'!E$5*50+IF(AND($E3=1,IR3=0),25,0),INDEX('計算A'!E$110:E$114,$F3+1)+IF(AND($E3=1,IR3=0),1000,0)+IF($H3=1,(IF('計算A'!D$117=1,INDEX('計算A'!D$10:D$54,$B3),0)+IF('計算A'!E$117=1,INDEX('計算A'!F$10:F$54,$B3),0))*500,0)-IF(AND('計算A'!D$117=1,UB3&gt;0),300,0)-IF(AND($L3=1,'計算A'!E$117=1,DD3=0),300,0))),1000000))</f>
        <v/>
      </c>
      <c r="OH3">
        <f>IF($B3=0,1000000,IF(INDEX('計算A'!$D$60:$EQ$104,$B3,3)*DD3=1,IF(AND($E3=2,IS3=0),1000000,IF($I3&gt;0,IF(1=$J3,IF(OR(AND(3=$I3+1,OR($K3&lt;&gt;'計算A'!$A$3,'計算A'!$A$4=0)),AND(3=$I3-1,OR(3&lt;&gt;'計算A'!$A$3,'計算A'!$A$4=0))),0,IF(3=$K3,200000,ABS(3-$K3)*100)),100000+ABS(1-$J3)*1000+30)+'計算A'!F$5*50+IF(AND($E3=1,IS3=0),25,0),INDEX('計算A'!F$110:F$114,$F3+1)+IF(AND($E3=1,IS3=0),1000,0)+IF($H3=1,(IF('計算A'!E$117=1,INDEX('計算A'!E$10:E$54,$B3),0)+IF('計算A'!F$117=1,INDEX('計算A'!G$10:G$54,$B3),0))*500,0)-IF(AND('計算A'!E$117=1,UC3&gt;0),300,0)-IF(AND($L3=1,'計算A'!F$117=1,DE3=0),300,0))),1000000))</f>
        <v/>
      </c>
      <c r="OI3">
        <f>IF($B3=0,1000000,IF(INDEX('計算A'!$D$60:$EQ$104,$B3,4)*DE3=1,IF(AND($E3=2,IT3=0),1000000,IF($I3&gt;0,IF(1=$J3,IF(OR(AND(4=$I3+1,OR($K3&lt;&gt;'計算A'!$A$3,'計算A'!$A$4=0)),AND(4=$I3-1,OR(4&lt;&gt;'計算A'!$A$3,'計算A'!$A$4=0))),0,IF(4=$K3,200000,ABS(4-$K3)*100)),100000+ABS(1-$J3)*1000+40)+'計算A'!G$5*50+IF(AND($E3=1,IT3=0),25,0),INDEX('計算A'!G$110:G$114,$F3+1)+IF(AND($E3=1,IT3=0),1000,0)+IF($H3=1,(IF('計算A'!F$117=1,INDEX('計算A'!F$10:F$54,$B3),0)+IF('計算A'!G$117=1,INDEX('計算A'!H$10:H$54,$B3),0))*500,0)-IF(AND('計算A'!F$117=1,UD3&gt;0),300,0)-IF(AND($L3=1,'計算A'!G$117=1,DF3=0),300,0))),1000000))</f>
        <v/>
      </c>
      <c r="OJ3">
        <f>IF($B3=0,1000000,IF(INDEX('計算A'!$D$60:$EQ$104,$B3,5)*DF3=1,IF(AND($E3=2,IU3=0),1000000,IF($I3&gt;0,IF(1=$J3,IF(OR(AND(5=$I3+1,OR($K3&lt;&gt;'計算A'!$A$3,'計算A'!$A$4=0)),AND(5=$I3-1,OR(5&lt;&gt;'計算A'!$A$3,'計算A'!$A$4=0))),0,IF(5=$K3,200000,ABS(5-$K3)*100)),100000+ABS(1-$J3)*1000+50)+'計算A'!H$5*50+IF(AND($E3=1,IU3=0),25,0),INDEX('計算A'!H$110:H$114,$F3+1)+IF(AND($E3=1,IU3=0),1000,0)+IF($H3=1,(IF('計算A'!G$117=1,INDEX('計算A'!G$10:G$54,$B3),0)+IF('計算A'!H$117=1,INDEX('計算A'!I$10:I$54,$B3),0))*500,0)-IF(AND('計算A'!G$117=1,UE3&gt;0),300,0)-IF(AND($L3=1,'計算A'!H$117=1,DG3=0),300,0))),1000000))</f>
        <v/>
      </c>
      <c r="OK3">
        <f>IF($B3=0,1000000,IF(INDEX('計算A'!$D$60:$EQ$104,$B3,6)*DG3=1,IF(AND($E3=2,IV3=0),1000000,IF($I3&gt;0,IF(1=$J3,IF(OR(AND(6=$I3+1,OR($K3&lt;&gt;'計算A'!$A$3,'計算A'!$A$4=0)),AND(6=$I3-1,OR(6&lt;&gt;'計算A'!$A$3,'計算A'!$A$4=0))),0,IF(6=$K3,200000,ABS(6-$K3)*100)),100000+ABS(1-$J3)*1000+60)+'計算A'!I$5*50+IF(AND($E3=1,IV3=0),25,0),INDEX('計算A'!I$110:I$114,$F3+1)+IF(AND($E3=1,IV3=0),1000,0)+IF($H3=1,(IF('計算A'!H$117=1,INDEX('計算A'!H$10:H$54,$B3),0)+IF('計算A'!I$117=1,INDEX('計算A'!J$10:J$54,$B3),0))*500,0)-IF(AND('計算A'!H$117=1,UF3&gt;0),300,0)-IF(AND($L3=1,'計算A'!I$117=1,DH3=0),300,0))),1000000))</f>
        <v/>
      </c>
      <c r="OL3">
        <f>IF($B3=0,1000000,IF(INDEX('計算A'!$D$60:$EQ$104,$B3,7)*DH3=1,IF(AND($E3=2,IW3=0),1000000,IF($I3&gt;0,IF(1=$J3,IF(OR(AND(7=$I3+1,OR($K3&lt;&gt;'計算A'!$A$3,'計算A'!$A$4=0)),AND(7=$I3-1,OR(7&lt;&gt;'計算A'!$A$3,'計算A'!$A$4=0))),0,IF(7=$K3,200000,ABS(7-$K3)*100)),100000+ABS(1-$J3)*1000+70)+'計算A'!J$5*50+IF(AND($E3=1,IW3=0),25,0),INDEX('計算A'!J$110:J$114,$F3+1)+IF(AND($E3=1,IW3=0),1000,0)+IF($H3=1,(IF('計算A'!I$117=1,INDEX('計算A'!I$10:I$54,$B3),0)+IF('計算A'!J$117=1,INDEX('計算A'!K$10:K$54,$B3),0))*500,0)-IF(AND('計算A'!I$117=1,UG3&gt;0),300,0)-IF(AND($L3=1,'計算A'!J$117=1,DI3=0),300,0))),1000000))</f>
        <v/>
      </c>
      <c r="OM3">
        <f>IF($B3=0,1000000,IF(INDEX('計算A'!$D$60:$EQ$104,$B3,8)*DI3=1,IF(AND($E3=2,IX3=0),1000000,IF($I3&gt;0,IF(1=$J3,IF(OR(AND(8=$I3+1,OR($K3&lt;&gt;'計算A'!$A$3,'計算A'!$A$4=0)),AND(8=$I3-1,OR(8&lt;&gt;'計算A'!$A$3,'計算A'!$A$4=0))),0,IF(8=$K3,200000,ABS(8-$K3)*100)),100000+ABS(1-$J3)*1000+80)+'計算A'!K$5*50+IF(AND($E3=1,IX3=0),25,0),INDEX('計算A'!K$110:K$114,$F3+1)+IF(AND($E3=1,IX3=0),1000,0)+IF($H3=1,(IF('計算A'!J$117=1,INDEX('計算A'!J$10:J$54,$B3),0)+IF('計算A'!K$117=1,INDEX('計算A'!L$10:L$54,$B3),0))*500,0)-IF(AND('計算A'!J$117=1,UH3&gt;0),300,0)-IF(AND($L3=1,'計算A'!K$117=1,DJ3=0),300,0))),1000000))</f>
        <v/>
      </c>
      <c r="ON3">
        <f>IF($B3=0,1000000,IF(INDEX('計算A'!$D$60:$EQ$104,$B3,9)*DJ3=1,IF(AND($E3=2,IY3=0),1000000,IF($I3&gt;0,IF(1=$J3,IF(OR(AND(9=$I3+1,OR($K3&lt;&gt;'計算A'!$A$3,'計算A'!$A$4=0)),AND(9=$I3-1,OR(9&lt;&gt;'計算A'!$A$3,'計算A'!$A$4=0))),0,IF(9=$K3,200000,ABS(9-$K3)*100)),100000+ABS(1-$J3)*1000+90)+'計算A'!L$5*50+IF(AND($E3=1,IY3=0),25,0),INDEX('計算A'!L$110:L$114,$F3+1)+IF(AND($E3=1,IY3=0),1000,0)+IF($H3=1,(IF('計算A'!K$117=1,INDEX('計算A'!K$10:K$54,$B3),0)+IF('計算A'!L$117=1,INDEX('計算A'!M$10:M$54,$B3),0))*500,0)-IF(AND('計算A'!K$117=1,UI3&gt;0),300,0)-IF(AND($L3=1,'計算A'!L$117=1,DK3=0),300,0))),1000000))</f>
        <v/>
      </c>
      <c r="OO3">
        <f>IF($B3=0,1000000,IF(INDEX('計算A'!$D$60:$EQ$104,$B3,10)*DK3=1,IF(AND($E3=2,IZ3=0),1000000,IF($I3&gt;0,IF(1=$J3,IF(OR(AND(10=$I3+1,OR($K3&lt;&gt;'計算A'!$A$3,'計算A'!$A$4=0)),AND(10=$I3-1,OR(10&lt;&gt;'計算A'!$A$3,'計算A'!$A$4=0))),0,IF(10=$K3,200000,ABS(10-$K3)*100)),100000+ABS(1-$J3)*1000+100)+'計算A'!M$5*50+IF(AND($E3=1,IZ3=0),25,0),INDEX('計算A'!M$110:M$114,$F3+1)+IF(AND($E3=1,IZ3=0),1000,0)+IF($H3=1,(IF('計算A'!L$117=1,INDEX('計算A'!L$10:L$54,$B3),0)+IF('計算A'!M$117=1,INDEX('計算A'!N$10:N$54,$B3),0))*500,0)-IF(AND('計算A'!L$117=1,UJ3&gt;0),300,0)-IF(AND($L3=1,'計算A'!M$117=1,DL3=0),300,0))),1000000))</f>
        <v/>
      </c>
      <c r="OP3">
        <f>IF($B3=0,1000000,IF(INDEX('計算A'!$D$60:$EQ$104,$B3,11)*DL3=1,IF(AND($E3=2,JA3=0),1000000,IF($I3&gt;0,IF(1=$J3,IF(OR(AND(11=$I3+1,OR($K3&lt;&gt;'計算A'!$A$3,'計算A'!$A$4=0)),AND(11=$I3-1,OR(11&lt;&gt;'計算A'!$A$3,'計算A'!$A$4=0))),0,IF(11=$K3,200000,ABS(11-$K3)*100)),100000+ABS(1-$J3)*1000+110)+'計算A'!N$5*50+IF(AND($E3=1,JA3=0),25,0),INDEX('計算A'!N$110:N$114,$F3+1)+IF(AND($E3=1,JA3=0),1000,0)+IF($H3=1,(IF('計算A'!M$117=1,INDEX('計算A'!M$10:M$54,$B3),0)+IF('計算A'!N$117=1,INDEX('計算A'!O$10:O$54,$B3),0))*500,0)-IF(AND('計算A'!M$117=1,UK3&gt;0),300,0)-IF(AND($L3=1,'計算A'!N$117=1,DM3=0),300,0))),1000000))</f>
        <v/>
      </c>
      <c r="OQ3">
        <f>IF($B3=0,1000000,IF(INDEX('計算A'!$D$60:$EQ$104,$B3,12)*DM3=1,IF(AND($E3=2,JB3=0),1000000,IF($I3&gt;0,IF(1=$J3,IF(OR(AND(12=$I3+1,OR($K3&lt;&gt;'計算A'!$A$3,'計算A'!$A$4=0)),AND(12=$I3-1,OR(12&lt;&gt;'計算A'!$A$3,'計算A'!$A$4=0))),0,IF(12=$K3,200000,ABS(12-$K3)*100)),100000+ABS(1-$J3)*1000+120)+'計算A'!O$5*50+IF(AND($E3=1,JB3=0),25,0),INDEX('計算A'!O$110:O$114,$F3+1)+IF(AND($E3=1,JB3=0),1000,0)+IF($H3=1,(IF('計算A'!N$117=1,INDEX('計算A'!N$10:N$54,$B3),0)+IF('計算A'!O$117=1,INDEX('計算A'!P$10:P$54,$B3),0))*500,0)-IF(AND('計算A'!N$117=1,UL3&gt;0),300,0)-IF(AND($L3=1,'計算A'!O$117=1,DN3=0),300,0))),1000000))</f>
        <v/>
      </c>
      <c r="OR3">
        <f>IF($B3=0,1000000,IF(INDEX('計算A'!$D$60:$EQ$104,$B3,13)*DN3=1,IF(AND($E3=2,JC3=0),1000000,IF($I3&gt;0,IF(1=$J3,IF(OR(AND(13=$I3+1,OR($K3&lt;&gt;'計算A'!$A$3,'計算A'!$A$4=0)),AND(13=$I3-1,OR(13&lt;&gt;'計算A'!$A$3,'計算A'!$A$4=0))),0,IF(13=$K3,200000,ABS(13-$K3)*100)),100000+ABS(1-$J3)*1000+130)+'計算A'!P$5*50+IF(AND($E3=1,JC3=0),25,0),INDEX('計算A'!P$110:P$114,$F3+1)+IF(AND($E3=1,JC3=0),1000,0)+IF($H3=1,(IF('計算A'!O$117=1,INDEX('計算A'!O$10:O$54,$B3),0)+IF('計算A'!P$117=1,INDEX('計算A'!Q$10:Q$54,$B3),0))*500,0)-IF(AND('計算A'!O$117=1,UM3&gt;0),300,0)-IF(AND($L3=1,'計算A'!P$117=1,DO3=0),300,0))),1000000))</f>
        <v/>
      </c>
      <c r="OS3">
        <f>IF($B3=0,1000000,IF(INDEX('計算A'!$D$60:$EQ$104,$B3,14)*DO3=1,IF(AND($E3=2,JD3=0),1000000,IF($I3&gt;0,IF(1=$J3,IF(OR(AND(14=$I3+1,OR($K3&lt;&gt;'計算A'!$A$3,'計算A'!$A$4=0)),AND(14=$I3-1,OR(14&lt;&gt;'計算A'!$A$3,'計算A'!$A$4=0))),0,IF(14=$K3,200000,ABS(14-$K3)*100)),100000+ABS(1-$J3)*1000+140)+'計算A'!Q$5*50+IF(AND($E3=1,JD3=0),25,0),INDEX('計算A'!Q$110:Q$114,$F3+1)+IF(AND($E3=1,JD3=0),1000,0)+IF($H3=1,(IF('計算A'!P$117=1,INDEX('計算A'!P$10:P$54,$B3),0)+IF('計算A'!Q$117=1,INDEX('計算A'!R$10:R$54,$B3),0))*500,0)-IF(AND('計算A'!P$117=1,UN3&gt;0),300,0)-IF(AND($L3=1,'計算A'!Q$117=1,DP3=0),300,0))),1000000))</f>
        <v/>
      </c>
      <c r="OT3">
        <f>IF($B3=0,1000000,IF(INDEX('計算A'!$D$60:$EQ$104,$B3,15)*DP3=1,IF(AND($E3=2,JE3=0),1000000,IF($I3&gt;0,IF(1=$J3,IF(OR(AND(15=$I3+1,OR($K3&lt;&gt;'計算A'!$A$3,'計算A'!$A$4=0)),AND(15=$I3-1,OR(15&lt;&gt;'計算A'!$A$3,'計算A'!$A$4=0))),0,IF(15=$K3,200000,ABS(15-$K3)*100)),100000+ABS(1-$J3)*1000+150)+'計算A'!R$5*50+IF(AND($E3=1,JE3=0),25,0),INDEX('計算A'!R$110:R$114,$F3+1)+IF(AND($E3=1,JE3=0),1000,0)+IF($H3=1,(IF('計算A'!Q$117=1,INDEX('計算A'!Q$10:Q$54,$B3),0)+IF('計算A'!R$117=1,INDEX('計算A'!S$10:S$54,$B3),0))*500,0)-IF(AND('計算A'!Q$117=1,UO3&gt;0),300,0)-IF(AND($L3=1,'計算A'!R$117=1,DQ3=0),300,0))),1000000))</f>
        <v/>
      </c>
      <c r="OU3">
        <f>IF($B3=0,1000000,IF(INDEX('計算A'!$D$60:$EQ$104,$B3,16)*DQ3=1,IF(AND($E3=2,JF3=0),1000000,IF($I3&gt;0,IF(1=$J3,IF(OR(AND(16=$I3+1,OR($K3&lt;&gt;'計算A'!$A$3,'計算A'!$A$4=0)),AND(16=$I3-1,OR(16&lt;&gt;'計算A'!$A$3,'計算A'!$A$4=0))),0,IF(16=$K3,200000,ABS(16-$K3)*100)),100000+ABS(1-$J3)*1000+160)+'計算A'!S$5*50+IF(AND($E3=1,JF3=0),25,0),INDEX('計算A'!S$110:S$114,$F3+1)+IF(AND($E3=1,JF3=0),1000,0)+IF($H3=1,(IF('計算A'!R$117=1,INDEX('計算A'!R$10:R$54,$B3),0)+IF('計算A'!S$117=1,INDEX('計算A'!T$10:T$54,$B3),0))*500,0)-IF(AND('計算A'!R$117=1,UP3&gt;0),300,0)-IF(AND($L3=1,'計算A'!S$117=1,DR3=0),300,0))),1000000))</f>
        <v/>
      </c>
      <c r="OV3">
        <f>IF($B3=0,1000000,IF(INDEX('計算A'!$D$60:$EQ$104,$B3,17)*DR3=1,IF(AND($E3=2,JG3=0),1000000,IF($I3&gt;0,IF(1=$J3,IF(OR(AND(17=$I3+1,OR($K3&lt;&gt;'計算A'!$A$3,'計算A'!$A$4=0)),AND(17=$I3-1,OR(17&lt;&gt;'計算A'!$A$3,'計算A'!$A$4=0))),0,IF(17=$K3,200000,ABS(17-$K3)*100)),100000+ABS(1-$J3)*1000+170)+'計算A'!T$5*50+IF(AND($E3=1,JG3=0),25,0),INDEX('計算A'!T$110:T$114,$F3+1)+IF(AND($E3=1,JG3=0),1000,0)+IF($H3=1,(IF('計算A'!S$117=1,INDEX('計算A'!S$10:S$54,$B3),0)+IF('計算A'!T$117=1,INDEX('計算A'!U$10:U$54,$B3),0))*500,0)-IF(AND('計算A'!S$117=1,UQ3&gt;0),300,0)-IF(AND($L3=1,'計算A'!T$117=1,DS3=0),300,0))),1000000))</f>
        <v/>
      </c>
      <c r="OW3">
        <f>IF($B3=0,1000000,IF(INDEX('計算A'!$D$60:$EQ$104,$B3,18)*DS3=1,IF(AND($E3=2,JH3=0),1000000,IF($I3&gt;0,IF(1=$J3,IF(OR(AND(18=$I3+1,OR($K3&lt;&gt;'計算A'!$A$3,'計算A'!$A$4=0)),AND(18=$I3-1,OR(18&lt;&gt;'計算A'!$A$3,'計算A'!$A$4=0))),0,IF(18=$K3,200000,ABS(18-$K3)*100)),100000+ABS(1-$J3)*1000+180)+'計算A'!U$5*50+IF(AND($E3=1,JH3=0),25,0),INDEX('計算A'!U$110:U$114,$F3+1)+IF(AND($E3=1,JH3=0),1000,0)+IF($H3=1,(IF('計算A'!T$117=1,INDEX('計算A'!T$10:T$54,$B3),0)+IF('計算A'!U$117=1,INDEX('計算A'!V$10:V$54,$B3),0))*500,0)-IF(AND('計算A'!T$117=1,UR3&gt;0),300,0)-IF(AND($L3=1,'計算A'!U$117=1,DT3=0),300,0))),1000000))</f>
        <v/>
      </c>
      <c r="OX3">
        <f>IF($B3=0,1000000,IF(INDEX('計算A'!$D$60:$EQ$104,$B3,19)*DT3=1,IF(AND($E3=2,JI3=0),1000000,IF($I3&gt;0,IF(1=$J3,IF(OR(AND(19=$I3+1,OR($K3&lt;&gt;'計算A'!$A$3,'計算A'!$A$4=0)),AND(19=$I3-1,OR(19&lt;&gt;'計算A'!$A$3,'計算A'!$A$4=0))),0,IF(19=$K3,200000,ABS(19-$K3)*100)),100000+ABS(1-$J3)*1000+190)+'計算A'!V$5*50+IF(AND($E3=1,JI3=0),25,0),INDEX('計算A'!V$110:V$114,$F3+1)+IF(AND($E3=1,JI3=0),1000,0)+IF($H3=1,(IF('計算A'!U$117=1,INDEX('計算A'!U$10:U$54,$B3),0)+IF('計算A'!V$117=1,INDEX('計算A'!W$10:W$54,$B3),0))*500,0)-IF(AND('計算A'!U$117=1,US3&gt;0),300,0)-IF(AND($L3=1,'計算A'!V$117=1,DU3=0),300,0))),1000000))</f>
        <v/>
      </c>
      <c r="OY3">
        <f>IF($B3=0,1000000,IF(INDEX('計算A'!$D$60:$EQ$104,$B3,20)*DU3=1,IF(AND($E3=2,JJ3=0),1000000,IF($I3&gt;0,IF(1=$J3,IF(OR(AND(20=$I3+1,OR($K3&lt;&gt;'計算A'!$A$3,'計算A'!$A$4=0)),AND(20=$I3-1,OR(20&lt;&gt;'計算A'!$A$3,'計算A'!$A$4=0))),0,IF(20=$K3,200000,ABS(20-$K3)*100)),100000+ABS(1-$J3)*1000+200)+'計算A'!W$5*50+IF(AND($E3=1,JJ3=0),25,0),INDEX('計算A'!W$110:W$114,$F3+1)+IF(AND($E3=1,JJ3=0),1000,0)+IF($H3=1,(IF('計算A'!V$117=1,INDEX('計算A'!V$10:V$54,$B3),0)+IF('計算A'!W$117=1,INDEX('計算A'!X$10:X$54,$B3),0))*500,0)-IF(AND('計算A'!V$117=1,UT3&gt;0),300,0)-IF(AND($L3=1,'計算A'!W$117=1,DV3=0),300,0))),1000000))</f>
        <v/>
      </c>
      <c r="OZ3">
        <f>IF($B3=0,1000000,IF(INDEX('計算A'!$D$60:$EQ$104,$B3,21)*DV3=1,IF(AND($E3=2,JK3=0),1000000,IF($I3&gt;0,IF(1=$J3,IF(OR(AND(21=$I3+1,OR($K3&lt;&gt;'計算A'!$A$3,'計算A'!$A$4=0)),AND(21=$I3-1,OR(21&lt;&gt;'計算A'!$A$3,'計算A'!$A$4=0))),0,IF(21=$K3,200000,ABS(21-$K3)*100)),100000+ABS(1-$J3)*1000+210)+'計算A'!X$5*50+IF(AND($E3=1,JK3=0),25,0),INDEX('計算A'!X$110:X$114,$F3+1)+IF(AND($E3=1,JK3=0),1000,0)+IF($H3=1,(IF('計算A'!W$117=1,INDEX('計算A'!W$10:W$54,$B3),0)+IF('計算A'!X$117=1,INDEX('計算A'!Y$10:Y$54,$B3),0))*500,0)-IF(AND('計算A'!W$117=1,UU3&gt;0),300,0)-IF(AND($L3=1,'計算A'!X$117=1,DW3=0),300,0))),1000000))</f>
        <v/>
      </c>
      <c r="PA3">
        <f>IF($B3=0,1000000,IF(INDEX('計算A'!$D$60:$EQ$104,$B3,22)*DW3=1,IF(AND($E3=2,JL3=0),1000000,IF($I3&gt;0,IF(1=$J3,IF(OR(AND(22=$I3+1,OR($K3&lt;&gt;'計算A'!$A$3,'計算A'!$A$4=0)),AND(22=$I3-1,OR(22&lt;&gt;'計算A'!$A$3,'計算A'!$A$4=0))),0,IF(22=$K3,200000,ABS(22-$K3)*100)),100000+ABS(1-$J3)*1000+220)+'計算A'!Y$5*50+IF(AND($E3=1,JL3=0),25,0),INDEX('計算A'!Y$110:Y$114,$F3+1)+IF(AND($E3=1,JL3=0),1000,0)+IF($H3=1,(IF('計算A'!X$117=1,INDEX('計算A'!X$10:X$54,$B3),0)+IF('計算A'!Y$117=1,INDEX('計算A'!Z$10:Z$54,$B3),0))*500,0)-IF(AND('計算A'!X$117=1,UV3&gt;0),300,0)-IF(AND($L3=1,'計算A'!Y$117=1,DX3=0),300,0))),1000000))</f>
        <v/>
      </c>
      <c r="PB3">
        <f>IF($B3=0,1000000,IF(INDEX('計算A'!$D$60:$EQ$104,$B3,23)*DX3=1,IF(AND($E3=2,JM3=0),1000000,IF($I3&gt;0,IF(1=$J3,IF(OR(AND(23=$I3+1,OR($K3&lt;&gt;'計算A'!$A$3,'計算A'!$A$4=0)),AND(23=$I3-1,OR(23&lt;&gt;'計算A'!$A$3,'計算A'!$A$4=0))),0,IF(23=$K3,200000,ABS(23-$K3)*100)),100000+ABS(1-$J3)*1000+230)+'計算A'!Z$5*50+IF(AND($E3=1,JM3=0),25,0),INDEX('計算A'!Z$110:Z$114,$F3+1)+IF(AND($E3=1,JM3=0),1000,0)+IF($H3=1,(IF('計算A'!Y$117=1,INDEX('計算A'!Y$10:Y$54,$B3),0)+IF('計算A'!Z$117=1,INDEX('計算A'!AA$10:AA$54,$B3),0))*500,0)-IF(AND('計算A'!Y$117=1,UW3&gt;0),300,0)-IF(AND($L3=1,'計算A'!Z$117=1,DY3=0),300,0))),1000000))</f>
        <v/>
      </c>
      <c r="PC3">
        <f>IF($B3=0,1000000,IF(INDEX('計算A'!$D$60:$EQ$104,$B3,24)*DY3=1,IF(AND($E3=2,JN3=0),1000000,IF($I3&gt;0,IF(1=$J3,IF(OR(AND(24=$I3+1,OR($K3&lt;&gt;'計算A'!$A$3,'計算A'!$A$4=0)),AND(24=$I3-1,OR(24&lt;&gt;'計算A'!$A$3,'計算A'!$A$4=0))),0,IF(24=$K3,200000,ABS(24-$K3)*100)),100000+ABS(1-$J3)*1000+240)+'計算A'!AA$5*50+IF(AND($E3=1,JN3=0),25,0),INDEX('計算A'!AA$110:AA$114,$F3+1)+IF(AND($E3=1,JN3=0),1000,0)+IF($H3=1,(IF('計算A'!Z$117=1,INDEX('計算A'!Z$10:Z$54,$B3),0))*500,0)-IF(AND('計算A'!Z$117=1,UX3&gt;0),300,0))),1000000))</f>
        <v/>
      </c>
      <c r="PD3">
        <f>IF($B3=0,1000000,IF(INDEX('計算A'!$D$60:$EQ$104,$B3,25)*DZ3=1,IF(AND($E3=2,JO3=0),1000000,IF($I3&gt;0,IF(2=$J3,IF(OR(AND(25=$I3+1,OR($K3&lt;&gt;'計算A'!$A$3,'計算A'!$A$4=0)),AND(25=$I3-1,OR(1&lt;&gt;'計算A'!$A$3,'計算A'!$A$4=0))),0,IF(1=$K3,200000,ABS(1-$K3)*100)),100000+ABS(2-$J3)*1000+10)+'計算A'!AB$5*50+IF(AND($E3=1,JO3=0),25,0),INDEX('計算A'!AB$110:AB$114,$F3+1)+IF(AND($E3=1,JO3=0),1000,0)+IF($H3=1,(IF('計算A'!AB$117=1,INDEX('計算A'!AC$10:AC$54,$B3),0))*500,0)-IF(AND($L3=1,'計算A'!AB$117=1,EA3=0),300,0))),1000000))</f>
        <v/>
      </c>
      <c r="PE3">
        <f>IF($B3=0,1000000,IF(INDEX('計算A'!$D$60:$EQ$104,$B3,26)*EA3=1,IF(AND($E3=2,JP3=0),1000000,IF($I3&gt;0,IF(2=$J3,IF(OR(AND(26=$I3+1,OR($K3&lt;&gt;'計算A'!$A$3,'計算A'!$A$4=0)),AND(26=$I3-1,OR(2&lt;&gt;'計算A'!$A$3,'計算A'!$A$4=0))),0,IF(2=$K3,200000,ABS(2-$K3)*100)),100000+ABS(2-$J3)*1000+20)+'計算A'!AC$5*50+IF(AND($E3=1,JP3=0),25,0),INDEX('計算A'!AC$110:AC$114,$F3+1)+IF(AND($E3=1,JP3=0),1000,0)+IF($H3=1,(IF('計算A'!AB$117=1,INDEX('計算A'!AB$10:AB$54,$B3),0)+IF('計算A'!AC$117=1,INDEX('計算A'!AD$10:AD$54,$B3),0))*500,0)-IF(AND('計算A'!AB$117=1,UZ3&gt;0),300,0)-IF(AND($L3=1,'計算A'!AC$117=1,EB3=0),300,0))),1000000))</f>
        <v/>
      </c>
      <c r="PF3">
        <f>IF($B3=0,1000000,IF(INDEX('計算A'!$D$60:$EQ$104,$B3,27)*EB3=1,IF(AND($E3=2,JQ3=0),1000000,IF($I3&gt;0,IF(2=$J3,IF(OR(AND(27=$I3+1,OR($K3&lt;&gt;'計算A'!$A$3,'計算A'!$A$4=0)),AND(27=$I3-1,OR(3&lt;&gt;'計算A'!$A$3,'計算A'!$A$4=0))),0,IF(3=$K3,200000,ABS(3-$K3)*100)),100000+ABS(2-$J3)*1000+30)+'計算A'!AD$5*50+IF(AND($E3=1,JQ3=0),25,0),INDEX('計算A'!AD$110:AD$114,$F3+1)+IF(AND($E3=1,JQ3=0),1000,0)+IF($H3=1,(IF('計算A'!AC$117=1,INDEX('計算A'!AC$10:AC$54,$B3),0)+IF('計算A'!AD$117=1,INDEX('計算A'!AE$10:AE$54,$B3),0))*500,0)-IF(AND('計算A'!AC$117=1,VA3&gt;0),300,0)-IF(AND($L3=1,'計算A'!AD$117=1,EC3=0),300,0))),1000000))</f>
        <v/>
      </c>
      <c r="PG3">
        <f>IF($B3=0,1000000,IF(INDEX('計算A'!$D$60:$EQ$104,$B3,28)*EC3=1,IF(AND($E3=2,JR3=0),1000000,IF($I3&gt;0,IF(2=$J3,IF(OR(AND(28=$I3+1,OR($K3&lt;&gt;'計算A'!$A$3,'計算A'!$A$4=0)),AND(28=$I3-1,OR(4&lt;&gt;'計算A'!$A$3,'計算A'!$A$4=0))),0,IF(4=$K3,200000,ABS(4-$K3)*100)),100000+ABS(2-$J3)*1000+40)+'計算A'!AE$5*50+IF(AND($E3=1,JR3=0),25,0),INDEX('計算A'!AE$110:AE$114,$F3+1)+IF(AND($E3=1,JR3=0),1000,0)+IF($H3=1,(IF('計算A'!AD$117=1,INDEX('計算A'!AD$10:AD$54,$B3),0)+IF('計算A'!AE$117=1,INDEX('計算A'!AF$10:AF$54,$B3),0))*500,0)-IF(AND('計算A'!AD$117=1,VB3&gt;0),300,0)-IF(AND($L3=1,'計算A'!AE$117=1,ED3=0),300,0))),1000000))</f>
        <v/>
      </c>
      <c r="PH3">
        <f>IF($B3=0,1000000,IF(INDEX('計算A'!$D$60:$EQ$104,$B3,29)*ED3=1,IF(AND($E3=2,JS3=0),1000000,IF($I3&gt;0,IF(2=$J3,IF(OR(AND(29=$I3+1,OR($K3&lt;&gt;'計算A'!$A$3,'計算A'!$A$4=0)),AND(29=$I3-1,OR(5&lt;&gt;'計算A'!$A$3,'計算A'!$A$4=0))),0,IF(5=$K3,200000,ABS(5-$K3)*100)),100000+ABS(2-$J3)*1000+50)+'計算A'!AF$5*50+IF(AND($E3=1,JS3=0),25,0),INDEX('計算A'!AF$110:AF$114,$F3+1)+IF(AND($E3=1,JS3=0),1000,0)+IF($H3=1,(IF('計算A'!AE$117=1,INDEX('計算A'!AE$10:AE$54,$B3),0)+IF('計算A'!AF$117=1,INDEX('計算A'!AG$10:AG$54,$B3),0))*500,0)-IF(AND('計算A'!AE$117=1,VC3&gt;0),300,0)-IF(AND($L3=1,'計算A'!AF$117=1,EE3=0),300,0))),1000000))</f>
        <v/>
      </c>
      <c r="PI3">
        <f>IF($B3=0,1000000,IF(INDEX('計算A'!$D$60:$EQ$104,$B3,30)*EE3=1,IF(AND($E3=2,JT3=0),1000000,IF($I3&gt;0,IF(2=$J3,IF(OR(AND(30=$I3+1,OR($K3&lt;&gt;'計算A'!$A$3,'計算A'!$A$4=0)),AND(30=$I3-1,OR(6&lt;&gt;'計算A'!$A$3,'計算A'!$A$4=0))),0,IF(6=$K3,200000,ABS(6-$K3)*100)),100000+ABS(2-$J3)*1000+60)+'計算A'!AG$5*50+IF(AND($E3=1,JT3=0),25,0),INDEX('計算A'!AG$110:AG$114,$F3+1)+IF(AND($E3=1,JT3=0),1000,0)+IF($H3=1,(IF('計算A'!AF$117=1,INDEX('計算A'!AF$10:AF$54,$B3),0)+IF('計算A'!AG$117=1,INDEX('計算A'!AH$10:AH$54,$B3),0))*500,0)-IF(AND('計算A'!AF$117=1,VD3&gt;0),300,0)-IF(AND($L3=1,'計算A'!AG$117=1,EF3=0),300,0))),1000000))</f>
        <v/>
      </c>
      <c r="PJ3">
        <f>IF($B3=0,1000000,IF(INDEX('計算A'!$D$60:$EQ$104,$B3,31)*EF3=1,IF(AND($E3=2,JU3=0),1000000,IF($I3&gt;0,IF(2=$J3,IF(OR(AND(31=$I3+1,OR($K3&lt;&gt;'計算A'!$A$3,'計算A'!$A$4=0)),AND(31=$I3-1,OR(7&lt;&gt;'計算A'!$A$3,'計算A'!$A$4=0))),0,IF(7=$K3,200000,ABS(7-$K3)*100)),100000+ABS(2-$J3)*1000+70)+'計算A'!AH$5*50+IF(AND($E3=1,JU3=0),25,0),INDEX('計算A'!AH$110:AH$114,$F3+1)+IF(AND($E3=1,JU3=0),1000,0)+IF($H3=1,(IF('計算A'!AG$117=1,INDEX('計算A'!AG$10:AG$54,$B3),0)+IF('計算A'!AH$117=1,INDEX('計算A'!AI$10:AI$54,$B3),0))*500,0)-IF(AND('計算A'!AG$117=1,VE3&gt;0),300,0)-IF(AND($L3=1,'計算A'!AH$117=1,EG3=0),300,0))),1000000))</f>
        <v/>
      </c>
      <c r="PK3">
        <f>IF($B3=0,1000000,IF(INDEX('計算A'!$D$60:$EQ$104,$B3,32)*EG3=1,IF(AND($E3=2,JV3=0),1000000,IF($I3&gt;0,IF(2=$J3,IF(OR(AND(32=$I3+1,OR($K3&lt;&gt;'計算A'!$A$3,'計算A'!$A$4=0)),AND(32=$I3-1,OR(8&lt;&gt;'計算A'!$A$3,'計算A'!$A$4=0))),0,IF(8=$K3,200000,ABS(8-$K3)*100)),100000+ABS(2-$J3)*1000+80)+'計算A'!AI$5*50+IF(AND($E3=1,JV3=0),25,0),INDEX('計算A'!AI$110:AI$114,$F3+1)+IF(AND($E3=1,JV3=0),1000,0)+IF($H3=1,(IF('計算A'!AH$117=1,INDEX('計算A'!AH$10:AH$54,$B3),0)+IF('計算A'!AI$117=1,INDEX('計算A'!AJ$10:AJ$54,$B3),0))*500,0)-IF(AND('計算A'!AH$117=1,VF3&gt;0),300,0)-IF(AND($L3=1,'計算A'!AI$117=1,EH3=0),300,0))),1000000))</f>
        <v/>
      </c>
      <c r="PL3">
        <f>IF($B3=0,1000000,IF(INDEX('計算A'!$D$60:$EQ$104,$B3,33)*EH3=1,IF(AND($E3=2,JW3=0),1000000,IF($I3&gt;0,IF(2=$J3,IF(OR(AND(33=$I3+1,OR($K3&lt;&gt;'計算A'!$A$3,'計算A'!$A$4=0)),AND(33=$I3-1,OR(9&lt;&gt;'計算A'!$A$3,'計算A'!$A$4=0))),0,IF(9=$K3,200000,ABS(9-$K3)*100)),100000+ABS(2-$J3)*1000+90)+'計算A'!AJ$5*50+IF(AND($E3=1,JW3=0),25,0),INDEX('計算A'!AJ$110:AJ$114,$F3+1)+IF(AND($E3=1,JW3=0),1000,0)+IF($H3=1,(IF('計算A'!AI$117=1,INDEX('計算A'!AI$10:AI$54,$B3),0)+IF('計算A'!AJ$117=1,INDEX('計算A'!AK$10:AK$54,$B3),0))*500,0)-IF(AND('計算A'!AI$117=1,VG3&gt;0),300,0)-IF(AND($L3=1,'計算A'!AJ$117=1,EI3=0),300,0))),1000000))</f>
        <v/>
      </c>
      <c r="PM3">
        <f>IF($B3=0,1000000,IF(INDEX('計算A'!$D$60:$EQ$104,$B3,34)*EI3=1,IF(AND($E3=2,JX3=0),1000000,IF($I3&gt;0,IF(2=$J3,IF(OR(AND(34=$I3+1,OR($K3&lt;&gt;'計算A'!$A$3,'計算A'!$A$4=0)),AND(34=$I3-1,OR(10&lt;&gt;'計算A'!$A$3,'計算A'!$A$4=0))),0,IF(10=$K3,200000,ABS(10-$K3)*100)),100000+ABS(2-$J3)*1000+100)+'計算A'!AK$5*50+IF(AND($E3=1,JX3=0),25,0),INDEX('計算A'!AK$110:AK$114,$F3+1)+IF(AND($E3=1,JX3=0),1000,0)+IF($H3=1,(IF('計算A'!AJ$117=1,INDEX('計算A'!AJ$10:AJ$54,$B3),0)+IF('計算A'!AK$117=1,INDEX('計算A'!AL$10:AL$54,$B3),0))*500,0)-IF(AND('計算A'!AJ$117=1,VH3&gt;0),300,0)-IF(AND($L3=1,'計算A'!AK$117=1,EJ3=0),300,0))),1000000))</f>
        <v/>
      </c>
      <c r="PN3">
        <f>IF($B3=0,1000000,IF(INDEX('計算A'!$D$60:$EQ$104,$B3,35)*EJ3=1,IF(AND($E3=2,JY3=0),1000000,IF($I3&gt;0,IF(2=$J3,IF(OR(AND(35=$I3+1,OR($K3&lt;&gt;'計算A'!$A$3,'計算A'!$A$4=0)),AND(35=$I3-1,OR(11&lt;&gt;'計算A'!$A$3,'計算A'!$A$4=0))),0,IF(11=$K3,200000,ABS(11-$K3)*100)),100000+ABS(2-$J3)*1000+110)+'計算A'!AL$5*50+IF(AND($E3=1,JY3=0),25,0),INDEX('計算A'!AL$110:AL$114,$F3+1)+IF(AND($E3=1,JY3=0),1000,0)+IF($H3=1,(IF('計算A'!AK$117=1,INDEX('計算A'!AK$10:AK$54,$B3),0)+IF('計算A'!AL$117=1,INDEX('計算A'!AM$10:AM$54,$B3),0))*500,0)-IF(AND('計算A'!AK$117=1,VI3&gt;0),300,0)-IF(AND($L3=1,'計算A'!AL$117=1,EK3=0),300,0))),1000000))</f>
        <v/>
      </c>
      <c r="PO3">
        <f>IF($B3=0,1000000,IF(INDEX('計算A'!$D$60:$EQ$104,$B3,36)*EK3=1,IF(AND($E3=2,JZ3=0),1000000,IF($I3&gt;0,IF(2=$J3,IF(OR(AND(36=$I3+1,OR($K3&lt;&gt;'計算A'!$A$3,'計算A'!$A$4=0)),AND(36=$I3-1,OR(12&lt;&gt;'計算A'!$A$3,'計算A'!$A$4=0))),0,IF(12=$K3,200000,ABS(12-$K3)*100)),100000+ABS(2-$J3)*1000+120)+'計算A'!AM$5*50+IF(AND($E3=1,JZ3=0),25,0),INDEX('計算A'!AM$110:AM$114,$F3+1)+IF(AND($E3=1,JZ3=0),1000,0)+IF($H3=1,(IF('計算A'!AL$117=1,INDEX('計算A'!AL$10:AL$54,$B3),0)+IF('計算A'!AM$117=1,INDEX('計算A'!AN$10:AN$54,$B3),0))*500,0)-IF(AND('計算A'!AL$117=1,VJ3&gt;0),300,0)-IF(AND($L3=1,'計算A'!AM$117=1,EL3=0),300,0))),1000000))</f>
        <v/>
      </c>
      <c r="PP3">
        <f>IF($B3=0,1000000,IF(INDEX('計算A'!$D$60:$EQ$104,$B3,37)*EL3=1,IF(AND($E3=2,KA3=0),1000000,IF($I3&gt;0,IF(2=$J3,IF(OR(AND(37=$I3+1,OR($K3&lt;&gt;'計算A'!$A$3,'計算A'!$A$4=0)),AND(37=$I3-1,OR(13&lt;&gt;'計算A'!$A$3,'計算A'!$A$4=0))),0,IF(13=$K3,200000,ABS(13-$K3)*100)),100000+ABS(2-$J3)*1000+130)+'計算A'!AN$5*50+IF(AND($E3=1,KA3=0),25,0),INDEX('計算A'!AN$110:AN$114,$F3+1)+IF(AND($E3=1,KA3=0),1000,0)+IF($H3=1,(IF('計算A'!AM$117=1,INDEX('計算A'!AM$10:AM$54,$B3),0)+IF('計算A'!AN$117=1,INDEX('計算A'!AO$10:AO$54,$B3),0))*500,0)-IF(AND('計算A'!AM$117=1,VK3&gt;0),300,0)-IF(AND($L3=1,'計算A'!AN$117=1,EM3=0),300,0))),1000000))</f>
        <v/>
      </c>
      <c r="PQ3">
        <f>IF($B3=0,1000000,IF(INDEX('計算A'!$D$60:$EQ$104,$B3,38)*EM3=1,IF(AND($E3=2,KB3=0),1000000,IF($I3&gt;0,IF(2=$J3,IF(OR(AND(38=$I3+1,OR($K3&lt;&gt;'計算A'!$A$3,'計算A'!$A$4=0)),AND(38=$I3-1,OR(14&lt;&gt;'計算A'!$A$3,'計算A'!$A$4=0))),0,IF(14=$K3,200000,ABS(14-$K3)*100)),100000+ABS(2-$J3)*1000+140)+'計算A'!AO$5*50+IF(AND($E3=1,KB3=0),25,0),INDEX('計算A'!AO$110:AO$114,$F3+1)+IF(AND($E3=1,KB3=0),1000,0)+IF($H3=1,(IF('計算A'!AN$117=1,INDEX('計算A'!AN$10:AN$54,$B3),0)+IF('計算A'!AO$117=1,INDEX('計算A'!AP$10:AP$54,$B3),0))*500,0)-IF(AND('計算A'!AN$117=1,VL3&gt;0),300,0)-IF(AND($L3=1,'計算A'!AO$117=1,EN3=0),300,0))),1000000))</f>
        <v/>
      </c>
      <c r="PR3">
        <f>IF($B3=0,1000000,IF(INDEX('計算A'!$D$60:$EQ$104,$B3,39)*EN3=1,IF(AND($E3=2,KC3=0),1000000,IF($I3&gt;0,IF(2=$J3,IF(OR(AND(39=$I3+1,OR($K3&lt;&gt;'計算A'!$A$3,'計算A'!$A$4=0)),AND(39=$I3-1,OR(15&lt;&gt;'計算A'!$A$3,'計算A'!$A$4=0))),0,IF(15=$K3,200000,ABS(15-$K3)*100)),100000+ABS(2-$J3)*1000+150)+'計算A'!AP$5*50+IF(AND($E3=1,KC3=0),25,0),INDEX('計算A'!AP$110:AP$114,$F3+1)+IF(AND($E3=1,KC3=0),1000,0)+IF($H3=1,(IF('計算A'!AO$117=1,INDEX('計算A'!AO$10:AO$54,$B3),0)+IF('計算A'!AP$117=1,INDEX('計算A'!AQ$10:AQ$54,$B3),0))*500,0)-IF(AND('計算A'!AO$117=1,VM3&gt;0),300,0)-IF(AND($L3=1,'計算A'!AP$117=1,EO3=0),300,0))),1000000))</f>
        <v/>
      </c>
      <c r="PS3">
        <f>IF($B3=0,1000000,IF(INDEX('計算A'!$D$60:$EQ$104,$B3,40)*EO3=1,IF(AND($E3=2,KD3=0),1000000,IF($I3&gt;0,IF(2=$J3,IF(OR(AND(40=$I3+1,OR($K3&lt;&gt;'計算A'!$A$3,'計算A'!$A$4=0)),AND(40=$I3-1,OR(16&lt;&gt;'計算A'!$A$3,'計算A'!$A$4=0))),0,IF(16=$K3,200000,ABS(16-$K3)*100)),100000+ABS(2-$J3)*1000+160)+'計算A'!AQ$5*50+IF(AND($E3=1,KD3=0),25,0),INDEX('計算A'!AQ$110:AQ$114,$F3+1)+IF(AND($E3=1,KD3=0),1000,0)+IF($H3=1,(IF('計算A'!AP$117=1,INDEX('計算A'!AP$10:AP$54,$B3),0)+IF('計算A'!AQ$117=1,INDEX('計算A'!AR$10:AR$54,$B3),0))*500,0)-IF(AND('計算A'!AP$117=1,VN3&gt;0),300,0)-IF(AND($L3=1,'計算A'!AQ$117=1,EP3=0),300,0))),1000000))</f>
        <v/>
      </c>
      <c r="PT3">
        <f>IF($B3=0,1000000,IF(INDEX('計算A'!$D$60:$EQ$104,$B3,41)*EP3=1,IF(AND($E3=2,KE3=0),1000000,IF($I3&gt;0,IF(2=$J3,IF(OR(AND(41=$I3+1,OR($K3&lt;&gt;'計算A'!$A$3,'計算A'!$A$4=0)),AND(41=$I3-1,OR(17&lt;&gt;'計算A'!$A$3,'計算A'!$A$4=0))),0,IF(17=$K3,200000,ABS(17-$K3)*100)),100000+ABS(2-$J3)*1000+170)+'計算A'!AR$5*50+IF(AND($E3=1,KE3=0),25,0),INDEX('計算A'!AR$110:AR$114,$F3+1)+IF(AND($E3=1,KE3=0),1000,0)+IF($H3=1,(IF('計算A'!AQ$117=1,INDEX('計算A'!AQ$10:AQ$54,$B3),0)+IF('計算A'!AR$117=1,INDEX('計算A'!AS$10:AS$54,$B3),0))*500,0)-IF(AND('計算A'!AQ$117=1,VO3&gt;0),300,0)-IF(AND($L3=1,'計算A'!AR$117=1,EQ3=0),300,0))),1000000))</f>
        <v/>
      </c>
      <c r="PU3">
        <f>IF($B3=0,1000000,IF(INDEX('計算A'!$D$60:$EQ$104,$B3,42)*EQ3=1,IF(AND($E3=2,KF3=0),1000000,IF($I3&gt;0,IF(2=$J3,IF(OR(AND(42=$I3+1,OR($K3&lt;&gt;'計算A'!$A$3,'計算A'!$A$4=0)),AND(42=$I3-1,OR(18&lt;&gt;'計算A'!$A$3,'計算A'!$A$4=0))),0,IF(18=$K3,200000,ABS(18-$K3)*100)),100000+ABS(2-$J3)*1000+180)+'計算A'!AS$5*50+IF(AND($E3=1,KF3=0),25,0),INDEX('計算A'!AS$110:AS$114,$F3+1)+IF(AND($E3=1,KF3=0),1000,0)+IF($H3=1,(IF('計算A'!AR$117=1,INDEX('計算A'!AR$10:AR$54,$B3),0)+IF('計算A'!AS$117=1,INDEX('計算A'!AT$10:AT$54,$B3),0))*500,0)-IF(AND('計算A'!AR$117=1,VP3&gt;0),300,0)-IF(AND($L3=1,'計算A'!AS$117=1,ER3=0),300,0))),1000000))</f>
        <v/>
      </c>
      <c r="PV3">
        <f>IF($B3=0,1000000,IF(INDEX('計算A'!$D$60:$EQ$104,$B3,43)*ER3=1,IF(AND($E3=2,KG3=0),1000000,IF($I3&gt;0,IF(2=$J3,IF(OR(AND(43=$I3+1,OR($K3&lt;&gt;'計算A'!$A$3,'計算A'!$A$4=0)),AND(43=$I3-1,OR(19&lt;&gt;'計算A'!$A$3,'計算A'!$A$4=0))),0,IF(19=$K3,200000,ABS(19-$K3)*100)),100000+ABS(2-$J3)*1000+190)+'計算A'!AT$5*50+IF(AND($E3=1,KG3=0),25,0),INDEX('計算A'!AT$110:AT$114,$F3+1)+IF(AND($E3=1,KG3=0),1000,0)+IF($H3=1,(IF('計算A'!AS$117=1,INDEX('計算A'!AS$10:AS$54,$B3),0)+IF('計算A'!AT$117=1,INDEX('計算A'!AU$10:AU$54,$B3),0))*500,0)-IF(AND('計算A'!AS$117=1,VQ3&gt;0),300,0)-IF(AND($L3=1,'計算A'!AT$117=1,ES3=0),300,0))),1000000))</f>
        <v/>
      </c>
      <c r="PW3">
        <f>IF($B3=0,1000000,IF(INDEX('計算A'!$D$60:$EQ$104,$B3,44)*ES3=1,IF(AND($E3=2,KH3=0),1000000,IF($I3&gt;0,IF(2=$J3,IF(OR(AND(44=$I3+1,OR($K3&lt;&gt;'計算A'!$A$3,'計算A'!$A$4=0)),AND(44=$I3-1,OR(20&lt;&gt;'計算A'!$A$3,'計算A'!$A$4=0))),0,IF(20=$K3,200000,ABS(20-$K3)*100)),100000+ABS(2-$J3)*1000+200)+'計算A'!AU$5*50+IF(AND($E3=1,KH3=0),25,0),INDEX('計算A'!AU$110:AU$114,$F3+1)+IF(AND($E3=1,KH3=0),1000,0)+IF($H3=1,(IF('計算A'!AT$117=1,INDEX('計算A'!AT$10:AT$54,$B3),0)+IF('計算A'!AU$117=1,INDEX('計算A'!AV$10:AV$54,$B3),0))*500,0)-IF(AND('計算A'!AT$117=1,VR3&gt;0),300,0)-IF(AND($L3=1,'計算A'!AU$117=1,ET3=0),300,0))),1000000))</f>
        <v/>
      </c>
      <c r="PX3">
        <f>IF($B3=0,1000000,IF(INDEX('計算A'!$D$60:$EQ$104,$B3,45)*ET3=1,IF(AND($E3=2,KI3=0),1000000,IF($I3&gt;0,IF(2=$J3,IF(OR(AND(45=$I3+1,OR($K3&lt;&gt;'計算A'!$A$3,'計算A'!$A$4=0)),AND(45=$I3-1,OR(21&lt;&gt;'計算A'!$A$3,'計算A'!$A$4=0))),0,IF(21=$K3,200000,ABS(21-$K3)*100)),100000+ABS(2-$J3)*1000+210)+'計算A'!AV$5*50+IF(AND($E3=1,KI3=0),25,0),INDEX('計算A'!AV$110:AV$114,$F3+1)+IF(AND($E3=1,KI3=0),1000,0)+IF($H3=1,(IF('計算A'!AU$117=1,INDEX('計算A'!AU$10:AU$54,$B3),0)+IF('計算A'!AV$117=1,INDEX('計算A'!AW$10:AW$54,$B3),0))*500,0)-IF(AND('計算A'!AU$117=1,VS3&gt;0),300,0)-IF(AND($L3=1,'計算A'!AV$117=1,EU3=0),300,0))),1000000))</f>
        <v/>
      </c>
      <c r="PY3">
        <f>IF($B3=0,1000000,IF(INDEX('計算A'!$D$60:$EQ$104,$B3,46)*EU3=1,IF(AND($E3=2,KJ3=0),1000000,IF($I3&gt;0,IF(2=$J3,IF(OR(AND(46=$I3+1,OR($K3&lt;&gt;'計算A'!$A$3,'計算A'!$A$4=0)),AND(46=$I3-1,OR(22&lt;&gt;'計算A'!$A$3,'計算A'!$A$4=0))),0,IF(22=$K3,200000,ABS(22-$K3)*100)),100000+ABS(2-$J3)*1000+220)+'計算A'!AW$5*50+IF(AND($E3=1,KJ3=0),25,0),INDEX('計算A'!AW$110:AW$114,$F3+1)+IF(AND($E3=1,KJ3=0),1000,0)+IF($H3=1,(IF('計算A'!AV$117=1,INDEX('計算A'!AV$10:AV$54,$B3),0)+IF('計算A'!AW$117=1,INDEX('計算A'!AX$10:AX$54,$B3),0))*500,0)-IF(AND('計算A'!AV$117=1,VT3&gt;0),300,0)-IF(AND($L3=1,'計算A'!AW$117=1,EV3=0),300,0))),1000000))</f>
        <v/>
      </c>
      <c r="PZ3">
        <f>IF($B3=0,1000000,IF(INDEX('計算A'!$D$60:$EQ$104,$B3,47)*EV3=1,IF(AND($E3=2,KK3=0),1000000,IF($I3&gt;0,IF(2=$J3,IF(OR(AND(47=$I3+1,OR($K3&lt;&gt;'計算A'!$A$3,'計算A'!$A$4=0)),AND(47=$I3-1,OR(23&lt;&gt;'計算A'!$A$3,'計算A'!$A$4=0))),0,IF(23=$K3,200000,ABS(23-$K3)*100)),100000+ABS(2-$J3)*1000+230)+'計算A'!AX$5*50+IF(AND($E3=1,KK3=0),25,0),INDEX('計算A'!AX$110:AX$114,$F3+1)+IF(AND($E3=1,KK3=0),1000,0)+IF($H3=1,(IF('計算A'!AW$117=1,INDEX('計算A'!AW$10:AW$54,$B3),0)+IF('計算A'!AX$117=1,INDEX('計算A'!AY$10:AY$54,$B3),0))*500,0)-IF(AND('計算A'!AW$117=1,VU3&gt;0),300,0)-IF(AND($L3=1,'計算A'!AX$117=1,EW3=0),300,0))),1000000))</f>
        <v/>
      </c>
      <c r="QA3">
        <f>IF($B3=0,1000000,IF(INDEX('計算A'!$D$60:$EQ$104,$B3,48)*EW3=1,IF(AND($E3=2,KL3=0),1000000,IF($I3&gt;0,IF(2=$J3,IF(OR(AND(48=$I3+1,OR($K3&lt;&gt;'計算A'!$A$3,'計算A'!$A$4=0)),AND(48=$I3-1,OR(24&lt;&gt;'計算A'!$A$3,'計算A'!$A$4=0))),0,IF(24=$K3,200000,ABS(24-$K3)*100)),100000+ABS(2-$J3)*1000+240)+'計算A'!AY$5*50+IF(AND($E3=1,KL3=0),25,0),INDEX('計算A'!AY$110:AY$114,$F3+1)+IF(AND($E3=1,KL3=0),1000,0)+IF($H3=1,(IF('計算A'!AX$117=1,INDEX('計算A'!AX$10:AX$54,$B3),0))*500,0)-IF(AND('計算A'!AX$117=1,VV3&gt;0),300,0))),1000000))</f>
        <v/>
      </c>
      <c r="QB3">
        <f>IF($B3=0,1000000,IF(INDEX('計算A'!$D$60:$EQ$104,$B3,49)*EX3=1,IF(AND($E3=2,KM3=0),1000000,IF($I3&gt;0,IF(3=$J3,IF(OR(AND(49=$I3+1,OR($K3&lt;&gt;'計算A'!$A$3,'計算A'!$A$4=0)),AND(49=$I3-1,OR(1&lt;&gt;'計算A'!$A$3,'計算A'!$A$4=0))),0,IF(1=$K3,200000,ABS(1-$K3)*100)),100000+ABS(3-$J3)*1000+10)+'計算A'!AZ$5*50+IF(AND($E3=1,KM3=0),25,0),INDEX('計算A'!AZ$110:AZ$114,$F3+1)+IF(AND($E3=1,KM3=0),1000,0)+IF($H3=1,(IF('計算A'!AZ$117=1,INDEX('計算A'!BA$10:BA$54,$B3),0))*500,0)-IF(AND($L3=1,'計算A'!AZ$117=1,EY3=0),300,0))),1000000))</f>
        <v/>
      </c>
      <c r="QC3">
        <f>IF($B3=0,1000000,IF(INDEX('計算A'!$D$60:$EQ$104,$B3,50)*EY3=1,IF(AND($E3=2,KN3=0),1000000,IF($I3&gt;0,IF(3=$J3,IF(OR(AND(50=$I3+1,OR($K3&lt;&gt;'計算A'!$A$3,'計算A'!$A$4=0)),AND(50=$I3-1,OR(2&lt;&gt;'計算A'!$A$3,'計算A'!$A$4=0))),0,IF(2=$K3,200000,ABS(2-$K3)*100)),100000+ABS(3-$J3)*1000+20)+'計算A'!BA$5*50+IF(AND($E3=1,KN3=0),25,0),INDEX('計算A'!BA$110:BA$114,$F3+1)+IF(AND($E3=1,KN3=0),1000,0)+IF($H3=1,(IF('計算A'!AZ$117=1,INDEX('計算A'!AZ$10:AZ$54,$B3),0)+IF('計算A'!BA$117=1,INDEX('計算A'!BB$10:BB$54,$B3),0))*500,0)-IF(AND('計算A'!AZ$117=1,VX3&gt;0),300,0)-IF(AND($L3=1,'計算A'!BA$117=1,EZ3=0),300,0))),1000000))</f>
        <v/>
      </c>
      <c r="QD3">
        <f>IF($B3=0,1000000,IF(INDEX('計算A'!$D$60:$EQ$104,$B3,51)*EZ3=1,IF(AND($E3=2,KO3=0),1000000,IF($I3&gt;0,IF(3=$J3,IF(OR(AND(51=$I3+1,OR($K3&lt;&gt;'計算A'!$A$3,'計算A'!$A$4=0)),AND(51=$I3-1,OR(3&lt;&gt;'計算A'!$A$3,'計算A'!$A$4=0))),0,IF(3=$K3,200000,ABS(3-$K3)*100)),100000+ABS(3-$J3)*1000+30)+'計算A'!BB$5*50+IF(AND($E3=1,KO3=0),25,0),INDEX('計算A'!BB$110:BB$114,$F3+1)+IF(AND($E3=1,KO3=0),1000,0)+IF($H3=1,(IF('計算A'!BA$117=1,INDEX('計算A'!BA$10:BA$54,$B3),0)+IF('計算A'!BB$117=1,INDEX('計算A'!BC$10:BC$54,$B3),0))*500,0)-IF(AND('計算A'!BA$117=1,VY3&gt;0),300,0)-IF(AND($L3=1,'計算A'!BB$117=1,FA3=0),300,0))),1000000))</f>
        <v/>
      </c>
      <c r="QE3">
        <f>IF($B3=0,1000000,IF(INDEX('計算A'!$D$60:$EQ$104,$B3,52)*FA3=1,IF(AND($E3=2,KP3=0),1000000,IF($I3&gt;0,IF(3=$J3,IF(OR(AND(52=$I3+1,OR($K3&lt;&gt;'計算A'!$A$3,'計算A'!$A$4=0)),AND(52=$I3-1,OR(4&lt;&gt;'計算A'!$A$3,'計算A'!$A$4=0))),0,IF(4=$K3,200000,ABS(4-$K3)*100)),100000+ABS(3-$J3)*1000+40)+'計算A'!BC$5*50+IF(AND($E3=1,KP3=0),25,0),INDEX('計算A'!BC$110:BC$114,$F3+1)+IF(AND($E3=1,KP3=0),1000,0)+IF($H3=1,(IF('計算A'!BB$117=1,INDEX('計算A'!BB$10:BB$54,$B3),0)+IF('計算A'!BC$117=1,INDEX('計算A'!BD$10:BD$54,$B3),0))*500,0)-IF(AND('計算A'!BB$117=1,VZ3&gt;0),300,0)-IF(AND($L3=1,'計算A'!BC$117=1,FB3=0),300,0))),1000000))</f>
        <v/>
      </c>
      <c r="QF3">
        <f>IF($B3=0,1000000,IF(INDEX('計算A'!$D$60:$EQ$104,$B3,53)*FB3=1,IF(AND($E3=2,KQ3=0),1000000,IF($I3&gt;0,IF(3=$J3,IF(OR(AND(53=$I3+1,OR($K3&lt;&gt;'計算A'!$A$3,'計算A'!$A$4=0)),AND(53=$I3-1,OR(5&lt;&gt;'計算A'!$A$3,'計算A'!$A$4=0))),0,IF(5=$K3,200000,ABS(5-$K3)*100)),100000+ABS(3-$J3)*1000+50)+'計算A'!BD$5*50+IF(AND($E3=1,KQ3=0),25,0),INDEX('計算A'!BD$110:BD$114,$F3+1)+IF(AND($E3=1,KQ3=0),1000,0)+IF($H3=1,(IF('計算A'!BC$117=1,INDEX('計算A'!BC$10:BC$54,$B3),0)+IF('計算A'!BD$117=1,INDEX('計算A'!BE$10:BE$54,$B3),0))*500,0)-IF(AND('計算A'!BC$117=1,WA3&gt;0),300,0)-IF(AND($L3=1,'計算A'!BD$117=1,FC3=0),300,0))),1000000))</f>
        <v/>
      </c>
      <c r="QG3">
        <f>IF($B3=0,1000000,IF(INDEX('計算A'!$D$60:$EQ$104,$B3,54)*FC3=1,IF(AND($E3=2,KR3=0),1000000,IF($I3&gt;0,IF(3=$J3,IF(OR(AND(54=$I3+1,OR($K3&lt;&gt;'計算A'!$A$3,'計算A'!$A$4=0)),AND(54=$I3-1,OR(6&lt;&gt;'計算A'!$A$3,'計算A'!$A$4=0))),0,IF(6=$K3,200000,ABS(6-$K3)*100)),100000+ABS(3-$J3)*1000+60)+'計算A'!BE$5*50+IF(AND($E3=1,KR3=0),25,0),INDEX('計算A'!BE$110:BE$114,$F3+1)+IF(AND($E3=1,KR3=0),1000,0)+IF($H3=1,(IF('計算A'!BD$117=1,INDEX('計算A'!BD$10:BD$54,$B3),0)+IF('計算A'!BE$117=1,INDEX('計算A'!BF$10:BF$54,$B3),0))*500,0)-IF(AND('計算A'!BD$117=1,WB3&gt;0),300,0)-IF(AND($L3=1,'計算A'!BE$117=1,FD3=0),300,0))),1000000))</f>
        <v/>
      </c>
      <c r="QH3">
        <f>IF($B3=0,1000000,IF(INDEX('計算A'!$D$60:$EQ$104,$B3,55)*FD3=1,IF(AND($E3=2,KS3=0),1000000,IF($I3&gt;0,IF(3=$J3,IF(OR(AND(55=$I3+1,OR($K3&lt;&gt;'計算A'!$A$3,'計算A'!$A$4=0)),AND(55=$I3-1,OR(7&lt;&gt;'計算A'!$A$3,'計算A'!$A$4=0))),0,IF(7=$K3,200000,ABS(7-$K3)*100)),100000+ABS(3-$J3)*1000+70)+'計算A'!BF$5*50+IF(AND($E3=1,KS3=0),25,0),INDEX('計算A'!BF$110:BF$114,$F3+1)+IF(AND($E3=1,KS3=0),1000,0)+IF($H3=1,(IF('計算A'!BE$117=1,INDEX('計算A'!BE$10:BE$54,$B3),0)+IF('計算A'!BF$117=1,INDEX('計算A'!BG$10:BG$54,$B3),0))*500,0)-IF(AND('計算A'!BE$117=1,WC3&gt;0),300,0)-IF(AND($L3=1,'計算A'!BF$117=1,FE3=0),300,0))),1000000))</f>
        <v/>
      </c>
      <c r="QI3">
        <f>IF($B3=0,1000000,IF(INDEX('計算A'!$D$60:$EQ$104,$B3,56)*FE3=1,IF(AND($E3=2,KT3=0),1000000,IF($I3&gt;0,IF(3=$J3,IF(OR(AND(56=$I3+1,OR($K3&lt;&gt;'計算A'!$A$3,'計算A'!$A$4=0)),AND(56=$I3-1,OR(8&lt;&gt;'計算A'!$A$3,'計算A'!$A$4=0))),0,IF(8=$K3,200000,ABS(8-$K3)*100)),100000+ABS(3-$J3)*1000+80)+'計算A'!BG$5*50+IF(AND($E3=1,KT3=0),25,0),INDEX('計算A'!BG$110:BG$114,$F3+1)+IF(AND($E3=1,KT3=0),1000,0)+IF($H3=1,(IF('計算A'!BF$117=1,INDEX('計算A'!BF$10:BF$54,$B3),0)+IF('計算A'!BG$117=1,INDEX('計算A'!BH$10:BH$54,$B3),0))*500,0)-IF(AND('計算A'!BF$117=1,WD3&gt;0),300,0)-IF(AND($L3=1,'計算A'!BG$117=1,FF3=0),300,0))),1000000))</f>
        <v/>
      </c>
      <c r="QJ3">
        <f>IF($B3=0,1000000,IF(INDEX('計算A'!$D$60:$EQ$104,$B3,57)*FF3=1,IF(AND($E3=2,KU3=0),1000000,IF($I3&gt;0,IF(3=$J3,IF(OR(AND(57=$I3+1,OR($K3&lt;&gt;'計算A'!$A$3,'計算A'!$A$4=0)),AND(57=$I3-1,OR(9&lt;&gt;'計算A'!$A$3,'計算A'!$A$4=0))),0,IF(9=$K3,200000,ABS(9-$K3)*100)),100000+ABS(3-$J3)*1000+90)+'計算A'!BH$5*50+IF(AND($E3=1,KU3=0),25,0),INDEX('計算A'!BH$110:BH$114,$F3+1)+IF(AND($E3=1,KU3=0),1000,0)+IF($H3=1,(IF('計算A'!BG$117=1,INDEX('計算A'!BG$10:BG$54,$B3),0)+IF('計算A'!BH$117=1,INDEX('計算A'!BI$10:BI$54,$B3),0))*500,0)-IF(AND('計算A'!BG$117=1,WE3&gt;0),300,0)-IF(AND($L3=1,'計算A'!BH$117=1,FG3=0),300,0))),1000000))</f>
        <v/>
      </c>
      <c r="QK3">
        <f>IF($B3=0,1000000,IF(INDEX('計算A'!$D$60:$EQ$104,$B3,58)*FG3=1,IF(AND($E3=2,KV3=0),1000000,IF($I3&gt;0,IF(3=$J3,IF(OR(AND(58=$I3+1,OR($K3&lt;&gt;'計算A'!$A$3,'計算A'!$A$4=0)),AND(58=$I3-1,OR(10&lt;&gt;'計算A'!$A$3,'計算A'!$A$4=0))),0,IF(10=$K3,200000,ABS(10-$K3)*100)),100000+ABS(3-$J3)*1000+100)+'計算A'!BI$5*50+IF(AND($E3=1,KV3=0),25,0),INDEX('計算A'!BI$110:BI$114,$F3+1)+IF(AND($E3=1,KV3=0),1000,0)+IF($H3=1,(IF('計算A'!BH$117=1,INDEX('計算A'!BH$10:BH$54,$B3),0)+IF('計算A'!BI$117=1,INDEX('計算A'!BJ$10:BJ$54,$B3),0))*500,0)-IF(AND('計算A'!BH$117=1,WF3&gt;0),300,0)-IF(AND($L3=1,'計算A'!BI$117=1,FH3=0),300,0))),1000000))</f>
        <v/>
      </c>
      <c r="QL3">
        <f>IF($B3=0,1000000,IF(INDEX('計算A'!$D$60:$EQ$104,$B3,59)*FH3=1,IF(AND($E3=2,KW3=0),1000000,IF($I3&gt;0,IF(3=$J3,IF(OR(AND(59=$I3+1,OR($K3&lt;&gt;'計算A'!$A$3,'計算A'!$A$4=0)),AND(59=$I3-1,OR(11&lt;&gt;'計算A'!$A$3,'計算A'!$A$4=0))),0,IF(11=$K3,200000,ABS(11-$K3)*100)),100000+ABS(3-$J3)*1000+110)+'計算A'!BJ$5*50+IF(AND($E3=1,KW3=0),25,0),INDEX('計算A'!BJ$110:BJ$114,$F3+1)+IF(AND($E3=1,KW3=0),1000,0)+IF($H3=1,(IF('計算A'!BI$117=1,INDEX('計算A'!BI$10:BI$54,$B3),0)+IF('計算A'!BJ$117=1,INDEX('計算A'!BK$10:BK$54,$B3),0))*500,0)-IF(AND('計算A'!BI$117=1,WG3&gt;0),300,0)-IF(AND($L3=1,'計算A'!BJ$117=1,FI3=0),300,0))),1000000))</f>
        <v/>
      </c>
      <c r="QM3">
        <f>IF($B3=0,1000000,IF(INDEX('計算A'!$D$60:$EQ$104,$B3,60)*FI3=1,IF(AND($E3=2,KX3=0),1000000,IF($I3&gt;0,IF(3=$J3,IF(OR(AND(60=$I3+1,OR($K3&lt;&gt;'計算A'!$A$3,'計算A'!$A$4=0)),AND(60=$I3-1,OR(12&lt;&gt;'計算A'!$A$3,'計算A'!$A$4=0))),0,IF(12=$K3,200000,ABS(12-$K3)*100)),100000+ABS(3-$J3)*1000+120)+'計算A'!BK$5*50+IF(AND($E3=1,KX3=0),25,0),INDEX('計算A'!BK$110:BK$114,$F3+1)+IF(AND($E3=1,KX3=0),1000,0)+IF($H3=1,(IF('計算A'!BJ$117=1,INDEX('計算A'!BJ$10:BJ$54,$B3),0)+IF('計算A'!BK$117=1,INDEX('計算A'!BL$10:BL$54,$B3),0))*500,0)-IF(AND('計算A'!BJ$117=1,WH3&gt;0),300,0)-IF(AND($L3=1,'計算A'!BK$117=1,FJ3=0),300,0))),1000000))</f>
        <v/>
      </c>
      <c r="QN3">
        <f>IF($B3=0,1000000,IF(INDEX('計算A'!$D$60:$EQ$104,$B3,61)*FJ3=1,IF(AND($E3=2,KY3=0),1000000,IF($I3&gt;0,IF(3=$J3,IF(OR(AND(61=$I3+1,OR($K3&lt;&gt;'計算A'!$A$3,'計算A'!$A$4=0)),AND(61=$I3-1,OR(13&lt;&gt;'計算A'!$A$3,'計算A'!$A$4=0))),0,IF(13=$K3,200000,ABS(13-$K3)*100)),100000+ABS(3-$J3)*1000+130)+'計算A'!BL$5*50+IF(AND($E3=1,KY3=0),25,0),INDEX('計算A'!BL$110:BL$114,$F3+1)+IF(AND($E3=1,KY3=0),1000,0)+IF($H3=1,(IF('計算A'!BK$117=1,INDEX('計算A'!BK$10:BK$54,$B3),0)+IF('計算A'!BL$117=1,INDEX('計算A'!BM$10:BM$54,$B3),0))*500,0)-IF(AND('計算A'!BK$117=1,WI3&gt;0),300,0)-IF(AND($L3=1,'計算A'!BL$117=1,FK3=0),300,0))),1000000))</f>
        <v/>
      </c>
      <c r="QO3">
        <f>IF($B3=0,1000000,IF(INDEX('計算A'!$D$60:$EQ$104,$B3,62)*FK3=1,IF(AND($E3=2,KZ3=0),1000000,IF($I3&gt;0,IF(3=$J3,IF(OR(AND(62=$I3+1,OR($K3&lt;&gt;'計算A'!$A$3,'計算A'!$A$4=0)),AND(62=$I3-1,OR(14&lt;&gt;'計算A'!$A$3,'計算A'!$A$4=0))),0,IF(14=$K3,200000,ABS(14-$K3)*100)),100000+ABS(3-$J3)*1000+140)+'計算A'!BM$5*50+IF(AND($E3=1,KZ3=0),25,0),INDEX('計算A'!BM$110:BM$114,$F3+1)+IF(AND($E3=1,KZ3=0),1000,0)+IF($H3=1,(IF('計算A'!BL$117=1,INDEX('計算A'!BL$10:BL$54,$B3),0)+IF('計算A'!BM$117=1,INDEX('計算A'!BN$10:BN$54,$B3),0))*500,0)-IF(AND('計算A'!BL$117=1,WJ3&gt;0),300,0)-IF(AND($L3=1,'計算A'!BM$117=1,FL3=0),300,0))),1000000))</f>
        <v/>
      </c>
      <c r="QP3">
        <f>IF($B3=0,1000000,IF(INDEX('計算A'!$D$60:$EQ$104,$B3,63)*FL3=1,IF(AND($E3=2,LA3=0),1000000,IF($I3&gt;0,IF(3=$J3,IF(OR(AND(63=$I3+1,OR($K3&lt;&gt;'計算A'!$A$3,'計算A'!$A$4=0)),AND(63=$I3-1,OR(15&lt;&gt;'計算A'!$A$3,'計算A'!$A$4=0))),0,IF(15=$K3,200000,ABS(15-$K3)*100)),100000+ABS(3-$J3)*1000+150)+'計算A'!BN$5*50+IF(AND($E3=1,LA3=0),25,0),INDEX('計算A'!BN$110:BN$114,$F3+1)+IF(AND($E3=1,LA3=0),1000,0)+IF($H3=1,(IF('計算A'!BM$117=1,INDEX('計算A'!BM$10:BM$54,$B3),0)+IF('計算A'!BN$117=1,INDEX('計算A'!BO$10:BO$54,$B3),0))*500,0)-IF(AND('計算A'!BM$117=1,WK3&gt;0),300,0)-IF(AND($L3=1,'計算A'!BN$117=1,FM3=0),300,0))),1000000))</f>
        <v/>
      </c>
      <c r="QQ3">
        <f>IF($B3=0,1000000,IF(INDEX('計算A'!$D$60:$EQ$104,$B3,64)*FM3=1,IF(AND($E3=2,LB3=0),1000000,IF($I3&gt;0,IF(3=$J3,IF(OR(AND(64=$I3+1,OR($K3&lt;&gt;'計算A'!$A$3,'計算A'!$A$4=0)),AND(64=$I3-1,OR(16&lt;&gt;'計算A'!$A$3,'計算A'!$A$4=0))),0,IF(16=$K3,200000,ABS(16-$K3)*100)),100000+ABS(3-$J3)*1000+160)+'計算A'!BO$5*50+IF(AND($E3=1,LB3=0),25,0),INDEX('計算A'!BO$110:BO$114,$F3+1)+IF(AND($E3=1,LB3=0),1000,0)+IF($H3=1,(IF('計算A'!BN$117=1,INDEX('計算A'!BN$10:BN$54,$B3),0)+IF('計算A'!BO$117=1,INDEX('計算A'!BP$10:BP$54,$B3),0))*500,0)-IF(AND('計算A'!BN$117=1,WL3&gt;0),300,0)-IF(AND($L3=1,'計算A'!BO$117=1,FN3=0),300,0))),1000000))</f>
        <v/>
      </c>
      <c r="QR3">
        <f>IF($B3=0,1000000,IF(INDEX('計算A'!$D$60:$EQ$104,$B3,65)*FN3=1,IF(AND($E3=2,LC3=0),1000000,IF($I3&gt;0,IF(3=$J3,IF(OR(AND(65=$I3+1,OR($K3&lt;&gt;'計算A'!$A$3,'計算A'!$A$4=0)),AND(65=$I3-1,OR(17&lt;&gt;'計算A'!$A$3,'計算A'!$A$4=0))),0,IF(17=$K3,200000,ABS(17-$K3)*100)),100000+ABS(3-$J3)*1000+170)+'計算A'!BP$5*50+IF(AND($E3=1,LC3=0),25,0),INDEX('計算A'!BP$110:BP$114,$F3+1)+IF(AND($E3=1,LC3=0),1000,0)+IF($H3=1,(IF('計算A'!BO$117=1,INDEX('計算A'!BO$10:BO$54,$B3),0)+IF('計算A'!BP$117=1,INDEX('計算A'!BQ$10:BQ$54,$B3),0))*500,0)-IF(AND('計算A'!BO$117=1,WM3&gt;0),300,0)-IF(AND($L3=1,'計算A'!BP$117=1,FO3=0),300,0))),1000000))</f>
        <v/>
      </c>
      <c r="QS3">
        <f>IF($B3=0,1000000,IF(INDEX('計算A'!$D$60:$EQ$104,$B3,66)*FO3=1,IF(AND($E3=2,LD3=0),1000000,IF($I3&gt;0,IF(3=$J3,IF(OR(AND(66=$I3+1,OR($K3&lt;&gt;'計算A'!$A$3,'計算A'!$A$4=0)),AND(66=$I3-1,OR(18&lt;&gt;'計算A'!$A$3,'計算A'!$A$4=0))),0,IF(18=$K3,200000,ABS(18-$K3)*100)),100000+ABS(3-$J3)*1000+180)+'計算A'!BQ$5*50+IF(AND($E3=1,LD3=0),25,0),INDEX('計算A'!BQ$110:BQ$114,$F3+1)+IF(AND($E3=1,LD3=0),1000,0)+IF($H3=1,(IF('計算A'!BP$117=1,INDEX('計算A'!BP$10:BP$54,$B3),0)+IF('計算A'!BQ$117=1,INDEX('計算A'!BR$10:BR$54,$B3),0))*500,0)-IF(AND('計算A'!BP$117=1,WN3&gt;0),300,0)-IF(AND($L3=1,'計算A'!BQ$117=1,FP3=0),300,0))),1000000))</f>
        <v/>
      </c>
      <c r="QT3">
        <f>IF($B3=0,1000000,IF(INDEX('計算A'!$D$60:$EQ$104,$B3,67)*FP3=1,IF(AND($E3=2,LE3=0),1000000,IF($I3&gt;0,IF(3=$J3,IF(OR(AND(67=$I3+1,OR($K3&lt;&gt;'計算A'!$A$3,'計算A'!$A$4=0)),AND(67=$I3-1,OR(19&lt;&gt;'計算A'!$A$3,'計算A'!$A$4=0))),0,IF(19=$K3,200000,ABS(19-$K3)*100)),100000+ABS(3-$J3)*1000+190)+'計算A'!BR$5*50+IF(AND($E3=1,LE3=0),25,0),INDEX('計算A'!BR$110:BR$114,$F3+1)+IF(AND($E3=1,LE3=0),1000,0)+IF($H3=1,(IF('計算A'!BQ$117=1,INDEX('計算A'!BQ$10:BQ$54,$B3),0)+IF('計算A'!BR$117=1,INDEX('計算A'!BS$10:BS$54,$B3),0))*500,0)-IF(AND('計算A'!BQ$117=1,WO3&gt;0),300,0)-IF(AND($L3=1,'計算A'!BR$117=1,FQ3=0),300,0))),1000000))</f>
        <v/>
      </c>
      <c r="QU3">
        <f>IF($B3=0,1000000,IF(INDEX('計算A'!$D$60:$EQ$104,$B3,68)*FQ3=1,IF(AND($E3=2,LF3=0),1000000,IF($I3&gt;0,IF(3=$J3,IF(OR(AND(68=$I3+1,OR($K3&lt;&gt;'計算A'!$A$3,'計算A'!$A$4=0)),AND(68=$I3-1,OR(20&lt;&gt;'計算A'!$A$3,'計算A'!$A$4=0))),0,IF(20=$K3,200000,ABS(20-$K3)*100)),100000+ABS(3-$J3)*1000+200)+'計算A'!BS$5*50+IF(AND($E3=1,LF3=0),25,0),INDEX('計算A'!BS$110:BS$114,$F3+1)+IF(AND($E3=1,LF3=0),1000,0)+IF($H3=1,(IF('計算A'!BR$117=1,INDEX('計算A'!BR$10:BR$54,$B3),0)+IF('計算A'!BS$117=1,INDEX('計算A'!BT$10:BT$54,$B3),0))*500,0)-IF(AND('計算A'!BR$117=1,WP3&gt;0),300,0)-IF(AND($L3=1,'計算A'!BS$117=1,FR3=0),300,0))),1000000))</f>
        <v/>
      </c>
      <c r="QV3">
        <f>IF($B3=0,1000000,IF(INDEX('計算A'!$D$60:$EQ$104,$B3,69)*FR3=1,IF(AND($E3=2,LG3=0),1000000,IF($I3&gt;0,IF(3=$J3,IF(OR(AND(69=$I3+1,OR($K3&lt;&gt;'計算A'!$A$3,'計算A'!$A$4=0)),AND(69=$I3-1,OR(21&lt;&gt;'計算A'!$A$3,'計算A'!$A$4=0))),0,IF(21=$K3,200000,ABS(21-$K3)*100)),100000+ABS(3-$J3)*1000+210)+'計算A'!BT$5*50+IF(AND($E3=1,LG3=0),25,0),INDEX('計算A'!BT$110:BT$114,$F3+1)+IF(AND($E3=1,LG3=0),1000,0)+IF($H3=1,(IF('計算A'!BS$117=1,INDEX('計算A'!BS$10:BS$54,$B3),0)+IF('計算A'!BT$117=1,INDEX('計算A'!BU$10:BU$54,$B3),0))*500,0)-IF(AND('計算A'!BS$117=1,WQ3&gt;0),300,0)-IF(AND($L3=1,'計算A'!BT$117=1,FS3=0),300,0))),1000000))</f>
        <v/>
      </c>
      <c r="QW3">
        <f>IF($B3=0,1000000,IF(INDEX('計算A'!$D$60:$EQ$104,$B3,70)*FS3=1,IF(AND($E3=2,LH3=0),1000000,IF($I3&gt;0,IF(3=$J3,IF(OR(AND(70=$I3+1,OR($K3&lt;&gt;'計算A'!$A$3,'計算A'!$A$4=0)),AND(70=$I3-1,OR(22&lt;&gt;'計算A'!$A$3,'計算A'!$A$4=0))),0,IF(22=$K3,200000,ABS(22-$K3)*100)),100000+ABS(3-$J3)*1000+220)+'計算A'!BU$5*50+IF(AND($E3=1,LH3=0),25,0),INDEX('計算A'!BU$110:BU$114,$F3+1)+IF(AND($E3=1,LH3=0),1000,0)+IF($H3=1,(IF('計算A'!BT$117=1,INDEX('計算A'!BT$10:BT$54,$B3),0)+IF('計算A'!BU$117=1,INDEX('計算A'!BV$10:BV$54,$B3),0))*500,0)-IF(AND('計算A'!BT$117=1,WR3&gt;0),300,0)-IF(AND($L3=1,'計算A'!BU$117=1,FT3=0),300,0))),1000000))</f>
        <v/>
      </c>
      <c r="QX3">
        <f>IF($B3=0,1000000,IF(INDEX('計算A'!$D$60:$EQ$104,$B3,71)*FT3=1,IF(AND($E3=2,LI3=0),1000000,IF($I3&gt;0,IF(3=$J3,IF(OR(AND(71=$I3+1,OR($K3&lt;&gt;'計算A'!$A$3,'計算A'!$A$4=0)),AND(71=$I3-1,OR(23&lt;&gt;'計算A'!$A$3,'計算A'!$A$4=0))),0,IF(23=$K3,200000,ABS(23-$K3)*100)),100000+ABS(3-$J3)*1000+230)+'計算A'!BV$5*50+IF(AND($E3=1,LI3=0),25,0),INDEX('計算A'!BV$110:BV$114,$F3+1)+IF(AND($E3=1,LI3=0),1000,0)+IF($H3=1,(IF('計算A'!BU$117=1,INDEX('計算A'!BU$10:BU$54,$B3),0)+IF('計算A'!BV$117=1,INDEX('計算A'!BW$10:BW$54,$B3),0))*500,0)-IF(AND('計算A'!BU$117=1,WS3&gt;0),300,0)-IF(AND($L3=1,'計算A'!BV$117=1,FU3=0),300,0))),1000000))</f>
        <v/>
      </c>
      <c r="QY3">
        <f>IF($B3=0,1000000,IF(INDEX('計算A'!$D$60:$EQ$104,$B3,72)*FU3=1,IF(AND($E3=2,LJ3=0),1000000,IF($I3&gt;0,IF(3=$J3,IF(OR(AND(72=$I3+1,OR($K3&lt;&gt;'計算A'!$A$3,'計算A'!$A$4=0)),AND(72=$I3-1,OR(24&lt;&gt;'計算A'!$A$3,'計算A'!$A$4=0))),0,IF(24=$K3,200000,ABS(24-$K3)*100)),100000+ABS(3-$J3)*1000+240)+'計算A'!BW$5*50+IF(AND($E3=1,LJ3=0),25,0),INDEX('計算A'!BW$110:BW$114,$F3+1)+IF(AND($E3=1,LJ3=0),1000,0)+IF($H3=1,(IF('計算A'!BV$117=1,INDEX('計算A'!BV$10:BV$54,$B3),0))*500,0)-IF(AND('計算A'!BV$117=1,WT3&gt;0),300,0))),1000000))</f>
        <v/>
      </c>
      <c r="QZ3">
        <f>IF($B3=0,1000000,IF(INDEX('計算A'!$D$60:$EQ$104,$B3,73)*FV3=1,IF(AND($E3=2,LK3=0),1000000,IF($I3&gt;0,IF(4=$J3,IF(OR(AND(73=$I3+1,OR($K3&lt;&gt;'計算A'!$A$3,'計算A'!$A$4=0)),AND(73=$I3-1,OR(1&lt;&gt;'計算A'!$A$3,'計算A'!$A$4=0))),0,IF(1=$K3,200000,ABS(1-$K3)*100)),100000+ABS(4-$J3)*1000+10)+'計算A'!BX$5*50+IF(AND($E3=1,LK3=0),25,0),INDEX('計算A'!BX$110:BX$114,$F3+1)+IF(AND($E3=1,LK3=0),1000,0)+IF($H3=1,(IF('計算A'!BX$117=1,INDEX('計算A'!BY$10:BY$54,$B3),0))*500,0)-IF(AND($L3=1,'計算A'!BX$117=1,FW3=0),300,0))),1000000))</f>
        <v/>
      </c>
      <c r="RA3">
        <f>IF($B3=0,1000000,IF(INDEX('計算A'!$D$60:$EQ$104,$B3,74)*FW3=1,IF(AND($E3=2,LL3=0),1000000,IF($I3&gt;0,IF(4=$J3,IF(OR(AND(74=$I3+1,OR($K3&lt;&gt;'計算A'!$A$3,'計算A'!$A$4=0)),AND(74=$I3-1,OR(2&lt;&gt;'計算A'!$A$3,'計算A'!$A$4=0))),0,IF(2=$K3,200000,ABS(2-$K3)*100)),100000+ABS(4-$J3)*1000+20)+'計算A'!BY$5*50+IF(AND($E3=1,LL3=0),25,0),INDEX('計算A'!BY$110:BY$114,$F3+1)+IF(AND($E3=1,LL3=0),1000,0)+IF($H3=1,(IF('計算A'!BX$117=1,INDEX('計算A'!BX$10:BX$54,$B3),0)+IF('計算A'!BY$117=1,INDEX('計算A'!BZ$10:BZ$54,$B3),0))*500,0)-IF(AND('計算A'!BX$117=1,WV3&gt;0),300,0)-IF(AND($L3=1,'計算A'!BY$117=1,FX3=0),300,0))),1000000))</f>
        <v/>
      </c>
      <c r="RB3">
        <f>IF($B3=0,1000000,IF(INDEX('計算A'!$D$60:$EQ$104,$B3,75)*FX3=1,IF(AND($E3=2,LM3=0),1000000,IF($I3&gt;0,IF(4=$J3,IF(OR(AND(75=$I3+1,OR($K3&lt;&gt;'計算A'!$A$3,'計算A'!$A$4=0)),AND(75=$I3-1,OR(3&lt;&gt;'計算A'!$A$3,'計算A'!$A$4=0))),0,IF(3=$K3,200000,ABS(3-$K3)*100)),100000+ABS(4-$J3)*1000+30)+'計算A'!BZ$5*50+IF(AND($E3=1,LM3=0),25,0),INDEX('計算A'!BZ$110:BZ$114,$F3+1)+IF(AND($E3=1,LM3=0),1000,0)+IF($H3=1,(IF('計算A'!BY$117=1,INDEX('計算A'!BY$10:BY$54,$B3),0)+IF('計算A'!BZ$117=1,INDEX('計算A'!CA$10:CA$54,$B3),0))*500,0)-IF(AND('計算A'!BY$117=1,WW3&gt;0),300,0)-IF(AND($L3=1,'計算A'!BZ$117=1,FY3=0),300,0))),1000000))</f>
        <v/>
      </c>
      <c r="RC3">
        <f>IF($B3=0,1000000,IF(INDEX('計算A'!$D$60:$EQ$104,$B3,76)*FY3=1,IF(AND($E3=2,LN3=0),1000000,IF($I3&gt;0,IF(4=$J3,IF(OR(AND(76=$I3+1,OR($K3&lt;&gt;'計算A'!$A$3,'計算A'!$A$4=0)),AND(76=$I3-1,OR(4&lt;&gt;'計算A'!$A$3,'計算A'!$A$4=0))),0,IF(4=$K3,200000,ABS(4-$K3)*100)),100000+ABS(4-$J3)*1000+40)+'計算A'!CA$5*50+IF(AND($E3=1,LN3=0),25,0),INDEX('計算A'!CA$110:CA$114,$F3+1)+IF(AND($E3=1,LN3=0),1000,0)+IF($H3=1,(IF('計算A'!BZ$117=1,INDEX('計算A'!BZ$10:BZ$54,$B3),0)+IF('計算A'!CA$117=1,INDEX('計算A'!CB$10:CB$54,$B3),0))*500,0)-IF(AND('計算A'!BZ$117=1,WX3&gt;0),300,0)-IF(AND($L3=1,'計算A'!CA$117=1,FZ3=0),300,0))),1000000))</f>
        <v/>
      </c>
      <c r="RD3">
        <f>IF($B3=0,1000000,IF(INDEX('計算A'!$D$60:$EQ$104,$B3,77)*FZ3=1,IF(AND($E3=2,LO3=0),1000000,IF($I3&gt;0,IF(4=$J3,IF(OR(AND(77=$I3+1,OR($K3&lt;&gt;'計算A'!$A$3,'計算A'!$A$4=0)),AND(77=$I3-1,OR(5&lt;&gt;'計算A'!$A$3,'計算A'!$A$4=0))),0,IF(5=$K3,200000,ABS(5-$K3)*100)),100000+ABS(4-$J3)*1000+50)+'計算A'!CB$5*50+IF(AND($E3=1,LO3=0),25,0),INDEX('計算A'!CB$110:CB$114,$F3+1)+IF(AND($E3=1,LO3=0),1000,0)+IF($H3=1,(IF('計算A'!CA$117=1,INDEX('計算A'!CA$10:CA$54,$B3),0)+IF('計算A'!CB$117=1,INDEX('計算A'!CC$10:CC$54,$B3),0))*500,0)-IF(AND('計算A'!CA$117=1,WY3&gt;0),300,0)-IF(AND($L3=1,'計算A'!CB$117=1,GA3=0),300,0))),1000000))</f>
        <v/>
      </c>
      <c r="RE3">
        <f>IF($B3=0,1000000,IF(INDEX('計算A'!$D$60:$EQ$104,$B3,78)*GA3=1,IF(AND($E3=2,LP3=0),1000000,IF($I3&gt;0,IF(4=$J3,IF(OR(AND(78=$I3+1,OR($K3&lt;&gt;'計算A'!$A$3,'計算A'!$A$4=0)),AND(78=$I3-1,OR(6&lt;&gt;'計算A'!$A$3,'計算A'!$A$4=0))),0,IF(6=$K3,200000,ABS(6-$K3)*100)),100000+ABS(4-$J3)*1000+60)+'計算A'!CC$5*50+IF(AND($E3=1,LP3=0),25,0),INDEX('計算A'!CC$110:CC$114,$F3+1)+IF(AND($E3=1,LP3=0),1000,0)+IF($H3=1,(IF('計算A'!CB$117=1,INDEX('計算A'!CB$10:CB$54,$B3),0)+IF('計算A'!CC$117=1,INDEX('計算A'!CD$10:CD$54,$B3),0))*500,0)-IF(AND('計算A'!CB$117=1,WZ3&gt;0),300,0)-IF(AND($L3=1,'計算A'!CC$117=1,GB3=0),300,0))),1000000))</f>
        <v/>
      </c>
      <c r="RF3">
        <f>IF($B3=0,1000000,IF(INDEX('計算A'!$D$60:$EQ$104,$B3,79)*GB3=1,IF(AND($E3=2,LQ3=0),1000000,IF($I3&gt;0,IF(4=$J3,IF(OR(AND(79=$I3+1,OR($K3&lt;&gt;'計算A'!$A$3,'計算A'!$A$4=0)),AND(79=$I3-1,OR(7&lt;&gt;'計算A'!$A$3,'計算A'!$A$4=0))),0,IF(7=$K3,200000,ABS(7-$K3)*100)),100000+ABS(4-$J3)*1000+70)+'計算A'!CD$5*50+IF(AND($E3=1,LQ3=0),25,0),INDEX('計算A'!CD$110:CD$114,$F3+1)+IF(AND($E3=1,LQ3=0),1000,0)+IF($H3=1,(IF('計算A'!CC$117=1,INDEX('計算A'!CC$10:CC$54,$B3),0)+IF('計算A'!CD$117=1,INDEX('計算A'!CE$10:CE$54,$B3),0))*500,0)-IF(AND('計算A'!CC$117=1,XA3&gt;0),300,0)-IF(AND($L3=1,'計算A'!CD$117=1,GC3=0),300,0))),1000000))</f>
        <v/>
      </c>
      <c r="RG3">
        <f>IF($B3=0,1000000,IF(INDEX('計算A'!$D$60:$EQ$104,$B3,80)*GC3=1,IF(AND($E3=2,LR3=0),1000000,IF($I3&gt;0,IF(4=$J3,IF(OR(AND(80=$I3+1,OR($K3&lt;&gt;'計算A'!$A$3,'計算A'!$A$4=0)),AND(80=$I3-1,OR(8&lt;&gt;'計算A'!$A$3,'計算A'!$A$4=0))),0,IF(8=$K3,200000,ABS(8-$K3)*100)),100000+ABS(4-$J3)*1000+80)+'計算A'!CE$5*50+IF(AND($E3=1,LR3=0),25,0),INDEX('計算A'!CE$110:CE$114,$F3+1)+IF(AND($E3=1,LR3=0),1000,0)+IF($H3=1,(IF('計算A'!CD$117=1,INDEX('計算A'!CD$10:CD$54,$B3),0)+IF('計算A'!CE$117=1,INDEX('計算A'!CF$10:CF$54,$B3),0))*500,0)-IF(AND('計算A'!CD$117=1,XB3&gt;0),300,0)-IF(AND($L3=1,'計算A'!CE$117=1,GD3=0),300,0))),1000000))</f>
        <v/>
      </c>
      <c r="RH3">
        <f>IF($B3=0,1000000,IF(INDEX('計算A'!$D$60:$EQ$104,$B3,81)*GD3=1,IF(AND($E3=2,LS3=0),1000000,IF($I3&gt;0,IF(4=$J3,IF(OR(AND(81=$I3+1,OR($K3&lt;&gt;'計算A'!$A$3,'計算A'!$A$4=0)),AND(81=$I3-1,OR(9&lt;&gt;'計算A'!$A$3,'計算A'!$A$4=0))),0,IF(9=$K3,200000,ABS(9-$K3)*100)),100000+ABS(4-$J3)*1000+90)+'計算A'!CF$5*50+IF(AND($E3=1,LS3=0),25,0),INDEX('計算A'!CF$110:CF$114,$F3+1)+IF(AND($E3=1,LS3=0),1000,0)+IF($H3=1,(IF('計算A'!CE$117=1,INDEX('計算A'!CE$10:CE$54,$B3),0)+IF('計算A'!CF$117=1,INDEX('計算A'!CG$10:CG$54,$B3),0))*500,0)-IF(AND('計算A'!CE$117=1,XC3&gt;0),300,0)-IF(AND($L3=1,'計算A'!CF$117=1,GE3=0),300,0))),1000000))</f>
        <v/>
      </c>
      <c r="RI3">
        <f>IF($B3=0,1000000,IF(INDEX('計算A'!$D$60:$EQ$104,$B3,82)*GE3=1,IF(AND($E3=2,LT3=0),1000000,IF($I3&gt;0,IF(4=$J3,IF(OR(AND(82=$I3+1,OR($K3&lt;&gt;'計算A'!$A$3,'計算A'!$A$4=0)),AND(82=$I3-1,OR(10&lt;&gt;'計算A'!$A$3,'計算A'!$A$4=0))),0,IF(10=$K3,200000,ABS(10-$K3)*100)),100000+ABS(4-$J3)*1000+100)+'計算A'!CG$5*50+IF(AND($E3=1,LT3=0),25,0),INDEX('計算A'!CG$110:CG$114,$F3+1)+IF(AND($E3=1,LT3=0),1000,0)+IF($H3=1,(IF('計算A'!CF$117=1,INDEX('計算A'!CF$10:CF$54,$B3),0)+IF('計算A'!CG$117=1,INDEX('計算A'!CH$10:CH$54,$B3),0))*500,0)-IF(AND('計算A'!CF$117=1,XD3&gt;0),300,0)-IF(AND($L3=1,'計算A'!CG$117=1,GF3=0),300,0))),1000000))</f>
        <v/>
      </c>
      <c r="RJ3">
        <f>IF($B3=0,1000000,IF(INDEX('計算A'!$D$60:$EQ$104,$B3,83)*GF3=1,IF(AND($E3=2,LU3=0),1000000,IF($I3&gt;0,IF(4=$J3,IF(OR(AND(83=$I3+1,OR($K3&lt;&gt;'計算A'!$A$3,'計算A'!$A$4=0)),AND(83=$I3-1,OR(11&lt;&gt;'計算A'!$A$3,'計算A'!$A$4=0))),0,IF(11=$K3,200000,ABS(11-$K3)*100)),100000+ABS(4-$J3)*1000+110)+'計算A'!CH$5*50+IF(AND($E3=1,LU3=0),25,0),INDEX('計算A'!CH$110:CH$114,$F3+1)+IF(AND($E3=1,LU3=0),1000,0)+IF($H3=1,(IF('計算A'!CG$117=1,INDEX('計算A'!CG$10:CG$54,$B3),0)+IF('計算A'!CH$117=1,INDEX('計算A'!CI$10:CI$54,$B3),0))*500,0)-IF(AND('計算A'!CG$117=1,XE3&gt;0),300,0)-IF(AND($L3=1,'計算A'!CH$117=1,GG3=0),300,0))),1000000))</f>
        <v/>
      </c>
      <c r="RK3">
        <f>IF($B3=0,1000000,IF(INDEX('計算A'!$D$60:$EQ$104,$B3,84)*GG3=1,IF(AND($E3=2,LV3=0),1000000,IF($I3&gt;0,IF(4=$J3,IF(OR(AND(84=$I3+1,OR($K3&lt;&gt;'計算A'!$A$3,'計算A'!$A$4=0)),AND(84=$I3-1,OR(12&lt;&gt;'計算A'!$A$3,'計算A'!$A$4=0))),0,IF(12=$K3,200000,ABS(12-$K3)*100)),100000+ABS(4-$J3)*1000+120)+'計算A'!CI$5*50+IF(AND($E3=1,LV3=0),25,0),INDEX('計算A'!CI$110:CI$114,$F3+1)+IF(AND($E3=1,LV3=0),1000,0)+IF($H3=1,(IF('計算A'!CH$117=1,INDEX('計算A'!CH$10:CH$54,$B3),0)+IF('計算A'!CI$117=1,INDEX('計算A'!CJ$10:CJ$54,$B3),0))*500,0)-IF(AND('計算A'!CH$117=1,XF3&gt;0),300,0)-IF(AND($L3=1,'計算A'!CI$117=1,GH3=0),300,0))),1000000))</f>
        <v/>
      </c>
      <c r="RL3">
        <f>IF($B3=0,1000000,IF(INDEX('計算A'!$D$60:$EQ$104,$B3,85)*GH3=1,IF(AND($E3=2,LW3=0),1000000,IF($I3&gt;0,IF(4=$J3,IF(OR(AND(85=$I3+1,OR($K3&lt;&gt;'計算A'!$A$3,'計算A'!$A$4=0)),AND(85=$I3-1,OR(13&lt;&gt;'計算A'!$A$3,'計算A'!$A$4=0))),0,IF(13=$K3,200000,ABS(13-$K3)*100)),100000+ABS(4-$J3)*1000+130)+'計算A'!CJ$5*50+IF(AND($E3=1,LW3=0),25,0),INDEX('計算A'!CJ$110:CJ$114,$F3+1)+IF(AND($E3=1,LW3=0),1000,0)+IF($H3=1,(IF('計算A'!CI$117=1,INDEX('計算A'!CI$10:CI$54,$B3),0)+IF('計算A'!CJ$117=1,INDEX('計算A'!CK$10:CK$54,$B3),0))*500,0)-IF(AND('計算A'!CI$117=1,XG3&gt;0),300,0)-IF(AND($L3=1,'計算A'!CJ$117=1,GI3=0),300,0))),1000000))</f>
        <v/>
      </c>
      <c r="RM3">
        <f>IF($B3=0,1000000,IF(INDEX('計算A'!$D$60:$EQ$104,$B3,86)*GI3=1,IF(AND($E3=2,LX3=0),1000000,IF($I3&gt;0,IF(4=$J3,IF(OR(AND(86=$I3+1,OR($K3&lt;&gt;'計算A'!$A$3,'計算A'!$A$4=0)),AND(86=$I3-1,OR(14&lt;&gt;'計算A'!$A$3,'計算A'!$A$4=0))),0,IF(14=$K3,200000,ABS(14-$K3)*100)),100000+ABS(4-$J3)*1000+140)+'計算A'!CK$5*50+IF(AND($E3=1,LX3=0),25,0),INDEX('計算A'!CK$110:CK$114,$F3+1)+IF(AND($E3=1,LX3=0),1000,0)+IF($H3=1,(IF('計算A'!CJ$117=1,INDEX('計算A'!CJ$10:CJ$54,$B3),0)+IF('計算A'!CK$117=1,INDEX('計算A'!CL$10:CL$54,$B3),0))*500,0)-IF(AND('計算A'!CJ$117=1,XH3&gt;0),300,0)-IF(AND($L3=1,'計算A'!CK$117=1,GJ3=0),300,0))),1000000))</f>
        <v/>
      </c>
      <c r="RN3">
        <f>IF($B3=0,1000000,IF(INDEX('計算A'!$D$60:$EQ$104,$B3,87)*GJ3=1,IF(AND($E3=2,LY3=0),1000000,IF($I3&gt;0,IF(4=$J3,IF(OR(AND(87=$I3+1,OR($K3&lt;&gt;'計算A'!$A$3,'計算A'!$A$4=0)),AND(87=$I3-1,OR(15&lt;&gt;'計算A'!$A$3,'計算A'!$A$4=0))),0,IF(15=$K3,200000,ABS(15-$K3)*100)),100000+ABS(4-$J3)*1000+150)+'計算A'!CL$5*50+IF(AND($E3=1,LY3=0),25,0),INDEX('計算A'!CL$110:CL$114,$F3+1)+IF(AND($E3=1,LY3=0),1000,0)+IF($H3=1,(IF('計算A'!CK$117=1,INDEX('計算A'!CK$10:CK$54,$B3),0)+IF('計算A'!CL$117=1,INDEX('計算A'!CM$10:CM$54,$B3),0))*500,0)-IF(AND('計算A'!CK$117=1,XI3&gt;0),300,0)-IF(AND($L3=1,'計算A'!CL$117=1,GK3=0),300,0))),1000000))</f>
        <v/>
      </c>
      <c r="RO3">
        <f>IF($B3=0,1000000,IF(INDEX('計算A'!$D$60:$EQ$104,$B3,88)*GK3=1,IF(AND($E3=2,LZ3=0),1000000,IF($I3&gt;0,IF(4=$J3,IF(OR(AND(88=$I3+1,OR($K3&lt;&gt;'計算A'!$A$3,'計算A'!$A$4=0)),AND(88=$I3-1,OR(16&lt;&gt;'計算A'!$A$3,'計算A'!$A$4=0))),0,IF(16=$K3,200000,ABS(16-$K3)*100)),100000+ABS(4-$J3)*1000+160)+'計算A'!CM$5*50+IF(AND($E3=1,LZ3=0),25,0),INDEX('計算A'!CM$110:CM$114,$F3+1)+IF(AND($E3=1,LZ3=0),1000,0)+IF($H3=1,(IF('計算A'!CL$117=1,INDEX('計算A'!CL$10:CL$54,$B3),0)+IF('計算A'!CM$117=1,INDEX('計算A'!CN$10:CN$54,$B3),0))*500,0)-IF(AND('計算A'!CL$117=1,XJ3&gt;0),300,0)-IF(AND($L3=1,'計算A'!CM$117=1,GL3=0),300,0))),1000000))</f>
        <v/>
      </c>
      <c r="RP3">
        <f>IF($B3=0,1000000,IF(INDEX('計算A'!$D$60:$EQ$104,$B3,89)*GL3=1,IF(AND($E3=2,MA3=0),1000000,IF($I3&gt;0,IF(4=$J3,IF(OR(AND(89=$I3+1,OR($K3&lt;&gt;'計算A'!$A$3,'計算A'!$A$4=0)),AND(89=$I3-1,OR(17&lt;&gt;'計算A'!$A$3,'計算A'!$A$4=0))),0,IF(17=$K3,200000,ABS(17-$K3)*100)),100000+ABS(4-$J3)*1000+170)+'計算A'!CN$5*50+IF(AND($E3=1,MA3=0),25,0),INDEX('計算A'!CN$110:CN$114,$F3+1)+IF(AND($E3=1,MA3=0),1000,0)+IF($H3=1,(IF('計算A'!CM$117=1,INDEX('計算A'!CM$10:CM$54,$B3),0)+IF('計算A'!CN$117=1,INDEX('計算A'!CO$10:CO$54,$B3),0))*500,0)-IF(AND('計算A'!CM$117=1,XK3&gt;0),300,0)-IF(AND($L3=1,'計算A'!CN$117=1,GM3=0),300,0))),1000000))</f>
        <v/>
      </c>
      <c r="RQ3">
        <f>IF($B3=0,1000000,IF(INDEX('計算A'!$D$60:$EQ$104,$B3,90)*GM3=1,IF(AND($E3=2,MB3=0),1000000,IF($I3&gt;0,IF(4=$J3,IF(OR(AND(90=$I3+1,OR($K3&lt;&gt;'計算A'!$A$3,'計算A'!$A$4=0)),AND(90=$I3-1,OR(18&lt;&gt;'計算A'!$A$3,'計算A'!$A$4=0))),0,IF(18=$K3,200000,ABS(18-$K3)*100)),100000+ABS(4-$J3)*1000+180)+'計算A'!CO$5*50+IF(AND($E3=1,MB3=0),25,0),INDEX('計算A'!CO$110:CO$114,$F3+1)+IF(AND($E3=1,MB3=0),1000,0)+IF($H3=1,(IF('計算A'!CN$117=1,INDEX('計算A'!CN$10:CN$54,$B3),0)+IF('計算A'!CO$117=1,INDEX('計算A'!CP$10:CP$54,$B3),0))*500,0)-IF(AND('計算A'!CN$117=1,XL3&gt;0),300,0)-IF(AND($L3=1,'計算A'!CO$117=1,GN3=0),300,0))),1000000))</f>
        <v/>
      </c>
      <c r="RR3">
        <f>IF($B3=0,1000000,IF(INDEX('計算A'!$D$60:$EQ$104,$B3,91)*GN3=1,IF(AND($E3=2,MC3=0),1000000,IF($I3&gt;0,IF(4=$J3,IF(OR(AND(91=$I3+1,OR($K3&lt;&gt;'計算A'!$A$3,'計算A'!$A$4=0)),AND(91=$I3-1,OR(19&lt;&gt;'計算A'!$A$3,'計算A'!$A$4=0))),0,IF(19=$K3,200000,ABS(19-$K3)*100)),100000+ABS(4-$J3)*1000+190)+'計算A'!CP$5*50+IF(AND($E3=1,MC3=0),25,0),INDEX('計算A'!CP$110:CP$114,$F3+1)+IF(AND($E3=1,MC3=0),1000,0)+IF($H3=1,(IF('計算A'!CO$117=1,INDEX('計算A'!CO$10:CO$54,$B3),0)+IF('計算A'!CP$117=1,INDEX('計算A'!CQ$10:CQ$54,$B3),0))*500,0)-IF(AND('計算A'!CO$117=1,XM3&gt;0),300,0)-IF(AND($L3=1,'計算A'!CP$117=1,GO3=0),300,0))),1000000))</f>
        <v/>
      </c>
      <c r="RS3">
        <f>IF($B3=0,1000000,IF(INDEX('計算A'!$D$60:$EQ$104,$B3,92)*GO3=1,IF(AND($E3=2,MD3=0),1000000,IF($I3&gt;0,IF(4=$J3,IF(OR(AND(92=$I3+1,OR($K3&lt;&gt;'計算A'!$A$3,'計算A'!$A$4=0)),AND(92=$I3-1,OR(20&lt;&gt;'計算A'!$A$3,'計算A'!$A$4=0))),0,IF(20=$K3,200000,ABS(20-$K3)*100)),100000+ABS(4-$J3)*1000+200)+'計算A'!CQ$5*50+IF(AND($E3=1,MD3=0),25,0),INDEX('計算A'!CQ$110:CQ$114,$F3+1)+IF(AND($E3=1,MD3=0),1000,0)+IF($H3=1,(IF('計算A'!CP$117=1,INDEX('計算A'!CP$10:CP$54,$B3),0)+IF('計算A'!CQ$117=1,INDEX('計算A'!CR$10:CR$54,$B3),0))*500,0)-IF(AND('計算A'!CP$117=1,XN3&gt;0),300,0)-IF(AND($L3=1,'計算A'!CQ$117=1,GP3=0),300,0))),1000000))</f>
        <v/>
      </c>
      <c r="RT3">
        <f>IF($B3=0,1000000,IF(INDEX('計算A'!$D$60:$EQ$104,$B3,93)*GP3=1,IF(AND($E3=2,ME3=0),1000000,IF($I3&gt;0,IF(4=$J3,IF(OR(AND(93=$I3+1,OR($K3&lt;&gt;'計算A'!$A$3,'計算A'!$A$4=0)),AND(93=$I3-1,OR(21&lt;&gt;'計算A'!$A$3,'計算A'!$A$4=0))),0,IF(21=$K3,200000,ABS(21-$K3)*100)),100000+ABS(4-$J3)*1000+210)+'計算A'!CR$5*50+IF(AND($E3=1,ME3=0),25,0),INDEX('計算A'!CR$110:CR$114,$F3+1)+IF(AND($E3=1,ME3=0),1000,0)+IF($H3=1,(IF('計算A'!CQ$117=1,INDEX('計算A'!CQ$10:CQ$54,$B3),0)+IF('計算A'!CR$117=1,INDEX('計算A'!CS$10:CS$54,$B3),0))*500,0)-IF(AND('計算A'!CQ$117=1,XO3&gt;0),300,0)-IF(AND($L3=1,'計算A'!CR$117=1,GQ3=0),300,0))),1000000))</f>
        <v/>
      </c>
      <c r="RU3">
        <f>IF($B3=0,1000000,IF(INDEX('計算A'!$D$60:$EQ$104,$B3,94)*GQ3=1,IF(AND($E3=2,MF3=0),1000000,IF($I3&gt;0,IF(4=$J3,IF(OR(AND(94=$I3+1,OR($K3&lt;&gt;'計算A'!$A$3,'計算A'!$A$4=0)),AND(94=$I3-1,OR(22&lt;&gt;'計算A'!$A$3,'計算A'!$A$4=0))),0,IF(22=$K3,200000,ABS(22-$K3)*100)),100000+ABS(4-$J3)*1000+220)+'計算A'!CS$5*50+IF(AND($E3=1,MF3=0),25,0),INDEX('計算A'!CS$110:CS$114,$F3+1)+IF(AND($E3=1,MF3=0),1000,0)+IF($H3=1,(IF('計算A'!CR$117=1,INDEX('計算A'!CR$10:CR$54,$B3),0)+IF('計算A'!CS$117=1,INDEX('計算A'!CT$10:CT$54,$B3),0))*500,0)-IF(AND('計算A'!CR$117=1,XP3&gt;0),300,0)-IF(AND($L3=1,'計算A'!CS$117=1,GR3=0),300,0))),1000000))</f>
        <v/>
      </c>
      <c r="RV3">
        <f>IF($B3=0,1000000,IF(INDEX('計算A'!$D$60:$EQ$104,$B3,95)*GR3=1,IF(AND($E3=2,MG3=0),1000000,IF($I3&gt;0,IF(4=$J3,IF(OR(AND(95=$I3+1,OR($K3&lt;&gt;'計算A'!$A$3,'計算A'!$A$4=0)),AND(95=$I3-1,OR(23&lt;&gt;'計算A'!$A$3,'計算A'!$A$4=0))),0,IF(23=$K3,200000,ABS(23-$K3)*100)),100000+ABS(4-$J3)*1000+230)+'計算A'!CT$5*50+IF(AND($E3=1,MG3=0),25,0),INDEX('計算A'!CT$110:CT$114,$F3+1)+IF(AND($E3=1,MG3=0),1000,0)+IF($H3=1,(IF('計算A'!CS$117=1,INDEX('計算A'!CS$10:CS$54,$B3),0)+IF('計算A'!CT$117=1,INDEX('計算A'!CU$10:CU$54,$B3),0))*500,0)-IF(AND('計算A'!CS$117=1,XQ3&gt;0),300,0)-IF(AND($L3=1,'計算A'!CT$117=1,GS3=0),300,0))),1000000))</f>
        <v/>
      </c>
      <c r="RW3">
        <f>IF($B3=0,1000000,IF(INDEX('計算A'!$D$60:$EQ$104,$B3,96)*GS3=1,IF(AND($E3=2,MH3=0),1000000,IF($I3&gt;0,IF(4=$J3,IF(OR(AND(96=$I3+1,OR($K3&lt;&gt;'計算A'!$A$3,'計算A'!$A$4=0)),AND(96=$I3-1,OR(24&lt;&gt;'計算A'!$A$3,'計算A'!$A$4=0))),0,IF(24=$K3,200000,ABS(24-$K3)*100)),100000+ABS(4-$J3)*1000+240)+'計算A'!CU$5*50+IF(AND($E3=1,MH3=0),25,0),INDEX('計算A'!CU$110:CU$114,$F3+1)+IF(AND($E3=1,MH3=0),1000,0)+IF($H3=1,(IF('計算A'!CT$117=1,INDEX('計算A'!CT$10:CT$54,$B3),0))*500,0)-IF(AND('計算A'!CT$117=1,XR3&gt;0),300,0))),1000000))</f>
        <v/>
      </c>
      <c r="RX3">
        <f>IF($B3=0,1000000,IF(INDEX('計算A'!$D$60:$EQ$104,$B3,97)*GT3=1,IF(AND($E3=2,MI3=0),1000000,IF($I3&gt;0,IF(5=$J3,IF(OR(AND(97=$I3+1,OR($K3&lt;&gt;'計算A'!$A$3,'計算A'!$A$4=0)),AND(97=$I3-1,OR(1&lt;&gt;'計算A'!$A$3,'計算A'!$A$4=0))),0,IF(1=$K3,200000,ABS(1-$K3)*100)),100000+ABS(5-$J3)*1000+10)+'計算A'!CV$5*50+IF(AND($E3=1,MI3=0),25,0),INDEX('計算A'!CV$110:CV$114,$F3+1)+IF(AND($E3=1,MI3=0),1000,0)+IF($H3=1,(IF('計算A'!CV$117=1,INDEX('計算A'!CW$10:CW$54,$B3),0))*500,0)-IF(AND($L3=1,'計算A'!CV$117=1,GU3=0),300,0))),1000000))</f>
        <v/>
      </c>
      <c r="RY3">
        <f>IF($B3=0,1000000,IF(INDEX('計算A'!$D$60:$EQ$104,$B3,98)*GU3=1,IF(AND($E3=2,MJ3=0),1000000,IF($I3&gt;0,IF(5=$J3,IF(OR(AND(98=$I3+1,OR($K3&lt;&gt;'計算A'!$A$3,'計算A'!$A$4=0)),AND(98=$I3-1,OR(2&lt;&gt;'計算A'!$A$3,'計算A'!$A$4=0))),0,IF(2=$K3,200000,ABS(2-$K3)*100)),100000+ABS(5-$J3)*1000+20)+'計算A'!CW$5*50+IF(AND($E3=1,MJ3=0),25,0),INDEX('計算A'!CW$110:CW$114,$F3+1)+IF(AND($E3=1,MJ3=0),1000,0)+IF($H3=1,(IF('計算A'!CV$117=1,INDEX('計算A'!CV$10:CV$54,$B3),0)+IF('計算A'!CW$117=1,INDEX('計算A'!CX$10:CX$54,$B3),0))*500,0)-IF(AND('計算A'!CV$117=1,XT3&gt;0),300,0)-IF(AND($L3=1,'計算A'!CW$117=1,GV3=0),300,0))),1000000))</f>
        <v/>
      </c>
      <c r="RZ3">
        <f>IF($B3=0,1000000,IF(INDEX('計算A'!$D$60:$EQ$104,$B3,99)*GV3=1,IF(AND($E3=2,MK3=0),1000000,IF($I3&gt;0,IF(5=$J3,IF(OR(AND(99=$I3+1,OR($K3&lt;&gt;'計算A'!$A$3,'計算A'!$A$4=0)),AND(99=$I3-1,OR(3&lt;&gt;'計算A'!$A$3,'計算A'!$A$4=0))),0,IF(3=$K3,200000,ABS(3-$K3)*100)),100000+ABS(5-$J3)*1000+30)+'計算A'!CX$5*50+IF(AND($E3=1,MK3=0),25,0),INDEX('計算A'!CX$110:CX$114,$F3+1)+IF(AND($E3=1,MK3=0),1000,0)+IF($H3=1,(IF('計算A'!CW$117=1,INDEX('計算A'!CW$10:CW$54,$B3),0)+IF('計算A'!CX$117=1,INDEX('計算A'!CY$10:CY$54,$B3),0))*500,0)-IF(AND('計算A'!CW$117=1,XU3&gt;0),300,0)-IF(AND($L3=1,'計算A'!CX$117=1,GW3=0),300,0))),1000000))</f>
        <v/>
      </c>
      <c r="SA3">
        <f>IF($B3=0,1000000,IF(INDEX('計算A'!$D$60:$EQ$104,$B3,100)*GW3=1,IF(AND($E3=2,ML3=0),1000000,IF($I3&gt;0,IF(5=$J3,IF(OR(AND(100=$I3+1,OR($K3&lt;&gt;'計算A'!$A$3,'計算A'!$A$4=0)),AND(100=$I3-1,OR(4&lt;&gt;'計算A'!$A$3,'計算A'!$A$4=0))),0,IF(4=$K3,200000,ABS(4-$K3)*100)),100000+ABS(5-$J3)*1000+40)+'計算A'!CY$5*50+IF(AND($E3=1,ML3=0),25,0),INDEX('計算A'!CY$110:CY$114,$F3+1)+IF(AND($E3=1,ML3=0),1000,0)+IF($H3=1,(IF('計算A'!CX$117=1,INDEX('計算A'!CX$10:CX$54,$B3),0)+IF('計算A'!CY$117=1,INDEX('計算A'!CZ$10:CZ$54,$B3),0))*500,0)-IF(AND('計算A'!CX$117=1,XV3&gt;0),300,0)-IF(AND($L3=1,'計算A'!CY$117=1,GX3=0),300,0))),1000000))</f>
        <v/>
      </c>
      <c r="SB3">
        <f>IF($B3=0,1000000,IF(INDEX('計算A'!$D$60:$EQ$104,$B3,101)*GX3=1,IF(AND($E3=2,MM3=0),1000000,IF($I3&gt;0,IF(5=$J3,IF(OR(AND(101=$I3+1,OR($K3&lt;&gt;'計算A'!$A$3,'計算A'!$A$4=0)),AND(101=$I3-1,OR(5&lt;&gt;'計算A'!$A$3,'計算A'!$A$4=0))),0,IF(5=$K3,200000,ABS(5-$K3)*100)),100000+ABS(5-$J3)*1000+50)+'計算A'!CZ$5*50+IF(AND($E3=1,MM3=0),25,0),INDEX('計算A'!CZ$110:CZ$114,$F3+1)+IF(AND($E3=1,MM3=0),1000,0)+IF($H3=1,(IF('計算A'!CY$117=1,INDEX('計算A'!CY$10:CY$54,$B3),0)+IF('計算A'!CZ$117=1,INDEX('計算A'!DA$10:DA$54,$B3),0))*500,0)-IF(AND('計算A'!CY$117=1,XW3&gt;0),300,0)-IF(AND($L3=1,'計算A'!CZ$117=1,GY3=0),300,0))),1000000))</f>
        <v/>
      </c>
      <c r="SC3">
        <f>IF($B3=0,1000000,IF(INDEX('計算A'!$D$60:$EQ$104,$B3,102)*GY3=1,IF(AND($E3=2,MN3=0),1000000,IF($I3&gt;0,IF(5=$J3,IF(OR(AND(102=$I3+1,OR($K3&lt;&gt;'計算A'!$A$3,'計算A'!$A$4=0)),AND(102=$I3-1,OR(6&lt;&gt;'計算A'!$A$3,'計算A'!$A$4=0))),0,IF(6=$K3,200000,ABS(6-$K3)*100)),100000+ABS(5-$J3)*1000+60)+'計算A'!DA$5*50+IF(AND($E3=1,MN3=0),25,0),INDEX('計算A'!DA$110:DA$114,$F3+1)+IF(AND($E3=1,MN3=0),1000,0)+IF($H3=1,(IF('計算A'!CZ$117=1,INDEX('計算A'!CZ$10:CZ$54,$B3),0)+IF('計算A'!DA$117=1,INDEX('計算A'!DB$10:DB$54,$B3),0))*500,0)-IF(AND('計算A'!CZ$117=1,XX3&gt;0),300,0)-IF(AND($L3=1,'計算A'!DA$117=1,GZ3=0),300,0))),1000000))</f>
        <v/>
      </c>
      <c r="SD3">
        <f>IF($B3=0,1000000,IF(INDEX('計算A'!$D$60:$EQ$104,$B3,103)*GZ3=1,IF(AND($E3=2,MO3=0),1000000,IF($I3&gt;0,IF(5=$J3,IF(OR(AND(103=$I3+1,OR($K3&lt;&gt;'計算A'!$A$3,'計算A'!$A$4=0)),AND(103=$I3-1,OR(7&lt;&gt;'計算A'!$A$3,'計算A'!$A$4=0))),0,IF(7=$K3,200000,ABS(7-$K3)*100)),100000+ABS(5-$J3)*1000+70)+'計算A'!DB$5*50+IF(AND($E3=1,MO3=0),25,0),INDEX('計算A'!DB$110:DB$114,$F3+1)+IF(AND($E3=1,MO3=0),1000,0)+IF($H3=1,(IF('計算A'!DA$117=1,INDEX('計算A'!DA$10:DA$54,$B3),0)+IF('計算A'!DB$117=1,INDEX('計算A'!DC$10:DC$54,$B3),0))*500,0)-IF(AND('計算A'!DA$117=1,XY3&gt;0),300,0)-IF(AND($L3=1,'計算A'!DB$117=1,HA3=0),300,0))),1000000))</f>
        <v/>
      </c>
      <c r="SE3">
        <f>IF($B3=0,1000000,IF(INDEX('計算A'!$D$60:$EQ$104,$B3,104)*HA3=1,IF(AND($E3=2,MP3=0),1000000,IF($I3&gt;0,IF(5=$J3,IF(OR(AND(104=$I3+1,OR($K3&lt;&gt;'計算A'!$A$3,'計算A'!$A$4=0)),AND(104=$I3-1,OR(8&lt;&gt;'計算A'!$A$3,'計算A'!$A$4=0))),0,IF(8=$K3,200000,ABS(8-$K3)*100)),100000+ABS(5-$J3)*1000+80)+'計算A'!DC$5*50+IF(AND($E3=1,MP3=0),25,0),INDEX('計算A'!DC$110:DC$114,$F3+1)+IF(AND($E3=1,MP3=0),1000,0)+IF($H3=1,(IF('計算A'!DB$117=1,INDEX('計算A'!DB$10:DB$54,$B3),0)+IF('計算A'!DC$117=1,INDEX('計算A'!DD$10:DD$54,$B3),0))*500,0)-IF(AND('計算A'!DB$117=1,XZ3&gt;0),300,0)-IF(AND($L3=1,'計算A'!DC$117=1,HB3=0),300,0))),1000000))</f>
        <v/>
      </c>
      <c r="SF3">
        <f>IF($B3=0,1000000,IF(INDEX('計算A'!$D$60:$EQ$104,$B3,105)*HB3=1,IF(AND($E3=2,MQ3=0),1000000,IF($I3&gt;0,IF(5=$J3,IF(OR(AND(105=$I3+1,OR($K3&lt;&gt;'計算A'!$A$3,'計算A'!$A$4=0)),AND(105=$I3-1,OR(9&lt;&gt;'計算A'!$A$3,'計算A'!$A$4=0))),0,IF(9=$K3,200000,ABS(9-$K3)*100)),100000+ABS(5-$J3)*1000+90)+'計算A'!DD$5*50+IF(AND($E3=1,MQ3=0),25,0),INDEX('計算A'!DD$110:DD$114,$F3+1)+IF(AND($E3=1,MQ3=0),1000,0)+IF($H3=1,(IF('計算A'!DC$117=1,INDEX('計算A'!DC$10:DC$54,$B3),0)+IF('計算A'!DD$117=1,INDEX('計算A'!DE$10:DE$54,$B3),0))*500,0)-IF(AND('計算A'!DC$117=1,YA3&gt;0),300,0)-IF(AND($L3=1,'計算A'!DD$117=1,HC3=0),300,0))),1000000))</f>
        <v/>
      </c>
      <c r="SG3">
        <f>IF($B3=0,1000000,IF(INDEX('計算A'!$D$60:$EQ$104,$B3,106)*HC3=1,IF(AND($E3=2,MR3=0),1000000,IF($I3&gt;0,IF(5=$J3,IF(OR(AND(106=$I3+1,OR($K3&lt;&gt;'計算A'!$A$3,'計算A'!$A$4=0)),AND(106=$I3-1,OR(10&lt;&gt;'計算A'!$A$3,'計算A'!$A$4=0))),0,IF(10=$K3,200000,ABS(10-$K3)*100)),100000+ABS(5-$J3)*1000+100)+'計算A'!DE$5*50+IF(AND($E3=1,MR3=0),25,0),INDEX('計算A'!DE$110:DE$114,$F3+1)+IF(AND($E3=1,MR3=0),1000,0)+IF($H3=1,(IF('計算A'!DD$117=1,INDEX('計算A'!DD$10:DD$54,$B3),0)+IF('計算A'!DE$117=1,INDEX('計算A'!DF$10:DF$54,$B3),0))*500,0)-IF(AND('計算A'!DD$117=1,YB3&gt;0),300,0)-IF(AND($L3=1,'計算A'!DE$117=1,HD3=0),300,0))),1000000))</f>
        <v/>
      </c>
      <c r="SH3">
        <f>IF($B3=0,1000000,IF(INDEX('計算A'!$D$60:$EQ$104,$B3,107)*HD3=1,IF(AND($E3=2,MS3=0),1000000,IF($I3&gt;0,IF(5=$J3,IF(OR(AND(107=$I3+1,OR($K3&lt;&gt;'計算A'!$A$3,'計算A'!$A$4=0)),AND(107=$I3-1,OR(11&lt;&gt;'計算A'!$A$3,'計算A'!$A$4=0))),0,IF(11=$K3,200000,ABS(11-$K3)*100)),100000+ABS(5-$J3)*1000+110)+'計算A'!DF$5*50+IF(AND($E3=1,MS3=0),25,0),INDEX('計算A'!DF$110:DF$114,$F3+1)+IF(AND($E3=1,MS3=0),1000,0)+IF($H3=1,(IF('計算A'!DE$117=1,INDEX('計算A'!DE$10:DE$54,$B3),0)+IF('計算A'!DF$117=1,INDEX('計算A'!DG$10:DG$54,$B3),0))*500,0)-IF(AND('計算A'!DE$117=1,YC3&gt;0),300,0)-IF(AND($L3=1,'計算A'!DF$117=1,HE3=0),300,0))),1000000))</f>
        <v/>
      </c>
      <c r="SI3">
        <f>IF($B3=0,1000000,IF(INDEX('計算A'!$D$60:$EQ$104,$B3,108)*HE3=1,IF(AND($E3=2,MT3=0),1000000,IF($I3&gt;0,IF(5=$J3,IF(OR(AND(108=$I3+1,OR($K3&lt;&gt;'計算A'!$A$3,'計算A'!$A$4=0)),AND(108=$I3-1,OR(12&lt;&gt;'計算A'!$A$3,'計算A'!$A$4=0))),0,IF(12=$K3,200000,ABS(12-$K3)*100)),100000+ABS(5-$J3)*1000+120)+'計算A'!DG$5*50+IF(AND($E3=1,MT3=0),25,0),INDEX('計算A'!DG$110:DG$114,$F3+1)+IF(AND($E3=1,MT3=0),1000,0)+IF($H3=1,(IF('計算A'!DF$117=1,INDEX('計算A'!DF$10:DF$54,$B3),0)+IF('計算A'!DG$117=1,INDEX('計算A'!DH$10:DH$54,$B3),0))*500,0)-IF(AND('計算A'!DF$117=1,YD3&gt;0),300,0)-IF(AND($L3=1,'計算A'!DG$117=1,HF3=0),300,0))),1000000))</f>
        <v/>
      </c>
      <c r="SJ3">
        <f>IF($B3=0,1000000,IF(INDEX('計算A'!$D$60:$EQ$104,$B3,109)*HF3=1,IF(AND($E3=2,MU3=0),1000000,IF($I3&gt;0,IF(5=$J3,IF(OR(AND(109=$I3+1,OR($K3&lt;&gt;'計算A'!$A$3,'計算A'!$A$4=0)),AND(109=$I3-1,OR(13&lt;&gt;'計算A'!$A$3,'計算A'!$A$4=0))),0,IF(13=$K3,200000,ABS(13-$K3)*100)),100000+ABS(5-$J3)*1000+130)+'計算A'!DH$5*50+IF(AND($E3=1,MU3=0),25,0),INDEX('計算A'!DH$110:DH$114,$F3+1)+IF(AND($E3=1,MU3=0),1000,0)+IF($H3=1,(IF('計算A'!DG$117=1,INDEX('計算A'!DG$10:DG$54,$B3),0)+IF('計算A'!DH$117=1,INDEX('計算A'!DI$10:DI$54,$B3),0))*500,0)-IF(AND('計算A'!DG$117=1,YE3&gt;0),300,0)-IF(AND($L3=1,'計算A'!DH$117=1,HG3=0),300,0))),1000000))</f>
        <v/>
      </c>
      <c r="SK3">
        <f>IF($B3=0,1000000,IF(INDEX('計算A'!$D$60:$EQ$104,$B3,110)*HG3=1,IF(AND($E3=2,MV3=0),1000000,IF($I3&gt;0,IF(5=$J3,IF(OR(AND(110=$I3+1,OR($K3&lt;&gt;'計算A'!$A$3,'計算A'!$A$4=0)),AND(110=$I3-1,OR(14&lt;&gt;'計算A'!$A$3,'計算A'!$A$4=0))),0,IF(14=$K3,200000,ABS(14-$K3)*100)),100000+ABS(5-$J3)*1000+140)+'計算A'!DI$5*50+IF(AND($E3=1,MV3=0),25,0),INDEX('計算A'!DI$110:DI$114,$F3+1)+IF(AND($E3=1,MV3=0),1000,0)+IF($H3=1,(IF('計算A'!DH$117=1,INDEX('計算A'!DH$10:DH$54,$B3),0)+IF('計算A'!DI$117=1,INDEX('計算A'!DJ$10:DJ$54,$B3),0))*500,0)-IF(AND('計算A'!DH$117=1,YF3&gt;0),300,0)-IF(AND($L3=1,'計算A'!DI$117=1,HH3=0),300,0))),1000000))</f>
        <v/>
      </c>
      <c r="SL3">
        <f>IF($B3=0,1000000,IF(INDEX('計算A'!$D$60:$EQ$104,$B3,111)*HH3=1,IF(AND($E3=2,MW3=0),1000000,IF($I3&gt;0,IF(5=$J3,IF(OR(AND(111=$I3+1,OR($K3&lt;&gt;'計算A'!$A$3,'計算A'!$A$4=0)),AND(111=$I3-1,OR(15&lt;&gt;'計算A'!$A$3,'計算A'!$A$4=0))),0,IF(15=$K3,200000,ABS(15-$K3)*100)),100000+ABS(5-$J3)*1000+150)+'計算A'!DJ$5*50+IF(AND($E3=1,MW3=0),25,0),INDEX('計算A'!DJ$110:DJ$114,$F3+1)+IF(AND($E3=1,MW3=0),1000,0)+IF($H3=1,(IF('計算A'!DI$117=1,INDEX('計算A'!DI$10:DI$54,$B3),0)+IF('計算A'!DJ$117=1,INDEX('計算A'!DK$10:DK$54,$B3),0))*500,0)-IF(AND('計算A'!DI$117=1,YG3&gt;0),300,0)-IF(AND($L3=1,'計算A'!DJ$117=1,HI3=0),300,0))),1000000))</f>
        <v/>
      </c>
      <c r="SM3">
        <f>IF($B3=0,1000000,IF(INDEX('計算A'!$D$60:$EQ$104,$B3,112)*HI3=1,IF(AND($E3=2,MX3=0),1000000,IF($I3&gt;0,IF(5=$J3,IF(OR(AND(112=$I3+1,OR($K3&lt;&gt;'計算A'!$A$3,'計算A'!$A$4=0)),AND(112=$I3-1,OR(16&lt;&gt;'計算A'!$A$3,'計算A'!$A$4=0))),0,IF(16=$K3,200000,ABS(16-$K3)*100)),100000+ABS(5-$J3)*1000+160)+'計算A'!DK$5*50+IF(AND($E3=1,MX3=0),25,0),INDEX('計算A'!DK$110:DK$114,$F3+1)+IF(AND($E3=1,MX3=0),1000,0)+IF($H3=1,(IF('計算A'!DJ$117=1,INDEX('計算A'!DJ$10:DJ$54,$B3),0)+IF('計算A'!DK$117=1,INDEX('計算A'!DL$10:DL$54,$B3),0))*500,0)-IF(AND('計算A'!DJ$117=1,YH3&gt;0),300,0)-IF(AND($L3=1,'計算A'!DK$117=1,HJ3=0),300,0))),1000000))</f>
        <v/>
      </c>
      <c r="SN3">
        <f>IF($B3=0,1000000,IF(INDEX('計算A'!$D$60:$EQ$104,$B3,113)*HJ3=1,IF(AND($E3=2,MY3=0),1000000,IF($I3&gt;0,IF(5=$J3,IF(OR(AND(113=$I3+1,OR($K3&lt;&gt;'計算A'!$A$3,'計算A'!$A$4=0)),AND(113=$I3-1,OR(17&lt;&gt;'計算A'!$A$3,'計算A'!$A$4=0))),0,IF(17=$K3,200000,ABS(17-$K3)*100)),100000+ABS(5-$J3)*1000+170)+'計算A'!DL$5*50+IF(AND($E3=1,MY3=0),25,0),INDEX('計算A'!DL$110:DL$114,$F3+1)+IF(AND($E3=1,MY3=0),1000,0)+IF($H3=1,(IF('計算A'!DK$117=1,INDEX('計算A'!DK$10:DK$54,$B3),0)+IF('計算A'!DL$117=1,INDEX('計算A'!DM$10:DM$54,$B3),0))*500,0)-IF(AND('計算A'!DK$117=1,YI3&gt;0),300,0)-IF(AND($L3=1,'計算A'!DL$117=1,HK3=0),300,0))),1000000))</f>
        <v/>
      </c>
      <c r="SO3">
        <f>IF($B3=0,1000000,IF(INDEX('計算A'!$D$60:$EQ$104,$B3,114)*HK3=1,IF(AND($E3=2,MZ3=0),1000000,IF($I3&gt;0,IF(5=$J3,IF(OR(AND(114=$I3+1,OR($K3&lt;&gt;'計算A'!$A$3,'計算A'!$A$4=0)),AND(114=$I3-1,OR(18&lt;&gt;'計算A'!$A$3,'計算A'!$A$4=0))),0,IF(18=$K3,200000,ABS(18-$K3)*100)),100000+ABS(5-$J3)*1000+180)+'計算A'!DM$5*50+IF(AND($E3=1,MZ3=0),25,0),INDEX('計算A'!DM$110:DM$114,$F3+1)+IF(AND($E3=1,MZ3=0),1000,0)+IF($H3=1,(IF('計算A'!DL$117=1,INDEX('計算A'!DL$10:DL$54,$B3),0)+IF('計算A'!DM$117=1,INDEX('計算A'!DN$10:DN$54,$B3),0))*500,0)-IF(AND('計算A'!DL$117=1,YJ3&gt;0),300,0)-IF(AND($L3=1,'計算A'!DM$117=1,HL3=0),300,0))),1000000))</f>
        <v/>
      </c>
      <c r="SP3">
        <f>IF($B3=0,1000000,IF(INDEX('計算A'!$D$60:$EQ$104,$B3,115)*HL3=1,IF(AND($E3=2,NA3=0),1000000,IF($I3&gt;0,IF(5=$J3,IF(OR(AND(115=$I3+1,OR($K3&lt;&gt;'計算A'!$A$3,'計算A'!$A$4=0)),AND(115=$I3-1,OR(19&lt;&gt;'計算A'!$A$3,'計算A'!$A$4=0))),0,IF(19=$K3,200000,ABS(19-$K3)*100)),100000+ABS(5-$J3)*1000+190)+'計算A'!DN$5*50+IF(AND($E3=1,NA3=0),25,0),INDEX('計算A'!DN$110:DN$114,$F3+1)+IF(AND($E3=1,NA3=0),1000,0)+IF($H3=1,(IF('計算A'!DM$117=1,INDEX('計算A'!DM$10:DM$54,$B3),0)+IF('計算A'!DN$117=1,INDEX('計算A'!DO$10:DO$54,$B3),0))*500,0)-IF(AND('計算A'!DM$117=1,YK3&gt;0),300,0)-IF(AND($L3=1,'計算A'!DN$117=1,HM3=0),300,0))),1000000))</f>
        <v/>
      </c>
      <c r="SQ3">
        <f>IF($B3=0,1000000,IF(INDEX('計算A'!$D$60:$EQ$104,$B3,116)*HM3=1,IF(AND($E3=2,NB3=0),1000000,IF($I3&gt;0,IF(5=$J3,IF(OR(AND(116=$I3+1,OR($K3&lt;&gt;'計算A'!$A$3,'計算A'!$A$4=0)),AND(116=$I3-1,OR(20&lt;&gt;'計算A'!$A$3,'計算A'!$A$4=0))),0,IF(20=$K3,200000,ABS(20-$K3)*100)),100000+ABS(5-$J3)*1000+200)+'計算A'!DO$5*50+IF(AND($E3=1,NB3=0),25,0),INDEX('計算A'!DO$110:DO$114,$F3+1)+IF(AND($E3=1,NB3=0),1000,0)+IF($H3=1,(IF('計算A'!DN$117=1,INDEX('計算A'!DN$10:DN$54,$B3),0)+IF('計算A'!DO$117=1,INDEX('計算A'!DP$10:DP$54,$B3),0))*500,0)-IF(AND('計算A'!DN$117=1,YL3&gt;0),300,0)-IF(AND($L3=1,'計算A'!DO$117=1,HN3=0),300,0))),1000000))</f>
        <v/>
      </c>
      <c r="SR3">
        <f>IF($B3=0,1000000,IF(INDEX('計算A'!$D$60:$EQ$104,$B3,117)*HN3=1,IF(AND($E3=2,NC3=0),1000000,IF($I3&gt;0,IF(5=$J3,IF(OR(AND(117=$I3+1,OR($K3&lt;&gt;'計算A'!$A$3,'計算A'!$A$4=0)),AND(117=$I3-1,OR(21&lt;&gt;'計算A'!$A$3,'計算A'!$A$4=0))),0,IF(21=$K3,200000,ABS(21-$K3)*100)),100000+ABS(5-$J3)*1000+210)+'計算A'!DP$5*50+IF(AND($E3=1,NC3=0),25,0),INDEX('計算A'!DP$110:DP$114,$F3+1)+IF(AND($E3=1,NC3=0),1000,0)+IF($H3=1,(IF('計算A'!DO$117=1,INDEX('計算A'!DO$10:DO$54,$B3),0)+IF('計算A'!DP$117=1,INDEX('計算A'!DQ$10:DQ$54,$B3),0))*500,0)-IF(AND('計算A'!DO$117=1,YM3&gt;0),300,0)-IF(AND($L3=1,'計算A'!DP$117=1,HO3=0),300,0))),1000000))</f>
        <v/>
      </c>
      <c r="SS3">
        <f>IF($B3=0,1000000,IF(INDEX('計算A'!$D$60:$EQ$104,$B3,118)*HO3=1,IF(AND($E3=2,ND3=0),1000000,IF($I3&gt;0,IF(5=$J3,IF(OR(AND(118=$I3+1,OR($K3&lt;&gt;'計算A'!$A$3,'計算A'!$A$4=0)),AND(118=$I3-1,OR(22&lt;&gt;'計算A'!$A$3,'計算A'!$A$4=0))),0,IF(22=$K3,200000,ABS(22-$K3)*100)),100000+ABS(5-$J3)*1000+220)+'計算A'!DQ$5*50+IF(AND($E3=1,ND3=0),25,0),INDEX('計算A'!DQ$110:DQ$114,$F3+1)+IF(AND($E3=1,ND3=0),1000,0)+IF($H3=1,(IF('計算A'!DP$117=1,INDEX('計算A'!DP$10:DP$54,$B3),0)+IF('計算A'!DQ$117=1,INDEX('計算A'!DR$10:DR$54,$B3),0))*500,0)-IF(AND('計算A'!DP$117=1,YN3&gt;0),300,0)-IF(AND($L3=1,'計算A'!DQ$117=1,HP3=0),300,0))),1000000))</f>
        <v/>
      </c>
      <c r="ST3">
        <f>IF($B3=0,1000000,IF(INDEX('計算A'!$D$60:$EQ$104,$B3,119)*HP3=1,IF(AND($E3=2,NE3=0),1000000,IF($I3&gt;0,IF(5=$J3,IF(OR(AND(119=$I3+1,OR($K3&lt;&gt;'計算A'!$A$3,'計算A'!$A$4=0)),AND(119=$I3-1,OR(23&lt;&gt;'計算A'!$A$3,'計算A'!$A$4=0))),0,IF(23=$K3,200000,ABS(23-$K3)*100)),100000+ABS(5-$J3)*1000+230)+'計算A'!DR$5*50+IF(AND($E3=1,NE3=0),25,0),INDEX('計算A'!DR$110:DR$114,$F3+1)+IF(AND($E3=1,NE3=0),1000,0)+IF($H3=1,(IF('計算A'!DQ$117=1,INDEX('計算A'!DQ$10:DQ$54,$B3),0)+IF('計算A'!DR$117=1,INDEX('計算A'!DS$10:DS$54,$B3),0))*500,0)-IF(AND('計算A'!DQ$117=1,YO3&gt;0),300,0)-IF(AND($L3=1,'計算A'!DR$117=1,HQ3=0),300,0))),1000000))</f>
        <v/>
      </c>
      <c r="SU3">
        <f>IF($B3=0,1000000,IF(INDEX('計算A'!$D$60:$EQ$104,$B3,120)*HQ3=1,IF(AND($E3=2,NF3=0),1000000,IF($I3&gt;0,IF(5=$J3,IF(OR(AND(120=$I3+1,OR($K3&lt;&gt;'計算A'!$A$3,'計算A'!$A$4=0)),AND(120=$I3-1,OR(24&lt;&gt;'計算A'!$A$3,'計算A'!$A$4=0))),0,IF(24=$K3,200000,ABS(24-$K3)*100)),100000+ABS(5-$J3)*1000+240)+'計算A'!DS$5*50+IF(AND($E3=1,NF3=0),25,0),INDEX('計算A'!DS$110:DS$114,$F3+1)+IF(AND($E3=1,NF3=0),1000,0)+IF($H3=1,(IF('計算A'!DR$117=1,INDEX('計算A'!DR$10:DR$54,$B3),0))*500,0)-IF(AND('計算A'!DR$117=1,YP3&gt;0),300,0))),1000000))</f>
        <v/>
      </c>
      <c r="SV3">
        <f>IF($B3=0,1000000,IF(INDEX('計算A'!$D$60:$EQ$104,$B3,121)*HR3=1,IF(AND($E3=2,NG3=0),1000000,IF($I3&gt;0,IF(6=$J3,IF(OR(AND(121=$I3+1,OR($K3&lt;&gt;'計算A'!$A$3,'計算A'!$A$4=0)),AND(121=$I3-1,OR(1&lt;&gt;'計算A'!$A$3,'計算A'!$A$4=0))),0,IF(1=$K3,200000,ABS(1-$K3)*100)),100000+ABS(6-$J3)*1000+10)+'計算A'!DT$5*50+IF(AND($E3=1,NG3=0),25,0),INDEX('計算A'!DT$110:DT$114,$F3+1)+IF(AND($E3=1,NG3=0),1000,0)+IF($H3=1,(IF('計算A'!DT$117=1,INDEX('計算A'!DU$10:DU$54,$B3),0))*500,0)-IF(AND($L3=1,'計算A'!DT$117=1,HS3=0),300,0))),1000000))</f>
        <v/>
      </c>
      <c r="SW3">
        <f>IF($B3=0,1000000,IF(INDEX('計算A'!$D$60:$EQ$104,$B3,122)*HS3=1,IF(AND($E3=2,NH3=0),1000000,IF($I3&gt;0,IF(6=$J3,IF(OR(AND(122=$I3+1,OR($K3&lt;&gt;'計算A'!$A$3,'計算A'!$A$4=0)),AND(122=$I3-1,OR(2&lt;&gt;'計算A'!$A$3,'計算A'!$A$4=0))),0,IF(2=$K3,200000,ABS(2-$K3)*100)),100000+ABS(6-$J3)*1000+20)+'計算A'!DU$5*50+IF(AND($E3=1,NH3=0),25,0),INDEX('計算A'!DU$110:DU$114,$F3+1)+IF(AND($E3=1,NH3=0),1000,0)+IF($H3=1,(IF('計算A'!DT$117=1,INDEX('計算A'!DT$10:DT$54,$B3),0)+IF('計算A'!DU$117=1,INDEX('計算A'!DV$10:DV$54,$B3),0))*500,0)-IF(AND('計算A'!DT$117=1,YR3&gt;0),300,0)-IF(AND($L3=1,'計算A'!DU$117=1,HT3=0),300,0))),1000000))</f>
        <v/>
      </c>
      <c r="SX3">
        <f>IF($B3=0,1000000,IF(INDEX('計算A'!$D$60:$EQ$104,$B3,123)*HT3=1,IF(AND($E3=2,NI3=0),1000000,IF($I3&gt;0,IF(6=$J3,IF(OR(AND(123=$I3+1,OR($K3&lt;&gt;'計算A'!$A$3,'計算A'!$A$4=0)),AND(123=$I3-1,OR(3&lt;&gt;'計算A'!$A$3,'計算A'!$A$4=0))),0,IF(3=$K3,200000,ABS(3-$K3)*100)),100000+ABS(6-$J3)*1000+30)+'計算A'!DV$5*50+IF(AND($E3=1,NI3=0),25,0),INDEX('計算A'!DV$110:DV$114,$F3+1)+IF(AND($E3=1,NI3=0),1000,0)+IF($H3=1,(IF('計算A'!DU$117=1,INDEX('計算A'!DU$10:DU$54,$B3),0)+IF('計算A'!DV$117=1,INDEX('計算A'!DW$10:DW$54,$B3),0))*500,0)-IF(AND('計算A'!DU$117=1,YS3&gt;0),300,0)-IF(AND($L3=1,'計算A'!DV$117=1,HU3=0),300,0))),1000000))</f>
        <v/>
      </c>
      <c r="SY3">
        <f>IF($B3=0,1000000,IF(INDEX('計算A'!$D$60:$EQ$104,$B3,124)*HU3=1,IF(AND($E3=2,NJ3=0),1000000,IF($I3&gt;0,IF(6=$J3,IF(OR(AND(124=$I3+1,OR($K3&lt;&gt;'計算A'!$A$3,'計算A'!$A$4=0)),AND(124=$I3-1,OR(4&lt;&gt;'計算A'!$A$3,'計算A'!$A$4=0))),0,IF(4=$K3,200000,ABS(4-$K3)*100)),100000+ABS(6-$J3)*1000+40)+'計算A'!DW$5*50+IF(AND($E3=1,NJ3=0),25,0),INDEX('計算A'!DW$110:DW$114,$F3+1)+IF(AND($E3=1,NJ3=0),1000,0)+IF($H3=1,(IF('計算A'!DV$117=1,INDEX('計算A'!DV$10:DV$54,$B3),0)+IF('計算A'!DW$117=1,INDEX('計算A'!DX$10:DX$54,$B3),0))*500,0)-IF(AND('計算A'!DV$117=1,YT3&gt;0),300,0)-IF(AND($L3=1,'計算A'!DW$117=1,HV3=0),300,0))),1000000))</f>
        <v/>
      </c>
      <c r="SZ3">
        <f>IF($B3=0,1000000,IF(INDEX('計算A'!$D$60:$EQ$104,$B3,125)*HV3=1,IF(AND($E3=2,NK3=0),1000000,IF($I3&gt;0,IF(6=$J3,IF(OR(AND(125=$I3+1,OR($K3&lt;&gt;'計算A'!$A$3,'計算A'!$A$4=0)),AND(125=$I3-1,OR(5&lt;&gt;'計算A'!$A$3,'計算A'!$A$4=0))),0,IF(5=$K3,200000,ABS(5-$K3)*100)),100000+ABS(6-$J3)*1000+50)+'計算A'!DX$5*50+IF(AND($E3=1,NK3=0),25,0),INDEX('計算A'!DX$110:DX$114,$F3+1)+IF(AND($E3=1,NK3=0),1000,0)+IF($H3=1,(IF('計算A'!DW$117=1,INDEX('計算A'!DW$10:DW$54,$B3),0)+IF('計算A'!DX$117=1,INDEX('計算A'!DY$10:DY$54,$B3),0))*500,0)-IF(AND('計算A'!DW$117=1,YU3&gt;0),300,0)-IF(AND($L3=1,'計算A'!DX$117=1,HW3=0),300,0))),1000000))</f>
        <v/>
      </c>
      <c r="TA3">
        <f>IF($B3=0,1000000,IF(INDEX('計算A'!$D$60:$EQ$104,$B3,126)*HW3=1,IF(AND($E3=2,NL3=0),1000000,IF($I3&gt;0,IF(6=$J3,IF(OR(AND(126=$I3+1,OR($K3&lt;&gt;'計算A'!$A$3,'計算A'!$A$4=0)),AND(126=$I3-1,OR(6&lt;&gt;'計算A'!$A$3,'計算A'!$A$4=0))),0,IF(6=$K3,200000,ABS(6-$K3)*100)),100000+ABS(6-$J3)*1000+60)+'計算A'!DY$5*50+IF(AND($E3=1,NL3=0),25,0),INDEX('計算A'!DY$110:DY$114,$F3+1)+IF(AND($E3=1,NL3=0),1000,0)+IF($H3=1,(IF('計算A'!DX$117=1,INDEX('計算A'!DX$10:DX$54,$B3),0)+IF('計算A'!DY$117=1,INDEX('計算A'!DZ$10:DZ$54,$B3),0))*500,0)-IF(AND('計算A'!DX$117=1,YV3&gt;0),300,0)-IF(AND($L3=1,'計算A'!DY$117=1,HX3=0),300,0))),1000000))</f>
        <v/>
      </c>
      <c r="TB3">
        <f>IF($B3=0,1000000,IF(INDEX('計算A'!$D$60:$EQ$104,$B3,127)*HX3=1,IF(AND($E3=2,NM3=0),1000000,IF($I3&gt;0,IF(6=$J3,IF(OR(AND(127=$I3+1,OR($K3&lt;&gt;'計算A'!$A$3,'計算A'!$A$4=0)),AND(127=$I3-1,OR(7&lt;&gt;'計算A'!$A$3,'計算A'!$A$4=0))),0,IF(7=$K3,200000,ABS(7-$K3)*100)),100000+ABS(6-$J3)*1000+70)+'計算A'!DZ$5*50+IF(AND($E3=1,NM3=0),25,0),INDEX('計算A'!DZ$110:DZ$114,$F3+1)+IF(AND($E3=1,NM3=0),1000,0)+IF($H3=1,(IF('計算A'!DY$117=1,INDEX('計算A'!DY$10:DY$54,$B3),0)+IF('計算A'!DZ$117=1,INDEX('計算A'!EA$10:EA$54,$B3),0))*500,0)-IF(AND('計算A'!DY$117=1,YW3&gt;0),300,0)-IF(AND($L3=1,'計算A'!DZ$117=1,HY3=0),300,0))),1000000))</f>
        <v/>
      </c>
      <c r="TC3">
        <f>IF($B3=0,1000000,IF(INDEX('計算A'!$D$60:$EQ$104,$B3,128)*HY3=1,IF(AND($E3=2,NN3=0),1000000,IF($I3&gt;0,IF(6=$J3,IF(OR(AND(128=$I3+1,OR($K3&lt;&gt;'計算A'!$A$3,'計算A'!$A$4=0)),AND(128=$I3-1,OR(8&lt;&gt;'計算A'!$A$3,'計算A'!$A$4=0))),0,IF(8=$K3,200000,ABS(8-$K3)*100)),100000+ABS(6-$J3)*1000+80)+'計算A'!EA$5*50+IF(AND($E3=1,NN3=0),25,0),INDEX('計算A'!EA$110:EA$114,$F3+1)+IF(AND($E3=1,NN3=0),1000,0)+IF($H3=1,(IF('計算A'!DZ$117=1,INDEX('計算A'!DZ$10:DZ$54,$B3),0)+IF('計算A'!EA$117=1,INDEX('計算A'!EB$10:EB$54,$B3),0))*500,0)-IF(AND('計算A'!DZ$117=1,YX3&gt;0),300,0)-IF(AND($L3=1,'計算A'!EA$117=1,HZ3=0),300,0))),1000000))</f>
        <v/>
      </c>
      <c r="TD3">
        <f>IF($B3=0,1000000,IF(INDEX('計算A'!$D$60:$EQ$104,$B3,129)*HZ3=1,IF(AND($E3=2,NO3=0),1000000,IF($I3&gt;0,IF(6=$J3,IF(OR(AND(129=$I3+1,OR($K3&lt;&gt;'計算A'!$A$3,'計算A'!$A$4=0)),AND(129=$I3-1,OR(9&lt;&gt;'計算A'!$A$3,'計算A'!$A$4=0))),0,IF(9=$K3,200000,ABS(9-$K3)*100)),100000+ABS(6-$J3)*1000+90)+'計算A'!EB$5*50+IF(AND($E3=1,NO3=0),25,0),INDEX('計算A'!EB$110:EB$114,$F3+1)+IF(AND($E3=1,NO3=0),1000,0)+IF($H3=1,(IF('計算A'!EA$117=1,INDEX('計算A'!EA$10:EA$54,$B3),0)+IF('計算A'!EB$117=1,INDEX('計算A'!EC$10:EC$54,$B3),0))*500,0)-IF(AND('計算A'!EA$117=1,YY3&gt;0),300,0)-IF(AND($L3=1,'計算A'!EB$117=1,IA3=0),300,0))),1000000))</f>
        <v/>
      </c>
      <c r="TE3">
        <f>IF($B3=0,1000000,IF(INDEX('計算A'!$D$60:$EQ$104,$B3,130)*IA3=1,IF(AND($E3=2,NP3=0),1000000,IF($I3&gt;0,IF(6=$J3,IF(OR(AND(130=$I3+1,OR($K3&lt;&gt;'計算A'!$A$3,'計算A'!$A$4=0)),AND(130=$I3-1,OR(10&lt;&gt;'計算A'!$A$3,'計算A'!$A$4=0))),0,IF(10=$K3,200000,ABS(10-$K3)*100)),100000+ABS(6-$J3)*1000+100)+'計算A'!EC$5*50+IF(AND($E3=1,NP3=0),25,0),INDEX('計算A'!EC$110:EC$114,$F3+1)+IF(AND($E3=1,NP3=0),1000,0)+IF($H3=1,(IF('計算A'!EB$117=1,INDEX('計算A'!EB$10:EB$54,$B3),0)+IF('計算A'!EC$117=1,INDEX('計算A'!ED$10:ED$54,$B3),0))*500,0)-IF(AND('計算A'!EB$117=1,YZ3&gt;0),300,0)-IF(AND($L3=1,'計算A'!EC$117=1,IB3=0),300,0))),1000000))</f>
        <v/>
      </c>
      <c r="TF3">
        <f>IF($B3=0,1000000,IF(INDEX('計算A'!$D$60:$EQ$104,$B3,131)*IB3=1,IF(AND($E3=2,NQ3=0),1000000,IF($I3&gt;0,IF(6=$J3,IF(OR(AND(131=$I3+1,OR($K3&lt;&gt;'計算A'!$A$3,'計算A'!$A$4=0)),AND(131=$I3-1,OR(11&lt;&gt;'計算A'!$A$3,'計算A'!$A$4=0))),0,IF(11=$K3,200000,ABS(11-$K3)*100)),100000+ABS(6-$J3)*1000+110)+'計算A'!ED$5*50+IF(AND($E3=1,NQ3=0),25,0),INDEX('計算A'!ED$110:ED$114,$F3+1)+IF(AND($E3=1,NQ3=0),1000,0)+IF($H3=1,(IF('計算A'!EC$117=1,INDEX('計算A'!EC$10:EC$54,$B3),0)+IF('計算A'!ED$117=1,INDEX('計算A'!EE$10:EE$54,$B3),0))*500,0)-IF(AND('計算A'!EC$117=1,ZA3&gt;0),300,0)-IF(AND($L3=1,'計算A'!ED$117=1,IC3=0),300,0))),1000000))</f>
        <v/>
      </c>
      <c r="TG3">
        <f>IF($B3=0,1000000,IF(INDEX('計算A'!$D$60:$EQ$104,$B3,132)*IC3=1,IF(AND($E3=2,NR3=0),1000000,IF($I3&gt;0,IF(6=$J3,IF(OR(AND(132=$I3+1,OR($K3&lt;&gt;'計算A'!$A$3,'計算A'!$A$4=0)),AND(132=$I3-1,OR(12&lt;&gt;'計算A'!$A$3,'計算A'!$A$4=0))),0,IF(12=$K3,200000,ABS(12-$K3)*100)),100000+ABS(6-$J3)*1000+120)+'計算A'!EE$5*50+IF(AND($E3=1,NR3=0),25,0),INDEX('計算A'!EE$110:EE$114,$F3+1)+IF(AND($E3=1,NR3=0),1000,0)+IF($H3=1,(IF('計算A'!ED$117=1,INDEX('計算A'!ED$10:ED$54,$B3),0)+IF('計算A'!EE$117=1,INDEX('計算A'!EF$10:EF$54,$B3),0))*500,0)-IF(AND('計算A'!ED$117=1,ZB3&gt;0),300,0)-IF(AND($L3=1,'計算A'!EE$117=1,ID3=0),300,0))),1000000))</f>
        <v/>
      </c>
      <c r="TH3">
        <f>IF($B3=0,1000000,IF(INDEX('計算A'!$D$60:$EQ$104,$B3,133)*ID3=1,IF(AND($E3=2,NS3=0),1000000,IF($I3&gt;0,IF(6=$J3,IF(OR(AND(133=$I3+1,OR($K3&lt;&gt;'計算A'!$A$3,'計算A'!$A$4=0)),AND(133=$I3-1,OR(13&lt;&gt;'計算A'!$A$3,'計算A'!$A$4=0))),0,IF(13=$K3,200000,ABS(13-$K3)*100)),100000+ABS(6-$J3)*1000+130)+'計算A'!EF$5*50+IF(AND($E3=1,NS3=0),25,0),INDEX('計算A'!EF$110:EF$114,$F3+1)+IF(AND($E3=1,NS3=0),1000,0)+IF($H3=1,(IF('計算A'!EE$117=1,INDEX('計算A'!EE$10:EE$54,$B3),0)+IF('計算A'!EF$117=1,INDEX('計算A'!EG$10:EG$54,$B3),0))*500,0)-IF(AND('計算A'!EE$117=1,ZC3&gt;0),300,0)-IF(AND($L3=1,'計算A'!EF$117=1,IE3=0),300,0))),1000000))</f>
        <v/>
      </c>
      <c r="TI3">
        <f>IF($B3=0,1000000,IF(INDEX('計算A'!$D$60:$EQ$104,$B3,134)*IE3=1,IF(AND($E3=2,NT3=0),1000000,IF($I3&gt;0,IF(6=$J3,IF(OR(AND(134=$I3+1,OR($K3&lt;&gt;'計算A'!$A$3,'計算A'!$A$4=0)),AND(134=$I3-1,OR(14&lt;&gt;'計算A'!$A$3,'計算A'!$A$4=0))),0,IF(14=$K3,200000,ABS(14-$K3)*100)),100000+ABS(6-$J3)*1000+140)+'計算A'!EG$5*50+IF(AND($E3=1,NT3=0),25,0),INDEX('計算A'!EG$110:EG$114,$F3+1)+IF(AND($E3=1,NT3=0),1000,0)+IF($H3=1,(IF('計算A'!EF$117=1,INDEX('計算A'!EF$10:EF$54,$B3),0)+IF('計算A'!EG$117=1,INDEX('計算A'!EH$10:EH$54,$B3),0))*500,0)-IF(AND('計算A'!EF$117=1,ZD3&gt;0),300,0)-IF(AND($L3=1,'計算A'!EG$117=1,IF3=0),300,0))),1000000))</f>
        <v/>
      </c>
      <c r="TJ3">
        <f>IF($B3=0,1000000,IF(INDEX('計算A'!$D$60:$EQ$104,$B3,135)*IF3=1,IF(AND($E3=2,NU3=0),1000000,IF($I3&gt;0,IF(6=$J3,IF(OR(AND(135=$I3+1,OR($K3&lt;&gt;'計算A'!$A$3,'計算A'!$A$4=0)),AND(135=$I3-1,OR(15&lt;&gt;'計算A'!$A$3,'計算A'!$A$4=0))),0,IF(15=$K3,200000,ABS(15-$K3)*100)),100000+ABS(6-$J3)*1000+150)+'計算A'!EH$5*50+IF(AND($E3=1,NU3=0),25,0),INDEX('計算A'!EH$110:EH$114,$F3+1)+IF(AND($E3=1,NU3=0),1000,0)+IF($H3=1,(IF('計算A'!EG$117=1,INDEX('計算A'!EG$10:EG$54,$B3),0)+IF('計算A'!EH$117=1,INDEX('計算A'!EI$10:EI$54,$B3),0))*500,0)-IF(AND('計算A'!EG$117=1,ZE3&gt;0),300,0)-IF(AND($L3=1,'計算A'!EH$117=1,IG3=0),300,0))),1000000))</f>
        <v/>
      </c>
      <c r="TK3">
        <f>IF($B3=0,1000000,IF(INDEX('計算A'!$D$60:$EQ$104,$B3,136)*IG3=1,IF(AND($E3=2,NV3=0),1000000,IF($I3&gt;0,IF(6=$J3,IF(OR(AND(136=$I3+1,OR($K3&lt;&gt;'計算A'!$A$3,'計算A'!$A$4=0)),AND(136=$I3-1,OR(16&lt;&gt;'計算A'!$A$3,'計算A'!$A$4=0))),0,IF(16=$K3,200000,ABS(16-$K3)*100)),100000+ABS(6-$J3)*1000+160)+'計算A'!EI$5*50+IF(AND($E3=1,NV3=0),25,0),INDEX('計算A'!EI$110:EI$114,$F3+1)+IF(AND($E3=1,NV3=0),1000,0)+IF($H3=1,(IF('計算A'!EH$117=1,INDEX('計算A'!EH$10:EH$54,$B3),0)+IF('計算A'!EI$117=1,INDEX('計算A'!EJ$10:EJ$54,$B3),0))*500,0)-IF(AND('計算A'!EH$117=1,ZF3&gt;0),300,0)-IF(AND($L3=1,'計算A'!EI$117=1,IH3=0),300,0))),1000000))</f>
        <v/>
      </c>
      <c r="TL3">
        <f>IF($B3=0,1000000,IF(INDEX('計算A'!$D$60:$EQ$104,$B3,137)*IH3=1,IF(AND($E3=2,NW3=0),1000000,IF($I3&gt;0,IF(6=$J3,IF(OR(AND(137=$I3+1,OR($K3&lt;&gt;'計算A'!$A$3,'計算A'!$A$4=0)),AND(137=$I3-1,OR(17&lt;&gt;'計算A'!$A$3,'計算A'!$A$4=0))),0,IF(17=$K3,200000,ABS(17-$K3)*100)),100000+ABS(6-$J3)*1000+170)+'計算A'!EJ$5*50+IF(AND($E3=1,NW3=0),25,0),INDEX('計算A'!EJ$110:EJ$114,$F3+1)+IF(AND($E3=1,NW3=0),1000,0)+IF($H3=1,(IF('計算A'!EI$117=1,INDEX('計算A'!EI$10:EI$54,$B3),0)+IF('計算A'!EJ$117=1,INDEX('計算A'!EK$10:EK$54,$B3),0))*500,0)-IF(AND('計算A'!EI$117=1,ZG3&gt;0),300,0)-IF(AND($L3=1,'計算A'!EJ$117=1,II3=0),300,0))),1000000))</f>
        <v/>
      </c>
      <c r="TM3">
        <f>IF($B3=0,1000000,IF(INDEX('計算A'!$D$60:$EQ$104,$B3,138)*II3=1,IF(AND($E3=2,NX3=0),1000000,IF($I3&gt;0,IF(6=$J3,IF(OR(AND(138=$I3+1,OR($K3&lt;&gt;'計算A'!$A$3,'計算A'!$A$4=0)),AND(138=$I3-1,OR(18&lt;&gt;'計算A'!$A$3,'計算A'!$A$4=0))),0,IF(18=$K3,200000,ABS(18-$K3)*100)),100000+ABS(6-$J3)*1000+180)+'計算A'!EK$5*50+IF(AND($E3=1,NX3=0),25,0),INDEX('計算A'!EK$110:EK$114,$F3+1)+IF(AND($E3=1,NX3=0),1000,0)+IF($H3=1,(IF('計算A'!EJ$117=1,INDEX('計算A'!EJ$10:EJ$54,$B3),0)+IF('計算A'!EK$117=1,INDEX('計算A'!EL$10:EL$54,$B3),0))*500,0)-IF(AND('計算A'!EJ$117=1,ZH3&gt;0),300,0)-IF(AND($L3=1,'計算A'!EK$117=1,IJ3=0),300,0))),1000000))</f>
        <v/>
      </c>
      <c r="TN3">
        <f>IF($B3=0,1000000,IF(INDEX('計算A'!$D$60:$EQ$104,$B3,139)*IJ3=1,IF(AND($E3=2,NY3=0),1000000,IF($I3&gt;0,IF(6=$J3,IF(OR(AND(139=$I3+1,OR($K3&lt;&gt;'計算A'!$A$3,'計算A'!$A$4=0)),AND(139=$I3-1,OR(19&lt;&gt;'計算A'!$A$3,'計算A'!$A$4=0))),0,IF(19=$K3,200000,ABS(19-$K3)*100)),100000+ABS(6-$J3)*1000+190)+'計算A'!EL$5*50+IF(AND($E3=1,NY3=0),25,0),INDEX('計算A'!EL$110:EL$114,$F3+1)+IF(AND($E3=1,NY3=0),1000,0)+IF($H3=1,(IF('計算A'!EK$117=1,INDEX('計算A'!EK$10:EK$54,$B3),0)+IF('計算A'!EL$117=1,INDEX('計算A'!EM$10:EM$54,$B3),0))*500,0)-IF(AND('計算A'!EK$117=1,ZI3&gt;0),300,0)-IF(AND($L3=1,'計算A'!EL$117=1,IK3=0),300,0))),1000000))</f>
        <v/>
      </c>
      <c r="TO3">
        <f>IF($B3=0,1000000,IF(INDEX('計算A'!$D$60:$EQ$104,$B3,140)*IK3=1,IF(AND($E3=2,NZ3=0),1000000,IF($I3&gt;0,IF(6=$J3,IF(OR(AND(140=$I3+1,OR($K3&lt;&gt;'計算A'!$A$3,'計算A'!$A$4=0)),AND(140=$I3-1,OR(20&lt;&gt;'計算A'!$A$3,'計算A'!$A$4=0))),0,IF(20=$K3,200000,ABS(20-$K3)*100)),100000+ABS(6-$J3)*1000+200)+'計算A'!EM$5*50+IF(AND($E3=1,NZ3=0),25,0),INDEX('計算A'!EM$110:EM$114,$F3+1)+IF(AND($E3=1,NZ3=0),1000,0)+IF($H3=1,(IF('計算A'!EL$117=1,INDEX('計算A'!EL$10:EL$54,$B3),0)+IF('計算A'!EM$117=1,INDEX('計算A'!EN$10:EN$54,$B3),0))*500,0)-IF(AND('計算A'!EL$117=1,ZJ3&gt;0),300,0)-IF(AND($L3=1,'計算A'!EM$117=1,IL3=0),300,0))),1000000))</f>
        <v/>
      </c>
      <c r="TP3">
        <f>IF($B3=0,1000000,IF(INDEX('計算A'!$D$60:$EQ$104,$B3,141)*IL3=1,IF(AND($E3=2,OA3=0),1000000,IF($I3&gt;0,IF(6=$J3,IF(OR(AND(141=$I3+1,OR($K3&lt;&gt;'計算A'!$A$3,'計算A'!$A$4=0)),AND(141=$I3-1,OR(21&lt;&gt;'計算A'!$A$3,'計算A'!$A$4=0))),0,IF(21=$K3,200000,ABS(21-$K3)*100)),100000+ABS(6-$J3)*1000+210)+'計算A'!EN$5*50+IF(AND($E3=1,OA3=0),25,0),INDEX('計算A'!EN$110:EN$114,$F3+1)+IF(AND($E3=1,OA3=0),1000,0)+IF($H3=1,(IF('計算A'!EM$117=1,INDEX('計算A'!EM$10:EM$54,$B3),0)+IF('計算A'!EN$117=1,INDEX('計算A'!EO$10:EO$54,$B3),0))*500,0)-IF(AND('計算A'!EM$117=1,ZK3&gt;0),300,0)-IF(AND($L3=1,'計算A'!EN$117=1,IM3=0),300,0))),1000000))</f>
        <v/>
      </c>
      <c r="TQ3">
        <f>IF($B3=0,1000000,IF(INDEX('計算A'!$D$60:$EQ$104,$B3,142)*IM3=1,IF(AND($E3=2,OB3=0),1000000,IF($I3&gt;0,IF(6=$J3,IF(OR(AND(142=$I3+1,OR($K3&lt;&gt;'計算A'!$A$3,'計算A'!$A$4=0)),AND(142=$I3-1,OR(22&lt;&gt;'計算A'!$A$3,'計算A'!$A$4=0))),0,IF(22=$K3,200000,ABS(22-$K3)*100)),100000+ABS(6-$J3)*1000+220)+'計算A'!EO$5*50+IF(AND($E3=1,OB3=0),25,0),INDEX('計算A'!EO$110:EO$114,$F3+1)+IF(AND($E3=1,OB3=0),1000,0)+IF($H3=1,(IF('計算A'!EN$117=1,INDEX('計算A'!EN$10:EN$54,$B3),0)+IF('計算A'!EO$117=1,INDEX('計算A'!EP$10:EP$54,$B3),0))*500,0)-IF(AND('計算A'!EN$117=1,ZL3&gt;0),300,0)-IF(AND($L3=1,'計算A'!EO$117=1,IN3=0),300,0))),1000000))</f>
        <v/>
      </c>
      <c r="TR3">
        <f>IF($B3=0,1000000,IF(INDEX('計算A'!$D$60:$EQ$104,$B3,143)*IN3=1,IF(AND($E3=2,OC3=0),1000000,IF($I3&gt;0,IF(6=$J3,IF(OR(AND(143=$I3+1,OR($K3&lt;&gt;'計算A'!$A$3,'計算A'!$A$4=0)),AND(143=$I3-1,OR(23&lt;&gt;'計算A'!$A$3,'計算A'!$A$4=0))),0,IF(23=$K3,200000,ABS(23-$K3)*100)),100000+ABS(6-$J3)*1000+230)+'計算A'!EP$5*50+IF(AND($E3=1,OC3=0),25,0),INDEX('計算A'!EP$110:EP$114,$F3+1)+IF(AND($E3=1,OC3=0),1000,0)+IF($H3=1,(IF('計算A'!EO$117=1,INDEX('計算A'!EO$10:EO$54,$B3),0)+IF('計算A'!EP$117=1,INDEX('計算A'!EQ$10:EQ$54,$B3),0))*500,0)-IF(AND('計算A'!EO$117=1,ZM3&gt;0),300,0)-IF(AND($L3=1,'計算A'!EP$117=1,IO3=0),300,0))),1000000))</f>
        <v/>
      </c>
      <c r="TS3">
        <f>IF($B3=0,1000000,IF(INDEX('計算A'!$D$60:$EQ$104,$B3,144)*IO3=1,IF(AND($E3=2,OD3=0),1000000,IF($I3&gt;0,IF(6=$J3,IF(OR(AND(144=$I3+1,OR($K3&lt;&gt;'計算A'!$A$3,'計算A'!$A$4=0)),AND(144=$I3-1,OR(24&lt;&gt;'計算A'!$A$3,'計算A'!$A$4=0))),0,IF(24=$K3,200000,ABS(24-$K3)*100)),100000+ABS(6-$J3)*1000+240)+'計算A'!EQ$5*50+IF(AND($E3=1,OD3=0),25,0),INDEX('計算A'!EQ$110:EQ$114,$F3+1)+IF(AND($E3=1,OD3=0),1000,0)+IF($H3=1,(IF('計算A'!EP$117=1,INDEX('計算A'!EP$10:EP$54,$B3),0))*500,0)-IF(AND('計算A'!EP$117=1,ZN3&gt;0),300,0))),1000000))</f>
        <v/>
      </c>
      <c r="UB3">
        <f>'計算A'!D$118</f>
        <v/>
      </c>
      <c r="UC3">
        <f>'計算A'!E$118</f>
        <v/>
      </c>
      <c r="UD3">
        <f>'計算A'!F$118</f>
        <v/>
      </c>
      <c r="UE3">
        <f>'計算A'!G$118</f>
        <v/>
      </c>
      <c r="UF3">
        <f>'計算A'!H$118</f>
        <v/>
      </c>
      <c r="UG3">
        <f>'計算A'!I$118</f>
        <v/>
      </c>
      <c r="UH3">
        <f>'計算A'!J$118</f>
        <v/>
      </c>
      <c r="UI3">
        <f>'計算A'!K$118</f>
        <v/>
      </c>
      <c r="UJ3">
        <f>'計算A'!L$118</f>
        <v/>
      </c>
      <c r="UK3">
        <f>'計算A'!M$118</f>
        <v/>
      </c>
      <c r="UL3">
        <f>'計算A'!N$118</f>
        <v/>
      </c>
      <c r="UM3">
        <f>'計算A'!O$118</f>
        <v/>
      </c>
      <c r="UN3">
        <f>'計算A'!P$118</f>
        <v/>
      </c>
      <c r="UO3">
        <f>'計算A'!Q$118</f>
        <v/>
      </c>
      <c r="UP3">
        <f>'計算A'!R$118</f>
        <v/>
      </c>
      <c r="UQ3">
        <f>'計算A'!S$118</f>
        <v/>
      </c>
      <c r="UR3">
        <f>'計算A'!T$118</f>
        <v/>
      </c>
      <c r="US3">
        <f>'計算A'!U$118</f>
        <v/>
      </c>
      <c r="UT3">
        <f>'計算A'!V$118</f>
        <v/>
      </c>
      <c r="UU3">
        <f>'計算A'!W$118</f>
        <v/>
      </c>
      <c r="UV3">
        <f>'計算A'!X$118</f>
        <v/>
      </c>
      <c r="UW3">
        <f>'計算A'!Y$118</f>
        <v/>
      </c>
      <c r="UX3">
        <f>'計算A'!Z$118</f>
        <v/>
      </c>
      <c r="UY3">
        <f>'計算A'!AA$118</f>
        <v/>
      </c>
      <c r="UZ3">
        <f>'計算A'!AB$118</f>
        <v/>
      </c>
      <c r="VA3">
        <f>'計算A'!AC$118</f>
        <v/>
      </c>
      <c r="VB3">
        <f>'計算A'!AD$118</f>
        <v/>
      </c>
      <c r="VC3">
        <f>'計算A'!AE$118</f>
        <v/>
      </c>
      <c r="VD3">
        <f>'計算A'!AF$118</f>
        <v/>
      </c>
      <c r="VE3">
        <f>'計算A'!AG$118</f>
        <v/>
      </c>
      <c r="VF3">
        <f>'計算A'!AH$118</f>
        <v/>
      </c>
      <c r="VG3">
        <f>'計算A'!AI$118</f>
        <v/>
      </c>
      <c r="VH3">
        <f>'計算A'!AJ$118</f>
        <v/>
      </c>
      <c r="VI3">
        <f>'計算A'!AK$118</f>
        <v/>
      </c>
      <c r="VJ3">
        <f>'計算A'!AL$118</f>
        <v/>
      </c>
      <c r="VK3">
        <f>'計算A'!AM$118</f>
        <v/>
      </c>
      <c r="VL3">
        <f>'計算A'!AN$118</f>
        <v/>
      </c>
      <c r="VM3">
        <f>'計算A'!AO$118</f>
        <v/>
      </c>
      <c r="VN3">
        <f>'計算A'!AP$118</f>
        <v/>
      </c>
      <c r="VO3">
        <f>'計算A'!AQ$118</f>
        <v/>
      </c>
      <c r="VP3">
        <f>'計算A'!AR$118</f>
        <v/>
      </c>
      <c r="VQ3">
        <f>'計算A'!AS$118</f>
        <v/>
      </c>
      <c r="VR3">
        <f>'計算A'!AT$118</f>
        <v/>
      </c>
      <c r="VS3">
        <f>'計算A'!AU$118</f>
        <v/>
      </c>
      <c r="VT3">
        <f>'計算A'!AV$118</f>
        <v/>
      </c>
      <c r="VU3">
        <f>'計算A'!AW$118</f>
        <v/>
      </c>
      <c r="VV3">
        <f>'計算A'!AX$118</f>
        <v/>
      </c>
      <c r="VW3">
        <f>'計算A'!AY$118</f>
        <v/>
      </c>
      <c r="VX3">
        <f>'計算A'!AZ$118</f>
        <v/>
      </c>
      <c r="VY3">
        <f>'計算A'!BA$118</f>
        <v/>
      </c>
      <c r="VZ3">
        <f>'計算A'!BB$118</f>
        <v/>
      </c>
      <c r="WA3">
        <f>'計算A'!BC$118</f>
        <v/>
      </c>
      <c r="WB3">
        <f>'計算A'!BD$118</f>
        <v/>
      </c>
      <c r="WC3">
        <f>'計算A'!BE$118</f>
        <v/>
      </c>
      <c r="WD3">
        <f>'計算A'!BF$118</f>
        <v/>
      </c>
      <c r="WE3">
        <f>'計算A'!BG$118</f>
        <v/>
      </c>
      <c r="WF3">
        <f>'計算A'!BH$118</f>
        <v/>
      </c>
      <c r="WG3">
        <f>'計算A'!BI$118</f>
        <v/>
      </c>
      <c r="WH3">
        <f>'計算A'!BJ$118</f>
        <v/>
      </c>
      <c r="WI3">
        <f>'計算A'!BK$118</f>
        <v/>
      </c>
      <c r="WJ3">
        <f>'計算A'!BL$118</f>
        <v/>
      </c>
      <c r="WK3">
        <f>'計算A'!BM$118</f>
        <v/>
      </c>
      <c r="WL3">
        <f>'計算A'!BN$118</f>
        <v/>
      </c>
      <c r="WM3">
        <f>'計算A'!BO$118</f>
        <v/>
      </c>
      <c r="WN3">
        <f>'計算A'!BP$118</f>
        <v/>
      </c>
      <c r="WO3">
        <f>'計算A'!BQ$118</f>
        <v/>
      </c>
      <c r="WP3">
        <f>'計算A'!BR$118</f>
        <v/>
      </c>
      <c r="WQ3">
        <f>'計算A'!BS$118</f>
        <v/>
      </c>
      <c r="WR3">
        <f>'計算A'!BT$118</f>
        <v/>
      </c>
      <c r="WS3">
        <f>'計算A'!BU$118</f>
        <v/>
      </c>
      <c r="WT3">
        <f>'計算A'!BV$118</f>
        <v/>
      </c>
      <c r="WU3">
        <f>'計算A'!BW$118</f>
        <v/>
      </c>
      <c r="WV3">
        <f>'計算A'!BX$118</f>
        <v/>
      </c>
      <c r="WW3">
        <f>'計算A'!BY$118</f>
        <v/>
      </c>
      <c r="WX3">
        <f>'計算A'!BZ$118</f>
        <v/>
      </c>
      <c r="WY3">
        <f>'計算A'!CA$118</f>
        <v/>
      </c>
      <c r="WZ3">
        <f>'計算A'!CB$118</f>
        <v/>
      </c>
      <c r="XA3">
        <f>'計算A'!CC$118</f>
        <v/>
      </c>
      <c r="XB3">
        <f>'計算A'!CD$118</f>
        <v/>
      </c>
      <c r="XC3">
        <f>'計算A'!CE$118</f>
        <v/>
      </c>
      <c r="XD3">
        <f>'計算A'!CF$118</f>
        <v/>
      </c>
      <c r="XE3">
        <f>'計算A'!CG$118</f>
        <v/>
      </c>
      <c r="XF3">
        <f>'計算A'!CH$118</f>
        <v/>
      </c>
      <c r="XG3">
        <f>'計算A'!CI$118</f>
        <v/>
      </c>
      <c r="XH3">
        <f>'計算A'!CJ$118</f>
        <v/>
      </c>
      <c r="XI3">
        <f>'計算A'!CK$118</f>
        <v/>
      </c>
      <c r="XJ3">
        <f>'計算A'!CL$118</f>
        <v/>
      </c>
      <c r="XK3">
        <f>'計算A'!CM$118</f>
        <v/>
      </c>
      <c r="XL3">
        <f>'計算A'!CN$118</f>
        <v/>
      </c>
      <c r="XM3">
        <f>'計算A'!CO$118</f>
        <v/>
      </c>
      <c r="XN3">
        <f>'計算A'!CP$118</f>
        <v/>
      </c>
      <c r="XO3">
        <f>'計算A'!CQ$118</f>
        <v/>
      </c>
      <c r="XP3">
        <f>'計算A'!CR$118</f>
        <v/>
      </c>
      <c r="XQ3">
        <f>'計算A'!CS$118</f>
        <v/>
      </c>
      <c r="XR3">
        <f>'計算A'!CT$118</f>
        <v/>
      </c>
      <c r="XS3">
        <f>'計算A'!CU$118</f>
        <v/>
      </c>
      <c r="XT3">
        <f>'計算A'!CV$118</f>
        <v/>
      </c>
      <c r="XU3">
        <f>'計算A'!CW$118</f>
        <v/>
      </c>
      <c r="XV3">
        <f>'計算A'!CX$118</f>
        <v/>
      </c>
      <c r="XW3">
        <f>'計算A'!CY$118</f>
        <v/>
      </c>
      <c r="XX3">
        <f>'計算A'!CZ$118</f>
        <v/>
      </c>
      <c r="XY3">
        <f>'計算A'!DA$118</f>
        <v/>
      </c>
      <c r="XZ3">
        <f>'計算A'!DB$118</f>
        <v/>
      </c>
      <c r="YA3">
        <f>'計算A'!DC$118</f>
        <v/>
      </c>
      <c r="YB3">
        <f>'計算A'!DD$118</f>
        <v/>
      </c>
      <c r="YC3">
        <f>'計算A'!DE$118</f>
        <v/>
      </c>
      <c r="YD3">
        <f>'計算A'!DF$118</f>
        <v/>
      </c>
      <c r="YE3">
        <f>'計算A'!DG$118</f>
        <v/>
      </c>
      <c r="YF3">
        <f>'計算A'!DH$118</f>
        <v/>
      </c>
      <c r="YG3">
        <f>'計算A'!DI$118</f>
        <v/>
      </c>
      <c r="YH3">
        <f>'計算A'!DJ$118</f>
        <v/>
      </c>
      <c r="YI3">
        <f>'計算A'!DK$118</f>
        <v/>
      </c>
      <c r="YJ3">
        <f>'計算A'!DL$118</f>
        <v/>
      </c>
      <c r="YK3">
        <f>'計算A'!DM$118</f>
        <v/>
      </c>
      <c r="YL3">
        <f>'計算A'!DN$118</f>
        <v/>
      </c>
      <c r="YM3">
        <f>'計算A'!DO$118</f>
        <v/>
      </c>
      <c r="YN3">
        <f>'計算A'!DP$118</f>
        <v/>
      </c>
      <c r="YO3">
        <f>'計算A'!DQ$118</f>
        <v/>
      </c>
      <c r="YP3">
        <f>'計算A'!DR$118</f>
        <v/>
      </c>
      <c r="YQ3">
        <f>'計算A'!DS$118</f>
        <v/>
      </c>
      <c r="YR3">
        <f>'計算A'!DT$118</f>
        <v/>
      </c>
      <c r="YS3">
        <f>'計算A'!DU$118</f>
        <v/>
      </c>
      <c r="YT3">
        <f>'計算A'!DV$118</f>
        <v/>
      </c>
      <c r="YU3">
        <f>'計算A'!DW$118</f>
        <v/>
      </c>
      <c r="YV3">
        <f>'計算A'!DX$118</f>
        <v/>
      </c>
      <c r="YW3">
        <f>'計算A'!DY$118</f>
        <v/>
      </c>
      <c r="YX3">
        <f>'計算A'!DZ$118</f>
        <v/>
      </c>
      <c r="YY3">
        <f>'計算A'!EA$118</f>
        <v/>
      </c>
      <c r="YZ3">
        <f>'計算A'!EB$118</f>
        <v/>
      </c>
      <c r="ZA3">
        <f>'計算A'!EC$118</f>
        <v/>
      </c>
      <c r="ZB3">
        <f>'計算A'!ED$118</f>
        <v/>
      </c>
      <c r="ZC3">
        <f>'計算A'!EE$118</f>
        <v/>
      </c>
      <c r="ZD3">
        <f>'計算A'!EF$118</f>
        <v/>
      </c>
      <c r="ZE3">
        <f>'計算A'!EG$118</f>
        <v/>
      </c>
      <c r="ZF3">
        <f>'計算A'!EH$118</f>
        <v/>
      </c>
      <c r="ZG3">
        <f>'計算A'!EI$118</f>
        <v/>
      </c>
      <c r="ZH3">
        <f>'計算A'!EJ$118</f>
        <v/>
      </c>
      <c r="ZI3">
        <f>'計算A'!EK$118</f>
        <v/>
      </c>
      <c r="ZJ3">
        <f>'計算A'!EL$118</f>
        <v/>
      </c>
      <c r="ZK3">
        <f>'計算A'!EM$118</f>
        <v/>
      </c>
      <c r="ZL3">
        <f>'計算A'!EN$118</f>
        <v/>
      </c>
      <c r="ZM3">
        <f>'計算A'!EO$118</f>
        <v/>
      </c>
      <c r="ZN3">
        <f>'計算A'!EP$118</f>
        <v/>
      </c>
      <c r="ZO3">
        <f>'計算A'!EQ$118</f>
        <v/>
      </c>
    </row>
    <row r="4">
      <c r="A4" t="n">
        <v>2</v>
      </c>
      <c r="B4">
        <f>IF(MIN(BH4:CZ4)&gt;=1000000,0,MATCH(MIN(BH4:CZ4),BH4:CZ4,0))</f>
        <v/>
      </c>
      <c r="C4">
        <f>IF(MIN(OF4:TS4)&gt;=1000000,0,MATCH(MIN(OF4:TS4),OF4:TS4,0))</f>
        <v/>
      </c>
      <c r="D4">
        <f>IF(C4&gt;0,INDEX('計算A'!$D$5:$EQ$5,C4),0)</f>
        <v/>
      </c>
      <c r="E4">
        <f>IF(B4=0,0,INDEX('計算A'!$IQ$10:$IQ$54,B4))</f>
        <v/>
      </c>
      <c r="F4">
        <f>IF(B4=0,0,INDEX('計算A'!$IP$10:$IP$54,B4))</f>
        <v/>
      </c>
      <c r="G4">
        <f>IF(AND(C4&gt;0,E4&gt;0),IF(AND(INDEX('計算A'!$D$106:$EQ$106,C4)=1,INDEX($IQ4:$OD4,C4)=1),C4+1,0),0)</f>
        <v/>
      </c>
      <c r="H4">
        <f>IF(B4=0,0,INDEX('計算A'!$IW$10:$IW$54,B4))</f>
        <v/>
      </c>
      <c r="I4">
        <f>IF(B4=0,0,MAX(0,INDEX('計算A'!$IT$10:$IT$54,B4)))</f>
        <v/>
      </c>
      <c r="J4">
        <f>IF(I4=0,0,INDEX('計算A'!$D$2:$EQ$2,I4))</f>
        <v/>
      </c>
      <c r="K4">
        <f>IF(I4=0,0,INDEX('計算A'!$D$3:$EQ$3,I4))</f>
        <v/>
      </c>
      <c r="L4">
        <f>IF(B4=0,0,INDEX('計算A'!$IX$10:$IX$54,B4))</f>
        <v/>
      </c>
      <c r="N4">
        <f>MAX(N3,IF($B3=1,1,0))</f>
        <v/>
      </c>
      <c r="O4">
        <f>MAX(O3,IF($B3=2,1,0))</f>
        <v/>
      </c>
      <c r="P4">
        <f>MAX(P3,IF($B3=3,1,0))</f>
        <v/>
      </c>
      <c r="Q4">
        <f>MAX(Q3,IF($B3=4,1,0))</f>
        <v/>
      </c>
      <c r="R4">
        <f>MAX(R3,IF($B3=5,1,0))</f>
        <v/>
      </c>
      <c r="S4">
        <f>MAX(S3,IF($B3=6,1,0))</f>
        <v/>
      </c>
      <c r="T4">
        <f>MAX(T3,IF($B3=7,1,0))</f>
        <v/>
      </c>
      <c r="U4">
        <f>MAX(U3,IF($B3=8,1,0))</f>
        <v/>
      </c>
      <c r="V4">
        <f>MAX(V3,IF($B3=9,1,0))</f>
        <v/>
      </c>
      <c r="W4">
        <f>MAX(W3,IF($B3=10,1,0))</f>
        <v/>
      </c>
      <c r="X4">
        <f>MAX(X3,IF($B3=11,1,0))</f>
        <v/>
      </c>
      <c r="Y4">
        <f>MAX(Y3,IF($B3=12,1,0))</f>
        <v/>
      </c>
      <c r="Z4">
        <f>MAX(Z3,IF($B3=13,1,0))</f>
        <v/>
      </c>
      <c r="AA4">
        <f>MAX(AA3,IF($B3=14,1,0))</f>
        <v/>
      </c>
      <c r="AB4">
        <f>MAX(AB3,IF($B3=15,1,0))</f>
        <v/>
      </c>
      <c r="AC4">
        <f>MAX(AC3,IF($B3=16,1,0))</f>
        <v/>
      </c>
      <c r="AD4">
        <f>MAX(AD3,IF($B3=17,1,0))</f>
        <v/>
      </c>
      <c r="AE4">
        <f>MAX(AE3,IF($B3=18,1,0))</f>
        <v/>
      </c>
      <c r="AF4">
        <f>MAX(AF3,IF($B3=19,1,0))</f>
        <v/>
      </c>
      <c r="AG4">
        <f>MAX(AG3,IF($B3=20,1,0))</f>
        <v/>
      </c>
      <c r="AH4">
        <f>MAX(AH3,IF($B3=21,1,0))</f>
        <v/>
      </c>
      <c r="AI4">
        <f>MAX(AI3,IF($B3=22,1,0))</f>
        <v/>
      </c>
      <c r="AJ4">
        <f>MAX(AJ3,IF($B3=23,1,0))</f>
        <v/>
      </c>
      <c r="AK4">
        <f>MAX(AK3,IF($B3=24,1,0))</f>
        <v/>
      </c>
      <c r="AL4">
        <f>MAX(AL3,IF($B3=25,1,0))</f>
        <v/>
      </c>
      <c r="AM4">
        <f>MAX(AM3,IF($B3=26,1,0))</f>
        <v/>
      </c>
      <c r="AN4">
        <f>MAX(AN3,IF($B3=27,1,0))</f>
        <v/>
      </c>
      <c r="AO4">
        <f>MAX(AO3,IF($B3=28,1,0))</f>
        <v/>
      </c>
      <c r="AP4">
        <f>MAX(AP3,IF($B3=29,1,0))</f>
        <v/>
      </c>
      <c r="AQ4">
        <f>MAX(AQ3,IF($B3=30,1,0))</f>
        <v/>
      </c>
      <c r="AR4">
        <f>MAX(AR3,IF($B3=31,1,0))</f>
        <v/>
      </c>
      <c r="AS4">
        <f>MAX(AS3,IF($B3=32,1,0))</f>
        <v/>
      </c>
      <c r="AT4">
        <f>MAX(AT3,IF($B3=33,1,0))</f>
        <v/>
      </c>
      <c r="AU4">
        <f>MAX(AU3,IF($B3=34,1,0))</f>
        <v/>
      </c>
      <c r="AV4">
        <f>MAX(AV3,IF($B3=35,1,0))</f>
        <v/>
      </c>
      <c r="AW4">
        <f>MAX(AW3,IF($B3=36,1,0))</f>
        <v/>
      </c>
      <c r="AX4">
        <f>MAX(AX3,IF($B3=37,1,0))</f>
        <v/>
      </c>
      <c r="AY4">
        <f>MAX(AY3,IF($B3=38,1,0))</f>
        <v/>
      </c>
      <c r="AZ4">
        <f>MAX(AZ3,IF($B3=39,1,0))</f>
        <v/>
      </c>
      <c r="BA4">
        <f>MAX(BA3,IF($B3=40,1,0))</f>
        <v/>
      </c>
      <c r="BB4">
        <f>MAX(BB3,IF($B3=41,1,0))</f>
        <v/>
      </c>
      <c r="BC4">
        <f>MAX(BC3,IF($B3=42,1,0))</f>
        <v/>
      </c>
      <c r="BD4">
        <f>MAX(BD3,IF($B3=43,1,0))</f>
        <v/>
      </c>
      <c r="BE4">
        <f>MAX(BE3,IF($B3=44,1,0))</f>
        <v/>
      </c>
      <c r="BF4">
        <f>MAX(BF3,IF($B3=45,1,0))</f>
        <v/>
      </c>
      <c r="BH4">
        <f>IF(N4=1,1000000,IF('計算A'!$IT$10&gt;0,0,500000)+IF('計算A'!$IQ$10=2,SUMPRODUCT('計算A'!$D$60:$EQ$60,$DB4:$IO4,$IQ4:$OD4),SUMPRODUCT('計算A'!$D$60:$EQ$60,$DB4:$IO4))*1000+1)</f>
        <v/>
      </c>
      <c r="BI4">
        <f>IF(O4=1,1000000,IF('計算A'!$IT$11&gt;0,0,500000)+IF('計算A'!$IQ$11=2,SUMPRODUCT('計算A'!$D$61:$EQ$61,$DB4:$IO4,$IQ4:$OD4),SUMPRODUCT('計算A'!$D$61:$EQ$61,$DB4:$IO4))*1000+2)</f>
        <v/>
      </c>
      <c r="BJ4">
        <f>IF(P4=1,1000000,IF('計算A'!$IT$12&gt;0,0,500000)+IF('計算A'!$IQ$12=2,SUMPRODUCT('計算A'!$D$62:$EQ$62,$DB4:$IO4,$IQ4:$OD4),SUMPRODUCT('計算A'!$D$62:$EQ$62,$DB4:$IO4))*1000+3)</f>
        <v/>
      </c>
      <c r="BK4">
        <f>IF(Q4=1,1000000,IF('計算A'!$IT$13&gt;0,0,500000)+IF('計算A'!$IQ$13=2,SUMPRODUCT('計算A'!$D$63:$EQ$63,$DB4:$IO4,$IQ4:$OD4),SUMPRODUCT('計算A'!$D$63:$EQ$63,$DB4:$IO4))*1000+4)</f>
        <v/>
      </c>
      <c r="BL4">
        <f>IF(R4=1,1000000,IF('計算A'!$IT$14&gt;0,0,500000)+IF('計算A'!$IQ$14=2,SUMPRODUCT('計算A'!$D$64:$EQ$64,$DB4:$IO4,$IQ4:$OD4),SUMPRODUCT('計算A'!$D$64:$EQ$64,$DB4:$IO4))*1000+5)</f>
        <v/>
      </c>
      <c r="BM4">
        <f>IF(S4=1,1000000,IF('計算A'!$IT$15&gt;0,0,500000)+IF('計算A'!$IQ$15=2,SUMPRODUCT('計算A'!$D$65:$EQ$65,$DB4:$IO4,$IQ4:$OD4),SUMPRODUCT('計算A'!$D$65:$EQ$65,$DB4:$IO4))*1000+6)</f>
        <v/>
      </c>
      <c r="BN4">
        <f>IF(T4=1,1000000,IF('計算A'!$IT$16&gt;0,0,500000)+IF('計算A'!$IQ$16=2,SUMPRODUCT('計算A'!$D$66:$EQ$66,$DB4:$IO4,$IQ4:$OD4),SUMPRODUCT('計算A'!$D$66:$EQ$66,$DB4:$IO4))*1000+7)</f>
        <v/>
      </c>
      <c r="BO4">
        <f>IF(U4=1,1000000,IF('計算A'!$IT$17&gt;0,0,500000)+IF('計算A'!$IQ$17=2,SUMPRODUCT('計算A'!$D$67:$EQ$67,$DB4:$IO4,$IQ4:$OD4),SUMPRODUCT('計算A'!$D$67:$EQ$67,$DB4:$IO4))*1000+8)</f>
        <v/>
      </c>
      <c r="BP4">
        <f>IF(V4=1,1000000,IF('計算A'!$IT$18&gt;0,0,500000)+IF('計算A'!$IQ$18=2,SUMPRODUCT('計算A'!$D$68:$EQ$68,$DB4:$IO4,$IQ4:$OD4),SUMPRODUCT('計算A'!$D$68:$EQ$68,$DB4:$IO4))*1000+9)</f>
        <v/>
      </c>
      <c r="BQ4">
        <f>IF(W4=1,1000000,IF('計算A'!$IT$19&gt;0,0,500000)+IF('計算A'!$IQ$19=2,SUMPRODUCT('計算A'!$D$69:$EQ$69,$DB4:$IO4,$IQ4:$OD4),SUMPRODUCT('計算A'!$D$69:$EQ$69,$DB4:$IO4))*1000+10)</f>
        <v/>
      </c>
      <c r="BR4">
        <f>IF(X4=1,1000000,IF('計算A'!$IT$20&gt;0,0,500000)+IF('計算A'!$IQ$20=2,SUMPRODUCT('計算A'!$D$70:$EQ$70,$DB4:$IO4,$IQ4:$OD4),SUMPRODUCT('計算A'!$D$70:$EQ$70,$DB4:$IO4))*1000+11)</f>
        <v/>
      </c>
      <c r="BS4">
        <f>IF(Y4=1,1000000,IF('計算A'!$IT$21&gt;0,0,500000)+IF('計算A'!$IQ$21=2,SUMPRODUCT('計算A'!$D$71:$EQ$71,$DB4:$IO4,$IQ4:$OD4),SUMPRODUCT('計算A'!$D$71:$EQ$71,$DB4:$IO4))*1000+12)</f>
        <v/>
      </c>
      <c r="BT4">
        <f>IF(Z4=1,1000000,IF('計算A'!$IT$22&gt;0,0,500000)+IF('計算A'!$IQ$22=2,SUMPRODUCT('計算A'!$D$72:$EQ$72,$DB4:$IO4,$IQ4:$OD4),SUMPRODUCT('計算A'!$D$72:$EQ$72,$DB4:$IO4))*1000+13)</f>
        <v/>
      </c>
      <c r="BU4">
        <f>IF(AA4=1,1000000,IF('計算A'!$IT$23&gt;0,0,500000)+IF('計算A'!$IQ$23=2,SUMPRODUCT('計算A'!$D$73:$EQ$73,$DB4:$IO4,$IQ4:$OD4),SUMPRODUCT('計算A'!$D$73:$EQ$73,$DB4:$IO4))*1000+14)</f>
        <v/>
      </c>
      <c r="BV4">
        <f>IF(AB4=1,1000000,IF('計算A'!$IT$24&gt;0,0,500000)+IF('計算A'!$IQ$24=2,SUMPRODUCT('計算A'!$D$74:$EQ$74,$DB4:$IO4,$IQ4:$OD4),SUMPRODUCT('計算A'!$D$74:$EQ$74,$DB4:$IO4))*1000+15)</f>
        <v/>
      </c>
      <c r="BW4">
        <f>IF(AC4=1,1000000,IF('計算A'!$IT$25&gt;0,0,500000)+IF('計算A'!$IQ$25=2,SUMPRODUCT('計算A'!$D$75:$EQ$75,$DB4:$IO4,$IQ4:$OD4),SUMPRODUCT('計算A'!$D$75:$EQ$75,$DB4:$IO4))*1000+16)</f>
        <v/>
      </c>
      <c r="BX4">
        <f>IF(AD4=1,1000000,IF('計算A'!$IT$26&gt;0,0,500000)+IF('計算A'!$IQ$26=2,SUMPRODUCT('計算A'!$D$76:$EQ$76,$DB4:$IO4,$IQ4:$OD4),SUMPRODUCT('計算A'!$D$76:$EQ$76,$DB4:$IO4))*1000+17)</f>
        <v/>
      </c>
      <c r="BY4">
        <f>IF(AE4=1,1000000,IF('計算A'!$IT$27&gt;0,0,500000)+IF('計算A'!$IQ$27=2,SUMPRODUCT('計算A'!$D$77:$EQ$77,$DB4:$IO4,$IQ4:$OD4),SUMPRODUCT('計算A'!$D$77:$EQ$77,$DB4:$IO4))*1000+18)</f>
        <v/>
      </c>
      <c r="BZ4">
        <f>IF(AF4=1,1000000,IF('計算A'!$IT$28&gt;0,0,500000)+IF('計算A'!$IQ$28=2,SUMPRODUCT('計算A'!$D$78:$EQ$78,$DB4:$IO4,$IQ4:$OD4),SUMPRODUCT('計算A'!$D$78:$EQ$78,$DB4:$IO4))*1000+19)</f>
        <v/>
      </c>
      <c r="CA4">
        <f>IF(AG4=1,1000000,IF('計算A'!$IT$29&gt;0,0,500000)+IF('計算A'!$IQ$29=2,SUMPRODUCT('計算A'!$D$79:$EQ$79,$DB4:$IO4,$IQ4:$OD4),SUMPRODUCT('計算A'!$D$79:$EQ$79,$DB4:$IO4))*1000+20)</f>
        <v/>
      </c>
      <c r="CB4">
        <f>IF(AH4=1,1000000,IF('計算A'!$IT$30&gt;0,0,500000)+IF('計算A'!$IQ$30=2,SUMPRODUCT('計算A'!$D$80:$EQ$80,$DB4:$IO4,$IQ4:$OD4),SUMPRODUCT('計算A'!$D$80:$EQ$80,$DB4:$IO4))*1000+21)</f>
        <v/>
      </c>
      <c r="CC4">
        <f>IF(AI4=1,1000000,IF('計算A'!$IT$31&gt;0,0,500000)+IF('計算A'!$IQ$31=2,SUMPRODUCT('計算A'!$D$81:$EQ$81,$DB4:$IO4,$IQ4:$OD4),SUMPRODUCT('計算A'!$D$81:$EQ$81,$DB4:$IO4))*1000+22)</f>
        <v/>
      </c>
      <c r="CD4">
        <f>IF(AJ4=1,1000000,IF('計算A'!$IT$32&gt;0,0,500000)+IF('計算A'!$IQ$32=2,SUMPRODUCT('計算A'!$D$82:$EQ$82,$DB4:$IO4,$IQ4:$OD4),SUMPRODUCT('計算A'!$D$82:$EQ$82,$DB4:$IO4))*1000+23)</f>
        <v/>
      </c>
      <c r="CE4">
        <f>IF(AK4=1,1000000,IF('計算A'!$IT$33&gt;0,0,500000)+IF('計算A'!$IQ$33=2,SUMPRODUCT('計算A'!$D$83:$EQ$83,$DB4:$IO4,$IQ4:$OD4),SUMPRODUCT('計算A'!$D$83:$EQ$83,$DB4:$IO4))*1000+24)</f>
        <v/>
      </c>
      <c r="CF4">
        <f>IF(AL4=1,1000000,IF('計算A'!$IT$34&gt;0,0,500000)+IF('計算A'!$IQ$34=2,SUMPRODUCT('計算A'!$D$84:$EQ$84,$DB4:$IO4,$IQ4:$OD4),SUMPRODUCT('計算A'!$D$84:$EQ$84,$DB4:$IO4))*1000+25)</f>
        <v/>
      </c>
      <c r="CG4">
        <f>IF(AM4=1,1000000,IF('計算A'!$IT$35&gt;0,0,500000)+IF('計算A'!$IQ$35=2,SUMPRODUCT('計算A'!$D$85:$EQ$85,$DB4:$IO4,$IQ4:$OD4),SUMPRODUCT('計算A'!$D$85:$EQ$85,$DB4:$IO4))*1000+26)</f>
        <v/>
      </c>
      <c r="CH4">
        <f>IF(AN4=1,1000000,IF('計算A'!$IT$36&gt;0,0,500000)+IF('計算A'!$IQ$36=2,SUMPRODUCT('計算A'!$D$86:$EQ$86,$DB4:$IO4,$IQ4:$OD4),SUMPRODUCT('計算A'!$D$86:$EQ$86,$DB4:$IO4))*1000+27)</f>
        <v/>
      </c>
      <c r="CI4">
        <f>IF(AO4=1,1000000,IF('計算A'!$IT$37&gt;0,0,500000)+IF('計算A'!$IQ$37=2,SUMPRODUCT('計算A'!$D$87:$EQ$87,$DB4:$IO4,$IQ4:$OD4),SUMPRODUCT('計算A'!$D$87:$EQ$87,$DB4:$IO4))*1000+28)</f>
        <v/>
      </c>
      <c r="CJ4">
        <f>IF(AP4=1,1000000,IF('計算A'!$IT$38&gt;0,0,500000)+IF('計算A'!$IQ$38=2,SUMPRODUCT('計算A'!$D$88:$EQ$88,$DB4:$IO4,$IQ4:$OD4),SUMPRODUCT('計算A'!$D$88:$EQ$88,$DB4:$IO4))*1000+29)</f>
        <v/>
      </c>
      <c r="CK4">
        <f>IF(AQ4=1,1000000,IF('計算A'!$IT$39&gt;0,0,500000)+IF('計算A'!$IQ$39=2,SUMPRODUCT('計算A'!$D$89:$EQ$89,$DB4:$IO4,$IQ4:$OD4),SUMPRODUCT('計算A'!$D$89:$EQ$89,$DB4:$IO4))*1000+30)</f>
        <v/>
      </c>
      <c r="CL4">
        <f>IF(AR4=1,1000000,IF('計算A'!$IT$40&gt;0,0,500000)+IF('計算A'!$IQ$40=2,SUMPRODUCT('計算A'!$D$90:$EQ$90,$DB4:$IO4,$IQ4:$OD4),SUMPRODUCT('計算A'!$D$90:$EQ$90,$DB4:$IO4))*1000+31)</f>
        <v/>
      </c>
      <c r="CM4">
        <f>IF(AS4=1,1000000,IF('計算A'!$IT$41&gt;0,0,500000)+IF('計算A'!$IQ$41=2,SUMPRODUCT('計算A'!$D$91:$EQ$91,$DB4:$IO4,$IQ4:$OD4),SUMPRODUCT('計算A'!$D$91:$EQ$91,$DB4:$IO4))*1000+32)</f>
        <v/>
      </c>
      <c r="CN4">
        <f>IF(AT4=1,1000000,IF('計算A'!$IT$42&gt;0,0,500000)+IF('計算A'!$IQ$42=2,SUMPRODUCT('計算A'!$D$92:$EQ$92,$DB4:$IO4,$IQ4:$OD4),SUMPRODUCT('計算A'!$D$92:$EQ$92,$DB4:$IO4))*1000+33)</f>
        <v/>
      </c>
      <c r="CO4">
        <f>IF(AU4=1,1000000,IF('計算A'!$IT$43&gt;0,0,500000)+IF('計算A'!$IQ$43=2,SUMPRODUCT('計算A'!$D$93:$EQ$93,$DB4:$IO4,$IQ4:$OD4),SUMPRODUCT('計算A'!$D$93:$EQ$93,$DB4:$IO4))*1000+34)</f>
        <v/>
      </c>
      <c r="CP4">
        <f>IF(AV4=1,1000000,IF('計算A'!$IT$44&gt;0,0,500000)+IF('計算A'!$IQ$44=2,SUMPRODUCT('計算A'!$D$94:$EQ$94,$DB4:$IO4,$IQ4:$OD4),SUMPRODUCT('計算A'!$D$94:$EQ$94,$DB4:$IO4))*1000+35)</f>
        <v/>
      </c>
      <c r="CQ4">
        <f>IF(AW4=1,1000000,IF('計算A'!$IT$45&gt;0,0,500000)+IF('計算A'!$IQ$45=2,SUMPRODUCT('計算A'!$D$95:$EQ$95,$DB4:$IO4,$IQ4:$OD4),SUMPRODUCT('計算A'!$D$95:$EQ$95,$DB4:$IO4))*1000+36)</f>
        <v/>
      </c>
      <c r="CR4">
        <f>IF(AX4=1,1000000,IF('計算A'!$IT$46&gt;0,0,500000)+IF('計算A'!$IQ$46=2,SUMPRODUCT('計算A'!$D$96:$EQ$96,$DB4:$IO4,$IQ4:$OD4),SUMPRODUCT('計算A'!$D$96:$EQ$96,$DB4:$IO4))*1000+37)</f>
        <v/>
      </c>
      <c r="CS4">
        <f>IF(AY4=1,1000000,IF('計算A'!$IT$47&gt;0,0,500000)+IF('計算A'!$IQ$47=2,SUMPRODUCT('計算A'!$D$97:$EQ$97,$DB4:$IO4,$IQ4:$OD4),SUMPRODUCT('計算A'!$D$97:$EQ$97,$DB4:$IO4))*1000+38)</f>
        <v/>
      </c>
      <c r="CT4">
        <f>IF(AZ4=1,1000000,IF('計算A'!$IT$48&gt;0,0,500000)+IF('計算A'!$IQ$48=2,SUMPRODUCT('計算A'!$D$98:$EQ$98,$DB4:$IO4,$IQ4:$OD4),SUMPRODUCT('計算A'!$D$98:$EQ$98,$DB4:$IO4))*1000+39)</f>
        <v/>
      </c>
      <c r="CU4">
        <f>IF(BA4=1,1000000,IF('計算A'!$IT$49&gt;0,0,500000)+IF('計算A'!$IQ$49=2,SUMPRODUCT('計算A'!$D$99:$EQ$99,$DB4:$IO4,$IQ4:$OD4),SUMPRODUCT('計算A'!$D$99:$EQ$99,$DB4:$IO4))*1000+40)</f>
        <v/>
      </c>
      <c r="CV4">
        <f>IF(BB4=1,1000000,IF('計算A'!$IT$50&gt;0,0,500000)+IF('計算A'!$IQ$50=2,SUMPRODUCT('計算A'!$D$100:$EQ$100,$DB4:$IO4,$IQ4:$OD4),SUMPRODUCT('計算A'!$D$100:$EQ$100,$DB4:$IO4))*1000+41)</f>
        <v/>
      </c>
      <c r="CW4">
        <f>IF(BC4=1,1000000,IF('計算A'!$IT$51&gt;0,0,500000)+IF('計算A'!$IQ$51=2,SUMPRODUCT('計算A'!$D$101:$EQ$101,$DB4:$IO4,$IQ4:$OD4),SUMPRODUCT('計算A'!$D$101:$EQ$101,$DB4:$IO4))*1000+42)</f>
        <v/>
      </c>
      <c r="CX4">
        <f>IF(BD4=1,1000000,IF('計算A'!$IT$52&gt;0,0,500000)+IF('計算A'!$IQ$52=2,SUMPRODUCT('計算A'!$D$102:$EQ$102,$DB4:$IO4,$IQ4:$OD4),SUMPRODUCT('計算A'!$D$102:$EQ$102,$DB4:$IO4))*1000+43)</f>
        <v/>
      </c>
      <c r="CY4">
        <f>IF(BE4=1,1000000,IF('計算A'!$IT$53&gt;0,0,500000)+IF('計算A'!$IQ$53=2,SUMPRODUCT('計算A'!$D$103:$EQ$103,$DB4:$IO4,$IQ4:$OD4),SUMPRODUCT('計算A'!$D$103:$EQ$103,$DB4:$IO4))*1000+44)</f>
        <v/>
      </c>
      <c r="CZ4">
        <f>IF(BF4=1,1000000,IF('計算A'!$IT$54&gt;0,0,500000)+IF('計算A'!$IQ$54=2,SUMPRODUCT('計算A'!$D$104:$EQ$104,$DB4:$IO4,$IQ4:$OD4),SUMPRODUCT('計算A'!$D$104:$EQ$104,$DB4:$IO4))*1000+45)</f>
        <v/>
      </c>
      <c r="DB4">
        <f>DB3*IF(OR($C3=1,$G3=1),0,1)</f>
        <v/>
      </c>
      <c r="DC4">
        <f>DC3*IF(OR($C3=2,$G3=2),0,1)</f>
        <v/>
      </c>
      <c r="DD4">
        <f>DD3*IF(OR($C3=3,$G3=3),0,1)</f>
        <v/>
      </c>
      <c r="DE4">
        <f>DE3*IF(OR($C3=4,$G3=4),0,1)</f>
        <v/>
      </c>
      <c r="DF4">
        <f>DF3*IF(OR($C3=5,$G3=5),0,1)</f>
        <v/>
      </c>
      <c r="DG4">
        <f>DG3*IF(OR($C3=6,$G3=6),0,1)</f>
        <v/>
      </c>
      <c r="DH4">
        <f>DH3*IF(OR($C3=7,$G3=7),0,1)</f>
        <v/>
      </c>
      <c r="DI4">
        <f>DI3*IF(OR($C3=8,$G3=8),0,1)</f>
        <v/>
      </c>
      <c r="DJ4">
        <f>DJ3*IF(OR($C3=9,$G3=9),0,1)</f>
        <v/>
      </c>
      <c r="DK4">
        <f>DK3*IF(OR($C3=10,$G3=10),0,1)</f>
        <v/>
      </c>
      <c r="DL4">
        <f>DL3*IF(OR($C3=11,$G3=11),0,1)</f>
        <v/>
      </c>
      <c r="DM4">
        <f>DM3*IF(OR($C3=12,$G3=12),0,1)</f>
        <v/>
      </c>
      <c r="DN4">
        <f>DN3*IF(OR($C3=13,$G3=13),0,1)</f>
        <v/>
      </c>
      <c r="DO4">
        <f>DO3*IF(OR($C3=14,$G3=14),0,1)</f>
        <v/>
      </c>
      <c r="DP4">
        <f>DP3*IF(OR($C3=15,$G3=15),0,1)</f>
        <v/>
      </c>
      <c r="DQ4">
        <f>DQ3*IF(OR($C3=16,$G3=16),0,1)</f>
        <v/>
      </c>
      <c r="DR4">
        <f>DR3*IF(OR($C3=17,$G3=17),0,1)</f>
        <v/>
      </c>
      <c r="DS4">
        <f>DS3*IF(OR($C3=18,$G3=18),0,1)</f>
        <v/>
      </c>
      <c r="DT4">
        <f>DT3*IF(OR($C3=19,$G3=19),0,1)</f>
        <v/>
      </c>
      <c r="DU4">
        <f>DU3*IF(OR($C3=20,$G3=20),0,1)</f>
        <v/>
      </c>
      <c r="DV4">
        <f>DV3*IF(OR($C3=21,$G3=21),0,1)</f>
        <v/>
      </c>
      <c r="DW4">
        <f>DW3*IF(OR($C3=22,$G3=22),0,1)</f>
        <v/>
      </c>
      <c r="DX4">
        <f>DX3*IF(OR($C3=23,$G3=23),0,1)</f>
        <v/>
      </c>
      <c r="DY4">
        <f>DY3*IF(OR($C3=24,$G3=24),0,1)</f>
        <v/>
      </c>
      <c r="DZ4">
        <f>DZ3*IF(OR($C3=25,$G3=25),0,1)</f>
        <v/>
      </c>
      <c r="EA4">
        <f>EA3*IF(OR($C3=26,$G3=26),0,1)</f>
        <v/>
      </c>
      <c r="EB4">
        <f>EB3*IF(OR($C3=27,$G3=27),0,1)</f>
        <v/>
      </c>
      <c r="EC4">
        <f>EC3*IF(OR($C3=28,$G3=28),0,1)</f>
        <v/>
      </c>
      <c r="ED4">
        <f>ED3*IF(OR($C3=29,$G3=29),0,1)</f>
        <v/>
      </c>
      <c r="EE4">
        <f>EE3*IF(OR($C3=30,$G3=30),0,1)</f>
        <v/>
      </c>
      <c r="EF4">
        <f>EF3*IF(OR($C3=31,$G3=31),0,1)</f>
        <v/>
      </c>
      <c r="EG4">
        <f>EG3*IF(OR($C3=32,$G3=32),0,1)</f>
        <v/>
      </c>
      <c r="EH4">
        <f>EH3*IF(OR($C3=33,$G3=33),0,1)</f>
        <v/>
      </c>
      <c r="EI4">
        <f>EI3*IF(OR($C3=34,$G3=34),0,1)</f>
        <v/>
      </c>
      <c r="EJ4">
        <f>EJ3*IF(OR($C3=35,$G3=35),0,1)</f>
        <v/>
      </c>
      <c r="EK4">
        <f>EK3*IF(OR($C3=36,$G3=36),0,1)</f>
        <v/>
      </c>
      <c r="EL4">
        <f>EL3*IF(OR($C3=37,$G3=37),0,1)</f>
        <v/>
      </c>
      <c r="EM4">
        <f>EM3*IF(OR($C3=38,$G3=38),0,1)</f>
        <v/>
      </c>
      <c r="EN4">
        <f>EN3*IF(OR($C3=39,$G3=39),0,1)</f>
        <v/>
      </c>
      <c r="EO4">
        <f>EO3*IF(OR($C3=40,$G3=40),0,1)</f>
        <v/>
      </c>
      <c r="EP4">
        <f>EP3*IF(OR($C3=41,$G3=41),0,1)</f>
        <v/>
      </c>
      <c r="EQ4">
        <f>EQ3*IF(OR($C3=42,$G3=42),0,1)</f>
        <v/>
      </c>
      <c r="ER4">
        <f>ER3*IF(OR($C3=43,$G3=43),0,1)</f>
        <v/>
      </c>
      <c r="ES4">
        <f>ES3*IF(OR($C3=44,$G3=44),0,1)</f>
        <v/>
      </c>
      <c r="ET4">
        <f>ET3*IF(OR($C3=45,$G3=45),0,1)</f>
        <v/>
      </c>
      <c r="EU4">
        <f>EU3*IF(OR($C3=46,$G3=46),0,1)</f>
        <v/>
      </c>
      <c r="EV4">
        <f>EV3*IF(OR($C3=47,$G3=47),0,1)</f>
        <v/>
      </c>
      <c r="EW4">
        <f>EW3*IF(OR($C3=48,$G3=48),0,1)</f>
        <v/>
      </c>
      <c r="EX4">
        <f>EX3*IF(OR($C3=49,$G3=49),0,1)</f>
        <v/>
      </c>
      <c r="EY4">
        <f>EY3*IF(OR($C3=50,$G3=50),0,1)</f>
        <v/>
      </c>
      <c r="EZ4">
        <f>EZ3*IF(OR($C3=51,$G3=51),0,1)</f>
        <v/>
      </c>
      <c r="FA4">
        <f>FA3*IF(OR($C3=52,$G3=52),0,1)</f>
        <v/>
      </c>
      <c r="FB4">
        <f>FB3*IF(OR($C3=53,$G3=53),0,1)</f>
        <v/>
      </c>
      <c r="FC4">
        <f>FC3*IF(OR($C3=54,$G3=54),0,1)</f>
        <v/>
      </c>
      <c r="FD4">
        <f>FD3*IF(OR($C3=55,$G3=55),0,1)</f>
        <v/>
      </c>
      <c r="FE4">
        <f>FE3*IF(OR($C3=56,$G3=56),0,1)</f>
        <v/>
      </c>
      <c r="FF4">
        <f>FF3*IF(OR($C3=57,$G3=57),0,1)</f>
        <v/>
      </c>
      <c r="FG4">
        <f>FG3*IF(OR($C3=58,$G3=58),0,1)</f>
        <v/>
      </c>
      <c r="FH4">
        <f>FH3*IF(OR($C3=59,$G3=59),0,1)</f>
        <v/>
      </c>
      <c r="FI4">
        <f>FI3*IF(OR($C3=60,$G3=60),0,1)</f>
        <v/>
      </c>
      <c r="FJ4">
        <f>FJ3*IF(OR($C3=61,$G3=61),0,1)</f>
        <v/>
      </c>
      <c r="FK4">
        <f>FK3*IF(OR($C3=62,$G3=62),0,1)</f>
        <v/>
      </c>
      <c r="FL4">
        <f>FL3*IF(OR($C3=63,$G3=63),0,1)</f>
        <v/>
      </c>
      <c r="FM4">
        <f>FM3*IF(OR($C3=64,$G3=64),0,1)</f>
        <v/>
      </c>
      <c r="FN4">
        <f>FN3*IF(OR($C3=65,$G3=65),0,1)</f>
        <v/>
      </c>
      <c r="FO4">
        <f>FO3*IF(OR($C3=66,$G3=66),0,1)</f>
        <v/>
      </c>
      <c r="FP4">
        <f>FP3*IF(OR($C3=67,$G3=67),0,1)</f>
        <v/>
      </c>
      <c r="FQ4">
        <f>FQ3*IF(OR($C3=68,$G3=68),0,1)</f>
        <v/>
      </c>
      <c r="FR4">
        <f>FR3*IF(OR($C3=69,$G3=69),0,1)</f>
        <v/>
      </c>
      <c r="FS4">
        <f>FS3*IF(OR($C3=70,$G3=70),0,1)</f>
        <v/>
      </c>
      <c r="FT4">
        <f>FT3*IF(OR($C3=71,$G3=71),0,1)</f>
        <v/>
      </c>
      <c r="FU4">
        <f>FU3*IF(OR($C3=72,$G3=72),0,1)</f>
        <v/>
      </c>
      <c r="FV4">
        <f>FV3*IF(OR($C3=73,$G3=73),0,1)</f>
        <v/>
      </c>
      <c r="FW4">
        <f>FW3*IF(OR($C3=74,$G3=74),0,1)</f>
        <v/>
      </c>
      <c r="FX4">
        <f>FX3*IF(OR($C3=75,$G3=75),0,1)</f>
        <v/>
      </c>
      <c r="FY4">
        <f>FY3*IF(OR($C3=76,$G3=76),0,1)</f>
        <v/>
      </c>
      <c r="FZ4">
        <f>FZ3*IF(OR($C3=77,$G3=77),0,1)</f>
        <v/>
      </c>
      <c r="GA4">
        <f>GA3*IF(OR($C3=78,$G3=78),0,1)</f>
        <v/>
      </c>
      <c r="GB4">
        <f>GB3*IF(OR($C3=79,$G3=79),0,1)</f>
        <v/>
      </c>
      <c r="GC4">
        <f>GC3*IF(OR($C3=80,$G3=80),0,1)</f>
        <v/>
      </c>
      <c r="GD4">
        <f>GD3*IF(OR($C3=81,$G3=81),0,1)</f>
        <v/>
      </c>
      <c r="GE4">
        <f>GE3*IF(OR($C3=82,$G3=82),0,1)</f>
        <v/>
      </c>
      <c r="GF4">
        <f>GF3*IF(OR($C3=83,$G3=83),0,1)</f>
        <v/>
      </c>
      <c r="GG4">
        <f>GG3*IF(OR($C3=84,$G3=84),0,1)</f>
        <v/>
      </c>
      <c r="GH4">
        <f>GH3*IF(OR($C3=85,$G3=85),0,1)</f>
        <v/>
      </c>
      <c r="GI4">
        <f>GI3*IF(OR($C3=86,$G3=86),0,1)</f>
        <v/>
      </c>
      <c r="GJ4">
        <f>GJ3*IF(OR($C3=87,$G3=87),0,1)</f>
        <v/>
      </c>
      <c r="GK4">
        <f>GK3*IF(OR($C3=88,$G3=88),0,1)</f>
        <v/>
      </c>
      <c r="GL4">
        <f>GL3*IF(OR($C3=89,$G3=89),0,1)</f>
        <v/>
      </c>
      <c r="GM4">
        <f>GM3*IF(OR($C3=90,$G3=90),0,1)</f>
        <v/>
      </c>
      <c r="GN4">
        <f>GN3*IF(OR($C3=91,$G3=91),0,1)</f>
        <v/>
      </c>
      <c r="GO4">
        <f>GO3*IF(OR($C3=92,$G3=92),0,1)</f>
        <v/>
      </c>
      <c r="GP4">
        <f>GP3*IF(OR($C3=93,$G3=93),0,1)</f>
        <v/>
      </c>
      <c r="GQ4">
        <f>GQ3*IF(OR($C3=94,$G3=94),0,1)</f>
        <v/>
      </c>
      <c r="GR4">
        <f>GR3*IF(OR($C3=95,$G3=95),0,1)</f>
        <v/>
      </c>
      <c r="GS4">
        <f>GS3*IF(OR($C3=96,$G3=96),0,1)</f>
        <v/>
      </c>
      <c r="GT4">
        <f>GT3*IF(OR($C3=97,$G3=97),0,1)</f>
        <v/>
      </c>
      <c r="GU4">
        <f>GU3*IF(OR($C3=98,$G3=98),0,1)</f>
        <v/>
      </c>
      <c r="GV4">
        <f>GV3*IF(OR($C3=99,$G3=99),0,1)</f>
        <v/>
      </c>
      <c r="GW4">
        <f>GW3*IF(OR($C3=100,$G3=100),0,1)</f>
        <v/>
      </c>
      <c r="GX4">
        <f>GX3*IF(OR($C3=101,$G3=101),0,1)</f>
        <v/>
      </c>
      <c r="GY4">
        <f>GY3*IF(OR($C3=102,$G3=102),0,1)</f>
        <v/>
      </c>
      <c r="GZ4">
        <f>GZ3*IF(OR($C3=103,$G3=103),0,1)</f>
        <v/>
      </c>
      <c r="HA4">
        <f>HA3*IF(OR($C3=104,$G3=104),0,1)</f>
        <v/>
      </c>
      <c r="HB4">
        <f>HB3*IF(OR($C3=105,$G3=105),0,1)</f>
        <v/>
      </c>
      <c r="HC4">
        <f>HC3*IF(OR($C3=106,$G3=106),0,1)</f>
        <v/>
      </c>
      <c r="HD4">
        <f>HD3*IF(OR($C3=107,$G3=107),0,1)</f>
        <v/>
      </c>
      <c r="HE4">
        <f>HE3*IF(OR($C3=108,$G3=108),0,1)</f>
        <v/>
      </c>
      <c r="HF4">
        <f>HF3*IF(OR($C3=109,$G3=109),0,1)</f>
        <v/>
      </c>
      <c r="HG4">
        <f>HG3*IF(OR($C3=110,$G3=110),0,1)</f>
        <v/>
      </c>
      <c r="HH4">
        <f>HH3*IF(OR($C3=111,$G3=111),0,1)</f>
        <v/>
      </c>
      <c r="HI4">
        <f>HI3*IF(OR($C3=112,$G3=112),0,1)</f>
        <v/>
      </c>
      <c r="HJ4">
        <f>HJ3*IF(OR($C3=113,$G3=113),0,1)</f>
        <v/>
      </c>
      <c r="HK4">
        <f>HK3*IF(OR($C3=114,$G3=114),0,1)</f>
        <v/>
      </c>
      <c r="HL4">
        <f>HL3*IF(OR($C3=115,$G3=115),0,1)</f>
        <v/>
      </c>
      <c r="HM4">
        <f>HM3*IF(OR($C3=116,$G3=116),0,1)</f>
        <v/>
      </c>
      <c r="HN4">
        <f>HN3*IF(OR($C3=117,$G3=117),0,1)</f>
        <v/>
      </c>
      <c r="HO4">
        <f>HO3*IF(OR($C3=118,$G3=118),0,1)</f>
        <v/>
      </c>
      <c r="HP4">
        <f>HP3*IF(OR($C3=119,$G3=119),0,1)</f>
        <v/>
      </c>
      <c r="HQ4">
        <f>HQ3*IF(OR($C3=120,$G3=120),0,1)</f>
        <v/>
      </c>
      <c r="HR4">
        <f>HR3*IF(OR($C3=121,$G3=121),0,1)</f>
        <v/>
      </c>
      <c r="HS4">
        <f>HS3*IF(OR($C3=122,$G3=122),0,1)</f>
        <v/>
      </c>
      <c r="HT4">
        <f>HT3*IF(OR($C3=123,$G3=123),0,1)</f>
        <v/>
      </c>
      <c r="HU4">
        <f>HU3*IF(OR($C3=124,$G3=124),0,1)</f>
        <v/>
      </c>
      <c r="HV4">
        <f>HV3*IF(OR($C3=125,$G3=125),0,1)</f>
        <v/>
      </c>
      <c r="HW4">
        <f>HW3*IF(OR($C3=126,$G3=126),0,1)</f>
        <v/>
      </c>
      <c r="HX4">
        <f>HX3*IF(OR($C3=127,$G3=127),0,1)</f>
        <v/>
      </c>
      <c r="HY4">
        <f>HY3*IF(OR($C3=128,$G3=128),0,1)</f>
        <v/>
      </c>
      <c r="HZ4">
        <f>HZ3*IF(OR($C3=129,$G3=129),0,1)</f>
        <v/>
      </c>
      <c r="IA4">
        <f>IA3*IF(OR($C3=130,$G3=130),0,1)</f>
        <v/>
      </c>
      <c r="IB4">
        <f>IB3*IF(OR($C3=131,$G3=131),0,1)</f>
        <v/>
      </c>
      <c r="IC4">
        <f>IC3*IF(OR($C3=132,$G3=132),0,1)</f>
        <v/>
      </c>
      <c r="ID4">
        <f>ID3*IF(OR($C3=133,$G3=133),0,1)</f>
        <v/>
      </c>
      <c r="IE4">
        <f>IE3*IF(OR($C3=134,$G3=134),0,1)</f>
        <v/>
      </c>
      <c r="IF4">
        <f>IF3*IF(OR($C3=135,$G3=135),0,1)</f>
        <v/>
      </c>
      <c r="IG4">
        <f>IG3*IF(OR($C3=136,$G3=136),0,1)</f>
        <v/>
      </c>
      <c r="IH4">
        <f>IH3*IF(OR($C3=137,$G3=137),0,1)</f>
        <v/>
      </c>
      <c r="II4">
        <f>II3*IF(OR($C3=138,$G3=138),0,1)</f>
        <v/>
      </c>
      <c r="IJ4">
        <f>IJ3*IF(OR($C3=139,$G3=139),0,1)</f>
        <v/>
      </c>
      <c r="IK4">
        <f>IK3*IF(OR($C3=140,$G3=140),0,1)</f>
        <v/>
      </c>
      <c r="IL4">
        <f>IL3*IF(OR($C3=141,$G3=141),0,1)</f>
        <v/>
      </c>
      <c r="IM4">
        <f>IM3*IF(OR($C3=142,$G3=142),0,1)</f>
        <v/>
      </c>
      <c r="IN4">
        <f>IN3*IF(OR($C3=143,$G3=143),0,1)</f>
        <v/>
      </c>
      <c r="IO4">
        <f>IO3*IF(OR($C3=144,$G3=144),0,1)</f>
        <v/>
      </c>
      <c r="IQ4">
        <f>IF('計算A'!D$106=1,DC4,1)</f>
        <v/>
      </c>
      <c r="IR4">
        <f>IF('計算A'!E$106=1,DD4,1)</f>
        <v/>
      </c>
      <c r="IS4">
        <f>IF('計算A'!F$106=1,DE4,1)</f>
        <v/>
      </c>
      <c r="IT4">
        <f>IF('計算A'!G$106=1,DF4,1)</f>
        <v/>
      </c>
      <c r="IU4">
        <f>IF('計算A'!H$106=1,DG4,1)</f>
        <v/>
      </c>
      <c r="IV4">
        <f>IF('計算A'!I$106=1,DH4,1)</f>
        <v/>
      </c>
      <c r="IW4">
        <f>IF('計算A'!J$106=1,DI4,1)</f>
        <v/>
      </c>
      <c r="IX4">
        <f>IF('計算A'!K$106=1,DJ4,1)</f>
        <v/>
      </c>
      <c r="IY4">
        <f>IF('計算A'!L$106=1,DK4,1)</f>
        <v/>
      </c>
      <c r="IZ4">
        <f>IF('計算A'!M$106=1,DL4,1)</f>
        <v/>
      </c>
      <c r="JA4">
        <f>IF('計算A'!N$106=1,DM4,1)</f>
        <v/>
      </c>
      <c r="JB4">
        <f>IF('計算A'!O$106=1,DN4,1)</f>
        <v/>
      </c>
      <c r="JC4">
        <f>IF('計算A'!P$106=1,DO4,1)</f>
        <v/>
      </c>
      <c r="JD4">
        <f>IF('計算A'!Q$106=1,DP4,1)</f>
        <v/>
      </c>
      <c r="JE4">
        <f>IF('計算A'!R$106=1,DQ4,1)</f>
        <v/>
      </c>
      <c r="JF4">
        <f>IF('計算A'!S$106=1,DR4,1)</f>
        <v/>
      </c>
      <c r="JG4">
        <f>IF('計算A'!T$106=1,DS4,1)</f>
        <v/>
      </c>
      <c r="JH4">
        <f>IF('計算A'!U$106=1,DT4,1)</f>
        <v/>
      </c>
      <c r="JI4">
        <f>IF('計算A'!V$106=1,DU4,1)</f>
        <v/>
      </c>
      <c r="JJ4">
        <f>IF('計算A'!W$106=1,DV4,1)</f>
        <v/>
      </c>
      <c r="JK4">
        <f>IF('計算A'!X$106=1,DW4,1)</f>
        <v/>
      </c>
      <c r="JL4">
        <f>IF('計算A'!Y$106=1,DX4,1)</f>
        <v/>
      </c>
      <c r="JM4">
        <f>IF('計算A'!Z$106=1,DY4,1)</f>
        <v/>
      </c>
      <c r="JN4">
        <f>IF('計算A'!AA$106=1,DZ4,1)</f>
        <v/>
      </c>
      <c r="JO4">
        <f>IF('計算A'!AB$106=1,EA4,1)</f>
        <v/>
      </c>
      <c r="JP4">
        <f>IF('計算A'!AC$106=1,EB4,1)</f>
        <v/>
      </c>
      <c r="JQ4">
        <f>IF('計算A'!AD$106=1,EC4,1)</f>
        <v/>
      </c>
      <c r="JR4">
        <f>IF('計算A'!AE$106=1,ED4,1)</f>
        <v/>
      </c>
      <c r="JS4">
        <f>IF('計算A'!AF$106=1,EE4,1)</f>
        <v/>
      </c>
      <c r="JT4">
        <f>IF('計算A'!AG$106=1,EF4,1)</f>
        <v/>
      </c>
      <c r="JU4">
        <f>IF('計算A'!AH$106=1,EG4,1)</f>
        <v/>
      </c>
      <c r="JV4">
        <f>IF('計算A'!AI$106=1,EH4,1)</f>
        <v/>
      </c>
      <c r="JW4">
        <f>IF('計算A'!AJ$106=1,EI4,1)</f>
        <v/>
      </c>
      <c r="JX4">
        <f>IF('計算A'!AK$106=1,EJ4,1)</f>
        <v/>
      </c>
      <c r="JY4">
        <f>IF('計算A'!AL$106=1,EK4,1)</f>
        <v/>
      </c>
      <c r="JZ4">
        <f>IF('計算A'!AM$106=1,EL4,1)</f>
        <v/>
      </c>
      <c r="KA4">
        <f>IF('計算A'!AN$106=1,EM4,1)</f>
        <v/>
      </c>
      <c r="KB4">
        <f>IF('計算A'!AO$106=1,EN4,1)</f>
        <v/>
      </c>
      <c r="KC4">
        <f>IF('計算A'!AP$106=1,EO4,1)</f>
        <v/>
      </c>
      <c r="KD4">
        <f>IF('計算A'!AQ$106=1,EP4,1)</f>
        <v/>
      </c>
      <c r="KE4">
        <f>IF('計算A'!AR$106=1,EQ4,1)</f>
        <v/>
      </c>
      <c r="KF4">
        <f>IF('計算A'!AS$106=1,ER4,1)</f>
        <v/>
      </c>
      <c r="KG4">
        <f>IF('計算A'!AT$106=1,ES4,1)</f>
        <v/>
      </c>
      <c r="KH4">
        <f>IF('計算A'!AU$106=1,ET4,1)</f>
        <v/>
      </c>
      <c r="KI4">
        <f>IF('計算A'!AV$106=1,EU4,1)</f>
        <v/>
      </c>
      <c r="KJ4">
        <f>IF('計算A'!AW$106=1,EV4,1)</f>
        <v/>
      </c>
      <c r="KK4">
        <f>IF('計算A'!AX$106=1,EW4,1)</f>
        <v/>
      </c>
      <c r="KL4">
        <f>IF('計算A'!AY$106=1,EX4,1)</f>
        <v/>
      </c>
      <c r="KM4">
        <f>IF('計算A'!AZ$106=1,EY4,1)</f>
        <v/>
      </c>
      <c r="KN4">
        <f>IF('計算A'!BA$106=1,EZ4,1)</f>
        <v/>
      </c>
      <c r="KO4">
        <f>IF('計算A'!BB$106=1,FA4,1)</f>
        <v/>
      </c>
      <c r="KP4">
        <f>IF('計算A'!BC$106=1,FB4,1)</f>
        <v/>
      </c>
      <c r="KQ4">
        <f>IF('計算A'!BD$106=1,FC4,1)</f>
        <v/>
      </c>
      <c r="KR4">
        <f>IF('計算A'!BE$106=1,FD4,1)</f>
        <v/>
      </c>
      <c r="KS4">
        <f>IF('計算A'!BF$106=1,FE4,1)</f>
        <v/>
      </c>
      <c r="KT4">
        <f>IF('計算A'!BG$106=1,FF4,1)</f>
        <v/>
      </c>
      <c r="KU4">
        <f>IF('計算A'!BH$106=1,FG4,1)</f>
        <v/>
      </c>
      <c r="KV4">
        <f>IF('計算A'!BI$106=1,FH4,1)</f>
        <v/>
      </c>
      <c r="KW4">
        <f>IF('計算A'!BJ$106=1,FI4,1)</f>
        <v/>
      </c>
      <c r="KX4">
        <f>IF('計算A'!BK$106=1,FJ4,1)</f>
        <v/>
      </c>
      <c r="KY4">
        <f>IF('計算A'!BL$106=1,FK4,1)</f>
        <v/>
      </c>
      <c r="KZ4">
        <f>IF('計算A'!BM$106=1,FL4,1)</f>
        <v/>
      </c>
      <c r="LA4">
        <f>IF('計算A'!BN$106=1,FM4,1)</f>
        <v/>
      </c>
      <c r="LB4">
        <f>IF('計算A'!BO$106=1,FN4,1)</f>
        <v/>
      </c>
      <c r="LC4">
        <f>IF('計算A'!BP$106=1,FO4,1)</f>
        <v/>
      </c>
      <c r="LD4">
        <f>IF('計算A'!BQ$106=1,FP4,1)</f>
        <v/>
      </c>
      <c r="LE4">
        <f>IF('計算A'!BR$106=1,FQ4,1)</f>
        <v/>
      </c>
      <c r="LF4">
        <f>IF('計算A'!BS$106=1,FR4,1)</f>
        <v/>
      </c>
      <c r="LG4">
        <f>IF('計算A'!BT$106=1,FS4,1)</f>
        <v/>
      </c>
      <c r="LH4">
        <f>IF('計算A'!BU$106=1,FT4,1)</f>
        <v/>
      </c>
      <c r="LI4">
        <f>IF('計算A'!BV$106=1,FU4,1)</f>
        <v/>
      </c>
      <c r="LJ4">
        <f>IF('計算A'!BW$106=1,FV4,1)</f>
        <v/>
      </c>
      <c r="LK4">
        <f>IF('計算A'!BX$106=1,FW4,1)</f>
        <v/>
      </c>
      <c r="LL4">
        <f>IF('計算A'!BY$106=1,FX4,1)</f>
        <v/>
      </c>
      <c r="LM4">
        <f>IF('計算A'!BZ$106=1,FY4,1)</f>
        <v/>
      </c>
      <c r="LN4">
        <f>IF('計算A'!CA$106=1,FZ4,1)</f>
        <v/>
      </c>
      <c r="LO4">
        <f>IF('計算A'!CB$106=1,GA4,1)</f>
        <v/>
      </c>
      <c r="LP4">
        <f>IF('計算A'!CC$106=1,GB4,1)</f>
        <v/>
      </c>
      <c r="LQ4">
        <f>IF('計算A'!CD$106=1,GC4,1)</f>
        <v/>
      </c>
      <c r="LR4">
        <f>IF('計算A'!CE$106=1,GD4,1)</f>
        <v/>
      </c>
      <c r="LS4">
        <f>IF('計算A'!CF$106=1,GE4,1)</f>
        <v/>
      </c>
      <c r="LT4">
        <f>IF('計算A'!CG$106=1,GF4,1)</f>
        <v/>
      </c>
      <c r="LU4">
        <f>IF('計算A'!CH$106=1,GG4,1)</f>
        <v/>
      </c>
      <c r="LV4">
        <f>IF('計算A'!CI$106=1,GH4,1)</f>
        <v/>
      </c>
      <c r="LW4">
        <f>IF('計算A'!CJ$106=1,GI4,1)</f>
        <v/>
      </c>
      <c r="LX4">
        <f>IF('計算A'!CK$106=1,GJ4,1)</f>
        <v/>
      </c>
      <c r="LY4">
        <f>IF('計算A'!CL$106=1,GK4,1)</f>
        <v/>
      </c>
      <c r="LZ4">
        <f>IF('計算A'!CM$106=1,GL4,1)</f>
        <v/>
      </c>
      <c r="MA4">
        <f>IF('計算A'!CN$106=1,GM4,1)</f>
        <v/>
      </c>
      <c r="MB4">
        <f>IF('計算A'!CO$106=1,GN4,1)</f>
        <v/>
      </c>
      <c r="MC4">
        <f>IF('計算A'!CP$106=1,GO4,1)</f>
        <v/>
      </c>
      <c r="MD4">
        <f>IF('計算A'!CQ$106=1,GP4,1)</f>
        <v/>
      </c>
      <c r="ME4">
        <f>IF('計算A'!CR$106=1,GQ4,1)</f>
        <v/>
      </c>
      <c r="MF4">
        <f>IF('計算A'!CS$106=1,GR4,1)</f>
        <v/>
      </c>
      <c r="MG4">
        <f>IF('計算A'!CT$106=1,GS4,1)</f>
        <v/>
      </c>
      <c r="MH4">
        <f>IF('計算A'!CU$106=1,GT4,1)</f>
        <v/>
      </c>
      <c r="MI4">
        <f>IF('計算A'!CV$106=1,GU4,1)</f>
        <v/>
      </c>
      <c r="MJ4">
        <f>IF('計算A'!CW$106=1,GV4,1)</f>
        <v/>
      </c>
      <c r="MK4">
        <f>IF('計算A'!CX$106=1,GW4,1)</f>
        <v/>
      </c>
      <c r="ML4">
        <f>IF('計算A'!CY$106=1,GX4,1)</f>
        <v/>
      </c>
      <c r="MM4">
        <f>IF('計算A'!CZ$106=1,GY4,1)</f>
        <v/>
      </c>
      <c r="MN4">
        <f>IF('計算A'!DA$106=1,GZ4,1)</f>
        <v/>
      </c>
      <c r="MO4">
        <f>IF('計算A'!DB$106=1,HA4,1)</f>
        <v/>
      </c>
      <c r="MP4">
        <f>IF('計算A'!DC$106=1,HB4,1)</f>
        <v/>
      </c>
      <c r="MQ4">
        <f>IF('計算A'!DD$106=1,HC4,1)</f>
        <v/>
      </c>
      <c r="MR4">
        <f>IF('計算A'!DE$106=1,HD4,1)</f>
        <v/>
      </c>
      <c r="MS4">
        <f>IF('計算A'!DF$106=1,HE4,1)</f>
        <v/>
      </c>
      <c r="MT4">
        <f>IF('計算A'!DG$106=1,HF4,1)</f>
        <v/>
      </c>
      <c r="MU4">
        <f>IF('計算A'!DH$106=1,HG4,1)</f>
        <v/>
      </c>
      <c r="MV4">
        <f>IF('計算A'!DI$106=1,HH4,1)</f>
        <v/>
      </c>
      <c r="MW4">
        <f>IF('計算A'!DJ$106=1,HI4,1)</f>
        <v/>
      </c>
      <c r="MX4">
        <f>IF('計算A'!DK$106=1,HJ4,1)</f>
        <v/>
      </c>
      <c r="MY4">
        <f>IF('計算A'!DL$106=1,HK4,1)</f>
        <v/>
      </c>
      <c r="MZ4">
        <f>IF('計算A'!DM$106=1,HL4,1)</f>
        <v/>
      </c>
      <c r="NA4">
        <f>IF('計算A'!DN$106=1,HM4,1)</f>
        <v/>
      </c>
      <c r="NB4">
        <f>IF('計算A'!DO$106=1,HN4,1)</f>
        <v/>
      </c>
      <c r="NC4">
        <f>IF('計算A'!DP$106=1,HO4,1)</f>
        <v/>
      </c>
      <c r="ND4">
        <f>IF('計算A'!DQ$106=1,HP4,1)</f>
        <v/>
      </c>
      <c r="NE4">
        <f>IF('計算A'!DR$106=1,HQ4,1)</f>
        <v/>
      </c>
      <c r="NF4">
        <f>IF('計算A'!DS$106=1,HR4,1)</f>
        <v/>
      </c>
      <c r="NG4">
        <f>IF('計算A'!DT$106=1,HS4,1)</f>
        <v/>
      </c>
      <c r="NH4">
        <f>IF('計算A'!DU$106=1,HT4,1)</f>
        <v/>
      </c>
      <c r="NI4">
        <f>IF('計算A'!DV$106=1,HU4,1)</f>
        <v/>
      </c>
      <c r="NJ4">
        <f>IF('計算A'!DW$106=1,HV4,1)</f>
        <v/>
      </c>
      <c r="NK4">
        <f>IF('計算A'!DX$106=1,HW4,1)</f>
        <v/>
      </c>
      <c r="NL4">
        <f>IF('計算A'!DY$106=1,HX4,1)</f>
        <v/>
      </c>
      <c r="NM4">
        <f>IF('計算A'!DZ$106=1,HY4,1)</f>
        <v/>
      </c>
      <c r="NN4">
        <f>IF('計算A'!EA$106=1,HZ4,1)</f>
        <v/>
      </c>
      <c r="NO4">
        <f>IF('計算A'!EB$106=1,IA4,1)</f>
        <v/>
      </c>
      <c r="NP4">
        <f>IF('計算A'!EC$106=1,IB4,1)</f>
        <v/>
      </c>
      <c r="NQ4">
        <f>IF('計算A'!ED$106=1,IC4,1)</f>
        <v/>
      </c>
      <c r="NR4">
        <f>IF('計算A'!EE$106=1,ID4,1)</f>
        <v/>
      </c>
      <c r="NS4">
        <f>IF('計算A'!EF$106=1,IE4,1)</f>
        <v/>
      </c>
      <c r="NT4">
        <f>IF('計算A'!EG$106=1,IF4,1)</f>
        <v/>
      </c>
      <c r="NU4">
        <f>IF('計算A'!EH$106=1,IG4,1)</f>
        <v/>
      </c>
      <c r="NV4">
        <f>IF('計算A'!EI$106=1,IH4,1)</f>
        <v/>
      </c>
      <c r="NW4">
        <f>IF('計算A'!EJ$106=1,II4,1)</f>
        <v/>
      </c>
      <c r="NX4">
        <f>IF('計算A'!EK$106=1,IJ4,1)</f>
        <v/>
      </c>
      <c r="NY4">
        <f>IF('計算A'!EL$106=1,IK4,1)</f>
        <v/>
      </c>
      <c r="NZ4">
        <f>IF('計算A'!EM$106=1,IL4,1)</f>
        <v/>
      </c>
      <c r="OA4">
        <f>IF('計算A'!EN$106=1,IM4,1)</f>
        <v/>
      </c>
      <c r="OB4">
        <f>IF('計算A'!EO$106=1,IN4,1)</f>
        <v/>
      </c>
      <c r="OC4">
        <f>IF('計算A'!EP$106=1,IO4,1)</f>
        <v/>
      </c>
      <c r="OD4" t="n">
        <v>1</v>
      </c>
      <c r="OF4">
        <f>IF($B4=0,1000000,IF(INDEX('計算A'!$D$60:$EQ$104,$B4,1)*DB4=1,IF(AND($E4=2,IQ4=0),1000000,IF($I4&gt;0,IF(1=$J4,IF(OR(AND(1=$I4+1,OR($K4&lt;&gt;'計算A'!$A$3,'計算A'!$A$4=0)),AND(1=$I4-1,OR(1&lt;&gt;'計算A'!$A$3,'計算A'!$A$4=0))),0,IF(1=$K4,200000,ABS(1-$K4)*100)),100000+ABS(1-$J4)*1000+10)+'計算A'!D$5*50+IF(AND($E4=1,IQ4=0),25,0),INDEX('計算A'!D$110:D$114,$F4+1)+IF(AND($E4=1,IQ4=0),1000,0)+IF($H4=1,(IF('計算A'!D$117=1,INDEX('計算A'!E$10:E$54,$B4),0))*500,0)-IF(AND($L4=1,'計算A'!D$117=1,DC4=0),300,0))),1000000))</f>
        <v/>
      </c>
      <c r="OG4">
        <f>IF($B4=0,1000000,IF(INDEX('計算A'!$D$60:$EQ$104,$B4,2)*DC4=1,IF(AND($E4=2,IR4=0),1000000,IF($I4&gt;0,IF(1=$J4,IF(OR(AND(2=$I4+1,OR($K4&lt;&gt;'計算A'!$A$3,'計算A'!$A$4=0)),AND(2=$I4-1,OR(2&lt;&gt;'計算A'!$A$3,'計算A'!$A$4=0))),0,IF(2=$K4,200000,ABS(2-$K4)*100)),100000+ABS(1-$J4)*1000+20)+'計算A'!E$5*50+IF(AND($E4=1,IR4=0),25,0),INDEX('計算A'!E$110:E$114,$F4+1)+IF(AND($E4=1,IR4=0),1000,0)+IF($H4=1,(IF('計算A'!D$117=1,INDEX('計算A'!D$10:D$54,$B4),0)+IF('計算A'!E$117=1,INDEX('計算A'!F$10:F$54,$B4),0))*500,0)-IF(AND('計算A'!D$117=1,UB4&gt;0),300,0)-IF(AND($L4=1,'計算A'!E$117=1,DD4=0),300,0))),1000000))</f>
        <v/>
      </c>
      <c r="OH4">
        <f>IF($B4=0,1000000,IF(INDEX('計算A'!$D$60:$EQ$104,$B4,3)*DD4=1,IF(AND($E4=2,IS4=0),1000000,IF($I4&gt;0,IF(1=$J4,IF(OR(AND(3=$I4+1,OR($K4&lt;&gt;'計算A'!$A$3,'計算A'!$A$4=0)),AND(3=$I4-1,OR(3&lt;&gt;'計算A'!$A$3,'計算A'!$A$4=0))),0,IF(3=$K4,200000,ABS(3-$K4)*100)),100000+ABS(1-$J4)*1000+30)+'計算A'!F$5*50+IF(AND($E4=1,IS4=0),25,0),INDEX('計算A'!F$110:F$114,$F4+1)+IF(AND($E4=1,IS4=0),1000,0)+IF($H4=1,(IF('計算A'!E$117=1,INDEX('計算A'!E$10:E$54,$B4),0)+IF('計算A'!F$117=1,INDEX('計算A'!G$10:G$54,$B4),0))*500,0)-IF(AND('計算A'!E$117=1,UC4&gt;0),300,0)-IF(AND($L4=1,'計算A'!F$117=1,DE4=0),300,0))),1000000))</f>
        <v/>
      </c>
      <c r="OI4">
        <f>IF($B4=0,1000000,IF(INDEX('計算A'!$D$60:$EQ$104,$B4,4)*DE4=1,IF(AND($E4=2,IT4=0),1000000,IF($I4&gt;0,IF(1=$J4,IF(OR(AND(4=$I4+1,OR($K4&lt;&gt;'計算A'!$A$3,'計算A'!$A$4=0)),AND(4=$I4-1,OR(4&lt;&gt;'計算A'!$A$3,'計算A'!$A$4=0))),0,IF(4=$K4,200000,ABS(4-$K4)*100)),100000+ABS(1-$J4)*1000+40)+'計算A'!G$5*50+IF(AND($E4=1,IT4=0),25,0),INDEX('計算A'!G$110:G$114,$F4+1)+IF(AND($E4=1,IT4=0),1000,0)+IF($H4=1,(IF('計算A'!F$117=1,INDEX('計算A'!F$10:F$54,$B4),0)+IF('計算A'!G$117=1,INDEX('計算A'!H$10:H$54,$B4),0))*500,0)-IF(AND('計算A'!F$117=1,UD4&gt;0),300,0)-IF(AND($L4=1,'計算A'!G$117=1,DF4=0),300,0))),1000000))</f>
        <v/>
      </c>
      <c r="OJ4">
        <f>IF($B4=0,1000000,IF(INDEX('計算A'!$D$60:$EQ$104,$B4,5)*DF4=1,IF(AND($E4=2,IU4=0),1000000,IF($I4&gt;0,IF(1=$J4,IF(OR(AND(5=$I4+1,OR($K4&lt;&gt;'計算A'!$A$3,'計算A'!$A$4=0)),AND(5=$I4-1,OR(5&lt;&gt;'計算A'!$A$3,'計算A'!$A$4=0))),0,IF(5=$K4,200000,ABS(5-$K4)*100)),100000+ABS(1-$J4)*1000+50)+'計算A'!H$5*50+IF(AND($E4=1,IU4=0),25,0),INDEX('計算A'!H$110:H$114,$F4+1)+IF(AND($E4=1,IU4=0),1000,0)+IF($H4=1,(IF('計算A'!G$117=1,INDEX('計算A'!G$10:G$54,$B4),0)+IF('計算A'!H$117=1,INDEX('計算A'!I$10:I$54,$B4),0))*500,0)-IF(AND('計算A'!G$117=1,UE4&gt;0),300,0)-IF(AND($L4=1,'計算A'!H$117=1,DG4=0),300,0))),1000000))</f>
        <v/>
      </c>
      <c r="OK4">
        <f>IF($B4=0,1000000,IF(INDEX('計算A'!$D$60:$EQ$104,$B4,6)*DG4=1,IF(AND($E4=2,IV4=0),1000000,IF($I4&gt;0,IF(1=$J4,IF(OR(AND(6=$I4+1,OR($K4&lt;&gt;'計算A'!$A$3,'計算A'!$A$4=0)),AND(6=$I4-1,OR(6&lt;&gt;'計算A'!$A$3,'計算A'!$A$4=0))),0,IF(6=$K4,200000,ABS(6-$K4)*100)),100000+ABS(1-$J4)*1000+60)+'計算A'!I$5*50+IF(AND($E4=1,IV4=0),25,0),INDEX('計算A'!I$110:I$114,$F4+1)+IF(AND($E4=1,IV4=0),1000,0)+IF($H4=1,(IF('計算A'!H$117=1,INDEX('計算A'!H$10:H$54,$B4),0)+IF('計算A'!I$117=1,INDEX('計算A'!J$10:J$54,$B4),0))*500,0)-IF(AND('計算A'!H$117=1,UF4&gt;0),300,0)-IF(AND($L4=1,'計算A'!I$117=1,DH4=0),300,0))),1000000))</f>
        <v/>
      </c>
      <c r="OL4">
        <f>IF($B4=0,1000000,IF(INDEX('計算A'!$D$60:$EQ$104,$B4,7)*DH4=1,IF(AND($E4=2,IW4=0),1000000,IF($I4&gt;0,IF(1=$J4,IF(OR(AND(7=$I4+1,OR($K4&lt;&gt;'計算A'!$A$3,'計算A'!$A$4=0)),AND(7=$I4-1,OR(7&lt;&gt;'計算A'!$A$3,'計算A'!$A$4=0))),0,IF(7=$K4,200000,ABS(7-$K4)*100)),100000+ABS(1-$J4)*1000+70)+'計算A'!J$5*50+IF(AND($E4=1,IW4=0),25,0),INDEX('計算A'!J$110:J$114,$F4+1)+IF(AND($E4=1,IW4=0),1000,0)+IF($H4=1,(IF('計算A'!I$117=1,INDEX('計算A'!I$10:I$54,$B4),0)+IF('計算A'!J$117=1,INDEX('計算A'!K$10:K$54,$B4),0))*500,0)-IF(AND('計算A'!I$117=1,UG4&gt;0),300,0)-IF(AND($L4=1,'計算A'!J$117=1,DI4=0),300,0))),1000000))</f>
        <v/>
      </c>
      <c r="OM4">
        <f>IF($B4=0,1000000,IF(INDEX('計算A'!$D$60:$EQ$104,$B4,8)*DI4=1,IF(AND($E4=2,IX4=0),1000000,IF($I4&gt;0,IF(1=$J4,IF(OR(AND(8=$I4+1,OR($K4&lt;&gt;'計算A'!$A$3,'計算A'!$A$4=0)),AND(8=$I4-1,OR(8&lt;&gt;'計算A'!$A$3,'計算A'!$A$4=0))),0,IF(8=$K4,200000,ABS(8-$K4)*100)),100000+ABS(1-$J4)*1000+80)+'計算A'!K$5*50+IF(AND($E4=1,IX4=0),25,0),INDEX('計算A'!K$110:K$114,$F4+1)+IF(AND($E4=1,IX4=0),1000,0)+IF($H4=1,(IF('計算A'!J$117=1,INDEX('計算A'!J$10:J$54,$B4),0)+IF('計算A'!K$117=1,INDEX('計算A'!L$10:L$54,$B4),0))*500,0)-IF(AND('計算A'!J$117=1,UH4&gt;0),300,0)-IF(AND($L4=1,'計算A'!K$117=1,DJ4=0),300,0))),1000000))</f>
        <v/>
      </c>
      <c r="ON4">
        <f>IF($B4=0,1000000,IF(INDEX('計算A'!$D$60:$EQ$104,$B4,9)*DJ4=1,IF(AND($E4=2,IY4=0),1000000,IF($I4&gt;0,IF(1=$J4,IF(OR(AND(9=$I4+1,OR($K4&lt;&gt;'計算A'!$A$3,'計算A'!$A$4=0)),AND(9=$I4-1,OR(9&lt;&gt;'計算A'!$A$3,'計算A'!$A$4=0))),0,IF(9=$K4,200000,ABS(9-$K4)*100)),100000+ABS(1-$J4)*1000+90)+'計算A'!L$5*50+IF(AND($E4=1,IY4=0),25,0),INDEX('計算A'!L$110:L$114,$F4+1)+IF(AND($E4=1,IY4=0),1000,0)+IF($H4=1,(IF('計算A'!K$117=1,INDEX('計算A'!K$10:K$54,$B4),0)+IF('計算A'!L$117=1,INDEX('計算A'!M$10:M$54,$B4),0))*500,0)-IF(AND('計算A'!K$117=1,UI4&gt;0),300,0)-IF(AND($L4=1,'計算A'!L$117=1,DK4=0),300,0))),1000000))</f>
        <v/>
      </c>
      <c r="OO4">
        <f>IF($B4=0,1000000,IF(INDEX('計算A'!$D$60:$EQ$104,$B4,10)*DK4=1,IF(AND($E4=2,IZ4=0),1000000,IF($I4&gt;0,IF(1=$J4,IF(OR(AND(10=$I4+1,OR($K4&lt;&gt;'計算A'!$A$3,'計算A'!$A$4=0)),AND(10=$I4-1,OR(10&lt;&gt;'計算A'!$A$3,'計算A'!$A$4=0))),0,IF(10=$K4,200000,ABS(10-$K4)*100)),100000+ABS(1-$J4)*1000+100)+'計算A'!M$5*50+IF(AND($E4=1,IZ4=0),25,0),INDEX('計算A'!M$110:M$114,$F4+1)+IF(AND($E4=1,IZ4=0),1000,0)+IF($H4=1,(IF('計算A'!L$117=1,INDEX('計算A'!L$10:L$54,$B4),0)+IF('計算A'!M$117=1,INDEX('計算A'!N$10:N$54,$B4),0))*500,0)-IF(AND('計算A'!L$117=1,UJ4&gt;0),300,0)-IF(AND($L4=1,'計算A'!M$117=1,DL4=0),300,0))),1000000))</f>
        <v/>
      </c>
      <c r="OP4">
        <f>IF($B4=0,1000000,IF(INDEX('計算A'!$D$60:$EQ$104,$B4,11)*DL4=1,IF(AND($E4=2,JA4=0),1000000,IF($I4&gt;0,IF(1=$J4,IF(OR(AND(11=$I4+1,OR($K4&lt;&gt;'計算A'!$A$3,'計算A'!$A$4=0)),AND(11=$I4-1,OR(11&lt;&gt;'計算A'!$A$3,'計算A'!$A$4=0))),0,IF(11=$K4,200000,ABS(11-$K4)*100)),100000+ABS(1-$J4)*1000+110)+'計算A'!N$5*50+IF(AND($E4=1,JA4=0),25,0),INDEX('計算A'!N$110:N$114,$F4+1)+IF(AND($E4=1,JA4=0),1000,0)+IF($H4=1,(IF('計算A'!M$117=1,INDEX('計算A'!M$10:M$54,$B4),0)+IF('計算A'!N$117=1,INDEX('計算A'!O$10:O$54,$B4),0))*500,0)-IF(AND('計算A'!M$117=1,UK4&gt;0),300,0)-IF(AND($L4=1,'計算A'!N$117=1,DM4=0),300,0))),1000000))</f>
        <v/>
      </c>
      <c r="OQ4">
        <f>IF($B4=0,1000000,IF(INDEX('計算A'!$D$60:$EQ$104,$B4,12)*DM4=1,IF(AND($E4=2,JB4=0),1000000,IF($I4&gt;0,IF(1=$J4,IF(OR(AND(12=$I4+1,OR($K4&lt;&gt;'計算A'!$A$3,'計算A'!$A$4=0)),AND(12=$I4-1,OR(12&lt;&gt;'計算A'!$A$3,'計算A'!$A$4=0))),0,IF(12=$K4,200000,ABS(12-$K4)*100)),100000+ABS(1-$J4)*1000+120)+'計算A'!O$5*50+IF(AND($E4=1,JB4=0),25,0),INDEX('計算A'!O$110:O$114,$F4+1)+IF(AND($E4=1,JB4=0),1000,0)+IF($H4=1,(IF('計算A'!N$117=1,INDEX('計算A'!N$10:N$54,$B4),0)+IF('計算A'!O$117=1,INDEX('計算A'!P$10:P$54,$B4),0))*500,0)-IF(AND('計算A'!N$117=1,UL4&gt;0),300,0)-IF(AND($L4=1,'計算A'!O$117=1,DN4=0),300,0))),1000000))</f>
        <v/>
      </c>
      <c r="OR4">
        <f>IF($B4=0,1000000,IF(INDEX('計算A'!$D$60:$EQ$104,$B4,13)*DN4=1,IF(AND($E4=2,JC4=0),1000000,IF($I4&gt;0,IF(1=$J4,IF(OR(AND(13=$I4+1,OR($K4&lt;&gt;'計算A'!$A$3,'計算A'!$A$4=0)),AND(13=$I4-1,OR(13&lt;&gt;'計算A'!$A$3,'計算A'!$A$4=0))),0,IF(13=$K4,200000,ABS(13-$K4)*100)),100000+ABS(1-$J4)*1000+130)+'計算A'!P$5*50+IF(AND($E4=1,JC4=0),25,0),INDEX('計算A'!P$110:P$114,$F4+1)+IF(AND($E4=1,JC4=0),1000,0)+IF($H4=1,(IF('計算A'!O$117=1,INDEX('計算A'!O$10:O$54,$B4),0)+IF('計算A'!P$117=1,INDEX('計算A'!Q$10:Q$54,$B4),0))*500,0)-IF(AND('計算A'!O$117=1,UM4&gt;0),300,0)-IF(AND($L4=1,'計算A'!P$117=1,DO4=0),300,0))),1000000))</f>
        <v/>
      </c>
      <c r="OS4">
        <f>IF($B4=0,1000000,IF(INDEX('計算A'!$D$60:$EQ$104,$B4,14)*DO4=1,IF(AND($E4=2,JD4=0),1000000,IF($I4&gt;0,IF(1=$J4,IF(OR(AND(14=$I4+1,OR($K4&lt;&gt;'計算A'!$A$3,'計算A'!$A$4=0)),AND(14=$I4-1,OR(14&lt;&gt;'計算A'!$A$3,'計算A'!$A$4=0))),0,IF(14=$K4,200000,ABS(14-$K4)*100)),100000+ABS(1-$J4)*1000+140)+'計算A'!Q$5*50+IF(AND($E4=1,JD4=0),25,0),INDEX('計算A'!Q$110:Q$114,$F4+1)+IF(AND($E4=1,JD4=0),1000,0)+IF($H4=1,(IF('計算A'!P$117=1,INDEX('計算A'!P$10:P$54,$B4),0)+IF('計算A'!Q$117=1,INDEX('計算A'!R$10:R$54,$B4),0))*500,0)-IF(AND('計算A'!P$117=1,UN4&gt;0),300,0)-IF(AND($L4=1,'計算A'!Q$117=1,DP4=0),300,0))),1000000))</f>
        <v/>
      </c>
      <c r="OT4">
        <f>IF($B4=0,1000000,IF(INDEX('計算A'!$D$60:$EQ$104,$B4,15)*DP4=1,IF(AND($E4=2,JE4=0),1000000,IF($I4&gt;0,IF(1=$J4,IF(OR(AND(15=$I4+1,OR($K4&lt;&gt;'計算A'!$A$3,'計算A'!$A$4=0)),AND(15=$I4-1,OR(15&lt;&gt;'計算A'!$A$3,'計算A'!$A$4=0))),0,IF(15=$K4,200000,ABS(15-$K4)*100)),100000+ABS(1-$J4)*1000+150)+'計算A'!R$5*50+IF(AND($E4=1,JE4=0),25,0),INDEX('計算A'!R$110:R$114,$F4+1)+IF(AND($E4=1,JE4=0),1000,0)+IF($H4=1,(IF('計算A'!Q$117=1,INDEX('計算A'!Q$10:Q$54,$B4),0)+IF('計算A'!R$117=1,INDEX('計算A'!S$10:S$54,$B4),0))*500,0)-IF(AND('計算A'!Q$117=1,UO4&gt;0),300,0)-IF(AND($L4=1,'計算A'!R$117=1,DQ4=0),300,0))),1000000))</f>
        <v/>
      </c>
      <c r="OU4">
        <f>IF($B4=0,1000000,IF(INDEX('計算A'!$D$60:$EQ$104,$B4,16)*DQ4=1,IF(AND($E4=2,JF4=0),1000000,IF($I4&gt;0,IF(1=$J4,IF(OR(AND(16=$I4+1,OR($K4&lt;&gt;'計算A'!$A$3,'計算A'!$A$4=0)),AND(16=$I4-1,OR(16&lt;&gt;'計算A'!$A$3,'計算A'!$A$4=0))),0,IF(16=$K4,200000,ABS(16-$K4)*100)),100000+ABS(1-$J4)*1000+160)+'計算A'!S$5*50+IF(AND($E4=1,JF4=0),25,0),INDEX('計算A'!S$110:S$114,$F4+1)+IF(AND($E4=1,JF4=0),1000,0)+IF($H4=1,(IF('計算A'!R$117=1,INDEX('計算A'!R$10:R$54,$B4),0)+IF('計算A'!S$117=1,INDEX('計算A'!T$10:T$54,$B4),0))*500,0)-IF(AND('計算A'!R$117=1,UP4&gt;0),300,0)-IF(AND($L4=1,'計算A'!S$117=1,DR4=0),300,0))),1000000))</f>
        <v/>
      </c>
      <c r="OV4">
        <f>IF($B4=0,1000000,IF(INDEX('計算A'!$D$60:$EQ$104,$B4,17)*DR4=1,IF(AND($E4=2,JG4=0),1000000,IF($I4&gt;0,IF(1=$J4,IF(OR(AND(17=$I4+1,OR($K4&lt;&gt;'計算A'!$A$3,'計算A'!$A$4=0)),AND(17=$I4-1,OR(17&lt;&gt;'計算A'!$A$3,'計算A'!$A$4=0))),0,IF(17=$K4,200000,ABS(17-$K4)*100)),100000+ABS(1-$J4)*1000+170)+'計算A'!T$5*50+IF(AND($E4=1,JG4=0),25,0),INDEX('計算A'!T$110:T$114,$F4+1)+IF(AND($E4=1,JG4=0),1000,0)+IF($H4=1,(IF('計算A'!S$117=1,INDEX('計算A'!S$10:S$54,$B4),0)+IF('計算A'!T$117=1,INDEX('計算A'!U$10:U$54,$B4),0))*500,0)-IF(AND('計算A'!S$117=1,UQ4&gt;0),300,0)-IF(AND($L4=1,'計算A'!T$117=1,DS4=0),300,0))),1000000))</f>
        <v/>
      </c>
      <c r="OW4">
        <f>IF($B4=0,1000000,IF(INDEX('計算A'!$D$60:$EQ$104,$B4,18)*DS4=1,IF(AND($E4=2,JH4=0),1000000,IF($I4&gt;0,IF(1=$J4,IF(OR(AND(18=$I4+1,OR($K4&lt;&gt;'計算A'!$A$3,'計算A'!$A$4=0)),AND(18=$I4-1,OR(18&lt;&gt;'計算A'!$A$3,'計算A'!$A$4=0))),0,IF(18=$K4,200000,ABS(18-$K4)*100)),100000+ABS(1-$J4)*1000+180)+'計算A'!U$5*50+IF(AND($E4=1,JH4=0),25,0),INDEX('計算A'!U$110:U$114,$F4+1)+IF(AND($E4=1,JH4=0),1000,0)+IF($H4=1,(IF('計算A'!T$117=1,INDEX('計算A'!T$10:T$54,$B4),0)+IF('計算A'!U$117=1,INDEX('計算A'!V$10:V$54,$B4),0))*500,0)-IF(AND('計算A'!T$117=1,UR4&gt;0),300,0)-IF(AND($L4=1,'計算A'!U$117=1,DT4=0),300,0))),1000000))</f>
        <v/>
      </c>
      <c r="OX4">
        <f>IF($B4=0,1000000,IF(INDEX('計算A'!$D$60:$EQ$104,$B4,19)*DT4=1,IF(AND($E4=2,JI4=0),1000000,IF($I4&gt;0,IF(1=$J4,IF(OR(AND(19=$I4+1,OR($K4&lt;&gt;'計算A'!$A$3,'計算A'!$A$4=0)),AND(19=$I4-1,OR(19&lt;&gt;'計算A'!$A$3,'計算A'!$A$4=0))),0,IF(19=$K4,200000,ABS(19-$K4)*100)),100000+ABS(1-$J4)*1000+190)+'計算A'!V$5*50+IF(AND($E4=1,JI4=0),25,0),INDEX('計算A'!V$110:V$114,$F4+1)+IF(AND($E4=1,JI4=0),1000,0)+IF($H4=1,(IF('計算A'!U$117=1,INDEX('計算A'!U$10:U$54,$B4),0)+IF('計算A'!V$117=1,INDEX('計算A'!W$10:W$54,$B4),0))*500,0)-IF(AND('計算A'!U$117=1,US4&gt;0),300,0)-IF(AND($L4=1,'計算A'!V$117=1,DU4=0),300,0))),1000000))</f>
        <v/>
      </c>
      <c r="OY4">
        <f>IF($B4=0,1000000,IF(INDEX('計算A'!$D$60:$EQ$104,$B4,20)*DU4=1,IF(AND($E4=2,JJ4=0),1000000,IF($I4&gt;0,IF(1=$J4,IF(OR(AND(20=$I4+1,OR($K4&lt;&gt;'計算A'!$A$3,'計算A'!$A$4=0)),AND(20=$I4-1,OR(20&lt;&gt;'計算A'!$A$3,'計算A'!$A$4=0))),0,IF(20=$K4,200000,ABS(20-$K4)*100)),100000+ABS(1-$J4)*1000+200)+'計算A'!W$5*50+IF(AND($E4=1,JJ4=0),25,0),INDEX('計算A'!W$110:W$114,$F4+1)+IF(AND($E4=1,JJ4=0),1000,0)+IF($H4=1,(IF('計算A'!V$117=1,INDEX('計算A'!V$10:V$54,$B4),0)+IF('計算A'!W$117=1,INDEX('計算A'!X$10:X$54,$B4),0))*500,0)-IF(AND('計算A'!V$117=1,UT4&gt;0),300,0)-IF(AND($L4=1,'計算A'!W$117=1,DV4=0),300,0))),1000000))</f>
        <v/>
      </c>
      <c r="OZ4">
        <f>IF($B4=0,1000000,IF(INDEX('計算A'!$D$60:$EQ$104,$B4,21)*DV4=1,IF(AND($E4=2,JK4=0),1000000,IF($I4&gt;0,IF(1=$J4,IF(OR(AND(21=$I4+1,OR($K4&lt;&gt;'計算A'!$A$3,'計算A'!$A$4=0)),AND(21=$I4-1,OR(21&lt;&gt;'計算A'!$A$3,'計算A'!$A$4=0))),0,IF(21=$K4,200000,ABS(21-$K4)*100)),100000+ABS(1-$J4)*1000+210)+'計算A'!X$5*50+IF(AND($E4=1,JK4=0),25,0),INDEX('計算A'!X$110:X$114,$F4+1)+IF(AND($E4=1,JK4=0),1000,0)+IF($H4=1,(IF('計算A'!W$117=1,INDEX('計算A'!W$10:W$54,$B4),0)+IF('計算A'!X$117=1,INDEX('計算A'!Y$10:Y$54,$B4),0))*500,0)-IF(AND('計算A'!W$117=1,UU4&gt;0),300,0)-IF(AND($L4=1,'計算A'!X$117=1,DW4=0),300,0))),1000000))</f>
        <v/>
      </c>
      <c r="PA4">
        <f>IF($B4=0,1000000,IF(INDEX('計算A'!$D$60:$EQ$104,$B4,22)*DW4=1,IF(AND($E4=2,JL4=0),1000000,IF($I4&gt;0,IF(1=$J4,IF(OR(AND(22=$I4+1,OR($K4&lt;&gt;'計算A'!$A$3,'計算A'!$A$4=0)),AND(22=$I4-1,OR(22&lt;&gt;'計算A'!$A$3,'計算A'!$A$4=0))),0,IF(22=$K4,200000,ABS(22-$K4)*100)),100000+ABS(1-$J4)*1000+220)+'計算A'!Y$5*50+IF(AND($E4=1,JL4=0),25,0),INDEX('計算A'!Y$110:Y$114,$F4+1)+IF(AND($E4=1,JL4=0),1000,0)+IF($H4=1,(IF('計算A'!X$117=1,INDEX('計算A'!X$10:X$54,$B4),0)+IF('計算A'!Y$117=1,INDEX('計算A'!Z$10:Z$54,$B4),0))*500,0)-IF(AND('計算A'!X$117=1,UV4&gt;0),300,0)-IF(AND($L4=1,'計算A'!Y$117=1,DX4=0),300,0))),1000000))</f>
        <v/>
      </c>
      <c r="PB4">
        <f>IF($B4=0,1000000,IF(INDEX('計算A'!$D$60:$EQ$104,$B4,23)*DX4=1,IF(AND($E4=2,JM4=0),1000000,IF($I4&gt;0,IF(1=$J4,IF(OR(AND(23=$I4+1,OR($K4&lt;&gt;'計算A'!$A$3,'計算A'!$A$4=0)),AND(23=$I4-1,OR(23&lt;&gt;'計算A'!$A$3,'計算A'!$A$4=0))),0,IF(23=$K4,200000,ABS(23-$K4)*100)),100000+ABS(1-$J4)*1000+230)+'計算A'!Z$5*50+IF(AND($E4=1,JM4=0),25,0),INDEX('計算A'!Z$110:Z$114,$F4+1)+IF(AND($E4=1,JM4=0),1000,0)+IF($H4=1,(IF('計算A'!Y$117=1,INDEX('計算A'!Y$10:Y$54,$B4),0)+IF('計算A'!Z$117=1,INDEX('計算A'!AA$10:AA$54,$B4),0))*500,0)-IF(AND('計算A'!Y$117=1,UW4&gt;0),300,0)-IF(AND($L4=1,'計算A'!Z$117=1,DY4=0),300,0))),1000000))</f>
        <v/>
      </c>
      <c r="PC4">
        <f>IF($B4=0,1000000,IF(INDEX('計算A'!$D$60:$EQ$104,$B4,24)*DY4=1,IF(AND($E4=2,JN4=0),1000000,IF($I4&gt;0,IF(1=$J4,IF(OR(AND(24=$I4+1,OR($K4&lt;&gt;'計算A'!$A$3,'計算A'!$A$4=0)),AND(24=$I4-1,OR(24&lt;&gt;'計算A'!$A$3,'計算A'!$A$4=0))),0,IF(24=$K4,200000,ABS(24-$K4)*100)),100000+ABS(1-$J4)*1000+240)+'計算A'!AA$5*50+IF(AND($E4=1,JN4=0),25,0),INDEX('計算A'!AA$110:AA$114,$F4+1)+IF(AND($E4=1,JN4=0),1000,0)+IF($H4=1,(IF('計算A'!Z$117=1,INDEX('計算A'!Z$10:Z$54,$B4),0))*500,0)-IF(AND('計算A'!Z$117=1,UX4&gt;0),300,0))),1000000))</f>
        <v/>
      </c>
      <c r="PD4">
        <f>IF($B4=0,1000000,IF(INDEX('計算A'!$D$60:$EQ$104,$B4,25)*DZ4=1,IF(AND($E4=2,JO4=0),1000000,IF($I4&gt;0,IF(2=$J4,IF(OR(AND(25=$I4+1,OR($K4&lt;&gt;'計算A'!$A$3,'計算A'!$A$4=0)),AND(25=$I4-1,OR(1&lt;&gt;'計算A'!$A$3,'計算A'!$A$4=0))),0,IF(1=$K4,200000,ABS(1-$K4)*100)),100000+ABS(2-$J4)*1000+10)+'計算A'!AB$5*50+IF(AND($E4=1,JO4=0),25,0),INDEX('計算A'!AB$110:AB$114,$F4+1)+IF(AND($E4=1,JO4=0),1000,0)+IF($H4=1,(IF('計算A'!AB$117=1,INDEX('計算A'!AC$10:AC$54,$B4),0))*500,0)-IF(AND($L4=1,'計算A'!AB$117=1,EA4=0),300,0))),1000000))</f>
        <v/>
      </c>
      <c r="PE4">
        <f>IF($B4=0,1000000,IF(INDEX('計算A'!$D$60:$EQ$104,$B4,26)*EA4=1,IF(AND($E4=2,JP4=0),1000000,IF($I4&gt;0,IF(2=$J4,IF(OR(AND(26=$I4+1,OR($K4&lt;&gt;'計算A'!$A$3,'計算A'!$A$4=0)),AND(26=$I4-1,OR(2&lt;&gt;'計算A'!$A$3,'計算A'!$A$4=0))),0,IF(2=$K4,200000,ABS(2-$K4)*100)),100000+ABS(2-$J4)*1000+20)+'計算A'!AC$5*50+IF(AND($E4=1,JP4=0),25,0),INDEX('計算A'!AC$110:AC$114,$F4+1)+IF(AND($E4=1,JP4=0),1000,0)+IF($H4=1,(IF('計算A'!AB$117=1,INDEX('計算A'!AB$10:AB$54,$B4),0)+IF('計算A'!AC$117=1,INDEX('計算A'!AD$10:AD$54,$B4),0))*500,0)-IF(AND('計算A'!AB$117=1,UZ4&gt;0),300,0)-IF(AND($L4=1,'計算A'!AC$117=1,EB4=0),300,0))),1000000))</f>
        <v/>
      </c>
      <c r="PF4">
        <f>IF($B4=0,1000000,IF(INDEX('計算A'!$D$60:$EQ$104,$B4,27)*EB4=1,IF(AND($E4=2,JQ4=0),1000000,IF($I4&gt;0,IF(2=$J4,IF(OR(AND(27=$I4+1,OR($K4&lt;&gt;'計算A'!$A$3,'計算A'!$A$4=0)),AND(27=$I4-1,OR(3&lt;&gt;'計算A'!$A$3,'計算A'!$A$4=0))),0,IF(3=$K4,200000,ABS(3-$K4)*100)),100000+ABS(2-$J4)*1000+30)+'計算A'!AD$5*50+IF(AND($E4=1,JQ4=0),25,0),INDEX('計算A'!AD$110:AD$114,$F4+1)+IF(AND($E4=1,JQ4=0),1000,0)+IF($H4=1,(IF('計算A'!AC$117=1,INDEX('計算A'!AC$10:AC$54,$B4),0)+IF('計算A'!AD$117=1,INDEX('計算A'!AE$10:AE$54,$B4),0))*500,0)-IF(AND('計算A'!AC$117=1,VA4&gt;0),300,0)-IF(AND($L4=1,'計算A'!AD$117=1,EC4=0),300,0))),1000000))</f>
        <v/>
      </c>
      <c r="PG4">
        <f>IF($B4=0,1000000,IF(INDEX('計算A'!$D$60:$EQ$104,$B4,28)*EC4=1,IF(AND($E4=2,JR4=0),1000000,IF($I4&gt;0,IF(2=$J4,IF(OR(AND(28=$I4+1,OR($K4&lt;&gt;'計算A'!$A$3,'計算A'!$A$4=0)),AND(28=$I4-1,OR(4&lt;&gt;'計算A'!$A$3,'計算A'!$A$4=0))),0,IF(4=$K4,200000,ABS(4-$K4)*100)),100000+ABS(2-$J4)*1000+40)+'計算A'!AE$5*50+IF(AND($E4=1,JR4=0),25,0),INDEX('計算A'!AE$110:AE$114,$F4+1)+IF(AND($E4=1,JR4=0),1000,0)+IF($H4=1,(IF('計算A'!AD$117=1,INDEX('計算A'!AD$10:AD$54,$B4),0)+IF('計算A'!AE$117=1,INDEX('計算A'!AF$10:AF$54,$B4),0))*500,0)-IF(AND('計算A'!AD$117=1,VB4&gt;0),300,0)-IF(AND($L4=1,'計算A'!AE$117=1,ED4=0),300,0))),1000000))</f>
        <v/>
      </c>
      <c r="PH4">
        <f>IF($B4=0,1000000,IF(INDEX('計算A'!$D$60:$EQ$104,$B4,29)*ED4=1,IF(AND($E4=2,JS4=0),1000000,IF($I4&gt;0,IF(2=$J4,IF(OR(AND(29=$I4+1,OR($K4&lt;&gt;'計算A'!$A$3,'計算A'!$A$4=0)),AND(29=$I4-1,OR(5&lt;&gt;'計算A'!$A$3,'計算A'!$A$4=0))),0,IF(5=$K4,200000,ABS(5-$K4)*100)),100000+ABS(2-$J4)*1000+50)+'計算A'!AF$5*50+IF(AND($E4=1,JS4=0),25,0),INDEX('計算A'!AF$110:AF$114,$F4+1)+IF(AND($E4=1,JS4=0),1000,0)+IF($H4=1,(IF('計算A'!AE$117=1,INDEX('計算A'!AE$10:AE$54,$B4),0)+IF('計算A'!AF$117=1,INDEX('計算A'!AG$10:AG$54,$B4),0))*500,0)-IF(AND('計算A'!AE$117=1,VC4&gt;0),300,0)-IF(AND($L4=1,'計算A'!AF$117=1,EE4=0),300,0))),1000000))</f>
        <v/>
      </c>
      <c r="PI4">
        <f>IF($B4=0,1000000,IF(INDEX('計算A'!$D$60:$EQ$104,$B4,30)*EE4=1,IF(AND($E4=2,JT4=0),1000000,IF($I4&gt;0,IF(2=$J4,IF(OR(AND(30=$I4+1,OR($K4&lt;&gt;'計算A'!$A$3,'計算A'!$A$4=0)),AND(30=$I4-1,OR(6&lt;&gt;'計算A'!$A$3,'計算A'!$A$4=0))),0,IF(6=$K4,200000,ABS(6-$K4)*100)),100000+ABS(2-$J4)*1000+60)+'計算A'!AG$5*50+IF(AND($E4=1,JT4=0),25,0),INDEX('計算A'!AG$110:AG$114,$F4+1)+IF(AND($E4=1,JT4=0),1000,0)+IF($H4=1,(IF('計算A'!AF$117=1,INDEX('計算A'!AF$10:AF$54,$B4),0)+IF('計算A'!AG$117=1,INDEX('計算A'!AH$10:AH$54,$B4),0))*500,0)-IF(AND('計算A'!AF$117=1,VD4&gt;0),300,0)-IF(AND($L4=1,'計算A'!AG$117=1,EF4=0),300,0))),1000000))</f>
        <v/>
      </c>
      <c r="PJ4">
        <f>IF($B4=0,1000000,IF(INDEX('計算A'!$D$60:$EQ$104,$B4,31)*EF4=1,IF(AND($E4=2,JU4=0),1000000,IF($I4&gt;0,IF(2=$J4,IF(OR(AND(31=$I4+1,OR($K4&lt;&gt;'計算A'!$A$3,'計算A'!$A$4=0)),AND(31=$I4-1,OR(7&lt;&gt;'計算A'!$A$3,'計算A'!$A$4=0))),0,IF(7=$K4,200000,ABS(7-$K4)*100)),100000+ABS(2-$J4)*1000+70)+'計算A'!AH$5*50+IF(AND($E4=1,JU4=0),25,0),INDEX('計算A'!AH$110:AH$114,$F4+1)+IF(AND($E4=1,JU4=0),1000,0)+IF($H4=1,(IF('計算A'!AG$117=1,INDEX('計算A'!AG$10:AG$54,$B4),0)+IF('計算A'!AH$117=1,INDEX('計算A'!AI$10:AI$54,$B4),0))*500,0)-IF(AND('計算A'!AG$117=1,VE4&gt;0),300,0)-IF(AND($L4=1,'計算A'!AH$117=1,EG4=0),300,0))),1000000))</f>
        <v/>
      </c>
      <c r="PK4">
        <f>IF($B4=0,1000000,IF(INDEX('計算A'!$D$60:$EQ$104,$B4,32)*EG4=1,IF(AND($E4=2,JV4=0),1000000,IF($I4&gt;0,IF(2=$J4,IF(OR(AND(32=$I4+1,OR($K4&lt;&gt;'計算A'!$A$3,'計算A'!$A$4=0)),AND(32=$I4-1,OR(8&lt;&gt;'計算A'!$A$3,'計算A'!$A$4=0))),0,IF(8=$K4,200000,ABS(8-$K4)*100)),100000+ABS(2-$J4)*1000+80)+'計算A'!AI$5*50+IF(AND($E4=1,JV4=0),25,0),INDEX('計算A'!AI$110:AI$114,$F4+1)+IF(AND($E4=1,JV4=0),1000,0)+IF($H4=1,(IF('計算A'!AH$117=1,INDEX('計算A'!AH$10:AH$54,$B4),0)+IF('計算A'!AI$117=1,INDEX('計算A'!AJ$10:AJ$54,$B4),0))*500,0)-IF(AND('計算A'!AH$117=1,VF4&gt;0),300,0)-IF(AND($L4=1,'計算A'!AI$117=1,EH4=0),300,0))),1000000))</f>
        <v/>
      </c>
      <c r="PL4">
        <f>IF($B4=0,1000000,IF(INDEX('計算A'!$D$60:$EQ$104,$B4,33)*EH4=1,IF(AND($E4=2,JW4=0),1000000,IF($I4&gt;0,IF(2=$J4,IF(OR(AND(33=$I4+1,OR($K4&lt;&gt;'計算A'!$A$3,'計算A'!$A$4=0)),AND(33=$I4-1,OR(9&lt;&gt;'計算A'!$A$3,'計算A'!$A$4=0))),0,IF(9=$K4,200000,ABS(9-$K4)*100)),100000+ABS(2-$J4)*1000+90)+'計算A'!AJ$5*50+IF(AND($E4=1,JW4=0),25,0),INDEX('計算A'!AJ$110:AJ$114,$F4+1)+IF(AND($E4=1,JW4=0),1000,0)+IF($H4=1,(IF('計算A'!AI$117=1,INDEX('計算A'!AI$10:AI$54,$B4),0)+IF('計算A'!AJ$117=1,INDEX('計算A'!AK$10:AK$54,$B4),0))*500,0)-IF(AND('計算A'!AI$117=1,VG4&gt;0),300,0)-IF(AND($L4=1,'計算A'!AJ$117=1,EI4=0),300,0))),1000000))</f>
        <v/>
      </c>
      <c r="PM4">
        <f>IF($B4=0,1000000,IF(INDEX('計算A'!$D$60:$EQ$104,$B4,34)*EI4=1,IF(AND($E4=2,JX4=0),1000000,IF($I4&gt;0,IF(2=$J4,IF(OR(AND(34=$I4+1,OR($K4&lt;&gt;'計算A'!$A$3,'計算A'!$A$4=0)),AND(34=$I4-1,OR(10&lt;&gt;'計算A'!$A$3,'計算A'!$A$4=0))),0,IF(10=$K4,200000,ABS(10-$K4)*100)),100000+ABS(2-$J4)*1000+100)+'計算A'!AK$5*50+IF(AND($E4=1,JX4=0),25,0),INDEX('計算A'!AK$110:AK$114,$F4+1)+IF(AND($E4=1,JX4=0),1000,0)+IF($H4=1,(IF('計算A'!AJ$117=1,INDEX('計算A'!AJ$10:AJ$54,$B4),0)+IF('計算A'!AK$117=1,INDEX('計算A'!AL$10:AL$54,$B4),0))*500,0)-IF(AND('計算A'!AJ$117=1,VH4&gt;0),300,0)-IF(AND($L4=1,'計算A'!AK$117=1,EJ4=0),300,0))),1000000))</f>
        <v/>
      </c>
      <c r="PN4">
        <f>IF($B4=0,1000000,IF(INDEX('計算A'!$D$60:$EQ$104,$B4,35)*EJ4=1,IF(AND($E4=2,JY4=0),1000000,IF($I4&gt;0,IF(2=$J4,IF(OR(AND(35=$I4+1,OR($K4&lt;&gt;'計算A'!$A$3,'計算A'!$A$4=0)),AND(35=$I4-1,OR(11&lt;&gt;'計算A'!$A$3,'計算A'!$A$4=0))),0,IF(11=$K4,200000,ABS(11-$K4)*100)),100000+ABS(2-$J4)*1000+110)+'計算A'!AL$5*50+IF(AND($E4=1,JY4=0),25,0),INDEX('計算A'!AL$110:AL$114,$F4+1)+IF(AND($E4=1,JY4=0),1000,0)+IF($H4=1,(IF('計算A'!AK$117=1,INDEX('計算A'!AK$10:AK$54,$B4),0)+IF('計算A'!AL$117=1,INDEX('計算A'!AM$10:AM$54,$B4),0))*500,0)-IF(AND('計算A'!AK$117=1,VI4&gt;0),300,0)-IF(AND($L4=1,'計算A'!AL$117=1,EK4=0),300,0))),1000000))</f>
        <v/>
      </c>
      <c r="PO4">
        <f>IF($B4=0,1000000,IF(INDEX('計算A'!$D$60:$EQ$104,$B4,36)*EK4=1,IF(AND($E4=2,JZ4=0),1000000,IF($I4&gt;0,IF(2=$J4,IF(OR(AND(36=$I4+1,OR($K4&lt;&gt;'計算A'!$A$3,'計算A'!$A$4=0)),AND(36=$I4-1,OR(12&lt;&gt;'計算A'!$A$3,'計算A'!$A$4=0))),0,IF(12=$K4,200000,ABS(12-$K4)*100)),100000+ABS(2-$J4)*1000+120)+'計算A'!AM$5*50+IF(AND($E4=1,JZ4=0),25,0),INDEX('計算A'!AM$110:AM$114,$F4+1)+IF(AND($E4=1,JZ4=0),1000,0)+IF($H4=1,(IF('計算A'!AL$117=1,INDEX('計算A'!AL$10:AL$54,$B4),0)+IF('計算A'!AM$117=1,INDEX('計算A'!AN$10:AN$54,$B4),0))*500,0)-IF(AND('計算A'!AL$117=1,VJ4&gt;0),300,0)-IF(AND($L4=1,'計算A'!AM$117=1,EL4=0),300,0))),1000000))</f>
        <v/>
      </c>
      <c r="PP4">
        <f>IF($B4=0,1000000,IF(INDEX('計算A'!$D$60:$EQ$104,$B4,37)*EL4=1,IF(AND($E4=2,KA4=0),1000000,IF($I4&gt;0,IF(2=$J4,IF(OR(AND(37=$I4+1,OR($K4&lt;&gt;'計算A'!$A$3,'計算A'!$A$4=0)),AND(37=$I4-1,OR(13&lt;&gt;'計算A'!$A$3,'計算A'!$A$4=0))),0,IF(13=$K4,200000,ABS(13-$K4)*100)),100000+ABS(2-$J4)*1000+130)+'計算A'!AN$5*50+IF(AND($E4=1,KA4=0),25,0),INDEX('計算A'!AN$110:AN$114,$F4+1)+IF(AND($E4=1,KA4=0),1000,0)+IF($H4=1,(IF('計算A'!AM$117=1,INDEX('計算A'!AM$10:AM$54,$B4),0)+IF('計算A'!AN$117=1,INDEX('計算A'!AO$10:AO$54,$B4),0))*500,0)-IF(AND('計算A'!AM$117=1,VK4&gt;0),300,0)-IF(AND($L4=1,'計算A'!AN$117=1,EM4=0),300,0))),1000000))</f>
        <v/>
      </c>
      <c r="PQ4">
        <f>IF($B4=0,1000000,IF(INDEX('計算A'!$D$60:$EQ$104,$B4,38)*EM4=1,IF(AND($E4=2,KB4=0),1000000,IF($I4&gt;0,IF(2=$J4,IF(OR(AND(38=$I4+1,OR($K4&lt;&gt;'計算A'!$A$3,'計算A'!$A$4=0)),AND(38=$I4-1,OR(14&lt;&gt;'計算A'!$A$3,'計算A'!$A$4=0))),0,IF(14=$K4,200000,ABS(14-$K4)*100)),100000+ABS(2-$J4)*1000+140)+'計算A'!AO$5*50+IF(AND($E4=1,KB4=0),25,0),INDEX('計算A'!AO$110:AO$114,$F4+1)+IF(AND($E4=1,KB4=0),1000,0)+IF($H4=1,(IF('計算A'!AN$117=1,INDEX('計算A'!AN$10:AN$54,$B4),0)+IF('計算A'!AO$117=1,INDEX('計算A'!AP$10:AP$54,$B4),0))*500,0)-IF(AND('計算A'!AN$117=1,VL4&gt;0),300,0)-IF(AND($L4=1,'計算A'!AO$117=1,EN4=0),300,0))),1000000))</f>
        <v/>
      </c>
      <c r="PR4">
        <f>IF($B4=0,1000000,IF(INDEX('計算A'!$D$60:$EQ$104,$B4,39)*EN4=1,IF(AND($E4=2,KC4=0),1000000,IF($I4&gt;0,IF(2=$J4,IF(OR(AND(39=$I4+1,OR($K4&lt;&gt;'計算A'!$A$3,'計算A'!$A$4=0)),AND(39=$I4-1,OR(15&lt;&gt;'計算A'!$A$3,'計算A'!$A$4=0))),0,IF(15=$K4,200000,ABS(15-$K4)*100)),100000+ABS(2-$J4)*1000+150)+'計算A'!AP$5*50+IF(AND($E4=1,KC4=0),25,0),INDEX('計算A'!AP$110:AP$114,$F4+1)+IF(AND($E4=1,KC4=0),1000,0)+IF($H4=1,(IF('計算A'!AO$117=1,INDEX('計算A'!AO$10:AO$54,$B4),0)+IF('計算A'!AP$117=1,INDEX('計算A'!AQ$10:AQ$54,$B4),0))*500,0)-IF(AND('計算A'!AO$117=1,VM4&gt;0),300,0)-IF(AND($L4=1,'計算A'!AP$117=1,EO4=0),300,0))),1000000))</f>
        <v/>
      </c>
      <c r="PS4">
        <f>IF($B4=0,1000000,IF(INDEX('計算A'!$D$60:$EQ$104,$B4,40)*EO4=1,IF(AND($E4=2,KD4=0),1000000,IF($I4&gt;0,IF(2=$J4,IF(OR(AND(40=$I4+1,OR($K4&lt;&gt;'計算A'!$A$3,'計算A'!$A$4=0)),AND(40=$I4-1,OR(16&lt;&gt;'計算A'!$A$3,'計算A'!$A$4=0))),0,IF(16=$K4,200000,ABS(16-$K4)*100)),100000+ABS(2-$J4)*1000+160)+'計算A'!AQ$5*50+IF(AND($E4=1,KD4=0),25,0),INDEX('計算A'!AQ$110:AQ$114,$F4+1)+IF(AND($E4=1,KD4=0),1000,0)+IF($H4=1,(IF('計算A'!AP$117=1,INDEX('計算A'!AP$10:AP$54,$B4),0)+IF('計算A'!AQ$117=1,INDEX('計算A'!AR$10:AR$54,$B4),0))*500,0)-IF(AND('計算A'!AP$117=1,VN4&gt;0),300,0)-IF(AND($L4=1,'計算A'!AQ$117=1,EP4=0),300,0))),1000000))</f>
        <v/>
      </c>
      <c r="PT4">
        <f>IF($B4=0,1000000,IF(INDEX('計算A'!$D$60:$EQ$104,$B4,41)*EP4=1,IF(AND($E4=2,KE4=0),1000000,IF($I4&gt;0,IF(2=$J4,IF(OR(AND(41=$I4+1,OR($K4&lt;&gt;'計算A'!$A$3,'計算A'!$A$4=0)),AND(41=$I4-1,OR(17&lt;&gt;'計算A'!$A$3,'計算A'!$A$4=0))),0,IF(17=$K4,200000,ABS(17-$K4)*100)),100000+ABS(2-$J4)*1000+170)+'計算A'!AR$5*50+IF(AND($E4=1,KE4=0),25,0),INDEX('計算A'!AR$110:AR$114,$F4+1)+IF(AND($E4=1,KE4=0),1000,0)+IF($H4=1,(IF('計算A'!AQ$117=1,INDEX('計算A'!AQ$10:AQ$54,$B4),0)+IF('計算A'!AR$117=1,INDEX('計算A'!AS$10:AS$54,$B4),0))*500,0)-IF(AND('計算A'!AQ$117=1,VO4&gt;0),300,0)-IF(AND($L4=1,'計算A'!AR$117=1,EQ4=0),300,0))),1000000))</f>
        <v/>
      </c>
      <c r="PU4">
        <f>IF($B4=0,1000000,IF(INDEX('計算A'!$D$60:$EQ$104,$B4,42)*EQ4=1,IF(AND($E4=2,KF4=0),1000000,IF($I4&gt;0,IF(2=$J4,IF(OR(AND(42=$I4+1,OR($K4&lt;&gt;'計算A'!$A$3,'計算A'!$A$4=0)),AND(42=$I4-1,OR(18&lt;&gt;'計算A'!$A$3,'計算A'!$A$4=0))),0,IF(18=$K4,200000,ABS(18-$K4)*100)),100000+ABS(2-$J4)*1000+180)+'計算A'!AS$5*50+IF(AND($E4=1,KF4=0),25,0),INDEX('計算A'!AS$110:AS$114,$F4+1)+IF(AND($E4=1,KF4=0),1000,0)+IF($H4=1,(IF('計算A'!AR$117=1,INDEX('計算A'!AR$10:AR$54,$B4),0)+IF('計算A'!AS$117=1,INDEX('計算A'!AT$10:AT$54,$B4),0))*500,0)-IF(AND('計算A'!AR$117=1,VP4&gt;0),300,0)-IF(AND($L4=1,'計算A'!AS$117=1,ER4=0),300,0))),1000000))</f>
        <v/>
      </c>
      <c r="PV4">
        <f>IF($B4=0,1000000,IF(INDEX('計算A'!$D$60:$EQ$104,$B4,43)*ER4=1,IF(AND($E4=2,KG4=0),1000000,IF($I4&gt;0,IF(2=$J4,IF(OR(AND(43=$I4+1,OR($K4&lt;&gt;'計算A'!$A$3,'計算A'!$A$4=0)),AND(43=$I4-1,OR(19&lt;&gt;'計算A'!$A$3,'計算A'!$A$4=0))),0,IF(19=$K4,200000,ABS(19-$K4)*100)),100000+ABS(2-$J4)*1000+190)+'計算A'!AT$5*50+IF(AND($E4=1,KG4=0),25,0),INDEX('計算A'!AT$110:AT$114,$F4+1)+IF(AND($E4=1,KG4=0),1000,0)+IF($H4=1,(IF('計算A'!AS$117=1,INDEX('計算A'!AS$10:AS$54,$B4),0)+IF('計算A'!AT$117=1,INDEX('計算A'!AU$10:AU$54,$B4),0))*500,0)-IF(AND('計算A'!AS$117=1,VQ4&gt;0),300,0)-IF(AND($L4=1,'計算A'!AT$117=1,ES4=0),300,0))),1000000))</f>
        <v/>
      </c>
      <c r="PW4">
        <f>IF($B4=0,1000000,IF(INDEX('計算A'!$D$60:$EQ$104,$B4,44)*ES4=1,IF(AND($E4=2,KH4=0),1000000,IF($I4&gt;0,IF(2=$J4,IF(OR(AND(44=$I4+1,OR($K4&lt;&gt;'計算A'!$A$3,'計算A'!$A$4=0)),AND(44=$I4-1,OR(20&lt;&gt;'計算A'!$A$3,'計算A'!$A$4=0))),0,IF(20=$K4,200000,ABS(20-$K4)*100)),100000+ABS(2-$J4)*1000+200)+'計算A'!AU$5*50+IF(AND($E4=1,KH4=0),25,0),INDEX('計算A'!AU$110:AU$114,$F4+1)+IF(AND($E4=1,KH4=0),1000,0)+IF($H4=1,(IF('計算A'!AT$117=1,INDEX('計算A'!AT$10:AT$54,$B4),0)+IF('計算A'!AU$117=1,INDEX('計算A'!AV$10:AV$54,$B4),0))*500,0)-IF(AND('計算A'!AT$117=1,VR4&gt;0),300,0)-IF(AND($L4=1,'計算A'!AU$117=1,ET4=0),300,0))),1000000))</f>
        <v/>
      </c>
      <c r="PX4">
        <f>IF($B4=0,1000000,IF(INDEX('計算A'!$D$60:$EQ$104,$B4,45)*ET4=1,IF(AND($E4=2,KI4=0),1000000,IF($I4&gt;0,IF(2=$J4,IF(OR(AND(45=$I4+1,OR($K4&lt;&gt;'計算A'!$A$3,'計算A'!$A$4=0)),AND(45=$I4-1,OR(21&lt;&gt;'計算A'!$A$3,'計算A'!$A$4=0))),0,IF(21=$K4,200000,ABS(21-$K4)*100)),100000+ABS(2-$J4)*1000+210)+'計算A'!AV$5*50+IF(AND($E4=1,KI4=0),25,0),INDEX('計算A'!AV$110:AV$114,$F4+1)+IF(AND($E4=1,KI4=0),1000,0)+IF($H4=1,(IF('計算A'!AU$117=1,INDEX('計算A'!AU$10:AU$54,$B4),0)+IF('計算A'!AV$117=1,INDEX('計算A'!AW$10:AW$54,$B4),0))*500,0)-IF(AND('計算A'!AU$117=1,VS4&gt;0),300,0)-IF(AND($L4=1,'計算A'!AV$117=1,EU4=0),300,0))),1000000))</f>
        <v/>
      </c>
      <c r="PY4">
        <f>IF($B4=0,1000000,IF(INDEX('計算A'!$D$60:$EQ$104,$B4,46)*EU4=1,IF(AND($E4=2,KJ4=0),1000000,IF($I4&gt;0,IF(2=$J4,IF(OR(AND(46=$I4+1,OR($K4&lt;&gt;'計算A'!$A$3,'計算A'!$A$4=0)),AND(46=$I4-1,OR(22&lt;&gt;'計算A'!$A$3,'計算A'!$A$4=0))),0,IF(22=$K4,200000,ABS(22-$K4)*100)),100000+ABS(2-$J4)*1000+220)+'計算A'!AW$5*50+IF(AND($E4=1,KJ4=0),25,0),INDEX('計算A'!AW$110:AW$114,$F4+1)+IF(AND($E4=1,KJ4=0),1000,0)+IF($H4=1,(IF('計算A'!AV$117=1,INDEX('計算A'!AV$10:AV$54,$B4),0)+IF('計算A'!AW$117=1,INDEX('計算A'!AX$10:AX$54,$B4),0))*500,0)-IF(AND('計算A'!AV$117=1,VT4&gt;0),300,0)-IF(AND($L4=1,'計算A'!AW$117=1,EV4=0),300,0))),1000000))</f>
        <v/>
      </c>
      <c r="PZ4">
        <f>IF($B4=0,1000000,IF(INDEX('計算A'!$D$60:$EQ$104,$B4,47)*EV4=1,IF(AND($E4=2,KK4=0),1000000,IF($I4&gt;0,IF(2=$J4,IF(OR(AND(47=$I4+1,OR($K4&lt;&gt;'計算A'!$A$3,'計算A'!$A$4=0)),AND(47=$I4-1,OR(23&lt;&gt;'計算A'!$A$3,'計算A'!$A$4=0))),0,IF(23=$K4,200000,ABS(23-$K4)*100)),100000+ABS(2-$J4)*1000+230)+'計算A'!AX$5*50+IF(AND($E4=1,KK4=0),25,0),INDEX('計算A'!AX$110:AX$114,$F4+1)+IF(AND($E4=1,KK4=0),1000,0)+IF($H4=1,(IF('計算A'!AW$117=1,INDEX('計算A'!AW$10:AW$54,$B4),0)+IF('計算A'!AX$117=1,INDEX('計算A'!AY$10:AY$54,$B4),0))*500,0)-IF(AND('計算A'!AW$117=1,VU4&gt;0),300,0)-IF(AND($L4=1,'計算A'!AX$117=1,EW4=0),300,0))),1000000))</f>
        <v/>
      </c>
      <c r="QA4">
        <f>IF($B4=0,1000000,IF(INDEX('計算A'!$D$60:$EQ$104,$B4,48)*EW4=1,IF(AND($E4=2,KL4=0),1000000,IF($I4&gt;0,IF(2=$J4,IF(OR(AND(48=$I4+1,OR($K4&lt;&gt;'計算A'!$A$3,'計算A'!$A$4=0)),AND(48=$I4-1,OR(24&lt;&gt;'計算A'!$A$3,'計算A'!$A$4=0))),0,IF(24=$K4,200000,ABS(24-$K4)*100)),100000+ABS(2-$J4)*1000+240)+'計算A'!AY$5*50+IF(AND($E4=1,KL4=0),25,0),INDEX('計算A'!AY$110:AY$114,$F4+1)+IF(AND($E4=1,KL4=0),1000,0)+IF($H4=1,(IF('計算A'!AX$117=1,INDEX('計算A'!AX$10:AX$54,$B4),0))*500,0)-IF(AND('計算A'!AX$117=1,VV4&gt;0),300,0))),1000000))</f>
        <v/>
      </c>
      <c r="QB4">
        <f>IF($B4=0,1000000,IF(INDEX('計算A'!$D$60:$EQ$104,$B4,49)*EX4=1,IF(AND($E4=2,KM4=0),1000000,IF($I4&gt;0,IF(3=$J4,IF(OR(AND(49=$I4+1,OR($K4&lt;&gt;'計算A'!$A$3,'計算A'!$A$4=0)),AND(49=$I4-1,OR(1&lt;&gt;'計算A'!$A$3,'計算A'!$A$4=0))),0,IF(1=$K4,200000,ABS(1-$K4)*100)),100000+ABS(3-$J4)*1000+10)+'計算A'!AZ$5*50+IF(AND($E4=1,KM4=0),25,0),INDEX('計算A'!AZ$110:AZ$114,$F4+1)+IF(AND($E4=1,KM4=0),1000,0)+IF($H4=1,(IF('計算A'!AZ$117=1,INDEX('計算A'!BA$10:BA$54,$B4),0))*500,0)-IF(AND($L4=1,'計算A'!AZ$117=1,EY4=0),300,0))),1000000))</f>
        <v/>
      </c>
      <c r="QC4">
        <f>IF($B4=0,1000000,IF(INDEX('計算A'!$D$60:$EQ$104,$B4,50)*EY4=1,IF(AND($E4=2,KN4=0),1000000,IF($I4&gt;0,IF(3=$J4,IF(OR(AND(50=$I4+1,OR($K4&lt;&gt;'計算A'!$A$3,'計算A'!$A$4=0)),AND(50=$I4-1,OR(2&lt;&gt;'計算A'!$A$3,'計算A'!$A$4=0))),0,IF(2=$K4,200000,ABS(2-$K4)*100)),100000+ABS(3-$J4)*1000+20)+'計算A'!BA$5*50+IF(AND($E4=1,KN4=0),25,0),INDEX('計算A'!BA$110:BA$114,$F4+1)+IF(AND($E4=1,KN4=0),1000,0)+IF($H4=1,(IF('計算A'!AZ$117=1,INDEX('計算A'!AZ$10:AZ$54,$B4),0)+IF('計算A'!BA$117=1,INDEX('計算A'!BB$10:BB$54,$B4),0))*500,0)-IF(AND('計算A'!AZ$117=1,VX4&gt;0),300,0)-IF(AND($L4=1,'計算A'!BA$117=1,EZ4=0),300,0))),1000000))</f>
        <v/>
      </c>
      <c r="QD4">
        <f>IF($B4=0,1000000,IF(INDEX('計算A'!$D$60:$EQ$104,$B4,51)*EZ4=1,IF(AND($E4=2,KO4=0),1000000,IF($I4&gt;0,IF(3=$J4,IF(OR(AND(51=$I4+1,OR($K4&lt;&gt;'計算A'!$A$3,'計算A'!$A$4=0)),AND(51=$I4-1,OR(3&lt;&gt;'計算A'!$A$3,'計算A'!$A$4=0))),0,IF(3=$K4,200000,ABS(3-$K4)*100)),100000+ABS(3-$J4)*1000+30)+'計算A'!BB$5*50+IF(AND($E4=1,KO4=0),25,0),INDEX('計算A'!BB$110:BB$114,$F4+1)+IF(AND($E4=1,KO4=0),1000,0)+IF($H4=1,(IF('計算A'!BA$117=1,INDEX('計算A'!BA$10:BA$54,$B4),0)+IF('計算A'!BB$117=1,INDEX('計算A'!BC$10:BC$54,$B4),0))*500,0)-IF(AND('計算A'!BA$117=1,VY4&gt;0),300,0)-IF(AND($L4=1,'計算A'!BB$117=1,FA4=0),300,0))),1000000))</f>
        <v/>
      </c>
      <c r="QE4">
        <f>IF($B4=0,1000000,IF(INDEX('計算A'!$D$60:$EQ$104,$B4,52)*FA4=1,IF(AND($E4=2,KP4=0),1000000,IF($I4&gt;0,IF(3=$J4,IF(OR(AND(52=$I4+1,OR($K4&lt;&gt;'計算A'!$A$3,'計算A'!$A$4=0)),AND(52=$I4-1,OR(4&lt;&gt;'計算A'!$A$3,'計算A'!$A$4=0))),0,IF(4=$K4,200000,ABS(4-$K4)*100)),100000+ABS(3-$J4)*1000+40)+'計算A'!BC$5*50+IF(AND($E4=1,KP4=0),25,0),INDEX('計算A'!BC$110:BC$114,$F4+1)+IF(AND($E4=1,KP4=0),1000,0)+IF($H4=1,(IF('計算A'!BB$117=1,INDEX('計算A'!BB$10:BB$54,$B4),0)+IF('計算A'!BC$117=1,INDEX('計算A'!BD$10:BD$54,$B4),0))*500,0)-IF(AND('計算A'!BB$117=1,VZ4&gt;0),300,0)-IF(AND($L4=1,'計算A'!BC$117=1,FB4=0),300,0))),1000000))</f>
        <v/>
      </c>
      <c r="QF4">
        <f>IF($B4=0,1000000,IF(INDEX('計算A'!$D$60:$EQ$104,$B4,53)*FB4=1,IF(AND($E4=2,KQ4=0),1000000,IF($I4&gt;0,IF(3=$J4,IF(OR(AND(53=$I4+1,OR($K4&lt;&gt;'計算A'!$A$3,'計算A'!$A$4=0)),AND(53=$I4-1,OR(5&lt;&gt;'計算A'!$A$3,'計算A'!$A$4=0))),0,IF(5=$K4,200000,ABS(5-$K4)*100)),100000+ABS(3-$J4)*1000+50)+'計算A'!BD$5*50+IF(AND($E4=1,KQ4=0),25,0),INDEX('計算A'!BD$110:BD$114,$F4+1)+IF(AND($E4=1,KQ4=0),1000,0)+IF($H4=1,(IF('計算A'!BC$117=1,INDEX('計算A'!BC$10:BC$54,$B4),0)+IF('計算A'!BD$117=1,INDEX('計算A'!BE$10:BE$54,$B4),0))*500,0)-IF(AND('計算A'!BC$117=1,WA4&gt;0),300,0)-IF(AND($L4=1,'計算A'!BD$117=1,FC4=0),300,0))),1000000))</f>
        <v/>
      </c>
      <c r="QG4">
        <f>IF($B4=0,1000000,IF(INDEX('計算A'!$D$60:$EQ$104,$B4,54)*FC4=1,IF(AND($E4=2,KR4=0),1000000,IF($I4&gt;0,IF(3=$J4,IF(OR(AND(54=$I4+1,OR($K4&lt;&gt;'計算A'!$A$3,'計算A'!$A$4=0)),AND(54=$I4-1,OR(6&lt;&gt;'計算A'!$A$3,'計算A'!$A$4=0))),0,IF(6=$K4,200000,ABS(6-$K4)*100)),100000+ABS(3-$J4)*1000+60)+'計算A'!BE$5*50+IF(AND($E4=1,KR4=0),25,0),INDEX('計算A'!BE$110:BE$114,$F4+1)+IF(AND($E4=1,KR4=0),1000,0)+IF($H4=1,(IF('計算A'!BD$117=1,INDEX('計算A'!BD$10:BD$54,$B4),0)+IF('計算A'!BE$117=1,INDEX('計算A'!BF$10:BF$54,$B4),0))*500,0)-IF(AND('計算A'!BD$117=1,WB4&gt;0),300,0)-IF(AND($L4=1,'計算A'!BE$117=1,FD4=0),300,0))),1000000))</f>
        <v/>
      </c>
      <c r="QH4">
        <f>IF($B4=0,1000000,IF(INDEX('計算A'!$D$60:$EQ$104,$B4,55)*FD4=1,IF(AND($E4=2,KS4=0),1000000,IF($I4&gt;0,IF(3=$J4,IF(OR(AND(55=$I4+1,OR($K4&lt;&gt;'計算A'!$A$3,'計算A'!$A$4=0)),AND(55=$I4-1,OR(7&lt;&gt;'計算A'!$A$3,'計算A'!$A$4=0))),0,IF(7=$K4,200000,ABS(7-$K4)*100)),100000+ABS(3-$J4)*1000+70)+'計算A'!BF$5*50+IF(AND($E4=1,KS4=0),25,0),INDEX('計算A'!BF$110:BF$114,$F4+1)+IF(AND($E4=1,KS4=0),1000,0)+IF($H4=1,(IF('計算A'!BE$117=1,INDEX('計算A'!BE$10:BE$54,$B4),0)+IF('計算A'!BF$117=1,INDEX('計算A'!BG$10:BG$54,$B4),0))*500,0)-IF(AND('計算A'!BE$117=1,WC4&gt;0),300,0)-IF(AND($L4=1,'計算A'!BF$117=1,FE4=0),300,0))),1000000))</f>
        <v/>
      </c>
      <c r="QI4">
        <f>IF($B4=0,1000000,IF(INDEX('計算A'!$D$60:$EQ$104,$B4,56)*FE4=1,IF(AND($E4=2,KT4=0),1000000,IF($I4&gt;0,IF(3=$J4,IF(OR(AND(56=$I4+1,OR($K4&lt;&gt;'計算A'!$A$3,'計算A'!$A$4=0)),AND(56=$I4-1,OR(8&lt;&gt;'計算A'!$A$3,'計算A'!$A$4=0))),0,IF(8=$K4,200000,ABS(8-$K4)*100)),100000+ABS(3-$J4)*1000+80)+'計算A'!BG$5*50+IF(AND($E4=1,KT4=0),25,0),INDEX('計算A'!BG$110:BG$114,$F4+1)+IF(AND($E4=1,KT4=0),1000,0)+IF($H4=1,(IF('計算A'!BF$117=1,INDEX('計算A'!BF$10:BF$54,$B4),0)+IF('計算A'!BG$117=1,INDEX('計算A'!BH$10:BH$54,$B4),0))*500,0)-IF(AND('計算A'!BF$117=1,WD4&gt;0),300,0)-IF(AND($L4=1,'計算A'!BG$117=1,FF4=0),300,0))),1000000))</f>
        <v/>
      </c>
      <c r="QJ4">
        <f>IF($B4=0,1000000,IF(INDEX('計算A'!$D$60:$EQ$104,$B4,57)*FF4=1,IF(AND($E4=2,KU4=0),1000000,IF($I4&gt;0,IF(3=$J4,IF(OR(AND(57=$I4+1,OR($K4&lt;&gt;'計算A'!$A$3,'計算A'!$A$4=0)),AND(57=$I4-1,OR(9&lt;&gt;'計算A'!$A$3,'計算A'!$A$4=0))),0,IF(9=$K4,200000,ABS(9-$K4)*100)),100000+ABS(3-$J4)*1000+90)+'計算A'!BH$5*50+IF(AND($E4=1,KU4=0),25,0),INDEX('計算A'!BH$110:BH$114,$F4+1)+IF(AND($E4=1,KU4=0),1000,0)+IF($H4=1,(IF('計算A'!BG$117=1,INDEX('計算A'!BG$10:BG$54,$B4),0)+IF('計算A'!BH$117=1,INDEX('計算A'!BI$10:BI$54,$B4),0))*500,0)-IF(AND('計算A'!BG$117=1,WE4&gt;0),300,0)-IF(AND($L4=1,'計算A'!BH$117=1,FG4=0),300,0))),1000000))</f>
        <v/>
      </c>
      <c r="QK4">
        <f>IF($B4=0,1000000,IF(INDEX('計算A'!$D$60:$EQ$104,$B4,58)*FG4=1,IF(AND($E4=2,KV4=0),1000000,IF($I4&gt;0,IF(3=$J4,IF(OR(AND(58=$I4+1,OR($K4&lt;&gt;'計算A'!$A$3,'計算A'!$A$4=0)),AND(58=$I4-1,OR(10&lt;&gt;'計算A'!$A$3,'計算A'!$A$4=0))),0,IF(10=$K4,200000,ABS(10-$K4)*100)),100000+ABS(3-$J4)*1000+100)+'計算A'!BI$5*50+IF(AND($E4=1,KV4=0),25,0),INDEX('計算A'!BI$110:BI$114,$F4+1)+IF(AND($E4=1,KV4=0),1000,0)+IF($H4=1,(IF('計算A'!BH$117=1,INDEX('計算A'!BH$10:BH$54,$B4),0)+IF('計算A'!BI$117=1,INDEX('計算A'!BJ$10:BJ$54,$B4),0))*500,0)-IF(AND('計算A'!BH$117=1,WF4&gt;0),300,0)-IF(AND($L4=1,'計算A'!BI$117=1,FH4=0),300,0))),1000000))</f>
        <v/>
      </c>
      <c r="QL4">
        <f>IF($B4=0,1000000,IF(INDEX('計算A'!$D$60:$EQ$104,$B4,59)*FH4=1,IF(AND($E4=2,KW4=0),1000000,IF($I4&gt;0,IF(3=$J4,IF(OR(AND(59=$I4+1,OR($K4&lt;&gt;'計算A'!$A$3,'計算A'!$A$4=0)),AND(59=$I4-1,OR(11&lt;&gt;'計算A'!$A$3,'計算A'!$A$4=0))),0,IF(11=$K4,200000,ABS(11-$K4)*100)),100000+ABS(3-$J4)*1000+110)+'計算A'!BJ$5*50+IF(AND($E4=1,KW4=0),25,0),INDEX('計算A'!BJ$110:BJ$114,$F4+1)+IF(AND($E4=1,KW4=0),1000,0)+IF($H4=1,(IF('計算A'!BI$117=1,INDEX('計算A'!BI$10:BI$54,$B4),0)+IF('計算A'!BJ$117=1,INDEX('計算A'!BK$10:BK$54,$B4),0))*500,0)-IF(AND('計算A'!BI$117=1,WG4&gt;0),300,0)-IF(AND($L4=1,'計算A'!BJ$117=1,FI4=0),300,0))),1000000))</f>
        <v/>
      </c>
      <c r="QM4">
        <f>IF($B4=0,1000000,IF(INDEX('計算A'!$D$60:$EQ$104,$B4,60)*FI4=1,IF(AND($E4=2,KX4=0),1000000,IF($I4&gt;0,IF(3=$J4,IF(OR(AND(60=$I4+1,OR($K4&lt;&gt;'計算A'!$A$3,'計算A'!$A$4=0)),AND(60=$I4-1,OR(12&lt;&gt;'計算A'!$A$3,'計算A'!$A$4=0))),0,IF(12=$K4,200000,ABS(12-$K4)*100)),100000+ABS(3-$J4)*1000+120)+'計算A'!BK$5*50+IF(AND($E4=1,KX4=0),25,0),INDEX('計算A'!BK$110:BK$114,$F4+1)+IF(AND($E4=1,KX4=0),1000,0)+IF($H4=1,(IF('計算A'!BJ$117=1,INDEX('計算A'!BJ$10:BJ$54,$B4),0)+IF('計算A'!BK$117=1,INDEX('計算A'!BL$10:BL$54,$B4),0))*500,0)-IF(AND('計算A'!BJ$117=1,WH4&gt;0),300,0)-IF(AND($L4=1,'計算A'!BK$117=1,FJ4=0),300,0))),1000000))</f>
        <v/>
      </c>
      <c r="QN4">
        <f>IF($B4=0,1000000,IF(INDEX('計算A'!$D$60:$EQ$104,$B4,61)*FJ4=1,IF(AND($E4=2,KY4=0),1000000,IF($I4&gt;0,IF(3=$J4,IF(OR(AND(61=$I4+1,OR($K4&lt;&gt;'計算A'!$A$3,'計算A'!$A$4=0)),AND(61=$I4-1,OR(13&lt;&gt;'計算A'!$A$3,'計算A'!$A$4=0))),0,IF(13=$K4,200000,ABS(13-$K4)*100)),100000+ABS(3-$J4)*1000+130)+'計算A'!BL$5*50+IF(AND($E4=1,KY4=0),25,0),INDEX('計算A'!BL$110:BL$114,$F4+1)+IF(AND($E4=1,KY4=0),1000,0)+IF($H4=1,(IF('計算A'!BK$117=1,INDEX('計算A'!BK$10:BK$54,$B4),0)+IF('計算A'!BL$117=1,INDEX('計算A'!BM$10:BM$54,$B4),0))*500,0)-IF(AND('計算A'!BK$117=1,WI4&gt;0),300,0)-IF(AND($L4=1,'計算A'!BL$117=1,FK4=0),300,0))),1000000))</f>
        <v/>
      </c>
      <c r="QO4">
        <f>IF($B4=0,1000000,IF(INDEX('計算A'!$D$60:$EQ$104,$B4,62)*FK4=1,IF(AND($E4=2,KZ4=0),1000000,IF($I4&gt;0,IF(3=$J4,IF(OR(AND(62=$I4+1,OR($K4&lt;&gt;'計算A'!$A$3,'計算A'!$A$4=0)),AND(62=$I4-1,OR(14&lt;&gt;'計算A'!$A$3,'計算A'!$A$4=0))),0,IF(14=$K4,200000,ABS(14-$K4)*100)),100000+ABS(3-$J4)*1000+140)+'計算A'!BM$5*50+IF(AND($E4=1,KZ4=0),25,0),INDEX('計算A'!BM$110:BM$114,$F4+1)+IF(AND($E4=1,KZ4=0),1000,0)+IF($H4=1,(IF('計算A'!BL$117=1,INDEX('計算A'!BL$10:BL$54,$B4),0)+IF('計算A'!BM$117=1,INDEX('計算A'!BN$10:BN$54,$B4),0))*500,0)-IF(AND('計算A'!BL$117=1,WJ4&gt;0),300,0)-IF(AND($L4=1,'計算A'!BM$117=1,FL4=0),300,0))),1000000))</f>
        <v/>
      </c>
      <c r="QP4">
        <f>IF($B4=0,1000000,IF(INDEX('計算A'!$D$60:$EQ$104,$B4,63)*FL4=1,IF(AND($E4=2,LA4=0),1000000,IF($I4&gt;0,IF(3=$J4,IF(OR(AND(63=$I4+1,OR($K4&lt;&gt;'計算A'!$A$3,'計算A'!$A$4=0)),AND(63=$I4-1,OR(15&lt;&gt;'計算A'!$A$3,'計算A'!$A$4=0))),0,IF(15=$K4,200000,ABS(15-$K4)*100)),100000+ABS(3-$J4)*1000+150)+'計算A'!BN$5*50+IF(AND($E4=1,LA4=0),25,0),INDEX('計算A'!BN$110:BN$114,$F4+1)+IF(AND($E4=1,LA4=0),1000,0)+IF($H4=1,(IF('計算A'!BM$117=1,INDEX('計算A'!BM$10:BM$54,$B4),0)+IF('計算A'!BN$117=1,INDEX('計算A'!BO$10:BO$54,$B4),0))*500,0)-IF(AND('計算A'!BM$117=1,WK4&gt;0),300,0)-IF(AND($L4=1,'計算A'!BN$117=1,FM4=0),300,0))),1000000))</f>
        <v/>
      </c>
      <c r="QQ4">
        <f>IF($B4=0,1000000,IF(INDEX('計算A'!$D$60:$EQ$104,$B4,64)*FM4=1,IF(AND($E4=2,LB4=0),1000000,IF($I4&gt;0,IF(3=$J4,IF(OR(AND(64=$I4+1,OR($K4&lt;&gt;'計算A'!$A$3,'計算A'!$A$4=0)),AND(64=$I4-1,OR(16&lt;&gt;'計算A'!$A$3,'計算A'!$A$4=0))),0,IF(16=$K4,200000,ABS(16-$K4)*100)),100000+ABS(3-$J4)*1000+160)+'計算A'!BO$5*50+IF(AND($E4=1,LB4=0),25,0),INDEX('計算A'!BO$110:BO$114,$F4+1)+IF(AND($E4=1,LB4=0),1000,0)+IF($H4=1,(IF('計算A'!BN$117=1,INDEX('計算A'!BN$10:BN$54,$B4),0)+IF('計算A'!BO$117=1,INDEX('計算A'!BP$10:BP$54,$B4),0))*500,0)-IF(AND('計算A'!BN$117=1,WL4&gt;0),300,0)-IF(AND($L4=1,'計算A'!BO$117=1,FN4=0),300,0))),1000000))</f>
        <v/>
      </c>
      <c r="QR4">
        <f>IF($B4=0,1000000,IF(INDEX('計算A'!$D$60:$EQ$104,$B4,65)*FN4=1,IF(AND($E4=2,LC4=0),1000000,IF($I4&gt;0,IF(3=$J4,IF(OR(AND(65=$I4+1,OR($K4&lt;&gt;'計算A'!$A$3,'計算A'!$A$4=0)),AND(65=$I4-1,OR(17&lt;&gt;'計算A'!$A$3,'計算A'!$A$4=0))),0,IF(17=$K4,200000,ABS(17-$K4)*100)),100000+ABS(3-$J4)*1000+170)+'計算A'!BP$5*50+IF(AND($E4=1,LC4=0),25,0),INDEX('計算A'!BP$110:BP$114,$F4+1)+IF(AND($E4=1,LC4=0),1000,0)+IF($H4=1,(IF('計算A'!BO$117=1,INDEX('計算A'!BO$10:BO$54,$B4),0)+IF('計算A'!BP$117=1,INDEX('計算A'!BQ$10:BQ$54,$B4),0))*500,0)-IF(AND('計算A'!BO$117=1,WM4&gt;0),300,0)-IF(AND($L4=1,'計算A'!BP$117=1,FO4=0),300,0))),1000000))</f>
        <v/>
      </c>
      <c r="QS4">
        <f>IF($B4=0,1000000,IF(INDEX('計算A'!$D$60:$EQ$104,$B4,66)*FO4=1,IF(AND($E4=2,LD4=0),1000000,IF($I4&gt;0,IF(3=$J4,IF(OR(AND(66=$I4+1,OR($K4&lt;&gt;'計算A'!$A$3,'計算A'!$A$4=0)),AND(66=$I4-1,OR(18&lt;&gt;'計算A'!$A$3,'計算A'!$A$4=0))),0,IF(18=$K4,200000,ABS(18-$K4)*100)),100000+ABS(3-$J4)*1000+180)+'計算A'!BQ$5*50+IF(AND($E4=1,LD4=0),25,0),INDEX('計算A'!BQ$110:BQ$114,$F4+1)+IF(AND($E4=1,LD4=0),1000,0)+IF($H4=1,(IF('計算A'!BP$117=1,INDEX('計算A'!BP$10:BP$54,$B4),0)+IF('計算A'!BQ$117=1,INDEX('計算A'!BR$10:BR$54,$B4),0))*500,0)-IF(AND('計算A'!BP$117=1,WN4&gt;0),300,0)-IF(AND($L4=1,'計算A'!BQ$117=1,FP4=0),300,0))),1000000))</f>
        <v/>
      </c>
      <c r="QT4">
        <f>IF($B4=0,1000000,IF(INDEX('計算A'!$D$60:$EQ$104,$B4,67)*FP4=1,IF(AND($E4=2,LE4=0),1000000,IF($I4&gt;0,IF(3=$J4,IF(OR(AND(67=$I4+1,OR($K4&lt;&gt;'計算A'!$A$3,'計算A'!$A$4=0)),AND(67=$I4-1,OR(19&lt;&gt;'計算A'!$A$3,'計算A'!$A$4=0))),0,IF(19=$K4,200000,ABS(19-$K4)*100)),100000+ABS(3-$J4)*1000+190)+'計算A'!BR$5*50+IF(AND($E4=1,LE4=0),25,0),INDEX('計算A'!BR$110:BR$114,$F4+1)+IF(AND($E4=1,LE4=0),1000,0)+IF($H4=1,(IF('計算A'!BQ$117=1,INDEX('計算A'!BQ$10:BQ$54,$B4),0)+IF('計算A'!BR$117=1,INDEX('計算A'!BS$10:BS$54,$B4),0))*500,0)-IF(AND('計算A'!BQ$117=1,WO4&gt;0),300,0)-IF(AND($L4=1,'計算A'!BR$117=1,FQ4=0),300,0))),1000000))</f>
        <v/>
      </c>
      <c r="QU4">
        <f>IF($B4=0,1000000,IF(INDEX('計算A'!$D$60:$EQ$104,$B4,68)*FQ4=1,IF(AND($E4=2,LF4=0),1000000,IF($I4&gt;0,IF(3=$J4,IF(OR(AND(68=$I4+1,OR($K4&lt;&gt;'計算A'!$A$3,'計算A'!$A$4=0)),AND(68=$I4-1,OR(20&lt;&gt;'計算A'!$A$3,'計算A'!$A$4=0))),0,IF(20=$K4,200000,ABS(20-$K4)*100)),100000+ABS(3-$J4)*1000+200)+'計算A'!BS$5*50+IF(AND($E4=1,LF4=0),25,0),INDEX('計算A'!BS$110:BS$114,$F4+1)+IF(AND($E4=1,LF4=0),1000,0)+IF($H4=1,(IF('計算A'!BR$117=1,INDEX('計算A'!BR$10:BR$54,$B4),0)+IF('計算A'!BS$117=1,INDEX('計算A'!BT$10:BT$54,$B4),0))*500,0)-IF(AND('計算A'!BR$117=1,WP4&gt;0),300,0)-IF(AND($L4=1,'計算A'!BS$117=1,FR4=0),300,0))),1000000))</f>
        <v/>
      </c>
      <c r="QV4">
        <f>IF($B4=0,1000000,IF(INDEX('計算A'!$D$60:$EQ$104,$B4,69)*FR4=1,IF(AND($E4=2,LG4=0),1000000,IF($I4&gt;0,IF(3=$J4,IF(OR(AND(69=$I4+1,OR($K4&lt;&gt;'計算A'!$A$3,'計算A'!$A$4=0)),AND(69=$I4-1,OR(21&lt;&gt;'計算A'!$A$3,'計算A'!$A$4=0))),0,IF(21=$K4,200000,ABS(21-$K4)*100)),100000+ABS(3-$J4)*1000+210)+'計算A'!BT$5*50+IF(AND($E4=1,LG4=0),25,0),INDEX('計算A'!BT$110:BT$114,$F4+1)+IF(AND($E4=1,LG4=0),1000,0)+IF($H4=1,(IF('計算A'!BS$117=1,INDEX('計算A'!BS$10:BS$54,$B4),0)+IF('計算A'!BT$117=1,INDEX('計算A'!BU$10:BU$54,$B4),0))*500,0)-IF(AND('計算A'!BS$117=1,WQ4&gt;0),300,0)-IF(AND($L4=1,'計算A'!BT$117=1,FS4=0),300,0))),1000000))</f>
        <v/>
      </c>
      <c r="QW4">
        <f>IF($B4=0,1000000,IF(INDEX('計算A'!$D$60:$EQ$104,$B4,70)*FS4=1,IF(AND($E4=2,LH4=0),1000000,IF($I4&gt;0,IF(3=$J4,IF(OR(AND(70=$I4+1,OR($K4&lt;&gt;'計算A'!$A$3,'計算A'!$A$4=0)),AND(70=$I4-1,OR(22&lt;&gt;'計算A'!$A$3,'計算A'!$A$4=0))),0,IF(22=$K4,200000,ABS(22-$K4)*100)),100000+ABS(3-$J4)*1000+220)+'計算A'!BU$5*50+IF(AND($E4=1,LH4=0),25,0),INDEX('計算A'!BU$110:BU$114,$F4+1)+IF(AND($E4=1,LH4=0),1000,0)+IF($H4=1,(IF('計算A'!BT$117=1,INDEX('計算A'!BT$10:BT$54,$B4),0)+IF('計算A'!BU$117=1,INDEX('計算A'!BV$10:BV$54,$B4),0))*500,0)-IF(AND('計算A'!BT$117=1,WR4&gt;0),300,0)-IF(AND($L4=1,'計算A'!BU$117=1,FT4=0),300,0))),1000000))</f>
        <v/>
      </c>
      <c r="QX4">
        <f>IF($B4=0,1000000,IF(INDEX('計算A'!$D$60:$EQ$104,$B4,71)*FT4=1,IF(AND($E4=2,LI4=0),1000000,IF($I4&gt;0,IF(3=$J4,IF(OR(AND(71=$I4+1,OR($K4&lt;&gt;'計算A'!$A$3,'計算A'!$A$4=0)),AND(71=$I4-1,OR(23&lt;&gt;'計算A'!$A$3,'計算A'!$A$4=0))),0,IF(23=$K4,200000,ABS(23-$K4)*100)),100000+ABS(3-$J4)*1000+230)+'計算A'!BV$5*50+IF(AND($E4=1,LI4=0),25,0),INDEX('計算A'!BV$110:BV$114,$F4+1)+IF(AND($E4=1,LI4=0),1000,0)+IF($H4=1,(IF('計算A'!BU$117=1,INDEX('計算A'!BU$10:BU$54,$B4),0)+IF('計算A'!BV$117=1,INDEX('計算A'!BW$10:BW$54,$B4),0))*500,0)-IF(AND('計算A'!BU$117=1,WS4&gt;0),300,0)-IF(AND($L4=1,'計算A'!BV$117=1,FU4=0),300,0))),1000000))</f>
        <v/>
      </c>
      <c r="QY4">
        <f>IF($B4=0,1000000,IF(INDEX('計算A'!$D$60:$EQ$104,$B4,72)*FU4=1,IF(AND($E4=2,LJ4=0),1000000,IF($I4&gt;0,IF(3=$J4,IF(OR(AND(72=$I4+1,OR($K4&lt;&gt;'計算A'!$A$3,'計算A'!$A$4=0)),AND(72=$I4-1,OR(24&lt;&gt;'計算A'!$A$3,'計算A'!$A$4=0))),0,IF(24=$K4,200000,ABS(24-$K4)*100)),100000+ABS(3-$J4)*1000+240)+'計算A'!BW$5*50+IF(AND($E4=1,LJ4=0),25,0),INDEX('計算A'!BW$110:BW$114,$F4+1)+IF(AND($E4=1,LJ4=0),1000,0)+IF($H4=1,(IF('計算A'!BV$117=1,INDEX('計算A'!BV$10:BV$54,$B4),0))*500,0)-IF(AND('計算A'!BV$117=1,WT4&gt;0),300,0))),1000000))</f>
        <v/>
      </c>
      <c r="QZ4">
        <f>IF($B4=0,1000000,IF(INDEX('計算A'!$D$60:$EQ$104,$B4,73)*FV4=1,IF(AND($E4=2,LK4=0),1000000,IF($I4&gt;0,IF(4=$J4,IF(OR(AND(73=$I4+1,OR($K4&lt;&gt;'計算A'!$A$3,'計算A'!$A$4=0)),AND(73=$I4-1,OR(1&lt;&gt;'計算A'!$A$3,'計算A'!$A$4=0))),0,IF(1=$K4,200000,ABS(1-$K4)*100)),100000+ABS(4-$J4)*1000+10)+'計算A'!BX$5*50+IF(AND($E4=1,LK4=0),25,0),INDEX('計算A'!BX$110:BX$114,$F4+1)+IF(AND($E4=1,LK4=0),1000,0)+IF($H4=1,(IF('計算A'!BX$117=1,INDEX('計算A'!BY$10:BY$54,$B4),0))*500,0)-IF(AND($L4=1,'計算A'!BX$117=1,FW4=0),300,0))),1000000))</f>
        <v/>
      </c>
      <c r="RA4">
        <f>IF($B4=0,1000000,IF(INDEX('計算A'!$D$60:$EQ$104,$B4,74)*FW4=1,IF(AND($E4=2,LL4=0),1000000,IF($I4&gt;0,IF(4=$J4,IF(OR(AND(74=$I4+1,OR($K4&lt;&gt;'計算A'!$A$3,'計算A'!$A$4=0)),AND(74=$I4-1,OR(2&lt;&gt;'計算A'!$A$3,'計算A'!$A$4=0))),0,IF(2=$K4,200000,ABS(2-$K4)*100)),100000+ABS(4-$J4)*1000+20)+'計算A'!BY$5*50+IF(AND($E4=1,LL4=0),25,0),INDEX('計算A'!BY$110:BY$114,$F4+1)+IF(AND($E4=1,LL4=0),1000,0)+IF($H4=1,(IF('計算A'!BX$117=1,INDEX('計算A'!BX$10:BX$54,$B4),0)+IF('計算A'!BY$117=1,INDEX('計算A'!BZ$10:BZ$54,$B4),0))*500,0)-IF(AND('計算A'!BX$117=1,WV4&gt;0),300,0)-IF(AND($L4=1,'計算A'!BY$117=1,FX4=0),300,0))),1000000))</f>
        <v/>
      </c>
      <c r="RB4">
        <f>IF($B4=0,1000000,IF(INDEX('計算A'!$D$60:$EQ$104,$B4,75)*FX4=1,IF(AND($E4=2,LM4=0),1000000,IF($I4&gt;0,IF(4=$J4,IF(OR(AND(75=$I4+1,OR($K4&lt;&gt;'計算A'!$A$3,'計算A'!$A$4=0)),AND(75=$I4-1,OR(3&lt;&gt;'計算A'!$A$3,'計算A'!$A$4=0))),0,IF(3=$K4,200000,ABS(3-$K4)*100)),100000+ABS(4-$J4)*1000+30)+'計算A'!BZ$5*50+IF(AND($E4=1,LM4=0),25,0),INDEX('計算A'!BZ$110:BZ$114,$F4+1)+IF(AND($E4=1,LM4=0),1000,0)+IF($H4=1,(IF('計算A'!BY$117=1,INDEX('計算A'!BY$10:BY$54,$B4),0)+IF('計算A'!BZ$117=1,INDEX('計算A'!CA$10:CA$54,$B4),0))*500,0)-IF(AND('計算A'!BY$117=1,WW4&gt;0),300,0)-IF(AND($L4=1,'計算A'!BZ$117=1,FY4=0),300,0))),1000000))</f>
        <v/>
      </c>
      <c r="RC4">
        <f>IF($B4=0,1000000,IF(INDEX('計算A'!$D$60:$EQ$104,$B4,76)*FY4=1,IF(AND($E4=2,LN4=0),1000000,IF($I4&gt;0,IF(4=$J4,IF(OR(AND(76=$I4+1,OR($K4&lt;&gt;'計算A'!$A$3,'計算A'!$A$4=0)),AND(76=$I4-1,OR(4&lt;&gt;'計算A'!$A$3,'計算A'!$A$4=0))),0,IF(4=$K4,200000,ABS(4-$K4)*100)),100000+ABS(4-$J4)*1000+40)+'計算A'!CA$5*50+IF(AND($E4=1,LN4=0),25,0),INDEX('計算A'!CA$110:CA$114,$F4+1)+IF(AND($E4=1,LN4=0),1000,0)+IF($H4=1,(IF('計算A'!BZ$117=1,INDEX('計算A'!BZ$10:BZ$54,$B4),0)+IF('計算A'!CA$117=1,INDEX('計算A'!CB$10:CB$54,$B4),0))*500,0)-IF(AND('計算A'!BZ$117=1,WX4&gt;0),300,0)-IF(AND($L4=1,'計算A'!CA$117=1,FZ4=0),300,0))),1000000))</f>
        <v/>
      </c>
      <c r="RD4">
        <f>IF($B4=0,1000000,IF(INDEX('計算A'!$D$60:$EQ$104,$B4,77)*FZ4=1,IF(AND($E4=2,LO4=0),1000000,IF($I4&gt;0,IF(4=$J4,IF(OR(AND(77=$I4+1,OR($K4&lt;&gt;'計算A'!$A$3,'計算A'!$A$4=0)),AND(77=$I4-1,OR(5&lt;&gt;'計算A'!$A$3,'計算A'!$A$4=0))),0,IF(5=$K4,200000,ABS(5-$K4)*100)),100000+ABS(4-$J4)*1000+50)+'計算A'!CB$5*50+IF(AND($E4=1,LO4=0),25,0),INDEX('計算A'!CB$110:CB$114,$F4+1)+IF(AND($E4=1,LO4=0),1000,0)+IF($H4=1,(IF('計算A'!CA$117=1,INDEX('計算A'!CA$10:CA$54,$B4),0)+IF('計算A'!CB$117=1,INDEX('計算A'!CC$10:CC$54,$B4),0))*500,0)-IF(AND('計算A'!CA$117=1,WY4&gt;0),300,0)-IF(AND($L4=1,'計算A'!CB$117=1,GA4=0),300,0))),1000000))</f>
        <v/>
      </c>
      <c r="RE4">
        <f>IF($B4=0,1000000,IF(INDEX('計算A'!$D$60:$EQ$104,$B4,78)*GA4=1,IF(AND($E4=2,LP4=0),1000000,IF($I4&gt;0,IF(4=$J4,IF(OR(AND(78=$I4+1,OR($K4&lt;&gt;'計算A'!$A$3,'計算A'!$A$4=0)),AND(78=$I4-1,OR(6&lt;&gt;'計算A'!$A$3,'計算A'!$A$4=0))),0,IF(6=$K4,200000,ABS(6-$K4)*100)),100000+ABS(4-$J4)*1000+60)+'計算A'!CC$5*50+IF(AND($E4=1,LP4=0),25,0),INDEX('計算A'!CC$110:CC$114,$F4+1)+IF(AND($E4=1,LP4=0),1000,0)+IF($H4=1,(IF('計算A'!CB$117=1,INDEX('計算A'!CB$10:CB$54,$B4),0)+IF('計算A'!CC$117=1,INDEX('計算A'!CD$10:CD$54,$B4),0))*500,0)-IF(AND('計算A'!CB$117=1,WZ4&gt;0),300,0)-IF(AND($L4=1,'計算A'!CC$117=1,GB4=0),300,0))),1000000))</f>
        <v/>
      </c>
      <c r="RF4">
        <f>IF($B4=0,1000000,IF(INDEX('計算A'!$D$60:$EQ$104,$B4,79)*GB4=1,IF(AND($E4=2,LQ4=0),1000000,IF($I4&gt;0,IF(4=$J4,IF(OR(AND(79=$I4+1,OR($K4&lt;&gt;'計算A'!$A$3,'計算A'!$A$4=0)),AND(79=$I4-1,OR(7&lt;&gt;'計算A'!$A$3,'計算A'!$A$4=0))),0,IF(7=$K4,200000,ABS(7-$K4)*100)),100000+ABS(4-$J4)*1000+70)+'計算A'!CD$5*50+IF(AND($E4=1,LQ4=0),25,0),INDEX('計算A'!CD$110:CD$114,$F4+1)+IF(AND($E4=1,LQ4=0),1000,0)+IF($H4=1,(IF('計算A'!CC$117=1,INDEX('計算A'!CC$10:CC$54,$B4),0)+IF('計算A'!CD$117=1,INDEX('計算A'!CE$10:CE$54,$B4),0))*500,0)-IF(AND('計算A'!CC$117=1,XA4&gt;0),300,0)-IF(AND($L4=1,'計算A'!CD$117=1,GC4=0),300,0))),1000000))</f>
        <v/>
      </c>
      <c r="RG4">
        <f>IF($B4=0,1000000,IF(INDEX('計算A'!$D$60:$EQ$104,$B4,80)*GC4=1,IF(AND($E4=2,LR4=0),1000000,IF($I4&gt;0,IF(4=$J4,IF(OR(AND(80=$I4+1,OR($K4&lt;&gt;'計算A'!$A$3,'計算A'!$A$4=0)),AND(80=$I4-1,OR(8&lt;&gt;'計算A'!$A$3,'計算A'!$A$4=0))),0,IF(8=$K4,200000,ABS(8-$K4)*100)),100000+ABS(4-$J4)*1000+80)+'計算A'!CE$5*50+IF(AND($E4=1,LR4=0),25,0),INDEX('計算A'!CE$110:CE$114,$F4+1)+IF(AND($E4=1,LR4=0),1000,0)+IF($H4=1,(IF('計算A'!CD$117=1,INDEX('計算A'!CD$10:CD$54,$B4),0)+IF('計算A'!CE$117=1,INDEX('計算A'!CF$10:CF$54,$B4),0))*500,0)-IF(AND('計算A'!CD$117=1,XB4&gt;0),300,0)-IF(AND($L4=1,'計算A'!CE$117=1,GD4=0),300,0))),1000000))</f>
        <v/>
      </c>
      <c r="RH4">
        <f>IF($B4=0,1000000,IF(INDEX('計算A'!$D$60:$EQ$104,$B4,81)*GD4=1,IF(AND($E4=2,LS4=0),1000000,IF($I4&gt;0,IF(4=$J4,IF(OR(AND(81=$I4+1,OR($K4&lt;&gt;'計算A'!$A$3,'計算A'!$A$4=0)),AND(81=$I4-1,OR(9&lt;&gt;'計算A'!$A$3,'計算A'!$A$4=0))),0,IF(9=$K4,200000,ABS(9-$K4)*100)),100000+ABS(4-$J4)*1000+90)+'計算A'!CF$5*50+IF(AND($E4=1,LS4=0),25,0),INDEX('計算A'!CF$110:CF$114,$F4+1)+IF(AND($E4=1,LS4=0),1000,0)+IF($H4=1,(IF('計算A'!CE$117=1,INDEX('計算A'!CE$10:CE$54,$B4),0)+IF('計算A'!CF$117=1,INDEX('計算A'!CG$10:CG$54,$B4),0))*500,0)-IF(AND('計算A'!CE$117=1,XC4&gt;0),300,0)-IF(AND($L4=1,'計算A'!CF$117=1,GE4=0),300,0))),1000000))</f>
        <v/>
      </c>
      <c r="RI4">
        <f>IF($B4=0,1000000,IF(INDEX('計算A'!$D$60:$EQ$104,$B4,82)*GE4=1,IF(AND($E4=2,LT4=0),1000000,IF($I4&gt;0,IF(4=$J4,IF(OR(AND(82=$I4+1,OR($K4&lt;&gt;'計算A'!$A$3,'計算A'!$A$4=0)),AND(82=$I4-1,OR(10&lt;&gt;'計算A'!$A$3,'計算A'!$A$4=0))),0,IF(10=$K4,200000,ABS(10-$K4)*100)),100000+ABS(4-$J4)*1000+100)+'計算A'!CG$5*50+IF(AND($E4=1,LT4=0),25,0),INDEX('計算A'!CG$110:CG$114,$F4+1)+IF(AND($E4=1,LT4=0),1000,0)+IF($H4=1,(IF('計算A'!CF$117=1,INDEX('計算A'!CF$10:CF$54,$B4),0)+IF('計算A'!CG$117=1,INDEX('計算A'!CH$10:CH$54,$B4),0))*500,0)-IF(AND('計算A'!CF$117=1,XD4&gt;0),300,0)-IF(AND($L4=1,'計算A'!CG$117=1,GF4=0),300,0))),1000000))</f>
        <v/>
      </c>
      <c r="RJ4">
        <f>IF($B4=0,1000000,IF(INDEX('計算A'!$D$60:$EQ$104,$B4,83)*GF4=1,IF(AND($E4=2,LU4=0),1000000,IF($I4&gt;0,IF(4=$J4,IF(OR(AND(83=$I4+1,OR($K4&lt;&gt;'計算A'!$A$3,'計算A'!$A$4=0)),AND(83=$I4-1,OR(11&lt;&gt;'計算A'!$A$3,'計算A'!$A$4=0))),0,IF(11=$K4,200000,ABS(11-$K4)*100)),100000+ABS(4-$J4)*1000+110)+'計算A'!CH$5*50+IF(AND($E4=1,LU4=0),25,0),INDEX('計算A'!CH$110:CH$114,$F4+1)+IF(AND($E4=1,LU4=0),1000,0)+IF($H4=1,(IF('計算A'!CG$117=1,INDEX('計算A'!CG$10:CG$54,$B4),0)+IF('計算A'!CH$117=1,INDEX('計算A'!CI$10:CI$54,$B4),0))*500,0)-IF(AND('計算A'!CG$117=1,XE4&gt;0),300,0)-IF(AND($L4=1,'計算A'!CH$117=1,GG4=0),300,0))),1000000))</f>
        <v/>
      </c>
      <c r="RK4">
        <f>IF($B4=0,1000000,IF(INDEX('計算A'!$D$60:$EQ$104,$B4,84)*GG4=1,IF(AND($E4=2,LV4=0),1000000,IF($I4&gt;0,IF(4=$J4,IF(OR(AND(84=$I4+1,OR($K4&lt;&gt;'計算A'!$A$3,'計算A'!$A$4=0)),AND(84=$I4-1,OR(12&lt;&gt;'計算A'!$A$3,'計算A'!$A$4=0))),0,IF(12=$K4,200000,ABS(12-$K4)*100)),100000+ABS(4-$J4)*1000+120)+'計算A'!CI$5*50+IF(AND($E4=1,LV4=0),25,0),INDEX('計算A'!CI$110:CI$114,$F4+1)+IF(AND($E4=1,LV4=0),1000,0)+IF($H4=1,(IF('計算A'!CH$117=1,INDEX('計算A'!CH$10:CH$54,$B4),0)+IF('計算A'!CI$117=1,INDEX('計算A'!CJ$10:CJ$54,$B4),0))*500,0)-IF(AND('計算A'!CH$117=1,XF4&gt;0),300,0)-IF(AND($L4=1,'計算A'!CI$117=1,GH4=0),300,0))),1000000))</f>
        <v/>
      </c>
      <c r="RL4">
        <f>IF($B4=0,1000000,IF(INDEX('計算A'!$D$60:$EQ$104,$B4,85)*GH4=1,IF(AND($E4=2,LW4=0),1000000,IF($I4&gt;0,IF(4=$J4,IF(OR(AND(85=$I4+1,OR($K4&lt;&gt;'計算A'!$A$3,'計算A'!$A$4=0)),AND(85=$I4-1,OR(13&lt;&gt;'計算A'!$A$3,'計算A'!$A$4=0))),0,IF(13=$K4,200000,ABS(13-$K4)*100)),100000+ABS(4-$J4)*1000+130)+'計算A'!CJ$5*50+IF(AND($E4=1,LW4=0),25,0),INDEX('計算A'!CJ$110:CJ$114,$F4+1)+IF(AND($E4=1,LW4=0),1000,0)+IF($H4=1,(IF('計算A'!CI$117=1,INDEX('計算A'!CI$10:CI$54,$B4),0)+IF('計算A'!CJ$117=1,INDEX('計算A'!CK$10:CK$54,$B4),0))*500,0)-IF(AND('計算A'!CI$117=1,XG4&gt;0),300,0)-IF(AND($L4=1,'計算A'!CJ$117=1,GI4=0),300,0))),1000000))</f>
        <v/>
      </c>
      <c r="RM4">
        <f>IF($B4=0,1000000,IF(INDEX('計算A'!$D$60:$EQ$104,$B4,86)*GI4=1,IF(AND($E4=2,LX4=0),1000000,IF($I4&gt;0,IF(4=$J4,IF(OR(AND(86=$I4+1,OR($K4&lt;&gt;'計算A'!$A$3,'計算A'!$A$4=0)),AND(86=$I4-1,OR(14&lt;&gt;'計算A'!$A$3,'計算A'!$A$4=0))),0,IF(14=$K4,200000,ABS(14-$K4)*100)),100000+ABS(4-$J4)*1000+140)+'計算A'!CK$5*50+IF(AND($E4=1,LX4=0),25,0),INDEX('計算A'!CK$110:CK$114,$F4+1)+IF(AND($E4=1,LX4=0),1000,0)+IF($H4=1,(IF('計算A'!CJ$117=1,INDEX('計算A'!CJ$10:CJ$54,$B4),0)+IF('計算A'!CK$117=1,INDEX('計算A'!CL$10:CL$54,$B4),0))*500,0)-IF(AND('計算A'!CJ$117=1,XH4&gt;0),300,0)-IF(AND($L4=1,'計算A'!CK$117=1,GJ4=0),300,0))),1000000))</f>
        <v/>
      </c>
      <c r="RN4">
        <f>IF($B4=0,1000000,IF(INDEX('計算A'!$D$60:$EQ$104,$B4,87)*GJ4=1,IF(AND($E4=2,LY4=0),1000000,IF($I4&gt;0,IF(4=$J4,IF(OR(AND(87=$I4+1,OR($K4&lt;&gt;'計算A'!$A$3,'計算A'!$A$4=0)),AND(87=$I4-1,OR(15&lt;&gt;'計算A'!$A$3,'計算A'!$A$4=0))),0,IF(15=$K4,200000,ABS(15-$K4)*100)),100000+ABS(4-$J4)*1000+150)+'計算A'!CL$5*50+IF(AND($E4=1,LY4=0),25,0),INDEX('計算A'!CL$110:CL$114,$F4+1)+IF(AND($E4=1,LY4=0),1000,0)+IF($H4=1,(IF('計算A'!CK$117=1,INDEX('計算A'!CK$10:CK$54,$B4),0)+IF('計算A'!CL$117=1,INDEX('計算A'!CM$10:CM$54,$B4),0))*500,0)-IF(AND('計算A'!CK$117=1,XI4&gt;0),300,0)-IF(AND($L4=1,'計算A'!CL$117=1,GK4=0),300,0))),1000000))</f>
        <v/>
      </c>
      <c r="RO4">
        <f>IF($B4=0,1000000,IF(INDEX('計算A'!$D$60:$EQ$104,$B4,88)*GK4=1,IF(AND($E4=2,LZ4=0),1000000,IF($I4&gt;0,IF(4=$J4,IF(OR(AND(88=$I4+1,OR($K4&lt;&gt;'計算A'!$A$3,'計算A'!$A$4=0)),AND(88=$I4-1,OR(16&lt;&gt;'計算A'!$A$3,'計算A'!$A$4=0))),0,IF(16=$K4,200000,ABS(16-$K4)*100)),100000+ABS(4-$J4)*1000+160)+'計算A'!CM$5*50+IF(AND($E4=1,LZ4=0),25,0),INDEX('計算A'!CM$110:CM$114,$F4+1)+IF(AND($E4=1,LZ4=0),1000,0)+IF($H4=1,(IF('計算A'!CL$117=1,INDEX('計算A'!CL$10:CL$54,$B4),0)+IF('計算A'!CM$117=1,INDEX('計算A'!CN$10:CN$54,$B4),0))*500,0)-IF(AND('計算A'!CL$117=1,XJ4&gt;0),300,0)-IF(AND($L4=1,'計算A'!CM$117=1,GL4=0),300,0))),1000000))</f>
        <v/>
      </c>
      <c r="RP4">
        <f>IF($B4=0,1000000,IF(INDEX('計算A'!$D$60:$EQ$104,$B4,89)*GL4=1,IF(AND($E4=2,MA4=0),1000000,IF($I4&gt;0,IF(4=$J4,IF(OR(AND(89=$I4+1,OR($K4&lt;&gt;'計算A'!$A$3,'計算A'!$A$4=0)),AND(89=$I4-1,OR(17&lt;&gt;'計算A'!$A$3,'計算A'!$A$4=0))),0,IF(17=$K4,200000,ABS(17-$K4)*100)),100000+ABS(4-$J4)*1000+170)+'計算A'!CN$5*50+IF(AND($E4=1,MA4=0),25,0),INDEX('計算A'!CN$110:CN$114,$F4+1)+IF(AND($E4=1,MA4=0),1000,0)+IF($H4=1,(IF('計算A'!CM$117=1,INDEX('計算A'!CM$10:CM$54,$B4),0)+IF('計算A'!CN$117=1,INDEX('計算A'!CO$10:CO$54,$B4),0))*500,0)-IF(AND('計算A'!CM$117=1,XK4&gt;0),300,0)-IF(AND($L4=1,'計算A'!CN$117=1,GM4=0),300,0))),1000000))</f>
        <v/>
      </c>
      <c r="RQ4">
        <f>IF($B4=0,1000000,IF(INDEX('計算A'!$D$60:$EQ$104,$B4,90)*GM4=1,IF(AND($E4=2,MB4=0),1000000,IF($I4&gt;0,IF(4=$J4,IF(OR(AND(90=$I4+1,OR($K4&lt;&gt;'計算A'!$A$3,'計算A'!$A$4=0)),AND(90=$I4-1,OR(18&lt;&gt;'計算A'!$A$3,'計算A'!$A$4=0))),0,IF(18=$K4,200000,ABS(18-$K4)*100)),100000+ABS(4-$J4)*1000+180)+'計算A'!CO$5*50+IF(AND($E4=1,MB4=0),25,0),INDEX('計算A'!CO$110:CO$114,$F4+1)+IF(AND($E4=1,MB4=0),1000,0)+IF($H4=1,(IF('計算A'!CN$117=1,INDEX('計算A'!CN$10:CN$54,$B4),0)+IF('計算A'!CO$117=1,INDEX('計算A'!CP$10:CP$54,$B4),0))*500,0)-IF(AND('計算A'!CN$117=1,XL4&gt;0),300,0)-IF(AND($L4=1,'計算A'!CO$117=1,GN4=0),300,0))),1000000))</f>
        <v/>
      </c>
      <c r="RR4">
        <f>IF($B4=0,1000000,IF(INDEX('計算A'!$D$60:$EQ$104,$B4,91)*GN4=1,IF(AND($E4=2,MC4=0),1000000,IF($I4&gt;0,IF(4=$J4,IF(OR(AND(91=$I4+1,OR($K4&lt;&gt;'計算A'!$A$3,'計算A'!$A$4=0)),AND(91=$I4-1,OR(19&lt;&gt;'計算A'!$A$3,'計算A'!$A$4=0))),0,IF(19=$K4,200000,ABS(19-$K4)*100)),100000+ABS(4-$J4)*1000+190)+'計算A'!CP$5*50+IF(AND($E4=1,MC4=0),25,0),INDEX('計算A'!CP$110:CP$114,$F4+1)+IF(AND($E4=1,MC4=0),1000,0)+IF($H4=1,(IF('計算A'!CO$117=1,INDEX('計算A'!CO$10:CO$54,$B4),0)+IF('計算A'!CP$117=1,INDEX('計算A'!CQ$10:CQ$54,$B4),0))*500,0)-IF(AND('計算A'!CO$117=1,XM4&gt;0),300,0)-IF(AND($L4=1,'計算A'!CP$117=1,GO4=0),300,0))),1000000))</f>
        <v/>
      </c>
      <c r="RS4">
        <f>IF($B4=0,1000000,IF(INDEX('計算A'!$D$60:$EQ$104,$B4,92)*GO4=1,IF(AND($E4=2,MD4=0),1000000,IF($I4&gt;0,IF(4=$J4,IF(OR(AND(92=$I4+1,OR($K4&lt;&gt;'計算A'!$A$3,'計算A'!$A$4=0)),AND(92=$I4-1,OR(20&lt;&gt;'計算A'!$A$3,'計算A'!$A$4=0))),0,IF(20=$K4,200000,ABS(20-$K4)*100)),100000+ABS(4-$J4)*1000+200)+'計算A'!CQ$5*50+IF(AND($E4=1,MD4=0),25,0),INDEX('計算A'!CQ$110:CQ$114,$F4+1)+IF(AND($E4=1,MD4=0),1000,0)+IF($H4=1,(IF('計算A'!CP$117=1,INDEX('計算A'!CP$10:CP$54,$B4),0)+IF('計算A'!CQ$117=1,INDEX('計算A'!CR$10:CR$54,$B4),0))*500,0)-IF(AND('計算A'!CP$117=1,XN4&gt;0),300,0)-IF(AND($L4=1,'計算A'!CQ$117=1,GP4=0),300,0))),1000000))</f>
        <v/>
      </c>
      <c r="RT4">
        <f>IF($B4=0,1000000,IF(INDEX('計算A'!$D$60:$EQ$104,$B4,93)*GP4=1,IF(AND($E4=2,ME4=0),1000000,IF($I4&gt;0,IF(4=$J4,IF(OR(AND(93=$I4+1,OR($K4&lt;&gt;'計算A'!$A$3,'計算A'!$A$4=0)),AND(93=$I4-1,OR(21&lt;&gt;'計算A'!$A$3,'計算A'!$A$4=0))),0,IF(21=$K4,200000,ABS(21-$K4)*100)),100000+ABS(4-$J4)*1000+210)+'計算A'!CR$5*50+IF(AND($E4=1,ME4=0),25,0),INDEX('計算A'!CR$110:CR$114,$F4+1)+IF(AND($E4=1,ME4=0),1000,0)+IF($H4=1,(IF('計算A'!CQ$117=1,INDEX('計算A'!CQ$10:CQ$54,$B4),0)+IF('計算A'!CR$117=1,INDEX('計算A'!CS$10:CS$54,$B4),0))*500,0)-IF(AND('計算A'!CQ$117=1,XO4&gt;0),300,0)-IF(AND($L4=1,'計算A'!CR$117=1,GQ4=0),300,0))),1000000))</f>
        <v/>
      </c>
      <c r="RU4">
        <f>IF($B4=0,1000000,IF(INDEX('計算A'!$D$60:$EQ$104,$B4,94)*GQ4=1,IF(AND($E4=2,MF4=0),1000000,IF($I4&gt;0,IF(4=$J4,IF(OR(AND(94=$I4+1,OR($K4&lt;&gt;'計算A'!$A$3,'計算A'!$A$4=0)),AND(94=$I4-1,OR(22&lt;&gt;'計算A'!$A$3,'計算A'!$A$4=0))),0,IF(22=$K4,200000,ABS(22-$K4)*100)),100000+ABS(4-$J4)*1000+220)+'計算A'!CS$5*50+IF(AND($E4=1,MF4=0),25,0),INDEX('計算A'!CS$110:CS$114,$F4+1)+IF(AND($E4=1,MF4=0),1000,0)+IF($H4=1,(IF('計算A'!CR$117=1,INDEX('計算A'!CR$10:CR$54,$B4),0)+IF('計算A'!CS$117=1,INDEX('計算A'!CT$10:CT$54,$B4),0))*500,0)-IF(AND('計算A'!CR$117=1,XP4&gt;0),300,0)-IF(AND($L4=1,'計算A'!CS$117=1,GR4=0),300,0))),1000000))</f>
        <v/>
      </c>
      <c r="RV4">
        <f>IF($B4=0,1000000,IF(INDEX('計算A'!$D$60:$EQ$104,$B4,95)*GR4=1,IF(AND($E4=2,MG4=0),1000000,IF($I4&gt;0,IF(4=$J4,IF(OR(AND(95=$I4+1,OR($K4&lt;&gt;'計算A'!$A$3,'計算A'!$A$4=0)),AND(95=$I4-1,OR(23&lt;&gt;'計算A'!$A$3,'計算A'!$A$4=0))),0,IF(23=$K4,200000,ABS(23-$K4)*100)),100000+ABS(4-$J4)*1000+230)+'計算A'!CT$5*50+IF(AND($E4=1,MG4=0),25,0),INDEX('計算A'!CT$110:CT$114,$F4+1)+IF(AND($E4=1,MG4=0),1000,0)+IF($H4=1,(IF('計算A'!CS$117=1,INDEX('計算A'!CS$10:CS$54,$B4),0)+IF('計算A'!CT$117=1,INDEX('計算A'!CU$10:CU$54,$B4),0))*500,0)-IF(AND('計算A'!CS$117=1,XQ4&gt;0),300,0)-IF(AND($L4=1,'計算A'!CT$117=1,GS4=0),300,0))),1000000))</f>
        <v/>
      </c>
      <c r="RW4">
        <f>IF($B4=0,1000000,IF(INDEX('計算A'!$D$60:$EQ$104,$B4,96)*GS4=1,IF(AND($E4=2,MH4=0),1000000,IF($I4&gt;0,IF(4=$J4,IF(OR(AND(96=$I4+1,OR($K4&lt;&gt;'計算A'!$A$3,'計算A'!$A$4=0)),AND(96=$I4-1,OR(24&lt;&gt;'計算A'!$A$3,'計算A'!$A$4=0))),0,IF(24=$K4,200000,ABS(24-$K4)*100)),100000+ABS(4-$J4)*1000+240)+'計算A'!CU$5*50+IF(AND($E4=1,MH4=0),25,0),INDEX('計算A'!CU$110:CU$114,$F4+1)+IF(AND($E4=1,MH4=0),1000,0)+IF($H4=1,(IF('計算A'!CT$117=1,INDEX('計算A'!CT$10:CT$54,$B4),0))*500,0)-IF(AND('計算A'!CT$117=1,XR4&gt;0),300,0))),1000000))</f>
        <v/>
      </c>
      <c r="RX4">
        <f>IF($B4=0,1000000,IF(INDEX('計算A'!$D$60:$EQ$104,$B4,97)*GT4=1,IF(AND($E4=2,MI4=0),1000000,IF($I4&gt;0,IF(5=$J4,IF(OR(AND(97=$I4+1,OR($K4&lt;&gt;'計算A'!$A$3,'計算A'!$A$4=0)),AND(97=$I4-1,OR(1&lt;&gt;'計算A'!$A$3,'計算A'!$A$4=0))),0,IF(1=$K4,200000,ABS(1-$K4)*100)),100000+ABS(5-$J4)*1000+10)+'計算A'!CV$5*50+IF(AND($E4=1,MI4=0),25,0),INDEX('計算A'!CV$110:CV$114,$F4+1)+IF(AND($E4=1,MI4=0),1000,0)+IF($H4=1,(IF('計算A'!CV$117=1,INDEX('計算A'!CW$10:CW$54,$B4),0))*500,0)-IF(AND($L4=1,'計算A'!CV$117=1,GU4=0),300,0))),1000000))</f>
        <v/>
      </c>
      <c r="RY4">
        <f>IF($B4=0,1000000,IF(INDEX('計算A'!$D$60:$EQ$104,$B4,98)*GU4=1,IF(AND($E4=2,MJ4=0),1000000,IF($I4&gt;0,IF(5=$J4,IF(OR(AND(98=$I4+1,OR($K4&lt;&gt;'計算A'!$A$3,'計算A'!$A$4=0)),AND(98=$I4-1,OR(2&lt;&gt;'計算A'!$A$3,'計算A'!$A$4=0))),0,IF(2=$K4,200000,ABS(2-$K4)*100)),100000+ABS(5-$J4)*1000+20)+'計算A'!CW$5*50+IF(AND($E4=1,MJ4=0),25,0),INDEX('計算A'!CW$110:CW$114,$F4+1)+IF(AND($E4=1,MJ4=0),1000,0)+IF($H4=1,(IF('計算A'!CV$117=1,INDEX('計算A'!CV$10:CV$54,$B4),0)+IF('計算A'!CW$117=1,INDEX('計算A'!CX$10:CX$54,$B4),0))*500,0)-IF(AND('計算A'!CV$117=1,XT4&gt;0),300,0)-IF(AND($L4=1,'計算A'!CW$117=1,GV4=0),300,0))),1000000))</f>
        <v/>
      </c>
      <c r="RZ4">
        <f>IF($B4=0,1000000,IF(INDEX('計算A'!$D$60:$EQ$104,$B4,99)*GV4=1,IF(AND($E4=2,MK4=0),1000000,IF($I4&gt;0,IF(5=$J4,IF(OR(AND(99=$I4+1,OR($K4&lt;&gt;'計算A'!$A$3,'計算A'!$A$4=0)),AND(99=$I4-1,OR(3&lt;&gt;'計算A'!$A$3,'計算A'!$A$4=0))),0,IF(3=$K4,200000,ABS(3-$K4)*100)),100000+ABS(5-$J4)*1000+30)+'計算A'!CX$5*50+IF(AND($E4=1,MK4=0),25,0),INDEX('計算A'!CX$110:CX$114,$F4+1)+IF(AND($E4=1,MK4=0),1000,0)+IF($H4=1,(IF('計算A'!CW$117=1,INDEX('計算A'!CW$10:CW$54,$B4),0)+IF('計算A'!CX$117=1,INDEX('計算A'!CY$10:CY$54,$B4),0))*500,0)-IF(AND('計算A'!CW$117=1,XU4&gt;0),300,0)-IF(AND($L4=1,'計算A'!CX$117=1,GW4=0),300,0))),1000000))</f>
        <v/>
      </c>
      <c r="SA4">
        <f>IF($B4=0,1000000,IF(INDEX('計算A'!$D$60:$EQ$104,$B4,100)*GW4=1,IF(AND($E4=2,ML4=0),1000000,IF($I4&gt;0,IF(5=$J4,IF(OR(AND(100=$I4+1,OR($K4&lt;&gt;'計算A'!$A$3,'計算A'!$A$4=0)),AND(100=$I4-1,OR(4&lt;&gt;'計算A'!$A$3,'計算A'!$A$4=0))),0,IF(4=$K4,200000,ABS(4-$K4)*100)),100000+ABS(5-$J4)*1000+40)+'計算A'!CY$5*50+IF(AND($E4=1,ML4=0),25,0),INDEX('計算A'!CY$110:CY$114,$F4+1)+IF(AND($E4=1,ML4=0),1000,0)+IF($H4=1,(IF('計算A'!CX$117=1,INDEX('計算A'!CX$10:CX$54,$B4),0)+IF('計算A'!CY$117=1,INDEX('計算A'!CZ$10:CZ$54,$B4),0))*500,0)-IF(AND('計算A'!CX$117=1,XV4&gt;0),300,0)-IF(AND($L4=1,'計算A'!CY$117=1,GX4=0),300,0))),1000000))</f>
        <v/>
      </c>
      <c r="SB4">
        <f>IF($B4=0,1000000,IF(INDEX('計算A'!$D$60:$EQ$104,$B4,101)*GX4=1,IF(AND($E4=2,MM4=0),1000000,IF($I4&gt;0,IF(5=$J4,IF(OR(AND(101=$I4+1,OR($K4&lt;&gt;'計算A'!$A$3,'計算A'!$A$4=0)),AND(101=$I4-1,OR(5&lt;&gt;'計算A'!$A$3,'計算A'!$A$4=0))),0,IF(5=$K4,200000,ABS(5-$K4)*100)),100000+ABS(5-$J4)*1000+50)+'計算A'!CZ$5*50+IF(AND($E4=1,MM4=0),25,0),INDEX('計算A'!CZ$110:CZ$114,$F4+1)+IF(AND($E4=1,MM4=0),1000,0)+IF($H4=1,(IF('計算A'!CY$117=1,INDEX('計算A'!CY$10:CY$54,$B4),0)+IF('計算A'!CZ$117=1,INDEX('計算A'!DA$10:DA$54,$B4),0))*500,0)-IF(AND('計算A'!CY$117=1,XW4&gt;0),300,0)-IF(AND($L4=1,'計算A'!CZ$117=1,GY4=0),300,0))),1000000))</f>
        <v/>
      </c>
      <c r="SC4">
        <f>IF($B4=0,1000000,IF(INDEX('計算A'!$D$60:$EQ$104,$B4,102)*GY4=1,IF(AND($E4=2,MN4=0),1000000,IF($I4&gt;0,IF(5=$J4,IF(OR(AND(102=$I4+1,OR($K4&lt;&gt;'計算A'!$A$3,'計算A'!$A$4=0)),AND(102=$I4-1,OR(6&lt;&gt;'計算A'!$A$3,'計算A'!$A$4=0))),0,IF(6=$K4,200000,ABS(6-$K4)*100)),100000+ABS(5-$J4)*1000+60)+'計算A'!DA$5*50+IF(AND($E4=1,MN4=0),25,0),INDEX('計算A'!DA$110:DA$114,$F4+1)+IF(AND($E4=1,MN4=0),1000,0)+IF($H4=1,(IF('計算A'!CZ$117=1,INDEX('計算A'!CZ$10:CZ$54,$B4),0)+IF('計算A'!DA$117=1,INDEX('計算A'!DB$10:DB$54,$B4),0))*500,0)-IF(AND('計算A'!CZ$117=1,XX4&gt;0),300,0)-IF(AND($L4=1,'計算A'!DA$117=1,GZ4=0),300,0))),1000000))</f>
        <v/>
      </c>
      <c r="SD4">
        <f>IF($B4=0,1000000,IF(INDEX('計算A'!$D$60:$EQ$104,$B4,103)*GZ4=1,IF(AND($E4=2,MO4=0),1000000,IF($I4&gt;0,IF(5=$J4,IF(OR(AND(103=$I4+1,OR($K4&lt;&gt;'計算A'!$A$3,'計算A'!$A$4=0)),AND(103=$I4-1,OR(7&lt;&gt;'計算A'!$A$3,'計算A'!$A$4=0))),0,IF(7=$K4,200000,ABS(7-$K4)*100)),100000+ABS(5-$J4)*1000+70)+'計算A'!DB$5*50+IF(AND($E4=1,MO4=0),25,0),INDEX('計算A'!DB$110:DB$114,$F4+1)+IF(AND($E4=1,MO4=0),1000,0)+IF($H4=1,(IF('計算A'!DA$117=1,INDEX('計算A'!DA$10:DA$54,$B4),0)+IF('計算A'!DB$117=1,INDEX('計算A'!DC$10:DC$54,$B4),0))*500,0)-IF(AND('計算A'!DA$117=1,XY4&gt;0),300,0)-IF(AND($L4=1,'計算A'!DB$117=1,HA4=0),300,0))),1000000))</f>
        <v/>
      </c>
      <c r="SE4">
        <f>IF($B4=0,1000000,IF(INDEX('計算A'!$D$60:$EQ$104,$B4,104)*HA4=1,IF(AND($E4=2,MP4=0),1000000,IF($I4&gt;0,IF(5=$J4,IF(OR(AND(104=$I4+1,OR($K4&lt;&gt;'計算A'!$A$3,'計算A'!$A$4=0)),AND(104=$I4-1,OR(8&lt;&gt;'計算A'!$A$3,'計算A'!$A$4=0))),0,IF(8=$K4,200000,ABS(8-$K4)*100)),100000+ABS(5-$J4)*1000+80)+'計算A'!DC$5*50+IF(AND($E4=1,MP4=0),25,0),INDEX('計算A'!DC$110:DC$114,$F4+1)+IF(AND($E4=1,MP4=0),1000,0)+IF($H4=1,(IF('計算A'!DB$117=1,INDEX('計算A'!DB$10:DB$54,$B4),0)+IF('計算A'!DC$117=1,INDEX('計算A'!DD$10:DD$54,$B4),0))*500,0)-IF(AND('計算A'!DB$117=1,XZ4&gt;0),300,0)-IF(AND($L4=1,'計算A'!DC$117=1,HB4=0),300,0))),1000000))</f>
        <v/>
      </c>
      <c r="SF4">
        <f>IF($B4=0,1000000,IF(INDEX('計算A'!$D$60:$EQ$104,$B4,105)*HB4=1,IF(AND($E4=2,MQ4=0),1000000,IF($I4&gt;0,IF(5=$J4,IF(OR(AND(105=$I4+1,OR($K4&lt;&gt;'計算A'!$A$3,'計算A'!$A$4=0)),AND(105=$I4-1,OR(9&lt;&gt;'計算A'!$A$3,'計算A'!$A$4=0))),0,IF(9=$K4,200000,ABS(9-$K4)*100)),100000+ABS(5-$J4)*1000+90)+'計算A'!DD$5*50+IF(AND($E4=1,MQ4=0),25,0),INDEX('計算A'!DD$110:DD$114,$F4+1)+IF(AND($E4=1,MQ4=0),1000,0)+IF($H4=1,(IF('計算A'!DC$117=1,INDEX('計算A'!DC$10:DC$54,$B4),0)+IF('計算A'!DD$117=1,INDEX('計算A'!DE$10:DE$54,$B4),0))*500,0)-IF(AND('計算A'!DC$117=1,YA4&gt;0),300,0)-IF(AND($L4=1,'計算A'!DD$117=1,HC4=0),300,0))),1000000))</f>
        <v/>
      </c>
      <c r="SG4">
        <f>IF($B4=0,1000000,IF(INDEX('計算A'!$D$60:$EQ$104,$B4,106)*HC4=1,IF(AND($E4=2,MR4=0),1000000,IF($I4&gt;0,IF(5=$J4,IF(OR(AND(106=$I4+1,OR($K4&lt;&gt;'計算A'!$A$3,'計算A'!$A$4=0)),AND(106=$I4-1,OR(10&lt;&gt;'計算A'!$A$3,'計算A'!$A$4=0))),0,IF(10=$K4,200000,ABS(10-$K4)*100)),100000+ABS(5-$J4)*1000+100)+'計算A'!DE$5*50+IF(AND($E4=1,MR4=0),25,0),INDEX('計算A'!DE$110:DE$114,$F4+1)+IF(AND($E4=1,MR4=0),1000,0)+IF($H4=1,(IF('計算A'!DD$117=1,INDEX('計算A'!DD$10:DD$54,$B4),0)+IF('計算A'!DE$117=1,INDEX('計算A'!DF$10:DF$54,$B4),0))*500,0)-IF(AND('計算A'!DD$117=1,YB4&gt;0),300,0)-IF(AND($L4=1,'計算A'!DE$117=1,HD4=0),300,0))),1000000))</f>
        <v/>
      </c>
      <c r="SH4">
        <f>IF($B4=0,1000000,IF(INDEX('計算A'!$D$60:$EQ$104,$B4,107)*HD4=1,IF(AND($E4=2,MS4=0),1000000,IF($I4&gt;0,IF(5=$J4,IF(OR(AND(107=$I4+1,OR($K4&lt;&gt;'計算A'!$A$3,'計算A'!$A$4=0)),AND(107=$I4-1,OR(11&lt;&gt;'計算A'!$A$3,'計算A'!$A$4=0))),0,IF(11=$K4,200000,ABS(11-$K4)*100)),100000+ABS(5-$J4)*1000+110)+'計算A'!DF$5*50+IF(AND($E4=1,MS4=0),25,0),INDEX('計算A'!DF$110:DF$114,$F4+1)+IF(AND($E4=1,MS4=0),1000,0)+IF($H4=1,(IF('計算A'!DE$117=1,INDEX('計算A'!DE$10:DE$54,$B4),0)+IF('計算A'!DF$117=1,INDEX('計算A'!DG$10:DG$54,$B4),0))*500,0)-IF(AND('計算A'!DE$117=1,YC4&gt;0),300,0)-IF(AND($L4=1,'計算A'!DF$117=1,HE4=0),300,0))),1000000))</f>
        <v/>
      </c>
      <c r="SI4">
        <f>IF($B4=0,1000000,IF(INDEX('計算A'!$D$60:$EQ$104,$B4,108)*HE4=1,IF(AND($E4=2,MT4=0),1000000,IF($I4&gt;0,IF(5=$J4,IF(OR(AND(108=$I4+1,OR($K4&lt;&gt;'計算A'!$A$3,'計算A'!$A$4=0)),AND(108=$I4-1,OR(12&lt;&gt;'計算A'!$A$3,'計算A'!$A$4=0))),0,IF(12=$K4,200000,ABS(12-$K4)*100)),100000+ABS(5-$J4)*1000+120)+'計算A'!DG$5*50+IF(AND($E4=1,MT4=0),25,0),INDEX('計算A'!DG$110:DG$114,$F4+1)+IF(AND($E4=1,MT4=0),1000,0)+IF($H4=1,(IF('計算A'!DF$117=1,INDEX('計算A'!DF$10:DF$54,$B4),0)+IF('計算A'!DG$117=1,INDEX('計算A'!DH$10:DH$54,$B4),0))*500,0)-IF(AND('計算A'!DF$117=1,YD4&gt;0),300,0)-IF(AND($L4=1,'計算A'!DG$117=1,HF4=0),300,0))),1000000))</f>
        <v/>
      </c>
      <c r="SJ4">
        <f>IF($B4=0,1000000,IF(INDEX('計算A'!$D$60:$EQ$104,$B4,109)*HF4=1,IF(AND($E4=2,MU4=0),1000000,IF($I4&gt;0,IF(5=$J4,IF(OR(AND(109=$I4+1,OR($K4&lt;&gt;'計算A'!$A$3,'計算A'!$A$4=0)),AND(109=$I4-1,OR(13&lt;&gt;'計算A'!$A$3,'計算A'!$A$4=0))),0,IF(13=$K4,200000,ABS(13-$K4)*100)),100000+ABS(5-$J4)*1000+130)+'計算A'!DH$5*50+IF(AND($E4=1,MU4=0),25,0),INDEX('計算A'!DH$110:DH$114,$F4+1)+IF(AND($E4=1,MU4=0),1000,0)+IF($H4=1,(IF('計算A'!DG$117=1,INDEX('計算A'!DG$10:DG$54,$B4),0)+IF('計算A'!DH$117=1,INDEX('計算A'!DI$10:DI$54,$B4),0))*500,0)-IF(AND('計算A'!DG$117=1,YE4&gt;0),300,0)-IF(AND($L4=1,'計算A'!DH$117=1,HG4=0),300,0))),1000000))</f>
        <v/>
      </c>
      <c r="SK4">
        <f>IF($B4=0,1000000,IF(INDEX('計算A'!$D$60:$EQ$104,$B4,110)*HG4=1,IF(AND($E4=2,MV4=0),1000000,IF($I4&gt;0,IF(5=$J4,IF(OR(AND(110=$I4+1,OR($K4&lt;&gt;'計算A'!$A$3,'計算A'!$A$4=0)),AND(110=$I4-1,OR(14&lt;&gt;'計算A'!$A$3,'計算A'!$A$4=0))),0,IF(14=$K4,200000,ABS(14-$K4)*100)),100000+ABS(5-$J4)*1000+140)+'計算A'!DI$5*50+IF(AND($E4=1,MV4=0),25,0),INDEX('計算A'!DI$110:DI$114,$F4+1)+IF(AND($E4=1,MV4=0),1000,0)+IF($H4=1,(IF('計算A'!DH$117=1,INDEX('計算A'!DH$10:DH$54,$B4),0)+IF('計算A'!DI$117=1,INDEX('計算A'!DJ$10:DJ$54,$B4),0))*500,0)-IF(AND('計算A'!DH$117=1,YF4&gt;0),300,0)-IF(AND($L4=1,'計算A'!DI$117=1,HH4=0),300,0))),1000000))</f>
        <v/>
      </c>
      <c r="SL4">
        <f>IF($B4=0,1000000,IF(INDEX('計算A'!$D$60:$EQ$104,$B4,111)*HH4=1,IF(AND($E4=2,MW4=0),1000000,IF($I4&gt;0,IF(5=$J4,IF(OR(AND(111=$I4+1,OR($K4&lt;&gt;'計算A'!$A$3,'計算A'!$A$4=0)),AND(111=$I4-1,OR(15&lt;&gt;'計算A'!$A$3,'計算A'!$A$4=0))),0,IF(15=$K4,200000,ABS(15-$K4)*100)),100000+ABS(5-$J4)*1000+150)+'計算A'!DJ$5*50+IF(AND($E4=1,MW4=0),25,0),INDEX('計算A'!DJ$110:DJ$114,$F4+1)+IF(AND($E4=1,MW4=0),1000,0)+IF($H4=1,(IF('計算A'!DI$117=1,INDEX('計算A'!DI$10:DI$54,$B4),0)+IF('計算A'!DJ$117=1,INDEX('計算A'!DK$10:DK$54,$B4),0))*500,0)-IF(AND('計算A'!DI$117=1,YG4&gt;0),300,0)-IF(AND($L4=1,'計算A'!DJ$117=1,HI4=0),300,0))),1000000))</f>
        <v/>
      </c>
      <c r="SM4">
        <f>IF($B4=0,1000000,IF(INDEX('計算A'!$D$60:$EQ$104,$B4,112)*HI4=1,IF(AND($E4=2,MX4=0),1000000,IF($I4&gt;0,IF(5=$J4,IF(OR(AND(112=$I4+1,OR($K4&lt;&gt;'計算A'!$A$3,'計算A'!$A$4=0)),AND(112=$I4-1,OR(16&lt;&gt;'計算A'!$A$3,'計算A'!$A$4=0))),0,IF(16=$K4,200000,ABS(16-$K4)*100)),100000+ABS(5-$J4)*1000+160)+'計算A'!DK$5*50+IF(AND($E4=1,MX4=0),25,0),INDEX('計算A'!DK$110:DK$114,$F4+1)+IF(AND($E4=1,MX4=0),1000,0)+IF($H4=1,(IF('計算A'!DJ$117=1,INDEX('計算A'!DJ$10:DJ$54,$B4),0)+IF('計算A'!DK$117=1,INDEX('計算A'!DL$10:DL$54,$B4),0))*500,0)-IF(AND('計算A'!DJ$117=1,YH4&gt;0),300,0)-IF(AND($L4=1,'計算A'!DK$117=1,HJ4=0),300,0))),1000000))</f>
        <v/>
      </c>
      <c r="SN4">
        <f>IF($B4=0,1000000,IF(INDEX('計算A'!$D$60:$EQ$104,$B4,113)*HJ4=1,IF(AND($E4=2,MY4=0),1000000,IF($I4&gt;0,IF(5=$J4,IF(OR(AND(113=$I4+1,OR($K4&lt;&gt;'計算A'!$A$3,'計算A'!$A$4=0)),AND(113=$I4-1,OR(17&lt;&gt;'計算A'!$A$3,'計算A'!$A$4=0))),0,IF(17=$K4,200000,ABS(17-$K4)*100)),100000+ABS(5-$J4)*1000+170)+'計算A'!DL$5*50+IF(AND($E4=1,MY4=0),25,0),INDEX('計算A'!DL$110:DL$114,$F4+1)+IF(AND($E4=1,MY4=0),1000,0)+IF($H4=1,(IF('計算A'!DK$117=1,INDEX('計算A'!DK$10:DK$54,$B4),0)+IF('計算A'!DL$117=1,INDEX('計算A'!DM$10:DM$54,$B4),0))*500,0)-IF(AND('計算A'!DK$117=1,YI4&gt;0),300,0)-IF(AND($L4=1,'計算A'!DL$117=1,HK4=0),300,0))),1000000))</f>
        <v/>
      </c>
      <c r="SO4">
        <f>IF($B4=0,1000000,IF(INDEX('計算A'!$D$60:$EQ$104,$B4,114)*HK4=1,IF(AND($E4=2,MZ4=0),1000000,IF($I4&gt;0,IF(5=$J4,IF(OR(AND(114=$I4+1,OR($K4&lt;&gt;'計算A'!$A$3,'計算A'!$A$4=0)),AND(114=$I4-1,OR(18&lt;&gt;'計算A'!$A$3,'計算A'!$A$4=0))),0,IF(18=$K4,200000,ABS(18-$K4)*100)),100000+ABS(5-$J4)*1000+180)+'計算A'!DM$5*50+IF(AND($E4=1,MZ4=0),25,0),INDEX('計算A'!DM$110:DM$114,$F4+1)+IF(AND($E4=1,MZ4=0),1000,0)+IF($H4=1,(IF('計算A'!DL$117=1,INDEX('計算A'!DL$10:DL$54,$B4),0)+IF('計算A'!DM$117=1,INDEX('計算A'!DN$10:DN$54,$B4),0))*500,0)-IF(AND('計算A'!DL$117=1,YJ4&gt;0),300,0)-IF(AND($L4=1,'計算A'!DM$117=1,HL4=0),300,0))),1000000))</f>
        <v/>
      </c>
      <c r="SP4">
        <f>IF($B4=0,1000000,IF(INDEX('計算A'!$D$60:$EQ$104,$B4,115)*HL4=1,IF(AND($E4=2,NA4=0),1000000,IF($I4&gt;0,IF(5=$J4,IF(OR(AND(115=$I4+1,OR($K4&lt;&gt;'計算A'!$A$3,'計算A'!$A$4=0)),AND(115=$I4-1,OR(19&lt;&gt;'計算A'!$A$3,'計算A'!$A$4=0))),0,IF(19=$K4,200000,ABS(19-$K4)*100)),100000+ABS(5-$J4)*1000+190)+'計算A'!DN$5*50+IF(AND($E4=1,NA4=0),25,0),INDEX('計算A'!DN$110:DN$114,$F4+1)+IF(AND($E4=1,NA4=0),1000,0)+IF($H4=1,(IF('計算A'!DM$117=1,INDEX('計算A'!DM$10:DM$54,$B4),0)+IF('計算A'!DN$117=1,INDEX('計算A'!DO$10:DO$54,$B4),0))*500,0)-IF(AND('計算A'!DM$117=1,YK4&gt;0),300,0)-IF(AND($L4=1,'計算A'!DN$117=1,HM4=0),300,0))),1000000))</f>
        <v/>
      </c>
      <c r="SQ4">
        <f>IF($B4=0,1000000,IF(INDEX('計算A'!$D$60:$EQ$104,$B4,116)*HM4=1,IF(AND($E4=2,NB4=0),1000000,IF($I4&gt;0,IF(5=$J4,IF(OR(AND(116=$I4+1,OR($K4&lt;&gt;'計算A'!$A$3,'計算A'!$A$4=0)),AND(116=$I4-1,OR(20&lt;&gt;'計算A'!$A$3,'計算A'!$A$4=0))),0,IF(20=$K4,200000,ABS(20-$K4)*100)),100000+ABS(5-$J4)*1000+200)+'計算A'!DO$5*50+IF(AND($E4=1,NB4=0),25,0),INDEX('計算A'!DO$110:DO$114,$F4+1)+IF(AND($E4=1,NB4=0),1000,0)+IF($H4=1,(IF('計算A'!DN$117=1,INDEX('計算A'!DN$10:DN$54,$B4),0)+IF('計算A'!DO$117=1,INDEX('計算A'!DP$10:DP$54,$B4),0))*500,0)-IF(AND('計算A'!DN$117=1,YL4&gt;0),300,0)-IF(AND($L4=1,'計算A'!DO$117=1,HN4=0),300,0))),1000000))</f>
        <v/>
      </c>
      <c r="SR4">
        <f>IF($B4=0,1000000,IF(INDEX('計算A'!$D$60:$EQ$104,$B4,117)*HN4=1,IF(AND($E4=2,NC4=0),1000000,IF($I4&gt;0,IF(5=$J4,IF(OR(AND(117=$I4+1,OR($K4&lt;&gt;'計算A'!$A$3,'計算A'!$A$4=0)),AND(117=$I4-1,OR(21&lt;&gt;'計算A'!$A$3,'計算A'!$A$4=0))),0,IF(21=$K4,200000,ABS(21-$K4)*100)),100000+ABS(5-$J4)*1000+210)+'計算A'!DP$5*50+IF(AND($E4=1,NC4=0),25,0),INDEX('計算A'!DP$110:DP$114,$F4+1)+IF(AND($E4=1,NC4=0),1000,0)+IF($H4=1,(IF('計算A'!DO$117=1,INDEX('計算A'!DO$10:DO$54,$B4),0)+IF('計算A'!DP$117=1,INDEX('計算A'!DQ$10:DQ$54,$B4),0))*500,0)-IF(AND('計算A'!DO$117=1,YM4&gt;0),300,0)-IF(AND($L4=1,'計算A'!DP$117=1,HO4=0),300,0))),1000000))</f>
        <v/>
      </c>
      <c r="SS4">
        <f>IF($B4=0,1000000,IF(INDEX('計算A'!$D$60:$EQ$104,$B4,118)*HO4=1,IF(AND($E4=2,ND4=0),1000000,IF($I4&gt;0,IF(5=$J4,IF(OR(AND(118=$I4+1,OR($K4&lt;&gt;'計算A'!$A$3,'計算A'!$A$4=0)),AND(118=$I4-1,OR(22&lt;&gt;'計算A'!$A$3,'計算A'!$A$4=0))),0,IF(22=$K4,200000,ABS(22-$K4)*100)),100000+ABS(5-$J4)*1000+220)+'計算A'!DQ$5*50+IF(AND($E4=1,ND4=0),25,0),INDEX('計算A'!DQ$110:DQ$114,$F4+1)+IF(AND($E4=1,ND4=0),1000,0)+IF($H4=1,(IF('計算A'!DP$117=1,INDEX('計算A'!DP$10:DP$54,$B4),0)+IF('計算A'!DQ$117=1,INDEX('計算A'!DR$10:DR$54,$B4),0))*500,0)-IF(AND('計算A'!DP$117=1,YN4&gt;0),300,0)-IF(AND($L4=1,'計算A'!DQ$117=1,HP4=0),300,0))),1000000))</f>
        <v/>
      </c>
      <c r="ST4">
        <f>IF($B4=0,1000000,IF(INDEX('計算A'!$D$60:$EQ$104,$B4,119)*HP4=1,IF(AND($E4=2,NE4=0),1000000,IF($I4&gt;0,IF(5=$J4,IF(OR(AND(119=$I4+1,OR($K4&lt;&gt;'計算A'!$A$3,'計算A'!$A$4=0)),AND(119=$I4-1,OR(23&lt;&gt;'計算A'!$A$3,'計算A'!$A$4=0))),0,IF(23=$K4,200000,ABS(23-$K4)*100)),100000+ABS(5-$J4)*1000+230)+'計算A'!DR$5*50+IF(AND($E4=1,NE4=0),25,0),INDEX('計算A'!DR$110:DR$114,$F4+1)+IF(AND($E4=1,NE4=0),1000,0)+IF($H4=1,(IF('計算A'!DQ$117=1,INDEX('計算A'!DQ$10:DQ$54,$B4),0)+IF('計算A'!DR$117=1,INDEX('計算A'!DS$10:DS$54,$B4),0))*500,0)-IF(AND('計算A'!DQ$117=1,YO4&gt;0),300,0)-IF(AND($L4=1,'計算A'!DR$117=1,HQ4=0),300,0))),1000000))</f>
        <v/>
      </c>
      <c r="SU4">
        <f>IF($B4=0,1000000,IF(INDEX('計算A'!$D$60:$EQ$104,$B4,120)*HQ4=1,IF(AND($E4=2,NF4=0),1000000,IF($I4&gt;0,IF(5=$J4,IF(OR(AND(120=$I4+1,OR($K4&lt;&gt;'計算A'!$A$3,'計算A'!$A$4=0)),AND(120=$I4-1,OR(24&lt;&gt;'計算A'!$A$3,'計算A'!$A$4=0))),0,IF(24=$K4,200000,ABS(24-$K4)*100)),100000+ABS(5-$J4)*1000+240)+'計算A'!DS$5*50+IF(AND($E4=1,NF4=0),25,0),INDEX('計算A'!DS$110:DS$114,$F4+1)+IF(AND($E4=1,NF4=0),1000,0)+IF($H4=1,(IF('計算A'!DR$117=1,INDEX('計算A'!DR$10:DR$54,$B4),0))*500,0)-IF(AND('計算A'!DR$117=1,YP4&gt;0),300,0))),1000000))</f>
        <v/>
      </c>
      <c r="SV4">
        <f>IF($B4=0,1000000,IF(INDEX('計算A'!$D$60:$EQ$104,$B4,121)*HR4=1,IF(AND($E4=2,NG4=0),1000000,IF($I4&gt;0,IF(6=$J4,IF(OR(AND(121=$I4+1,OR($K4&lt;&gt;'計算A'!$A$3,'計算A'!$A$4=0)),AND(121=$I4-1,OR(1&lt;&gt;'計算A'!$A$3,'計算A'!$A$4=0))),0,IF(1=$K4,200000,ABS(1-$K4)*100)),100000+ABS(6-$J4)*1000+10)+'計算A'!DT$5*50+IF(AND($E4=1,NG4=0),25,0),INDEX('計算A'!DT$110:DT$114,$F4+1)+IF(AND($E4=1,NG4=0),1000,0)+IF($H4=1,(IF('計算A'!DT$117=1,INDEX('計算A'!DU$10:DU$54,$B4),0))*500,0)-IF(AND($L4=1,'計算A'!DT$117=1,HS4=0),300,0))),1000000))</f>
        <v/>
      </c>
      <c r="SW4">
        <f>IF($B4=0,1000000,IF(INDEX('計算A'!$D$60:$EQ$104,$B4,122)*HS4=1,IF(AND($E4=2,NH4=0),1000000,IF($I4&gt;0,IF(6=$J4,IF(OR(AND(122=$I4+1,OR($K4&lt;&gt;'計算A'!$A$3,'計算A'!$A$4=0)),AND(122=$I4-1,OR(2&lt;&gt;'計算A'!$A$3,'計算A'!$A$4=0))),0,IF(2=$K4,200000,ABS(2-$K4)*100)),100000+ABS(6-$J4)*1000+20)+'計算A'!DU$5*50+IF(AND($E4=1,NH4=0),25,0),INDEX('計算A'!DU$110:DU$114,$F4+1)+IF(AND($E4=1,NH4=0),1000,0)+IF($H4=1,(IF('計算A'!DT$117=1,INDEX('計算A'!DT$10:DT$54,$B4),0)+IF('計算A'!DU$117=1,INDEX('計算A'!DV$10:DV$54,$B4),0))*500,0)-IF(AND('計算A'!DT$117=1,YR4&gt;0),300,0)-IF(AND($L4=1,'計算A'!DU$117=1,HT4=0),300,0))),1000000))</f>
        <v/>
      </c>
      <c r="SX4">
        <f>IF($B4=0,1000000,IF(INDEX('計算A'!$D$60:$EQ$104,$B4,123)*HT4=1,IF(AND($E4=2,NI4=0),1000000,IF($I4&gt;0,IF(6=$J4,IF(OR(AND(123=$I4+1,OR($K4&lt;&gt;'計算A'!$A$3,'計算A'!$A$4=0)),AND(123=$I4-1,OR(3&lt;&gt;'計算A'!$A$3,'計算A'!$A$4=0))),0,IF(3=$K4,200000,ABS(3-$K4)*100)),100000+ABS(6-$J4)*1000+30)+'計算A'!DV$5*50+IF(AND($E4=1,NI4=0),25,0),INDEX('計算A'!DV$110:DV$114,$F4+1)+IF(AND($E4=1,NI4=0),1000,0)+IF($H4=1,(IF('計算A'!DU$117=1,INDEX('計算A'!DU$10:DU$54,$B4),0)+IF('計算A'!DV$117=1,INDEX('計算A'!DW$10:DW$54,$B4),0))*500,0)-IF(AND('計算A'!DU$117=1,YS4&gt;0),300,0)-IF(AND($L4=1,'計算A'!DV$117=1,HU4=0),300,0))),1000000))</f>
        <v/>
      </c>
      <c r="SY4">
        <f>IF($B4=0,1000000,IF(INDEX('計算A'!$D$60:$EQ$104,$B4,124)*HU4=1,IF(AND($E4=2,NJ4=0),1000000,IF($I4&gt;0,IF(6=$J4,IF(OR(AND(124=$I4+1,OR($K4&lt;&gt;'計算A'!$A$3,'計算A'!$A$4=0)),AND(124=$I4-1,OR(4&lt;&gt;'計算A'!$A$3,'計算A'!$A$4=0))),0,IF(4=$K4,200000,ABS(4-$K4)*100)),100000+ABS(6-$J4)*1000+40)+'計算A'!DW$5*50+IF(AND($E4=1,NJ4=0),25,0),INDEX('計算A'!DW$110:DW$114,$F4+1)+IF(AND($E4=1,NJ4=0),1000,0)+IF($H4=1,(IF('計算A'!DV$117=1,INDEX('計算A'!DV$10:DV$54,$B4),0)+IF('計算A'!DW$117=1,INDEX('計算A'!DX$10:DX$54,$B4),0))*500,0)-IF(AND('計算A'!DV$117=1,YT4&gt;0),300,0)-IF(AND($L4=1,'計算A'!DW$117=1,HV4=0),300,0))),1000000))</f>
        <v/>
      </c>
      <c r="SZ4">
        <f>IF($B4=0,1000000,IF(INDEX('計算A'!$D$60:$EQ$104,$B4,125)*HV4=1,IF(AND($E4=2,NK4=0),1000000,IF($I4&gt;0,IF(6=$J4,IF(OR(AND(125=$I4+1,OR($K4&lt;&gt;'計算A'!$A$3,'計算A'!$A$4=0)),AND(125=$I4-1,OR(5&lt;&gt;'計算A'!$A$3,'計算A'!$A$4=0))),0,IF(5=$K4,200000,ABS(5-$K4)*100)),100000+ABS(6-$J4)*1000+50)+'計算A'!DX$5*50+IF(AND($E4=1,NK4=0),25,0),INDEX('計算A'!DX$110:DX$114,$F4+1)+IF(AND($E4=1,NK4=0),1000,0)+IF($H4=1,(IF('計算A'!DW$117=1,INDEX('計算A'!DW$10:DW$54,$B4),0)+IF('計算A'!DX$117=1,INDEX('計算A'!DY$10:DY$54,$B4),0))*500,0)-IF(AND('計算A'!DW$117=1,YU4&gt;0),300,0)-IF(AND($L4=1,'計算A'!DX$117=1,HW4=0),300,0))),1000000))</f>
        <v/>
      </c>
      <c r="TA4">
        <f>IF($B4=0,1000000,IF(INDEX('計算A'!$D$60:$EQ$104,$B4,126)*HW4=1,IF(AND($E4=2,NL4=0),1000000,IF($I4&gt;0,IF(6=$J4,IF(OR(AND(126=$I4+1,OR($K4&lt;&gt;'計算A'!$A$3,'計算A'!$A$4=0)),AND(126=$I4-1,OR(6&lt;&gt;'計算A'!$A$3,'計算A'!$A$4=0))),0,IF(6=$K4,200000,ABS(6-$K4)*100)),100000+ABS(6-$J4)*1000+60)+'計算A'!DY$5*50+IF(AND($E4=1,NL4=0),25,0),INDEX('計算A'!DY$110:DY$114,$F4+1)+IF(AND($E4=1,NL4=0),1000,0)+IF($H4=1,(IF('計算A'!DX$117=1,INDEX('計算A'!DX$10:DX$54,$B4),0)+IF('計算A'!DY$117=1,INDEX('計算A'!DZ$10:DZ$54,$B4),0))*500,0)-IF(AND('計算A'!DX$117=1,YV4&gt;0),300,0)-IF(AND($L4=1,'計算A'!DY$117=1,HX4=0),300,0))),1000000))</f>
        <v/>
      </c>
      <c r="TB4">
        <f>IF($B4=0,1000000,IF(INDEX('計算A'!$D$60:$EQ$104,$B4,127)*HX4=1,IF(AND($E4=2,NM4=0),1000000,IF($I4&gt;0,IF(6=$J4,IF(OR(AND(127=$I4+1,OR($K4&lt;&gt;'計算A'!$A$3,'計算A'!$A$4=0)),AND(127=$I4-1,OR(7&lt;&gt;'計算A'!$A$3,'計算A'!$A$4=0))),0,IF(7=$K4,200000,ABS(7-$K4)*100)),100000+ABS(6-$J4)*1000+70)+'計算A'!DZ$5*50+IF(AND($E4=1,NM4=0),25,0),INDEX('計算A'!DZ$110:DZ$114,$F4+1)+IF(AND($E4=1,NM4=0),1000,0)+IF($H4=1,(IF('計算A'!DY$117=1,INDEX('計算A'!DY$10:DY$54,$B4),0)+IF('計算A'!DZ$117=1,INDEX('計算A'!EA$10:EA$54,$B4),0))*500,0)-IF(AND('計算A'!DY$117=1,YW4&gt;0),300,0)-IF(AND($L4=1,'計算A'!DZ$117=1,HY4=0),300,0))),1000000))</f>
        <v/>
      </c>
      <c r="TC4">
        <f>IF($B4=0,1000000,IF(INDEX('計算A'!$D$60:$EQ$104,$B4,128)*HY4=1,IF(AND($E4=2,NN4=0),1000000,IF($I4&gt;0,IF(6=$J4,IF(OR(AND(128=$I4+1,OR($K4&lt;&gt;'計算A'!$A$3,'計算A'!$A$4=0)),AND(128=$I4-1,OR(8&lt;&gt;'計算A'!$A$3,'計算A'!$A$4=0))),0,IF(8=$K4,200000,ABS(8-$K4)*100)),100000+ABS(6-$J4)*1000+80)+'計算A'!EA$5*50+IF(AND($E4=1,NN4=0),25,0),INDEX('計算A'!EA$110:EA$114,$F4+1)+IF(AND($E4=1,NN4=0),1000,0)+IF($H4=1,(IF('計算A'!DZ$117=1,INDEX('計算A'!DZ$10:DZ$54,$B4),0)+IF('計算A'!EA$117=1,INDEX('計算A'!EB$10:EB$54,$B4),0))*500,0)-IF(AND('計算A'!DZ$117=1,YX4&gt;0),300,0)-IF(AND($L4=1,'計算A'!EA$117=1,HZ4=0),300,0))),1000000))</f>
        <v/>
      </c>
      <c r="TD4">
        <f>IF($B4=0,1000000,IF(INDEX('計算A'!$D$60:$EQ$104,$B4,129)*HZ4=1,IF(AND($E4=2,NO4=0),1000000,IF($I4&gt;0,IF(6=$J4,IF(OR(AND(129=$I4+1,OR($K4&lt;&gt;'計算A'!$A$3,'計算A'!$A$4=0)),AND(129=$I4-1,OR(9&lt;&gt;'計算A'!$A$3,'計算A'!$A$4=0))),0,IF(9=$K4,200000,ABS(9-$K4)*100)),100000+ABS(6-$J4)*1000+90)+'計算A'!EB$5*50+IF(AND($E4=1,NO4=0),25,0),INDEX('計算A'!EB$110:EB$114,$F4+1)+IF(AND($E4=1,NO4=0),1000,0)+IF($H4=1,(IF('計算A'!EA$117=1,INDEX('計算A'!EA$10:EA$54,$B4),0)+IF('計算A'!EB$117=1,INDEX('計算A'!EC$10:EC$54,$B4),0))*500,0)-IF(AND('計算A'!EA$117=1,YY4&gt;0),300,0)-IF(AND($L4=1,'計算A'!EB$117=1,IA4=0),300,0))),1000000))</f>
        <v/>
      </c>
      <c r="TE4">
        <f>IF($B4=0,1000000,IF(INDEX('計算A'!$D$60:$EQ$104,$B4,130)*IA4=1,IF(AND($E4=2,NP4=0),1000000,IF($I4&gt;0,IF(6=$J4,IF(OR(AND(130=$I4+1,OR($K4&lt;&gt;'計算A'!$A$3,'計算A'!$A$4=0)),AND(130=$I4-1,OR(10&lt;&gt;'計算A'!$A$3,'計算A'!$A$4=0))),0,IF(10=$K4,200000,ABS(10-$K4)*100)),100000+ABS(6-$J4)*1000+100)+'計算A'!EC$5*50+IF(AND($E4=1,NP4=0),25,0),INDEX('計算A'!EC$110:EC$114,$F4+1)+IF(AND($E4=1,NP4=0),1000,0)+IF($H4=1,(IF('計算A'!EB$117=1,INDEX('計算A'!EB$10:EB$54,$B4),0)+IF('計算A'!EC$117=1,INDEX('計算A'!ED$10:ED$54,$B4),0))*500,0)-IF(AND('計算A'!EB$117=1,YZ4&gt;0),300,0)-IF(AND($L4=1,'計算A'!EC$117=1,IB4=0),300,0))),1000000))</f>
        <v/>
      </c>
      <c r="TF4">
        <f>IF($B4=0,1000000,IF(INDEX('計算A'!$D$60:$EQ$104,$B4,131)*IB4=1,IF(AND($E4=2,NQ4=0),1000000,IF($I4&gt;0,IF(6=$J4,IF(OR(AND(131=$I4+1,OR($K4&lt;&gt;'計算A'!$A$3,'計算A'!$A$4=0)),AND(131=$I4-1,OR(11&lt;&gt;'計算A'!$A$3,'計算A'!$A$4=0))),0,IF(11=$K4,200000,ABS(11-$K4)*100)),100000+ABS(6-$J4)*1000+110)+'計算A'!ED$5*50+IF(AND($E4=1,NQ4=0),25,0),INDEX('計算A'!ED$110:ED$114,$F4+1)+IF(AND($E4=1,NQ4=0),1000,0)+IF($H4=1,(IF('計算A'!EC$117=1,INDEX('計算A'!EC$10:EC$54,$B4),0)+IF('計算A'!ED$117=1,INDEX('計算A'!EE$10:EE$54,$B4),0))*500,0)-IF(AND('計算A'!EC$117=1,ZA4&gt;0),300,0)-IF(AND($L4=1,'計算A'!ED$117=1,IC4=0),300,0))),1000000))</f>
        <v/>
      </c>
      <c r="TG4">
        <f>IF($B4=0,1000000,IF(INDEX('計算A'!$D$60:$EQ$104,$B4,132)*IC4=1,IF(AND($E4=2,NR4=0),1000000,IF($I4&gt;0,IF(6=$J4,IF(OR(AND(132=$I4+1,OR($K4&lt;&gt;'計算A'!$A$3,'計算A'!$A$4=0)),AND(132=$I4-1,OR(12&lt;&gt;'計算A'!$A$3,'計算A'!$A$4=0))),0,IF(12=$K4,200000,ABS(12-$K4)*100)),100000+ABS(6-$J4)*1000+120)+'計算A'!EE$5*50+IF(AND($E4=1,NR4=0),25,0),INDEX('計算A'!EE$110:EE$114,$F4+1)+IF(AND($E4=1,NR4=0),1000,0)+IF($H4=1,(IF('計算A'!ED$117=1,INDEX('計算A'!ED$10:ED$54,$B4),0)+IF('計算A'!EE$117=1,INDEX('計算A'!EF$10:EF$54,$B4),0))*500,0)-IF(AND('計算A'!ED$117=1,ZB4&gt;0),300,0)-IF(AND($L4=1,'計算A'!EE$117=1,ID4=0),300,0))),1000000))</f>
        <v/>
      </c>
      <c r="TH4">
        <f>IF($B4=0,1000000,IF(INDEX('計算A'!$D$60:$EQ$104,$B4,133)*ID4=1,IF(AND($E4=2,NS4=0),1000000,IF($I4&gt;0,IF(6=$J4,IF(OR(AND(133=$I4+1,OR($K4&lt;&gt;'計算A'!$A$3,'計算A'!$A$4=0)),AND(133=$I4-1,OR(13&lt;&gt;'計算A'!$A$3,'計算A'!$A$4=0))),0,IF(13=$K4,200000,ABS(13-$K4)*100)),100000+ABS(6-$J4)*1000+130)+'計算A'!EF$5*50+IF(AND($E4=1,NS4=0),25,0),INDEX('計算A'!EF$110:EF$114,$F4+1)+IF(AND($E4=1,NS4=0),1000,0)+IF($H4=1,(IF('計算A'!EE$117=1,INDEX('計算A'!EE$10:EE$54,$B4),0)+IF('計算A'!EF$117=1,INDEX('計算A'!EG$10:EG$54,$B4),0))*500,0)-IF(AND('計算A'!EE$117=1,ZC4&gt;0),300,0)-IF(AND($L4=1,'計算A'!EF$117=1,IE4=0),300,0))),1000000))</f>
        <v/>
      </c>
      <c r="TI4">
        <f>IF($B4=0,1000000,IF(INDEX('計算A'!$D$60:$EQ$104,$B4,134)*IE4=1,IF(AND($E4=2,NT4=0),1000000,IF($I4&gt;0,IF(6=$J4,IF(OR(AND(134=$I4+1,OR($K4&lt;&gt;'計算A'!$A$3,'計算A'!$A$4=0)),AND(134=$I4-1,OR(14&lt;&gt;'計算A'!$A$3,'計算A'!$A$4=0))),0,IF(14=$K4,200000,ABS(14-$K4)*100)),100000+ABS(6-$J4)*1000+140)+'計算A'!EG$5*50+IF(AND($E4=1,NT4=0),25,0),INDEX('計算A'!EG$110:EG$114,$F4+1)+IF(AND($E4=1,NT4=0),1000,0)+IF($H4=1,(IF('計算A'!EF$117=1,INDEX('計算A'!EF$10:EF$54,$B4),0)+IF('計算A'!EG$117=1,INDEX('計算A'!EH$10:EH$54,$B4),0))*500,0)-IF(AND('計算A'!EF$117=1,ZD4&gt;0),300,0)-IF(AND($L4=1,'計算A'!EG$117=1,IF4=0),300,0))),1000000))</f>
        <v/>
      </c>
      <c r="TJ4">
        <f>IF($B4=0,1000000,IF(INDEX('計算A'!$D$60:$EQ$104,$B4,135)*IF4=1,IF(AND($E4=2,NU4=0),1000000,IF($I4&gt;0,IF(6=$J4,IF(OR(AND(135=$I4+1,OR($K4&lt;&gt;'計算A'!$A$3,'計算A'!$A$4=0)),AND(135=$I4-1,OR(15&lt;&gt;'計算A'!$A$3,'計算A'!$A$4=0))),0,IF(15=$K4,200000,ABS(15-$K4)*100)),100000+ABS(6-$J4)*1000+150)+'計算A'!EH$5*50+IF(AND($E4=1,NU4=0),25,0),INDEX('計算A'!EH$110:EH$114,$F4+1)+IF(AND($E4=1,NU4=0),1000,0)+IF($H4=1,(IF('計算A'!EG$117=1,INDEX('計算A'!EG$10:EG$54,$B4),0)+IF('計算A'!EH$117=1,INDEX('計算A'!EI$10:EI$54,$B4),0))*500,0)-IF(AND('計算A'!EG$117=1,ZE4&gt;0),300,0)-IF(AND($L4=1,'計算A'!EH$117=1,IG4=0),300,0))),1000000))</f>
        <v/>
      </c>
      <c r="TK4">
        <f>IF($B4=0,1000000,IF(INDEX('計算A'!$D$60:$EQ$104,$B4,136)*IG4=1,IF(AND($E4=2,NV4=0),1000000,IF($I4&gt;0,IF(6=$J4,IF(OR(AND(136=$I4+1,OR($K4&lt;&gt;'計算A'!$A$3,'計算A'!$A$4=0)),AND(136=$I4-1,OR(16&lt;&gt;'計算A'!$A$3,'計算A'!$A$4=0))),0,IF(16=$K4,200000,ABS(16-$K4)*100)),100000+ABS(6-$J4)*1000+160)+'計算A'!EI$5*50+IF(AND($E4=1,NV4=0),25,0),INDEX('計算A'!EI$110:EI$114,$F4+1)+IF(AND($E4=1,NV4=0),1000,0)+IF($H4=1,(IF('計算A'!EH$117=1,INDEX('計算A'!EH$10:EH$54,$B4),0)+IF('計算A'!EI$117=1,INDEX('計算A'!EJ$10:EJ$54,$B4),0))*500,0)-IF(AND('計算A'!EH$117=1,ZF4&gt;0),300,0)-IF(AND($L4=1,'計算A'!EI$117=1,IH4=0),300,0))),1000000))</f>
        <v/>
      </c>
      <c r="TL4">
        <f>IF($B4=0,1000000,IF(INDEX('計算A'!$D$60:$EQ$104,$B4,137)*IH4=1,IF(AND($E4=2,NW4=0),1000000,IF($I4&gt;0,IF(6=$J4,IF(OR(AND(137=$I4+1,OR($K4&lt;&gt;'計算A'!$A$3,'計算A'!$A$4=0)),AND(137=$I4-1,OR(17&lt;&gt;'計算A'!$A$3,'計算A'!$A$4=0))),0,IF(17=$K4,200000,ABS(17-$K4)*100)),100000+ABS(6-$J4)*1000+170)+'計算A'!EJ$5*50+IF(AND($E4=1,NW4=0),25,0),INDEX('計算A'!EJ$110:EJ$114,$F4+1)+IF(AND($E4=1,NW4=0),1000,0)+IF($H4=1,(IF('計算A'!EI$117=1,INDEX('計算A'!EI$10:EI$54,$B4),0)+IF('計算A'!EJ$117=1,INDEX('計算A'!EK$10:EK$54,$B4),0))*500,0)-IF(AND('計算A'!EI$117=1,ZG4&gt;0),300,0)-IF(AND($L4=1,'計算A'!EJ$117=1,II4=0),300,0))),1000000))</f>
        <v/>
      </c>
      <c r="TM4">
        <f>IF($B4=0,1000000,IF(INDEX('計算A'!$D$60:$EQ$104,$B4,138)*II4=1,IF(AND($E4=2,NX4=0),1000000,IF($I4&gt;0,IF(6=$J4,IF(OR(AND(138=$I4+1,OR($K4&lt;&gt;'計算A'!$A$3,'計算A'!$A$4=0)),AND(138=$I4-1,OR(18&lt;&gt;'計算A'!$A$3,'計算A'!$A$4=0))),0,IF(18=$K4,200000,ABS(18-$K4)*100)),100000+ABS(6-$J4)*1000+180)+'計算A'!EK$5*50+IF(AND($E4=1,NX4=0),25,0),INDEX('計算A'!EK$110:EK$114,$F4+1)+IF(AND($E4=1,NX4=0),1000,0)+IF($H4=1,(IF('計算A'!EJ$117=1,INDEX('計算A'!EJ$10:EJ$54,$B4),0)+IF('計算A'!EK$117=1,INDEX('計算A'!EL$10:EL$54,$B4),0))*500,0)-IF(AND('計算A'!EJ$117=1,ZH4&gt;0),300,0)-IF(AND($L4=1,'計算A'!EK$117=1,IJ4=0),300,0))),1000000))</f>
        <v/>
      </c>
      <c r="TN4">
        <f>IF($B4=0,1000000,IF(INDEX('計算A'!$D$60:$EQ$104,$B4,139)*IJ4=1,IF(AND($E4=2,NY4=0),1000000,IF($I4&gt;0,IF(6=$J4,IF(OR(AND(139=$I4+1,OR($K4&lt;&gt;'計算A'!$A$3,'計算A'!$A$4=0)),AND(139=$I4-1,OR(19&lt;&gt;'計算A'!$A$3,'計算A'!$A$4=0))),0,IF(19=$K4,200000,ABS(19-$K4)*100)),100000+ABS(6-$J4)*1000+190)+'計算A'!EL$5*50+IF(AND($E4=1,NY4=0),25,0),INDEX('計算A'!EL$110:EL$114,$F4+1)+IF(AND($E4=1,NY4=0),1000,0)+IF($H4=1,(IF('計算A'!EK$117=1,INDEX('計算A'!EK$10:EK$54,$B4),0)+IF('計算A'!EL$117=1,INDEX('計算A'!EM$10:EM$54,$B4),0))*500,0)-IF(AND('計算A'!EK$117=1,ZI4&gt;0),300,0)-IF(AND($L4=1,'計算A'!EL$117=1,IK4=0),300,0))),1000000))</f>
        <v/>
      </c>
      <c r="TO4">
        <f>IF($B4=0,1000000,IF(INDEX('計算A'!$D$60:$EQ$104,$B4,140)*IK4=1,IF(AND($E4=2,NZ4=0),1000000,IF($I4&gt;0,IF(6=$J4,IF(OR(AND(140=$I4+1,OR($K4&lt;&gt;'計算A'!$A$3,'計算A'!$A$4=0)),AND(140=$I4-1,OR(20&lt;&gt;'計算A'!$A$3,'計算A'!$A$4=0))),0,IF(20=$K4,200000,ABS(20-$K4)*100)),100000+ABS(6-$J4)*1000+200)+'計算A'!EM$5*50+IF(AND($E4=1,NZ4=0),25,0),INDEX('計算A'!EM$110:EM$114,$F4+1)+IF(AND($E4=1,NZ4=0),1000,0)+IF($H4=1,(IF('計算A'!EL$117=1,INDEX('計算A'!EL$10:EL$54,$B4),0)+IF('計算A'!EM$117=1,INDEX('計算A'!EN$10:EN$54,$B4),0))*500,0)-IF(AND('計算A'!EL$117=1,ZJ4&gt;0),300,0)-IF(AND($L4=1,'計算A'!EM$117=1,IL4=0),300,0))),1000000))</f>
        <v/>
      </c>
      <c r="TP4">
        <f>IF($B4=0,1000000,IF(INDEX('計算A'!$D$60:$EQ$104,$B4,141)*IL4=1,IF(AND($E4=2,OA4=0),1000000,IF($I4&gt;0,IF(6=$J4,IF(OR(AND(141=$I4+1,OR($K4&lt;&gt;'計算A'!$A$3,'計算A'!$A$4=0)),AND(141=$I4-1,OR(21&lt;&gt;'計算A'!$A$3,'計算A'!$A$4=0))),0,IF(21=$K4,200000,ABS(21-$K4)*100)),100000+ABS(6-$J4)*1000+210)+'計算A'!EN$5*50+IF(AND($E4=1,OA4=0),25,0),INDEX('計算A'!EN$110:EN$114,$F4+1)+IF(AND($E4=1,OA4=0),1000,0)+IF($H4=1,(IF('計算A'!EM$117=1,INDEX('計算A'!EM$10:EM$54,$B4),0)+IF('計算A'!EN$117=1,INDEX('計算A'!EO$10:EO$54,$B4),0))*500,0)-IF(AND('計算A'!EM$117=1,ZK4&gt;0),300,0)-IF(AND($L4=1,'計算A'!EN$117=1,IM4=0),300,0))),1000000))</f>
        <v/>
      </c>
      <c r="TQ4">
        <f>IF($B4=0,1000000,IF(INDEX('計算A'!$D$60:$EQ$104,$B4,142)*IM4=1,IF(AND($E4=2,OB4=0),1000000,IF($I4&gt;0,IF(6=$J4,IF(OR(AND(142=$I4+1,OR($K4&lt;&gt;'計算A'!$A$3,'計算A'!$A$4=0)),AND(142=$I4-1,OR(22&lt;&gt;'計算A'!$A$3,'計算A'!$A$4=0))),0,IF(22=$K4,200000,ABS(22-$K4)*100)),100000+ABS(6-$J4)*1000+220)+'計算A'!EO$5*50+IF(AND($E4=1,OB4=0),25,0),INDEX('計算A'!EO$110:EO$114,$F4+1)+IF(AND($E4=1,OB4=0),1000,0)+IF($H4=1,(IF('計算A'!EN$117=1,INDEX('計算A'!EN$10:EN$54,$B4),0)+IF('計算A'!EO$117=1,INDEX('計算A'!EP$10:EP$54,$B4),0))*500,0)-IF(AND('計算A'!EN$117=1,ZL4&gt;0),300,0)-IF(AND($L4=1,'計算A'!EO$117=1,IN4=0),300,0))),1000000))</f>
        <v/>
      </c>
      <c r="TR4">
        <f>IF($B4=0,1000000,IF(INDEX('計算A'!$D$60:$EQ$104,$B4,143)*IN4=1,IF(AND($E4=2,OC4=0),1000000,IF($I4&gt;0,IF(6=$J4,IF(OR(AND(143=$I4+1,OR($K4&lt;&gt;'計算A'!$A$3,'計算A'!$A$4=0)),AND(143=$I4-1,OR(23&lt;&gt;'計算A'!$A$3,'計算A'!$A$4=0))),0,IF(23=$K4,200000,ABS(23-$K4)*100)),100000+ABS(6-$J4)*1000+230)+'計算A'!EP$5*50+IF(AND($E4=1,OC4=0),25,0),INDEX('計算A'!EP$110:EP$114,$F4+1)+IF(AND($E4=1,OC4=0),1000,0)+IF($H4=1,(IF('計算A'!EO$117=1,INDEX('計算A'!EO$10:EO$54,$B4),0)+IF('計算A'!EP$117=1,INDEX('計算A'!EQ$10:EQ$54,$B4),0))*500,0)-IF(AND('計算A'!EO$117=1,ZM4&gt;0),300,0)-IF(AND($L4=1,'計算A'!EP$117=1,IO4=0),300,0))),1000000))</f>
        <v/>
      </c>
      <c r="TS4">
        <f>IF($B4=0,1000000,IF(INDEX('計算A'!$D$60:$EQ$104,$B4,144)*IO4=1,IF(AND($E4=2,OD4=0),1000000,IF($I4&gt;0,IF(6=$J4,IF(OR(AND(144=$I4+1,OR($K4&lt;&gt;'計算A'!$A$3,'計算A'!$A$4=0)),AND(144=$I4-1,OR(24&lt;&gt;'計算A'!$A$3,'計算A'!$A$4=0))),0,IF(24=$K4,200000,ABS(24-$K4)*100)),100000+ABS(6-$J4)*1000+240)+'計算A'!EQ$5*50+IF(AND($E4=1,OD4=0),25,0),INDEX('計算A'!EQ$110:EQ$114,$F4+1)+IF(AND($E4=1,OD4=0),1000,0)+IF($H4=1,(IF('計算A'!EP$117=1,INDEX('計算A'!EP$10:EP$54,$B4),0))*500,0)-IF(AND('計算A'!EP$117=1,ZN4&gt;0),300,0))),1000000))</f>
        <v/>
      </c>
      <c r="UB4">
        <f>UB3+IF(AND($C3=1,$L3=1),1,0)</f>
        <v/>
      </c>
      <c r="UC4">
        <f>UC3+IF(AND($C3=2,$L3=1),1,0)</f>
        <v/>
      </c>
      <c r="UD4">
        <f>UD3+IF(AND($C3=3,$L3=1),1,0)</f>
        <v/>
      </c>
      <c r="UE4">
        <f>UE3+IF(AND($C3=4,$L3=1),1,0)</f>
        <v/>
      </c>
      <c r="UF4">
        <f>UF3+IF(AND($C3=5,$L3=1),1,0)</f>
        <v/>
      </c>
      <c r="UG4">
        <f>UG3+IF(AND($C3=6,$L3=1),1,0)</f>
        <v/>
      </c>
      <c r="UH4">
        <f>UH3+IF(AND($C3=7,$L3=1),1,0)</f>
        <v/>
      </c>
      <c r="UI4">
        <f>UI3+IF(AND($C3=8,$L3=1),1,0)</f>
        <v/>
      </c>
      <c r="UJ4">
        <f>UJ3+IF(AND($C3=9,$L3=1),1,0)</f>
        <v/>
      </c>
      <c r="UK4">
        <f>UK3+IF(AND($C3=10,$L3=1),1,0)</f>
        <v/>
      </c>
      <c r="UL4">
        <f>UL3+IF(AND($C3=11,$L3=1),1,0)</f>
        <v/>
      </c>
      <c r="UM4">
        <f>UM3+IF(AND($C3=12,$L3=1),1,0)</f>
        <v/>
      </c>
      <c r="UN4">
        <f>UN3+IF(AND($C3=13,$L3=1),1,0)</f>
        <v/>
      </c>
      <c r="UO4">
        <f>UO3+IF(AND($C3=14,$L3=1),1,0)</f>
        <v/>
      </c>
      <c r="UP4">
        <f>UP3+IF(AND($C3=15,$L3=1),1,0)</f>
        <v/>
      </c>
      <c r="UQ4">
        <f>UQ3+IF(AND($C3=16,$L3=1),1,0)</f>
        <v/>
      </c>
      <c r="UR4">
        <f>UR3+IF(AND($C3=17,$L3=1),1,0)</f>
        <v/>
      </c>
      <c r="US4">
        <f>US3+IF(AND($C3=18,$L3=1),1,0)</f>
        <v/>
      </c>
      <c r="UT4">
        <f>UT3+IF(AND($C3=19,$L3=1),1,0)</f>
        <v/>
      </c>
      <c r="UU4">
        <f>UU3+IF(AND($C3=20,$L3=1),1,0)</f>
        <v/>
      </c>
      <c r="UV4">
        <f>UV3+IF(AND($C3=21,$L3=1),1,0)</f>
        <v/>
      </c>
      <c r="UW4">
        <f>UW3+IF(AND($C3=22,$L3=1),1,0)</f>
        <v/>
      </c>
      <c r="UX4">
        <f>UX3+IF(AND($C3=23,$L3=1),1,0)</f>
        <v/>
      </c>
      <c r="UY4">
        <f>UY3+IF(AND($C3=24,$L3=1),1,0)</f>
        <v/>
      </c>
      <c r="UZ4">
        <f>UZ3+IF(AND($C3=25,$L3=1),1,0)</f>
        <v/>
      </c>
      <c r="VA4">
        <f>VA3+IF(AND($C3=26,$L3=1),1,0)</f>
        <v/>
      </c>
      <c r="VB4">
        <f>VB3+IF(AND($C3=27,$L3=1),1,0)</f>
        <v/>
      </c>
      <c r="VC4">
        <f>VC3+IF(AND($C3=28,$L3=1),1,0)</f>
        <v/>
      </c>
      <c r="VD4">
        <f>VD3+IF(AND($C3=29,$L3=1),1,0)</f>
        <v/>
      </c>
      <c r="VE4">
        <f>VE3+IF(AND($C3=30,$L3=1),1,0)</f>
        <v/>
      </c>
      <c r="VF4">
        <f>VF3+IF(AND($C3=31,$L3=1),1,0)</f>
        <v/>
      </c>
      <c r="VG4">
        <f>VG3+IF(AND($C3=32,$L3=1),1,0)</f>
        <v/>
      </c>
      <c r="VH4">
        <f>VH3+IF(AND($C3=33,$L3=1),1,0)</f>
        <v/>
      </c>
      <c r="VI4">
        <f>VI3+IF(AND($C3=34,$L3=1),1,0)</f>
        <v/>
      </c>
      <c r="VJ4">
        <f>VJ3+IF(AND($C3=35,$L3=1),1,0)</f>
        <v/>
      </c>
      <c r="VK4">
        <f>VK3+IF(AND($C3=36,$L3=1),1,0)</f>
        <v/>
      </c>
      <c r="VL4">
        <f>VL3+IF(AND($C3=37,$L3=1),1,0)</f>
        <v/>
      </c>
      <c r="VM4">
        <f>VM3+IF(AND($C3=38,$L3=1),1,0)</f>
        <v/>
      </c>
      <c r="VN4">
        <f>VN3+IF(AND($C3=39,$L3=1),1,0)</f>
        <v/>
      </c>
      <c r="VO4">
        <f>VO3+IF(AND($C3=40,$L3=1),1,0)</f>
        <v/>
      </c>
      <c r="VP4">
        <f>VP3+IF(AND($C3=41,$L3=1),1,0)</f>
        <v/>
      </c>
      <c r="VQ4">
        <f>VQ3+IF(AND($C3=42,$L3=1),1,0)</f>
        <v/>
      </c>
      <c r="VR4">
        <f>VR3+IF(AND($C3=43,$L3=1),1,0)</f>
        <v/>
      </c>
      <c r="VS4">
        <f>VS3+IF(AND($C3=44,$L3=1),1,0)</f>
        <v/>
      </c>
      <c r="VT4">
        <f>VT3+IF(AND($C3=45,$L3=1),1,0)</f>
        <v/>
      </c>
      <c r="VU4">
        <f>VU3+IF(AND($C3=46,$L3=1),1,0)</f>
        <v/>
      </c>
      <c r="VV4">
        <f>VV3+IF(AND($C3=47,$L3=1),1,0)</f>
        <v/>
      </c>
      <c r="VW4">
        <f>VW3+IF(AND($C3=48,$L3=1),1,0)</f>
        <v/>
      </c>
      <c r="VX4">
        <f>VX3+IF(AND($C3=49,$L3=1),1,0)</f>
        <v/>
      </c>
      <c r="VY4">
        <f>VY3+IF(AND($C3=50,$L3=1),1,0)</f>
        <v/>
      </c>
      <c r="VZ4">
        <f>VZ3+IF(AND($C3=51,$L3=1),1,0)</f>
        <v/>
      </c>
      <c r="WA4">
        <f>WA3+IF(AND($C3=52,$L3=1),1,0)</f>
        <v/>
      </c>
      <c r="WB4">
        <f>WB3+IF(AND($C3=53,$L3=1),1,0)</f>
        <v/>
      </c>
      <c r="WC4">
        <f>WC3+IF(AND($C3=54,$L3=1),1,0)</f>
        <v/>
      </c>
      <c r="WD4">
        <f>WD3+IF(AND($C3=55,$L3=1),1,0)</f>
        <v/>
      </c>
      <c r="WE4">
        <f>WE3+IF(AND($C3=56,$L3=1),1,0)</f>
        <v/>
      </c>
      <c r="WF4">
        <f>WF3+IF(AND($C3=57,$L3=1),1,0)</f>
        <v/>
      </c>
      <c r="WG4">
        <f>WG3+IF(AND($C3=58,$L3=1),1,0)</f>
        <v/>
      </c>
      <c r="WH4">
        <f>WH3+IF(AND($C3=59,$L3=1),1,0)</f>
        <v/>
      </c>
      <c r="WI4">
        <f>WI3+IF(AND($C3=60,$L3=1),1,0)</f>
        <v/>
      </c>
      <c r="WJ4">
        <f>WJ3+IF(AND($C3=61,$L3=1),1,0)</f>
        <v/>
      </c>
      <c r="WK4">
        <f>WK3+IF(AND($C3=62,$L3=1),1,0)</f>
        <v/>
      </c>
      <c r="WL4">
        <f>WL3+IF(AND($C3=63,$L3=1),1,0)</f>
        <v/>
      </c>
      <c r="WM4">
        <f>WM3+IF(AND($C3=64,$L3=1),1,0)</f>
        <v/>
      </c>
      <c r="WN4">
        <f>WN3+IF(AND($C3=65,$L3=1),1,0)</f>
        <v/>
      </c>
      <c r="WO4">
        <f>WO3+IF(AND($C3=66,$L3=1),1,0)</f>
        <v/>
      </c>
      <c r="WP4">
        <f>WP3+IF(AND($C3=67,$L3=1),1,0)</f>
        <v/>
      </c>
      <c r="WQ4">
        <f>WQ3+IF(AND($C3=68,$L3=1),1,0)</f>
        <v/>
      </c>
      <c r="WR4">
        <f>WR3+IF(AND($C3=69,$L3=1),1,0)</f>
        <v/>
      </c>
      <c r="WS4">
        <f>WS3+IF(AND($C3=70,$L3=1),1,0)</f>
        <v/>
      </c>
      <c r="WT4">
        <f>WT3+IF(AND($C3=71,$L3=1),1,0)</f>
        <v/>
      </c>
      <c r="WU4">
        <f>WU3+IF(AND($C3=72,$L3=1),1,0)</f>
        <v/>
      </c>
      <c r="WV4">
        <f>WV3+IF(AND($C3=73,$L3=1),1,0)</f>
        <v/>
      </c>
      <c r="WW4">
        <f>WW3+IF(AND($C3=74,$L3=1),1,0)</f>
        <v/>
      </c>
      <c r="WX4">
        <f>WX3+IF(AND($C3=75,$L3=1),1,0)</f>
        <v/>
      </c>
      <c r="WY4">
        <f>WY3+IF(AND($C3=76,$L3=1),1,0)</f>
        <v/>
      </c>
      <c r="WZ4">
        <f>WZ3+IF(AND($C3=77,$L3=1),1,0)</f>
        <v/>
      </c>
      <c r="XA4">
        <f>XA3+IF(AND($C3=78,$L3=1),1,0)</f>
        <v/>
      </c>
      <c r="XB4">
        <f>XB3+IF(AND($C3=79,$L3=1),1,0)</f>
        <v/>
      </c>
      <c r="XC4">
        <f>XC3+IF(AND($C3=80,$L3=1),1,0)</f>
        <v/>
      </c>
      <c r="XD4">
        <f>XD3+IF(AND($C3=81,$L3=1),1,0)</f>
        <v/>
      </c>
      <c r="XE4">
        <f>XE3+IF(AND($C3=82,$L3=1),1,0)</f>
        <v/>
      </c>
      <c r="XF4">
        <f>XF3+IF(AND($C3=83,$L3=1),1,0)</f>
        <v/>
      </c>
      <c r="XG4">
        <f>XG3+IF(AND($C3=84,$L3=1),1,0)</f>
        <v/>
      </c>
      <c r="XH4">
        <f>XH3+IF(AND($C3=85,$L3=1),1,0)</f>
        <v/>
      </c>
      <c r="XI4">
        <f>XI3+IF(AND($C3=86,$L3=1),1,0)</f>
        <v/>
      </c>
      <c r="XJ4">
        <f>XJ3+IF(AND($C3=87,$L3=1),1,0)</f>
        <v/>
      </c>
      <c r="XK4">
        <f>XK3+IF(AND($C3=88,$L3=1),1,0)</f>
        <v/>
      </c>
      <c r="XL4">
        <f>XL3+IF(AND($C3=89,$L3=1),1,0)</f>
        <v/>
      </c>
      <c r="XM4">
        <f>XM3+IF(AND($C3=90,$L3=1),1,0)</f>
        <v/>
      </c>
      <c r="XN4">
        <f>XN3+IF(AND($C3=91,$L3=1),1,0)</f>
        <v/>
      </c>
      <c r="XO4">
        <f>XO3+IF(AND($C3=92,$L3=1),1,0)</f>
        <v/>
      </c>
      <c r="XP4">
        <f>XP3+IF(AND($C3=93,$L3=1),1,0)</f>
        <v/>
      </c>
      <c r="XQ4">
        <f>XQ3+IF(AND($C3=94,$L3=1),1,0)</f>
        <v/>
      </c>
      <c r="XR4">
        <f>XR3+IF(AND($C3=95,$L3=1),1,0)</f>
        <v/>
      </c>
      <c r="XS4">
        <f>XS3+IF(AND($C3=96,$L3=1),1,0)</f>
        <v/>
      </c>
      <c r="XT4">
        <f>XT3+IF(AND($C3=97,$L3=1),1,0)</f>
        <v/>
      </c>
      <c r="XU4">
        <f>XU3+IF(AND($C3=98,$L3=1),1,0)</f>
        <v/>
      </c>
      <c r="XV4">
        <f>XV3+IF(AND($C3=99,$L3=1),1,0)</f>
        <v/>
      </c>
      <c r="XW4">
        <f>XW3+IF(AND($C3=100,$L3=1),1,0)</f>
        <v/>
      </c>
      <c r="XX4">
        <f>XX3+IF(AND($C3=101,$L3=1),1,0)</f>
        <v/>
      </c>
      <c r="XY4">
        <f>XY3+IF(AND($C3=102,$L3=1),1,0)</f>
        <v/>
      </c>
      <c r="XZ4">
        <f>XZ3+IF(AND($C3=103,$L3=1),1,0)</f>
        <v/>
      </c>
      <c r="YA4">
        <f>YA3+IF(AND($C3=104,$L3=1),1,0)</f>
        <v/>
      </c>
      <c r="YB4">
        <f>YB3+IF(AND($C3=105,$L3=1),1,0)</f>
        <v/>
      </c>
      <c r="YC4">
        <f>YC3+IF(AND($C3=106,$L3=1),1,0)</f>
        <v/>
      </c>
      <c r="YD4">
        <f>YD3+IF(AND($C3=107,$L3=1),1,0)</f>
        <v/>
      </c>
      <c r="YE4">
        <f>YE3+IF(AND($C3=108,$L3=1),1,0)</f>
        <v/>
      </c>
      <c r="YF4">
        <f>YF3+IF(AND($C3=109,$L3=1),1,0)</f>
        <v/>
      </c>
      <c r="YG4">
        <f>YG3+IF(AND($C3=110,$L3=1),1,0)</f>
        <v/>
      </c>
      <c r="YH4">
        <f>YH3+IF(AND($C3=111,$L3=1),1,0)</f>
        <v/>
      </c>
      <c r="YI4">
        <f>YI3+IF(AND($C3=112,$L3=1),1,0)</f>
        <v/>
      </c>
      <c r="YJ4">
        <f>YJ3+IF(AND($C3=113,$L3=1),1,0)</f>
        <v/>
      </c>
      <c r="YK4">
        <f>YK3+IF(AND($C3=114,$L3=1),1,0)</f>
        <v/>
      </c>
      <c r="YL4">
        <f>YL3+IF(AND($C3=115,$L3=1),1,0)</f>
        <v/>
      </c>
      <c r="YM4">
        <f>YM3+IF(AND($C3=116,$L3=1),1,0)</f>
        <v/>
      </c>
      <c r="YN4">
        <f>YN3+IF(AND($C3=117,$L3=1),1,0)</f>
        <v/>
      </c>
      <c r="YO4">
        <f>YO3+IF(AND($C3=118,$L3=1),1,0)</f>
        <v/>
      </c>
      <c r="YP4">
        <f>YP3+IF(AND($C3=119,$L3=1),1,0)</f>
        <v/>
      </c>
      <c r="YQ4">
        <f>YQ3+IF(AND($C3=120,$L3=1),1,0)</f>
        <v/>
      </c>
      <c r="YR4">
        <f>YR3+IF(AND($C3=121,$L3=1),1,0)</f>
        <v/>
      </c>
      <c r="YS4">
        <f>YS3+IF(AND($C3=122,$L3=1),1,0)</f>
        <v/>
      </c>
      <c r="YT4">
        <f>YT3+IF(AND($C3=123,$L3=1),1,0)</f>
        <v/>
      </c>
      <c r="YU4">
        <f>YU3+IF(AND($C3=124,$L3=1),1,0)</f>
        <v/>
      </c>
      <c r="YV4">
        <f>YV3+IF(AND($C3=125,$L3=1),1,0)</f>
        <v/>
      </c>
      <c r="YW4">
        <f>YW3+IF(AND($C3=126,$L3=1),1,0)</f>
        <v/>
      </c>
      <c r="YX4">
        <f>YX3+IF(AND($C3=127,$L3=1),1,0)</f>
        <v/>
      </c>
      <c r="YY4">
        <f>YY3+IF(AND($C3=128,$L3=1),1,0)</f>
        <v/>
      </c>
      <c r="YZ4">
        <f>YZ3+IF(AND($C3=129,$L3=1),1,0)</f>
        <v/>
      </c>
      <c r="ZA4">
        <f>ZA3+IF(AND($C3=130,$L3=1),1,0)</f>
        <v/>
      </c>
      <c r="ZB4">
        <f>ZB3+IF(AND($C3=131,$L3=1),1,0)</f>
        <v/>
      </c>
      <c r="ZC4">
        <f>ZC3+IF(AND($C3=132,$L3=1),1,0)</f>
        <v/>
      </c>
      <c r="ZD4">
        <f>ZD3+IF(AND($C3=133,$L3=1),1,0)</f>
        <v/>
      </c>
      <c r="ZE4">
        <f>ZE3+IF(AND($C3=134,$L3=1),1,0)</f>
        <v/>
      </c>
      <c r="ZF4">
        <f>ZF3+IF(AND($C3=135,$L3=1),1,0)</f>
        <v/>
      </c>
      <c r="ZG4">
        <f>ZG3+IF(AND($C3=136,$L3=1),1,0)</f>
        <v/>
      </c>
      <c r="ZH4">
        <f>ZH3+IF(AND($C3=137,$L3=1),1,0)</f>
        <v/>
      </c>
      <c r="ZI4">
        <f>ZI3+IF(AND($C3=138,$L3=1),1,0)</f>
        <v/>
      </c>
      <c r="ZJ4">
        <f>ZJ3+IF(AND($C3=139,$L3=1),1,0)</f>
        <v/>
      </c>
      <c r="ZK4">
        <f>ZK3+IF(AND($C3=140,$L3=1),1,0)</f>
        <v/>
      </c>
      <c r="ZL4">
        <f>ZL3+IF(AND($C3=141,$L3=1),1,0)</f>
        <v/>
      </c>
      <c r="ZM4">
        <f>ZM3+IF(AND($C3=142,$L3=1),1,0)</f>
        <v/>
      </c>
      <c r="ZN4">
        <f>ZN3+IF(AND($C3=143,$L3=1),1,0)</f>
        <v/>
      </c>
      <c r="ZO4">
        <f>ZO3+IF(AND($C3=144,$L3=1),1,0)</f>
        <v/>
      </c>
    </row>
    <row r="5">
      <c r="A5" t="n">
        <v>3</v>
      </c>
      <c r="B5">
        <f>IF(MIN(BH5:CZ5)&gt;=1000000,0,MATCH(MIN(BH5:CZ5),BH5:CZ5,0))</f>
        <v/>
      </c>
      <c r="C5">
        <f>IF(MIN(OF5:TS5)&gt;=1000000,0,MATCH(MIN(OF5:TS5),OF5:TS5,0))</f>
        <v/>
      </c>
      <c r="D5">
        <f>IF(C5&gt;0,INDEX('計算A'!$D$5:$EQ$5,C5),0)</f>
        <v/>
      </c>
      <c r="E5">
        <f>IF(B5=0,0,INDEX('計算A'!$IQ$10:$IQ$54,B5))</f>
        <v/>
      </c>
      <c r="F5">
        <f>IF(B5=0,0,INDEX('計算A'!$IP$10:$IP$54,B5))</f>
        <v/>
      </c>
      <c r="G5">
        <f>IF(AND(C5&gt;0,E5&gt;0),IF(AND(INDEX('計算A'!$D$106:$EQ$106,C5)=1,INDEX($IQ5:$OD5,C5)=1),C5+1,0),0)</f>
        <v/>
      </c>
      <c r="H5">
        <f>IF(B5=0,0,INDEX('計算A'!$IW$10:$IW$54,B5))</f>
        <v/>
      </c>
      <c r="I5">
        <f>IF(B5=0,0,MAX(0,INDEX('計算A'!$IT$10:$IT$54,B5)))</f>
        <v/>
      </c>
      <c r="J5">
        <f>IF(I5=0,0,INDEX('計算A'!$D$2:$EQ$2,I5))</f>
        <v/>
      </c>
      <c r="K5">
        <f>IF(I5=0,0,INDEX('計算A'!$D$3:$EQ$3,I5))</f>
        <v/>
      </c>
      <c r="L5">
        <f>IF(B5=0,0,INDEX('計算A'!$IX$10:$IX$54,B5))</f>
        <v/>
      </c>
      <c r="N5">
        <f>MAX(N4,IF($B4=1,1,0))</f>
        <v/>
      </c>
      <c r="O5">
        <f>MAX(O4,IF($B4=2,1,0))</f>
        <v/>
      </c>
      <c r="P5">
        <f>MAX(P4,IF($B4=3,1,0))</f>
        <v/>
      </c>
      <c r="Q5">
        <f>MAX(Q4,IF($B4=4,1,0))</f>
        <v/>
      </c>
      <c r="R5">
        <f>MAX(R4,IF($B4=5,1,0))</f>
        <v/>
      </c>
      <c r="S5">
        <f>MAX(S4,IF($B4=6,1,0))</f>
        <v/>
      </c>
      <c r="T5">
        <f>MAX(T4,IF($B4=7,1,0))</f>
        <v/>
      </c>
      <c r="U5">
        <f>MAX(U4,IF($B4=8,1,0))</f>
        <v/>
      </c>
      <c r="V5">
        <f>MAX(V4,IF($B4=9,1,0))</f>
        <v/>
      </c>
      <c r="W5">
        <f>MAX(W4,IF($B4=10,1,0))</f>
        <v/>
      </c>
      <c r="X5">
        <f>MAX(X4,IF($B4=11,1,0))</f>
        <v/>
      </c>
      <c r="Y5">
        <f>MAX(Y4,IF($B4=12,1,0))</f>
        <v/>
      </c>
      <c r="Z5">
        <f>MAX(Z4,IF($B4=13,1,0))</f>
        <v/>
      </c>
      <c r="AA5">
        <f>MAX(AA4,IF($B4=14,1,0))</f>
        <v/>
      </c>
      <c r="AB5">
        <f>MAX(AB4,IF($B4=15,1,0))</f>
        <v/>
      </c>
      <c r="AC5">
        <f>MAX(AC4,IF($B4=16,1,0))</f>
        <v/>
      </c>
      <c r="AD5">
        <f>MAX(AD4,IF($B4=17,1,0))</f>
        <v/>
      </c>
      <c r="AE5">
        <f>MAX(AE4,IF($B4=18,1,0))</f>
        <v/>
      </c>
      <c r="AF5">
        <f>MAX(AF4,IF($B4=19,1,0))</f>
        <v/>
      </c>
      <c r="AG5">
        <f>MAX(AG4,IF($B4=20,1,0))</f>
        <v/>
      </c>
      <c r="AH5">
        <f>MAX(AH4,IF($B4=21,1,0))</f>
        <v/>
      </c>
      <c r="AI5">
        <f>MAX(AI4,IF($B4=22,1,0))</f>
        <v/>
      </c>
      <c r="AJ5">
        <f>MAX(AJ4,IF($B4=23,1,0))</f>
        <v/>
      </c>
      <c r="AK5">
        <f>MAX(AK4,IF($B4=24,1,0))</f>
        <v/>
      </c>
      <c r="AL5">
        <f>MAX(AL4,IF($B4=25,1,0))</f>
        <v/>
      </c>
      <c r="AM5">
        <f>MAX(AM4,IF($B4=26,1,0))</f>
        <v/>
      </c>
      <c r="AN5">
        <f>MAX(AN4,IF($B4=27,1,0))</f>
        <v/>
      </c>
      <c r="AO5">
        <f>MAX(AO4,IF($B4=28,1,0))</f>
        <v/>
      </c>
      <c r="AP5">
        <f>MAX(AP4,IF($B4=29,1,0))</f>
        <v/>
      </c>
      <c r="AQ5">
        <f>MAX(AQ4,IF($B4=30,1,0))</f>
        <v/>
      </c>
      <c r="AR5">
        <f>MAX(AR4,IF($B4=31,1,0))</f>
        <v/>
      </c>
      <c r="AS5">
        <f>MAX(AS4,IF($B4=32,1,0))</f>
        <v/>
      </c>
      <c r="AT5">
        <f>MAX(AT4,IF($B4=33,1,0))</f>
        <v/>
      </c>
      <c r="AU5">
        <f>MAX(AU4,IF($B4=34,1,0))</f>
        <v/>
      </c>
      <c r="AV5">
        <f>MAX(AV4,IF($B4=35,1,0))</f>
        <v/>
      </c>
      <c r="AW5">
        <f>MAX(AW4,IF($B4=36,1,0))</f>
        <v/>
      </c>
      <c r="AX5">
        <f>MAX(AX4,IF($B4=37,1,0))</f>
        <v/>
      </c>
      <c r="AY5">
        <f>MAX(AY4,IF($B4=38,1,0))</f>
        <v/>
      </c>
      <c r="AZ5">
        <f>MAX(AZ4,IF($B4=39,1,0))</f>
        <v/>
      </c>
      <c r="BA5">
        <f>MAX(BA4,IF($B4=40,1,0))</f>
        <v/>
      </c>
      <c r="BB5">
        <f>MAX(BB4,IF($B4=41,1,0))</f>
        <v/>
      </c>
      <c r="BC5">
        <f>MAX(BC4,IF($B4=42,1,0))</f>
        <v/>
      </c>
      <c r="BD5">
        <f>MAX(BD4,IF($B4=43,1,0))</f>
        <v/>
      </c>
      <c r="BE5">
        <f>MAX(BE4,IF($B4=44,1,0))</f>
        <v/>
      </c>
      <c r="BF5">
        <f>MAX(BF4,IF($B4=45,1,0))</f>
        <v/>
      </c>
      <c r="BH5">
        <f>IF(N5=1,1000000,IF('計算A'!$IT$10&gt;0,0,500000)+IF('計算A'!$IQ$10=2,SUMPRODUCT('計算A'!$D$60:$EQ$60,$DB5:$IO5,$IQ5:$OD5),SUMPRODUCT('計算A'!$D$60:$EQ$60,$DB5:$IO5))*1000+1)</f>
        <v/>
      </c>
      <c r="BI5">
        <f>IF(O5=1,1000000,IF('計算A'!$IT$11&gt;0,0,500000)+IF('計算A'!$IQ$11=2,SUMPRODUCT('計算A'!$D$61:$EQ$61,$DB5:$IO5,$IQ5:$OD5),SUMPRODUCT('計算A'!$D$61:$EQ$61,$DB5:$IO5))*1000+2)</f>
        <v/>
      </c>
      <c r="BJ5">
        <f>IF(P5=1,1000000,IF('計算A'!$IT$12&gt;0,0,500000)+IF('計算A'!$IQ$12=2,SUMPRODUCT('計算A'!$D$62:$EQ$62,$DB5:$IO5,$IQ5:$OD5),SUMPRODUCT('計算A'!$D$62:$EQ$62,$DB5:$IO5))*1000+3)</f>
        <v/>
      </c>
      <c r="BK5">
        <f>IF(Q5=1,1000000,IF('計算A'!$IT$13&gt;0,0,500000)+IF('計算A'!$IQ$13=2,SUMPRODUCT('計算A'!$D$63:$EQ$63,$DB5:$IO5,$IQ5:$OD5),SUMPRODUCT('計算A'!$D$63:$EQ$63,$DB5:$IO5))*1000+4)</f>
        <v/>
      </c>
      <c r="BL5">
        <f>IF(R5=1,1000000,IF('計算A'!$IT$14&gt;0,0,500000)+IF('計算A'!$IQ$14=2,SUMPRODUCT('計算A'!$D$64:$EQ$64,$DB5:$IO5,$IQ5:$OD5),SUMPRODUCT('計算A'!$D$64:$EQ$64,$DB5:$IO5))*1000+5)</f>
        <v/>
      </c>
      <c r="BM5">
        <f>IF(S5=1,1000000,IF('計算A'!$IT$15&gt;0,0,500000)+IF('計算A'!$IQ$15=2,SUMPRODUCT('計算A'!$D$65:$EQ$65,$DB5:$IO5,$IQ5:$OD5),SUMPRODUCT('計算A'!$D$65:$EQ$65,$DB5:$IO5))*1000+6)</f>
        <v/>
      </c>
      <c r="BN5">
        <f>IF(T5=1,1000000,IF('計算A'!$IT$16&gt;0,0,500000)+IF('計算A'!$IQ$16=2,SUMPRODUCT('計算A'!$D$66:$EQ$66,$DB5:$IO5,$IQ5:$OD5),SUMPRODUCT('計算A'!$D$66:$EQ$66,$DB5:$IO5))*1000+7)</f>
        <v/>
      </c>
      <c r="BO5">
        <f>IF(U5=1,1000000,IF('計算A'!$IT$17&gt;0,0,500000)+IF('計算A'!$IQ$17=2,SUMPRODUCT('計算A'!$D$67:$EQ$67,$DB5:$IO5,$IQ5:$OD5),SUMPRODUCT('計算A'!$D$67:$EQ$67,$DB5:$IO5))*1000+8)</f>
        <v/>
      </c>
      <c r="BP5">
        <f>IF(V5=1,1000000,IF('計算A'!$IT$18&gt;0,0,500000)+IF('計算A'!$IQ$18=2,SUMPRODUCT('計算A'!$D$68:$EQ$68,$DB5:$IO5,$IQ5:$OD5),SUMPRODUCT('計算A'!$D$68:$EQ$68,$DB5:$IO5))*1000+9)</f>
        <v/>
      </c>
      <c r="BQ5">
        <f>IF(W5=1,1000000,IF('計算A'!$IT$19&gt;0,0,500000)+IF('計算A'!$IQ$19=2,SUMPRODUCT('計算A'!$D$69:$EQ$69,$DB5:$IO5,$IQ5:$OD5),SUMPRODUCT('計算A'!$D$69:$EQ$69,$DB5:$IO5))*1000+10)</f>
        <v/>
      </c>
      <c r="BR5">
        <f>IF(X5=1,1000000,IF('計算A'!$IT$20&gt;0,0,500000)+IF('計算A'!$IQ$20=2,SUMPRODUCT('計算A'!$D$70:$EQ$70,$DB5:$IO5,$IQ5:$OD5),SUMPRODUCT('計算A'!$D$70:$EQ$70,$DB5:$IO5))*1000+11)</f>
        <v/>
      </c>
      <c r="BS5">
        <f>IF(Y5=1,1000000,IF('計算A'!$IT$21&gt;0,0,500000)+IF('計算A'!$IQ$21=2,SUMPRODUCT('計算A'!$D$71:$EQ$71,$DB5:$IO5,$IQ5:$OD5),SUMPRODUCT('計算A'!$D$71:$EQ$71,$DB5:$IO5))*1000+12)</f>
        <v/>
      </c>
      <c r="BT5">
        <f>IF(Z5=1,1000000,IF('計算A'!$IT$22&gt;0,0,500000)+IF('計算A'!$IQ$22=2,SUMPRODUCT('計算A'!$D$72:$EQ$72,$DB5:$IO5,$IQ5:$OD5),SUMPRODUCT('計算A'!$D$72:$EQ$72,$DB5:$IO5))*1000+13)</f>
        <v/>
      </c>
      <c r="BU5">
        <f>IF(AA5=1,1000000,IF('計算A'!$IT$23&gt;0,0,500000)+IF('計算A'!$IQ$23=2,SUMPRODUCT('計算A'!$D$73:$EQ$73,$DB5:$IO5,$IQ5:$OD5),SUMPRODUCT('計算A'!$D$73:$EQ$73,$DB5:$IO5))*1000+14)</f>
        <v/>
      </c>
      <c r="BV5">
        <f>IF(AB5=1,1000000,IF('計算A'!$IT$24&gt;0,0,500000)+IF('計算A'!$IQ$24=2,SUMPRODUCT('計算A'!$D$74:$EQ$74,$DB5:$IO5,$IQ5:$OD5),SUMPRODUCT('計算A'!$D$74:$EQ$74,$DB5:$IO5))*1000+15)</f>
        <v/>
      </c>
      <c r="BW5">
        <f>IF(AC5=1,1000000,IF('計算A'!$IT$25&gt;0,0,500000)+IF('計算A'!$IQ$25=2,SUMPRODUCT('計算A'!$D$75:$EQ$75,$DB5:$IO5,$IQ5:$OD5),SUMPRODUCT('計算A'!$D$75:$EQ$75,$DB5:$IO5))*1000+16)</f>
        <v/>
      </c>
      <c r="BX5">
        <f>IF(AD5=1,1000000,IF('計算A'!$IT$26&gt;0,0,500000)+IF('計算A'!$IQ$26=2,SUMPRODUCT('計算A'!$D$76:$EQ$76,$DB5:$IO5,$IQ5:$OD5),SUMPRODUCT('計算A'!$D$76:$EQ$76,$DB5:$IO5))*1000+17)</f>
        <v/>
      </c>
      <c r="BY5">
        <f>IF(AE5=1,1000000,IF('計算A'!$IT$27&gt;0,0,500000)+IF('計算A'!$IQ$27=2,SUMPRODUCT('計算A'!$D$77:$EQ$77,$DB5:$IO5,$IQ5:$OD5),SUMPRODUCT('計算A'!$D$77:$EQ$77,$DB5:$IO5))*1000+18)</f>
        <v/>
      </c>
      <c r="BZ5">
        <f>IF(AF5=1,1000000,IF('計算A'!$IT$28&gt;0,0,500000)+IF('計算A'!$IQ$28=2,SUMPRODUCT('計算A'!$D$78:$EQ$78,$DB5:$IO5,$IQ5:$OD5),SUMPRODUCT('計算A'!$D$78:$EQ$78,$DB5:$IO5))*1000+19)</f>
        <v/>
      </c>
      <c r="CA5">
        <f>IF(AG5=1,1000000,IF('計算A'!$IT$29&gt;0,0,500000)+IF('計算A'!$IQ$29=2,SUMPRODUCT('計算A'!$D$79:$EQ$79,$DB5:$IO5,$IQ5:$OD5),SUMPRODUCT('計算A'!$D$79:$EQ$79,$DB5:$IO5))*1000+20)</f>
        <v/>
      </c>
      <c r="CB5">
        <f>IF(AH5=1,1000000,IF('計算A'!$IT$30&gt;0,0,500000)+IF('計算A'!$IQ$30=2,SUMPRODUCT('計算A'!$D$80:$EQ$80,$DB5:$IO5,$IQ5:$OD5),SUMPRODUCT('計算A'!$D$80:$EQ$80,$DB5:$IO5))*1000+21)</f>
        <v/>
      </c>
      <c r="CC5">
        <f>IF(AI5=1,1000000,IF('計算A'!$IT$31&gt;0,0,500000)+IF('計算A'!$IQ$31=2,SUMPRODUCT('計算A'!$D$81:$EQ$81,$DB5:$IO5,$IQ5:$OD5),SUMPRODUCT('計算A'!$D$81:$EQ$81,$DB5:$IO5))*1000+22)</f>
        <v/>
      </c>
      <c r="CD5">
        <f>IF(AJ5=1,1000000,IF('計算A'!$IT$32&gt;0,0,500000)+IF('計算A'!$IQ$32=2,SUMPRODUCT('計算A'!$D$82:$EQ$82,$DB5:$IO5,$IQ5:$OD5),SUMPRODUCT('計算A'!$D$82:$EQ$82,$DB5:$IO5))*1000+23)</f>
        <v/>
      </c>
      <c r="CE5">
        <f>IF(AK5=1,1000000,IF('計算A'!$IT$33&gt;0,0,500000)+IF('計算A'!$IQ$33=2,SUMPRODUCT('計算A'!$D$83:$EQ$83,$DB5:$IO5,$IQ5:$OD5),SUMPRODUCT('計算A'!$D$83:$EQ$83,$DB5:$IO5))*1000+24)</f>
        <v/>
      </c>
      <c r="CF5">
        <f>IF(AL5=1,1000000,IF('計算A'!$IT$34&gt;0,0,500000)+IF('計算A'!$IQ$34=2,SUMPRODUCT('計算A'!$D$84:$EQ$84,$DB5:$IO5,$IQ5:$OD5),SUMPRODUCT('計算A'!$D$84:$EQ$84,$DB5:$IO5))*1000+25)</f>
        <v/>
      </c>
      <c r="CG5">
        <f>IF(AM5=1,1000000,IF('計算A'!$IT$35&gt;0,0,500000)+IF('計算A'!$IQ$35=2,SUMPRODUCT('計算A'!$D$85:$EQ$85,$DB5:$IO5,$IQ5:$OD5),SUMPRODUCT('計算A'!$D$85:$EQ$85,$DB5:$IO5))*1000+26)</f>
        <v/>
      </c>
      <c r="CH5">
        <f>IF(AN5=1,1000000,IF('計算A'!$IT$36&gt;0,0,500000)+IF('計算A'!$IQ$36=2,SUMPRODUCT('計算A'!$D$86:$EQ$86,$DB5:$IO5,$IQ5:$OD5),SUMPRODUCT('計算A'!$D$86:$EQ$86,$DB5:$IO5))*1000+27)</f>
        <v/>
      </c>
      <c r="CI5">
        <f>IF(AO5=1,1000000,IF('計算A'!$IT$37&gt;0,0,500000)+IF('計算A'!$IQ$37=2,SUMPRODUCT('計算A'!$D$87:$EQ$87,$DB5:$IO5,$IQ5:$OD5),SUMPRODUCT('計算A'!$D$87:$EQ$87,$DB5:$IO5))*1000+28)</f>
        <v/>
      </c>
      <c r="CJ5">
        <f>IF(AP5=1,1000000,IF('計算A'!$IT$38&gt;0,0,500000)+IF('計算A'!$IQ$38=2,SUMPRODUCT('計算A'!$D$88:$EQ$88,$DB5:$IO5,$IQ5:$OD5),SUMPRODUCT('計算A'!$D$88:$EQ$88,$DB5:$IO5))*1000+29)</f>
        <v/>
      </c>
      <c r="CK5">
        <f>IF(AQ5=1,1000000,IF('計算A'!$IT$39&gt;0,0,500000)+IF('計算A'!$IQ$39=2,SUMPRODUCT('計算A'!$D$89:$EQ$89,$DB5:$IO5,$IQ5:$OD5),SUMPRODUCT('計算A'!$D$89:$EQ$89,$DB5:$IO5))*1000+30)</f>
        <v/>
      </c>
      <c r="CL5">
        <f>IF(AR5=1,1000000,IF('計算A'!$IT$40&gt;0,0,500000)+IF('計算A'!$IQ$40=2,SUMPRODUCT('計算A'!$D$90:$EQ$90,$DB5:$IO5,$IQ5:$OD5),SUMPRODUCT('計算A'!$D$90:$EQ$90,$DB5:$IO5))*1000+31)</f>
        <v/>
      </c>
      <c r="CM5">
        <f>IF(AS5=1,1000000,IF('計算A'!$IT$41&gt;0,0,500000)+IF('計算A'!$IQ$41=2,SUMPRODUCT('計算A'!$D$91:$EQ$91,$DB5:$IO5,$IQ5:$OD5),SUMPRODUCT('計算A'!$D$91:$EQ$91,$DB5:$IO5))*1000+32)</f>
        <v/>
      </c>
      <c r="CN5">
        <f>IF(AT5=1,1000000,IF('計算A'!$IT$42&gt;0,0,500000)+IF('計算A'!$IQ$42=2,SUMPRODUCT('計算A'!$D$92:$EQ$92,$DB5:$IO5,$IQ5:$OD5),SUMPRODUCT('計算A'!$D$92:$EQ$92,$DB5:$IO5))*1000+33)</f>
        <v/>
      </c>
      <c r="CO5">
        <f>IF(AU5=1,1000000,IF('計算A'!$IT$43&gt;0,0,500000)+IF('計算A'!$IQ$43=2,SUMPRODUCT('計算A'!$D$93:$EQ$93,$DB5:$IO5,$IQ5:$OD5),SUMPRODUCT('計算A'!$D$93:$EQ$93,$DB5:$IO5))*1000+34)</f>
        <v/>
      </c>
      <c r="CP5">
        <f>IF(AV5=1,1000000,IF('計算A'!$IT$44&gt;0,0,500000)+IF('計算A'!$IQ$44=2,SUMPRODUCT('計算A'!$D$94:$EQ$94,$DB5:$IO5,$IQ5:$OD5),SUMPRODUCT('計算A'!$D$94:$EQ$94,$DB5:$IO5))*1000+35)</f>
        <v/>
      </c>
      <c r="CQ5">
        <f>IF(AW5=1,1000000,IF('計算A'!$IT$45&gt;0,0,500000)+IF('計算A'!$IQ$45=2,SUMPRODUCT('計算A'!$D$95:$EQ$95,$DB5:$IO5,$IQ5:$OD5),SUMPRODUCT('計算A'!$D$95:$EQ$95,$DB5:$IO5))*1000+36)</f>
        <v/>
      </c>
      <c r="CR5">
        <f>IF(AX5=1,1000000,IF('計算A'!$IT$46&gt;0,0,500000)+IF('計算A'!$IQ$46=2,SUMPRODUCT('計算A'!$D$96:$EQ$96,$DB5:$IO5,$IQ5:$OD5),SUMPRODUCT('計算A'!$D$96:$EQ$96,$DB5:$IO5))*1000+37)</f>
        <v/>
      </c>
      <c r="CS5">
        <f>IF(AY5=1,1000000,IF('計算A'!$IT$47&gt;0,0,500000)+IF('計算A'!$IQ$47=2,SUMPRODUCT('計算A'!$D$97:$EQ$97,$DB5:$IO5,$IQ5:$OD5),SUMPRODUCT('計算A'!$D$97:$EQ$97,$DB5:$IO5))*1000+38)</f>
        <v/>
      </c>
      <c r="CT5">
        <f>IF(AZ5=1,1000000,IF('計算A'!$IT$48&gt;0,0,500000)+IF('計算A'!$IQ$48=2,SUMPRODUCT('計算A'!$D$98:$EQ$98,$DB5:$IO5,$IQ5:$OD5),SUMPRODUCT('計算A'!$D$98:$EQ$98,$DB5:$IO5))*1000+39)</f>
        <v/>
      </c>
      <c r="CU5">
        <f>IF(BA5=1,1000000,IF('計算A'!$IT$49&gt;0,0,500000)+IF('計算A'!$IQ$49=2,SUMPRODUCT('計算A'!$D$99:$EQ$99,$DB5:$IO5,$IQ5:$OD5),SUMPRODUCT('計算A'!$D$99:$EQ$99,$DB5:$IO5))*1000+40)</f>
        <v/>
      </c>
      <c r="CV5">
        <f>IF(BB5=1,1000000,IF('計算A'!$IT$50&gt;0,0,500000)+IF('計算A'!$IQ$50=2,SUMPRODUCT('計算A'!$D$100:$EQ$100,$DB5:$IO5,$IQ5:$OD5),SUMPRODUCT('計算A'!$D$100:$EQ$100,$DB5:$IO5))*1000+41)</f>
        <v/>
      </c>
      <c r="CW5">
        <f>IF(BC5=1,1000000,IF('計算A'!$IT$51&gt;0,0,500000)+IF('計算A'!$IQ$51=2,SUMPRODUCT('計算A'!$D$101:$EQ$101,$DB5:$IO5,$IQ5:$OD5),SUMPRODUCT('計算A'!$D$101:$EQ$101,$DB5:$IO5))*1000+42)</f>
        <v/>
      </c>
      <c r="CX5">
        <f>IF(BD5=1,1000000,IF('計算A'!$IT$52&gt;0,0,500000)+IF('計算A'!$IQ$52=2,SUMPRODUCT('計算A'!$D$102:$EQ$102,$DB5:$IO5,$IQ5:$OD5),SUMPRODUCT('計算A'!$D$102:$EQ$102,$DB5:$IO5))*1000+43)</f>
        <v/>
      </c>
      <c r="CY5">
        <f>IF(BE5=1,1000000,IF('計算A'!$IT$53&gt;0,0,500000)+IF('計算A'!$IQ$53=2,SUMPRODUCT('計算A'!$D$103:$EQ$103,$DB5:$IO5,$IQ5:$OD5),SUMPRODUCT('計算A'!$D$103:$EQ$103,$DB5:$IO5))*1000+44)</f>
        <v/>
      </c>
      <c r="CZ5">
        <f>IF(BF5=1,1000000,IF('計算A'!$IT$54&gt;0,0,500000)+IF('計算A'!$IQ$54=2,SUMPRODUCT('計算A'!$D$104:$EQ$104,$DB5:$IO5,$IQ5:$OD5),SUMPRODUCT('計算A'!$D$104:$EQ$104,$DB5:$IO5))*1000+45)</f>
        <v/>
      </c>
      <c r="DB5">
        <f>DB4*IF(OR($C4=1,$G4=1),0,1)</f>
        <v/>
      </c>
      <c r="DC5">
        <f>DC4*IF(OR($C4=2,$G4=2),0,1)</f>
        <v/>
      </c>
      <c r="DD5">
        <f>DD4*IF(OR($C4=3,$G4=3),0,1)</f>
        <v/>
      </c>
      <c r="DE5">
        <f>DE4*IF(OR($C4=4,$G4=4),0,1)</f>
        <v/>
      </c>
      <c r="DF5">
        <f>DF4*IF(OR($C4=5,$G4=5),0,1)</f>
        <v/>
      </c>
      <c r="DG5">
        <f>DG4*IF(OR($C4=6,$G4=6),0,1)</f>
        <v/>
      </c>
      <c r="DH5">
        <f>DH4*IF(OR($C4=7,$G4=7),0,1)</f>
        <v/>
      </c>
      <c r="DI5">
        <f>DI4*IF(OR($C4=8,$G4=8),0,1)</f>
        <v/>
      </c>
      <c r="DJ5">
        <f>DJ4*IF(OR($C4=9,$G4=9),0,1)</f>
        <v/>
      </c>
      <c r="DK5">
        <f>DK4*IF(OR($C4=10,$G4=10),0,1)</f>
        <v/>
      </c>
      <c r="DL5">
        <f>DL4*IF(OR($C4=11,$G4=11),0,1)</f>
        <v/>
      </c>
      <c r="DM5">
        <f>DM4*IF(OR($C4=12,$G4=12),0,1)</f>
        <v/>
      </c>
      <c r="DN5">
        <f>DN4*IF(OR($C4=13,$G4=13),0,1)</f>
        <v/>
      </c>
      <c r="DO5">
        <f>DO4*IF(OR($C4=14,$G4=14),0,1)</f>
        <v/>
      </c>
      <c r="DP5">
        <f>DP4*IF(OR($C4=15,$G4=15),0,1)</f>
        <v/>
      </c>
      <c r="DQ5">
        <f>DQ4*IF(OR($C4=16,$G4=16),0,1)</f>
        <v/>
      </c>
      <c r="DR5">
        <f>DR4*IF(OR($C4=17,$G4=17),0,1)</f>
        <v/>
      </c>
      <c r="DS5">
        <f>DS4*IF(OR($C4=18,$G4=18),0,1)</f>
        <v/>
      </c>
      <c r="DT5">
        <f>DT4*IF(OR($C4=19,$G4=19),0,1)</f>
        <v/>
      </c>
      <c r="DU5">
        <f>DU4*IF(OR($C4=20,$G4=20),0,1)</f>
        <v/>
      </c>
      <c r="DV5">
        <f>DV4*IF(OR($C4=21,$G4=21),0,1)</f>
        <v/>
      </c>
      <c r="DW5">
        <f>DW4*IF(OR($C4=22,$G4=22),0,1)</f>
        <v/>
      </c>
      <c r="DX5">
        <f>DX4*IF(OR($C4=23,$G4=23),0,1)</f>
        <v/>
      </c>
      <c r="DY5">
        <f>DY4*IF(OR($C4=24,$G4=24),0,1)</f>
        <v/>
      </c>
      <c r="DZ5">
        <f>DZ4*IF(OR($C4=25,$G4=25),0,1)</f>
        <v/>
      </c>
      <c r="EA5">
        <f>EA4*IF(OR($C4=26,$G4=26),0,1)</f>
        <v/>
      </c>
      <c r="EB5">
        <f>EB4*IF(OR($C4=27,$G4=27),0,1)</f>
        <v/>
      </c>
      <c r="EC5">
        <f>EC4*IF(OR($C4=28,$G4=28),0,1)</f>
        <v/>
      </c>
      <c r="ED5">
        <f>ED4*IF(OR($C4=29,$G4=29),0,1)</f>
        <v/>
      </c>
      <c r="EE5">
        <f>EE4*IF(OR($C4=30,$G4=30),0,1)</f>
        <v/>
      </c>
      <c r="EF5">
        <f>EF4*IF(OR($C4=31,$G4=31),0,1)</f>
        <v/>
      </c>
      <c r="EG5">
        <f>EG4*IF(OR($C4=32,$G4=32),0,1)</f>
        <v/>
      </c>
      <c r="EH5">
        <f>EH4*IF(OR($C4=33,$G4=33),0,1)</f>
        <v/>
      </c>
      <c r="EI5">
        <f>EI4*IF(OR($C4=34,$G4=34),0,1)</f>
        <v/>
      </c>
      <c r="EJ5">
        <f>EJ4*IF(OR($C4=35,$G4=35),0,1)</f>
        <v/>
      </c>
      <c r="EK5">
        <f>EK4*IF(OR($C4=36,$G4=36),0,1)</f>
        <v/>
      </c>
      <c r="EL5">
        <f>EL4*IF(OR($C4=37,$G4=37),0,1)</f>
        <v/>
      </c>
      <c r="EM5">
        <f>EM4*IF(OR($C4=38,$G4=38),0,1)</f>
        <v/>
      </c>
      <c r="EN5">
        <f>EN4*IF(OR($C4=39,$G4=39),0,1)</f>
        <v/>
      </c>
      <c r="EO5">
        <f>EO4*IF(OR($C4=40,$G4=40),0,1)</f>
        <v/>
      </c>
      <c r="EP5">
        <f>EP4*IF(OR($C4=41,$G4=41),0,1)</f>
        <v/>
      </c>
      <c r="EQ5">
        <f>EQ4*IF(OR($C4=42,$G4=42),0,1)</f>
        <v/>
      </c>
      <c r="ER5">
        <f>ER4*IF(OR($C4=43,$G4=43),0,1)</f>
        <v/>
      </c>
      <c r="ES5">
        <f>ES4*IF(OR($C4=44,$G4=44),0,1)</f>
        <v/>
      </c>
      <c r="ET5">
        <f>ET4*IF(OR($C4=45,$G4=45),0,1)</f>
        <v/>
      </c>
      <c r="EU5">
        <f>EU4*IF(OR($C4=46,$G4=46),0,1)</f>
        <v/>
      </c>
      <c r="EV5">
        <f>EV4*IF(OR($C4=47,$G4=47),0,1)</f>
        <v/>
      </c>
      <c r="EW5">
        <f>EW4*IF(OR($C4=48,$G4=48),0,1)</f>
        <v/>
      </c>
      <c r="EX5">
        <f>EX4*IF(OR($C4=49,$G4=49),0,1)</f>
        <v/>
      </c>
      <c r="EY5">
        <f>EY4*IF(OR($C4=50,$G4=50),0,1)</f>
        <v/>
      </c>
      <c r="EZ5">
        <f>EZ4*IF(OR($C4=51,$G4=51),0,1)</f>
        <v/>
      </c>
      <c r="FA5">
        <f>FA4*IF(OR($C4=52,$G4=52),0,1)</f>
        <v/>
      </c>
      <c r="FB5">
        <f>FB4*IF(OR($C4=53,$G4=53),0,1)</f>
        <v/>
      </c>
      <c r="FC5">
        <f>FC4*IF(OR($C4=54,$G4=54),0,1)</f>
        <v/>
      </c>
      <c r="FD5">
        <f>FD4*IF(OR($C4=55,$G4=55),0,1)</f>
        <v/>
      </c>
      <c r="FE5">
        <f>FE4*IF(OR($C4=56,$G4=56),0,1)</f>
        <v/>
      </c>
      <c r="FF5">
        <f>FF4*IF(OR($C4=57,$G4=57),0,1)</f>
        <v/>
      </c>
      <c r="FG5">
        <f>FG4*IF(OR($C4=58,$G4=58),0,1)</f>
        <v/>
      </c>
      <c r="FH5">
        <f>FH4*IF(OR($C4=59,$G4=59),0,1)</f>
        <v/>
      </c>
      <c r="FI5">
        <f>FI4*IF(OR($C4=60,$G4=60),0,1)</f>
        <v/>
      </c>
      <c r="FJ5">
        <f>FJ4*IF(OR($C4=61,$G4=61),0,1)</f>
        <v/>
      </c>
      <c r="FK5">
        <f>FK4*IF(OR($C4=62,$G4=62),0,1)</f>
        <v/>
      </c>
      <c r="FL5">
        <f>FL4*IF(OR($C4=63,$G4=63),0,1)</f>
        <v/>
      </c>
      <c r="FM5">
        <f>FM4*IF(OR($C4=64,$G4=64),0,1)</f>
        <v/>
      </c>
      <c r="FN5">
        <f>FN4*IF(OR($C4=65,$G4=65),0,1)</f>
        <v/>
      </c>
      <c r="FO5">
        <f>FO4*IF(OR($C4=66,$G4=66),0,1)</f>
        <v/>
      </c>
      <c r="FP5">
        <f>FP4*IF(OR($C4=67,$G4=67),0,1)</f>
        <v/>
      </c>
      <c r="FQ5">
        <f>FQ4*IF(OR($C4=68,$G4=68),0,1)</f>
        <v/>
      </c>
      <c r="FR5">
        <f>FR4*IF(OR($C4=69,$G4=69),0,1)</f>
        <v/>
      </c>
      <c r="FS5">
        <f>FS4*IF(OR($C4=70,$G4=70),0,1)</f>
        <v/>
      </c>
      <c r="FT5">
        <f>FT4*IF(OR($C4=71,$G4=71),0,1)</f>
        <v/>
      </c>
      <c r="FU5">
        <f>FU4*IF(OR($C4=72,$G4=72),0,1)</f>
        <v/>
      </c>
      <c r="FV5">
        <f>FV4*IF(OR($C4=73,$G4=73),0,1)</f>
        <v/>
      </c>
      <c r="FW5">
        <f>FW4*IF(OR($C4=74,$G4=74),0,1)</f>
        <v/>
      </c>
      <c r="FX5">
        <f>FX4*IF(OR($C4=75,$G4=75),0,1)</f>
        <v/>
      </c>
      <c r="FY5">
        <f>FY4*IF(OR($C4=76,$G4=76),0,1)</f>
        <v/>
      </c>
      <c r="FZ5">
        <f>FZ4*IF(OR($C4=77,$G4=77),0,1)</f>
        <v/>
      </c>
      <c r="GA5">
        <f>GA4*IF(OR($C4=78,$G4=78),0,1)</f>
        <v/>
      </c>
      <c r="GB5">
        <f>GB4*IF(OR($C4=79,$G4=79),0,1)</f>
        <v/>
      </c>
      <c r="GC5">
        <f>GC4*IF(OR($C4=80,$G4=80),0,1)</f>
        <v/>
      </c>
      <c r="GD5">
        <f>GD4*IF(OR($C4=81,$G4=81),0,1)</f>
        <v/>
      </c>
      <c r="GE5">
        <f>GE4*IF(OR($C4=82,$G4=82),0,1)</f>
        <v/>
      </c>
      <c r="GF5">
        <f>GF4*IF(OR($C4=83,$G4=83),0,1)</f>
        <v/>
      </c>
      <c r="GG5">
        <f>GG4*IF(OR($C4=84,$G4=84),0,1)</f>
        <v/>
      </c>
      <c r="GH5">
        <f>GH4*IF(OR($C4=85,$G4=85),0,1)</f>
        <v/>
      </c>
      <c r="GI5">
        <f>GI4*IF(OR($C4=86,$G4=86),0,1)</f>
        <v/>
      </c>
      <c r="GJ5">
        <f>GJ4*IF(OR($C4=87,$G4=87),0,1)</f>
        <v/>
      </c>
      <c r="GK5">
        <f>GK4*IF(OR($C4=88,$G4=88),0,1)</f>
        <v/>
      </c>
      <c r="GL5">
        <f>GL4*IF(OR($C4=89,$G4=89),0,1)</f>
        <v/>
      </c>
      <c r="GM5">
        <f>GM4*IF(OR($C4=90,$G4=90),0,1)</f>
        <v/>
      </c>
      <c r="GN5">
        <f>GN4*IF(OR($C4=91,$G4=91),0,1)</f>
        <v/>
      </c>
      <c r="GO5">
        <f>GO4*IF(OR($C4=92,$G4=92),0,1)</f>
        <v/>
      </c>
      <c r="GP5">
        <f>GP4*IF(OR($C4=93,$G4=93),0,1)</f>
        <v/>
      </c>
      <c r="GQ5">
        <f>GQ4*IF(OR($C4=94,$G4=94),0,1)</f>
        <v/>
      </c>
      <c r="GR5">
        <f>GR4*IF(OR($C4=95,$G4=95),0,1)</f>
        <v/>
      </c>
      <c r="GS5">
        <f>GS4*IF(OR($C4=96,$G4=96),0,1)</f>
        <v/>
      </c>
      <c r="GT5">
        <f>GT4*IF(OR($C4=97,$G4=97),0,1)</f>
        <v/>
      </c>
      <c r="GU5">
        <f>GU4*IF(OR($C4=98,$G4=98),0,1)</f>
        <v/>
      </c>
      <c r="GV5">
        <f>GV4*IF(OR($C4=99,$G4=99),0,1)</f>
        <v/>
      </c>
      <c r="GW5">
        <f>GW4*IF(OR($C4=100,$G4=100),0,1)</f>
        <v/>
      </c>
      <c r="GX5">
        <f>GX4*IF(OR($C4=101,$G4=101),0,1)</f>
        <v/>
      </c>
      <c r="GY5">
        <f>GY4*IF(OR($C4=102,$G4=102),0,1)</f>
        <v/>
      </c>
      <c r="GZ5">
        <f>GZ4*IF(OR($C4=103,$G4=103),0,1)</f>
        <v/>
      </c>
      <c r="HA5">
        <f>HA4*IF(OR($C4=104,$G4=104),0,1)</f>
        <v/>
      </c>
      <c r="HB5">
        <f>HB4*IF(OR($C4=105,$G4=105),0,1)</f>
        <v/>
      </c>
      <c r="HC5">
        <f>HC4*IF(OR($C4=106,$G4=106),0,1)</f>
        <v/>
      </c>
      <c r="HD5">
        <f>HD4*IF(OR($C4=107,$G4=107),0,1)</f>
        <v/>
      </c>
      <c r="HE5">
        <f>HE4*IF(OR($C4=108,$G4=108),0,1)</f>
        <v/>
      </c>
      <c r="HF5">
        <f>HF4*IF(OR($C4=109,$G4=109),0,1)</f>
        <v/>
      </c>
      <c r="HG5">
        <f>HG4*IF(OR($C4=110,$G4=110),0,1)</f>
        <v/>
      </c>
      <c r="HH5">
        <f>HH4*IF(OR($C4=111,$G4=111),0,1)</f>
        <v/>
      </c>
      <c r="HI5">
        <f>HI4*IF(OR($C4=112,$G4=112),0,1)</f>
        <v/>
      </c>
      <c r="HJ5">
        <f>HJ4*IF(OR($C4=113,$G4=113),0,1)</f>
        <v/>
      </c>
      <c r="HK5">
        <f>HK4*IF(OR($C4=114,$G4=114),0,1)</f>
        <v/>
      </c>
      <c r="HL5">
        <f>HL4*IF(OR($C4=115,$G4=115),0,1)</f>
        <v/>
      </c>
      <c r="HM5">
        <f>HM4*IF(OR($C4=116,$G4=116),0,1)</f>
        <v/>
      </c>
      <c r="HN5">
        <f>HN4*IF(OR($C4=117,$G4=117),0,1)</f>
        <v/>
      </c>
      <c r="HO5">
        <f>HO4*IF(OR($C4=118,$G4=118),0,1)</f>
        <v/>
      </c>
      <c r="HP5">
        <f>HP4*IF(OR($C4=119,$G4=119),0,1)</f>
        <v/>
      </c>
      <c r="HQ5">
        <f>HQ4*IF(OR($C4=120,$G4=120),0,1)</f>
        <v/>
      </c>
      <c r="HR5">
        <f>HR4*IF(OR($C4=121,$G4=121),0,1)</f>
        <v/>
      </c>
      <c r="HS5">
        <f>HS4*IF(OR($C4=122,$G4=122),0,1)</f>
        <v/>
      </c>
      <c r="HT5">
        <f>HT4*IF(OR($C4=123,$G4=123),0,1)</f>
        <v/>
      </c>
      <c r="HU5">
        <f>HU4*IF(OR($C4=124,$G4=124),0,1)</f>
        <v/>
      </c>
      <c r="HV5">
        <f>HV4*IF(OR($C4=125,$G4=125),0,1)</f>
        <v/>
      </c>
      <c r="HW5">
        <f>HW4*IF(OR($C4=126,$G4=126),0,1)</f>
        <v/>
      </c>
      <c r="HX5">
        <f>HX4*IF(OR($C4=127,$G4=127),0,1)</f>
        <v/>
      </c>
      <c r="HY5">
        <f>HY4*IF(OR($C4=128,$G4=128),0,1)</f>
        <v/>
      </c>
      <c r="HZ5">
        <f>HZ4*IF(OR($C4=129,$G4=129),0,1)</f>
        <v/>
      </c>
      <c r="IA5">
        <f>IA4*IF(OR($C4=130,$G4=130),0,1)</f>
        <v/>
      </c>
      <c r="IB5">
        <f>IB4*IF(OR($C4=131,$G4=131),0,1)</f>
        <v/>
      </c>
      <c r="IC5">
        <f>IC4*IF(OR($C4=132,$G4=132),0,1)</f>
        <v/>
      </c>
      <c r="ID5">
        <f>ID4*IF(OR($C4=133,$G4=133),0,1)</f>
        <v/>
      </c>
      <c r="IE5">
        <f>IE4*IF(OR($C4=134,$G4=134),0,1)</f>
        <v/>
      </c>
      <c r="IF5">
        <f>IF4*IF(OR($C4=135,$G4=135),0,1)</f>
        <v/>
      </c>
      <c r="IG5">
        <f>IG4*IF(OR($C4=136,$G4=136),0,1)</f>
        <v/>
      </c>
      <c r="IH5">
        <f>IH4*IF(OR($C4=137,$G4=137),0,1)</f>
        <v/>
      </c>
      <c r="II5">
        <f>II4*IF(OR($C4=138,$G4=138),0,1)</f>
        <v/>
      </c>
      <c r="IJ5">
        <f>IJ4*IF(OR($C4=139,$G4=139),0,1)</f>
        <v/>
      </c>
      <c r="IK5">
        <f>IK4*IF(OR($C4=140,$G4=140),0,1)</f>
        <v/>
      </c>
      <c r="IL5">
        <f>IL4*IF(OR($C4=141,$G4=141),0,1)</f>
        <v/>
      </c>
      <c r="IM5">
        <f>IM4*IF(OR($C4=142,$G4=142),0,1)</f>
        <v/>
      </c>
      <c r="IN5">
        <f>IN4*IF(OR($C4=143,$G4=143),0,1)</f>
        <v/>
      </c>
      <c r="IO5">
        <f>IO4*IF(OR($C4=144,$G4=144),0,1)</f>
        <v/>
      </c>
      <c r="IQ5">
        <f>IF('計算A'!D$106=1,DC5,1)</f>
        <v/>
      </c>
      <c r="IR5">
        <f>IF('計算A'!E$106=1,DD5,1)</f>
        <v/>
      </c>
      <c r="IS5">
        <f>IF('計算A'!F$106=1,DE5,1)</f>
        <v/>
      </c>
      <c r="IT5">
        <f>IF('計算A'!G$106=1,DF5,1)</f>
        <v/>
      </c>
      <c r="IU5">
        <f>IF('計算A'!H$106=1,DG5,1)</f>
        <v/>
      </c>
      <c r="IV5">
        <f>IF('計算A'!I$106=1,DH5,1)</f>
        <v/>
      </c>
      <c r="IW5">
        <f>IF('計算A'!J$106=1,DI5,1)</f>
        <v/>
      </c>
      <c r="IX5">
        <f>IF('計算A'!K$106=1,DJ5,1)</f>
        <v/>
      </c>
      <c r="IY5">
        <f>IF('計算A'!L$106=1,DK5,1)</f>
        <v/>
      </c>
      <c r="IZ5">
        <f>IF('計算A'!M$106=1,DL5,1)</f>
        <v/>
      </c>
      <c r="JA5">
        <f>IF('計算A'!N$106=1,DM5,1)</f>
        <v/>
      </c>
      <c r="JB5">
        <f>IF('計算A'!O$106=1,DN5,1)</f>
        <v/>
      </c>
      <c r="JC5">
        <f>IF('計算A'!P$106=1,DO5,1)</f>
        <v/>
      </c>
      <c r="JD5">
        <f>IF('計算A'!Q$106=1,DP5,1)</f>
        <v/>
      </c>
      <c r="JE5">
        <f>IF('計算A'!R$106=1,DQ5,1)</f>
        <v/>
      </c>
      <c r="JF5">
        <f>IF('計算A'!S$106=1,DR5,1)</f>
        <v/>
      </c>
      <c r="JG5">
        <f>IF('計算A'!T$106=1,DS5,1)</f>
        <v/>
      </c>
      <c r="JH5">
        <f>IF('計算A'!U$106=1,DT5,1)</f>
        <v/>
      </c>
      <c r="JI5">
        <f>IF('計算A'!V$106=1,DU5,1)</f>
        <v/>
      </c>
      <c r="JJ5">
        <f>IF('計算A'!W$106=1,DV5,1)</f>
        <v/>
      </c>
      <c r="JK5">
        <f>IF('計算A'!X$106=1,DW5,1)</f>
        <v/>
      </c>
      <c r="JL5">
        <f>IF('計算A'!Y$106=1,DX5,1)</f>
        <v/>
      </c>
      <c r="JM5">
        <f>IF('計算A'!Z$106=1,DY5,1)</f>
        <v/>
      </c>
      <c r="JN5">
        <f>IF('計算A'!AA$106=1,DZ5,1)</f>
        <v/>
      </c>
      <c r="JO5">
        <f>IF('計算A'!AB$106=1,EA5,1)</f>
        <v/>
      </c>
      <c r="JP5">
        <f>IF('計算A'!AC$106=1,EB5,1)</f>
        <v/>
      </c>
      <c r="JQ5">
        <f>IF('計算A'!AD$106=1,EC5,1)</f>
        <v/>
      </c>
      <c r="JR5">
        <f>IF('計算A'!AE$106=1,ED5,1)</f>
        <v/>
      </c>
      <c r="JS5">
        <f>IF('計算A'!AF$106=1,EE5,1)</f>
        <v/>
      </c>
      <c r="JT5">
        <f>IF('計算A'!AG$106=1,EF5,1)</f>
        <v/>
      </c>
      <c r="JU5">
        <f>IF('計算A'!AH$106=1,EG5,1)</f>
        <v/>
      </c>
      <c r="JV5">
        <f>IF('計算A'!AI$106=1,EH5,1)</f>
        <v/>
      </c>
      <c r="JW5">
        <f>IF('計算A'!AJ$106=1,EI5,1)</f>
        <v/>
      </c>
      <c r="JX5">
        <f>IF('計算A'!AK$106=1,EJ5,1)</f>
        <v/>
      </c>
      <c r="JY5">
        <f>IF('計算A'!AL$106=1,EK5,1)</f>
        <v/>
      </c>
      <c r="JZ5">
        <f>IF('計算A'!AM$106=1,EL5,1)</f>
        <v/>
      </c>
      <c r="KA5">
        <f>IF('計算A'!AN$106=1,EM5,1)</f>
        <v/>
      </c>
      <c r="KB5">
        <f>IF('計算A'!AO$106=1,EN5,1)</f>
        <v/>
      </c>
      <c r="KC5">
        <f>IF('計算A'!AP$106=1,EO5,1)</f>
        <v/>
      </c>
      <c r="KD5">
        <f>IF('計算A'!AQ$106=1,EP5,1)</f>
        <v/>
      </c>
      <c r="KE5">
        <f>IF('計算A'!AR$106=1,EQ5,1)</f>
        <v/>
      </c>
      <c r="KF5">
        <f>IF('計算A'!AS$106=1,ER5,1)</f>
        <v/>
      </c>
      <c r="KG5">
        <f>IF('計算A'!AT$106=1,ES5,1)</f>
        <v/>
      </c>
      <c r="KH5">
        <f>IF('計算A'!AU$106=1,ET5,1)</f>
        <v/>
      </c>
      <c r="KI5">
        <f>IF('計算A'!AV$106=1,EU5,1)</f>
        <v/>
      </c>
      <c r="KJ5">
        <f>IF('計算A'!AW$106=1,EV5,1)</f>
        <v/>
      </c>
      <c r="KK5">
        <f>IF('計算A'!AX$106=1,EW5,1)</f>
        <v/>
      </c>
      <c r="KL5">
        <f>IF('計算A'!AY$106=1,EX5,1)</f>
        <v/>
      </c>
      <c r="KM5">
        <f>IF('計算A'!AZ$106=1,EY5,1)</f>
        <v/>
      </c>
      <c r="KN5">
        <f>IF('計算A'!BA$106=1,EZ5,1)</f>
        <v/>
      </c>
      <c r="KO5">
        <f>IF('計算A'!BB$106=1,FA5,1)</f>
        <v/>
      </c>
      <c r="KP5">
        <f>IF('計算A'!BC$106=1,FB5,1)</f>
        <v/>
      </c>
      <c r="KQ5">
        <f>IF('計算A'!BD$106=1,FC5,1)</f>
        <v/>
      </c>
      <c r="KR5">
        <f>IF('計算A'!BE$106=1,FD5,1)</f>
        <v/>
      </c>
      <c r="KS5">
        <f>IF('計算A'!BF$106=1,FE5,1)</f>
        <v/>
      </c>
      <c r="KT5">
        <f>IF('計算A'!BG$106=1,FF5,1)</f>
        <v/>
      </c>
      <c r="KU5">
        <f>IF('計算A'!BH$106=1,FG5,1)</f>
        <v/>
      </c>
      <c r="KV5">
        <f>IF('計算A'!BI$106=1,FH5,1)</f>
        <v/>
      </c>
      <c r="KW5">
        <f>IF('計算A'!BJ$106=1,FI5,1)</f>
        <v/>
      </c>
      <c r="KX5">
        <f>IF('計算A'!BK$106=1,FJ5,1)</f>
        <v/>
      </c>
      <c r="KY5">
        <f>IF('計算A'!BL$106=1,FK5,1)</f>
        <v/>
      </c>
      <c r="KZ5">
        <f>IF('計算A'!BM$106=1,FL5,1)</f>
        <v/>
      </c>
      <c r="LA5">
        <f>IF('計算A'!BN$106=1,FM5,1)</f>
        <v/>
      </c>
      <c r="LB5">
        <f>IF('計算A'!BO$106=1,FN5,1)</f>
        <v/>
      </c>
      <c r="LC5">
        <f>IF('計算A'!BP$106=1,FO5,1)</f>
        <v/>
      </c>
      <c r="LD5">
        <f>IF('計算A'!BQ$106=1,FP5,1)</f>
        <v/>
      </c>
      <c r="LE5">
        <f>IF('計算A'!BR$106=1,FQ5,1)</f>
        <v/>
      </c>
      <c r="LF5">
        <f>IF('計算A'!BS$106=1,FR5,1)</f>
        <v/>
      </c>
      <c r="LG5">
        <f>IF('計算A'!BT$106=1,FS5,1)</f>
        <v/>
      </c>
      <c r="LH5">
        <f>IF('計算A'!BU$106=1,FT5,1)</f>
        <v/>
      </c>
      <c r="LI5">
        <f>IF('計算A'!BV$106=1,FU5,1)</f>
        <v/>
      </c>
      <c r="LJ5">
        <f>IF('計算A'!BW$106=1,FV5,1)</f>
        <v/>
      </c>
      <c r="LK5">
        <f>IF('計算A'!BX$106=1,FW5,1)</f>
        <v/>
      </c>
      <c r="LL5">
        <f>IF('計算A'!BY$106=1,FX5,1)</f>
        <v/>
      </c>
      <c r="LM5">
        <f>IF('計算A'!BZ$106=1,FY5,1)</f>
        <v/>
      </c>
      <c r="LN5">
        <f>IF('計算A'!CA$106=1,FZ5,1)</f>
        <v/>
      </c>
      <c r="LO5">
        <f>IF('計算A'!CB$106=1,GA5,1)</f>
        <v/>
      </c>
      <c r="LP5">
        <f>IF('計算A'!CC$106=1,GB5,1)</f>
        <v/>
      </c>
      <c r="LQ5">
        <f>IF('計算A'!CD$106=1,GC5,1)</f>
        <v/>
      </c>
      <c r="LR5">
        <f>IF('計算A'!CE$106=1,GD5,1)</f>
        <v/>
      </c>
      <c r="LS5">
        <f>IF('計算A'!CF$106=1,GE5,1)</f>
        <v/>
      </c>
      <c r="LT5">
        <f>IF('計算A'!CG$106=1,GF5,1)</f>
        <v/>
      </c>
      <c r="LU5">
        <f>IF('計算A'!CH$106=1,GG5,1)</f>
        <v/>
      </c>
      <c r="LV5">
        <f>IF('計算A'!CI$106=1,GH5,1)</f>
        <v/>
      </c>
      <c r="LW5">
        <f>IF('計算A'!CJ$106=1,GI5,1)</f>
        <v/>
      </c>
      <c r="LX5">
        <f>IF('計算A'!CK$106=1,GJ5,1)</f>
        <v/>
      </c>
      <c r="LY5">
        <f>IF('計算A'!CL$106=1,GK5,1)</f>
        <v/>
      </c>
      <c r="LZ5">
        <f>IF('計算A'!CM$106=1,GL5,1)</f>
        <v/>
      </c>
      <c r="MA5">
        <f>IF('計算A'!CN$106=1,GM5,1)</f>
        <v/>
      </c>
      <c r="MB5">
        <f>IF('計算A'!CO$106=1,GN5,1)</f>
        <v/>
      </c>
      <c r="MC5">
        <f>IF('計算A'!CP$106=1,GO5,1)</f>
        <v/>
      </c>
      <c r="MD5">
        <f>IF('計算A'!CQ$106=1,GP5,1)</f>
        <v/>
      </c>
      <c r="ME5">
        <f>IF('計算A'!CR$106=1,GQ5,1)</f>
        <v/>
      </c>
      <c r="MF5">
        <f>IF('計算A'!CS$106=1,GR5,1)</f>
        <v/>
      </c>
      <c r="MG5">
        <f>IF('計算A'!CT$106=1,GS5,1)</f>
        <v/>
      </c>
      <c r="MH5">
        <f>IF('計算A'!CU$106=1,GT5,1)</f>
        <v/>
      </c>
      <c r="MI5">
        <f>IF('計算A'!CV$106=1,GU5,1)</f>
        <v/>
      </c>
      <c r="MJ5">
        <f>IF('計算A'!CW$106=1,GV5,1)</f>
        <v/>
      </c>
      <c r="MK5">
        <f>IF('計算A'!CX$106=1,GW5,1)</f>
        <v/>
      </c>
      <c r="ML5">
        <f>IF('計算A'!CY$106=1,GX5,1)</f>
        <v/>
      </c>
      <c r="MM5">
        <f>IF('計算A'!CZ$106=1,GY5,1)</f>
        <v/>
      </c>
      <c r="MN5">
        <f>IF('計算A'!DA$106=1,GZ5,1)</f>
        <v/>
      </c>
      <c r="MO5">
        <f>IF('計算A'!DB$106=1,HA5,1)</f>
        <v/>
      </c>
      <c r="MP5">
        <f>IF('計算A'!DC$106=1,HB5,1)</f>
        <v/>
      </c>
      <c r="MQ5">
        <f>IF('計算A'!DD$106=1,HC5,1)</f>
        <v/>
      </c>
      <c r="MR5">
        <f>IF('計算A'!DE$106=1,HD5,1)</f>
        <v/>
      </c>
      <c r="MS5">
        <f>IF('計算A'!DF$106=1,HE5,1)</f>
        <v/>
      </c>
      <c r="MT5">
        <f>IF('計算A'!DG$106=1,HF5,1)</f>
        <v/>
      </c>
      <c r="MU5">
        <f>IF('計算A'!DH$106=1,HG5,1)</f>
        <v/>
      </c>
      <c r="MV5">
        <f>IF('計算A'!DI$106=1,HH5,1)</f>
        <v/>
      </c>
      <c r="MW5">
        <f>IF('計算A'!DJ$106=1,HI5,1)</f>
        <v/>
      </c>
      <c r="MX5">
        <f>IF('計算A'!DK$106=1,HJ5,1)</f>
        <v/>
      </c>
      <c r="MY5">
        <f>IF('計算A'!DL$106=1,HK5,1)</f>
        <v/>
      </c>
      <c r="MZ5">
        <f>IF('計算A'!DM$106=1,HL5,1)</f>
        <v/>
      </c>
      <c r="NA5">
        <f>IF('計算A'!DN$106=1,HM5,1)</f>
        <v/>
      </c>
      <c r="NB5">
        <f>IF('計算A'!DO$106=1,HN5,1)</f>
        <v/>
      </c>
      <c r="NC5">
        <f>IF('計算A'!DP$106=1,HO5,1)</f>
        <v/>
      </c>
      <c r="ND5">
        <f>IF('計算A'!DQ$106=1,HP5,1)</f>
        <v/>
      </c>
      <c r="NE5">
        <f>IF('計算A'!DR$106=1,HQ5,1)</f>
        <v/>
      </c>
      <c r="NF5">
        <f>IF('計算A'!DS$106=1,HR5,1)</f>
        <v/>
      </c>
      <c r="NG5">
        <f>IF('計算A'!DT$106=1,HS5,1)</f>
        <v/>
      </c>
      <c r="NH5">
        <f>IF('計算A'!DU$106=1,HT5,1)</f>
        <v/>
      </c>
      <c r="NI5">
        <f>IF('計算A'!DV$106=1,HU5,1)</f>
        <v/>
      </c>
      <c r="NJ5">
        <f>IF('計算A'!DW$106=1,HV5,1)</f>
        <v/>
      </c>
      <c r="NK5">
        <f>IF('計算A'!DX$106=1,HW5,1)</f>
        <v/>
      </c>
      <c r="NL5">
        <f>IF('計算A'!DY$106=1,HX5,1)</f>
        <v/>
      </c>
      <c r="NM5">
        <f>IF('計算A'!DZ$106=1,HY5,1)</f>
        <v/>
      </c>
      <c r="NN5">
        <f>IF('計算A'!EA$106=1,HZ5,1)</f>
        <v/>
      </c>
      <c r="NO5">
        <f>IF('計算A'!EB$106=1,IA5,1)</f>
        <v/>
      </c>
      <c r="NP5">
        <f>IF('計算A'!EC$106=1,IB5,1)</f>
        <v/>
      </c>
      <c r="NQ5">
        <f>IF('計算A'!ED$106=1,IC5,1)</f>
        <v/>
      </c>
      <c r="NR5">
        <f>IF('計算A'!EE$106=1,ID5,1)</f>
        <v/>
      </c>
      <c r="NS5">
        <f>IF('計算A'!EF$106=1,IE5,1)</f>
        <v/>
      </c>
      <c r="NT5">
        <f>IF('計算A'!EG$106=1,IF5,1)</f>
        <v/>
      </c>
      <c r="NU5">
        <f>IF('計算A'!EH$106=1,IG5,1)</f>
        <v/>
      </c>
      <c r="NV5">
        <f>IF('計算A'!EI$106=1,IH5,1)</f>
        <v/>
      </c>
      <c r="NW5">
        <f>IF('計算A'!EJ$106=1,II5,1)</f>
        <v/>
      </c>
      <c r="NX5">
        <f>IF('計算A'!EK$106=1,IJ5,1)</f>
        <v/>
      </c>
      <c r="NY5">
        <f>IF('計算A'!EL$106=1,IK5,1)</f>
        <v/>
      </c>
      <c r="NZ5">
        <f>IF('計算A'!EM$106=1,IL5,1)</f>
        <v/>
      </c>
      <c r="OA5">
        <f>IF('計算A'!EN$106=1,IM5,1)</f>
        <v/>
      </c>
      <c r="OB5">
        <f>IF('計算A'!EO$106=1,IN5,1)</f>
        <v/>
      </c>
      <c r="OC5">
        <f>IF('計算A'!EP$106=1,IO5,1)</f>
        <v/>
      </c>
      <c r="OD5" t="n">
        <v>1</v>
      </c>
      <c r="OF5">
        <f>IF($B5=0,1000000,IF(INDEX('計算A'!$D$60:$EQ$104,$B5,1)*DB5=1,IF(AND($E5=2,IQ5=0),1000000,IF($I5&gt;0,IF(1=$J5,IF(OR(AND(1=$I5+1,OR($K5&lt;&gt;'計算A'!$A$3,'計算A'!$A$4=0)),AND(1=$I5-1,OR(1&lt;&gt;'計算A'!$A$3,'計算A'!$A$4=0))),0,IF(1=$K5,200000,ABS(1-$K5)*100)),100000+ABS(1-$J5)*1000+10)+'計算A'!D$5*50+IF(AND($E5=1,IQ5=0),25,0),INDEX('計算A'!D$110:D$114,$F5+1)+IF(AND($E5=1,IQ5=0),1000,0)+IF($H5=1,(IF('計算A'!D$117=1,INDEX('計算A'!E$10:E$54,$B5),0))*500,0)-IF(AND($L5=1,'計算A'!D$117=1,DC5=0),300,0))),1000000))</f>
        <v/>
      </c>
      <c r="OG5">
        <f>IF($B5=0,1000000,IF(INDEX('計算A'!$D$60:$EQ$104,$B5,2)*DC5=1,IF(AND($E5=2,IR5=0),1000000,IF($I5&gt;0,IF(1=$J5,IF(OR(AND(2=$I5+1,OR($K5&lt;&gt;'計算A'!$A$3,'計算A'!$A$4=0)),AND(2=$I5-1,OR(2&lt;&gt;'計算A'!$A$3,'計算A'!$A$4=0))),0,IF(2=$K5,200000,ABS(2-$K5)*100)),100000+ABS(1-$J5)*1000+20)+'計算A'!E$5*50+IF(AND($E5=1,IR5=0),25,0),INDEX('計算A'!E$110:E$114,$F5+1)+IF(AND($E5=1,IR5=0),1000,0)+IF($H5=1,(IF('計算A'!D$117=1,INDEX('計算A'!D$10:D$54,$B5),0)+IF('計算A'!E$117=1,INDEX('計算A'!F$10:F$54,$B5),0))*500,0)-IF(AND('計算A'!D$117=1,UB5&gt;0),300,0)-IF(AND($L5=1,'計算A'!E$117=1,DD5=0),300,0))),1000000))</f>
        <v/>
      </c>
      <c r="OH5">
        <f>IF($B5=0,1000000,IF(INDEX('計算A'!$D$60:$EQ$104,$B5,3)*DD5=1,IF(AND($E5=2,IS5=0),1000000,IF($I5&gt;0,IF(1=$J5,IF(OR(AND(3=$I5+1,OR($K5&lt;&gt;'計算A'!$A$3,'計算A'!$A$4=0)),AND(3=$I5-1,OR(3&lt;&gt;'計算A'!$A$3,'計算A'!$A$4=0))),0,IF(3=$K5,200000,ABS(3-$K5)*100)),100000+ABS(1-$J5)*1000+30)+'計算A'!F$5*50+IF(AND($E5=1,IS5=0),25,0),INDEX('計算A'!F$110:F$114,$F5+1)+IF(AND($E5=1,IS5=0),1000,0)+IF($H5=1,(IF('計算A'!E$117=1,INDEX('計算A'!E$10:E$54,$B5),0)+IF('計算A'!F$117=1,INDEX('計算A'!G$10:G$54,$B5),0))*500,0)-IF(AND('計算A'!E$117=1,UC5&gt;0),300,0)-IF(AND($L5=1,'計算A'!F$117=1,DE5=0),300,0))),1000000))</f>
        <v/>
      </c>
      <c r="OI5">
        <f>IF($B5=0,1000000,IF(INDEX('計算A'!$D$60:$EQ$104,$B5,4)*DE5=1,IF(AND($E5=2,IT5=0),1000000,IF($I5&gt;0,IF(1=$J5,IF(OR(AND(4=$I5+1,OR($K5&lt;&gt;'計算A'!$A$3,'計算A'!$A$4=0)),AND(4=$I5-1,OR(4&lt;&gt;'計算A'!$A$3,'計算A'!$A$4=0))),0,IF(4=$K5,200000,ABS(4-$K5)*100)),100000+ABS(1-$J5)*1000+40)+'計算A'!G$5*50+IF(AND($E5=1,IT5=0),25,0),INDEX('計算A'!G$110:G$114,$F5+1)+IF(AND($E5=1,IT5=0),1000,0)+IF($H5=1,(IF('計算A'!F$117=1,INDEX('計算A'!F$10:F$54,$B5),0)+IF('計算A'!G$117=1,INDEX('計算A'!H$10:H$54,$B5),0))*500,0)-IF(AND('計算A'!F$117=1,UD5&gt;0),300,0)-IF(AND($L5=1,'計算A'!G$117=1,DF5=0),300,0))),1000000))</f>
        <v/>
      </c>
      <c r="OJ5">
        <f>IF($B5=0,1000000,IF(INDEX('計算A'!$D$60:$EQ$104,$B5,5)*DF5=1,IF(AND($E5=2,IU5=0),1000000,IF($I5&gt;0,IF(1=$J5,IF(OR(AND(5=$I5+1,OR($K5&lt;&gt;'計算A'!$A$3,'計算A'!$A$4=0)),AND(5=$I5-1,OR(5&lt;&gt;'計算A'!$A$3,'計算A'!$A$4=0))),0,IF(5=$K5,200000,ABS(5-$K5)*100)),100000+ABS(1-$J5)*1000+50)+'計算A'!H$5*50+IF(AND($E5=1,IU5=0),25,0),INDEX('計算A'!H$110:H$114,$F5+1)+IF(AND($E5=1,IU5=0),1000,0)+IF($H5=1,(IF('計算A'!G$117=1,INDEX('計算A'!G$10:G$54,$B5),0)+IF('計算A'!H$117=1,INDEX('計算A'!I$10:I$54,$B5),0))*500,0)-IF(AND('計算A'!G$117=1,UE5&gt;0),300,0)-IF(AND($L5=1,'計算A'!H$117=1,DG5=0),300,0))),1000000))</f>
        <v/>
      </c>
      <c r="OK5">
        <f>IF($B5=0,1000000,IF(INDEX('計算A'!$D$60:$EQ$104,$B5,6)*DG5=1,IF(AND($E5=2,IV5=0),1000000,IF($I5&gt;0,IF(1=$J5,IF(OR(AND(6=$I5+1,OR($K5&lt;&gt;'計算A'!$A$3,'計算A'!$A$4=0)),AND(6=$I5-1,OR(6&lt;&gt;'計算A'!$A$3,'計算A'!$A$4=0))),0,IF(6=$K5,200000,ABS(6-$K5)*100)),100000+ABS(1-$J5)*1000+60)+'計算A'!I$5*50+IF(AND($E5=1,IV5=0),25,0),INDEX('計算A'!I$110:I$114,$F5+1)+IF(AND($E5=1,IV5=0),1000,0)+IF($H5=1,(IF('計算A'!H$117=1,INDEX('計算A'!H$10:H$54,$B5),0)+IF('計算A'!I$117=1,INDEX('計算A'!J$10:J$54,$B5),0))*500,0)-IF(AND('計算A'!H$117=1,UF5&gt;0),300,0)-IF(AND($L5=1,'計算A'!I$117=1,DH5=0),300,0))),1000000))</f>
        <v/>
      </c>
      <c r="OL5">
        <f>IF($B5=0,1000000,IF(INDEX('計算A'!$D$60:$EQ$104,$B5,7)*DH5=1,IF(AND($E5=2,IW5=0),1000000,IF($I5&gt;0,IF(1=$J5,IF(OR(AND(7=$I5+1,OR($K5&lt;&gt;'計算A'!$A$3,'計算A'!$A$4=0)),AND(7=$I5-1,OR(7&lt;&gt;'計算A'!$A$3,'計算A'!$A$4=0))),0,IF(7=$K5,200000,ABS(7-$K5)*100)),100000+ABS(1-$J5)*1000+70)+'計算A'!J$5*50+IF(AND($E5=1,IW5=0),25,0),INDEX('計算A'!J$110:J$114,$F5+1)+IF(AND($E5=1,IW5=0),1000,0)+IF($H5=1,(IF('計算A'!I$117=1,INDEX('計算A'!I$10:I$54,$B5),0)+IF('計算A'!J$117=1,INDEX('計算A'!K$10:K$54,$B5),0))*500,0)-IF(AND('計算A'!I$117=1,UG5&gt;0),300,0)-IF(AND($L5=1,'計算A'!J$117=1,DI5=0),300,0))),1000000))</f>
        <v/>
      </c>
      <c r="OM5">
        <f>IF($B5=0,1000000,IF(INDEX('計算A'!$D$60:$EQ$104,$B5,8)*DI5=1,IF(AND($E5=2,IX5=0),1000000,IF($I5&gt;0,IF(1=$J5,IF(OR(AND(8=$I5+1,OR($K5&lt;&gt;'計算A'!$A$3,'計算A'!$A$4=0)),AND(8=$I5-1,OR(8&lt;&gt;'計算A'!$A$3,'計算A'!$A$4=0))),0,IF(8=$K5,200000,ABS(8-$K5)*100)),100000+ABS(1-$J5)*1000+80)+'計算A'!K$5*50+IF(AND($E5=1,IX5=0),25,0),INDEX('計算A'!K$110:K$114,$F5+1)+IF(AND($E5=1,IX5=0),1000,0)+IF($H5=1,(IF('計算A'!J$117=1,INDEX('計算A'!J$10:J$54,$B5),0)+IF('計算A'!K$117=1,INDEX('計算A'!L$10:L$54,$B5),0))*500,0)-IF(AND('計算A'!J$117=1,UH5&gt;0),300,0)-IF(AND($L5=1,'計算A'!K$117=1,DJ5=0),300,0))),1000000))</f>
        <v/>
      </c>
      <c r="ON5">
        <f>IF($B5=0,1000000,IF(INDEX('計算A'!$D$60:$EQ$104,$B5,9)*DJ5=1,IF(AND($E5=2,IY5=0),1000000,IF($I5&gt;0,IF(1=$J5,IF(OR(AND(9=$I5+1,OR($K5&lt;&gt;'計算A'!$A$3,'計算A'!$A$4=0)),AND(9=$I5-1,OR(9&lt;&gt;'計算A'!$A$3,'計算A'!$A$4=0))),0,IF(9=$K5,200000,ABS(9-$K5)*100)),100000+ABS(1-$J5)*1000+90)+'計算A'!L$5*50+IF(AND($E5=1,IY5=0),25,0),INDEX('計算A'!L$110:L$114,$F5+1)+IF(AND($E5=1,IY5=0),1000,0)+IF($H5=1,(IF('計算A'!K$117=1,INDEX('計算A'!K$10:K$54,$B5),0)+IF('計算A'!L$117=1,INDEX('計算A'!M$10:M$54,$B5),0))*500,0)-IF(AND('計算A'!K$117=1,UI5&gt;0),300,0)-IF(AND($L5=1,'計算A'!L$117=1,DK5=0),300,0))),1000000))</f>
        <v/>
      </c>
      <c r="OO5">
        <f>IF($B5=0,1000000,IF(INDEX('計算A'!$D$60:$EQ$104,$B5,10)*DK5=1,IF(AND($E5=2,IZ5=0),1000000,IF($I5&gt;0,IF(1=$J5,IF(OR(AND(10=$I5+1,OR($K5&lt;&gt;'計算A'!$A$3,'計算A'!$A$4=0)),AND(10=$I5-1,OR(10&lt;&gt;'計算A'!$A$3,'計算A'!$A$4=0))),0,IF(10=$K5,200000,ABS(10-$K5)*100)),100000+ABS(1-$J5)*1000+100)+'計算A'!M$5*50+IF(AND($E5=1,IZ5=0),25,0),INDEX('計算A'!M$110:M$114,$F5+1)+IF(AND($E5=1,IZ5=0),1000,0)+IF($H5=1,(IF('計算A'!L$117=1,INDEX('計算A'!L$10:L$54,$B5),0)+IF('計算A'!M$117=1,INDEX('計算A'!N$10:N$54,$B5),0))*500,0)-IF(AND('計算A'!L$117=1,UJ5&gt;0),300,0)-IF(AND($L5=1,'計算A'!M$117=1,DL5=0),300,0))),1000000))</f>
        <v/>
      </c>
      <c r="OP5">
        <f>IF($B5=0,1000000,IF(INDEX('計算A'!$D$60:$EQ$104,$B5,11)*DL5=1,IF(AND($E5=2,JA5=0),1000000,IF($I5&gt;0,IF(1=$J5,IF(OR(AND(11=$I5+1,OR($K5&lt;&gt;'計算A'!$A$3,'計算A'!$A$4=0)),AND(11=$I5-1,OR(11&lt;&gt;'計算A'!$A$3,'計算A'!$A$4=0))),0,IF(11=$K5,200000,ABS(11-$K5)*100)),100000+ABS(1-$J5)*1000+110)+'計算A'!N$5*50+IF(AND($E5=1,JA5=0),25,0),INDEX('計算A'!N$110:N$114,$F5+1)+IF(AND($E5=1,JA5=0),1000,0)+IF($H5=1,(IF('計算A'!M$117=1,INDEX('計算A'!M$10:M$54,$B5),0)+IF('計算A'!N$117=1,INDEX('計算A'!O$10:O$54,$B5),0))*500,0)-IF(AND('計算A'!M$117=1,UK5&gt;0),300,0)-IF(AND($L5=1,'計算A'!N$117=1,DM5=0),300,0))),1000000))</f>
        <v/>
      </c>
      <c r="OQ5">
        <f>IF($B5=0,1000000,IF(INDEX('計算A'!$D$60:$EQ$104,$B5,12)*DM5=1,IF(AND($E5=2,JB5=0),1000000,IF($I5&gt;0,IF(1=$J5,IF(OR(AND(12=$I5+1,OR($K5&lt;&gt;'計算A'!$A$3,'計算A'!$A$4=0)),AND(12=$I5-1,OR(12&lt;&gt;'計算A'!$A$3,'計算A'!$A$4=0))),0,IF(12=$K5,200000,ABS(12-$K5)*100)),100000+ABS(1-$J5)*1000+120)+'計算A'!O$5*50+IF(AND($E5=1,JB5=0),25,0),INDEX('計算A'!O$110:O$114,$F5+1)+IF(AND($E5=1,JB5=0),1000,0)+IF($H5=1,(IF('計算A'!N$117=1,INDEX('計算A'!N$10:N$54,$B5),0)+IF('計算A'!O$117=1,INDEX('計算A'!P$10:P$54,$B5),0))*500,0)-IF(AND('計算A'!N$117=1,UL5&gt;0),300,0)-IF(AND($L5=1,'計算A'!O$117=1,DN5=0),300,0))),1000000))</f>
        <v/>
      </c>
      <c r="OR5">
        <f>IF($B5=0,1000000,IF(INDEX('計算A'!$D$60:$EQ$104,$B5,13)*DN5=1,IF(AND($E5=2,JC5=0),1000000,IF($I5&gt;0,IF(1=$J5,IF(OR(AND(13=$I5+1,OR($K5&lt;&gt;'計算A'!$A$3,'計算A'!$A$4=0)),AND(13=$I5-1,OR(13&lt;&gt;'計算A'!$A$3,'計算A'!$A$4=0))),0,IF(13=$K5,200000,ABS(13-$K5)*100)),100000+ABS(1-$J5)*1000+130)+'計算A'!P$5*50+IF(AND($E5=1,JC5=0),25,0),INDEX('計算A'!P$110:P$114,$F5+1)+IF(AND($E5=1,JC5=0),1000,0)+IF($H5=1,(IF('計算A'!O$117=1,INDEX('計算A'!O$10:O$54,$B5),0)+IF('計算A'!P$117=1,INDEX('計算A'!Q$10:Q$54,$B5),0))*500,0)-IF(AND('計算A'!O$117=1,UM5&gt;0),300,0)-IF(AND($L5=1,'計算A'!P$117=1,DO5=0),300,0))),1000000))</f>
        <v/>
      </c>
      <c r="OS5">
        <f>IF($B5=0,1000000,IF(INDEX('計算A'!$D$60:$EQ$104,$B5,14)*DO5=1,IF(AND($E5=2,JD5=0),1000000,IF($I5&gt;0,IF(1=$J5,IF(OR(AND(14=$I5+1,OR($K5&lt;&gt;'計算A'!$A$3,'計算A'!$A$4=0)),AND(14=$I5-1,OR(14&lt;&gt;'計算A'!$A$3,'計算A'!$A$4=0))),0,IF(14=$K5,200000,ABS(14-$K5)*100)),100000+ABS(1-$J5)*1000+140)+'計算A'!Q$5*50+IF(AND($E5=1,JD5=0),25,0),INDEX('計算A'!Q$110:Q$114,$F5+1)+IF(AND($E5=1,JD5=0),1000,0)+IF($H5=1,(IF('計算A'!P$117=1,INDEX('計算A'!P$10:P$54,$B5),0)+IF('計算A'!Q$117=1,INDEX('計算A'!R$10:R$54,$B5),0))*500,0)-IF(AND('計算A'!P$117=1,UN5&gt;0),300,0)-IF(AND($L5=1,'計算A'!Q$117=1,DP5=0),300,0))),1000000))</f>
        <v/>
      </c>
      <c r="OT5">
        <f>IF($B5=0,1000000,IF(INDEX('計算A'!$D$60:$EQ$104,$B5,15)*DP5=1,IF(AND($E5=2,JE5=0),1000000,IF($I5&gt;0,IF(1=$J5,IF(OR(AND(15=$I5+1,OR($K5&lt;&gt;'計算A'!$A$3,'計算A'!$A$4=0)),AND(15=$I5-1,OR(15&lt;&gt;'計算A'!$A$3,'計算A'!$A$4=0))),0,IF(15=$K5,200000,ABS(15-$K5)*100)),100000+ABS(1-$J5)*1000+150)+'計算A'!R$5*50+IF(AND($E5=1,JE5=0),25,0),INDEX('計算A'!R$110:R$114,$F5+1)+IF(AND($E5=1,JE5=0),1000,0)+IF($H5=1,(IF('計算A'!Q$117=1,INDEX('計算A'!Q$10:Q$54,$B5),0)+IF('計算A'!R$117=1,INDEX('計算A'!S$10:S$54,$B5),0))*500,0)-IF(AND('計算A'!Q$117=1,UO5&gt;0),300,0)-IF(AND($L5=1,'計算A'!R$117=1,DQ5=0),300,0))),1000000))</f>
        <v/>
      </c>
      <c r="OU5">
        <f>IF($B5=0,1000000,IF(INDEX('計算A'!$D$60:$EQ$104,$B5,16)*DQ5=1,IF(AND($E5=2,JF5=0),1000000,IF($I5&gt;0,IF(1=$J5,IF(OR(AND(16=$I5+1,OR($K5&lt;&gt;'計算A'!$A$3,'計算A'!$A$4=0)),AND(16=$I5-1,OR(16&lt;&gt;'計算A'!$A$3,'計算A'!$A$4=0))),0,IF(16=$K5,200000,ABS(16-$K5)*100)),100000+ABS(1-$J5)*1000+160)+'計算A'!S$5*50+IF(AND($E5=1,JF5=0),25,0),INDEX('計算A'!S$110:S$114,$F5+1)+IF(AND($E5=1,JF5=0),1000,0)+IF($H5=1,(IF('計算A'!R$117=1,INDEX('計算A'!R$10:R$54,$B5),0)+IF('計算A'!S$117=1,INDEX('計算A'!T$10:T$54,$B5),0))*500,0)-IF(AND('計算A'!R$117=1,UP5&gt;0),300,0)-IF(AND($L5=1,'計算A'!S$117=1,DR5=0),300,0))),1000000))</f>
        <v/>
      </c>
      <c r="OV5">
        <f>IF($B5=0,1000000,IF(INDEX('計算A'!$D$60:$EQ$104,$B5,17)*DR5=1,IF(AND($E5=2,JG5=0),1000000,IF($I5&gt;0,IF(1=$J5,IF(OR(AND(17=$I5+1,OR($K5&lt;&gt;'計算A'!$A$3,'計算A'!$A$4=0)),AND(17=$I5-1,OR(17&lt;&gt;'計算A'!$A$3,'計算A'!$A$4=0))),0,IF(17=$K5,200000,ABS(17-$K5)*100)),100000+ABS(1-$J5)*1000+170)+'計算A'!T$5*50+IF(AND($E5=1,JG5=0),25,0),INDEX('計算A'!T$110:T$114,$F5+1)+IF(AND($E5=1,JG5=0),1000,0)+IF($H5=1,(IF('計算A'!S$117=1,INDEX('計算A'!S$10:S$54,$B5),0)+IF('計算A'!T$117=1,INDEX('計算A'!U$10:U$54,$B5),0))*500,0)-IF(AND('計算A'!S$117=1,UQ5&gt;0),300,0)-IF(AND($L5=1,'計算A'!T$117=1,DS5=0),300,0))),1000000))</f>
        <v/>
      </c>
      <c r="OW5">
        <f>IF($B5=0,1000000,IF(INDEX('計算A'!$D$60:$EQ$104,$B5,18)*DS5=1,IF(AND($E5=2,JH5=0),1000000,IF($I5&gt;0,IF(1=$J5,IF(OR(AND(18=$I5+1,OR($K5&lt;&gt;'計算A'!$A$3,'計算A'!$A$4=0)),AND(18=$I5-1,OR(18&lt;&gt;'計算A'!$A$3,'計算A'!$A$4=0))),0,IF(18=$K5,200000,ABS(18-$K5)*100)),100000+ABS(1-$J5)*1000+180)+'計算A'!U$5*50+IF(AND($E5=1,JH5=0),25,0),INDEX('計算A'!U$110:U$114,$F5+1)+IF(AND($E5=1,JH5=0),1000,0)+IF($H5=1,(IF('計算A'!T$117=1,INDEX('計算A'!T$10:T$54,$B5),0)+IF('計算A'!U$117=1,INDEX('計算A'!V$10:V$54,$B5),0))*500,0)-IF(AND('計算A'!T$117=1,UR5&gt;0),300,0)-IF(AND($L5=1,'計算A'!U$117=1,DT5=0),300,0))),1000000))</f>
        <v/>
      </c>
      <c r="OX5">
        <f>IF($B5=0,1000000,IF(INDEX('計算A'!$D$60:$EQ$104,$B5,19)*DT5=1,IF(AND($E5=2,JI5=0),1000000,IF($I5&gt;0,IF(1=$J5,IF(OR(AND(19=$I5+1,OR($K5&lt;&gt;'計算A'!$A$3,'計算A'!$A$4=0)),AND(19=$I5-1,OR(19&lt;&gt;'計算A'!$A$3,'計算A'!$A$4=0))),0,IF(19=$K5,200000,ABS(19-$K5)*100)),100000+ABS(1-$J5)*1000+190)+'計算A'!V$5*50+IF(AND($E5=1,JI5=0),25,0),INDEX('計算A'!V$110:V$114,$F5+1)+IF(AND($E5=1,JI5=0),1000,0)+IF($H5=1,(IF('計算A'!U$117=1,INDEX('計算A'!U$10:U$54,$B5),0)+IF('計算A'!V$117=1,INDEX('計算A'!W$10:W$54,$B5),0))*500,0)-IF(AND('計算A'!U$117=1,US5&gt;0),300,0)-IF(AND($L5=1,'計算A'!V$117=1,DU5=0),300,0))),1000000))</f>
        <v/>
      </c>
      <c r="OY5">
        <f>IF($B5=0,1000000,IF(INDEX('計算A'!$D$60:$EQ$104,$B5,20)*DU5=1,IF(AND($E5=2,JJ5=0),1000000,IF($I5&gt;0,IF(1=$J5,IF(OR(AND(20=$I5+1,OR($K5&lt;&gt;'計算A'!$A$3,'計算A'!$A$4=0)),AND(20=$I5-1,OR(20&lt;&gt;'計算A'!$A$3,'計算A'!$A$4=0))),0,IF(20=$K5,200000,ABS(20-$K5)*100)),100000+ABS(1-$J5)*1000+200)+'計算A'!W$5*50+IF(AND($E5=1,JJ5=0),25,0),INDEX('計算A'!W$110:W$114,$F5+1)+IF(AND($E5=1,JJ5=0),1000,0)+IF($H5=1,(IF('計算A'!V$117=1,INDEX('計算A'!V$10:V$54,$B5),0)+IF('計算A'!W$117=1,INDEX('計算A'!X$10:X$54,$B5),0))*500,0)-IF(AND('計算A'!V$117=1,UT5&gt;0),300,0)-IF(AND($L5=1,'計算A'!W$117=1,DV5=0),300,0))),1000000))</f>
        <v/>
      </c>
      <c r="OZ5">
        <f>IF($B5=0,1000000,IF(INDEX('計算A'!$D$60:$EQ$104,$B5,21)*DV5=1,IF(AND($E5=2,JK5=0),1000000,IF($I5&gt;0,IF(1=$J5,IF(OR(AND(21=$I5+1,OR($K5&lt;&gt;'計算A'!$A$3,'計算A'!$A$4=0)),AND(21=$I5-1,OR(21&lt;&gt;'計算A'!$A$3,'計算A'!$A$4=0))),0,IF(21=$K5,200000,ABS(21-$K5)*100)),100000+ABS(1-$J5)*1000+210)+'計算A'!X$5*50+IF(AND($E5=1,JK5=0),25,0),INDEX('計算A'!X$110:X$114,$F5+1)+IF(AND($E5=1,JK5=0),1000,0)+IF($H5=1,(IF('計算A'!W$117=1,INDEX('計算A'!W$10:W$54,$B5),0)+IF('計算A'!X$117=1,INDEX('計算A'!Y$10:Y$54,$B5),0))*500,0)-IF(AND('計算A'!W$117=1,UU5&gt;0),300,0)-IF(AND($L5=1,'計算A'!X$117=1,DW5=0),300,0))),1000000))</f>
        <v/>
      </c>
      <c r="PA5">
        <f>IF($B5=0,1000000,IF(INDEX('計算A'!$D$60:$EQ$104,$B5,22)*DW5=1,IF(AND($E5=2,JL5=0),1000000,IF($I5&gt;0,IF(1=$J5,IF(OR(AND(22=$I5+1,OR($K5&lt;&gt;'計算A'!$A$3,'計算A'!$A$4=0)),AND(22=$I5-1,OR(22&lt;&gt;'計算A'!$A$3,'計算A'!$A$4=0))),0,IF(22=$K5,200000,ABS(22-$K5)*100)),100000+ABS(1-$J5)*1000+220)+'計算A'!Y$5*50+IF(AND($E5=1,JL5=0),25,0),INDEX('計算A'!Y$110:Y$114,$F5+1)+IF(AND($E5=1,JL5=0),1000,0)+IF($H5=1,(IF('計算A'!X$117=1,INDEX('計算A'!X$10:X$54,$B5),0)+IF('計算A'!Y$117=1,INDEX('計算A'!Z$10:Z$54,$B5),0))*500,0)-IF(AND('計算A'!X$117=1,UV5&gt;0),300,0)-IF(AND($L5=1,'計算A'!Y$117=1,DX5=0),300,0))),1000000))</f>
        <v/>
      </c>
      <c r="PB5">
        <f>IF($B5=0,1000000,IF(INDEX('計算A'!$D$60:$EQ$104,$B5,23)*DX5=1,IF(AND($E5=2,JM5=0),1000000,IF($I5&gt;0,IF(1=$J5,IF(OR(AND(23=$I5+1,OR($K5&lt;&gt;'計算A'!$A$3,'計算A'!$A$4=0)),AND(23=$I5-1,OR(23&lt;&gt;'計算A'!$A$3,'計算A'!$A$4=0))),0,IF(23=$K5,200000,ABS(23-$K5)*100)),100000+ABS(1-$J5)*1000+230)+'計算A'!Z$5*50+IF(AND($E5=1,JM5=0),25,0),INDEX('計算A'!Z$110:Z$114,$F5+1)+IF(AND($E5=1,JM5=0),1000,0)+IF($H5=1,(IF('計算A'!Y$117=1,INDEX('計算A'!Y$10:Y$54,$B5),0)+IF('計算A'!Z$117=1,INDEX('計算A'!AA$10:AA$54,$B5),0))*500,0)-IF(AND('計算A'!Y$117=1,UW5&gt;0),300,0)-IF(AND($L5=1,'計算A'!Z$117=1,DY5=0),300,0))),1000000))</f>
        <v/>
      </c>
      <c r="PC5">
        <f>IF($B5=0,1000000,IF(INDEX('計算A'!$D$60:$EQ$104,$B5,24)*DY5=1,IF(AND($E5=2,JN5=0),1000000,IF($I5&gt;0,IF(1=$J5,IF(OR(AND(24=$I5+1,OR($K5&lt;&gt;'計算A'!$A$3,'計算A'!$A$4=0)),AND(24=$I5-1,OR(24&lt;&gt;'計算A'!$A$3,'計算A'!$A$4=0))),0,IF(24=$K5,200000,ABS(24-$K5)*100)),100000+ABS(1-$J5)*1000+240)+'計算A'!AA$5*50+IF(AND($E5=1,JN5=0),25,0),INDEX('計算A'!AA$110:AA$114,$F5+1)+IF(AND($E5=1,JN5=0),1000,0)+IF($H5=1,(IF('計算A'!Z$117=1,INDEX('計算A'!Z$10:Z$54,$B5),0))*500,0)-IF(AND('計算A'!Z$117=1,UX5&gt;0),300,0))),1000000))</f>
        <v/>
      </c>
      <c r="PD5">
        <f>IF($B5=0,1000000,IF(INDEX('計算A'!$D$60:$EQ$104,$B5,25)*DZ5=1,IF(AND($E5=2,JO5=0),1000000,IF($I5&gt;0,IF(2=$J5,IF(OR(AND(25=$I5+1,OR($K5&lt;&gt;'計算A'!$A$3,'計算A'!$A$4=0)),AND(25=$I5-1,OR(1&lt;&gt;'計算A'!$A$3,'計算A'!$A$4=0))),0,IF(1=$K5,200000,ABS(1-$K5)*100)),100000+ABS(2-$J5)*1000+10)+'計算A'!AB$5*50+IF(AND($E5=1,JO5=0),25,0),INDEX('計算A'!AB$110:AB$114,$F5+1)+IF(AND($E5=1,JO5=0),1000,0)+IF($H5=1,(IF('計算A'!AB$117=1,INDEX('計算A'!AC$10:AC$54,$B5),0))*500,0)-IF(AND($L5=1,'計算A'!AB$117=1,EA5=0),300,0))),1000000))</f>
        <v/>
      </c>
      <c r="PE5">
        <f>IF($B5=0,1000000,IF(INDEX('計算A'!$D$60:$EQ$104,$B5,26)*EA5=1,IF(AND($E5=2,JP5=0),1000000,IF($I5&gt;0,IF(2=$J5,IF(OR(AND(26=$I5+1,OR($K5&lt;&gt;'計算A'!$A$3,'計算A'!$A$4=0)),AND(26=$I5-1,OR(2&lt;&gt;'計算A'!$A$3,'計算A'!$A$4=0))),0,IF(2=$K5,200000,ABS(2-$K5)*100)),100000+ABS(2-$J5)*1000+20)+'計算A'!AC$5*50+IF(AND($E5=1,JP5=0),25,0),INDEX('計算A'!AC$110:AC$114,$F5+1)+IF(AND($E5=1,JP5=0),1000,0)+IF($H5=1,(IF('計算A'!AB$117=1,INDEX('計算A'!AB$10:AB$54,$B5),0)+IF('計算A'!AC$117=1,INDEX('計算A'!AD$10:AD$54,$B5),0))*500,0)-IF(AND('計算A'!AB$117=1,UZ5&gt;0),300,0)-IF(AND($L5=1,'計算A'!AC$117=1,EB5=0),300,0))),1000000))</f>
        <v/>
      </c>
      <c r="PF5">
        <f>IF($B5=0,1000000,IF(INDEX('計算A'!$D$60:$EQ$104,$B5,27)*EB5=1,IF(AND($E5=2,JQ5=0),1000000,IF($I5&gt;0,IF(2=$J5,IF(OR(AND(27=$I5+1,OR($K5&lt;&gt;'計算A'!$A$3,'計算A'!$A$4=0)),AND(27=$I5-1,OR(3&lt;&gt;'計算A'!$A$3,'計算A'!$A$4=0))),0,IF(3=$K5,200000,ABS(3-$K5)*100)),100000+ABS(2-$J5)*1000+30)+'計算A'!AD$5*50+IF(AND($E5=1,JQ5=0),25,0),INDEX('計算A'!AD$110:AD$114,$F5+1)+IF(AND($E5=1,JQ5=0),1000,0)+IF($H5=1,(IF('計算A'!AC$117=1,INDEX('計算A'!AC$10:AC$54,$B5),0)+IF('計算A'!AD$117=1,INDEX('計算A'!AE$10:AE$54,$B5),0))*500,0)-IF(AND('計算A'!AC$117=1,VA5&gt;0),300,0)-IF(AND($L5=1,'計算A'!AD$117=1,EC5=0),300,0))),1000000))</f>
        <v/>
      </c>
      <c r="PG5">
        <f>IF($B5=0,1000000,IF(INDEX('計算A'!$D$60:$EQ$104,$B5,28)*EC5=1,IF(AND($E5=2,JR5=0),1000000,IF($I5&gt;0,IF(2=$J5,IF(OR(AND(28=$I5+1,OR($K5&lt;&gt;'計算A'!$A$3,'計算A'!$A$4=0)),AND(28=$I5-1,OR(4&lt;&gt;'計算A'!$A$3,'計算A'!$A$4=0))),0,IF(4=$K5,200000,ABS(4-$K5)*100)),100000+ABS(2-$J5)*1000+40)+'計算A'!AE$5*50+IF(AND($E5=1,JR5=0),25,0),INDEX('計算A'!AE$110:AE$114,$F5+1)+IF(AND($E5=1,JR5=0),1000,0)+IF($H5=1,(IF('計算A'!AD$117=1,INDEX('計算A'!AD$10:AD$54,$B5),0)+IF('計算A'!AE$117=1,INDEX('計算A'!AF$10:AF$54,$B5),0))*500,0)-IF(AND('計算A'!AD$117=1,VB5&gt;0),300,0)-IF(AND($L5=1,'計算A'!AE$117=1,ED5=0),300,0))),1000000))</f>
        <v/>
      </c>
      <c r="PH5">
        <f>IF($B5=0,1000000,IF(INDEX('計算A'!$D$60:$EQ$104,$B5,29)*ED5=1,IF(AND($E5=2,JS5=0),1000000,IF($I5&gt;0,IF(2=$J5,IF(OR(AND(29=$I5+1,OR($K5&lt;&gt;'計算A'!$A$3,'計算A'!$A$4=0)),AND(29=$I5-1,OR(5&lt;&gt;'計算A'!$A$3,'計算A'!$A$4=0))),0,IF(5=$K5,200000,ABS(5-$K5)*100)),100000+ABS(2-$J5)*1000+50)+'計算A'!AF$5*50+IF(AND($E5=1,JS5=0),25,0),INDEX('計算A'!AF$110:AF$114,$F5+1)+IF(AND($E5=1,JS5=0),1000,0)+IF($H5=1,(IF('計算A'!AE$117=1,INDEX('計算A'!AE$10:AE$54,$B5),0)+IF('計算A'!AF$117=1,INDEX('計算A'!AG$10:AG$54,$B5),0))*500,0)-IF(AND('計算A'!AE$117=1,VC5&gt;0),300,0)-IF(AND($L5=1,'計算A'!AF$117=1,EE5=0),300,0))),1000000))</f>
        <v/>
      </c>
      <c r="PI5">
        <f>IF($B5=0,1000000,IF(INDEX('計算A'!$D$60:$EQ$104,$B5,30)*EE5=1,IF(AND($E5=2,JT5=0),1000000,IF($I5&gt;0,IF(2=$J5,IF(OR(AND(30=$I5+1,OR($K5&lt;&gt;'計算A'!$A$3,'計算A'!$A$4=0)),AND(30=$I5-1,OR(6&lt;&gt;'計算A'!$A$3,'計算A'!$A$4=0))),0,IF(6=$K5,200000,ABS(6-$K5)*100)),100000+ABS(2-$J5)*1000+60)+'計算A'!AG$5*50+IF(AND($E5=1,JT5=0),25,0),INDEX('計算A'!AG$110:AG$114,$F5+1)+IF(AND($E5=1,JT5=0),1000,0)+IF($H5=1,(IF('計算A'!AF$117=1,INDEX('計算A'!AF$10:AF$54,$B5),0)+IF('計算A'!AG$117=1,INDEX('計算A'!AH$10:AH$54,$B5),0))*500,0)-IF(AND('計算A'!AF$117=1,VD5&gt;0),300,0)-IF(AND($L5=1,'計算A'!AG$117=1,EF5=0),300,0))),1000000))</f>
        <v/>
      </c>
      <c r="PJ5">
        <f>IF($B5=0,1000000,IF(INDEX('計算A'!$D$60:$EQ$104,$B5,31)*EF5=1,IF(AND($E5=2,JU5=0),1000000,IF($I5&gt;0,IF(2=$J5,IF(OR(AND(31=$I5+1,OR($K5&lt;&gt;'計算A'!$A$3,'計算A'!$A$4=0)),AND(31=$I5-1,OR(7&lt;&gt;'計算A'!$A$3,'計算A'!$A$4=0))),0,IF(7=$K5,200000,ABS(7-$K5)*100)),100000+ABS(2-$J5)*1000+70)+'計算A'!AH$5*50+IF(AND($E5=1,JU5=0),25,0),INDEX('計算A'!AH$110:AH$114,$F5+1)+IF(AND($E5=1,JU5=0),1000,0)+IF($H5=1,(IF('計算A'!AG$117=1,INDEX('計算A'!AG$10:AG$54,$B5),0)+IF('計算A'!AH$117=1,INDEX('計算A'!AI$10:AI$54,$B5),0))*500,0)-IF(AND('計算A'!AG$117=1,VE5&gt;0),300,0)-IF(AND($L5=1,'計算A'!AH$117=1,EG5=0),300,0))),1000000))</f>
        <v/>
      </c>
      <c r="PK5">
        <f>IF($B5=0,1000000,IF(INDEX('計算A'!$D$60:$EQ$104,$B5,32)*EG5=1,IF(AND($E5=2,JV5=0),1000000,IF($I5&gt;0,IF(2=$J5,IF(OR(AND(32=$I5+1,OR($K5&lt;&gt;'計算A'!$A$3,'計算A'!$A$4=0)),AND(32=$I5-1,OR(8&lt;&gt;'計算A'!$A$3,'計算A'!$A$4=0))),0,IF(8=$K5,200000,ABS(8-$K5)*100)),100000+ABS(2-$J5)*1000+80)+'計算A'!AI$5*50+IF(AND($E5=1,JV5=0),25,0),INDEX('計算A'!AI$110:AI$114,$F5+1)+IF(AND($E5=1,JV5=0),1000,0)+IF($H5=1,(IF('計算A'!AH$117=1,INDEX('計算A'!AH$10:AH$54,$B5),0)+IF('計算A'!AI$117=1,INDEX('計算A'!AJ$10:AJ$54,$B5),0))*500,0)-IF(AND('計算A'!AH$117=1,VF5&gt;0),300,0)-IF(AND($L5=1,'計算A'!AI$117=1,EH5=0),300,0))),1000000))</f>
        <v/>
      </c>
      <c r="PL5">
        <f>IF($B5=0,1000000,IF(INDEX('計算A'!$D$60:$EQ$104,$B5,33)*EH5=1,IF(AND($E5=2,JW5=0),1000000,IF($I5&gt;0,IF(2=$J5,IF(OR(AND(33=$I5+1,OR($K5&lt;&gt;'計算A'!$A$3,'計算A'!$A$4=0)),AND(33=$I5-1,OR(9&lt;&gt;'計算A'!$A$3,'計算A'!$A$4=0))),0,IF(9=$K5,200000,ABS(9-$K5)*100)),100000+ABS(2-$J5)*1000+90)+'計算A'!AJ$5*50+IF(AND($E5=1,JW5=0),25,0),INDEX('計算A'!AJ$110:AJ$114,$F5+1)+IF(AND($E5=1,JW5=0),1000,0)+IF($H5=1,(IF('計算A'!AI$117=1,INDEX('計算A'!AI$10:AI$54,$B5),0)+IF('計算A'!AJ$117=1,INDEX('計算A'!AK$10:AK$54,$B5),0))*500,0)-IF(AND('計算A'!AI$117=1,VG5&gt;0),300,0)-IF(AND($L5=1,'計算A'!AJ$117=1,EI5=0),300,0))),1000000))</f>
        <v/>
      </c>
      <c r="PM5">
        <f>IF($B5=0,1000000,IF(INDEX('計算A'!$D$60:$EQ$104,$B5,34)*EI5=1,IF(AND($E5=2,JX5=0),1000000,IF($I5&gt;0,IF(2=$J5,IF(OR(AND(34=$I5+1,OR($K5&lt;&gt;'計算A'!$A$3,'計算A'!$A$4=0)),AND(34=$I5-1,OR(10&lt;&gt;'計算A'!$A$3,'計算A'!$A$4=0))),0,IF(10=$K5,200000,ABS(10-$K5)*100)),100000+ABS(2-$J5)*1000+100)+'計算A'!AK$5*50+IF(AND($E5=1,JX5=0),25,0),INDEX('計算A'!AK$110:AK$114,$F5+1)+IF(AND($E5=1,JX5=0),1000,0)+IF($H5=1,(IF('計算A'!AJ$117=1,INDEX('計算A'!AJ$10:AJ$54,$B5),0)+IF('計算A'!AK$117=1,INDEX('計算A'!AL$10:AL$54,$B5),0))*500,0)-IF(AND('計算A'!AJ$117=1,VH5&gt;0),300,0)-IF(AND($L5=1,'計算A'!AK$117=1,EJ5=0),300,0))),1000000))</f>
        <v/>
      </c>
      <c r="PN5">
        <f>IF($B5=0,1000000,IF(INDEX('計算A'!$D$60:$EQ$104,$B5,35)*EJ5=1,IF(AND($E5=2,JY5=0),1000000,IF($I5&gt;0,IF(2=$J5,IF(OR(AND(35=$I5+1,OR($K5&lt;&gt;'計算A'!$A$3,'計算A'!$A$4=0)),AND(35=$I5-1,OR(11&lt;&gt;'計算A'!$A$3,'計算A'!$A$4=0))),0,IF(11=$K5,200000,ABS(11-$K5)*100)),100000+ABS(2-$J5)*1000+110)+'計算A'!AL$5*50+IF(AND($E5=1,JY5=0),25,0),INDEX('計算A'!AL$110:AL$114,$F5+1)+IF(AND($E5=1,JY5=0),1000,0)+IF($H5=1,(IF('計算A'!AK$117=1,INDEX('計算A'!AK$10:AK$54,$B5),0)+IF('計算A'!AL$117=1,INDEX('計算A'!AM$10:AM$54,$B5),0))*500,0)-IF(AND('計算A'!AK$117=1,VI5&gt;0),300,0)-IF(AND($L5=1,'計算A'!AL$117=1,EK5=0),300,0))),1000000))</f>
        <v/>
      </c>
      <c r="PO5">
        <f>IF($B5=0,1000000,IF(INDEX('計算A'!$D$60:$EQ$104,$B5,36)*EK5=1,IF(AND($E5=2,JZ5=0),1000000,IF($I5&gt;0,IF(2=$J5,IF(OR(AND(36=$I5+1,OR($K5&lt;&gt;'計算A'!$A$3,'計算A'!$A$4=0)),AND(36=$I5-1,OR(12&lt;&gt;'計算A'!$A$3,'計算A'!$A$4=0))),0,IF(12=$K5,200000,ABS(12-$K5)*100)),100000+ABS(2-$J5)*1000+120)+'計算A'!AM$5*50+IF(AND($E5=1,JZ5=0),25,0),INDEX('計算A'!AM$110:AM$114,$F5+1)+IF(AND($E5=1,JZ5=0),1000,0)+IF($H5=1,(IF('計算A'!AL$117=1,INDEX('計算A'!AL$10:AL$54,$B5),0)+IF('計算A'!AM$117=1,INDEX('計算A'!AN$10:AN$54,$B5),0))*500,0)-IF(AND('計算A'!AL$117=1,VJ5&gt;0),300,0)-IF(AND($L5=1,'計算A'!AM$117=1,EL5=0),300,0))),1000000))</f>
        <v/>
      </c>
      <c r="PP5">
        <f>IF($B5=0,1000000,IF(INDEX('計算A'!$D$60:$EQ$104,$B5,37)*EL5=1,IF(AND($E5=2,KA5=0),1000000,IF($I5&gt;0,IF(2=$J5,IF(OR(AND(37=$I5+1,OR($K5&lt;&gt;'計算A'!$A$3,'計算A'!$A$4=0)),AND(37=$I5-1,OR(13&lt;&gt;'計算A'!$A$3,'計算A'!$A$4=0))),0,IF(13=$K5,200000,ABS(13-$K5)*100)),100000+ABS(2-$J5)*1000+130)+'計算A'!AN$5*50+IF(AND($E5=1,KA5=0),25,0),INDEX('計算A'!AN$110:AN$114,$F5+1)+IF(AND($E5=1,KA5=0),1000,0)+IF($H5=1,(IF('計算A'!AM$117=1,INDEX('計算A'!AM$10:AM$54,$B5),0)+IF('計算A'!AN$117=1,INDEX('計算A'!AO$10:AO$54,$B5),0))*500,0)-IF(AND('計算A'!AM$117=1,VK5&gt;0),300,0)-IF(AND($L5=1,'計算A'!AN$117=1,EM5=0),300,0))),1000000))</f>
        <v/>
      </c>
      <c r="PQ5">
        <f>IF($B5=0,1000000,IF(INDEX('計算A'!$D$60:$EQ$104,$B5,38)*EM5=1,IF(AND($E5=2,KB5=0),1000000,IF($I5&gt;0,IF(2=$J5,IF(OR(AND(38=$I5+1,OR($K5&lt;&gt;'計算A'!$A$3,'計算A'!$A$4=0)),AND(38=$I5-1,OR(14&lt;&gt;'計算A'!$A$3,'計算A'!$A$4=0))),0,IF(14=$K5,200000,ABS(14-$K5)*100)),100000+ABS(2-$J5)*1000+140)+'計算A'!AO$5*50+IF(AND($E5=1,KB5=0),25,0),INDEX('計算A'!AO$110:AO$114,$F5+1)+IF(AND($E5=1,KB5=0),1000,0)+IF($H5=1,(IF('計算A'!AN$117=1,INDEX('計算A'!AN$10:AN$54,$B5),0)+IF('計算A'!AO$117=1,INDEX('計算A'!AP$10:AP$54,$B5),0))*500,0)-IF(AND('計算A'!AN$117=1,VL5&gt;0),300,0)-IF(AND($L5=1,'計算A'!AO$117=1,EN5=0),300,0))),1000000))</f>
        <v/>
      </c>
      <c r="PR5">
        <f>IF($B5=0,1000000,IF(INDEX('計算A'!$D$60:$EQ$104,$B5,39)*EN5=1,IF(AND($E5=2,KC5=0),1000000,IF($I5&gt;0,IF(2=$J5,IF(OR(AND(39=$I5+1,OR($K5&lt;&gt;'計算A'!$A$3,'計算A'!$A$4=0)),AND(39=$I5-1,OR(15&lt;&gt;'計算A'!$A$3,'計算A'!$A$4=0))),0,IF(15=$K5,200000,ABS(15-$K5)*100)),100000+ABS(2-$J5)*1000+150)+'計算A'!AP$5*50+IF(AND($E5=1,KC5=0),25,0),INDEX('計算A'!AP$110:AP$114,$F5+1)+IF(AND($E5=1,KC5=0),1000,0)+IF($H5=1,(IF('計算A'!AO$117=1,INDEX('計算A'!AO$10:AO$54,$B5),0)+IF('計算A'!AP$117=1,INDEX('計算A'!AQ$10:AQ$54,$B5),0))*500,0)-IF(AND('計算A'!AO$117=1,VM5&gt;0),300,0)-IF(AND($L5=1,'計算A'!AP$117=1,EO5=0),300,0))),1000000))</f>
        <v/>
      </c>
      <c r="PS5">
        <f>IF($B5=0,1000000,IF(INDEX('計算A'!$D$60:$EQ$104,$B5,40)*EO5=1,IF(AND($E5=2,KD5=0),1000000,IF($I5&gt;0,IF(2=$J5,IF(OR(AND(40=$I5+1,OR($K5&lt;&gt;'計算A'!$A$3,'計算A'!$A$4=0)),AND(40=$I5-1,OR(16&lt;&gt;'計算A'!$A$3,'計算A'!$A$4=0))),0,IF(16=$K5,200000,ABS(16-$K5)*100)),100000+ABS(2-$J5)*1000+160)+'計算A'!AQ$5*50+IF(AND($E5=1,KD5=0),25,0),INDEX('計算A'!AQ$110:AQ$114,$F5+1)+IF(AND($E5=1,KD5=0),1000,0)+IF($H5=1,(IF('計算A'!AP$117=1,INDEX('計算A'!AP$10:AP$54,$B5),0)+IF('計算A'!AQ$117=1,INDEX('計算A'!AR$10:AR$54,$B5),0))*500,0)-IF(AND('計算A'!AP$117=1,VN5&gt;0),300,0)-IF(AND($L5=1,'計算A'!AQ$117=1,EP5=0),300,0))),1000000))</f>
        <v/>
      </c>
      <c r="PT5">
        <f>IF($B5=0,1000000,IF(INDEX('計算A'!$D$60:$EQ$104,$B5,41)*EP5=1,IF(AND($E5=2,KE5=0),1000000,IF($I5&gt;0,IF(2=$J5,IF(OR(AND(41=$I5+1,OR($K5&lt;&gt;'計算A'!$A$3,'計算A'!$A$4=0)),AND(41=$I5-1,OR(17&lt;&gt;'計算A'!$A$3,'計算A'!$A$4=0))),0,IF(17=$K5,200000,ABS(17-$K5)*100)),100000+ABS(2-$J5)*1000+170)+'計算A'!AR$5*50+IF(AND($E5=1,KE5=0),25,0),INDEX('計算A'!AR$110:AR$114,$F5+1)+IF(AND($E5=1,KE5=0),1000,0)+IF($H5=1,(IF('計算A'!AQ$117=1,INDEX('計算A'!AQ$10:AQ$54,$B5),0)+IF('計算A'!AR$117=1,INDEX('計算A'!AS$10:AS$54,$B5),0))*500,0)-IF(AND('計算A'!AQ$117=1,VO5&gt;0),300,0)-IF(AND($L5=1,'計算A'!AR$117=1,EQ5=0),300,0))),1000000))</f>
        <v/>
      </c>
      <c r="PU5">
        <f>IF($B5=0,1000000,IF(INDEX('計算A'!$D$60:$EQ$104,$B5,42)*EQ5=1,IF(AND($E5=2,KF5=0),1000000,IF($I5&gt;0,IF(2=$J5,IF(OR(AND(42=$I5+1,OR($K5&lt;&gt;'計算A'!$A$3,'計算A'!$A$4=0)),AND(42=$I5-1,OR(18&lt;&gt;'計算A'!$A$3,'計算A'!$A$4=0))),0,IF(18=$K5,200000,ABS(18-$K5)*100)),100000+ABS(2-$J5)*1000+180)+'計算A'!AS$5*50+IF(AND($E5=1,KF5=0),25,0),INDEX('計算A'!AS$110:AS$114,$F5+1)+IF(AND($E5=1,KF5=0),1000,0)+IF($H5=1,(IF('計算A'!AR$117=1,INDEX('計算A'!AR$10:AR$54,$B5),0)+IF('計算A'!AS$117=1,INDEX('計算A'!AT$10:AT$54,$B5),0))*500,0)-IF(AND('計算A'!AR$117=1,VP5&gt;0),300,0)-IF(AND($L5=1,'計算A'!AS$117=1,ER5=0),300,0))),1000000))</f>
        <v/>
      </c>
      <c r="PV5">
        <f>IF($B5=0,1000000,IF(INDEX('計算A'!$D$60:$EQ$104,$B5,43)*ER5=1,IF(AND($E5=2,KG5=0),1000000,IF($I5&gt;0,IF(2=$J5,IF(OR(AND(43=$I5+1,OR($K5&lt;&gt;'計算A'!$A$3,'計算A'!$A$4=0)),AND(43=$I5-1,OR(19&lt;&gt;'計算A'!$A$3,'計算A'!$A$4=0))),0,IF(19=$K5,200000,ABS(19-$K5)*100)),100000+ABS(2-$J5)*1000+190)+'計算A'!AT$5*50+IF(AND($E5=1,KG5=0),25,0),INDEX('計算A'!AT$110:AT$114,$F5+1)+IF(AND($E5=1,KG5=0),1000,0)+IF($H5=1,(IF('計算A'!AS$117=1,INDEX('計算A'!AS$10:AS$54,$B5),0)+IF('計算A'!AT$117=1,INDEX('計算A'!AU$10:AU$54,$B5),0))*500,0)-IF(AND('計算A'!AS$117=1,VQ5&gt;0),300,0)-IF(AND($L5=1,'計算A'!AT$117=1,ES5=0),300,0))),1000000))</f>
        <v/>
      </c>
      <c r="PW5">
        <f>IF($B5=0,1000000,IF(INDEX('計算A'!$D$60:$EQ$104,$B5,44)*ES5=1,IF(AND($E5=2,KH5=0),1000000,IF($I5&gt;0,IF(2=$J5,IF(OR(AND(44=$I5+1,OR($K5&lt;&gt;'計算A'!$A$3,'計算A'!$A$4=0)),AND(44=$I5-1,OR(20&lt;&gt;'計算A'!$A$3,'計算A'!$A$4=0))),0,IF(20=$K5,200000,ABS(20-$K5)*100)),100000+ABS(2-$J5)*1000+200)+'計算A'!AU$5*50+IF(AND($E5=1,KH5=0),25,0),INDEX('計算A'!AU$110:AU$114,$F5+1)+IF(AND($E5=1,KH5=0),1000,0)+IF($H5=1,(IF('計算A'!AT$117=1,INDEX('計算A'!AT$10:AT$54,$B5),0)+IF('計算A'!AU$117=1,INDEX('計算A'!AV$10:AV$54,$B5),0))*500,0)-IF(AND('計算A'!AT$117=1,VR5&gt;0),300,0)-IF(AND($L5=1,'計算A'!AU$117=1,ET5=0),300,0))),1000000))</f>
        <v/>
      </c>
      <c r="PX5">
        <f>IF($B5=0,1000000,IF(INDEX('計算A'!$D$60:$EQ$104,$B5,45)*ET5=1,IF(AND($E5=2,KI5=0),1000000,IF($I5&gt;0,IF(2=$J5,IF(OR(AND(45=$I5+1,OR($K5&lt;&gt;'計算A'!$A$3,'計算A'!$A$4=0)),AND(45=$I5-1,OR(21&lt;&gt;'計算A'!$A$3,'計算A'!$A$4=0))),0,IF(21=$K5,200000,ABS(21-$K5)*100)),100000+ABS(2-$J5)*1000+210)+'計算A'!AV$5*50+IF(AND($E5=1,KI5=0),25,0),INDEX('計算A'!AV$110:AV$114,$F5+1)+IF(AND($E5=1,KI5=0),1000,0)+IF($H5=1,(IF('計算A'!AU$117=1,INDEX('計算A'!AU$10:AU$54,$B5),0)+IF('計算A'!AV$117=1,INDEX('計算A'!AW$10:AW$54,$B5),0))*500,0)-IF(AND('計算A'!AU$117=1,VS5&gt;0),300,0)-IF(AND($L5=1,'計算A'!AV$117=1,EU5=0),300,0))),1000000))</f>
        <v/>
      </c>
      <c r="PY5">
        <f>IF($B5=0,1000000,IF(INDEX('計算A'!$D$60:$EQ$104,$B5,46)*EU5=1,IF(AND($E5=2,KJ5=0),1000000,IF($I5&gt;0,IF(2=$J5,IF(OR(AND(46=$I5+1,OR($K5&lt;&gt;'計算A'!$A$3,'計算A'!$A$4=0)),AND(46=$I5-1,OR(22&lt;&gt;'計算A'!$A$3,'計算A'!$A$4=0))),0,IF(22=$K5,200000,ABS(22-$K5)*100)),100000+ABS(2-$J5)*1000+220)+'計算A'!AW$5*50+IF(AND($E5=1,KJ5=0),25,0),INDEX('計算A'!AW$110:AW$114,$F5+1)+IF(AND($E5=1,KJ5=0),1000,0)+IF($H5=1,(IF('計算A'!AV$117=1,INDEX('計算A'!AV$10:AV$54,$B5),0)+IF('計算A'!AW$117=1,INDEX('計算A'!AX$10:AX$54,$B5),0))*500,0)-IF(AND('計算A'!AV$117=1,VT5&gt;0),300,0)-IF(AND($L5=1,'計算A'!AW$117=1,EV5=0),300,0))),1000000))</f>
        <v/>
      </c>
      <c r="PZ5">
        <f>IF($B5=0,1000000,IF(INDEX('計算A'!$D$60:$EQ$104,$B5,47)*EV5=1,IF(AND($E5=2,KK5=0),1000000,IF($I5&gt;0,IF(2=$J5,IF(OR(AND(47=$I5+1,OR($K5&lt;&gt;'計算A'!$A$3,'計算A'!$A$4=0)),AND(47=$I5-1,OR(23&lt;&gt;'計算A'!$A$3,'計算A'!$A$4=0))),0,IF(23=$K5,200000,ABS(23-$K5)*100)),100000+ABS(2-$J5)*1000+230)+'計算A'!AX$5*50+IF(AND($E5=1,KK5=0),25,0),INDEX('計算A'!AX$110:AX$114,$F5+1)+IF(AND($E5=1,KK5=0),1000,0)+IF($H5=1,(IF('計算A'!AW$117=1,INDEX('計算A'!AW$10:AW$54,$B5),0)+IF('計算A'!AX$117=1,INDEX('計算A'!AY$10:AY$54,$B5),0))*500,0)-IF(AND('計算A'!AW$117=1,VU5&gt;0),300,0)-IF(AND($L5=1,'計算A'!AX$117=1,EW5=0),300,0))),1000000))</f>
        <v/>
      </c>
      <c r="QA5">
        <f>IF($B5=0,1000000,IF(INDEX('計算A'!$D$60:$EQ$104,$B5,48)*EW5=1,IF(AND($E5=2,KL5=0),1000000,IF($I5&gt;0,IF(2=$J5,IF(OR(AND(48=$I5+1,OR($K5&lt;&gt;'計算A'!$A$3,'計算A'!$A$4=0)),AND(48=$I5-1,OR(24&lt;&gt;'計算A'!$A$3,'計算A'!$A$4=0))),0,IF(24=$K5,200000,ABS(24-$K5)*100)),100000+ABS(2-$J5)*1000+240)+'計算A'!AY$5*50+IF(AND($E5=1,KL5=0),25,0),INDEX('計算A'!AY$110:AY$114,$F5+1)+IF(AND($E5=1,KL5=0),1000,0)+IF($H5=1,(IF('計算A'!AX$117=1,INDEX('計算A'!AX$10:AX$54,$B5),0))*500,0)-IF(AND('計算A'!AX$117=1,VV5&gt;0),300,0))),1000000))</f>
        <v/>
      </c>
      <c r="QB5">
        <f>IF($B5=0,1000000,IF(INDEX('計算A'!$D$60:$EQ$104,$B5,49)*EX5=1,IF(AND($E5=2,KM5=0),1000000,IF($I5&gt;0,IF(3=$J5,IF(OR(AND(49=$I5+1,OR($K5&lt;&gt;'計算A'!$A$3,'計算A'!$A$4=0)),AND(49=$I5-1,OR(1&lt;&gt;'計算A'!$A$3,'計算A'!$A$4=0))),0,IF(1=$K5,200000,ABS(1-$K5)*100)),100000+ABS(3-$J5)*1000+10)+'計算A'!AZ$5*50+IF(AND($E5=1,KM5=0),25,0),INDEX('計算A'!AZ$110:AZ$114,$F5+1)+IF(AND($E5=1,KM5=0),1000,0)+IF($H5=1,(IF('計算A'!AZ$117=1,INDEX('計算A'!BA$10:BA$54,$B5),0))*500,0)-IF(AND($L5=1,'計算A'!AZ$117=1,EY5=0),300,0))),1000000))</f>
        <v/>
      </c>
      <c r="QC5">
        <f>IF($B5=0,1000000,IF(INDEX('計算A'!$D$60:$EQ$104,$B5,50)*EY5=1,IF(AND($E5=2,KN5=0),1000000,IF($I5&gt;0,IF(3=$J5,IF(OR(AND(50=$I5+1,OR($K5&lt;&gt;'計算A'!$A$3,'計算A'!$A$4=0)),AND(50=$I5-1,OR(2&lt;&gt;'計算A'!$A$3,'計算A'!$A$4=0))),0,IF(2=$K5,200000,ABS(2-$K5)*100)),100000+ABS(3-$J5)*1000+20)+'計算A'!BA$5*50+IF(AND($E5=1,KN5=0),25,0),INDEX('計算A'!BA$110:BA$114,$F5+1)+IF(AND($E5=1,KN5=0),1000,0)+IF($H5=1,(IF('計算A'!AZ$117=1,INDEX('計算A'!AZ$10:AZ$54,$B5),0)+IF('計算A'!BA$117=1,INDEX('計算A'!BB$10:BB$54,$B5),0))*500,0)-IF(AND('計算A'!AZ$117=1,VX5&gt;0),300,0)-IF(AND($L5=1,'計算A'!BA$117=1,EZ5=0),300,0))),1000000))</f>
        <v/>
      </c>
      <c r="QD5">
        <f>IF($B5=0,1000000,IF(INDEX('計算A'!$D$60:$EQ$104,$B5,51)*EZ5=1,IF(AND($E5=2,KO5=0),1000000,IF($I5&gt;0,IF(3=$J5,IF(OR(AND(51=$I5+1,OR($K5&lt;&gt;'計算A'!$A$3,'計算A'!$A$4=0)),AND(51=$I5-1,OR(3&lt;&gt;'計算A'!$A$3,'計算A'!$A$4=0))),0,IF(3=$K5,200000,ABS(3-$K5)*100)),100000+ABS(3-$J5)*1000+30)+'計算A'!BB$5*50+IF(AND($E5=1,KO5=0),25,0),INDEX('計算A'!BB$110:BB$114,$F5+1)+IF(AND($E5=1,KO5=0),1000,0)+IF($H5=1,(IF('計算A'!BA$117=1,INDEX('計算A'!BA$10:BA$54,$B5),0)+IF('計算A'!BB$117=1,INDEX('計算A'!BC$10:BC$54,$B5),0))*500,0)-IF(AND('計算A'!BA$117=1,VY5&gt;0),300,0)-IF(AND($L5=1,'計算A'!BB$117=1,FA5=0),300,0))),1000000))</f>
        <v/>
      </c>
      <c r="QE5">
        <f>IF($B5=0,1000000,IF(INDEX('計算A'!$D$60:$EQ$104,$B5,52)*FA5=1,IF(AND($E5=2,KP5=0),1000000,IF($I5&gt;0,IF(3=$J5,IF(OR(AND(52=$I5+1,OR($K5&lt;&gt;'計算A'!$A$3,'計算A'!$A$4=0)),AND(52=$I5-1,OR(4&lt;&gt;'計算A'!$A$3,'計算A'!$A$4=0))),0,IF(4=$K5,200000,ABS(4-$K5)*100)),100000+ABS(3-$J5)*1000+40)+'計算A'!BC$5*50+IF(AND($E5=1,KP5=0),25,0),INDEX('計算A'!BC$110:BC$114,$F5+1)+IF(AND($E5=1,KP5=0),1000,0)+IF($H5=1,(IF('計算A'!BB$117=1,INDEX('計算A'!BB$10:BB$54,$B5),0)+IF('計算A'!BC$117=1,INDEX('計算A'!BD$10:BD$54,$B5),0))*500,0)-IF(AND('計算A'!BB$117=1,VZ5&gt;0),300,0)-IF(AND($L5=1,'計算A'!BC$117=1,FB5=0),300,0))),1000000))</f>
        <v/>
      </c>
      <c r="QF5">
        <f>IF($B5=0,1000000,IF(INDEX('計算A'!$D$60:$EQ$104,$B5,53)*FB5=1,IF(AND($E5=2,KQ5=0),1000000,IF($I5&gt;0,IF(3=$J5,IF(OR(AND(53=$I5+1,OR($K5&lt;&gt;'計算A'!$A$3,'計算A'!$A$4=0)),AND(53=$I5-1,OR(5&lt;&gt;'計算A'!$A$3,'計算A'!$A$4=0))),0,IF(5=$K5,200000,ABS(5-$K5)*100)),100000+ABS(3-$J5)*1000+50)+'計算A'!BD$5*50+IF(AND($E5=1,KQ5=0),25,0),INDEX('計算A'!BD$110:BD$114,$F5+1)+IF(AND($E5=1,KQ5=0),1000,0)+IF($H5=1,(IF('計算A'!BC$117=1,INDEX('計算A'!BC$10:BC$54,$B5),0)+IF('計算A'!BD$117=1,INDEX('計算A'!BE$10:BE$54,$B5),0))*500,0)-IF(AND('計算A'!BC$117=1,WA5&gt;0),300,0)-IF(AND($L5=1,'計算A'!BD$117=1,FC5=0),300,0))),1000000))</f>
        <v/>
      </c>
      <c r="QG5">
        <f>IF($B5=0,1000000,IF(INDEX('計算A'!$D$60:$EQ$104,$B5,54)*FC5=1,IF(AND($E5=2,KR5=0),1000000,IF($I5&gt;0,IF(3=$J5,IF(OR(AND(54=$I5+1,OR($K5&lt;&gt;'計算A'!$A$3,'計算A'!$A$4=0)),AND(54=$I5-1,OR(6&lt;&gt;'計算A'!$A$3,'計算A'!$A$4=0))),0,IF(6=$K5,200000,ABS(6-$K5)*100)),100000+ABS(3-$J5)*1000+60)+'計算A'!BE$5*50+IF(AND($E5=1,KR5=0),25,0),INDEX('計算A'!BE$110:BE$114,$F5+1)+IF(AND($E5=1,KR5=0),1000,0)+IF($H5=1,(IF('計算A'!BD$117=1,INDEX('計算A'!BD$10:BD$54,$B5),0)+IF('計算A'!BE$117=1,INDEX('計算A'!BF$10:BF$54,$B5),0))*500,0)-IF(AND('計算A'!BD$117=1,WB5&gt;0),300,0)-IF(AND($L5=1,'計算A'!BE$117=1,FD5=0),300,0))),1000000))</f>
        <v/>
      </c>
      <c r="QH5">
        <f>IF($B5=0,1000000,IF(INDEX('計算A'!$D$60:$EQ$104,$B5,55)*FD5=1,IF(AND($E5=2,KS5=0),1000000,IF($I5&gt;0,IF(3=$J5,IF(OR(AND(55=$I5+1,OR($K5&lt;&gt;'計算A'!$A$3,'計算A'!$A$4=0)),AND(55=$I5-1,OR(7&lt;&gt;'計算A'!$A$3,'計算A'!$A$4=0))),0,IF(7=$K5,200000,ABS(7-$K5)*100)),100000+ABS(3-$J5)*1000+70)+'計算A'!BF$5*50+IF(AND($E5=1,KS5=0),25,0),INDEX('計算A'!BF$110:BF$114,$F5+1)+IF(AND($E5=1,KS5=0),1000,0)+IF($H5=1,(IF('計算A'!BE$117=1,INDEX('計算A'!BE$10:BE$54,$B5),0)+IF('計算A'!BF$117=1,INDEX('計算A'!BG$10:BG$54,$B5),0))*500,0)-IF(AND('計算A'!BE$117=1,WC5&gt;0),300,0)-IF(AND($L5=1,'計算A'!BF$117=1,FE5=0),300,0))),1000000))</f>
        <v/>
      </c>
      <c r="QI5">
        <f>IF($B5=0,1000000,IF(INDEX('計算A'!$D$60:$EQ$104,$B5,56)*FE5=1,IF(AND($E5=2,KT5=0),1000000,IF($I5&gt;0,IF(3=$J5,IF(OR(AND(56=$I5+1,OR($K5&lt;&gt;'計算A'!$A$3,'計算A'!$A$4=0)),AND(56=$I5-1,OR(8&lt;&gt;'計算A'!$A$3,'計算A'!$A$4=0))),0,IF(8=$K5,200000,ABS(8-$K5)*100)),100000+ABS(3-$J5)*1000+80)+'計算A'!BG$5*50+IF(AND($E5=1,KT5=0),25,0),INDEX('計算A'!BG$110:BG$114,$F5+1)+IF(AND($E5=1,KT5=0),1000,0)+IF($H5=1,(IF('計算A'!BF$117=1,INDEX('計算A'!BF$10:BF$54,$B5),0)+IF('計算A'!BG$117=1,INDEX('計算A'!BH$10:BH$54,$B5),0))*500,0)-IF(AND('計算A'!BF$117=1,WD5&gt;0),300,0)-IF(AND($L5=1,'計算A'!BG$117=1,FF5=0),300,0))),1000000))</f>
        <v/>
      </c>
      <c r="QJ5">
        <f>IF($B5=0,1000000,IF(INDEX('計算A'!$D$60:$EQ$104,$B5,57)*FF5=1,IF(AND($E5=2,KU5=0),1000000,IF($I5&gt;0,IF(3=$J5,IF(OR(AND(57=$I5+1,OR($K5&lt;&gt;'計算A'!$A$3,'計算A'!$A$4=0)),AND(57=$I5-1,OR(9&lt;&gt;'計算A'!$A$3,'計算A'!$A$4=0))),0,IF(9=$K5,200000,ABS(9-$K5)*100)),100000+ABS(3-$J5)*1000+90)+'計算A'!BH$5*50+IF(AND($E5=1,KU5=0),25,0),INDEX('計算A'!BH$110:BH$114,$F5+1)+IF(AND($E5=1,KU5=0),1000,0)+IF($H5=1,(IF('計算A'!BG$117=1,INDEX('計算A'!BG$10:BG$54,$B5),0)+IF('計算A'!BH$117=1,INDEX('計算A'!BI$10:BI$54,$B5),0))*500,0)-IF(AND('計算A'!BG$117=1,WE5&gt;0),300,0)-IF(AND($L5=1,'計算A'!BH$117=1,FG5=0),300,0))),1000000))</f>
        <v/>
      </c>
      <c r="QK5">
        <f>IF($B5=0,1000000,IF(INDEX('計算A'!$D$60:$EQ$104,$B5,58)*FG5=1,IF(AND($E5=2,KV5=0),1000000,IF($I5&gt;0,IF(3=$J5,IF(OR(AND(58=$I5+1,OR($K5&lt;&gt;'計算A'!$A$3,'計算A'!$A$4=0)),AND(58=$I5-1,OR(10&lt;&gt;'計算A'!$A$3,'計算A'!$A$4=0))),0,IF(10=$K5,200000,ABS(10-$K5)*100)),100000+ABS(3-$J5)*1000+100)+'計算A'!BI$5*50+IF(AND($E5=1,KV5=0),25,0),INDEX('計算A'!BI$110:BI$114,$F5+1)+IF(AND($E5=1,KV5=0),1000,0)+IF($H5=1,(IF('計算A'!BH$117=1,INDEX('計算A'!BH$10:BH$54,$B5),0)+IF('計算A'!BI$117=1,INDEX('計算A'!BJ$10:BJ$54,$B5),0))*500,0)-IF(AND('計算A'!BH$117=1,WF5&gt;0),300,0)-IF(AND($L5=1,'計算A'!BI$117=1,FH5=0),300,0))),1000000))</f>
        <v/>
      </c>
      <c r="QL5">
        <f>IF($B5=0,1000000,IF(INDEX('計算A'!$D$60:$EQ$104,$B5,59)*FH5=1,IF(AND($E5=2,KW5=0),1000000,IF($I5&gt;0,IF(3=$J5,IF(OR(AND(59=$I5+1,OR($K5&lt;&gt;'計算A'!$A$3,'計算A'!$A$4=0)),AND(59=$I5-1,OR(11&lt;&gt;'計算A'!$A$3,'計算A'!$A$4=0))),0,IF(11=$K5,200000,ABS(11-$K5)*100)),100000+ABS(3-$J5)*1000+110)+'計算A'!BJ$5*50+IF(AND($E5=1,KW5=0),25,0),INDEX('計算A'!BJ$110:BJ$114,$F5+1)+IF(AND($E5=1,KW5=0),1000,0)+IF($H5=1,(IF('計算A'!BI$117=1,INDEX('計算A'!BI$10:BI$54,$B5),0)+IF('計算A'!BJ$117=1,INDEX('計算A'!BK$10:BK$54,$B5),0))*500,0)-IF(AND('計算A'!BI$117=1,WG5&gt;0),300,0)-IF(AND($L5=1,'計算A'!BJ$117=1,FI5=0),300,0))),1000000))</f>
        <v/>
      </c>
      <c r="QM5">
        <f>IF($B5=0,1000000,IF(INDEX('計算A'!$D$60:$EQ$104,$B5,60)*FI5=1,IF(AND($E5=2,KX5=0),1000000,IF($I5&gt;0,IF(3=$J5,IF(OR(AND(60=$I5+1,OR($K5&lt;&gt;'計算A'!$A$3,'計算A'!$A$4=0)),AND(60=$I5-1,OR(12&lt;&gt;'計算A'!$A$3,'計算A'!$A$4=0))),0,IF(12=$K5,200000,ABS(12-$K5)*100)),100000+ABS(3-$J5)*1000+120)+'計算A'!BK$5*50+IF(AND($E5=1,KX5=0),25,0),INDEX('計算A'!BK$110:BK$114,$F5+1)+IF(AND($E5=1,KX5=0),1000,0)+IF($H5=1,(IF('計算A'!BJ$117=1,INDEX('計算A'!BJ$10:BJ$54,$B5),0)+IF('計算A'!BK$117=1,INDEX('計算A'!BL$10:BL$54,$B5),0))*500,0)-IF(AND('計算A'!BJ$117=1,WH5&gt;0),300,0)-IF(AND($L5=1,'計算A'!BK$117=1,FJ5=0),300,0))),1000000))</f>
        <v/>
      </c>
      <c r="QN5">
        <f>IF($B5=0,1000000,IF(INDEX('計算A'!$D$60:$EQ$104,$B5,61)*FJ5=1,IF(AND($E5=2,KY5=0),1000000,IF($I5&gt;0,IF(3=$J5,IF(OR(AND(61=$I5+1,OR($K5&lt;&gt;'計算A'!$A$3,'計算A'!$A$4=0)),AND(61=$I5-1,OR(13&lt;&gt;'計算A'!$A$3,'計算A'!$A$4=0))),0,IF(13=$K5,200000,ABS(13-$K5)*100)),100000+ABS(3-$J5)*1000+130)+'計算A'!BL$5*50+IF(AND($E5=1,KY5=0),25,0),INDEX('計算A'!BL$110:BL$114,$F5+1)+IF(AND($E5=1,KY5=0),1000,0)+IF($H5=1,(IF('計算A'!BK$117=1,INDEX('計算A'!BK$10:BK$54,$B5),0)+IF('計算A'!BL$117=1,INDEX('計算A'!BM$10:BM$54,$B5),0))*500,0)-IF(AND('計算A'!BK$117=1,WI5&gt;0),300,0)-IF(AND($L5=1,'計算A'!BL$117=1,FK5=0),300,0))),1000000))</f>
        <v/>
      </c>
      <c r="QO5">
        <f>IF($B5=0,1000000,IF(INDEX('計算A'!$D$60:$EQ$104,$B5,62)*FK5=1,IF(AND($E5=2,KZ5=0),1000000,IF($I5&gt;0,IF(3=$J5,IF(OR(AND(62=$I5+1,OR($K5&lt;&gt;'計算A'!$A$3,'計算A'!$A$4=0)),AND(62=$I5-1,OR(14&lt;&gt;'計算A'!$A$3,'計算A'!$A$4=0))),0,IF(14=$K5,200000,ABS(14-$K5)*100)),100000+ABS(3-$J5)*1000+140)+'計算A'!BM$5*50+IF(AND($E5=1,KZ5=0),25,0),INDEX('計算A'!BM$110:BM$114,$F5+1)+IF(AND($E5=1,KZ5=0),1000,0)+IF($H5=1,(IF('計算A'!BL$117=1,INDEX('計算A'!BL$10:BL$54,$B5),0)+IF('計算A'!BM$117=1,INDEX('計算A'!BN$10:BN$54,$B5),0))*500,0)-IF(AND('計算A'!BL$117=1,WJ5&gt;0),300,0)-IF(AND($L5=1,'計算A'!BM$117=1,FL5=0),300,0))),1000000))</f>
        <v/>
      </c>
      <c r="QP5">
        <f>IF($B5=0,1000000,IF(INDEX('計算A'!$D$60:$EQ$104,$B5,63)*FL5=1,IF(AND($E5=2,LA5=0),1000000,IF($I5&gt;0,IF(3=$J5,IF(OR(AND(63=$I5+1,OR($K5&lt;&gt;'計算A'!$A$3,'計算A'!$A$4=0)),AND(63=$I5-1,OR(15&lt;&gt;'計算A'!$A$3,'計算A'!$A$4=0))),0,IF(15=$K5,200000,ABS(15-$K5)*100)),100000+ABS(3-$J5)*1000+150)+'計算A'!BN$5*50+IF(AND($E5=1,LA5=0),25,0),INDEX('計算A'!BN$110:BN$114,$F5+1)+IF(AND($E5=1,LA5=0),1000,0)+IF($H5=1,(IF('計算A'!BM$117=1,INDEX('計算A'!BM$10:BM$54,$B5),0)+IF('計算A'!BN$117=1,INDEX('計算A'!BO$10:BO$54,$B5),0))*500,0)-IF(AND('計算A'!BM$117=1,WK5&gt;0),300,0)-IF(AND($L5=1,'計算A'!BN$117=1,FM5=0),300,0))),1000000))</f>
        <v/>
      </c>
      <c r="QQ5">
        <f>IF($B5=0,1000000,IF(INDEX('計算A'!$D$60:$EQ$104,$B5,64)*FM5=1,IF(AND($E5=2,LB5=0),1000000,IF($I5&gt;0,IF(3=$J5,IF(OR(AND(64=$I5+1,OR($K5&lt;&gt;'計算A'!$A$3,'計算A'!$A$4=0)),AND(64=$I5-1,OR(16&lt;&gt;'計算A'!$A$3,'計算A'!$A$4=0))),0,IF(16=$K5,200000,ABS(16-$K5)*100)),100000+ABS(3-$J5)*1000+160)+'計算A'!BO$5*50+IF(AND($E5=1,LB5=0),25,0),INDEX('計算A'!BO$110:BO$114,$F5+1)+IF(AND($E5=1,LB5=0),1000,0)+IF($H5=1,(IF('計算A'!BN$117=1,INDEX('計算A'!BN$10:BN$54,$B5),0)+IF('計算A'!BO$117=1,INDEX('計算A'!BP$10:BP$54,$B5),0))*500,0)-IF(AND('計算A'!BN$117=1,WL5&gt;0),300,0)-IF(AND($L5=1,'計算A'!BO$117=1,FN5=0),300,0))),1000000))</f>
        <v/>
      </c>
      <c r="QR5">
        <f>IF($B5=0,1000000,IF(INDEX('計算A'!$D$60:$EQ$104,$B5,65)*FN5=1,IF(AND($E5=2,LC5=0),1000000,IF($I5&gt;0,IF(3=$J5,IF(OR(AND(65=$I5+1,OR($K5&lt;&gt;'計算A'!$A$3,'計算A'!$A$4=0)),AND(65=$I5-1,OR(17&lt;&gt;'計算A'!$A$3,'計算A'!$A$4=0))),0,IF(17=$K5,200000,ABS(17-$K5)*100)),100000+ABS(3-$J5)*1000+170)+'計算A'!BP$5*50+IF(AND($E5=1,LC5=0),25,0),INDEX('計算A'!BP$110:BP$114,$F5+1)+IF(AND($E5=1,LC5=0),1000,0)+IF($H5=1,(IF('計算A'!BO$117=1,INDEX('計算A'!BO$10:BO$54,$B5),0)+IF('計算A'!BP$117=1,INDEX('計算A'!BQ$10:BQ$54,$B5),0))*500,0)-IF(AND('計算A'!BO$117=1,WM5&gt;0),300,0)-IF(AND($L5=1,'計算A'!BP$117=1,FO5=0),300,0))),1000000))</f>
        <v/>
      </c>
      <c r="QS5">
        <f>IF($B5=0,1000000,IF(INDEX('計算A'!$D$60:$EQ$104,$B5,66)*FO5=1,IF(AND($E5=2,LD5=0),1000000,IF($I5&gt;0,IF(3=$J5,IF(OR(AND(66=$I5+1,OR($K5&lt;&gt;'計算A'!$A$3,'計算A'!$A$4=0)),AND(66=$I5-1,OR(18&lt;&gt;'計算A'!$A$3,'計算A'!$A$4=0))),0,IF(18=$K5,200000,ABS(18-$K5)*100)),100000+ABS(3-$J5)*1000+180)+'計算A'!BQ$5*50+IF(AND($E5=1,LD5=0),25,0),INDEX('計算A'!BQ$110:BQ$114,$F5+1)+IF(AND($E5=1,LD5=0),1000,0)+IF($H5=1,(IF('計算A'!BP$117=1,INDEX('計算A'!BP$10:BP$54,$B5),0)+IF('計算A'!BQ$117=1,INDEX('計算A'!BR$10:BR$54,$B5),0))*500,0)-IF(AND('計算A'!BP$117=1,WN5&gt;0),300,0)-IF(AND($L5=1,'計算A'!BQ$117=1,FP5=0),300,0))),1000000))</f>
        <v/>
      </c>
      <c r="QT5">
        <f>IF($B5=0,1000000,IF(INDEX('計算A'!$D$60:$EQ$104,$B5,67)*FP5=1,IF(AND($E5=2,LE5=0),1000000,IF($I5&gt;0,IF(3=$J5,IF(OR(AND(67=$I5+1,OR($K5&lt;&gt;'計算A'!$A$3,'計算A'!$A$4=0)),AND(67=$I5-1,OR(19&lt;&gt;'計算A'!$A$3,'計算A'!$A$4=0))),0,IF(19=$K5,200000,ABS(19-$K5)*100)),100000+ABS(3-$J5)*1000+190)+'計算A'!BR$5*50+IF(AND($E5=1,LE5=0),25,0),INDEX('計算A'!BR$110:BR$114,$F5+1)+IF(AND($E5=1,LE5=0),1000,0)+IF($H5=1,(IF('計算A'!BQ$117=1,INDEX('計算A'!BQ$10:BQ$54,$B5),0)+IF('計算A'!BR$117=1,INDEX('計算A'!BS$10:BS$54,$B5),0))*500,0)-IF(AND('計算A'!BQ$117=1,WO5&gt;0),300,0)-IF(AND($L5=1,'計算A'!BR$117=1,FQ5=0),300,0))),1000000))</f>
        <v/>
      </c>
      <c r="QU5">
        <f>IF($B5=0,1000000,IF(INDEX('計算A'!$D$60:$EQ$104,$B5,68)*FQ5=1,IF(AND($E5=2,LF5=0),1000000,IF($I5&gt;0,IF(3=$J5,IF(OR(AND(68=$I5+1,OR($K5&lt;&gt;'計算A'!$A$3,'計算A'!$A$4=0)),AND(68=$I5-1,OR(20&lt;&gt;'計算A'!$A$3,'計算A'!$A$4=0))),0,IF(20=$K5,200000,ABS(20-$K5)*100)),100000+ABS(3-$J5)*1000+200)+'計算A'!BS$5*50+IF(AND($E5=1,LF5=0),25,0),INDEX('計算A'!BS$110:BS$114,$F5+1)+IF(AND($E5=1,LF5=0),1000,0)+IF($H5=1,(IF('計算A'!BR$117=1,INDEX('計算A'!BR$10:BR$54,$B5),0)+IF('計算A'!BS$117=1,INDEX('計算A'!BT$10:BT$54,$B5),0))*500,0)-IF(AND('計算A'!BR$117=1,WP5&gt;0),300,0)-IF(AND($L5=1,'計算A'!BS$117=1,FR5=0),300,0))),1000000))</f>
        <v/>
      </c>
      <c r="QV5">
        <f>IF($B5=0,1000000,IF(INDEX('計算A'!$D$60:$EQ$104,$B5,69)*FR5=1,IF(AND($E5=2,LG5=0),1000000,IF($I5&gt;0,IF(3=$J5,IF(OR(AND(69=$I5+1,OR($K5&lt;&gt;'計算A'!$A$3,'計算A'!$A$4=0)),AND(69=$I5-1,OR(21&lt;&gt;'計算A'!$A$3,'計算A'!$A$4=0))),0,IF(21=$K5,200000,ABS(21-$K5)*100)),100000+ABS(3-$J5)*1000+210)+'計算A'!BT$5*50+IF(AND($E5=1,LG5=0),25,0),INDEX('計算A'!BT$110:BT$114,$F5+1)+IF(AND($E5=1,LG5=0),1000,0)+IF($H5=1,(IF('計算A'!BS$117=1,INDEX('計算A'!BS$10:BS$54,$B5),0)+IF('計算A'!BT$117=1,INDEX('計算A'!BU$10:BU$54,$B5),0))*500,0)-IF(AND('計算A'!BS$117=1,WQ5&gt;0),300,0)-IF(AND($L5=1,'計算A'!BT$117=1,FS5=0),300,0))),1000000))</f>
        <v/>
      </c>
      <c r="QW5">
        <f>IF($B5=0,1000000,IF(INDEX('計算A'!$D$60:$EQ$104,$B5,70)*FS5=1,IF(AND($E5=2,LH5=0),1000000,IF($I5&gt;0,IF(3=$J5,IF(OR(AND(70=$I5+1,OR($K5&lt;&gt;'計算A'!$A$3,'計算A'!$A$4=0)),AND(70=$I5-1,OR(22&lt;&gt;'計算A'!$A$3,'計算A'!$A$4=0))),0,IF(22=$K5,200000,ABS(22-$K5)*100)),100000+ABS(3-$J5)*1000+220)+'計算A'!BU$5*50+IF(AND($E5=1,LH5=0),25,0),INDEX('計算A'!BU$110:BU$114,$F5+1)+IF(AND($E5=1,LH5=0),1000,0)+IF($H5=1,(IF('計算A'!BT$117=1,INDEX('計算A'!BT$10:BT$54,$B5),0)+IF('計算A'!BU$117=1,INDEX('計算A'!BV$10:BV$54,$B5),0))*500,0)-IF(AND('計算A'!BT$117=1,WR5&gt;0),300,0)-IF(AND($L5=1,'計算A'!BU$117=1,FT5=0),300,0))),1000000))</f>
        <v/>
      </c>
      <c r="QX5">
        <f>IF($B5=0,1000000,IF(INDEX('計算A'!$D$60:$EQ$104,$B5,71)*FT5=1,IF(AND($E5=2,LI5=0),1000000,IF($I5&gt;0,IF(3=$J5,IF(OR(AND(71=$I5+1,OR($K5&lt;&gt;'計算A'!$A$3,'計算A'!$A$4=0)),AND(71=$I5-1,OR(23&lt;&gt;'計算A'!$A$3,'計算A'!$A$4=0))),0,IF(23=$K5,200000,ABS(23-$K5)*100)),100000+ABS(3-$J5)*1000+230)+'計算A'!BV$5*50+IF(AND($E5=1,LI5=0),25,0),INDEX('計算A'!BV$110:BV$114,$F5+1)+IF(AND($E5=1,LI5=0),1000,0)+IF($H5=1,(IF('計算A'!BU$117=1,INDEX('計算A'!BU$10:BU$54,$B5),0)+IF('計算A'!BV$117=1,INDEX('計算A'!BW$10:BW$54,$B5),0))*500,0)-IF(AND('計算A'!BU$117=1,WS5&gt;0),300,0)-IF(AND($L5=1,'計算A'!BV$117=1,FU5=0),300,0))),1000000))</f>
        <v/>
      </c>
      <c r="QY5">
        <f>IF($B5=0,1000000,IF(INDEX('計算A'!$D$60:$EQ$104,$B5,72)*FU5=1,IF(AND($E5=2,LJ5=0),1000000,IF($I5&gt;0,IF(3=$J5,IF(OR(AND(72=$I5+1,OR($K5&lt;&gt;'計算A'!$A$3,'計算A'!$A$4=0)),AND(72=$I5-1,OR(24&lt;&gt;'計算A'!$A$3,'計算A'!$A$4=0))),0,IF(24=$K5,200000,ABS(24-$K5)*100)),100000+ABS(3-$J5)*1000+240)+'計算A'!BW$5*50+IF(AND($E5=1,LJ5=0),25,0),INDEX('計算A'!BW$110:BW$114,$F5+1)+IF(AND($E5=1,LJ5=0),1000,0)+IF($H5=1,(IF('計算A'!BV$117=1,INDEX('計算A'!BV$10:BV$54,$B5),0))*500,0)-IF(AND('計算A'!BV$117=1,WT5&gt;0),300,0))),1000000))</f>
        <v/>
      </c>
      <c r="QZ5">
        <f>IF($B5=0,1000000,IF(INDEX('計算A'!$D$60:$EQ$104,$B5,73)*FV5=1,IF(AND($E5=2,LK5=0),1000000,IF($I5&gt;0,IF(4=$J5,IF(OR(AND(73=$I5+1,OR($K5&lt;&gt;'計算A'!$A$3,'計算A'!$A$4=0)),AND(73=$I5-1,OR(1&lt;&gt;'計算A'!$A$3,'計算A'!$A$4=0))),0,IF(1=$K5,200000,ABS(1-$K5)*100)),100000+ABS(4-$J5)*1000+10)+'計算A'!BX$5*50+IF(AND($E5=1,LK5=0),25,0),INDEX('計算A'!BX$110:BX$114,$F5+1)+IF(AND($E5=1,LK5=0),1000,0)+IF($H5=1,(IF('計算A'!BX$117=1,INDEX('計算A'!BY$10:BY$54,$B5),0))*500,0)-IF(AND($L5=1,'計算A'!BX$117=1,FW5=0),300,0))),1000000))</f>
        <v/>
      </c>
      <c r="RA5">
        <f>IF($B5=0,1000000,IF(INDEX('計算A'!$D$60:$EQ$104,$B5,74)*FW5=1,IF(AND($E5=2,LL5=0),1000000,IF($I5&gt;0,IF(4=$J5,IF(OR(AND(74=$I5+1,OR($K5&lt;&gt;'計算A'!$A$3,'計算A'!$A$4=0)),AND(74=$I5-1,OR(2&lt;&gt;'計算A'!$A$3,'計算A'!$A$4=0))),0,IF(2=$K5,200000,ABS(2-$K5)*100)),100000+ABS(4-$J5)*1000+20)+'計算A'!BY$5*50+IF(AND($E5=1,LL5=0),25,0),INDEX('計算A'!BY$110:BY$114,$F5+1)+IF(AND($E5=1,LL5=0),1000,0)+IF($H5=1,(IF('計算A'!BX$117=1,INDEX('計算A'!BX$10:BX$54,$B5),0)+IF('計算A'!BY$117=1,INDEX('計算A'!BZ$10:BZ$54,$B5),0))*500,0)-IF(AND('計算A'!BX$117=1,WV5&gt;0),300,0)-IF(AND($L5=1,'計算A'!BY$117=1,FX5=0),300,0))),1000000))</f>
        <v/>
      </c>
      <c r="RB5">
        <f>IF($B5=0,1000000,IF(INDEX('計算A'!$D$60:$EQ$104,$B5,75)*FX5=1,IF(AND($E5=2,LM5=0),1000000,IF($I5&gt;0,IF(4=$J5,IF(OR(AND(75=$I5+1,OR($K5&lt;&gt;'計算A'!$A$3,'計算A'!$A$4=0)),AND(75=$I5-1,OR(3&lt;&gt;'計算A'!$A$3,'計算A'!$A$4=0))),0,IF(3=$K5,200000,ABS(3-$K5)*100)),100000+ABS(4-$J5)*1000+30)+'計算A'!BZ$5*50+IF(AND($E5=1,LM5=0),25,0),INDEX('計算A'!BZ$110:BZ$114,$F5+1)+IF(AND($E5=1,LM5=0),1000,0)+IF($H5=1,(IF('計算A'!BY$117=1,INDEX('計算A'!BY$10:BY$54,$B5),0)+IF('計算A'!BZ$117=1,INDEX('計算A'!CA$10:CA$54,$B5),0))*500,0)-IF(AND('計算A'!BY$117=1,WW5&gt;0),300,0)-IF(AND($L5=1,'計算A'!BZ$117=1,FY5=0),300,0))),1000000))</f>
        <v/>
      </c>
      <c r="RC5">
        <f>IF($B5=0,1000000,IF(INDEX('計算A'!$D$60:$EQ$104,$B5,76)*FY5=1,IF(AND($E5=2,LN5=0),1000000,IF($I5&gt;0,IF(4=$J5,IF(OR(AND(76=$I5+1,OR($K5&lt;&gt;'計算A'!$A$3,'計算A'!$A$4=0)),AND(76=$I5-1,OR(4&lt;&gt;'計算A'!$A$3,'計算A'!$A$4=0))),0,IF(4=$K5,200000,ABS(4-$K5)*100)),100000+ABS(4-$J5)*1000+40)+'計算A'!CA$5*50+IF(AND($E5=1,LN5=0),25,0),INDEX('計算A'!CA$110:CA$114,$F5+1)+IF(AND($E5=1,LN5=0),1000,0)+IF($H5=1,(IF('計算A'!BZ$117=1,INDEX('計算A'!BZ$10:BZ$54,$B5),0)+IF('計算A'!CA$117=1,INDEX('計算A'!CB$10:CB$54,$B5),0))*500,0)-IF(AND('計算A'!BZ$117=1,WX5&gt;0),300,0)-IF(AND($L5=1,'計算A'!CA$117=1,FZ5=0),300,0))),1000000))</f>
        <v/>
      </c>
      <c r="RD5">
        <f>IF($B5=0,1000000,IF(INDEX('計算A'!$D$60:$EQ$104,$B5,77)*FZ5=1,IF(AND($E5=2,LO5=0),1000000,IF($I5&gt;0,IF(4=$J5,IF(OR(AND(77=$I5+1,OR($K5&lt;&gt;'計算A'!$A$3,'計算A'!$A$4=0)),AND(77=$I5-1,OR(5&lt;&gt;'計算A'!$A$3,'計算A'!$A$4=0))),0,IF(5=$K5,200000,ABS(5-$K5)*100)),100000+ABS(4-$J5)*1000+50)+'計算A'!CB$5*50+IF(AND($E5=1,LO5=0),25,0),INDEX('計算A'!CB$110:CB$114,$F5+1)+IF(AND($E5=1,LO5=0),1000,0)+IF($H5=1,(IF('計算A'!CA$117=1,INDEX('計算A'!CA$10:CA$54,$B5),0)+IF('計算A'!CB$117=1,INDEX('計算A'!CC$10:CC$54,$B5),0))*500,0)-IF(AND('計算A'!CA$117=1,WY5&gt;0),300,0)-IF(AND($L5=1,'計算A'!CB$117=1,GA5=0),300,0))),1000000))</f>
        <v/>
      </c>
      <c r="RE5">
        <f>IF($B5=0,1000000,IF(INDEX('計算A'!$D$60:$EQ$104,$B5,78)*GA5=1,IF(AND($E5=2,LP5=0),1000000,IF($I5&gt;0,IF(4=$J5,IF(OR(AND(78=$I5+1,OR($K5&lt;&gt;'計算A'!$A$3,'計算A'!$A$4=0)),AND(78=$I5-1,OR(6&lt;&gt;'計算A'!$A$3,'計算A'!$A$4=0))),0,IF(6=$K5,200000,ABS(6-$K5)*100)),100000+ABS(4-$J5)*1000+60)+'計算A'!CC$5*50+IF(AND($E5=1,LP5=0),25,0),INDEX('計算A'!CC$110:CC$114,$F5+1)+IF(AND($E5=1,LP5=0),1000,0)+IF($H5=1,(IF('計算A'!CB$117=1,INDEX('計算A'!CB$10:CB$54,$B5),0)+IF('計算A'!CC$117=1,INDEX('計算A'!CD$10:CD$54,$B5),0))*500,0)-IF(AND('計算A'!CB$117=1,WZ5&gt;0),300,0)-IF(AND($L5=1,'計算A'!CC$117=1,GB5=0),300,0))),1000000))</f>
        <v/>
      </c>
      <c r="RF5">
        <f>IF($B5=0,1000000,IF(INDEX('計算A'!$D$60:$EQ$104,$B5,79)*GB5=1,IF(AND($E5=2,LQ5=0),1000000,IF($I5&gt;0,IF(4=$J5,IF(OR(AND(79=$I5+1,OR($K5&lt;&gt;'計算A'!$A$3,'計算A'!$A$4=0)),AND(79=$I5-1,OR(7&lt;&gt;'計算A'!$A$3,'計算A'!$A$4=0))),0,IF(7=$K5,200000,ABS(7-$K5)*100)),100000+ABS(4-$J5)*1000+70)+'計算A'!CD$5*50+IF(AND($E5=1,LQ5=0),25,0),INDEX('計算A'!CD$110:CD$114,$F5+1)+IF(AND($E5=1,LQ5=0),1000,0)+IF($H5=1,(IF('計算A'!CC$117=1,INDEX('計算A'!CC$10:CC$54,$B5),0)+IF('計算A'!CD$117=1,INDEX('計算A'!CE$10:CE$54,$B5),0))*500,0)-IF(AND('計算A'!CC$117=1,XA5&gt;0),300,0)-IF(AND($L5=1,'計算A'!CD$117=1,GC5=0),300,0))),1000000))</f>
        <v/>
      </c>
      <c r="RG5">
        <f>IF($B5=0,1000000,IF(INDEX('計算A'!$D$60:$EQ$104,$B5,80)*GC5=1,IF(AND($E5=2,LR5=0),1000000,IF($I5&gt;0,IF(4=$J5,IF(OR(AND(80=$I5+1,OR($K5&lt;&gt;'計算A'!$A$3,'計算A'!$A$4=0)),AND(80=$I5-1,OR(8&lt;&gt;'計算A'!$A$3,'計算A'!$A$4=0))),0,IF(8=$K5,200000,ABS(8-$K5)*100)),100000+ABS(4-$J5)*1000+80)+'計算A'!CE$5*50+IF(AND($E5=1,LR5=0),25,0),INDEX('計算A'!CE$110:CE$114,$F5+1)+IF(AND($E5=1,LR5=0),1000,0)+IF($H5=1,(IF('計算A'!CD$117=1,INDEX('計算A'!CD$10:CD$54,$B5),0)+IF('計算A'!CE$117=1,INDEX('計算A'!CF$10:CF$54,$B5),0))*500,0)-IF(AND('計算A'!CD$117=1,XB5&gt;0),300,0)-IF(AND($L5=1,'計算A'!CE$117=1,GD5=0),300,0))),1000000))</f>
        <v/>
      </c>
      <c r="RH5">
        <f>IF($B5=0,1000000,IF(INDEX('計算A'!$D$60:$EQ$104,$B5,81)*GD5=1,IF(AND($E5=2,LS5=0),1000000,IF($I5&gt;0,IF(4=$J5,IF(OR(AND(81=$I5+1,OR($K5&lt;&gt;'計算A'!$A$3,'計算A'!$A$4=0)),AND(81=$I5-1,OR(9&lt;&gt;'計算A'!$A$3,'計算A'!$A$4=0))),0,IF(9=$K5,200000,ABS(9-$K5)*100)),100000+ABS(4-$J5)*1000+90)+'計算A'!CF$5*50+IF(AND($E5=1,LS5=0),25,0),INDEX('計算A'!CF$110:CF$114,$F5+1)+IF(AND($E5=1,LS5=0),1000,0)+IF($H5=1,(IF('計算A'!CE$117=1,INDEX('計算A'!CE$10:CE$54,$B5),0)+IF('計算A'!CF$117=1,INDEX('計算A'!CG$10:CG$54,$B5),0))*500,0)-IF(AND('計算A'!CE$117=1,XC5&gt;0),300,0)-IF(AND($L5=1,'計算A'!CF$117=1,GE5=0),300,0))),1000000))</f>
        <v/>
      </c>
      <c r="RI5">
        <f>IF($B5=0,1000000,IF(INDEX('計算A'!$D$60:$EQ$104,$B5,82)*GE5=1,IF(AND($E5=2,LT5=0),1000000,IF($I5&gt;0,IF(4=$J5,IF(OR(AND(82=$I5+1,OR($K5&lt;&gt;'計算A'!$A$3,'計算A'!$A$4=0)),AND(82=$I5-1,OR(10&lt;&gt;'計算A'!$A$3,'計算A'!$A$4=0))),0,IF(10=$K5,200000,ABS(10-$K5)*100)),100000+ABS(4-$J5)*1000+100)+'計算A'!CG$5*50+IF(AND($E5=1,LT5=0),25,0),INDEX('計算A'!CG$110:CG$114,$F5+1)+IF(AND($E5=1,LT5=0),1000,0)+IF($H5=1,(IF('計算A'!CF$117=1,INDEX('計算A'!CF$10:CF$54,$B5),0)+IF('計算A'!CG$117=1,INDEX('計算A'!CH$10:CH$54,$B5),0))*500,0)-IF(AND('計算A'!CF$117=1,XD5&gt;0),300,0)-IF(AND($L5=1,'計算A'!CG$117=1,GF5=0),300,0))),1000000))</f>
        <v/>
      </c>
      <c r="RJ5">
        <f>IF($B5=0,1000000,IF(INDEX('計算A'!$D$60:$EQ$104,$B5,83)*GF5=1,IF(AND($E5=2,LU5=0),1000000,IF($I5&gt;0,IF(4=$J5,IF(OR(AND(83=$I5+1,OR($K5&lt;&gt;'計算A'!$A$3,'計算A'!$A$4=0)),AND(83=$I5-1,OR(11&lt;&gt;'計算A'!$A$3,'計算A'!$A$4=0))),0,IF(11=$K5,200000,ABS(11-$K5)*100)),100000+ABS(4-$J5)*1000+110)+'計算A'!CH$5*50+IF(AND($E5=1,LU5=0),25,0),INDEX('計算A'!CH$110:CH$114,$F5+1)+IF(AND($E5=1,LU5=0),1000,0)+IF($H5=1,(IF('計算A'!CG$117=1,INDEX('計算A'!CG$10:CG$54,$B5),0)+IF('計算A'!CH$117=1,INDEX('計算A'!CI$10:CI$54,$B5),0))*500,0)-IF(AND('計算A'!CG$117=1,XE5&gt;0),300,0)-IF(AND($L5=1,'計算A'!CH$117=1,GG5=0),300,0))),1000000))</f>
        <v/>
      </c>
      <c r="RK5">
        <f>IF($B5=0,1000000,IF(INDEX('計算A'!$D$60:$EQ$104,$B5,84)*GG5=1,IF(AND($E5=2,LV5=0),1000000,IF($I5&gt;0,IF(4=$J5,IF(OR(AND(84=$I5+1,OR($K5&lt;&gt;'計算A'!$A$3,'計算A'!$A$4=0)),AND(84=$I5-1,OR(12&lt;&gt;'計算A'!$A$3,'計算A'!$A$4=0))),0,IF(12=$K5,200000,ABS(12-$K5)*100)),100000+ABS(4-$J5)*1000+120)+'計算A'!CI$5*50+IF(AND($E5=1,LV5=0),25,0),INDEX('計算A'!CI$110:CI$114,$F5+1)+IF(AND($E5=1,LV5=0),1000,0)+IF($H5=1,(IF('計算A'!CH$117=1,INDEX('計算A'!CH$10:CH$54,$B5),0)+IF('計算A'!CI$117=1,INDEX('計算A'!CJ$10:CJ$54,$B5),0))*500,0)-IF(AND('計算A'!CH$117=1,XF5&gt;0),300,0)-IF(AND($L5=1,'計算A'!CI$117=1,GH5=0),300,0))),1000000))</f>
        <v/>
      </c>
      <c r="RL5">
        <f>IF($B5=0,1000000,IF(INDEX('計算A'!$D$60:$EQ$104,$B5,85)*GH5=1,IF(AND($E5=2,LW5=0),1000000,IF($I5&gt;0,IF(4=$J5,IF(OR(AND(85=$I5+1,OR($K5&lt;&gt;'計算A'!$A$3,'計算A'!$A$4=0)),AND(85=$I5-1,OR(13&lt;&gt;'計算A'!$A$3,'計算A'!$A$4=0))),0,IF(13=$K5,200000,ABS(13-$K5)*100)),100000+ABS(4-$J5)*1000+130)+'計算A'!CJ$5*50+IF(AND($E5=1,LW5=0),25,0),INDEX('計算A'!CJ$110:CJ$114,$F5+1)+IF(AND($E5=1,LW5=0),1000,0)+IF($H5=1,(IF('計算A'!CI$117=1,INDEX('計算A'!CI$10:CI$54,$B5),0)+IF('計算A'!CJ$117=1,INDEX('計算A'!CK$10:CK$54,$B5),0))*500,0)-IF(AND('計算A'!CI$117=1,XG5&gt;0),300,0)-IF(AND($L5=1,'計算A'!CJ$117=1,GI5=0),300,0))),1000000))</f>
        <v/>
      </c>
      <c r="RM5">
        <f>IF($B5=0,1000000,IF(INDEX('計算A'!$D$60:$EQ$104,$B5,86)*GI5=1,IF(AND($E5=2,LX5=0),1000000,IF($I5&gt;0,IF(4=$J5,IF(OR(AND(86=$I5+1,OR($K5&lt;&gt;'計算A'!$A$3,'計算A'!$A$4=0)),AND(86=$I5-1,OR(14&lt;&gt;'計算A'!$A$3,'計算A'!$A$4=0))),0,IF(14=$K5,200000,ABS(14-$K5)*100)),100000+ABS(4-$J5)*1000+140)+'計算A'!CK$5*50+IF(AND($E5=1,LX5=0),25,0),INDEX('計算A'!CK$110:CK$114,$F5+1)+IF(AND($E5=1,LX5=0),1000,0)+IF($H5=1,(IF('計算A'!CJ$117=1,INDEX('計算A'!CJ$10:CJ$54,$B5),0)+IF('計算A'!CK$117=1,INDEX('計算A'!CL$10:CL$54,$B5),0))*500,0)-IF(AND('計算A'!CJ$117=1,XH5&gt;0),300,0)-IF(AND($L5=1,'計算A'!CK$117=1,GJ5=0),300,0))),1000000))</f>
        <v/>
      </c>
      <c r="RN5">
        <f>IF($B5=0,1000000,IF(INDEX('計算A'!$D$60:$EQ$104,$B5,87)*GJ5=1,IF(AND($E5=2,LY5=0),1000000,IF($I5&gt;0,IF(4=$J5,IF(OR(AND(87=$I5+1,OR($K5&lt;&gt;'計算A'!$A$3,'計算A'!$A$4=0)),AND(87=$I5-1,OR(15&lt;&gt;'計算A'!$A$3,'計算A'!$A$4=0))),0,IF(15=$K5,200000,ABS(15-$K5)*100)),100000+ABS(4-$J5)*1000+150)+'計算A'!CL$5*50+IF(AND($E5=1,LY5=0),25,0),INDEX('計算A'!CL$110:CL$114,$F5+1)+IF(AND($E5=1,LY5=0),1000,0)+IF($H5=1,(IF('計算A'!CK$117=1,INDEX('計算A'!CK$10:CK$54,$B5),0)+IF('計算A'!CL$117=1,INDEX('計算A'!CM$10:CM$54,$B5),0))*500,0)-IF(AND('計算A'!CK$117=1,XI5&gt;0),300,0)-IF(AND($L5=1,'計算A'!CL$117=1,GK5=0),300,0))),1000000))</f>
        <v/>
      </c>
      <c r="RO5">
        <f>IF($B5=0,1000000,IF(INDEX('計算A'!$D$60:$EQ$104,$B5,88)*GK5=1,IF(AND($E5=2,LZ5=0),1000000,IF($I5&gt;0,IF(4=$J5,IF(OR(AND(88=$I5+1,OR($K5&lt;&gt;'計算A'!$A$3,'計算A'!$A$4=0)),AND(88=$I5-1,OR(16&lt;&gt;'計算A'!$A$3,'計算A'!$A$4=0))),0,IF(16=$K5,200000,ABS(16-$K5)*100)),100000+ABS(4-$J5)*1000+160)+'計算A'!CM$5*50+IF(AND($E5=1,LZ5=0),25,0),INDEX('計算A'!CM$110:CM$114,$F5+1)+IF(AND($E5=1,LZ5=0),1000,0)+IF($H5=1,(IF('計算A'!CL$117=1,INDEX('計算A'!CL$10:CL$54,$B5),0)+IF('計算A'!CM$117=1,INDEX('計算A'!CN$10:CN$54,$B5),0))*500,0)-IF(AND('計算A'!CL$117=1,XJ5&gt;0),300,0)-IF(AND($L5=1,'計算A'!CM$117=1,GL5=0),300,0))),1000000))</f>
        <v/>
      </c>
      <c r="RP5">
        <f>IF($B5=0,1000000,IF(INDEX('計算A'!$D$60:$EQ$104,$B5,89)*GL5=1,IF(AND($E5=2,MA5=0),1000000,IF($I5&gt;0,IF(4=$J5,IF(OR(AND(89=$I5+1,OR($K5&lt;&gt;'計算A'!$A$3,'計算A'!$A$4=0)),AND(89=$I5-1,OR(17&lt;&gt;'計算A'!$A$3,'計算A'!$A$4=0))),0,IF(17=$K5,200000,ABS(17-$K5)*100)),100000+ABS(4-$J5)*1000+170)+'計算A'!CN$5*50+IF(AND($E5=1,MA5=0),25,0),INDEX('計算A'!CN$110:CN$114,$F5+1)+IF(AND($E5=1,MA5=0),1000,0)+IF($H5=1,(IF('計算A'!CM$117=1,INDEX('計算A'!CM$10:CM$54,$B5),0)+IF('計算A'!CN$117=1,INDEX('計算A'!CO$10:CO$54,$B5),0))*500,0)-IF(AND('計算A'!CM$117=1,XK5&gt;0),300,0)-IF(AND($L5=1,'計算A'!CN$117=1,GM5=0),300,0))),1000000))</f>
        <v/>
      </c>
      <c r="RQ5">
        <f>IF($B5=0,1000000,IF(INDEX('計算A'!$D$60:$EQ$104,$B5,90)*GM5=1,IF(AND($E5=2,MB5=0),1000000,IF($I5&gt;0,IF(4=$J5,IF(OR(AND(90=$I5+1,OR($K5&lt;&gt;'計算A'!$A$3,'計算A'!$A$4=0)),AND(90=$I5-1,OR(18&lt;&gt;'計算A'!$A$3,'計算A'!$A$4=0))),0,IF(18=$K5,200000,ABS(18-$K5)*100)),100000+ABS(4-$J5)*1000+180)+'計算A'!CO$5*50+IF(AND($E5=1,MB5=0),25,0),INDEX('計算A'!CO$110:CO$114,$F5+1)+IF(AND($E5=1,MB5=0),1000,0)+IF($H5=1,(IF('計算A'!CN$117=1,INDEX('計算A'!CN$10:CN$54,$B5),0)+IF('計算A'!CO$117=1,INDEX('計算A'!CP$10:CP$54,$B5),0))*500,0)-IF(AND('計算A'!CN$117=1,XL5&gt;0),300,0)-IF(AND($L5=1,'計算A'!CO$117=1,GN5=0),300,0))),1000000))</f>
        <v/>
      </c>
      <c r="RR5">
        <f>IF($B5=0,1000000,IF(INDEX('計算A'!$D$60:$EQ$104,$B5,91)*GN5=1,IF(AND($E5=2,MC5=0),1000000,IF($I5&gt;0,IF(4=$J5,IF(OR(AND(91=$I5+1,OR($K5&lt;&gt;'計算A'!$A$3,'計算A'!$A$4=0)),AND(91=$I5-1,OR(19&lt;&gt;'計算A'!$A$3,'計算A'!$A$4=0))),0,IF(19=$K5,200000,ABS(19-$K5)*100)),100000+ABS(4-$J5)*1000+190)+'計算A'!CP$5*50+IF(AND($E5=1,MC5=0),25,0),INDEX('計算A'!CP$110:CP$114,$F5+1)+IF(AND($E5=1,MC5=0),1000,0)+IF($H5=1,(IF('計算A'!CO$117=1,INDEX('計算A'!CO$10:CO$54,$B5),0)+IF('計算A'!CP$117=1,INDEX('計算A'!CQ$10:CQ$54,$B5),0))*500,0)-IF(AND('計算A'!CO$117=1,XM5&gt;0),300,0)-IF(AND($L5=1,'計算A'!CP$117=1,GO5=0),300,0))),1000000))</f>
        <v/>
      </c>
      <c r="RS5">
        <f>IF($B5=0,1000000,IF(INDEX('計算A'!$D$60:$EQ$104,$B5,92)*GO5=1,IF(AND($E5=2,MD5=0),1000000,IF($I5&gt;0,IF(4=$J5,IF(OR(AND(92=$I5+1,OR($K5&lt;&gt;'計算A'!$A$3,'計算A'!$A$4=0)),AND(92=$I5-1,OR(20&lt;&gt;'計算A'!$A$3,'計算A'!$A$4=0))),0,IF(20=$K5,200000,ABS(20-$K5)*100)),100000+ABS(4-$J5)*1000+200)+'計算A'!CQ$5*50+IF(AND($E5=1,MD5=0),25,0),INDEX('計算A'!CQ$110:CQ$114,$F5+1)+IF(AND($E5=1,MD5=0),1000,0)+IF($H5=1,(IF('計算A'!CP$117=1,INDEX('計算A'!CP$10:CP$54,$B5),0)+IF('計算A'!CQ$117=1,INDEX('計算A'!CR$10:CR$54,$B5),0))*500,0)-IF(AND('計算A'!CP$117=1,XN5&gt;0),300,0)-IF(AND($L5=1,'計算A'!CQ$117=1,GP5=0),300,0))),1000000))</f>
        <v/>
      </c>
      <c r="RT5">
        <f>IF($B5=0,1000000,IF(INDEX('計算A'!$D$60:$EQ$104,$B5,93)*GP5=1,IF(AND($E5=2,ME5=0),1000000,IF($I5&gt;0,IF(4=$J5,IF(OR(AND(93=$I5+1,OR($K5&lt;&gt;'計算A'!$A$3,'計算A'!$A$4=0)),AND(93=$I5-1,OR(21&lt;&gt;'計算A'!$A$3,'計算A'!$A$4=0))),0,IF(21=$K5,200000,ABS(21-$K5)*100)),100000+ABS(4-$J5)*1000+210)+'計算A'!CR$5*50+IF(AND($E5=1,ME5=0),25,0),INDEX('計算A'!CR$110:CR$114,$F5+1)+IF(AND($E5=1,ME5=0),1000,0)+IF($H5=1,(IF('計算A'!CQ$117=1,INDEX('計算A'!CQ$10:CQ$54,$B5),0)+IF('計算A'!CR$117=1,INDEX('計算A'!CS$10:CS$54,$B5),0))*500,0)-IF(AND('計算A'!CQ$117=1,XO5&gt;0),300,0)-IF(AND($L5=1,'計算A'!CR$117=1,GQ5=0),300,0))),1000000))</f>
        <v/>
      </c>
      <c r="RU5">
        <f>IF($B5=0,1000000,IF(INDEX('計算A'!$D$60:$EQ$104,$B5,94)*GQ5=1,IF(AND($E5=2,MF5=0),1000000,IF($I5&gt;0,IF(4=$J5,IF(OR(AND(94=$I5+1,OR($K5&lt;&gt;'計算A'!$A$3,'計算A'!$A$4=0)),AND(94=$I5-1,OR(22&lt;&gt;'計算A'!$A$3,'計算A'!$A$4=0))),0,IF(22=$K5,200000,ABS(22-$K5)*100)),100000+ABS(4-$J5)*1000+220)+'計算A'!CS$5*50+IF(AND($E5=1,MF5=0),25,0),INDEX('計算A'!CS$110:CS$114,$F5+1)+IF(AND($E5=1,MF5=0),1000,0)+IF($H5=1,(IF('計算A'!CR$117=1,INDEX('計算A'!CR$10:CR$54,$B5),0)+IF('計算A'!CS$117=1,INDEX('計算A'!CT$10:CT$54,$B5),0))*500,0)-IF(AND('計算A'!CR$117=1,XP5&gt;0),300,0)-IF(AND($L5=1,'計算A'!CS$117=1,GR5=0),300,0))),1000000))</f>
        <v/>
      </c>
      <c r="RV5">
        <f>IF($B5=0,1000000,IF(INDEX('計算A'!$D$60:$EQ$104,$B5,95)*GR5=1,IF(AND($E5=2,MG5=0),1000000,IF($I5&gt;0,IF(4=$J5,IF(OR(AND(95=$I5+1,OR($K5&lt;&gt;'計算A'!$A$3,'計算A'!$A$4=0)),AND(95=$I5-1,OR(23&lt;&gt;'計算A'!$A$3,'計算A'!$A$4=0))),0,IF(23=$K5,200000,ABS(23-$K5)*100)),100000+ABS(4-$J5)*1000+230)+'計算A'!CT$5*50+IF(AND($E5=1,MG5=0),25,0),INDEX('計算A'!CT$110:CT$114,$F5+1)+IF(AND($E5=1,MG5=0),1000,0)+IF($H5=1,(IF('計算A'!CS$117=1,INDEX('計算A'!CS$10:CS$54,$B5),0)+IF('計算A'!CT$117=1,INDEX('計算A'!CU$10:CU$54,$B5),0))*500,0)-IF(AND('計算A'!CS$117=1,XQ5&gt;0),300,0)-IF(AND($L5=1,'計算A'!CT$117=1,GS5=0),300,0))),1000000))</f>
        <v/>
      </c>
      <c r="RW5">
        <f>IF($B5=0,1000000,IF(INDEX('計算A'!$D$60:$EQ$104,$B5,96)*GS5=1,IF(AND($E5=2,MH5=0),1000000,IF($I5&gt;0,IF(4=$J5,IF(OR(AND(96=$I5+1,OR($K5&lt;&gt;'計算A'!$A$3,'計算A'!$A$4=0)),AND(96=$I5-1,OR(24&lt;&gt;'計算A'!$A$3,'計算A'!$A$4=0))),0,IF(24=$K5,200000,ABS(24-$K5)*100)),100000+ABS(4-$J5)*1000+240)+'計算A'!CU$5*50+IF(AND($E5=1,MH5=0),25,0),INDEX('計算A'!CU$110:CU$114,$F5+1)+IF(AND($E5=1,MH5=0),1000,0)+IF($H5=1,(IF('計算A'!CT$117=1,INDEX('計算A'!CT$10:CT$54,$B5),0))*500,0)-IF(AND('計算A'!CT$117=1,XR5&gt;0),300,0))),1000000))</f>
        <v/>
      </c>
      <c r="RX5">
        <f>IF($B5=0,1000000,IF(INDEX('計算A'!$D$60:$EQ$104,$B5,97)*GT5=1,IF(AND($E5=2,MI5=0),1000000,IF($I5&gt;0,IF(5=$J5,IF(OR(AND(97=$I5+1,OR($K5&lt;&gt;'計算A'!$A$3,'計算A'!$A$4=0)),AND(97=$I5-1,OR(1&lt;&gt;'計算A'!$A$3,'計算A'!$A$4=0))),0,IF(1=$K5,200000,ABS(1-$K5)*100)),100000+ABS(5-$J5)*1000+10)+'計算A'!CV$5*50+IF(AND($E5=1,MI5=0),25,0),INDEX('計算A'!CV$110:CV$114,$F5+1)+IF(AND($E5=1,MI5=0),1000,0)+IF($H5=1,(IF('計算A'!CV$117=1,INDEX('計算A'!CW$10:CW$54,$B5),0))*500,0)-IF(AND($L5=1,'計算A'!CV$117=1,GU5=0),300,0))),1000000))</f>
        <v/>
      </c>
      <c r="RY5">
        <f>IF($B5=0,1000000,IF(INDEX('計算A'!$D$60:$EQ$104,$B5,98)*GU5=1,IF(AND($E5=2,MJ5=0),1000000,IF($I5&gt;0,IF(5=$J5,IF(OR(AND(98=$I5+1,OR($K5&lt;&gt;'計算A'!$A$3,'計算A'!$A$4=0)),AND(98=$I5-1,OR(2&lt;&gt;'計算A'!$A$3,'計算A'!$A$4=0))),0,IF(2=$K5,200000,ABS(2-$K5)*100)),100000+ABS(5-$J5)*1000+20)+'計算A'!CW$5*50+IF(AND($E5=1,MJ5=0),25,0),INDEX('計算A'!CW$110:CW$114,$F5+1)+IF(AND($E5=1,MJ5=0),1000,0)+IF($H5=1,(IF('計算A'!CV$117=1,INDEX('計算A'!CV$10:CV$54,$B5),0)+IF('計算A'!CW$117=1,INDEX('計算A'!CX$10:CX$54,$B5),0))*500,0)-IF(AND('計算A'!CV$117=1,XT5&gt;0),300,0)-IF(AND($L5=1,'計算A'!CW$117=1,GV5=0),300,0))),1000000))</f>
        <v/>
      </c>
      <c r="RZ5">
        <f>IF($B5=0,1000000,IF(INDEX('計算A'!$D$60:$EQ$104,$B5,99)*GV5=1,IF(AND($E5=2,MK5=0),1000000,IF($I5&gt;0,IF(5=$J5,IF(OR(AND(99=$I5+1,OR($K5&lt;&gt;'計算A'!$A$3,'計算A'!$A$4=0)),AND(99=$I5-1,OR(3&lt;&gt;'計算A'!$A$3,'計算A'!$A$4=0))),0,IF(3=$K5,200000,ABS(3-$K5)*100)),100000+ABS(5-$J5)*1000+30)+'計算A'!CX$5*50+IF(AND($E5=1,MK5=0),25,0),INDEX('計算A'!CX$110:CX$114,$F5+1)+IF(AND($E5=1,MK5=0),1000,0)+IF($H5=1,(IF('計算A'!CW$117=1,INDEX('計算A'!CW$10:CW$54,$B5),0)+IF('計算A'!CX$117=1,INDEX('計算A'!CY$10:CY$54,$B5),0))*500,0)-IF(AND('計算A'!CW$117=1,XU5&gt;0),300,0)-IF(AND($L5=1,'計算A'!CX$117=1,GW5=0),300,0))),1000000))</f>
        <v/>
      </c>
      <c r="SA5">
        <f>IF($B5=0,1000000,IF(INDEX('計算A'!$D$60:$EQ$104,$B5,100)*GW5=1,IF(AND($E5=2,ML5=0),1000000,IF($I5&gt;0,IF(5=$J5,IF(OR(AND(100=$I5+1,OR($K5&lt;&gt;'計算A'!$A$3,'計算A'!$A$4=0)),AND(100=$I5-1,OR(4&lt;&gt;'計算A'!$A$3,'計算A'!$A$4=0))),0,IF(4=$K5,200000,ABS(4-$K5)*100)),100000+ABS(5-$J5)*1000+40)+'計算A'!CY$5*50+IF(AND($E5=1,ML5=0),25,0),INDEX('計算A'!CY$110:CY$114,$F5+1)+IF(AND($E5=1,ML5=0),1000,0)+IF($H5=1,(IF('計算A'!CX$117=1,INDEX('計算A'!CX$10:CX$54,$B5),0)+IF('計算A'!CY$117=1,INDEX('計算A'!CZ$10:CZ$54,$B5),0))*500,0)-IF(AND('計算A'!CX$117=1,XV5&gt;0),300,0)-IF(AND($L5=1,'計算A'!CY$117=1,GX5=0),300,0))),1000000))</f>
        <v/>
      </c>
      <c r="SB5">
        <f>IF($B5=0,1000000,IF(INDEX('計算A'!$D$60:$EQ$104,$B5,101)*GX5=1,IF(AND($E5=2,MM5=0),1000000,IF($I5&gt;0,IF(5=$J5,IF(OR(AND(101=$I5+1,OR($K5&lt;&gt;'計算A'!$A$3,'計算A'!$A$4=0)),AND(101=$I5-1,OR(5&lt;&gt;'計算A'!$A$3,'計算A'!$A$4=0))),0,IF(5=$K5,200000,ABS(5-$K5)*100)),100000+ABS(5-$J5)*1000+50)+'計算A'!CZ$5*50+IF(AND($E5=1,MM5=0),25,0),INDEX('計算A'!CZ$110:CZ$114,$F5+1)+IF(AND($E5=1,MM5=0),1000,0)+IF($H5=1,(IF('計算A'!CY$117=1,INDEX('計算A'!CY$10:CY$54,$B5),0)+IF('計算A'!CZ$117=1,INDEX('計算A'!DA$10:DA$54,$B5),0))*500,0)-IF(AND('計算A'!CY$117=1,XW5&gt;0),300,0)-IF(AND($L5=1,'計算A'!CZ$117=1,GY5=0),300,0))),1000000))</f>
        <v/>
      </c>
      <c r="SC5">
        <f>IF($B5=0,1000000,IF(INDEX('計算A'!$D$60:$EQ$104,$B5,102)*GY5=1,IF(AND($E5=2,MN5=0),1000000,IF($I5&gt;0,IF(5=$J5,IF(OR(AND(102=$I5+1,OR($K5&lt;&gt;'計算A'!$A$3,'計算A'!$A$4=0)),AND(102=$I5-1,OR(6&lt;&gt;'計算A'!$A$3,'計算A'!$A$4=0))),0,IF(6=$K5,200000,ABS(6-$K5)*100)),100000+ABS(5-$J5)*1000+60)+'計算A'!DA$5*50+IF(AND($E5=1,MN5=0),25,0),INDEX('計算A'!DA$110:DA$114,$F5+1)+IF(AND($E5=1,MN5=0),1000,0)+IF($H5=1,(IF('計算A'!CZ$117=1,INDEX('計算A'!CZ$10:CZ$54,$B5),0)+IF('計算A'!DA$117=1,INDEX('計算A'!DB$10:DB$54,$B5),0))*500,0)-IF(AND('計算A'!CZ$117=1,XX5&gt;0),300,0)-IF(AND($L5=1,'計算A'!DA$117=1,GZ5=0),300,0))),1000000))</f>
        <v/>
      </c>
      <c r="SD5">
        <f>IF($B5=0,1000000,IF(INDEX('計算A'!$D$60:$EQ$104,$B5,103)*GZ5=1,IF(AND($E5=2,MO5=0),1000000,IF($I5&gt;0,IF(5=$J5,IF(OR(AND(103=$I5+1,OR($K5&lt;&gt;'計算A'!$A$3,'計算A'!$A$4=0)),AND(103=$I5-1,OR(7&lt;&gt;'計算A'!$A$3,'計算A'!$A$4=0))),0,IF(7=$K5,200000,ABS(7-$K5)*100)),100000+ABS(5-$J5)*1000+70)+'計算A'!DB$5*50+IF(AND($E5=1,MO5=0),25,0),INDEX('計算A'!DB$110:DB$114,$F5+1)+IF(AND($E5=1,MO5=0),1000,0)+IF($H5=1,(IF('計算A'!DA$117=1,INDEX('計算A'!DA$10:DA$54,$B5),0)+IF('計算A'!DB$117=1,INDEX('計算A'!DC$10:DC$54,$B5),0))*500,0)-IF(AND('計算A'!DA$117=1,XY5&gt;0),300,0)-IF(AND($L5=1,'計算A'!DB$117=1,HA5=0),300,0))),1000000))</f>
        <v/>
      </c>
      <c r="SE5">
        <f>IF($B5=0,1000000,IF(INDEX('計算A'!$D$60:$EQ$104,$B5,104)*HA5=1,IF(AND($E5=2,MP5=0),1000000,IF($I5&gt;0,IF(5=$J5,IF(OR(AND(104=$I5+1,OR($K5&lt;&gt;'計算A'!$A$3,'計算A'!$A$4=0)),AND(104=$I5-1,OR(8&lt;&gt;'計算A'!$A$3,'計算A'!$A$4=0))),0,IF(8=$K5,200000,ABS(8-$K5)*100)),100000+ABS(5-$J5)*1000+80)+'計算A'!DC$5*50+IF(AND($E5=1,MP5=0),25,0),INDEX('計算A'!DC$110:DC$114,$F5+1)+IF(AND($E5=1,MP5=0),1000,0)+IF($H5=1,(IF('計算A'!DB$117=1,INDEX('計算A'!DB$10:DB$54,$B5),0)+IF('計算A'!DC$117=1,INDEX('計算A'!DD$10:DD$54,$B5),0))*500,0)-IF(AND('計算A'!DB$117=1,XZ5&gt;0),300,0)-IF(AND($L5=1,'計算A'!DC$117=1,HB5=0),300,0))),1000000))</f>
        <v/>
      </c>
      <c r="SF5">
        <f>IF($B5=0,1000000,IF(INDEX('計算A'!$D$60:$EQ$104,$B5,105)*HB5=1,IF(AND($E5=2,MQ5=0),1000000,IF($I5&gt;0,IF(5=$J5,IF(OR(AND(105=$I5+1,OR($K5&lt;&gt;'計算A'!$A$3,'計算A'!$A$4=0)),AND(105=$I5-1,OR(9&lt;&gt;'計算A'!$A$3,'計算A'!$A$4=0))),0,IF(9=$K5,200000,ABS(9-$K5)*100)),100000+ABS(5-$J5)*1000+90)+'計算A'!DD$5*50+IF(AND($E5=1,MQ5=0),25,0),INDEX('計算A'!DD$110:DD$114,$F5+1)+IF(AND($E5=1,MQ5=0),1000,0)+IF($H5=1,(IF('計算A'!DC$117=1,INDEX('計算A'!DC$10:DC$54,$B5),0)+IF('計算A'!DD$117=1,INDEX('計算A'!DE$10:DE$54,$B5),0))*500,0)-IF(AND('計算A'!DC$117=1,YA5&gt;0),300,0)-IF(AND($L5=1,'計算A'!DD$117=1,HC5=0),300,0))),1000000))</f>
        <v/>
      </c>
      <c r="SG5">
        <f>IF($B5=0,1000000,IF(INDEX('計算A'!$D$60:$EQ$104,$B5,106)*HC5=1,IF(AND($E5=2,MR5=0),1000000,IF($I5&gt;0,IF(5=$J5,IF(OR(AND(106=$I5+1,OR($K5&lt;&gt;'計算A'!$A$3,'計算A'!$A$4=0)),AND(106=$I5-1,OR(10&lt;&gt;'計算A'!$A$3,'計算A'!$A$4=0))),0,IF(10=$K5,200000,ABS(10-$K5)*100)),100000+ABS(5-$J5)*1000+100)+'計算A'!DE$5*50+IF(AND($E5=1,MR5=0),25,0),INDEX('計算A'!DE$110:DE$114,$F5+1)+IF(AND($E5=1,MR5=0),1000,0)+IF($H5=1,(IF('計算A'!DD$117=1,INDEX('計算A'!DD$10:DD$54,$B5),0)+IF('計算A'!DE$117=1,INDEX('計算A'!DF$10:DF$54,$B5),0))*500,0)-IF(AND('計算A'!DD$117=1,YB5&gt;0),300,0)-IF(AND($L5=1,'計算A'!DE$117=1,HD5=0),300,0))),1000000))</f>
        <v/>
      </c>
      <c r="SH5">
        <f>IF($B5=0,1000000,IF(INDEX('計算A'!$D$60:$EQ$104,$B5,107)*HD5=1,IF(AND($E5=2,MS5=0),1000000,IF($I5&gt;0,IF(5=$J5,IF(OR(AND(107=$I5+1,OR($K5&lt;&gt;'計算A'!$A$3,'計算A'!$A$4=0)),AND(107=$I5-1,OR(11&lt;&gt;'計算A'!$A$3,'計算A'!$A$4=0))),0,IF(11=$K5,200000,ABS(11-$K5)*100)),100000+ABS(5-$J5)*1000+110)+'計算A'!DF$5*50+IF(AND($E5=1,MS5=0),25,0),INDEX('計算A'!DF$110:DF$114,$F5+1)+IF(AND($E5=1,MS5=0),1000,0)+IF($H5=1,(IF('計算A'!DE$117=1,INDEX('計算A'!DE$10:DE$54,$B5),0)+IF('計算A'!DF$117=1,INDEX('計算A'!DG$10:DG$54,$B5),0))*500,0)-IF(AND('計算A'!DE$117=1,YC5&gt;0),300,0)-IF(AND($L5=1,'計算A'!DF$117=1,HE5=0),300,0))),1000000))</f>
        <v/>
      </c>
      <c r="SI5">
        <f>IF($B5=0,1000000,IF(INDEX('計算A'!$D$60:$EQ$104,$B5,108)*HE5=1,IF(AND($E5=2,MT5=0),1000000,IF($I5&gt;0,IF(5=$J5,IF(OR(AND(108=$I5+1,OR($K5&lt;&gt;'計算A'!$A$3,'計算A'!$A$4=0)),AND(108=$I5-1,OR(12&lt;&gt;'計算A'!$A$3,'計算A'!$A$4=0))),0,IF(12=$K5,200000,ABS(12-$K5)*100)),100000+ABS(5-$J5)*1000+120)+'計算A'!DG$5*50+IF(AND($E5=1,MT5=0),25,0),INDEX('計算A'!DG$110:DG$114,$F5+1)+IF(AND($E5=1,MT5=0),1000,0)+IF($H5=1,(IF('計算A'!DF$117=1,INDEX('計算A'!DF$10:DF$54,$B5),0)+IF('計算A'!DG$117=1,INDEX('計算A'!DH$10:DH$54,$B5),0))*500,0)-IF(AND('計算A'!DF$117=1,YD5&gt;0),300,0)-IF(AND($L5=1,'計算A'!DG$117=1,HF5=0),300,0))),1000000))</f>
        <v/>
      </c>
      <c r="SJ5">
        <f>IF($B5=0,1000000,IF(INDEX('計算A'!$D$60:$EQ$104,$B5,109)*HF5=1,IF(AND($E5=2,MU5=0),1000000,IF($I5&gt;0,IF(5=$J5,IF(OR(AND(109=$I5+1,OR($K5&lt;&gt;'計算A'!$A$3,'計算A'!$A$4=0)),AND(109=$I5-1,OR(13&lt;&gt;'計算A'!$A$3,'計算A'!$A$4=0))),0,IF(13=$K5,200000,ABS(13-$K5)*100)),100000+ABS(5-$J5)*1000+130)+'計算A'!DH$5*50+IF(AND($E5=1,MU5=0),25,0),INDEX('計算A'!DH$110:DH$114,$F5+1)+IF(AND($E5=1,MU5=0),1000,0)+IF($H5=1,(IF('計算A'!DG$117=1,INDEX('計算A'!DG$10:DG$54,$B5),0)+IF('計算A'!DH$117=1,INDEX('計算A'!DI$10:DI$54,$B5),0))*500,0)-IF(AND('計算A'!DG$117=1,YE5&gt;0),300,0)-IF(AND($L5=1,'計算A'!DH$117=1,HG5=0),300,0))),1000000))</f>
        <v/>
      </c>
      <c r="SK5">
        <f>IF($B5=0,1000000,IF(INDEX('計算A'!$D$60:$EQ$104,$B5,110)*HG5=1,IF(AND($E5=2,MV5=0),1000000,IF($I5&gt;0,IF(5=$J5,IF(OR(AND(110=$I5+1,OR($K5&lt;&gt;'計算A'!$A$3,'計算A'!$A$4=0)),AND(110=$I5-1,OR(14&lt;&gt;'計算A'!$A$3,'計算A'!$A$4=0))),0,IF(14=$K5,200000,ABS(14-$K5)*100)),100000+ABS(5-$J5)*1000+140)+'計算A'!DI$5*50+IF(AND($E5=1,MV5=0),25,0),INDEX('計算A'!DI$110:DI$114,$F5+1)+IF(AND($E5=1,MV5=0),1000,0)+IF($H5=1,(IF('計算A'!DH$117=1,INDEX('計算A'!DH$10:DH$54,$B5),0)+IF('計算A'!DI$117=1,INDEX('計算A'!DJ$10:DJ$54,$B5),0))*500,0)-IF(AND('計算A'!DH$117=1,YF5&gt;0),300,0)-IF(AND($L5=1,'計算A'!DI$117=1,HH5=0),300,0))),1000000))</f>
        <v/>
      </c>
      <c r="SL5">
        <f>IF($B5=0,1000000,IF(INDEX('計算A'!$D$60:$EQ$104,$B5,111)*HH5=1,IF(AND($E5=2,MW5=0),1000000,IF($I5&gt;0,IF(5=$J5,IF(OR(AND(111=$I5+1,OR($K5&lt;&gt;'計算A'!$A$3,'計算A'!$A$4=0)),AND(111=$I5-1,OR(15&lt;&gt;'計算A'!$A$3,'計算A'!$A$4=0))),0,IF(15=$K5,200000,ABS(15-$K5)*100)),100000+ABS(5-$J5)*1000+150)+'計算A'!DJ$5*50+IF(AND($E5=1,MW5=0),25,0),INDEX('計算A'!DJ$110:DJ$114,$F5+1)+IF(AND($E5=1,MW5=0),1000,0)+IF($H5=1,(IF('計算A'!DI$117=1,INDEX('計算A'!DI$10:DI$54,$B5),0)+IF('計算A'!DJ$117=1,INDEX('計算A'!DK$10:DK$54,$B5),0))*500,0)-IF(AND('計算A'!DI$117=1,YG5&gt;0),300,0)-IF(AND($L5=1,'計算A'!DJ$117=1,HI5=0),300,0))),1000000))</f>
        <v/>
      </c>
      <c r="SM5">
        <f>IF($B5=0,1000000,IF(INDEX('計算A'!$D$60:$EQ$104,$B5,112)*HI5=1,IF(AND($E5=2,MX5=0),1000000,IF($I5&gt;0,IF(5=$J5,IF(OR(AND(112=$I5+1,OR($K5&lt;&gt;'計算A'!$A$3,'計算A'!$A$4=0)),AND(112=$I5-1,OR(16&lt;&gt;'計算A'!$A$3,'計算A'!$A$4=0))),0,IF(16=$K5,200000,ABS(16-$K5)*100)),100000+ABS(5-$J5)*1000+160)+'計算A'!DK$5*50+IF(AND($E5=1,MX5=0),25,0),INDEX('計算A'!DK$110:DK$114,$F5+1)+IF(AND($E5=1,MX5=0),1000,0)+IF($H5=1,(IF('計算A'!DJ$117=1,INDEX('計算A'!DJ$10:DJ$54,$B5),0)+IF('計算A'!DK$117=1,INDEX('計算A'!DL$10:DL$54,$B5),0))*500,0)-IF(AND('計算A'!DJ$117=1,YH5&gt;0),300,0)-IF(AND($L5=1,'計算A'!DK$117=1,HJ5=0),300,0))),1000000))</f>
        <v/>
      </c>
      <c r="SN5">
        <f>IF($B5=0,1000000,IF(INDEX('計算A'!$D$60:$EQ$104,$B5,113)*HJ5=1,IF(AND($E5=2,MY5=0),1000000,IF($I5&gt;0,IF(5=$J5,IF(OR(AND(113=$I5+1,OR($K5&lt;&gt;'計算A'!$A$3,'計算A'!$A$4=0)),AND(113=$I5-1,OR(17&lt;&gt;'計算A'!$A$3,'計算A'!$A$4=0))),0,IF(17=$K5,200000,ABS(17-$K5)*100)),100000+ABS(5-$J5)*1000+170)+'計算A'!DL$5*50+IF(AND($E5=1,MY5=0),25,0),INDEX('計算A'!DL$110:DL$114,$F5+1)+IF(AND($E5=1,MY5=0),1000,0)+IF($H5=1,(IF('計算A'!DK$117=1,INDEX('計算A'!DK$10:DK$54,$B5),0)+IF('計算A'!DL$117=1,INDEX('計算A'!DM$10:DM$54,$B5),0))*500,0)-IF(AND('計算A'!DK$117=1,YI5&gt;0),300,0)-IF(AND($L5=1,'計算A'!DL$117=1,HK5=0),300,0))),1000000))</f>
        <v/>
      </c>
      <c r="SO5">
        <f>IF($B5=0,1000000,IF(INDEX('計算A'!$D$60:$EQ$104,$B5,114)*HK5=1,IF(AND($E5=2,MZ5=0),1000000,IF($I5&gt;0,IF(5=$J5,IF(OR(AND(114=$I5+1,OR($K5&lt;&gt;'計算A'!$A$3,'計算A'!$A$4=0)),AND(114=$I5-1,OR(18&lt;&gt;'計算A'!$A$3,'計算A'!$A$4=0))),0,IF(18=$K5,200000,ABS(18-$K5)*100)),100000+ABS(5-$J5)*1000+180)+'計算A'!DM$5*50+IF(AND($E5=1,MZ5=0),25,0),INDEX('計算A'!DM$110:DM$114,$F5+1)+IF(AND($E5=1,MZ5=0),1000,0)+IF($H5=1,(IF('計算A'!DL$117=1,INDEX('計算A'!DL$10:DL$54,$B5),0)+IF('計算A'!DM$117=1,INDEX('計算A'!DN$10:DN$54,$B5),0))*500,0)-IF(AND('計算A'!DL$117=1,YJ5&gt;0),300,0)-IF(AND($L5=1,'計算A'!DM$117=1,HL5=0),300,0))),1000000))</f>
        <v/>
      </c>
      <c r="SP5">
        <f>IF($B5=0,1000000,IF(INDEX('計算A'!$D$60:$EQ$104,$B5,115)*HL5=1,IF(AND($E5=2,NA5=0),1000000,IF($I5&gt;0,IF(5=$J5,IF(OR(AND(115=$I5+1,OR($K5&lt;&gt;'計算A'!$A$3,'計算A'!$A$4=0)),AND(115=$I5-1,OR(19&lt;&gt;'計算A'!$A$3,'計算A'!$A$4=0))),0,IF(19=$K5,200000,ABS(19-$K5)*100)),100000+ABS(5-$J5)*1000+190)+'計算A'!DN$5*50+IF(AND($E5=1,NA5=0),25,0),INDEX('計算A'!DN$110:DN$114,$F5+1)+IF(AND($E5=1,NA5=0),1000,0)+IF($H5=1,(IF('計算A'!DM$117=1,INDEX('計算A'!DM$10:DM$54,$B5),0)+IF('計算A'!DN$117=1,INDEX('計算A'!DO$10:DO$54,$B5),0))*500,0)-IF(AND('計算A'!DM$117=1,YK5&gt;0),300,0)-IF(AND($L5=1,'計算A'!DN$117=1,HM5=0),300,0))),1000000))</f>
        <v/>
      </c>
      <c r="SQ5">
        <f>IF($B5=0,1000000,IF(INDEX('計算A'!$D$60:$EQ$104,$B5,116)*HM5=1,IF(AND($E5=2,NB5=0),1000000,IF($I5&gt;0,IF(5=$J5,IF(OR(AND(116=$I5+1,OR($K5&lt;&gt;'計算A'!$A$3,'計算A'!$A$4=0)),AND(116=$I5-1,OR(20&lt;&gt;'計算A'!$A$3,'計算A'!$A$4=0))),0,IF(20=$K5,200000,ABS(20-$K5)*100)),100000+ABS(5-$J5)*1000+200)+'計算A'!DO$5*50+IF(AND($E5=1,NB5=0),25,0),INDEX('計算A'!DO$110:DO$114,$F5+1)+IF(AND($E5=1,NB5=0),1000,0)+IF($H5=1,(IF('計算A'!DN$117=1,INDEX('計算A'!DN$10:DN$54,$B5),0)+IF('計算A'!DO$117=1,INDEX('計算A'!DP$10:DP$54,$B5),0))*500,0)-IF(AND('計算A'!DN$117=1,YL5&gt;0),300,0)-IF(AND($L5=1,'計算A'!DO$117=1,HN5=0),300,0))),1000000))</f>
        <v/>
      </c>
      <c r="SR5">
        <f>IF($B5=0,1000000,IF(INDEX('計算A'!$D$60:$EQ$104,$B5,117)*HN5=1,IF(AND($E5=2,NC5=0),1000000,IF($I5&gt;0,IF(5=$J5,IF(OR(AND(117=$I5+1,OR($K5&lt;&gt;'計算A'!$A$3,'計算A'!$A$4=0)),AND(117=$I5-1,OR(21&lt;&gt;'計算A'!$A$3,'計算A'!$A$4=0))),0,IF(21=$K5,200000,ABS(21-$K5)*100)),100000+ABS(5-$J5)*1000+210)+'計算A'!DP$5*50+IF(AND($E5=1,NC5=0),25,0),INDEX('計算A'!DP$110:DP$114,$F5+1)+IF(AND($E5=1,NC5=0),1000,0)+IF($H5=1,(IF('計算A'!DO$117=1,INDEX('計算A'!DO$10:DO$54,$B5),0)+IF('計算A'!DP$117=1,INDEX('計算A'!DQ$10:DQ$54,$B5),0))*500,0)-IF(AND('計算A'!DO$117=1,YM5&gt;0),300,0)-IF(AND($L5=1,'計算A'!DP$117=1,HO5=0),300,0))),1000000))</f>
        <v/>
      </c>
      <c r="SS5">
        <f>IF($B5=0,1000000,IF(INDEX('計算A'!$D$60:$EQ$104,$B5,118)*HO5=1,IF(AND($E5=2,ND5=0),1000000,IF($I5&gt;0,IF(5=$J5,IF(OR(AND(118=$I5+1,OR($K5&lt;&gt;'計算A'!$A$3,'計算A'!$A$4=0)),AND(118=$I5-1,OR(22&lt;&gt;'計算A'!$A$3,'計算A'!$A$4=0))),0,IF(22=$K5,200000,ABS(22-$K5)*100)),100000+ABS(5-$J5)*1000+220)+'計算A'!DQ$5*50+IF(AND($E5=1,ND5=0),25,0),INDEX('計算A'!DQ$110:DQ$114,$F5+1)+IF(AND($E5=1,ND5=0),1000,0)+IF($H5=1,(IF('計算A'!DP$117=1,INDEX('計算A'!DP$10:DP$54,$B5),0)+IF('計算A'!DQ$117=1,INDEX('計算A'!DR$10:DR$54,$B5),0))*500,0)-IF(AND('計算A'!DP$117=1,YN5&gt;0),300,0)-IF(AND($L5=1,'計算A'!DQ$117=1,HP5=0),300,0))),1000000))</f>
        <v/>
      </c>
      <c r="ST5">
        <f>IF($B5=0,1000000,IF(INDEX('計算A'!$D$60:$EQ$104,$B5,119)*HP5=1,IF(AND($E5=2,NE5=0),1000000,IF($I5&gt;0,IF(5=$J5,IF(OR(AND(119=$I5+1,OR($K5&lt;&gt;'計算A'!$A$3,'計算A'!$A$4=0)),AND(119=$I5-1,OR(23&lt;&gt;'計算A'!$A$3,'計算A'!$A$4=0))),0,IF(23=$K5,200000,ABS(23-$K5)*100)),100000+ABS(5-$J5)*1000+230)+'計算A'!DR$5*50+IF(AND($E5=1,NE5=0),25,0),INDEX('計算A'!DR$110:DR$114,$F5+1)+IF(AND($E5=1,NE5=0),1000,0)+IF($H5=1,(IF('計算A'!DQ$117=1,INDEX('計算A'!DQ$10:DQ$54,$B5),0)+IF('計算A'!DR$117=1,INDEX('計算A'!DS$10:DS$54,$B5),0))*500,0)-IF(AND('計算A'!DQ$117=1,YO5&gt;0),300,0)-IF(AND($L5=1,'計算A'!DR$117=1,HQ5=0),300,0))),1000000))</f>
        <v/>
      </c>
      <c r="SU5">
        <f>IF($B5=0,1000000,IF(INDEX('計算A'!$D$60:$EQ$104,$B5,120)*HQ5=1,IF(AND($E5=2,NF5=0),1000000,IF($I5&gt;0,IF(5=$J5,IF(OR(AND(120=$I5+1,OR($K5&lt;&gt;'計算A'!$A$3,'計算A'!$A$4=0)),AND(120=$I5-1,OR(24&lt;&gt;'計算A'!$A$3,'計算A'!$A$4=0))),0,IF(24=$K5,200000,ABS(24-$K5)*100)),100000+ABS(5-$J5)*1000+240)+'計算A'!DS$5*50+IF(AND($E5=1,NF5=0),25,0),INDEX('計算A'!DS$110:DS$114,$F5+1)+IF(AND($E5=1,NF5=0),1000,0)+IF($H5=1,(IF('計算A'!DR$117=1,INDEX('計算A'!DR$10:DR$54,$B5),0))*500,0)-IF(AND('計算A'!DR$117=1,YP5&gt;0),300,0))),1000000))</f>
        <v/>
      </c>
      <c r="SV5">
        <f>IF($B5=0,1000000,IF(INDEX('計算A'!$D$60:$EQ$104,$B5,121)*HR5=1,IF(AND($E5=2,NG5=0),1000000,IF($I5&gt;0,IF(6=$J5,IF(OR(AND(121=$I5+1,OR($K5&lt;&gt;'計算A'!$A$3,'計算A'!$A$4=0)),AND(121=$I5-1,OR(1&lt;&gt;'計算A'!$A$3,'計算A'!$A$4=0))),0,IF(1=$K5,200000,ABS(1-$K5)*100)),100000+ABS(6-$J5)*1000+10)+'計算A'!DT$5*50+IF(AND($E5=1,NG5=0),25,0),INDEX('計算A'!DT$110:DT$114,$F5+1)+IF(AND($E5=1,NG5=0),1000,0)+IF($H5=1,(IF('計算A'!DT$117=1,INDEX('計算A'!DU$10:DU$54,$B5),0))*500,0)-IF(AND($L5=1,'計算A'!DT$117=1,HS5=0),300,0))),1000000))</f>
        <v/>
      </c>
      <c r="SW5">
        <f>IF($B5=0,1000000,IF(INDEX('計算A'!$D$60:$EQ$104,$B5,122)*HS5=1,IF(AND($E5=2,NH5=0),1000000,IF($I5&gt;0,IF(6=$J5,IF(OR(AND(122=$I5+1,OR($K5&lt;&gt;'計算A'!$A$3,'計算A'!$A$4=0)),AND(122=$I5-1,OR(2&lt;&gt;'計算A'!$A$3,'計算A'!$A$4=0))),0,IF(2=$K5,200000,ABS(2-$K5)*100)),100000+ABS(6-$J5)*1000+20)+'計算A'!DU$5*50+IF(AND($E5=1,NH5=0),25,0),INDEX('計算A'!DU$110:DU$114,$F5+1)+IF(AND($E5=1,NH5=0),1000,0)+IF($H5=1,(IF('計算A'!DT$117=1,INDEX('計算A'!DT$10:DT$54,$B5),0)+IF('計算A'!DU$117=1,INDEX('計算A'!DV$10:DV$54,$B5),0))*500,0)-IF(AND('計算A'!DT$117=1,YR5&gt;0),300,0)-IF(AND($L5=1,'計算A'!DU$117=1,HT5=0),300,0))),1000000))</f>
        <v/>
      </c>
      <c r="SX5">
        <f>IF($B5=0,1000000,IF(INDEX('計算A'!$D$60:$EQ$104,$B5,123)*HT5=1,IF(AND($E5=2,NI5=0),1000000,IF($I5&gt;0,IF(6=$J5,IF(OR(AND(123=$I5+1,OR($K5&lt;&gt;'計算A'!$A$3,'計算A'!$A$4=0)),AND(123=$I5-1,OR(3&lt;&gt;'計算A'!$A$3,'計算A'!$A$4=0))),0,IF(3=$K5,200000,ABS(3-$K5)*100)),100000+ABS(6-$J5)*1000+30)+'計算A'!DV$5*50+IF(AND($E5=1,NI5=0),25,0),INDEX('計算A'!DV$110:DV$114,$F5+1)+IF(AND($E5=1,NI5=0),1000,0)+IF($H5=1,(IF('計算A'!DU$117=1,INDEX('計算A'!DU$10:DU$54,$B5),0)+IF('計算A'!DV$117=1,INDEX('計算A'!DW$10:DW$54,$B5),0))*500,0)-IF(AND('計算A'!DU$117=1,YS5&gt;0),300,0)-IF(AND($L5=1,'計算A'!DV$117=1,HU5=0),300,0))),1000000))</f>
        <v/>
      </c>
      <c r="SY5">
        <f>IF($B5=0,1000000,IF(INDEX('計算A'!$D$60:$EQ$104,$B5,124)*HU5=1,IF(AND($E5=2,NJ5=0),1000000,IF($I5&gt;0,IF(6=$J5,IF(OR(AND(124=$I5+1,OR($K5&lt;&gt;'計算A'!$A$3,'計算A'!$A$4=0)),AND(124=$I5-1,OR(4&lt;&gt;'計算A'!$A$3,'計算A'!$A$4=0))),0,IF(4=$K5,200000,ABS(4-$K5)*100)),100000+ABS(6-$J5)*1000+40)+'計算A'!DW$5*50+IF(AND($E5=1,NJ5=0),25,0),INDEX('計算A'!DW$110:DW$114,$F5+1)+IF(AND($E5=1,NJ5=0),1000,0)+IF($H5=1,(IF('計算A'!DV$117=1,INDEX('計算A'!DV$10:DV$54,$B5),0)+IF('計算A'!DW$117=1,INDEX('計算A'!DX$10:DX$54,$B5),0))*500,0)-IF(AND('計算A'!DV$117=1,YT5&gt;0),300,0)-IF(AND($L5=1,'計算A'!DW$117=1,HV5=0),300,0))),1000000))</f>
        <v/>
      </c>
      <c r="SZ5">
        <f>IF($B5=0,1000000,IF(INDEX('計算A'!$D$60:$EQ$104,$B5,125)*HV5=1,IF(AND($E5=2,NK5=0),1000000,IF($I5&gt;0,IF(6=$J5,IF(OR(AND(125=$I5+1,OR($K5&lt;&gt;'計算A'!$A$3,'計算A'!$A$4=0)),AND(125=$I5-1,OR(5&lt;&gt;'計算A'!$A$3,'計算A'!$A$4=0))),0,IF(5=$K5,200000,ABS(5-$K5)*100)),100000+ABS(6-$J5)*1000+50)+'計算A'!DX$5*50+IF(AND($E5=1,NK5=0),25,0),INDEX('計算A'!DX$110:DX$114,$F5+1)+IF(AND($E5=1,NK5=0),1000,0)+IF($H5=1,(IF('計算A'!DW$117=1,INDEX('計算A'!DW$10:DW$54,$B5),0)+IF('計算A'!DX$117=1,INDEX('計算A'!DY$10:DY$54,$B5),0))*500,0)-IF(AND('計算A'!DW$117=1,YU5&gt;0),300,0)-IF(AND($L5=1,'計算A'!DX$117=1,HW5=0),300,0))),1000000))</f>
        <v/>
      </c>
      <c r="TA5">
        <f>IF($B5=0,1000000,IF(INDEX('計算A'!$D$60:$EQ$104,$B5,126)*HW5=1,IF(AND($E5=2,NL5=0),1000000,IF($I5&gt;0,IF(6=$J5,IF(OR(AND(126=$I5+1,OR($K5&lt;&gt;'計算A'!$A$3,'計算A'!$A$4=0)),AND(126=$I5-1,OR(6&lt;&gt;'計算A'!$A$3,'計算A'!$A$4=0))),0,IF(6=$K5,200000,ABS(6-$K5)*100)),100000+ABS(6-$J5)*1000+60)+'計算A'!DY$5*50+IF(AND($E5=1,NL5=0),25,0),INDEX('計算A'!DY$110:DY$114,$F5+1)+IF(AND($E5=1,NL5=0),1000,0)+IF($H5=1,(IF('計算A'!DX$117=1,INDEX('計算A'!DX$10:DX$54,$B5),0)+IF('計算A'!DY$117=1,INDEX('計算A'!DZ$10:DZ$54,$B5),0))*500,0)-IF(AND('計算A'!DX$117=1,YV5&gt;0),300,0)-IF(AND($L5=1,'計算A'!DY$117=1,HX5=0),300,0))),1000000))</f>
        <v/>
      </c>
      <c r="TB5">
        <f>IF($B5=0,1000000,IF(INDEX('計算A'!$D$60:$EQ$104,$B5,127)*HX5=1,IF(AND($E5=2,NM5=0),1000000,IF($I5&gt;0,IF(6=$J5,IF(OR(AND(127=$I5+1,OR($K5&lt;&gt;'計算A'!$A$3,'計算A'!$A$4=0)),AND(127=$I5-1,OR(7&lt;&gt;'計算A'!$A$3,'計算A'!$A$4=0))),0,IF(7=$K5,200000,ABS(7-$K5)*100)),100000+ABS(6-$J5)*1000+70)+'計算A'!DZ$5*50+IF(AND($E5=1,NM5=0),25,0),INDEX('計算A'!DZ$110:DZ$114,$F5+1)+IF(AND($E5=1,NM5=0),1000,0)+IF($H5=1,(IF('計算A'!DY$117=1,INDEX('計算A'!DY$10:DY$54,$B5),0)+IF('計算A'!DZ$117=1,INDEX('計算A'!EA$10:EA$54,$B5),0))*500,0)-IF(AND('計算A'!DY$117=1,YW5&gt;0),300,0)-IF(AND($L5=1,'計算A'!DZ$117=1,HY5=0),300,0))),1000000))</f>
        <v/>
      </c>
      <c r="TC5">
        <f>IF($B5=0,1000000,IF(INDEX('計算A'!$D$60:$EQ$104,$B5,128)*HY5=1,IF(AND($E5=2,NN5=0),1000000,IF($I5&gt;0,IF(6=$J5,IF(OR(AND(128=$I5+1,OR($K5&lt;&gt;'計算A'!$A$3,'計算A'!$A$4=0)),AND(128=$I5-1,OR(8&lt;&gt;'計算A'!$A$3,'計算A'!$A$4=0))),0,IF(8=$K5,200000,ABS(8-$K5)*100)),100000+ABS(6-$J5)*1000+80)+'計算A'!EA$5*50+IF(AND($E5=1,NN5=0),25,0),INDEX('計算A'!EA$110:EA$114,$F5+1)+IF(AND($E5=1,NN5=0),1000,0)+IF($H5=1,(IF('計算A'!DZ$117=1,INDEX('計算A'!DZ$10:DZ$54,$B5),0)+IF('計算A'!EA$117=1,INDEX('計算A'!EB$10:EB$54,$B5),0))*500,0)-IF(AND('計算A'!DZ$117=1,YX5&gt;0),300,0)-IF(AND($L5=1,'計算A'!EA$117=1,HZ5=0),300,0))),1000000))</f>
        <v/>
      </c>
      <c r="TD5">
        <f>IF($B5=0,1000000,IF(INDEX('計算A'!$D$60:$EQ$104,$B5,129)*HZ5=1,IF(AND($E5=2,NO5=0),1000000,IF($I5&gt;0,IF(6=$J5,IF(OR(AND(129=$I5+1,OR($K5&lt;&gt;'計算A'!$A$3,'計算A'!$A$4=0)),AND(129=$I5-1,OR(9&lt;&gt;'計算A'!$A$3,'計算A'!$A$4=0))),0,IF(9=$K5,200000,ABS(9-$K5)*100)),100000+ABS(6-$J5)*1000+90)+'計算A'!EB$5*50+IF(AND($E5=1,NO5=0),25,0),INDEX('計算A'!EB$110:EB$114,$F5+1)+IF(AND($E5=1,NO5=0),1000,0)+IF($H5=1,(IF('計算A'!EA$117=1,INDEX('計算A'!EA$10:EA$54,$B5),0)+IF('計算A'!EB$117=1,INDEX('計算A'!EC$10:EC$54,$B5),0))*500,0)-IF(AND('計算A'!EA$117=1,YY5&gt;0),300,0)-IF(AND($L5=1,'計算A'!EB$117=1,IA5=0),300,0))),1000000))</f>
        <v/>
      </c>
      <c r="TE5">
        <f>IF($B5=0,1000000,IF(INDEX('計算A'!$D$60:$EQ$104,$B5,130)*IA5=1,IF(AND($E5=2,NP5=0),1000000,IF($I5&gt;0,IF(6=$J5,IF(OR(AND(130=$I5+1,OR($K5&lt;&gt;'計算A'!$A$3,'計算A'!$A$4=0)),AND(130=$I5-1,OR(10&lt;&gt;'計算A'!$A$3,'計算A'!$A$4=0))),0,IF(10=$K5,200000,ABS(10-$K5)*100)),100000+ABS(6-$J5)*1000+100)+'計算A'!EC$5*50+IF(AND($E5=1,NP5=0),25,0),INDEX('計算A'!EC$110:EC$114,$F5+1)+IF(AND($E5=1,NP5=0),1000,0)+IF($H5=1,(IF('計算A'!EB$117=1,INDEX('計算A'!EB$10:EB$54,$B5),0)+IF('計算A'!EC$117=1,INDEX('計算A'!ED$10:ED$54,$B5),0))*500,0)-IF(AND('計算A'!EB$117=1,YZ5&gt;0),300,0)-IF(AND($L5=1,'計算A'!EC$117=1,IB5=0),300,0))),1000000))</f>
        <v/>
      </c>
      <c r="TF5">
        <f>IF($B5=0,1000000,IF(INDEX('計算A'!$D$60:$EQ$104,$B5,131)*IB5=1,IF(AND($E5=2,NQ5=0),1000000,IF($I5&gt;0,IF(6=$J5,IF(OR(AND(131=$I5+1,OR($K5&lt;&gt;'計算A'!$A$3,'計算A'!$A$4=0)),AND(131=$I5-1,OR(11&lt;&gt;'計算A'!$A$3,'計算A'!$A$4=0))),0,IF(11=$K5,200000,ABS(11-$K5)*100)),100000+ABS(6-$J5)*1000+110)+'計算A'!ED$5*50+IF(AND($E5=1,NQ5=0),25,0),INDEX('計算A'!ED$110:ED$114,$F5+1)+IF(AND($E5=1,NQ5=0),1000,0)+IF($H5=1,(IF('計算A'!EC$117=1,INDEX('計算A'!EC$10:EC$54,$B5),0)+IF('計算A'!ED$117=1,INDEX('計算A'!EE$10:EE$54,$B5),0))*500,0)-IF(AND('計算A'!EC$117=1,ZA5&gt;0),300,0)-IF(AND($L5=1,'計算A'!ED$117=1,IC5=0),300,0))),1000000))</f>
        <v/>
      </c>
      <c r="TG5">
        <f>IF($B5=0,1000000,IF(INDEX('計算A'!$D$60:$EQ$104,$B5,132)*IC5=1,IF(AND($E5=2,NR5=0),1000000,IF($I5&gt;0,IF(6=$J5,IF(OR(AND(132=$I5+1,OR($K5&lt;&gt;'計算A'!$A$3,'計算A'!$A$4=0)),AND(132=$I5-1,OR(12&lt;&gt;'計算A'!$A$3,'計算A'!$A$4=0))),0,IF(12=$K5,200000,ABS(12-$K5)*100)),100000+ABS(6-$J5)*1000+120)+'計算A'!EE$5*50+IF(AND($E5=1,NR5=0),25,0),INDEX('計算A'!EE$110:EE$114,$F5+1)+IF(AND($E5=1,NR5=0),1000,0)+IF($H5=1,(IF('計算A'!ED$117=1,INDEX('計算A'!ED$10:ED$54,$B5),0)+IF('計算A'!EE$117=1,INDEX('計算A'!EF$10:EF$54,$B5),0))*500,0)-IF(AND('計算A'!ED$117=1,ZB5&gt;0),300,0)-IF(AND($L5=1,'計算A'!EE$117=1,ID5=0),300,0))),1000000))</f>
        <v/>
      </c>
      <c r="TH5">
        <f>IF($B5=0,1000000,IF(INDEX('計算A'!$D$60:$EQ$104,$B5,133)*ID5=1,IF(AND($E5=2,NS5=0),1000000,IF($I5&gt;0,IF(6=$J5,IF(OR(AND(133=$I5+1,OR($K5&lt;&gt;'計算A'!$A$3,'計算A'!$A$4=0)),AND(133=$I5-1,OR(13&lt;&gt;'計算A'!$A$3,'計算A'!$A$4=0))),0,IF(13=$K5,200000,ABS(13-$K5)*100)),100000+ABS(6-$J5)*1000+130)+'計算A'!EF$5*50+IF(AND($E5=1,NS5=0),25,0),INDEX('計算A'!EF$110:EF$114,$F5+1)+IF(AND($E5=1,NS5=0),1000,0)+IF($H5=1,(IF('計算A'!EE$117=1,INDEX('計算A'!EE$10:EE$54,$B5),0)+IF('計算A'!EF$117=1,INDEX('計算A'!EG$10:EG$54,$B5),0))*500,0)-IF(AND('計算A'!EE$117=1,ZC5&gt;0),300,0)-IF(AND($L5=1,'計算A'!EF$117=1,IE5=0),300,0))),1000000))</f>
        <v/>
      </c>
      <c r="TI5">
        <f>IF($B5=0,1000000,IF(INDEX('計算A'!$D$60:$EQ$104,$B5,134)*IE5=1,IF(AND($E5=2,NT5=0),1000000,IF($I5&gt;0,IF(6=$J5,IF(OR(AND(134=$I5+1,OR($K5&lt;&gt;'計算A'!$A$3,'計算A'!$A$4=0)),AND(134=$I5-1,OR(14&lt;&gt;'計算A'!$A$3,'計算A'!$A$4=0))),0,IF(14=$K5,200000,ABS(14-$K5)*100)),100000+ABS(6-$J5)*1000+140)+'計算A'!EG$5*50+IF(AND($E5=1,NT5=0),25,0),INDEX('計算A'!EG$110:EG$114,$F5+1)+IF(AND($E5=1,NT5=0),1000,0)+IF($H5=1,(IF('計算A'!EF$117=1,INDEX('計算A'!EF$10:EF$54,$B5),0)+IF('計算A'!EG$117=1,INDEX('計算A'!EH$10:EH$54,$B5),0))*500,0)-IF(AND('計算A'!EF$117=1,ZD5&gt;0),300,0)-IF(AND($L5=1,'計算A'!EG$117=1,IF5=0),300,0))),1000000))</f>
        <v/>
      </c>
      <c r="TJ5">
        <f>IF($B5=0,1000000,IF(INDEX('計算A'!$D$60:$EQ$104,$B5,135)*IF5=1,IF(AND($E5=2,NU5=0),1000000,IF($I5&gt;0,IF(6=$J5,IF(OR(AND(135=$I5+1,OR($K5&lt;&gt;'計算A'!$A$3,'計算A'!$A$4=0)),AND(135=$I5-1,OR(15&lt;&gt;'計算A'!$A$3,'計算A'!$A$4=0))),0,IF(15=$K5,200000,ABS(15-$K5)*100)),100000+ABS(6-$J5)*1000+150)+'計算A'!EH$5*50+IF(AND($E5=1,NU5=0),25,0),INDEX('計算A'!EH$110:EH$114,$F5+1)+IF(AND($E5=1,NU5=0),1000,0)+IF($H5=1,(IF('計算A'!EG$117=1,INDEX('計算A'!EG$10:EG$54,$B5),0)+IF('計算A'!EH$117=1,INDEX('計算A'!EI$10:EI$54,$B5),0))*500,0)-IF(AND('計算A'!EG$117=1,ZE5&gt;0),300,0)-IF(AND($L5=1,'計算A'!EH$117=1,IG5=0),300,0))),1000000))</f>
        <v/>
      </c>
      <c r="TK5">
        <f>IF($B5=0,1000000,IF(INDEX('計算A'!$D$60:$EQ$104,$B5,136)*IG5=1,IF(AND($E5=2,NV5=0),1000000,IF($I5&gt;0,IF(6=$J5,IF(OR(AND(136=$I5+1,OR($K5&lt;&gt;'計算A'!$A$3,'計算A'!$A$4=0)),AND(136=$I5-1,OR(16&lt;&gt;'計算A'!$A$3,'計算A'!$A$4=0))),0,IF(16=$K5,200000,ABS(16-$K5)*100)),100000+ABS(6-$J5)*1000+160)+'計算A'!EI$5*50+IF(AND($E5=1,NV5=0),25,0),INDEX('計算A'!EI$110:EI$114,$F5+1)+IF(AND($E5=1,NV5=0),1000,0)+IF($H5=1,(IF('計算A'!EH$117=1,INDEX('計算A'!EH$10:EH$54,$B5),0)+IF('計算A'!EI$117=1,INDEX('計算A'!EJ$10:EJ$54,$B5),0))*500,0)-IF(AND('計算A'!EH$117=1,ZF5&gt;0),300,0)-IF(AND($L5=1,'計算A'!EI$117=1,IH5=0),300,0))),1000000))</f>
        <v/>
      </c>
      <c r="TL5">
        <f>IF($B5=0,1000000,IF(INDEX('計算A'!$D$60:$EQ$104,$B5,137)*IH5=1,IF(AND($E5=2,NW5=0),1000000,IF($I5&gt;0,IF(6=$J5,IF(OR(AND(137=$I5+1,OR($K5&lt;&gt;'計算A'!$A$3,'計算A'!$A$4=0)),AND(137=$I5-1,OR(17&lt;&gt;'計算A'!$A$3,'計算A'!$A$4=0))),0,IF(17=$K5,200000,ABS(17-$K5)*100)),100000+ABS(6-$J5)*1000+170)+'計算A'!EJ$5*50+IF(AND($E5=1,NW5=0),25,0),INDEX('計算A'!EJ$110:EJ$114,$F5+1)+IF(AND($E5=1,NW5=0),1000,0)+IF($H5=1,(IF('計算A'!EI$117=1,INDEX('計算A'!EI$10:EI$54,$B5),0)+IF('計算A'!EJ$117=1,INDEX('計算A'!EK$10:EK$54,$B5),0))*500,0)-IF(AND('計算A'!EI$117=1,ZG5&gt;0),300,0)-IF(AND($L5=1,'計算A'!EJ$117=1,II5=0),300,0))),1000000))</f>
        <v/>
      </c>
      <c r="TM5">
        <f>IF($B5=0,1000000,IF(INDEX('計算A'!$D$60:$EQ$104,$B5,138)*II5=1,IF(AND($E5=2,NX5=0),1000000,IF($I5&gt;0,IF(6=$J5,IF(OR(AND(138=$I5+1,OR($K5&lt;&gt;'計算A'!$A$3,'計算A'!$A$4=0)),AND(138=$I5-1,OR(18&lt;&gt;'計算A'!$A$3,'計算A'!$A$4=0))),0,IF(18=$K5,200000,ABS(18-$K5)*100)),100000+ABS(6-$J5)*1000+180)+'計算A'!EK$5*50+IF(AND($E5=1,NX5=0),25,0),INDEX('計算A'!EK$110:EK$114,$F5+1)+IF(AND($E5=1,NX5=0),1000,0)+IF($H5=1,(IF('計算A'!EJ$117=1,INDEX('計算A'!EJ$10:EJ$54,$B5),0)+IF('計算A'!EK$117=1,INDEX('計算A'!EL$10:EL$54,$B5),0))*500,0)-IF(AND('計算A'!EJ$117=1,ZH5&gt;0),300,0)-IF(AND($L5=1,'計算A'!EK$117=1,IJ5=0),300,0))),1000000))</f>
        <v/>
      </c>
      <c r="TN5">
        <f>IF($B5=0,1000000,IF(INDEX('計算A'!$D$60:$EQ$104,$B5,139)*IJ5=1,IF(AND($E5=2,NY5=0),1000000,IF($I5&gt;0,IF(6=$J5,IF(OR(AND(139=$I5+1,OR($K5&lt;&gt;'計算A'!$A$3,'計算A'!$A$4=0)),AND(139=$I5-1,OR(19&lt;&gt;'計算A'!$A$3,'計算A'!$A$4=0))),0,IF(19=$K5,200000,ABS(19-$K5)*100)),100000+ABS(6-$J5)*1000+190)+'計算A'!EL$5*50+IF(AND($E5=1,NY5=0),25,0),INDEX('計算A'!EL$110:EL$114,$F5+1)+IF(AND($E5=1,NY5=0),1000,0)+IF($H5=1,(IF('計算A'!EK$117=1,INDEX('計算A'!EK$10:EK$54,$B5),0)+IF('計算A'!EL$117=1,INDEX('計算A'!EM$10:EM$54,$B5),0))*500,0)-IF(AND('計算A'!EK$117=1,ZI5&gt;0),300,0)-IF(AND($L5=1,'計算A'!EL$117=1,IK5=0),300,0))),1000000))</f>
        <v/>
      </c>
      <c r="TO5">
        <f>IF($B5=0,1000000,IF(INDEX('計算A'!$D$60:$EQ$104,$B5,140)*IK5=1,IF(AND($E5=2,NZ5=0),1000000,IF($I5&gt;0,IF(6=$J5,IF(OR(AND(140=$I5+1,OR($K5&lt;&gt;'計算A'!$A$3,'計算A'!$A$4=0)),AND(140=$I5-1,OR(20&lt;&gt;'計算A'!$A$3,'計算A'!$A$4=0))),0,IF(20=$K5,200000,ABS(20-$K5)*100)),100000+ABS(6-$J5)*1000+200)+'計算A'!EM$5*50+IF(AND($E5=1,NZ5=0),25,0),INDEX('計算A'!EM$110:EM$114,$F5+1)+IF(AND($E5=1,NZ5=0),1000,0)+IF($H5=1,(IF('計算A'!EL$117=1,INDEX('計算A'!EL$10:EL$54,$B5),0)+IF('計算A'!EM$117=1,INDEX('計算A'!EN$10:EN$54,$B5),0))*500,0)-IF(AND('計算A'!EL$117=1,ZJ5&gt;0),300,0)-IF(AND($L5=1,'計算A'!EM$117=1,IL5=0),300,0))),1000000))</f>
        <v/>
      </c>
      <c r="TP5">
        <f>IF($B5=0,1000000,IF(INDEX('計算A'!$D$60:$EQ$104,$B5,141)*IL5=1,IF(AND($E5=2,OA5=0),1000000,IF($I5&gt;0,IF(6=$J5,IF(OR(AND(141=$I5+1,OR($K5&lt;&gt;'計算A'!$A$3,'計算A'!$A$4=0)),AND(141=$I5-1,OR(21&lt;&gt;'計算A'!$A$3,'計算A'!$A$4=0))),0,IF(21=$K5,200000,ABS(21-$K5)*100)),100000+ABS(6-$J5)*1000+210)+'計算A'!EN$5*50+IF(AND($E5=1,OA5=0),25,0),INDEX('計算A'!EN$110:EN$114,$F5+1)+IF(AND($E5=1,OA5=0),1000,0)+IF($H5=1,(IF('計算A'!EM$117=1,INDEX('計算A'!EM$10:EM$54,$B5),0)+IF('計算A'!EN$117=1,INDEX('計算A'!EO$10:EO$54,$B5),0))*500,0)-IF(AND('計算A'!EM$117=1,ZK5&gt;0),300,0)-IF(AND($L5=1,'計算A'!EN$117=1,IM5=0),300,0))),1000000))</f>
        <v/>
      </c>
      <c r="TQ5">
        <f>IF($B5=0,1000000,IF(INDEX('計算A'!$D$60:$EQ$104,$B5,142)*IM5=1,IF(AND($E5=2,OB5=0),1000000,IF($I5&gt;0,IF(6=$J5,IF(OR(AND(142=$I5+1,OR($K5&lt;&gt;'計算A'!$A$3,'計算A'!$A$4=0)),AND(142=$I5-1,OR(22&lt;&gt;'計算A'!$A$3,'計算A'!$A$4=0))),0,IF(22=$K5,200000,ABS(22-$K5)*100)),100000+ABS(6-$J5)*1000+220)+'計算A'!EO$5*50+IF(AND($E5=1,OB5=0),25,0),INDEX('計算A'!EO$110:EO$114,$F5+1)+IF(AND($E5=1,OB5=0),1000,0)+IF($H5=1,(IF('計算A'!EN$117=1,INDEX('計算A'!EN$10:EN$54,$B5),0)+IF('計算A'!EO$117=1,INDEX('計算A'!EP$10:EP$54,$B5),0))*500,0)-IF(AND('計算A'!EN$117=1,ZL5&gt;0),300,0)-IF(AND($L5=1,'計算A'!EO$117=1,IN5=0),300,0))),1000000))</f>
        <v/>
      </c>
      <c r="TR5">
        <f>IF($B5=0,1000000,IF(INDEX('計算A'!$D$60:$EQ$104,$B5,143)*IN5=1,IF(AND($E5=2,OC5=0),1000000,IF($I5&gt;0,IF(6=$J5,IF(OR(AND(143=$I5+1,OR($K5&lt;&gt;'計算A'!$A$3,'計算A'!$A$4=0)),AND(143=$I5-1,OR(23&lt;&gt;'計算A'!$A$3,'計算A'!$A$4=0))),0,IF(23=$K5,200000,ABS(23-$K5)*100)),100000+ABS(6-$J5)*1000+230)+'計算A'!EP$5*50+IF(AND($E5=1,OC5=0),25,0),INDEX('計算A'!EP$110:EP$114,$F5+1)+IF(AND($E5=1,OC5=0),1000,0)+IF($H5=1,(IF('計算A'!EO$117=1,INDEX('計算A'!EO$10:EO$54,$B5),0)+IF('計算A'!EP$117=1,INDEX('計算A'!EQ$10:EQ$54,$B5),0))*500,0)-IF(AND('計算A'!EO$117=1,ZM5&gt;0),300,0)-IF(AND($L5=1,'計算A'!EP$117=1,IO5=0),300,0))),1000000))</f>
        <v/>
      </c>
      <c r="TS5">
        <f>IF($B5=0,1000000,IF(INDEX('計算A'!$D$60:$EQ$104,$B5,144)*IO5=1,IF(AND($E5=2,OD5=0),1000000,IF($I5&gt;0,IF(6=$J5,IF(OR(AND(144=$I5+1,OR($K5&lt;&gt;'計算A'!$A$3,'計算A'!$A$4=0)),AND(144=$I5-1,OR(24&lt;&gt;'計算A'!$A$3,'計算A'!$A$4=0))),0,IF(24=$K5,200000,ABS(24-$K5)*100)),100000+ABS(6-$J5)*1000+240)+'計算A'!EQ$5*50+IF(AND($E5=1,OD5=0),25,0),INDEX('計算A'!EQ$110:EQ$114,$F5+1)+IF(AND($E5=1,OD5=0),1000,0)+IF($H5=1,(IF('計算A'!EP$117=1,INDEX('計算A'!EP$10:EP$54,$B5),0))*500,0)-IF(AND('計算A'!EP$117=1,ZN5&gt;0),300,0))),1000000))</f>
        <v/>
      </c>
      <c r="UB5">
        <f>UB4+IF(AND($C4=1,$L4=1),1,0)</f>
        <v/>
      </c>
      <c r="UC5">
        <f>UC4+IF(AND($C4=2,$L4=1),1,0)</f>
        <v/>
      </c>
      <c r="UD5">
        <f>UD4+IF(AND($C4=3,$L4=1),1,0)</f>
        <v/>
      </c>
      <c r="UE5">
        <f>UE4+IF(AND($C4=4,$L4=1),1,0)</f>
        <v/>
      </c>
      <c r="UF5">
        <f>UF4+IF(AND($C4=5,$L4=1),1,0)</f>
        <v/>
      </c>
      <c r="UG5">
        <f>UG4+IF(AND($C4=6,$L4=1),1,0)</f>
        <v/>
      </c>
      <c r="UH5">
        <f>UH4+IF(AND($C4=7,$L4=1),1,0)</f>
        <v/>
      </c>
      <c r="UI5">
        <f>UI4+IF(AND($C4=8,$L4=1),1,0)</f>
        <v/>
      </c>
      <c r="UJ5">
        <f>UJ4+IF(AND($C4=9,$L4=1),1,0)</f>
        <v/>
      </c>
      <c r="UK5">
        <f>UK4+IF(AND($C4=10,$L4=1),1,0)</f>
        <v/>
      </c>
      <c r="UL5">
        <f>UL4+IF(AND($C4=11,$L4=1),1,0)</f>
        <v/>
      </c>
      <c r="UM5">
        <f>UM4+IF(AND($C4=12,$L4=1),1,0)</f>
        <v/>
      </c>
      <c r="UN5">
        <f>UN4+IF(AND($C4=13,$L4=1),1,0)</f>
        <v/>
      </c>
      <c r="UO5">
        <f>UO4+IF(AND($C4=14,$L4=1),1,0)</f>
        <v/>
      </c>
      <c r="UP5">
        <f>UP4+IF(AND($C4=15,$L4=1),1,0)</f>
        <v/>
      </c>
      <c r="UQ5">
        <f>UQ4+IF(AND($C4=16,$L4=1),1,0)</f>
        <v/>
      </c>
      <c r="UR5">
        <f>UR4+IF(AND($C4=17,$L4=1),1,0)</f>
        <v/>
      </c>
      <c r="US5">
        <f>US4+IF(AND($C4=18,$L4=1),1,0)</f>
        <v/>
      </c>
      <c r="UT5">
        <f>UT4+IF(AND($C4=19,$L4=1),1,0)</f>
        <v/>
      </c>
      <c r="UU5">
        <f>UU4+IF(AND($C4=20,$L4=1),1,0)</f>
        <v/>
      </c>
      <c r="UV5">
        <f>UV4+IF(AND($C4=21,$L4=1),1,0)</f>
        <v/>
      </c>
      <c r="UW5">
        <f>UW4+IF(AND($C4=22,$L4=1),1,0)</f>
        <v/>
      </c>
      <c r="UX5">
        <f>UX4+IF(AND($C4=23,$L4=1),1,0)</f>
        <v/>
      </c>
      <c r="UY5">
        <f>UY4+IF(AND($C4=24,$L4=1),1,0)</f>
        <v/>
      </c>
      <c r="UZ5">
        <f>UZ4+IF(AND($C4=25,$L4=1),1,0)</f>
        <v/>
      </c>
      <c r="VA5">
        <f>VA4+IF(AND($C4=26,$L4=1),1,0)</f>
        <v/>
      </c>
      <c r="VB5">
        <f>VB4+IF(AND($C4=27,$L4=1),1,0)</f>
        <v/>
      </c>
      <c r="VC5">
        <f>VC4+IF(AND($C4=28,$L4=1),1,0)</f>
        <v/>
      </c>
      <c r="VD5">
        <f>VD4+IF(AND($C4=29,$L4=1),1,0)</f>
        <v/>
      </c>
      <c r="VE5">
        <f>VE4+IF(AND($C4=30,$L4=1),1,0)</f>
        <v/>
      </c>
      <c r="VF5">
        <f>VF4+IF(AND($C4=31,$L4=1),1,0)</f>
        <v/>
      </c>
      <c r="VG5">
        <f>VG4+IF(AND($C4=32,$L4=1),1,0)</f>
        <v/>
      </c>
      <c r="VH5">
        <f>VH4+IF(AND($C4=33,$L4=1),1,0)</f>
        <v/>
      </c>
      <c r="VI5">
        <f>VI4+IF(AND($C4=34,$L4=1),1,0)</f>
        <v/>
      </c>
      <c r="VJ5">
        <f>VJ4+IF(AND($C4=35,$L4=1),1,0)</f>
        <v/>
      </c>
      <c r="VK5">
        <f>VK4+IF(AND($C4=36,$L4=1),1,0)</f>
        <v/>
      </c>
      <c r="VL5">
        <f>VL4+IF(AND($C4=37,$L4=1),1,0)</f>
        <v/>
      </c>
      <c r="VM5">
        <f>VM4+IF(AND($C4=38,$L4=1),1,0)</f>
        <v/>
      </c>
      <c r="VN5">
        <f>VN4+IF(AND($C4=39,$L4=1),1,0)</f>
        <v/>
      </c>
      <c r="VO5">
        <f>VO4+IF(AND($C4=40,$L4=1),1,0)</f>
        <v/>
      </c>
      <c r="VP5">
        <f>VP4+IF(AND($C4=41,$L4=1),1,0)</f>
        <v/>
      </c>
      <c r="VQ5">
        <f>VQ4+IF(AND($C4=42,$L4=1),1,0)</f>
        <v/>
      </c>
      <c r="VR5">
        <f>VR4+IF(AND($C4=43,$L4=1),1,0)</f>
        <v/>
      </c>
      <c r="VS5">
        <f>VS4+IF(AND($C4=44,$L4=1),1,0)</f>
        <v/>
      </c>
      <c r="VT5">
        <f>VT4+IF(AND($C4=45,$L4=1),1,0)</f>
        <v/>
      </c>
      <c r="VU5">
        <f>VU4+IF(AND($C4=46,$L4=1),1,0)</f>
        <v/>
      </c>
      <c r="VV5">
        <f>VV4+IF(AND($C4=47,$L4=1),1,0)</f>
        <v/>
      </c>
      <c r="VW5">
        <f>VW4+IF(AND($C4=48,$L4=1),1,0)</f>
        <v/>
      </c>
      <c r="VX5">
        <f>VX4+IF(AND($C4=49,$L4=1),1,0)</f>
        <v/>
      </c>
      <c r="VY5">
        <f>VY4+IF(AND($C4=50,$L4=1),1,0)</f>
        <v/>
      </c>
      <c r="VZ5">
        <f>VZ4+IF(AND($C4=51,$L4=1),1,0)</f>
        <v/>
      </c>
      <c r="WA5">
        <f>WA4+IF(AND($C4=52,$L4=1),1,0)</f>
        <v/>
      </c>
      <c r="WB5">
        <f>WB4+IF(AND($C4=53,$L4=1),1,0)</f>
        <v/>
      </c>
      <c r="WC5">
        <f>WC4+IF(AND($C4=54,$L4=1),1,0)</f>
        <v/>
      </c>
      <c r="WD5">
        <f>WD4+IF(AND($C4=55,$L4=1),1,0)</f>
        <v/>
      </c>
      <c r="WE5">
        <f>WE4+IF(AND($C4=56,$L4=1),1,0)</f>
        <v/>
      </c>
      <c r="WF5">
        <f>WF4+IF(AND($C4=57,$L4=1),1,0)</f>
        <v/>
      </c>
      <c r="WG5">
        <f>WG4+IF(AND($C4=58,$L4=1),1,0)</f>
        <v/>
      </c>
      <c r="WH5">
        <f>WH4+IF(AND($C4=59,$L4=1),1,0)</f>
        <v/>
      </c>
      <c r="WI5">
        <f>WI4+IF(AND($C4=60,$L4=1),1,0)</f>
        <v/>
      </c>
      <c r="WJ5">
        <f>WJ4+IF(AND($C4=61,$L4=1),1,0)</f>
        <v/>
      </c>
      <c r="WK5">
        <f>WK4+IF(AND($C4=62,$L4=1),1,0)</f>
        <v/>
      </c>
      <c r="WL5">
        <f>WL4+IF(AND($C4=63,$L4=1),1,0)</f>
        <v/>
      </c>
      <c r="WM5">
        <f>WM4+IF(AND($C4=64,$L4=1),1,0)</f>
        <v/>
      </c>
      <c r="WN5">
        <f>WN4+IF(AND($C4=65,$L4=1),1,0)</f>
        <v/>
      </c>
      <c r="WO5">
        <f>WO4+IF(AND($C4=66,$L4=1),1,0)</f>
        <v/>
      </c>
      <c r="WP5">
        <f>WP4+IF(AND($C4=67,$L4=1),1,0)</f>
        <v/>
      </c>
      <c r="WQ5">
        <f>WQ4+IF(AND($C4=68,$L4=1),1,0)</f>
        <v/>
      </c>
      <c r="WR5">
        <f>WR4+IF(AND($C4=69,$L4=1),1,0)</f>
        <v/>
      </c>
      <c r="WS5">
        <f>WS4+IF(AND($C4=70,$L4=1),1,0)</f>
        <v/>
      </c>
      <c r="WT5">
        <f>WT4+IF(AND($C4=71,$L4=1),1,0)</f>
        <v/>
      </c>
      <c r="WU5">
        <f>WU4+IF(AND($C4=72,$L4=1),1,0)</f>
        <v/>
      </c>
      <c r="WV5">
        <f>WV4+IF(AND($C4=73,$L4=1),1,0)</f>
        <v/>
      </c>
      <c r="WW5">
        <f>WW4+IF(AND($C4=74,$L4=1),1,0)</f>
        <v/>
      </c>
      <c r="WX5">
        <f>WX4+IF(AND($C4=75,$L4=1),1,0)</f>
        <v/>
      </c>
      <c r="WY5">
        <f>WY4+IF(AND($C4=76,$L4=1),1,0)</f>
        <v/>
      </c>
      <c r="WZ5">
        <f>WZ4+IF(AND($C4=77,$L4=1),1,0)</f>
        <v/>
      </c>
      <c r="XA5">
        <f>XA4+IF(AND($C4=78,$L4=1),1,0)</f>
        <v/>
      </c>
      <c r="XB5">
        <f>XB4+IF(AND($C4=79,$L4=1),1,0)</f>
        <v/>
      </c>
      <c r="XC5">
        <f>XC4+IF(AND($C4=80,$L4=1),1,0)</f>
        <v/>
      </c>
      <c r="XD5">
        <f>XD4+IF(AND($C4=81,$L4=1),1,0)</f>
        <v/>
      </c>
      <c r="XE5">
        <f>XE4+IF(AND($C4=82,$L4=1),1,0)</f>
        <v/>
      </c>
      <c r="XF5">
        <f>XF4+IF(AND($C4=83,$L4=1),1,0)</f>
        <v/>
      </c>
      <c r="XG5">
        <f>XG4+IF(AND($C4=84,$L4=1),1,0)</f>
        <v/>
      </c>
      <c r="XH5">
        <f>XH4+IF(AND($C4=85,$L4=1),1,0)</f>
        <v/>
      </c>
      <c r="XI5">
        <f>XI4+IF(AND($C4=86,$L4=1),1,0)</f>
        <v/>
      </c>
      <c r="XJ5">
        <f>XJ4+IF(AND($C4=87,$L4=1),1,0)</f>
        <v/>
      </c>
      <c r="XK5">
        <f>XK4+IF(AND($C4=88,$L4=1),1,0)</f>
        <v/>
      </c>
      <c r="XL5">
        <f>XL4+IF(AND($C4=89,$L4=1),1,0)</f>
        <v/>
      </c>
      <c r="XM5">
        <f>XM4+IF(AND($C4=90,$L4=1),1,0)</f>
        <v/>
      </c>
      <c r="XN5">
        <f>XN4+IF(AND($C4=91,$L4=1),1,0)</f>
        <v/>
      </c>
      <c r="XO5">
        <f>XO4+IF(AND($C4=92,$L4=1),1,0)</f>
        <v/>
      </c>
      <c r="XP5">
        <f>XP4+IF(AND($C4=93,$L4=1),1,0)</f>
        <v/>
      </c>
      <c r="XQ5">
        <f>XQ4+IF(AND($C4=94,$L4=1),1,0)</f>
        <v/>
      </c>
      <c r="XR5">
        <f>XR4+IF(AND($C4=95,$L4=1),1,0)</f>
        <v/>
      </c>
      <c r="XS5">
        <f>XS4+IF(AND($C4=96,$L4=1),1,0)</f>
        <v/>
      </c>
      <c r="XT5">
        <f>XT4+IF(AND($C4=97,$L4=1),1,0)</f>
        <v/>
      </c>
      <c r="XU5">
        <f>XU4+IF(AND($C4=98,$L4=1),1,0)</f>
        <v/>
      </c>
      <c r="XV5">
        <f>XV4+IF(AND($C4=99,$L4=1),1,0)</f>
        <v/>
      </c>
      <c r="XW5">
        <f>XW4+IF(AND($C4=100,$L4=1),1,0)</f>
        <v/>
      </c>
      <c r="XX5">
        <f>XX4+IF(AND($C4=101,$L4=1),1,0)</f>
        <v/>
      </c>
      <c r="XY5">
        <f>XY4+IF(AND($C4=102,$L4=1),1,0)</f>
        <v/>
      </c>
      <c r="XZ5">
        <f>XZ4+IF(AND($C4=103,$L4=1),1,0)</f>
        <v/>
      </c>
      <c r="YA5">
        <f>YA4+IF(AND($C4=104,$L4=1),1,0)</f>
        <v/>
      </c>
      <c r="YB5">
        <f>YB4+IF(AND($C4=105,$L4=1),1,0)</f>
        <v/>
      </c>
      <c r="YC5">
        <f>YC4+IF(AND($C4=106,$L4=1),1,0)</f>
        <v/>
      </c>
      <c r="YD5">
        <f>YD4+IF(AND($C4=107,$L4=1),1,0)</f>
        <v/>
      </c>
      <c r="YE5">
        <f>YE4+IF(AND($C4=108,$L4=1),1,0)</f>
        <v/>
      </c>
      <c r="YF5">
        <f>YF4+IF(AND($C4=109,$L4=1),1,0)</f>
        <v/>
      </c>
      <c r="YG5">
        <f>YG4+IF(AND($C4=110,$L4=1),1,0)</f>
        <v/>
      </c>
      <c r="YH5">
        <f>YH4+IF(AND($C4=111,$L4=1),1,0)</f>
        <v/>
      </c>
      <c r="YI5">
        <f>YI4+IF(AND($C4=112,$L4=1),1,0)</f>
        <v/>
      </c>
      <c r="YJ5">
        <f>YJ4+IF(AND($C4=113,$L4=1),1,0)</f>
        <v/>
      </c>
      <c r="YK5">
        <f>YK4+IF(AND($C4=114,$L4=1),1,0)</f>
        <v/>
      </c>
      <c r="YL5">
        <f>YL4+IF(AND($C4=115,$L4=1),1,0)</f>
        <v/>
      </c>
      <c r="YM5">
        <f>YM4+IF(AND($C4=116,$L4=1),1,0)</f>
        <v/>
      </c>
      <c r="YN5">
        <f>YN4+IF(AND($C4=117,$L4=1),1,0)</f>
        <v/>
      </c>
      <c r="YO5">
        <f>YO4+IF(AND($C4=118,$L4=1),1,0)</f>
        <v/>
      </c>
      <c r="YP5">
        <f>YP4+IF(AND($C4=119,$L4=1),1,0)</f>
        <v/>
      </c>
      <c r="YQ5">
        <f>YQ4+IF(AND($C4=120,$L4=1),1,0)</f>
        <v/>
      </c>
      <c r="YR5">
        <f>YR4+IF(AND($C4=121,$L4=1),1,0)</f>
        <v/>
      </c>
      <c r="YS5">
        <f>YS4+IF(AND($C4=122,$L4=1),1,0)</f>
        <v/>
      </c>
      <c r="YT5">
        <f>YT4+IF(AND($C4=123,$L4=1),1,0)</f>
        <v/>
      </c>
      <c r="YU5">
        <f>YU4+IF(AND($C4=124,$L4=1),1,0)</f>
        <v/>
      </c>
      <c r="YV5">
        <f>YV4+IF(AND($C4=125,$L4=1),1,0)</f>
        <v/>
      </c>
      <c r="YW5">
        <f>YW4+IF(AND($C4=126,$L4=1),1,0)</f>
        <v/>
      </c>
      <c r="YX5">
        <f>YX4+IF(AND($C4=127,$L4=1),1,0)</f>
        <v/>
      </c>
      <c r="YY5">
        <f>YY4+IF(AND($C4=128,$L4=1),1,0)</f>
        <v/>
      </c>
      <c r="YZ5">
        <f>YZ4+IF(AND($C4=129,$L4=1),1,0)</f>
        <v/>
      </c>
      <c r="ZA5">
        <f>ZA4+IF(AND($C4=130,$L4=1),1,0)</f>
        <v/>
      </c>
      <c r="ZB5">
        <f>ZB4+IF(AND($C4=131,$L4=1),1,0)</f>
        <v/>
      </c>
      <c r="ZC5">
        <f>ZC4+IF(AND($C4=132,$L4=1),1,0)</f>
        <v/>
      </c>
      <c r="ZD5">
        <f>ZD4+IF(AND($C4=133,$L4=1),1,0)</f>
        <v/>
      </c>
      <c r="ZE5">
        <f>ZE4+IF(AND($C4=134,$L4=1),1,0)</f>
        <v/>
      </c>
      <c r="ZF5">
        <f>ZF4+IF(AND($C4=135,$L4=1),1,0)</f>
        <v/>
      </c>
      <c r="ZG5">
        <f>ZG4+IF(AND($C4=136,$L4=1),1,0)</f>
        <v/>
      </c>
      <c r="ZH5">
        <f>ZH4+IF(AND($C4=137,$L4=1),1,0)</f>
        <v/>
      </c>
      <c r="ZI5">
        <f>ZI4+IF(AND($C4=138,$L4=1),1,0)</f>
        <v/>
      </c>
      <c r="ZJ5">
        <f>ZJ4+IF(AND($C4=139,$L4=1),1,0)</f>
        <v/>
      </c>
      <c r="ZK5">
        <f>ZK4+IF(AND($C4=140,$L4=1),1,0)</f>
        <v/>
      </c>
      <c r="ZL5">
        <f>ZL4+IF(AND($C4=141,$L4=1),1,0)</f>
        <v/>
      </c>
      <c r="ZM5">
        <f>ZM4+IF(AND($C4=142,$L4=1),1,0)</f>
        <v/>
      </c>
      <c r="ZN5">
        <f>ZN4+IF(AND($C4=143,$L4=1),1,0)</f>
        <v/>
      </c>
      <c r="ZO5">
        <f>ZO4+IF(AND($C4=144,$L4=1),1,0)</f>
        <v/>
      </c>
    </row>
    <row r="6">
      <c r="A6" t="n">
        <v>4</v>
      </c>
      <c r="B6">
        <f>IF(MIN(BH6:CZ6)&gt;=1000000,0,MATCH(MIN(BH6:CZ6),BH6:CZ6,0))</f>
        <v/>
      </c>
      <c r="C6">
        <f>IF(MIN(OF6:TS6)&gt;=1000000,0,MATCH(MIN(OF6:TS6),OF6:TS6,0))</f>
        <v/>
      </c>
      <c r="D6">
        <f>IF(C6&gt;0,INDEX('計算A'!$D$5:$EQ$5,C6),0)</f>
        <v/>
      </c>
      <c r="E6">
        <f>IF(B6=0,0,INDEX('計算A'!$IQ$10:$IQ$54,B6))</f>
        <v/>
      </c>
      <c r="F6">
        <f>IF(B6=0,0,INDEX('計算A'!$IP$10:$IP$54,B6))</f>
        <v/>
      </c>
      <c r="G6">
        <f>IF(AND(C6&gt;0,E6&gt;0),IF(AND(INDEX('計算A'!$D$106:$EQ$106,C6)=1,INDEX($IQ6:$OD6,C6)=1),C6+1,0),0)</f>
        <v/>
      </c>
      <c r="H6">
        <f>IF(B6=0,0,INDEX('計算A'!$IW$10:$IW$54,B6))</f>
        <v/>
      </c>
      <c r="I6">
        <f>IF(B6=0,0,MAX(0,INDEX('計算A'!$IT$10:$IT$54,B6)))</f>
        <v/>
      </c>
      <c r="J6">
        <f>IF(I6=0,0,INDEX('計算A'!$D$2:$EQ$2,I6))</f>
        <v/>
      </c>
      <c r="K6">
        <f>IF(I6=0,0,INDEX('計算A'!$D$3:$EQ$3,I6))</f>
        <v/>
      </c>
      <c r="L6">
        <f>IF(B6=0,0,INDEX('計算A'!$IX$10:$IX$54,B6))</f>
        <v/>
      </c>
      <c r="N6">
        <f>MAX(N5,IF($B5=1,1,0))</f>
        <v/>
      </c>
      <c r="O6">
        <f>MAX(O5,IF($B5=2,1,0))</f>
        <v/>
      </c>
      <c r="P6">
        <f>MAX(P5,IF($B5=3,1,0))</f>
        <v/>
      </c>
      <c r="Q6">
        <f>MAX(Q5,IF($B5=4,1,0))</f>
        <v/>
      </c>
      <c r="R6">
        <f>MAX(R5,IF($B5=5,1,0))</f>
        <v/>
      </c>
      <c r="S6">
        <f>MAX(S5,IF($B5=6,1,0))</f>
        <v/>
      </c>
      <c r="T6">
        <f>MAX(T5,IF($B5=7,1,0))</f>
        <v/>
      </c>
      <c r="U6">
        <f>MAX(U5,IF($B5=8,1,0))</f>
        <v/>
      </c>
      <c r="V6">
        <f>MAX(V5,IF($B5=9,1,0))</f>
        <v/>
      </c>
      <c r="W6">
        <f>MAX(W5,IF($B5=10,1,0))</f>
        <v/>
      </c>
      <c r="X6">
        <f>MAX(X5,IF($B5=11,1,0))</f>
        <v/>
      </c>
      <c r="Y6">
        <f>MAX(Y5,IF($B5=12,1,0))</f>
        <v/>
      </c>
      <c r="Z6">
        <f>MAX(Z5,IF($B5=13,1,0))</f>
        <v/>
      </c>
      <c r="AA6">
        <f>MAX(AA5,IF($B5=14,1,0))</f>
        <v/>
      </c>
      <c r="AB6">
        <f>MAX(AB5,IF($B5=15,1,0))</f>
        <v/>
      </c>
      <c r="AC6">
        <f>MAX(AC5,IF($B5=16,1,0))</f>
        <v/>
      </c>
      <c r="AD6">
        <f>MAX(AD5,IF($B5=17,1,0))</f>
        <v/>
      </c>
      <c r="AE6">
        <f>MAX(AE5,IF($B5=18,1,0))</f>
        <v/>
      </c>
      <c r="AF6">
        <f>MAX(AF5,IF($B5=19,1,0))</f>
        <v/>
      </c>
      <c r="AG6">
        <f>MAX(AG5,IF($B5=20,1,0))</f>
        <v/>
      </c>
      <c r="AH6">
        <f>MAX(AH5,IF($B5=21,1,0))</f>
        <v/>
      </c>
      <c r="AI6">
        <f>MAX(AI5,IF($B5=22,1,0))</f>
        <v/>
      </c>
      <c r="AJ6">
        <f>MAX(AJ5,IF($B5=23,1,0))</f>
        <v/>
      </c>
      <c r="AK6">
        <f>MAX(AK5,IF($B5=24,1,0))</f>
        <v/>
      </c>
      <c r="AL6">
        <f>MAX(AL5,IF($B5=25,1,0))</f>
        <v/>
      </c>
      <c r="AM6">
        <f>MAX(AM5,IF($B5=26,1,0))</f>
        <v/>
      </c>
      <c r="AN6">
        <f>MAX(AN5,IF($B5=27,1,0))</f>
        <v/>
      </c>
      <c r="AO6">
        <f>MAX(AO5,IF($B5=28,1,0))</f>
        <v/>
      </c>
      <c r="AP6">
        <f>MAX(AP5,IF($B5=29,1,0))</f>
        <v/>
      </c>
      <c r="AQ6">
        <f>MAX(AQ5,IF($B5=30,1,0))</f>
        <v/>
      </c>
      <c r="AR6">
        <f>MAX(AR5,IF($B5=31,1,0))</f>
        <v/>
      </c>
      <c r="AS6">
        <f>MAX(AS5,IF($B5=32,1,0))</f>
        <v/>
      </c>
      <c r="AT6">
        <f>MAX(AT5,IF($B5=33,1,0))</f>
        <v/>
      </c>
      <c r="AU6">
        <f>MAX(AU5,IF($B5=34,1,0))</f>
        <v/>
      </c>
      <c r="AV6">
        <f>MAX(AV5,IF($B5=35,1,0))</f>
        <v/>
      </c>
      <c r="AW6">
        <f>MAX(AW5,IF($B5=36,1,0))</f>
        <v/>
      </c>
      <c r="AX6">
        <f>MAX(AX5,IF($B5=37,1,0))</f>
        <v/>
      </c>
      <c r="AY6">
        <f>MAX(AY5,IF($B5=38,1,0))</f>
        <v/>
      </c>
      <c r="AZ6">
        <f>MAX(AZ5,IF($B5=39,1,0))</f>
        <v/>
      </c>
      <c r="BA6">
        <f>MAX(BA5,IF($B5=40,1,0))</f>
        <v/>
      </c>
      <c r="BB6">
        <f>MAX(BB5,IF($B5=41,1,0))</f>
        <v/>
      </c>
      <c r="BC6">
        <f>MAX(BC5,IF($B5=42,1,0))</f>
        <v/>
      </c>
      <c r="BD6">
        <f>MAX(BD5,IF($B5=43,1,0))</f>
        <v/>
      </c>
      <c r="BE6">
        <f>MAX(BE5,IF($B5=44,1,0))</f>
        <v/>
      </c>
      <c r="BF6">
        <f>MAX(BF5,IF($B5=45,1,0))</f>
        <v/>
      </c>
      <c r="BH6">
        <f>IF(N6=1,1000000,IF('計算A'!$IT$10&gt;0,0,500000)+IF('計算A'!$IQ$10=2,SUMPRODUCT('計算A'!$D$60:$EQ$60,$DB6:$IO6,$IQ6:$OD6),SUMPRODUCT('計算A'!$D$60:$EQ$60,$DB6:$IO6))*1000+1)</f>
        <v/>
      </c>
      <c r="BI6">
        <f>IF(O6=1,1000000,IF('計算A'!$IT$11&gt;0,0,500000)+IF('計算A'!$IQ$11=2,SUMPRODUCT('計算A'!$D$61:$EQ$61,$DB6:$IO6,$IQ6:$OD6),SUMPRODUCT('計算A'!$D$61:$EQ$61,$DB6:$IO6))*1000+2)</f>
        <v/>
      </c>
      <c r="BJ6">
        <f>IF(P6=1,1000000,IF('計算A'!$IT$12&gt;0,0,500000)+IF('計算A'!$IQ$12=2,SUMPRODUCT('計算A'!$D$62:$EQ$62,$DB6:$IO6,$IQ6:$OD6),SUMPRODUCT('計算A'!$D$62:$EQ$62,$DB6:$IO6))*1000+3)</f>
        <v/>
      </c>
      <c r="BK6">
        <f>IF(Q6=1,1000000,IF('計算A'!$IT$13&gt;0,0,500000)+IF('計算A'!$IQ$13=2,SUMPRODUCT('計算A'!$D$63:$EQ$63,$DB6:$IO6,$IQ6:$OD6),SUMPRODUCT('計算A'!$D$63:$EQ$63,$DB6:$IO6))*1000+4)</f>
        <v/>
      </c>
      <c r="BL6">
        <f>IF(R6=1,1000000,IF('計算A'!$IT$14&gt;0,0,500000)+IF('計算A'!$IQ$14=2,SUMPRODUCT('計算A'!$D$64:$EQ$64,$DB6:$IO6,$IQ6:$OD6),SUMPRODUCT('計算A'!$D$64:$EQ$64,$DB6:$IO6))*1000+5)</f>
        <v/>
      </c>
      <c r="BM6">
        <f>IF(S6=1,1000000,IF('計算A'!$IT$15&gt;0,0,500000)+IF('計算A'!$IQ$15=2,SUMPRODUCT('計算A'!$D$65:$EQ$65,$DB6:$IO6,$IQ6:$OD6),SUMPRODUCT('計算A'!$D$65:$EQ$65,$DB6:$IO6))*1000+6)</f>
        <v/>
      </c>
      <c r="BN6">
        <f>IF(T6=1,1000000,IF('計算A'!$IT$16&gt;0,0,500000)+IF('計算A'!$IQ$16=2,SUMPRODUCT('計算A'!$D$66:$EQ$66,$DB6:$IO6,$IQ6:$OD6),SUMPRODUCT('計算A'!$D$66:$EQ$66,$DB6:$IO6))*1000+7)</f>
        <v/>
      </c>
      <c r="BO6">
        <f>IF(U6=1,1000000,IF('計算A'!$IT$17&gt;0,0,500000)+IF('計算A'!$IQ$17=2,SUMPRODUCT('計算A'!$D$67:$EQ$67,$DB6:$IO6,$IQ6:$OD6),SUMPRODUCT('計算A'!$D$67:$EQ$67,$DB6:$IO6))*1000+8)</f>
        <v/>
      </c>
      <c r="BP6">
        <f>IF(V6=1,1000000,IF('計算A'!$IT$18&gt;0,0,500000)+IF('計算A'!$IQ$18=2,SUMPRODUCT('計算A'!$D$68:$EQ$68,$DB6:$IO6,$IQ6:$OD6),SUMPRODUCT('計算A'!$D$68:$EQ$68,$DB6:$IO6))*1000+9)</f>
        <v/>
      </c>
      <c r="BQ6">
        <f>IF(W6=1,1000000,IF('計算A'!$IT$19&gt;0,0,500000)+IF('計算A'!$IQ$19=2,SUMPRODUCT('計算A'!$D$69:$EQ$69,$DB6:$IO6,$IQ6:$OD6),SUMPRODUCT('計算A'!$D$69:$EQ$69,$DB6:$IO6))*1000+10)</f>
        <v/>
      </c>
      <c r="BR6">
        <f>IF(X6=1,1000000,IF('計算A'!$IT$20&gt;0,0,500000)+IF('計算A'!$IQ$20=2,SUMPRODUCT('計算A'!$D$70:$EQ$70,$DB6:$IO6,$IQ6:$OD6),SUMPRODUCT('計算A'!$D$70:$EQ$70,$DB6:$IO6))*1000+11)</f>
        <v/>
      </c>
      <c r="BS6">
        <f>IF(Y6=1,1000000,IF('計算A'!$IT$21&gt;0,0,500000)+IF('計算A'!$IQ$21=2,SUMPRODUCT('計算A'!$D$71:$EQ$71,$DB6:$IO6,$IQ6:$OD6),SUMPRODUCT('計算A'!$D$71:$EQ$71,$DB6:$IO6))*1000+12)</f>
        <v/>
      </c>
      <c r="BT6">
        <f>IF(Z6=1,1000000,IF('計算A'!$IT$22&gt;0,0,500000)+IF('計算A'!$IQ$22=2,SUMPRODUCT('計算A'!$D$72:$EQ$72,$DB6:$IO6,$IQ6:$OD6),SUMPRODUCT('計算A'!$D$72:$EQ$72,$DB6:$IO6))*1000+13)</f>
        <v/>
      </c>
      <c r="BU6">
        <f>IF(AA6=1,1000000,IF('計算A'!$IT$23&gt;0,0,500000)+IF('計算A'!$IQ$23=2,SUMPRODUCT('計算A'!$D$73:$EQ$73,$DB6:$IO6,$IQ6:$OD6),SUMPRODUCT('計算A'!$D$73:$EQ$73,$DB6:$IO6))*1000+14)</f>
        <v/>
      </c>
      <c r="BV6">
        <f>IF(AB6=1,1000000,IF('計算A'!$IT$24&gt;0,0,500000)+IF('計算A'!$IQ$24=2,SUMPRODUCT('計算A'!$D$74:$EQ$74,$DB6:$IO6,$IQ6:$OD6),SUMPRODUCT('計算A'!$D$74:$EQ$74,$DB6:$IO6))*1000+15)</f>
        <v/>
      </c>
      <c r="BW6">
        <f>IF(AC6=1,1000000,IF('計算A'!$IT$25&gt;0,0,500000)+IF('計算A'!$IQ$25=2,SUMPRODUCT('計算A'!$D$75:$EQ$75,$DB6:$IO6,$IQ6:$OD6),SUMPRODUCT('計算A'!$D$75:$EQ$75,$DB6:$IO6))*1000+16)</f>
        <v/>
      </c>
      <c r="BX6">
        <f>IF(AD6=1,1000000,IF('計算A'!$IT$26&gt;0,0,500000)+IF('計算A'!$IQ$26=2,SUMPRODUCT('計算A'!$D$76:$EQ$76,$DB6:$IO6,$IQ6:$OD6),SUMPRODUCT('計算A'!$D$76:$EQ$76,$DB6:$IO6))*1000+17)</f>
        <v/>
      </c>
      <c r="BY6">
        <f>IF(AE6=1,1000000,IF('計算A'!$IT$27&gt;0,0,500000)+IF('計算A'!$IQ$27=2,SUMPRODUCT('計算A'!$D$77:$EQ$77,$DB6:$IO6,$IQ6:$OD6),SUMPRODUCT('計算A'!$D$77:$EQ$77,$DB6:$IO6))*1000+18)</f>
        <v/>
      </c>
      <c r="BZ6">
        <f>IF(AF6=1,1000000,IF('計算A'!$IT$28&gt;0,0,500000)+IF('計算A'!$IQ$28=2,SUMPRODUCT('計算A'!$D$78:$EQ$78,$DB6:$IO6,$IQ6:$OD6),SUMPRODUCT('計算A'!$D$78:$EQ$78,$DB6:$IO6))*1000+19)</f>
        <v/>
      </c>
      <c r="CA6">
        <f>IF(AG6=1,1000000,IF('計算A'!$IT$29&gt;0,0,500000)+IF('計算A'!$IQ$29=2,SUMPRODUCT('計算A'!$D$79:$EQ$79,$DB6:$IO6,$IQ6:$OD6),SUMPRODUCT('計算A'!$D$79:$EQ$79,$DB6:$IO6))*1000+20)</f>
        <v/>
      </c>
      <c r="CB6">
        <f>IF(AH6=1,1000000,IF('計算A'!$IT$30&gt;0,0,500000)+IF('計算A'!$IQ$30=2,SUMPRODUCT('計算A'!$D$80:$EQ$80,$DB6:$IO6,$IQ6:$OD6),SUMPRODUCT('計算A'!$D$80:$EQ$80,$DB6:$IO6))*1000+21)</f>
        <v/>
      </c>
      <c r="CC6">
        <f>IF(AI6=1,1000000,IF('計算A'!$IT$31&gt;0,0,500000)+IF('計算A'!$IQ$31=2,SUMPRODUCT('計算A'!$D$81:$EQ$81,$DB6:$IO6,$IQ6:$OD6),SUMPRODUCT('計算A'!$D$81:$EQ$81,$DB6:$IO6))*1000+22)</f>
        <v/>
      </c>
      <c r="CD6">
        <f>IF(AJ6=1,1000000,IF('計算A'!$IT$32&gt;0,0,500000)+IF('計算A'!$IQ$32=2,SUMPRODUCT('計算A'!$D$82:$EQ$82,$DB6:$IO6,$IQ6:$OD6),SUMPRODUCT('計算A'!$D$82:$EQ$82,$DB6:$IO6))*1000+23)</f>
        <v/>
      </c>
      <c r="CE6">
        <f>IF(AK6=1,1000000,IF('計算A'!$IT$33&gt;0,0,500000)+IF('計算A'!$IQ$33=2,SUMPRODUCT('計算A'!$D$83:$EQ$83,$DB6:$IO6,$IQ6:$OD6),SUMPRODUCT('計算A'!$D$83:$EQ$83,$DB6:$IO6))*1000+24)</f>
        <v/>
      </c>
      <c r="CF6">
        <f>IF(AL6=1,1000000,IF('計算A'!$IT$34&gt;0,0,500000)+IF('計算A'!$IQ$34=2,SUMPRODUCT('計算A'!$D$84:$EQ$84,$DB6:$IO6,$IQ6:$OD6),SUMPRODUCT('計算A'!$D$84:$EQ$84,$DB6:$IO6))*1000+25)</f>
        <v/>
      </c>
      <c r="CG6">
        <f>IF(AM6=1,1000000,IF('計算A'!$IT$35&gt;0,0,500000)+IF('計算A'!$IQ$35=2,SUMPRODUCT('計算A'!$D$85:$EQ$85,$DB6:$IO6,$IQ6:$OD6),SUMPRODUCT('計算A'!$D$85:$EQ$85,$DB6:$IO6))*1000+26)</f>
        <v/>
      </c>
      <c r="CH6">
        <f>IF(AN6=1,1000000,IF('計算A'!$IT$36&gt;0,0,500000)+IF('計算A'!$IQ$36=2,SUMPRODUCT('計算A'!$D$86:$EQ$86,$DB6:$IO6,$IQ6:$OD6),SUMPRODUCT('計算A'!$D$86:$EQ$86,$DB6:$IO6))*1000+27)</f>
        <v/>
      </c>
      <c r="CI6">
        <f>IF(AO6=1,1000000,IF('計算A'!$IT$37&gt;0,0,500000)+IF('計算A'!$IQ$37=2,SUMPRODUCT('計算A'!$D$87:$EQ$87,$DB6:$IO6,$IQ6:$OD6),SUMPRODUCT('計算A'!$D$87:$EQ$87,$DB6:$IO6))*1000+28)</f>
        <v/>
      </c>
      <c r="CJ6">
        <f>IF(AP6=1,1000000,IF('計算A'!$IT$38&gt;0,0,500000)+IF('計算A'!$IQ$38=2,SUMPRODUCT('計算A'!$D$88:$EQ$88,$DB6:$IO6,$IQ6:$OD6),SUMPRODUCT('計算A'!$D$88:$EQ$88,$DB6:$IO6))*1000+29)</f>
        <v/>
      </c>
      <c r="CK6">
        <f>IF(AQ6=1,1000000,IF('計算A'!$IT$39&gt;0,0,500000)+IF('計算A'!$IQ$39=2,SUMPRODUCT('計算A'!$D$89:$EQ$89,$DB6:$IO6,$IQ6:$OD6),SUMPRODUCT('計算A'!$D$89:$EQ$89,$DB6:$IO6))*1000+30)</f>
        <v/>
      </c>
      <c r="CL6">
        <f>IF(AR6=1,1000000,IF('計算A'!$IT$40&gt;0,0,500000)+IF('計算A'!$IQ$40=2,SUMPRODUCT('計算A'!$D$90:$EQ$90,$DB6:$IO6,$IQ6:$OD6),SUMPRODUCT('計算A'!$D$90:$EQ$90,$DB6:$IO6))*1000+31)</f>
        <v/>
      </c>
      <c r="CM6">
        <f>IF(AS6=1,1000000,IF('計算A'!$IT$41&gt;0,0,500000)+IF('計算A'!$IQ$41=2,SUMPRODUCT('計算A'!$D$91:$EQ$91,$DB6:$IO6,$IQ6:$OD6),SUMPRODUCT('計算A'!$D$91:$EQ$91,$DB6:$IO6))*1000+32)</f>
        <v/>
      </c>
      <c r="CN6">
        <f>IF(AT6=1,1000000,IF('計算A'!$IT$42&gt;0,0,500000)+IF('計算A'!$IQ$42=2,SUMPRODUCT('計算A'!$D$92:$EQ$92,$DB6:$IO6,$IQ6:$OD6),SUMPRODUCT('計算A'!$D$92:$EQ$92,$DB6:$IO6))*1000+33)</f>
        <v/>
      </c>
      <c r="CO6">
        <f>IF(AU6=1,1000000,IF('計算A'!$IT$43&gt;0,0,500000)+IF('計算A'!$IQ$43=2,SUMPRODUCT('計算A'!$D$93:$EQ$93,$DB6:$IO6,$IQ6:$OD6),SUMPRODUCT('計算A'!$D$93:$EQ$93,$DB6:$IO6))*1000+34)</f>
        <v/>
      </c>
      <c r="CP6">
        <f>IF(AV6=1,1000000,IF('計算A'!$IT$44&gt;0,0,500000)+IF('計算A'!$IQ$44=2,SUMPRODUCT('計算A'!$D$94:$EQ$94,$DB6:$IO6,$IQ6:$OD6),SUMPRODUCT('計算A'!$D$94:$EQ$94,$DB6:$IO6))*1000+35)</f>
        <v/>
      </c>
      <c r="CQ6">
        <f>IF(AW6=1,1000000,IF('計算A'!$IT$45&gt;0,0,500000)+IF('計算A'!$IQ$45=2,SUMPRODUCT('計算A'!$D$95:$EQ$95,$DB6:$IO6,$IQ6:$OD6),SUMPRODUCT('計算A'!$D$95:$EQ$95,$DB6:$IO6))*1000+36)</f>
        <v/>
      </c>
      <c r="CR6">
        <f>IF(AX6=1,1000000,IF('計算A'!$IT$46&gt;0,0,500000)+IF('計算A'!$IQ$46=2,SUMPRODUCT('計算A'!$D$96:$EQ$96,$DB6:$IO6,$IQ6:$OD6),SUMPRODUCT('計算A'!$D$96:$EQ$96,$DB6:$IO6))*1000+37)</f>
        <v/>
      </c>
      <c r="CS6">
        <f>IF(AY6=1,1000000,IF('計算A'!$IT$47&gt;0,0,500000)+IF('計算A'!$IQ$47=2,SUMPRODUCT('計算A'!$D$97:$EQ$97,$DB6:$IO6,$IQ6:$OD6),SUMPRODUCT('計算A'!$D$97:$EQ$97,$DB6:$IO6))*1000+38)</f>
        <v/>
      </c>
      <c r="CT6">
        <f>IF(AZ6=1,1000000,IF('計算A'!$IT$48&gt;0,0,500000)+IF('計算A'!$IQ$48=2,SUMPRODUCT('計算A'!$D$98:$EQ$98,$DB6:$IO6,$IQ6:$OD6),SUMPRODUCT('計算A'!$D$98:$EQ$98,$DB6:$IO6))*1000+39)</f>
        <v/>
      </c>
      <c r="CU6">
        <f>IF(BA6=1,1000000,IF('計算A'!$IT$49&gt;0,0,500000)+IF('計算A'!$IQ$49=2,SUMPRODUCT('計算A'!$D$99:$EQ$99,$DB6:$IO6,$IQ6:$OD6),SUMPRODUCT('計算A'!$D$99:$EQ$99,$DB6:$IO6))*1000+40)</f>
        <v/>
      </c>
      <c r="CV6">
        <f>IF(BB6=1,1000000,IF('計算A'!$IT$50&gt;0,0,500000)+IF('計算A'!$IQ$50=2,SUMPRODUCT('計算A'!$D$100:$EQ$100,$DB6:$IO6,$IQ6:$OD6),SUMPRODUCT('計算A'!$D$100:$EQ$100,$DB6:$IO6))*1000+41)</f>
        <v/>
      </c>
      <c r="CW6">
        <f>IF(BC6=1,1000000,IF('計算A'!$IT$51&gt;0,0,500000)+IF('計算A'!$IQ$51=2,SUMPRODUCT('計算A'!$D$101:$EQ$101,$DB6:$IO6,$IQ6:$OD6),SUMPRODUCT('計算A'!$D$101:$EQ$101,$DB6:$IO6))*1000+42)</f>
        <v/>
      </c>
      <c r="CX6">
        <f>IF(BD6=1,1000000,IF('計算A'!$IT$52&gt;0,0,500000)+IF('計算A'!$IQ$52=2,SUMPRODUCT('計算A'!$D$102:$EQ$102,$DB6:$IO6,$IQ6:$OD6),SUMPRODUCT('計算A'!$D$102:$EQ$102,$DB6:$IO6))*1000+43)</f>
        <v/>
      </c>
      <c r="CY6">
        <f>IF(BE6=1,1000000,IF('計算A'!$IT$53&gt;0,0,500000)+IF('計算A'!$IQ$53=2,SUMPRODUCT('計算A'!$D$103:$EQ$103,$DB6:$IO6,$IQ6:$OD6),SUMPRODUCT('計算A'!$D$103:$EQ$103,$DB6:$IO6))*1000+44)</f>
        <v/>
      </c>
      <c r="CZ6">
        <f>IF(BF6=1,1000000,IF('計算A'!$IT$54&gt;0,0,500000)+IF('計算A'!$IQ$54=2,SUMPRODUCT('計算A'!$D$104:$EQ$104,$DB6:$IO6,$IQ6:$OD6),SUMPRODUCT('計算A'!$D$104:$EQ$104,$DB6:$IO6))*1000+45)</f>
        <v/>
      </c>
      <c r="DB6">
        <f>DB5*IF(OR($C5=1,$G5=1),0,1)</f>
        <v/>
      </c>
      <c r="DC6">
        <f>DC5*IF(OR($C5=2,$G5=2),0,1)</f>
        <v/>
      </c>
      <c r="DD6">
        <f>DD5*IF(OR($C5=3,$G5=3),0,1)</f>
        <v/>
      </c>
      <c r="DE6">
        <f>DE5*IF(OR($C5=4,$G5=4),0,1)</f>
        <v/>
      </c>
      <c r="DF6">
        <f>DF5*IF(OR($C5=5,$G5=5),0,1)</f>
        <v/>
      </c>
      <c r="DG6">
        <f>DG5*IF(OR($C5=6,$G5=6),0,1)</f>
        <v/>
      </c>
      <c r="DH6">
        <f>DH5*IF(OR($C5=7,$G5=7),0,1)</f>
        <v/>
      </c>
      <c r="DI6">
        <f>DI5*IF(OR($C5=8,$G5=8),0,1)</f>
        <v/>
      </c>
      <c r="DJ6">
        <f>DJ5*IF(OR($C5=9,$G5=9),0,1)</f>
        <v/>
      </c>
      <c r="DK6">
        <f>DK5*IF(OR($C5=10,$G5=10),0,1)</f>
        <v/>
      </c>
      <c r="DL6">
        <f>DL5*IF(OR($C5=11,$G5=11),0,1)</f>
        <v/>
      </c>
      <c r="DM6">
        <f>DM5*IF(OR($C5=12,$G5=12),0,1)</f>
        <v/>
      </c>
      <c r="DN6">
        <f>DN5*IF(OR($C5=13,$G5=13),0,1)</f>
        <v/>
      </c>
      <c r="DO6">
        <f>DO5*IF(OR($C5=14,$G5=14),0,1)</f>
        <v/>
      </c>
      <c r="DP6">
        <f>DP5*IF(OR($C5=15,$G5=15),0,1)</f>
        <v/>
      </c>
      <c r="DQ6">
        <f>DQ5*IF(OR($C5=16,$G5=16),0,1)</f>
        <v/>
      </c>
      <c r="DR6">
        <f>DR5*IF(OR($C5=17,$G5=17),0,1)</f>
        <v/>
      </c>
      <c r="DS6">
        <f>DS5*IF(OR($C5=18,$G5=18),0,1)</f>
        <v/>
      </c>
      <c r="DT6">
        <f>DT5*IF(OR($C5=19,$G5=19),0,1)</f>
        <v/>
      </c>
      <c r="DU6">
        <f>DU5*IF(OR($C5=20,$G5=20),0,1)</f>
        <v/>
      </c>
      <c r="DV6">
        <f>DV5*IF(OR($C5=21,$G5=21),0,1)</f>
        <v/>
      </c>
      <c r="DW6">
        <f>DW5*IF(OR($C5=22,$G5=22),0,1)</f>
        <v/>
      </c>
      <c r="DX6">
        <f>DX5*IF(OR($C5=23,$G5=23),0,1)</f>
        <v/>
      </c>
      <c r="DY6">
        <f>DY5*IF(OR($C5=24,$G5=24),0,1)</f>
        <v/>
      </c>
      <c r="DZ6">
        <f>DZ5*IF(OR($C5=25,$G5=25),0,1)</f>
        <v/>
      </c>
      <c r="EA6">
        <f>EA5*IF(OR($C5=26,$G5=26),0,1)</f>
        <v/>
      </c>
      <c r="EB6">
        <f>EB5*IF(OR($C5=27,$G5=27),0,1)</f>
        <v/>
      </c>
      <c r="EC6">
        <f>EC5*IF(OR($C5=28,$G5=28),0,1)</f>
        <v/>
      </c>
      <c r="ED6">
        <f>ED5*IF(OR($C5=29,$G5=29),0,1)</f>
        <v/>
      </c>
      <c r="EE6">
        <f>EE5*IF(OR($C5=30,$G5=30),0,1)</f>
        <v/>
      </c>
      <c r="EF6">
        <f>EF5*IF(OR($C5=31,$G5=31),0,1)</f>
        <v/>
      </c>
      <c r="EG6">
        <f>EG5*IF(OR($C5=32,$G5=32),0,1)</f>
        <v/>
      </c>
      <c r="EH6">
        <f>EH5*IF(OR($C5=33,$G5=33),0,1)</f>
        <v/>
      </c>
      <c r="EI6">
        <f>EI5*IF(OR($C5=34,$G5=34),0,1)</f>
        <v/>
      </c>
      <c r="EJ6">
        <f>EJ5*IF(OR($C5=35,$G5=35),0,1)</f>
        <v/>
      </c>
      <c r="EK6">
        <f>EK5*IF(OR($C5=36,$G5=36),0,1)</f>
        <v/>
      </c>
      <c r="EL6">
        <f>EL5*IF(OR($C5=37,$G5=37),0,1)</f>
        <v/>
      </c>
      <c r="EM6">
        <f>EM5*IF(OR($C5=38,$G5=38),0,1)</f>
        <v/>
      </c>
      <c r="EN6">
        <f>EN5*IF(OR($C5=39,$G5=39),0,1)</f>
        <v/>
      </c>
      <c r="EO6">
        <f>EO5*IF(OR($C5=40,$G5=40),0,1)</f>
        <v/>
      </c>
      <c r="EP6">
        <f>EP5*IF(OR($C5=41,$G5=41),0,1)</f>
        <v/>
      </c>
      <c r="EQ6">
        <f>EQ5*IF(OR($C5=42,$G5=42),0,1)</f>
        <v/>
      </c>
      <c r="ER6">
        <f>ER5*IF(OR($C5=43,$G5=43),0,1)</f>
        <v/>
      </c>
      <c r="ES6">
        <f>ES5*IF(OR($C5=44,$G5=44),0,1)</f>
        <v/>
      </c>
      <c r="ET6">
        <f>ET5*IF(OR($C5=45,$G5=45),0,1)</f>
        <v/>
      </c>
      <c r="EU6">
        <f>EU5*IF(OR($C5=46,$G5=46),0,1)</f>
        <v/>
      </c>
      <c r="EV6">
        <f>EV5*IF(OR($C5=47,$G5=47),0,1)</f>
        <v/>
      </c>
      <c r="EW6">
        <f>EW5*IF(OR($C5=48,$G5=48),0,1)</f>
        <v/>
      </c>
      <c r="EX6">
        <f>EX5*IF(OR($C5=49,$G5=49),0,1)</f>
        <v/>
      </c>
      <c r="EY6">
        <f>EY5*IF(OR($C5=50,$G5=50),0,1)</f>
        <v/>
      </c>
      <c r="EZ6">
        <f>EZ5*IF(OR($C5=51,$G5=51),0,1)</f>
        <v/>
      </c>
      <c r="FA6">
        <f>FA5*IF(OR($C5=52,$G5=52),0,1)</f>
        <v/>
      </c>
      <c r="FB6">
        <f>FB5*IF(OR($C5=53,$G5=53),0,1)</f>
        <v/>
      </c>
      <c r="FC6">
        <f>FC5*IF(OR($C5=54,$G5=54),0,1)</f>
        <v/>
      </c>
      <c r="FD6">
        <f>FD5*IF(OR($C5=55,$G5=55),0,1)</f>
        <v/>
      </c>
      <c r="FE6">
        <f>FE5*IF(OR($C5=56,$G5=56),0,1)</f>
        <v/>
      </c>
      <c r="FF6">
        <f>FF5*IF(OR($C5=57,$G5=57),0,1)</f>
        <v/>
      </c>
      <c r="FG6">
        <f>FG5*IF(OR($C5=58,$G5=58),0,1)</f>
        <v/>
      </c>
      <c r="FH6">
        <f>FH5*IF(OR($C5=59,$G5=59),0,1)</f>
        <v/>
      </c>
      <c r="FI6">
        <f>FI5*IF(OR($C5=60,$G5=60),0,1)</f>
        <v/>
      </c>
      <c r="FJ6">
        <f>FJ5*IF(OR($C5=61,$G5=61),0,1)</f>
        <v/>
      </c>
      <c r="FK6">
        <f>FK5*IF(OR($C5=62,$G5=62),0,1)</f>
        <v/>
      </c>
      <c r="FL6">
        <f>FL5*IF(OR($C5=63,$G5=63),0,1)</f>
        <v/>
      </c>
      <c r="FM6">
        <f>FM5*IF(OR($C5=64,$G5=64),0,1)</f>
        <v/>
      </c>
      <c r="FN6">
        <f>FN5*IF(OR($C5=65,$G5=65),0,1)</f>
        <v/>
      </c>
      <c r="FO6">
        <f>FO5*IF(OR($C5=66,$G5=66),0,1)</f>
        <v/>
      </c>
      <c r="FP6">
        <f>FP5*IF(OR($C5=67,$G5=67),0,1)</f>
        <v/>
      </c>
      <c r="FQ6">
        <f>FQ5*IF(OR($C5=68,$G5=68),0,1)</f>
        <v/>
      </c>
      <c r="FR6">
        <f>FR5*IF(OR($C5=69,$G5=69),0,1)</f>
        <v/>
      </c>
      <c r="FS6">
        <f>FS5*IF(OR($C5=70,$G5=70),0,1)</f>
        <v/>
      </c>
      <c r="FT6">
        <f>FT5*IF(OR($C5=71,$G5=71),0,1)</f>
        <v/>
      </c>
      <c r="FU6">
        <f>FU5*IF(OR($C5=72,$G5=72),0,1)</f>
        <v/>
      </c>
      <c r="FV6">
        <f>FV5*IF(OR($C5=73,$G5=73),0,1)</f>
        <v/>
      </c>
      <c r="FW6">
        <f>FW5*IF(OR($C5=74,$G5=74),0,1)</f>
        <v/>
      </c>
      <c r="FX6">
        <f>FX5*IF(OR($C5=75,$G5=75),0,1)</f>
        <v/>
      </c>
      <c r="FY6">
        <f>FY5*IF(OR($C5=76,$G5=76),0,1)</f>
        <v/>
      </c>
      <c r="FZ6">
        <f>FZ5*IF(OR($C5=77,$G5=77),0,1)</f>
        <v/>
      </c>
      <c r="GA6">
        <f>GA5*IF(OR($C5=78,$G5=78),0,1)</f>
        <v/>
      </c>
      <c r="GB6">
        <f>GB5*IF(OR($C5=79,$G5=79),0,1)</f>
        <v/>
      </c>
      <c r="GC6">
        <f>GC5*IF(OR($C5=80,$G5=80),0,1)</f>
        <v/>
      </c>
      <c r="GD6">
        <f>GD5*IF(OR($C5=81,$G5=81),0,1)</f>
        <v/>
      </c>
      <c r="GE6">
        <f>GE5*IF(OR($C5=82,$G5=82),0,1)</f>
        <v/>
      </c>
      <c r="GF6">
        <f>GF5*IF(OR($C5=83,$G5=83),0,1)</f>
        <v/>
      </c>
      <c r="GG6">
        <f>GG5*IF(OR($C5=84,$G5=84),0,1)</f>
        <v/>
      </c>
      <c r="GH6">
        <f>GH5*IF(OR($C5=85,$G5=85),0,1)</f>
        <v/>
      </c>
      <c r="GI6">
        <f>GI5*IF(OR($C5=86,$G5=86),0,1)</f>
        <v/>
      </c>
      <c r="GJ6">
        <f>GJ5*IF(OR($C5=87,$G5=87),0,1)</f>
        <v/>
      </c>
      <c r="GK6">
        <f>GK5*IF(OR($C5=88,$G5=88),0,1)</f>
        <v/>
      </c>
      <c r="GL6">
        <f>GL5*IF(OR($C5=89,$G5=89),0,1)</f>
        <v/>
      </c>
      <c r="GM6">
        <f>GM5*IF(OR($C5=90,$G5=90),0,1)</f>
        <v/>
      </c>
      <c r="GN6">
        <f>GN5*IF(OR($C5=91,$G5=91),0,1)</f>
        <v/>
      </c>
      <c r="GO6">
        <f>GO5*IF(OR($C5=92,$G5=92),0,1)</f>
        <v/>
      </c>
      <c r="GP6">
        <f>GP5*IF(OR($C5=93,$G5=93),0,1)</f>
        <v/>
      </c>
      <c r="GQ6">
        <f>GQ5*IF(OR($C5=94,$G5=94),0,1)</f>
        <v/>
      </c>
      <c r="GR6">
        <f>GR5*IF(OR($C5=95,$G5=95),0,1)</f>
        <v/>
      </c>
      <c r="GS6">
        <f>GS5*IF(OR($C5=96,$G5=96),0,1)</f>
        <v/>
      </c>
      <c r="GT6">
        <f>GT5*IF(OR($C5=97,$G5=97),0,1)</f>
        <v/>
      </c>
      <c r="GU6">
        <f>GU5*IF(OR($C5=98,$G5=98),0,1)</f>
        <v/>
      </c>
      <c r="GV6">
        <f>GV5*IF(OR($C5=99,$G5=99),0,1)</f>
        <v/>
      </c>
      <c r="GW6">
        <f>GW5*IF(OR($C5=100,$G5=100),0,1)</f>
        <v/>
      </c>
      <c r="GX6">
        <f>GX5*IF(OR($C5=101,$G5=101),0,1)</f>
        <v/>
      </c>
      <c r="GY6">
        <f>GY5*IF(OR($C5=102,$G5=102),0,1)</f>
        <v/>
      </c>
      <c r="GZ6">
        <f>GZ5*IF(OR($C5=103,$G5=103),0,1)</f>
        <v/>
      </c>
      <c r="HA6">
        <f>HA5*IF(OR($C5=104,$G5=104),0,1)</f>
        <v/>
      </c>
      <c r="HB6">
        <f>HB5*IF(OR($C5=105,$G5=105),0,1)</f>
        <v/>
      </c>
      <c r="HC6">
        <f>HC5*IF(OR($C5=106,$G5=106),0,1)</f>
        <v/>
      </c>
      <c r="HD6">
        <f>HD5*IF(OR($C5=107,$G5=107),0,1)</f>
        <v/>
      </c>
      <c r="HE6">
        <f>HE5*IF(OR($C5=108,$G5=108),0,1)</f>
        <v/>
      </c>
      <c r="HF6">
        <f>HF5*IF(OR($C5=109,$G5=109),0,1)</f>
        <v/>
      </c>
      <c r="HG6">
        <f>HG5*IF(OR($C5=110,$G5=110),0,1)</f>
        <v/>
      </c>
      <c r="HH6">
        <f>HH5*IF(OR($C5=111,$G5=111),0,1)</f>
        <v/>
      </c>
      <c r="HI6">
        <f>HI5*IF(OR($C5=112,$G5=112),0,1)</f>
        <v/>
      </c>
      <c r="HJ6">
        <f>HJ5*IF(OR($C5=113,$G5=113),0,1)</f>
        <v/>
      </c>
      <c r="HK6">
        <f>HK5*IF(OR($C5=114,$G5=114),0,1)</f>
        <v/>
      </c>
      <c r="HL6">
        <f>HL5*IF(OR($C5=115,$G5=115),0,1)</f>
        <v/>
      </c>
      <c r="HM6">
        <f>HM5*IF(OR($C5=116,$G5=116),0,1)</f>
        <v/>
      </c>
      <c r="HN6">
        <f>HN5*IF(OR($C5=117,$G5=117),0,1)</f>
        <v/>
      </c>
      <c r="HO6">
        <f>HO5*IF(OR($C5=118,$G5=118),0,1)</f>
        <v/>
      </c>
      <c r="HP6">
        <f>HP5*IF(OR($C5=119,$G5=119),0,1)</f>
        <v/>
      </c>
      <c r="HQ6">
        <f>HQ5*IF(OR($C5=120,$G5=120),0,1)</f>
        <v/>
      </c>
      <c r="HR6">
        <f>HR5*IF(OR($C5=121,$G5=121),0,1)</f>
        <v/>
      </c>
      <c r="HS6">
        <f>HS5*IF(OR($C5=122,$G5=122),0,1)</f>
        <v/>
      </c>
      <c r="HT6">
        <f>HT5*IF(OR($C5=123,$G5=123),0,1)</f>
        <v/>
      </c>
      <c r="HU6">
        <f>HU5*IF(OR($C5=124,$G5=124),0,1)</f>
        <v/>
      </c>
      <c r="HV6">
        <f>HV5*IF(OR($C5=125,$G5=125),0,1)</f>
        <v/>
      </c>
      <c r="HW6">
        <f>HW5*IF(OR($C5=126,$G5=126),0,1)</f>
        <v/>
      </c>
      <c r="HX6">
        <f>HX5*IF(OR($C5=127,$G5=127),0,1)</f>
        <v/>
      </c>
      <c r="HY6">
        <f>HY5*IF(OR($C5=128,$G5=128),0,1)</f>
        <v/>
      </c>
      <c r="HZ6">
        <f>HZ5*IF(OR($C5=129,$G5=129),0,1)</f>
        <v/>
      </c>
      <c r="IA6">
        <f>IA5*IF(OR($C5=130,$G5=130),0,1)</f>
        <v/>
      </c>
      <c r="IB6">
        <f>IB5*IF(OR($C5=131,$G5=131),0,1)</f>
        <v/>
      </c>
      <c r="IC6">
        <f>IC5*IF(OR($C5=132,$G5=132),0,1)</f>
        <v/>
      </c>
      <c r="ID6">
        <f>ID5*IF(OR($C5=133,$G5=133),0,1)</f>
        <v/>
      </c>
      <c r="IE6">
        <f>IE5*IF(OR($C5=134,$G5=134),0,1)</f>
        <v/>
      </c>
      <c r="IF6">
        <f>IF5*IF(OR($C5=135,$G5=135),0,1)</f>
        <v/>
      </c>
      <c r="IG6">
        <f>IG5*IF(OR($C5=136,$G5=136),0,1)</f>
        <v/>
      </c>
      <c r="IH6">
        <f>IH5*IF(OR($C5=137,$G5=137),0,1)</f>
        <v/>
      </c>
      <c r="II6">
        <f>II5*IF(OR($C5=138,$G5=138),0,1)</f>
        <v/>
      </c>
      <c r="IJ6">
        <f>IJ5*IF(OR($C5=139,$G5=139),0,1)</f>
        <v/>
      </c>
      <c r="IK6">
        <f>IK5*IF(OR($C5=140,$G5=140),0,1)</f>
        <v/>
      </c>
      <c r="IL6">
        <f>IL5*IF(OR($C5=141,$G5=141),0,1)</f>
        <v/>
      </c>
      <c r="IM6">
        <f>IM5*IF(OR($C5=142,$G5=142),0,1)</f>
        <v/>
      </c>
      <c r="IN6">
        <f>IN5*IF(OR($C5=143,$G5=143),0,1)</f>
        <v/>
      </c>
      <c r="IO6">
        <f>IO5*IF(OR($C5=144,$G5=144),0,1)</f>
        <v/>
      </c>
      <c r="IQ6">
        <f>IF('計算A'!D$106=1,DC6,1)</f>
        <v/>
      </c>
      <c r="IR6">
        <f>IF('計算A'!E$106=1,DD6,1)</f>
        <v/>
      </c>
      <c r="IS6">
        <f>IF('計算A'!F$106=1,DE6,1)</f>
        <v/>
      </c>
      <c r="IT6">
        <f>IF('計算A'!G$106=1,DF6,1)</f>
        <v/>
      </c>
      <c r="IU6">
        <f>IF('計算A'!H$106=1,DG6,1)</f>
        <v/>
      </c>
      <c r="IV6">
        <f>IF('計算A'!I$106=1,DH6,1)</f>
        <v/>
      </c>
      <c r="IW6">
        <f>IF('計算A'!J$106=1,DI6,1)</f>
        <v/>
      </c>
      <c r="IX6">
        <f>IF('計算A'!K$106=1,DJ6,1)</f>
        <v/>
      </c>
      <c r="IY6">
        <f>IF('計算A'!L$106=1,DK6,1)</f>
        <v/>
      </c>
      <c r="IZ6">
        <f>IF('計算A'!M$106=1,DL6,1)</f>
        <v/>
      </c>
      <c r="JA6">
        <f>IF('計算A'!N$106=1,DM6,1)</f>
        <v/>
      </c>
      <c r="JB6">
        <f>IF('計算A'!O$106=1,DN6,1)</f>
        <v/>
      </c>
      <c r="JC6">
        <f>IF('計算A'!P$106=1,DO6,1)</f>
        <v/>
      </c>
      <c r="JD6">
        <f>IF('計算A'!Q$106=1,DP6,1)</f>
        <v/>
      </c>
      <c r="JE6">
        <f>IF('計算A'!R$106=1,DQ6,1)</f>
        <v/>
      </c>
      <c r="JF6">
        <f>IF('計算A'!S$106=1,DR6,1)</f>
        <v/>
      </c>
      <c r="JG6">
        <f>IF('計算A'!T$106=1,DS6,1)</f>
        <v/>
      </c>
      <c r="JH6">
        <f>IF('計算A'!U$106=1,DT6,1)</f>
        <v/>
      </c>
      <c r="JI6">
        <f>IF('計算A'!V$106=1,DU6,1)</f>
        <v/>
      </c>
      <c r="JJ6">
        <f>IF('計算A'!W$106=1,DV6,1)</f>
        <v/>
      </c>
      <c r="JK6">
        <f>IF('計算A'!X$106=1,DW6,1)</f>
        <v/>
      </c>
      <c r="JL6">
        <f>IF('計算A'!Y$106=1,DX6,1)</f>
        <v/>
      </c>
      <c r="JM6">
        <f>IF('計算A'!Z$106=1,DY6,1)</f>
        <v/>
      </c>
      <c r="JN6">
        <f>IF('計算A'!AA$106=1,DZ6,1)</f>
        <v/>
      </c>
      <c r="JO6">
        <f>IF('計算A'!AB$106=1,EA6,1)</f>
        <v/>
      </c>
      <c r="JP6">
        <f>IF('計算A'!AC$106=1,EB6,1)</f>
        <v/>
      </c>
      <c r="JQ6">
        <f>IF('計算A'!AD$106=1,EC6,1)</f>
        <v/>
      </c>
      <c r="JR6">
        <f>IF('計算A'!AE$106=1,ED6,1)</f>
        <v/>
      </c>
      <c r="JS6">
        <f>IF('計算A'!AF$106=1,EE6,1)</f>
        <v/>
      </c>
      <c r="JT6">
        <f>IF('計算A'!AG$106=1,EF6,1)</f>
        <v/>
      </c>
      <c r="JU6">
        <f>IF('計算A'!AH$106=1,EG6,1)</f>
        <v/>
      </c>
      <c r="JV6">
        <f>IF('計算A'!AI$106=1,EH6,1)</f>
        <v/>
      </c>
      <c r="JW6">
        <f>IF('計算A'!AJ$106=1,EI6,1)</f>
        <v/>
      </c>
      <c r="JX6">
        <f>IF('計算A'!AK$106=1,EJ6,1)</f>
        <v/>
      </c>
      <c r="JY6">
        <f>IF('計算A'!AL$106=1,EK6,1)</f>
        <v/>
      </c>
      <c r="JZ6">
        <f>IF('計算A'!AM$106=1,EL6,1)</f>
        <v/>
      </c>
      <c r="KA6">
        <f>IF('計算A'!AN$106=1,EM6,1)</f>
        <v/>
      </c>
      <c r="KB6">
        <f>IF('計算A'!AO$106=1,EN6,1)</f>
        <v/>
      </c>
      <c r="KC6">
        <f>IF('計算A'!AP$106=1,EO6,1)</f>
        <v/>
      </c>
      <c r="KD6">
        <f>IF('計算A'!AQ$106=1,EP6,1)</f>
        <v/>
      </c>
      <c r="KE6">
        <f>IF('計算A'!AR$106=1,EQ6,1)</f>
        <v/>
      </c>
      <c r="KF6">
        <f>IF('計算A'!AS$106=1,ER6,1)</f>
        <v/>
      </c>
      <c r="KG6">
        <f>IF('計算A'!AT$106=1,ES6,1)</f>
        <v/>
      </c>
      <c r="KH6">
        <f>IF('計算A'!AU$106=1,ET6,1)</f>
        <v/>
      </c>
      <c r="KI6">
        <f>IF('計算A'!AV$106=1,EU6,1)</f>
        <v/>
      </c>
      <c r="KJ6">
        <f>IF('計算A'!AW$106=1,EV6,1)</f>
        <v/>
      </c>
      <c r="KK6">
        <f>IF('計算A'!AX$106=1,EW6,1)</f>
        <v/>
      </c>
      <c r="KL6">
        <f>IF('計算A'!AY$106=1,EX6,1)</f>
        <v/>
      </c>
      <c r="KM6">
        <f>IF('計算A'!AZ$106=1,EY6,1)</f>
        <v/>
      </c>
      <c r="KN6">
        <f>IF('計算A'!BA$106=1,EZ6,1)</f>
        <v/>
      </c>
      <c r="KO6">
        <f>IF('計算A'!BB$106=1,FA6,1)</f>
        <v/>
      </c>
      <c r="KP6">
        <f>IF('計算A'!BC$106=1,FB6,1)</f>
        <v/>
      </c>
      <c r="KQ6">
        <f>IF('計算A'!BD$106=1,FC6,1)</f>
        <v/>
      </c>
      <c r="KR6">
        <f>IF('計算A'!BE$106=1,FD6,1)</f>
        <v/>
      </c>
      <c r="KS6">
        <f>IF('計算A'!BF$106=1,FE6,1)</f>
        <v/>
      </c>
      <c r="KT6">
        <f>IF('計算A'!BG$106=1,FF6,1)</f>
        <v/>
      </c>
      <c r="KU6">
        <f>IF('計算A'!BH$106=1,FG6,1)</f>
        <v/>
      </c>
      <c r="KV6">
        <f>IF('計算A'!BI$106=1,FH6,1)</f>
        <v/>
      </c>
      <c r="KW6">
        <f>IF('計算A'!BJ$106=1,FI6,1)</f>
        <v/>
      </c>
      <c r="KX6">
        <f>IF('計算A'!BK$106=1,FJ6,1)</f>
        <v/>
      </c>
      <c r="KY6">
        <f>IF('計算A'!BL$106=1,FK6,1)</f>
        <v/>
      </c>
      <c r="KZ6">
        <f>IF('計算A'!BM$106=1,FL6,1)</f>
        <v/>
      </c>
      <c r="LA6">
        <f>IF('計算A'!BN$106=1,FM6,1)</f>
        <v/>
      </c>
      <c r="LB6">
        <f>IF('計算A'!BO$106=1,FN6,1)</f>
        <v/>
      </c>
      <c r="LC6">
        <f>IF('計算A'!BP$106=1,FO6,1)</f>
        <v/>
      </c>
      <c r="LD6">
        <f>IF('計算A'!BQ$106=1,FP6,1)</f>
        <v/>
      </c>
      <c r="LE6">
        <f>IF('計算A'!BR$106=1,FQ6,1)</f>
        <v/>
      </c>
      <c r="LF6">
        <f>IF('計算A'!BS$106=1,FR6,1)</f>
        <v/>
      </c>
      <c r="LG6">
        <f>IF('計算A'!BT$106=1,FS6,1)</f>
        <v/>
      </c>
      <c r="LH6">
        <f>IF('計算A'!BU$106=1,FT6,1)</f>
        <v/>
      </c>
      <c r="LI6">
        <f>IF('計算A'!BV$106=1,FU6,1)</f>
        <v/>
      </c>
      <c r="LJ6">
        <f>IF('計算A'!BW$106=1,FV6,1)</f>
        <v/>
      </c>
      <c r="LK6">
        <f>IF('計算A'!BX$106=1,FW6,1)</f>
        <v/>
      </c>
      <c r="LL6">
        <f>IF('計算A'!BY$106=1,FX6,1)</f>
        <v/>
      </c>
      <c r="LM6">
        <f>IF('計算A'!BZ$106=1,FY6,1)</f>
        <v/>
      </c>
      <c r="LN6">
        <f>IF('計算A'!CA$106=1,FZ6,1)</f>
        <v/>
      </c>
      <c r="LO6">
        <f>IF('計算A'!CB$106=1,GA6,1)</f>
        <v/>
      </c>
      <c r="LP6">
        <f>IF('計算A'!CC$106=1,GB6,1)</f>
        <v/>
      </c>
      <c r="LQ6">
        <f>IF('計算A'!CD$106=1,GC6,1)</f>
        <v/>
      </c>
      <c r="LR6">
        <f>IF('計算A'!CE$106=1,GD6,1)</f>
        <v/>
      </c>
      <c r="LS6">
        <f>IF('計算A'!CF$106=1,GE6,1)</f>
        <v/>
      </c>
      <c r="LT6">
        <f>IF('計算A'!CG$106=1,GF6,1)</f>
        <v/>
      </c>
      <c r="LU6">
        <f>IF('計算A'!CH$106=1,GG6,1)</f>
        <v/>
      </c>
      <c r="LV6">
        <f>IF('計算A'!CI$106=1,GH6,1)</f>
        <v/>
      </c>
      <c r="LW6">
        <f>IF('計算A'!CJ$106=1,GI6,1)</f>
        <v/>
      </c>
      <c r="LX6">
        <f>IF('計算A'!CK$106=1,GJ6,1)</f>
        <v/>
      </c>
      <c r="LY6">
        <f>IF('計算A'!CL$106=1,GK6,1)</f>
        <v/>
      </c>
      <c r="LZ6">
        <f>IF('計算A'!CM$106=1,GL6,1)</f>
        <v/>
      </c>
      <c r="MA6">
        <f>IF('計算A'!CN$106=1,GM6,1)</f>
        <v/>
      </c>
      <c r="MB6">
        <f>IF('計算A'!CO$106=1,GN6,1)</f>
        <v/>
      </c>
      <c r="MC6">
        <f>IF('計算A'!CP$106=1,GO6,1)</f>
        <v/>
      </c>
      <c r="MD6">
        <f>IF('計算A'!CQ$106=1,GP6,1)</f>
        <v/>
      </c>
      <c r="ME6">
        <f>IF('計算A'!CR$106=1,GQ6,1)</f>
        <v/>
      </c>
      <c r="MF6">
        <f>IF('計算A'!CS$106=1,GR6,1)</f>
        <v/>
      </c>
      <c r="MG6">
        <f>IF('計算A'!CT$106=1,GS6,1)</f>
        <v/>
      </c>
      <c r="MH6">
        <f>IF('計算A'!CU$106=1,GT6,1)</f>
        <v/>
      </c>
      <c r="MI6">
        <f>IF('計算A'!CV$106=1,GU6,1)</f>
        <v/>
      </c>
      <c r="MJ6">
        <f>IF('計算A'!CW$106=1,GV6,1)</f>
        <v/>
      </c>
      <c r="MK6">
        <f>IF('計算A'!CX$106=1,GW6,1)</f>
        <v/>
      </c>
      <c r="ML6">
        <f>IF('計算A'!CY$106=1,GX6,1)</f>
        <v/>
      </c>
      <c r="MM6">
        <f>IF('計算A'!CZ$106=1,GY6,1)</f>
        <v/>
      </c>
      <c r="MN6">
        <f>IF('計算A'!DA$106=1,GZ6,1)</f>
        <v/>
      </c>
      <c r="MO6">
        <f>IF('計算A'!DB$106=1,HA6,1)</f>
        <v/>
      </c>
      <c r="MP6">
        <f>IF('計算A'!DC$106=1,HB6,1)</f>
        <v/>
      </c>
      <c r="MQ6">
        <f>IF('計算A'!DD$106=1,HC6,1)</f>
        <v/>
      </c>
      <c r="MR6">
        <f>IF('計算A'!DE$106=1,HD6,1)</f>
        <v/>
      </c>
      <c r="MS6">
        <f>IF('計算A'!DF$106=1,HE6,1)</f>
        <v/>
      </c>
      <c r="MT6">
        <f>IF('計算A'!DG$106=1,HF6,1)</f>
        <v/>
      </c>
      <c r="MU6">
        <f>IF('計算A'!DH$106=1,HG6,1)</f>
        <v/>
      </c>
      <c r="MV6">
        <f>IF('計算A'!DI$106=1,HH6,1)</f>
        <v/>
      </c>
      <c r="MW6">
        <f>IF('計算A'!DJ$106=1,HI6,1)</f>
        <v/>
      </c>
      <c r="MX6">
        <f>IF('計算A'!DK$106=1,HJ6,1)</f>
        <v/>
      </c>
      <c r="MY6">
        <f>IF('計算A'!DL$106=1,HK6,1)</f>
        <v/>
      </c>
      <c r="MZ6">
        <f>IF('計算A'!DM$106=1,HL6,1)</f>
        <v/>
      </c>
      <c r="NA6">
        <f>IF('計算A'!DN$106=1,HM6,1)</f>
        <v/>
      </c>
      <c r="NB6">
        <f>IF('計算A'!DO$106=1,HN6,1)</f>
        <v/>
      </c>
      <c r="NC6">
        <f>IF('計算A'!DP$106=1,HO6,1)</f>
        <v/>
      </c>
      <c r="ND6">
        <f>IF('計算A'!DQ$106=1,HP6,1)</f>
        <v/>
      </c>
      <c r="NE6">
        <f>IF('計算A'!DR$106=1,HQ6,1)</f>
        <v/>
      </c>
      <c r="NF6">
        <f>IF('計算A'!DS$106=1,HR6,1)</f>
        <v/>
      </c>
      <c r="NG6">
        <f>IF('計算A'!DT$106=1,HS6,1)</f>
        <v/>
      </c>
      <c r="NH6">
        <f>IF('計算A'!DU$106=1,HT6,1)</f>
        <v/>
      </c>
      <c r="NI6">
        <f>IF('計算A'!DV$106=1,HU6,1)</f>
        <v/>
      </c>
      <c r="NJ6">
        <f>IF('計算A'!DW$106=1,HV6,1)</f>
        <v/>
      </c>
      <c r="NK6">
        <f>IF('計算A'!DX$106=1,HW6,1)</f>
        <v/>
      </c>
      <c r="NL6">
        <f>IF('計算A'!DY$106=1,HX6,1)</f>
        <v/>
      </c>
      <c r="NM6">
        <f>IF('計算A'!DZ$106=1,HY6,1)</f>
        <v/>
      </c>
      <c r="NN6">
        <f>IF('計算A'!EA$106=1,HZ6,1)</f>
        <v/>
      </c>
      <c r="NO6">
        <f>IF('計算A'!EB$106=1,IA6,1)</f>
        <v/>
      </c>
      <c r="NP6">
        <f>IF('計算A'!EC$106=1,IB6,1)</f>
        <v/>
      </c>
      <c r="NQ6">
        <f>IF('計算A'!ED$106=1,IC6,1)</f>
        <v/>
      </c>
      <c r="NR6">
        <f>IF('計算A'!EE$106=1,ID6,1)</f>
        <v/>
      </c>
      <c r="NS6">
        <f>IF('計算A'!EF$106=1,IE6,1)</f>
        <v/>
      </c>
      <c r="NT6">
        <f>IF('計算A'!EG$106=1,IF6,1)</f>
        <v/>
      </c>
      <c r="NU6">
        <f>IF('計算A'!EH$106=1,IG6,1)</f>
        <v/>
      </c>
      <c r="NV6">
        <f>IF('計算A'!EI$106=1,IH6,1)</f>
        <v/>
      </c>
      <c r="NW6">
        <f>IF('計算A'!EJ$106=1,II6,1)</f>
        <v/>
      </c>
      <c r="NX6">
        <f>IF('計算A'!EK$106=1,IJ6,1)</f>
        <v/>
      </c>
      <c r="NY6">
        <f>IF('計算A'!EL$106=1,IK6,1)</f>
        <v/>
      </c>
      <c r="NZ6">
        <f>IF('計算A'!EM$106=1,IL6,1)</f>
        <v/>
      </c>
      <c r="OA6">
        <f>IF('計算A'!EN$106=1,IM6,1)</f>
        <v/>
      </c>
      <c r="OB6">
        <f>IF('計算A'!EO$106=1,IN6,1)</f>
        <v/>
      </c>
      <c r="OC6">
        <f>IF('計算A'!EP$106=1,IO6,1)</f>
        <v/>
      </c>
      <c r="OD6" t="n">
        <v>1</v>
      </c>
      <c r="OF6">
        <f>IF($B6=0,1000000,IF(INDEX('計算A'!$D$60:$EQ$104,$B6,1)*DB6=1,IF(AND($E6=2,IQ6=0),1000000,IF($I6&gt;0,IF(1=$J6,IF(OR(AND(1=$I6+1,OR($K6&lt;&gt;'計算A'!$A$3,'計算A'!$A$4=0)),AND(1=$I6-1,OR(1&lt;&gt;'計算A'!$A$3,'計算A'!$A$4=0))),0,IF(1=$K6,200000,ABS(1-$K6)*100)),100000+ABS(1-$J6)*1000+10)+'計算A'!D$5*50+IF(AND($E6=1,IQ6=0),25,0),INDEX('計算A'!D$110:D$114,$F6+1)+IF(AND($E6=1,IQ6=0),1000,0)+IF($H6=1,(IF('計算A'!D$117=1,INDEX('計算A'!E$10:E$54,$B6),0))*500,0)-IF(AND($L6=1,'計算A'!D$117=1,DC6=0),300,0))),1000000))</f>
        <v/>
      </c>
      <c r="OG6">
        <f>IF($B6=0,1000000,IF(INDEX('計算A'!$D$60:$EQ$104,$B6,2)*DC6=1,IF(AND($E6=2,IR6=0),1000000,IF($I6&gt;0,IF(1=$J6,IF(OR(AND(2=$I6+1,OR($K6&lt;&gt;'計算A'!$A$3,'計算A'!$A$4=0)),AND(2=$I6-1,OR(2&lt;&gt;'計算A'!$A$3,'計算A'!$A$4=0))),0,IF(2=$K6,200000,ABS(2-$K6)*100)),100000+ABS(1-$J6)*1000+20)+'計算A'!E$5*50+IF(AND($E6=1,IR6=0),25,0),INDEX('計算A'!E$110:E$114,$F6+1)+IF(AND($E6=1,IR6=0),1000,0)+IF($H6=1,(IF('計算A'!D$117=1,INDEX('計算A'!D$10:D$54,$B6),0)+IF('計算A'!E$117=1,INDEX('計算A'!F$10:F$54,$B6),0))*500,0)-IF(AND('計算A'!D$117=1,UB6&gt;0),300,0)-IF(AND($L6=1,'計算A'!E$117=1,DD6=0),300,0))),1000000))</f>
        <v/>
      </c>
      <c r="OH6">
        <f>IF($B6=0,1000000,IF(INDEX('計算A'!$D$60:$EQ$104,$B6,3)*DD6=1,IF(AND($E6=2,IS6=0),1000000,IF($I6&gt;0,IF(1=$J6,IF(OR(AND(3=$I6+1,OR($K6&lt;&gt;'計算A'!$A$3,'計算A'!$A$4=0)),AND(3=$I6-1,OR(3&lt;&gt;'計算A'!$A$3,'計算A'!$A$4=0))),0,IF(3=$K6,200000,ABS(3-$K6)*100)),100000+ABS(1-$J6)*1000+30)+'計算A'!F$5*50+IF(AND($E6=1,IS6=0),25,0),INDEX('計算A'!F$110:F$114,$F6+1)+IF(AND($E6=1,IS6=0),1000,0)+IF($H6=1,(IF('計算A'!E$117=1,INDEX('計算A'!E$10:E$54,$B6),0)+IF('計算A'!F$117=1,INDEX('計算A'!G$10:G$54,$B6),0))*500,0)-IF(AND('計算A'!E$117=1,UC6&gt;0),300,0)-IF(AND($L6=1,'計算A'!F$117=1,DE6=0),300,0))),1000000))</f>
        <v/>
      </c>
      <c r="OI6">
        <f>IF($B6=0,1000000,IF(INDEX('計算A'!$D$60:$EQ$104,$B6,4)*DE6=1,IF(AND($E6=2,IT6=0),1000000,IF($I6&gt;0,IF(1=$J6,IF(OR(AND(4=$I6+1,OR($K6&lt;&gt;'計算A'!$A$3,'計算A'!$A$4=0)),AND(4=$I6-1,OR(4&lt;&gt;'計算A'!$A$3,'計算A'!$A$4=0))),0,IF(4=$K6,200000,ABS(4-$K6)*100)),100000+ABS(1-$J6)*1000+40)+'計算A'!G$5*50+IF(AND($E6=1,IT6=0),25,0),INDEX('計算A'!G$110:G$114,$F6+1)+IF(AND($E6=1,IT6=0),1000,0)+IF($H6=1,(IF('計算A'!F$117=1,INDEX('計算A'!F$10:F$54,$B6),0)+IF('計算A'!G$117=1,INDEX('計算A'!H$10:H$54,$B6),0))*500,0)-IF(AND('計算A'!F$117=1,UD6&gt;0),300,0)-IF(AND($L6=1,'計算A'!G$117=1,DF6=0),300,0))),1000000))</f>
        <v/>
      </c>
      <c r="OJ6">
        <f>IF($B6=0,1000000,IF(INDEX('計算A'!$D$60:$EQ$104,$B6,5)*DF6=1,IF(AND($E6=2,IU6=0),1000000,IF($I6&gt;0,IF(1=$J6,IF(OR(AND(5=$I6+1,OR($K6&lt;&gt;'計算A'!$A$3,'計算A'!$A$4=0)),AND(5=$I6-1,OR(5&lt;&gt;'計算A'!$A$3,'計算A'!$A$4=0))),0,IF(5=$K6,200000,ABS(5-$K6)*100)),100000+ABS(1-$J6)*1000+50)+'計算A'!H$5*50+IF(AND($E6=1,IU6=0),25,0),INDEX('計算A'!H$110:H$114,$F6+1)+IF(AND($E6=1,IU6=0),1000,0)+IF($H6=1,(IF('計算A'!G$117=1,INDEX('計算A'!G$10:G$54,$B6),0)+IF('計算A'!H$117=1,INDEX('計算A'!I$10:I$54,$B6),0))*500,0)-IF(AND('計算A'!G$117=1,UE6&gt;0),300,0)-IF(AND($L6=1,'計算A'!H$117=1,DG6=0),300,0))),1000000))</f>
        <v/>
      </c>
      <c r="OK6">
        <f>IF($B6=0,1000000,IF(INDEX('計算A'!$D$60:$EQ$104,$B6,6)*DG6=1,IF(AND($E6=2,IV6=0),1000000,IF($I6&gt;0,IF(1=$J6,IF(OR(AND(6=$I6+1,OR($K6&lt;&gt;'計算A'!$A$3,'計算A'!$A$4=0)),AND(6=$I6-1,OR(6&lt;&gt;'計算A'!$A$3,'計算A'!$A$4=0))),0,IF(6=$K6,200000,ABS(6-$K6)*100)),100000+ABS(1-$J6)*1000+60)+'計算A'!I$5*50+IF(AND($E6=1,IV6=0),25,0),INDEX('計算A'!I$110:I$114,$F6+1)+IF(AND($E6=1,IV6=0),1000,0)+IF($H6=1,(IF('計算A'!H$117=1,INDEX('計算A'!H$10:H$54,$B6),0)+IF('計算A'!I$117=1,INDEX('計算A'!J$10:J$54,$B6),0))*500,0)-IF(AND('計算A'!H$117=1,UF6&gt;0),300,0)-IF(AND($L6=1,'計算A'!I$117=1,DH6=0),300,0))),1000000))</f>
        <v/>
      </c>
      <c r="OL6">
        <f>IF($B6=0,1000000,IF(INDEX('計算A'!$D$60:$EQ$104,$B6,7)*DH6=1,IF(AND($E6=2,IW6=0),1000000,IF($I6&gt;0,IF(1=$J6,IF(OR(AND(7=$I6+1,OR($K6&lt;&gt;'計算A'!$A$3,'計算A'!$A$4=0)),AND(7=$I6-1,OR(7&lt;&gt;'計算A'!$A$3,'計算A'!$A$4=0))),0,IF(7=$K6,200000,ABS(7-$K6)*100)),100000+ABS(1-$J6)*1000+70)+'計算A'!J$5*50+IF(AND($E6=1,IW6=0),25,0),INDEX('計算A'!J$110:J$114,$F6+1)+IF(AND($E6=1,IW6=0),1000,0)+IF($H6=1,(IF('計算A'!I$117=1,INDEX('計算A'!I$10:I$54,$B6),0)+IF('計算A'!J$117=1,INDEX('計算A'!K$10:K$54,$B6),0))*500,0)-IF(AND('計算A'!I$117=1,UG6&gt;0),300,0)-IF(AND($L6=1,'計算A'!J$117=1,DI6=0),300,0))),1000000))</f>
        <v/>
      </c>
      <c r="OM6">
        <f>IF($B6=0,1000000,IF(INDEX('計算A'!$D$60:$EQ$104,$B6,8)*DI6=1,IF(AND($E6=2,IX6=0),1000000,IF($I6&gt;0,IF(1=$J6,IF(OR(AND(8=$I6+1,OR($K6&lt;&gt;'計算A'!$A$3,'計算A'!$A$4=0)),AND(8=$I6-1,OR(8&lt;&gt;'計算A'!$A$3,'計算A'!$A$4=0))),0,IF(8=$K6,200000,ABS(8-$K6)*100)),100000+ABS(1-$J6)*1000+80)+'計算A'!K$5*50+IF(AND($E6=1,IX6=0),25,0),INDEX('計算A'!K$110:K$114,$F6+1)+IF(AND($E6=1,IX6=0),1000,0)+IF($H6=1,(IF('計算A'!J$117=1,INDEX('計算A'!J$10:J$54,$B6),0)+IF('計算A'!K$117=1,INDEX('計算A'!L$10:L$54,$B6),0))*500,0)-IF(AND('計算A'!J$117=1,UH6&gt;0),300,0)-IF(AND($L6=1,'計算A'!K$117=1,DJ6=0),300,0))),1000000))</f>
        <v/>
      </c>
      <c r="ON6">
        <f>IF($B6=0,1000000,IF(INDEX('計算A'!$D$60:$EQ$104,$B6,9)*DJ6=1,IF(AND($E6=2,IY6=0),1000000,IF($I6&gt;0,IF(1=$J6,IF(OR(AND(9=$I6+1,OR($K6&lt;&gt;'計算A'!$A$3,'計算A'!$A$4=0)),AND(9=$I6-1,OR(9&lt;&gt;'計算A'!$A$3,'計算A'!$A$4=0))),0,IF(9=$K6,200000,ABS(9-$K6)*100)),100000+ABS(1-$J6)*1000+90)+'計算A'!L$5*50+IF(AND($E6=1,IY6=0),25,0),INDEX('計算A'!L$110:L$114,$F6+1)+IF(AND($E6=1,IY6=0),1000,0)+IF($H6=1,(IF('計算A'!K$117=1,INDEX('計算A'!K$10:K$54,$B6),0)+IF('計算A'!L$117=1,INDEX('計算A'!M$10:M$54,$B6),0))*500,0)-IF(AND('計算A'!K$117=1,UI6&gt;0),300,0)-IF(AND($L6=1,'計算A'!L$117=1,DK6=0),300,0))),1000000))</f>
        <v/>
      </c>
      <c r="OO6">
        <f>IF($B6=0,1000000,IF(INDEX('計算A'!$D$60:$EQ$104,$B6,10)*DK6=1,IF(AND($E6=2,IZ6=0),1000000,IF($I6&gt;0,IF(1=$J6,IF(OR(AND(10=$I6+1,OR($K6&lt;&gt;'計算A'!$A$3,'計算A'!$A$4=0)),AND(10=$I6-1,OR(10&lt;&gt;'計算A'!$A$3,'計算A'!$A$4=0))),0,IF(10=$K6,200000,ABS(10-$K6)*100)),100000+ABS(1-$J6)*1000+100)+'計算A'!M$5*50+IF(AND($E6=1,IZ6=0),25,0),INDEX('計算A'!M$110:M$114,$F6+1)+IF(AND($E6=1,IZ6=0),1000,0)+IF($H6=1,(IF('計算A'!L$117=1,INDEX('計算A'!L$10:L$54,$B6),0)+IF('計算A'!M$117=1,INDEX('計算A'!N$10:N$54,$B6),0))*500,0)-IF(AND('計算A'!L$117=1,UJ6&gt;0),300,0)-IF(AND($L6=1,'計算A'!M$117=1,DL6=0),300,0))),1000000))</f>
        <v/>
      </c>
      <c r="OP6">
        <f>IF($B6=0,1000000,IF(INDEX('計算A'!$D$60:$EQ$104,$B6,11)*DL6=1,IF(AND($E6=2,JA6=0),1000000,IF($I6&gt;0,IF(1=$J6,IF(OR(AND(11=$I6+1,OR($K6&lt;&gt;'計算A'!$A$3,'計算A'!$A$4=0)),AND(11=$I6-1,OR(11&lt;&gt;'計算A'!$A$3,'計算A'!$A$4=0))),0,IF(11=$K6,200000,ABS(11-$K6)*100)),100000+ABS(1-$J6)*1000+110)+'計算A'!N$5*50+IF(AND($E6=1,JA6=0),25,0),INDEX('計算A'!N$110:N$114,$F6+1)+IF(AND($E6=1,JA6=0),1000,0)+IF($H6=1,(IF('計算A'!M$117=1,INDEX('計算A'!M$10:M$54,$B6),0)+IF('計算A'!N$117=1,INDEX('計算A'!O$10:O$54,$B6),0))*500,0)-IF(AND('計算A'!M$117=1,UK6&gt;0),300,0)-IF(AND($L6=1,'計算A'!N$117=1,DM6=0),300,0))),1000000))</f>
        <v/>
      </c>
      <c r="OQ6">
        <f>IF($B6=0,1000000,IF(INDEX('計算A'!$D$60:$EQ$104,$B6,12)*DM6=1,IF(AND($E6=2,JB6=0),1000000,IF($I6&gt;0,IF(1=$J6,IF(OR(AND(12=$I6+1,OR($K6&lt;&gt;'計算A'!$A$3,'計算A'!$A$4=0)),AND(12=$I6-1,OR(12&lt;&gt;'計算A'!$A$3,'計算A'!$A$4=0))),0,IF(12=$K6,200000,ABS(12-$K6)*100)),100000+ABS(1-$J6)*1000+120)+'計算A'!O$5*50+IF(AND($E6=1,JB6=0),25,0),INDEX('計算A'!O$110:O$114,$F6+1)+IF(AND($E6=1,JB6=0),1000,0)+IF($H6=1,(IF('計算A'!N$117=1,INDEX('計算A'!N$10:N$54,$B6),0)+IF('計算A'!O$117=1,INDEX('計算A'!P$10:P$54,$B6),0))*500,0)-IF(AND('計算A'!N$117=1,UL6&gt;0),300,0)-IF(AND($L6=1,'計算A'!O$117=1,DN6=0),300,0))),1000000))</f>
        <v/>
      </c>
      <c r="OR6">
        <f>IF($B6=0,1000000,IF(INDEX('計算A'!$D$60:$EQ$104,$B6,13)*DN6=1,IF(AND($E6=2,JC6=0),1000000,IF($I6&gt;0,IF(1=$J6,IF(OR(AND(13=$I6+1,OR($K6&lt;&gt;'計算A'!$A$3,'計算A'!$A$4=0)),AND(13=$I6-1,OR(13&lt;&gt;'計算A'!$A$3,'計算A'!$A$4=0))),0,IF(13=$K6,200000,ABS(13-$K6)*100)),100000+ABS(1-$J6)*1000+130)+'計算A'!P$5*50+IF(AND($E6=1,JC6=0),25,0),INDEX('計算A'!P$110:P$114,$F6+1)+IF(AND($E6=1,JC6=0),1000,0)+IF($H6=1,(IF('計算A'!O$117=1,INDEX('計算A'!O$10:O$54,$B6),0)+IF('計算A'!P$117=1,INDEX('計算A'!Q$10:Q$54,$B6),0))*500,0)-IF(AND('計算A'!O$117=1,UM6&gt;0),300,0)-IF(AND($L6=1,'計算A'!P$117=1,DO6=0),300,0))),1000000))</f>
        <v/>
      </c>
      <c r="OS6">
        <f>IF($B6=0,1000000,IF(INDEX('計算A'!$D$60:$EQ$104,$B6,14)*DO6=1,IF(AND($E6=2,JD6=0),1000000,IF($I6&gt;0,IF(1=$J6,IF(OR(AND(14=$I6+1,OR($K6&lt;&gt;'計算A'!$A$3,'計算A'!$A$4=0)),AND(14=$I6-1,OR(14&lt;&gt;'計算A'!$A$3,'計算A'!$A$4=0))),0,IF(14=$K6,200000,ABS(14-$K6)*100)),100000+ABS(1-$J6)*1000+140)+'計算A'!Q$5*50+IF(AND($E6=1,JD6=0),25,0),INDEX('計算A'!Q$110:Q$114,$F6+1)+IF(AND($E6=1,JD6=0),1000,0)+IF($H6=1,(IF('計算A'!P$117=1,INDEX('計算A'!P$10:P$54,$B6),0)+IF('計算A'!Q$117=1,INDEX('計算A'!R$10:R$54,$B6),0))*500,0)-IF(AND('計算A'!P$117=1,UN6&gt;0),300,0)-IF(AND($L6=1,'計算A'!Q$117=1,DP6=0),300,0))),1000000))</f>
        <v/>
      </c>
      <c r="OT6">
        <f>IF($B6=0,1000000,IF(INDEX('計算A'!$D$60:$EQ$104,$B6,15)*DP6=1,IF(AND($E6=2,JE6=0),1000000,IF($I6&gt;0,IF(1=$J6,IF(OR(AND(15=$I6+1,OR($K6&lt;&gt;'計算A'!$A$3,'計算A'!$A$4=0)),AND(15=$I6-1,OR(15&lt;&gt;'計算A'!$A$3,'計算A'!$A$4=0))),0,IF(15=$K6,200000,ABS(15-$K6)*100)),100000+ABS(1-$J6)*1000+150)+'計算A'!R$5*50+IF(AND($E6=1,JE6=0),25,0),INDEX('計算A'!R$110:R$114,$F6+1)+IF(AND($E6=1,JE6=0),1000,0)+IF($H6=1,(IF('計算A'!Q$117=1,INDEX('計算A'!Q$10:Q$54,$B6),0)+IF('計算A'!R$117=1,INDEX('計算A'!S$10:S$54,$B6),0))*500,0)-IF(AND('計算A'!Q$117=1,UO6&gt;0),300,0)-IF(AND($L6=1,'計算A'!R$117=1,DQ6=0),300,0))),1000000))</f>
        <v/>
      </c>
      <c r="OU6">
        <f>IF($B6=0,1000000,IF(INDEX('計算A'!$D$60:$EQ$104,$B6,16)*DQ6=1,IF(AND($E6=2,JF6=0),1000000,IF($I6&gt;0,IF(1=$J6,IF(OR(AND(16=$I6+1,OR($K6&lt;&gt;'計算A'!$A$3,'計算A'!$A$4=0)),AND(16=$I6-1,OR(16&lt;&gt;'計算A'!$A$3,'計算A'!$A$4=0))),0,IF(16=$K6,200000,ABS(16-$K6)*100)),100000+ABS(1-$J6)*1000+160)+'計算A'!S$5*50+IF(AND($E6=1,JF6=0),25,0),INDEX('計算A'!S$110:S$114,$F6+1)+IF(AND($E6=1,JF6=0),1000,0)+IF($H6=1,(IF('計算A'!R$117=1,INDEX('計算A'!R$10:R$54,$B6),0)+IF('計算A'!S$117=1,INDEX('計算A'!T$10:T$54,$B6),0))*500,0)-IF(AND('計算A'!R$117=1,UP6&gt;0),300,0)-IF(AND($L6=1,'計算A'!S$117=1,DR6=0),300,0))),1000000))</f>
        <v/>
      </c>
      <c r="OV6">
        <f>IF($B6=0,1000000,IF(INDEX('計算A'!$D$60:$EQ$104,$B6,17)*DR6=1,IF(AND($E6=2,JG6=0),1000000,IF($I6&gt;0,IF(1=$J6,IF(OR(AND(17=$I6+1,OR($K6&lt;&gt;'計算A'!$A$3,'計算A'!$A$4=0)),AND(17=$I6-1,OR(17&lt;&gt;'計算A'!$A$3,'計算A'!$A$4=0))),0,IF(17=$K6,200000,ABS(17-$K6)*100)),100000+ABS(1-$J6)*1000+170)+'計算A'!T$5*50+IF(AND($E6=1,JG6=0),25,0),INDEX('計算A'!T$110:T$114,$F6+1)+IF(AND($E6=1,JG6=0),1000,0)+IF($H6=1,(IF('計算A'!S$117=1,INDEX('計算A'!S$10:S$54,$B6),0)+IF('計算A'!T$117=1,INDEX('計算A'!U$10:U$54,$B6),0))*500,0)-IF(AND('計算A'!S$117=1,UQ6&gt;0),300,0)-IF(AND($L6=1,'計算A'!T$117=1,DS6=0),300,0))),1000000))</f>
        <v/>
      </c>
      <c r="OW6">
        <f>IF($B6=0,1000000,IF(INDEX('計算A'!$D$60:$EQ$104,$B6,18)*DS6=1,IF(AND($E6=2,JH6=0),1000000,IF($I6&gt;0,IF(1=$J6,IF(OR(AND(18=$I6+1,OR($K6&lt;&gt;'計算A'!$A$3,'計算A'!$A$4=0)),AND(18=$I6-1,OR(18&lt;&gt;'計算A'!$A$3,'計算A'!$A$4=0))),0,IF(18=$K6,200000,ABS(18-$K6)*100)),100000+ABS(1-$J6)*1000+180)+'計算A'!U$5*50+IF(AND($E6=1,JH6=0),25,0),INDEX('計算A'!U$110:U$114,$F6+1)+IF(AND($E6=1,JH6=0),1000,0)+IF($H6=1,(IF('計算A'!T$117=1,INDEX('計算A'!T$10:T$54,$B6),0)+IF('計算A'!U$117=1,INDEX('計算A'!V$10:V$54,$B6),0))*500,0)-IF(AND('計算A'!T$117=1,UR6&gt;0),300,0)-IF(AND($L6=1,'計算A'!U$117=1,DT6=0),300,0))),1000000))</f>
        <v/>
      </c>
      <c r="OX6">
        <f>IF($B6=0,1000000,IF(INDEX('計算A'!$D$60:$EQ$104,$B6,19)*DT6=1,IF(AND($E6=2,JI6=0),1000000,IF($I6&gt;0,IF(1=$J6,IF(OR(AND(19=$I6+1,OR($K6&lt;&gt;'計算A'!$A$3,'計算A'!$A$4=0)),AND(19=$I6-1,OR(19&lt;&gt;'計算A'!$A$3,'計算A'!$A$4=0))),0,IF(19=$K6,200000,ABS(19-$K6)*100)),100000+ABS(1-$J6)*1000+190)+'計算A'!V$5*50+IF(AND($E6=1,JI6=0),25,0),INDEX('計算A'!V$110:V$114,$F6+1)+IF(AND($E6=1,JI6=0),1000,0)+IF($H6=1,(IF('計算A'!U$117=1,INDEX('計算A'!U$10:U$54,$B6),0)+IF('計算A'!V$117=1,INDEX('計算A'!W$10:W$54,$B6),0))*500,0)-IF(AND('計算A'!U$117=1,US6&gt;0),300,0)-IF(AND($L6=1,'計算A'!V$117=1,DU6=0),300,0))),1000000))</f>
        <v/>
      </c>
      <c r="OY6">
        <f>IF($B6=0,1000000,IF(INDEX('計算A'!$D$60:$EQ$104,$B6,20)*DU6=1,IF(AND($E6=2,JJ6=0),1000000,IF($I6&gt;0,IF(1=$J6,IF(OR(AND(20=$I6+1,OR($K6&lt;&gt;'計算A'!$A$3,'計算A'!$A$4=0)),AND(20=$I6-1,OR(20&lt;&gt;'計算A'!$A$3,'計算A'!$A$4=0))),0,IF(20=$K6,200000,ABS(20-$K6)*100)),100000+ABS(1-$J6)*1000+200)+'計算A'!W$5*50+IF(AND($E6=1,JJ6=0),25,0),INDEX('計算A'!W$110:W$114,$F6+1)+IF(AND($E6=1,JJ6=0),1000,0)+IF($H6=1,(IF('計算A'!V$117=1,INDEX('計算A'!V$10:V$54,$B6),0)+IF('計算A'!W$117=1,INDEX('計算A'!X$10:X$54,$B6),0))*500,0)-IF(AND('計算A'!V$117=1,UT6&gt;0),300,0)-IF(AND($L6=1,'計算A'!W$117=1,DV6=0),300,0))),1000000))</f>
        <v/>
      </c>
      <c r="OZ6">
        <f>IF($B6=0,1000000,IF(INDEX('計算A'!$D$60:$EQ$104,$B6,21)*DV6=1,IF(AND($E6=2,JK6=0),1000000,IF($I6&gt;0,IF(1=$J6,IF(OR(AND(21=$I6+1,OR($K6&lt;&gt;'計算A'!$A$3,'計算A'!$A$4=0)),AND(21=$I6-1,OR(21&lt;&gt;'計算A'!$A$3,'計算A'!$A$4=0))),0,IF(21=$K6,200000,ABS(21-$K6)*100)),100000+ABS(1-$J6)*1000+210)+'計算A'!X$5*50+IF(AND($E6=1,JK6=0),25,0),INDEX('計算A'!X$110:X$114,$F6+1)+IF(AND($E6=1,JK6=0),1000,0)+IF($H6=1,(IF('計算A'!W$117=1,INDEX('計算A'!W$10:W$54,$B6),0)+IF('計算A'!X$117=1,INDEX('計算A'!Y$10:Y$54,$B6),0))*500,0)-IF(AND('計算A'!W$117=1,UU6&gt;0),300,0)-IF(AND($L6=1,'計算A'!X$117=1,DW6=0),300,0))),1000000))</f>
        <v/>
      </c>
      <c r="PA6">
        <f>IF($B6=0,1000000,IF(INDEX('計算A'!$D$60:$EQ$104,$B6,22)*DW6=1,IF(AND($E6=2,JL6=0),1000000,IF($I6&gt;0,IF(1=$J6,IF(OR(AND(22=$I6+1,OR($K6&lt;&gt;'計算A'!$A$3,'計算A'!$A$4=0)),AND(22=$I6-1,OR(22&lt;&gt;'計算A'!$A$3,'計算A'!$A$4=0))),0,IF(22=$K6,200000,ABS(22-$K6)*100)),100000+ABS(1-$J6)*1000+220)+'計算A'!Y$5*50+IF(AND($E6=1,JL6=0),25,0),INDEX('計算A'!Y$110:Y$114,$F6+1)+IF(AND($E6=1,JL6=0),1000,0)+IF($H6=1,(IF('計算A'!X$117=1,INDEX('計算A'!X$10:X$54,$B6),0)+IF('計算A'!Y$117=1,INDEX('計算A'!Z$10:Z$54,$B6),0))*500,0)-IF(AND('計算A'!X$117=1,UV6&gt;0),300,0)-IF(AND($L6=1,'計算A'!Y$117=1,DX6=0),300,0))),1000000))</f>
        <v/>
      </c>
      <c r="PB6">
        <f>IF($B6=0,1000000,IF(INDEX('計算A'!$D$60:$EQ$104,$B6,23)*DX6=1,IF(AND($E6=2,JM6=0),1000000,IF($I6&gt;0,IF(1=$J6,IF(OR(AND(23=$I6+1,OR($K6&lt;&gt;'計算A'!$A$3,'計算A'!$A$4=0)),AND(23=$I6-1,OR(23&lt;&gt;'計算A'!$A$3,'計算A'!$A$4=0))),0,IF(23=$K6,200000,ABS(23-$K6)*100)),100000+ABS(1-$J6)*1000+230)+'計算A'!Z$5*50+IF(AND($E6=1,JM6=0),25,0),INDEX('計算A'!Z$110:Z$114,$F6+1)+IF(AND($E6=1,JM6=0),1000,0)+IF($H6=1,(IF('計算A'!Y$117=1,INDEX('計算A'!Y$10:Y$54,$B6),0)+IF('計算A'!Z$117=1,INDEX('計算A'!AA$10:AA$54,$B6),0))*500,0)-IF(AND('計算A'!Y$117=1,UW6&gt;0),300,0)-IF(AND($L6=1,'計算A'!Z$117=1,DY6=0),300,0))),1000000))</f>
        <v/>
      </c>
      <c r="PC6">
        <f>IF($B6=0,1000000,IF(INDEX('計算A'!$D$60:$EQ$104,$B6,24)*DY6=1,IF(AND($E6=2,JN6=0),1000000,IF($I6&gt;0,IF(1=$J6,IF(OR(AND(24=$I6+1,OR($K6&lt;&gt;'計算A'!$A$3,'計算A'!$A$4=0)),AND(24=$I6-1,OR(24&lt;&gt;'計算A'!$A$3,'計算A'!$A$4=0))),0,IF(24=$K6,200000,ABS(24-$K6)*100)),100000+ABS(1-$J6)*1000+240)+'計算A'!AA$5*50+IF(AND($E6=1,JN6=0),25,0),INDEX('計算A'!AA$110:AA$114,$F6+1)+IF(AND($E6=1,JN6=0),1000,0)+IF($H6=1,(IF('計算A'!Z$117=1,INDEX('計算A'!Z$10:Z$54,$B6),0))*500,0)-IF(AND('計算A'!Z$117=1,UX6&gt;0),300,0))),1000000))</f>
        <v/>
      </c>
      <c r="PD6">
        <f>IF($B6=0,1000000,IF(INDEX('計算A'!$D$60:$EQ$104,$B6,25)*DZ6=1,IF(AND($E6=2,JO6=0),1000000,IF($I6&gt;0,IF(2=$J6,IF(OR(AND(25=$I6+1,OR($K6&lt;&gt;'計算A'!$A$3,'計算A'!$A$4=0)),AND(25=$I6-1,OR(1&lt;&gt;'計算A'!$A$3,'計算A'!$A$4=0))),0,IF(1=$K6,200000,ABS(1-$K6)*100)),100000+ABS(2-$J6)*1000+10)+'計算A'!AB$5*50+IF(AND($E6=1,JO6=0),25,0),INDEX('計算A'!AB$110:AB$114,$F6+1)+IF(AND($E6=1,JO6=0),1000,0)+IF($H6=1,(IF('計算A'!AB$117=1,INDEX('計算A'!AC$10:AC$54,$B6),0))*500,0)-IF(AND($L6=1,'計算A'!AB$117=1,EA6=0),300,0))),1000000))</f>
        <v/>
      </c>
      <c r="PE6">
        <f>IF($B6=0,1000000,IF(INDEX('計算A'!$D$60:$EQ$104,$B6,26)*EA6=1,IF(AND($E6=2,JP6=0),1000000,IF($I6&gt;0,IF(2=$J6,IF(OR(AND(26=$I6+1,OR($K6&lt;&gt;'計算A'!$A$3,'計算A'!$A$4=0)),AND(26=$I6-1,OR(2&lt;&gt;'計算A'!$A$3,'計算A'!$A$4=0))),0,IF(2=$K6,200000,ABS(2-$K6)*100)),100000+ABS(2-$J6)*1000+20)+'計算A'!AC$5*50+IF(AND($E6=1,JP6=0),25,0),INDEX('計算A'!AC$110:AC$114,$F6+1)+IF(AND($E6=1,JP6=0),1000,0)+IF($H6=1,(IF('計算A'!AB$117=1,INDEX('計算A'!AB$10:AB$54,$B6),0)+IF('計算A'!AC$117=1,INDEX('計算A'!AD$10:AD$54,$B6),0))*500,0)-IF(AND('計算A'!AB$117=1,UZ6&gt;0),300,0)-IF(AND($L6=1,'計算A'!AC$117=1,EB6=0),300,0))),1000000))</f>
        <v/>
      </c>
      <c r="PF6">
        <f>IF($B6=0,1000000,IF(INDEX('計算A'!$D$60:$EQ$104,$B6,27)*EB6=1,IF(AND($E6=2,JQ6=0),1000000,IF($I6&gt;0,IF(2=$J6,IF(OR(AND(27=$I6+1,OR($K6&lt;&gt;'計算A'!$A$3,'計算A'!$A$4=0)),AND(27=$I6-1,OR(3&lt;&gt;'計算A'!$A$3,'計算A'!$A$4=0))),0,IF(3=$K6,200000,ABS(3-$K6)*100)),100000+ABS(2-$J6)*1000+30)+'計算A'!AD$5*50+IF(AND($E6=1,JQ6=0),25,0),INDEX('計算A'!AD$110:AD$114,$F6+1)+IF(AND($E6=1,JQ6=0),1000,0)+IF($H6=1,(IF('計算A'!AC$117=1,INDEX('計算A'!AC$10:AC$54,$B6),0)+IF('計算A'!AD$117=1,INDEX('計算A'!AE$10:AE$54,$B6),0))*500,0)-IF(AND('計算A'!AC$117=1,VA6&gt;0),300,0)-IF(AND($L6=1,'計算A'!AD$117=1,EC6=0),300,0))),1000000))</f>
        <v/>
      </c>
      <c r="PG6">
        <f>IF($B6=0,1000000,IF(INDEX('計算A'!$D$60:$EQ$104,$B6,28)*EC6=1,IF(AND($E6=2,JR6=0),1000000,IF($I6&gt;0,IF(2=$J6,IF(OR(AND(28=$I6+1,OR($K6&lt;&gt;'計算A'!$A$3,'計算A'!$A$4=0)),AND(28=$I6-1,OR(4&lt;&gt;'計算A'!$A$3,'計算A'!$A$4=0))),0,IF(4=$K6,200000,ABS(4-$K6)*100)),100000+ABS(2-$J6)*1000+40)+'計算A'!AE$5*50+IF(AND($E6=1,JR6=0),25,0),INDEX('計算A'!AE$110:AE$114,$F6+1)+IF(AND($E6=1,JR6=0),1000,0)+IF($H6=1,(IF('計算A'!AD$117=1,INDEX('計算A'!AD$10:AD$54,$B6),0)+IF('計算A'!AE$117=1,INDEX('計算A'!AF$10:AF$54,$B6),0))*500,0)-IF(AND('計算A'!AD$117=1,VB6&gt;0),300,0)-IF(AND($L6=1,'計算A'!AE$117=1,ED6=0),300,0))),1000000))</f>
        <v/>
      </c>
      <c r="PH6">
        <f>IF($B6=0,1000000,IF(INDEX('計算A'!$D$60:$EQ$104,$B6,29)*ED6=1,IF(AND($E6=2,JS6=0),1000000,IF($I6&gt;0,IF(2=$J6,IF(OR(AND(29=$I6+1,OR($K6&lt;&gt;'計算A'!$A$3,'計算A'!$A$4=0)),AND(29=$I6-1,OR(5&lt;&gt;'計算A'!$A$3,'計算A'!$A$4=0))),0,IF(5=$K6,200000,ABS(5-$K6)*100)),100000+ABS(2-$J6)*1000+50)+'計算A'!AF$5*50+IF(AND($E6=1,JS6=0),25,0),INDEX('計算A'!AF$110:AF$114,$F6+1)+IF(AND($E6=1,JS6=0),1000,0)+IF($H6=1,(IF('計算A'!AE$117=1,INDEX('計算A'!AE$10:AE$54,$B6),0)+IF('計算A'!AF$117=1,INDEX('計算A'!AG$10:AG$54,$B6),0))*500,0)-IF(AND('計算A'!AE$117=1,VC6&gt;0),300,0)-IF(AND($L6=1,'計算A'!AF$117=1,EE6=0),300,0))),1000000))</f>
        <v/>
      </c>
      <c r="PI6">
        <f>IF($B6=0,1000000,IF(INDEX('計算A'!$D$60:$EQ$104,$B6,30)*EE6=1,IF(AND($E6=2,JT6=0),1000000,IF($I6&gt;0,IF(2=$J6,IF(OR(AND(30=$I6+1,OR($K6&lt;&gt;'計算A'!$A$3,'計算A'!$A$4=0)),AND(30=$I6-1,OR(6&lt;&gt;'計算A'!$A$3,'計算A'!$A$4=0))),0,IF(6=$K6,200000,ABS(6-$K6)*100)),100000+ABS(2-$J6)*1000+60)+'計算A'!AG$5*50+IF(AND($E6=1,JT6=0),25,0),INDEX('計算A'!AG$110:AG$114,$F6+1)+IF(AND($E6=1,JT6=0),1000,0)+IF($H6=1,(IF('計算A'!AF$117=1,INDEX('計算A'!AF$10:AF$54,$B6),0)+IF('計算A'!AG$117=1,INDEX('計算A'!AH$10:AH$54,$B6),0))*500,0)-IF(AND('計算A'!AF$117=1,VD6&gt;0),300,0)-IF(AND($L6=1,'計算A'!AG$117=1,EF6=0),300,0))),1000000))</f>
        <v/>
      </c>
      <c r="PJ6">
        <f>IF($B6=0,1000000,IF(INDEX('計算A'!$D$60:$EQ$104,$B6,31)*EF6=1,IF(AND($E6=2,JU6=0),1000000,IF($I6&gt;0,IF(2=$J6,IF(OR(AND(31=$I6+1,OR($K6&lt;&gt;'計算A'!$A$3,'計算A'!$A$4=0)),AND(31=$I6-1,OR(7&lt;&gt;'計算A'!$A$3,'計算A'!$A$4=0))),0,IF(7=$K6,200000,ABS(7-$K6)*100)),100000+ABS(2-$J6)*1000+70)+'計算A'!AH$5*50+IF(AND($E6=1,JU6=0),25,0),INDEX('計算A'!AH$110:AH$114,$F6+1)+IF(AND($E6=1,JU6=0),1000,0)+IF($H6=1,(IF('計算A'!AG$117=1,INDEX('計算A'!AG$10:AG$54,$B6),0)+IF('計算A'!AH$117=1,INDEX('計算A'!AI$10:AI$54,$B6),0))*500,0)-IF(AND('計算A'!AG$117=1,VE6&gt;0),300,0)-IF(AND($L6=1,'計算A'!AH$117=1,EG6=0),300,0))),1000000))</f>
        <v/>
      </c>
      <c r="PK6">
        <f>IF($B6=0,1000000,IF(INDEX('計算A'!$D$60:$EQ$104,$B6,32)*EG6=1,IF(AND($E6=2,JV6=0),1000000,IF($I6&gt;0,IF(2=$J6,IF(OR(AND(32=$I6+1,OR($K6&lt;&gt;'計算A'!$A$3,'計算A'!$A$4=0)),AND(32=$I6-1,OR(8&lt;&gt;'計算A'!$A$3,'計算A'!$A$4=0))),0,IF(8=$K6,200000,ABS(8-$K6)*100)),100000+ABS(2-$J6)*1000+80)+'計算A'!AI$5*50+IF(AND($E6=1,JV6=0),25,0),INDEX('計算A'!AI$110:AI$114,$F6+1)+IF(AND($E6=1,JV6=0),1000,0)+IF($H6=1,(IF('計算A'!AH$117=1,INDEX('計算A'!AH$10:AH$54,$B6),0)+IF('計算A'!AI$117=1,INDEX('計算A'!AJ$10:AJ$54,$B6),0))*500,0)-IF(AND('計算A'!AH$117=1,VF6&gt;0),300,0)-IF(AND($L6=1,'計算A'!AI$117=1,EH6=0),300,0))),1000000))</f>
        <v/>
      </c>
      <c r="PL6">
        <f>IF($B6=0,1000000,IF(INDEX('計算A'!$D$60:$EQ$104,$B6,33)*EH6=1,IF(AND($E6=2,JW6=0),1000000,IF($I6&gt;0,IF(2=$J6,IF(OR(AND(33=$I6+1,OR($K6&lt;&gt;'計算A'!$A$3,'計算A'!$A$4=0)),AND(33=$I6-1,OR(9&lt;&gt;'計算A'!$A$3,'計算A'!$A$4=0))),0,IF(9=$K6,200000,ABS(9-$K6)*100)),100000+ABS(2-$J6)*1000+90)+'計算A'!AJ$5*50+IF(AND($E6=1,JW6=0),25,0),INDEX('計算A'!AJ$110:AJ$114,$F6+1)+IF(AND($E6=1,JW6=0),1000,0)+IF($H6=1,(IF('計算A'!AI$117=1,INDEX('計算A'!AI$10:AI$54,$B6),0)+IF('計算A'!AJ$117=1,INDEX('計算A'!AK$10:AK$54,$B6),0))*500,0)-IF(AND('計算A'!AI$117=1,VG6&gt;0),300,0)-IF(AND($L6=1,'計算A'!AJ$117=1,EI6=0),300,0))),1000000))</f>
        <v/>
      </c>
      <c r="PM6">
        <f>IF($B6=0,1000000,IF(INDEX('計算A'!$D$60:$EQ$104,$B6,34)*EI6=1,IF(AND($E6=2,JX6=0),1000000,IF($I6&gt;0,IF(2=$J6,IF(OR(AND(34=$I6+1,OR($K6&lt;&gt;'計算A'!$A$3,'計算A'!$A$4=0)),AND(34=$I6-1,OR(10&lt;&gt;'計算A'!$A$3,'計算A'!$A$4=0))),0,IF(10=$K6,200000,ABS(10-$K6)*100)),100000+ABS(2-$J6)*1000+100)+'計算A'!AK$5*50+IF(AND($E6=1,JX6=0),25,0),INDEX('計算A'!AK$110:AK$114,$F6+1)+IF(AND($E6=1,JX6=0),1000,0)+IF($H6=1,(IF('計算A'!AJ$117=1,INDEX('計算A'!AJ$10:AJ$54,$B6),0)+IF('計算A'!AK$117=1,INDEX('計算A'!AL$10:AL$54,$B6),0))*500,0)-IF(AND('計算A'!AJ$117=1,VH6&gt;0),300,0)-IF(AND($L6=1,'計算A'!AK$117=1,EJ6=0),300,0))),1000000))</f>
        <v/>
      </c>
      <c r="PN6">
        <f>IF($B6=0,1000000,IF(INDEX('計算A'!$D$60:$EQ$104,$B6,35)*EJ6=1,IF(AND($E6=2,JY6=0),1000000,IF($I6&gt;0,IF(2=$J6,IF(OR(AND(35=$I6+1,OR($K6&lt;&gt;'計算A'!$A$3,'計算A'!$A$4=0)),AND(35=$I6-1,OR(11&lt;&gt;'計算A'!$A$3,'計算A'!$A$4=0))),0,IF(11=$K6,200000,ABS(11-$K6)*100)),100000+ABS(2-$J6)*1000+110)+'計算A'!AL$5*50+IF(AND($E6=1,JY6=0),25,0),INDEX('計算A'!AL$110:AL$114,$F6+1)+IF(AND($E6=1,JY6=0),1000,0)+IF($H6=1,(IF('計算A'!AK$117=1,INDEX('計算A'!AK$10:AK$54,$B6),0)+IF('計算A'!AL$117=1,INDEX('計算A'!AM$10:AM$54,$B6),0))*500,0)-IF(AND('計算A'!AK$117=1,VI6&gt;0),300,0)-IF(AND($L6=1,'計算A'!AL$117=1,EK6=0),300,0))),1000000))</f>
        <v/>
      </c>
      <c r="PO6">
        <f>IF($B6=0,1000000,IF(INDEX('計算A'!$D$60:$EQ$104,$B6,36)*EK6=1,IF(AND($E6=2,JZ6=0),1000000,IF($I6&gt;0,IF(2=$J6,IF(OR(AND(36=$I6+1,OR($K6&lt;&gt;'計算A'!$A$3,'計算A'!$A$4=0)),AND(36=$I6-1,OR(12&lt;&gt;'計算A'!$A$3,'計算A'!$A$4=0))),0,IF(12=$K6,200000,ABS(12-$K6)*100)),100000+ABS(2-$J6)*1000+120)+'計算A'!AM$5*50+IF(AND($E6=1,JZ6=0),25,0),INDEX('計算A'!AM$110:AM$114,$F6+1)+IF(AND($E6=1,JZ6=0),1000,0)+IF($H6=1,(IF('計算A'!AL$117=1,INDEX('計算A'!AL$10:AL$54,$B6),0)+IF('計算A'!AM$117=1,INDEX('計算A'!AN$10:AN$54,$B6),0))*500,0)-IF(AND('計算A'!AL$117=1,VJ6&gt;0),300,0)-IF(AND($L6=1,'計算A'!AM$117=1,EL6=0),300,0))),1000000))</f>
        <v/>
      </c>
      <c r="PP6">
        <f>IF($B6=0,1000000,IF(INDEX('計算A'!$D$60:$EQ$104,$B6,37)*EL6=1,IF(AND($E6=2,KA6=0),1000000,IF($I6&gt;0,IF(2=$J6,IF(OR(AND(37=$I6+1,OR($K6&lt;&gt;'計算A'!$A$3,'計算A'!$A$4=0)),AND(37=$I6-1,OR(13&lt;&gt;'計算A'!$A$3,'計算A'!$A$4=0))),0,IF(13=$K6,200000,ABS(13-$K6)*100)),100000+ABS(2-$J6)*1000+130)+'計算A'!AN$5*50+IF(AND($E6=1,KA6=0),25,0),INDEX('計算A'!AN$110:AN$114,$F6+1)+IF(AND($E6=1,KA6=0),1000,0)+IF($H6=1,(IF('計算A'!AM$117=1,INDEX('計算A'!AM$10:AM$54,$B6),0)+IF('計算A'!AN$117=1,INDEX('計算A'!AO$10:AO$54,$B6),0))*500,0)-IF(AND('計算A'!AM$117=1,VK6&gt;0),300,0)-IF(AND($L6=1,'計算A'!AN$117=1,EM6=0),300,0))),1000000))</f>
        <v/>
      </c>
      <c r="PQ6">
        <f>IF($B6=0,1000000,IF(INDEX('計算A'!$D$60:$EQ$104,$B6,38)*EM6=1,IF(AND($E6=2,KB6=0),1000000,IF($I6&gt;0,IF(2=$J6,IF(OR(AND(38=$I6+1,OR($K6&lt;&gt;'計算A'!$A$3,'計算A'!$A$4=0)),AND(38=$I6-1,OR(14&lt;&gt;'計算A'!$A$3,'計算A'!$A$4=0))),0,IF(14=$K6,200000,ABS(14-$K6)*100)),100000+ABS(2-$J6)*1000+140)+'計算A'!AO$5*50+IF(AND($E6=1,KB6=0),25,0),INDEX('計算A'!AO$110:AO$114,$F6+1)+IF(AND($E6=1,KB6=0),1000,0)+IF($H6=1,(IF('計算A'!AN$117=1,INDEX('計算A'!AN$10:AN$54,$B6),0)+IF('計算A'!AO$117=1,INDEX('計算A'!AP$10:AP$54,$B6),0))*500,0)-IF(AND('計算A'!AN$117=1,VL6&gt;0),300,0)-IF(AND($L6=1,'計算A'!AO$117=1,EN6=0),300,0))),1000000))</f>
        <v/>
      </c>
      <c r="PR6">
        <f>IF($B6=0,1000000,IF(INDEX('計算A'!$D$60:$EQ$104,$B6,39)*EN6=1,IF(AND($E6=2,KC6=0),1000000,IF($I6&gt;0,IF(2=$J6,IF(OR(AND(39=$I6+1,OR($K6&lt;&gt;'計算A'!$A$3,'計算A'!$A$4=0)),AND(39=$I6-1,OR(15&lt;&gt;'計算A'!$A$3,'計算A'!$A$4=0))),0,IF(15=$K6,200000,ABS(15-$K6)*100)),100000+ABS(2-$J6)*1000+150)+'計算A'!AP$5*50+IF(AND($E6=1,KC6=0),25,0),INDEX('計算A'!AP$110:AP$114,$F6+1)+IF(AND($E6=1,KC6=0),1000,0)+IF($H6=1,(IF('計算A'!AO$117=1,INDEX('計算A'!AO$10:AO$54,$B6),0)+IF('計算A'!AP$117=1,INDEX('計算A'!AQ$10:AQ$54,$B6),0))*500,0)-IF(AND('計算A'!AO$117=1,VM6&gt;0),300,0)-IF(AND($L6=1,'計算A'!AP$117=1,EO6=0),300,0))),1000000))</f>
        <v/>
      </c>
      <c r="PS6">
        <f>IF($B6=0,1000000,IF(INDEX('計算A'!$D$60:$EQ$104,$B6,40)*EO6=1,IF(AND($E6=2,KD6=0),1000000,IF($I6&gt;0,IF(2=$J6,IF(OR(AND(40=$I6+1,OR($K6&lt;&gt;'計算A'!$A$3,'計算A'!$A$4=0)),AND(40=$I6-1,OR(16&lt;&gt;'計算A'!$A$3,'計算A'!$A$4=0))),0,IF(16=$K6,200000,ABS(16-$K6)*100)),100000+ABS(2-$J6)*1000+160)+'計算A'!AQ$5*50+IF(AND($E6=1,KD6=0),25,0),INDEX('計算A'!AQ$110:AQ$114,$F6+1)+IF(AND($E6=1,KD6=0),1000,0)+IF($H6=1,(IF('計算A'!AP$117=1,INDEX('計算A'!AP$10:AP$54,$B6),0)+IF('計算A'!AQ$117=1,INDEX('計算A'!AR$10:AR$54,$B6),0))*500,0)-IF(AND('計算A'!AP$117=1,VN6&gt;0),300,0)-IF(AND($L6=1,'計算A'!AQ$117=1,EP6=0),300,0))),1000000))</f>
        <v/>
      </c>
      <c r="PT6">
        <f>IF($B6=0,1000000,IF(INDEX('計算A'!$D$60:$EQ$104,$B6,41)*EP6=1,IF(AND($E6=2,KE6=0),1000000,IF($I6&gt;0,IF(2=$J6,IF(OR(AND(41=$I6+1,OR($K6&lt;&gt;'計算A'!$A$3,'計算A'!$A$4=0)),AND(41=$I6-1,OR(17&lt;&gt;'計算A'!$A$3,'計算A'!$A$4=0))),0,IF(17=$K6,200000,ABS(17-$K6)*100)),100000+ABS(2-$J6)*1000+170)+'計算A'!AR$5*50+IF(AND($E6=1,KE6=0),25,0),INDEX('計算A'!AR$110:AR$114,$F6+1)+IF(AND($E6=1,KE6=0),1000,0)+IF($H6=1,(IF('計算A'!AQ$117=1,INDEX('計算A'!AQ$10:AQ$54,$B6),0)+IF('計算A'!AR$117=1,INDEX('計算A'!AS$10:AS$54,$B6),0))*500,0)-IF(AND('計算A'!AQ$117=1,VO6&gt;0),300,0)-IF(AND($L6=1,'計算A'!AR$117=1,EQ6=0),300,0))),1000000))</f>
        <v/>
      </c>
      <c r="PU6">
        <f>IF($B6=0,1000000,IF(INDEX('計算A'!$D$60:$EQ$104,$B6,42)*EQ6=1,IF(AND($E6=2,KF6=0),1000000,IF($I6&gt;0,IF(2=$J6,IF(OR(AND(42=$I6+1,OR($K6&lt;&gt;'計算A'!$A$3,'計算A'!$A$4=0)),AND(42=$I6-1,OR(18&lt;&gt;'計算A'!$A$3,'計算A'!$A$4=0))),0,IF(18=$K6,200000,ABS(18-$K6)*100)),100000+ABS(2-$J6)*1000+180)+'計算A'!AS$5*50+IF(AND($E6=1,KF6=0),25,0),INDEX('計算A'!AS$110:AS$114,$F6+1)+IF(AND($E6=1,KF6=0),1000,0)+IF($H6=1,(IF('計算A'!AR$117=1,INDEX('計算A'!AR$10:AR$54,$B6),0)+IF('計算A'!AS$117=1,INDEX('計算A'!AT$10:AT$54,$B6),0))*500,0)-IF(AND('計算A'!AR$117=1,VP6&gt;0),300,0)-IF(AND($L6=1,'計算A'!AS$117=1,ER6=0),300,0))),1000000))</f>
        <v/>
      </c>
      <c r="PV6">
        <f>IF($B6=0,1000000,IF(INDEX('計算A'!$D$60:$EQ$104,$B6,43)*ER6=1,IF(AND($E6=2,KG6=0),1000000,IF($I6&gt;0,IF(2=$J6,IF(OR(AND(43=$I6+1,OR($K6&lt;&gt;'計算A'!$A$3,'計算A'!$A$4=0)),AND(43=$I6-1,OR(19&lt;&gt;'計算A'!$A$3,'計算A'!$A$4=0))),0,IF(19=$K6,200000,ABS(19-$K6)*100)),100000+ABS(2-$J6)*1000+190)+'計算A'!AT$5*50+IF(AND($E6=1,KG6=0),25,0),INDEX('計算A'!AT$110:AT$114,$F6+1)+IF(AND($E6=1,KG6=0),1000,0)+IF($H6=1,(IF('計算A'!AS$117=1,INDEX('計算A'!AS$10:AS$54,$B6),0)+IF('計算A'!AT$117=1,INDEX('計算A'!AU$10:AU$54,$B6),0))*500,0)-IF(AND('計算A'!AS$117=1,VQ6&gt;0),300,0)-IF(AND($L6=1,'計算A'!AT$117=1,ES6=0),300,0))),1000000))</f>
        <v/>
      </c>
      <c r="PW6">
        <f>IF($B6=0,1000000,IF(INDEX('計算A'!$D$60:$EQ$104,$B6,44)*ES6=1,IF(AND($E6=2,KH6=0),1000000,IF($I6&gt;0,IF(2=$J6,IF(OR(AND(44=$I6+1,OR($K6&lt;&gt;'計算A'!$A$3,'計算A'!$A$4=0)),AND(44=$I6-1,OR(20&lt;&gt;'計算A'!$A$3,'計算A'!$A$4=0))),0,IF(20=$K6,200000,ABS(20-$K6)*100)),100000+ABS(2-$J6)*1000+200)+'計算A'!AU$5*50+IF(AND($E6=1,KH6=0),25,0),INDEX('計算A'!AU$110:AU$114,$F6+1)+IF(AND($E6=1,KH6=0),1000,0)+IF($H6=1,(IF('計算A'!AT$117=1,INDEX('計算A'!AT$10:AT$54,$B6),0)+IF('計算A'!AU$117=1,INDEX('計算A'!AV$10:AV$54,$B6),0))*500,0)-IF(AND('計算A'!AT$117=1,VR6&gt;0),300,0)-IF(AND($L6=1,'計算A'!AU$117=1,ET6=0),300,0))),1000000))</f>
        <v/>
      </c>
      <c r="PX6">
        <f>IF($B6=0,1000000,IF(INDEX('計算A'!$D$60:$EQ$104,$B6,45)*ET6=1,IF(AND($E6=2,KI6=0),1000000,IF($I6&gt;0,IF(2=$J6,IF(OR(AND(45=$I6+1,OR($K6&lt;&gt;'計算A'!$A$3,'計算A'!$A$4=0)),AND(45=$I6-1,OR(21&lt;&gt;'計算A'!$A$3,'計算A'!$A$4=0))),0,IF(21=$K6,200000,ABS(21-$K6)*100)),100000+ABS(2-$J6)*1000+210)+'計算A'!AV$5*50+IF(AND($E6=1,KI6=0),25,0),INDEX('計算A'!AV$110:AV$114,$F6+1)+IF(AND($E6=1,KI6=0),1000,0)+IF($H6=1,(IF('計算A'!AU$117=1,INDEX('計算A'!AU$10:AU$54,$B6),0)+IF('計算A'!AV$117=1,INDEX('計算A'!AW$10:AW$54,$B6),0))*500,0)-IF(AND('計算A'!AU$117=1,VS6&gt;0),300,0)-IF(AND($L6=1,'計算A'!AV$117=1,EU6=0),300,0))),1000000))</f>
        <v/>
      </c>
      <c r="PY6">
        <f>IF($B6=0,1000000,IF(INDEX('計算A'!$D$60:$EQ$104,$B6,46)*EU6=1,IF(AND($E6=2,KJ6=0),1000000,IF($I6&gt;0,IF(2=$J6,IF(OR(AND(46=$I6+1,OR($K6&lt;&gt;'計算A'!$A$3,'計算A'!$A$4=0)),AND(46=$I6-1,OR(22&lt;&gt;'計算A'!$A$3,'計算A'!$A$4=0))),0,IF(22=$K6,200000,ABS(22-$K6)*100)),100000+ABS(2-$J6)*1000+220)+'計算A'!AW$5*50+IF(AND($E6=1,KJ6=0),25,0),INDEX('計算A'!AW$110:AW$114,$F6+1)+IF(AND($E6=1,KJ6=0),1000,0)+IF($H6=1,(IF('計算A'!AV$117=1,INDEX('計算A'!AV$10:AV$54,$B6),0)+IF('計算A'!AW$117=1,INDEX('計算A'!AX$10:AX$54,$B6),0))*500,0)-IF(AND('計算A'!AV$117=1,VT6&gt;0),300,0)-IF(AND($L6=1,'計算A'!AW$117=1,EV6=0),300,0))),1000000))</f>
        <v/>
      </c>
      <c r="PZ6">
        <f>IF($B6=0,1000000,IF(INDEX('計算A'!$D$60:$EQ$104,$B6,47)*EV6=1,IF(AND($E6=2,KK6=0),1000000,IF($I6&gt;0,IF(2=$J6,IF(OR(AND(47=$I6+1,OR($K6&lt;&gt;'計算A'!$A$3,'計算A'!$A$4=0)),AND(47=$I6-1,OR(23&lt;&gt;'計算A'!$A$3,'計算A'!$A$4=0))),0,IF(23=$K6,200000,ABS(23-$K6)*100)),100000+ABS(2-$J6)*1000+230)+'計算A'!AX$5*50+IF(AND($E6=1,KK6=0),25,0),INDEX('計算A'!AX$110:AX$114,$F6+1)+IF(AND($E6=1,KK6=0),1000,0)+IF($H6=1,(IF('計算A'!AW$117=1,INDEX('計算A'!AW$10:AW$54,$B6),0)+IF('計算A'!AX$117=1,INDEX('計算A'!AY$10:AY$54,$B6),0))*500,0)-IF(AND('計算A'!AW$117=1,VU6&gt;0),300,0)-IF(AND($L6=1,'計算A'!AX$117=1,EW6=0),300,0))),1000000))</f>
        <v/>
      </c>
      <c r="QA6">
        <f>IF($B6=0,1000000,IF(INDEX('計算A'!$D$60:$EQ$104,$B6,48)*EW6=1,IF(AND($E6=2,KL6=0),1000000,IF($I6&gt;0,IF(2=$J6,IF(OR(AND(48=$I6+1,OR($K6&lt;&gt;'計算A'!$A$3,'計算A'!$A$4=0)),AND(48=$I6-1,OR(24&lt;&gt;'計算A'!$A$3,'計算A'!$A$4=0))),0,IF(24=$K6,200000,ABS(24-$K6)*100)),100000+ABS(2-$J6)*1000+240)+'計算A'!AY$5*50+IF(AND($E6=1,KL6=0),25,0),INDEX('計算A'!AY$110:AY$114,$F6+1)+IF(AND($E6=1,KL6=0),1000,0)+IF($H6=1,(IF('計算A'!AX$117=1,INDEX('計算A'!AX$10:AX$54,$B6),0))*500,0)-IF(AND('計算A'!AX$117=1,VV6&gt;0),300,0))),1000000))</f>
        <v/>
      </c>
      <c r="QB6">
        <f>IF($B6=0,1000000,IF(INDEX('計算A'!$D$60:$EQ$104,$B6,49)*EX6=1,IF(AND($E6=2,KM6=0),1000000,IF($I6&gt;0,IF(3=$J6,IF(OR(AND(49=$I6+1,OR($K6&lt;&gt;'計算A'!$A$3,'計算A'!$A$4=0)),AND(49=$I6-1,OR(1&lt;&gt;'計算A'!$A$3,'計算A'!$A$4=0))),0,IF(1=$K6,200000,ABS(1-$K6)*100)),100000+ABS(3-$J6)*1000+10)+'計算A'!AZ$5*50+IF(AND($E6=1,KM6=0),25,0),INDEX('計算A'!AZ$110:AZ$114,$F6+1)+IF(AND($E6=1,KM6=0),1000,0)+IF($H6=1,(IF('計算A'!AZ$117=1,INDEX('計算A'!BA$10:BA$54,$B6),0))*500,0)-IF(AND($L6=1,'計算A'!AZ$117=1,EY6=0),300,0))),1000000))</f>
        <v/>
      </c>
      <c r="QC6">
        <f>IF($B6=0,1000000,IF(INDEX('計算A'!$D$60:$EQ$104,$B6,50)*EY6=1,IF(AND($E6=2,KN6=0),1000000,IF($I6&gt;0,IF(3=$J6,IF(OR(AND(50=$I6+1,OR($K6&lt;&gt;'計算A'!$A$3,'計算A'!$A$4=0)),AND(50=$I6-1,OR(2&lt;&gt;'計算A'!$A$3,'計算A'!$A$4=0))),0,IF(2=$K6,200000,ABS(2-$K6)*100)),100000+ABS(3-$J6)*1000+20)+'計算A'!BA$5*50+IF(AND($E6=1,KN6=0),25,0),INDEX('計算A'!BA$110:BA$114,$F6+1)+IF(AND($E6=1,KN6=0),1000,0)+IF($H6=1,(IF('計算A'!AZ$117=1,INDEX('計算A'!AZ$10:AZ$54,$B6),0)+IF('計算A'!BA$117=1,INDEX('計算A'!BB$10:BB$54,$B6),0))*500,0)-IF(AND('計算A'!AZ$117=1,VX6&gt;0),300,0)-IF(AND($L6=1,'計算A'!BA$117=1,EZ6=0),300,0))),1000000))</f>
        <v/>
      </c>
      <c r="QD6">
        <f>IF($B6=0,1000000,IF(INDEX('計算A'!$D$60:$EQ$104,$B6,51)*EZ6=1,IF(AND($E6=2,KO6=0),1000000,IF($I6&gt;0,IF(3=$J6,IF(OR(AND(51=$I6+1,OR($K6&lt;&gt;'計算A'!$A$3,'計算A'!$A$4=0)),AND(51=$I6-1,OR(3&lt;&gt;'計算A'!$A$3,'計算A'!$A$4=0))),0,IF(3=$K6,200000,ABS(3-$K6)*100)),100000+ABS(3-$J6)*1000+30)+'計算A'!BB$5*50+IF(AND($E6=1,KO6=0),25,0),INDEX('計算A'!BB$110:BB$114,$F6+1)+IF(AND($E6=1,KO6=0),1000,0)+IF($H6=1,(IF('計算A'!BA$117=1,INDEX('計算A'!BA$10:BA$54,$B6),0)+IF('計算A'!BB$117=1,INDEX('計算A'!BC$10:BC$54,$B6),0))*500,0)-IF(AND('計算A'!BA$117=1,VY6&gt;0),300,0)-IF(AND($L6=1,'計算A'!BB$117=1,FA6=0),300,0))),1000000))</f>
        <v/>
      </c>
      <c r="QE6">
        <f>IF($B6=0,1000000,IF(INDEX('計算A'!$D$60:$EQ$104,$B6,52)*FA6=1,IF(AND($E6=2,KP6=0),1000000,IF($I6&gt;0,IF(3=$J6,IF(OR(AND(52=$I6+1,OR($K6&lt;&gt;'計算A'!$A$3,'計算A'!$A$4=0)),AND(52=$I6-1,OR(4&lt;&gt;'計算A'!$A$3,'計算A'!$A$4=0))),0,IF(4=$K6,200000,ABS(4-$K6)*100)),100000+ABS(3-$J6)*1000+40)+'計算A'!BC$5*50+IF(AND($E6=1,KP6=0),25,0),INDEX('計算A'!BC$110:BC$114,$F6+1)+IF(AND($E6=1,KP6=0),1000,0)+IF($H6=1,(IF('計算A'!BB$117=1,INDEX('計算A'!BB$10:BB$54,$B6),0)+IF('計算A'!BC$117=1,INDEX('計算A'!BD$10:BD$54,$B6),0))*500,0)-IF(AND('計算A'!BB$117=1,VZ6&gt;0),300,0)-IF(AND($L6=1,'計算A'!BC$117=1,FB6=0),300,0))),1000000))</f>
        <v/>
      </c>
      <c r="QF6">
        <f>IF($B6=0,1000000,IF(INDEX('計算A'!$D$60:$EQ$104,$B6,53)*FB6=1,IF(AND($E6=2,KQ6=0),1000000,IF($I6&gt;0,IF(3=$J6,IF(OR(AND(53=$I6+1,OR($K6&lt;&gt;'計算A'!$A$3,'計算A'!$A$4=0)),AND(53=$I6-1,OR(5&lt;&gt;'計算A'!$A$3,'計算A'!$A$4=0))),0,IF(5=$K6,200000,ABS(5-$K6)*100)),100000+ABS(3-$J6)*1000+50)+'計算A'!BD$5*50+IF(AND($E6=1,KQ6=0),25,0),INDEX('計算A'!BD$110:BD$114,$F6+1)+IF(AND($E6=1,KQ6=0),1000,0)+IF($H6=1,(IF('計算A'!BC$117=1,INDEX('計算A'!BC$10:BC$54,$B6),0)+IF('計算A'!BD$117=1,INDEX('計算A'!BE$10:BE$54,$B6),0))*500,0)-IF(AND('計算A'!BC$117=1,WA6&gt;0),300,0)-IF(AND($L6=1,'計算A'!BD$117=1,FC6=0),300,0))),1000000))</f>
        <v/>
      </c>
      <c r="QG6">
        <f>IF($B6=0,1000000,IF(INDEX('計算A'!$D$60:$EQ$104,$B6,54)*FC6=1,IF(AND($E6=2,KR6=0),1000000,IF($I6&gt;0,IF(3=$J6,IF(OR(AND(54=$I6+1,OR($K6&lt;&gt;'計算A'!$A$3,'計算A'!$A$4=0)),AND(54=$I6-1,OR(6&lt;&gt;'計算A'!$A$3,'計算A'!$A$4=0))),0,IF(6=$K6,200000,ABS(6-$K6)*100)),100000+ABS(3-$J6)*1000+60)+'計算A'!BE$5*50+IF(AND($E6=1,KR6=0),25,0),INDEX('計算A'!BE$110:BE$114,$F6+1)+IF(AND($E6=1,KR6=0),1000,0)+IF($H6=1,(IF('計算A'!BD$117=1,INDEX('計算A'!BD$10:BD$54,$B6),0)+IF('計算A'!BE$117=1,INDEX('計算A'!BF$10:BF$54,$B6),0))*500,0)-IF(AND('計算A'!BD$117=1,WB6&gt;0),300,0)-IF(AND($L6=1,'計算A'!BE$117=1,FD6=0),300,0))),1000000))</f>
        <v/>
      </c>
      <c r="QH6">
        <f>IF($B6=0,1000000,IF(INDEX('計算A'!$D$60:$EQ$104,$B6,55)*FD6=1,IF(AND($E6=2,KS6=0),1000000,IF($I6&gt;0,IF(3=$J6,IF(OR(AND(55=$I6+1,OR($K6&lt;&gt;'計算A'!$A$3,'計算A'!$A$4=0)),AND(55=$I6-1,OR(7&lt;&gt;'計算A'!$A$3,'計算A'!$A$4=0))),0,IF(7=$K6,200000,ABS(7-$K6)*100)),100000+ABS(3-$J6)*1000+70)+'計算A'!BF$5*50+IF(AND($E6=1,KS6=0),25,0),INDEX('計算A'!BF$110:BF$114,$F6+1)+IF(AND($E6=1,KS6=0),1000,0)+IF($H6=1,(IF('計算A'!BE$117=1,INDEX('計算A'!BE$10:BE$54,$B6),0)+IF('計算A'!BF$117=1,INDEX('計算A'!BG$10:BG$54,$B6),0))*500,0)-IF(AND('計算A'!BE$117=1,WC6&gt;0),300,0)-IF(AND($L6=1,'計算A'!BF$117=1,FE6=0),300,0))),1000000))</f>
        <v/>
      </c>
      <c r="QI6">
        <f>IF($B6=0,1000000,IF(INDEX('計算A'!$D$60:$EQ$104,$B6,56)*FE6=1,IF(AND($E6=2,KT6=0),1000000,IF($I6&gt;0,IF(3=$J6,IF(OR(AND(56=$I6+1,OR($K6&lt;&gt;'計算A'!$A$3,'計算A'!$A$4=0)),AND(56=$I6-1,OR(8&lt;&gt;'計算A'!$A$3,'計算A'!$A$4=0))),0,IF(8=$K6,200000,ABS(8-$K6)*100)),100000+ABS(3-$J6)*1000+80)+'計算A'!BG$5*50+IF(AND($E6=1,KT6=0),25,0),INDEX('計算A'!BG$110:BG$114,$F6+1)+IF(AND($E6=1,KT6=0),1000,0)+IF($H6=1,(IF('計算A'!BF$117=1,INDEX('計算A'!BF$10:BF$54,$B6),0)+IF('計算A'!BG$117=1,INDEX('計算A'!BH$10:BH$54,$B6),0))*500,0)-IF(AND('計算A'!BF$117=1,WD6&gt;0),300,0)-IF(AND($L6=1,'計算A'!BG$117=1,FF6=0),300,0))),1000000))</f>
        <v/>
      </c>
      <c r="QJ6">
        <f>IF($B6=0,1000000,IF(INDEX('計算A'!$D$60:$EQ$104,$B6,57)*FF6=1,IF(AND($E6=2,KU6=0),1000000,IF($I6&gt;0,IF(3=$J6,IF(OR(AND(57=$I6+1,OR($K6&lt;&gt;'計算A'!$A$3,'計算A'!$A$4=0)),AND(57=$I6-1,OR(9&lt;&gt;'計算A'!$A$3,'計算A'!$A$4=0))),0,IF(9=$K6,200000,ABS(9-$K6)*100)),100000+ABS(3-$J6)*1000+90)+'計算A'!BH$5*50+IF(AND($E6=1,KU6=0),25,0),INDEX('計算A'!BH$110:BH$114,$F6+1)+IF(AND($E6=1,KU6=0),1000,0)+IF($H6=1,(IF('計算A'!BG$117=1,INDEX('計算A'!BG$10:BG$54,$B6),0)+IF('計算A'!BH$117=1,INDEX('計算A'!BI$10:BI$54,$B6),0))*500,0)-IF(AND('計算A'!BG$117=1,WE6&gt;0),300,0)-IF(AND($L6=1,'計算A'!BH$117=1,FG6=0),300,0))),1000000))</f>
        <v/>
      </c>
      <c r="QK6">
        <f>IF($B6=0,1000000,IF(INDEX('計算A'!$D$60:$EQ$104,$B6,58)*FG6=1,IF(AND($E6=2,KV6=0),1000000,IF($I6&gt;0,IF(3=$J6,IF(OR(AND(58=$I6+1,OR($K6&lt;&gt;'計算A'!$A$3,'計算A'!$A$4=0)),AND(58=$I6-1,OR(10&lt;&gt;'計算A'!$A$3,'計算A'!$A$4=0))),0,IF(10=$K6,200000,ABS(10-$K6)*100)),100000+ABS(3-$J6)*1000+100)+'計算A'!BI$5*50+IF(AND($E6=1,KV6=0),25,0),INDEX('計算A'!BI$110:BI$114,$F6+1)+IF(AND($E6=1,KV6=0),1000,0)+IF($H6=1,(IF('計算A'!BH$117=1,INDEX('計算A'!BH$10:BH$54,$B6),0)+IF('計算A'!BI$117=1,INDEX('計算A'!BJ$10:BJ$54,$B6),0))*500,0)-IF(AND('計算A'!BH$117=1,WF6&gt;0),300,0)-IF(AND($L6=1,'計算A'!BI$117=1,FH6=0),300,0))),1000000))</f>
        <v/>
      </c>
      <c r="QL6">
        <f>IF($B6=0,1000000,IF(INDEX('計算A'!$D$60:$EQ$104,$B6,59)*FH6=1,IF(AND($E6=2,KW6=0),1000000,IF($I6&gt;0,IF(3=$J6,IF(OR(AND(59=$I6+1,OR($K6&lt;&gt;'計算A'!$A$3,'計算A'!$A$4=0)),AND(59=$I6-1,OR(11&lt;&gt;'計算A'!$A$3,'計算A'!$A$4=0))),0,IF(11=$K6,200000,ABS(11-$K6)*100)),100000+ABS(3-$J6)*1000+110)+'計算A'!BJ$5*50+IF(AND($E6=1,KW6=0),25,0),INDEX('計算A'!BJ$110:BJ$114,$F6+1)+IF(AND($E6=1,KW6=0),1000,0)+IF($H6=1,(IF('計算A'!BI$117=1,INDEX('計算A'!BI$10:BI$54,$B6),0)+IF('計算A'!BJ$117=1,INDEX('計算A'!BK$10:BK$54,$B6),0))*500,0)-IF(AND('計算A'!BI$117=1,WG6&gt;0),300,0)-IF(AND($L6=1,'計算A'!BJ$117=1,FI6=0),300,0))),1000000))</f>
        <v/>
      </c>
      <c r="QM6">
        <f>IF($B6=0,1000000,IF(INDEX('計算A'!$D$60:$EQ$104,$B6,60)*FI6=1,IF(AND($E6=2,KX6=0),1000000,IF($I6&gt;0,IF(3=$J6,IF(OR(AND(60=$I6+1,OR($K6&lt;&gt;'計算A'!$A$3,'計算A'!$A$4=0)),AND(60=$I6-1,OR(12&lt;&gt;'計算A'!$A$3,'計算A'!$A$4=0))),0,IF(12=$K6,200000,ABS(12-$K6)*100)),100000+ABS(3-$J6)*1000+120)+'計算A'!BK$5*50+IF(AND($E6=1,KX6=0),25,0),INDEX('計算A'!BK$110:BK$114,$F6+1)+IF(AND($E6=1,KX6=0),1000,0)+IF($H6=1,(IF('計算A'!BJ$117=1,INDEX('計算A'!BJ$10:BJ$54,$B6),0)+IF('計算A'!BK$117=1,INDEX('計算A'!BL$10:BL$54,$B6),0))*500,0)-IF(AND('計算A'!BJ$117=1,WH6&gt;0),300,0)-IF(AND($L6=1,'計算A'!BK$117=1,FJ6=0),300,0))),1000000))</f>
        <v/>
      </c>
      <c r="QN6">
        <f>IF($B6=0,1000000,IF(INDEX('計算A'!$D$60:$EQ$104,$B6,61)*FJ6=1,IF(AND($E6=2,KY6=0),1000000,IF($I6&gt;0,IF(3=$J6,IF(OR(AND(61=$I6+1,OR($K6&lt;&gt;'計算A'!$A$3,'計算A'!$A$4=0)),AND(61=$I6-1,OR(13&lt;&gt;'計算A'!$A$3,'計算A'!$A$4=0))),0,IF(13=$K6,200000,ABS(13-$K6)*100)),100000+ABS(3-$J6)*1000+130)+'計算A'!BL$5*50+IF(AND($E6=1,KY6=0),25,0),INDEX('計算A'!BL$110:BL$114,$F6+1)+IF(AND($E6=1,KY6=0),1000,0)+IF($H6=1,(IF('計算A'!BK$117=1,INDEX('計算A'!BK$10:BK$54,$B6),0)+IF('計算A'!BL$117=1,INDEX('計算A'!BM$10:BM$54,$B6),0))*500,0)-IF(AND('計算A'!BK$117=1,WI6&gt;0),300,0)-IF(AND($L6=1,'計算A'!BL$117=1,FK6=0),300,0))),1000000))</f>
        <v/>
      </c>
      <c r="QO6">
        <f>IF($B6=0,1000000,IF(INDEX('計算A'!$D$60:$EQ$104,$B6,62)*FK6=1,IF(AND($E6=2,KZ6=0),1000000,IF($I6&gt;0,IF(3=$J6,IF(OR(AND(62=$I6+1,OR($K6&lt;&gt;'計算A'!$A$3,'計算A'!$A$4=0)),AND(62=$I6-1,OR(14&lt;&gt;'計算A'!$A$3,'計算A'!$A$4=0))),0,IF(14=$K6,200000,ABS(14-$K6)*100)),100000+ABS(3-$J6)*1000+140)+'計算A'!BM$5*50+IF(AND($E6=1,KZ6=0),25,0),INDEX('計算A'!BM$110:BM$114,$F6+1)+IF(AND($E6=1,KZ6=0),1000,0)+IF($H6=1,(IF('計算A'!BL$117=1,INDEX('計算A'!BL$10:BL$54,$B6),0)+IF('計算A'!BM$117=1,INDEX('計算A'!BN$10:BN$54,$B6),0))*500,0)-IF(AND('計算A'!BL$117=1,WJ6&gt;0),300,0)-IF(AND($L6=1,'計算A'!BM$117=1,FL6=0),300,0))),1000000))</f>
        <v/>
      </c>
      <c r="QP6">
        <f>IF($B6=0,1000000,IF(INDEX('計算A'!$D$60:$EQ$104,$B6,63)*FL6=1,IF(AND($E6=2,LA6=0),1000000,IF($I6&gt;0,IF(3=$J6,IF(OR(AND(63=$I6+1,OR($K6&lt;&gt;'計算A'!$A$3,'計算A'!$A$4=0)),AND(63=$I6-1,OR(15&lt;&gt;'計算A'!$A$3,'計算A'!$A$4=0))),0,IF(15=$K6,200000,ABS(15-$K6)*100)),100000+ABS(3-$J6)*1000+150)+'計算A'!BN$5*50+IF(AND($E6=1,LA6=0),25,0),INDEX('計算A'!BN$110:BN$114,$F6+1)+IF(AND($E6=1,LA6=0),1000,0)+IF($H6=1,(IF('計算A'!BM$117=1,INDEX('計算A'!BM$10:BM$54,$B6),0)+IF('計算A'!BN$117=1,INDEX('計算A'!BO$10:BO$54,$B6),0))*500,0)-IF(AND('計算A'!BM$117=1,WK6&gt;0),300,0)-IF(AND($L6=1,'計算A'!BN$117=1,FM6=0),300,0))),1000000))</f>
        <v/>
      </c>
      <c r="QQ6">
        <f>IF($B6=0,1000000,IF(INDEX('計算A'!$D$60:$EQ$104,$B6,64)*FM6=1,IF(AND($E6=2,LB6=0),1000000,IF($I6&gt;0,IF(3=$J6,IF(OR(AND(64=$I6+1,OR($K6&lt;&gt;'計算A'!$A$3,'計算A'!$A$4=0)),AND(64=$I6-1,OR(16&lt;&gt;'計算A'!$A$3,'計算A'!$A$4=0))),0,IF(16=$K6,200000,ABS(16-$K6)*100)),100000+ABS(3-$J6)*1000+160)+'計算A'!BO$5*50+IF(AND($E6=1,LB6=0),25,0),INDEX('計算A'!BO$110:BO$114,$F6+1)+IF(AND($E6=1,LB6=0),1000,0)+IF($H6=1,(IF('計算A'!BN$117=1,INDEX('計算A'!BN$10:BN$54,$B6),0)+IF('計算A'!BO$117=1,INDEX('計算A'!BP$10:BP$54,$B6),0))*500,0)-IF(AND('計算A'!BN$117=1,WL6&gt;0),300,0)-IF(AND($L6=1,'計算A'!BO$117=1,FN6=0),300,0))),1000000))</f>
        <v/>
      </c>
      <c r="QR6">
        <f>IF($B6=0,1000000,IF(INDEX('計算A'!$D$60:$EQ$104,$B6,65)*FN6=1,IF(AND($E6=2,LC6=0),1000000,IF($I6&gt;0,IF(3=$J6,IF(OR(AND(65=$I6+1,OR($K6&lt;&gt;'計算A'!$A$3,'計算A'!$A$4=0)),AND(65=$I6-1,OR(17&lt;&gt;'計算A'!$A$3,'計算A'!$A$4=0))),0,IF(17=$K6,200000,ABS(17-$K6)*100)),100000+ABS(3-$J6)*1000+170)+'計算A'!BP$5*50+IF(AND($E6=1,LC6=0),25,0),INDEX('計算A'!BP$110:BP$114,$F6+1)+IF(AND($E6=1,LC6=0),1000,0)+IF($H6=1,(IF('計算A'!BO$117=1,INDEX('計算A'!BO$10:BO$54,$B6),0)+IF('計算A'!BP$117=1,INDEX('計算A'!BQ$10:BQ$54,$B6),0))*500,0)-IF(AND('計算A'!BO$117=1,WM6&gt;0),300,0)-IF(AND($L6=1,'計算A'!BP$117=1,FO6=0),300,0))),1000000))</f>
        <v/>
      </c>
      <c r="QS6">
        <f>IF($B6=0,1000000,IF(INDEX('計算A'!$D$60:$EQ$104,$B6,66)*FO6=1,IF(AND($E6=2,LD6=0),1000000,IF($I6&gt;0,IF(3=$J6,IF(OR(AND(66=$I6+1,OR($K6&lt;&gt;'計算A'!$A$3,'計算A'!$A$4=0)),AND(66=$I6-1,OR(18&lt;&gt;'計算A'!$A$3,'計算A'!$A$4=0))),0,IF(18=$K6,200000,ABS(18-$K6)*100)),100000+ABS(3-$J6)*1000+180)+'計算A'!BQ$5*50+IF(AND($E6=1,LD6=0),25,0),INDEX('計算A'!BQ$110:BQ$114,$F6+1)+IF(AND($E6=1,LD6=0),1000,0)+IF($H6=1,(IF('計算A'!BP$117=1,INDEX('計算A'!BP$10:BP$54,$B6),0)+IF('計算A'!BQ$117=1,INDEX('計算A'!BR$10:BR$54,$B6),0))*500,0)-IF(AND('計算A'!BP$117=1,WN6&gt;0),300,0)-IF(AND($L6=1,'計算A'!BQ$117=1,FP6=0),300,0))),1000000))</f>
        <v/>
      </c>
      <c r="QT6">
        <f>IF($B6=0,1000000,IF(INDEX('計算A'!$D$60:$EQ$104,$B6,67)*FP6=1,IF(AND($E6=2,LE6=0),1000000,IF($I6&gt;0,IF(3=$J6,IF(OR(AND(67=$I6+1,OR($K6&lt;&gt;'計算A'!$A$3,'計算A'!$A$4=0)),AND(67=$I6-1,OR(19&lt;&gt;'計算A'!$A$3,'計算A'!$A$4=0))),0,IF(19=$K6,200000,ABS(19-$K6)*100)),100000+ABS(3-$J6)*1000+190)+'計算A'!BR$5*50+IF(AND($E6=1,LE6=0),25,0),INDEX('計算A'!BR$110:BR$114,$F6+1)+IF(AND($E6=1,LE6=0),1000,0)+IF($H6=1,(IF('計算A'!BQ$117=1,INDEX('計算A'!BQ$10:BQ$54,$B6),0)+IF('計算A'!BR$117=1,INDEX('計算A'!BS$10:BS$54,$B6),0))*500,0)-IF(AND('計算A'!BQ$117=1,WO6&gt;0),300,0)-IF(AND($L6=1,'計算A'!BR$117=1,FQ6=0),300,0))),1000000))</f>
        <v/>
      </c>
      <c r="QU6">
        <f>IF($B6=0,1000000,IF(INDEX('計算A'!$D$60:$EQ$104,$B6,68)*FQ6=1,IF(AND($E6=2,LF6=0),1000000,IF($I6&gt;0,IF(3=$J6,IF(OR(AND(68=$I6+1,OR($K6&lt;&gt;'計算A'!$A$3,'計算A'!$A$4=0)),AND(68=$I6-1,OR(20&lt;&gt;'計算A'!$A$3,'計算A'!$A$4=0))),0,IF(20=$K6,200000,ABS(20-$K6)*100)),100000+ABS(3-$J6)*1000+200)+'計算A'!BS$5*50+IF(AND($E6=1,LF6=0),25,0),INDEX('計算A'!BS$110:BS$114,$F6+1)+IF(AND($E6=1,LF6=0),1000,0)+IF($H6=1,(IF('計算A'!BR$117=1,INDEX('計算A'!BR$10:BR$54,$B6),0)+IF('計算A'!BS$117=1,INDEX('計算A'!BT$10:BT$54,$B6),0))*500,0)-IF(AND('計算A'!BR$117=1,WP6&gt;0),300,0)-IF(AND($L6=1,'計算A'!BS$117=1,FR6=0),300,0))),1000000))</f>
        <v/>
      </c>
      <c r="QV6">
        <f>IF($B6=0,1000000,IF(INDEX('計算A'!$D$60:$EQ$104,$B6,69)*FR6=1,IF(AND($E6=2,LG6=0),1000000,IF($I6&gt;0,IF(3=$J6,IF(OR(AND(69=$I6+1,OR($K6&lt;&gt;'計算A'!$A$3,'計算A'!$A$4=0)),AND(69=$I6-1,OR(21&lt;&gt;'計算A'!$A$3,'計算A'!$A$4=0))),0,IF(21=$K6,200000,ABS(21-$K6)*100)),100000+ABS(3-$J6)*1000+210)+'計算A'!BT$5*50+IF(AND($E6=1,LG6=0),25,0),INDEX('計算A'!BT$110:BT$114,$F6+1)+IF(AND($E6=1,LG6=0),1000,0)+IF($H6=1,(IF('計算A'!BS$117=1,INDEX('計算A'!BS$10:BS$54,$B6),0)+IF('計算A'!BT$117=1,INDEX('計算A'!BU$10:BU$54,$B6),0))*500,0)-IF(AND('計算A'!BS$117=1,WQ6&gt;0),300,0)-IF(AND($L6=1,'計算A'!BT$117=1,FS6=0),300,0))),1000000))</f>
        <v/>
      </c>
      <c r="QW6">
        <f>IF($B6=0,1000000,IF(INDEX('計算A'!$D$60:$EQ$104,$B6,70)*FS6=1,IF(AND($E6=2,LH6=0),1000000,IF($I6&gt;0,IF(3=$J6,IF(OR(AND(70=$I6+1,OR($K6&lt;&gt;'計算A'!$A$3,'計算A'!$A$4=0)),AND(70=$I6-1,OR(22&lt;&gt;'計算A'!$A$3,'計算A'!$A$4=0))),0,IF(22=$K6,200000,ABS(22-$K6)*100)),100000+ABS(3-$J6)*1000+220)+'計算A'!BU$5*50+IF(AND($E6=1,LH6=0),25,0),INDEX('計算A'!BU$110:BU$114,$F6+1)+IF(AND($E6=1,LH6=0),1000,0)+IF($H6=1,(IF('計算A'!BT$117=1,INDEX('計算A'!BT$10:BT$54,$B6),0)+IF('計算A'!BU$117=1,INDEX('計算A'!BV$10:BV$54,$B6),0))*500,0)-IF(AND('計算A'!BT$117=1,WR6&gt;0),300,0)-IF(AND($L6=1,'計算A'!BU$117=1,FT6=0),300,0))),1000000))</f>
        <v/>
      </c>
      <c r="QX6">
        <f>IF($B6=0,1000000,IF(INDEX('計算A'!$D$60:$EQ$104,$B6,71)*FT6=1,IF(AND($E6=2,LI6=0),1000000,IF($I6&gt;0,IF(3=$J6,IF(OR(AND(71=$I6+1,OR($K6&lt;&gt;'計算A'!$A$3,'計算A'!$A$4=0)),AND(71=$I6-1,OR(23&lt;&gt;'計算A'!$A$3,'計算A'!$A$4=0))),0,IF(23=$K6,200000,ABS(23-$K6)*100)),100000+ABS(3-$J6)*1000+230)+'計算A'!BV$5*50+IF(AND($E6=1,LI6=0),25,0),INDEX('計算A'!BV$110:BV$114,$F6+1)+IF(AND($E6=1,LI6=0),1000,0)+IF($H6=1,(IF('計算A'!BU$117=1,INDEX('計算A'!BU$10:BU$54,$B6),0)+IF('計算A'!BV$117=1,INDEX('計算A'!BW$10:BW$54,$B6),0))*500,0)-IF(AND('計算A'!BU$117=1,WS6&gt;0),300,0)-IF(AND($L6=1,'計算A'!BV$117=1,FU6=0),300,0))),1000000))</f>
        <v/>
      </c>
      <c r="QY6">
        <f>IF($B6=0,1000000,IF(INDEX('計算A'!$D$60:$EQ$104,$B6,72)*FU6=1,IF(AND($E6=2,LJ6=0),1000000,IF($I6&gt;0,IF(3=$J6,IF(OR(AND(72=$I6+1,OR($K6&lt;&gt;'計算A'!$A$3,'計算A'!$A$4=0)),AND(72=$I6-1,OR(24&lt;&gt;'計算A'!$A$3,'計算A'!$A$4=0))),0,IF(24=$K6,200000,ABS(24-$K6)*100)),100000+ABS(3-$J6)*1000+240)+'計算A'!BW$5*50+IF(AND($E6=1,LJ6=0),25,0),INDEX('計算A'!BW$110:BW$114,$F6+1)+IF(AND($E6=1,LJ6=0),1000,0)+IF($H6=1,(IF('計算A'!BV$117=1,INDEX('計算A'!BV$10:BV$54,$B6),0))*500,0)-IF(AND('計算A'!BV$117=1,WT6&gt;0),300,0))),1000000))</f>
        <v/>
      </c>
      <c r="QZ6">
        <f>IF($B6=0,1000000,IF(INDEX('計算A'!$D$60:$EQ$104,$B6,73)*FV6=1,IF(AND($E6=2,LK6=0),1000000,IF($I6&gt;0,IF(4=$J6,IF(OR(AND(73=$I6+1,OR($K6&lt;&gt;'計算A'!$A$3,'計算A'!$A$4=0)),AND(73=$I6-1,OR(1&lt;&gt;'計算A'!$A$3,'計算A'!$A$4=0))),0,IF(1=$K6,200000,ABS(1-$K6)*100)),100000+ABS(4-$J6)*1000+10)+'計算A'!BX$5*50+IF(AND($E6=1,LK6=0),25,0),INDEX('計算A'!BX$110:BX$114,$F6+1)+IF(AND($E6=1,LK6=0),1000,0)+IF($H6=1,(IF('計算A'!BX$117=1,INDEX('計算A'!BY$10:BY$54,$B6),0))*500,0)-IF(AND($L6=1,'計算A'!BX$117=1,FW6=0),300,0))),1000000))</f>
        <v/>
      </c>
      <c r="RA6">
        <f>IF($B6=0,1000000,IF(INDEX('計算A'!$D$60:$EQ$104,$B6,74)*FW6=1,IF(AND($E6=2,LL6=0),1000000,IF($I6&gt;0,IF(4=$J6,IF(OR(AND(74=$I6+1,OR($K6&lt;&gt;'計算A'!$A$3,'計算A'!$A$4=0)),AND(74=$I6-1,OR(2&lt;&gt;'計算A'!$A$3,'計算A'!$A$4=0))),0,IF(2=$K6,200000,ABS(2-$K6)*100)),100000+ABS(4-$J6)*1000+20)+'計算A'!BY$5*50+IF(AND($E6=1,LL6=0),25,0),INDEX('計算A'!BY$110:BY$114,$F6+1)+IF(AND($E6=1,LL6=0),1000,0)+IF($H6=1,(IF('計算A'!BX$117=1,INDEX('計算A'!BX$10:BX$54,$B6),0)+IF('計算A'!BY$117=1,INDEX('計算A'!BZ$10:BZ$54,$B6),0))*500,0)-IF(AND('計算A'!BX$117=1,WV6&gt;0),300,0)-IF(AND($L6=1,'計算A'!BY$117=1,FX6=0),300,0))),1000000))</f>
        <v/>
      </c>
      <c r="RB6">
        <f>IF($B6=0,1000000,IF(INDEX('計算A'!$D$60:$EQ$104,$B6,75)*FX6=1,IF(AND($E6=2,LM6=0),1000000,IF($I6&gt;0,IF(4=$J6,IF(OR(AND(75=$I6+1,OR($K6&lt;&gt;'計算A'!$A$3,'計算A'!$A$4=0)),AND(75=$I6-1,OR(3&lt;&gt;'計算A'!$A$3,'計算A'!$A$4=0))),0,IF(3=$K6,200000,ABS(3-$K6)*100)),100000+ABS(4-$J6)*1000+30)+'計算A'!BZ$5*50+IF(AND($E6=1,LM6=0),25,0),INDEX('計算A'!BZ$110:BZ$114,$F6+1)+IF(AND($E6=1,LM6=0),1000,0)+IF($H6=1,(IF('計算A'!BY$117=1,INDEX('計算A'!BY$10:BY$54,$B6),0)+IF('計算A'!BZ$117=1,INDEX('計算A'!CA$10:CA$54,$B6),0))*500,0)-IF(AND('計算A'!BY$117=1,WW6&gt;0),300,0)-IF(AND($L6=1,'計算A'!BZ$117=1,FY6=0),300,0))),1000000))</f>
        <v/>
      </c>
      <c r="RC6">
        <f>IF($B6=0,1000000,IF(INDEX('計算A'!$D$60:$EQ$104,$B6,76)*FY6=1,IF(AND($E6=2,LN6=0),1000000,IF($I6&gt;0,IF(4=$J6,IF(OR(AND(76=$I6+1,OR($K6&lt;&gt;'計算A'!$A$3,'計算A'!$A$4=0)),AND(76=$I6-1,OR(4&lt;&gt;'計算A'!$A$3,'計算A'!$A$4=0))),0,IF(4=$K6,200000,ABS(4-$K6)*100)),100000+ABS(4-$J6)*1000+40)+'計算A'!CA$5*50+IF(AND($E6=1,LN6=0),25,0),INDEX('計算A'!CA$110:CA$114,$F6+1)+IF(AND($E6=1,LN6=0),1000,0)+IF($H6=1,(IF('計算A'!BZ$117=1,INDEX('計算A'!BZ$10:BZ$54,$B6),0)+IF('計算A'!CA$117=1,INDEX('計算A'!CB$10:CB$54,$B6),0))*500,0)-IF(AND('計算A'!BZ$117=1,WX6&gt;0),300,0)-IF(AND($L6=1,'計算A'!CA$117=1,FZ6=0),300,0))),1000000))</f>
        <v/>
      </c>
      <c r="RD6">
        <f>IF($B6=0,1000000,IF(INDEX('計算A'!$D$60:$EQ$104,$B6,77)*FZ6=1,IF(AND($E6=2,LO6=0),1000000,IF($I6&gt;0,IF(4=$J6,IF(OR(AND(77=$I6+1,OR($K6&lt;&gt;'計算A'!$A$3,'計算A'!$A$4=0)),AND(77=$I6-1,OR(5&lt;&gt;'計算A'!$A$3,'計算A'!$A$4=0))),0,IF(5=$K6,200000,ABS(5-$K6)*100)),100000+ABS(4-$J6)*1000+50)+'計算A'!CB$5*50+IF(AND($E6=1,LO6=0),25,0),INDEX('計算A'!CB$110:CB$114,$F6+1)+IF(AND($E6=1,LO6=0),1000,0)+IF($H6=1,(IF('計算A'!CA$117=1,INDEX('計算A'!CA$10:CA$54,$B6),0)+IF('計算A'!CB$117=1,INDEX('計算A'!CC$10:CC$54,$B6),0))*500,0)-IF(AND('計算A'!CA$117=1,WY6&gt;0),300,0)-IF(AND($L6=1,'計算A'!CB$117=1,GA6=0),300,0))),1000000))</f>
        <v/>
      </c>
      <c r="RE6">
        <f>IF($B6=0,1000000,IF(INDEX('計算A'!$D$60:$EQ$104,$B6,78)*GA6=1,IF(AND($E6=2,LP6=0),1000000,IF($I6&gt;0,IF(4=$J6,IF(OR(AND(78=$I6+1,OR($K6&lt;&gt;'計算A'!$A$3,'計算A'!$A$4=0)),AND(78=$I6-1,OR(6&lt;&gt;'計算A'!$A$3,'計算A'!$A$4=0))),0,IF(6=$K6,200000,ABS(6-$K6)*100)),100000+ABS(4-$J6)*1000+60)+'計算A'!CC$5*50+IF(AND($E6=1,LP6=0),25,0),INDEX('計算A'!CC$110:CC$114,$F6+1)+IF(AND($E6=1,LP6=0),1000,0)+IF($H6=1,(IF('計算A'!CB$117=1,INDEX('計算A'!CB$10:CB$54,$B6),0)+IF('計算A'!CC$117=1,INDEX('計算A'!CD$10:CD$54,$B6),0))*500,0)-IF(AND('計算A'!CB$117=1,WZ6&gt;0),300,0)-IF(AND($L6=1,'計算A'!CC$117=1,GB6=0),300,0))),1000000))</f>
        <v/>
      </c>
      <c r="RF6">
        <f>IF($B6=0,1000000,IF(INDEX('計算A'!$D$60:$EQ$104,$B6,79)*GB6=1,IF(AND($E6=2,LQ6=0),1000000,IF($I6&gt;0,IF(4=$J6,IF(OR(AND(79=$I6+1,OR($K6&lt;&gt;'計算A'!$A$3,'計算A'!$A$4=0)),AND(79=$I6-1,OR(7&lt;&gt;'計算A'!$A$3,'計算A'!$A$4=0))),0,IF(7=$K6,200000,ABS(7-$K6)*100)),100000+ABS(4-$J6)*1000+70)+'計算A'!CD$5*50+IF(AND($E6=1,LQ6=0),25,0),INDEX('計算A'!CD$110:CD$114,$F6+1)+IF(AND($E6=1,LQ6=0),1000,0)+IF($H6=1,(IF('計算A'!CC$117=1,INDEX('計算A'!CC$10:CC$54,$B6),0)+IF('計算A'!CD$117=1,INDEX('計算A'!CE$10:CE$54,$B6),0))*500,0)-IF(AND('計算A'!CC$117=1,XA6&gt;0),300,0)-IF(AND($L6=1,'計算A'!CD$117=1,GC6=0),300,0))),1000000))</f>
        <v/>
      </c>
      <c r="RG6">
        <f>IF($B6=0,1000000,IF(INDEX('計算A'!$D$60:$EQ$104,$B6,80)*GC6=1,IF(AND($E6=2,LR6=0),1000000,IF($I6&gt;0,IF(4=$J6,IF(OR(AND(80=$I6+1,OR($K6&lt;&gt;'計算A'!$A$3,'計算A'!$A$4=0)),AND(80=$I6-1,OR(8&lt;&gt;'計算A'!$A$3,'計算A'!$A$4=0))),0,IF(8=$K6,200000,ABS(8-$K6)*100)),100000+ABS(4-$J6)*1000+80)+'計算A'!CE$5*50+IF(AND($E6=1,LR6=0),25,0),INDEX('計算A'!CE$110:CE$114,$F6+1)+IF(AND($E6=1,LR6=0),1000,0)+IF($H6=1,(IF('計算A'!CD$117=1,INDEX('計算A'!CD$10:CD$54,$B6),0)+IF('計算A'!CE$117=1,INDEX('計算A'!CF$10:CF$54,$B6),0))*500,0)-IF(AND('計算A'!CD$117=1,XB6&gt;0),300,0)-IF(AND($L6=1,'計算A'!CE$117=1,GD6=0),300,0))),1000000))</f>
        <v/>
      </c>
      <c r="RH6">
        <f>IF($B6=0,1000000,IF(INDEX('計算A'!$D$60:$EQ$104,$B6,81)*GD6=1,IF(AND($E6=2,LS6=0),1000000,IF($I6&gt;0,IF(4=$J6,IF(OR(AND(81=$I6+1,OR($K6&lt;&gt;'計算A'!$A$3,'計算A'!$A$4=0)),AND(81=$I6-1,OR(9&lt;&gt;'計算A'!$A$3,'計算A'!$A$4=0))),0,IF(9=$K6,200000,ABS(9-$K6)*100)),100000+ABS(4-$J6)*1000+90)+'計算A'!CF$5*50+IF(AND($E6=1,LS6=0),25,0),INDEX('計算A'!CF$110:CF$114,$F6+1)+IF(AND($E6=1,LS6=0),1000,0)+IF($H6=1,(IF('計算A'!CE$117=1,INDEX('計算A'!CE$10:CE$54,$B6),0)+IF('計算A'!CF$117=1,INDEX('計算A'!CG$10:CG$54,$B6),0))*500,0)-IF(AND('計算A'!CE$117=1,XC6&gt;0),300,0)-IF(AND($L6=1,'計算A'!CF$117=1,GE6=0),300,0))),1000000))</f>
        <v/>
      </c>
      <c r="RI6">
        <f>IF($B6=0,1000000,IF(INDEX('計算A'!$D$60:$EQ$104,$B6,82)*GE6=1,IF(AND($E6=2,LT6=0),1000000,IF($I6&gt;0,IF(4=$J6,IF(OR(AND(82=$I6+1,OR($K6&lt;&gt;'計算A'!$A$3,'計算A'!$A$4=0)),AND(82=$I6-1,OR(10&lt;&gt;'計算A'!$A$3,'計算A'!$A$4=0))),0,IF(10=$K6,200000,ABS(10-$K6)*100)),100000+ABS(4-$J6)*1000+100)+'計算A'!CG$5*50+IF(AND($E6=1,LT6=0),25,0),INDEX('計算A'!CG$110:CG$114,$F6+1)+IF(AND($E6=1,LT6=0),1000,0)+IF($H6=1,(IF('計算A'!CF$117=1,INDEX('計算A'!CF$10:CF$54,$B6),0)+IF('計算A'!CG$117=1,INDEX('計算A'!CH$10:CH$54,$B6),0))*500,0)-IF(AND('計算A'!CF$117=1,XD6&gt;0),300,0)-IF(AND($L6=1,'計算A'!CG$117=1,GF6=0),300,0))),1000000))</f>
        <v/>
      </c>
      <c r="RJ6">
        <f>IF($B6=0,1000000,IF(INDEX('計算A'!$D$60:$EQ$104,$B6,83)*GF6=1,IF(AND($E6=2,LU6=0),1000000,IF($I6&gt;0,IF(4=$J6,IF(OR(AND(83=$I6+1,OR($K6&lt;&gt;'計算A'!$A$3,'計算A'!$A$4=0)),AND(83=$I6-1,OR(11&lt;&gt;'計算A'!$A$3,'計算A'!$A$4=0))),0,IF(11=$K6,200000,ABS(11-$K6)*100)),100000+ABS(4-$J6)*1000+110)+'計算A'!CH$5*50+IF(AND($E6=1,LU6=0),25,0),INDEX('計算A'!CH$110:CH$114,$F6+1)+IF(AND($E6=1,LU6=0),1000,0)+IF($H6=1,(IF('計算A'!CG$117=1,INDEX('計算A'!CG$10:CG$54,$B6),0)+IF('計算A'!CH$117=1,INDEX('計算A'!CI$10:CI$54,$B6),0))*500,0)-IF(AND('計算A'!CG$117=1,XE6&gt;0),300,0)-IF(AND($L6=1,'計算A'!CH$117=1,GG6=0),300,0))),1000000))</f>
        <v/>
      </c>
      <c r="RK6">
        <f>IF($B6=0,1000000,IF(INDEX('計算A'!$D$60:$EQ$104,$B6,84)*GG6=1,IF(AND($E6=2,LV6=0),1000000,IF($I6&gt;0,IF(4=$J6,IF(OR(AND(84=$I6+1,OR($K6&lt;&gt;'計算A'!$A$3,'計算A'!$A$4=0)),AND(84=$I6-1,OR(12&lt;&gt;'計算A'!$A$3,'計算A'!$A$4=0))),0,IF(12=$K6,200000,ABS(12-$K6)*100)),100000+ABS(4-$J6)*1000+120)+'計算A'!CI$5*50+IF(AND($E6=1,LV6=0),25,0),INDEX('計算A'!CI$110:CI$114,$F6+1)+IF(AND($E6=1,LV6=0),1000,0)+IF($H6=1,(IF('計算A'!CH$117=1,INDEX('計算A'!CH$10:CH$54,$B6),0)+IF('計算A'!CI$117=1,INDEX('計算A'!CJ$10:CJ$54,$B6),0))*500,0)-IF(AND('計算A'!CH$117=1,XF6&gt;0),300,0)-IF(AND($L6=1,'計算A'!CI$117=1,GH6=0),300,0))),1000000))</f>
        <v/>
      </c>
      <c r="RL6">
        <f>IF($B6=0,1000000,IF(INDEX('計算A'!$D$60:$EQ$104,$B6,85)*GH6=1,IF(AND($E6=2,LW6=0),1000000,IF($I6&gt;0,IF(4=$J6,IF(OR(AND(85=$I6+1,OR($K6&lt;&gt;'計算A'!$A$3,'計算A'!$A$4=0)),AND(85=$I6-1,OR(13&lt;&gt;'計算A'!$A$3,'計算A'!$A$4=0))),0,IF(13=$K6,200000,ABS(13-$K6)*100)),100000+ABS(4-$J6)*1000+130)+'計算A'!CJ$5*50+IF(AND($E6=1,LW6=0),25,0),INDEX('計算A'!CJ$110:CJ$114,$F6+1)+IF(AND($E6=1,LW6=0),1000,0)+IF($H6=1,(IF('計算A'!CI$117=1,INDEX('計算A'!CI$10:CI$54,$B6),0)+IF('計算A'!CJ$117=1,INDEX('計算A'!CK$10:CK$54,$B6),0))*500,0)-IF(AND('計算A'!CI$117=1,XG6&gt;0),300,0)-IF(AND($L6=1,'計算A'!CJ$117=1,GI6=0),300,0))),1000000))</f>
        <v/>
      </c>
      <c r="RM6">
        <f>IF($B6=0,1000000,IF(INDEX('計算A'!$D$60:$EQ$104,$B6,86)*GI6=1,IF(AND($E6=2,LX6=0),1000000,IF($I6&gt;0,IF(4=$J6,IF(OR(AND(86=$I6+1,OR($K6&lt;&gt;'計算A'!$A$3,'計算A'!$A$4=0)),AND(86=$I6-1,OR(14&lt;&gt;'計算A'!$A$3,'計算A'!$A$4=0))),0,IF(14=$K6,200000,ABS(14-$K6)*100)),100000+ABS(4-$J6)*1000+140)+'計算A'!CK$5*50+IF(AND($E6=1,LX6=0),25,0),INDEX('計算A'!CK$110:CK$114,$F6+1)+IF(AND($E6=1,LX6=0),1000,0)+IF($H6=1,(IF('計算A'!CJ$117=1,INDEX('計算A'!CJ$10:CJ$54,$B6),0)+IF('計算A'!CK$117=1,INDEX('計算A'!CL$10:CL$54,$B6),0))*500,0)-IF(AND('計算A'!CJ$117=1,XH6&gt;0),300,0)-IF(AND($L6=1,'計算A'!CK$117=1,GJ6=0),300,0))),1000000))</f>
        <v/>
      </c>
      <c r="RN6">
        <f>IF($B6=0,1000000,IF(INDEX('計算A'!$D$60:$EQ$104,$B6,87)*GJ6=1,IF(AND($E6=2,LY6=0),1000000,IF($I6&gt;0,IF(4=$J6,IF(OR(AND(87=$I6+1,OR($K6&lt;&gt;'計算A'!$A$3,'計算A'!$A$4=0)),AND(87=$I6-1,OR(15&lt;&gt;'計算A'!$A$3,'計算A'!$A$4=0))),0,IF(15=$K6,200000,ABS(15-$K6)*100)),100000+ABS(4-$J6)*1000+150)+'計算A'!CL$5*50+IF(AND($E6=1,LY6=0),25,0),INDEX('計算A'!CL$110:CL$114,$F6+1)+IF(AND($E6=1,LY6=0),1000,0)+IF($H6=1,(IF('計算A'!CK$117=1,INDEX('計算A'!CK$10:CK$54,$B6),0)+IF('計算A'!CL$117=1,INDEX('計算A'!CM$10:CM$54,$B6),0))*500,0)-IF(AND('計算A'!CK$117=1,XI6&gt;0),300,0)-IF(AND($L6=1,'計算A'!CL$117=1,GK6=0),300,0))),1000000))</f>
        <v/>
      </c>
      <c r="RO6">
        <f>IF($B6=0,1000000,IF(INDEX('計算A'!$D$60:$EQ$104,$B6,88)*GK6=1,IF(AND($E6=2,LZ6=0),1000000,IF($I6&gt;0,IF(4=$J6,IF(OR(AND(88=$I6+1,OR($K6&lt;&gt;'計算A'!$A$3,'計算A'!$A$4=0)),AND(88=$I6-1,OR(16&lt;&gt;'計算A'!$A$3,'計算A'!$A$4=0))),0,IF(16=$K6,200000,ABS(16-$K6)*100)),100000+ABS(4-$J6)*1000+160)+'計算A'!CM$5*50+IF(AND($E6=1,LZ6=0),25,0),INDEX('計算A'!CM$110:CM$114,$F6+1)+IF(AND($E6=1,LZ6=0),1000,0)+IF($H6=1,(IF('計算A'!CL$117=1,INDEX('計算A'!CL$10:CL$54,$B6),0)+IF('計算A'!CM$117=1,INDEX('計算A'!CN$10:CN$54,$B6),0))*500,0)-IF(AND('計算A'!CL$117=1,XJ6&gt;0),300,0)-IF(AND($L6=1,'計算A'!CM$117=1,GL6=0),300,0))),1000000))</f>
        <v/>
      </c>
      <c r="RP6">
        <f>IF($B6=0,1000000,IF(INDEX('計算A'!$D$60:$EQ$104,$B6,89)*GL6=1,IF(AND($E6=2,MA6=0),1000000,IF($I6&gt;0,IF(4=$J6,IF(OR(AND(89=$I6+1,OR($K6&lt;&gt;'計算A'!$A$3,'計算A'!$A$4=0)),AND(89=$I6-1,OR(17&lt;&gt;'計算A'!$A$3,'計算A'!$A$4=0))),0,IF(17=$K6,200000,ABS(17-$K6)*100)),100000+ABS(4-$J6)*1000+170)+'計算A'!CN$5*50+IF(AND($E6=1,MA6=0),25,0),INDEX('計算A'!CN$110:CN$114,$F6+1)+IF(AND($E6=1,MA6=0),1000,0)+IF($H6=1,(IF('計算A'!CM$117=1,INDEX('計算A'!CM$10:CM$54,$B6),0)+IF('計算A'!CN$117=1,INDEX('計算A'!CO$10:CO$54,$B6),0))*500,0)-IF(AND('計算A'!CM$117=1,XK6&gt;0),300,0)-IF(AND($L6=1,'計算A'!CN$117=1,GM6=0),300,0))),1000000))</f>
        <v/>
      </c>
      <c r="RQ6">
        <f>IF($B6=0,1000000,IF(INDEX('計算A'!$D$60:$EQ$104,$B6,90)*GM6=1,IF(AND($E6=2,MB6=0),1000000,IF($I6&gt;0,IF(4=$J6,IF(OR(AND(90=$I6+1,OR($K6&lt;&gt;'計算A'!$A$3,'計算A'!$A$4=0)),AND(90=$I6-1,OR(18&lt;&gt;'計算A'!$A$3,'計算A'!$A$4=0))),0,IF(18=$K6,200000,ABS(18-$K6)*100)),100000+ABS(4-$J6)*1000+180)+'計算A'!CO$5*50+IF(AND($E6=1,MB6=0),25,0),INDEX('計算A'!CO$110:CO$114,$F6+1)+IF(AND($E6=1,MB6=0),1000,0)+IF($H6=1,(IF('計算A'!CN$117=1,INDEX('計算A'!CN$10:CN$54,$B6),0)+IF('計算A'!CO$117=1,INDEX('計算A'!CP$10:CP$54,$B6),0))*500,0)-IF(AND('計算A'!CN$117=1,XL6&gt;0),300,0)-IF(AND($L6=1,'計算A'!CO$117=1,GN6=0),300,0))),1000000))</f>
        <v/>
      </c>
      <c r="RR6">
        <f>IF($B6=0,1000000,IF(INDEX('計算A'!$D$60:$EQ$104,$B6,91)*GN6=1,IF(AND($E6=2,MC6=0),1000000,IF($I6&gt;0,IF(4=$J6,IF(OR(AND(91=$I6+1,OR($K6&lt;&gt;'計算A'!$A$3,'計算A'!$A$4=0)),AND(91=$I6-1,OR(19&lt;&gt;'計算A'!$A$3,'計算A'!$A$4=0))),0,IF(19=$K6,200000,ABS(19-$K6)*100)),100000+ABS(4-$J6)*1000+190)+'計算A'!CP$5*50+IF(AND($E6=1,MC6=0),25,0),INDEX('計算A'!CP$110:CP$114,$F6+1)+IF(AND($E6=1,MC6=0),1000,0)+IF($H6=1,(IF('計算A'!CO$117=1,INDEX('計算A'!CO$10:CO$54,$B6),0)+IF('計算A'!CP$117=1,INDEX('計算A'!CQ$10:CQ$54,$B6),0))*500,0)-IF(AND('計算A'!CO$117=1,XM6&gt;0),300,0)-IF(AND($L6=1,'計算A'!CP$117=1,GO6=0),300,0))),1000000))</f>
        <v/>
      </c>
      <c r="RS6">
        <f>IF($B6=0,1000000,IF(INDEX('計算A'!$D$60:$EQ$104,$B6,92)*GO6=1,IF(AND($E6=2,MD6=0),1000000,IF($I6&gt;0,IF(4=$J6,IF(OR(AND(92=$I6+1,OR($K6&lt;&gt;'計算A'!$A$3,'計算A'!$A$4=0)),AND(92=$I6-1,OR(20&lt;&gt;'計算A'!$A$3,'計算A'!$A$4=0))),0,IF(20=$K6,200000,ABS(20-$K6)*100)),100000+ABS(4-$J6)*1000+200)+'計算A'!CQ$5*50+IF(AND($E6=1,MD6=0),25,0),INDEX('計算A'!CQ$110:CQ$114,$F6+1)+IF(AND($E6=1,MD6=0),1000,0)+IF($H6=1,(IF('計算A'!CP$117=1,INDEX('計算A'!CP$10:CP$54,$B6),0)+IF('計算A'!CQ$117=1,INDEX('計算A'!CR$10:CR$54,$B6),0))*500,0)-IF(AND('計算A'!CP$117=1,XN6&gt;0),300,0)-IF(AND($L6=1,'計算A'!CQ$117=1,GP6=0),300,0))),1000000))</f>
        <v/>
      </c>
      <c r="RT6">
        <f>IF($B6=0,1000000,IF(INDEX('計算A'!$D$60:$EQ$104,$B6,93)*GP6=1,IF(AND($E6=2,ME6=0),1000000,IF($I6&gt;0,IF(4=$J6,IF(OR(AND(93=$I6+1,OR($K6&lt;&gt;'計算A'!$A$3,'計算A'!$A$4=0)),AND(93=$I6-1,OR(21&lt;&gt;'計算A'!$A$3,'計算A'!$A$4=0))),0,IF(21=$K6,200000,ABS(21-$K6)*100)),100000+ABS(4-$J6)*1000+210)+'計算A'!CR$5*50+IF(AND($E6=1,ME6=0),25,0),INDEX('計算A'!CR$110:CR$114,$F6+1)+IF(AND($E6=1,ME6=0),1000,0)+IF($H6=1,(IF('計算A'!CQ$117=1,INDEX('計算A'!CQ$10:CQ$54,$B6),0)+IF('計算A'!CR$117=1,INDEX('計算A'!CS$10:CS$54,$B6),0))*500,0)-IF(AND('計算A'!CQ$117=1,XO6&gt;0),300,0)-IF(AND($L6=1,'計算A'!CR$117=1,GQ6=0),300,0))),1000000))</f>
        <v/>
      </c>
      <c r="RU6">
        <f>IF($B6=0,1000000,IF(INDEX('計算A'!$D$60:$EQ$104,$B6,94)*GQ6=1,IF(AND($E6=2,MF6=0),1000000,IF($I6&gt;0,IF(4=$J6,IF(OR(AND(94=$I6+1,OR($K6&lt;&gt;'計算A'!$A$3,'計算A'!$A$4=0)),AND(94=$I6-1,OR(22&lt;&gt;'計算A'!$A$3,'計算A'!$A$4=0))),0,IF(22=$K6,200000,ABS(22-$K6)*100)),100000+ABS(4-$J6)*1000+220)+'計算A'!CS$5*50+IF(AND($E6=1,MF6=0),25,0),INDEX('計算A'!CS$110:CS$114,$F6+1)+IF(AND($E6=1,MF6=0),1000,0)+IF($H6=1,(IF('計算A'!CR$117=1,INDEX('計算A'!CR$10:CR$54,$B6),0)+IF('計算A'!CS$117=1,INDEX('計算A'!CT$10:CT$54,$B6),0))*500,0)-IF(AND('計算A'!CR$117=1,XP6&gt;0),300,0)-IF(AND($L6=1,'計算A'!CS$117=1,GR6=0),300,0))),1000000))</f>
        <v/>
      </c>
      <c r="RV6">
        <f>IF($B6=0,1000000,IF(INDEX('計算A'!$D$60:$EQ$104,$B6,95)*GR6=1,IF(AND($E6=2,MG6=0),1000000,IF($I6&gt;0,IF(4=$J6,IF(OR(AND(95=$I6+1,OR($K6&lt;&gt;'計算A'!$A$3,'計算A'!$A$4=0)),AND(95=$I6-1,OR(23&lt;&gt;'計算A'!$A$3,'計算A'!$A$4=0))),0,IF(23=$K6,200000,ABS(23-$K6)*100)),100000+ABS(4-$J6)*1000+230)+'計算A'!CT$5*50+IF(AND($E6=1,MG6=0),25,0),INDEX('計算A'!CT$110:CT$114,$F6+1)+IF(AND($E6=1,MG6=0),1000,0)+IF($H6=1,(IF('計算A'!CS$117=1,INDEX('計算A'!CS$10:CS$54,$B6),0)+IF('計算A'!CT$117=1,INDEX('計算A'!CU$10:CU$54,$B6),0))*500,0)-IF(AND('計算A'!CS$117=1,XQ6&gt;0),300,0)-IF(AND($L6=1,'計算A'!CT$117=1,GS6=0),300,0))),1000000))</f>
        <v/>
      </c>
      <c r="RW6">
        <f>IF($B6=0,1000000,IF(INDEX('計算A'!$D$60:$EQ$104,$B6,96)*GS6=1,IF(AND($E6=2,MH6=0),1000000,IF($I6&gt;0,IF(4=$J6,IF(OR(AND(96=$I6+1,OR($K6&lt;&gt;'計算A'!$A$3,'計算A'!$A$4=0)),AND(96=$I6-1,OR(24&lt;&gt;'計算A'!$A$3,'計算A'!$A$4=0))),0,IF(24=$K6,200000,ABS(24-$K6)*100)),100000+ABS(4-$J6)*1000+240)+'計算A'!CU$5*50+IF(AND($E6=1,MH6=0),25,0),INDEX('計算A'!CU$110:CU$114,$F6+1)+IF(AND($E6=1,MH6=0),1000,0)+IF($H6=1,(IF('計算A'!CT$117=1,INDEX('計算A'!CT$10:CT$54,$B6),0))*500,0)-IF(AND('計算A'!CT$117=1,XR6&gt;0),300,0))),1000000))</f>
        <v/>
      </c>
      <c r="RX6">
        <f>IF($B6=0,1000000,IF(INDEX('計算A'!$D$60:$EQ$104,$B6,97)*GT6=1,IF(AND($E6=2,MI6=0),1000000,IF($I6&gt;0,IF(5=$J6,IF(OR(AND(97=$I6+1,OR($K6&lt;&gt;'計算A'!$A$3,'計算A'!$A$4=0)),AND(97=$I6-1,OR(1&lt;&gt;'計算A'!$A$3,'計算A'!$A$4=0))),0,IF(1=$K6,200000,ABS(1-$K6)*100)),100000+ABS(5-$J6)*1000+10)+'計算A'!CV$5*50+IF(AND($E6=1,MI6=0),25,0),INDEX('計算A'!CV$110:CV$114,$F6+1)+IF(AND($E6=1,MI6=0),1000,0)+IF($H6=1,(IF('計算A'!CV$117=1,INDEX('計算A'!CW$10:CW$54,$B6),0))*500,0)-IF(AND($L6=1,'計算A'!CV$117=1,GU6=0),300,0))),1000000))</f>
        <v/>
      </c>
      <c r="RY6">
        <f>IF($B6=0,1000000,IF(INDEX('計算A'!$D$60:$EQ$104,$B6,98)*GU6=1,IF(AND($E6=2,MJ6=0),1000000,IF($I6&gt;0,IF(5=$J6,IF(OR(AND(98=$I6+1,OR($K6&lt;&gt;'計算A'!$A$3,'計算A'!$A$4=0)),AND(98=$I6-1,OR(2&lt;&gt;'計算A'!$A$3,'計算A'!$A$4=0))),0,IF(2=$K6,200000,ABS(2-$K6)*100)),100000+ABS(5-$J6)*1000+20)+'計算A'!CW$5*50+IF(AND($E6=1,MJ6=0),25,0),INDEX('計算A'!CW$110:CW$114,$F6+1)+IF(AND($E6=1,MJ6=0),1000,0)+IF($H6=1,(IF('計算A'!CV$117=1,INDEX('計算A'!CV$10:CV$54,$B6),0)+IF('計算A'!CW$117=1,INDEX('計算A'!CX$10:CX$54,$B6),0))*500,0)-IF(AND('計算A'!CV$117=1,XT6&gt;0),300,0)-IF(AND($L6=1,'計算A'!CW$117=1,GV6=0),300,0))),1000000))</f>
        <v/>
      </c>
      <c r="RZ6">
        <f>IF($B6=0,1000000,IF(INDEX('計算A'!$D$60:$EQ$104,$B6,99)*GV6=1,IF(AND($E6=2,MK6=0),1000000,IF($I6&gt;0,IF(5=$J6,IF(OR(AND(99=$I6+1,OR($K6&lt;&gt;'計算A'!$A$3,'計算A'!$A$4=0)),AND(99=$I6-1,OR(3&lt;&gt;'計算A'!$A$3,'計算A'!$A$4=0))),0,IF(3=$K6,200000,ABS(3-$K6)*100)),100000+ABS(5-$J6)*1000+30)+'計算A'!CX$5*50+IF(AND($E6=1,MK6=0),25,0),INDEX('計算A'!CX$110:CX$114,$F6+1)+IF(AND($E6=1,MK6=0),1000,0)+IF($H6=1,(IF('計算A'!CW$117=1,INDEX('計算A'!CW$10:CW$54,$B6),0)+IF('計算A'!CX$117=1,INDEX('計算A'!CY$10:CY$54,$B6),0))*500,0)-IF(AND('計算A'!CW$117=1,XU6&gt;0),300,0)-IF(AND($L6=1,'計算A'!CX$117=1,GW6=0),300,0))),1000000))</f>
        <v/>
      </c>
      <c r="SA6">
        <f>IF($B6=0,1000000,IF(INDEX('計算A'!$D$60:$EQ$104,$B6,100)*GW6=1,IF(AND($E6=2,ML6=0),1000000,IF($I6&gt;0,IF(5=$J6,IF(OR(AND(100=$I6+1,OR($K6&lt;&gt;'計算A'!$A$3,'計算A'!$A$4=0)),AND(100=$I6-1,OR(4&lt;&gt;'計算A'!$A$3,'計算A'!$A$4=0))),0,IF(4=$K6,200000,ABS(4-$K6)*100)),100000+ABS(5-$J6)*1000+40)+'計算A'!CY$5*50+IF(AND($E6=1,ML6=0),25,0),INDEX('計算A'!CY$110:CY$114,$F6+1)+IF(AND($E6=1,ML6=0),1000,0)+IF($H6=1,(IF('計算A'!CX$117=1,INDEX('計算A'!CX$10:CX$54,$B6),0)+IF('計算A'!CY$117=1,INDEX('計算A'!CZ$10:CZ$54,$B6),0))*500,0)-IF(AND('計算A'!CX$117=1,XV6&gt;0),300,0)-IF(AND($L6=1,'計算A'!CY$117=1,GX6=0),300,0))),1000000))</f>
        <v/>
      </c>
      <c r="SB6">
        <f>IF($B6=0,1000000,IF(INDEX('計算A'!$D$60:$EQ$104,$B6,101)*GX6=1,IF(AND($E6=2,MM6=0),1000000,IF($I6&gt;0,IF(5=$J6,IF(OR(AND(101=$I6+1,OR($K6&lt;&gt;'計算A'!$A$3,'計算A'!$A$4=0)),AND(101=$I6-1,OR(5&lt;&gt;'計算A'!$A$3,'計算A'!$A$4=0))),0,IF(5=$K6,200000,ABS(5-$K6)*100)),100000+ABS(5-$J6)*1000+50)+'計算A'!CZ$5*50+IF(AND($E6=1,MM6=0),25,0),INDEX('計算A'!CZ$110:CZ$114,$F6+1)+IF(AND($E6=1,MM6=0),1000,0)+IF($H6=1,(IF('計算A'!CY$117=1,INDEX('計算A'!CY$10:CY$54,$B6),0)+IF('計算A'!CZ$117=1,INDEX('計算A'!DA$10:DA$54,$B6),0))*500,0)-IF(AND('計算A'!CY$117=1,XW6&gt;0),300,0)-IF(AND($L6=1,'計算A'!CZ$117=1,GY6=0),300,0))),1000000))</f>
        <v/>
      </c>
      <c r="SC6">
        <f>IF($B6=0,1000000,IF(INDEX('計算A'!$D$60:$EQ$104,$B6,102)*GY6=1,IF(AND($E6=2,MN6=0),1000000,IF($I6&gt;0,IF(5=$J6,IF(OR(AND(102=$I6+1,OR($K6&lt;&gt;'計算A'!$A$3,'計算A'!$A$4=0)),AND(102=$I6-1,OR(6&lt;&gt;'計算A'!$A$3,'計算A'!$A$4=0))),0,IF(6=$K6,200000,ABS(6-$K6)*100)),100000+ABS(5-$J6)*1000+60)+'計算A'!DA$5*50+IF(AND($E6=1,MN6=0),25,0),INDEX('計算A'!DA$110:DA$114,$F6+1)+IF(AND($E6=1,MN6=0),1000,0)+IF($H6=1,(IF('計算A'!CZ$117=1,INDEX('計算A'!CZ$10:CZ$54,$B6),0)+IF('計算A'!DA$117=1,INDEX('計算A'!DB$10:DB$54,$B6),0))*500,0)-IF(AND('計算A'!CZ$117=1,XX6&gt;0),300,0)-IF(AND($L6=1,'計算A'!DA$117=1,GZ6=0),300,0))),1000000))</f>
        <v/>
      </c>
      <c r="SD6">
        <f>IF($B6=0,1000000,IF(INDEX('計算A'!$D$60:$EQ$104,$B6,103)*GZ6=1,IF(AND($E6=2,MO6=0),1000000,IF($I6&gt;0,IF(5=$J6,IF(OR(AND(103=$I6+1,OR($K6&lt;&gt;'計算A'!$A$3,'計算A'!$A$4=0)),AND(103=$I6-1,OR(7&lt;&gt;'計算A'!$A$3,'計算A'!$A$4=0))),0,IF(7=$K6,200000,ABS(7-$K6)*100)),100000+ABS(5-$J6)*1000+70)+'計算A'!DB$5*50+IF(AND($E6=1,MO6=0),25,0),INDEX('計算A'!DB$110:DB$114,$F6+1)+IF(AND($E6=1,MO6=0),1000,0)+IF($H6=1,(IF('計算A'!DA$117=1,INDEX('計算A'!DA$10:DA$54,$B6),0)+IF('計算A'!DB$117=1,INDEX('計算A'!DC$10:DC$54,$B6),0))*500,0)-IF(AND('計算A'!DA$117=1,XY6&gt;0),300,0)-IF(AND($L6=1,'計算A'!DB$117=1,HA6=0),300,0))),1000000))</f>
        <v/>
      </c>
      <c r="SE6">
        <f>IF($B6=0,1000000,IF(INDEX('計算A'!$D$60:$EQ$104,$B6,104)*HA6=1,IF(AND($E6=2,MP6=0),1000000,IF($I6&gt;0,IF(5=$J6,IF(OR(AND(104=$I6+1,OR($K6&lt;&gt;'計算A'!$A$3,'計算A'!$A$4=0)),AND(104=$I6-1,OR(8&lt;&gt;'計算A'!$A$3,'計算A'!$A$4=0))),0,IF(8=$K6,200000,ABS(8-$K6)*100)),100000+ABS(5-$J6)*1000+80)+'計算A'!DC$5*50+IF(AND($E6=1,MP6=0),25,0),INDEX('計算A'!DC$110:DC$114,$F6+1)+IF(AND($E6=1,MP6=0),1000,0)+IF($H6=1,(IF('計算A'!DB$117=1,INDEX('計算A'!DB$10:DB$54,$B6),0)+IF('計算A'!DC$117=1,INDEX('計算A'!DD$10:DD$54,$B6),0))*500,0)-IF(AND('計算A'!DB$117=1,XZ6&gt;0),300,0)-IF(AND($L6=1,'計算A'!DC$117=1,HB6=0),300,0))),1000000))</f>
        <v/>
      </c>
      <c r="SF6">
        <f>IF($B6=0,1000000,IF(INDEX('計算A'!$D$60:$EQ$104,$B6,105)*HB6=1,IF(AND($E6=2,MQ6=0),1000000,IF($I6&gt;0,IF(5=$J6,IF(OR(AND(105=$I6+1,OR($K6&lt;&gt;'計算A'!$A$3,'計算A'!$A$4=0)),AND(105=$I6-1,OR(9&lt;&gt;'計算A'!$A$3,'計算A'!$A$4=0))),0,IF(9=$K6,200000,ABS(9-$K6)*100)),100000+ABS(5-$J6)*1000+90)+'計算A'!DD$5*50+IF(AND($E6=1,MQ6=0),25,0),INDEX('計算A'!DD$110:DD$114,$F6+1)+IF(AND($E6=1,MQ6=0),1000,0)+IF($H6=1,(IF('計算A'!DC$117=1,INDEX('計算A'!DC$10:DC$54,$B6),0)+IF('計算A'!DD$117=1,INDEX('計算A'!DE$10:DE$54,$B6),0))*500,0)-IF(AND('計算A'!DC$117=1,YA6&gt;0),300,0)-IF(AND($L6=1,'計算A'!DD$117=1,HC6=0),300,0))),1000000))</f>
        <v/>
      </c>
      <c r="SG6">
        <f>IF($B6=0,1000000,IF(INDEX('計算A'!$D$60:$EQ$104,$B6,106)*HC6=1,IF(AND($E6=2,MR6=0),1000000,IF($I6&gt;0,IF(5=$J6,IF(OR(AND(106=$I6+1,OR($K6&lt;&gt;'計算A'!$A$3,'計算A'!$A$4=0)),AND(106=$I6-1,OR(10&lt;&gt;'計算A'!$A$3,'計算A'!$A$4=0))),0,IF(10=$K6,200000,ABS(10-$K6)*100)),100000+ABS(5-$J6)*1000+100)+'計算A'!DE$5*50+IF(AND($E6=1,MR6=0),25,0),INDEX('計算A'!DE$110:DE$114,$F6+1)+IF(AND($E6=1,MR6=0),1000,0)+IF($H6=1,(IF('計算A'!DD$117=1,INDEX('計算A'!DD$10:DD$54,$B6),0)+IF('計算A'!DE$117=1,INDEX('計算A'!DF$10:DF$54,$B6),0))*500,0)-IF(AND('計算A'!DD$117=1,YB6&gt;0),300,0)-IF(AND($L6=1,'計算A'!DE$117=1,HD6=0),300,0))),1000000))</f>
        <v/>
      </c>
      <c r="SH6">
        <f>IF($B6=0,1000000,IF(INDEX('計算A'!$D$60:$EQ$104,$B6,107)*HD6=1,IF(AND($E6=2,MS6=0),1000000,IF($I6&gt;0,IF(5=$J6,IF(OR(AND(107=$I6+1,OR($K6&lt;&gt;'計算A'!$A$3,'計算A'!$A$4=0)),AND(107=$I6-1,OR(11&lt;&gt;'計算A'!$A$3,'計算A'!$A$4=0))),0,IF(11=$K6,200000,ABS(11-$K6)*100)),100000+ABS(5-$J6)*1000+110)+'計算A'!DF$5*50+IF(AND($E6=1,MS6=0),25,0),INDEX('計算A'!DF$110:DF$114,$F6+1)+IF(AND($E6=1,MS6=0),1000,0)+IF($H6=1,(IF('計算A'!DE$117=1,INDEX('計算A'!DE$10:DE$54,$B6),0)+IF('計算A'!DF$117=1,INDEX('計算A'!DG$10:DG$54,$B6),0))*500,0)-IF(AND('計算A'!DE$117=1,YC6&gt;0),300,0)-IF(AND($L6=1,'計算A'!DF$117=1,HE6=0),300,0))),1000000))</f>
        <v/>
      </c>
      <c r="SI6">
        <f>IF($B6=0,1000000,IF(INDEX('計算A'!$D$60:$EQ$104,$B6,108)*HE6=1,IF(AND($E6=2,MT6=0),1000000,IF($I6&gt;0,IF(5=$J6,IF(OR(AND(108=$I6+1,OR($K6&lt;&gt;'計算A'!$A$3,'計算A'!$A$4=0)),AND(108=$I6-1,OR(12&lt;&gt;'計算A'!$A$3,'計算A'!$A$4=0))),0,IF(12=$K6,200000,ABS(12-$K6)*100)),100000+ABS(5-$J6)*1000+120)+'計算A'!DG$5*50+IF(AND($E6=1,MT6=0),25,0),INDEX('計算A'!DG$110:DG$114,$F6+1)+IF(AND($E6=1,MT6=0),1000,0)+IF($H6=1,(IF('計算A'!DF$117=1,INDEX('計算A'!DF$10:DF$54,$B6),0)+IF('計算A'!DG$117=1,INDEX('計算A'!DH$10:DH$54,$B6),0))*500,0)-IF(AND('計算A'!DF$117=1,YD6&gt;0),300,0)-IF(AND($L6=1,'計算A'!DG$117=1,HF6=0),300,0))),1000000))</f>
        <v/>
      </c>
      <c r="SJ6">
        <f>IF($B6=0,1000000,IF(INDEX('計算A'!$D$60:$EQ$104,$B6,109)*HF6=1,IF(AND($E6=2,MU6=0),1000000,IF($I6&gt;0,IF(5=$J6,IF(OR(AND(109=$I6+1,OR($K6&lt;&gt;'計算A'!$A$3,'計算A'!$A$4=0)),AND(109=$I6-1,OR(13&lt;&gt;'計算A'!$A$3,'計算A'!$A$4=0))),0,IF(13=$K6,200000,ABS(13-$K6)*100)),100000+ABS(5-$J6)*1000+130)+'計算A'!DH$5*50+IF(AND($E6=1,MU6=0),25,0),INDEX('計算A'!DH$110:DH$114,$F6+1)+IF(AND($E6=1,MU6=0),1000,0)+IF($H6=1,(IF('計算A'!DG$117=1,INDEX('計算A'!DG$10:DG$54,$B6),0)+IF('計算A'!DH$117=1,INDEX('計算A'!DI$10:DI$54,$B6),0))*500,0)-IF(AND('計算A'!DG$117=1,YE6&gt;0),300,0)-IF(AND($L6=1,'計算A'!DH$117=1,HG6=0),300,0))),1000000))</f>
        <v/>
      </c>
      <c r="SK6">
        <f>IF($B6=0,1000000,IF(INDEX('計算A'!$D$60:$EQ$104,$B6,110)*HG6=1,IF(AND($E6=2,MV6=0),1000000,IF($I6&gt;0,IF(5=$J6,IF(OR(AND(110=$I6+1,OR($K6&lt;&gt;'計算A'!$A$3,'計算A'!$A$4=0)),AND(110=$I6-1,OR(14&lt;&gt;'計算A'!$A$3,'計算A'!$A$4=0))),0,IF(14=$K6,200000,ABS(14-$K6)*100)),100000+ABS(5-$J6)*1000+140)+'計算A'!DI$5*50+IF(AND($E6=1,MV6=0),25,0),INDEX('計算A'!DI$110:DI$114,$F6+1)+IF(AND($E6=1,MV6=0),1000,0)+IF($H6=1,(IF('計算A'!DH$117=1,INDEX('計算A'!DH$10:DH$54,$B6),0)+IF('計算A'!DI$117=1,INDEX('計算A'!DJ$10:DJ$54,$B6),0))*500,0)-IF(AND('計算A'!DH$117=1,YF6&gt;0),300,0)-IF(AND($L6=1,'計算A'!DI$117=1,HH6=0),300,0))),1000000))</f>
        <v/>
      </c>
      <c r="SL6">
        <f>IF($B6=0,1000000,IF(INDEX('計算A'!$D$60:$EQ$104,$B6,111)*HH6=1,IF(AND($E6=2,MW6=0),1000000,IF($I6&gt;0,IF(5=$J6,IF(OR(AND(111=$I6+1,OR($K6&lt;&gt;'計算A'!$A$3,'計算A'!$A$4=0)),AND(111=$I6-1,OR(15&lt;&gt;'計算A'!$A$3,'計算A'!$A$4=0))),0,IF(15=$K6,200000,ABS(15-$K6)*100)),100000+ABS(5-$J6)*1000+150)+'計算A'!DJ$5*50+IF(AND($E6=1,MW6=0),25,0),INDEX('計算A'!DJ$110:DJ$114,$F6+1)+IF(AND($E6=1,MW6=0),1000,0)+IF($H6=1,(IF('計算A'!DI$117=1,INDEX('計算A'!DI$10:DI$54,$B6),0)+IF('計算A'!DJ$117=1,INDEX('計算A'!DK$10:DK$54,$B6),0))*500,0)-IF(AND('計算A'!DI$117=1,YG6&gt;0),300,0)-IF(AND($L6=1,'計算A'!DJ$117=1,HI6=0),300,0))),1000000))</f>
        <v/>
      </c>
      <c r="SM6">
        <f>IF($B6=0,1000000,IF(INDEX('計算A'!$D$60:$EQ$104,$B6,112)*HI6=1,IF(AND($E6=2,MX6=0),1000000,IF($I6&gt;0,IF(5=$J6,IF(OR(AND(112=$I6+1,OR($K6&lt;&gt;'計算A'!$A$3,'計算A'!$A$4=0)),AND(112=$I6-1,OR(16&lt;&gt;'計算A'!$A$3,'計算A'!$A$4=0))),0,IF(16=$K6,200000,ABS(16-$K6)*100)),100000+ABS(5-$J6)*1000+160)+'計算A'!DK$5*50+IF(AND($E6=1,MX6=0),25,0),INDEX('計算A'!DK$110:DK$114,$F6+1)+IF(AND($E6=1,MX6=0),1000,0)+IF($H6=1,(IF('計算A'!DJ$117=1,INDEX('計算A'!DJ$10:DJ$54,$B6),0)+IF('計算A'!DK$117=1,INDEX('計算A'!DL$10:DL$54,$B6),0))*500,0)-IF(AND('計算A'!DJ$117=1,YH6&gt;0),300,0)-IF(AND($L6=1,'計算A'!DK$117=1,HJ6=0),300,0))),1000000))</f>
        <v/>
      </c>
      <c r="SN6">
        <f>IF($B6=0,1000000,IF(INDEX('計算A'!$D$60:$EQ$104,$B6,113)*HJ6=1,IF(AND($E6=2,MY6=0),1000000,IF($I6&gt;0,IF(5=$J6,IF(OR(AND(113=$I6+1,OR($K6&lt;&gt;'計算A'!$A$3,'計算A'!$A$4=0)),AND(113=$I6-1,OR(17&lt;&gt;'計算A'!$A$3,'計算A'!$A$4=0))),0,IF(17=$K6,200000,ABS(17-$K6)*100)),100000+ABS(5-$J6)*1000+170)+'計算A'!DL$5*50+IF(AND($E6=1,MY6=0),25,0),INDEX('計算A'!DL$110:DL$114,$F6+1)+IF(AND($E6=1,MY6=0),1000,0)+IF($H6=1,(IF('計算A'!DK$117=1,INDEX('計算A'!DK$10:DK$54,$B6),0)+IF('計算A'!DL$117=1,INDEX('計算A'!DM$10:DM$54,$B6),0))*500,0)-IF(AND('計算A'!DK$117=1,YI6&gt;0),300,0)-IF(AND($L6=1,'計算A'!DL$117=1,HK6=0),300,0))),1000000))</f>
        <v/>
      </c>
      <c r="SO6">
        <f>IF($B6=0,1000000,IF(INDEX('計算A'!$D$60:$EQ$104,$B6,114)*HK6=1,IF(AND($E6=2,MZ6=0),1000000,IF($I6&gt;0,IF(5=$J6,IF(OR(AND(114=$I6+1,OR($K6&lt;&gt;'計算A'!$A$3,'計算A'!$A$4=0)),AND(114=$I6-1,OR(18&lt;&gt;'計算A'!$A$3,'計算A'!$A$4=0))),0,IF(18=$K6,200000,ABS(18-$K6)*100)),100000+ABS(5-$J6)*1000+180)+'計算A'!DM$5*50+IF(AND($E6=1,MZ6=0),25,0),INDEX('計算A'!DM$110:DM$114,$F6+1)+IF(AND($E6=1,MZ6=0),1000,0)+IF($H6=1,(IF('計算A'!DL$117=1,INDEX('計算A'!DL$10:DL$54,$B6),0)+IF('計算A'!DM$117=1,INDEX('計算A'!DN$10:DN$54,$B6),0))*500,0)-IF(AND('計算A'!DL$117=1,YJ6&gt;0),300,0)-IF(AND($L6=1,'計算A'!DM$117=1,HL6=0),300,0))),1000000))</f>
        <v/>
      </c>
      <c r="SP6">
        <f>IF($B6=0,1000000,IF(INDEX('計算A'!$D$60:$EQ$104,$B6,115)*HL6=1,IF(AND($E6=2,NA6=0),1000000,IF($I6&gt;0,IF(5=$J6,IF(OR(AND(115=$I6+1,OR($K6&lt;&gt;'計算A'!$A$3,'計算A'!$A$4=0)),AND(115=$I6-1,OR(19&lt;&gt;'計算A'!$A$3,'計算A'!$A$4=0))),0,IF(19=$K6,200000,ABS(19-$K6)*100)),100000+ABS(5-$J6)*1000+190)+'計算A'!DN$5*50+IF(AND($E6=1,NA6=0),25,0),INDEX('計算A'!DN$110:DN$114,$F6+1)+IF(AND($E6=1,NA6=0),1000,0)+IF($H6=1,(IF('計算A'!DM$117=1,INDEX('計算A'!DM$10:DM$54,$B6),0)+IF('計算A'!DN$117=1,INDEX('計算A'!DO$10:DO$54,$B6),0))*500,0)-IF(AND('計算A'!DM$117=1,YK6&gt;0),300,0)-IF(AND($L6=1,'計算A'!DN$117=1,HM6=0),300,0))),1000000))</f>
        <v/>
      </c>
      <c r="SQ6">
        <f>IF($B6=0,1000000,IF(INDEX('計算A'!$D$60:$EQ$104,$B6,116)*HM6=1,IF(AND($E6=2,NB6=0),1000000,IF($I6&gt;0,IF(5=$J6,IF(OR(AND(116=$I6+1,OR($K6&lt;&gt;'計算A'!$A$3,'計算A'!$A$4=0)),AND(116=$I6-1,OR(20&lt;&gt;'計算A'!$A$3,'計算A'!$A$4=0))),0,IF(20=$K6,200000,ABS(20-$K6)*100)),100000+ABS(5-$J6)*1000+200)+'計算A'!DO$5*50+IF(AND($E6=1,NB6=0),25,0),INDEX('計算A'!DO$110:DO$114,$F6+1)+IF(AND($E6=1,NB6=0),1000,0)+IF($H6=1,(IF('計算A'!DN$117=1,INDEX('計算A'!DN$10:DN$54,$B6),0)+IF('計算A'!DO$117=1,INDEX('計算A'!DP$10:DP$54,$B6),0))*500,0)-IF(AND('計算A'!DN$117=1,YL6&gt;0),300,0)-IF(AND($L6=1,'計算A'!DO$117=1,HN6=0),300,0))),1000000))</f>
        <v/>
      </c>
      <c r="SR6">
        <f>IF($B6=0,1000000,IF(INDEX('計算A'!$D$60:$EQ$104,$B6,117)*HN6=1,IF(AND($E6=2,NC6=0),1000000,IF($I6&gt;0,IF(5=$J6,IF(OR(AND(117=$I6+1,OR($K6&lt;&gt;'計算A'!$A$3,'計算A'!$A$4=0)),AND(117=$I6-1,OR(21&lt;&gt;'計算A'!$A$3,'計算A'!$A$4=0))),0,IF(21=$K6,200000,ABS(21-$K6)*100)),100000+ABS(5-$J6)*1000+210)+'計算A'!DP$5*50+IF(AND($E6=1,NC6=0),25,0),INDEX('計算A'!DP$110:DP$114,$F6+1)+IF(AND($E6=1,NC6=0),1000,0)+IF($H6=1,(IF('計算A'!DO$117=1,INDEX('計算A'!DO$10:DO$54,$B6),0)+IF('計算A'!DP$117=1,INDEX('計算A'!DQ$10:DQ$54,$B6),0))*500,0)-IF(AND('計算A'!DO$117=1,YM6&gt;0),300,0)-IF(AND($L6=1,'計算A'!DP$117=1,HO6=0),300,0))),1000000))</f>
        <v/>
      </c>
      <c r="SS6">
        <f>IF($B6=0,1000000,IF(INDEX('計算A'!$D$60:$EQ$104,$B6,118)*HO6=1,IF(AND($E6=2,ND6=0),1000000,IF($I6&gt;0,IF(5=$J6,IF(OR(AND(118=$I6+1,OR($K6&lt;&gt;'計算A'!$A$3,'計算A'!$A$4=0)),AND(118=$I6-1,OR(22&lt;&gt;'計算A'!$A$3,'計算A'!$A$4=0))),0,IF(22=$K6,200000,ABS(22-$K6)*100)),100000+ABS(5-$J6)*1000+220)+'計算A'!DQ$5*50+IF(AND($E6=1,ND6=0),25,0),INDEX('計算A'!DQ$110:DQ$114,$F6+1)+IF(AND($E6=1,ND6=0),1000,0)+IF($H6=1,(IF('計算A'!DP$117=1,INDEX('計算A'!DP$10:DP$54,$B6),0)+IF('計算A'!DQ$117=1,INDEX('計算A'!DR$10:DR$54,$B6),0))*500,0)-IF(AND('計算A'!DP$117=1,YN6&gt;0),300,0)-IF(AND($L6=1,'計算A'!DQ$117=1,HP6=0),300,0))),1000000))</f>
        <v/>
      </c>
      <c r="ST6">
        <f>IF($B6=0,1000000,IF(INDEX('計算A'!$D$60:$EQ$104,$B6,119)*HP6=1,IF(AND($E6=2,NE6=0),1000000,IF($I6&gt;0,IF(5=$J6,IF(OR(AND(119=$I6+1,OR($K6&lt;&gt;'計算A'!$A$3,'計算A'!$A$4=0)),AND(119=$I6-1,OR(23&lt;&gt;'計算A'!$A$3,'計算A'!$A$4=0))),0,IF(23=$K6,200000,ABS(23-$K6)*100)),100000+ABS(5-$J6)*1000+230)+'計算A'!DR$5*50+IF(AND($E6=1,NE6=0),25,0),INDEX('計算A'!DR$110:DR$114,$F6+1)+IF(AND($E6=1,NE6=0),1000,0)+IF($H6=1,(IF('計算A'!DQ$117=1,INDEX('計算A'!DQ$10:DQ$54,$B6),0)+IF('計算A'!DR$117=1,INDEX('計算A'!DS$10:DS$54,$B6),0))*500,0)-IF(AND('計算A'!DQ$117=1,YO6&gt;0),300,0)-IF(AND($L6=1,'計算A'!DR$117=1,HQ6=0),300,0))),1000000))</f>
        <v/>
      </c>
      <c r="SU6">
        <f>IF($B6=0,1000000,IF(INDEX('計算A'!$D$60:$EQ$104,$B6,120)*HQ6=1,IF(AND($E6=2,NF6=0),1000000,IF($I6&gt;0,IF(5=$J6,IF(OR(AND(120=$I6+1,OR($K6&lt;&gt;'計算A'!$A$3,'計算A'!$A$4=0)),AND(120=$I6-1,OR(24&lt;&gt;'計算A'!$A$3,'計算A'!$A$4=0))),0,IF(24=$K6,200000,ABS(24-$K6)*100)),100000+ABS(5-$J6)*1000+240)+'計算A'!DS$5*50+IF(AND($E6=1,NF6=0),25,0),INDEX('計算A'!DS$110:DS$114,$F6+1)+IF(AND($E6=1,NF6=0),1000,0)+IF($H6=1,(IF('計算A'!DR$117=1,INDEX('計算A'!DR$10:DR$54,$B6),0))*500,0)-IF(AND('計算A'!DR$117=1,YP6&gt;0),300,0))),1000000))</f>
        <v/>
      </c>
      <c r="SV6">
        <f>IF($B6=0,1000000,IF(INDEX('計算A'!$D$60:$EQ$104,$B6,121)*HR6=1,IF(AND($E6=2,NG6=0),1000000,IF($I6&gt;0,IF(6=$J6,IF(OR(AND(121=$I6+1,OR($K6&lt;&gt;'計算A'!$A$3,'計算A'!$A$4=0)),AND(121=$I6-1,OR(1&lt;&gt;'計算A'!$A$3,'計算A'!$A$4=0))),0,IF(1=$K6,200000,ABS(1-$K6)*100)),100000+ABS(6-$J6)*1000+10)+'計算A'!DT$5*50+IF(AND($E6=1,NG6=0),25,0),INDEX('計算A'!DT$110:DT$114,$F6+1)+IF(AND($E6=1,NG6=0),1000,0)+IF($H6=1,(IF('計算A'!DT$117=1,INDEX('計算A'!DU$10:DU$54,$B6),0))*500,0)-IF(AND($L6=1,'計算A'!DT$117=1,HS6=0),300,0))),1000000))</f>
        <v/>
      </c>
      <c r="SW6">
        <f>IF($B6=0,1000000,IF(INDEX('計算A'!$D$60:$EQ$104,$B6,122)*HS6=1,IF(AND($E6=2,NH6=0),1000000,IF($I6&gt;0,IF(6=$J6,IF(OR(AND(122=$I6+1,OR($K6&lt;&gt;'計算A'!$A$3,'計算A'!$A$4=0)),AND(122=$I6-1,OR(2&lt;&gt;'計算A'!$A$3,'計算A'!$A$4=0))),0,IF(2=$K6,200000,ABS(2-$K6)*100)),100000+ABS(6-$J6)*1000+20)+'計算A'!DU$5*50+IF(AND($E6=1,NH6=0),25,0),INDEX('計算A'!DU$110:DU$114,$F6+1)+IF(AND($E6=1,NH6=0),1000,0)+IF($H6=1,(IF('計算A'!DT$117=1,INDEX('計算A'!DT$10:DT$54,$B6),0)+IF('計算A'!DU$117=1,INDEX('計算A'!DV$10:DV$54,$B6),0))*500,0)-IF(AND('計算A'!DT$117=1,YR6&gt;0),300,0)-IF(AND($L6=1,'計算A'!DU$117=1,HT6=0),300,0))),1000000))</f>
        <v/>
      </c>
      <c r="SX6">
        <f>IF($B6=0,1000000,IF(INDEX('計算A'!$D$60:$EQ$104,$B6,123)*HT6=1,IF(AND($E6=2,NI6=0),1000000,IF($I6&gt;0,IF(6=$J6,IF(OR(AND(123=$I6+1,OR($K6&lt;&gt;'計算A'!$A$3,'計算A'!$A$4=0)),AND(123=$I6-1,OR(3&lt;&gt;'計算A'!$A$3,'計算A'!$A$4=0))),0,IF(3=$K6,200000,ABS(3-$K6)*100)),100000+ABS(6-$J6)*1000+30)+'計算A'!DV$5*50+IF(AND($E6=1,NI6=0),25,0),INDEX('計算A'!DV$110:DV$114,$F6+1)+IF(AND($E6=1,NI6=0),1000,0)+IF($H6=1,(IF('計算A'!DU$117=1,INDEX('計算A'!DU$10:DU$54,$B6),0)+IF('計算A'!DV$117=1,INDEX('計算A'!DW$10:DW$54,$B6),0))*500,0)-IF(AND('計算A'!DU$117=1,YS6&gt;0),300,0)-IF(AND($L6=1,'計算A'!DV$117=1,HU6=0),300,0))),1000000))</f>
        <v/>
      </c>
      <c r="SY6">
        <f>IF($B6=0,1000000,IF(INDEX('計算A'!$D$60:$EQ$104,$B6,124)*HU6=1,IF(AND($E6=2,NJ6=0),1000000,IF($I6&gt;0,IF(6=$J6,IF(OR(AND(124=$I6+1,OR($K6&lt;&gt;'計算A'!$A$3,'計算A'!$A$4=0)),AND(124=$I6-1,OR(4&lt;&gt;'計算A'!$A$3,'計算A'!$A$4=0))),0,IF(4=$K6,200000,ABS(4-$K6)*100)),100000+ABS(6-$J6)*1000+40)+'計算A'!DW$5*50+IF(AND($E6=1,NJ6=0),25,0),INDEX('計算A'!DW$110:DW$114,$F6+1)+IF(AND($E6=1,NJ6=0),1000,0)+IF($H6=1,(IF('計算A'!DV$117=1,INDEX('計算A'!DV$10:DV$54,$B6),0)+IF('計算A'!DW$117=1,INDEX('計算A'!DX$10:DX$54,$B6),0))*500,0)-IF(AND('計算A'!DV$117=1,YT6&gt;0),300,0)-IF(AND($L6=1,'計算A'!DW$117=1,HV6=0),300,0))),1000000))</f>
        <v/>
      </c>
      <c r="SZ6">
        <f>IF($B6=0,1000000,IF(INDEX('計算A'!$D$60:$EQ$104,$B6,125)*HV6=1,IF(AND($E6=2,NK6=0),1000000,IF($I6&gt;0,IF(6=$J6,IF(OR(AND(125=$I6+1,OR($K6&lt;&gt;'計算A'!$A$3,'計算A'!$A$4=0)),AND(125=$I6-1,OR(5&lt;&gt;'計算A'!$A$3,'計算A'!$A$4=0))),0,IF(5=$K6,200000,ABS(5-$K6)*100)),100000+ABS(6-$J6)*1000+50)+'計算A'!DX$5*50+IF(AND($E6=1,NK6=0),25,0),INDEX('計算A'!DX$110:DX$114,$F6+1)+IF(AND($E6=1,NK6=0),1000,0)+IF($H6=1,(IF('計算A'!DW$117=1,INDEX('計算A'!DW$10:DW$54,$B6),0)+IF('計算A'!DX$117=1,INDEX('計算A'!DY$10:DY$54,$B6),0))*500,0)-IF(AND('計算A'!DW$117=1,YU6&gt;0),300,0)-IF(AND($L6=1,'計算A'!DX$117=1,HW6=0),300,0))),1000000))</f>
        <v/>
      </c>
      <c r="TA6">
        <f>IF($B6=0,1000000,IF(INDEX('計算A'!$D$60:$EQ$104,$B6,126)*HW6=1,IF(AND($E6=2,NL6=0),1000000,IF($I6&gt;0,IF(6=$J6,IF(OR(AND(126=$I6+1,OR($K6&lt;&gt;'計算A'!$A$3,'計算A'!$A$4=0)),AND(126=$I6-1,OR(6&lt;&gt;'計算A'!$A$3,'計算A'!$A$4=0))),0,IF(6=$K6,200000,ABS(6-$K6)*100)),100000+ABS(6-$J6)*1000+60)+'計算A'!DY$5*50+IF(AND($E6=1,NL6=0),25,0),INDEX('計算A'!DY$110:DY$114,$F6+1)+IF(AND($E6=1,NL6=0),1000,0)+IF($H6=1,(IF('計算A'!DX$117=1,INDEX('計算A'!DX$10:DX$54,$B6),0)+IF('計算A'!DY$117=1,INDEX('計算A'!DZ$10:DZ$54,$B6),0))*500,0)-IF(AND('計算A'!DX$117=1,YV6&gt;0),300,0)-IF(AND($L6=1,'計算A'!DY$117=1,HX6=0),300,0))),1000000))</f>
        <v/>
      </c>
      <c r="TB6">
        <f>IF($B6=0,1000000,IF(INDEX('計算A'!$D$60:$EQ$104,$B6,127)*HX6=1,IF(AND($E6=2,NM6=0),1000000,IF($I6&gt;0,IF(6=$J6,IF(OR(AND(127=$I6+1,OR($K6&lt;&gt;'計算A'!$A$3,'計算A'!$A$4=0)),AND(127=$I6-1,OR(7&lt;&gt;'計算A'!$A$3,'計算A'!$A$4=0))),0,IF(7=$K6,200000,ABS(7-$K6)*100)),100000+ABS(6-$J6)*1000+70)+'計算A'!DZ$5*50+IF(AND($E6=1,NM6=0),25,0),INDEX('計算A'!DZ$110:DZ$114,$F6+1)+IF(AND($E6=1,NM6=0),1000,0)+IF($H6=1,(IF('計算A'!DY$117=1,INDEX('計算A'!DY$10:DY$54,$B6),0)+IF('計算A'!DZ$117=1,INDEX('計算A'!EA$10:EA$54,$B6),0))*500,0)-IF(AND('計算A'!DY$117=1,YW6&gt;0),300,0)-IF(AND($L6=1,'計算A'!DZ$117=1,HY6=0),300,0))),1000000))</f>
        <v/>
      </c>
      <c r="TC6">
        <f>IF($B6=0,1000000,IF(INDEX('計算A'!$D$60:$EQ$104,$B6,128)*HY6=1,IF(AND($E6=2,NN6=0),1000000,IF($I6&gt;0,IF(6=$J6,IF(OR(AND(128=$I6+1,OR($K6&lt;&gt;'計算A'!$A$3,'計算A'!$A$4=0)),AND(128=$I6-1,OR(8&lt;&gt;'計算A'!$A$3,'計算A'!$A$4=0))),0,IF(8=$K6,200000,ABS(8-$K6)*100)),100000+ABS(6-$J6)*1000+80)+'計算A'!EA$5*50+IF(AND($E6=1,NN6=0),25,0),INDEX('計算A'!EA$110:EA$114,$F6+1)+IF(AND($E6=1,NN6=0),1000,0)+IF($H6=1,(IF('計算A'!DZ$117=1,INDEX('計算A'!DZ$10:DZ$54,$B6),0)+IF('計算A'!EA$117=1,INDEX('計算A'!EB$10:EB$54,$B6),0))*500,0)-IF(AND('計算A'!DZ$117=1,YX6&gt;0),300,0)-IF(AND($L6=1,'計算A'!EA$117=1,HZ6=0),300,0))),1000000))</f>
        <v/>
      </c>
      <c r="TD6">
        <f>IF($B6=0,1000000,IF(INDEX('計算A'!$D$60:$EQ$104,$B6,129)*HZ6=1,IF(AND($E6=2,NO6=0),1000000,IF($I6&gt;0,IF(6=$J6,IF(OR(AND(129=$I6+1,OR($K6&lt;&gt;'計算A'!$A$3,'計算A'!$A$4=0)),AND(129=$I6-1,OR(9&lt;&gt;'計算A'!$A$3,'計算A'!$A$4=0))),0,IF(9=$K6,200000,ABS(9-$K6)*100)),100000+ABS(6-$J6)*1000+90)+'計算A'!EB$5*50+IF(AND($E6=1,NO6=0),25,0),INDEX('計算A'!EB$110:EB$114,$F6+1)+IF(AND($E6=1,NO6=0),1000,0)+IF($H6=1,(IF('計算A'!EA$117=1,INDEX('計算A'!EA$10:EA$54,$B6),0)+IF('計算A'!EB$117=1,INDEX('計算A'!EC$10:EC$54,$B6),0))*500,0)-IF(AND('計算A'!EA$117=1,YY6&gt;0),300,0)-IF(AND($L6=1,'計算A'!EB$117=1,IA6=0),300,0))),1000000))</f>
        <v/>
      </c>
      <c r="TE6">
        <f>IF($B6=0,1000000,IF(INDEX('計算A'!$D$60:$EQ$104,$B6,130)*IA6=1,IF(AND($E6=2,NP6=0),1000000,IF($I6&gt;0,IF(6=$J6,IF(OR(AND(130=$I6+1,OR($K6&lt;&gt;'計算A'!$A$3,'計算A'!$A$4=0)),AND(130=$I6-1,OR(10&lt;&gt;'計算A'!$A$3,'計算A'!$A$4=0))),0,IF(10=$K6,200000,ABS(10-$K6)*100)),100000+ABS(6-$J6)*1000+100)+'計算A'!EC$5*50+IF(AND($E6=1,NP6=0),25,0),INDEX('計算A'!EC$110:EC$114,$F6+1)+IF(AND($E6=1,NP6=0),1000,0)+IF($H6=1,(IF('計算A'!EB$117=1,INDEX('計算A'!EB$10:EB$54,$B6),0)+IF('計算A'!EC$117=1,INDEX('計算A'!ED$10:ED$54,$B6),0))*500,0)-IF(AND('計算A'!EB$117=1,YZ6&gt;0),300,0)-IF(AND($L6=1,'計算A'!EC$117=1,IB6=0),300,0))),1000000))</f>
        <v/>
      </c>
      <c r="TF6">
        <f>IF($B6=0,1000000,IF(INDEX('計算A'!$D$60:$EQ$104,$B6,131)*IB6=1,IF(AND($E6=2,NQ6=0),1000000,IF($I6&gt;0,IF(6=$J6,IF(OR(AND(131=$I6+1,OR($K6&lt;&gt;'計算A'!$A$3,'計算A'!$A$4=0)),AND(131=$I6-1,OR(11&lt;&gt;'計算A'!$A$3,'計算A'!$A$4=0))),0,IF(11=$K6,200000,ABS(11-$K6)*100)),100000+ABS(6-$J6)*1000+110)+'計算A'!ED$5*50+IF(AND($E6=1,NQ6=0),25,0),INDEX('計算A'!ED$110:ED$114,$F6+1)+IF(AND($E6=1,NQ6=0),1000,0)+IF($H6=1,(IF('計算A'!EC$117=1,INDEX('計算A'!EC$10:EC$54,$B6),0)+IF('計算A'!ED$117=1,INDEX('計算A'!EE$10:EE$54,$B6),0))*500,0)-IF(AND('計算A'!EC$117=1,ZA6&gt;0),300,0)-IF(AND($L6=1,'計算A'!ED$117=1,IC6=0),300,0))),1000000))</f>
        <v/>
      </c>
      <c r="TG6">
        <f>IF($B6=0,1000000,IF(INDEX('計算A'!$D$60:$EQ$104,$B6,132)*IC6=1,IF(AND($E6=2,NR6=0),1000000,IF($I6&gt;0,IF(6=$J6,IF(OR(AND(132=$I6+1,OR($K6&lt;&gt;'計算A'!$A$3,'計算A'!$A$4=0)),AND(132=$I6-1,OR(12&lt;&gt;'計算A'!$A$3,'計算A'!$A$4=0))),0,IF(12=$K6,200000,ABS(12-$K6)*100)),100000+ABS(6-$J6)*1000+120)+'計算A'!EE$5*50+IF(AND($E6=1,NR6=0),25,0),INDEX('計算A'!EE$110:EE$114,$F6+1)+IF(AND($E6=1,NR6=0),1000,0)+IF($H6=1,(IF('計算A'!ED$117=1,INDEX('計算A'!ED$10:ED$54,$B6),0)+IF('計算A'!EE$117=1,INDEX('計算A'!EF$10:EF$54,$B6),0))*500,0)-IF(AND('計算A'!ED$117=1,ZB6&gt;0),300,0)-IF(AND($L6=1,'計算A'!EE$117=1,ID6=0),300,0))),1000000))</f>
        <v/>
      </c>
      <c r="TH6">
        <f>IF($B6=0,1000000,IF(INDEX('計算A'!$D$60:$EQ$104,$B6,133)*ID6=1,IF(AND($E6=2,NS6=0),1000000,IF($I6&gt;0,IF(6=$J6,IF(OR(AND(133=$I6+1,OR($K6&lt;&gt;'計算A'!$A$3,'計算A'!$A$4=0)),AND(133=$I6-1,OR(13&lt;&gt;'計算A'!$A$3,'計算A'!$A$4=0))),0,IF(13=$K6,200000,ABS(13-$K6)*100)),100000+ABS(6-$J6)*1000+130)+'計算A'!EF$5*50+IF(AND($E6=1,NS6=0),25,0),INDEX('計算A'!EF$110:EF$114,$F6+1)+IF(AND($E6=1,NS6=0),1000,0)+IF($H6=1,(IF('計算A'!EE$117=1,INDEX('計算A'!EE$10:EE$54,$B6),0)+IF('計算A'!EF$117=1,INDEX('計算A'!EG$10:EG$54,$B6),0))*500,0)-IF(AND('計算A'!EE$117=1,ZC6&gt;0),300,0)-IF(AND($L6=1,'計算A'!EF$117=1,IE6=0),300,0))),1000000))</f>
        <v/>
      </c>
      <c r="TI6">
        <f>IF($B6=0,1000000,IF(INDEX('計算A'!$D$60:$EQ$104,$B6,134)*IE6=1,IF(AND($E6=2,NT6=0),1000000,IF($I6&gt;0,IF(6=$J6,IF(OR(AND(134=$I6+1,OR($K6&lt;&gt;'計算A'!$A$3,'計算A'!$A$4=0)),AND(134=$I6-1,OR(14&lt;&gt;'計算A'!$A$3,'計算A'!$A$4=0))),0,IF(14=$K6,200000,ABS(14-$K6)*100)),100000+ABS(6-$J6)*1000+140)+'計算A'!EG$5*50+IF(AND($E6=1,NT6=0),25,0),INDEX('計算A'!EG$110:EG$114,$F6+1)+IF(AND($E6=1,NT6=0),1000,0)+IF($H6=1,(IF('計算A'!EF$117=1,INDEX('計算A'!EF$10:EF$54,$B6),0)+IF('計算A'!EG$117=1,INDEX('計算A'!EH$10:EH$54,$B6),0))*500,0)-IF(AND('計算A'!EF$117=1,ZD6&gt;0),300,0)-IF(AND($L6=1,'計算A'!EG$117=1,IF6=0),300,0))),1000000))</f>
        <v/>
      </c>
      <c r="TJ6">
        <f>IF($B6=0,1000000,IF(INDEX('計算A'!$D$60:$EQ$104,$B6,135)*IF6=1,IF(AND($E6=2,NU6=0),1000000,IF($I6&gt;0,IF(6=$J6,IF(OR(AND(135=$I6+1,OR($K6&lt;&gt;'計算A'!$A$3,'計算A'!$A$4=0)),AND(135=$I6-1,OR(15&lt;&gt;'計算A'!$A$3,'計算A'!$A$4=0))),0,IF(15=$K6,200000,ABS(15-$K6)*100)),100000+ABS(6-$J6)*1000+150)+'計算A'!EH$5*50+IF(AND($E6=1,NU6=0),25,0),INDEX('計算A'!EH$110:EH$114,$F6+1)+IF(AND($E6=1,NU6=0),1000,0)+IF($H6=1,(IF('計算A'!EG$117=1,INDEX('計算A'!EG$10:EG$54,$B6),0)+IF('計算A'!EH$117=1,INDEX('計算A'!EI$10:EI$54,$B6),0))*500,0)-IF(AND('計算A'!EG$117=1,ZE6&gt;0),300,0)-IF(AND($L6=1,'計算A'!EH$117=1,IG6=0),300,0))),1000000))</f>
        <v/>
      </c>
      <c r="TK6">
        <f>IF($B6=0,1000000,IF(INDEX('計算A'!$D$60:$EQ$104,$B6,136)*IG6=1,IF(AND($E6=2,NV6=0),1000000,IF($I6&gt;0,IF(6=$J6,IF(OR(AND(136=$I6+1,OR($K6&lt;&gt;'計算A'!$A$3,'計算A'!$A$4=0)),AND(136=$I6-1,OR(16&lt;&gt;'計算A'!$A$3,'計算A'!$A$4=0))),0,IF(16=$K6,200000,ABS(16-$K6)*100)),100000+ABS(6-$J6)*1000+160)+'計算A'!EI$5*50+IF(AND($E6=1,NV6=0),25,0),INDEX('計算A'!EI$110:EI$114,$F6+1)+IF(AND($E6=1,NV6=0),1000,0)+IF($H6=1,(IF('計算A'!EH$117=1,INDEX('計算A'!EH$10:EH$54,$B6),0)+IF('計算A'!EI$117=1,INDEX('計算A'!EJ$10:EJ$54,$B6),0))*500,0)-IF(AND('計算A'!EH$117=1,ZF6&gt;0),300,0)-IF(AND($L6=1,'計算A'!EI$117=1,IH6=0),300,0))),1000000))</f>
        <v/>
      </c>
      <c r="TL6">
        <f>IF($B6=0,1000000,IF(INDEX('計算A'!$D$60:$EQ$104,$B6,137)*IH6=1,IF(AND($E6=2,NW6=0),1000000,IF($I6&gt;0,IF(6=$J6,IF(OR(AND(137=$I6+1,OR($K6&lt;&gt;'計算A'!$A$3,'計算A'!$A$4=0)),AND(137=$I6-1,OR(17&lt;&gt;'計算A'!$A$3,'計算A'!$A$4=0))),0,IF(17=$K6,200000,ABS(17-$K6)*100)),100000+ABS(6-$J6)*1000+170)+'計算A'!EJ$5*50+IF(AND($E6=1,NW6=0),25,0),INDEX('計算A'!EJ$110:EJ$114,$F6+1)+IF(AND($E6=1,NW6=0),1000,0)+IF($H6=1,(IF('計算A'!EI$117=1,INDEX('計算A'!EI$10:EI$54,$B6),0)+IF('計算A'!EJ$117=1,INDEX('計算A'!EK$10:EK$54,$B6),0))*500,0)-IF(AND('計算A'!EI$117=1,ZG6&gt;0),300,0)-IF(AND($L6=1,'計算A'!EJ$117=1,II6=0),300,0))),1000000))</f>
        <v/>
      </c>
      <c r="TM6">
        <f>IF($B6=0,1000000,IF(INDEX('計算A'!$D$60:$EQ$104,$B6,138)*II6=1,IF(AND($E6=2,NX6=0),1000000,IF($I6&gt;0,IF(6=$J6,IF(OR(AND(138=$I6+1,OR($K6&lt;&gt;'計算A'!$A$3,'計算A'!$A$4=0)),AND(138=$I6-1,OR(18&lt;&gt;'計算A'!$A$3,'計算A'!$A$4=0))),0,IF(18=$K6,200000,ABS(18-$K6)*100)),100000+ABS(6-$J6)*1000+180)+'計算A'!EK$5*50+IF(AND($E6=1,NX6=0),25,0),INDEX('計算A'!EK$110:EK$114,$F6+1)+IF(AND($E6=1,NX6=0),1000,0)+IF($H6=1,(IF('計算A'!EJ$117=1,INDEX('計算A'!EJ$10:EJ$54,$B6),0)+IF('計算A'!EK$117=1,INDEX('計算A'!EL$10:EL$54,$B6),0))*500,0)-IF(AND('計算A'!EJ$117=1,ZH6&gt;0),300,0)-IF(AND($L6=1,'計算A'!EK$117=1,IJ6=0),300,0))),1000000))</f>
        <v/>
      </c>
      <c r="TN6">
        <f>IF($B6=0,1000000,IF(INDEX('計算A'!$D$60:$EQ$104,$B6,139)*IJ6=1,IF(AND($E6=2,NY6=0),1000000,IF($I6&gt;0,IF(6=$J6,IF(OR(AND(139=$I6+1,OR($K6&lt;&gt;'計算A'!$A$3,'計算A'!$A$4=0)),AND(139=$I6-1,OR(19&lt;&gt;'計算A'!$A$3,'計算A'!$A$4=0))),0,IF(19=$K6,200000,ABS(19-$K6)*100)),100000+ABS(6-$J6)*1000+190)+'計算A'!EL$5*50+IF(AND($E6=1,NY6=0),25,0),INDEX('計算A'!EL$110:EL$114,$F6+1)+IF(AND($E6=1,NY6=0),1000,0)+IF($H6=1,(IF('計算A'!EK$117=1,INDEX('計算A'!EK$10:EK$54,$B6),0)+IF('計算A'!EL$117=1,INDEX('計算A'!EM$10:EM$54,$B6),0))*500,0)-IF(AND('計算A'!EK$117=1,ZI6&gt;0),300,0)-IF(AND($L6=1,'計算A'!EL$117=1,IK6=0),300,0))),1000000))</f>
        <v/>
      </c>
      <c r="TO6">
        <f>IF($B6=0,1000000,IF(INDEX('計算A'!$D$60:$EQ$104,$B6,140)*IK6=1,IF(AND($E6=2,NZ6=0),1000000,IF($I6&gt;0,IF(6=$J6,IF(OR(AND(140=$I6+1,OR($K6&lt;&gt;'計算A'!$A$3,'計算A'!$A$4=0)),AND(140=$I6-1,OR(20&lt;&gt;'計算A'!$A$3,'計算A'!$A$4=0))),0,IF(20=$K6,200000,ABS(20-$K6)*100)),100000+ABS(6-$J6)*1000+200)+'計算A'!EM$5*50+IF(AND($E6=1,NZ6=0),25,0),INDEX('計算A'!EM$110:EM$114,$F6+1)+IF(AND($E6=1,NZ6=0),1000,0)+IF($H6=1,(IF('計算A'!EL$117=1,INDEX('計算A'!EL$10:EL$54,$B6),0)+IF('計算A'!EM$117=1,INDEX('計算A'!EN$10:EN$54,$B6),0))*500,0)-IF(AND('計算A'!EL$117=1,ZJ6&gt;0),300,0)-IF(AND($L6=1,'計算A'!EM$117=1,IL6=0),300,0))),1000000))</f>
        <v/>
      </c>
      <c r="TP6">
        <f>IF($B6=0,1000000,IF(INDEX('計算A'!$D$60:$EQ$104,$B6,141)*IL6=1,IF(AND($E6=2,OA6=0),1000000,IF($I6&gt;0,IF(6=$J6,IF(OR(AND(141=$I6+1,OR($K6&lt;&gt;'計算A'!$A$3,'計算A'!$A$4=0)),AND(141=$I6-1,OR(21&lt;&gt;'計算A'!$A$3,'計算A'!$A$4=0))),0,IF(21=$K6,200000,ABS(21-$K6)*100)),100000+ABS(6-$J6)*1000+210)+'計算A'!EN$5*50+IF(AND($E6=1,OA6=0),25,0),INDEX('計算A'!EN$110:EN$114,$F6+1)+IF(AND($E6=1,OA6=0),1000,0)+IF($H6=1,(IF('計算A'!EM$117=1,INDEX('計算A'!EM$10:EM$54,$B6),0)+IF('計算A'!EN$117=1,INDEX('計算A'!EO$10:EO$54,$B6),0))*500,0)-IF(AND('計算A'!EM$117=1,ZK6&gt;0),300,0)-IF(AND($L6=1,'計算A'!EN$117=1,IM6=0),300,0))),1000000))</f>
        <v/>
      </c>
      <c r="TQ6">
        <f>IF($B6=0,1000000,IF(INDEX('計算A'!$D$60:$EQ$104,$B6,142)*IM6=1,IF(AND($E6=2,OB6=0),1000000,IF($I6&gt;0,IF(6=$J6,IF(OR(AND(142=$I6+1,OR($K6&lt;&gt;'計算A'!$A$3,'計算A'!$A$4=0)),AND(142=$I6-1,OR(22&lt;&gt;'計算A'!$A$3,'計算A'!$A$4=0))),0,IF(22=$K6,200000,ABS(22-$K6)*100)),100000+ABS(6-$J6)*1000+220)+'計算A'!EO$5*50+IF(AND($E6=1,OB6=0),25,0),INDEX('計算A'!EO$110:EO$114,$F6+1)+IF(AND($E6=1,OB6=0),1000,0)+IF($H6=1,(IF('計算A'!EN$117=1,INDEX('計算A'!EN$10:EN$54,$B6),0)+IF('計算A'!EO$117=1,INDEX('計算A'!EP$10:EP$54,$B6),0))*500,0)-IF(AND('計算A'!EN$117=1,ZL6&gt;0),300,0)-IF(AND($L6=1,'計算A'!EO$117=1,IN6=0),300,0))),1000000))</f>
        <v/>
      </c>
      <c r="TR6">
        <f>IF($B6=0,1000000,IF(INDEX('計算A'!$D$60:$EQ$104,$B6,143)*IN6=1,IF(AND($E6=2,OC6=0),1000000,IF($I6&gt;0,IF(6=$J6,IF(OR(AND(143=$I6+1,OR($K6&lt;&gt;'計算A'!$A$3,'計算A'!$A$4=0)),AND(143=$I6-1,OR(23&lt;&gt;'計算A'!$A$3,'計算A'!$A$4=0))),0,IF(23=$K6,200000,ABS(23-$K6)*100)),100000+ABS(6-$J6)*1000+230)+'計算A'!EP$5*50+IF(AND($E6=1,OC6=0),25,0),INDEX('計算A'!EP$110:EP$114,$F6+1)+IF(AND($E6=1,OC6=0),1000,0)+IF($H6=1,(IF('計算A'!EO$117=1,INDEX('計算A'!EO$10:EO$54,$B6),0)+IF('計算A'!EP$117=1,INDEX('計算A'!EQ$10:EQ$54,$B6),0))*500,0)-IF(AND('計算A'!EO$117=1,ZM6&gt;0),300,0)-IF(AND($L6=1,'計算A'!EP$117=1,IO6=0),300,0))),1000000))</f>
        <v/>
      </c>
      <c r="TS6">
        <f>IF($B6=0,1000000,IF(INDEX('計算A'!$D$60:$EQ$104,$B6,144)*IO6=1,IF(AND($E6=2,OD6=0),1000000,IF($I6&gt;0,IF(6=$J6,IF(OR(AND(144=$I6+1,OR($K6&lt;&gt;'計算A'!$A$3,'計算A'!$A$4=0)),AND(144=$I6-1,OR(24&lt;&gt;'計算A'!$A$3,'計算A'!$A$4=0))),0,IF(24=$K6,200000,ABS(24-$K6)*100)),100000+ABS(6-$J6)*1000+240)+'計算A'!EQ$5*50+IF(AND($E6=1,OD6=0),25,0),INDEX('計算A'!EQ$110:EQ$114,$F6+1)+IF(AND($E6=1,OD6=0),1000,0)+IF($H6=1,(IF('計算A'!EP$117=1,INDEX('計算A'!EP$10:EP$54,$B6),0))*500,0)-IF(AND('計算A'!EP$117=1,ZN6&gt;0),300,0))),1000000))</f>
        <v/>
      </c>
      <c r="UB6">
        <f>UB5+IF(AND($C5=1,$L5=1),1,0)</f>
        <v/>
      </c>
      <c r="UC6">
        <f>UC5+IF(AND($C5=2,$L5=1),1,0)</f>
        <v/>
      </c>
      <c r="UD6">
        <f>UD5+IF(AND($C5=3,$L5=1),1,0)</f>
        <v/>
      </c>
      <c r="UE6">
        <f>UE5+IF(AND($C5=4,$L5=1),1,0)</f>
        <v/>
      </c>
      <c r="UF6">
        <f>UF5+IF(AND($C5=5,$L5=1),1,0)</f>
        <v/>
      </c>
      <c r="UG6">
        <f>UG5+IF(AND($C5=6,$L5=1),1,0)</f>
        <v/>
      </c>
      <c r="UH6">
        <f>UH5+IF(AND($C5=7,$L5=1),1,0)</f>
        <v/>
      </c>
      <c r="UI6">
        <f>UI5+IF(AND($C5=8,$L5=1),1,0)</f>
        <v/>
      </c>
      <c r="UJ6">
        <f>UJ5+IF(AND($C5=9,$L5=1),1,0)</f>
        <v/>
      </c>
      <c r="UK6">
        <f>UK5+IF(AND($C5=10,$L5=1),1,0)</f>
        <v/>
      </c>
      <c r="UL6">
        <f>UL5+IF(AND($C5=11,$L5=1),1,0)</f>
        <v/>
      </c>
      <c r="UM6">
        <f>UM5+IF(AND($C5=12,$L5=1),1,0)</f>
        <v/>
      </c>
      <c r="UN6">
        <f>UN5+IF(AND($C5=13,$L5=1),1,0)</f>
        <v/>
      </c>
      <c r="UO6">
        <f>UO5+IF(AND($C5=14,$L5=1),1,0)</f>
        <v/>
      </c>
      <c r="UP6">
        <f>UP5+IF(AND($C5=15,$L5=1),1,0)</f>
        <v/>
      </c>
      <c r="UQ6">
        <f>UQ5+IF(AND($C5=16,$L5=1),1,0)</f>
        <v/>
      </c>
      <c r="UR6">
        <f>UR5+IF(AND($C5=17,$L5=1),1,0)</f>
        <v/>
      </c>
      <c r="US6">
        <f>US5+IF(AND($C5=18,$L5=1),1,0)</f>
        <v/>
      </c>
      <c r="UT6">
        <f>UT5+IF(AND($C5=19,$L5=1),1,0)</f>
        <v/>
      </c>
      <c r="UU6">
        <f>UU5+IF(AND($C5=20,$L5=1),1,0)</f>
        <v/>
      </c>
      <c r="UV6">
        <f>UV5+IF(AND($C5=21,$L5=1),1,0)</f>
        <v/>
      </c>
      <c r="UW6">
        <f>UW5+IF(AND($C5=22,$L5=1),1,0)</f>
        <v/>
      </c>
      <c r="UX6">
        <f>UX5+IF(AND($C5=23,$L5=1),1,0)</f>
        <v/>
      </c>
      <c r="UY6">
        <f>UY5+IF(AND($C5=24,$L5=1),1,0)</f>
        <v/>
      </c>
      <c r="UZ6">
        <f>UZ5+IF(AND($C5=25,$L5=1),1,0)</f>
        <v/>
      </c>
      <c r="VA6">
        <f>VA5+IF(AND($C5=26,$L5=1),1,0)</f>
        <v/>
      </c>
      <c r="VB6">
        <f>VB5+IF(AND($C5=27,$L5=1),1,0)</f>
        <v/>
      </c>
      <c r="VC6">
        <f>VC5+IF(AND($C5=28,$L5=1),1,0)</f>
        <v/>
      </c>
      <c r="VD6">
        <f>VD5+IF(AND($C5=29,$L5=1),1,0)</f>
        <v/>
      </c>
      <c r="VE6">
        <f>VE5+IF(AND($C5=30,$L5=1),1,0)</f>
        <v/>
      </c>
      <c r="VF6">
        <f>VF5+IF(AND($C5=31,$L5=1),1,0)</f>
        <v/>
      </c>
      <c r="VG6">
        <f>VG5+IF(AND($C5=32,$L5=1),1,0)</f>
        <v/>
      </c>
      <c r="VH6">
        <f>VH5+IF(AND($C5=33,$L5=1),1,0)</f>
        <v/>
      </c>
      <c r="VI6">
        <f>VI5+IF(AND($C5=34,$L5=1),1,0)</f>
        <v/>
      </c>
      <c r="VJ6">
        <f>VJ5+IF(AND($C5=35,$L5=1),1,0)</f>
        <v/>
      </c>
      <c r="VK6">
        <f>VK5+IF(AND($C5=36,$L5=1),1,0)</f>
        <v/>
      </c>
      <c r="VL6">
        <f>VL5+IF(AND($C5=37,$L5=1),1,0)</f>
        <v/>
      </c>
      <c r="VM6">
        <f>VM5+IF(AND($C5=38,$L5=1),1,0)</f>
        <v/>
      </c>
      <c r="VN6">
        <f>VN5+IF(AND($C5=39,$L5=1),1,0)</f>
        <v/>
      </c>
      <c r="VO6">
        <f>VO5+IF(AND($C5=40,$L5=1),1,0)</f>
        <v/>
      </c>
      <c r="VP6">
        <f>VP5+IF(AND($C5=41,$L5=1),1,0)</f>
        <v/>
      </c>
      <c r="VQ6">
        <f>VQ5+IF(AND($C5=42,$L5=1),1,0)</f>
        <v/>
      </c>
      <c r="VR6">
        <f>VR5+IF(AND($C5=43,$L5=1),1,0)</f>
        <v/>
      </c>
      <c r="VS6">
        <f>VS5+IF(AND($C5=44,$L5=1),1,0)</f>
        <v/>
      </c>
      <c r="VT6">
        <f>VT5+IF(AND($C5=45,$L5=1),1,0)</f>
        <v/>
      </c>
      <c r="VU6">
        <f>VU5+IF(AND($C5=46,$L5=1),1,0)</f>
        <v/>
      </c>
      <c r="VV6">
        <f>VV5+IF(AND($C5=47,$L5=1),1,0)</f>
        <v/>
      </c>
      <c r="VW6">
        <f>VW5+IF(AND($C5=48,$L5=1),1,0)</f>
        <v/>
      </c>
      <c r="VX6">
        <f>VX5+IF(AND($C5=49,$L5=1),1,0)</f>
        <v/>
      </c>
      <c r="VY6">
        <f>VY5+IF(AND($C5=50,$L5=1),1,0)</f>
        <v/>
      </c>
      <c r="VZ6">
        <f>VZ5+IF(AND($C5=51,$L5=1),1,0)</f>
        <v/>
      </c>
      <c r="WA6">
        <f>WA5+IF(AND($C5=52,$L5=1),1,0)</f>
        <v/>
      </c>
      <c r="WB6">
        <f>WB5+IF(AND($C5=53,$L5=1),1,0)</f>
        <v/>
      </c>
      <c r="WC6">
        <f>WC5+IF(AND($C5=54,$L5=1),1,0)</f>
        <v/>
      </c>
      <c r="WD6">
        <f>WD5+IF(AND($C5=55,$L5=1),1,0)</f>
        <v/>
      </c>
      <c r="WE6">
        <f>WE5+IF(AND($C5=56,$L5=1),1,0)</f>
        <v/>
      </c>
      <c r="WF6">
        <f>WF5+IF(AND($C5=57,$L5=1),1,0)</f>
        <v/>
      </c>
      <c r="WG6">
        <f>WG5+IF(AND($C5=58,$L5=1),1,0)</f>
        <v/>
      </c>
      <c r="WH6">
        <f>WH5+IF(AND($C5=59,$L5=1),1,0)</f>
        <v/>
      </c>
      <c r="WI6">
        <f>WI5+IF(AND($C5=60,$L5=1),1,0)</f>
        <v/>
      </c>
      <c r="WJ6">
        <f>WJ5+IF(AND($C5=61,$L5=1),1,0)</f>
        <v/>
      </c>
      <c r="WK6">
        <f>WK5+IF(AND($C5=62,$L5=1),1,0)</f>
        <v/>
      </c>
      <c r="WL6">
        <f>WL5+IF(AND($C5=63,$L5=1),1,0)</f>
        <v/>
      </c>
      <c r="WM6">
        <f>WM5+IF(AND($C5=64,$L5=1),1,0)</f>
        <v/>
      </c>
      <c r="WN6">
        <f>WN5+IF(AND($C5=65,$L5=1),1,0)</f>
        <v/>
      </c>
      <c r="WO6">
        <f>WO5+IF(AND($C5=66,$L5=1),1,0)</f>
        <v/>
      </c>
      <c r="WP6">
        <f>WP5+IF(AND($C5=67,$L5=1),1,0)</f>
        <v/>
      </c>
      <c r="WQ6">
        <f>WQ5+IF(AND($C5=68,$L5=1),1,0)</f>
        <v/>
      </c>
      <c r="WR6">
        <f>WR5+IF(AND($C5=69,$L5=1),1,0)</f>
        <v/>
      </c>
      <c r="WS6">
        <f>WS5+IF(AND($C5=70,$L5=1),1,0)</f>
        <v/>
      </c>
      <c r="WT6">
        <f>WT5+IF(AND($C5=71,$L5=1),1,0)</f>
        <v/>
      </c>
      <c r="WU6">
        <f>WU5+IF(AND($C5=72,$L5=1),1,0)</f>
        <v/>
      </c>
      <c r="WV6">
        <f>WV5+IF(AND($C5=73,$L5=1),1,0)</f>
        <v/>
      </c>
      <c r="WW6">
        <f>WW5+IF(AND($C5=74,$L5=1),1,0)</f>
        <v/>
      </c>
      <c r="WX6">
        <f>WX5+IF(AND($C5=75,$L5=1),1,0)</f>
        <v/>
      </c>
      <c r="WY6">
        <f>WY5+IF(AND($C5=76,$L5=1),1,0)</f>
        <v/>
      </c>
      <c r="WZ6">
        <f>WZ5+IF(AND($C5=77,$L5=1),1,0)</f>
        <v/>
      </c>
      <c r="XA6">
        <f>XA5+IF(AND($C5=78,$L5=1),1,0)</f>
        <v/>
      </c>
      <c r="XB6">
        <f>XB5+IF(AND($C5=79,$L5=1),1,0)</f>
        <v/>
      </c>
      <c r="XC6">
        <f>XC5+IF(AND($C5=80,$L5=1),1,0)</f>
        <v/>
      </c>
      <c r="XD6">
        <f>XD5+IF(AND($C5=81,$L5=1),1,0)</f>
        <v/>
      </c>
      <c r="XE6">
        <f>XE5+IF(AND($C5=82,$L5=1),1,0)</f>
        <v/>
      </c>
      <c r="XF6">
        <f>XF5+IF(AND($C5=83,$L5=1),1,0)</f>
        <v/>
      </c>
      <c r="XG6">
        <f>XG5+IF(AND($C5=84,$L5=1),1,0)</f>
        <v/>
      </c>
      <c r="XH6">
        <f>XH5+IF(AND($C5=85,$L5=1),1,0)</f>
        <v/>
      </c>
      <c r="XI6">
        <f>XI5+IF(AND($C5=86,$L5=1),1,0)</f>
        <v/>
      </c>
      <c r="XJ6">
        <f>XJ5+IF(AND($C5=87,$L5=1),1,0)</f>
        <v/>
      </c>
      <c r="XK6">
        <f>XK5+IF(AND($C5=88,$L5=1),1,0)</f>
        <v/>
      </c>
      <c r="XL6">
        <f>XL5+IF(AND($C5=89,$L5=1),1,0)</f>
        <v/>
      </c>
      <c r="XM6">
        <f>XM5+IF(AND($C5=90,$L5=1),1,0)</f>
        <v/>
      </c>
      <c r="XN6">
        <f>XN5+IF(AND($C5=91,$L5=1),1,0)</f>
        <v/>
      </c>
      <c r="XO6">
        <f>XO5+IF(AND($C5=92,$L5=1),1,0)</f>
        <v/>
      </c>
      <c r="XP6">
        <f>XP5+IF(AND($C5=93,$L5=1),1,0)</f>
        <v/>
      </c>
      <c r="XQ6">
        <f>XQ5+IF(AND($C5=94,$L5=1),1,0)</f>
        <v/>
      </c>
      <c r="XR6">
        <f>XR5+IF(AND($C5=95,$L5=1),1,0)</f>
        <v/>
      </c>
      <c r="XS6">
        <f>XS5+IF(AND($C5=96,$L5=1),1,0)</f>
        <v/>
      </c>
      <c r="XT6">
        <f>XT5+IF(AND($C5=97,$L5=1),1,0)</f>
        <v/>
      </c>
      <c r="XU6">
        <f>XU5+IF(AND($C5=98,$L5=1),1,0)</f>
        <v/>
      </c>
      <c r="XV6">
        <f>XV5+IF(AND($C5=99,$L5=1),1,0)</f>
        <v/>
      </c>
      <c r="XW6">
        <f>XW5+IF(AND($C5=100,$L5=1),1,0)</f>
        <v/>
      </c>
      <c r="XX6">
        <f>XX5+IF(AND($C5=101,$L5=1),1,0)</f>
        <v/>
      </c>
      <c r="XY6">
        <f>XY5+IF(AND($C5=102,$L5=1),1,0)</f>
        <v/>
      </c>
      <c r="XZ6">
        <f>XZ5+IF(AND($C5=103,$L5=1),1,0)</f>
        <v/>
      </c>
      <c r="YA6">
        <f>YA5+IF(AND($C5=104,$L5=1),1,0)</f>
        <v/>
      </c>
      <c r="YB6">
        <f>YB5+IF(AND($C5=105,$L5=1),1,0)</f>
        <v/>
      </c>
      <c r="YC6">
        <f>YC5+IF(AND($C5=106,$L5=1),1,0)</f>
        <v/>
      </c>
      <c r="YD6">
        <f>YD5+IF(AND($C5=107,$L5=1),1,0)</f>
        <v/>
      </c>
      <c r="YE6">
        <f>YE5+IF(AND($C5=108,$L5=1),1,0)</f>
        <v/>
      </c>
      <c r="YF6">
        <f>YF5+IF(AND($C5=109,$L5=1),1,0)</f>
        <v/>
      </c>
      <c r="YG6">
        <f>YG5+IF(AND($C5=110,$L5=1),1,0)</f>
        <v/>
      </c>
      <c r="YH6">
        <f>YH5+IF(AND($C5=111,$L5=1),1,0)</f>
        <v/>
      </c>
      <c r="YI6">
        <f>YI5+IF(AND($C5=112,$L5=1),1,0)</f>
        <v/>
      </c>
      <c r="YJ6">
        <f>YJ5+IF(AND($C5=113,$L5=1),1,0)</f>
        <v/>
      </c>
      <c r="YK6">
        <f>YK5+IF(AND($C5=114,$L5=1),1,0)</f>
        <v/>
      </c>
      <c r="YL6">
        <f>YL5+IF(AND($C5=115,$L5=1),1,0)</f>
        <v/>
      </c>
      <c r="YM6">
        <f>YM5+IF(AND($C5=116,$L5=1),1,0)</f>
        <v/>
      </c>
      <c r="YN6">
        <f>YN5+IF(AND($C5=117,$L5=1),1,0)</f>
        <v/>
      </c>
      <c r="YO6">
        <f>YO5+IF(AND($C5=118,$L5=1),1,0)</f>
        <v/>
      </c>
      <c r="YP6">
        <f>YP5+IF(AND($C5=119,$L5=1),1,0)</f>
        <v/>
      </c>
      <c r="YQ6">
        <f>YQ5+IF(AND($C5=120,$L5=1),1,0)</f>
        <v/>
      </c>
      <c r="YR6">
        <f>YR5+IF(AND($C5=121,$L5=1),1,0)</f>
        <v/>
      </c>
      <c r="YS6">
        <f>YS5+IF(AND($C5=122,$L5=1),1,0)</f>
        <v/>
      </c>
      <c r="YT6">
        <f>YT5+IF(AND($C5=123,$L5=1),1,0)</f>
        <v/>
      </c>
      <c r="YU6">
        <f>YU5+IF(AND($C5=124,$L5=1),1,0)</f>
        <v/>
      </c>
      <c r="YV6">
        <f>YV5+IF(AND($C5=125,$L5=1),1,0)</f>
        <v/>
      </c>
      <c r="YW6">
        <f>YW5+IF(AND($C5=126,$L5=1),1,0)</f>
        <v/>
      </c>
      <c r="YX6">
        <f>YX5+IF(AND($C5=127,$L5=1),1,0)</f>
        <v/>
      </c>
      <c r="YY6">
        <f>YY5+IF(AND($C5=128,$L5=1),1,0)</f>
        <v/>
      </c>
      <c r="YZ6">
        <f>YZ5+IF(AND($C5=129,$L5=1),1,0)</f>
        <v/>
      </c>
      <c r="ZA6">
        <f>ZA5+IF(AND($C5=130,$L5=1),1,0)</f>
        <v/>
      </c>
      <c r="ZB6">
        <f>ZB5+IF(AND($C5=131,$L5=1),1,0)</f>
        <v/>
      </c>
      <c r="ZC6">
        <f>ZC5+IF(AND($C5=132,$L5=1),1,0)</f>
        <v/>
      </c>
      <c r="ZD6">
        <f>ZD5+IF(AND($C5=133,$L5=1),1,0)</f>
        <v/>
      </c>
      <c r="ZE6">
        <f>ZE5+IF(AND($C5=134,$L5=1),1,0)</f>
        <v/>
      </c>
      <c r="ZF6">
        <f>ZF5+IF(AND($C5=135,$L5=1),1,0)</f>
        <v/>
      </c>
      <c r="ZG6">
        <f>ZG5+IF(AND($C5=136,$L5=1),1,0)</f>
        <v/>
      </c>
      <c r="ZH6">
        <f>ZH5+IF(AND($C5=137,$L5=1),1,0)</f>
        <v/>
      </c>
      <c r="ZI6">
        <f>ZI5+IF(AND($C5=138,$L5=1),1,0)</f>
        <v/>
      </c>
      <c r="ZJ6">
        <f>ZJ5+IF(AND($C5=139,$L5=1),1,0)</f>
        <v/>
      </c>
      <c r="ZK6">
        <f>ZK5+IF(AND($C5=140,$L5=1),1,0)</f>
        <v/>
      </c>
      <c r="ZL6">
        <f>ZL5+IF(AND($C5=141,$L5=1),1,0)</f>
        <v/>
      </c>
      <c r="ZM6">
        <f>ZM5+IF(AND($C5=142,$L5=1),1,0)</f>
        <v/>
      </c>
      <c r="ZN6">
        <f>ZN5+IF(AND($C5=143,$L5=1),1,0)</f>
        <v/>
      </c>
      <c r="ZO6">
        <f>ZO5+IF(AND($C5=144,$L5=1),1,0)</f>
        <v/>
      </c>
    </row>
    <row r="7">
      <c r="A7" t="n">
        <v>5</v>
      </c>
      <c r="B7">
        <f>IF(MIN(BH7:CZ7)&gt;=1000000,0,MATCH(MIN(BH7:CZ7),BH7:CZ7,0))</f>
        <v/>
      </c>
      <c r="C7">
        <f>IF(MIN(OF7:TS7)&gt;=1000000,0,MATCH(MIN(OF7:TS7),OF7:TS7,0))</f>
        <v/>
      </c>
      <c r="D7">
        <f>IF(C7&gt;0,INDEX('計算A'!$D$5:$EQ$5,C7),0)</f>
        <v/>
      </c>
      <c r="E7">
        <f>IF(B7=0,0,INDEX('計算A'!$IQ$10:$IQ$54,B7))</f>
        <v/>
      </c>
      <c r="F7">
        <f>IF(B7=0,0,INDEX('計算A'!$IP$10:$IP$54,B7))</f>
        <v/>
      </c>
      <c r="G7">
        <f>IF(AND(C7&gt;0,E7&gt;0),IF(AND(INDEX('計算A'!$D$106:$EQ$106,C7)=1,INDEX($IQ7:$OD7,C7)=1),C7+1,0),0)</f>
        <v/>
      </c>
      <c r="H7">
        <f>IF(B7=0,0,INDEX('計算A'!$IW$10:$IW$54,B7))</f>
        <v/>
      </c>
      <c r="I7">
        <f>IF(B7=0,0,MAX(0,INDEX('計算A'!$IT$10:$IT$54,B7)))</f>
        <v/>
      </c>
      <c r="J7">
        <f>IF(I7=0,0,INDEX('計算A'!$D$2:$EQ$2,I7))</f>
        <v/>
      </c>
      <c r="K7">
        <f>IF(I7=0,0,INDEX('計算A'!$D$3:$EQ$3,I7))</f>
        <v/>
      </c>
      <c r="L7">
        <f>IF(B7=0,0,INDEX('計算A'!$IX$10:$IX$54,B7))</f>
        <v/>
      </c>
      <c r="N7">
        <f>MAX(N6,IF($B6=1,1,0))</f>
        <v/>
      </c>
      <c r="O7">
        <f>MAX(O6,IF($B6=2,1,0))</f>
        <v/>
      </c>
      <c r="P7">
        <f>MAX(P6,IF($B6=3,1,0))</f>
        <v/>
      </c>
      <c r="Q7">
        <f>MAX(Q6,IF($B6=4,1,0))</f>
        <v/>
      </c>
      <c r="R7">
        <f>MAX(R6,IF($B6=5,1,0))</f>
        <v/>
      </c>
      <c r="S7">
        <f>MAX(S6,IF($B6=6,1,0))</f>
        <v/>
      </c>
      <c r="T7">
        <f>MAX(T6,IF($B6=7,1,0))</f>
        <v/>
      </c>
      <c r="U7">
        <f>MAX(U6,IF($B6=8,1,0))</f>
        <v/>
      </c>
      <c r="V7">
        <f>MAX(V6,IF($B6=9,1,0))</f>
        <v/>
      </c>
      <c r="W7">
        <f>MAX(W6,IF($B6=10,1,0))</f>
        <v/>
      </c>
      <c r="X7">
        <f>MAX(X6,IF($B6=11,1,0))</f>
        <v/>
      </c>
      <c r="Y7">
        <f>MAX(Y6,IF($B6=12,1,0))</f>
        <v/>
      </c>
      <c r="Z7">
        <f>MAX(Z6,IF($B6=13,1,0))</f>
        <v/>
      </c>
      <c r="AA7">
        <f>MAX(AA6,IF($B6=14,1,0))</f>
        <v/>
      </c>
      <c r="AB7">
        <f>MAX(AB6,IF($B6=15,1,0))</f>
        <v/>
      </c>
      <c r="AC7">
        <f>MAX(AC6,IF($B6=16,1,0))</f>
        <v/>
      </c>
      <c r="AD7">
        <f>MAX(AD6,IF($B6=17,1,0))</f>
        <v/>
      </c>
      <c r="AE7">
        <f>MAX(AE6,IF($B6=18,1,0))</f>
        <v/>
      </c>
      <c r="AF7">
        <f>MAX(AF6,IF($B6=19,1,0))</f>
        <v/>
      </c>
      <c r="AG7">
        <f>MAX(AG6,IF($B6=20,1,0))</f>
        <v/>
      </c>
      <c r="AH7">
        <f>MAX(AH6,IF($B6=21,1,0))</f>
        <v/>
      </c>
      <c r="AI7">
        <f>MAX(AI6,IF($B6=22,1,0))</f>
        <v/>
      </c>
      <c r="AJ7">
        <f>MAX(AJ6,IF($B6=23,1,0))</f>
        <v/>
      </c>
      <c r="AK7">
        <f>MAX(AK6,IF($B6=24,1,0))</f>
        <v/>
      </c>
      <c r="AL7">
        <f>MAX(AL6,IF($B6=25,1,0))</f>
        <v/>
      </c>
      <c r="AM7">
        <f>MAX(AM6,IF($B6=26,1,0))</f>
        <v/>
      </c>
      <c r="AN7">
        <f>MAX(AN6,IF($B6=27,1,0))</f>
        <v/>
      </c>
      <c r="AO7">
        <f>MAX(AO6,IF($B6=28,1,0))</f>
        <v/>
      </c>
      <c r="AP7">
        <f>MAX(AP6,IF($B6=29,1,0))</f>
        <v/>
      </c>
      <c r="AQ7">
        <f>MAX(AQ6,IF($B6=30,1,0))</f>
        <v/>
      </c>
      <c r="AR7">
        <f>MAX(AR6,IF($B6=31,1,0))</f>
        <v/>
      </c>
      <c r="AS7">
        <f>MAX(AS6,IF($B6=32,1,0))</f>
        <v/>
      </c>
      <c r="AT7">
        <f>MAX(AT6,IF($B6=33,1,0))</f>
        <v/>
      </c>
      <c r="AU7">
        <f>MAX(AU6,IF($B6=34,1,0))</f>
        <v/>
      </c>
      <c r="AV7">
        <f>MAX(AV6,IF($B6=35,1,0))</f>
        <v/>
      </c>
      <c r="AW7">
        <f>MAX(AW6,IF($B6=36,1,0))</f>
        <v/>
      </c>
      <c r="AX7">
        <f>MAX(AX6,IF($B6=37,1,0))</f>
        <v/>
      </c>
      <c r="AY7">
        <f>MAX(AY6,IF($B6=38,1,0))</f>
        <v/>
      </c>
      <c r="AZ7">
        <f>MAX(AZ6,IF($B6=39,1,0))</f>
        <v/>
      </c>
      <c r="BA7">
        <f>MAX(BA6,IF($B6=40,1,0))</f>
        <v/>
      </c>
      <c r="BB7">
        <f>MAX(BB6,IF($B6=41,1,0))</f>
        <v/>
      </c>
      <c r="BC7">
        <f>MAX(BC6,IF($B6=42,1,0))</f>
        <v/>
      </c>
      <c r="BD7">
        <f>MAX(BD6,IF($B6=43,1,0))</f>
        <v/>
      </c>
      <c r="BE7">
        <f>MAX(BE6,IF($B6=44,1,0))</f>
        <v/>
      </c>
      <c r="BF7">
        <f>MAX(BF6,IF($B6=45,1,0))</f>
        <v/>
      </c>
      <c r="BH7">
        <f>IF(N7=1,1000000,IF('計算A'!$IT$10&gt;0,0,500000)+IF('計算A'!$IQ$10=2,SUMPRODUCT('計算A'!$D$60:$EQ$60,$DB7:$IO7,$IQ7:$OD7),SUMPRODUCT('計算A'!$D$60:$EQ$60,$DB7:$IO7))*1000+1)</f>
        <v/>
      </c>
      <c r="BI7">
        <f>IF(O7=1,1000000,IF('計算A'!$IT$11&gt;0,0,500000)+IF('計算A'!$IQ$11=2,SUMPRODUCT('計算A'!$D$61:$EQ$61,$DB7:$IO7,$IQ7:$OD7),SUMPRODUCT('計算A'!$D$61:$EQ$61,$DB7:$IO7))*1000+2)</f>
        <v/>
      </c>
      <c r="BJ7">
        <f>IF(P7=1,1000000,IF('計算A'!$IT$12&gt;0,0,500000)+IF('計算A'!$IQ$12=2,SUMPRODUCT('計算A'!$D$62:$EQ$62,$DB7:$IO7,$IQ7:$OD7),SUMPRODUCT('計算A'!$D$62:$EQ$62,$DB7:$IO7))*1000+3)</f>
        <v/>
      </c>
      <c r="BK7">
        <f>IF(Q7=1,1000000,IF('計算A'!$IT$13&gt;0,0,500000)+IF('計算A'!$IQ$13=2,SUMPRODUCT('計算A'!$D$63:$EQ$63,$DB7:$IO7,$IQ7:$OD7),SUMPRODUCT('計算A'!$D$63:$EQ$63,$DB7:$IO7))*1000+4)</f>
        <v/>
      </c>
      <c r="BL7">
        <f>IF(R7=1,1000000,IF('計算A'!$IT$14&gt;0,0,500000)+IF('計算A'!$IQ$14=2,SUMPRODUCT('計算A'!$D$64:$EQ$64,$DB7:$IO7,$IQ7:$OD7),SUMPRODUCT('計算A'!$D$64:$EQ$64,$DB7:$IO7))*1000+5)</f>
        <v/>
      </c>
      <c r="BM7">
        <f>IF(S7=1,1000000,IF('計算A'!$IT$15&gt;0,0,500000)+IF('計算A'!$IQ$15=2,SUMPRODUCT('計算A'!$D$65:$EQ$65,$DB7:$IO7,$IQ7:$OD7),SUMPRODUCT('計算A'!$D$65:$EQ$65,$DB7:$IO7))*1000+6)</f>
        <v/>
      </c>
      <c r="BN7">
        <f>IF(T7=1,1000000,IF('計算A'!$IT$16&gt;0,0,500000)+IF('計算A'!$IQ$16=2,SUMPRODUCT('計算A'!$D$66:$EQ$66,$DB7:$IO7,$IQ7:$OD7),SUMPRODUCT('計算A'!$D$66:$EQ$66,$DB7:$IO7))*1000+7)</f>
        <v/>
      </c>
      <c r="BO7">
        <f>IF(U7=1,1000000,IF('計算A'!$IT$17&gt;0,0,500000)+IF('計算A'!$IQ$17=2,SUMPRODUCT('計算A'!$D$67:$EQ$67,$DB7:$IO7,$IQ7:$OD7),SUMPRODUCT('計算A'!$D$67:$EQ$67,$DB7:$IO7))*1000+8)</f>
        <v/>
      </c>
      <c r="BP7">
        <f>IF(V7=1,1000000,IF('計算A'!$IT$18&gt;0,0,500000)+IF('計算A'!$IQ$18=2,SUMPRODUCT('計算A'!$D$68:$EQ$68,$DB7:$IO7,$IQ7:$OD7),SUMPRODUCT('計算A'!$D$68:$EQ$68,$DB7:$IO7))*1000+9)</f>
        <v/>
      </c>
      <c r="BQ7">
        <f>IF(W7=1,1000000,IF('計算A'!$IT$19&gt;0,0,500000)+IF('計算A'!$IQ$19=2,SUMPRODUCT('計算A'!$D$69:$EQ$69,$DB7:$IO7,$IQ7:$OD7),SUMPRODUCT('計算A'!$D$69:$EQ$69,$DB7:$IO7))*1000+10)</f>
        <v/>
      </c>
      <c r="BR7">
        <f>IF(X7=1,1000000,IF('計算A'!$IT$20&gt;0,0,500000)+IF('計算A'!$IQ$20=2,SUMPRODUCT('計算A'!$D$70:$EQ$70,$DB7:$IO7,$IQ7:$OD7),SUMPRODUCT('計算A'!$D$70:$EQ$70,$DB7:$IO7))*1000+11)</f>
        <v/>
      </c>
      <c r="BS7">
        <f>IF(Y7=1,1000000,IF('計算A'!$IT$21&gt;0,0,500000)+IF('計算A'!$IQ$21=2,SUMPRODUCT('計算A'!$D$71:$EQ$71,$DB7:$IO7,$IQ7:$OD7),SUMPRODUCT('計算A'!$D$71:$EQ$71,$DB7:$IO7))*1000+12)</f>
        <v/>
      </c>
      <c r="BT7">
        <f>IF(Z7=1,1000000,IF('計算A'!$IT$22&gt;0,0,500000)+IF('計算A'!$IQ$22=2,SUMPRODUCT('計算A'!$D$72:$EQ$72,$DB7:$IO7,$IQ7:$OD7),SUMPRODUCT('計算A'!$D$72:$EQ$72,$DB7:$IO7))*1000+13)</f>
        <v/>
      </c>
      <c r="BU7">
        <f>IF(AA7=1,1000000,IF('計算A'!$IT$23&gt;0,0,500000)+IF('計算A'!$IQ$23=2,SUMPRODUCT('計算A'!$D$73:$EQ$73,$DB7:$IO7,$IQ7:$OD7),SUMPRODUCT('計算A'!$D$73:$EQ$73,$DB7:$IO7))*1000+14)</f>
        <v/>
      </c>
      <c r="BV7">
        <f>IF(AB7=1,1000000,IF('計算A'!$IT$24&gt;0,0,500000)+IF('計算A'!$IQ$24=2,SUMPRODUCT('計算A'!$D$74:$EQ$74,$DB7:$IO7,$IQ7:$OD7),SUMPRODUCT('計算A'!$D$74:$EQ$74,$DB7:$IO7))*1000+15)</f>
        <v/>
      </c>
      <c r="BW7">
        <f>IF(AC7=1,1000000,IF('計算A'!$IT$25&gt;0,0,500000)+IF('計算A'!$IQ$25=2,SUMPRODUCT('計算A'!$D$75:$EQ$75,$DB7:$IO7,$IQ7:$OD7),SUMPRODUCT('計算A'!$D$75:$EQ$75,$DB7:$IO7))*1000+16)</f>
        <v/>
      </c>
      <c r="BX7">
        <f>IF(AD7=1,1000000,IF('計算A'!$IT$26&gt;0,0,500000)+IF('計算A'!$IQ$26=2,SUMPRODUCT('計算A'!$D$76:$EQ$76,$DB7:$IO7,$IQ7:$OD7),SUMPRODUCT('計算A'!$D$76:$EQ$76,$DB7:$IO7))*1000+17)</f>
        <v/>
      </c>
      <c r="BY7">
        <f>IF(AE7=1,1000000,IF('計算A'!$IT$27&gt;0,0,500000)+IF('計算A'!$IQ$27=2,SUMPRODUCT('計算A'!$D$77:$EQ$77,$DB7:$IO7,$IQ7:$OD7),SUMPRODUCT('計算A'!$D$77:$EQ$77,$DB7:$IO7))*1000+18)</f>
        <v/>
      </c>
      <c r="BZ7">
        <f>IF(AF7=1,1000000,IF('計算A'!$IT$28&gt;0,0,500000)+IF('計算A'!$IQ$28=2,SUMPRODUCT('計算A'!$D$78:$EQ$78,$DB7:$IO7,$IQ7:$OD7),SUMPRODUCT('計算A'!$D$78:$EQ$78,$DB7:$IO7))*1000+19)</f>
        <v/>
      </c>
      <c r="CA7">
        <f>IF(AG7=1,1000000,IF('計算A'!$IT$29&gt;0,0,500000)+IF('計算A'!$IQ$29=2,SUMPRODUCT('計算A'!$D$79:$EQ$79,$DB7:$IO7,$IQ7:$OD7),SUMPRODUCT('計算A'!$D$79:$EQ$79,$DB7:$IO7))*1000+20)</f>
        <v/>
      </c>
      <c r="CB7">
        <f>IF(AH7=1,1000000,IF('計算A'!$IT$30&gt;0,0,500000)+IF('計算A'!$IQ$30=2,SUMPRODUCT('計算A'!$D$80:$EQ$80,$DB7:$IO7,$IQ7:$OD7),SUMPRODUCT('計算A'!$D$80:$EQ$80,$DB7:$IO7))*1000+21)</f>
        <v/>
      </c>
      <c r="CC7">
        <f>IF(AI7=1,1000000,IF('計算A'!$IT$31&gt;0,0,500000)+IF('計算A'!$IQ$31=2,SUMPRODUCT('計算A'!$D$81:$EQ$81,$DB7:$IO7,$IQ7:$OD7),SUMPRODUCT('計算A'!$D$81:$EQ$81,$DB7:$IO7))*1000+22)</f>
        <v/>
      </c>
      <c r="CD7">
        <f>IF(AJ7=1,1000000,IF('計算A'!$IT$32&gt;0,0,500000)+IF('計算A'!$IQ$32=2,SUMPRODUCT('計算A'!$D$82:$EQ$82,$DB7:$IO7,$IQ7:$OD7),SUMPRODUCT('計算A'!$D$82:$EQ$82,$DB7:$IO7))*1000+23)</f>
        <v/>
      </c>
      <c r="CE7">
        <f>IF(AK7=1,1000000,IF('計算A'!$IT$33&gt;0,0,500000)+IF('計算A'!$IQ$33=2,SUMPRODUCT('計算A'!$D$83:$EQ$83,$DB7:$IO7,$IQ7:$OD7),SUMPRODUCT('計算A'!$D$83:$EQ$83,$DB7:$IO7))*1000+24)</f>
        <v/>
      </c>
      <c r="CF7">
        <f>IF(AL7=1,1000000,IF('計算A'!$IT$34&gt;0,0,500000)+IF('計算A'!$IQ$34=2,SUMPRODUCT('計算A'!$D$84:$EQ$84,$DB7:$IO7,$IQ7:$OD7),SUMPRODUCT('計算A'!$D$84:$EQ$84,$DB7:$IO7))*1000+25)</f>
        <v/>
      </c>
      <c r="CG7">
        <f>IF(AM7=1,1000000,IF('計算A'!$IT$35&gt;0,0,500000)+IF('計算A'!$IQ$35=2,SUMPRODUCT('計算A'!$D$85:$EQ$85,$DB7:$IO7,$IQ7:$OD7),SUMPRODUCT('計算A'!$D$85:$EQ$85,$DB7:$IO7))*1000+26)</f>
        <v/>
      </c>
      <c r="CH7">
        <f>IF(AN7=1,1000000,IF('計算A'!$IT$36&gt;0,0,500000)+IF('計算A'!$IQ$36=2,SUMPRODUCT('計算A'!$D$86:$EQ$86,$DB7:$IO7,$IQ7:$OD7),SUMPRODUCT('計算A'!$D$86:$EQ$86,$DB7:$IO7))*1000+27)</f>
        <v/>
      </c>
      <c r="CI7">
        <f>IF(AO7=1,1000000,IF('計算A'!$IT$37&gt;0,0,500000)+IF('計算A'!$IQ$37=2,SUMPRODUCT('計算A'!$D$87:$EQ$87,$DB7:$IO7,$IQ7:$OD7),SUMPRODUCT('計算A'!$D$87:$EQ$87,$DB7:$IO7))*1000+28)</f>
        <v/>
      </c>
      <c r="CJ7">
        <f>IF(AP7=1,1000000,IF('計算A'!$IT$38&gt;0,0,500000)+IF('計算A'!$IQ$38=2,SUMPRODUCT('計算A'!$D$88:$EQ$88,$DB7:$IO7,$IQ7:$OD7),SUMPRODUCT('計算A'!$D$88:$EQ$88,$DB7:$IO7))*1000+29)</f>
        <v/>
      </c>
      <c r="CK7">
        <f>IF(AQ7=1,1000000,IF('計算A'!$IT$39&gt;0,0,500000)+IF('計算A'!$IQ$39=2,SUMPRODUCT('計算A'!$D$89:$EQ$89,$DB7:$IO7,$IQ7:$OD7),SUMPRODUCT('計算A'!$D$89:$EQ$89,$DB7:$IO7))*1000+30)</f>
        <v/>
      </c>
      <c r="CL7">
        <f>IF(AR7=1,1000000,IF('計算A'!$IT$40&gt;0,0,500000)+IF('計算A'!$IQ$40=2,SUMPRODUCT('計算A'!$D$90:$EQ$90,$DB7:$IO7,$IQ7:$OD7),SUMPRODUCT('計算A'!$D$90:$EQ$90,$DB7:$IO7))*1000+31)</f>
        <v/>
      </c>
      <c r="CM7">
        <f>IF(AS7=1,1000000,IF('計算A'!$IT$41&gt;0,0,500000)+IF('計算A'!$IQ$41=2,SUMPRODUCT('計算A'!$D$91:$EQ$91,$DB7:$IO7,$IQ7:$OD7),SUMPRODUCT('計算A'!$D$91:$EQ$91,$DB7:$IO7))*1000+32)</f>
        <v/>
      </c>
      <c r="CN7">
        <f>IF(AT7=1,1000000,IF('計算A'!$IT$42&gt;0,0,500000)+IF('計算A'!$IQ$42=2,SUMPRODUCT('計算A'!$D$92:$EQ$92,$DB7:$IO7,$IQ7:$OD7),SUMPRODUCT('計算A'!$D$92:$EQ$92,$DB7:$IO7))*1000+33)</f>
        <v/>
      </c>
      <c r="CO7">
        <f>IF(AU7=1,1000000,IF('計算A'!$IT$43&gt;0,0,500000)+IF('計算A'!$IQ$43=2,SUMPRODUCT('計算A'!$D$93:$EQ$93,$DB7:$IO7,$IQ7:$OD7),SUMPRODUCT('計算A'!$D$93:$EQ$93,$DB7:$IO7))*1000+34)</f>
        <v/>
      </c>
      <c r="CP7">
        <f>IF(AV7=1,1000000,IF('計算A'!$IT$44&gt;0,0,500000)+IF('計算A'!$IQ$44=2,SUMPRODUCT('計算A'!$D$94:$EQ$94,$DB7:$IO7,$IQ7:$OD7),SUMPRODUCT('計算A'!$D$94:$EQ$94,$DB7:$IO7))*1000+35)</f>
        <v/>
      </c>
      <c r="CQ7">
        <f>IF(AW7=1,1000000,IF('計算A'!$IT$45&gt;0,0,500000)+IF('計算A'!$IQ$45=2,SUMPRODUCT('計算A'!$D$95:$EQ$95,$DB7:$IO7,$IQ7:$OD7),SUMPRODUCT('計算A'!$D$95:$EQ$95,$DB7:$IO7))*1000+36)</f>
        <v/>
      </c>
      <c r="CR7">
        <f>IF(AX7=1,1000000,IF('計算A'!$IT$46&gt;0,0,500000)+IF('計算A'!$IQ$46=2,SUMPRODUCT('計算A'!$D$96:$EQ$96,$DB7:$IO7,$IQ7:$OD7),SUMPRODUCT('計算A'!$D$96:$EQ$96,$DB7:$IO7))*1000+37)</f>
        <v/>
      </c>
      <c r="CS7">
        <f>IF(AY7=1,1000000,IF('計算A'!$IT$47&gt;0,0,500000)+IF('計算A'!$IQ$47=2,SUMPRODUCT('計算A'!$D$97:$EQ$97,$DB7:$IO7,$IQ7:$OD7),SUMPRODUCT('計算A'!$D$97:$EQ$97,$DB7:$IO7))*1000+38)</f>
        <v/>
      </c>
      <c r="CT7">
        <f>IF(AZ7=1,1000000,IF('計算A'!$IT$48&gt;0,0,500000)+IF('計算A'!$IQ$48=2,SUMPRODUCT('計算A'!$D$98:$EQ$98,$DB7:$IO7,$IQ7:$OD7),SUMPRODUCT('計算A'!$D$98:$EQ$98,$DB7:$IO7))*1000+39)</f>
        <v/>
      </c>
      <c r="CU7">
        <f>IF(BA7=1,1000000,IF('計算A'!$IT$49&gt;0,0,500000)+IF('計算A'!$IQ$49=2,SUMPRODUCT('計算A'!$D$99:$EQ$99,$DB7:$IO7,$IQ7:$OD7),SUMPRODUCT('計算A'!$D$99:$EQ$99,$DB7:$IO7))*1000+40)</f>
        <v/>
      </c>
      <c r="CV7">
        <f>IF(BB7=1,1000000,IF('計算A'!$IT$50&gt;0,0,500000)+IF('計算A'!$IQ$50=2,SUMPRODUCT('計算A'!$D$100:$EQ$100,$DB7:$IO7,$IQ7:$OD7),SUMPRODUCT('計算A'!$D$100:$EQ$100,$DB7:$IO7))*1000+41)</f>
        <v/>
      </c>
      <c r="CW7">
        <f>IF(BC7=1,1000000,IF('計算A'!$IT$51&gt;0,0,500000)+IF('計算A'!$IQ$51=2,SUMPRODUCT('計算A'!$D$101:$EQ$101,$DB7:$IO7,$IQ7:$OD7),SUMPRODUCT('計算A'!$D$101:$EQ$101,$DB7:$IO7))*1000+42)</f>
        <v/>
      </c>
      <c r="CX7">
        <f>IF(BD7=1,1000000,IF('計算A'!$IT$52&gt;0,0,500000)+IF('計算A'!$IQ$52=2,SUMPRODUCT('計算A'!$D$102:$EQ$102,$DB7:$IO7,$IQ7:$OD7),SUMPRODUCT('計算A'!$D$102:$EQ$102,$DB7:$IO7))*1000+43)</f>
        <v/>
      </c>
      <c r="CY7">
        <f>IF(BE7=1,1000000,IF('計算A'!$IT$53&gt;0,0,500000)+IF('計算A'!$IQ$53=2,SUMPRODUCT('計算A'!$D$103:$EQ$103,$DB7:$IO7,$IQ7:$OD7),SUMPRODUCT('計算A'!$D$103:$EQ$103,$DB7:$IO7))*1000+44)</f>
        <v/>
      </c>
      <c r="CZ7">
        <f>IF(BF7=1,1000000,IF('計算A'!$IT$54&gt;0,0,500000)+IF('計算A'!$IQ$54=2,SUMPRODUCT('計算A'!$D$104:$EQ$104,$DB7:$IO7,$IQ7:$OD7),SUMPRODUCT('計算A'!$D$104:$EQ$104,$DB7:$IO7))*1000+45)</f>
        <v/>
      </c>
      <c r="DB7">
        <f>DB6*IF(OR($C6=1,$G6=1),0,1)</f>
        <v/>
      </c>
      <c r="DC7">
        <f>DC6*IF(OR($C6=2,$G6=2),0,1)</f>
        <v/>
      </c>
      <c r="DD7">
        <f>DD6*IF(OR($C6=3,$G6=3),0,1)</f>
        <v/>
      </c>
      <c r="DE7">
        <f>DE6*IF(OR($C6=4,$G6=4),0,1)</f>
        <v/>
      </c>
      <c r="DF7">
        <f>DF6*IF(OR($C6=5,$G6=5),0,1)</f>
        <v/>
      </c>
      <c r="DG7">
        <f>DG6*IF(OR($C6=6,$G6=6),0,1)</f>
        <v/>
      </c>
      <c r="DH7">
        <f>DH6*IF(OR($C6=7,$G6=7),0,1)</f>
        <v/>
      </c>
      <c r="DI7">
        <f>DI6*IF(OR($C6=8,$G6=8),0,1)</f>
        <v/>
      </c>
      <c r="DJ7">
        <f>DJ6*IF(OR($C6=9,$G6=9),0,1)</f>
        <v/>
      </c>
      <c r="DK7">
        <f>DK6*IF(OR($C6=10,$G6=10),0,1)</f>
        <v/>
      </c>
      <c r="DL7">
        <f>DL6*IF(OR($C6=11,$G6=11),0,1)</f>
        <v/>
      </c>
      <c r="DM7">
        <f>DM6*IF(OR($C6=12,$G6=12),0,1)</f>
        <v/>
      </c>
      <c r="DN7">
        <f>DN6*IF(OR($C6=13,$G6=13),0,1)</f>
        <v/>
      </c>
      <c r="DO7">
        <f>DO6*IF(OR($C6=14,$G6=14),0,1)</f>
        <v/>
      </c>
      <c r="DP7">
        <f>DP6*IF(OR($C6=15,$G6=15),0,1)</f>
        <v/>
      </c>
      <c r="DQ7">
        <f>DQ6*IF(OR($C6=16,$G6=16),0,1)</f>
        <v/>
      </c>
      <c r="DR7">
        <f>DR6*IF(OR($C6=17,$G6=17),0,1)</f>
        <v/>
      </c>
      <c r="DS7">
        <f>DS6*IF(OR($C6=18,$G6=18),0,1)</f>
        <v/>
      </c>
      <c r="DT7">
        <f>DT6*IF(OR($C6=19,$G6=19),0,1)</f>
        <v/>
      </c>
      <c r="DU7">
        <f>DU6*IF(OR($C6=20,$G6=20),0,1)</f>
        <v/>
      </c>
      <c r="DV7">
        <f>DV6*IF(OR($C6=21,$G6=21),0,1)</f>
        <v/>
      </c>
      <c r="DW7">
        <f>DW6*IF(OR($C6=22,$G6=22),0,1)</f>
        <v/>
      </c>
      <c r="DX7">
        <f>DX6*IF(OR($C6=23,$G6=23),0,1)</f>
        <v/>
      </c>
      <c r="DY7">
        <f>DY6*IF(OR($C6=24,$G6=24),0,1)</f>
        <v/>
      </c>
      <c r="DZ7">
        <f>DZ6*IF(OR($C6=25,$G6=25),0,1)</f>
        <v/>
      </c>
      <c r="EA7">
        <f>EA6*IF(OR($C6=26,$G6=26),0,1)</f>
        <v/>
      </c>
      <c r="EB7">
        <f>EB6*IF(OR($C6=27,$G6=27),0,1)</f>
        <v/>
      </c>
      <c r="EC7">
        <f>EC6*IF(OR($C6=28,$G6=28),0,1)</f>
        <v/>
      </c>
      <c r="ED7">
        <f>ED6*IF(OR($C6=29,$G6=29),0,1)</f>
        <v/>
      </c>
      <c r="EE7">
        <f>EE6*IF(OR($C6=30,$G6=30),0,1)</f>
        <v/>
      </c>
      <c r="EF7">
        <f>EF6*IF(OR($C6=31,$G6=31),0,1)</f>
        <v/>
      </c>
      <c r="EG7">
        <f>EG6*IF(OR($C6=32,$G6=32),0,1)</f>
        <v/>
      </c>
      <c r="EH7">
        <f>EH6*IF(OR($C6=33,$G6=33),0,1)</f>
        <v/>
      </c>
      <c r="EI7">
        <f>EI6*IF(OR($C6=34,$G6=34),0,1)</f>
        <v/>
      </c>
      <c r="EJ7">
        <f>EJ6*IF(OR($C6=35,$G6=35),0,1)</f>
        <v/>
      </c>
      <c r="EK7">
        <f>EK6*IF(OR($C6=36,$G6=36),0,1)</f>
        <v/>
      </c>
      <c r="EL7">
        <f>EL6*IF(OR($C6=37,$G6=37),0,1)</f>
        <v/>
      </c>
      <c r="EM7">
        <f>EM6*IF(OR($C6=38,$G6=38),0,1)</f>
        <v/>
      </c>
      <c r="EN7">
        <f>EN6*IF(OR($C6=39,$G6=39),0,1)</f>
        <v/>
      </c>
      <c r="EO7">
        <f>EO6*IF(OR($C6=40,$G6=40),0,1)</f>
        <v/>
      </c>
      <c r="EP7">
        <f>EP6*IF(OR($C6=41,$G6=41),0,1)</f>
        <v/>
      </c>
      <c r="EQ7">
        <f>EQ6*IF(OR($C6=42,$G6=42),0,1)</f>
        <v/>
      </c>
      <c r="ER7">
        <f>ER6*IF(OR($C6=43,$G6=43),0,1)</f>
        <v/>
      </c>
      <c r="ES7">
        <f>ES6*IF(OR($C6=44,$G6=44),0,1)</f>
        <v/>
      </c>
      <c r="ET7">
        <f>ET6*IF(OR($C6=45,$G6=45),0,1)</f>
        <v/>
      </c>
      <c r="EU7">
        <f>EU6*IF(OR($C6=46,$G6=46),0,1)</f>
        <v/>
      </c>
      <c r="EV7">
        <f>EV6*IF(OR($C6=47,$G6=47),0,1)</f>
        <v/>
      </c>
      <c r="EW7">
        <f>EW6*IF(OR($C6=48,$G6=48),0,1)</f>
        <v/>
      </c>
      <c r="EX7">
        <f>EX6*IF(OR($C6=49,$G6=49),0,1)</f>
        <v/>
      </c>
      <c r="EY7">
        <f>EY6*IF(OR($C6=50,$G6=50),0,1)</f>
        <v/>
      </c>
      <c r="EZ7">
        <f>EZ6*IF(OR($C6=51,$G6=51),0,1)</f>
        <v/>
      </c>
      <c r="FA7">
        <f>FA6*IF(OR($C6=52,$G6=52),0,1)</f>
        <v/>
      </c>
      <c r="FB7">
        <f>FB6*IF(OR($C6=53,$G6=53),0,1)</f>
        <v/>
      </c>
      <c r="FC7">
        <f>FC6*IF(OR($C6=54,$G6=54),0,1)</f>
        <v/>
      </c>
      <c r="FD7">
        <f>FD6*IF(OR($C6=55,$G6=55),0,1)</f>
        <v/>
      </c>
      <c r="FE7">
        <f>FE6*IF(OR($C6=56,$G6=56),0,1)</f>
        <v/>
      </c>
      <c r="FF7">
        <f>FF6*IF(OR($C6=57,$G6=57),0,1)</f>
        <v/>
      </c>
      <c r="FG7">
        <f>FG6*IF(OR($C6=58,$G6=58),0,1)</f>
        <v/>
      </c>
      <c r="FH7">
        <f>FH6*IF(OR($C6=59,$G6=59),0,1)</f>
        <v/>
      </c>
      <c r="FI7">
        <f>FI6*IF(OR($C6=60,$G6=60),0,1)</f>
        <v/>
      </c>
      <c r="FJ7">
        <f>FJ6*IF(OR($C6=61,$G6=61),0,1)</f>
        <v/>
      </c>
      <c r="FK7">
        <f>FK6*IF(OR($C6=62,$G6=62),0,1)</f>
        <v/>
      </c>
      <c r="FL7">
        <f>FL6*IF(OR($C6=63,$G6=63),0,1)</f>
        <v/>
      </c>
      <c r="FM7">
        <f>FM6*IF(OR($C6=64,$G6=64),0,1)</f>
        <v/>
      </c>
      <c r="FN7">
        <f>FN6*IF(OR($C6=65,$G6=65),0,1)</f>
        <v/>
      </c>
      <c r="FO7">
        <f>FO6*IF(OR($C6=66,$G6=66),0,1)</f>
        <v/>
      </c>
      <c r="FP7">
        <f>FP6*IF(OR($C6=67,$G6=67),0,1)</f>
        <v/>
      </c>
      <c r="FQ7">
        <f>FQ6*IF(OR($C6=68,$G6=68),0,1)</f>
        <v/>
      </c>
      <c r="FR7">
        <f>FR6*IF(OR($C6=69,$G6=69),0,1)</f>
        <v/>
      </c>
      <c r="FS7">
        <f>FS6*IF(OR($C6=70,$G6=70),0,1)</f>
        <v/>
      </c>
      <c r="FT7">
        <f>FT6*IF(OR($C6=71,$G6=71),0,1)</f>
        <v/>
      </c>
      <c r="FU7">
        <f>FU6*IF(OR($C6=72,$G6=72),0,1)</f>
        <v/>
      </c>
      <c r="FV7">
        <f>FV6*IF(OR($C6=73,$G6=73),0,1)</f>
        <v/>
      </c>
      <c r="FW7">
        <f>FW6*IF(OR($C6=74,$G6=74),0,1)</f>
        <v/>
      </c>
      <c r="FX7">
        <f>FX6*IF(OR($C6=75,$G6=75),0,1)</f>
        <v/>
      </c>
      <c r="FY7">
        <f>FY6*IF(OR($C6=76,$G6=76),0,1)</f>
        <v/>
      </c>
      <c r="FZ7">
        <f>FZ6*IF(OR($C6=77,$G6=77),0,1)</f>
        <v/>
      </c>
      <c r="GA7">
        <f>GA6*IF(OR($C6=78,$G6=78),0,1)</f>
        <v/>
      </c>
      <c r="GB7">
        <f>GB6*IF(OR($C6=79,$G6=79),0,1)</f>
        <v/>
      </c>
      <c r="GC7">
        <f>GC6*IF(OR($C6=80,$G6=80),0,1)</f>
        <v/>
      </c>
      <c r="GD7">
        <f>GD6*IF(OR($C6=81,$G6=81),0,1)</f>
        <v/>
      </c>
      <c r="GE7">
        <f>GE6*IF(OR($C6=82,$G6=82),0,1)</f>
        <v/>
      </c>
      <c r="GF7">
        <f>GF6*IF(OR($C6=83,$G6=83),0,1)</f>
        <v/>
      </c>
      <c r="GG7">
        <f>GG6*IF(OR($C6=84,$G6=84),0,1)</f>
        <v/>
      </c>
      <c r="GH7">
        <f>GH6*IF(OR($C6=85,$G6=85),0,1)</f>
        <v/>
      </c>
      <c r="GI7">
        <f>GI6*IF(OR($C6=86,$G6=86),0,1)</f>
        <v/>
      </c>
      <c r="GJ7">
        <f>GJ6*IF(OR($C6=87,$G6=87),0,1)</f>
        <v/>
      </c>
      <c r="GK7">
        <f>GK6*IF(OR($C6=88,$G6=88),0,1)</f>
        <v/>
      </c>
      <c r="GL7">
        <f>GL6*IF(OR($C6=89,$G6=89),0,1)</f>
        <v/>
      </c>
      <c r="GM7">
        <f>GM6*IF(OR($C6=90,$G6=90),0,1)</f>
        <v/>
      </c>
      <c r="GN7">
        <f>GN6*IF(OR($C6=91,$G6=91),0,1)</f>
        <v/>
      </c>
      <c r="GO7">
        <f>GO6*IF(OR($C6=92,$G6=92),0,1)</f>
        <v/>
      </c>
      <c r="GP7">
        <f>GP6*IF(OR($C6=93,$G6=93),0,1)</f>
        <v/>
      </c>
      <c r="GQ7">
        <f>GQ6*IF(OR($C6=94,$G6=94),0,1)</f>
        <v/>
      </c>
      <c r="GR7">
        <f>GR6*IF(OR($C6=95,$G6=95),0,1)</f>
        <v/>
      </c>
      <c r="GS7">
        <f>GS6*IF(OR($C6=96,$G6=96),0,1)</f>
        <v/>
      </c>
      <c r="GT7">
        <f>GT6*IF(OR($C6=97,$G6=97),0,1)</f>
        <v/>
      </c>
      <c r="GU7">
        <f>GU6*IF(OR($C6=98,$G6=98),0,1)</f>
        <v/>
      </c>
      <c r="GV7">
        <f>GV6*IF(OR($C6=99,$G6=99),0,1)</f>
        <v/>
      </c>
      <c r="GW7">
        <f>GW6*IF(OR($C6=100,$G6=100),0,1)</f>
        <v/>
      </c>
      <c r="GX7">
        <f>GX6*IF(OR($C6=101,$G6=101),0,1)</f>
        <v/>
      </c>
      <c r="GY7">
        <f>GY6*IF(OR($C6=102,$G6=102),0,1)</f>
        <v/>
      </c>
      <c r="GZ7">
        <f>GZ6*IF(OR($C6=103,$G6=103),0,1)</f>
        <v/>
      </c>
      <c r="HA7">
        <f>HA6*IF(OR($C6=104,$G6=104),0,1)</f>
        <v/>
      </c>
      <c r="HB7">
        <f>HB6*IF(OR($C6=105,$G6=105),0,1)</f>
        <v/>
      </c>
      <c r="HC7">
        <f>HC6*IF(OR($C6=106,$G6=106),0,1)</f>
        <v/>
      </c>
      <c r="HD7">
        <f>HD6*IF(OR($C6=107,$G6=107),0,1)</f>
        <v/>
      </c>
      <c r="HE7">
        <f>HE6*IF(OR($C6=108,$G6=108),0,1)</f>
        <v/>
      </c>
      <c r="HF7">
        <f>HF6*IF(OR($C6=109,$G6=109),0,1)</f>
        <v/>
      </c>
      <c r="HG7">
        <f>HG6*IF(OR($C6=110,$G6=110),0,1)</f>
        <v/>
      </c>
      <c r="HH7">
        <f>HH6*IF(OR($C6=111,$G6=111),0,1)</f>
        <v/>
      </c>
      <c r="HI7">
        <f>HI6*IF(OR($C6=112,$G6=112),0,1)</f>
        <v/>
      </c>
      <c r="HJ7">
        <f>HJ6*IF(OR($C6=113,$G6=113),0,1)</f>
        <v/>
      </c>
      <c r="HK7">
        <f>HK6*IF(OR($C6=114,$G6=114),0,1)</f>
        <v/>
      </c>
      <c r="HL7">
        <f>HL6*IF(OR($C6=115,$G6=115),0,1)</f>
        <v/>
      </c>
      <c r="HM7">
        <f>HM6*IF(OR($C6=116,$G6=116),0,1)</f>
        <v/>
      </c>
      <c r="HN7">
        <f>HN6*IF(OR($C6=117,$G6=117),0,1)</f>
        <v/>
      </c>
      <c r="HO7">
        <f>HO6*IF(OR($C6=118,$G6=118),0,1)</f>
        <v/>
      </c>
      <c r="HP7">
        <f>HP6*IF(OR($C6=119,$G6=119),0,1)</f>
        <v/>
      </c>
      <c r="HQ7">
        <f>HQ6*IF(OR($C6=120,$G6=120),0,1)</f>
        <v/>
      </c>
      <c r="HR7">
        <f>HR6*IF(OR($C6=121,$G6=121),0,1)</f>
        <v/>
      </c>
      <c r="HS7">
        <f>HS6*IF(OR($C6=122,$G6=122),0,1)</f>
        <v/>
      </c>
      <c r="HT7">
        <f>HT6*IF(OR($C6=123,$G6=123),0,1)</f>
        <v/>
      </c>
      <c r="HU7">
        <f>HU6*IF(OR($C6=124,$G6=124),0,1)</f>
        <v/>
      </c>
      <c r="HV7">
        <f>HV6*IF(OR($C6=125,$G6=125),0,1)</f>
        <v/>
      </c>
      <c r="HW7">
        <f>HW6*IF(OR($C6=126,$G6=126),0,1)</f>
        <v/>
      </c>
      <c r="HX7">
        <f>HX6*IF(OR($C6=127,$G6=127),0,1)</f>
        <v/>
      </c>
      <c r="HY7">
        <f>HY6*IF(OR($C6=128,$G6=128),0,1)</f>
        <v/>
      </c>
      <c r="HZ7">
        <f>HZ6*IF(OR($C6=129,$G6=129),0,1)</f>
        <v/>
      </c>
      <c r="IA7">
        <f>IA6*IF(OR($C6=130,$G6=130),0,1)</f>
        <v/>
      </c>
      <c r="IB7">
        <f>IB6*IF(OR($C6=131,$G6=131),0,1)</f>
        <v/>
      </c>
      <c r="IC7">
        <f>IC6*IF(OR($C6=132,$G6=132),0,1)</f>
        <v/>
      </c>
      <c r="ID7">
        <f>ID6*IF(OR($C6=133,$G6=133),0,1)</f>
        <v/>
      </c>
      <c r="IE7">
        <f>IE6*IF(OR($C6=134,$G6=134),0,1)</f>
        <v/>
      </c>
      <c r="IF7">
        <f>IF6*IF(OR($C6=135,$G6=135),0,1)</f>
        <v/>
      </c>
      <c r="IG7">
        <f>IG6*IF(OR($C6=136,$G6=136),0,1)</f>
        <v/>
      </c>
      <c r="IH7">
        <f>IH6*IF(OR($C6=137,$G6=137),0,1)</f>
        <v/>
      </c>
      <c r="II7">
        <f>II6*IF(OR($C6=138,$G6=138),0,1)</f>
        <v/>
      </c>
      <c r="IJ7">
        <f>IJ6*IF(OR($C6=139,$G6=139),0,1)</f>
        <v/>
      </c>
      <c r="IK7">
        <f>IK6*IF(OR($C6=140,$G6=140),0,1)</f>
        <v/>
      </c>
      <c r="IL7">
        <f>IL6*IF(OR($C6=141,$G6=141),0,1)</f>
        <v/>
      </c>
      <c r="IM7">
        <f>IM6*IF(OR($C6=142,$G6=142),0,1)</f>
        <v/>
      </c>
      <c r="IN7">
        <f>IN6*IF(OR($C6=143,$G6=143),0,1)</f>
        <v/>
      </c>
      <c r="IO7">
        <f>IO6*IF(OR($C6=144,$G6=144),0,1)</f>
        <v/>
      </c>
      <c r="IQ7">
        <f>IF('計算A'!D$106=1,DC7,1)</f>
        <v/>
      </c>
      <c r="IR7">
        <f>IF('計算A'!E$106=1,DD7,1)</f>
        <v/>
      </c>
      <c r="IS7">
        <f>IF('計算A'!F$106=1,DE7,1)</f>
        <v/>
      </c>
      <c r="IT7">
        <f>IF('計算A'!G$106=1,DF7,1)</f>
        <v/>
      </c>
      <c r="IU7">
        <f>IF('計算A'!H$106=1,DG7,1)</f>
        <v/>
      </c>
      <c r="IV7">
        <f>IF('計算A'!I$106=1,DH7,1)</f>
        <v/>
      </c>
      <c r="IW7">
        <f>IF('計算A'!J$106=1,DI7,1)</f>
        <v/>
      </c>
      <c r="IX7">
        <f>IF('計算A'!K$106=1,DJ7,1)</f>
        <v/>
      </c>
      <c r="IY7">
        <f>IF('計算A'!L$106=1,DK7,1)</f>
        <v/>
      </c>
      <c r="IZ7">
        <f>IF('計算A'!M$106=1,DL7,1)</f>
        <v/>
      </c>
      <c r="JA7">
        <f>IF('計算A'!N$106=1,DM7,1)</f>
        <v/>
      </c>
      <c r="JB7">
        <f>IF('計算A'!O$106=1,DN7,1)</f>
        <v/>
      </c>
      <c r="JC7">
        <f>IF('計算A'!P$106=1,DO7,1)</f>
        <v/>
      </c>
      <c r="JD7">
        <f>IF('計算A'!Q$106=1,DP7,1)</f>
        <v/>
      </c>
      <c r="JE7">
        <f>IF('計算A'!R$106=1,DQ7,1)</f>
        <v/>
      </c>
      <c r="JF7">
        <f>IF('計算A'!S$106=1,DR7,1)</f>
        <v/>
      </c>
      <c r="JG7">
        <f>IF('計算A'!T$106=1,DS7,1)</f>
        <v/>
      </c>
      <c r="JH7">
        <f>IF('計算A'!U$106=1,DT7,1)</f>
        <v/>
      </c>
      <c r="JI7">
        <f>IF('計算A'!V$106=1,DU7,1)</f>
        <v/>
      </c>
      <c r="JJ7">
        <f>IF('計算A'!W$106=1,DV7,1)</f>
        <v/>
      </c>
      <c r="JK7">
        <f>IF('計算A'!X$106=1,DW7,1)</f>
        <v/>
      </c>
      <c r="JL7">
        <f>IF('計算A'!Y$106=1,DX7,1)</f>
        <v/>
      </c>
      <c r="JM7">
        <f>IF('計算A'!Z$106=1,DY7,1)</f>
        <v/>
      </c>
      <c r="JN7">
        <f>IF('計算A'!AA$106=1,DZ7,1)</f>
        <v/>
      </c>
      <c r="JO7">
        <f>IF('計算A'!AB$106=1,EA7,1)</f>
        <v/>
      </c>
      <c r="JP7">
        <f>IF('計算A'!AC$106=1,EB7,1)</f>
        <v/>
      </c>
      <c r="JQ7">
        <f>IF('計算A'!AD$106=1,EC7,1)</f>
        <v/>
      </c>
      <c r="JR7">
        <f>IF('計算A'!AE$106=1,ED7,1)</f>
        <v/>
      </c>
      <c r="JS7">
        <f>IF('計算A'!AF$106=1,EE7,1)</f>
        <v/>
      </c>
      <c r="JT7">
        <f>IF('計算A'!AG$106=1,EF7,1)</f>
        <v/>
      </c>
      <c r="JU7">
        <f>IF('計算A'!AH$106=1,EG7,1)</f>
        <v/>
      </c>
      <c r="JV7">
        <f>IF('計算A'!AI$106=1,EH7,1)</f>
        <v/>
      </c>
      <c r="JW7">
        <f>IF('計算A'!AJ$106=1,EI7,1)</f>
        <v/>
      </c>
      <c r="JX7">
        <f>IF('計算A'!AK$106=1,EJ7,1)</f>
        <v/>
      </c>
      <c r="JY7">
        <f>IF('計算A'!AL$106=1,EK7,1)</f>
        <v/>
      </c>
      <c r="JZ7">
        <f>IF('計算A'!AM$106=1,EL7,1)</f>
        <v/>
      </c>
      <c r="KA7">
        <f>IF('計算A'!AN$106=1,EM7,1)</f>
        <v/>
      </c>
      <c r="KB7">
        <f>IF('計算A'!AO$106=1,EN7,1)</f>
        <v/>
      </c>
      <c r="KC7">
        <f>IF('計算A'!AP$106=1,EO7,1)</f>
        <v/>
      </c>
      <c r="KD7">
        <f>IF('計算A'!AQ$106=1,EP7,1)</f>
        <v/>
      </c>
      <c r="KE7">
        <f>IF('計算A'!AR$106=1,EQ7,1)</f>
        <v/>
      </c>
      <c r="KF7">
        <f>IF('計算A'!AS$106=1,ER7,1)</f>
        <v/>
      </c>
      <c r="KG7">
        <f>IF('計算A'!AT$106=1,ES7,1)</f>
        <v/>
      </c>
      <c r="KH7">
        <f>IF('計算A'!AU$106=1,ET7,1)</f>
        <v/>
      </c>
      <c r="KI7">
        <f>IF('計算A'!AV$106=1,EU7,1)</f>
        <v/>
      </c>
      <c r="KJ7">
        <f>IF('計算A'!AW$106=1,EV7,1)</f>
        <v/>
      </c>
      <c r="KK7">
        <f>IF('計算A'!AX$106=1,EW7,1)</f>
        <v/>
      </c>
      <c r="KL7">
        <f>IF('計算A'!AY$106=1,EX7,1)</f>
        <v/>
      </c>
      <c r="KM7">
        <f>IF('計算A'!AZ$106=1,EY7,1)</f>
        <v/>
      </c>
      <c r="KN7">
        <f>IF('計算A'!BA$106=1,EZ7,1)</f>
        <v/>
      </c>
      <c r="KO7">
        <f>IF('計算A'!BB$106=1,FA7,1)</f>
        <v/>
      </c>
      <c r="KP7">
        <f>IF('計算A'!BC$106=1,FB7,1)</f>
        <v/>
      </c>
      <c r="KQ7">
        <f>IF('計算A'!BD$106=1,FC7,1)</f>
        <v/>
      </c>
      <c r="KR7">
        <f>IF('計算A'!BE$106=1,FD7,1)</f>
        <v/>
      </c>
      <c r="KS7">
        <f>IF('計算A'!BF$106=1,FE7,1)</f>
        <v/>
      </c>
      <c r="KT7">
        <f>IF('計算A'!BG$106=1,FF7,1)</f>
        <v/>
      </c>
      <c r="KU7">
        <f>IF('計算A'!BH$106=1,FG7,1)</f>
        <v/>
      </c>
      <c r="KV7">
        <f>IF('計算A'!BI$106=1,FH7,1)</f>
        <v/>
      </c>
      <c r="KW7">
        <f>IF('計算A'!BJ$106=1,FI7,1)</f>
        <v/>
      </c>
      <c r="KX7">
        <f>IF('計算A'!BK$106=1,FJ7,1)</f>
        <v/>
      </c>
      <c r="KY7">
        <f>IF('計算A'!BL$106=1,FK7,1)</f>
        <v/>
      </c>
      <c r="KZ7">
        <f>IF('計算A'!BM$106=1,FL7,1)</f>
        <v/>
      </c>
      <c r="LA7">
        <f>IF('計算A'!BN$106=1,FM7,1)</f>
        <v/>
      </c>
      <c r="LB7">
        <f>IF('計算A'!BO$106=1,FN7,1)</f>
        <v/>
      </c>
      <c r="LC7">
        <f>IF('計算A'!BP$106=1,FO7,1)</f>
        <v/>
      </c>
      <c r="LD7">
        <f>IF('計算A'!BQ$106=1,FP7,1)</f>
        <v/>
      </c>
      <c r="LE7">
        <f>IF('計算A'!BR$106=1,FQ7,1)</f>
        <v/>
      </c>
      <c r="LF7">
        <f>IF('計算A'!BS$106=1,FR7,1)</f>
        <v/>
      </c>
      <c r="LG7">
        <f>IF('計算A'!BT$106=1,FS7,1)</f>
        <v/>
      </c>
      <c r="LH7">
        <f>IF('計算A'!BU$106=1,FT7,1)</f>
        <v/>
      </c>
      <c r="LI7">
        <f>IF('計算A'!BV$106=1,FU7,1)</f>
        <v/>
      </c>
      <c r="LJ7">
        <f>IF('計算A'!BW$106=1,FV7,1)</f>
        <v/>
      </c>
      <c r="LK7">
        <f>IF('計算A'!BX$106=1,FW7,1)</f>
        <v/>
      </c>
      <c r="LL7">
        <f>IF('計算A'!BY$106=1,FX7,1)</f>
        <v/>
      </c>
      <c r="LM7">
        <f>IF('計算A'!BZ$106=1,FY7,1)</f>
        <v/>
      </c>
      <c r="LN7">
        <f>IF('計算A'!CA$106=1,FZ7,1)</f>
        <v/>
      </c>
      <c r="LO7">
        <f>IF('計算A'!CB$106=1,GA7,1)</f>
        <v/>
      </c>
      <c r="LP7">
        <f>IF('計算A'!CC$106=1,GB7,1)</f>
        <v/>
      </c>
      <c r="LQ7">
        <f>IF('計算A'!CD$106=1,GC7,1)</f>
        <v/>
      </c>
      <c r="LR7">
        <f>IF('計算A'!CE$106=1,GD7,1)</f>
        <v/>
      </c>
      <c r="LS7">
        <f>IF('計算A'!CF$106=1,GE7,1)</f>
        <v/>
      </c>
      <c r="LT7">
        <f>IF('計算A'!CG$106=1,GF7,1)</f>
        <v/>
      </c>
      <c r="LU7">
        <f>IF('計算A'!CH$106=1,GG7,1)</f>
        <v/>
      </c>
      <c r="LV7">
        <f>IF('計算A'!CI$106=1,GH7,1)</f>
        <v/>
      </c>
      <c r="LW7">
        <f>IF('計算A'!CJ$106=1,GI7,1)</f>
        <v/>
      </c>
      <c r="LX7">
        <f>IF('計算A'!CK$106=1,GJ7,1)</f>
        <v/>
      </c>
      <c r="LY7">
        <f>IF('計算A'!CL$106=1,GK7,1)</f>
        <v/>
      </c>
      <c r="LZ7">
        <f>IF('計算A'!CM$106=1,GL7,1)</f>
        <v/>
      </c>
      <c r="MA7">
        <f>IF('計算A'!CN$106=1,GM7,1)</f>
        <v/>
      </c>
      <c r="MB7">
        <f>IF('計算A'!CO$106=1,GN7,1)</f>
        <v/>
      </c>
      <c r="MC7">
        <f>IF('計算A'!CP$106=1,GO7,1)</f>
        <v/>
      </c>
      <c r="MD7">
        <f>IF('計算A'!CQ$106=1,GP7,1)</f>
        <v/>
      </c>
      <c r="ME7">
        <f>IF('計算A'!CR$106=1,GQ7,1)</f>
        <v/>
      </c>
      <c r="MF7">
        <f>IF('計算A'!CS$106=1,GR7,1)</f>
        <v/>
      </c>
      <c r="MG7">
        <f>IF('計算A'!CT$106=1,GS7,1)</f>
        <v/>
      </c>
      <c r="MH7">
        <f>IF('計算A'!CU$106=1,GT7,1)</f>
        <v/>
      </c>
      <c r="MI7">
        <f>IF('計算A'!CV$106=1,GU7,1)</f>
        <v/>
      </c>
      <c r="MJ7">
        <f>IF('計算A'!CW$106=1,GV7,1)</f>
        <v/>
      </c>
      <c r="MK7">
        <f>IF('計算A'!CX$106=1,GW7,1)</f>
        <v/>
      </c>
      <c r="ML7">
        <f>IF('計算A'!CY$106=1,GX7,1)</f>
        <v/>
      </c>
      <c r="MM7">
        <f>IF('計算A'!CZ$106=1,GY7,1)</f>
        <v/>
      </c>
      <c r="MN7">
        <f>IF('計算A'!DA$106=1,GZ7,1)</f>
        <v/>
      </c>
      <c r="MO7">
        <f>IF('計算A'!DB$106=1,HA7,1)</f>
        <v/>
      </c>
      <c r="MP7">
        <f>IF('計算A'!DC$106=1,HB7,1)</f>
        <v/>
      </c>
      <c r="MQ7">
        <f>IF('計算A'!DD$106=1,HC7,1)</f>
        <v/>
      </c>
      <c r="MR7">
        <f>IF('計算A'!DE$106=1,HD7,1)</f>
        <v/>
      </c>
      <c r="MS7">
        <f>IF('計算A'!DF$106=1,HE7,1)</f>
        <v/>
      </c>
      <c r="MT7">
        <f>IF('計算A'!DG$106=1,HF7,1)</f>
        <v/>
      </c>
      <c r="MU7">
        <f>IF('計算A'!DH$106=1,HG7,1)</f>
        <v/>
      </c>
      <c r="MV7">
        <f>IF('計算A'!DI$106=1,HH7,1)</f>
        <v/>
      </c>
      <c r="MW7">
        <f>IF('計算A'!DJ$106=1,HI7,1)</f>
        <v/>
      </c>
      <c r="MX7">
        <f>IF('計算A'!DK$106=1,HJ7,1)</f>
        <v/>
      </c>
      <c r="MY7">
        <f>IF('計算A'!DL$106=1,HK7,1)</f>
        <v/>
      </c>
      <c r="MZ7">
        <f>IF('計算A'!DM$106=1,HL7,1)</f>
        <v/>
      </c>
      <c r="NA7">
        <f>IF('計算A'!DN$106=1,HM7,1)</f>
        <v/>
      </c>
      <c r="NB7">
        <f>IF('計算A'!DO$106=1,HN7,1)</f>
        <v/>
      </c>
      <c r="NC7">
        <f>IF('計算A'!DP$106=1,HO7,1)</f>
        <v/>
      </c>
      <c r="ND7">
        <f>IF('計算A'!DQ$106=1,HP7,1)</f>
        <v/>
      </c>
      <c r="NE7">
        <f>IF('計算A'!DR$106=1,HQ7,1)</f>
        <v/>
      </c>
      <c r="NF7">
        <f>IF('計算A'!DS$106=1,HR7,1)</f>
        <v/>
      </c>
      <c r="NG7">
        <f>IF('計算A'!DT$106=1,HS7,1)</f>
        <v/>
      </c>
      <c r="NH7">
        <f>IF('計算A'!DU$106=1,HT7,1)</f>
        <v/>
      </c>
      <c r="NI7">
        <f>IF('計算A'!DV$106=1,HU7,1)</f>
        <v/>
      </c>
      <c r="NJ7">
        <f>IF('計算A'!DW$106=1,HV7,1)</f>
        <v/>
      </c>
      <c r="NK7">
        <f>IF('計算A'!DX$106=1,HW7,1)</f>
        <v/>
      </c>
      <c r="NL7">
        <f>IF('計算A'!DY$106=1,HX7,1)</f>
        <v/>
      </c>
      <c r="NM7">
        <f>IF('計算A'!DZ$106=1,HY7,1)</f>
        <v/>
      </c>
      <c r="NN7">
        <f>IF('計算A'!EA$106=1,HZ7,1)</f>
        <v/>
      </c>
      <c r="NO7">
        <f>IF('計算A'!EB$106=1,IA7,1)</f>
        <v/>
      </c>
      <c r="NP7">
        <f>IF('計算A'!EC$106=1,IB7,1)</f>
        <v/>
      </c>
      <c r="NQ7">
        <f>IF('計算A'!ED$106=1,IC7,1)</f>
        <v/>
      </c>
      <c r="NR7">
        <f>IF('計算A'!EE$106=1,ID7,1)</f>
        <v/>
      </c>
      <c r="NS7">
        <f>IF('計算A'!EF$106=1,IE7,1)</f>
        <v/>
      </c>
      <c r="NT7">
        <f>IF('計算A'!EG$106=1,IF7,1)</f>
        <v/>
      </c>
      <c r="NU7">
        <f>IF('計算A'!EH$106=1,IG7,1)</f>
        <v/>
      </c>
      <c r="NV7">
        <f>IF('計算A'!EI$106=1,IH7,1)</f>
        <v/>
      </c>
      <c r="NW7">
        <f>IF('計算A'!EJ$106=1,II7,1)</f>
        <v/>
      </c>
      <c r="NX7">
        <f>IF('計算A'!EK$106=1,IJ7,1)</f>
        <v/>
      </c>
      <c r="NY7">
        <f>IF('計算A'!EL$106=1,IK7,1)</f>
        <v/>
      </c>
      <c r="NZ7">
        <f>IF('計算A'!EM$106=1,IL7,1)</f>
        <v/>
      </c>
      <c r="OA7">
        <f>IF('計算A'!EN$106=1,IM7,1)</f>
        <v/>
      </c>
      <c r="OB7">
        <f>IF('計算A'!EO$106=1,IN7,1)</f>
        <v/>
      </c>
      <c r="OC7">
        <f>IF('計算A'!EP$106=1,IO7,1)</f>
        <v/>
      </c>
      <c r="OD7" t="n">
        <v>1</v>
      </c>
      <c r="OF7">
        <f>IF($B7=0,1000000,IF(INDEX('計算A'!$D$60:$EQ$104,$B7,1)*DB7=1,IF(AND($E7=2,IQ7=0),1000000,IF($I7&gt;0,IF(1=$J7,IF(OR(AND(1=$I7+1,OR($K7&lt;&gt;'計算A'!$A$3,'計算A'!$A$4=0)),AND(1=$I7-1,OR(1&lt;&gt;'計算A'!$A$3,'計算A'!$A$4=0))),0,IF(1=$K7,200000,ABS(1-$K7)*100)),100000+ABS(1-$J7)*1000+10)+'計算A'!D$5*50+IF(AND($E7=1,IQ7=0),25,0),INDEX('計算A'!D$110:D$114,$F7+1)+IF(AND($E7=1,IQ7=0),1000,0)+IF($H7=1,(IF('計算A'!D$117=1,INDEX('計算A'!E$10:E$54,$B7),0))*500,0)-IF(AND($L7=1,'計算A'!D$117=1,DC7=0),300,0))),1000000))</f>
        <v/>
      </c>
      <c r="OG7">
        <f>IF($B7=0,1000000,IF(INDEX('計算A'!$D$60:$EQ$104,$B7,2)*DC7=1,IF(AND($E7=2,IR7=0),1000000,IF($I7&gt;0,IF(1=$J7,IF(OR(AND(2=$I7+1,OR($K7&lt;&gt;'計算A'!$A$3,'計算A'!$A$4=0)),AND(2=$I7-1,OR(2&lt;&gt;'計算A'!$A$3,'計算A'!$A$4=0))),0,IF(2=$K7,200000,ABS(2-$K7)*100)),100000+ABS(1-$J7)*1000+20)+'計算A'!E$5*50+IF(AND($E7=1,IR7=0),25,0),INDEX('計算A'!E$110:E$114,$F7+1)+IF(AND($E7=1,IR7=0),1000,0)+IF($H7=1,(IF('計算A'!D$117=1,INDEX('計算A'!D$10:D$54,$B7),0)+IF('計算A'!E$117=1,INDEX('計算A'!F$10:F$54,$B7),0))*500,0)-IF(AND('計算A'!D$117=1,UB7&gt;0),300,0)-IF(AND($L7=1,'計算A'!E$117=1,DD7=0),300,0))),1000000))</f>
        <v/>
      </c>
      <c r="OH7">
        <f>IF($B7=0,1000000,IF(INDEX('計算A'!$D$60:$EQ$104,$B7,3)*DD7=1,IF(AND($E7=2,IS7=0),1000000,IF($I7&gt;0,IF(1=$J7,IF(OR(AND(3=$I7+1,OR($K7&lt;&gt;'計算A'!$A$3,'計算A'!$A$4=0)),AND(3=$I7-1,OR(3&lt;&gt;'計算A'!$A$3,'計算A'!$A$4=0))),0,IF(3=$K7,200000,ABS(3-$K7)*100)),100000+ABS(1-$J7)*1000+30)+'計算A'!F$5*50+IF(AND($E7=1,IS7=0),25,0),INDEX('計算A'!F$110:F$114,$F7+1)+IF(AND($E7=1,IS7=0),1000,0)+IF($H7=1,(IF('計算A'!E$117=1,INDEX('計算A'!E$10:E$54,$B7),0)+IF('計算A'!F$117=1,INDEX('計算A'!G$10:G$54,$B7),0))*500,0)-IF(AND('計算A'!E$117=1,UC7&gt;0),300,0)-IF(AND($L7=1,'計算A'!F$117=1,DE7=0),300,0))),1000000))</f>
        <v/>
      </c>
      <c r="OI7">
        <f>IF($B7=0,1000000,IF(INDEX('計算A'!$D$60:$EQ$104,$B7,4)*DE7=1,IF(AND($E7=2,IT7=0),1000000,IF($I7&gt;0,IF(1=$J7,IF(OR(AND(4=$I7+1,OR($K7&lt;&gt;'計算A'!$A$3,'計算A'!$A$4=0)),AND(4=$I7-1,OR(4&lt;&gt;'計算A'!$A$3,'計算A'!$A$4=0))),0,IF(4=$K7,200000,ABS(4-$K7)*100)),100000+ABS(1-$J7)*1000+40)+'計算A'!G$5*50+IF(AND($E7=1,IT7=0),25,0),INDEX('計算A'!G$110:G$114,$F7+1)+IF(AND($E7=1,IT7=0),1000,0)+IF($H7=1,(IF('計算A'!F$117=1,INDEX('計算A'!F$10:F$54,$B7),0)+IF('計算A'!G$117=1,INDEX('計算A'!H$10:H$54,$B7),0))*500,0)-IF(AND('計算A'!F$117=1,UD7&gt;0),300,0)-IF(AND($L7=1,'計算A'!G$117=1,DF7=0),300,0))),1000000))</f>
        <v/>
      </c>
      <c r="OJ7">
        <f>IF($B7=0,1000000,IF(INDEX('計算A'!$D$60:$EQ$104,$B7,5)*DF7=1,IF(AND($E7=2,IU7=0),1000000,IF($I7&gt;0,IF(1=$J7,IF(OR(AND(5=$I7+1,OR($K7&lt;&gt;'計算A'!$A$3,'計算A'!$A$4=0)),AND(5=$I7-1,OR(5&lt;&gt;'計算A'!$A$3,'計算A'!$A$4=0))),0,IF(5=$K7,200000,ABS(5-$K7)*100)),100000+ABS(1-$J7)*1000+50)+'計算A'!H$5*50+IF(AND($E7=1,IU7=0),25,0),INDEX('計算A'!H$110:H$114,$F7+1)+IF(AND($E7=1,IU7=0),1000,0)+IF($H7=1,(IF('計算A'!G$117=1,INDEX('計算A'!G$10:G$54,$B7),0)+IF('計算A'!H$117=1,INDEX('計算A'!I$10:I$54,$B7),0))*500,0)-IF(AND('計算A'!G$117=1,UE7&gt;0),300,0)-IF(AND($L7=1,'計算A'!H$117=1,DG7=0),300,0))),1000000))</f>
        <v/>
      </c>
      <c r="OK7">
        <f>IF($B7=0,1000000,IF(INDEX('計算A'!$D$60:$EQ$104,$B7,6)*DG7=1,IF(AND($E7=2,IV7=0),1000000,IF($I7&gt;0,IF(1=$J7,IF(OR(AND(6=$I7+1,OR($K7&lt;&gt;'計算A'!$A$3,'計算A'!$A$4=0)),AND(6=$I7-1,OR(6&lt;&gt;'計算A'!$A$3,'計算A'!$A$4=0))),0,IF(6=$K7,200000,ABS(6-$K7)*100)),100000+ABS(1-$J7)*1000+60)+'計算A'!I$5*50+IF(AND($E7=1,IV7=0),25,0),INDEX('計算A'!I$110:I$114,$F7+1)+IF(AND($E7=1,IV7=0),1000,0)+IF($H7=1,(IF('計算A'!H$117=1,INDEX('計算A'!H$10:H$54,$B7),0)+IF('計算A'!I$117=1,INDEX('計算A'!J$10:J$54,$B7),0))*500,0)-IF(AND('計算A'!H$117=1,UF7&gt;0),300,0)-IF(AND($L7=1,'計算A'!I$117=1,DH7=0),300,0))),1000000))</f>
        <v/>
      </c>
      <c r="OL7">
        <f>IF($B7=0,1000000,IF(INDEX('計算A'!$D$60:$EQ$104,$B7,7)*DH7=1,IF(AND($E7=2,IW7=0),1000000,IF($I7&gt;0,IF(1=$J7,IF(OR(AND(7=$I7+1,OR($K7&lt;&gt;'計算A'!$A$3,'計算A'!$A$4=0)),AND(7=$I7-1,OR(7&lt;&gt;'計算A'!$A$3,'計算A'!$A$4=0))),0,IF(7=$K7,200000,ABS(7-$K7)*100)),100000+ABS(1-$J7)*1000+70)+'計算A'!J$5*50+IF(AND($E7=1,IW7=0),25,0),INDEX('計算A'!J$110:J$114,$F7+1)+IF(AND($E7=1,IW7=0),1000,0)+IF($H7=1,(IF('計算A'!I$117=1,INDEX('計算A'!I$10:I$54,$B7),0)+IF('計算A'!J$117=1,INDEX('計算A'!K$10:K$54,$B7),0))*500,0)-IF(AND('計算A'!I$117=1,UG7&gt;0),300,0)-IF(AND($L7=1,'計算A'!J$117=1,DI7=0),300,0))),1000000))</f>
        <v/>
      </c>
      <c r="OM7">
        <f>IF($B7=0,1000000,IF(INDEX('計算A'!$D$60:$EQ$104,$B7,8)*DI7=1,IF(AND($E7=2,IX7=0),1000000,IF($I7&gt;0,IF(1=$J7,IF(OR(AND(8=$I7+1,OR($K7&lt;&gt;'計算A'!$A$3,'計算A'!$A$4=0)),AND(8=$I7-1,OR(8&lt;&gt;'計算A'!$A$3,'計算A'!$A$4=0))),0,IF(8=$K7,200000,ABS(8-$K7)*100)),100000+ABS(1-$J7)*1000+80)+'計算A'!K$5*50+IF(AND($E7=1,IX7=0),25,0),INDEX('計算A'!K$110:K$114,$F7+1)+IF(AND($E7=1,IX7=0),1000,0)+IF($H7=1,(IF('計算A'!J$117=1,INDEX('計算A'!J$10:J$54,$B7),0)+IF('計算A'!K$117=1,INDEX('計算A'!L$10:L$54,$B7),0))*500,0)-IF(AND('計算A'!J$117=1,UH7&gt;0),300,0)-IF(AND($L7=1,'計算A'!K$117=1,DJ7=0),300,0))),1000000))</f>
        <v/>
      </c>
      <c r="ON7">
        <f>IF($B7=0,1000000,IF(INDEX('計算A'!$D$60:$EQ$104,$B7,9)*DJ7=1,IF(AND($E7=2,IY7=0),1000000,IF($I7&gt;0,IF(1=$J7,IF(OR(AND(9=$I7+1,OR($K7&lt;&gt;'計算A'!$A$3,'計算A'!$A$4=0)),AND(9=$I7-1,OR(9&lt;&gt;'計算A'!$A$3,'計算A'!$A$4=0))),0,IF(9=$K7,200000,ABS(9-$K7)*100)),100000+ABS(1-$J7)*1000+90)+'計算A'!L$5*50+IF(AND($E7=1,IY7=0),25,0),INDEX('計算A'!L$110:L$114,$F7+1)+IF(AND($E7=1,IY7=0),1000,0)+IF($H7=1,(IF('計算A'!K$117=1,INDEX('計算A'!K$10:K$54,$B7),0)+IF('計算A'!L$117=1,INDEX('計算A'!M$10:M$54,$B7),0))*500,0)-IF(AND('計算A'!K$117=1,UI7&gt;0),300,0)-IF(AND($L7=1,'計算A'!L$117=1,DK7=0),300,0))),1000000))</f>
        <v/>
      </c>
      <c r="OO7">
        <f>IF($B7=0,1000000,IF(INDEX('計算A'!$D$60:$EQ$104,$B7,10)*DK7=1,IF(AND($E7=2,IZ7=0),1000000,IF($I7&gt;0,IF(1=$J7,IF(OR(AND(10=$I7+1,OR($K7&lt;&gt;'計算A'!$A$3,'計算A'!$A$4=0)),AND(10=$I7-1,OR(10&lt;&gt;'計算A'!$A$3,'計算A'!$A$4=0))),0,IF(10=$K7,200000,ABS(10-$K7)*100)),100000+ABS(1-$J7)*1000+100)+'計算A'!M$5*50+IF(AND($E7=1,IZ7=0),25,0),INDEX('計算A'!M$110:M$114,$F7+1)+IF(AND($E7=1,IZ7=0),1000,0)+IF($H7=1,(IF('計算A'!L$117=1,INDEX('計算A'!L$10:L$54,$B7),0)+IF('計算A'!M$117=1,INDEX('計算A'!N$10:N$54,$B7),0))*500,0)-IF(AND('計算A'!L$117=1,UJ7&gt;0),300,0)-IF(AND($L7=1,'計算A'!M$117=1,DL7=0),300,0))),1000000))</f>
        <v/>
      </c>
      <c r="OP7">
        <f>IF($B7=0,1000000,IF(INDEX('計算A'!$D$60:$EQ$104,$B7,11)*DL7=1,IF(AND($E7=2,JA7=0),1000000,IF($I7&gt;0,IF(1=$J7,IF(OR(AND(11=$I7+1,OR($K7&lt;&gt;'計算A'!$A$3,'計算A'!$A$4=0)),AND(11=$I7-1,OR(11&lt;&gt;'計算A'!$A$3,'計算A'!$A$4=0))),0,IF(11=$K7,200000,ABS(11-$K7)*100)),100000+ABS(1-$J7)*1000+110)+'計算A'!N$5*50+IF(AND($E7=1,JA7=0),25,0),INDEX('計算A'!N$110:N$114,$F7+1)+IF(AND($E7=1,JA7=0),1000,0)+IF($H7=1,(IF('計算A'!M$117=1,INDEX('計算A'!M$10:M$54,$B7),0)+IF('計算A'!N$117=1,INDEX('計算A'!O$10:O$54,$B7),0))*500,0)-IF(AND('計算A'!M$117=1,UK7&gt;0),300,0)-IF(AND($L7=1,'計算A'!N$117=1,DM7=0),300,0))),1000000))</f>
        <v/>
      </c>
      <c r="OQ7">
        <f>IF($B7=0,1000000,IF(INDEX('計算A'!$D$60:$EQ$104,$B7,12)*DM7=1,IF(AND($E7=2,JB7=0),1000000,IF($I7&gt;0,IF(1=$J7,IF(OR(AND(12=$I7+1,OR($K7&lt;&gt;'計算A'!$A$3,'計算A'!$A$4=0)),AND(12=$I7-1,OR(12&lt;&gt;'計算A'!$A$3,'計算A'!$A$4=0))),0,IF(12=$K7,200000,ABS(12-$K7)*100)),100000+ABS(1-$J7)*1000+120)+'計算A'!O$5*50+IF(AND($E7=1,JB7=0),25,0),INDEX('計算A'!O$110:O$114,$F7+1)+IF(AND($E7=1,JB7=0),1000,0)+IF($H7=1,(IF('計算A'!N$117=1,INDEX('計算A'!N$10:N$54,$B7),0)+IF('計算A'!O$117=1,INDEX('計算A'!P$10:P$54,$B7),0))*500,0)-IF(AND('計算A'!N$117=1,UL7&gt;0),300,0)-IF(AND($L7=1,'計算A'!O$117=1,DN7=0),300,0))),1000000))</f>
        <v/>
      </c>
      <c r="OR7">
        <f>IF($B7=0,1000000,IF(INDEX('計算A'!$D$60:$EQ$104,$B7,13)*DN7=1,IF(AND($E7=2,JC7=0),1000000,IF($I7&gt;0,IF(1=$J7,IF(OR(AND(13=$I7+1,OR($K7&lt;&gt;'計算A'!$A$3,'計算A'!$A$4=0)),AND(13=$I7-1,OR(13&lt;&gt;'計算A'!$A$3,'計算A'!$A$4=0))),0,IF(13=$K7,200000,ABS(13-$K7)*100)),100000+ABS(1-$J7)*1000+130)+'計算A'!P$5*50+IF(AND($E7=1,JC7=0),25,0),INDEX('計算A'!P$110:P$114,$F7+1)+IF(AND($E7=1,JC7=0),1000,0)+IF($H7=1,(IF('計算A'!O$117=1,INDEX('計算A'!O$10:O$54,$B7),0)+IF('計算A'!P$117=1,INDEX('計算A'!Q$10:Q$54,$B7),0))*500,0)-IF(AND('計算A'!O$117=1,UM7&gt;0),300,0)-IF(AND($L7=1,'計算A'!P$117=1,DO7=0),300,0))),1000000))</f>
        <v/>
      </c>
      <c r="OS7">
        <f>IF($B7=0,1000000,IF(INDEX('計算A'!$D$60:$EQ$104,$B7,14)*DO7=1,IF(AND($E7=2,JD7=0),1000000,IF($I7&gt;0,IF(1=$J7,IF(OR(AND(14=$I7+1,OR($K7&lt;&gt;'計算A'!$A$3,'計算A'!$A$4=0)),AND(14=$I7-1,OR(14&lt;&gt;'計算A'!$A$3,'計算A'!$A$4=0))),0,IF(14=$K7,200000,ABS(14-$K7)*100)),100000+ABS(1-$J7)*1000+140)+'計算A'!Q$5*50+IF(AND($E7=1,JD7=0),25,0),INDEX('計算A'!Q$110:Q$114,$F7+1)+IF(AND($E7=1,JD7=0),1000,0)+IF($H7=1,(IF('計算A'!P$117=1,INDEX('計算A'!P$10:P$54,$B7),0)+IF('計算A'!Q$117=1,INDEX('計算A'!R$10:R$54,$B7),0))*500,0)-IF(AND('計算A'!P$117=1,UN7&gt;0),300,0)-IF(AND($L7=1,'計算A'!Q$117=1,DP7=0),300,0))),1000000))</f>
        <v/>
      </c>
      <c r="OT7">
        <f>IF($B7=0,1000000,IF(INDEX('計算A'!$D$60:$EQ$104,$B7,15)*DP7=1,IF(AND($E7=2,JE7=0),1000000,IF($I7&gt;0,IF(1=$J7,IF(OR(AND(15=$I7+1,OR($K7&lt;&gt;'計算A'!$A$3,'計算A'!$A$4=0)),AND(15=$I7-1,OR(15&lt;&gt;'計算A'!$A$3,'計算A'!$A$4=0))),0,IF(15=$K7,200000,ABS(15-$K7)*100)),100000+ABS(1-$J7)*1000+150)+'計算A'!R$5*50+IF(AND($E7=1,JE7=0),25,0),INDEX('計算A'!R$110:R$114,$F7+1)+IF(AND($E7=1,JE7=0),1000,0)+IF($H7=1,(IF('計算A'!Q$117=1,INDEX('計算A'!Q$10:Q$54,$B7),0)+IF('計算A'!R$117=1,INDEX('計算A'!S$10:S$54,$B7),0))*500,0)-IF(AND('計算A'!Q$117=1,UO7&gt;0),300,0)-IF(AND($L7=1,'計算A'!R$117=1,DQ7=0),300,0))),1000000))</f>
        <v/>
      </c>
      <c r="OU7">
        <f>IF($B7=0,1000000,IF(INDEX('計算A'!$D$60:$EQ$104,$B7,16)*DQ7=1,IF(AND($E7=2,JF7=0),1000000,IF($I7&gt;0,IF(1=$J7,IF(OR(AND(16=$I7+1,OR($K7&lt;&gt;'計算A'!$A$3,'計算A'!$A$4=0)),AND(16=$I7-1,OR(16&lt;&gt;'計算A'!$A$3,'計算A'!$A$4=0))),0,IF(16=$K7,200000,ABS(16-$K7)*100)),100000+ABS(1-$J7)*1000+160)+'計算A'!S$5*50+IF(AND($E7=1,JF7=0),25,0),INDEX('計算A'!S$110:S$114,$F7+1)+IF(AND($E7=1,JF7=0),1000,0)+IF($H7=1,(IF('計算A'!R$117=1,INDEX('計算A'!R$10:R$54,$B7),0)+IF('計算A'!S$117=1,INDEX('計算A'!T$10:T$54,$B7),0))*500,0)-IF(AND('計算A'!R$117=1,UP7&gt;0),300,0)-IF(AND($L7=1,'計算A'!S$117=1,DR7=0),300,0))),1000000))</f>
        <v/>
      </c>
      <c r="OV7">
        <f>IF($B7=0,1000000,IF(INDEX('計算A'!$D$60:$EQ$104,$B7,17)*DR7=1,IF(AND($E7=2,JG7=0),1000000,IF($I7&gt;0,IF(1=$J7,IF(OR(AND(17=$I7+1,OR($K7&lt;&gt;'計算A'!$A$3,'計算A'!$A$4=0)),AND(17=$I7-1,OR(17&lt;&gt;'計算A'!$A$3,'計算A'!$A$4=0))),0,IF(17=$K7,200000,ABS(17-$K7)*100)),100000+ABS(1-$J7)*1000+170)+'計算A'!T$5*50+IF(AND($E7=1,JG7=0),25,0),INDEX('計算A'!T$110:T$114,$F7+1)+IF(AND($E7=1,JG7=0),1000,0)+IF($H7=1,(IF('計算A'!S$117=1,INDEX('計算A'!S$10:S$54,$B7),0)+IF('計算A'!T$117=1,INDEX('計算A'!U$10:U$54,$B7),0))*500,0)-IF(AND('計算A'!S$117=1,UQ7&gt;0),300,0)-IF(AND($L7=1,'計算A'!T$117=1,DS7=0),300,0))),1000000))</f>
        <v/>
      </c>
      <c r="OW7">
        <f>IF($B7=0,1000000,IF(INDEX('計算A'!$D$60:$EQ$104,$B7,18)*DS7=1,IF(AND($E7=2,JH7=0),1000000,IF($I7&gt;0,IF(1=$J7,IF(OR(AND(18=$I7+1,OR($K7&lt;&gt;'計算A'!$A$3,'計算A'!$A$4=0)),AND(18=$I7-1,OR(18&lt;&gt;'計算A'!$A$3,'計算A'!$A$4=0))),0,IF(18=$K7,200000,ABS(18-$K7)*100)),100000+ABS(1-$J7)*1000+180)+'計算A'!U$5*50+IF(AND($E7=1,JH7=0),25,0),INDEX('計算A'!U$110:U$114,$F7+1)+IF(AND($E7=1,JH7=0),1000,0)+IF($H7=1,(IF('計算A'!T$117=1,INDEX('計算A'!T$10:T$54,$B7),0)+IF('計算A'!U$117=1,INDEX('計算A'!V$10:V$54,$B7),0))*500,0)-IF(AND('計算A'!T$117=1,UR7&gt;0),300,0)-IF(AND($L7=1,'計算A'!U$117=1,DT7=0),300,0))),1000000))</f>
        <v/>
      </c>
      <c r="OX7">
        <f>IF($B7=0,1000000,IF(INDEX('計算A'!$D$60:$EQ$104,$B7,19)*DT7=1,IF(AND($E7=2,JI7=0),1000000,IF($I7&gt;0,IF(1=$J7,IF(OR(AND(19=$I7+1,OR($K7&lt;&gt;'計算A'!$A$3,'計算A'!$A$4=0)),AND(19=$I7-1,OR(19&lt;&gt;'計算A'!$A$3,'計算A'!$A$4=0))),0,IF(19=$K7,200000,ABS(19-$K7)*100)),100000+ABS(1-$J7)*1000+190)+'計算A'!V$5*50+IF(AND($E7=1,JI7=0),25,0),INDEX('計算A'!V$110:V$114,$F7+1)+IF(AND($E7=1,JI7=0),1000,0)+IF($H7=1,(IF('計算A'!U$117=1,INDEX('計算A'!U$10:U$54,$B7),0)+IF('計算A'!V$117=1,INDEX('計算A'!W$10:W$54,$B7),0))*500,0)-IF(AND('計算A'!U$117=1,US7&gt;0),300,0)-IF(AND($L7=1,'計算A'!V$117=1,DU7=0),300,0))),1000000))</f>
        <v/>
      </c>
      <c r="OY7">
        <f>IF($B7=0,1000000,IF(INDEX('計算A'!$D$60:$EQ$104,$B7,20)*DU7=1,IF(AND($E7=2,JJ7=0),1000000,IF($I7&gt;0,IF(1=$J7,IF(OR(AND(20=$I7+1,OR($K7&lt;&gt;'計算A'!$A$3,'計算A'!$A$4=0)),AND(20=$I7-1,OR(20&lt;&gt;'計算A'!$A$3,'計算A'!$A$4=0))),0,IF(20=$K7,200000,ABS(20-$K7)*100)),100000+ABS(1-$J7)*1000+200)+'計算A'!W$5*50+IF(AND($E7=1,JJ7=0),25,0),INDEX('計算A'!W$110:W$114,$F7+1)+IF(AND($E7=1,JJ7=0),1000,0)+IF($H7=1,(IF('計算A'!V$117=1,INDEX('計算A'!V$10:V$54,$B7),0)+IF('計算A'!W$117=1,INDEX('計算A'!X$10:X$54,$B7),0))*500,0)-IF(AND('計算A'!V$117=1,UT7&gt;0),300,0)-IF(AND($L7=1,'計算A'!W$117=1,DV7=0),300,0))),1000000))</f>
        <v/>
      </c>
      <c r="OZ7">
        <f>IF($B7=0,1000000,IF(INDEX('計算A'!$D$60:$EQ$104,$B7,21)*DV7=1,IF(AND($E7=2,JK7=0),1000000,IF($I7&gt;0,IF(1=$J7,IF(OR(AND(21=$I7+1,OR($K7&lt;&gt;'計算A'!$A$3,'計算A'!$A$4=0)),AND(21=$I7-1,OR(21&lt;&gt;'計算A'!$A$3,'計算A'!$A$4=0))),0,IF(21=$K7,200000,ABS(21-$K7)*100)),100000+ABS(1-$J7)*1000+210)+'計算A'!X$5*50+IF(AND($E7=1,JK7=0),25,0),INDEX('計算A'!X$110:X$114,$F7+1)+IF(AND($E7=1,JK7=0),1000,0)+IF($H7=1,(IF('計算A'!W$117=1,INDEX('計算A'!W$10:W$54,$B7),0)+IF('計算A'!X$117=1,INDEX('計算A'!Y$10:Y$54,$B7),0))*500,0)-IF(AND('計算A'!W$117=1,UU7&gt;0),300,0)-IF(AND($L7=1,'計算A'!X$117=1,DW7=0),300,0))),1000000))</f>
        <v/>
      </c>
      <c r="PA7">
        <f>IF($B7=0,1000000,IF(INDEX('計算A'!$D$60:$EQ$104,$B7,22)*DW7=1,IF(AND($E7=2,JL7=0),1000000,IF($I7&gt;0,IF(1=$J7,IF(OR(AND(22=$I7+1,OR($K7&lt;&gt;'計算A'!$A$3,'計算A'!$A$4=0)),AND(22=$I7-1,OR(22&lt;&gt;'計算A'!$A$3,'計算A'!$A$4=0))),0,IF(22=$K7,200000,ABS(22-$K7)*100)),100000+ABS(1-$J7)*1000+220)+'計算A'!Y$5*50+IF(AND($E7=1,JL7=0),25,0),INDEX('計算A'!Y$110:Y$114,$F7+1)+IF(AND($E7=1,JL7=0),1000,0)+IF($H7=1,(IF('計算A'!X$117=1,INDEX('計算A'!X$10:X$54,$B7),0)+IF('計算A'!Y$117=1,INDEX('計算A'!Z$10:Z$54,$B7),0))*500,0)-IF(AND('計算A'!X$117=1,UV7&gt;0),300,0)-IF(AND($L7=1,'計算A'!Y$117=1,DX7=0),300,0))),1000000))</f>
        <v/>
      </c>
      <c r="PB7">
        <f>IF($B7=0,1000000,IF(INDEX('計算A'!$D$60:$EQ$104,$B7,23)*DX7=1,IF(AND($E7=2,JM7=0),1000000,IF($I7&gt;0,IF(1=$J7,IF(OR(AND(23=$I7+1,OR($K7&lt;&gt;'計算A'!$A$3,'計算A'!$A$4=0)),AND(23=$I7-1,OR(23&lt;&gt;'計算A'!$A$3,'計算A'!$A$4=0))),0,IF(23=$K7,200000,ABS(23-$K7)*100)),100000+ABS(1-$J7)*1000+230)+'計算A'!Z$5*50+IF(AND($E7=1,JM7=0),25,0),INDEX('計算A'!Z$110:Z$114,$F7+1)+IF(AND($E7=1,JM7=0),1000,0)+IF($H7=1,(IF('計算A'!Y$117=1,INDEX('計算A'!Y$10:Y$54,$B7),0)+IF('計算A'!Z$117=1,INDEX('計算A'!AA$10:AA$54,$B7),0))*500,0)-IF(AND('計算A'!Y$117=1,UW7&gt;0),300,0)-IF(AND($L7=1,'計算A'!Z$117=1,DY7=0),300,0))),1000000))</f>
        <v/>
      </c>
      <c r="PC7">
        <f>IF($B7=0,1000000,IF(INDEX('計算A'!$D$60:$EQ$104,$B7,24)*DY7=1,IF(AND($E7=2,JN7=0),1000000,IF($I7&gt;0,IF(1=$J7,IF(OR(AND(24=$I7+1,OR($K7&lt;&gt;'計算A'!$A$3,'計算A'!$A$4=0)),AND(24=$I7-1,OR(24&lt;&gt;'計算A'!$A$3,'計算A'!$A$4=0))),0,IF(24=$K7,200000,ABS(24-$K7)*100)),100000+ABS(1-$J7)*1000+240)+'計算A'!AA$5*50+IF(AND($E7=1,JN7=0),25,0),INDEX('計算A'!AA$110:AA$114,$F7+1)+IF(AND($E7=1,JN7=0),1000,0)+IF($H7=1,(IF('計算A'!Z$117=1,INDEX('計算A'!Z$10:Z$54,$B7),0))*500,0)-IF(AND('計算A'!Z$117=1,UX7&gt;0),300,0))),1000000))</f>
        <v/>
      </c>
      <c r="PD7">
        <f>IF($B7=0,1000000,IF(INDEX('計算A'!$D$60:$EQ$104,$B7,25)*DZ7=1,IF(AND($E7=2,JO7=0),1000000,IF($I7&gt;0,IF(2=$J7,IF(OR(AND(25=$I7+1,OR($K7&lt;&gt;'計算A'!$A$3,'計算A'!$A$4=0)),AND(25=$I7-1,OR(1&lt;&gt;'計算A'!$A$3,'計算A'!$A$4=0))),0,IF(1=$K7,200000,ABS(1-$K7)*100)),100000+ABS(2-$J7)*1000+10)+'計算A'!AB$5*50+IF(AND($E7=1,JO7=0),25,0),INDEX('計算A'!AB$110:AB$114,$F7+1)+IF(AND($E7=1,JO7=0),1000,0)+IF($H7=1,(IF('計算A'!AB$117=1,INDEX('計算A'!AC$10:AC$54,$B7),0))*500,0)-IF(AND($L7=1,'計算A'!AB$117=1,EA7=0),300,0))),1000000))</f>
        <v/>
      </c>
      <c r="PE7">
        <f>IF($B7=0,1000000,IF(INDEX('計算A'!$D$60:$EQ$104,$B7,26)*EA7=1,IF(AND($E7=2,JP7=0),1000000,IF($I7&gt;0,IF(2=$J7,IF(OR(AND(26=$I7+1,OR($K7&lt;&gt;'計算A'!$A$3,'計算A'!$A$4=0)),AND(26=$I7-1,OR(2&lt;&gt;'計算A'!$A$3,'計算A'!$A$4=0))),0,IF(2=$K7,200000,ABS(2-$K7)*100)),100000+ABS(2-$J7)*1000+20)+'計算A'!AC$5*50+IF(AND($E7=1,JP7=0),25,0),INDEX('計算A'!AC$110:AC$114,$F7+1)+IF(AND($E7=1,JP7=0),1000,0)+IF($H7=1,(IF('計算A'!AB$117=1,INDEX('計算A'!AB$10:AB$54,$B7),0)+IF('計算A'!AC$117=1,INDEX('計算A'!AD$10:AD$54,$B7),0))*500,0)-IF(AND('計算A'!AB$117=1,UZ7&gt;0),300,0)-IF(AND($L7=1,'計算A'!AC$117=1,EB7=0),300,0))),1000000))</f>
        <v/>
      </c>
      <c r="PF7">
        <f>IF($B7=0,1000000,IF(INDEX('計算A'!$D$60:$EQ$104,$B7,27)*EB7=1,IF(AND($E7=2,JQ7=0),1000000,IF($I7&gt;0,IF(2=$J7,IF(OR(AND(27=$I7+1,OR($K7&lt;&gt;'計算A'!$A$3,'計算A'!$A$4=0)),AND(27=$I7-1,OR(3&lt;&gt;'計算A'!$A$3,'計算A'!$A$4=0))),0,IF(3=$K7,200000,ABS(3-$K7)*100)),100000+ABS(2-$J7)*1000+30)+'計算A'!AD$5*50+IF(AND($E7=1,JQ7=0),25,0),INDEX('計算A'!AD$110:AD$114,$F7+1)+IF(AND($E7=1,JQ7=0),1000,0)+IF($H7=1,(IF('計算A'!AC$117=1,INDEX('計算A'!AC$10:AC$54,$B7),0)+IF('計算A'!AD$117=1,INDEX('計算A'!AE$10:AE$54,$B7),0))*500,0)-IF(AND('計算A'!AC$117=1,VA7&gt;0),300,0)-IF(AND($L7=1,'計算A'!AD$117=1,EC7=0),300,0))),1000000))</f>
        <v/>
      </c>
      <c r="PG7">
        <f>IF($B7=0,1000000,IF(INDEX('計算A'!$D$60:$EQ$104,$B7,28)*EC7=1,IF(AND($E7=2,JR7=0),1000000,IF($I7&gt;0,IF(2=$J7,IF(OR(AND(28=$I7+1,OR($K7&lt;&gt;'計算A'!$A$3,'計算A'!$A$4=0)),AND(28=$I7-1,OR(4&lt;&gt;'計算A'!$A$3,'計算A'!$A$4=0))),0,IF(4=$K7,200000,ABS(4-$K7)*100)),100000+ABS(2-$J7)*1000+40)+'計算A'!AE$5*50+IF(AND($E7=1,JR7=0),25,0),INDEX('計算A'!AE$110:AE$114,$F7+1)+IF(AND($E7=1,JR7=0),1000,0)+IF($H7=1,(IF('計算A'!AD$117=1,INDEX('計算A'!AD$10:AD$54,$B7),0)+IF('計算A'!AE$117=1,INDEX('計算A'!AF$10:AF$54,$B7),0))*500,0)-IF(AND('計算A'!AD$117=1,VB7&gt;0),300,0)-IF(AND($L7=1,'計算A'!AE$117=1,ED7=0),300,0))),1000000))</f>
        <v/>
      </c>
      <c r="PH7">
        <f>IF($B7=0,1000000,IF(INDEX('計算A'!$D$60:$EQ$104,$B7,29)*ED7=1,IF(AND($E7=2,JS7=0),1000000,IF($I7&gt;0,IF(2=$J7,IF(OR(AND(29=$I7+1,OR($K7&lt;&gt;'計算A'!$A$3,'計算A'!$A$4=0)),AND(29=$I7-1,OR(5&lt;&gt;'計算A'!$A$3,'計算A'!$A$4=0))),0,IF(5=$K7,200000,ABS(5-$K7)*100)),100000+ABS(2-$J7)*1000+50)+'計算A'!AF$5*50+IF(AND($E7=1,JS7=0),25,0),INDEX('計算A'!AF$110:AF$114,$F7+1)+IF(AND($E7=1,JS7=0),1000,0)+IF($H7=1,(IF('計算A'!AE$117=1,INDEX('計算A'!AE$10:AE$54,$B7),0)+IF('計算A'!AF$117=1,INDEX('計算A'!AG$10:AG$54,$B7),0))*500,0)-IF(AND('計算A'!AE$117=1,VC7&gt;0),300,0)-IF(AND($L7=1,'計算A'!AF$117=1,EE7=0),300,0))),1000000))</f>
        <v/>
      </c>
      <c r="PI7">
        <f>IF($B7=0,1000000,IF(INDEX('計算A'!$D$60:$EQ$104,$B7,30)*EE7=1,IF(AND($E7=2,JT7=0),1000000,IF($I7&gt;0,IF(2=$J7,IF(OR(AND(30=$I7+1,OR($K7&lt;&gt;'計算A'!$A$3,'計算A'!$A$4=0)),AND(30=$I7-1,OR(6&lt;&gt;'計算A'!$A$3,'計算A'!$A$4=0))),0,IF(6=$K7,200000,ABS(6-$K7)*100)),100000+ABS(2-$J7)*1000+60)+'計算A'!AG$5*50+IF(AND($E7=1,JT7=0),25,0),INDEX('計算A'!AG$110:AG$114,$F7+1)+IF(AND($E7=1,JT7=0),1000,0)+IF($H7=1,(IF('計算A'!AF$117=1,INDEX('計算A'!AF$10:AF$54,$B7),0)+IF('計算A'!AG$117=1,INDEX('計算A'!AH$10:AH$54,$B7),0))*500,0)-IF(AND('計算A'!AF$117=1,VD7&gt;0),300,0)-IF(AND($L7=1,'計算A'!AG$117=1,EF7=0),300,0))),1000000))</f>
        <v/>
      </c>
      <c r="PJ7">
        <f>IF($B7=0,1000000,IF(INDEX('計算A'!$D$60:$EQ$104,$B7,31)*EF7=1,IF(AND($E7=2,JU7=0),1000000,IF($I7&gt;0,IF(2=$J7,IF(OR(AND(31=$I7+1,OR($K7&lt;&gt;'計算A'!$A$3,'計算A'!$A$4=0)),AND(31=$I7-1,OR(7&lt;&gt;'計算A'!$A$3,'計算A'!$A$4=0))),0,IF(7=$K7,200000,ABS(7-$K7)*100)),100000+ABS(2-$J7)*1000+70)+'計算A'!AH$5*50+IF(AND($E7=1,JU7=0),25,0),INDEX('計算A'!AH$110:AH$114,$F7+1)+IF(AND($E7=1,JU7=0),1000,0)+IF($H7=1,(IF('計算A'!AG$117=1,INDEX('計算A'!AG$10:AG$54,$B7),0)+IF('計算A'!AH$117=1,INDEX('計算A'!AI$10:AI$54,$B7),0))*500,0)-IF(AND('計算A'!AG$117=1,VE7&gt;0),300,0)-IF(AND($L7=1,'計算A'!AH$117=1,EG7=0),300,0))),1000000))</f>
        <v/>
      </c>
      <c r="PK7">
        <f>IF($B7=0,1000000,IF(INDEX('計算A'!$D$60:$EQ$104,$B7,32)*EG7=1,IF(AND($E7=2,JV7=0),1000000,IF($I7&gt;0,IF(2=$J7,IF(OR(AND(32=$I7+1,OR($K7&lt;&gt;'計算A'!$A$3,'計算A'!$A$4=0)),AND(32=$I7-1,OR(8&lt;&gt;'計算A'!$A$3,'計算A'!$A$4=0))),0,IF(8=$K7,200000,ABS(8-$K7)*100)),100000+ABS(2-$J7)*1000+80)+'計算A'!AI$5*50+IF(AND($E7=1,JV7=0),25,0),INDEX('計算A'!AI$110:AI$114,$F7+1)+IF(AND($E7=1,JV7=0),1000,0)+IF($H7=1,(IF('計算A'!AH$117=1,INDEX('計算A'!AH$10:AH$54,$B7),0)+IF('計算A'!AI$117=1,INDEX('計算A'!AJ$10:AJ$54,$B7),0))*500,0)-IF(AND('計算A'!AH$117=1,VF7&gt;0),300,0)-IF(AND($L7=1,'計算A'!AI$117=1,EH7=0),300,0))),1000000))</f>
        <v/>
      </c>
      <c r="PL7">
        <f>IF($B7=0,1000000,IF(INDEX('計算A'!$D$60:$EQ$104,$B7,33)*EH7=1,IF(AND($E7=2,JW7=0),1000000,IF($I7&gt;0,IF(2=$J7,IF(OR(AND(33=$I7+1,OR($K7&lt;&gt;'計算A'!$A$3,'計算A'!$A$4=0)),AND(33=$I7-1,OR(9&lt;&gt;'計算A'!$A$3,'計算A'!$A$4=0))),0,IF(9=$K7,200000,ABS(9-$K7)*100)),100000+ABS(2-$J7)*1000+90)+'計算A'!AJ$5*50+IF(AND($E7=1,JW7=0),25,0),INDEX('計算A'!AJ$110:AJ$114,$F7+1)+IF(AND($E7=1,JW7=0),1000,0)+IF($H7=1,(IF('計算A'!AI$117=1,INDEX('計算A'!AI$10:AI$54,$B7),0)+IF('計算A'!AJ$117=1,INDEX('計算A'!AK$10:AK$54,$B7),0))*500,0)-IF(AND('計算A'!AI$117=1,VG7&gt;0),300,0)-IF(AND($L7=1,'計算A'!AJ$117=1,EI7=0),300,0))),1000000))</f>
        <v/>
      </c>
      <c r="PM7">
        <f>IF($B7=0,1000000,IF(INDEX('計算A'!$D$60:$EQ$104,$B7,34)*EI7=1,IF(AND($E7=2,JX7=0),1000000,IF($I7&gt;0,IF(2=$J7,IF(OR(AND(34=$I7+1,OR($K7&lt;&gt;'計算A'!$A$3,'計算A'!$A$4=0)),AND(34=$I7-1,OR(10&lt;&gt;'計算A'!$A$3,'計算A'!$A$4=0))),0,IF(10=$K7,200000,ABS(10-$K7)*100)),100000+ABS(2-$J7)*1000+100)+'計算A'!AK$5*50+IF(AND($E7=1,JX7=0),25,0),INDEX('計算A'!AK$110:AK$114,$F7+1)+IF(AND($E7=1,JX7=0),1000,0)+IF($H7=1,(IF('計算A'!AJ$117=1,INDEX('計算A'!AJ$10:AJ$54,$B7),0)+IF('計算A'!AK$117=1,INDEX('計算A'!AL$10:AL$54,$B7),0))*500,0)-IF(AND('計算A'!AJ$117=1,VH7&gt;0),300,0)-IF(AND($L7=1,'計算A'!AK$117=1,EJ7=0),300,0))),1000000))</f>
        <v/>
      </c>
      <c r="PN7">
        <f>IF($B7=0,1000000,IF(INDEX('計算A'!$D$60:$EQ$104,$B7,35)*EJ7=1,IF(AND($E7=2,JY7=0),1000000,IF($I7&gt;0,IF(2=$J7,IF(OR(AND(35=$I7+1,OR($K7&lt;&gt;'計算A'!$A$3,'計算A'!$A$4=0)),AND(35=$I7-1,OR(11&lt;&gt;'計算A'!$A$3,'計算A'!$A$4=0))),0,IF(11=$K7,200000,ABS(11-$K7)*100)),100000+ABS(2-$J7)*1000+110)+'計算A'!AL$5*50+IF(AND($E7=1,JY7=0),25,0),INDEX('計算A'!AL$110:AL$114,$F7+1)+IF(AND($E7=1,JY7=0),1000,0)+IF($H7=1,(IF('計算A'!AK$117=1,INDEX('計算A'!AK$10:AK$54,$B7),0)+IF('計算A'!AL$117=1,INDEX('計算A'!AM$10:AM$54,$B7),0))*500,0)-IF(AND('計算A'!AK$117=1,VI7&gt;0),300,0)-IF(AND($L7=1,'計算A'!AL$117=1,EK7=0),300,0))),1000000))</f>
        <v/>
      </c>
      <c r="PO7">
        <f>IF($B7=0,1000000,IF(INDEX('計算A'!$D$60:$EQ$104,$B7,36)*EK7=1,IF(AND($E7=2,JZ7=0),1000000,IF($I7&gt;0,IF(2=$J7,IF(OR(AND(36=$I7+1,OR($K7&lt;&gt;'計算A'!$A$3,'計算A'!$A$4=0)),AND(36=$I7-1,OR(12&lt;&gt;'計算A'!$A$3,'計算A'!$A$4=0))),0,IF(12=$K7,200000,ABS(12-$K7)*100)),100000+ABS(2-$J7)*1000+120)+'計算A'!AM$5*50+IF(AND($E7=1,JZ7=0),25,0),INDEX('計算A'!AM$110:AM$114,$F7+1)+IF(AND($E7=1,JZ7=0),1000,0)+IF($H7=1,(IF('計算A'!AL$117=1,INDEX('計算A'!AL$10:AL$54,$B7),0)+IF('計算A'!AM$117=1,INDEX('計算A'!AN$10:AN$54,$B7),0))*500,0)-IF(AND('計算A'!AL$117=1,VJ7&gt;0),300,0)-IF(AND($L7=1,'計算A'!AM$117=1,EL7=0),300,0))),1000000))</f>
        <v/>
      </c>
      <c r="PP7">
        <f>IF($B7=0,1000000,IF(INDEX('計算A'!$D$60:$EQ$104,$B7,37)*EL7=1,IF(AND($E7=2,KA7=0),1000000,IF($I7&gt;0,IF(2=$J7,IF(OR(AND(37=$I7+1,OR($K7&lt;&gt;'計算A'!$A$3,'計算A'!$A$4=0)),AND(37=$I7-1,OR(13&lt;&gt;'計算A'!$A$3,'計算A'!$A$4=0))),0,IF(13=$K7,200000,ABS(13-$K7)*100)),100000+ABS(2-$J7)*1000+130)+'計算A'!AN$5*50+IF(AND($E7=1,KA7=0),25,0),INDEX('計算A'!AN$110:AN$114,$F7+1)+IF(AND($E7=1,KA7=0),1000,0)+IF($H7=1,(IF('計算A'!AM$117=1,INDEX('計算A'!AM$10:AM$54,$B7),0)+IF('計算A'!AN$117=1,INDEX('計算A'!AO$10:AO$54,$B7),0))*500,0)-IF(AND('計算A'!AM$117=1,VK7&gt;0),300,0)-IF(AND($L7=1,'計算A'!AN$117=1,EM7=0),300,0))),1000000))</f>
        <v/>
      </c>
      <c r="PQ7">
        <f>IF($B7=0,1000000,IF(INDEX('計算A'!$D$60:$EQ$104,$B7,38)*EM7=1,IF(AND($E7=2,KB7=0),1000000,IF($I7&gt;0,IF(2=$J7,IF(OR(AND(38=$I7+1,OR($K7&lt;&gt;'計算A'!$A$3,'計算A'!$A$4=0)),AND(38=$I7-1,OR(14&lt;&gt;'計算A'!$A$3,'計算A'!$A$4=0))),0,IF(14=$K7,200000,ABS(14-$K7)*100)),100000+ABS(2-$J7)*1000+140)+'計算A'!AO$5*50+IF(AND($E7=1,KB7=0),25,0),INDEX('計算A'!AO$110:AO$114,$F7+1)+IF(AND($E7=1,KB7=0),1000,0)+IF($H7=1,(IF('計算A'!AN$117=1,INDEX('計算A'!AN$10:AN$54,$B7),0)+IF('計算A'!AO$117=1,INDEX('計算A'!AP$10:AP$54,$B7),0))*500,0)-IF(AND('計算A'!AN$117=1,VL7&gt;0),300,0)-IF(AND($L7=1,'計算A'!AO$117=1,EN7=0),300,0))),1000000))</f>
        <v/>
      </c>
      <c r="PR7">
        <f>IF($B7=0,1000000,IF(INDEX('計算A'!$D$60:$EQ$104,$B7,39)*EN7=1,IF(AND($E7=2,KC7=0),1000000,IF($I7&gt;0,IF(2=$J7,IF(OR(AND(39=$I7+1,OR($K7&lt;&gt;'計算A'!$A$3,'計算A'!$A$4=0)),AND(39=$I7-1,OR(15&lt;&gt;'計算A'!$A$3,'計算A'!$A$4=0))),0,IF(15=$K7,200000,ABS(15-$K7)*100)),100000+ABS(2-$J7)*1000+150)+'計算A'!AP$5*50+IF(AND($E7=1,KC7=0),25,0),INDEX('計算A'!AP$110:AP$114,$F7+1)+IF(AND($E7=1,KC7=0),1000,0)+IF($H7=1,(IF('計算A'!AO$117=1,INDEX('計算A'!AO$10:AO$54,$B7),0)+IF('計算A'!AP$117=1,INDEX('計算A'!AQ$10:AQ$54,$B7),0))*500,0)-IF(AND('計算A'!AO$117=1,VM7&gt;0),300,0)-IF(AND($L7=1,'計算A'!AP$117=1,EO7=0),300,0))),1000000))</f>
        <v/>
      </c>
      <c r="PS7">
        <f>IF($B7=0,1000000,IF(INDEX('計算A'!$D$60:$EQ$104,$B7,40)*EO7=1,IF(AND($E7=2,KD7=0),1000000,IF($I7&gt;0,IF(2=$J7,IF(OR(AND(40=$I7+1,OR($K7&lt;&gt;'計算A'!$A$3,'計算A'!$A$4=0)),AND(40=$I7-1,OR(16&lt;&gt;'計算A'!$A$3,'計算A'!$A$4=0))),0,IF(16=$K7,200000,ABS(16-$K7)*100)),100000+ABS(2-$J7)*1000+160)+'計算A'!AQ$5*50+IF(AND($E7=1,KD7=0),25,0),INDEX('計算A'!AQ$110:AQ$114,$F7+1)+IF(AND($E7=1,KD7=0),1000,0)+IF($H7=1,(IF('計算A'!AP$117=1,INDEX('計算A'!AP$10:AP$54,$B7),0)+IF('計算A'!AQ$117=1,INDEX('計算A'!AR$10:AR$54,$B7),0))*500,0)-IF(AND('計算A'!AP$117=1,VN7&gt;0),300,0)-IF(AND($L7=1,'計算A'!AQ$117=1,EP7=0),300,0))),1000000))</f>
        <v/>
      </c>
      <c r="PT7">
        <f>IF($B7=0,1000000,IF(INDEX('計算A'!$D$60:$EQ$104,$B7,41)*EP7=1,IF(AND($E7=2,KE7=0),1000000,IF($I7&gt;0,IF(2=$J7,IF(OR(AND(41=$I7+1,OR($K7&lt;&gt;'計算A'!$A$3,'計算A'!$A$4=0)),AND(41=$I7-1,OR(17&lt;&gt;'計算A'!$A$3,'計算A'!$A$4=0))),0,IF(17=$K7,200000,ABS(17-$K7)*100)),100000+ABS(2-$J7)*1000+170)+'計算A'!AR$5*50+IF(AND($E7=1,KE7=0),25,0),INDEX('計算A'!AR$110:AR$114,$F7+1)+IF(AND($E7=1,KE7=0),1000,0)+IF($H7=1,(IF('計算A'!AQ$117=1,INDEX('計算A'!AQ$10:AQ$54,$B7),0)+IF('計算A'!AR$117=1,INDEX('計算A'!AS$10:AS$54,$B7),0))*500,0)-IF(AND('計算A'!AQ$117=1,VO7&gt;0),300,0)-IF(AND($L7=1,'計算A'!AR$117=1,EQ7=0),300,0))),1000000))</f>
        <v/>
      </c>
      <c r="PU7">
        <f>IF($B7=0,1000000,IF(INDEX('計算A'!$D$60:$EQ$104,$B7,42)*EQ7=1,IF(AND($E7=2,KF7=0),1000000,IF($I7&gt;0,IF(2=$J7,IF(OR(AND(42=$I7+1,OR($K7&lt;&gt;'計算A'!$A$3,'計算A'!$A$4=0)),AND(42=$I7-1,OR(18&lt;&gt;'計算A'!$A$3,'計算A'!$A$4=0))),0,IF(18=$K7,200000,ABS(18-$K7)*100)),100000+ABS(2-$J7)*1000+180)+'計算A'!AS$5*50+IF(AND($E7=1,KF7=0),25,0),INDEX('計算A'!AS$110:AS$114,$F7+1)+IF(AND($E7=1,KF7=0),1000,0)+IF($H7=1,(IF('計算A'!AR$117=1,INDEX('計算A'!AR$10:AR$54,$B7),0)+IF('計算A'!AS$117=1,INDEX('計算A'!AT$10:AT$54,$B7),0))*500,0)-IF(AND('計算A'!AR$117=1,VP7&gt;0),300,0)-IF(AND($L7=1,'計算A'!AS$117=1,ER7=0),300,0))),1000000))</f>
        <v/>
      </c>
      <c r="PV7">
        <f>IF($B7=0,1000000,IF(INDEX('計算A'!$D$60:$EQ$104,$B7,43)*ER7=1,IF(AND($E7=2,KG7=0),1000000,IF($I7&gt;0,IF(2=$J7,IF(OR(AND(43=$I7+1,OR($K7&lt;&gt;'計算A'!$A$3,'計算A'!$A$4=0)),AND(43=$I7-1,OR(19&lt;&gt;'計算A'!$A$3,'計算A'!$A$4=0))),0,IF(19=$K7,200000,ABS(19-$K7)*100)),100000+ABS(2-$J7)*1000+190)+'計算A'!AT$5*50+IF(AND($E7=1,KG7=0),25,0),INDEX('計算A'!AT$110:AT$114,$F7+1)+IF(AND($E7=1,KG7=0),1000,0)+IF($H7=1,(IF('計算A'!AS$117=1,INDEX('計算A'!AS$10:AS$54,$B7),0)+IF('計算A'!AT$117=1,INDEX('計算A'!AU$10:AU$54,$B7),0))*500,0)-IF(AND('計算A'!AS$117=1,VQ7&gt;0),300,0)-IF(AND($L7=1,'計算A'!AT$117=1,ES7=0),300,0))),1000000))</f>
        <v/>
      </c>
      <c r="PW7">
        <f>IF($B7=0,1000000,IF(INDEX('計算A'!$D$60:$EQ$104,$B7,44)*ES7=1,IF(AND($E7=2,KH7=0),1000000,IF($I7&gt;0,IF(2=$J7,IF(OR(AND(44=$I7+1,OR($K7&lt;&gt;'計算A'!$A$3,'計算A'!$A$4=0)),AND(44=$I7-1,OR(20&lt;&gt;'計算A'!$A$3,'計算A'!$A$4=0))),0,IF(20=$K7,200000,ABS(20-$K7)*100)),100000+ABS(2-$J7)*1000+200)+'計算A'!AU$5*50+IF(AND($E7=1,KH7=0),25,0),INDEX('計算A'!AU$110:AU$114,$F7+1)+IF(AND($E7=1,KH7=0),1000,0)+IF($H7=1,(IF('計算A'!AT$117=1,INDEX('計算A'!AT$10:AT$54,$B7),0)+IF('計算A'!AU$117=1,INDEX('計算A'!AV$10:AV$54,$B7),0))*500,0)-IF(AND('計算A'!AT$117=1,VR7&gt;0),300,0)-IF(AND($L7=1,'計算A'!AU$117=1,ET7=0),300,0))),1000000))</f>
        <v/>
      </c>
      <c r="PX7">
        <f>IF($B7=0,1000000,IF(INDEX('計算A'!$D$60:$EQ$104,$B7,45)*ET7=1,IF(AND($E7=2,KI7=0),1000000,IF($I7&gt;0,IF(2=$J7,IF(OR(AND(45=$I7+1,OR($K7&lt;&gt;'計算A'!$A$3,'計算A'!$A$4=0)),AND(45=$I7-1,OR(21&lt;&gt;'計算A'!$A$3,'計算A'!$A$4=0))),0,IF(21=$K7,200000,ABS(21-$K7)*100)),100000+ABS(2-$J7)*1000+210)+'計算A'!AV$5*50+IF(AND($E7=1,KI7=0),25,0),INDEX('計算A'!AV$110:AV$114,$F7+1)+IF(AND($E7=1,KI7=0),1000,0)+IF($H7=1,(IF('計算A'!AU$117=1,INDEX('計算A'!AU$10:AU$54,$B7),0)+IF('計算A'!AV$117=1,INDEX('計算A'!AW$10:AW$54,$B7),0))*500,0)-IF(AND('計算A'!AU$117=1,VS7&gt;0),300,0)-IF(AND($L7=1,'計算A'!AV$117=1,EU7=0),300,0))),1000000))</f>
        <v/>
      </c>
      <c r="PY7">
        <f>IF($B7=0,1000000,IF(INDEX('計算A'!$D$60:$EQ$104,$B7,46)*EU7=1,IF(AND($E7=2,KJ7=0),1000000,IF($I7&gt;0,IF(2=$J7,IF(OR(AND(46=$I7+1,OR($K7&lt;&gt;'計算A'!$A$3,'計算A'!$A$4=0)),AND(46=$I7-1,OR(22&lt;&gt;'計算A'!$A$3,'計算A'!$A$4=0))),0,IF(22=$K7,200000,ABS(22-$K7)*100)),100000+ABS(2-$J7)*1000+220)+'計算A'!AW$5*50+IF(AND($E7=1,KJ7=0),25,0),INDEX('計算A'!AW$110:AW$114,$F7+1)+IF(AND($E7=1,KJ7=0),1000,0)+IF($H7=1,(IF('計算A'!AV$117=1,INDEX('計算A'!AV$10:AV$54,$B7),0)+IF('計算A'!AW$117=1,INDEX('計算A'!AX$10:AX$54,$B7),0))*500,0)-IF(AND('計算A'!AV$117=1,VT7&gt;0),300,0)-IF(AND($L7=1,'計算A'!AW$117=1,EV7=0),300,0))),1000000))</f>
        <v/>
      </c>
      <c r="PZ7">
        <f>IF($B7=0,1000000,IF(INDEX('計算A'!$D$60:$EQ$104,$B7,47)*EV7=1,IF(AND($E7=2,KK7=0),1000000,IF($I7&gt;0,IF(2=$J7,IF(OR(AND(47=$I7+1,OR($K7&lt;&gt;'計算A'!$A$3,'計算A'!$A$4=0)),AND(47=$I7-1,OR(23&lt;&gt;'計算A'!$A$3,'計算A'!$A$4=0))),0,IF(23=$K7,200000,ABS(23-$K7)*100)),100000+ABS(2-$J7)*1000+230)+'計算A'!AX$5*50+IF(AND($E7=1,KK7=0),25,0),INDEX('計算A'!AX$110:AX$114,$F7+1)+IF(AND($E7=1,KK7=0),1000,0)+IF($H7=1,(IF('計算A'!AW$117=1,INDEX('計算A'!AW$10:AW$54,$B7),0)+IF('計算A'!AX$117=1,INDEX('計算A'!AY$10:AY$54,$B7),0))*500,0)-IF(AND('計算A'!AW$117=1,VU7&gt;0),300,0)-IF(AND($L7=1,'計算A'!AX$117=1,EW7=0),300,0))),1000000))</f>
        <v/>
      </c>
      <c r="QA7">
        <f>IF($B7=0,1000000,IF(INDEX('計算A'!$D$60:$EQ$104,$B7,48)*EW7=1,IF(AND($E7=2,KL7=0),1000000,IF($I7&gt;0,IF(2=$J7,IF(OR(AND(48=$I7+1,OR($K7&lt;&gt;'計算A'!$A$3,'計算A'!$A$4=0)),AND(48=$I7-1,OR(24&lt;&gt;'計算A'!$A$3,'計算A'!$A$4=0))),0,IF(24=$K7,200000,ABS(24-$K7)*100)),100000+ABS(2-$J7)*1000+240)+'計算A'!AY$5*50+IF(AND($E7=1,KL7=0),25,0),INDEX('計算A'!AY$110:AY$114,$F7+1)+IF(AND($E7=1,KL7=0),1000,0)+IF($H7=1,(IF('計算A'!AX$117=1,INDEX('計算A'!AX$10:AX$54,$B7),0))*500,0)-IF(AND('計算A'!AX$117=1,VV7&gt;0),300,0))),1000000))</f>
        <v/>
      </c>
      <c r="QB7">
        <f>IF($B7=0,1000000,IF(INDEX('計算A'!$D$60:$EQ$104,$B7,49)*EX7=1,IF(AND($E7=2,KM7=0),1000000,IF($I7&gt;0,IF(3=$J7,IF(OR(AND(49=$I7+1,OR($K7&lt;&gt;'計算A'!$A$3,'計算A'!$A$4=0)),AND(49=$I7-1,OR(1&lt;&gt;'計算A'!$A$3,'計算A'!$A$4=0))),0,IF(1=$K7,200000,ABS(1-$K7)*100)),100000+ABS(3-$J7)*1000+10)+'計算A'!AZ$5*50+IF(AND($E7=1,KM7=0),25,0),INDEX('計算A'!AZ$110:AZ$114,$F7+1)+IF(AND($E7=1,KM7=0),1000,0)+IF($H7=1,(IF('計算A'!AZ$117=1,INDEX('計算A'!BA$10:BA$54,$B7),0))*500,0)-IF(AND($L7=1,'計算A'!AZ$117=1,EY7=0),300,0))),1000000))</f>
        <v/>
      </c>
      <c r="QC7">
        <f>IF($B7=0,1000000,IF(INDEX('計算A'!$D$60:$EQ$104,$B7,50)*EY7=1,IF(AND($E7=2,KN7=0),1000000,IF($I7&gt;0,IF(3=$J7,IF(OR(AND(50=$I7+1,OR($K7&lt;&gt;'計算A'!$A$3,'計算A'!$A$4=0)),AND(50=$I7-1,OR(2&lt;&gt;'計算A'!$A$3,'計算A'!$A$4=0))),0,IF(2=$K7,200000,ABS(2-$K7)*100)),100000+ABS(3-$J7)*1000+20)+'計算A'!BA$5*50+IF(AND($E7=1,KN7=0),25,0),INDEX('計算A'!BA$110:BA$114,$F7+1)+IF(AND($E7=1,KN7=0),1000,0)+IF($H7=1,(IF('計算A'!AZ$117=1,INDEX('計算A'!AZ$10:AZ$54,$B7),0)+IF('計算A'!BA$117=1,INDEX('計算A'!BB$10:BB$54,$B7),0))*500,0)-IF(AND('計算A'!AZ$117=1,VX7&gt;0),300,0)-IF(AND($L7=1,'計算A'!BA$117=1,EZ7=0),300,0))),1000000))</f>
        <v/>
      </c>
      <c r="QD7">
        <f>IF($B7=0,1000000,IF(INDEX('計算A'!$D$60:$EQ$104,$B7,51)*EZ7=1,IF(AND($E7=2,KO7=0),1000000,IF($I7&gt;0,IF(3=$J7,IF(OR(AND(51=$I7+1,OR($K7&lt;&gt;'計算A'!$A$3,'計算A'!$A$4=0)),AND(51=$I7-1,OR(3&lt;&gt;'計算A'!$A$3,'計算A'!$A$4=0))),0,IF(3=$K7,200000,ABS(3-$K7)*100)),100000+ABS(3-$J7)*1000+30)+'計算A'!BB$5*50+IF(AND($E7=1,KO7=0),25,0),INDEX('計算A'!BB$110:BB$114,$F7+1)+IF(AND($E7=1,KO7=0),1000,0)+IF($H7=1,(IF('計算A'!BA$117=1,INDEX('計算A'!BA$10:BA$54,$B7),0)+IF('計算A'!BB$117=1,INDEX('計算A'!BC$10:BC$54,$B7),0))*500,0)-IF(AND('計算A'!BA$117=1,VY7&gt;0),300,0)-IF(AND($L7=1,'計算A'!BB$117=1,FA7=0),300,0))),1000000))</f>
        <v/>
      </c>
      <c r="QE7">
        <f>IF($B7=0,1000000,IF(INDEX('計算A'!$D$60:$EQ$104,$B7,52)*FA7=1,IF(AND($E7=2,KP7=0),1000000,IF($I7&gt;0,IF(3=$J7,IF(OR(AND(52=$I7+1,OR($K7&lt;&gt;'計算A'!$A$3,'計算A'!$A$4=0)),AND(52=$I7-1,OR(4&lt;&gt;'計算A'!$A$3,'計算A'!$A$4=0))),0,IF(4=$K7,200000,ABS(4-$K7)*100)),100000+ABS(3-$J7)*1000+40)+'計算A'!BC$5*50+IF(AND($E7=1,KP7=0),25,0),INDEX('計算A'!BC$110:BC$114,$F7+1)+IF(AND($E7=1,KP7=0),1000,0)+IF($H7=1,(IF('計算A'!BB$117=1,INDEX('計算A'!BB$10:BB$54,$B7),0)+IF('計算A'!BC$117=1,INDEX('計算A'!BD$10:BD$54,$B7),0))*500,0)-IF(AND('計算A'!BB$117=1,VZ7&gt;0),300,0)-IF(AND($L7=1,'計算A'!BC$117=1,FB7=0),300,0))),1000000))</f>
        <v/>
      </c>
      <c r="QF7">
        <f>IF($B7=0,1000000,IF(INDEX('計算A'!$D$60:$EQ$104,$B7,53)*FB7=1,IF(AND($E7=2,KQ7=0),1000000,IF($I7&gt;0,IF(3=$J7,IF(OR(AND(53=$I7+1,OR($K7&lt;&gt;'計算A'!$A$3,'計算A'!$A$4=0)),AND(53=$I7-1,OR(5&lt;&gt;'計算A'!$A$3,'計算A'!$A$4=0))),0,IF(5=$K7,200000,ABS(5-$K7)*100)),100000+ABS(3-$J7)*1000+50)+'計算A'!BD$5*50+IF(AND($E7=1,KQ7=0),25,0),INDEX('計算A'!BD$110:BD$114,$F7+1)+IF(AND($E7=1,KQ7=0),1000,0)+IF($H7=1,(IF('計算A'!BC$117=1,INDEX('計算A'!BC$10:BC$54,$B7),0)+IF('計算A'!BD$117=1,INDEX('計算A'!BE$10:BE$54,$B7),0))*500,0)-IF(AND('計算A'!BC$117=1,WA7&gt;0),300,0)-IF(AND($L7=1,'計算A'!BD$117=1,FC7=0),300,0))),1000000))</f>
        <v/>
      </c>
      <c r="QG7">
        <f>IF($B7=0,1000000,IF(INDEX('計算A'!$D$60:$EQ$104,$B7,54)*FC7=1,IF(AND($E7=2,KR7=0),1000000,IF($I7&gt;0,IF(3=$J7,IF(OR(AND(54=$I7+1,OR($K7&lt;&gt;'計算A'!$A$3,'計算A'!$A$4=0)),AND(54=$I7-1,OR(6&lt;&gt;'計算A'!$A$3,'計算A'!$A$4=0))),0,IF(6=$K7,200000,ABS(6-$K7)*100)),100000+ABS(3-$J7)*1000+60)+'計算A'!BE$5*50+IF(AND($E7=1,KR7=0),25,0),INDEX('計算A'!BE$110:BE$114,$F7+1)+IF(AND($E7=1,KR7=0),1000,0)+IF($H7=1,(IF('計算A'!BD$117=1,INDEX('計算A'!BD$10:BD$54,$B7),0)+IF('計算A'!BE$117=1,INDEX('計算A'!BF$10:BF$54,$B7),0))*500,0)-IF(AND('計算A'!BD$117=1,WB7&gt;0),300,0)-IF(AND($L7=1,'計算A'!BE$117=1,FD7=0),300,0))),1000000))</f>
        <v/>
      </c>
      <c r="QH7">
        <f>IF($B7=0,1000000,IF(INDEX('計算A'!$D$60:$EQ$104,$B7,55)*FD7=1,IF(AND($E7=2,KS7=0),1000000,IF($I7&gt;0,IF(3=$J7,IF(OR(AND(55=$I7+1,OR($K7&lt;&gt;'計算A'!$A$3,'計算A'!$A$4=0)),AND(55=$I7-1,OR(7&lt;&gt;'計算A'!$A$3,'計算A'!$A$4=0))),0,IF(7=$K7,200000,ABS(7-$K7)*100)),100000+ABS(3-$J7)*1000+70)+'計算A'!BF$5*50+IF(AND($E7=1,KS7=0),25,0),INDEX('計算A'!BF$110:BF$114,$F7+1)+IF(AND($E7=1,KS7=0),1000,0)+IF($H7=1,(IF('計算A'!BE$117=1,INDEX('計算A'!BE$10:BE$54,$B7),0)+IF('計算A'!BF$117=1,INDEX('計算A'!BG$10:BG$54,$B7),0))*500,0)-IF(AND('計算A'!BE$117=1,WC7&gt;0),300,0)-IF(AND($L7=1,'計算A'!BF$117=1,FE7=0),300,0))),1000000))</f>
        <v/>
      </c>
      <c r="QI7">
        <f>IF($B7=0,1000000,IF(INDEX('計算A'!$D$60:$EQ$104,$B7,56)*FE7=1,IF(AND($E7=2,KT7=0),1000000,IF($I7&gt;0,IF(3=$J7,IF(OR(AND(56=$I7+1,OR($K7&lt;&gt;'計算A'!$A$3,'計算A'!$A$4=0)),AND(56=$I7-1,OR(8&lt;&gt;'計算A'!$A$3,'計算A'!$A$4=0))),0,IF(8=$K7,200000,ABS(8-$K7)*100)),100000+ABS(3-$J7)*1000+80)+'計算A'!BG$5*50+IF(AND($E7=1,KT7=0),25,0),INDEX('計算A'!BG$110:BG$114,$F7+1)+IF(AND($E7=1,KT7=0),1000,0)+IF($H7=1,(IF('計算A'!BF$117=1,INDEX('計算A'!BF$10:BF$54,$B7),0)+IF('計算A'!BG$117=1,INDEX('計算A'!BH$10:BH$54,$B7),0))*500,0)-IF(AND('計算A'!BF$117=1,WD7&gt;0),300,0)-IF(AND($L7=1,'計算A'!BG$117=1,FF7=0),300,0))),1000000))</f>
        <v/>
      </c>
      <c r="QJ7">
        <f>IF($B7=0,1000000,IF(INDEX('計算A'!$D$60:$EQ$104,$B7,57)*FF7=1,IF(AND($E7=2,KU7=0),1000000,IF($I7&gt;0,IF(3=$J7,IF(OR(AND(57=$I7+1,OR($K7&lt;&gt;'計算A'!$A$3,'計算A'!$A$4=0)),AND(57=$I7-1,OR(9&lt;&gt;'計算A'!$A$3,'計算A'!$A$4=0))),0,IF(9=$K7,200000,ABS(9-$K7)*100)),100000+ABS(3-$J7)*1000+90)+'計算A'!BH$5*50+IF(AND($E7=1,KU7=0),25,0),INDEX('計算A'!BH$110:BH$114,$F7+1)+IF(AND($E7=1,KU7=0),1000,0)+IF($H7=1,(IF('計算A'!BG$117=1,INDEX('計算A'!BG$10:BG$54,$B7),0)+IF('計算A'!BH$117=1,INDEX('計算A'!BI$10:BI$54,$B7),0))*500,0)-IF(AND('計算A'!BG$117=1,WE7&gt;0),300,0)-IF(AND($L7=1,'計算A'!BH$117=1,FG7=0),300,0))),1000000))</f>
        <v/>
      </c>
      <c r="QK7">
        <f>IF($B7=0,1000000,IF(INDEX('計算A'!$D$60:$EQ$104,$B7,58)*FG7=1,IF(AND($E7=2,KV7=0),1000000,IF($I7&gt;0,IF(3=$J7,IF(OR(AND(58=$I7+1,OR($K7&lt;&gt;'計算A'!$A$3,'計算A'!$A$4=0)),AND(58=$I7-1,OR(10&lt;&gt;'計算A'!$A$3,'計算A'!$A$4=0))),0,IF(10=$K7,200000,ABS(10-$K7)*100)),100000+ABS(3-$J7)*1000+100)+'計算A'!BI$5*50+IF(AND($E7=1,KV7=0),25,0),INDEX('計算A'!BI$110:BI$114,$F7+1)+IF(AND($E7=1,KV7=0),1000,0)+IF($H7=1,(IF('計算A'!BH$117=1,INDEX('計算A'!BH$10:BH$54,$B7),0)+IF('計算A'!BI$117=1,INDEX('計算A'!BJ$10:BJ$54,$B7),0))*500,0)-IF(AND('計算A'!BH$117=1,WF7&gt;0),300,0)-IF(AND($L7=1,'計算A'!BI$117=1,FH7=0),300,0))),1000000))</f>
        <v/>
      </c>
      <c r="QL7">
        <f>IF($B7=0,1000000,IF(INDEX('計算A'!$D$60:$EQ$104,$B7,59)*FH7=1,IF(AND($E7=2,KW7=0),1000000,IF($I7&gt;0,IF(3=$J7,IF(OR(AND(59=$I7+1,OR($K7&lt;&gt;'計算A'!$A$3,'計算A'!$A$4=0)),AND(59=$I7-1,OR(11&lt;&gt;'計算A'!$A$3,'計算A'!$A$4=0))),0,IF(11=$K7,200000,ABS(11-$K7)*100)),100000+ABS(3-$J7)*1000+110)+'計算A'!BJ$5*50+IF(AND($E7=1,KW7=0),25,0),INDEX('計算A'!BJ$110:BJ$114,$F7+1)+IF(AND($E7=1,KW7=0),1000,0)+IF($H7=1,(IF('計算A'!BI$117=1,INDEX('計算A'!BI$10:BI$54,$B7),0)+IF('計算A'!BJ$117=1,INDEX('計算A'!BK$10:BK$54,$B7),0))*500,0)-IF(AND('計算A'!BI$117=1,WG7&gt;0),300,0)-IF(AND($L7=1,'計算A'!BJ$117=1,FI7=0),300,0))),1000000))</f>
        <v/>
      </c>
      <c r="QM7">
        <f>IF($B7=0,1000000,IF(INDEX('計算A'!$D$60:$EQ$104,$B7,60)*FI7=1,IF(AND($E7=2,KX7=0),1000000,IF($I7&gt;0,IF(3=$J7,IF(OR(AND(60=$I7+1,OR($K7&lt;&gt;'計算A'!$A$3,'計算A'!$A$4=0)),AND(60=$I7-1,OR(12&lt;&gt;'計算A'!$A$3,'計算A'!$A$4=0))),0,IF(12=$K7,200000,ABS(12-$K7)*100)),100000+ABS(3-$J7)*1000+120)+'計算A'!BK$5*50+IF(AND($E7=1,KX7=0),25,0),INDEX('計算A'!BK$110:BK$114,$F7+1)+IF(AND($E7=1,KX7=0),1000,0)+IF($H7=1,(IF('計算A'!BJ$117=1,INDEX('計算A'!BJ$10:BJ$54,$B7),0)+IF('計算A'!BK$117=1,INDEX('計算A'!BL$10:BL$54,$B7),0))*500,0)-IF(AND('計算A'!BJ$117=1,WH7&gt;0),300,0)-IF(AND($L7=1,'計算A'!BK$117=1,FJ7=0),300,0))),1000000))</f>
        <v/>
      </c>
      <c r="QN7">
        <f>IF($B7=0,1000000,IF(INDEX('計算A'!$D$60:$EQ$104,$B7,61)*FJ7=1,IF(AND($E7=2,KY7=0),1000000,IF($I7&gt;0,IF(3=$J7,IF(OR(AND(61=$I7+1,OR($K7&lt;&gt;'計算A'!$A$3,'計算A'!$A$4=0)),AND(61=$I7-1,OR(13&lt;&gt;'計算A'!$A$3,'計算A'!$A$4=0))),0,IF(13=$K7,200000,ABS(13-$K7)*100)),100000+ABS(3-$J7)*1000+130)+'計算A'!BL$5*50+IF(AND($E7=1,KY7=0),25,0),INDEX('計算A'!BL$110:BL$114,$F7+1)+IF(AND($E7=1,KY7=0),1000,0)+IF($H7=1,(IF('計算A'!BK$117=1,INDEX('計算A'!BK$10:BK$54,$B7),0)+IF('計算A'!BL$117=1,INDEX('計算A'!BM$10:BM$54,$B7),0))*500,0)-IF(AND('計算A'!BK$117=1,WI7&gt;0),300,0)-IF(AND($L7=1,'計算A'!BL$117=1,FK7=0),300,0))),1000000))</f>
        <v/>
      </c>
      <c r="QO7">
        <f>IF($B7=0,1000000,IF(INDEX('計算A'!$D$60:$EQ$104,$B7,62)*FK7=1,IF(AND($E7=2,KZ7=0),1000000,IF($I7&gt;0,IF(3=$J7,IF(OR(AND(62=$I7+1,OR($K7&lt;&gt;'計算A'!$A$3,'計算A'!$A$4=0)),AND(62=$I7-1,OR(14&lt;&gt;'計算A'!$A$3,'計算A'!$A$4=0))),0,IF(14=$K7,200000,ABS(14-$K7)*100)),100000+ABS(3-$J7)*1000+140)+'計算A'!BM$5*50+IF(AND($E7=1,KZ7=0),25,0),INDEX('計算A'!BM$110:BM$114,$F7+1)+IF(AND($E7=1,KZ7=0),1000,0)+IF($H7=1,(IF('計算A'!BL$117=1,INDEX('計算A'!BL$10:BL$54,$B7),0)+IF('計算A'!BM$117=1,INDEX('計算A'!BN$10:BN$54,$B7),0))*500,0)-IF(AND('計算A'!BL$117=1,WJ7&gt;0),300,0)-IF(AND($L7=1,'計算A'!BM$117=1,FL7=0),300,0))),1000000))</f>
        <v/>
      </c>
      <c r="QP7">
        <f>IF($B7=0,1000000,IF(INDEX('計算A'!$D$60:$EQ$104,$B7,63)*FL7=1,IF(AND($E7=2,LA7=0),1000000,IF($I7&gt;0,IF(3=$J7,IF(OR(AND(63=$I7+1,OR($K7&lt;&gt;'計算A'!$A$3,'計算A'!$A$4=0)),AND(63=$I7-1,OR(15&lt;&gt;'計算A'!$A$3,'計算A'!$A$4=0))),0,IF(15=$K7,200000,ABS(15-$K7)*100)),100000+ABS(3-$J7)*1000+150)+'計算A'!BN$5*50+IF(AND($E7=1,LA7=0),25,0),INDEX('計算A'!BN$110:BN$114,$F7+1)+IF(AND($E7=1,LA7=0),1000,0)+IF($H7=1,(IF('計算A'!BM$117=1,INDEX('計算A'!BM$10:BM$54,$B7),0)+IF('計算A'!BN$117=1,INDEX('計算A'!BO$10:BO$54,$B7),0))*500,0)-IF(AND('計算A'!BM$117=1,WK7&gt;0),300,0)-IF(AND($L7=1,'計算A'!BN$117=1,FM7=0),300,0))),1000000))</f>
        <v/>
      </c>
      <c r="QQ7">
        <f>IF($B7=0,1000000,IF(INDEX('計算A'!$D$60:$EQ$104,$B7,64)*FM7=1,IF(AND($E7=2,LB7=0),1000000,IF($I7&gt;0,IF(3=$J7,IF(OR(AND(64=$I7+1,OR($K7&lt;&gt;'計算A'!$A$3,'計算A'!$A$4=0)),AND(64=$I7-1,OR(16&lt;&gt;'計算A'!$A$3,'計算A'!$A$4=0))),0,IF(16=$K7,200000,ABS(16-$K7)*100)),100000+ABS(3-$J7)*1000+160)+'計算A'!BO$5*50+IF(AND($E7=1,LB7=0),25,0),INDEX('計算A'!BO$110:BO$114,$F7+1)+IF(AND($E7=1,LB7=0),1000,0)+IF($H7=1,(IF('計算A'!BN$117=1,INDEX('計算A'!BN$10:BN$54,$B7),0)+IF('計算A'!BO$117=1,INDEX('計算A'!BP$10:BP$54,$B7),0))*500,0)-IF(AND('計算A'!BN$117=1,WL7&gt;0),300,0)-IF(AND($L7=1,'計算A'!BO$117=1,FN7=0),300,0))),1000000))</f>
        <v/>
      </c>
      <c r="QR7">
        <f>IF($B7=0,1000000,IF(INDEX('計算A'!$D$60:$EQ$104,$B7,65)*FN7=1,IF(AND($E7=2,LC7=0),1000000,IF($I7&gt;0,IF(3=$J7,IF(OR(AND(65=$I7+1,OR($K7&lt;&gt;'計算A'!$A$3,'計算A'!$A$4=0)),AND(65=$I7-1,OR(17&lt;&gt;'計算A'!$A$3,'計算A'!$A$4=0))),0,IF(17=$K7,200000,ABS(17-$K7)*100)),100000+ABS(3-$J7)*1000+170)+'計算A'!BP$5*50+IF(AND($E7=1,LC7=0),25,0),INDEX('計算A'!BP$110:BP$114,$F7+1)+IF(AND($E7=1,LC7=0),1000,0)+IF($H7=1,(IF('計算A'!BO$117=1,INDEX('計算A'!BO$10:BO$54,$B7),0)+IF('計算A'!BP$117=1,INDEX('計算A'!BQ$10:BQ$54,$B7),0))*500,0)-IF(AND('計算A'!BO$117=1,WM7&gt;0),300,0)-IF(AND($L7=1,'計算A'!BP$117=1,FO7=0),300,0))),1000000))</f>
        <v/>
      </c>
      <c r="QS7">
        <f>IF($B7=0,1000000,IF(INDEX('計算A'!$D$60:$EQ$104,$B7,66)*FO7=1,IF(AND($E7=2,LD7=0),1000000,IF($I7&gt;0,IF(3=$J7,IF(OR(AND(66=$I7+1,OR($K7&lt;&gt;'計算A'!$A$3,'計算A'!$A$4=0)),AND(66=$I7-1,OR(18&lt;&gt;'計算A'!$A$3,'計算A'!$A$4=0))),0,IF(18=$K7,200000,ABS(18-$K7)*100)),100000+ABS(3-$J7)*1000+180)+'計算A'!BQ$5*50+IF(AND($E7=1,LD7=0),25,0),INDEX('計算A'!BQ$110:BQ$114,$F7+1)+IF(AND($E7=1,LD7=0),1000,0)+IF($H7=1,(IF('計算A'!BP$117=1,INDEX('計算A'!BP$10:BP$54,$B7),0)+IF('計算A'!BQ$117=1,INDEX('計算A'!BR$10:BR$54,$B7),0))*500,0)-IF(AND('計算A'!BP$117=1,WN7&gt;0),300,0)-IF(AND($L7=1,'計算A'!BQ$117=1,FP7=0),300,0))),1000000))</f>
        <v/>
      </c>
      <c r="QT7">
        <f>IF($B7=0,1000000,IF(INDEX('計算A'!$D$60:$EQ$104,$B7,67)*FP7=1,IF(AND($E7=2,LE7=0),1000000,IF($I7&gt;0,IF(3=$J7,IF(OR(AND(67=$I7+1,OR($K7&lt;&gt;'計算A'!$A$3,'計算A'!$A$4=0)),AND(67=$I7-1,OR(19&lt;&gt;'計算A'!$A$3,'計算A'!$A$4=0))),0,IF(19=$K7,200000,ABS(19-$K7)*100)),100000+ABS(3-$J7)*1000+190)+'計算A'!BR$5*50+IF(AND($E7=1,LE7=0),25,0),INDEX('計算A'!BR$110:BR$114,$F7+1)+IF(AND($E7=1,LE7=0),1000,0)+IF($H7=1,(IF('計算A'!BQ$117=1,INDEX('計算A'!BQ$10:BQ$54,$B7),0)+IF('計算A'!BR$117=1,INDEX('計算A'!BS$10:BS$54,$B7),0))*500,0)-IF(AND('計算A'!BQ$117=1,WO7&gt;0),300,0)-IF(AND($L7=1,'計算A'!BR$117=1,FQ7=0),300,0))),1000000))</f>
        <v/>
      </c>
      <c r="QU7">
        <f>IF($B7=0,1000000,IF(INDEX('計算A'!$D$60:$EQ$104,$B7,68)*FQ7=1,IF(AND($E7=2,LF7=0),1000000,IF($I7&gt;0,IF(3=$J7,IF(OR(AND(68=$I7+1,OR($K7&lt;&gt;'計算A'!$A$3,'計算A'!$A$4=0)),AND(68=$I7-1,OR(20&lt;&gt;'計算A'!$A$3,'計算A'!$A$4=0))),0,IF(20=$K7,200000,ABS(20-$K7)*100)),100000+ABS(3-$J7)*1000+200)+'計算A'!BS$5*50+IF(AND($E7=1,LF7=0),25,0),INDEX('計算A'!BS$110:BS$114,$F7+1)+IF(AND($E7=1,LF7=0),1000,0)+IF($H7=1,(IF('計算A'!BR$117=1,INDEX('計算A'!BR$10:BR$54,$B7),0)+IF('計算A'!BS$117=1,INDEX('計算A'!BT$10:BT$54,$B7),0))*500,0)-IF(AND('計算A'!BR$117=1,WP7&gt;0),300,0)-IF(AND($L7=1,'計算A'!BS$117=1,FR7=0),300,0))),1000000))</f>
        <v/>
      </c>
      <c r="QV7">
        <f>IF($B7=0,1000000,IF(INDEX('計算A'!$D$60:$EQ$104,$B7,69)*FR7=1,IF(AND($E7=2,LG7=0),1000000,IF($I7&gt;0,IF(3=$J7,IF(OR(AND(69=$I7+1,OR($K7&lt;&gt;'計算A'!$A$3,'計算A'!$A$4=0)),AND(69=$I7-1,OR(21&lt;&gt;'計算A'!$A$3,'計算A'!$A$4=0))),0,IF(21=$K7,200000,ABS(21-$K7)*100)),100000+ABS(3-$J7)*1000+210)+'計算A'!BT$5*50+IF(AND($E7=1,LG7=0),25,0),INDEX('計算A'!BT$110:BT$114,$F7+1)+IF(AND($E7=1,LG7=0),1000,0)+IF($H7=1,(IF('計算A'!BS$117=1,INDEX('計算A'!BS$10:BS$54,$B7),0)+IF('計算A'!BT$117=1,INDEX('計算A'!BU$10:BU$54,$B7),0))*500,0)-IF(AND('計算A'!BS$117=1,WQ7&gt;0),300,0)-IF(AND($L7=1,'計算A'!BT$117=1,FS7=0),300,0))),1000000))</f>
        <v/>
      </c>
      <c r="QW7">
        <f>IF($B7=0,1000000,IF(INDEX('計算A'!$D$60:$EQ$104,$B7,70)*FS7=1,IF(AND($E7=2,LH7=0),1000000,IF($I7&gt;0,IF(3=$J7,IF(OR(AND(70=$I7+1,OR($K7&lt;&gt;'計算A'!$A$3,'計算A'!$A$4=0)),AND(70=$I7-1,OR(22&lt;&gt;'計算A'!$A$3,'計算A'!$A$4=0))),0,IF(22=$K7,200000,ABS(22-$K7)*100)),100000+ABS(3-$J7)*1000+220)+'計算A'!BU$5*50+IF(AND($E7=1,LH7=0),25,0),INDEX('計算A'!BU$110:BU$114,$F7+1)+IF(AND($E7=1,LH7=0),1000,0)+IF($H7=1,(IF('計算A'!BT$117=1,INDEX('計算A'!BT$10:BT$54,$B7),0)+IF('計算A'!BU$117=1,INDEX('計算A'!BV$10:BV$54,$B7),0))*500,0)-IF(AND('計算A'!BT$117=1,WR7&gt;0),300,0)-IF(AND($L7=1,'計算A'!BU$117=1,FT7=0),300,0))),1000000))</f>
        <v/>
      </c>
      <c r="QX7">
        <f>IF($B7=0,1000000,IF(INDEX('計算A'!$D$60:$EQ$104,$B7,71)*FT7=1,IF(AND($E7=2,LI7=0),1000000,IF($I7&gt;0,IF(3=$J7,IF(OR(AND(71=$I7+1,OR($K7&lt;&gt;'計算A'!$A$3,'計算A'!$A$4=0)),AND(71=$I7-1,OR(23&lt;&gt;'計算A'!$A$3,'計算A'!$A$4=0))),0,IF(23=$K7,200000,ABS(23-$K7)*100)),100000+ABS(3-$J7)*1000+230)+'計算A'!BV$5*50+IF(AND($E7=1,LI7=0),25,0),INDEX('計算A'!BV$110:BV$114,$F7+1)+IF(AND($E7=1,LI7=0),1000,0)+IF($H7=1,(IF('計算A'!BU$117=1,INDEX('計算A'!BU$10:BU$54,$B7),0)+IF('計算A'!BV$117=1,INDEX('計算A'!BW$10:BW$54,$B7),0))*500,0)-IF(AND('計算A'!BU$117=1,WS7&gt;0),300,0)-IF(AND($L7=1,'計算A'!BV$117=1,FU7=0),300,0))),1000000))</f>
        <v/>
      </c>
      <c r="QY7">
        <f>IF($B7=0,1000000,IF(INDEX('計算A'!$D$60:$EQ$104,$B7,72)*FU7=1,IF(AND($E7=2,LJ7=0),1000000,IF($I7&gt;0,IF(3=$J7,IF(OR(AND(72=$I7+1,OR($K7&lt;&gt;'計算A'!$A$3,'計算A'!$A$4=0)),AND(72=$I7-1,OR(24&lt;&gt;'計算A'!$A$3,'計算A'!$A$4=0))),0,IF(24=$K7,200000,ABS(24-$K7)*100)),100000+ABS(3-$J7)*1000+240)+'計算A'!BW$5*50+IF(AND($E7=1,LJ7=0),25,0),INDEX('計算A'!BW$110:BW$114,$F7+1)+IF(AND($E7=1,LJ7=0),1000,0)+IF($H7=1,(IF('計算A'!BV$117=1,INDEX('計算A'!BV$10:BV$54,$B7),0))*500,0)-IF(AND('計算A'!BV$117=1,WT7&gt;0),300,0))),1000000))</f>
        <v/>
      </c>
      <c r="QZ7">
        <f>IF($B7=0,1000000,IF(INDEX('計算A'!$D$60:$EQ$104,$B7,73)*FV7=1,IF(AND($E7=2,LK7=0),1000000,IF($I7&gt;0,IF(4=$J7,IF(OR(AND(73=$I7+1,OR($K7&lt;&gt;'計算A'!$A$3,'計算A'!$A$4=0)),AND(73=$I7-1,OR(1&lt;&gt;'計算A'!$A$3,'計算A'!$A$4=0))),0,IF(1=$K7,200000,ABS(1-$K7)*100)),100000+ABS(4-$J7)*1000+10)+'計算A'!BX$5*50+IF(AND($E7=1,LK7=0),25,0),INDEX('計算A'!BX$110:BX$114,$F7+1)+IF(AND($E7=1,LK7=0),1000,0)+IF($H7=1,(IF('計算A'!BX$117=1,INDEX('計算A'!BY$10:BY$54,$B7),0))*500,0)-IF(AND($L7=1,'計算A'!BX$117=1,FW7=0),300,0))),1000000))</f>
        <v/>
      </c>
      <c r="RA7">
        <f>IF($B7=0,1000000,IF(INDEX('計算A'!$D$60:$EQ$104,$B7,74)*FW7=1,IF(AND($E7=2,LL7=0),1000000,IF($I7&gt;0,IF(4=$J7,IF(OR(AND(74=$I7+1,OR($K7&lt;&gt;'計算A'!$A$3,'計算A'!$A$4=0)),AND(74=$I7-1,OR(2&lt;&gt;'計算A'!$A$3,'計算A'!$A$4=0))),0,IF(2=$K7,200000,ABS(2-$K7)*100)),100000+ABS(4-$J7)*1000+20)+'計算A'!BY$5*50+IF(AND($E7=1,LL7=0),25,0),INDEX('計算A'!BY$110:BY$114,$F7+1)+IF(AND($E7=1,LL7=0),1000,0)+IF($H7=1,(IF('計算A'!BX$117=1,INDEX('計算A'!BX$10:BX$54,$B7),0)+IF('計算A'!BY$117=1,INDEX('計算A'!BZ$10:BZ$54,$B7),0))*500,0)-IF(AND('計算A'!BX$117=1,WV7&gt;0),300,0)-IF(AND($L7=1,'計算A'!BY$117=1,FX7=0),300,0))),1000000))</f>
        <v/>
      </c>
      <c r="RB7">
        <f>IF($B7=0,1000000,IF(INDEX('計算A'!$D$60:$EQ$104,$B7,75)*FX7=1,IF(AND($E7=2,LM7=0),1000000,IF($I7&gt;0,IF(4=$J7,IF(OR(AND(75=$I7+1,OR($K7&lt;&gt;'計算A'!$A$3,'計算A'!$A$4=0)),AND(75=$I7-1,OR(3&lt;&gt;'計算A'!$A$3,'計算A'!$A$4=0))),0,IF(3=$K7,200000,ABS(3-$K7)*100)),100000+ABS(4-$J7)*1000+30)+'計算A'!BZ$5*50+IF(AND($E7=1,LM7=0),25,0),INDEX('計算A'!BZ$110:BZ$114,$F7+1)+IF(AND($E7=1,LM7=0),1000,0)+IF($H7=1,(IF('計算A'!BY$117=1,INDEX('計算A'!BY$10:BY$54,$B7),0)+IF('計算A'!BZ$117=1,INDEX('計算A'!CA$10:CA$54,$B7),0))*500,0)-IF(AND('計算A'!BY$117=1,WW7&gt;0),300,0)-IF(AND($L7=1,'計算A'!BZ$117=1,FY7=0),300,0))),1000000))</f>
        <v/>
      </c>
      <c r="RC7">
        <f>IF($B7=0,1000000,IF(INDEX('計算A'!$D$60:$EQ$104,$B7,76)*FY7=1,IF(AND($E7=2,LN7=0),1000000,IF($I7&gt;0,IF(4=$J7,IF(OR(AND(76=$I7+1,OR($K7&lt;&gt;'計算A'!$A$3,'計算A'!$A$4=0)),AND(76=$I7-1,OR(4&lt;&gt;'計算A'!$A$3,'計算A'!$A$4=0))),0,IF(4=$K7,200000,ABS(4-$K7)*100)),100000+ABS(4-$J7)*1000+40)+'計算A'!CA$5*50+IF(AND($E7=1,LN7=0),25,0),INDEX('計算A'!CA$110:CA$114,$F7+1)+IF(AND($E7=1,LN7=0),1000,0)+IF($H7=1,(IF('計算A'!BZ$117=1,INDEX('計算A'!BZ$10:BZ$54,$B7),0)+IF('計算A'!CA$117=1,INDEX('計算A'!CB$10:CB$54,$B7),0))*500,0)-IF(AND('計算A'!BZ$117=1,WX7&gt;0),300,0)-IF(AND($L7=1,'計算A'!CA$117=1,FZ7=0),300,0))),1000000))</f>
        <v/>
      </c>
      <c r="RD7">
        <f>IF($B7=0,1000000,IF(INDEX('計算A'!$D$60:$EQ$104,$B7,77)*FZ7=1,IF(AND($E7=2,LO7=0),1000000,IF($I7&gt;0,IF(4=$J7,IF(OR(AND(77=$I7+1,OR($K7&lt;&gt;'計算A'!$A$3,'計算A'!$A$4=0)),AND(77=$I7-1,OR(5&lt;&gt;'計算A'!$A$3,'計算A'!$A$4=0))),0,IF(5=$K7,200000,ABS(5-$K7)*100)),100000+ABS(4-$J7)*1000+50)+'計算A'!CB$5*50+IF(AND($E7=1,LO7=0),25,0),INDEX('計算A'!CB$110:CB$114,$F7+1)+IF(AND($E7=1,LO7=0),1000,0)+IF($H7=1,(IF('計算A'!CA$117=1,INDEX('計算A'!CA$10:CA$54,$B7),0)+IF('計算A'!CB$117=1,INDEX('計算A'!CC$10:CC$54,$B7),0))*500,0)-IF(AND('計算A'!CA$117=1,WY7&gt;0),300,0)-IF(AND($L7=1,'計算A'!CB$117=1,GA7=0),300,0))),1000000))</f>
        <v/>
      </c>
      <c r="RE7">
        <f>IF($B7=0,1000000,IF(INDEX('計算A'!$D$60:$EQ$104,$B7,78)*GA7=1,IF(AND($E7=2,LP7=0),1000000,IF($I7&gt;0,IF(4=$J7,IF(OR(AND(78=$I7+1,OR($K7&lt;&gt;'計算A'!$A$3,'計算A'!$A$4=0)),AND(78=$I7-1,OR(6&lt;&gt;'計算A'!$A$3,'計算A'!$A$4=0))),0,IF(6=$K7,200000,ABS(6-$K7)*100)),100000+ABS(4-$J7)*1000+60)+'計算A'!CC$5*50+IF(AND($E7=1,LP7=0),25,0),INDEX('計算A'!CC$110:CC$114,$F7+1)+IF(AND($E7=1,LP7=0),1000,0)+IF($H7=1,(IF('計算A'!CB$117=1,INDEX('計算A'!CB$10:CB$54,$B7),0)+IF('計算A'!CC$117=1,INDEX('計算A'!CD$10:CD$54,$B7),0))*500,0)-IF(AND('計算A'!CB$117=1,WZ7&gt;0),300,0)-IF(AND($L7=1,'計算A'!CC$117=1,GB7=0),300,0))),1000000))</f>
        <v/>
      </c>
      <c r="RF7">
        <f>IF($B7=0,1000000,IF(INDEX('計算A'!$D$60:$EQ$104,$B7,79)*GB7=1,IF(AND($E7=2,LQ7=0),1000000,IF($I7&gt;0,IF(4=$J7,IF(OR(AND(79=$I7+1,OR($K7&lt;&gt;'計算A'!$A$3,'計算A'!$A$4=0)),AND(79=$I7-1,OR(7&lt;&gt;'計算A'!$A$3,'計算A'!$A$4=0))),0,IF(7=$K7,200000,ABS(7-$K7)*100)),100000+ABS(4-$J7)*1000+70)+'計算A'!CD$5*50+IF(AND($E7=1,LQ7=0),25,0),INDEX('計算A'!CD$110:CD$114,$F7+1)+IF(AND($E7=1,LQ7=0),1000,0)+IF($H7=1,(IF('計算A'!CC$117=1,INDEX('計算A'!CC$10:CC$54,$B7),0)+IF('計算A'!CD$117=1,INDEX('計算A'!CE$10:CE$54,$B7),0))*500,0)-IF(AND('計算A'!CC$117=1,XA7&gt;0),300,0)-IF(AND($L7=1,'計算A'!CD$117=1,GC7=0),300,0))),1000000))</f>
        <v/>
      </c>
      <c r="RG7">
        <f>IF($B7=0,1000000,IF(INDEX('計算A'!$D$60:$EQ$104,$B7,80)*GC7=1,IF(AND($E7=2,LR7=0),1000000,IF($I7&gt;0,IF(4=$J7,IF(OR(AND(80=$I7+1,OR($K7&lt;&gt;'計算A'!$A$3,'計算A'!$A$4=0)),AND(80=$I7-1,OR(8&lt;&gt;'計算A'!$A$3,'計算A'!$A$4=0))),0,IF(8=$K7,200000,ABS(8-$K7)*100)),100000+ABS(4-$J7)*1000+80)+'計算A'!CE$5*50+IF(AND($E7=1,LR7=0),25,0),INDEX('計算A'!CE$110:CE$114,$F7+1)+IF(AND($E7=1,LR7=0),1000,0)+IF($H7=1,(IF('計算A'!CD$117=1,INDEX('計算A'!CD$10:CD$54,$B7),0)+IF('計算A'!CE$117=1,INDEX('計算A'!CF$10:CF$54,$B7),0))*500,0)-IF(AND('計算A'!CD$117=1,XB7&gt;0),300,0)-IF(AND($L7=1,'計算A'!CE$117=1,GD7=0),300,0))),1000000))</f>
        <v/>
      </c>
      <c r="RH7">
        <f>IF($B7=0,1000000,IF(INDEX('計算A'!$D$60:$EQ$104,$B7,81)*GD7=1,IF(AND($E7=2,LS7=0),1000000,IF($I7&gt;0,IF(4=$J7,IF(OR(AND(81=$I7+1,OR($K7&lt;&gt;'計算A'!$A$3,'計算A'!$A$4=0)),AND(81=$I7-1,OR(9&lt;&gt;'計算A'!$A$3,'計算A'!$A$4=0))),0,IF(9=$K7,200000,ABS(9-$K7)*100)),100000+ABS(4-$J7)*1000+90)+'計算A'!CF$5*50+IF(AND($E7=1,LS7=0),25,0),INDEX('計算A'!CF$110:CF$114,$F7+1)+IF(AND($E7=1,LS7=0),1000,0)+IF($H7=1,(IF('計算A'!CE$117=1,INDEX('計算A'!CE$10:CE$54,$B7),0)+IF('計算A'!CF$117=1,INDEX('計算A'!CG$10:CG$54,$B7),0))*500,0)-IF(AND('計算A'!CE$117=1,XC7&gt;0),300,0)-IF(AND($L7=1,'計算A'!CF$117=1,GE7=0),300,0))),1000000))</f>
        <v/>
      </c>
      <c r="RI7">
        <f>IF($B7=0,1000000,IF(INDEX('計算A'!$D$60:$EQ$104,$B7,82)*GE7=1,IF(AND($E7=2,LT7=0),1000000,IF($I7&gt;0,IF(4=$J7,IF(OR(AND(82=$I7+1,OR($K7&lt;&gt;'計算A'!$A$3,'計算A'!$A$4=0)),AND(82=$I7-1,OR(10&lt;&gt;'計算A'!$A$3,'計算A'!$A$4=0))),0,IF(10=$K7,200000,ABS(10-$K7)*100)),100000+ABS(4-$J7)*1000+100)+'計算A'!CG$5*50+IF(AND($E7=1,LT7=0),25,0),INDEX('計算A'!CG$110:CG$114,$F7+1)+IF(AND($E7=1,LT7=0),1000,0)+IF($H7=1,(IF('計算A'!CF$117=1,INDEX('計算A'!CF$10:CF$54,$B7),0)+IF('計算A'!CG$117=1,INDEX('計算A'!CH$10:CH$54,$B7),0))*500,0)-IF(AND('計算A'!CF$117=1,XD7&gt;0),300,0)-IF(AND($L7=1,'計算A'!CG$117=1,GF7=0),300,0))),1000000))</f>
        <v/>
      </c>
      <c r="RJ7">
        <f>IF($B7=0,1000000,IF(INDEX('計算A'!$D$60:$EQ$104,$B7,83)*GF7=1,IF(AND($E7=2,LU7=0),1000000,IF($I7&gt;0,IF(4=$J7,IF(OR(AND(83=$I7+1,OR($K7&lt;&gt;'計算A'!$A$3,'計算A'!$A$4=0)),AND(83=$I7-1,OR(11&lt;&gt;'計算A'!$A$3,'計算A'!$A$4=0))),0,IF(11=$K7,200000,ABS(11-$K7)*100)),100000+ABS(4-$J7)*1000+110)+'計算A'!CH$5*50+IF(AND($E7=1,LU7=0),25,0),INDEX('計算A'!CH$110:CH$114,$F7+1)+IF(AND($E7=1,LU7=0),1000,0)+IF($H7=1,(IF('計算A'!CG$117=1,INDEX('計算A'!CG$10:CG$54,$B7),0)+IF('計算A'!CH$117=1,INDEX('計算A'!CI$10:CI$54,$B7),0))*500,0)-IF(AND('計算A'!CG$117=1,XE7&gt;0),300,0)-IF(AND($L7=1,'計算A'!CH$117=1,GG7=0),300,0))),1000000))</f>
        <v/>
      </c>
      <c r="RK7">
        <f>IF($B7=0,1000000,IF(INDEX('計算A'!$D$60:$EQ$104,$B7,84)*GG7=1,IF(AND($E7=2,LV7=0),1000000,IF($I7&gt;0,IF(4=$J7,IF(OR(AND(84=$I7+1,OR($K7&lt;&gt;'計算A'!$A$3,'計算A'!$A$4=0)),AND(84=$I7-1,OR(12&lt;&gt;'計算A'!$A$3,'計算A'!$A$4=0))),0,IF(12=$K7,200000,ABS(12-$K7)*100)),100000+ABS(4-$J7)*1000+120)+'計算A'!CI$5*50+IF(AND($E7=1,LV7=0),25,0),INDEX('計算A'!CI$110:CI$114,$F7+1)+IF(AND($E7=1,LV7=0),1000,0)+IF($H7=1,(IF('計算A'!CH$117=1,INDEX('計算A'!CH$10:CH$54,$B7),0)+IF('計算A'!CI$117=1,INDEX('計算A'!CJ$10:CJ$54,$B7),0))*500,0)-IF(AND('計算A'!CH$117=1,XF7&gt;0),300,0)-IF(AND($L7=1,'計算A'!CI$117=1,GH7=0),300,0))),1000000))</f>
        <v/>
      </c>
      <c r="RL7">
        <f>IF($B7=0,1000000,IF(INDEX('計算A'!$D$60:$EQ$104,$B7,85)*GH7=1,IF(AND($E7=2,LW7=0),1000000,IF($I7&gt;0,IF(4=$J7,IF(OR(AND(85=$I7+1,OR($K7&lt;&gt;'計算A'!$A$3,'計算A'!$A$4=0)),AND(85=$I7-1,OR(13&lt;&gt;'計算A'!$A$3,'計算A'!$A$4=0))),0,IF(13=$K7,200000,ABS(13-$K7)*100)),100000+ABS(4-$J7)*1000+130)+'計算A'!CJ$5*50+IF(AND($E7=1,LW7=0),25,0),INDEX('計算A'!CJ$110:CJ$114,$F7+1)+IF(AND($E7=1,LW7=0),1000,0)+IF($H7=1,(IF('計算A'!CI$117=1,INDEX('計算A'!CI$10:CI$54,$B7),0)+IF('計算A'!CJ$117=1,INDEX('計算A'!CK$10:CK$54,$B7),0))*500,0)-IF(AND('計算A'!CI$117=1,XG7&gt;0),300,0)-IF(AND($L7=1,'計算A'!CJ$117=1,GI7=0),300,0))),1000000))</f>
        <v/>
      </c>
      <c r="RM7">
        <f>IF($B7=0,1000000,IF(INDEX('計算A'!$D$60:$EQ$104,$B7,86)*GI7=1,IF(AND($E7=2,LX7=0),1000000,IF($I7&gt;0,IF(4=$J7,IF(OR(AND(86=$I7+1,OR($K7&lt;&gt;'計算A'!$A$3,'計算A'!$A$4=0)),AND(86=$I7-1,OR(14&lt;&gt;'計算A'!$A$3,'計算A'!$A$4=0))),0,IF(14=$K7,200000,ABS(14-$K7)*100)),100000+ABS(4-$J7)*1000+140)+'計算A'!CK$5*50+IF(AND($E7=1,LX7=0),25,0),INDEX('計算A'!CK$110:CK$114,$F7+1)+IF(AND($E7=1,LX7=0),1000,0)+IF($H7=1,(IF('計算A'!CJ$117=1,INDEX('計算A'!CJ$10:CJ$54,$B7),0)+IF('計算A'!CK$117=1,INDEX('計算A'!CL$10:CL$54,$B7),0))*500,0)-IF(AND('計算A'!CJ$117=1,XH7&gt;0),300,0)-IF(AND($L7=1,'計算A'!CK$117=1,GJ7=0),300,0))),1000000))</f>
        <v/>
      </c>
      <c r="RN7">
        <f>IF($B7=0,1000000,IF(INDEX('計算A'!$D$60:$EQ$104,$B7,87)*GJ7=1,IF(AND($E7=2,LY7=0),1000000,IF($I7&gt;0,IF(4=$J7,IF(OR(AND(87=$I7+1,OR($K7&lt;&gt;'計算A'!$A$3,'計算A'!$A$4=0)),AND(87=$I7-1,OR(15&lt;&gt;'計算A'!$A$3,'計算A'!$A$4=0))),0,IF(15=$K7,200000,ABS(15-$K7)*100)),100000+ABS(4-$J7)*1000+150)+'計算A'!CL$5*50+IF(AND($E7=1,LY7=0),25,0),INDEX('計算A'!CL$110:CL$114,$F7+1)+IF(AND($E7=1,LY7=0),1000,0)+IF($H7=1,(IF('計算A'!CK$117=1,INDEX('計算A'!CK$10:CK$54,$B7),0)+IF('計算A'!CL$117=1,INDEX('計算A'!CM$10:CM$54,$B7),0))*500,0)-IF(AND('計算A'!CK$117=1,XI7&gt;0),300,0)-IF(AND($L7=1,'計算A'!CL$117=1,GK7=0),300,0))),1000000))</f>
        <v/>
      </c>
      <c r="RO7">
        <f>IF($B7=0,1000000,IF(INDEX('計算A'!$D$60:$EQ$104,$B7,88)*GK7=1,IF(AND($E7=2,LZ7=0),1000000,IF($I7&gt;0,IF(4=$J7,IF(OR(AND(88=$I7+1,OR($K7&lt;&gt;'計算A'!$A$3,'計算A'!$A$4=0)),AND(88=$I7-1,OR(16&lt;&gt;'計算A'!$A$3,'計算A'!$A$4=0))),0,IF(16=$K7,200000,ABS(16-$K7)*100)),100000+ABS(4-$J7)*1000+160)+'計算A'!CM$5*50+IF(AND($E7=1,LZ7=0),25,0),INDEX('計算A'!CM$110:CM$114,$F7+1)+IF(AND($E7=1,LZ7=0),1000,0)+IF($H7=1,(IF('計算A'!CL$117=1,INDEX('計算A'!CL$10:CL$54,$B7),0)+IF('計算A'!CM$117=1,INDEX('計算A'!CN$10:CN$54,$B7),0))*500,0)-IF(AND('計算A'!CL$117=1,XJ7&gt;0),300,0)-IF(AND($L7=1,'計算A'!CM$117=1,GL7=0),300,0))),1000000))</f>
        <v/>
      </c>
      <c r="RP7">
        <f>IF($B7=0,1000000,IF(INDEX('計算A'!$D$60:$EQ$104,$B7,89)*GL7=1,IF(AND($E7=2,MA7=0),1000000,IF($I7&gt;0,IF(4=$J7,IF(OR(AND(89=$I7+1,OR($K7&lt;&gt;'計算A'!$A$3,'計算A'!$A$4=0)),AND(89=$I7-1,OR(17&lt;&gt;'計算A'!$A$3,'計算A'!$A$4=0))),0,IF(17=$K7,200000,ABS(17-$K7)*100)),100000+ABS(4-$J7)*1000+170)+'計算A'!CN$5*50+IF(AND($E7=1,MA7=0),25,0),INDEX('計算A'!CN$110:CN$114,$F7+1)+IF(AND($E7=1,MA7=0),1000,0)+IF($H7=1,(IF('計算A'!CM$117=1,INDEX('計算A'!CM$10:CM$54,$B7),0)+IF('計算A'!CN$117=1,INDEX('計算A'!CO$10:CO$54,$B7),0))*500,0)-IF(AND('計算A'!CM$117=1,XK7&gt;0),300,0)-IF(AND($L7=1,'計算A'!CN$117=1,GM7=0),300,0))),1000000))</f>
        <v/>
      </c>
      <c r="RQ7">
        <f>IF($B7=0,1000000,IF(INDEX('計算A'!$D$60:$EQ$104,$B7,90)*GM7=1,IF(AND($E7=2,MB7=0),1000000,IF($I7&gt;0,IF(4=$J7,IF(OR(AND(90=$I7+1,OR($K7&lt;&gt;'計算A'!$A$3,'計算A'!$A$4=0)),AND(90=$I7-1,OR(18&lt;&gt;'計算A'!$A$3,'計算A'!$A$4=0))),0,IF(18=$K7,200000,ABS(18-$K7)*100)),100000+ABS(4-$J7)*1000+180)+'計算A'!CO$5*50+IF(AND($E7=1,MB7=0),25,0),INDEX('計算A'!CO$110:CO$114,$F7+1)+IF(AND($E7=1,MB7=0),1000,0)+IF($H7=1,(IF('計算A'!CN$117=1,INDEX('計算A'!CN$10:CN$54,$B7),0)+IF('計算A'!CO$117=1,INDEX('計算A'!CP$10:CP$54,$B7),0))*500,0)-IF(AND('計算A'!CN$117=1,XL7&gt;0),300,0)-IF(AND($L7=1,'計算A'!CO$117=1,GN7=0),300,0))),1000000))</f>
        <v/>
      </c>
      <c r="RR7">
        <f>IF($B7=0,1000000,IF(INDEX('計算A'!$D$60:$EQ$104,$B7,91)*GN7=1,IF(AND($E7=2,MC7=0),1000000,IF($I7&gt;0,IF(4=$J7,IF(OR(AND(91=$I7+1,OR($K7&lt;&gt;'計算A'!$A$3,'計算A'!$A$4=0)),AND(91=$I7-1,OR(19&lt;&gt;'計算A'!$A$3,'計算A'!$A$4=0))),0,IF(19=$K7,200000,ABS(19-$K7)*100)),100000+ABS(4-$J7)*1000+190)+'計算A'!CP$5*50+IF(AND($E7=1,MC7=0),25,0),INDEX('計算A'!CP$110:CP$114,$F7+1)+IF(AND($E7=1,MC7=0),1000,0)+IF($H7=1,(IF('計算A'!CO$117=1,INDEX('計算A'!CO$10:CO$54,$B7),0)+IF('計算A'!CP$117=1,INDEX('計算A'!CQ$10:CQ$54,$B7),0))*500,0)-IF(AND('計算A'!CO$117=1,XM7&gt;0),300,0)-IF(AND($L7=1,'計算A'!CP$117=1,GO7=0),300,0))),1000000))</f>
        <v/>
      </c>
      <c r="RS7">
        <f>IF($B7=0,1000000,IF(INDEX('計算A'!$D$60:$EQ$104,$B7,92)*GO7=1,IF(AND($E7=2,MD7=0),1000000,IF($I7&gt;0,IF(4=$J7,IF(OR(AND(92=$I7+1,OR($K7&lt;&gt;'計算A'!$A$3,'計算A'!$A$4=0)),AND(92=$I7-1,OR(20&lt;&gt;'計算A'!$A$3,'計算A'!$A$4=0))),0,IF(20=$K7,200000,ABS(20-$K7)*100)),100000+ABS(4-$J7)*1000+200)+'計算A'!CQ$5*50+IF(AND($E7=1,MD7=0),25,0),INDEX('計算A'!CQ$110:CQ$114,$F7+1)+IF(AND($E7=1,MD7=0),1000,0)+IF($H7=1,(IF('計算A'!CP$117=1,INDEX('計算A'!CP$10:CP$54,$B7),0)+IF('計算A'!CQ$117=1,INDEX('計算A'!CR$10:CR$54,$B7),0))*500,0)-IF(AND('計算A'!CP$117=1,XN7&gt;0),300,0)-IF(AND($L7=1,'計算A'!CQ$117=1,GP7=0),300,0))),1000000))</f>
        <v/>
      </c>
      <c r="RT7">
        <f>IF($B7=0,1000000,IF(INDEX('計算A'!$D$60:$EQ$104,$B7,93)*GP7=1,IF(AND($E7=2,ME7=0),1000000,IF($I7&gt;0,IF(4=$J7,IF(OR(AND(93=$I7+1,OR($K7&lt;&gt;'計算A'!$A$3,'計算A'!$A$4=0)),AND(93=$I7-1,OR(21&lt;&gt;'計算A'!$A$3,'計算A'!$A$4=0))),0,IF(21=$K7,200000,ABS(21-$K7)*100)),100000+ABS(4-$J7)*1000+210)+'計算A'!CR$5*50+IF(AND($E7=1,ME7=0),25,0),INDEX('計算A'!CR$110:CR$114,$F7+1)+IF(AND($E7=1,ME7=0),1000,0)+IF($H7=1,(IF('計算A'!CQ$117=1,INDEX('計算A'!CQ$10:CQ$54,$B7),0)+IF('計算A'!CR$117=1,INDEX('計算A'!CS$10:CS$54,$B7),0))*500,0)-IF(AND('計算A'!CQ$117=1,XO7&gt;0),300,0)-IF(AND($L7=1,'計算A'!CR$117=1,GQ7=0),300,0))),1000000))</f>
        <v/>
      </c>
      <c r="RU7">
        <f>IF($B7=0,1000000,IF(INDEX('計算A'!$D$60:$EQ$104,$B7,94)*GQ7=1,IF(AND($E7=2,MF7=0),1000000,IF($I7&gt;0,IF(4=$J7,IF(OR(AND(94=$I7+1,OR($K7&lt;&gt;'計算A'!$A$3,'計算A'!$A$4=0)),AND(94=$I7-1,OR(22&lt;&gt;'計算A'!$A$3,'計算A'!$A$4=0))),0,IF(22=$K7,200000,ABS(22-$K7)*100)),100000+ABS(4-$J7)*1000+220)+'計算A'!CS$5*50+IF(AND($E7=1,MF7=0),25,0),INDEX('計算A'!CS$110:CS$114,$F7+1)+IF(AND($E7=1,MF7=0),1000,0)+IF($H7=1,(IF('計算A'!CR$117=1,INDEX('計算A'!CR$10:CR$54,$B7),0)+IF('計算A'!CS$117=1,INDEX('計算A'!CT$10:CT$54,$B7),0))*500,0)-IF(AND('計算A'!CR$117=1,XP7&gt;0),300,0)-IF(AND($L7=1,'計算A'!CS$117=1,GR7=0),300,0))),1000000))</f>
        <v/>
      </c>
      <c r="RV7">
        <f>IF($B7=0,1000000,IF(INDEX('計算A'!$D$60:$EQ$104,$B7,95)*GR7=1,IF(AND($E7=2,MG7=0),1000000,IF($I7&gt;0,IF(4=$J7,IF(OR(AND(95=$I7+1,OR($K7&lt;&gt;'計算A'!$A$3,'計算A'!$A$4=0)),AND(95=$I7-1,OR(23&lt;&gt;'計算A'!$A$3,'計算A'!$A$4=0))),0,IF(23=$K7,200000,ABS(23-$K7)*100)),100000+ABS(4-$J7)*1000+230)+'計算A'!CT$5*50+IF(AND($E7=1,MG7=0),25,0),INDEX('計算A'!CT$110:CT$114,$F7+1)+IF(AND($E7=1,MG7=0),1000,0)+IF($H7=1,(IF('計算A'!CS$117=1,INDEX('計算A'!CS$10:CS$54,$B7),0)+IF('計算A'!CT$117=1,INDEX('計算A'!CU$10:CU$54,$B7),0))*500,0)-IF(AND('計算A'!CS$117=1,XQ7&gt;0),300,0)-IF(AND($L7=1,'計算A'!CT$117=1,GS7=0),300,0))),1000000))</f>
        <v/>
      </c>
      <c r="RW7">
        <f>IF($B7=0,1000000,IF(INDEX('計算A'!$D$60:$EQ$104,$B7,96)*GS7=1,IF(AND($E7=2,MH7=0),1000000,IF($I7&gt;0,IF(4=$J7,IF(OR(AND(96=$I7+1,OR($K7&lt;&gt;'計算A'!$A$3,'計算A'!$A$4=0)),AND(96=$I7-1,OR(24&lt;&gt;'計算A'!$A$3,'計算A'!$A$4=0))),0,IF(24=$K7,200000,ABS(24-$K7)*100)),100000+ABS(4-$J7)*1000+240)+'計算A'!CU$5*50+IF(AND($E7=1,MH7=0),25,0),INDEX('計算A'!CU$110:CU$114,$F7+1)+IF(AND($E7=1,MH7=0),1000,0)+IF($H7=1,(IF('計算A'!CT$117=1,INDEX('計算A'!CT$10:CT$54,$B7),0))*500,0)-IF(AND('計算A'!CT$117=1,XR7&gt;0),300,0))),1000000))</f>
        <v/>
      </c>
      <c r="RX7">
        <f>IF($B7=0,1000000,IF(INDEX('計算A'!$D$60:$EQ$104,$B7,97)*GT7=1,IF(AND($E7=2,MI7=0),1000000,IF($I7&gt;0,IF(5=$J7,IF(OR(AND(97=$I7+1,OR($K7&lt;&gt;'計算A'!$A$3,'計算A'!$A$4=0)),AND(97=$I7-1,OR(1&lt;&gt;'計算A'!$A$3,'計算A'!$A$4=0))),0,IF(1=$K7,200000,ABS(1-$K7)*100)),100000+ABS(5-$J7)*1000+10)+'計算A'!CV$5*50+IF(AND($E7=1,MI7=0),25,0),INDEX('計算A'!CV$110:CV$114,$F7+1)+IF(AND($E7=1,MI7=0),1000,0)+IF($H7=1,(IF('計算A'!CV$117=1,INDEX('計算A'!CW$10:CW$54,$B7),0))*500,0)-IF(AND($L7=1,'計算A'!CV$117=1,GU7=0),300,0))),1000000))</f>
        <v/>
      </c>
      <c r="RY7">
        <f>IF($B7=0,1000000,IF(INDEX('計算A'!$D$60:$EQ$104,$B7,98)*GU7=1,IF(AND($E7=2,MJ7=0),1000000,IF($I7&gt;0,IF(5=$J7,IF(OR(AND(98=$I7+1,OR($K7&lt;&gt;'計算A'!$A$3,'計算A'!$A$4=0)),AND(98=$I7-1,OR(2&lt;&gt;'計算A'!$A$3,'計算A'!$A$4=0))),0,IF(2=$K7,200000,ABS(2-$K7)*100)),100000+ABS(5-$J7)*1000+20)+'計算A'!CW$5*50+IF(AND($E7=1,MJ7=0),25,0),INDEX('計算A'!CW$110:CW$114,$F7+1)+IF(AND($E7=1,MJ7=0),1000,0)+IF($H7=1,(IF('計算A'!CV$117=1,INDEX('計算A'!CV$10:CV$54,$B7),0)+IF('計算A'!CW$117=1,INDEX('計算A'!CX$10:CX$54,$B7),0))*500,0)-IF(AND('計算A'!CV$117=1,XT7&gt;0),300,0)-IF(AND($L7=1,'計算A'!CW$117=1,GV7=0),300,0))),1000000))</f>
        <v/>
      </c>
      <c r="RZ7">
        <f>IF($B7=0,1000000,IF(INDEX('計算A'!$D$60:$EQ$104,$B7,99)*GV7=1,IF(AND($E7=2,MK7=0),1000000,IF($I7&gt;0,IF(5=$J7,IF(OR(AND(99=$I7+1,OR($K7&lt;&gt;'計算A'!$A$3,'計算A'!$A$4=0)),AND(99=$I7-1,OR(3&lt;&gt;'計算A'!$A$3,'計算A'!$A$4=0))),0,IF(3=$K7,200000,ABS(3-$K7)*100)),100000+ABS(5-$J7)*1000+30)+'計算A'!CX$5*50+IF(AND($E7=1,MK7=0),25,0),INDEX('計算A'!CX$110:CX$114,$F7+1)+IF(AND($E7=1,MK7=0),1000,0)+IF($H7=1,(IF('計算A'!CW$117=1,INDEX('計算A'!CW$10:CW$54,$B7),0)+IF('計算A'!CX$117=1,INDEX('計算A'!CY$10:CY$54,$B7),0))*500,0)-IF(AND('計算A'!CW$117=1,XU7&gt;0),300,0)-IF(AND($L7=1,'計算A'!CX$117=1,GW7=0),300,0))),1000000))</f>
        <v/>
      </c>
      <c r="SA7">
        <f>IF($B7=0,1000000,IF(INDEX('計算A'!$D$60:$EQ$104,$B7,100)*GW7=1,IF(AND($E7=2,ML7=0),1000000,IF($I7&gt;0,IF(5=$J7,IF(OR(AND(100=$I7+1,OR($K7&lt;&gt;'計算A'!$A$3,'計算A'!$A$4=0)),AND(100=$I7-1,OR(4&lt;&gt;'計算A'!$A$3,'計算A'!$A$4=0))),0,IF(4=$K7,200000,ABS(4-$K7)*100)),100000+ABS(5-$J7)*1000+40)+'計算A'!CY$5*50+IF(AND($E7=1,ML7=0),25,0),INDEX('計算A'!CY$110:CY$114,$F7+1)+IF(AND($E7=1,ML7=0),1000,0)+IF($H7=1,(IF('計算A'!CX$117=1,INDEX('計算A'!CX$10:CX$54,$B7),0)+IF('計算A'!CY$117=1,INDEX('計算A'!CZ$10:CZ$54,$B7),0))*500,0)-IF(AND('計算A'!CX$117=1,XV7&gt;0),300,0)-IF(AND($L7=1,'計算A'!CY$117=1,GX7=0),300,0))),1000000))</f>
        <v/>
      </c>
      <c r="SB7">
        <f>IF($B7=0,1000000,IF(INDEX('計算A'!$D$60:$EQ$104,$B7,101)*GX7=1,IF(AND($E7=2,MM7=0),1000000,IF($I7&gt;0,IF(5=$J7,IF(OR(AND(101=$I7+1,OR($K7&lt;&gt;'計算A'!$A$3,'計算A'!$A$4=0)),AND(101=$I7-1,OR(5&lt;&gt;'計算A'!$A$3,'計算A'!$A$4=0))),0,IF(5=$K7,200000,ABS(5-$K7)*100)),100000+ABS(5-$J7)*1000+50)+'計算A'!CZ$5*50+IF(AND($E7=1,MM7=0),25,0),INDEX('計算A'!CZ$110:CZ$114,$F7+1)+IF(AND($E7=1,MM7=0),1000,0)+IF($H7=1,(IF('計算A'!CY$117=1,INDEX('計算A'!CY$10:CY$54,$B7),0)+IF('計算A'!CZ$117=1,INDEX('計算A'!DA$10:DA$54,$B7),0))*500,0)-IF(AND('計算A'!CY$117=1,XW7&gt;0),300,0)-IF(AND($L7=1,'計算A'!CZ$117=1,GY7=0),300,0))),1000000))</f>
        <v/>
      </c>
      <c r="SC7">
        <f>IF($B7=0,1000000,IF(INDEX('計算A'!$D$60:$EQ$104,$B7,102)*GY7=1,IF(AND($E7=2,MN7=0),1000000,IF($I7&gt;0,IF(5=$J7,IF(OR(AND(102=$I7+1,OR($K7&lt;&gt;'計算A'!$A$3,'計算A'!$A$4=0)),AND(102=$I7-1,OR(6&lt;&gt;'計算A'!$A$3,'計算A'!$A$4=0))),0,IF(6=$K7,200000,ABS(6-$K7)*100)),100000+ABS(5-$J7)*1000+60)+'計算A'!DA$5*50+IF(AND($E7=1,MN7=0),25,0),INDEX('計算A'!DA$110:DA$114,$F7+1)+IF(AND($E7=1,MN7=0),1000,0)+IF($H7=1,(IF('計算A'!CZ$117=1,INDEX('計算A'!CZ$10:CZ$54,$B7),0)+IF('計算A'!DA$117=1,INDEX('計算A'!DB$10:DB$54,$B7),0))*500,0)-IF(AND('計算A'!CZ$117=1,XX7&gt;0),300,0)-IF(AND($L7=1,'計算A'!DA$117=1,GZ7=0),300,0))),1000000))</f>
        <v/>
      </c>
      <c r="SD7">
        <f>IF($B7=0,1000000,IF(INDEX('計算A'!$D$60:$EQ$104,$B7,103)*GZ7=1,IF(AND($E7=2,MO7=0),1000000,IF($I7&gt;0,IF(5=$J7,IF(OR(AND(103=$I7+1,OR($K7&lt;&gt;'計算A'!$A$3,'計算A'!$A$4=0)),AND(103=$I7-1,OR(7&lt;&gt;'計算A'!$A$3,'計算A'!$A$4=0))),0,IF(7=$K7,200000,ABS(7-$K7)*100)),100000+ABS(5-$J7)*1000+70)+'計算A'!DB$5*50+IF(AND($E7=1,MO7=0),25,0),INDEX('計算A'!DB$110:DB$114,$F7+1)+IF(AND($E7=1,MO7=0),1000,0)+IF($H7=1,(IF('計算A'!DA$117=1,INDEX('計算A'!DA$10:DA$54,$B7),0)+IF('計算A'!DB$117=1,INDEX('計算A'!DC$10:DC$54,$B7),0))*500,0)-IF(AND('計算A'!DA$117=1,XY7&gt;0),300,0)-IF(AND($L7=1,'計算A'!DB$117=1,HA7=0),300,0))),1000000))</f>
        <v/>
      </c>
      <c r="SE7">
        <f>IF($B7=0,1000000,IF(INDEX('計算A'!$D$60:$EQ$104,$B7,104)*HA7=1,IF(AND($E7=2,MP7=0),1000000,IF($I7&gt;0,IF(5=$J7,IF(OR(AND(104=$I7+1,OR($K7&lt;&gt;'計算A'!$A$3,'計算A'!$A$4=0)),AND(104=$I7-1,OR(8&lt;&gt;'計算A'!$A$3,'計算A'!$A$4=0))),0,IF(8=$K7,200000,ABS(8-$K7)*100)),100000+ABS(5-$J7)*1000+80)+'計算A'!DC$5*50+IF(AND($E7=1,MP7=0),25,0),INDEX('計算A'!DC$110:DC$114,$F7+1)+IF(AND($E7=1,MP7=0),1000,0)+IF($H7=1,(IF('計算A'!DB$117=1,INDEX('計算A'!DB$10:DB$54,$B7),0)+IF('計算A'!DC$117=1,INDEX('計算A'!DD$10:DD$54,$B7),0))*500,0)-IF(AND('計算A'!DB$117=1,XZ7&gt;0),300,0)-IF(AND($L7=1,'計算A'!DC$117=1,HB7=0),300,0))),1000000))</f>
        <v/>
      </c>
      <c r="SF7">
        <f>IF($B7=0,1000000,IF(INDEX('計算A'!$D$60:$EQ$104,$B7,105)*HB7=1,IF(AND($E7=2,MQ7=0),1000000,IF($I7&gt;0,IF(5=$J7,IF(OR(AND(105=$I7+1,OR($K7&lt;&gt;'計算A'!$A$3,'計算A'!$A$4=0)),AND(105=$I7-1,OR(9&lt;&gt;'計算A'!$A$3,'計算A'!$A$4=0))),0,IF(9=$K7,200000,ABS(9-$K7)*100)),100000+ABS(5-$J7)*1000+90)+'計算A'!DD$5*50+IF(AND($E7=1,MQ7=0),25,0),INDEX('計算A'!DD$110:DD$114,$F7+1)+IF(AND($E7=1,MQ7=0),1000,0)+IF($H7=1,(IF('計算A'!DC$117=1,INDEX('計算A'!DC$10:DC$54,$B7),0)+IF('計算A'!DD$117=1,INDEX('計算A'!DE$10:DE$54,$B7),0))*500,0)-IF(AND('計算A'!DC$117=1,YA7&gt;0),300,0)-IF(AND($L7=1,'計算A'!DD$117=1,HC7=0),300,0))),1000000))</f>
        <v/>
      </c>
      <c r="SG7">
        <f>IF($B7=0,1000000,IF(INDEX('計算A'!$D$60:$EQ$104,$B7,106)*HC7=1,IF(AND($E7=2,MR7=0),1000000,IF($I7&gt;0,IF(5=$J7,IF(OR(AND(106=$I7+1,OR($K7&lt;&gt;'計算A'!$A$3,'計算A'!$A$4=0)),AND(106=$I7-1,OR(10&lt;&gt;'計算A'!$A$3,'計算A'!$A$4=0))),0,IF(10=$K7,200000,ABS(10-$K7)*100)),100000+ABS(5-$J7)*1000+100)+'計算A'!DE$5*50+IF(AND($E7=1,MR7=0),25,0),INDEX('計算A'!DE$110:DE$114,$F7+1)+IF(AND($E7=1,MR7=0),1000,0)+IF($H7=1,(IF('計算A'!DD$117=1,INDEX('計算A'!DD$10:DD$54,$B7),0)+IF('計算A'!DE$117=1,INDEX('計算A'!DF$10:DF$54,$B7),0))*500,0)-IF(AND('計算A'!DD$117=1,YB7&gt;0),300,0)-IF(AND($L7=1,'計算A'!DE$117=1,HD7=0),300,0))),1000000))</f>
        <v/>
      </c>
      <c r="SH7">
        <f>IF($B7=0,1000000,IF(INDEX('計算A'!$D$60:$EQ$104,$B7,107)*HD7=1,IF(AND($E7=2,MS7=0),1000000,IF($I7&gt;0,IF(5=$J7,IF(OR(AND(107=$I7+1,OR($K7&lt;&gt;'計算A'!$A$3,'計算A'!$A$4=0)),AND(107=$I7-1,OR(11&lt;&gt;'計算A'!$A$3,'計算A'!$A$4=0))),0,IF(11=$K7,200000,ABS(11-$K7)*100)),100000+ABS(5-$J7)*1000+110)+'計算A'!DF$5*50+IF(AND($E7=1,MS7=0),25,0),INDEX('計算A'!DF$110:DF$114,$F7+1)+IF(AND($E7=1,MS7=0),1000,0)+IF($H7=1,(IF('計算A'!DE$117=1,INDEX('計算A'!DE$10:DE$54,$B7),0)+IF('計算A'!DF$117=1,INDEX('計算A'!DG$10:DG$54,$B7),0))*500,0)-IF(AND('計算A'!DE$117=1,YC7&gt;0),300,0)-IF(AND($L7=1,'計算A'!DF$117=1,HE7=0),300,0))),1000000))</f>
        <v/>
      </c>
      <c r="SI7">
        <f>IF($B7=0,1000000,IF(INDEX('計算A'!$D$60:$EQ$104,$B7,108)*HE7=1,IF(AND($E7=2,MT7=0),1000000,IF($I7&gt;0,IF(5=$J7,IF(OR(AND(108=$I7+1,OR($K7&lt;&gt;'計算A'!$A$3,'計算A'!$A$4=0)),AND(108=$I7-1,OR(12&lt;&gt;'計算A'!$A$3,'計算A'!$A$4=0))),0,IF(12=$K7,200000,ABS(12-$K7)*100)),100000+ABS(5-$J7)*1000+120)+'計算A'!DG$5*50+IF(AND($E7=1,MT7=0),25,0),INDEX('計算A'!DG$110:DG$114,$F7+1)+IF(AND($E7=1,MT7=0),1000,0)+IF($H7=1,(IF('計算A'!DF$117=1,INDEX('計算A'!DF$10:DF$54,$B7),0)+IF('計算A'!DG$117=1,INDEX('計算A'!DH$10:DH$54,$B7),0))*500,0)-IF(AND('計算A'!DF$117=1,YD7&gt;0),300,0)-IF(AND($L7=1,'計算A'!DG$117=1,HF7=0),300,0))),1000000))</f>
        <v/>
      </c>
      <c r="SJ7">
        <f>IF($B7=0,1000000,IF(INDEX('計算A'!$D$60:$EQ$104,$B7,109)*HF7=1,IF(AND($E7=2,MU7=0),1000000,IF($I7&gt;0,IF(5=$J7,IF(OR(AND(109=$I7+1,OR($K7&lt;&gt;'計算A'!$A$3,'計算A'!$A$4=0)),AND(109=$I7-1,OR(13&lt;&gt;'計算A'!$A$3,'計算A'!$A$4=0))),0,IF(13=$K7,200000,ABS(13-$K7)*100)),100000+ABS(5-$J7)*1000+130)+'計算A'!DH$5*50+IF(AND($E7=1,MU7=0),25,0),INDEX('計算A'!DH$110:DH$114,$F7+1)+IF(AND($E7=1,MU7=0),1000,0)+IF($H7=1,(IF('計算A'!DG$117=1,INDEX('計算A'!DG$10:DG$54,$B7),0)+IF('計算A'!DH$117=1,INDEX('計算A'!DI$10:DI$54,$B7),0))*500,0)-IF(AND('計算A'!DG$117=1,YE7&gt;0),300,0)-IF(AND($L7=1,'計算A'!DH$117=1,HG7=0),300,0))),1000000))</f>
        <v/>
      </c>
      <c r="SK7">
        <f>IF($B7=0,1000000,IF(INDEX('計算A'!$D$60:$EQ$104,$B7,110)*HG7=1,IF(AND($E7=2,MV7=0),1000000,IF($I7&gt;0,IF(5=$J7,IF(OR(AND(110=$I7+1,OR($K7&lt;&gt;'計算A'!$A$3,'計算A'!$A$4=0)),AND(110=$I7-1,OR(14&lt;&gt;'計算A'!$A$3,'計算A'!$A$4=0))),0,IF(14=$K7,200000,ABS(14-$K7)*100)),100000+ABS(5-$J7)*1000+140)+'計算A'!DI$5*50+IF(AND($E7=1,MV7=0),25,0),INDEX('計算A'!DI$110:DI$114,$F7+1)+IF(AND($E7=1,MV7=0),1000,0)+IF($H7=1,(IF('計算A'!DH$117=1,INDEX('計算A'!DH$10:DH$54,$B7),0)+IF('計算A'!DI$117=1,INDEX('計算A'!DJ$10:DJ$54,$B7),0))*500,0)-IF(AND('計算A'!DH$117=1,YF7&gt;0),300,0)-IF(AND($L7=1,'計算A'!DI$117=1,HH7=0),300,0))),1000000))</f>
        <v/>
      </c>
      <c r="SL7">
        <f>IF($B7=0,1000000,IF(INDEX('計算A'!$D$60:$EQ$104,$B7,111)*HH7=1,IF(AND($E7=2,MW7=0),1000000,IF($I7&gt;0,IF(5=$J7,IF(OR(AND(111=$I7+1,OR($K7&lt;&gt;'計算A'!$A$3,'計算A'!$A$4=0)),AND(111=$I7-1,OR(15&lt;&gt;'計算A'!$A$3,'計算A'!$A$4=0))),0,IF(15=$K7,200000,ABS(15-$K7)*100)),100000+ABS(5-$J7)*1000+150)+'計算A'!DJ$5*50+IF(AND($E7=1,MW7=0),25,0),INDEX('計算A'!DJ$110:DJ$114,$F7+1)+IF(AND($E7=1,MW7=0),1000,0)+IF($H7=1,(IF('計算A'!DI$117=1,INDEX('計算A'!DI$10:DI$54,$B7),0)+IF('計算A'!DJ$117=1,INDEX('計算A'!DK$10:DK$54,$B7),0))*500,0)-IF(AND('計算A'!DI$117=1,YG7&gt;0),300,0)-IF(AND($L7=1,'計算A'!DJ$117=1,HI7=0),300,0))),1000000))</f>
        <v/>
      </c>
      <c r="SM7">
        <f>IF($B7=0,1000000,IF(INDEX('計算A'!$D$60:$EQ$104,$B7,112)*HI7=1,IF(AND($E7=2,MX7=0),1000000,IF($I7&gt;0,IF(5=$J7,IF(OR(AND(112=$I7+1,OR($K7&lt;&gt;'計算A'!$A$3,'計算A'!$A$4=0)),AND(112=$I7-1,OR(16&lt;&gt;'計算A'!$A$3,'計算A'!$A$4=0))),0,IF(16=$K7,200000,ABS(16-$K7)*100)),100000+ABS(5-$J7)*1000+160)+'計算A'!DK$5*50+IF(AND($E7=1,MX7=0),25,0),INDEX('計算A'!DK$110:DK$114,$F7+1)+IF(AND($E7=1,MX7=0),1000,0)+IF($H7=1,(IF('計算A'!DJ$117=1,INDEX('計算A'!DJ$10:DJ$54,$B7),0)+IF('計算A'!DK$117=1,INDEX('計算A'!DL$10:DL$54,$B7),0))*500,0)-IF(AND('計算A'!DJ$117=1,YH7&gt;0),300,0)-IF(AND($L7=1,'計算A'!DK$117=1,HJ7=0),300,0))),1000000))</f>
        <v/>
      </c>
      <c r="SN7">
        <f>IF($B7=0,1000000,IF(INDEX('計算A'!$D$60:$EQ$104,$B7,113)*HJ7=1,IF(AND($E7=2,MY7=0),1000000,IF($I7&gt;0,IF(5=$J7,IF(OR(AND(113=$I7+1,OR($K7&lt;&gt;'計算A'!$A$3,'計算A'!$A$4=0)),AND(113=$I7-1,OR(17&lt;&gt;'計算A'!$A$3,'計算A'!$A$4=0))),0,IF(17=$K7,200000,ABS(17-$K7)*100)),100000+ABS(5-$J7)*1000+170)+'計算A'!DL$5*50+IF(AND($E7=1,MY7=0),25,0),INDEX('計算A'!DL$110:DL$114,$F7+1)+IF(AND($E7=1,MY7=0),1000,0)+IF($H7=1,(IF('計算A'!DK$117=1,INDEX('計算A'!DK$10:DK$54,$B7),0)+IF('計算A'!DL$117=1,INDEX('計算A'!DM$10:DM$54,$B7),0))*500,0)-IF(AND('計算A'!DK$117=1,YI7&gt;0),300,0)-IF(AND($L7=1,'計算A'!DL$117=1,HK7=0),300,0))),1000000))</f>
        <v/>
      </c>
      <c r="SO7">
        <f>IF($B7=0,1000000,IF(INDEX('計算A'!$D$60:$EQ$104,$B7,114)*HK7=1,IF(AND($E7=2,MZ7=0),1000000,IF($I7&gt;0,IF(5=$J7,IF(OR(AND(114=$I7+1,OR($K7&lt;&gt;'計算A'!$A$3,'計算A'!$A$4=0)),AND(114=$I7-1,OR(18&lt;&gt;'計算A'!$A$3,'計算A'!$A$4=0))),0,IF(18=$K7,200000,ABS(18-$K7)*100)),100000+ABS(5-$J7)*1000+180)+'計算A'!DM$5*50+IF(AND($E7=1,MZ7=0),25,0),INDEX('計算A'!DM$110:DM$114,$F7+1)+IF(AND($E7=1,MZ7=0),1000,0)+IF($H7=1,(IF('計算A'!DL$117=1,INDEX('計算A'!DL$10:DL$54,$B7),0)+IF('計算A'!DM$117=1,INDEX('計算A'!DN$10:DN$54,$B7),0))*500,0)-IF(AND('計算A'!DL$117=1,YJ7&gt;0),300,0)-IF(AND($L7=1,'計算A'!DM$117=1,HL7=0),300,0))),1000000))</f>
        <v/>
      </c>
      <c r="SP7">
        <f>IF($B7=0,1000000,IF(INDEX('計算A'!$D$60:$EQ$104,$B7,115)*HL7=1,IF(AND($E7=2,NA7=0),1000000,IF($I7&gt;0,IF(5=$J7,IF(OR(AND(115=$I7+1,OR($K7&lt;&gt;'計算A'!$A$3,'計算A'!$A$4=0)),AND(115=$I7-1,OR(19&lt;&gt;'計算A'!$A$3,'計算A'!$A$4=0))),0,IF(19=$K7,200000,ABS(19-$K7)*100)),100000+ABS(5-$J7)*1000+190)+'計算A'!DN$5*50+IF(AND($E7=1,NA7=0),25,0),INDEX('計算A'!DN$110:DN$114,$F7+1)+IF(AND($E7=1,NA7=0),1000,0)+IF($H7=1,(IF('計算A'!DM$117=1,INDEX('計算A'!DM$10:DM$54,$B7),0)+IF('計算A'!DN$117=1,INDEX('計算A'!DO$10:DO$54,$B7),0))*500,0)-IF(AND('計算A'!DM$117=1,YK7&gt;0),300,0)-IF(AND($L7=1,'計算A'!DN$117=1,HM7=0),300,0))),1000000))</f>
        <v/>
      </c>
      <c r="SQ7">
        <f>IF($B7=0,1000000,IF(INDEX('計算A'!$D$60:$EQ$104,$B7,116)*HM7=1,IF(AND($E7=2,NB7=0),1000000,IF($I7&gt;0,IF(5=$J7,IF(OR(AND(116=$I7+1,OR($K7&lt;&gt;'計算A'!$A$3,'計算A'!$A$4=0)),AND(116=$I7-1,OR(20&lt;&gt;'計算A'!$A$3,'計算A'!$A$4=0))),0,IF(20=$K7,200000,ABS(20-$K7)*100)),100000+ABS(5-$J7)*1000+200)+'計算A'!DO$5*50+IF(AND($E7=1,NB7=0),25,0),INDEX('計算A'!DO$110:DO$114,$F7+1)+IF(AND($E7=1,NB7=0),1000,0)+IF($H7=1,(IF('計算A'!DN$117=1,INDEX('計算A'!DN$10:DN$54,$B7),0)+IF('計算A'!DO$117=1,INDEX('計算A'!DP$10:DP$54,$B7),0))*500,0)-IF(AND('計算A'!DN$117=1,YL7&gt;0),300,0)-IF(AND($L7=1,'計算A'!DO$117=1,HN7=0),300,0))),1000000))</f>
        <v/>
      </c>
      <c r="SR7">
        <f>IF($B7=0,1000000,IF(INDEX('計算A'!$D$60:$EQ$104,$B7,117)*HN7=1,IF(AND($E7=2,NC7=0),1000000,IF($I7&gt;0,IF(5=$J7,IF(OR(AND(117=$I7+1,OR($K7&lt;&gt;'計算A'!$A$3,'計算A'!$A$4=0)),AND(117=$I7-1,OR(21&lt;&gt;'計算A'!$A$3,'計算A'!$A$4=0))),0,IF(21=$K7,200000,ABS(21-$K7)*100)),100000+ABS(5-$J7)*1000+210)+'計算A'!DP$5*50+IF(AND($E7=1,NC7=0),25,0),INDEX('計算A'!DP$110:DP$114,$F7+1)+IF(AND($E7=1,NC7=0),1000,0)+IF($H7=1,(IF('計算A'!DO$117=1,INDEX('計算A'!DO$10:DO$54,$B7),0)+IF('計算A'!DP$117=1,INDEX('計算A'!DQ$10:DQ$54,$B7),0))*500,0)-IF(AND('計算A'!DO$117=1,YM7&gt;0),300,0)-IF(AND($L7=1,'計算A'!DP$117=1,HO7=0),300,0))),1000000))</f>
        <v/>
      </c>
      <c r="SS7">
        <f>IF($B7=0,1000000,IF(INDEX('計算A'!$D$60:$EQ$104,$B7,118)*HO7=1,IF(AND($E7=2,ND7=0),1000000,IF($I7&gt;0,IF(5=$J7,IF(OR(AND(118=$I7+1,OR($K7&lt;&gt;'計算A'!$A$3,'計算A'!$A$4=0)),AND(118=$I7-1,OR(22&lt;&gt;'計算A'!$A$3,'計算A'!$A$4=0))),0,IF(22=$K7,200000,ABS(22-$K7)*100)),100000+ABS(5-$J7)*1000+220)+'計算A'!DQ$5*50+IF(AND($E7=1,ND7=0),25,0),INDEX('計算A'!DQ$110:DQ$114,$F7+1)+IF(AND($E7=1,ND7=0),1000,0)+IF($H7=1,(IF('計算A'!DP$117=1,INDEX('計算A'!DP$10:DP$54,$B7),0)+IF('計算A'!DQ$117=1,INDEX('計算A'!DR$10:DR$54,$B7),0))*500,0)-IF(AND('計算A'!DP$117=1,YN7&gt;0),300,0)-IF(AND($L7=1,'計算A'!DQ$117=1,HP7=0),300,0))),1000000))</f>
        <v/>
      </c>
      <c r="ST7">
        <f>IF($B7=0,1000000,IF(INDEX('計算A'!$D$60:$EQ$104,$B7,119)*HP7=1,IF(AND($E7=2,NE7=0),1000000,IF($I7&gt;0,IF(5=$J7,IF(OR(AND(119=$I7+1,OR($K7&lt;&gt;'計算A'!$A$3,'計算A'!$A$4=0)),AND(119=$I7-1,OR(23&lt;&gt;'計算A'!$A$3,'計算A'!$A$4=0))),0,IF(23=$K7,200000,ABS(23-$K7)*100)),100000+ABS(5-$J7)*1000+230)+'計算A'!DR$5*50+IF(AND($E7=1,NE7=0),25,0),INDEX('計算A'!DR$110:DR$114,$F7+1)+IF(AND($E7=1,NE7=0),1000,0)+IF($H7=1,(IF('計算A'!DQ$117=1,INDEX('計算A'!DQ$10:DQ$54,$B7),0)+IF('計算A'!DR$117=1,INDEX('計算A'!DS$10:DS$54,$B7),0))*500,0)-IF(AND('計算A'!DQ$117=1,YO7&gt;0),300,0)-IF(AND($L7=1,'計算A'!DR$117=1,HQ7=0),300,0))),1000000))</f>
        <v/>
      </c>
      <c r="SU7">
        <f>IF($B7=0,1000000,IF(INDEX('計算A'!$D$60:$EQ$104,$B7,120)*HQ7=1,IF(AND($E7=2,NF7=0),1000000,IF($I7&gt;0,IF(5=$J7,IF(OR(AND(120=$I7+1,OR($K7&lt;&gt;'計算A'!$A$3,'計算A'!$A$4=0)),AND(120=$I7-1,OR(24&lt;&gt;'計算A'!$A$3,'計算A'!$A$4=0))),0,IF(24=$K7,200000,ABS(24-$K7)*100)),100000+ABS(5-$J7)*1000+240)+'計算A'!DS$5*50+IF(AND($E7=1,NF7=0),25,0),INDEX('計算A'!DS$110:DS$114,$F7+1)+IF(AND($E7=1,NF7=0),1000,0)+IF($H7=1,(IF('計算A'!DR$117=1,INDEX('計算A'!DR$10:DR$54,$B7),0))*500,0)-IF(AND('計算A'!DR$117=1,YP7&gt;0),300,0))),1000000))</f>
        <v/>
      </c>
      <c r="SV7">
        <f>IF($B7=0,1000000,IF(INDEX('計算A'!$D$60:$EQ$104,$B7,121)*HR7=1,IF(AND($E7=2,NG7=0),1000000,IF($I7&gt;0,IF(6=$J7,IF(OR(AND(121=$I7+1,OR($K7&lt;&gt;'計算A'!$A$3,'計算A'!$A$4=0)),AND(121=$I7-1,OR(1&lt;&gt;'計算A'!$A$3,'計算A'!$A$4=0))),0,IF(1=$K7,200000,ABS(1-$K7)*100)),100000+ABS(6-$J7)*1000+10)+'計算A'!DT$5*50+IF(AND($E7=1,NG7=0),25,0),INDEX('計算A'!DT$110:DT$114,$F7+1)+IF(AND($E7=1,NG7=0),1000,0)+IF($H7=1,(IF('計算A'!DT$117=1,INDEX('計算A'!DU$10:DU$54,$B7),0))*500,0)-IF(AND($L7=1,'計算A'!DT$117=1,HS7=0),300,0))),1000000))</f>
        <v/>
      </c>
      <c r="SW7">
        <f>IF($B7=0,1000000,IF(INDEX('計算A'!$D$60:$EQ$104,$B7,122)*HS7=1,IF(AND($E7=2,NH7=0),1000000,IF($I7&gt;0,IF(6=$J7,IF(OR(AND(122=$I7+1,OR($K7&lt;&gt;'計算A'!$A$3,'計算A'!$A$4=0)),AND(122=$I7-1,OR(2&lt;&gt;'計算A'!$A$3,'計算A'!$A$4=0))),0,IF(2=$K7,200000,ABS(2-$K7)*100)),100000+ABS(6-$J7)*1000+20)+'計算A'!DU$5*50+IF(AND($E7=1,NH7=0),25,0),INDEX('計算A'!DU$110:DU$114,$F7+1)+IF(AND($E7=1,NH7=0),1000,0)+IF($H7=1,(IF('計算A'!DT$117=1,INDEX('計算A'!DT$10:DT$54,$B7),0)+IF('計算A'!DU$117=1,INDEX('計算A'!DV$10:DV$54,$B7),0))*500,0)-IF(AND('計算A'!DT$117=1,YR7&gt;0),300,0)-IF(AND($L7=1,'計算A'!DU$117=1,HT7=0),300,0))),1000000))</f>
        <v/>
      </c>
      <c r="SX7">
        <f>IF($B7=0,1000000,IF(INDEX('計算A'!$D$60:$EQ$104,$B7,123)*HT7=1,IF(AND($E7=2,NI7=0),1000000,IF($I7&gt;0,IF(6=$J7,IF(OR(AND(123=$I7+1,OR($K7&lt;&gt;'計算A'!$A$3,'計算A'!$A$4=0)),AND(123=$I7-1,OR(3&lt;&gt;'計算A'!$A$3,'計算A'!$A$4=0))),0,IF(3=$K7,200000,ABS(3-$K7)*100)),100000+ABS(6-$J7)*1000+30)+'計算A'!DV$5*50+IF(AND($E7=1,NI7=0),25,0),INDEX('計算A'!DV$110:DV$114,$F7+1)+IF(AND($E7=1,NI7=0),1000,0)+IF($H7=1,(IF('計算A'!DU$117=1,INDEX('計算A'!DU$10:DU$54,$B7),0)+IF('計算A'!DV$117=1,INDEX('計算A'!DW$10:DW$54,$B7),0))*500,0)-IF(AND('計算A'!DU$117=1,YS7&gt;0),300,0)-IF(AND($L7=1,'計算A'!DV$117=1,HU7=0),300,0))),1000000))</f>
        <v/>
      </c>
      <c r="SY7">
        <f>IF($B7=0,1000000,IF(INDEX('計算A'!$D$60:$EQ$104,$B7,124)*HU7=1,IF(AND($E7=2,NJ7=0),1000000,IF($I7&gt;0,IF(6=$J7,IF(OR(AND(124=$I7+1,OR($K7&lt;&gt;'計算A'!$A$3,'計算A'!$A$4=0)),AND(124=$I7-1,OR(4&lt;&gt;'計算A'!$A$3,'計算A'!$A$4=0))),0,IF(4=$K7,200000,ABS(4-$K7)*100)),100000+ABS(6-$J7)*1000+40)+'計算A'!DW$5*50+IF(AND($E7=1,NJ7=0),25,0),INDEX('計算A'!DW$110:DW$114,$F7+1)+IF(AND($E7=1,NJ7=0),1000,0)+IF($H7=1,(IF('計算A'!DV$117=1,INDEX('計算A'!DV$10:DV$54,$B7),0)+IF('計算A'!DW$117=1,INDEX('計算A'!DX$10:DX$54,$B7),0))*500,0)-IF(AND('計算A'!DV$117=1,YT7&gt;0),300,0)-IF(AND($L7=1,'計算A'!DW$117=1,HV7=0),300,0))),1000000))</f>
        <v/>
      </c>
      <c r="SZ7">
        <f>IF($B7=0,1000000,IF(INDEX('計算A'!$D$60:$EQ$104,$B7,125)*HV7=1,IF(AND($E7=2,NK7=0),1000000,IF($I7&gt;0,IF(6=$J7,IF(OR(AND(125=$I7+1,OR($K7&lt;&gt;'計算A'!$A$3,'計算A'!$A$4=0)),AND(125=$I7-1,OR(5&lt;&gt;'計算A'!$A$3,'計算A'!$A$4=0))),0,IF(5=$K7,200000,ABS(5-$K7)*100)),100000+ABS(6-$J7)*1000+50)+'計算A'!DX$5*50+IF(AND($E7=1,NK7=0),25,0),INDEX('計算A'!DX$110:DX$114,$F7+1)+IF(AND($E7=1,NK7=0),1000,0)+IF($H7=1,(IF('計算A'!DW$117=1,INDEX('計算A'!DW$10:DW$54,$B7),0)+IF('計算A'!DX$117=1,INDEX('計算A'!DY$10:DY$54,$B7),0))*500,0)-IF(AND('計算A'!DW$117=1,YU7&gt;0),300,0)-IF(AND($L7=1,'計算A'!DX$117=1,HW7=0),300,0))),1000000))</f>
        <v/>
      </c>
      <c r="TA7">
        <f>IF($B7=0,1000000,IF(INDEX('計算A'!$D$60:$EQ$104,$B7,126)*HW7=1,IF(AND($E7=2,NL7=0),1000000,IF($I7&gt;0,IF(6=$J7,IF(OR(AND(126=$I7+1,OR($K7&lt;&gt;'計算A'!$A$3,'計算A'!$A$4=0)),AND(126=$I7-1,OR(6&lt;&gt;'計算A'!$A$3,'計算A'!$A$4=0))),0,IF(6=$K7,200000,ABS(6-$K7)*100)),100000+ABS(6-$J7)*1000+60)+'計算A'!DY$5*50+IF(AND($E7=1,NL7=0),25,0),INDEX('計算A'!DY$110:DY$114,$F7+1)+IF(AND($E7=1,NL7=0),1000,0)+IF($H7=1,(IF('計算A'!DX$117=1,INDEX('計算A'!DX$10:DX$54,$B7),0)+IF('計算A'!DY$117=1,INDEX('計算A'!DZ$10:DZ$54,$B7),0))*500,0)-IF(AND('計算A'!DX$117=1,YV7&gt;0),300,0)-IF(AND($L7=1,'計算A'!DY$117=1,HX7=0),300,0))),1000000))</f>
        <v/>
      </c>
      <c r="TB7">
        <f>IF($B7=0,1000000,IF(INDEX('計算A'!$D$60:$EQ$104,$B7,127)*HX7=1,IF(AND($E7=2,NM7=0),1000000,IF($I7&gt;0,IF(6=$J7,IF(OR(AND(127=$I7+1,OR($K7&lt;&gt;'計算A'!$A$3,'計算A'!$A$4=0)),AND(127=$I7-1,OR(7&lt;&gt;'計算A'!$A$3,'計算A'!$A$4=0))),0,IF(7=$K7,200000,ABS(7-$K7)*100)),100000+ABS(6-$J7)*1000+70)+'計算A'!DZ$5*50+IF(AND($E7=1,NM7=0),25,0),INDEX('計算A'!DZ$110:DZ$114,$F7+1)+IF(AND($E7=1,NM7=0),1000,0)+IF($H7=1,(IF('計算A'!DY$117=1,INDEX('計算A'!DY$10:DY$54,$B7),0)+IF('計算A'!DZ$117=1,INDEX('計算A'!EA$10:EA$54,$B7),0))*500,0)-IF(AND('計算A'!DY$117=1,YW7&gt;0),300,0)-IF(AND($L7=1,'計算A'!DZ$117=1,HY7=0),300,0))),1000000))</f>
        <v/>
      </c>
      <c r="TC7">
        <f>IF($B7=0,1000000,IF(INDEX('計算A'!$D$60:$EQ$104,$B7,128)*HY7=1,IF(AND($E7=2,NN7=0),1000000,IF($I7&gt;0,IF(6=$J7,IF(OR(AND(128=$I7+1,OR($K7&lt;&gt;'計算A'!$A$3,'計算A'!$A$4=0)),AND(128=$I7-1,OR(8&lt;&gt;'計算A'!$A$3,'計算A'!$A$4=0))),0,IF(8=$K7,200000,ABS(8-$K7)*100)),100000+ABS(6-$J7)*1000+80)+'計算A'!EA$5*50+IF(AND($E7=1,NN7=0),25,0),INDEX('計算A'!EA$110:EA$114,$F7+1)+IF(AND($E7=1,NN7=0),1000,0)+IF($H7=1,(IF('計算A'!DZ$117=1,INDEX('計算A'!DZ$10:DZ$54,$B7),0)+IF('計算A'!EA$117=1,INDEX('計算A'!EB$10:EB$54,$B7),0))*500,0)-IF(AND('計算A'!DZ$117=1,YX7&gt;0),300,0)-IF(AND($L7=1,'計算A'!EA$117=1,HZ7=0),300,0))),1000000))</f>
        <v/>
      </c>
      <c r="TD7">
        <f>IF($B7=0,1000000,IF(INDEX('計算A'!$D$60:$EQ$104,$B7,129)*HZ7=1,IF(AND($E7=2,NO7=0),1000000,IF($I7&gt;0,IF(6=$J7,IF(OR(AND(129=$I7+1,OR($K7&lt;&gt;'計算A'!$A$3,'計算A'!$A$4=0)),AND(129=$I7-1,OR(9&lt;&gt;'計算A'!$A$3,'計算A'!$A$4=0))),0,IF(9=$K7,200000,ABS(9-$K7)*100)),100000+ABS(6-$J7)*1000+90)+'計算A'!EB$5*50+IF(AND($E7=1,NO7=0),25,0),INDEX('計算A'!EB$110:EB$114,$F7+1)+IF(AND($E7=1,NO7=0),1000,0)+IF($H7=1,(IF('計算A'!EA$117=1,INDEX('計算A'!EA$10:EA$54,$B7),0)+IF('計算A'!EB$117=1,INDEX('計算A'!EC$10:EC$54,$B7),0))*500,0)-IF(AND('計算A'!EA$117=1,YY7&gt;0),300,0)-IF(AND($L7=1,'計算A'!EB$117=1,IA7=0),300,0))),1000000))</f>
        <v/>
      </c>
      <c r="TE7">
        <f>IF($B7=0,1000000,IF(INDEX('計算A'!$D$60:$EQ$104,$B7,130)*IA7=1,IF(AND($E7=2,NP7=0),1000000,IF($I7&gt;0,IF(6=$J7,IF(OR(AND(130=$I7+1,OR($K7&lt;&gt;'計算A'!$A$3,'計算A'!$A$4=0)),AND(130=$I7-1,OR(10&lt;&gt;'計算A'!$A$3,'計算A'!$A$4=0))),0,IF(10=$K7,200000,ABS(10-$K7)*100)),100000+ABS(6-$J7)*1000+100)+'計算A'!EC$5*50+IF(AND($E7=1,NP7=0),25,0),INDEX('計算A'!EC$110:EC$114,$F7+1)+IF(AND($E7=1,NP7=0),1000,0)+IF($H7=1,(IF('計算A'!EB$117=1,INDEX('計算A'!EB$10:EB$54,$B7),0)+IF('計算A'!EC$117=1,INDEX('計算A'!ED$10:ED$54,$B7),0))*500,0)-IF(AND('計算A'!EB$117=1,YZ7&gt;0),300,0)-IF(AND($L7=1,'計算A'!EC$117=1,IB7=0),300,0))),1000000))</f>
        <v/>
      </c>
      <c r="TF7">
        <f>IF($B7=0,1000000,IF(INDEX('計算A'!$D$60:$EQ$104,$B7,131)*IB7=1,IF(AND($E7=2,NQ7=0),1000000,IF($I7&gt;0,IF(6=$J7,IF(OR(AND(131=$I7+1,OR($K7&lt;&gt;'計算A'!$A$3,'計算A'!$A$4=0)),AND(131=$I7-1,OR(11&lt;&gt;'計算A'!$A$3,'計算A'!$A$4=0))),0,IF(11=$K7,200000,ABS(11-$K7)*100)),100000+ABS(6-$J7)*1000+110)+'計算A'!ED$5*50+IF(AND($E7=1,NQ7=0),25,0),INDEX('計算A'!ED$110:ED$114,$F7+1)+IF(AND($E7=1,NQ7=0),1000,0)+IF($H7=1,(IF('計算A'!EC$117=1,INDEX('計算A'!EC$10:EC$54,$B7),0)+IF('計算A'!ED$117=1,INDEX('計算A'!EE$10:EE$54,$B7),0))*500,0)-IF(AND('計算A'!EC$117=1,ZA7&gt;0),300,0)-IF(AND($L7=1,'計算A'!ED$117=1,IC7=0),300,0))),1000000))</f>
        <v/>
      </c>
      <c r="TG7">
        <f>IF($B7=0,1000000,IF(INDEX('計算A'!$D$60:$EQ$104,$B7,132)*IC7=1,IF(AND($E7=2,NR7=0),1000000,IF($I7&gt;0,IF(6=$J7,IF(OR(AND(132=$I7+1,OR($K7&lt;&gt;'計算A'!$A$3,'計算A'!$A$4=0)),AND(132=$I7-1,OR(12&lt;&gt;'計算A'!$A$3,'計算A'!$A$4=0))),0,IF(12=$K7,200000,ABS(12-$K7)*100)),100000+ABS(6-$J7)*1000+120)+'計算A'!EE$5*50+IF(AND($E7=1,NR7=0),25,0),INDEX('計算A'!EE$110:EE$114,$F7+1)+IF(AND($E7=1,NR7=0),1000,0)+IF($H7=1,(IF('計算A'!ED$117=1,INDEX('計算A'!ED$10:ED$54,$B7),0)+IF('計算A'!EE$117=1,INDEX('計算A'!EF$10:EF$54,$B7),0))*500,0)-IF(AND('計算A'!ED$117=1,ZB7&gt;0),300,0)-IF(AND($L7=1,'計算A'!EE$117=1,ID7=0),300,0))),1000000))</f>
        <v/>
      </c>
      <c r="TH7">
        <f>IF($B7=0,1000000,IF(INDEX('計算A'!$D$60:$EQ$104,$B7,133)*ID7=1,IF(AND($E7=2,NS7=0),1000000,IF($I7&gt;0,IF(6=$J7,IF(OR(AND(133=$I7+1,OR($K7&lt;&gt;'計算A'!$A$3,'計算A'!$A$4=0)),AND(133=$I7-1,OR(13&lt;&gt;'計算A'!$A$3,'計算A'!$A$4=0))),0,IF(13=$K7,200000,ABS(13-$K7)*100)),100000+ABS(6-$J7)*1000+130)+'計算A'!EF$5*50+IF(AND($E7=1,NS7=0),25,0),INDEX('計算A'!EF$110:EF$114,$F7+1)+IF(AND($E7=1,NS7=0),1000,0)+IF($H7=1,(IF('計算A'!EE$117=1,INDEX('計算A'!EE$10:EE$54,$B7),0)+IF('計算A'!EF$117=1,INDEX('計算A'!EG$10:EG$54,$B7),0))*500,0)-IF(AND('計算A'!EE$117=1,ZC7&gt;0),300,0)-IF(AND($L7=1,'計算A'!EF$117=1,IE7=0),300,0))),1000000))</f>
        <v/>
      </c>
      <c r="TI7">
        <f>IF($B7=0,1000000,IF(INDEX('計算A'!$D$60:$EQ$104,$B7,134)*IE7=1,IF(AND($E7=2,NT7=0),1000000,IF($I7&gt;0,IF(6=$J7,IF(OR(AND(134=$I7+1,OR($K7&lt;&gt;'計算A'!$A$3,'計算A'!$A$4=0)),AND(134=$I7-1,OR(14&lt;&gt;'計算A'!$A$3,'計算A'!$A$4=0))),0,IF(14=$K7,200000,ABS(14-$K7)*100)),100000+ABS(6-$J7)*1000+140)+'計算A'!EG$5*50+IF(AND($E7=1,NT7=0),25,0),INDEX('計算A'!EG$110:EG$114,$F7+1)+IF(AND($E7=1,NT7=0),1000,0)+IF($H7=1,(IF('計算A'!EF$117=1,INDEX('計算A'!EF$10:EF$54,$B7),0)+IF('計算A'!EG$117=1,INDEX('計算A'!EH$10:EH$54,$B7),0))*500,0)-IF(AND('計算A'!EF$117=1,ZD7&gt;0),300,0)-IF(AND($L7=1,'計算A'!EG$117=1,IF7=0),300,0))),1000000))</f>
        <v/>
      </c>
      <c r="TJ7">
        <f>IF($B7=0,1000000,IF(INDEX('計算A'!$D$60:$EQ$104,$B7,135)*IF7=1,IF(AND($E7=2,NU7=0),1000000,IF($I7&gt;0,IF(6=$J7,IF(OR(AND(135=$I7+1,OR($K7&lt;&gt;'計算A'!$A$3,'計算A'!$A$4=0)),AND(135=$I7-1,OR(15&lt;&gt;'計算A'!$A$3,'計算A'!$A$4=0))),0,IF(15=$K7,200000,ABS(15-$K7)*100)),100000+ABS(6-$J7)*1000+150)+'計算A'!EH$5*50+IF(AND($E7=1,NU7=0),25,0),INDEX('計算A'!EH$110:EH$114,$F7+1)+IF(AND($E7=1,NU7=0),1000,0)+IF($H7=1,(IF('計算A'!EG$117=1,INDEX('計算A'!EG$10:EG$54,$B7),0)+IF('計算A'!EH$117=1,INDEX('計算A'!EI$10:EI$54,$B7),0))*500,0)-IF(AND('計算A'!EG$117=1,ZE7&gt;0),300,0)-IF(AND($L7=1,'計算A'!EH$117=1,IG7=0),300,0))),1000000))</f>
        <v/>
      </c>
      <c r="TK7">
        <f>IF($B7=0,1000000,IF(INDEX('計算A'!$D$60:$EQ$104,$B7,136)*IG7=1,IF(AND($E7=2,NV7=0),1000000,IF($I7&gt;0,IF(6=$J7,IF(OR(AND(136=$I7+1,OR($K7&lt;&gt;'計算A'!$A$3,'計算A'!$A$4=0)),AND(136=$I7-1,OR(16&lt;&gt;'計算A'!$A$3,'計算A'!$A$4=0))),0,IF(16=$K7,200000,ABS(16-$K7)*100)),100000+ABS(6-$J7)*1000+160)+'計算A'!EI$5*50+IF(AND($E7=1,NV7=0),25,0),INDEX('計算A'!EI$110:EI$114,$F7+1)+IF(AND($E7=1,NV7=0),1000,0)+IF($H7=1,(IF('計算A'!EH$117=1,INDEX('計算A'!EH$10:EH$54,$B7),0)+IF('計算A'!EI$117=1,INDEX('計算A'!EJ$10:EJ$54,$B7),0))*500,0)-IF(AND('計算A'!EH$117=1,ZF7&gt;0),300,0)-IF(AND($L7=1,'計算A'!EI$117=1,IH7=0),300,0))),1000000))</f>
        <v/>
      </c>
      <c r="TL7">
        <f>IF($B7=0,1000000,IF(INDEX('計算A'!$D$60:$EQ$104,$B7,137)*IH7=1,IF(AND($E7=2,NW7=0),1000000,IF($I7&gt;0,IF(6=$J7,IF(OR(AND(137=$I7+1,OR($K7&lt;&gt;'計算A'!$A$3,'計算A'!$A$4=0)),AND(137=$I7-1,OR(17&lt;&gt;'計算A'!$A$3,'計算A'!$A$4=0))),0,IF(17=$K7,200000,ABS(17-$K7)*100)),100000+ABS(6-$J7)*1000+170)+'計算A'!EJ$5*50+IF(AND($E7=1,NW7=0),25,0),INDEX('計算A'!EJ$110:EJ$114,$F7+1)+IF(AND($E7=1,NW7=0),1000,0)+IF($H7=1,(IF('計算A'!EI$117=1,INDEX('計算A'!EI$10:EI$54,$B7),0)+IF('計算A'!EJ$117=1,INDEX('計算A'!EK$10:EK$54,$B7),0))*500,0)-IF(AND('計算A'!EI$117=1,ZG7&gt;0),300,0)-IF(AND($L7=1,'計算A'!EJ$117=1,II7=0),300,0))),1000000))</f>
        <v/>
      </c>
      <c r="TM7">
        <f>IF($B7=0,1000000,IF(INDEX('計算A'!$D$60:$EQ$104,$B7,138)*II7=1,IF(AND($E7=2,NX7=0),1000000,IF($I7&gt;0,IF(6=$J7,IF(OR(AND(138=$I7+1,OR($K7&lt;&gt;'計算A'!$A$3,'計算A'!$A$4=0)),AND(138=$I7-1,OR(18&lt;&gt;'計算A'!$A$3,'計算A'!$A$4=0))),0,IF(18=$K7,200000,ABS(18-$K7)*100)),100000+ABS(6-$J7)*1000+180)+'計算A'!EK$5*50+IF(AND($E7=1,NX7=0),25,0),INDEX('計算A'!EK$110:EK$114,$F7+1)+IF(AND($E7=1,NX7=0),1000,0)+IF($H7=1,(IF('計算A'!EJ$117=1,INDEX('計算A'!EJ$10:EJ$54,$B7),0)+IF('計算A'!EK$117=1,INDEX('計算A'!EL$10:EL$54,$B7),0))*500,0)-IF(AND('計算A'!EJ$117=1,ZH7&gt;0),300,0)-IF(AND($L7=1,'計算A'!EK$117=1,IJ7=0),300,0))),1000000))</f>
        <v/>
      </c>
      <c r="TN7">
        <f>IF($B7=0,1000000,IF(INDEX('計算A'!$D$60:$EQ$104,$B7,139)*IJ7=1,IF(AND($E7=2,NY7=0),1000000,IF($I7&gt;0,IF(6=$J7,IF(OR(AND(139=$I7+1,OR($K7&lt;&gt;'計算A'!$A$3,'計算A'!$A$4=0)),AND(139=$I7-1,OR(19&lt;&gt;'計算A'!$A$3,'計算A'!$A$4=0))),0,IF(19=$K7,200000,ABS(19-$K7)*100)),100000+ABS(6-$J7)*1000+190)+'計算A'!EL$5*50+IF(AND($E7=1,NY7=0),25,0),INDEX('計算A'!EL$110:EL$114,$F7+1)+IF(AND($E7=1,NY7=0),1000,0)+IF($H7=1,(IF('計算A'!EK$117=1,INDEX('計算A'!EK$10:EK$54,$B7),0)+IF('計算A'!EL$117=1,INDEX('計算A'!EM$10:EM$54,$B7),0))*500,0)-IF(AND('計算A'!EK$117=1,ZI7&gt;0),300,0)-IF(AND($L7=1,'計算A'!EL$117=1,IK7=0),300,0))),1000000))</f>
        <v/>
      </c>
      <c r="TO7">
        <f>IF($B7=0,1000000,IF(INDEX('計算A'!$D$60:$EQ$104,$B7,140)*IK7=1,IF(AND($E7=2,NZ7=0),1000000,IF($I7&gt;0,IF(6=$J7,IF(OR(AND(140=$I7+1,OR($K7&lt;&gt;'計算A'!$A$3,'計算A'!$A$4=0)),AND(140=$I7-1,OR(20&lt;&gt;'計算A'!$A$3,'計算A'!$A$4=0))),0,IF(20=$K7,200000,ABS(20-$K7)*100)),100000+ABS(6-$J7)*1000+200)+'計算A'!EM$5*50+IF(AND($E7=1,NZ7=0),25,0),INDEX('計算A'!EM$110:EM$114,$F7+1)+IF(AND($E7=1,NZ7=0),1000,0)+IF($H7=1,(IF('計算A'!EL$117=1,INDEX('計算A'!EL$10:EL$54,$B7),0)+IF('計算A'!EM$117=1,INDEX('計算A'!EN$10:EN$54,$B7),0))*500,0)-IF(AND('計算A'!EL$117=1,ZJ7&gt;0),300,0)-IF(AND($L7=1,'計算A'!EM$117=1,IL7=0),300,0))),1000000))</f>
        <v/>
      </c>
      <c r="TP7">
        <f>IF($B7=0,1000000,IF(INDEX('計算A'!$D$60:$EQ$104,$B7,141)*IL7=1,IF(AND($E7=2,OA7=0),1000000,IF($I7&gt;0,IF(6=$J7,IF(OR(AND(141=$I7+1,OR($K7&lt;&gt;'計算A'!$A$3,'計算A'!$A$4=0)),AND(141=$I7-1,OR(21&lt;&gt;'計算A'!$A$3,'計算A'!$A$4=0))),0,IF(21=$K7,200000,ABS(21-$K7)*100)),100000+ABS(6-$J7)*1000+210)+'計算A'!EN$5*50+IF(AND($E7=1,OA7=0),25,0),INDEX('計算A'!EN$110:EN$114,$F7+1)+IF(AND($E7=1,OA7=0),1000,0)+IF($H7=1,(IF('計算A'!EM$117=1,INDEX('計算A'!EM$10:EM$54,$B7),0)+IF('計算A'!EN$117=1,INDEX('計算A'!EO$10:EO$54,$B7),0))*500,0)-IF(AND('計算A'!EM$117=1,ZK7&gt;0),300,0)-IF(AND($L7=1,'計算A'!EN$117=1,IM7=0),300,0))),1000000))</f>
        <v/>
      </c>
      <c r="TQ7">
        <f>IF($B7=0,1000000,IF(INDEX('計算A'!$D$60:$EQ$104,$B7,142)*IM7=1,IF(AND($E7=2,OB7=0),1000000,IF($I7&gt;0,IF(6=$J7,IF(OR(AND(142=$I7+1,OR($K7&lt;&gt;'計算A'!$A$3,'計算A'!$A$4=0)),AND(142=$I7-1,OR(22&lt;&gt;'計算A'!$A$3,'計算A'!$A$4=0))),0,IF(22=$K7,200000,ABS(22-$K7)*100)),100000+ABS(6-$J7)*1000+220)+'計算A'!EO$5*50+IF(AND($E7=1,OB7=0),25,0),INDEX('計算A'!EO$110:EO$114,$F7+1)+IF(AND($E7=1,OB7=0),1000,0)+IF($H7=1,(IF('計算A'!EN$117=1,INDEX('計算A'!EN$10:EN$54,$B7),0)+IF('計算A'!EO$117=1,INDEX('計算A'!EP$10:EP$54,$B7),0))*500,0)-IF(AND('計算A'!EN$117=1,ZL7&gt;0),300,0)-IF(AND($L7=1,'計算A'!EO$117=1,IN7=0),300,0))),1000000))</f>
        <v/>
      </c>
      <c r="TR7">
        <f>IF($B7=0,1000000,IF(INDEX('計算A'!$D$60:$EQ$104,$B7,143)*IN7=1,IF(AND($E7=2,OC7=0),1000000,IF($I7&gt;0,IF(6=$J7,IF(OR(AND(143=$I7+1,OR($K7&lt;&gt;'計算A'!$A$3,'計算A'!$A$4=0)),AND(143=$I7-1,OR(23&lt;&gt;'計算A'!$A$3,'計算A'!$A$4=0))),0,IF(23=$K7,200000,ABS(23-$K7)*100)),100000+ABS(6-$J7)*1000+230)+'計算A'!EP$5*50+IF(AND($E7=1,OC7=0),25,0),INDEX('計算A'!EP$110:EP$114,$F7+1)+IF(AND($E7=1,OC7=0),1000,0)+IF($H7=1,(IF('計算A'!EO$117=1,INDEX('計算A'!EO$10:EO$54,$B7),0)+IF('計算A'!EP$117=1,INDEX('計算A'!EQ$10:EQ$54,$B7),0))*500,0)-IF(AND('計算A'!EO$117=1,ZM7&gt;0),300,0)-IF(AND($L7=1,'計算A'!EP$117=1,IO7=0),300,0))),1000000))</f>
        <v/>
      </c>
      <c r="TS7">
        <f>IF($B7=0,1000000,IF(INDEX('計算A'!$D$60:$EQ$104,$B7,144)*IO7=1,IF(AND($E7=2,OD7=0),1000000,IF($I7&gt;0,IF(6=$J7,IF(OR(AND(144=$I7+1,OR($K7&lt;&gt;'計算A'!$A$3,'計算A'!$A$4=0)),AND(144=$I7-1,OR(24&lt;&gt;'計算A'!$A$3,'計算A'!$A$4=0))),0,IF(24=$K7,200000,ABS(24-$K7)*100)),100000+ABS(6-$J7)*1000+240)+'計算A'!EQ$5*50+IF(AND($E7=1,OD7=0),25,0),INDEX('計算A'!EQ$110:EQ$114,$F7+1)+IF(AND($E7=1,OD7=0),1000,0)+IF($H7=1,(IF('計算A'!EP$117=1,INDEX('計算A'!EP$10:EP$54,$B7),0))*500,0)-IF(AND('計算A'!EP$117=1,ZN7&gt;0),300,0))),1000000))</f>
        <v/>
      </c>
      <c r="UB7">
        <f>UB6+IF(AND($C6=1,$L6=1),1,0)</f>
        <v/>
      </c>
      <c r="UC7">
        <f>UC6+IF(AND($C6=2,$L6=1),1,0)</f>
        <v/>
      </c>
      <c r="UD7">
        <f>UD6+IF(AND($C6=3,$L6=1),1,0)</f>
        <v/>
      </c>
      <c r="UE7">
        <f>UE6+IF(AND($C6=4,$L6=1),1,0)</f>
        <v/>
      </c>
      <c r="UF7">
        <f>UF6+IF(AND($C6=5,$L6=1),1,0)</f>
        <v/>
      </c>
      <c r="UG7">
        <f>UG6+IF(AND($C6=6,$L6=1),1,0)</f>
        <v/>
      </c>
      <c r="UH7">
        <f>UH6+IF(AND($C6=7,$L6=1),1,0)</f>
        <v/>
      </c>
      <c r="UI7">
        <f>UI6+IF(AND($C6=8,$L6=1),1,0)</f>
        <v/>
      </c>
      <c r="UJ7">
        <f>UJ6+IF(AND($C6=9,$L6=1),1,0)</f>
        <v/>
      </c>
      <c r="UK7">
        <f>UK6+IF(AND($C6=10,$L6=1),1,0)</f>
        <v/>
      </c>
      <c r="UL7">
        <f>UL6+IF(AND($C6=11,$L6=1),1,0)</f>
        <v/>
      </c>
      <c r="UM7">
        <f>UM6+IF(AND($C6=12,$L6=1),1,0)</f>
        <v/>
      </c>
      <c r="UN7">
        <f>UN6+IF(AND($C6=13,$L6=1),1,0)</f>
        <v/>
      </c>
      <c r="UO7">
        <f>UO6+IF(AND($C6=14,$L6=1),1,0)</f>
        <v/>
      </c>
      <c r="UP7">
        <f>UP6+IF(AND($C6=15,$L6=1),1,0)</f>
        <v/>
      </c>
      <c r="UQ7">
        <f>UQ6+IF(AND($C6=16,$L6=1),1,0)</f>
        <v/>
      </c>
      <c r="UR7">
        <f>UR6+IF(AND($C6=17,$L6=1),1,0)</f>
        <v/>
      </c>
      <c r="US7">
        <f>US6+IF(AND($C6=18,$L6=1),1,0)</f>
        <v/>
      </c>
      <c r="UT7">
        <f>UT6+IF(AND($C6=19,$L6=1),1,0)</f>
        <v/>
      </c>
      <c r="UU7">
        <f>UU6+IF(AND($C6=20,$L6=1),1,0)</f>
        <v/>
      </c>
      <c r="UV7">
        <f>UV6+IF(AND($C6=21,$L6=1),1,0)</f>
        <v/>
      </c>
      <c r="UW7">
        <f>UW6+IF(AND($C6=22,$L6=1),1,0)</f>
        <v/>
      </c>
      <c r="UX7">
        <f>UX6+IF(AND($C6=23,$L6=1),1,0)</f>
        <v/>
      </c>
      <c r="UY7">
        <f>UY6+IF(AND($C6=24,$L6=1),1,0)</f>
        <v/>
      </c>
      <c r="UZ7">
        <f>UZ6+IF(AND($C6=25,$L6=1),1,0)</f>
        <v/>
      </c>
      <c r="VA7">
        <f>VA6+IF(AND($C6=26,$L6=1),1,0)</f>
        <v/>
      </c>
      <c r="VB7">
        <f>VB6+IF(AND($C6=27,$L6=1),1,0)</f>
        <v/>
      </c>
      <c r="VC7">
        <f>VC6+IF(AND($C6=28,$L6=1),1,0)</f>
        <v/>
      </c>
      <c r="VD7">
        <f>VD6+IF(AND($C6=29,$L6=1),1,0)</f>
        <v/>
      </c>
      <c r="VE7">
        <f>VE6+IF(AND($C6=30,$L6=1),1,0)</f>
        <v/>
      </c>
      <c r="VF7">
        <f>VF6+IF(AND($C6=31,$L6=1),1,0)</f>
        <v/>
      </c>
      <c r="VG7">
        <f>VG6+IF(AND($C6=32,$L6=1),1,0)</f>
        <v/>
      </c>
      <c r="VH7">
        <f>VH6+IF(AND($C6=33,$L6=1),1,0)</f>
        <v/>
      </c>
      <c r="VI7">
        <f>VI6+IF(AND($C6=34,$L6=1),1,0)</f>
        <v/>
      </c>
      <c r="VJ7">
        <f>VJ6+IF(AND($C6=35,$L6=1),1,0)</f>
        <v/>
      </c>
      <c r="VK7">
        <f>VK6+IF(AND($C6=36,$L6=1),1,0)</f>
        <v/>
      </c>
      <c r="VL7">
        <f>VL6+IF(AND($C6=37,$L6=1),1,0)</f>
        <v/>
      </c>
      <c r="VM7">
        <f>VM6+IF(AND($C6=38,$L6=1),1,0)</f>
        <v/>
      </c>
      <c r="VN7">
        <f>VN6+IF(AND($C6=39,$L6=1),1,0)</f>
        <v/>
      </c>
      <c r="VO7">
        <f>VO6+IF(AND($C6=40,$L6=1),1,0)</f>
        <v/>
      </c>
      <c r="VP7">
        <f>VP6+IF(AND($C6=41,$L6=1),1,0)</f>
        <v/>
      </c>
      <c r="VQ7">
        <f>VQ6+IF(AND($C6=42,$L6=1),1,0)</f>
        <v/>
      </c>
      <c r="VR7">
        <f>VR6+IF(AND($C6=43,$L6=1),1,0)</f>
        <v/>
      </c>
      <c r="VS7">
        <f>VS6+IF(AND($C6=44,$L6=1),1,0)</f>
        <v/>
      </c>
      <c r="VT7">
        <f>VT6+IF(AND($C6=45,$L6=1),1,0)</f>
        <v/>
      </c>
      <c r="VU7">
        <f>VU6+IF(AND($C6=46,$L6=1),1,0)</f>
        <v/>
      </c>
      <c r="VV7">
        <f>VV6+IF(AND($C6=47,$L6=1),1,0)</f>
        <v/>
      </c>
      <c r="VW7">
        <f>VW6+IF(AND($C6=48,$L6=1),1,0)</f>
        <v/>
      </c>
      <c r="VX7">
        <f>VX6+IF(AND($C6=49,$L6=1),1,0)</f>
        <v/>
      </c>
      <c r="VY7">
        <f>VY6+IF(AND($C6=50,$L6=1),1,0)</f>
        <v/>
      </c>
      <c r="VZ7">
        <f>VZ6+IF(AND($C6=51,$L6=1),1,0)</f>
        <v/>
      </c>
      <c r="WA7">
        <f>WA6+IF(AND($C6=52,$L6=1),1,0)</f>
        <v/>
      </c>
      <c r="WB7">
        <f>WB6+IF(AND($C6=53,$L6=1),1,0)</f>
        <v/>
      </c>
      <c r="WC7">
        <f>WC6+IF(AND($C6=54,$L6=1),1,0)</f>
        <v/>
      </c>
      <c r="WD7">
        <f>WD6+IF(AND($C6=55,$L6=1),1,0)</f>
        <v/>
      </c>
      <c r="WE7">
        <f>WE6+IF(AND($C6=56,$L6=1),1,0)</f>
        <v/>
      </c>
      <c r="WF7">
        <f>WF6+IF(AND($C6=57,$L6=1),1,0)</f>
        <v/>
      </c>
      <c r="WG7">
        <f>WG6+IF(AND($C6=58,$L6=1),1,0)</f>
        <v/>
      </c>
      <c r="WH7">
        <f>WH6+IF(AND($C6=59,$L6=1),1,0)</f>
        <v/>
      </c>
      <c r="WI7">
        <f>WI6+IF(AND($C6=60,$L6=1),1,0)</f>
        <v/>
      </c>
      <c r="WJ7">
        <f>WJ6+IF(AND($C6=61,$L6=1),1,0)</f>
        <v/>
      </c>
      <c r="WK7">
        <f>WK6+IF(AND($C6=62,$L6=1),1,0)</f>
        <v/>
      </c>
      <c r="WL7">
        <f>WL6+IF(AND($C6=63,$L6=1),1,0)</f>
        <v/>
      </c>
      <c r="WM7">
        <f>WM6+IF(AND($C6=64,$L6=1),1,0)</f>
        <v/>
      </c>
      <c r="WN7">
        <f>WN6+IF(AND($C6=65,$L6=1),1,0)</f>
        <v/>
      </c>
      <c r="WO7">
        <f>WO6+IF(AND($C6=66,$L6=1),1,0)</f>
        <v/>
      </c>
      <c r="WP7">
        <f>WP6+IF(AND($C6=67,$L6=1),1,0)</f>
        <v/>
      </c>
      <c r="WQ7">
        <f>WQ6+IF(AND($C6=68,$L6=1),1,0)</f>
        <v/>
      </c>
      <c r="WR7">
        <f>WR6+IF(AND($C6=69,$L6=1),1,0)</f>
        <v/>
      </c>
      <c r="WS7">
        <f>WS6+IF(AND($C6=70,$L6=1),1,0)</f>
        <v/>
      </c>
      <c r="WT7">
        <f>WT6+IF(AND($C6=71,$L6=1),1,0)</f>
        <v/>
      </c>
      <c r="WU7">
        <f>WU6+IF(AND($C6=72,$L6=1),1,0)</f>
        <v/>
      </c>
      <c r="WV7">
        <f>WV6+IF(AND($C6=73,$L6=1),1,0)</f>
        <v/>
      </c>
      <c r="WW7">
        <f>WW6+IF(AND($C6=74,$L6=1),1,0)</f>
        <v/>
      </c>
      <c r="WX7">
        <f>WX6+IF(AND($C6=75,$L6=1),1,0)</f>
        <v/>
      </c>
      <c r="WY7">
        <f>WY6+IF(AND($C6=76,$L6=1),1,0)</f>
        <v/>
      </c>
      <c r="WZ7">
        <f>WZ6+IF(AND($C6=77,$L6=1),1,0)</f>
        <v/>
      </c>
      <c r="XA7">
        <f>XA6+IF(AND($C6=78,$L6=1),1,0)</f>
        <v/>
      </c>
      <c r="XB7">
        <f>XB6+IF(AND($C6=79,$L6=1),1,0)</f>
        <v/>
      </c>
      <c r="XC7">
        <f>XC6+IF(AND($C6=80,$L6=1),1,0)</f>
        <v/>
      </c>
      <c r="XD7">
        <f>XD6+IF(AND($C6=81,$L6=1),1,0)</f>
        <v/>
      </c>
      <c r="XE7">
        <f>XE6+IF(AND($C6=82,$L6=1),1,0)</f>
        <v/>
      </c>
      <c r="XF7">
        <f>XF6+IF(AND($C6=83,$L6=1),1,0)</f>
        <v/>
      </c>
      <c r="XG7">
        <f>XG6+IF(AND($C6=84,$L6=1),1,0)</f>
        <v/>
      </c>
      <c r="XH7">
        <f>XH6+IF(AND($C6=85,$L6=1),1,0)</f>
        <v/>
      </c>
      <c r="XI7">
        <f>XI6+IF(AND($C6=86,$L6=1),1,0)</f>
        <v/>
      </c>
      <c r="XJ7">
        <f>XJ6+IF(AND($C6=87,$L6=1),1,0)</f>
        <v/>
      </c>
      <c r="XK7">
        <f>XK6+IF(AND($C6=88,$L6=1),1,0)</f>
        <v/>
      </c>
      <c r="XL7">
        <f>XL6+IF(AND($C6=89,$L6=1),1,0)</f>
        <v/>
      </c>
      <c r="XM7">
        <f>XM6+IF(AND($C6=90,$L6=1),1,0)</f>
        <v/>
      </c>
      <c r="XN7">
        <f>XN6+IF(AND($C6=91,$L6=1),1,0)</f>
        <v/>
      </c>
      <c r="XO7">
        <f>XO6+IF(AND($C6=92,$L6=1),1,0)</f>
        <v/>
      </c>
      <c r="XP7">
        <f>XP6+IF(AND($C6=93,$L6=1),1,0)</f>
        <v/>
      </c>
      <c r="XQ7">
        <f>XQ6+IF(AND($C6=94,$L6=1),1,0)</f>
        <v/>
      </c>
      <c r="XR7">
        <f>XR6+IF(AND($C6=95,$L6=1),1,0)</f>
        <v/>
      </c>
      <c r="XS7">
        <f>XS6+IF(AND($C6=96,$L6=1),1,0)</f>
        <v/>
      </c>
      <c r="XT7">
        <f>XT6+IF(AND($C6=97,$L6=1),1,0)</f>
        <v/>
      </c>
      <c r="XU7">
        <f>XU6+IF(AND($C6=98,$L6=1),1,0)</f>
        <v/>
      </c>
      <c r="XV7">
        <f>XV6+IF(AND($C6=99,$L6=1),1,0)</f>
        <v/>
      </c>
      <c r="XW7">
        <f>XW6+IF(AND($C6=100,$L6=1),1,0)</f>
        <v/>
      </c>
      <c r="XX7">
        <f>XX6+IF(AND($C6=101,$L6=1),1,0)</f>
        <v/>
      </c>
      <c r="XY7">
        <f>XY6+IF(AND($C6=102,$L6=1),1,0)</f>
        <v/>
      </c>
      <c r="XZ7">
        <f>XZ6+IF(AND($C6=103,$L6=1),1,0)</f>
        <v/>
      </c>
      <c r="YA7">
        <f>YA6+IF(AND($C6=104,$L6=1),1,0)</f>
        <v/>
      </c>
      <c r="YB7">
        <f>YB6+IF(AND($C6=105,$L6=1),1,0)</f>
        <v/>
      </c>
      <c r="YC7">
        <f>YC6+IF(AND($C6=106,$L6=1),1,0)</f>
        <v/>
      </c>
      <c r="YD7">
        <f>YD6+IF(AND($C6=107,$L6=1),1,0)</f>
        <v/>
      </c>
      <c r="YE7">
        <f>YE6+IF(AND($C6=108,$L6=1),1,0)</f>
        <v/>
      </c>
      <c r="YF7">
        <f>YF6+IF(AND($C6=109,$L6=1),1,0)</f>
        <v/>
      </c>
      <c r="YG7">
        <f>YG6+IF(AND($C6=110,$L6=1),1,0)</f>
        <v/>
      </c>
      <c r="YH7">
        <f>YH6+IF(AND($C6=111,$L6=1),1,0)</f>
        <v/>
      </c>
      <c r="YI7">
        <f>YI6+IF(AND($C6=112,$L6=1),1,0)</f>
        <v/>
      </c>
      <c r="YJ7">
        <f>YJ6+IF(AND($C6=113,$L6=1),1,0)</f>
        <v/>
      </c>
      <c r="YK7">
        <f>YK6+IF(AND($C6=114,$L6=1),1,0)</f>
        <v/>
      </c>
      <c r="YL7">
        <f>YL6+IF(AND($C6=115,$L6=1),1,0)</f>
        <v/>
      </c>
      <c r="YM7">
        <f>YM6+IF(AND($C6=116,$L6=1),1,0)</f>
        <v/>
      </c>
      <c r="YN7">
        <f>YN6+IF(AND($C6=117,$L6=1),1,0)</f>
        <v/>
      </c>
      <c r="YO7">
        <f>YO6+IF(AND($C6=118,$L6=1),1,0)</f>
        <v/>
      </c>
      <c r="YP7">
        <f>YP6+IF(AND($C6=119,$L6=1),1,0)</f>
        <v/>
      </c>
      <c r="YQ7">
        <f>YQ6+IF(AND($C6=120,$L6=1),1,0)</f>
        <v/>
      </c>
      <c r="YR7">
        <f>YR6+IF(AND($C6=121,$L6=1),1,0)</f>
        <v/>
      </c>
      <c r="YS7">
        <f>YS6+IF(AND($C6=122,$L6=1),1,0)</f>
        <v/>
      </c>
      <c r="YT7">
        <f>YT6+IF(AND($C6=123,$L6=1),1,0)</f>
        <v/>
      </c>
      <c r="YU7">
        <f>YU6+IF(AND($C6=124,$L6=1),1,0)</f>
        <v/>
      </c>
      <c r="YV7">
        <f>YV6+IF(AND($C6=125,$L6=1),1,0)</f>
        <v/>
      </c>
      <c r="YW7">
        <f>YW6+IF(AND($C6=126,$L6=1),1,0)</f>
        <v/>
      </c>
      <c r="YX7">
        <f>YX6+IF(AND($C6=127,$L6=1),1,0)</f>
        <v/>
      </c>
      <c r="YY7">
        <f>YY6+IF(AND($C6=128,$L6=1),1,0)</f>
        <v/>
      </c>
      <c r="YZ7">
        <f>YZ6+IF(AND($C6=129,$L6=1),1,0)</f>
        <v/>
      </c>
      <c r="ZA7">
        <f>ZA6+IF(AND($C6=130,$L6=1),1,0)</f>
        <v/>
      </c>
      <c r="ZB7">
        <f>ZB6+IF(AND($C6=131,$L6=1),1,0)</f>
        <v/>
      </c>
      <c r="ZC7">
        <f>ZC6+IF(AND($C6=132,$L6=1),1,0)</f>
        <v/>
      </c>
      <c r="ZD7">
        <f>ZD6+IF(AND($C6=133,$L6=1),1,0)</f>
        <v/>
      </c>
      <c r="ZE7">
        <f>ZE6+IF(AND($C6=134,$L6=1),1,0)</f>
        <v/>
      </c>
      <c r="ZF7">
        <f>ZF6+IF(AND($C6=135,$L6=1),1,0)</f>
        <v/>
      </c>
      <c r="ZG7">
        <f>ZG6+IF(AND($C6=136,$L6=1),1,0)</f>
        <v/>
      </c>
      <c r="ZH7">
        <f>ZH6+IF(AND($C6=137,$L6=1),1,0)</f>
        <v/>
      </c>
      <c r="ZI7">
        <f>ZI6+IF(AND($C6=138,$L6=1),1,0)</f>
        <v/>
      </c>
      <c r="ZJ7">
        <f>ZJ6+IF(AND($C6=139,$L6=1),1,0)</f>
        <v/>
      </c>
      <c r="ZK7">
        <f>ZK6+IF(AND($C6=140,$L6=1),1,0)</f>
        <v/>
      </c>
      <c r="ZL7">
        <f>ZL6+IF(AND($C6=141,$L6=1),1,0)</f>
        <v/>
      </c>
      <c r="ZM7">
        <f>ZM6+IF(AND($C6=142,$L6=1),1,0)</f>
        <v/>
      </c>
      <c r="ZN7">
        <f>ZN6+IF(AND($C6=143,$L6=1),1,0)</f>
        <v/>
      </c>
      <c r="ZO7">
        <f>ZO6+IF(AND($C6=144,$L6=1),1,0)</f>
        <v/>
      </c>
    </row>
    <row r="8">
      <c r="A8" t="n">
        <v>6</v>
      </c>
      <c r="B8">
        <f>IF(MIN(BH8:CZ8)&gt;=1000000,0,MATCH(MIN(BH8:CZ8),BH8:CZ8,0))</f>
        <v/>
      </c>
      <c r="C8">
        <f>IF(MIN(OF8:TS8)&gt;=1000000,0,MATCH(MIN(OF8:TS8),OF8:TS8,0))</f>
        <v/>
      </c>
      <c r="D8">
        <f>IF(C8&gt;0,INDEX('計算A'!$D$5:$EQ$5,C8),0)</f>
        <v/>
      </c>
      <c r="E8">
        <f>IF(B8=0,0,INDEX('計算A'!$IQ$10:$IQ$54,B8))</f>
        <v/>
      </c>
      <c r="F8">
        <f>IF(B8=0,0,INDEX('計算A'!$IP$10:$IP$54,B8))</f>
        <v/>
      </c>
      <c r="G8">
        <f>IF(AND(C8&gt;0,E8&gt;0),IF(AND(INDEX('計算A'!$D$106:$EQ$106,C8)=1,INDEX($IQ8:$OD8,C8)=1),C8+1,0),0)</f>
        <v/>
      </c>
      <c r="H8">
        <f>IF(B8=0,0,INDEX('計算A'!$IW$10:$IW$54,B8))</f>
        <v/>
      </c>
      <c r="I8">
        <f>IF(B8=0,0,MAX(0,INDEX('計算A'!$IT$10:$IT$54,B8)))</f>
        <v/>
      </c>
      <c r="J8">
        <f>IF(I8=0,0,INDEX('計算A'!$D$2:$EQ$2,I8))</f>
        <v/>
      </c>
      <c r="K8">
        <f>IF(I8=0,0,INDEX('計算A'!$D$3:$EQ$3,I8))</f>
        <v/>
      </c>
      <c r="L8">
        <f>IF(B8=0,0,INDEX('計算A'!$IX$10:$IX$54,B8))</f>
        <v/>
      </c>
      <c r="N8">
        <f>MAX(N7,IF($B7=1,1,0))</f>
        <v/>
      </c>
      <c r="O8">
        <f>MAX(O7,IF($B7=2,1,0))</f>
        <v/>
      </c>
      <c r="P8">
        <f>MAX(P7,IF($B7=3,1,0))</f>
        <v/>
      </c>
      <c r="Q8">
        <f>MAX(Q7,IF($B7=4,1,0))</f>
        <v/>
      </c>
      <c r="R8">
        <f>MAX(R7,IF($B7=5,1,0))</f>
        <v/>
      </c>
      <c r="S8">
        <f>MAX(S7,IF($B7=6,1,0))</f>
        <v/>
      </c>
      <c r="T8">
        <f>MAX(T7,IF($B7=7,1,0))</f>
        <v/>
      </c>
      <c r="U8">
        <f>MAX(U7,IF($B7=8,1,0))</f>
        <v/>
      </c>
      <c r="V8">
        <f>MAX(V7,IF($B7=9,1,0))</f>
        <v/>
      </c>
      <c r="W8">
        <f>MAX(W7,IF($B7=10,1,0))</f>
        <v/>
      </c>
      <c r="X8">
        <f>MAX(X7,IF($B7=11,1,0))</f>
        <v/>
      </c>
      <c r="Y8">
        <f>MAX(Y7,IF($B7=12,1,0))</f>
        <v/>
      </c>
      <c r="Z8">
        <f>MAX(Z7,IF($B7=13,1,0))</f>
        <v/>
      </c>
      <c r="AA8">
        <f>MAX(AA7,IF($B7=14,1,0))</f>
        <v/>
      </c>
      <c r="AB8">
        <f>MAX(AB7,IF($B7=15,1,0))</f>
        <v/>
      </c>
      <c r="AC8">
        <f>MAX(AC7,IF($B7=16,1,0))</f>
        <v/>
      </c>
      <c r="AD8">
        <f>MAX(AD7,IF($B7=17,1,0))</f>
        <v/>
      </c>
      <c r="AE8">
        <f>MAX(AE7,IF($B7=18,1,0))</f>
        <v/>
      </c>
      <c r="AF8">
        <f>MAX(AF7,IF($B7=19,1,0))</f>
        <v/>
      </c>
      <c r="AG8">
        <f>MAX(AG7,IF($B7=20,1,0))</f>
        <v/>
      </c>
      <c r="AH8">
        <f>MAX(AH7,IF($B7=21,1,0))</f>
        <v/>
      </c>
      <c r="AI8">
        <f>MAX(AI7,IF($B7=22,1,0))</f>
        <v/>
      </c>
      <c r="AJ8">
        <f>MAX(AJ7,IF($B7=23,1,0))</f>
        <v/>
      </c>
      <c r="AK8">
        <f>MAX(AK7,IF($B7=24,1,0))</f>
        <v/>
      </c>
      <c r="AL8">
        <f>MAX(AL7,IF($B7=25,1,0))</f>
        <v/>
      </c>
      <c r="AM8">
        <f>MAX(AM7,IF($B7=26,1,0))</f>
        <v/>
      </c>
      <c r="AN8">
        <f>MAX(AN7,IF($B7=27,1,0))</f>
        <v/>
      </c>
      <c r="AO8">
        <f>MAX(AO7,IF($B7=28,1,0))</f>
        <v/>
      </c>
      <c r="AP8">
        <f>MAX(AP7,IF($B7=29,1,0))</f>
        <v/>
      </c>
      <c r="AQ8">
        <f>MAX(AQ7,IF($B7=30,1,0))</f>
        <v/>
      </c>
      <c r="AR8">
        <f>MAX(AR7,IF($B7=31,1,0))</f>
        <v/>
      </c>
      <c r="AS8">
        <f>MAX(AS7,IF($B7=32,1,0))</f>
        <v/>
      </c>
      <c r="AT8">
        <f>MAX(AT7,IF($B7=33,1,0))</f>
        <v/>
      </c>
      <c r="AU8">
        <f>MAX(AU7,IF($B7=34,1,0))</f>
        <v/>
      </c>
      <c r="AV8">
        <f>MAX(AV7,IF($B7=35,1,0))</f>
        <v/>
      </c>
      <c r="AW8">
        <f>MAX(AW7,IF($B7=36,1,0))</f>
        <v/>
      </c>
      <c r="AX8">
        <f>MAX(AX7,IF($B7=37,1,0))</f>
        <v/>
      </c>
      <c r="AY8">
        <f>MAX(AY7,IF($B7=38,1,0))</f>
        <v/>
      </c>
      <c r="AZ8">
        <f>MAX(AZ7,IF($B7=39,1,0))</f>
        <v/>
      </c>
      <c r="BA8">
        <f>MAX(BA7,IF($B7=40,1,0))</f>
        <v/>
      </c>
      <c r="BB8">
        <f>MAX(BB7,IF($B7=41,1,0))</f>
        <v/>
      </c>
      <c r="BC8">
        <f>MAX(BC7,IF($B7=42,1,0))</f>
        <v/>
      </c>
      <c r="BD8">
        <f>MAX(BD7,IF($B7=43,1,0))</f>
        <v/>
      </c>
      <c r="BE8">
        <f>MAX(BE7,IF($B7=44,1,0))</f>
        <v/>
      </c>
      <c r="BF8">
        <f>MAX(BF7,IF($B7=45,1,0))</f>
        <v/>
      </c>
      <c r="BH8">
        <f>IF(N8=1,1000000,IF('計算A'!$IT$10&gt;0,0,500000)+IF('計算A'!$IQ$10=2,SUMPRODUCT('計算A'!$D$60:$EQ$60,$DB8:$IO8,$IQ8:$OD8),SUMPRODUCT('計算A'!$D$60:$EQ$60,$DB8:$IO8))*1000+1)</f>
        <v/>
      </c>
      <c r="BI8">
        <f>IF(O8=1,1000000,IF('計算A'!$IT$11&gt;0,0,500000)+IF('計算A'!$IQ$11=2,SUMPRODUCT('計算A'!$D$61:$EQ$61,$DB8:$IO8,$IQ8:$OD8),SUMPRODUCT('計算A'!$D$61:$EQ$61,$DB8:$IO8))*1000+2)</f>
        <v/>
      </c>
      <c r="BJ8">
        <f>IF(P8=1,1000000,IF('計算A'!$IT$12&gt;0,0,500000)+IF('計算A'!$IQ$12=2,SUMPRODUCT('計算A'!$D$62:$EQ$62,$DB8:$IO8,$IQ8:$OD8),SUMPRODUCT('計算A'!$D$62:$EQ$62,$DB8:$IO8))*1000+3)</f>
        <v/>
      </c>
      <c r="BK8">
        <f>IF(Q8=1,1000000,IF('計算A'!$IT$13&gt;0,0,500000)+IF('計算A'!$IQ$13=2,SUMPRODUCT('計算A'!$D$63:$EQ$63,$DB8:$IO8,$IQ8:$OD8),SUMPRODUCT('計算A'!$D$63:$EQ$63,$DB8:$IO8))*1000+4)</f>
        <v/>
      </c>
      <c r="BL8">
        <f>IF(R8=1,1000000,IF('計算A'!$IT$14&gt;0,0,500000)+IF('計算A'!$IQ$14=2,SUMPRODUCT('計算A'!$D$64:$EQ$64,$DB8:$IO8,$IQ8:$OD8),SUMPRODUCT('計算A'!$D$64:$EQ$64,$DB8:$IO8))*1000+5)</f>
        <v/>
      </c>
      <c r="BM8">
        <f>IF(S8=1,1000000,IF('計算A'!$IT$15&gt;0,0,500000)+IF('計算A'!$IQ$15=2,SUMPRODUCT('計算A'!$D$65:$EQ$65,$DB8:$IO8,$IQ8:$OD8),SUMPRODUCT('計算A'!$D$65:$EQ$65,$DB8:$IO8))*1000+6)</f>
        <v/>
      </c>
      <c r="BN8">
        <f>IF(T8=1,1000000,IF('計算A'!$IT$16&gt;0,0,500000)+IF('計算A'!$IQ$16=2,SUMPRODUCT('計算A'!$D$66:$EQ$66,$DB8:$IO8,$IQ8:$OD8),SUMPRODUCT('計算A'!$D$66:$EQ$66,$DB8:$IO8))*1000+7)</f>
        <v/>
      </c>
      <c r="BO8">
        <f>IF(U8=1,1000000,IF('計算A'!$IT$17&gt;0,0,500000)+IF('計算A'!$IQ$17=2,SUMPRODUCT('計算A'!$D$67:$EQ$67,$DB8:$IO8,$IQ8:$OD8),SUMPRODUCT('計算A'!$D$67:$EQ$67,$DB8:$IO8))*1000+8)</f>
        <v/>
      </c>
      <c r="BP8">
        <f>IF(V8=1,1000000,IF('計算A'!$IT$18&gt;0,0,500000)+IF('計算A'!$IQ$18=2,SUMPRODUCT('計算A'!$D$68:$EQ$68,$DB8:$IO8,$IQ8:$OD8),SUMPRODUCT('計算A'!$D$68:$EQ$68,$DB8:$IO8))*1000+9)</f>
        <v/>
      </c>
      <c r="BQ8">
        <f>IF(W8=1,1000000,IF('計算A'!$IT$19&gt;0,0,500000)+IF('計算A'!$IQ$19=2,SUMPRODUCT('計算A'!$D$69:$EQ$69,$DB8:$IO8,$IQ8:$OD8),SUMPRODUCT('計算A'!$D$69:$EQ$69,$DB8:$IO8))*1000+10)</f>
        <v/>
      </c>
      <c r="BR8">
        <f>IF(X8=1,1000000,IF('計算A'!$IT$20&gt;0,0,500000)+IF('計算A'!$IQ$20=2,SUMPRODUCT('計算A'!$D$70:$EQ$70,$DB8:$IO8,$IQ8:$OD8),SUMPRODUCT('計算A'!$D$70:$EQ$70,$DB8:$IO8))*1000+11)</f>
        <v/>
      </c>
      <c r="BS8">
        <f>IF(Y8=1,1000000,IF('計算A'!$IT$21&gt;0,0,500000)+IF('計算A'!$IQ$21=2,SUMPRODUCT('計算A'!$D$71:$EQ$71,$DB8:$IO8,$IQ8:$OD8),SUMPRODUCT('計算A'!$D$71:$EQ$71,$DB8:$IO8))*1000+12)</f>
        <v/>
      </c>
      <c r="BT8">
        <f>IF(Z8=1,1000000,IF('計算A'!$IT$22&gt;0,0,500000)+IF('計算A'!$IQ$22=2,SUMPRODUCT('計算A'!$D$72:$EQ$72,$DB8:$IO8,$IQ8:$OD8),SUMPRODUCT('計算A'!$D$72:$EQ$72,$DB8:$IO8))*1000+13)</f>
        <v/>
      </c>
      <c r="BU8">
        <f>IF(AA8=1,1000000,IF('計算A'!$IT$23&gt;0,0,500000)+IF('計算A'!$IQ$23=2,SUMPRODUCT('計算A'!$D$73:$EQ$73,$DB8:$IO8,$IQ8:$OD8),SUMPRODUCT('計算A'!$D$73:$EQ$73,$DB8:$IO8))*1000+14)</f>
        <v/>
      </c>
      <c r="BV8">
        <f>IF(AB8=1,1000000,IF('計算A'!$IT$24&gt;0,0,500000)+IF('計算A'!$IQ$24=2,SUMPRODUCT('計算A'!$D$74:$EQ$74,$DB8:$IO8,$IQ8:$OD8),SUMPRODUCT('計算A'!$D$74:$EQ$74,$DB8:$IO8))*1000+15)</f>
        <v/>
      </c>
      <c r="BW8">
        <f>IF(AC8=1,1000000,IF('計算A'!$IT$25&gt;0,0,500000)+IF('計算A'!$IQ$25=2,SUMPRODUCT('計算A'!$D$75:$EQ$75,$DB8:$IO8,$IQ8:$OD8),SUMPRODUCT('計算A'!$D$75:$EQ$75,$DB8:$IO8))*1000+16)</f>
        <v/>
      </c>
      <c r="BX8">
        <f>IF(AD8=1,1000000,IF('計算A'!$IT$26&gt;0,0,500000)+IF('計算A'!$IQ$26=2,SUMPRODUCT('計算A'!$D$76:$EQ$76,$DB8:$IO8,$IQ8:$OD8),SUMPRODUCT('計算A'!$D$76:$EQ$76,$DB8:$IO8))*1000+17)</f>
        <v/>
      </c>
      <c r="BY8">
        <f>IF(AE8=1,1000000,IF('計算A'!$IT$27&gt;0,0,500000)+IF('計算A'!$IQ$27=2,SUMPRODUCT('計算A'!$D$77:$EQ$77,$DB8:$IO8,$IQ8:$OD8),SUMPRODUCT('計算A'!$D$77:$EQ$77,$DB8:$IO8))*1000+18)</f>
        <v/>
      </c>
      <c r="BZ8">
        <f>IF(AF8=1,1000000,IF('計算A'!$IT$28&gt;0,0,500000)+IF('計算A'!$IQ$28=2,SUMPRODUCT('計算A'!$D$78:$EQ$78,$DB8:$IO8,$IQ8:$OD8),SUMPRODUCT('計算A'!$D$78:$EQ$78,$DB8:$IO8))*1000+19)</f>
        <v/>
      </c>
      <c r="CA8">
        <f>IF(AG8=1,1000000,IF('計算A'!$IT$29&gt;0,0,500000)+IF('計算A'!$IQ$29=2,SUMPRODUCT('計算A'!$D$79:$EQ$79,$DB8:$IO8,$IQ8:$OD8),SUMPRODUCT('計算A'!$D$79:$EQ$79,$DB8:$IO8))*1000+20)</f>
        <v/>
      </c>
      <c r="CB8">
        <f>IF(AH8=1,1000000,IF('計算A'!$IT$30&gt;0,0,500000)+IF('計算A'!$IQ$30=2,SUMPRODUCT('計算A'!$D$80:$EQ$80,$DB8:$IO8,$IQ8:$OD8),SUMPRODUCT('計算A'!$D$80:$EQ$80,$DB8:$IO8))*1000+21)</f>
        <v/>
      </c>
      <c r="CC8">
        <f>IF(AI8=1,1000000,IF('計算A'!$IT$31&gt;0,0,500000)+IF('計算A'!$IQ$31=2,SUMPRODUCT('計算A'!$D$81:$EQ$81,$DB8:$IO8,$IQ8:$OD8),SUMPRODUCT('計算A'!$D$81:$EQ$81,$DB8:$IO8))*1000+22)</f>
        <v/>
      </c>
      <c r="CD8">
        <f>IF(AJ8=1,1000000,IF('計算A'!$IT$32&gt;0,0,500000)+IF('計算A'!$IQ$32=2,SUMPRODUCT('計算A'!$D$82:$EQ$82,$DB8:$IO8,$IQ8:$OD8),SUMPRODUCT('計算A'!$D$82:$EQ$82,$DB8:$IO8))*1000+23)</f>
        <v/>
      </c>
      <c r="CE8">
        <f>IF(AK8=1,1000000,IF('計算A'!$IT$33&gt;0,0,500000)+IF('計算A'!$IQ$33=2,SUMPRODUCT('計算A'!$D$83:$EQ$83,$DB8:$IO8,$IQ8:$OD8),SUMPRODUCT('計算A'!$D$83:$EQ$83,$DB8:$IO8))*1000+24)</f>
        <v/>
      </c>
      <c r="CF8">
        <f>IF(AL8=1,1000000,IF('計算A'!$IT$34&gt;0,0,500000)+IF('計算A'!$IQ$34=2,SUMPRODUCT('計算A'!$D$84:$EQ$84,$DB8:$IO8,$IQ8:$OD8),SUMPRODUCT('計算A'!$D$84:$EQ$84,$DB8:$IO8))*1000+25)</f>
        <v/>
      </c>
      <c r="CG8">
        <f>IF(AM8=1,1000000,IF('計算A'!$IT$35&gt;0,0,500000)+IF('計算A'!$IQ$35=2,SUMPRODUCT('計算A'!$D$85:$EQ$85,$DB8:$IO8,$IQ8:$OD8),SUMPRODUCT('計算A'!$D$85:$EQ$85,$DB8:$IO8))*1000+26)</f>
        <v/>
      </c>
      <c r="CH8">
        <f>IF(AN8=1,1000000,IF('計算A'!$IT$36&gt;0,0,500000)+IF('計算A'!$IQ$36=2,SUMPRODUCT('計算A'!$D$86:$EQ$86,$DB8:$IO8,$IQ8:$OD8),SUMPRODUCT('計算A'!$D$86:$EQ$86,$DB8:$IO8))*1000+27)</f>
        <v/>
      </c>
      <c r="CI8">
        <f>IF(AO8=1,1000000,IF('計算A'!$IT$37&gt;0,0,500000)+IF('計算A'!$IQ$37=2,SUMPRODUCT('計算A'!$D$87:$EQ$87,$DB8:$IO8,$IQ8:$OD8),SUMPRODUCT('計算A'!$D$87:$EQ$87,$DB8:$IO8))*1000+28)</f>
        <v/>
      </c>
      <c r="CJ8">
        <f>IF(AP8=1,1000000,IF('計算A'!$IT$38&gt;0,0,500000)+IF('計算A'!$IQ$38=2,SUMPRODUCT('計算A'!$D$88:$EQ$88,$DB8:$IO8,$IQ8:$OD8),SUMPRODUCT('計算A'!$D$88:$EQ$88,$DB8:$IO8))*1000+29)</f>
        <v/>
      </c>
      <c r="CK8">
        <f>IF(AQ8=1,1000000,IF('計算A'!$IT$39&gt;0,0,500000)+IF('計算A'!$IQ$39=2,SUMPRODUCT('計算A'!$D$89:$EQ$89,$DB8:$IO8,$IQ8:$OD8),SUMPRODUCT('計算A'!$D$89:$EQ$89,$DB8:$IO8))*1000+30)</f>
        <v/>
      </c>
      <c r="CL8">
        <f>IF(AR8=1,1000000,IF('計算A'!$IT$40&gt;0,0,500000)+IF('計算A'!$IQ$40=2,SUMPRODUCT('計算A'!$D$90:$EQ$90,$DB8:$IO8,$IQ8:$OD8),SUMPRODUCT('計算A'!$D$90:$EQ$90,$DB8:$IO8))*1000+31)</f>
        <v/>
      </c>
      <c r="CM8">
        <f>IF(AS8=1,1000000,IF('計算A'!$IT$41&gt;0,0,500000)+IF('計算A'!$IQ$41=2,SUMPRODUCT('計算A'!$D$91:$EQ$91,$DB8:$IO8,$IQ8:$OD8),SUMPRODUCT('計算A'!$D$91:$EQ$91,$DB8:$IO8))*1000+32)</f>
        <v/>
      </c>
      <c r="CN8">
        <f>IF(AT8=1,1000000,IF('計算A'!$IT$42&gt;0,0,500000)+IF('計算A'!$IQ$42=2,SUMPRODUCT('計算A'!$D$92:$EQ$92,$DB8:$IO8,$IQ8:$OD8),SUMPRODUCT('計算A'!$D$92:$EQ$92,$DB8:$IO8))*1000+33)</f>
        <v/>
      </c>
      <c r="CO8">
        <f>IF(AU8=1,1000000,IF('計算A'!$IT$43&gt;0,0,500000)+IF('計算A'!$IQ$43=2,SUMPRODUCT('計算A'!$D$93:$EQ$93,$DB8:$IO8,$IQ8:$OD8),SUMPRODUCT('計算A'!$D$93:$EQ$93,$DB8:$IO8))*1000+34)</f>
        <v/>
      </c>
      <c r="CP8">
        <f>IF(AV8=1,1000000,IF('計算A'!$IT$44&gt;0,0,500000)+IF('計算A'!$IQ$44=2,SUMPRODUCT('計算A'!$D$94:$EQ$94,$DB8:$IO8,$IQ8:$OD8),SUMPRODUCT('計算A'!$D$94:$EQ$94,$DB8:$IO8))*1000+35)</f>
        <v/>
      </c>
      <c r="CQ8">
        <f>IF(AW8=1,1000000,IF('計算A'!$IT$45&gt;0,0,500000)+IF('計算A'!$IQ$45=2,SUMPRODUCT('計算A'!$D$95:$EQ$95,$DB8:$IO8,$IQ8:$OD8),SUMPRODUCT('計算A'!$D$95:$EQ$95,$DB8:$IO8))*1000+36)</f>
        <v/>
      </c>
      <c r="CR8">
        <f>IF(AX8=1,1000000,IF('計算A'!$IT$46&gt;0,0,500000)+IF('計算A'!$IQ$46=2,SUMPRODUCT('計算A'!$D$96:$EQ$96,$DB8:$IO8,$IQ8:$OD8),SUMPRODUCT('計算A'!$D$96:$EQ$96,$DB8:$IO8))*1000+37)</f>
        <v/>
      </c>
      <c r="CS8">
        <f>IF(AY8=1,1000000,IF('計算A'!$IT$47&gt;0,0,500000)+IF('計算A'!$IQ$47=2,SUMPRODUCT('計算A'!$D$97:$EQ$97,$DB8:$IO8,$IQ8:$OD8),SUMPRODUCT('計算A'!$D$97:$EQ$97,$DB8:$IO8))*1000+38)</f>
        <v/>
      </c>
      <c r="CT8">
        <f>IF(AZ8=1,1000000,IF('計算A'!$IT$48&gt;0,0,500000)+IF('計算A'!$IQ$48=2,SUMPRODUCT('計算A'!$D$98:$EQ$98,$DB8:$IO8,$IQ8:$OD8),SUMPRODUCT('計算A'!$D$98:$EQ$98,$DB8:$IO8))*1000+39)</f>
        <v/>
      </c>
      <c r="CU8">
        <f>IF(BA8=1,1000000,IF('計算A'!$IT$49&gt;0,0,500000)+IF('計算A'!$IQ$49=2,SUMPRODUCT('計算A'!$D$99:$EQ$99,$DB8:$IO8,$IQ8:$OD8),SUMPRODUCT('計算A'!$D$99:$EQ$99,$DB8:$IO8))*1000+40)</f>
        <v/>
      </c>
      <c r="CV8">
        <f>IF(BB8=1,1000000,IF('計算A'!$IT$50&gt;0,0,500000)+IF('計算A'!$IQ$50=2,SUMPRODUCT('計算A'!$D$100:$EQ$100,$DB8:$IO8,$IQ8:$OD8),SUMPRODUCT('計算A'!$D$100:$EQ$100,$DB8:$IO8))*1000+41)</f>
        <v/>
      </c>
      <c r="CW8">
        <f>IF(BC8=1,1000000,IF('計算A'!$IT$51&gt;0,0,500000)+IF('計算A'!$IQ$51=2,SUMPRODUCT('計算A'!$D$101:$EQ$101,$DB8:$IO8,$IQ8:$OD8),SUMPRODUCT('計算A'!$D$101:$EQ$101,$DB8:$IO8))*1000+42)</f>
        <v/>
      </c>
      <c r="CX8">
        <f>IF(BD8=1,1000000,IF('計算A'!$IT$52&gt;0,0,500000)+IF('計算A'!$IQ$52=2,SUMPRODUCT('計算A'!$D$102:$EQ$102,$DB8:$IO8,$IQ8:$OD8),SUMPRODUCT('計算A'!$D$102:$EQ$102,$DB8:$IO8))*1000+43)</f>
        <v/>
      </c>
      <c r="CY8">
        <f>IF(BE8=1,1000000,IF('計算A'!$IT$53&gt;0,0,500000)+IF('計算A'!$IQ$53=2,SUMPRODUCT('計算A'!$D$103:$EQ$103,$DB8:$IO8,$IQ8:$OD8),SUMPRODUCT('計算A'!$D$103:$EQ$103,$DB8:$IO8))*1000+44)</f>
        <v/>
      </c>
      <c r="CZ8">
        <f>IF(BF8=1,1000000,IF('計算A'!$IT$54&gt;0,0,500000)+IF('計算A'!$IQ$54=2,SUMPRODUCT('計算A'!$D$104:$EQ$104,$DB8:$IO8,$IQ8:$OD8),SUMPRODUCT('計算A'!$D$104:$EQ$104,$DB8:$IO8))*1000+45)</f>
        <v/>
      </c>
      <c r="DB8">
        <f>DB7*IF(OR($C7=1,$G7=1),0,1)</f>
        <v/>
      </c>
      <c r="DC8">
        <f>DC7*IF(OR($C7=2,$G7=2),0,1)</f>
        <v/>
      </c>
      <c r="DD8">
        <f>DD7*IF(OR($C7=3,$G7=3),0,1)</f>
        <v/>
      </c>
      <c r="DE8">
        <f>DE7*IF(OR($C7=4,$G7=4),0,1)</f>
        <v/>
      </c>
      <c r="DF8">
        <f>DF7*IF(OR($C7=5,$G7=5),0,1)</f>
        <v/>
      </c>
      <c r="DG8">
        <f>DG7*IF(OR($C7=6,$G7=6),0,1)</f>
        <v/>
      </c>
      <c r="DH8">
        <f>DH7*IF(OR($C7=7,$G7=7),0,1)</f>
        <v/>
      </c>
      <c r="DI8">
        <f>DI7*IF(OR($C7=8,$G7=8),0,1)</f>
        <v/>
      </c>
      <c r="DJ8">
        <f>DJ7*IF(OR($C7=9,$G7=9),0,1)</f>
        <v/>
      </c>
      <c r="DK8">
        <f>DK7*IF(OR($C7=10,$G7=10),0,1)</f>
        <v/>
      </c>
      <c r="DL8">
        <f>DL7*IF(OR($C7=11,$G7=11),0,1)</f>
        <v/>
      </c>
      <c r="DM8">
        <f>DM7*IF(OR($C7=12,$G7=12),0,1)</f>
        <v/>
      </c>
      <c r="DN8">
        <f>DN7*IF(OR($C7=13,$G7=13),0,1)</f>
        <v/>
      </c>
      <c r="DO8">
        <f>DO7*IF(OR($C7=14,$G7=14),0,1)</f>
        <v/>
      </c>
      <c r="DP8">
        <f>DP7*IF(OR($C7=15,$G7=15),0,1)</f>
        <v/>
      </c>
      <c r="DQ8">
        <f>DQ7*IF(OR($C7=16,$G7=16),0,1)</f>
        <v/>
      </c>
      <c r="DR8">
        <f>DR7*IF(OR($C7=17,$G7=17),0,1)</f>
        <v/>
      </c>
      <c r="DS8">
        <f>DS7*IF(OR($C7=18,$G7=18),0,1)</f>
        <v/>
      </c>
      <c r="DT8">
        <f>DT7*IF(OR($C7=19,$G7=19),0,1)</f>
        <v/>
      </c>
      <c r="DU8">
        <f>DU7*IF(OR($C7=20,$G7=20),0,1)</f>
        <v/>
      </c>
      <c r="DV8">
        <f>DV7*IF(OR($C7=21,$G7=21),0,1)</f>
        <v/>
      </c>
      <c r="DW8">
        <f>DW7*IF(OR($C7=22,$G7=22),0,1)</f>
        <v/>
      </c>
      <c r="DX8">
        <f>DX7*IF(OR($C7=23,$G7=23),0,1)</f>
        <v/>
      </c>
      <c r="DY8">
        <f>DY7*IF(OR($C7=24,$G7=24),0,1)</f>
        <v/>
      </c>
      <c r="DZ8">
        <f>DZ7*IF(OR($C7=25,$G7=25),0,1)</f>
        <v/>
      </c>
      <c r="EA8">
        <f>EA7*IF(OR($C7=26,$G7=26),0,1)</f>
        <v/>
      </c>
      <c r="EB8">
        <f>EB7*IF(OR($C7=27,$G7=27),0,1)</f>
        <v/>
      </c>
      <c r="EC8">
        <f>EC7*IF(OR($C7=28,$G7=28),0,1)</f>
        <v/>
      </c>
      <c r="ED8">
        <f>ED7*IF(OR($C7=29,$G7=29),0,1)</f>
        <v/>
      </c>
      <c r="EE8">
        <f>EE7*IF(OR($C7=30,$G7=30),0,1)</f>
        <v/>
      </c>
      <c r="EF8">
        <f>EF7*IF(OR($C7=31,$G7=31),0,1)</f>
        <v/>
      </c>
      <c r="EG8">
        <f>EG7*IF(OR($C7=32,$G7=32),0,1)</f>
        <v/>
      </c>
      <c r="EH8">
        <f>EH7*IF(OR($C7=33,$G7=33),0,1)</f>
        <v/>
      </c>
      <c r="EI8">
        <f>EI7*IF(OR($C7=34,$G7=34),0,1)</f>
        <v/>
      </c>
      <c r="EJ8">
        <f>EJ7*IF(OR($C7=35,$G7=35),0,1)</f>
        <v/>
      </c>
      <c r="EK8">
        <f>EK7*IF(OR($C7=36,$G7=36),0,1)</f>
        <v/>
      </c>
      <c r="EL8">
        <f>EL7*IF(OR($C7=37,$G7=37),0,1)</f>
        <v/>
      </c>
      <c r="EM8">
        <f>EM7*IF(OR($C7=38,$G7=38),0,1)</f>
        <v/>
      </c>
      <c r="EN8">
        <f>EN7*IF(OR($C7=39,$G7=39),0,1)</f>
        <v/>
      </c>
      <c r="EO8">
        <f>EO7*IF(OR($C7=40,$G7=40),0,1)</f>
        <v/>
      </c>
      <c r="EP8">
        <f>EP7*IF(OR($C7=41,$G7=41),0,1)</f>
        <v/>
      </c>
      <c r="EQ8">
        <f>EQ7*IF(OR($C7=42,$G7=42),0,1)</f>
        <v/>
      </c>
      <c r="ER8">
        <f>ER7*IF(OR($C7=43,$G7=43),0,1)</f>
        <v/>
      </c>
      <c r="ES8">
        <f>ES7*IF(OR($C7=44,$G7=44),0,1)</f>
        <v/>
      </c>
      <c r="ET8">
        <f>ET7*IF(OR($C7=45,$G7=45),0,1)</f>
        <v/>
      </c>
      <c r="EU8">
        <f>EU7*IF(OR($C7=46,$G7=46),0,1)</f>
        <v/>
      </c>
      <c r="EV8">
        <f>EV7*IF(OR($C7=47,$G7=47),0,1)</f>
        <v/>
      </c>
      <c r="EW8">
        <f>EW7*IF(OR($C7=48,$G7=48),0,1)</f>
        <v/>
      </c>
      <c r="EX8">
        <f>EX7*IF(OR($C7=49,$G7=49),0,1)</f>
        <v/>
      </c>
      <c r="EY8">
        <f>EY7*IF(OR($C7=50,$G7=50),0,1)</f>
        <v/>
      </c>
      <c r="EZ8">
        <f>EZ7*IF(OR($C7=51,$G7=51),0,1)</f>
        <v/>
      </c>
      <c r="FA8">
        <f>FA7*IF(OR($C7=52,$G7=52),0,1)</f>
        <v/>
      </c>
      <c r="FB8">
        <f>FB7*IF(OR($C7=53,$G7=53),0,1)</f>
        <v/>
      </c>
      <c r="FC8">
        <f>FC7*IF(OR($C7=54,$G7=54),0,1)</f>
        <v/>
      </c>
      <c r="FD8">
        <f>FD7*IF(OR($C7=55,$G7=55),0,1)</f>
        <v/>
      </c>
      <c r="FE8">
        <f>FE7*IF(OR($C7=56,$G7=56),0,1)</f>
        <v/>
      </c>
      <c r="FF8">
        <f>FF7*IF(OR($C7=57,$G7=57),0,1)</f>
        <v/>
      </c>
      <c r="FG8">
        <f>FG7*IF(OR($C7=58,$G7=58),0,1)</f>
        <v/>
      </c>
      <c r="FH8">
        <f>FH7*IF(OR($C7=59,$G7=59),0,1)</f>
        <v/>
      </c>
      <c r="FI8">
        <f>FI7*IF(OR($C7=60,$G7=60),0,1)</f>
        <v/>
      </c>
      <c r="FJ8">
        <f>FJ7*IF(OR($C7=61,$G7=61),0,1)</f>
        <v/>
      </c>
      <c r="FK8">
        <f>FK7*IF(OR($C7=62,$G7=62),0,1)</f>
        <v/>
      </c>
      <c r="FL8">
        <f>FL7*IF(OR($C7=63,$G7=63),0,1)</f>
        <v/>
      </c>
      <c r="FM8">
        <f>FM7*IF(OR($C7=64,$G7=64),0,1)</f>
        <v/>
      </c>
      <c r="FN8">
        <f>FN7*IF(OR($C7=65,$G7=65),0,1)</f>
        <v/>
      </c>
      <c r="FO8">
        <f>FO7*IF(OR($C7=66,$G7=66),0,1)</f>
        <v/>
      </c>
      <c r="FP8">
        <f>FP7*IF(OR($C7=67,$G7=67),0,1)</f>
        <v/>
      </c>
      <c r="FQ8">
        <f>FQ7*IF(OR($C7=68,$G7=68),0,1)</f>
        <v/>
      </c>
      <c r="FR8">
        <f>FR7*IF(OR($C7=69,$G7=69),0,1)</f>
        <v/>
      </c>
      <c r="FS8">
        <f>FS7*IF(OR($C7=70,$G7=70),0,1)</f>
        <v/>
      </c>
      <c r="FT8">
        <f>FT7*IF(OR($C7=71,$G7=71),0,1)</f>
        <v/>
      </c>
      <c r="FU8">
        <f>FU7*IF(OR($C7=72,$G7=72),0,1)</f>
        <v/>
      </c>
      <c r="FV8">
        <f>FV7*IF(OR($C7=73,$G7=73),0,1)</f>
        <v/>
      </c>
      <c r="FW8">
        <f>FW7*IF(OR($C7=74,$G7=74),0,1)</f>
        <v/>
      </c>
      <c r="FX8">
        <f>FX7*IF(OR($C7=75,$G7=75),0,1)</f>
        <v/>
      </c>
      <c r="FY8">
        <f>FY7*IF(OR($C7=76,$G7=76),0,1)</f>
        <v/>
      </c>
      <c r="FZ8">
        <f>FZ7*IF(OR($C7=77,$G7=77),0,1)</f>
        <v/>
      </c>
      <c r="GA8">
        <f>GA7*IF(OR($C7=78,$G7=78),0,1)</f>
        <v/>
      </c>
      <c r="GB8">
        <f>GB7*IF(OR($C7=79,$G7=79),0,1)</f>
        <v/>
      </c>
      <c r="GC8">
        <f>GC7*IF(OR($C7=80,$G7=80),0,1)</f>
        <v/>
      </c>
      <c r="GD8">
        <f>GD7*IF(OR($C7=81,$G7=81),0,1)</f>
        <v/>
      </c>
      <c r="GE8">
        <f>GE7*IF(OR($C7=82,$G7=82),0,1)</f>
        <v/>
      </c>
      <c r="GF8">
        <f>GF7*IF(OR($C7=83,$G7=83),0,1)</f>
        <v/>
      </c>
      <c r="GG8">
        <f>GG7*IF(OR($C7=84,$G7=84),0,1)</f>
        <v/>
      </c>
      <c r="GH8">
        <f>GH7*IF(OR($C7=85,$G7=85),0,1)</f>
        <v/>
      </c>
      <c r="GI8">
        <f>GI7*IF(OR($C7=86,$G7=86),0,1)</f>
        <v/>
      </c>
      <c r="GJ8">
        <f>GJ7*IF(OR($C7=87,$G7=87),0,1)</f>
        <v/>
      </c>
      <c r="GK8">
        <f>GK7*IF(OR($C7=88,$G7=88),0,1)</f>
        <v/>
      </c>
      <c r="GL8">
        <f>GL7*IF(OR($C7=89,$G7=89),0,1)</f>
        <v/>
      </c>
      <c r="GM8">
        <f>GM7*IF(OR($C7=90,$G7=90),0,1)</f>
        <v/>
      </c>
      <c r="GN8">
        <f>GN7*IF(OR($C7=91,$G7=91),0,1)</f>
        <v/>
      </c>
      <c r="GO8">
        <f>GO7*IF(OR($C7=92,$G7=92),0,1)</f>
        <v/>
      </c>
      <c r="GP8">
        <f>GP7*IF(OR($C7=93,$G7=93),0,1)</f>
        <v/>
      </c>
      <c r="GQ8">
        <f>GQ7*IF(OR($C7=94,$G7=94),0,1)</f>
        <v/>
      </c>
      <c r="GR8">
        <f>GR7*IF(OR($C7=95,$G7=95),0,1)</f>
        <v/>
      </c>
      <c r="GS8">
        <f>GS7*IF(OR($C7=96,$G7=96),0,1)</f>
        <v/>
      </c>
      <c r="GT8">
        <f>GT7*IF(OR($C7=97,$G7=97),0,1)</f>
        <v/>
      </c>
      <c r="GU8">
        <f>GU7*IF(OR($C7=98,$G7=98),0,1)</f>
        <v/>
      </c>
      <c r="GV8">
        <f>GV7*IF(OR($C7=99,$G7=99),0,1)</f>
        <v/>
      </c>
      <c r="GW8">
        <f>GW7*IF(OR($C7=100,$G7=100),0,1)</f>
        <v/>
      </c>
      <c r="GX8">
        <f>GX7*IF(OR($C7=101,$G7=101),0,1)</f>
        <v/>
      </c>
      <c r="GY8">
        <f>GY7*IF(OR($C7=102,$G7=102),0,1)</f>
        <v/>
      </c>
      <c r="GZ8">
        <f>GZ7*IF(OR($C7=103,$G7=103),0,1)</f>
        <v/>
      </c>
      <c r="HA8">
        <f>HA7*IF(OR($C7=104,$G7=104),0,1)</f>
        <v/>
      </c>
      <c r="HB8">
        <f>HB7*IF(OR($C7=105,$G7=105),0,1)</f>
        <v/>
      </c>
      <c r="HC8">
        <f>HC7*IF(OR($C7=106,$G7=106),0,1)</f>
        <v/>
      </c>
      <c r="HD8">
        <f>HD7*IF(OR($C7=107,$G7=107),0,1)</f>
        <v/>
      </c>
      <c r="HE8">
        <f>HE7*IF(OR($C7=108,$G7=108),0,1)</f>
        <v/>
      </c>
      <c r="HF8">
        <f>HF7*IF(OR($C7=109,$G7=109),0,1)</f>
        <v/>
      </c>
      <c r="HG8">
        <f>HG7*IF(OR($C7=110,$G7=110),0,1)</f>
        <v/>
      </c>
      <c r="HH8">
        <f>HH7*IF(OR($C7=111,$G7=111),0,1)</f>
        <v/>
      </c>
      <c r="HI8">
        <f>HI7*IF(OR($C7=112,$G7=112),0,1)</f>
        <v/>
      </c>
      <c r="HJ8">
        <f>HJ7*IF(OR($C7=113,$G7=113),0,1)</f>
        <v/>
      </c>
      <c r="HK8">
        <f>HK7*IF(OR($C7=114,$G7=114),0,1)</f>
        <v/>
      </c>
      <c r="HL8">
        <f>HL7*IF(OR($C7=115,$G7=115),0,1)</f>
        <v/>
      </c>
      <c r="HM8">
        <f>HM7*IF(OR($C7=116,$G7=116),0,1)</f>
        <v/>
      </c>
      <c r="HN8">
        <f>HN7*IF(OR($C7=117,$G7=117),0,1)</f>
        <v/>
      </c>
      <c r="HO8">
        <f>HO7*IF(OR($C7=118,$G7=118),0,1)</f>
        <v/>
      </c>
      <c r="HP8">
        <f>HP7*IF(OR($C7=119,$G7=119),0,1)</f>
        <v/>
      </c>
      <c r="HQ8">
        <f>HQ7*IF(OR($C7=120,$G7=120),0,1)</f>
        <v/>
      </c>
      <c r="HR8">
        <f>HR7*IF(OR($C7=121,$G7=121),0,1)</f>
        <v/>
      </c>
      <c r="HS8">
        <f>HS7*IF(OR($C7=122,$G7=122),0,1)</f>
        <v/>
      </c>
      <c r="HT8">
        <f>HT7*IF(OR($C7=123,$G7=123),0,1)</f>
        <v/>
      </c>
      <c r="HU8">
        <f>HU7*IF(OR($C7=124,$G7=124),0,1)</f>
        <v/>
      </c>
      <c r="HV8">
        <f>HV7*IF(OR($C7=125,$G7=125),0,1)</f>
        <v/>
      </c>
      <c r="HW8">
        <f>HW7*IF(OR($C7=126,$G7=126),0,1)</f>
        <v/>
      </c>
      <c r="HX8">
        <f>HX7*IF(OR($C7=127,$G7=127),0,1)</f>
        <v/>
      </c>
      <c r="HY8">
        <f>HY7*IF(OR($C7=128,$G7=128),0,1)</f>
        <v/>
      </c>
      <c r="HZ8">
        <f>HZ7*IF(OR($C7=129,$G7=129),0,1)</f>
        <v/>
      </c>
      <c r="IA8">
        <f>IA7*IF(OR($C7=130,$G7=130),0,1)</f>
        <v/>
      </c>
      <c r="IB8">
        <f>IB7*IF(OR($C7=131,$G7=131),0,1)</f>
        <v/>
      </c>
      <c r="IC8">
        <f>IC7*IF(OR($C7=132,$G7=132),0,1)</f>
        <v/>
      </c>
      <c r="ID8">
        <f>ID7*IF(OR($C7=133,$G7=133),0,1)</f>
        <v/>
      </c>
      <c r="IE8">
        <f>IE7*IF(OR($C7=134,$G7=134),0,1)</f>
        <v/>
      </c>
      <c r="IF8">
        <f>IF7*IF(OR($C7=135,$G7=135),0,1)</f>
        <v/>
      </c>
      <c r="IG8">
        <f>IG7*IF(OR($C7=136,$G7=136),0,1)</f>
        <v/>
      </c>
      <c r="IH8">
        <f>IH7*IF(OR($C7=137,$G7=137),0,1)</f>
        <v/>
      </c>
      <c r="II8">
        <f>II7*IF(OR($C7=138,$G7=138),0,1)</f>
        <v/>
      </c>
      <c r="IJ8">
        <f>IJ7*IF(OR($C7=139,$G7=139),0,1)</f>
        <v/>
      </c>
      <c r="IK8">
        <f>IK7*IF(OR($C7=140,$G7=140),0,1)</f>
        <v/>
      </c>
      <c r="IL8">
        <f>IL7*IF(OR($C7=141,$G7=141),0,1)</f>
        <v/>
      </c>
      <c r="IM8">
        <f>IM7*IF(OR($C7=142,$G7=142),0,1)</f>
        <v/>
      </c>
      <c r="IN8">
        <f>IN7*IF(OR($C7=143,$G7=143),0,1)</f>
        <v/>
      </c>
      <c r="IO8">
        <f>IO7*IF(OR($C7=144,$G7=144),0,1)</f>
        <v/>
      </c>
      <c r="IQ8">
        <f>IF('計算A'!D$106=1,DC8,1)</f>
        <v/>
      </c>
      <c r="IR8">
        <f>IF('計算A'!E$106=1,DD8,1)</f>
        <v/>
      </c>
      <c r="IS8">
        <f>IF('計算A'!F$106=1,DE8,1)</f>
        <v/>
      </c>
      <c r="IT8">
        <f>IF('計算A'!G$106=1,DF8,1)</f>
        <v/>
      </c>
      <c r="IU8">
        <f>IF('計算A'!H$106=1,DG8,1)</f>
        <v/>
      </c>
      <c r="IV8">
        <f>IF('計算A'!I$106=1,DH8,1)</f>
        <v/>
      </c>
      <c r="IW8">
        <f>IF('計算A'!J$106=1,DI8,1)</f>
        <v/>
      </c>
      <c r="IX8">
        <f>IF('計算A'!K$106=1,DJ8,1)</f>
        <v/>
      </c>
      <c r="IY8">
        <f>IF('計算A'!L$106=1,DK8,1)</f>
        <v/>
      </c>
      <c r="IZ8">
        <f>IF('計算A'!M$106=1,DL8,1)</f>
        <v/>
      </c>
      <c r="JA8">
        <f>IF('計算A'!N$106=1,DM8,1)</f>
        <v/>
      </c>
      <c r="JB8">
        <f>IF('計算A'!O$106=1,DN8,1)</f>
        <v/>
      </c>
      <c r="JC8">
        <f>IF('計算A'!P$106=1,DO8,1)</f>
        <v/>
      </c>
      <c r="JD8">
        <f>IF('計算A'!Q$106=1,DP8,1)</f>
        <v/>
      </c>
      <c r="JE8">
        <f>IF('計算A'!R$106=1,DQ8,1)</f>
        <v/>
      </c>
      <c r="JF8">
        <f>IF('計算A'!S$106=1,DR8,1)</f>
        <v/>
      </c>
      <c r="JG8">
        <f>IF('計算A'!T$106=1,DS8,1)</f>
        <v/>
      </c>
      <c r="JH8">
        <f>IF('計算A'!U$106=1,DT8,1)</f>
        <v/>
      </c>
      <c r="JI8">
        <f>IF('計算A'!V$106=1,DU8,1)</f>
        <v/>
      </c>
      <c r="JJ8">
        <f>IF('計算A'!W$106=1,DV8,1)</f>
        <v/>
      </c>
      <c r="JK8">
        <f>IF('計算A'!X$106=1,DW8,1)</f>
        <v/>
      </c>
      <c r="JL8">
        <f>IF('計算A'!Y$106=1,DX8,1)</f>
        <v/>
      </c>
      <c r="JM8">
        <f>IF('計算A'!Z$106=1,DY8,1)</f>
        <v/>
      </c>
      <c r="JN8">
        <f>IF('計算A'!AA$106=1,DZ8,1)</f>
        <v/>
      </c>
      <c r="JO8">
        <f>IF('計算A'!AB$106=1,EA8,1)</f>
        <v/>
      </c>
      <c r="JP8">
        <f>IF('計算A'!AC$106=1,EB8,1)</f>
        <v/>
      </c>
      <c r="JQ8">
        <f>IF('計算A'!AD$106=1,EC8,1)</f>
        <v/>
      </c>
      <c r="JR8">
        <f>IF('計算A'!AE$106=1,ED8,1)</f>
        <v/>
      </c>
      <c r="JS8">
        <f>IF('計算A'!AF$106=1,EE8,1)</f>
        <v/>
      </c>
      <c r="JT8">
        <f>IF('計算A'!AG$106=1,EF8,1)</f>
        <v/>
      </c>
      <c r="JU8">
        <f>IF('計算A'!AH$106=1,EG8,1)</f>
        <v/>
      </c>
      <c r="JV8">
        <f>IF('計算A'!AI$106=1,EH8,1)</f>
        <v/>
      </c>
      <c r="JW8">
        <f>IF('計算A'!AJ$106=1,EI8,1)</f>
        <v/>
      </c>
      <c r="JX8">
        <f>IF('計算A'!AK$106=1,EJ8,1)</f>
        <v/>
      </c>
      <c r="JY8">
        <f>IF('計算A'!AL$106=1,EK8,1)</f>
        <v/>
      </c>
      <c r="JZ8">
        <f>IF('計算A'!AM$106=1,EL8,1)</f>
        <v/>
      </c>
      <c r="KA8">
        <f>IF('計算A'!AN$106=1,EM8,1)</f>
        <v/>
      </c>
      <c r="KB8">
        <f>IF('計算A'!AO$106=1,EN8,1)</f>
        <v/>
      </c>
      <c r="KC8">
        <f>IF('計算A'!AP$106=1,EO8,1)</f>
        <v/>
      </c>
      <c r="KD8">
        <f>IF('計算A'!AQ$106=1,EP8,1)</f>
        <v/>
      </c>
      <c r="KE8">
        <f>IF('計算A'!AR$106=1,EQ8,1)</f>
        <v/>
      </c>
      <c r="KF8">
        <f>IF('計算A'!AS$106=1,ER8,1)</f>
        <v/>
      </c>
      <c r="KG8">
        <f>IF('計算A'!AT$106=1,ES8,1)</f>
        <v/>
      </c>
      <c r="KH8">
        <f>IF('計算A'!AU$106=1,ET8,1)</f>
        <v/>
      </c>
      <c r="KI8">
        <f>IF('計算A'!AV$106=1,EU8,1)</f>
        <v/>
      </c>
      <c r="KJ8">
        <f>IF('計算A'!AW$106=1,EV8,1)</f>
        <v/>
      </c>
      <c r="KK8">
        <f>IF('計算A'!AX$106=1,EW8,1)</f>
        <v/>
      </c>
      <c r="KL8">
        <f>IF('計算A'!AY$106=1,EX8,1)</f>
        <v/>
      </c>
      <c r="KM8">
        <f>IF('計算A'!AZ$106=1,EY8,1)</f>
        <v/>
      </c>
      <c r="KN8">
        <f>IF('計算A'!BA$106=1,EZ8,1)</f>
        <v/>
      </c>
      <c r="KO8">
        <f>IF('計算A'!BB$106=1,FA8,1)</f>
        <v/>
      </c>
      <c r="KP8">
        <f>IF('計算A'!BC$106=1,FB8,1)</f>
        <v/>
      </c>
      <c r="KQ8">
        <f>IF('計算A'!BD$106=1,FC8,1)</f>
        <v/>
      </c>
      <c r="KR8">
        <f>IF('計算A'!BE$106=1,FD8,1)</f>
        <v/>
      </c>
      <c r="KS8">
        <f>IF('計算A'!BF$106=1,FE8,1)</f>
        <v/>
      </c>
      <c r="KT8">
        <f>IF('計算A'!BG$106=1,FF8,1)</f>
        <v/>
      </c>
      <c r="KU8">
        <f>IF('計算A'!BH$106=1,FG8,1)</f>
        <v/>
      </c>
      <c r="KV8">
        <f>IF('計算A'!BI$106=1,FH8,1)</f>
        <v/>
      </c>
      <c r="KW8">
        <f>IF('計算A'!BJ$106=1,FI8,1)</f>
        <v/>
      </c>
      <c r="KX8">
        <f>IF('計算A'!BK$106=1,FJ8,1)</f>
        <v/>
      </c>
      <c r="KY8">
        <f>IF('計算A'!BL$106=1,FK8,1)</f>
        <v/>
      </c>
      <c r="KZ8">
        <f>IF('計算A'!BM$106=1,FL8,1)</f>
        <v/>
      </c>
      <c r="LA8">
        <f>IF('計算A'!BN$106=1,FM8,1)</f>
        <v/>
      </c>
      <c r="LB8">
        <f>IF('計算A'!BO$106=1,FN8,1)</f>
        <v/>
      </c>
      <c r="LC8">
        <f>IF('計算A'!BP$106=1,FO8,1)</f>
        <v/>
      </c>
      <c r="LD8">
        <f>IF('計算A'!BQ$106=1,FP8,1)</f>
        <v/>
      </c>
      <c r="LE8">
        <f>IF('計算A'!BR$106=1,FQ8,1)</f>
        <v/>
      </c>
      <c r="LF8">
        <f>IF('計算A'!BS$106=1,FR8,1)</f>
        <v/>
      </c>
      <c r="LG8">
        <f>IF('計算A'!BT$106=1,FS8,1)</f>
        <v/>
      </c>
      <c r="LH8">
        <f>IF('計算A'!BU$106=1,FT8,1)</f>
        <v/>
      </c>
      <c r="LI8">
        <f>IF('計算A'!BV$106=1,FU8,1)</f>
        <v/>
      </c>
      <c r="LJ8">
        <f>IF('計算A'!BW$106=1,FV8,1)</f>
        <v/>
      </c>
      <c r="LK8">
        <f>IF('計算A'!BX$106=1,FW8,1)</f>
        <v/>
      </c>
      <c r="LL8">
        <f>IF('計算A'!BY$106=1,FX8,1)</f>
        <v/>
      </c>
      <c r="LM8">
        <f>IF('計算A'!BZ$106=1,FY8,1)</f>
        <v/>
      </c>
      <c r="LN8">
        <f>IF('計算A'!CA$106=1,FZ8,1)</f>
        <v/>
      </c>
      <c r="LO8">
        <f>IF('計算A'!CB$106=1,GA8,1)</f>
        <v/>
      </c>
      <c r="LP8">
        <f>IF('計算A'!CC$106=1,GB8,1)</f>
        <v/>
      </c>
      <c r="LQ8">
        <f>IF('計算A'!CD$106=1,GC8,1)</f>
        <v/>
      </c>
      <c r="LR8">
        <f>IF('計算A'!CE$106=1,GD8,1)</f>
        <v/>
      </c>
      <c r="LS8">
        <f>IF('計算A'!CF$106=1,GE8,1)</f>
        <v/>
      </c>
      <c r="LT8">
        <f>IF('計算A'!CG$106=1,GF8,1)</f>
        <v/>
      </c>
      <c r="LU8">
        <f>IF('計算A'!CH$106=1,GG8,1)</f>
        <v/>
      </c>
      <c r="LV8">
        <f>IF('計算A'!CI$106=1,GH8,1)</f>
        <v/>
      </c>
      <c r="LW8">
        <f>IF('計算A'!CJ$106=1,GI8,1)</f>
        <v/>
      </c>
      <c r="LX8">
        <f>IF('計算A'!CK$106=1,GJ8,1)</f>
        <v/>
      </c>
      <c r="LY8">
        <f>IF('計算A'!CL$106=1,GK8,1)</f>
        <v/>
      </c>
      <c r="LZ8">
        <f>IF('計算A'!CM$106=1,GL8,1)</f>
        <v/>
      </c>
      <c r="MA8">
        <f>IF('計算A'!CN$106=1,GM8,1)</f>
        <v/>
      </c>
      <c r="MB8">
        <f>IF('計算A'!CO$106=1,GN8,1)</f>
        <v/>
      </c>
      <c r="MC8">
        <f>IF('計算A'!CP$106=1,GO8,1)</f>
        <v/>
      </c>
      <c r="MD8">
        <f>IF('計算A'!CQ$106=1,GP8,1)</f>
        <v/>
      </c>
      <c r="ME8">
        <f>IF('計算A'!CR$106=1,GQ8,1)</f>
        <v/>
      </c>
      <c r="MF8">
        <f>IF('計算A'!CS$106=1,GR8,1)</f>
        <v/>
      </c>
      <c r="MG8">
        <f>IF('計算A'!CT$106=1,GS8,1)</f>
        <v/>
      </c>
      <c r="MH8">
        <f>IF('計算A'!CU$106=1,GT8,1)</f>
        <v/>
      </c>
      <c r="MI8">
        <f>IF('計算A'!CV$106=1,GU8,1)</f>
        <v/>
      </c>
      <c r="MJ8">
        <f>IF('計算A'!CW$106=1,GV8,1)</f>
        <v/>
      </c>
      <c r="MK8">
        <f>IF('計算A'!CX$106=1,GW8,1)</f>
        <v/>
      </c>
      <c r="ML8">
        <f>IF('計算A'!CY$106=1,GX8,1)</f>
        <v/>
      </c>
      <c r="MM8">
        <f>IF('計算A'!CZ$106=1,GY8,1)</f>
        <v/>
      </c>
      <c r="MN8">
        <f>IF('計算A'!DA$106=1,GZ8,1)</f>
        <v/>
      </c>
      <c r="MO8">
        <f>IF('計算A'!DB$106=1,HA8,1)</f>
        <v/>
      </c>
      <c r="MP8">
        <f>IF('計算A'!DC$106=1,HB8,1)</f>
        <v/>
      </c>
      <c r="MQ8">
        <f>IF('計算A'!DD$106=1,HC8,1)</f>
        <v/>
      </c>
      <c r="MR8">
        <f>IF('計算A'!DE$106=1,HD8,1)</f>
        <v/>
      </c>
      <c r="MS8">
        <f>IF('計算A'!DF$106=1,HE8,1)</f>
        <v/>
      </c>
      <c r="MT8">
        <f>IF('計算A'!DG$106=1,HF8,1)</f>
        <v/>
      </c>
      <c r="MU8">
        <f>IF('計算A'!DH$106=1,HG8,1)</f>
        <v/>
      </c>
      <c r="MV8">
        <f>IF('計算A'!DI$106=1,HH8,1)</f>
        <v/>
      </c>
      <c r="MW8">
        <f>IF('計算A'!DJ$106=1,HI8,1)</f>
        <v/>
      </c>
      <c r="MX8">
        <f>IF('計算A'!DK$106=1,HJ8,1)</f>
        <v/>
      </c>
      <c r="MY8">
        <f>IF('計算A'!DL$106=1,HK8,1)</f>
        <v/>
      </c>
      <c r="MZ8">
        <f>IF('計算A'!DM$106=1,HL8,1)</f>
        <v/>
      </c>
      <c r="NA8">
        <f>IF('計算A'!DN$106=1,HM8,1)</f>
        <v/>
      </c>
      <c r="NB8">
        <f>IF('計算A'!DO$106=1,HN8,1)</f>
        <v/>
      </c>
      <c r="NC8">
        <f>IF('計算A'!DP$106=1,HO8,1)</f>
        <v/>
      </c>
      <c r="ND8">
        <f>IF('計算A'!DQ$106=1,HP8,1)</f>
        <v/>
      </c>
      <c r="NE8">
        <f>IF('計算A'!DR$106=1,HQ8,1)</f>
        <v/>
      </c>
      <c r="NF8">
        <f>IF('計算A'!DS$106=1,HR8,1)</f>
        <v/>
      </c>
      <c r="NG8">
        <f>IF('計算A'!DT$106=1,HS8,1)</f>
        <v/>
      </c>
      <c r="NH8">
        <f>IF('計算A'!DU$106=1,HT8,1)</f>
        <v/>
      </c>
      <c r="NI8">
        <f>IF('計算A'!DV$106=1,HU8,1)</f>
        <v/>
      </c>
      <c r="NJ8">
        <f>IF('計算A'!DW$106=1,HV8,1)</f>
        <v/>
      </c>
      <c r="NK8">
        <f>IF('計算A'!DX$106=1,HW8,1)</f>
        <v/>
      </c>
      <c r="NL8">
        <f>IF('計算A'!DY$106=1,HX8,1)</f>
        <v/>
      </c>
      <c r="NM8">
        <f>IF('計算A'!DZ$106=1,HY8,1)</f>
        <v/>
      </c>
      <c r="NN8">
        <f>IF('計算A'!EA$106=1,HZ8,1)</f>
        <v/>
      </c>
      <c r="NO8">
        <f>IF('計算A'!EB$106=1,IA8,1)</f>
        <v/>
      </c>
      <c r="NP8">
        <f>IF('計算A'!EC$106=1,IB8,1)</f>
        <v/>
      </c>
      <c r="NQ8">
        <f>IF('計算A'!ED$106=1,IC8,1)</f>
        <v/>
      </c>
      <c r="NR8">
        <f>IF('計算A'!EE$106=1,ID8,1)</f>
        <v/>
      </c>
      <c r="NS8">
        <f>IF('計算A'!EF$106=1,IE8,1)</f>
        <v/>
      </c>
      <c r="NT8">
        <f>IF('計算A'!EG$106=1,IF8,1)</f>
        <v/>
      </c>
      <c r="NU8">
        <f>IF('計算A'!EH$106=1,IG8,1)</f>
        <v/>
      </c>
      <c r="NV8">
        <f>IF('計算A'!EI$106=1,IH8,1)</f>
        <v/>
      </c>
      <c r="NW8">
        <f>IF('計算A'!EJ$106=1,II8,1)</f>
        <v/>
      </c>
      <c r="NX8">
        <f>IF('計算A'!EK$106=1,IJ8,1)</f>
        <v/>
      </c>
      <c r="NY8">
        <f>IF('計算A'!EL$106=1,IK8,1)</f>
        <v/>
      </c>
      <c r="NZ8">
        <f>IF('計算A'!EM$106=1,IL8,1)</f>
        <v/>
      </c>
      <c r="OA8">
        <f>IF('計算A'!EN$106=1,IM8,1)</f>
        <v/>
      </c>
      <c r="OB8">
        <f>IF('計算A'!EO$106=1,IN8,1)</f>
        <v/>
      </c>
      <c r="OC8">
        <f>IF('計算A'!EP$106=1,IO8,1)</f>
        <v/>
      </c>
      <c r="OD8" t="n">
        <v>1</v>
      </c>
      <c r="OF8">
        <f>IF($B8=0,1000000,IF(INDEX('計算A'!$D$60:$EQ$104,$B8,1)*DB8=1,IF(AND($E8=2,IQ8=0),1000000,IF($I8&gt;0,IF(1=$J8,IF(OR(AND(1=$I8+1,OR($K8&lt;&gt;'計算A'!$A$3,'計算A'!$A$4=0)),AND(1=$I8-1,OR(1&lt;&gt;'計算A'!$A$3,'計算A'!$A$4=0))),0,IF(1=$K8,200000,ABS(1-$K8)*100)),100000+ABS(1-$J8)*1000+10)+'計算A'!D$5*50+IF(AND($E8=1,IQ8=0),25,0),INDEX('計算A'!D$110:D$114,$F8+1)+IF(AND($E8=1,IQ8=0),1000,0)+IF($H8=1,(IF('計算A'!D$117=1,INDEX('計算A'!E$10:E$54,$B8),0))*500,0)-IF(AND($L8=1,'計算A'!D$117=1,DC8=0),300,0))),1000000))</f>
        <v/>
      </c>
      <c r="OG8">
        <f>IF($B8=0,1000000,IF(INDEX('計算A'!$D$60:$EQ$104,$B8,2)*DC8=1,IF(AND($E8=2,IR8=0),1000000,IF($I8&gt;0,IF(1=$J8,IF(OR(AND(2=$I8+1,OR($K8&lt;&gt;'計算A'!$A$3,'計算A'!$A$4=0)),AND(2=$I8-1,OR(2&lt;&gt;'計算A'!$A$3,'計算A'!$A$4=0))),0,IF(2=$K8,200000,ABS(2-$K8)*100)),100000+ABS(1-$J8)*1000+20)+'計算A'!E$5*50+IF(AND($E8=1,IR8=0),25,0),INDEX('計算A'!E$110:E$114,$F8+1)+IF(AND($E8=1,IR8=0),1000,0)+IF($H8=1,(IF('計算A'!D$117=1,INDEX('計算A'!D$10:D$54,$B8),0)+IF('計算A'!E$117=1,INDEX('計算A'!F$10:F$54,$B8),0))*500,0)-IF(AND('計算A'!D$117=1,UB8&gt;0),300,0)-IF(AND($L8=1,'計算A'!E$117=1,DD8=0),300,0))),1000000))</f>
        <v/>
      </c>
      <c r="OH8">
        <f>IF($B8=0,1000000,IF(INDEX('計算A'!$D$60:$EQ$104,$B8,3)*DD8=1,IF(AND($E8=2,IS8=0),1000000,IF($I8&gt;0,IF(1=$J8,IF(OR(AND(3=$I8+1,OR($K8&lt;&gt;'計算A'!$A$3,'計算A'!$A$4=0)),AND(3=$I8-1,OR(3&lt;&gt;'計算A'!$A$3,'計算A'!$A$4=0))),0,IF(3=$K8,200000,ABS(3-$K8)*100)),100000+ABS(1-$J8)*1000+30)+'計算A'!F$5*50+IF(AND($E8=1,IS8=0),25,0),INDEX('計算A'!F$110:F$114,$F8+1)+IF(AND($E8=1,IS8=0),1000,0)+IF($H8=1,(IF('計算A'!E$117=1,INDEX('計算A'!E$10:E$54,$B8),0)+IF('計算A'!F$117=1,INDEX('計算A'!G$10:G$54,$B8),0))*500,0)-IF(AND('計算A'!E$117=1,UC8&gt;0),300,0)-IF(AND($L8=1,'計算A'!F$117=1,DE8=0),300,0))),1000000))</f>
        <v/>
      </c>
      <c r="OI8">
        <f>IF($B8=0,1000000,IF(INDEX('計算A'!$D$60:$EQ$104,$B8,4)*DE8=1,IF(AND($E8=2,IT8=0),1000000,IF($I8&gt;0,IF(1=$J8,IF(OR(AND(4=$I8+1,OR($K8&lt;&gt;'計算A'!$A$3,'計算A'!$A$4=0)),AND(4=$I8-1,OR(4&lt;&gt;'計算A'!$A$3,'計算A'!$A$4=0))),0,IF(4=$K8,200000,ABS(4-$K8)*100)),100000+ABS(1-$J8)*1000+40)+'計算A'!G$5*50+IF(AND($E8=1,IT8=0),25,0),INDEX('計算A'!G$110:G$114,$F8+1)+IF(AND($E8=1,IT8=0),1000,0)+IF($H8=1,(IF('計算A'!F$117=1,INDEX('計算A'!F$10:F$54,$B8),0)+IF('計算A'!G$117=1,INDEX('計算A'!H$10:H$54,$B8),0))*500,0)-IF(AND('計算A'!F$117=1,UD8&gt;0),300,0)-IF(AND($L8=1,'計算A'!G$117=1,DF8=0),300,0))),1000000))</f>
        <v/>
      </c>
      <c r="OJ8">
        <f>IF($B8=0,1000000,IF(INDEX('計算A'!$D$60:$EQ$104,$B8,5)*DF8=1,IF(AND($E8=2,IU8=0),1000000,IF($I8&gt;0,IF(1=$J8,IF(OR(AND(5=$I8+1,OR($K8&lt;&gt;'計算A'!$A$3,'計算A'!$A$4=0)),AND(5=$I8-1,OR(5&lt;&gt;'計算A'!$A$3,'計算A'!$A$4=0))),0,IF(5=$K8,200000,ABS(5-$K8)*100)),100000+ABS(1-$J8)*1000+50)+'計算A'!H$5*50+IF(AND($E8=1,IU8=0),25,0),INDEX('計算A'!H$110:H$114,$F8+1)+IF(AND($E8=1,IU8=0),1000,0)+IF($H8=1,(IF('計算A'!G$117=1,INDEX('計算A'!G$10:G$54,$B8),0)+IF('計算A'!H$117=1,INDEX('計算A'!I$10:I$54,$B8),0))*500,0)-IF(AND('計算A'!G$117=1,UE8&gt;0),300,0)-IF(AND($L8=1,'計算A'!H$117=1,DG8=0),300,0))),1000000))</f>
        <v/>
      </c>
      <c r="OK8">
        <f>IF($B8=0,1000000,IF(INDEX('計算A'!$D$60:$EQ$104,$B8,6)*DG8=1,IF(AND($E8=2,IV8=0),1000000,IF($I8&gt;0,IF(1=$J8,IF(OR(AND(6=$I8+1,OR($K8&lt;&gt;'計算A'!$A$3,'計算A'!$A$4=0)),AND(6=$I8-1,OR(6&lt;&gt;'計算A'!$A$3,'計算A'!$A$4=0))),0,IF(6=$K8,200000,ABS(6-$K8)*100)),100000+ABS(1-$J8)*1000+60)+'計算A'!I$5*50+IF(AND($E8=1,IV8=0),25,0),INDEX('計算A'!I$110:I$114,$F8+1)+IF(AND($E8=1,IV8=0),1000,0)+IF($H8=1,(IF('計算A'!H$117=1,INDEX('計算A'!H$10:H$54,$B8),0)+IF('計算A'!I$117=1,INDEX('計算A'!J$10:J$54,$B8),0))*500,0)-IF(AND('計算A'!H$117=1,UF8&gt;0),300,0)-IF(AND($L8=1,'計算A'!I$117=1,DH8=0),300,0))),1000000))</f>
        <v/>
      </c>
      <c r="OL8">
        <f>IF($B8=0,1000000,IF(INDEX('計算A'!$D$60:$EQ$104,$B8,7)*DH8=1,IF(AND($E8=2,IW8=0),1000000,IF($I8&gt;0,IF(1=$J8,IF(OR(AND(7=$I8+1,OR($K8&lt;&gt;'計算A'!$A$3,'計算A'!$A$4=0)),AND(7=$I8-1,OR(7&lt;&gt;'計算A'!$A$3,'計算A'!$A$4=0))),0,IF(7=$K8,200000,ABS(7-$K8)*100)),100000+ABS(1-$J8)*1000+70)+'計算A'!J$5*50+IF(AND($E8=1,IW8=0),25,0),INDEX('計算A'!J$110:J$114,$F8+1)+IF(AND($E8=1,IW8=0),1000,0)+IF($H8=1,(IF('計算A'!I$117=1,INDEX('計算A'!I$10:I$54,$B8),0)+IF('計算A'!J$117=1,INDEX('計算A'!K$10:K$54,$B8),0))*500,0)-IF(AND('計算A'!I$117=1,UG8&gt;0),300,0)-IF(AND($L8=1,'計算A'!J$117=1,DI8=0),300,0))),1000000))</f>
        <v/>
      </c>
      <c r="OM8">
        <f>IF($B8=0,1000000,IF(INDEX('計算A'!$D$60:$EQ$104,$B8,8)*DI8=1,IF(AND($E8=2,IX8=0),1000000,IF($I8&gt;0,IF(1=$J8,IF(OR(AND(8=$I8+1,OR($K8&lt;&gt;'計算A'!$A$3,'計算A'!$A$4=0)),AND(8=$I8-1,OR(8&lt;&gt;'計算A'!$A$3,'計算A'!$A$4=0))),0,IF(8=$K8,200000,ABS(8-$K8)*100)),100000+ABS(1-$J8)*1000+80)+'計算A'!K$5*50+IF(AND($E8=1,IX8=0),25,0),INDEX('計算A'!K$110:K$114,$F8+1)+IF(AND($E8=1,IX8=0),1000,0)+IF($H8=1,(IF('計算A'!J$117=1,INDEX('計算A'!J$10:J$54,$B8),0)+IF('計算A'!K$117=1,INDEX('計算A'!L$10:L$54,$B8),0))*500,0)-IF(AND('計算A'!J$117=1,UH8&gt;0),300,0)-IF(AND($L8=1,'計算A'!K$117=1,DJ8=0),300,0))),1000000))</f>
        <v/>
      </c>
      <c r="ON8">
        <f>IF($B8=0,1000000,IF(INDEX('計算A'!$D$60:$EQ$104,$B8,9)*DJ8=1,IF(AND($E8=2,IY8=0),1000000,IF($I8&gt;0,IF(1=$J8,IF(OR(AND(9=$I8+1,OR($K8&lt;&gt;'計算A'!$A$3,'計算A'!$A$4=0)),AND(9=$I8-1,OR(9&lt;&gt;'計算A'!$A$3,'計算A'!$A$4=0))),0,IF(9=$K8,200000,ABS(9-$K8)*100)),100000+ABS(1-$J8)*1000+90)+'計算A'!L$5*50+IF(AND($E8=1,IY8=0),25,0),INDEX('計算A'!L$110:L$114,$F8+1)+IF(AND($E8=1,IY8=0),1000,0)+IF($H8=1,(IF('計算A'!K$117=1,INDEX('計算A'!K$10:K$54,$B8),0)+IF('計算A'!L$117=1,INDEX('計算A'!M$10:M$54,$B8),0))*500,0)-IF(AND('計算A'!K$117=1,UI8&gt;0),300,0)-IF(AND($L8=1,'計算A'!L$117=1,DK8=0),300,0))),1000000))</f>
        <v/>
      </c>
      <c r="OO8">
        <f>IF($B8=0,1000000,IF(INDEX('計算A'!$D$60:$EQ$104,$B8,10)*DK8=1,IF(AND($E8=2,IZ8=0),1000000,IF($I8&gt;0,IF(1=$J8,IF(OR(AND(10=$I8+1,OR($K8&lt;&gt;'計算A'!$A$3,'計算A'!$A$4=0)),AND(10=$I8-1,OR(10&lt;&gt;'計算A'!$A$3,'計算A'!$A$4=0))),0,IF(10=$K8,200000,ABS(10-$K8)*100)),100000+ABS(1-$J8)*1000+100)+'計算A'!M$5*50+IF(AND($E8=1,IZ8=0),25,0),INDEX('計算A'!M$110:M$114,$F8+1)+IF(AND($E8=1,IZ8=0),1000,0)+IF($H8=1,(IF('計算A'!L$117=1,INDEX('計算A'!L$10:L$54,$B8),0)+IF('計算A'!M$117=1,INDEX('計算A'!N$10:N$54,$B8),0))*500,0)-IF(AND('計算A'!L$117=1,UJ8&gt;0),300,0)-IF(AND($L8=1,'計算A'!M$117=1,DL8=0),300,0))),1000000))</f>
        <v/>
      </c>
      <c r="OP8">
        <f>IF($B8=0,1000000,IF(INDEX('計算A'!$D$60:$EQ$104,$B8,11)*DL8=1,IF(AND($E8=2,JA8=0),1000000,IF($I8&gt;0,IF(1=$J8,IF(OR(AND(11=$I8+1,OR($K8&lt;&gt;'計算A'!$A$3,'計算A'!$A$4=0)),AND(11=$I8-1,OR(11&lt;&gt;'計算A'!$A$3,'計算A'!$A$4=0))),0,IF(11=$K8,200000,ABS(11-$K8)*100)),100000+ABS(1-$J8)*1000+110)+'計算A'!N$5*50+IF(AND($E8=1,JA8=0),25,0),INDEX('計算A'!N$110:N$114,$F8+1)+IF(AND($E8=1,JA8=0),1000,0)+IF($H8=1,(IF('計算A'!M$117=1,INDEX('計算A'!M$10:M$54,$B8),0)+IF('計算A'!N$117=1,INDEX('計算A'!O$10:O$54,$B8),0))*500,0)-IF(AND('計算A'!M$117=1,UK8&gt;0),300,0)-IF(AND($L8=1,'計算A'!N$117=1,DM8=0),300,0))),1000000))</f>
        <v/>
      </c>
      <c r="OQ8">
        <f>IF($B8=0,1000000,IF(INDEX('計算A'!$D$60:$EQ$104,$B8,12)*DM8=1,IF(AND($E8=2,JB8=0),1000000,IF($I8&gt;0,IF(1=$J8,IF(OR(AND(12=$I8+1,OR($K8&lt;&gt;'計算A'!$A$3,'計算A'!$A$4=0)),AND(12=$I8-1,OR(12&lt;&gt;'計算A'!$A$3,'計算A'!$A$4=0))),0,IF(12=$K8,200000,ABS(12-$K8)*100)),100000+ABS(1-$J8)*1000+120)+'計算A'!O$5*50+IF(AND($E8=1,JB8=0),25,0),INDEX('計算A'!O$110:O$114,$F8+1)+IF(AND($E8=1,JB8=0),1000,0)+IF($H8=1,(IF('計算A'!N$117=1,INDEX('計算A'!N$10:N$54,$B8),0)+IF('計算A'!O$117=1,INDEX('計算A'!P$10:P$54,$B8),0))*500,0)-IF(AND('計算A'!N$117=1,UL8&gt;0),300,0)-IF(AND($L8=1,'計算A'!O$117=1,DN8=0),300,0))),1000000))</f>
        <v/>
      </c>
      <c r="OR8">
        <f>IF($B8=0,1000000,IF(INDEX('計算A'!$D$60:$EQ$104,$B8,13)*DN8=1,IF(AND($E8=2,JC8=0),1000000,IF($I8&gt;0,IF(1=$J8,IF(OR(AND(13=$I8+1,OR($K8&lt;&gt;'計算A'!$A$3,'計算A'!$A$4=0)),AND(13=$I8-1,OR(13&lt;&gt;'計算A'!$A$3,'計算A'!$A$4=0))),0,IF(13=$K8,200000,ABS(13-$K8)*100)),100000+ABS(1-$J8)*1000+130)+'計算A'!P$5*50+IF(AND($E8=1,JC8=0),25,0),INDEX('計算A'!P$110:P$114,$F8+1)+IF(AND($E8=1,JC8=0),1000,0)+IF($H8=1,(IF('計算A'!O$117=1,INDEX('計算A'!O$10:O$54,$B8),0)+IF('計算A'!P$117=1,INDEX('計算A'!Q$10:Q$54,$B8),0))*500,0)-IF(AND('計算A'!O$117=1,UM8&gt;0),300,0)-IF(AND($L8=1,'計算A'!P$117=1,DO8=0),300,0))),1000000))</f>
        <v/>
      </c>
      <c r="OS8">
        <f>IF($B8=0,1000000,IF(INDEX('計算A'!$D$60:$EQ$104,$B8,14)*DO8=1,IF(AND($E8=2,JD8=0),1000000,IF($I8&gt;0,IF(1=$J8,IF(OR(AND(14=$I8+1,OR($K8&lt;&gt;'計算A'!$A$3,'計算A'!$A$4=0)),AND(14=$I8-1,OR(14&lt;&gt;'計算A'!$A$3,'計算A'!$A$4=0))),0,IF(14=$K8,200000,ABS(14-$K8)*100)),100000+ABS(1-$J8)*1000+140)+'計算A'!Q$5*50+IF(AND($E8=1,JD8=0),25,0),INDEX('計算A'!Q$110:Q$114,$F8+1)+IF(AND($E8=1,JD8=0),1000,0)+IF($H8=1,(IF('計算A'!P$117=1,INDEX('計算A'!P$10:P$54,$B8),0)+IF('計算A'!Q$117=1,INDEX('計算A'!R$10:R$54,$B8),0))*500,0)-IF(AND('計算A'!P$117=1,UN8&gt;0),300,0)-IF(AND($L8=1,'計算A'!Q$117=1,DP8=0),300,0))),1000000))</f>
        <v/>
      </c>
      <c r="OT8">
        <f>IF($B8=0,1000000,IF(INDEX('計算A'!$D$60:$EQ$104,$B8,15)*DP8=1,IF(AND($E8=2,JE8=0),1000000,IF($I8&gt;0,IF(1=$J8,IF(OR(AND(15=$I8+1,OR($K8&lt;&gt;'計算A'!$A$3,'計算A'!$A$4=0)),AND(15=$I8-1,OR(15&lt;&gt;'計算A'!$A$3,'計算A'!$A$4=0))),0,IF(15=$K8,200000,ABS(15-$K8)*100)),100000+ABS(1-$J8)*1000+150)+'計算A'!R$5*50+IF(AND($E8=1,JE8=0),25,0),INDEX('計算A'!R$110:R$114,$F8+1)+IF(AND($E8=1,JE8=0),1000,0)+IF($H8=1,(IF('計算A'!Q$117=1,INDEX('計算A'!Q$10:Q$54,$B8),0)+IF('計算A'!R$117=1,INDEX('計算A'!S$10:S$54,$B8),0))*500,0)-IF(AND('計算A'!Q$117=1,UO8&gt;0),300,0)-IF(AND($L8=1,'計算A'!R$117=1,DQ8=0),300,0))),1000000))</f>
        <v/>
      </c>
      <c r="OU8">
        <f>IF($B8=0,1000000,IF(INDEX('計算A'!$D$60:$EQ$104,$B8,16)*DQ8=1,IF(AND($E8=2,JF8=0),1000000,IF($I8&gt;0,IF(1=$J8,IF(OR(AND(16=$I8+1,OR($K8&lt;&gt;'計算A'!$A$3,'計算A'!$A$4=0)),AND(16=$I8-1,OR(16&lt;&gt;'計算A'!$A$3,'計算A'!$A$4=0))),0,IF(16=$K8,200000,ABS(16-$K8)*100)),100000+ABS(1-$J8)*1000+160)+'計算A'!S$5*50+IF(AND($E8=1,JF8=0),25,0),INDEX('計算A'!S$110:S$114,$F8+1)+IF(AND($E8=1,JF8=0),1000,0)+IF($H8=1,(IF('計算A'!R$117=1,INDEX('計算A'!R$10:R$54,$B8),0)+IF('計算A'!S$117=1,INDEX('計算A'!T$10:T$54,$B8),0))*500,0)-IF(AND('計算A'!R$117=1,UP8&gt;0),300,0)-IF(AND($L8=1,'計算A'!S$117=1,DR8=0),300,0))),1000000))</f>
        <v/>
      </c>
      <c r="OV8">
        <f>IF($B8=0,1000000,IF(INDEX('計算A'!$D$60:$EQ$104,$B8,17)*DR8=1,IF(AND($E8=2,JG8=0),1000000,IF($I8&gt;0,IF(1=$J8,IF(OR(AND(17=$I8+1,OR($K8&lt;&gt;'計算A'!$A$3,'計算A'!$A$4=0)),AND(17=$I8-1,OR(17&lt;&gt;'計算A'!$A$3,'計算A'!$A$4=0))),0,IF(17=$K8,200000,ABS(17-$K8)*100)),100000+ABS(1-$J8)*1000+170)+'計算A'!T$5*50+IF(AND($E8=1,JG8=0),25,0),INDEX('計算A'!T$110:T$114,$F8+1)+IF(AND($E8=1,JG8=0),1000,0)+IF($H8=1,(IF('計算A'!S$117=1,INDEX('計算A'!S$10:S$54,$B8),0)+IF('計算A'!T$117=1,INDEX('計算A'!U$10:U$54,$B8),0))*500,0)-IF(AND('計算A'!S$117=1,UQ8&gt;0),300,0)-IF(AND($L8=1,'計算A'!T$117=1,DS8=0),300,0))),1000000))</f>
        <v/>
      </c>
      <c r="OW8">
        <f>IF($B8=0,1000000,IF(INDEX('計算A'!$D$60:$EQ$104,$B8,18)*DS8=1,IF(AND($E8=2,JH8=0),1000000,IF($I8&gt;0,IF(1=$J8,IF(OR(AND(18=$I8+1,OR($K8&lt;&gt;'計算A'!$A$3,'計算A'!$A$4=0)),AND(18=$I8-1,OR(18&lt;&gt;'計算A'!$A$3,'計算A'!$A$4=0))),0,IF(18=$K8,200000,ABS(18-$K8)*100)),100000+ABS(1-$J8)*1000+180)+'計算A'!U$5*50+IF(AND($E8=1,JH8=0),25,0),INDEX('計算A'!U$110:U$114,$F8+1)+IF(AND($E8=1,JH8=0),1000,0)+IF($H8=1,(IF('計算A'!T$117=1,INDEX('計算A'!T$10:T$54,$B8),0)+IF('計算A'!U$117=1,INDEX('計算A'!V$10:V$54,$B8),0))*500,0)-IF(AND('計算A'!T$117=1,UR8&gt;0),300,0)-IF(AND($L8=1,'計算A'!U$117=1,DT8=0),300,0))),1000000))</f>
        <v/>
      </c>
      <c r="OX8">
        <f>IF($B8=0,1000000,IF(INDEX('計算A'!$D$60:$EQ$104,$B8,19)*DT8=1,IF(AND($E8=2,JI8=0),1000000,IF($I8&gt;0,IF(1=$J8,IF(OR(AND(19=$I8+1,OR($K8&lt;&gt;'計算A'!$A$3,'計算A'!$A$4=0)),AND(19=$I8-1,OR(19&lt;&gt;'計算A'!$A$3,'計算A'!$A$4=0))),0,IF(19=$K8,200000,ABS(19-$K8)*100)),100000+ABS(1-$J8)*1000+190)+'計算A'!V$5*50+IF(AND($E8=1,JI8=0),25,0),INDEX('計算A'!V$110:V$114,$F8+1)+IF(AND($E8=1,JI8=0),1000,0)+IF($H8=1,(IF('計算A'!U$117=1,INDEX('計算A'!U$10:U$54,$B8),0)+IF('計算A'!V$117=1,INDEX('計算A'!W$10:W$54,$B8),0))*500,0)-IF(AND('計算A'!U$117=1,US8&gt;0),300,0)-IF(AND($L8=1,'計算A'!V$117=1,DU8=0),300,0))),1000000))</f>
        <v/>
      </c>
      <c r="OY8">
        <f>IF($B8=0,1000000,IF(INDEX('計算A'!$D$60:$EQ$104,$B8,20)*DU8=1,IF(AND($E8=2,JJ8=0),1000000,IF($I8&gt;0,IF(1=$J8,IF(OR(AND(20=$I8+1,OR($K8&lt;&gt;'計算A'!$A$3,'計算A'!$A$4=0)),AND(20=$I8-1,OR(20&lt;&gt;'計算A'!$A$3,'計算A'!$A$4=0))),0,IF(20=$K8,200000,ABS(20-$K8)*100)),100000+ABS(1-$J8)*1000+200)+'計算A'!W$5*50+IF(AND($E8=1,JJ8=0),25,0),INDEX('計算A'!W$110:W$114,$F8+1)+IF(AND($E8=1,JJ8=0),1000,0)+IF($H8=1,(IF('計算A'!V$117=1,INDEX('計算A'!V$10:V$54,$B8),0)+IF('計算A'!W$117=1,INDEX('計算A'!X$10:X$54,$B8),0))*500,0)-IF(AND('計算A'!V$117=1,UT8&gt;0),300,0)-IF(AND($L8=1,'計算A'!W$117=1,DV8=0),300,0))),1000000))</f>
        <v/>
      </c>
      <c r="OZ8">
        <f>IF($B8=0,1000000,IF(INDEX('計算A'!$D$60:$EQ$104,$B8,21)*DV8=1,IF(AND($E8=2,JK8=0),1000000,IF($I8&gt;0,IF(1=$J8,IF(OR(AND(21=$I8+1,OR($K8&lt;&gt;'計算A'!$A$3,'計算A'!$A$4=0)),AND(21=$I8-1,OR(21&lt;&gt;'計算A'!$A$3,'計算A'!$A$4=0))),0,IF(21=$K8,200000,ABS(21-$K8)*100)),100000+ABS(1-$J8)*1000+210)+'計算A'!X$5*50+IF(AND($E8=1,JK8=0),25,0),INDEX('計算A'!X$110:X$114,$F8+1)+IF(AND($E8=1,JK8=0),1000,0)+IF($H8=1,(IF('計算A'!W$117=1,INDEX('計算A'!W$10:W$54,$B8),0)+IF('計算A'!X$117=1,INDEX('計算A'!Y$10:Y$54,$B8),0))*500,0)-IF(AND('計算A'!W$117=1,UU8&gt;0),300,0)-IF(AND($L8=1,'計算A'!X$117=1,DW8=0),300,0))),1000000))</f>
        <v/>
      </c>
      <c r="PA8">
        <f>IF($B8=0,1000000,IF(INDEX('計算A'!$D$60:$EQ$104,$B8,22)*DW8=1,IF(AND($E8=2,JL8=0),1000000,IF($I8&gt;0,IF(1=$J8,IF(OR(AND(22=$I8+1,OR($K8&lt;&gt;'計算A'!$A$3,'計算A'!$A$4=0)),AND(22=$I8-1,OR(22&lt;&gt;'計算A'!$A$3,'計算A'!$A$4=0))),0,IF(22=$K8,200000,ABS(22-$K8)*100)),100000+ABS(1-$J8)*1000+220)+'計算A'!Y$5*50+IF(AND($E8=1,JL8=0),25,0),INDEX('計算A'!Y$110:Y$114,$F8+1)+IF(AND($E8=1,JL8=0),1000,0)+IF($H8=1,(IF('計算A'!X$117=1,INDEX('計算A'!X$10:X$54,$B8),0)+IF('計算A'!Y$117=1,INDEX('計算A'!Z$10:Z$54,$B8),0))*500,0)-IF(AND('計算A'!X$117=1,UV8&gt;0),300,0)-IF(AND($L8=1,'計算A'!Y$117=1,DX8=0),300,0))),1000000))</f>
        <v/>
      </c>
      <c r="PB8">
        <f>IF($B8=0,1000000,IF(INDEX('計算A'!$D$60:$EQ$104,$B8,23)*DX8=1,IF(AND($E8=2,JM8=0),1000000,IF($I8&gt;0,IF(1=$J8,IF(OR(AND(23=$I8+1,OR($K8&lt;&gt;'計算A'!$A$3,'計算A'!$A$4=0)),AND(23=$I8-1,OR(23&lt;&gt;'計算A'!$A$3,'計算A'!$A$4=0))),0,IF(23=$K8,200000,ABS(23-$K8)*100)),100000+ABS(1-$J8)*1000+230)+'計算A'!Z$5*50+IF(AND($E8=1,JM8=0),25,0),INDEX('計算A'!Z$110:Z$114,$F8+1)+IF(AND($E8=1,JM8=0),1000,0)+IF($H8=1,(IF('計算A'!Y$117=1,INDEX('計算A'!Y$10:Y$54,$B8),0)+IF('計算A'!Z$117=1,INDEX('計算A'!AA$10:AA$54,$B8),0))*500,0)-IF(AND('計算A'!Y$117=1,UW8&gt;0),300,0)-IF(AND($L8=1,'計算A'!Z$117=1,DY8=0),300,0))),1000000))</f>
        <v/>
      </c>
      <c r="PC8">
        <f>IF($B8=0,1000000,IF(INDEX('計算A'!$D$60:$EQ$104,$B8,24)*DY8=1,IF(AND($E8=2,JN8=0),1000000,IF($I8&gt;0,IF(1=$J8,IF(OR(AND(24=$I8+1,OR($K8&lt;&gt;'計算A'!$A$3,'計算A'!$A$4=0)),AND(24=$I8-1,OR(24&lt;&gt;'計算A'!$A$3,'計算A'!$A$4=0))),0,IF(24=$K8,200000,ABS(24-$K8)*100)),100000+ABS(1-$J8)*1000+240)+'計算A'!AA$5*50+IF(AND($E8=1,JN8=0),25,0),INDEX('計算A'!AA$110:AA$114,$F8+1)+IF(AND($E8=1,JN8=0),1000,0)+IF($H8=1,(IF('計算A'!Z$117=1,INDEX('計算A'!Z$10:Z$54,$B8),0))*500,0)-IF(AND('計算A'!Z$117=1,UX8&gt;0),300,0))),1000000))</f>
        <v/>
      </c>
      <c r="PD8">
        <f>IF($B8=0,1000000,IF(INDEX('計算A'!$D$60:$EQ$104,$B8,25)*DZ8=1,IF(AND($E8=2,JO8=0),1000000,IF($I8&gt;0,IF(2=$J8,IF(OR(AND(25=$I8+1,OR($K8&lt;&gt;'計算A'!$A$3,'計算A'!$A$4=0)),AND(25=$I8-1,OR(1&lt;&gt;'計算A'!$A$3,'計算A'!$A$4=0))),0,IF(1=$K8,200000,ABS(1-$K8)*100)),100000+ABS(2-$J8)*1000+10)+'計算A'!AB$5*50+IF(AND($E8=1,JO8=0),25,0),INDEX('計算A'!AB$110:AB$114,$F8+1)+IF(AND($E8=1,JO8=0),1000,0)+IF($H8=1,(IF('計算A'!AB$117=1,INDEX('計算A'!AC$10:AC$54,$B8),0))*500,0)-IF(AND($L8=1,'計算A'!AB$117=1,EA8=0),300,0))),1000000))</f>
        <v/>
      </c>
      <c r="PE8">
        <f>IF($B8=0,1000000,IF(INDEX('計算A'!$D$60:$EQ$104,$B8,26)*EA8=1,IF(AND($E8=2,JP8=0),1000000,IF($I8&gt;0,IF(2=$J8,IF(OR(AND(26=$I8+1,OR($K8&lt;&gt;'計算A'!$A$3,'計算A'!$A$4=0)),AND(26=$I8-1,OR(2&lt;&gt;'計算A'!$A$3,'計算A'!$A$4=0))),0,IF(2=$K8,200000,ABS(2-$K8)*100)),100000+ABS(2-$J8)*1000+20)+'計算A'!AC$5*50+IF(AND($E8=1,JP8=0),25,0),INDEX('計算A'!AC$110:AC$114,$F8+1)+IF(AND($E8=1,JP8=0),1000,0)+IF($H8=1,(IF('計算A'!AB$117=1,INDEX('計算A'!AB$10:AB$54,$B8),0)+IF('計算A'!AC$117=1,INDEX('計算A'!AD$10:AD$54,$B8),0))*500,0)-IF(AND('計算A'!AB$117=1,UZ8&gt;0),300,0)-IF(AND($L8=1,'計算A'!AC$117=1,EB8=0),300,0))),1000000))</f>
        <v/>
      </c>
      <c r="PF8">
        <f>IF($B8=0,1000000,IF(INDEX('計算A'!$D$60:$EQ$104,$B8,27)*EB8=1,IF(AND($E8=2,JQ8=0),1000000,IF($I8&gt;0,IF(2=$J8,IF(OR(AND(27=$I8+1,OR($K8&lt;&gt;'計算A'!$A$3,'計算A'!$A$4=0)),AND(27=$I8-1,OR(3&lt;&gt;'計算A'!$A$3,'計算A'!$A$4=0))),0,IF(3=$K8,200000,ABS(3-$K8)*100)),100000+ABS(2-$J8)*1000+30)+'計算A'!AD$5*50+IF(AND($E8=1,JQ8=0),25,0),INDEX('計算A'!AD$110:AD$114,$F8+1)+IF(AND($E8=1,JQ8=0),1000,0)+IF($H8=1,(IF('計算A'!AC$117=1,INDEX('計算A'!AC$10:AC$54,$B8),0)+IF('計算A'!AD$117=1,INDEX('計算A'!AE$10:AE$54,$B8),0))*500,0)-IF(AND('計算A'!AC$117=1,VA8&gt;0),300,0)-IF(AND($L8=1,'計算A'!AD$117=1,EC8=0),300,0))),1000000))</f>
        <v/>
      </c>
      <c r="PG8">
        <f>IF($B8=0,1000000,IF(INDEX('計算A'!$D$60:$EQ$104,$B8,28)*EC8=1,IF(AND($E8=2,JR8=0),1000000,IF($I8&gt;0,IF(2=$J8,IF(OR(AND(28=$I8+1,OR($K8&lt;&gt;'計算A'!$A$3,'計算A'!$A$4=0)),AND(28=$I8-1,OR(4&lt;&gt;'計算A'!$A$3,'計算A'!$A$4=0))),0,IF(4=$K8,200000,ABS(4-$K8)*100)),100000+ABS(2-$J8)*1000+40)+'計算A'!AE$5*50+IF(AND($E8=1,JR8=0),25,0),INDEX('計算A'!AE$110:AE$114,$F8+1)+IF(AND($E8=1,JR8=0),1000,0)+IF($H8=1,(IF('計算A'!AD$117=1,INDEX('計算A'!AD$10:AD$54,$B8),0)+IF('計算A'!AE$117=1,INDEX('計算A'!AF$10:AF$54,$B8),0))*500,0)-IF(AND('計算A'!AD$117=1,VB8&gt;0),300,0)-IF(AND($L8=1,'計算A'!AE$117=1,ED8=0),300,0))),1000000))</f>
        <v/>
      </c>
      <c r="PH8">
        <f>IF($B8=0,1000000,IF(INDEX('計算A'!$D$60:$EQ$104,$B8,29)*ED8=1,IF(AND($E8=2,JS8=0),1000000,IF($I8&gt;0,IF(2=$J8,IF(OR(AND(29=$I8+1,OR($K8&lt;&gt;'計算A'!$A$3,'計算A'!$A$4=0)),AND(29=$I8-1,OR(5&lt;&gt;'計算A'!$A$3,'計算A'!$A$4=0))),0,IF(5=$K8,200000,ABS(5-$K8)*100)),100000+ABS(2-$J8)*1000+50)+'計算A'!AF$5*50+IF(AND($E8=1,JS8=0),25,0),INDEX('計算A'!AF$110:AF$114,$F8+1)+IF(AND($E8=1,JS8=0),1000,0)+IF($H8=1,(IF('計算A'!AE$117=1,INDEX('計算A'!AE$10:AE$54,$B8),0)+IF('計算A'!AF$117=1,INDEX('計算A'!AG$10:AG$54,$B8),0))*500,0)-IF(AND('計算A'!AE$117=1,VC8&gt;0),300,0)-IF(AND($L8=1,'計算A'!AF$117=1,EE8=0),300,0))),1000000))</f>
        <v/>
      </c>
      <c r="PI8">
        <f>IF($B8=0,1000000,IF(INDEX('計算A'!$D$60:$EQ$104,$B8,30)*EE8=1,IF(AND($E8=2,JT8=0),1000000,IF($I8&gt;0,IF(2=$J8,IF(OR(AND(30=$I8+1,OR($K8&lt;&gt;'計算A'!$A$3,'計算A'!$A$4=0)),AND(30=$I8-1,OR(6&lt;&gt;'計算A'!$A$3,'計算A'!$A$4=0))),0,IF(6=$K8,200000,ABS(6-$K8)*100)),100000+ABS(2-$J8)*1000+60)+'計算A'!AG$5*50+IF(AND($E8=1,JT8=0),25,0),INDEX('計算A'!AG$110:AG$114,$F8+1)+IF(AND($E8=1,JT8=0),1000,0)+IF($H8=1,(IF('計算A'!AF$117=1,INDEX('計算A'!AF$10:AF$54,$B8),0)+IF('計算A'!AG$117=1,INDEX('計算A'!AH$10:AH$54,$B8),0))*500,0)-IF(AND('計算A'!AF$117=1,VD8&gt;0),300,0)-IF(AND($L8=1,'計算A'!AG$117=1,EF8=0),300,0))),1000000))</f>
        <v/>
      </c>
      <c r="PJ8">
        <f>IF($B8=0,1000000,IF(INDEX('計算A'!$D$60:$EQ$104,$B8,31)*EF8=1,IF(AND($E8=2,JU8=0),1000000,IF($I8&gt;0,IF(2=$J8,IF(OR(AND(31=$I8+1,OR($K8&lt;&gt;'計算A'!$A$3,'計算A'!$A$4=0)),AND(31=$I8-1,OR(7&lt;&gt;'計算A'!$A$3,'計算A'!$A$4=0))),0,IF(7=$K8,200000,ABS(7-$K8)*100)),100000+ABS(2-$J8)*1000+70)+'計算A'!AH$5*50+IF(AND($E8=1,JU8=0),25,0),INDEX('計算A'!AH$110:AH$114,$F8+1)+IF(AND($E8=1,JU8=0),1000,0)+IF($H8=1,(IF('計算A'!AG$117=1,INDEX('計算A'!AG$10:AG$54,$B8),0)+IF('計算A'!AH$117=1,INDEX('計算A'!AI$10:AI$54,$B8),0))*500,0)-IF(AND('計算A'!AG$117=1,VE8&gt;0),300,0)-IF(AND($L8=1,'計算A'!AH$117=1,EG8=0),300,0))),1000000))</f>
        <v/>
      </c>
      <c r="PK8">
        <f>IF($B8=0,1000000,IF(INDEX('計算A'!$D$60:$EQ$104,$B8,32)*EG8=1,IF(AND($E8=2,JV8=0),1000000,IF($I8&gt;0,IF(2=$J8,IF(OR(AND(32=$I8+1,OR($K8&lt;&gt;'計算A'!$A$3,'計算A'!$A$4=0)),AND(32=$I8-1,OR(8&lt;&gt;'計算A'!$A$3,'計算A'!$A$4=0))),0,IF(8=$K8,200000,ABS(8-$K8)*100)),100000+ABS(2-$J8)*1000+80)+'計算A'!AI$5*50+IF(AND($E8=1,JV8=0),25,0),INDEX('計算A'!AI$110:AI$114,$F8+1)+IF(AND($E8=1,JV8=0),1000,0)+IF($H8=1,(IF('計算A'!AH$117=1,INDEX('計算A'!AH$10:AH$54,$B8),0)+IF('計算A'!AI$117=1,INDEX('計算A'!AJ$10:AJ$54,$B8),0))*500,0)-IF(AND('計算A'!AH$117=1,VF8&gt;0),300,0)-IF(AND($L8=1,'計算A'!AI$117=1,EH8=0),300,0))),1000000))</f>
        <v/>
      </c>
      <c r="PL8">
        <f>IF($B8=0,1000000,IF(INDEX('計算A'!$D$60:$EQ$104,$B8,33)*EH8=1,IF(AND($E8=2,JW8=0),1000000,IF($I8&gt;0,IF(2=$J8,IF(OR(AND(33=$I8+1,OR($K8&lt;&gt;'計算A'!$A$3,'計算A'!$A$4=0)),AND(33=$I8-1,OR(9&lt;&gt;'計算A'!$A$3,'計算A'!$A$4=0))),0,IF(9=$K8,200000,ABS(9-$K8)*100)),100000+ABS(2-$J8)*1000+90)+'計算A'!AJ$5*50+IF(AND($E8=1,JW8=0),25,0),INDEX('計算A'!AJ$110:AJ$114,$F8+1)+IF(AND($E8=1,JW8=0),1000,0)+IF($H8=1,(IF('計算A'!AI$117=1,INDEX('計算A'!AI$10:AI$54,$B8),0)+IF('計算A'!AJ$117=1,INDEX('計算A'!AK$10:AK$54,$B8),0))*500,0)-IF(AND('計算A'!AI$117=1,VG8&gt;0),300,0)-IF(AND($L8=1,'計算A'!AJ$117=1,EI8=0),300,0))),1000000))</f>
        <v/>
      </c>
      <c r="PM8">
        <f>IF($B8=0,1000000,IF(INDEX('計算A'!$D$60:$EQ$104,$B8,34)*EI8=1,IF(AND($E8=2,JX8=0),1000000,IF($I8&gt;0,IF(2=$J8,IF(OR(AND(34=$I8+1,OR($K8&lt;&gt;'計算A'!$A$3,'計算A'!$A$4=0)),AND(34=$I8-1,OR(10&lt;&gt;'計算A'!$A$3,'計算A'!$A$4=0))),0,IF(10=$K8,200000,ABS(10-$K8)*100)),100000+ABS(2-$J8)*1000+100)+'計算A'!AK$5*50+IF(AND($E8=1,JX8=0),25,0),INDEX('計算A'!AK$110:AK$114,$F8+1)+IF(AND($E8=1,JX8=0),1000,0)+IF($H8=1,(IF('計算A'!AJ$117=1,INDEX('計算A'!AJ$10:AJ$54,$B8),0)+IF('計算A'!AK$117=1,INDEX('計算A'!AL$10:AL$54,$B8),0))*500,0)-IF(AND('計算A'!AJ$117=1,VH8&gt;0),300,0)-IF(AND($L8=1,'計算A'!AK$117=1,EJ8=0),300,0))),1000000))</f>
        <v/>
      </c>
      <c r="PN8">
        <f>IF($B8=0,1000000,IF(INDEX('計算A'!$D$60:$EQ$104,$B8,35)*EJ8=1,IF(AND($E8=2,JY8=0),1000000,IF($I8&gt;0,IF(2=$J8,IF(OR(AND(35=$I8+1,OR($K8&lt;&gt;'計算A'!$A$3,'計算A'!$A$4=0)),AND(35=$I8-1,OR(11&lt;&gt;'計算A'!$A$3,'計算A'!$A$4=0))),0,IF(11=$K8,200000,ABS(11-$K8)*100)),100000+ABS(2-$J8)*1000+110)+'計算A'!AL$5*50+IF(AND($E8=1,JY8=0),25,0),INDEX('計算A'!AL$110:AL$114,$F8+1)+IF(AND($E8=1,JY8=0),1000,0)+IF($H8=1,(IF('計算A'!AK$117=1,INDEX('計算A'!AK$10:AK$54,$B8),0)+IF('計算A'!AL$117=1,INDEX('計算A'!AM$10:AM$54,$B8),0))*500,0)-IF(AND('計算A'!AK$117=1,VI8&gt;0),300,0)-IF(AND($L8=1,'計算A'!AL$117=1,EK8=0),300,0))),1000000))</f>
        <v/>
      </c>
      <c r="PO8">
        <f>IF($B8=0,1000000,IF(INDEX('計算A'!$D$60:$EQ$104,$B8,36)*EK8=1,IF(AND($E8=2,JZ8=0),1000000,IF($I8&gt;0,IF(2=$J8,IF(OR(AND(36=$I8+1,OR($K8&lt;&gt;'計算A'!$A$3,'計算A'!$A$4=0)),AND(36=$I8-1,OR(12&lt;&gt;'計算A'!$A$3,'計算A'!$A$4=0))),0,IF(12=$K8,200000,ABS(12-$K8)*100)),100000+ABS(2-$J8)*1000+120)+'計算A'!AM$5*50+IF(AND($E8=1,JZ8=0),25,0),INDEX('計算A'!AM$110:AM$114,$F8+1)+IF(AND($E8=1,JZ8=0),1000,0)+IF($H8=1,(IF('計算A'!AL$117=1,INDEX('計算A'!AL$10:AL$54,$B8),0)+IF('計算A'!AM$117=1,INDEX('計算A'!AN$10:AN$54,$B8),0))*500,0)-IF(AND('計算A'!AL$117=1,VJ8&gt;0),300,0)-IF(AND($L8=1,'計算A'!AM$117=1,EL8=0),300,0))),1000000))</f>
        <v/>
      </c>
      <c r="PP8">
        <f>IF($B8=0,1000000,IF(INDEX('計算A'!$D$60:$EQ$104,$B8,37)*EL8=1,IF(AND($E8=2,KA8=0),1000000,IF($I8&gt;0,IF(2=$J8,IF(OR(AND(37=$I8+1,OR($K8&lt;&gt;'計算A'!$A$3,'計算A'!$A$4=0)),AND(37=$I8-1,OR(13&lt;&gt;'計算A'!$A$3,'計算A'!$A$4=0))),0,IF(13=$K8,200000,ABS(13-$K8)*100)),100000+ABS(2-$J8)*1000+130)+'計算A'!AN$5*50+IF(AND($E8=1,KA8=0),25,0),INDEX('計算A'!AN$110:AN$114,$F8+1)+IF(AND($E8=1,KA8=0),1000,0)+IF($H8=1,(IF('計算A'!AM$117=1,INDEX('計算A'!AM$10:AM$54,$B8),0)+IF('計算A'!AN$117=1,INDEX('計算A'!AO$10:AO$54,$B8),0))*500,0)-IF(AND('計算A'!AM$117=1,VK8&gt;0),300,0)-IF(AND($L8=1,'計算A'!AN$117=1,EM8=0),300,0))),1000000))</f>
        <v/>
      </c>
      <c r="PQ8">
        <f>IF($B8=0,1000000,IF(INDEX('計算A'!$D$60:$EQ$104,$B8,38)*EM8=1,IF(AND($E8=2,KB8=0),1000000,IF($I8&gt;0,IF(2=$J8,IF(OR(AND(38=$I8+1,OR($K8&lt;&gt;'計算A'!$A$3,'計算A'!$A$4=0)),AND(38=$I8-1,OR(14&lt;&gt;'計算A'!$A$3,'計算A'!$A$4=0))),0,IF(14=$K8,200000,ABS(14-$K8)*100)),100000+ABS(2-$J8)*1000+140)+'計算A'!AO$5*50+IF(AND($E8=1,KB8=0),25,0),INDEX('計算A'!AO$110:AO$114,$F8+1)+IF(AND($E8=1,KB8=0),1000,0)+IF($H8=1,(IF('計算A'!AN$117=1,INDEX('計算A'!AN$10:AN$54,$B8),0)+IF('計算A'!AO$117=1,INDEX('計算A'!AP$10:AP$54,$B8),0))*500,0)-IF(AND('計算A'!AN$117=1,VL8&gt;0),300,0)-IF(AND($L8=1,'計算A'!AO$117=1,EN8=0),300,0))),1000000))</f>
        <v/>
      </c>
      <c r="PR8">
        <f>IF($B8=0,1000000,IF(INDEX('計算A'!$D$60:$EQ$104,$B8,39)*EN8=1,IF(AND($E8=2,KC8=0),1000000,IF($I8&gt;0,IF(2=$J8,IF(OR(AND(39=$I8+1,OR($K8&lt;&gt;'計算A'!$A$3,'計算A'!$A$4=0)),AND(39=$I8-1,OR(15&lt;&gt;'計算A'!$A$3,'計算A'!$A$4=0))),0,IF(15=$K8,200000,ABS(15-$K8)*100)),100000+ABS(2-$J8)*1000+150)+'計算A'!AP$5*50+IF(AND($E8=1,KC8=0),25,0),INDEX('計算A'!AP$110:AP$114,$F8+1)+IF(AND($E8=1,KC8=0),1000,0)+IF($H8=1,(IF('計算A'!AO$117=1,INDEX('計算A'!AO$10:AO$54,$B8),0)+IF('計算A'!AP$117=1,INDEX('計算A'!AQ$10:AQ$54,$B8),0))*500,0)-IF(AND('計算A'!AO$117=1,VM8&gt;0),300,0)-IF(AND($L8=1,'計算A'!AP$117=1,EO8=0),300,0))),1000000))</f>
        <v/>
      </c>
      <c r="PS8">
        <f>IF($B8=0,1000000,IF(INDEX('計算A'!$D$60:$EQ$104,$B8,40)*EO8=1,IF(AND($E8=2,KD8=0),1000000,IF($I8&gt;0,IF(2=$J8,IF(OR(AND(40=$I8+1,OR($K8&lt;&gt;'計算A'!$A$3,'計算A'!$A$4=0)),AND(40=$I8-1,OR(16&lt;&gt;'計算A'!$A$3,'計算A'!$A$4=0))),0,IF(16=$K8,200000,ABS(16-$K8)*100)),100000+ABS(2-$J8)*1000+160)+'計算A'!AQ$5*50+IF(AND($E8=1,KD8=0),25,0),INDEX('計算A'!AQ$110:AQ$114,$F8+1)+IF(AND($E8=1,KD8=0),1000,0)+IF($H8=1,(IF('計算A'!AP$117=1,INDEX('計算A'!AP$10:AP$54,$B8),0)+IF('計算A'!AQ$117=1,INDEX('計算A'!AR$10:AR$54,$B8),0))*500,0)-IF(AND('計算A'!AP$117=1,VN8&gt;0),300,0)-IF(AND($L8=1,'計算A'!AQ$117=1,EP8=0),300,0))),1000000))</f>
        <v/>
      </c>
      <c r="PT8">
        <f>IF($B8=0,1000000,IF(INDEX('計算A'!$D$60:$EQ$104,$B8,41)*EP8=1,IF(AND($E8=2,KE8=0),1000000,IF($I8&gt;0,IF(2=$J8,IF(OR(AND(41=$I8+1,OR($K8&lt;&gt;'計算A'!$A$3,'計算A'!$A$4=0)),AND(41=$I8-1,OR(17&lt;&gt;'計算A'!$A$3,'計算A'!$A$4=0))),0,IF(17=$K8,200000,ABS(17-$K8)*100)),100000+ABS(2-$J8)*1000+170)+'計算A'!AR$5*50+IF(AND($E8=1,KE8=0),25,0),INDEX('計算A'!AR$110:AR$114,$F8+1)+IF(AND($E8=1,KE8=0),1000,0)+IF($H8=1,(IF('計算A'!AQ$117=1,INDEX('計算A'!AQ$10:AQ$54,$B8),0)+IF('計算A'!AR$117=1,INDEX('計算A'!AS$10:AS$54,$B8),0))*500,0)-IF(AND('計算A'!AQ$117=1,VO8&gt;0),300,0)-IF(AND($L8=1,'計算A'!AR$117=1,EQ8=0),300,0))),1000000))</f>
        <v/>
      </c>
      <c r="PU8">
        <f>IF($B8=0,1000000,IF(INDEX('計算A'!$D$60:$EQ$104,$B8,42)*EQ8=1,IF(AND($E8=2,KF8=0),1000000,IF($I8&gt;0,IF(2=$J8,IF(OR(AND(42=$I8+1,OR($K8&lt;&gt;'計算A'!$A$3,'計算A'!$A$4=0)),AND(42=$I8-1,OR(18&lt;&gt;'計算A'!$A$3,'計算A'!$A$4=0))),0,IF(18=$K8,200000,ABS(18-$K8)*100)),100000+ABS(2-$J8)*1000+180)+'計算A'!AS$5*50+IF(AND($E8=1,KF8=0),25,0),INDEX('計算A'!AS$110:AS$114,$F8+1)+IF(AND($E8=1,KF8=0),1000,0)+IF($H8=1,(IF('計算A'!AR$117=1,INDEX('計算A'!AR$10:AR$54,$B8),0)+IF('計算A'!AS$117=1,INDEX('計算A'!AT$10:AT$54,$B8),0))*500,0)-IF(AND('計算A'!AR$117=1,VP8&gt;0),300,0)-IF(AND($L8=1,'計算A'!AS$117=1,ER8=0),300,0))),1000000))</f>
        <v/>
      </c>
      <c r="PV8">
        <f>IF($B8=0,1000000,IF(INDEX('計算A'!$D$60:$EQ$104,$B8,43)*ER8=1,IF(AND($E8=2,KG8=0),1000000,IF($I8&gt;0,IF(2=$J8,IF(OR(AND(43=$I8+1,OR($K8&lt;&gt;'計算A'!$A$3,'計算A'!$A$4=0)),AND(43=$I8-1,OR(19&lt;&gt;'計算A'!$A$3,'計算A'!$A$4=0))),0,IF(19=$K8,200000,ABS(19-$K8)*100)),100000+ABS(2-$J8)*1000+190)+'計算A'!AT$5*50+IF(AND($E8=1,KG8=0),25,0),INDEX('計算A'!AT$110:AT$114,$F8+1)+IF(AND($E8=1,KG8=0),1000,0)+IF($H8=1,(IF('計算A'!AS$117=1,INDEX('計算A'!AS$10:AS$54,$B8),0)+IF('計算A'!AT$117=1,INDEX('計算A'!AU$10:AU$54,$B8),0))*500,0)-IF(AND('計算A'!AS$117=1,VQ8&gt;0),300,0)-IF(AND($L8=1,'計算A'!AT$117=1,ES8=0),300,0))),1000000))</f>
        <v/>
      </c>
      <c r="PW8">
        <f>IF($B8=0,1000000,IF(INDEX('計算A'!$D$60:$EQ$104,$B8,44)*ES8=1,IF(AND($E8=2,KH8=0),1000000,IF($I8&gt;0,IF(2=$J8,IF(OR(AND(44=$I8+1,OR($K8&lt;&gt;'計算A'!$A$3,'計算A'!$A$4=0)),AND(44=$I8-1,OR(20&lt;&gt;'計算A'!$A$3,'計算A'!$A$4=0))),0,IF(20=$K8,200000,ABS(20-$K8)*100)),100000+ABS(2-$J8)*1000+200)+'計算A'!AU$5*50+IF(AND($E8=1,KH8=0),25,0),INDEX('計算A'!AU$110:AU$114,$F8+1)+IF(AND($E8=1,KH8=0),1000,0)+IF($H8=1,(IF('計算A'!AT$117=1,INDEX('計算A'!AT$10:AT$54,$B8),0)+IF('計算A'!AU$117=1,INDEX('計算A'!AV$10:AV$54,$B8),0))*500,0)-IF(AND('計算A'!AT$117=1,VR8&gt;0),300,0)-IF(AND($L8=1,'計算A'!AU$117=1,ET8=0),300,0))),1000000))</f>
        <v/>
      </c>
      <c r="PX8">
        <f>IF($B8=0,1000000,IF(INDEX('計算A'!$D$60:$EQ$104,$B8,45)*ET8=1,IF(AND($E8=2,KI8=0),1000000,IF($I8&gt;0,IF(2=$J8,IF(OR(AND(45=$I8+1,OR($K8&lt;&gt;'計算A'!$A$3,'計算A'!$A$4=0)),AND(45=$I8-1,OR(21&lt;&gt;'計算A'!$A$3,'計算A'!$A$4=0))),0,IF(21=$K8,200000,ABS(21-$K8)*100)),100000+ABS(2-$J8)*1000+210)+'計算A'!AV$5*50+IF(AND($E8=1,KI8=0),25,0),INDEX('計算A'!AV$110:AV$114,$F8+1)+IF(AND($E8=1,KI8=0),1000,0)+IF($H8=1,(IF('計算A'!AU$117=1,INDEX('計算A'!AU$10:AU$54,$B8),0)+IF('計算A'!AV$117=1,INDEX('計算A'!AW$10:AW$54,$B8),0))*500,0)-IF(AND('計算A'!AU$117=1,VS8&gt;0),300,0)-IF(AND($L8=1,'計算A'!AV$117=1,EU8=0),300,0))),1000000))</f>
        <v/>
      </c>
      <c r="PY8">
        <f>IF($B8=0,1000000,IF(INDEX('計算A'!$D$60:$EQ$104,$B8,46)*EU8=1,IF(AND($E8=2,KJ8=0),1000000,IF($I8&gt;0,IF(2=$J8,IF(OR(AND(46=$I8+1,OR($K8&lt;&gt;'計算A'!$A$3,'計算A'!$A$4=0)),AND(46=$I8-1,OR(22&lt;&gt;'計算A'!$A$3,'計算A'!$A$4=0))),0,IF(22=$K8,200000,ABS(22-$K8)*100)),100000+ABS(2-$J8)*1000+220)+'計算A'!AW$5*50+IF(AND($E8=1,KJ8=0),25,0),INDEX('計算A'!AW$110:AW$114,$F8+1)+IF(AND($E8=1,KJ8=0),1000,0)+IF($H8=1,(IF('計算A'!AV$117=1,INDEX('計算A'!AV$10:AV$54,$B8),0)+IF('計算A'!AW$117=1,INDEX('計算A'!AX$10:AX$54,$B8),0))*500,0)-IF(AND('計算A'!AV$117=1,VT8&gt;0),300,0)-IF(AND($L8=1,'計算A'!AW$117=1,EV8=0),300,0))),1000000))</f>
        <v/>
      </c>
      <c r="PZ8">
        <f>IF($B8=0,1000000,IF(INDEX('計算A'!$D$60:$EQ$104,$B8,47)*EV8=1,IF(AND($E8=2,KK8=0),1000000,IF($I8&gt;0,IF(2=$J8,IF(OR(AND(47=$I8+1,OR($K8&lt;&gt;'計算A'!$A$3,'計算A'!$A$4=0)),AND(47=$I8-1,OR(23&lt;&gt;'計算A'!$A$3,'計算A'!$A$4=0))),0,IF(23=$K8,200000,ABS(23-$K8)*100)),100000+ABS(2-$J8)*1000+230)+'計算A'!AX$5*50+IF(AND($E8=1,KK8=0),25,0),INDEX('計算A'!AX$110:AX$114,$F8+1)+IF(AND($E8=1,KK8=0),1000,0)+IF($H8=1,(IF('計算A'!AW$117=1,INDEX('計算A'!AW$10:AW$54,$B8),0)+IF('計算A'!AX$117=1,INDEX('計算A'!AY$10:AY$54,$B8),0))*500,0)-IF(AND('計算A'!AW$117=1,VU8&gt;0),300,0)-IF(AND($L8=1,'計算A'!AX$117=1,EW8=0),300,0))),1000000))</f>
        <v/>
      </c>
      <c r="QA8">
        <f>IF($B8=0,1000000,IF(INDEX('計算A'!$D$60:$EQ$104,$B8,48)*EW8=1,IF(AND($E8=2,KL8=0),1000000,IF($I8&gt;0,IF(2=$J8,IF(OR(AND(48=$I8+1,OR($K8&lt;&gt;'計算A'!$A$3,'計算A'!$A$4=0)),AND(48=$I8-1,OR(24&lt;&gt;'計算A'!$A$3,'計算A'!$A$4=0))),0,IF(24=$K8,200000,ABS(24-$K8)*100)),100000+ABS(2-$J8)*1000+240)+'計算A'!AY$5*50+IF(AND($E8=1,KL8=0),25,0),INDEX('計算A'!AY$110:AY$114,$F8+1)+IF(AND($E8=1,KL8=0),1000,0)+IF($H8=1,(IF('計算A'!AX$117=1,INDEX('計算A'!AX$10:AX$54,$B8),0))*500,0)-IF(AND('計算A'!AX$117=1,VV8&gt;0),300,0))),1000000))</f>
        <v/>
      </c>
      <c r="QB8">
        <f>IF($B8=0,1000000,IF(INDEX('計算A'!$D$60:$EQ$104,$B8,49)*EX8=1,IF(AND($E8=2,KM8=0),1000000,IF($I8&gt;0,IF(3=$J8,IF(OR(AND(49=$I8+1,OR($K8&lt;&gt;'計算A'!$A$3,'計算A'!$A$4=0)),AND(49=$I8-1,OR(1&lt;&gt;'計算A'!$A$3,'計算A'!$A$4=0))),0,IF(1=$K8,200000,ABS(1-$K8)*100)),100000+ABS(3-$J8)*1000+10)+'計算A'!AZ$5*50+IF(AND($E8=1,KM8=0),25,0),INDEX('計算A'!AZ$110:AZ$114,$F8+1)+IF(AND($E8=1,KM8=0),1000,0)+IF($H8=1,(IF('計算A'!AZ$117=1,INDEX('計算A'!BA$10:BA$54,$B8),0))*500,0)-IF(AND($L8=1,'計算A'!AZ$117=1,EY8=0),300,0))),1000000))</f>
        <v/>
      </c>
      <c r="QC8">
        <f>IF($B8=0,1000000,IF(INDEX('計算A'!$D$60:$EQ$104,$B8,50)*EY8=1,IF(AND($E8=2,KN8=0),1000000,IF($I8&gt;0,IF(3=$J8,IF(OR(AND(50=$I8+1,OR($K8&lt;&gt;'計算A'!$A$3,'計算A'!$A$4=0)),AND(50=$I8-1,OR(2&lt;&gt;'計算A'!$A$3,'計算A'!$A$4=0))),0,IF(2=$K8,200000,ABS(2-$K8)*100)),100000+ABS(3-$J8)*1000+20)+'計算A'!BA$5*50+IF(AND($E8=1,KN8=0),25,0),INDEX('計算A'!BA$110:BA$114,$F8+1)+IF(AND($E8=1,KN8=0),1000,0)+IF($H8=1,(IF('計算A'!AZ$117=1,INDEX('計算A'!AZ$10:AZ$54,$B8),0)+IF('計算A'!BA$117=1,INDEX('計算A'!BB$10:BB$54,$B8),0))*500,0)-IF(AND('計算A'!AZ$117=1,VX8&gt;0),300,0)-IF(AND($L8=1,'計算A'!BA$117=1,EZ8=0),300,0))),1000000))</f>
        <v/>
      </c>
      <c r="QD8">
        <f>IF($B8=0,1000000,IF(INDEX('計算A'!$D$60:$EQ$104,$B8,51)*EZ8=1,IF(AND($E8=2,KO8=0),1000000,IF($I8&gt;0,IF(3=$J8,IF(OR(AND(51=$I8+1,OR($K8&lt;&gt;'計算A'!$A$3,'計算A'!$A$4=0)),AND(51=$I8-1,OR(3&lt;&gt;'計算A'!$A$3,'計算A'!$A$4=0))),0,IF(3=$K8,200000,ABS(3-$K8)*100)),100000+ABS(3-$J8)*1000+30)+'計算A'!BB$5*50+IF(AND($E8=1,KO8=0),25,0),INDEX('計算A'!BB$110:BB$114,$F8+1)+IF(AND($E8=1,KO8=0),1000,0)+IF($H8=1,(IF('計算A'!BA$117=1,INDEX('計算A'!BA$10:BA$54,$B8),0)+IF('計算A'!BB$117=1,INDEX('計算A'!BC$10:BC$54,$B8),0))*500,0)-IF(AND('計算A'!BA$117=1,VY8&gt;0),300,0)-IF(AND($L8=1,'計算A'!BB$117=1,FA8=0),300,0))),1000000))</f>
        <v/>
      </c>
      <c r="QE8">
        <f>IF($B8=0,1000000,IF(INDEX('計算A'!$D$60:$EQ$104,$B8,52)*FA8=1,IF(AND($E8=2,KP8=0),1000000,IF($I8&gt;0,IF(3=$J8,IF(OR(AND(52=$I8+1,OR($K8&lt;&gt;'計算A'!$A$3,'計算A'!$A$4=0)),AND(52=$I8-1,OR(4&lt;&gt;'計算A'!$A$3,'計算A'!$A$4=0))),0,IF(4=$K8,200000,ABS(4-$K8)*100)),100000+ABS(3-$J8)*1000+40)+'計算A'!BC$5*50+IF(AND($E8=1,KP8=0),25,0),INDEX('計算A'!BC$110:BC$114,$F8+1)+IF(AND($E8=1,KP8=0),1000,0)+IF($H8=1,(IF('計算A'!BB$117=1,INDEX('計算A'!BB$10:BB$54,$B8),0)+IF('計算A'!BC$117=1,INDEX('計算A'!BD$10:BD$54,$B8),0))*500,0)-IF(AND('計算A'!BB$117=1,VZ8&gt;0),300,0)-IF(AND($L8=1,'計算A'!BC$117=1,FB8=0),300,0))),1000000))</f>
        <v/>
      </c>
      <c r="QF8">
        <f>IF($B8=0,1000000,IF(INDEX('計算A'!$D$60:$EQ$104,$B8,53)*FB8=1,IF(AND($E8=2,KQ8=0),1000000,IF($I8&gt;0,IF(3=$J8,IF(OR(AND(53=$I8+1,OR($K8&lt;&gt;'計算A'!$A$3,'計算A'!$A$4=0)),AND(53=$I8-1,OR(5&lt;&gt;'計算A'!$A$3,'計算A'!$A$4=0))),0,IF(5=$K8,200000,ABS(5-$K8)*100)),100000+ABS(3-$J8)*1000+50)+'計算A'!BD$5*50+IF(AND($E8=1,KQ8=0),25,0),INDEX('計算A'!BD$110:BD$114,$F8+1)+IF(AND($E8=1,KQ8=0),1000,0)+IF($H8=1,(IF('計算A'!BC$117=1,INDEX('計算A'!BC$10:BC$54,$B8),0)+IF('計算A'!BD$117=1,INDEX('計算A'!BE$10:BE$54,$B8),0))*500,0)-IF(AND('計算A'!BC$117=1,WA8&gt;0),300,0)-IF(AND($L8=1,'計算A'!BD$117=1,FC8=0),300,0))),1000000))</f>
        <v/>
      </c>
      <c r="QG8">
        <f>IF($B8=0,1000000,IF(INDEX('計算A'!$D$60:$EQ$104,$B8,54)*FC8=1,IF(AND($E8=2,KR8=0),1000000,IF($I8&gt;0,IF(3=$J8,IF(OR(AND(54=$I8+1,OR($K8&lt;&gt;'計算A'!$A$3,'計算A'!$A$4=0)),AND(54=$I8-1,OR(6&lt;&gt;'計算A'!$A$3,'計算A'!$A$4=0))),0,IF(6=$K8,200000,ABS(6-$K8)*100)),100000+ABS(3-$J8)*1000+60)+'計算A'!BE$5*50+IF(AND($E8=1,KR8=0),25,0),INDEX('計算A'!BE$110:BE$114,$F8+1)+IF(AND($E8=1,KR8=0),1000,0)+IF($H8=1,(IF('計算A'!BD$117=1,INDEX('計算A'!BD$10:BD$54,$B8),0)+IF('計算A'!BE$117=1,INDEX('計算A'!BF$10:BF$54,$B8),0))*500,0)-IF(AND('計算A'!BD$117=1,WB8&gt;0),300,0)-IF(AND($L8=1,'計算A'!BE$117=1,FD8=0),300,0))),1000000))</f>
        <v/>
      </c>
      <c r="QH8">
        <f>IF($B8=0,1000000,IF(INDEX('計算A'!$D$60:$EQ$104,$B8,55)*FD8=1,IF(AND($E8=2,KS8=0),1000000,IF($I8&gt;0,IF(3=$J8,IF(OR(AND(55=$I8+1,OR($K8&lt;&gt;'計算A'!$A$3,'計算A'!$A$4=0)),AND(55=$I8-1,OR(7&lt;&gt;'計算A'!$A$3,'計算A'!$A$4=0))),0,IF(7=$K8,200000,ABS(7-$K8)*100)),100000+ABS(3-$J8)*1000+70)+'計算A'!BF$5*50+IF(AND($E8=1,KS8=0),25,0),INDEX('計算A'!BF$110:BF$114,$F8+1)+IF(AND($E8=1,KS8=0),1000,0)+IF($H8=1,(IF('計算A'!BE$117=1,INDEX('計算A'!BE$10:BE$54,$B8),0)+IF('計算A'!BF$117=1,INDEX('計算A'!BG$10:BG$54,$B8),0))*500,0)-IF(AND('計算A'!BE$117=1,WC8&gt;0),300,0)-IF(AND($L8=1,'計算A'!BF$117=1,FE8=0),300,0))),1000000))</f>
        <v/>
      </c>
      <c r="QI8">
        <f>IF($B8=0,1000000,IF(INDEX('計算A'!$D$60:$EQ$104,$B8,56)*FE8=1,IF(AND($E8=2,KT8=0),1000000,IF($I8&gt;0,IF(3=$J8,IF(OR(AND(56=$I8+1,OR($K8&lt;&gt;'計算A'!$A$3,'計算A'!$A$4=0)),AND(56=$I8-1,OR(8&lt;&gt;'計算A'!$A$3,'計算A'!$A$4=0))),0,IF(8=$K8,200000,ABS(8-$K8)*100)),100000+ABS(3-$J8)*1000+80)+'計算A'!BG$5*50+IF(AND($E8=1,KT8=0),25,0),INDEX('計算A'!BG$110:BG$114,$F8+1)+IF(AND($E8=1,KT8=0),1000,0)+IF($H8=1,(IF('計算A'!BF$117=1,INDEX('計算A'!BF$10:BF$54,$B8),0)+IF('計算A'!BG$117=1,INDEX('計算A'!BH$10:BH$54,$B8),0))*500,0)-IF(AND('計算A'!BF$117=1,WD8&gt;0),300,0)-IF(AND($L8=1,'計算A'!BG$117=1,FF8=0),300,0))),1000000))</f>
        <v/>
      </c>
      <c r="QJ8">
        <f>IF($B8=0,1000000,IF(INDEX('計算A'!$D$60:$EQ$104,$B8,57)*FF8=1,IF(AND($E8=2,KU8=0),1000000,IF($I8&gt;0,IF(3=$J8,IF(OR(AND(57=$I8+1,OR($K8&lt;&gt;'計算A'!$A$3,'計算A'!$A$4=0)),AND(57=$I8-1,OR(9&lt;&gt;'計算A'!$A$3,'計算A'!$A$4=0))),0,IF(9=$K8,200000,ABS(9-$K8)*100)),100000+ABS(3-$J8)*1000+90)+'計算A'!BH$5*50+IF(AND($E8=1,KU8=0),25,0),INDEX('計算A'!BH$110:BH$114,$F8+1)+IF(AND($E8=1,KU8=0),1000,0)+IF($H8=1,(IF('計算A'!BG$117=1,INDEX('計算A'!BG$10:BG$54,$B8),0)+IF('計算A'!BH$117=1,INDEX('計算A'!BI$10:BI$54,$B8),0))*500,0)-IF(AND('計算A'!BG$117=1,WE8&gt;0),300,0)-IF(AND($L8=1,'計算A'!BH$117=1,FG8=0),300,0))),1000000))</f>
        <v/>
      </c>
      <c r="QK8">
        <f>IF($B8=0,1000000,IF(INDEX('計算A'!$D$60:$EQ$104,$B8,58)*FG8=1,IF(AND($E8=2,KV8=0),1000000,IF($I8&gt;0,IF(3=$J8,IF(OR(AND(58=$I8+1,OR($K8&lt;&gt;'計算A'!$A$3,'計算A'!$A$4=0)),AND(58=$I8-1,OR(10&lt;&gt;'計算A'!$A$3,'計算A'!$A$4=0))),0,IF(10=$K8,200000,ABS(10-$K8)*100)),100000+ABS(3-$J8)*1000+100)+'計算A'!BI$5*50+IF(AND($E8=1,KV8=0),25,0),INDEX('計算A'!BI$110:BI$114,$F8+1)+IF(AND($E8=1,KV8=0),1000,0)+IF($H8=1,(IF('計算A'!BH$117=1,INDEX('計算A'!BH$10:BH$54,$B8),0)+IF('計算A'!BI$117=1,INDEX('計算A'!BJ$10:BJ$54,$B8),0))*500,0)-IF(AND('計算A'!BH$117=1,WF8&gt;0),300,0)-IF(AND($L8=1,'計算A'!BI$117=1,FH8=0),300,0))),1000000))</f>
        <v/>
      </c>
      <c r="QL8">
        <f>IF($B8=0,1000000,IF(INDEX('計算A'!$D$60:$EQ$104,$B8,59)*FH8=1,IF(AND($E8=2,KW8=0),1000000,IF($I8&gt;0,IF(3=$J8,IF(OR(AND(59=$I8+1,OR($K8&lt;&gt;'計算A'!$A$3,'計算A'!$A$4=0)),AND(59=$I8-1,OR(11&lt;&gt;'計算A'!$A$3,'計算A'!$A$4=0))),0,IF(11=$K8,200000,ABS(11-$K8)*100)),100000+ABS(3-$J8)*1000+110)+'計算A'!BJ$5*50+IF(AND($E8=1,KW8=0),25,0),INDEX('計算A'!BJ$110:BJ$114,$F8+1)+IF(AND($E8=1,KW8=0),1000,0)+IF($H8=1,(IF('計算A'!BI$117=1,INDEX('計算A'!BI$10:BI$54,$B8),0)+IF('計算A'!BJ$117=1,INDEX('計算A'!BK$10:BK$54,$B8),0))*500,0)-IF(AND('計算A'!BI$117=1,WG8&gt;0),300,0)-IF(AND($L8=1,'計算A'!BJ$117=1,FI8=0),300,0))),1000000))</f>
        <v/>
      </c>
      <c r="QM8">
        <f>IF($B8=0,1000000,IF(INDEX('計算A'!$D$60:$EQ$104,$B8,60)*FI8=1,IF(AND($E8=2,KX8=0),1000000,IF($I8&gt;0,IF(3=$J8,IF(OR(AND(60=$I8+1,OR($K8&lt;&gt;'計算A'!$A$3,'計算A'!$A$4=0)),AND(60=$I8-1,OR(12&lt;&gt;'計算A'!$A$3,'計算A'!$A$4=0))),0,IF(12=$K8,200000,ABS(12-$K8)*100)),100000+ABS(3-$J8)*1000+120)+'計算A'!BK$5*50+IF(AND($E8=1,KX8=0),25,0),INDEX('計算A'!BK$110:BK$114,$F8+1)+IF(AND($E8=1,KX8=0),1000,0)+IF($H8=1,(IF('計算A'!BJ$117=1,INDEX('計算A'!BJ$10:BJ$54,$B8),0)+IF('計算A'!BK$117=1,INDEX('計算A'!BL$10:BL$54,$B8),0))*500,0)-IF(AND('計算A'!BJ$117=1,WH8&gt;0),300,0)-IF(AND($L8=1,'計算A'!BK$117=1,FJ8=0),300,0))),1000000))</f>
        <v/>
      </c>
      <c r="QN8">
        <f>IF($B8=0,1000000,IF(INDEX('計算A'!$D$60:$EQ$104,$B8,61)*FJ8=1,IF(AND($E8=2,KY8=0),1000000,IF($I8&gt;0,IF(3=$J8,IF(OR(AND(61=$I8+1,OR($K8&lt;&gt;'計算A'!$A$3,'計算A'!$A$4=0)),AND(61=$I8-1,OR(13&lt;&gt;'計算A'!$A$3,'計算A'!$A$4=0))),0,IF(13=$K8,200000,ABS(13-$K8)*100)),100000+ABS(3-$J8)*1000+130)+'計算A'!BL$5*50+IF(AND($E8=1,KY8=0),25,0),INDEX('計算A'!BL$110:BL$114,$F8+1)+IF(AND($E8=1,KY8=0),1000,0)+IF($H8=1,(IF('計算A'!BK$117=1,INDEX('計算A'!BK$10:BK$54,$B8),0)+IF('計算A'!BL$117=1,INDEX('計算A'!BM$10:BM$54,$B8),0))*500,0)-IF(AND('計算A'!BK$117=1,WI8&gt;0),300,0)-IF(AND($L8=1,'計算A'!BL$117=1,FK8=0),300,0))),1000000))</f>
        <v/>
      </c>
      <c r="QO8">
        <f>IF($B8=0,1000000,IF(INDEX('計算A'!$D$60:$EQ$104,$B8,62)*FK8=1,IF(AND($E8=2,KZ8=0),1000000,IF($I8&gt;0,IF(3=$J8,IF(OR(AND(62=$I8+1,OR($K8&lt;&gt;'計算A'!$A$3,'計算A'!$A$4=0)),AND(62=$I8-1,OR(14&lt;&gt;'計算A'!$A$3,'計算A'!$A$4=0))),0,IF(14=$K8,200000,ABS(14-$K8)*100)),100000+ABS(3-$J8)*1000+140)+'計算A'!BM$5*50+IF(AND($E8=1,KZ8=0),25,0),INDEX('計算A'!BM$110:BM$114,$F8+1)+IF(AND($E8=1,KZ8=0),1000,0)+IF($H8=1,(IF('計算A'!BL$117=1,INDEX('計算A'!BL$10:BL$54,$B8),0)+IF('計算A'!BM$117=1,INDEX('計算A'!BN$10:BN$54,$B8),0))*500,0)-IF(AND('計算A'!BL$117=1,WJ8&gt;0),300,0)-IF(AND($L8=1,'計算A'!BM$117=1,FL8=0),300,0))),1000000))</f>
        <v/>
      </c>
      <c r="QP8">
        <f>IF($B8=0,1000000,IF(INDEX('計算A'!$D$60:$EQ$104,$B8,63)*FL8=1,IF(AND($E8=2,LA8=0),1000000,IF($I8&gt;0,IF(3=$J8,IF(OR(AND(63=$I8+1,OR($K8&lt;&gt;'計算A'!$A$3,'計算A'!$A$4=0)),AND(63=$I8-1,OR(15&lt;&gt;'計算A'!$A$3,'計算A'!$A$4=0))),0,IF(15=$K8,200000,ABS(15-$K8)*100)),100000+ABS(3-$J8)*1000+150)+'計算A'!BN$5*50+IF(AND($E8=1,LA8=0),25,0),INDEX('計算A'!BN$110:BN$114,$F8+1)+IF(AND($E8=1,LA8=0),1000,0)+IF($H8=1,(IF('計算A'!BM$117=1,INDEX('計算A'!BM$10:BM$54,$B8),0)+IF('計算A'!BN$117=1,INDEX('計算A'!BO$10:BO$54,$B8),0))*500,0)-IF(AND('計算A'!BM$117=1,WK8&gt;0),300,0)-IF(AND($L8=1,'計算A'!BN$117=1,FM8=0),300,0))),1000000))</f>
        <v/>
      </c>
      <c r="QQ8">
        <f>IF($B8=0,1000000,IF(INDEX('計算A'!$D$60:$EQ$104,$B8,64)*FM8=1,IF(AND($E8=2,LB8=0),1000000,IF($I8&gt;0,IF(3=$J8,IF(OR(AND(64=$I8+1,OR($K8&lt;&gt;'計算A'!$A$3,'計算A'!$A$4=0)),AND(64=$I8-1,OR(16&lt;&gt;'計算A'!$A$3,'計算A'!$A$4=0))),0,IF(16=$K8,200000,ABS(16-$K8)*100)),100000+ABS(3-$J8)*1000+160)+'計算A'!BO$5*50+IF(AND($E8=1,LB8=0),25,0),INDEX('計算A'!BO$110:BO$114,$F8+1)+IF(AND($E8=1,LB8=0),1000,0)+IF($H8=1,(IF('計算A'!BN$117=1,INDEX('計算A'!BN$10:BN$54,$B8),0)+IF('計算A'!BO$117=1,INDEX('計算A'!BP$10:BP$54,$B8),0))*500,0)-IF(AND('計算A'!BN$117=1,WL8&gt;0),300,0)-IF(AND($L8=1,'計算A'!BO$117=1,FN8=0),300,0))),1000000))</f>
        <v/>
      </c>
      <c r="QR8">
        <f>IF($B8=0,1000000,IF(INDEX('計算A'!$D$60:$EQ$104,$B8,65)*FN8=1,IF(AND($E8=2,LC8=0),1000000,IF($I8&gt;0,IF(3=$J8,IF(OR(AND(65=$I8+1,OR($K8&lt;&gt;'計算A'!$A$3,'計算A'!$A$4=0)),AND(65=$I8-1,OR(17&lt;&gt;'計算A'!$A$3,'計算A'!$A$4=0))),0,IF(17=$K8,200000,ABS(17-$K8)*100)),100000+ABS(3-$J8)*1000+170)+'計算A'!BP$5*50+IF(AND($E8=1,LC8=0),25,0),INDEX('計算A'!BP$110:BP$114,$F8+1)+IF(AND($E8=1,LC8=0),1000,0)+IF($H8=1,(IF('計算A'!BO$117=1,INDEX('計算A'!BO$10:BO$54,$B8),0)+IF('計算A'!BP$117=1,INDEX('計算A'!BQ$10:BQ$54,$B8),0))*500,0)-IF(AND('計算A'!BO$117=1,WM8&gt;0),300,0)-IF(AND($L8=1,'計算A'!BP$117=1,FO8=0),300,0))),1000000))</f>
        <v/>
      </c>
      <c r="QS8">
        <f>IF($B8=0,1000000,IF(INDEX('計算A'!$D$60:$EQ$104,$B8,66)*FO8=1,IF(AND($E8=2,LD8=0),1000000,IF($I8&gt;0,IF(3=$J8,IF(OR(AND(66=$I8+1,OR($K8&lt;&gt;'計算A'!$A$3,'計算A'!$A$4=0)),AND(66=$I8-1,OR(18&lt;&gt;'計算A'!$A$3,'計算A'!$A$4=0))),0,IF(18=$K8,200000,ABS(18-$K8)*100)),100000+ABS(3-$J8)*1000+180)+'計算A'!BQ$5*50+IF(AND($E8=1,LD8=0),25,0),INDEX('計算A'!BQ$110:BQ$114,$F8+1)+IF(AND($E8=1,LD8=0),1000,0)+IF($H8=1,(IF('計算A'!BP$117=1,INDEX('計算A'!BP$10:BP$54,$B8),0)+IF('計算A'!BQ$117=1,INDEX('計算A'!BR$10:BR$54,$B8),0))*500,0)-IF(AND('計算A'!BP$117=1,WN8&gt;0),300,0)-IF(AND($L8=1,'計算A'!BQ$117=1,FP8=0),300,0))),1000000))</f>
        <v/>
      </c>
      <c r="QT8">
        <f>IF($B8=0,1000000,IF(INDEX('計算A'!$D$60:$EQ$104,$B8,67)*FP8=1,IF(AND($E8=2,LE8=0),1000000,IF($I8&gt;0,IF(3=$J8,IF(OR(AND(67=$I8+1,OR($K8&lt;&gt;'計算A'!$A$3,'計算A'!$A$4=0)),AND(67=$I8-1,OR(19&lt;&gt;'計算A'!$A$3,'計算A'!$A$4=0))),0,IF(19=$K8,200000,ABS(19-$K8)*100)),100000+ABS(3-$J8)*1000+190)+'計算A'!BR$5*50+IF(AND($E8=1,LE8=0),25,0),INDEX('計算A'!BR$110:BR$114,$F8+1)+IF(AND($E8=1,LE8=0),1000,0)+IF($H8=1,(IF('計算A'!BQ$117=1,INDEX('計算A'!BQ$10:BQ$54,$B8),0)+IF('計算A'!BR$117=1,INDEX('計算A'!BS$10:BS$54,$B8),0))*500,0)-IF(AND('計算A'!BQ$117=1,WO8&gt;0),300,0)-IF(AND($L8=1,'計算A'!BR$117=1,FQ8=0),300,0))),1000000))</f>
        <v/>
      </c>
      <c r="QU8">
        <f>IF($B8=0,1000000,IF(INDEX('計算A'!$D$60:$EQ$104,$B8,68)*FQ8=1,IF(AND($E8=2,LF8=0),1000000,IF($I8&gt;0,IF(3=$J8,IF(OR(AND(68=$I8+1,OR($K8&lt;&gt;'計算A'!$A$3,'計算A'!$A$4=0)),AND(68=$I8-1,OR(20&lt;&gt;'計算A'!$A$3,'計算A'!$A$4=0))),0,IF(20=$K8,200000,ABS(20-$K8)*100)),100000+ABS(3-$J8)*1000+200)+'計算A'!BS$5*50+IF(AND($E8=1,LF8=0),25,0),INDEX('計算A'!BS$110:BS$114,$F8+1)+IF(AND($E8=1,LF8=0),1000,0)+IF($H8=1,(IF('計算A'!BR$117=1,INDEX('計算A'!BR$10:BR$54,$B8),0)+IF('計算A'!BS$117=1,INDEX('計算A'!BT$10:BT$54,$B8),0))*500,0)-IF(AND('計算A'!BR$117=1,WP8&gt;0),300,0)-IF(AND($L8=1,'計算A'!BS$117=1,FR8=0),300,0))),1000000))</f>
        <v/>
      </c>
      <c r="QV8">
        <f>IF($B8=0,1000000,IF(INDEX('計算A'!$D$60:$EQ$104,$B8,69)*FR8=1,IF(AND($E8=2,LG8=0),1000000,IF($I8&gt;0,IF(3=$J8,IF(OR(AND(69=$I8+1,OR($K8&lt;&gt;'計算A'!$A$3,'計算A'!$A$4=0)),AND(69=$I8-1,OR(21&lt;&gt;'計算A'!$A$3,'計算A'!$A$4=0))),0,IF(21=$K8,200000,ABS(21-$K8)*100)),100000+ABS(3-$J8)*1000+210)+'計算A'!BT$5*50+IF(AND($E8=1,LG8=0),25,0),INDEX('計算A'!BT$110:BT$114,$F8+1)+IF(AND($E8=1,LG8=0),1000,0)+IF($H8=1,(IF('計算A'!BS$117=1,INDEX('計算A'!BS$10:BS$54,$B8),0)+IF('計算A'!BT$117=1,INDEX('計算A'!BU$10:BU$54,$B8),0))*500,0)-IF(AND('計算A'!BS$117=1,WQ8&gt;0),300,0)-IF(AND($L8=1,'計算A'!BT$117=1,FS8=0),300,0))),1000000))</f>
        <v/>
      </c>
      <c r="QW8">
        <f>IF($B8=0,1000000,IF(INDEX('計算A'!$D$60:$EQ$104,$B8,70)*FS8=1,IF(AND($E8=2,LH8=0),1000000,IF($I8&gt;0,IF(3=$J8,IF(OR(AND(70=$I8+1,OR($K8&lt;&gt;'計算A'!$A$3,'計算A'!$A$4=0)),AND(70=$I8-1,OR(22&lt;&gt;'計算A'!$A$3,'計算A'!$A$4=0))),0,IF(22=$K8,200000,ABS(22-$K8)*100)),100000+ABS(3-$J8)*1000+220)+'計算A'!BU$5*50+IF(AND($E8=1,LH8=0),25,0),INDEX('計算A'!BU$110:BU$114,$F8+1)+IF(AND($E8=1,LH8=0),1000,0)+IF($H8=1,(IF('計算A'!BT$117=1,INDEX('計算A'!BT$10:BT$54,$B8),0)+IF('計算A'!BU$117=1,INDEX('計算A'!BV$10:BV$54,$B8),0))*500,0)-IF(AND('計算A'!BT$117=1,WR8&gt;0),300,0)-IF(AND($L8=1,'計算A'!BU$117=1,FT8=0),300,0))),1000000))</f>
        <v/>
      </c>
      <c r="QX8">
        <f>IF($B8=0,1000000,IF(INDEX('計算A'!$D$60:$EQ$104,$B8,71)*FT8=1,IF(AND($E8=2,LI8=0),1000000,IF($I8&gt;0,IF(3=$J8,IF(OR(AND(71=$I8+1,OR($K8&lt;&gt;'計算A'!$A$3,'計算A'!$A$4=0)),AND(71=$I8-1,OR(23&lt;&gt;'計算A'!$A$3,'計算A'!$A$4=0))),0,IF(23=$K8,200000,ABS(23-$K8)*100)),100000+ABS(3-$J8)*1000+230)+'計算A'!BV$5*50+IF(AND($E8=1,LI8=0),25,0),INDEX('計算A'!BV$110:BV$114,$F8+1)+IF(AND($E8=1,LI8=0),1000,0)+IF($H8=1,(IF('計算A'!BU$117=1,INDEX('計算A'!BU$10:BU$54,$B8),0)+IF('計算A'!BV$117=1,INDEX('計算A'!BW$10:BW$54,$B8),0))*500,0)-IF(AND('計算A'!BU$117=1,WS8&gt;0),300,0)-IF(AND($L8=1,'計算A'!BV$117=1,FU8=0),300,0))),1000000))</f>
        <v/>
      </c>
      <c r="QY8">
        <f>IF($B8=0,1000000,IF(INDEX('計算A'!$D$60:$EQ$104,$B8,72)*FU8=1,IF(AND($E8=2,LJ8=0),1000000,IF($I8&gt;0,IF(3=$J8,IF(OR(AND(72=$I8+1,OR($K8&lt;&gt;'計算A'!$A$3,'計算A'!$A$4=0)),AND(72=$I8-1,OR(24&lt;&gt;'計算A'!$A$3,'計算A'!$A$4=0))),0,IF(24=$K8,200000,ABS(24-$K8)*100)),100000+ABS(3-$J8)*1000+240)+'計算A'!BW$5*50+IF(AND($E8=1,LJ8=0),25,0),INDEX('計算A'!BW$110:BW$114,$F8+1)+IF(AND($E8=1,LJ8=0),1000,0)+IF($H8=1,(IF('計算A'!BV$117=1,INDEX('計算A'!BV$10:BV$54,$B8),0))*500,0)-IF(AND('計算A'!BV$117=1,WT8&gt;0),300,0))),1000000))</f>
        <v/>
      </c>
      <c r="QZ8">
        <f>IF($B8=0,1000000,IF(INDEX('計算A'!$D$60:$EQ$104,$B8,73)*FV8=1,IF(AND($E8=2,LK8=0),1000000,IF($I8&gt;0,IF(4=$J8,IF(OR(AND(73=$I8+1,OR($K8&lt;&gt;'計算A'!$A$3,'計算A'!$A$4=0)),AND(73=$I8-1,OR(1&lt;&gt;'計算A'!$A$3,'計算A'!$A$4=0))),0,IF(1=$K8,200000,ABS(1-$K8)*100)),100000+ABS(4-$J8)*1000+10)+'計算A'!BX$5*50+IF(AND($E8=1,LK8=0),25,0),INDEX('計算A'!BX$110:BX$114,$F8+1)+IF(AND($E8=1,LK8=0),1000,0)+IF($H8=1,(IF('計算A'!BX$117=1,INDEX('計算A'!BY$10:BY$54,$B8),0))*500,0)-IF(AND($L8=1,'計算A'!BX$117=1,FW8=0),300,0))),1000000))</f>
        <v/>
      </c>
      <c r="RA8">
        <f>IF($B8=0,1000000,IF(INDEX('計算A'!$D$60:$EQ$104,$B8,74)*FW8=1,IF(AND($E8=2,LL8=0),1000000,IF($I8&gt;0,IF(4=$J8,IF(OR(AND(74=$I8+1,OR($K8&lt;&gt;'計算A'!$A$3,'計算A'!$A$4=0)),AND(74=$I8-1,OR(2&lt;&gt;'計算A'!$A$3,'計算A'!$A$4=0))),0,IF(2=$K8,200000,ABS(2-$K8)*100)),100000+ABS(4-$J8)*1000+20)+'計算A'!BY$5*50+IF(AND($E8=1,LL8=0),25,0),INDEX('計算A'!BY$110:BY$114,$F8+1)+IF(AND($E8=1,LL8=0),1000,0)+IF($H8=1,(IF('計算A'!BX$117=1,INDEX('計算A'!BX$10:BX$54,$B8),0)+IF('計算A'!BY$117=1,INDEX('計算A'!BZ$10:BZ$54,$B8),0))*500,0)-IF(AND('計算A'!BX$117=1,WV8&gt;0),300,0)-IF(AND($L8=1,'計算A'!BY$117=1,FX8=0),300,0))),1000000))</f>
        <v/>
      </c>
      <c r="RB8">
        <f>IF($B8=0,1000000,IF(INDEX('計算A'!$D$60:$EQ$104,$B8,75)*FX8=1,IF(AND($E8=2,LM8=0),1000000,IF($I8&gt;0,IF(4=$J8,IF(OR(AND(75=$I8+1,OR($K8&lt;&gt;'計算A'!$A$3,'計算A'!$A$4=0)),AND(75=$I8-1,OR(3&lt;&gt;'計算A'!$A$3,'計算A'!$A$4=0))),0,IF(3=$K8,200000,ABS(3-$K8)*100)),100000+ABS(4-$J8)*1000+30)+'計算A'!BZ$5*50+IF(AND($E8=1,LM8=0),25,0),INDEX('計算A'!BZ$110:BZ$114,$F8+1)+IF(AND($E8=1,LM8=0),1000,0)+IF($H8=1,(IF('計算A'!BY$117=1,INDEX('計算A'!BY$10:BY$54,$B8),0)+IF('計算A'!BZ$117=1,INDEX('計算A'!CA$10:CA$54,$B8),0))*500,0)-IF(AND('計算A'!BY$117=1,WW8&gt;0),300,0)-IF(AND($L8=1,'計算A'!BZ$117=1,FY8=0),300,0))),1000000))</f>
        <v/>
      </c>
      <c r="RC8">
        <f>IF($B8=0,1000000,IF(INDEX('計算A'!$D$60:$EQ$104,$B8,76)*FY8=1,IF(AND($E8=2,LN8=0),1000000,IF($I8&gt;0,IF(4=$J8,IF(OR(AND(76=$I8+1,OR($K8&lt;&gt;'計算A'!$A$3,'計算A'!$A$4=0)),AND(76=$I8-1,OR(4&lt;&gt;'計算A'!$A$3,'計算A'!$A$4=0))),0,IF(4=$K8,200000,ABS(4-$K8)*100)),100000+ABS(4-$J8)*1000+40)+'計算A'!CA$5*50+IF(AND($E8=1,LN8=0),25,0),INDEX('計算A'!CA$110:CA$114,$F8+1)+IF(AND($E8=1,LN8=0),1000,0)+IF($H8=1,(IF('計算A'!BZ$117=1,INDEX('計算A'!BZ$10:BZ$54,$B8),0)+IF('計算A'!CA$117=1,INDEX('計算A'!CB$10:CB$54,$B8),0))*500,0)-IF(AND('計算A'!BZ$117=1,WX8&gt;0),300,0)-IF(AND($L8=1,'計算A'!CA$117=1,FZ8=0),300,0))),1000000))</f>
        <v/>
      </c>
      <c r="RD8">
        <f>IF($B8=0,1000000,IF(INDEX('計算A'!$D$60:$EQ$104,$B8,77)*FZ8=1,IF(AND($E8=2,LO8=0),1000000,IF($I8&gt;0,IF(4=$J8,IF(OR(AND(77=$I8+1,OR($K8&lt;&gt;'計算A'!$A$3,'計算A'!$A$4=0)),AND(77=$I8-1,OR(5&lt;&gt;'計算A'!$A$3,'計算A'!$A$4=0))),0,IF(5=$K8,200000,ABS(5-$K8)*100)),100000+ABS(4-$J8)*1000+50)+'計算A'!CB$5*50+IF(AND($E8=1,LO8=0),25,0),INDEX('計算A'!CB$110:CB$114,$F8+1)+IF(AND($E8=1,LO8=0),1000,0)+IF($H8=1,(IF('計算A'!CA$117=1,INDEX('計算A'!CA$10:CA$54,$B8),0)+IF('計算A'!CB$117=1,INDEX('計算A'!CC$10:CC$54,$B8),0))*500,0)-IF(AND('計算A'!CA$117=1,WY8&gt;0),300,0)-IF(AND($L8=1,'計算A'!CB$117=1,GA8=0),300,0))),1000000))</f>
        <v/>
      </c>
      <c r="RE8">
        <f>IF($B8=0,1000000,IF(INDEX('計算A'!$D$60:$EQ$104,$B8,78)*GA8=1,IF(AND($E8=2,LP8=0),1000000,IF($I8&gt;0,IF(4=$J8,IF(OR(AND(78=$I8+1,OR($K8&lt;&gt;'計算A'!$A$3,'計算A'!$A$4=0)),AND(78=$I8-1,OR(6&lt;&gt;'計算A'!$A$3,'計算A'!$A$4=0))),0,IF(6=$K8,200000,ABS(6-$K8)*100)),100000+ABS(4-$J8)*1000+60)+'計算A'!CC$5*50+IF(AND($E8=1,LP8=0),25,0),INDEX('計算A'!CC$110:CC$114,$F8+1)+IF(AND($E8=1,LP8=0),1000,0)+IF($H8=1,(IF('計算A'!CB$117=1,INDEX('計算A'!CB$10:CB$54,$B8),0)+IF('計算A'!CC$117=1,INDEX('計算A'!CD$10:CD$54,$B8),0))*500,0)-IF(AND('計算A'!CB$117=1,WZ8&gt;0),300,0)-IF(AND($L8=1,'計算A'!CC$117=1,GB8=0),300,0))),1000000))</f>
        <v/>
      </c>
      <c r="RF8">
        <f>IF($B8=0,1000000,IF(INDEX('計算A'!$D$60:$EQ$104,$B8,79)*GB8=1,IF(AND($E8=2,LQ8=0),1000000,IF($I8&gt;0,IF(4=$J8,IF(OR(AND(79=$I8+1,OR($K8&lt;&gt;'計算A'!$A$3,'計算A'!$A$4=0)),AND(79=$I8-1,OR(7&lt;&gt;'計算A'!$A$3,'計算A'!$A$4=0))),0,IF(7=$K8,200000,ABS(7-$K8)*100)),100000+ABS(4-$J8)*1000+70)+'計算A'!CD$5*50+IF(AND($E8=1,LQ8=0),25,0),INDEX('計算A'!CD$110:CD$114,$F8+1)+IF(AND($E8=1,LQ8=0),1000,0)+IF($H8=1,(IF('計算A'!CC$117=1,INDEX('計算A'!CC$10:CC$54,$B8),0)+IF('計算A'!CD$117=1,INDEX('計算A'!CE$10:CE$54,$B8),0))*500,0)-IF(AND('計算A'!CC$117=1,XA8&gt;0),300,0)-IF(AND($L8=1,'計算A'!CD$117=1,GC8=0),300,0))),1000000))</f>
        <v/>
      </c>
      <c r="RG8">
        <f>IF($B8=0,1000000,IF(INDEX('計算A'!$D$60:$EQ$104,$B8,80)*GC8=1,IF(AND($E8=2,LR8=0),1000000,IF($I8&gt;0,IF(4=$J8,IF(OR(AND(80=$I8+1,OR($K8&lt;&gt;'計算A'!$A$3,'計算A'!$A$4=0)),AND(80=$I8-1,OR(8&lt;&gt;'計算A'!$A$3,'計算A'!$A$4=0))),0,IF(8=$K8,200000,ABS(8-$K8)*100)),100000+ABS(4-$J8)*1000+80)+'計算A'!CE$5*50+IF(AND($E8=1,LR8=0),25,0),INDEX('計算A'!CE$110:CE$114,$F8+1)+IF(AND($E8=1,LR8=0),1000,0)+IF($H8=1,(IF('計算A'!CD$117=1,INDEX('計算A'!CD$10:CD$54,$B8),0)+IF('計算A'!CE$117=1,INDEX('計算A'!CF$10:CF$54,$B8),0))*500,0)-IF(AND('計算A'!CD$117=1,XB8&gt;0),300,0)-IF(AND($L8=1,'計算A'!CE$117=1,GD8=0),300,0))),1000000))</f>
        <v/>
      </c>
      <c r="RH8">
        <f>IF($B8=0,1000000,IF(INDEX('計算A'!$D$60:$EQ$104,$B8,81)*GD8=1,IF(AND($E8=2,LS8=0),1000000,IF($I8&gt;0,IF(4=$J8,IF(OR(AND(81=$I8+1,OR($K8&lt;&gt;'計算A'!$A$3,'計算A'!$A$4=0)),AND(81=$I8-1,OR(9&lt;&gt;'計算A'!$A$3,'計算A'!$A$4=0))),0,IF(9=$K8,200000,ABS(9-$K8)*100)),100000+ABS(4-$J8)*1000+90)+'計算A'!CF$5*50+IF(AND($E8=1,LS8=0),25,0),INDEX('計算A'!CF$110:CF$114,$F8+1)+IF(AND($E8=1,LS8=0),1000,0)+IF($H8=1,(IF('計算A'!CE$117=1,INDEX('計算A'!CE$10:CE$54,$B8),0)+IF('計算A'!CF$117=1,INDEX('計算A'!CG$10:CG$54,$B8),0))*500,0)-IF(AND('計算A'!CE$117=1,XC8&gt;0),300,0)-IF(AND($L8=1,'計算A'!CF$117=1,GE8=0),300,0))),1000000))</f>
        <v/>
      </c>
      <c r="RI8">
        <f>IF($B8=0,1000000,IF(INDEX('計算A'!$D$60:$EQ$104,$B8,82)*GE8=1,IF(AND($E8=2,LT8=0),1000000,IF($I8&gt;0,IF(4=$J8,IF(OR(AND(82=$I8+1,OR($K8&lt;&gt;'計算A'!$A$3,'計算A'!$A$4=0)),AND(82=$I8-1,OR(10&lt;&gt;'計算A'!$A$3,'計算A'!$A$4=0))),0,IF(10=$K8,200000,ABS(10-$K8)*100)),100000+ABS(4-$J8)*1000+100)+'計算A'!CG$5*50+IF(AND($E8=1,LT8=0),25,0),INDEX('計算A'!CG$110:CG$114,$F8+1)+IF(AND($E8=1,LT8=0),1000,0)+IF($H8=1,(IF('計算A'!CF$117=1,INDEX('計算A'!CF$10:CF$54,$B8),0)+IF('計算A'!CG$117=1,INDEX('計算A'!CH$10:CH$54,$B8),0))*500,0)-IF(AND('計算A'!CF$117=1,XD8&gt;0),300,0)-IF(AND($L8=1,'計算A'!CG$117=1,GF8=0),300,0))),1000000))</f>
        <v/>
      </c>
      <c r="RJ8">
        <f>IF($B8=0,1000000,IF(INDEX('計算A'!$D$60:$EQ$104,$B8,83)*GF8=1,IF(AND($E8=2,LU8=0),1000000,IF($I8&gt;0,IF(4=$J8,IF(OR(AND(83=$I8+1,OR($K8&lt;&gt;'計算A'!$A$3,'計算A'!$A$4=0)),AND(83=$I8-1,OR(11&lt;&gt;'計算A'!$A$3,'計算A'!$A$4=0))),0,IF(11=$K8,200000,ABS(11-$K8)*100)),100000+ABS(4-$J8)*1000+110)+'計算A'!CH$5*50+IF(AND($E8=1,LU8=0),25,0),INDEX('計算A'!CH$110:CH$114,$F8+1)+IF(AND($E8=1,LU8=0),1000,0)+IF($H8=1,(IF('計算A'!CG$117=1,INDEX('計算A'!CG$10:CG$54,$B8),0)+IF('計算A'!CH$117=1,INDEX('計算A'!CI$10:CI$54,$B8),0))*500,0)-IF(AND('計算A'!CG$117=1,XE8&gt;0),300,0)-IF(AND($L8=1,'計算A'!CH$117=1,GG8=0),300,0))),1000000))</f>
        <v/>
      </c>
      <c r="RK8">
        <f>IF($B8=0,1000000,IF(INDEX('計算A'!$D$60:$EQ$104,$B8,84)*GG8=1,IF(AND($E8=2,LV8=0),1000000,IF($I8&gt;0,IF(4=$J8,IF(OR(AND(84=$I8+1,OR($K8&lt;&gt;'計算A'!$A$3,'計算A'!$A$4=0)),AND(84=$I8-1,OR(12&lt;&gt;'計算A'!$A$3,'計算A'!$A$4=0))),0,IF(12=$K8,200000,ABS(12-$K8)*100)),100000+ABS(4-$J8)*1000+120)+'計算A'!CI$5*50+IF(AND($E8=1,LV8=0),25,0),INDEX('計算A'!CI$110:CI$114,$F8+1)+IF(AND($E8=1,LV8=0),1000,0)+IF($H8=1,(IF('計算A'!CH$117=1,INDEX('計算A'!CH$10:CH$54,$B8),0)+IF('計算A'!CI$117=1,INDEX('計算A'!CJ$10:CJ$54,$B8),0))*500,0)-IF(AND('計算A'!CH$117=1,XF8&gt;0),300,0)-IF(AND($L8=1,'計算A'!CI$117=1,GH8=0),300,0))),1000000))</f>
        <v/>
      </c>
      <c r="RL8">
        <f>IF($B8=0,1000000,IF(INDEX('計算A'!$D$60:$EQ$104,$B8,85)*GH8=1,IF(AND($E8=2,LW8=0),1000000,IF($I8&gt;0,IF(4=$J8,IF(OR(AND(85=$I8+1,OR($K8&lt;&gt;'計算A'!$A$3,'計算A'!$A$4=0)),AND(85=$I8-1,OR(13&lt;&gt;'計算A'!$A$3,'計算A'!$A$4=0))),0,IF(13=$K8,200000,ABS(13-$K8)*100)),100000+ABS(4-$J8)*1000+130)+'計算A'!CJ$5*50+IF(AND($E8=1,LW8=0),25,0),INDEX('計算A'!CJ$110:CJ$114,$F8+1)+IF(AND($E8=1,LW8=0),1000,0)+IF($H8=1,(IF('計算A'!CI$117=1,INDEX('計算A'!CI$10:CI$54,$B8),0)+IF('計算A'!CJ$117=1,INDEX('計算A'!CK$10:CK$54,$B8),0))*500,0)-IF(AND('計算A'!CI$117=1,XG8&gt;0),300,0)-IF(AND($L8=1,'計算A'!CJ$117=1,GI8=0),300,0))),1000000))</f>
        <v/>
      </c>
      <c r="RM8">
        <f>IF($B8=0,1000000,IF(INDEX('計算A'!$D$60:$EQ$104,$B8,86)*GI8=1,IF(AND($E8=2,LX8=0),1000000,IF($I8&gt;0,IF(4=$J8,IF(OR(AND(86=$I8+1,OR($K8&lt;&gt;'計算A'!$A$3,'計算A'!$A$4=0)),AND(86=$I8-1,OR(14&lt;&gt;'計算A'!$A$3,'計算A'!$A$4=0))),0,IF(14=$K8,200000,ABS(14-$K8)*100)),100000+ABS(4-$J8)*1000+140)+'計算A'!CK$5*50+IF(AND($E8=1,LX8=0),25,0),INDEX('計算A'!CK$110:CK$114,$F8+1)+IF(AND($E8=1,LX8=0),1000,0)+IF($H8=1,(IF('計算A'!CJ$117=1,INDEX('計算A'!CJ$10:CJ$54,$B8),0)+IF('計算A'!CK$117=1,INDEX('計算A'!CL$10:CL$54,$B8),0))*500,0)-IF(AND('計算A'!CJ$117=1,XH8&gt;0),300,0)-IF(AND($L8=1,'計算A'!CK$117=1,GJ8=0),300,0))),1000000))</f>
        <v/>
      </c>
      <c r="RN8">
        <f>IF($B8=0,1000000,IF(INDEX('計算A'!$D$60:$EQ$104,$B8,87)*GJ8=1,IF(AND($E8=2,LY8=0),1000000,IF($I8&gt;0,IF(4=$J8,IF(OR(AND(87=$I8+1,OR($K8&lt;&gt;'計算A'!$A$3,'計算A'!$A$4=0)),AND(87=$I8-1,OR(15&lt;&gt;'計算A'!$A$3,'計算A'!$A$4=0))),0,IF(15=$K8,200000,ABS(15-$K8)*100)),100000+ABS(4-$J8)*1000+150)+'計算A'!CL$5*50+IF(AND($E8=1,LY8=0),25,0),INDEX('計算A'!CL$110:CL$114,$F8+1)+IF(AND($E8=1,LY8=0),1000,0)+IF($H8=1,(IF('計算A'!CK$117=1,INDEX('計算A'!CK$10:CK$54,$B8),0)+IF('計算A'!CL$117=1,INDEX('計算A'!CM$10:CM$54,$B8),0))*500,0)-IF(AND('計算A'!CK$117=1,XI8&gt;0),300,0)-IF(AND($L8=1,'計算A'!CL$117=1,GK8=0),300,0))),1000000))</f>
        <v/>
      </c>
      <c r="RO8">
        <f>IF($B8=0,1000000,IF(INDEX('計算A'!$D$60:$EQ$104,$B8,88)*GK8=1,IF(AND($E8=2,LZ8=0),1000000,IF($I8&gt;0,IF(4=$J8,IF(OR(AND(88=$I8+1,OR($K8&lt;&gt;'計算A'!$A$3,'計算A'!$A$4=0)),AND(88=$I8-1,OR(16&lt;&gt;'計算A'!$A$3,'計算A'!$A$4=0))),0,IF(16=$K8,200000,ABS(16-$K8)*100)),100000+ABS(4-$J8)*1000+160)+'計算A'!CM$5*50+IF(AND($E8=1,LZ8=0),25,0),INDEX('計算A'!CM$110:CM$114,$F8+1)+IF(AND($E8=1,LZ8=0),1000,0)+IF($H8=1,(IF('計算A'!CL$117=1,INDEX('計算A'!CL$10:CL$54,$B8),0)+IF('計算A'!CM$117=1,INDEX('計算A'!CN$10:CN$54,$B8),0))*500,0)-IF(AND('計算A'!CL$117=1,XJ8&gt;0),300,0)-IF(AND($L8=1,'計算A'!CM$117=1,GL8=0),300,0))),1000000))</f>
        <v/>
      </c>
      <c r="RP8">
        <f>IF($B8=0,1000000,IF(INDEX('計算A'!$D$60:$EQ$104,$B8,89)*GL8=1,IF(AND($E8=2,MA8=0),1000000,IF($I8&gt;0,IF(4=$J8,IF(OR(AND(89=$I8+1,OR($K8&lt;&gt;'計算A'!$A$3,'計算A'!$A$4=0)),AND(89=$I8-1,OR(17&lt;&gt;'計算A'!$A$3,'計算A'!$A$4=0))),0,IF(17=$K8,200000,ABS(17-$K8)*100)),100000+ABS(4-$J8)*1000+170)+'計算A'!CN$5*50+IF(AND($E8=1,MA8=0),25,0),INDEX('計算A'!CN$110:CN$114,$F8+1)+IF(AND($E8=1,MA8=0),1000,0)+IF($H8=1,(IF('計算A'!CM$117=1,INDEX('計算A'!CM$10:CM$54,$B8),0)+IF('計算A'!CN$117=1,INDEX('計算A'!CO$10:CO$54,$B8),0))*500,0)-IF(AND('計算A'!CM$117=1,XK8&gt;0),300,0)-IF(AND($L8=1,'計算A'!CN$117=1,GM8=0),300,0))),1000000))</f>
        <v/>
      </c>
      <c r="RQ8">
        <f>IF($B8=0,1000000,IF(INDEX('計算A'!$D$60:$EQ$104,$B8,90)*GM8=1,IF(AND($E8=2,MB8=0),1000000,IF($I8&gt;0,IF(4=$J8,IF(OR(AND(90=$I8+1,OR($K8&lt;&gt;'計算A'!$A$3,'計算A'!$A$4=0)),AND(90=$I8-1,OR(18&lt;&gt;'計算A'!$A$3,'計算A'!$A$4=0))),0,IF(18=$K8,200000,ABS(18-$K8)*100)),100000+ABS(4-$J8)*1000+180)+'計算A'!CO$5*50+IF(AND($E8=1,MB8=0),25,0),INDEX('計算A'!CO$110:CO$114,$F8+1)+IF(AND($E8=1,MB8=0),1000,0)+IF($H8=1,(IF('計算A'!CN$117=1,INDEX('計算A'!CN$10:CN$54,$B8),0)+IF('計算A'!CO$117=1,INDEX('計算A'!CP$10:CP$54,$B8),0))*500,0)-IF(AND('計算A'!CN$117=1,XL8&gt;0),300,0)-IF(AND($L8=1,'計算A'!CO$117=1,GN8=0),300,0))),1000000))</f>
        <v/>
      </c>
      <c r="RR8">
        <f>IF($B8=0,1000000,IF(INDEX('計算A'!$D$60:$EQ$104,$B8,91)*GN8=1,IF(AND($E8=2,MC8=0),1000000,IF($I8&gt;0,IF(4=$J8,IF(OR(AND(91=$I8+1,OR($K8&lt;&gt;'計算A'!$A$3,'計算A'!$A$4=0)),AND(91=$I8-1,OR(19&lt;&gt;'計算A'!$A$3,'計算A'!$A$4=0))),0,IF(19=$K8,200000,ABS(19-$K8)*100)),100000+ABS(4-$J8)*1000+190)+'計算A'!CP$5*50+IF(AND($E8=1,MC8=0),25,0),INDEX('計算A'!CP$110:CP$114,$F8+1)+IF(AND($E8=1,MC8=0),1000,0)+IF($H8=1,(IF('計算A'!CO$117=1,INDEX('計算A'!CO$10:CO$54,$B8),0)+IF('計算A'!CP$117=1,INDEX('計算A'!CQ$10:CQ$54,$B8),0))*500,0)-IF(AND('計算A'!CO$117=1,XM8&gt;0),300,0)-IF(AND($L8=1,'計算A'!CP$117=1,GO8=0),300,0))),1000000))</f>
        <v/>
      </c>
      <c r="RS8">
        <f>IF($B8=0,1000000,IF(INDEX('計算A'!$D$60:$EQ$104,$B8,92)*GO8=1,IF(AND($E8=2,MD8=0),1000000,IF($I8&gt;0,IF(4=$J8,IF(OR(AND(92=$I8+1,OR($K8&lt;&gt;'計算A'!$A$3,'計算A'!$A$4=0)),AND(92=$I8-1,OR(20&lt;&gt;'計算A'!$A$3,'計算A'!$A$4=0))),0,IF(20=$K8,200000,ABS(20-$K8)*100)),100000+ABS(4-$J8)*1000+200)+'計算A'!CQ$5*50+IF(AND($E8=1,MD8=0),25,0),INDEX('計算A'!CQ$110:CQ$114,$F8+1)+IF(AND($E8=1,MD8=0),1000,0)+IF($H8=1,(IF('計算A'!CP$117=1,INDEX('計算A'!CP$10:CP$54,$B8),0)+IF('計算A'!CQ$117=1,INDEX('計算A'!CR$10:CR$54,$B8),0))*500,0)-IF(AND('計算A'!CP$117=1,XN8&gt;0),300,0)-IF(AND($L8=1,'計算A'!CQ$117=1,GP8=0),300,0))),1000000))</f>
        <v/>
      </c>
      <c r="RT8">
        <f>IF($B8=0,1000000,IF(INDEX('計算A'!$D$60:$EQ$104,$B8,93)*GP8=1,IF(AND($E8=2,ME8=0),1000000,IF($I8&gt;0,IF(4=$J8,IF(OR(AND(93=$I8+1,OR($K8&lt;&gt;'計算A'!$A$3,'計算A'!$A$4=0)),AND(93=$I8-1,OR(21&lt;&gt;'計算A'!$A$3,'計算A'!$A$4=0))),0,IF(21=$K8,200000,ABS(21-$K8)*100)),100000+ABS(4-$J8)*1000+210)+'計算A'!CR$5*50+IF(AND($E8=1,ME8=0),25,0),INDEX('計算A'!CR$110:CR$114,$F8+1)+IF(AND($E8=1,ME8=0),1000,0)+IF($H8=1,(IF('計算A'!CQ$117=1,INDEX('計算A'!CQ$10:CQ$54,$B8),0)+IF('計算A'!CR$117=1,INDEX('計算A'!CS$10:CS$54,$B8),0))*500,0)-IF(AND('計算A'!CQ$117=1,XO8&gt;0),300,0)-IF(AND($L8=1,'計算A'!CR$117=1,GQ8=0),300,0))),1000000))</f>
        <v/>
      </c>
      <c r="RU8">
        <f>IF($B8=0,1000000,IF(INDEX('計算A'!$D$60:$EQ$104,$B8,94)*GQ8=1,IF(AND($E8=2,MF8=0),1000000,IF($I8&gt;0,IF(4=$J8,IF(OR(AND(94=$I8+1,OR($K8&lt;&gt;'計算A'!$A$3,'計算A'!$A$4=0)),AND(94=$I8-1,OR(22&lt;&gt;'計算A'!$A$3,'計算A'!$A$4=0))),0,IF(22=$K8,200000,ABS(22-$K8)*100)),100000+ABS(4-$J8)*1000+220)+'計算A'!CS$5*50+IF(AND($E8=1,MF8=0),25,0),INDEX('計算A'!CS$110:CS$114,$F8+1)+IF(AND($E8=1,MF8=0),1000,0)+IF($H8=1,(IF('計算A'!CR$117=1,INDEX('計算A'!CR$10:CR$54,$B8),0)+IF('計算A'!CS$117=1,INDEX('計算A'!CT$10:CT$54,$B8),0))*500,0)-IF(AND('計算A'!CR$117=1,XP8&gt;0),300,0)-IF(AND($L8=1,'計算A'!CS$117=1,GR8=0),300,0))),1000000))</f>
        <v/>
      </c>
      <c r="RV8">
        <f>IF($B8=0,1000000,IF(INDEX('計算A'!$D$60:$EQ$104,$B8,95)*GR8=1,IF(AND($E8=2,MG8=0),1000000,IF($I8&gt;0,IF(4=$J8,IF(OR(AND(95=$I8+1,OR($K8&lt;&gt;'計算A'!$A$3,'計算A'!$A$4=0)),AND(95=$I8-1,OR(23&lt;&gt;'計算A'!$A$3,'計算A'!$A$4=0))),0,IF(23=$K8,200000,ABS(23-$K8)*100)),100000+ABS(4-$J8)*1000+230)+'計算A'!CT$5*50+IF(AND($E8=1,MG8=0),25,0),INDEX('計算A'!CT$110:CT$114,$F8+1)+IF(AND($E8=1,MG8=0),1000,0)+IF($H8=1,(IF('計算A'!CS$117=1,INDEX('計算A'!CS$10:CS$54,$B8),0)+IF('計算A'!CT$117=1,INDEX('計算A'!CU$10:CU$54,$B8),0))*500,0)-IF(AND('計算A'!CS$117=1,XQ8&gt;0),300,0)-IF(AND($L8=1,'計算A'!CT$117=1,GS8=0),300,0))),1000000))</f>
        <v/>
      </c>
      <c r="RW8">
        <f>IF($B8=0,1000000,IF(INDEX('計算A'!$D$60:$EQ$104,$B8,96)*GS8=1,IF(AND($E8=2,MH8=0),1000000,IF($I8&gt;0,IF(4=$J8,IF(OR(AND(96=$I8+1,OR($K8&lt;&gt;'計算A'!$A$3,'計算A'!$A$4=0)),AND(96=$I8-1,OR(24&lt;&gt;'計算A'!$A$3,'計算A'!$A$4=0))),0,IF(24=$K8,200000,ABS(24-$K8)*100)),100000+ABS(4-$J8)*1000+240)+'計算A'!CU$5*50+IF(AND($E8=1,MH8=0),25,0),INDEX('計算A'!CU$110:CU$114,$F8+1)+IF(AND($E8=1,MH8=0),1000,0)+IF($H8=1,(IF('計算A'!CT$117=1,INDEX('計算A'!CT$10:CT$54,$B8),0))*500,0)-IF(AND('計算A'!CT$117=1,XR8&gt;0),300,0))),1000000))</f>
        <v/>
      </c>
      <c r="RX8">
        <f>IF($B8=0,1000000,IF(INDEX('計算A'!$D$60:$EQ$104,$B8,97)*GT8=1,IF(AND($E8=2,MI8=0),1000000,IF($I8&gt;0,IF(5=$J8,IF(OR(AND(97=$I8+1,OR($K8&lt;&gt;'計算A'!$A$3,'計算A'!$A$4=0)),AND(97=$I8-1,OR(1&lt;&gt;'計算A'!$A$3,'計算A'!$A$4=0))),0,IF(1=$K8,200000,ABS(1-$K8)*100)),100000+ABS(5-$J8)*1000+10)+'計算A'!CV$5*50+IF(AND($E8=1,MI8=0),25,0),INDEX('計算A'!CV$110:CV$114,$F8+1)+IF(AND($E8=1,MI8=0),1000,0)+IF($H8=1,(IF('計算A'!CV$117=1,INDEX('計算A'!CW$10:CW$54,$B8),0))*500,0)-IF(AND($L8=1,'計算A'!CV$117=1,GU8=0),300,0))),1000000))</f>
        <v/>
      </c>
      <c r="RY8">
        <f>IF($B8=0,1000000,IF(INDEX('計算A'!$D$60:$EQ$104,$B8,98)*GU8=1,IF(AND($E8=2,MJ8=0),1000000,IF($I8&gt;0,IF(5=$J8,IF(OR(AND(98=$I8+1,OR($K8&lt;&gt;'計算A'!$A$3,'計算A'!$A$4=0)),AND(98=$I8-1,OR(2&lt;&gt;'計算A'!$A$3,'計算A'!$A$4=0))),0,IF(2=$K8,200000,ABS(2-$K8)*100)),100000+ABS(5-$J8)*1000+20)+'計算A'!CW$5*50+IF(AND($E8=1,MJ8=0),25,0),INDEX('計算A'!CW$110:CW$114,$F8+1)+IF(AND($E8=1,MJ8=0),1000,0)+IF($H8=1,(IF('計算A'!CV$117=1,INDEX('計算A'!CV$10:CV$54,$B8),0)+IF('計算A'!CW$117=1,INDEX('計算A'!CX$10:CX$54,$B8),0))*500,0)-IF(AND('計算A'!CV$117=1,XT8&gt;0),300,0)-IF(AND($L8=1,'計算A'!CW$117=1,GV8=0),300,0))),1000000))</f>
        <v/>
      </c>
      <c r="RZ8">
        <f>IF($B8=0,1000000,IF(INDEX('計算A'!$D$60:$EQ$104,$B8,99)*GV8=1,IF(AND($E8=2,MK8=0),1000000,IF($I8&gt;0,IF(5=$J8,IF(OR(AND(99=$I8+1,OR($K8&lt;&gt;'計算A'!$A$3,'計算A'!$A$4=0)),AND(99=$I8-1,OR(3&lt;&gt;'計算A'!$A$3,'計算A'!$A$4=0))),0,IF(3=$K8,200000,ABS(3-$K8)*100)),100000+ABS(5-$J8)*1000+30)+'計算A'!CX$5*50+IF(AND($E8=1,MK8=0),25,0),INDEX('計算A'!CX$110:CX$114,$F8+1)+IF(AND($E8=1,MK8=0),1000,0)+IF($H8=1,(IF('計算A'!CW$117=1,INDEX('計算A'!CW$10:CW$54,$B8),0)+IF('計算A'!CX$117=1,INDEX('計算A'!CY$10:CY$54,$B8),0))*500,0)-IF(AND('計算A'!CW$117=1,XU8&gt;0),300,0)-IF(AND($L8=1,'計算A'!CX$117=1,GW8=0),300,0))),1000000))</f>
        <v/>
      </c>
      <c r="SA8">
        <f>IF($B8=0,1000000,IF(INDEX('計算A'!$D$60:$EQ$104,$B8,100)*GW8=1,IF(AND($E8=2,ML8=0),1000000,IF($I8&gt;0,IF(5=$J8,IF(OR(AND(100=$I8+1,OR($K8&lt;&gt;'計算A'!$A$3,'計算A'!$A$4=0)),AND(100=$I8-1,OR(4&lt;&gt;'計算A'!$A$3,'計算A'!$A$4=0))),0,IF(4=$K8,200000,ABS(4-$K8)*100)),100000+ABS(5-$J8)*1000+40)+'計算A'!CY$5*50+IF(AND($E8=1,ML8=0),25,0),INDEX('計算A'!CY$110:CY$114,$F8+1)+IF(AND($E8=1,ML8=0),1000,0)+IF($H8=1,(IF('計算A'!CX$117=1,INDEX('計算A'!CX$10:CX$54,$B8),0)+IF('計算A'!CY$117=1,INDEX('計算A'!CZ$10:CZ$54,$B8),0))*500,0)-IF(AND('計算A'!CX$117=1,XV8&gt;0),300,0)-IF(AND($L8=1,'計算A'!CY$117=1,GX8=0),300,0))),1000000))</f>
        <v/>
      </c>
      <c r="SB8">
        <f>IF($B8=0,1000000,IF(INDEX('計算A'!$D$60:$EQ$104,$B8,101)*GX8=1,IF(AND($E8=2,MM8=0),1000000,IF($I8&gt;0,IF(5=$J8,IF(OR(AND(101=$I8+1,OR($K8&lt;&gt;'計算A'!$A$3,'計算A'!$A$4=0)),AND(101=$I8-1,OR(5&lt;&gt;'計算A'!$A$3,'計算A'!$A$4=0))),0,IF(5=$K8,200000,ABS(5-$K8)*100)),100000+ABS(5-$J8)*1000+50)+'計算A'!CZ$5*50+IF(AND($E8=1,MM8=0),25,0),INDEX('計算A'!CZ$110:CZ$114,$F8+1)+IF(AND($E8=1,MM8=0),1000,0)+IF($H8=1,(IF('計算A'!CY$117=1,INDEX('計算A'!CY$10:CY$54,$B8),0)+IF('計算A'!CZ$117=1,INDEX('計算A'!DA$10:DA$54,$B8),0))*500,0)-IF(AND('計算A'!CY$117=1,XW8&gt;0),300,0)-IF(AND($L8=1,'計算A'!CZ$117=1,GY8=0),300,0))),1000000))</f>
        <v/>
      </c>
      <c r="SC8">
        <f>IF($B8=0,1000000,IF(INDEX('計算A'!$D$60:$EQ$104,$B8,102)*GY8=1,IF(AND($E8=2,MN8=0),1000000,IF($I8&gt;0,IF(5=$J8,IF(OR(AND(102=$I8+1,OR($K8&lt;&gt;'計算A'!$A$3,'計算A'!$A$4=0)),AND(102=$I8-1,OR(6&lt;&gt;'計算A'!$A$3,'計算A'!$A$4=0))),0,IF(6=$K8,200000,ABS(6-$K8)*100)),100000+ABS(5-$J8)*1000+60)+'計算A'!DA$5*50+IF(AND($E8=1,MN8=0),25,0),INDEX('計算A'!DA$110:DA$114,$F8+1)+IF(AND($E8=1,MN8=0),1000,0)+IF($H8=1,(IF('計算A'!CZ$117=1,INDEX('計算A'!CZ$10:CZ$54,$B8),0)+IF('計算A'!DA$117=1,INDEX('計算A'!DB$10:DB$54,$B8),0))*500,0)-IF(AND('計算A'!CZ$117=1,XX8&gt;0),300,0)-IF(AND($L8=1,'計算A'!DA$117=1,GZ8=0),300,0))),1000000))</f>
        <v/>
      </c>
      <c r="SD8">
        <f>IF($B8=0,1000000,IF(INDEX('計算A'!$D$60:$EQ$104,$B8,103)*GZ8=1,IF(AND($E8=2,MO8=0),1000000,IF($I8&gt;0,IF(5=$J8,IF(OR(AND(103=$I8+1,OR($K8&lt;&gt;'計算A'!$A$3,'計算A'!$A$4=0)),AND(103=$I8-1,OR(7&lt;&gt;'計算A'!$A$3,'計算A'!$A$4=0))),0,IF(7=$K8,200000,ABS(7-$K8)*100)),100000+ABS(5-$J8)*1000+70)+'計算A'!DB$5*50+IF(AND($E8=1,MO8=0),25,0),INDEX('計算A'!DB$110:DB$114,$F8+1)+IF(AND($E8=1,MO8=0),1000,0)+IF($H8=1,(IF('計算A'!DA$117=1,INDEX('計算A'!DA$10:DA$54,$B8),0)+IF('計算A'!DB$117=1,INDEX('計算A'!DC$10:DC$54,$B8),0))*500,0)-IF(AND('計算A'!DA$117=1,XY8&gt;0),300,0)-IF(AND($L8=1,'計算A'!DB$117=1,HA8=0),300,0))),1000000))</f>
        <v/>
      </c>
      <c r="SE8">
        <f>IF($B8=0,1000000,IF(INDEX('計算A'!$D$60:$EQ$104,$B8,104)*HA8=1,IF(AND($E8=2,MP8=0),1000000,IF($I8&gt;0,IF(5=$J8,IF(OR(AND(104=$I8+1,OR($K8&lt;&gt;'計算A'!$A$3,'計算A'!$A$4=0)),AND(104=$I8-1,OR(8&lt;&gt;'計算A'!$A$3,'計算A'!$A$4=0))),0,IF(8=$K8,200000,ABS(8-$K8)*100)),100000+ABS(5-$J8)*1000+80)+'計算A'!DC$5*50+IF(AND($E8=1,MP8=0),25,0),INDEX('計算A'!DC$110:DC$114,$F8+1)+IF(AND($E8=1,MP8=0),1000,0)+IF($H8=1,(IF('計算A'!DB$117=1,INDEX('計算A'!DB$10:DB$54,$B8),0)+IF('計算A'!DC$117=1,INDEX('計算A'!DD$10:DD$54,$B8),0))*500,0)-IF(AND('計算A'!DB$117=1,XZ8&gt;0),300,0)-IF(AND($L8=1,'計算A'!DC$117=1,HB8=0),300,0))),1000000))</f>
        <v/>
      </c>
      <c r="SF8">
        <f>IF($B8=0,1000000,IF(INDEX('計算A'!$D$60:$EQ$104,$B8,105)*HB8=1,IF(AND($E8=2,MQ8=0),1000000,IF($I8&gt;0,IF(5=$J8,IF(OR(AND(105=$I8+1,OR($K8&lt;&gt;'計算A'!$A$3,'計算A'!$A$4=0)),AND(105=$I8-1,OR(9&lt;&gt;'計算A'!$A$3,'計算A'!$A$4=0))),0,IF(9=$K8,200000,ABS(9-$K8)*100)),100000+ABS(5-$J8)*1000+90)+'計算A'!DD$5*50+IF(AND($E8=1,MQ8=0),25,0),INDEX('計算A'!DD$110:DD$114,$F8+1)+IF(AND($E8=1,MQ8=0),1000,0)+IF($H8=1,(IF('計算A'!DC$117=1,INDEX('計算A'!DC$10:DC$54,$B8),0)+IF('計算A'!DD$117=1,INDEX('計算A'!DE$10:DE$54,$B8),0))*500,0)-IF(AND('計算A'!DC$117=1,YA8&gt;0),300,0)-IF(AND($L8=1,'計算A'!DD$117=1,HC8=0),300,0))),1000000))</f>
        <v/>
      </c>
      <c r="SG8">
        <f>IF($B8=0,1000000,IF(INDEX('計算A'!$D$60:$EQ$104,$B8,106)*HC8=1,IF(AND($E8=2,MR8=0),1000000,IF($I8&gt;0,IF(5=$J8,IF(OR(AND(106=$I8+1,OR($K8&lt;&gt;'計算A'!$A$3,'計算A'!$A$4=0)),AND(106=$I8-1,OR(10&lt;&gt;'計算A'!$A$3,'計算A'!$A$4=0))),0,IF(10=$K8,200000,ABS(10-$K8)*100)),100000+ABS(5-$J8)*1000+100)+'計算A'!DE$5*50+IF(AND($E8=1,MR8=0),25,0),INDEX('計算A'!DE$110:DE$114,$F8+1)+IF(AND($E8=1,MR8=0),1000,0)+IF($H8=1,(IF('計算A'!DD$117=1,INDEX('計算A'!DD$10:DD$54,$B8),0)+IF('計算A'!DE$117=1,INDEX('計算A'!DF$10:DF$54,$B8),0))*500,0)-IF(AND('計算A'!DD$117=1,YB8&gt;0),300,0)-IF(AND($L8=1,'計算A'!DE$117=1,HD8=0),300,0))),1000000))</f>
        <v/>
      </c>
      <c r="SH8">
        <f>IF($B8=0,1000000,IF(INDEX('計算A'!$D$60:$EQ$104,$B8,107)*HD8=1,IF(AND($E8=2,MS8=0),1000000,IF($I8&gt;0,IF(5=$J8,IF(OR(AND(107=$I8+1,OR($K8&lt;&gt;'計算A'!$A$3,'計算A'!$A$4=0)),AND(107=$I8-1,OR(11&lt;&gt;'計算A'!$A$3,'計算A'!$A$4=0))),0,IF(11=$K8,200000,ABS(11-$K8)*100)),100000+ABS(5-$J8)*1000+110)+'計算A'!DF$5*50+IF(AND($E8=1,MS8=0),25,0),INDEX('計算A'!DF$110:DF$114,$F8+1)+IF(AND($E8=1,MS8=0),1000,0)+IF($H8=1,(IF('計算A'!DE$117=1,INDEX('計算A'!DE$10:DE$54,$B8),0)+IF('計算A'!DF$117=1,INDEX('計算A'!DG$10:DG$54,$B8),0))*500,0)-IF(AND('計算A'!DE$117=1,YC8&gt;0),300,0)-IF(AND($L8=1,'計算A'!DF$117=1,HE8=0),300,0))),1000000))</f>
        <v/>
      </c>
      <c r="SI8">
        <f>IF($B8=0,1000000,IF(INDEX('計算A'!$D$60:$EQ$104,$B8,108)*HE8=1,IF(AND($E8=2,MT8=0),1000000,IF($I8&gt;0,IF(5=$J8,IF(OR(AND(108=$I8+1,OR($K8&lt;&gt;'計算A'!$A$3,'計算A'!$A$4=0)),AND(108=$I8-1,OR(12&lt;&gt;'計算A'!$A$3,'計算A'!$A$4=0))),0,IF(12=$K8,200000,ABS(12-$K8)*100)),100000+ABS(5-$J8)*1000+120)+'計算A'!DG$5*50+IF(AND($E8=1,MT8=0),25,0),INDEX('計算A'!DG$110:DG$114,$F8+1)+IF(AND($E8=1,MT8=0),1000,0)+IF($H8=1,(IF('計算A'!DF$117=1,INDEX('計算A'!DF$10:DF$54,$B8),0)+IF('計算A'!DG$117=1,INDEX('計算A'!DH$10:DH$54,$B8),0))*500,0)-IF(AND('計算A'!DF$117=1,YD8&gt;0),300,0)-IF(AND($L8=1,'計算A'!DG$117=1,HF8=0),300,0))),1000000))</f>
        <v/>
      </c>
      <c r="SJ8">
        <f>IF($B8=0,1000000,IF(INDEX('計算A'!$D$60:$EQ$104,$B8,109)*HF8=1,IF(AND($E8=2,MU8=0),1000000,IF($I8&gt;0,IF(5=$J8,IF(OR(AND(109=$I8+1,OR($K8&lt;&gt;'計算A'!$A$3,'計算A'!$A$4=0)),AND(109=$I8-1,OR(13&lt;&gt;'計算A'!$A$3,'計算A'!$A$4=0))),0,IF(13=$K8,200000,ABS(13-$K8)*100)),100000+ABS(5-$J8)*1000+130)+'計算A'!DH$5*50+IF(AND($E8=1,MU8=0),25,0),INDEX('計算A'!DH$110:DH$114,$F8+1)+IF(AND($E8=1,MU8=0),1000,0)+IF($H8=1,(IF('計算A'!DG$117=1,INDEX('計算A'!DG$10:DG$54,$B8),0)+IF('計算A'!DH$117=1,INDEX('計算A'!DI$10:DI$54,$B8),0))*500,0)-IF(AND('計算A'!DG$117=1,YE8&gt;0),300,0)-IF(AND($L8=1,'計算A'!DH$117=1,HG8=0),300,0))),1000000))</f>
        <v/>
      </c>
      <c r="SK8">
        <f>IF($B8=0,1000000,IF(INDEX('計算A'!$D$60:$EQ$104,$B8,110)*HG8=1,IF(AND($E8=2,MV8=0),1000000,IF($I8&gt;0,IF(5=$J8,IF(OR(AND(110=$I8+1,OR($K8&lt;&gt;'計算A'!$A$3,'計算A'!$A$4=0)),AND(110=$I8-1,OR(14&lt;&gt;'計算A'!$A$3,'計算A'!$A$4=0))),0,IF(14=$K8,200000,ABS(14-$K8)*100)),100000+ABS(5-$J8)*1000+140)+'計算A'!DI$5*50+IF(AND($E8=1,MV8=0),25,0),INDEX('計算A'!DI$110:DI$114,$F8+1)+IF(AND($E8=1,MV8=0),1000,0)+IF($H8=1,(IF('計算A'!DH$117=1,INDEX('計算A'!DH$10:DH$54,$B8),0)+IF('計算A'!DI$117=1,INDEX('計算A'!DJ$10:DJ$54,$B8),0))*500,0)-IF(AND('計算A'!DH$117=1,YF8&gt;0),300,0)-IF(AND($L8=1,'計算A'!DI$117=1,HH8=0),300,0))),1000000))</f>
        <v/>
      </c>
      <c r="SL8">
        <f>IF($B8=0,1000000,IF(INDEX('計算A'!$D$60:$EQ$104,$B8,111)*HH8=1,IF(AND($E8=2,MW8=0),1000000,IF($I8&gt;0,IF(5=$J8,IF(OR(AND(111=$I8+1,OR($K8&lt;&gt;'計算A'!$A$3,'計算A'!$A$4=0)),AND(111=$I8-1,OR(15&lt;&gt;'計算A'!$A$3,'計算A'!$A$4=0))),0,IF(15=$K8,200000,ABS(15-$K8)*100)),100000+ABS(5-$J8)*1000+150)+'計算A'!DJ$5*50+IF(AND($E8=1,MW8=0),25,0),INDEX('計算A'!DJ$110:DJ$114,$F8+1)+IF(AND($E8=1,MW8=0),1000,0)+IF($H8=1,(IF('計算A'!DI$117=1,INDEX('計算A'!DI$10:DI$54,$B8),0)+IF('計算A'!DJ$117=1,INDEX('計算A'!DK$10:DK$54,$B8),0))*500,0)-IF(AND('計算A'!DI$117=1,YG8&gt;0),300,0)-IF(AND($L8=1,'計算A'!DJ$117=1,HI8=0),300,0))),1000000))</f>
        <v/>
      </c>
      <c r="SM8">
        <f>IF($B8=0,1000000,IF(INDEX('計算A'!$D$60:$EQ$104,$B8,112)*HI8=1,IF(AND($E8=2,MX8=0),1000000,IF($I8&gt;0,IF(5=$J8,IF(OR(AND(112=$I8+1,OR($K8&lt;&gt;'計算A'!$A$3,'計算A'!$A$4=0)),AND(112=$I8-1,OR(16&lt;&gt;'計算A'!$A$3,'計算A'!$A$4=0))),0,IF(16=$K8,200000,ABS(16-$K8)*100)),100000+ABS(5-$J8)*1000+160)+'計算A'!DK$5*50+IF(AND($E8=1,MX8=0),25,0),INDEX('計算A'!DK$110:DK$114,$F8+1)+IF(AND($E8=1,MX8=0),1000,0)+IF($H8=1,(IF('計算A'!DJ$117=1,INDEX('計算A'!DJ$10:DJ$54,$B8),0)+IF('計算A'!DK$117=1,INDEX('計算A'!DL$10:DL$54,$B8),0))*500,0)-IF(AND('計算A'!DJ$117=1,YH8&gt;0),300,0)-IF(AND($L8=1,'計算A'!DK$117=1,HJ8=0),300,0))),1000000))</f>
        <v/>
      </c>
      <c r="SN8">
        <f>IF($B8=0,1000000,IF(INDEX('計算A'!$D$60:$EQ$104,$B8,113)*HJ8=1,IF(AND($E8=2,MY8=0),1000000,IF($I8&gt;0,IF(5=$J8,IF(OR(AND(113=$I8+1,OR($K8&lt;&gt;'計算A'!$A$3,'計算A'!$A$4=0)),AND(113=$I8-1,OR(17&lt;&gt;'計算A'!$A$3,'計算A'!$A$4=0))),0,IF(17=$K8,200000,ABS(17-$K8)*100)),100000+ABS(5-$J8)*1000+170)+'計算A'!DL$5*50+IF(AND($E8=1,MY8=0),25,0),INDEX('計算A'!DL$110:DL$114,$F8+1)+IF(AND($E8=1,MY8=0),1000,0)+IF($H8=1,(IF('計算A'!DK$117=1,INDEX('計算A'!DK$10:DK$54,$B8),0)+IF('計算A'!DL$117=1,INDEX('計算A'!DM$10:DM$54,$B8),0))*500,0)-IF(AND('計算A'!DK$117=1,YI8&gt;0),300,0)-IF(AND($L8=1,'計算A'!DL$117=1,HK8=0),300,0))),1000000))</f>
        <v/>
      </c>
      <c r="SO8">
        <f>IF($B8=0,1000000,IF(INDEX('計算A'!$D$60:$EQ$104,$B8,114)*HK8=1,IF(AND($E8=2,MZ8=0),1000000,IF($I8&gt;0,IF(5=$J8,IF(OR(AND(114=$I8+1,OR($K8&lt;&gt;'計算A'!$A$3,'計算A'!$A$4=0)),AND(114=$I8-1,OR(18&lt;&gt;'計算A'!$A$3,'計算A'!$A$4=0))),0,IF(18=$K8,200000,ABS(18-$K8)*100)),100000+ABS(5-$J8)*1000+180)+'計算A'!DM$5*50+IF(AND($E8=1,MZ8=0),25,0),INDEX('計算A'!DM$110:DM$114,$F8+1)+IF(AND($E8=1,MZ8=0),1000,0)+IF($H8=1,(IF('計算A'!DL$117=1,INDEX('計算A'!DL$10:DL$54,$B8),0)+IF('計算A'!DM$117=1,INDEX('計算A'!DN$10:DN$54,$B8),0))*500,0)-IF(AND('計算A'!DL$117=1,YJ8&gt;0),300,0)-IF(AND($L8=1,'計算A'!DM$117=1,HL8=0),300,0))),1000000))</f>
        <v/>
      </c>
      <c r="SP8">
        <f>IF($B8=0,1000000,IF(INDEX('計算A'!$D$60:$EQ$104,$B8,115)*HL8=1,IF(AND($E8=2,NA8=0),1000000,IF($I8&gt;0,IF(5=$J8,IF(OR(AND(115=$I8+1,OR($K8&lt;&gt;'計算A'!$A$3,'計算A'!$A$4=0)),AND(115=$I8-1,OR(19&lt;&gt;'計算A'!$A$3,'計算A'!$A$4=0))),0,IF(19=$K8,200000,ABS(19-$K8)*100)),100000+ABS(5-$J8)*1000+190)+'計算A'!DN$5*50+IF(AND($E8=1,NA8=0),25,0),INDEX('計算A'!DN$110:DN$114,$F8+1)+IF(AND($E8=1,NA8=0),1000,0)+IF($H8=1,(IF('計算A'!DM$117=1,INDEX('計算A'!DM$10:DM$54,$B8),0)+IF('計算A'!DN$117=1,INDEX('計算A'!DO$10:DO$54,$B8),0))*500,0)-IF(AND('計算A'!DM$117=1,YK8&gt;0),300,0)-IF(AND($L8=1,'計算A'!DN$117=1,HM8=0),300,0))),1000000))</f>
        <v/>
      </c>
      <c r="SQ8">
        <f>IF($B8=0,1000000,IF(INDEX('計算A'!$D$60:$EQ$104,$B8,116)*HM8=1,IF(AND($E8=2,NB8=0),1000000,IF($I8&gt;0,IF(5=$J8,IF(OR(AND(116=$I8+1,OR($K8&lt;&gt;'計算A'!$A$3,'計算A'!$A$4=0)),AND(116=$I8-1,OR(20&lt;&gt;'計算A'!$A$3,'計算A'!$A$4=0))),0,IF(20=$K8,200000,ABS(20-$K8)*100)),100000+ABS(5-$J8)*1000+200)+'計算A'!DO$5*50+IF(AND($E8=1,NB8=0),25,0),INDEX('計算A'!DO$110:DO$114,$F8+1)+IF(AND($E8=1,NB8=0),1000,0)+IF($H8=1,(IF('計算A'!DN$117=1,INDEX('計算A'!DN$10:DN$54,$B8),0)+IF('計算A'!DO$117=1,INDEX('計算A'!DP$10:DP$54,$B8),0))*500,0)-IF(AND('計算A'!DN$117=1,YL8&gt;0),300,0)-IF(AND($L8=1,'計算A'!DO$117=1,HN8=0),300,0))),1000000))</f>
        <v/>
      </c>
      <c r="SR8">
        <f>IF($B8=0,1000000,IF(INDEX('計算A'!$D$60:$EQ$104,$B8,117)*HN8=1,IF(AND($E8=2,NC8=0),1000000,IF($I8&gt;0,IF(5=$J8,IF(OR(AND(117=$I8+1,OR($K8&lt;&gt;'計算A'!$A$3,'計算A'!$A$4=0)),AND(117=$I8-1,OR(21&lt;&gt;'計算A'!$A$3,'計算A'!$A$4=0))),0,IF(21=$K8,200000,ABS(21-$K8)*100)),100000+ABS(5-$J8)*1000+210)+'計算A'!DP$5*50+IF(AND($E8=1,NC8=0),25,0),INDEX('計算A'!DP$110:DP$114,$F8+1)+IF(AND($E8=1,NC8=0),1000,0)+IF($H8=1,(IF('計算A'!DO$117=1,INDEX('計算A'!DO$10:DO$54,$B8),0)+IF('計算A'!DP$117=1,INDEX('計算A'!DQ$10:DQ$54,$B8),0))*500,0)-IF(AND('計算A'!DO$117=1,YM8&gt;0),300,0)-IF(AND($L8=1,'計算A'!DP$117=1,HO8=0),300,0))),1000000))</f>
        <v/>
      </c>
      <c r="SS8">
        <f>IF($B8=0,1000000,IF(INDEX('計算A'!$D$60:$EQ$104,$B8,118)*HO8=1,IF(AND($E8=2,ND8=0),1000000,IF($I8&gt;0,IF(5=$J8,IF(OR(AND(118=$I8+1,OR($K8&lt;&gt;'計算A'!$A$3,'計算A'!$A$4=0)),AND(118=$I8-1,OR(22&lt;&gt;'計算A'!$A$3,'計算A'!$A$4=0))),0,IF(22=$K8,200000,ABS(22-$K8)*100)),100000+ABS(5-$J8)*1000+220)+'計算A'!DQ$5*50+IF(AND($E8=1,ND8=0),25,0),INDEX('計算A'!DQ$110:DQ$114,$F8+1)+IF(AND($E8=1,ND8=0),1000,0)+IF($H8=1,(IF('計算A'!DP$117=1,INDEX('計算A'!DP$10:DP$54,$B8),0)+IF('計算A'!DQ$117=1,INDEX('計算A'!DR$10:DR$54,$B8),0))*500,0)-IF(AND('計算A'!DP$117=1,YN8&gt;0),300,0)-IF(AND($L8=1,'計算A'!DQ$117=1,HP8=0),300,0))),1000000))</f>
        <v/>
      </c>
      <c r="ST8">
        <f>IF($B8=0,1000000,IF(INDEX('計算A'!$D$60:$EQ$104,$B8,119)*HP8=1,IF(AND($E8=2,NE8=0),1000000,IF($I8&gt;0,IF(5=$J8,IF(OR(AND(119=$I8+1,OR($K8&lt;&gt;'計算A'!$A$3,'計算A'!$A$4=0)),AND(119=$I8-1,OR(23&lt;&gt;'計算A'!$A$3,'計算A'!$A$4=0))),0,IF(23=$K8,200000,ABS(23-$K8)*100)),100000+ABS(5-$J8)*1000+230)+'計算A'!DR$5*50+IF(AND($E8=1,NE8=0),25,0),INDEX('計算A'!DR$110:DR$114,$F8+1)+IF(AND($E8=1,NE8=0),1000,0)+IF($H8=1,(IF('計算A'!DQ$117=1,INDEX('計算A'!DQ$10:DQ$54,$B8),0)+IF('計算A'!DR$117=1,INDEX('計算A'!DS$10:DS$54,$B8),0))*500,0)-IF(AND('計算A'!DQ$117=1,YO8&gt;0),300,0)-IF(AND($L8=1,'計算A'!DR$117=1,HQ8=0),300,0))),1000000))</f>
        <v/>
      </c>
      <c r="SU8">
        <f>IF($B8=0,1000000,IF(INDEX('計算A'!$D$60:$EQ$104,$B8,120)*HQ8=1,IF(AND($E8=2,NF8=0),1000000,IF($I8&gt;0,IF(5=$J8,IF(OR(AND(120=$I8+1,OR($K8&lt;&gt;'計算A'!$A$3,'計算A'!$A$4=0)),AND(120=$I8-1,OR(24&lt;&gt;'計算A'!$A$3,'計算A'!$A$4=0))),0,IF(24=$K8,200000,ABS(24-$K8)*100)),100000+ABS(5-$J8)*1000+240)+'計算A'!DS$5*50+IF(AND($E8=1,NF8=0),25,0),INDEX('計算A'!DS$110:DS$114,$F8+1)+IF(AND($E8=1,NF8=0),1000,0)+IF($H8=1,(IF('計算A'!DR$117=1,INDEX('計算A'!DR$10:DR$54,$B8),0))*500,0)-IF(AND('計算A'!DR$117=1,YP8&gt;0),300,0))),1000000))</f>
        <v/>
      </c>
      <c r="SV8">
        <f>IF($B8=0,1000000,IF(INDEX('計算A'!$D$60:$EQ$104,$B8,121)*HR8=1,IF(AND($E8=2,NG8=0),1000000,IF($I8&gt;0,IF(6=$J8,IF(OR(AND(121=$I8+1,OR($K8&lt;&gt;'計算A'!$A$3,'計算A'!$A$4=0)),AND(121=$I8-1,OR(1&lt;&gt;'計算A'!$A$3,'計算A'!$A$4=0))),0,IF(1=$K8,200000,ABS(1-$K8)*100)),100000+ABS(6-$J8)*1000+10)+'計算A'!DT$5*50+IF(AND($E8=1,NG8=0),25,0),INDEX('計算A'!DT$110:DT$114,$F8+1)+IF(AND($E8=1,NG8=0),1000,0)+IF($H8=1,(IF('計算A'!DT$117=1,INDEX('計算A'!DU$10:DU$54,$B8),0))*500,0)-IF(AND($L8=1,'計算A'!DT$117=1,HS8=0),300,0))),1000000))</f>
        <v/>
      </c>
      <c r="SW8">
        <f>IF($B8=0,1000000,IF(INDEX('計算A'!$D$60:$EQ$104,$B8,122)*HS8=1,IF(AND($E8=2,NH8=0),1000000,IF($I8&gt;0,IF(6=$J8,IF(OR(AND(122=$I8+1,OR($K8&lt;&gt;'計算A'!$A$3,'計算A'!$A$4=0)),AND(122=$I8-1,OR(2&lt;&gt;'計算A'!$A$3,'計算A'!$A$4=0))),0,IF(2=$K8,200000,ABS(2-$K8)*100)),100000+ABS(6-$J8)*1000+20)+'計算A'!DU$5*50+IF(AND($E8=1,NH8=0),25,0),INDEX('計算A'!DU$110:DU$114,$F8+1)+IF(AND($E8=1,NH8=0),1000,0)+IF($H8=1,(IF('計算A'!DT$117=1,INDEX('計算A'!DT$10:DT$54,$B8),0)+IF('計算A'!DU$117=1,INDEX('計算A'!DV$10:DV$54,$B8),0))*500,0)-IF(AND('計算A'!DT$117=1,YR8&gt;0),300,0)-IF(AND($L8=1,'計算A'!DU$117=1,HT8=0),300,0))),1000000))</f>
        <v/>
      </c>
      <c r="SX8">
        <f>IF($B8=0,1000000,IF(INDEX('計算A'!$D$60:$EQ$104,$B8,123)*HT8=1,IF(AND($E8=2,NI8=0),1000000,IF($I8&gt;0,IF(6=$J8,IF(OR(AND(123=$I8+1,OR($K8&lt;&gt;'計算A'!$A$3,'計算A'!$A$4=0)),AND(123=$I8-1,OR(3&lt;&gt;'計算A'!$A$3,'計算A'!$A$4=0))),0,IF(3=$K8,200000,ABS(3-$K8)*100)),100000+ABS(6-$J8)*1000+30)+'計算A'!DV$5*50+IF(AND($E8=1,NI8=0),25,0),INDEX('計算A'!DV$110:DV$114,$F8+1)+IF(AND($E8=1,NI8=0),1000,0)+IF($H8=1,(IF('計算A'!DU$117=1,INDEX('計算A'!DU$10:DU$54,$B8),0)+IF('計算A'!DV$117=1,INDEX('計算A'!DW$10:DW$54,$B8),0))*500,0)-IF(AND('計算A'!DU$117=1,YS8&gt;0),300,0)-IF(AND($L8=1,'計算A'!DV$117=1,HU8=0),300,0))),1000000))</f>
        <v/>
      </c>
      <c r="SY8">
        <f>IF($B8=0,1000000,IF(INDEX('計算A'!$D$60:$EQ$104,$B8,124)*HU8=1,IF(AND($E8=2,NJ8=0),1000000,IF($I8&gt;0,IF(6=$J8,IF(OR(AND(124=$I8+1,OR($K8&lt;&gt;'計算A'!$A$3,'計算A'!$A$4=0)),AND(124=$I8-1,OR(4&lt;&gt;'計算A'!$A$3,'計算A'!$A$4=0))),0,IF(4=$K8,200000,ABS(4-$K8)*100)),100000+ABS(6-$J8)*1000+40)+'計算A'!DW$5*50+IF(AND($E8=1,NJ8=0),25,0),INDEX('計算A'!DW$110:DW$114,$F8+1)+IF(AND($E8=1,NJ8=0),1000,0)+IF($H8=1,(IF('計算A'!DV$117=1,INDEX('計算A'!DV$10:DV$54,$B8),0)+IF('計算A'!DW$117=1,INDEX('計算A'!DX$10:DX$54,$B8),0))*500,0)-IF(AND('計算A'!DV$117=1,YT8&gt;0),300,0)-IF(AND($L8=1,'計算A'!DW$117=1,HV8=0),300,0))),1000000))</f>
        <v/>
      </c>
      <c r="SZ8">
        <f>IF($B8=0,1000000,IF(INDEX('計算A'!$D$60:$EQ$104,$B8,125)*HV8=1,IF(AND($E8=2,NK8=0),1000000,IF($I8&gt;0,IF(6=$J8,IF(OR(AND(125=$I8+1,OR($K8&lt;&gt;'計算A'!$A$3,'計算A'!$A$4=0)),AND(125=$I8-1,OR(5&lt;&gt;'計算A'!$A$3,'計算A'!$A$4=0))),0,IF(5=$K8,200000,ABS(5-$K8)*100)),100000+ABS(6-$J8)*1000+50)+'計算A'!DX$5*50+IF(AND($E8=1,NK8=0),25,0),INDEX('計算A'!DX$110:DX$114,$F8+1)+IF(AND($E8=1,NK8=0),1000,0)+IF($H8=1,(IF('計算A'!DW$117=1,INDEX('計算A'!DW$10:DW$54,$B8),0)+IF('計算A'!DX$117=1,INDEX('計算A'!DY$10:DY$54,$B8),0))*500,0)-IF(AND('計算A'!DW$117=1,YU8&gt;0),300,0)-IF(AND($L8=1,'計算A'!DX$117=1,HW8=0),300,0))),1000000))</f>
        <v/>
      </c>
      <c r="TA8">
        <f>IF($B8=0,1000000,IF(INDEX('計算A'!$D$60:$EQ$104,$B8,126)*HW8=1,IF(AND($E8=2,NL8=0),1000000,IF($I8&gt;0,IF(6=$J8,IF(OR(AND(126=$I8+1,OR($K8&lt;&gt;'計算A'!$A$3,'計算A'!$A$4=0)),AND(126=$I8-1,OR(6&lt;&gt;'計算A'!$A$3,'計算A'!$A$4=0))),0,IF(6=$K8,200000,ABS(6-$K8)*100)),100000+ABS(6-$J8)*1000+60)+'計算A'!DY$5*50+IF(AND($E8=1,NL8=0),25,0),INDEX('計算A'!DY$110:DY$114,$F8+1)+IF(AND($E8=1,NL8=0),1000,0)+IF($H8=1,(IF('計算A'!DX$117=1,INDEX('計算A'!DX$10:DX$54,$B8),0)+IF('計算A'!DY$117=1,INDEX('計算A'!DZ$10:DZ$54,$B8),0))*500,0)-IF(AND('計算A'!DX$117=1,YV8&gt;0),300,0)-IF(AND($L8=1,'計算A'!DY$117=1,HX8=0),300,0))),1000000))</f>
        <v/>
      </c>
      <c r="TB8">
        <f>IF($B8=0,1000000,IF(INDEX('計算A'!$D$60:$EQ$104,$B8,127)*HX8=1,IF(AND($E8=2,NM8=0),1000000,IF($I8&gt;0,IF(6=$J8,IF(OR(AND(127=$I8+1,OR($K8&lt;&gt;'計算A'!$A$3,'計算A'!$A$4=0)),AND(127=$I8-1,OR(7&lt;&gt;'計算A'!$A$3,'計算A'!$A$4=0))),0,IF(7=$K8,200000,ABS(7-$K8)*100)),100000+ABS(6-$J8)*1000+70)+'計算A'!DZ$5*50+IF(AND($E8=1,NM8=0),25,0),INDEX('計算A'!DZ$110:DZ$114,$F8+1)+IF(AND($E8=1,NM8=0),1000,0)+IF($H8=1,(IF('計算A'!DY$117=1,INDEX('計算A'!DY$10:DY$54,$B8),0)+IF('計算A'!DZ$117=1,INDEX('計算A'!EA$10:EA$54,$B8),0))*500,0)-IF(AND('計算A'!DY$117=1,YW8&gt;0),300,0)-IF(AND($L8=1,'計算A'!DZ$117=1,HY8=0),300,0))),1000000))</f>
        <v/>
      </c>
      <c r="TC8">
        <f>IF($B8=0,1000000,IF(INDEX('計算A'!$D$60:$EQ$104,$B8,128)*HY8=1,IF(AND($E8=2,NN8=0),1000000,IF($I8&gt;0,IF(6=$J8,IF(OR(AND(128=$I8+1,OR($K8&lt;&gt;'計算A'!$A$3,'計算A'!$A$4=0)),AND(128=$I8-1,OR(8&lt;&gt;'計算A'!$A$3,'計算A'!$A$4=0))),0,IF(8=$K8,200000,ABS(8-$K8)*100)),100000+ABS(6-$J8)*1000+80)+'計算A'!EA$5*50+IF(AND($E8=1,NN8=0),25,0),INDEX('計算A'!EA$110:EA$114,$F8+1)+IF(AND($E8=1,NN8=0),1000,0)+IF($H8=1,(IF('計算A'!DZ$117=1,INDEX('計算A'!DZ$10:DZ$54,$B8),0)+IF('計算A'!EA$117=1,INDEX('計算A'!EB$10:EB$54,$B8),0))*500,0)-IF(AND('計算A'!DZ$117=1,YX8&gt;0),300,0)-IF(AND($L8=1,'計算A'!EA$117=1,HZ8=0),300,0))),1000000))</f>
        <v/>
      </c>
      <c r="TD8">
        <f>IF($B8=0,1000000,IF(INDEX('計算A'!$D$60:$EQ$104,$B8,129)*HZ8=1,IF(AND($E8=2,NO8=0),1000000,IF($I8&gt;0,IF(6=$J8,IF(OR(AND(129=$I8+1,OR($K8&lt;&gt;'計算A'!$A$3,'計算A'!$A$4=0)),AND(129=$I8-1,OR(9&lt;&gt;'計算A'!$A$3,'計算A'!$A$4=0))),0,IF(9=$K8,200000,ABS(9-$K8)*100)),100000+ABS(6-$J8)*1000+90)+'計算A'!EB$5*50+IF(AND($E8=1,NO8=0),25,0),INDEX('計算A'!EB$110:EB$114,$F8+1)+IF(AND($E8=1,NO8=0),1000,0)+IF($H8=1,(IF('計算A'!EA$117=1,INDEX('計算A'!EA$10:EA$54,$B8),0)+IF('計算A'!EB$117=1,INDEX('計算A'!EC$10:EC$54,$B8),0))*500,0)-IF(AND('計算A'!EA$117=1,YY8&gt;0),300,0)-IF(AND($L8=1,'計算A'!EB$117=1,IA8=0),300,0))),1000000))</f>
        <v/>
      </c>
      <c r="TE8">
        <f>IF($B8=0,1000000,IF(INDEX('計算A'!$D$60:$EQ$104,$B8,130)*IA8=1,IF(AND($E8=2,NP8=0),1000000,IF($I8&gt;0,IF(6=$J8,IF(OR(AND(130=$I8+1,OR($K8&lt;&gt;'計算A'!$A$3,'計算A'!$A$4=0)),AND(130=$I8-1,OR(10&lt;&gt;'計算A'!$A$3,'計算A'!$A$4=0))),0,IF(10=$K8,200000,ABS(10-$K8)*100)),100000+ABS(6-$J8)*1000+100)+'計算A'!EC$5*50+IF(AND($E8=1,NP8=0),25,0),INDEX('計算A'!EC$110:EC$114,$F8+1)+IF(AND($E8=1,NP8=0),1000,0)+IF($H8=1,(IF('計算A'!EB$117=1,INDEX('計算A'!EB$10:EB$54,$B8),0)+IF('計算A'!EC$117=1,INDEX('計算A'!ED$10:ED$54,$B8),0))*500,0)-IF(AND('計算A'!EB$117=1,YZ8&gt;0),300,0)-IF(AND($L8=1,'計算A'!EC$117=1,IB8=0),300,0))),1000000))</f>
        <v/>
      </c>
      <c r="TF8">
        <f>IF($B8=0,1000000,IF(INDEX('計算A'!$D$60:$EQ$104,$B8,131)*IB8=1,IF(AND($E8=2,NQ8=0),1000000,IF($I8&gt;0,IF(6=$J8,IF(OR(AND(131=$I8+1,OR($K8&lt;&gt;'計算A'!$A$3,'計算A'!$A$4=0)),AND(131=$I8-1,OR(11&lt;&gt;'計算A'!$A$3,'計算A'!$A$4=0))),0,IF(11=$K8,200000,ABS(11-$K8)*100)),100000+ABS(6-$J8)*1000+110)+'計算A'!ED$5*50+IF(AND($E8=1,NQ8=0),25,0),INDEX('計算A'!ED$110:ED$114,$F8+1)+IF(AND($E8=1,NQ8=0),1000,0)+IF($H8=1,(IF('計算A'!EC$117=1,INDEX('計算A'!EC$10:EC$54,$B8),0)+IF('計算A'!ED$117=1,INDEX('計算A'!EE$10:EE$54,$B8),0))*500,0)-IF(AND('計算A'!EC$117=1,ZA8&gt;0),300,0)-IF(AND($L8=1,'計算A'!ED$117=1,IC8=0),300,0))),1000000))</f>
        <v/>
      </c>
      <c r="TG8">
        <f>IF($B8=0,1000000,IF(INDEX('計算A'!$D$60:$EQ$104,$B8,132)*IC8=1,IF(AND($E8=2,NR8=0),1000000,IF($I8&gt;0,IF(6=$J8,IF(OR(AND(132=$I8+1,OR($K8&lt;&gt;'計算A'!$A$3,'計算A'!$A$4=0)),AND(132=$I8-1,OR(12&lt;&gt;'計算A'!$A$3,'計算A'!$A$4=0))),0,IF(12=$K8,200000,ABS(12-$K8)*100)),100000+ABS(6-$J8)*1000+120)+'計算A'!EE$5*50+IF(AND($E8=1,NR8=0),25,0),INDEX('計算A'!EE$110:EE$114,$F8+1)+IF(AND($E8=1,NR8=0),1000,0)+IF($H8=1,(IF('計算A'!ED$117=1,INDEX('計算A'!ED$10:ED$54,$B8),0)+IF('計算A'!EE$117=1,INDEX('計算A'!EF$10:EF$54,$B8),0))*500,0)-IF(AND('計算A'!ED$117=1,ZB8&gt;0),300,0)-IF(AND($L8=1,'計算A'!EE$117=1,ID8=0),300,0))),1000000))</f>
        <v/>
      </c>
      <c r="TH8">
        <f>IF($B8=0,1000000,IF(INDEX('計算A'!$D$60:$EQ$104,$B8,133)*ID8=1,IF(AND($E8=2,NS8=0),1000000,IF($I8&gt;0,IF(6=$J8,IF(OR(AND(133=$I8+1,OR($K8&lt;&gt;'計算A'!$A$3,'計算A'!$A$4=0)),AND(133=$I8-1,OR(13&lt;&gt;'計算A'!$A$3,'計算A'!$A$4=0))),0,IF(13=$K8,200000,ABS(13-$K8)*100)),100000+ABS(6-$J8)*1000+130)+'計算A'!EF$5*50+IF(AND($E8=1,NS8=0),25,0),INDEX('計算A'!EF$110:EF$114,$F8+1)+IF(AND($E8=1,NS8=0),1000,0)+IF($H8=1,(IF('計算A'!EE$117=1,INDEX('計算A'!EE$10:EE$54,$B8),0)+IF('計算A'!EF$117=1,INDEX('計算A'!EG$10:EG$54,$B8),0))*500,0)-IF(AND('計算A'!EE$117=1,ZC8&gt;0),300,0)-IF(AND($L8=1,'計算A'!EF$117=1,IE8=0),300,0))),1000000))</f>
        <v/>
      </c>
      <c r="TI8">
        <f>IF($B8=0,1000000,IF(INDEX('計算A'!$D$60:$EQ$104,$B8,134)*IE8=1,IF(AND($E8=2,NT8=0),1000000,IF($I8&gt;0,IF(6=$J8,IF(OR(AND(134=$I8+1,OR($K8&lt;&gt;'計算A'!$A$3,'計算A'!$A$4=0)),AND(134=$I8-1,OR(14&lt;&gt;'計算A'!$A$3,'計算A'!$A$4=0))),0,IF(14=$K8,200000,ABS(14-$K8)*100)),100000+ABS(6-$J8)*1000+140)+'計算A'!EG$5*50+IF(AND($E8=1,NT8=0),25,0),INDEX('計算A'!EG$110:EG$114,$F8+1)+IF(AND($E8=1,NT8=0),1000,0)+IF($H8=1,(IF('計算A'!EF$117=1,INDEX('計算A'!EF$10:EF$54,$B8),0)+IF('計算A'!EG$117=1,INDEX('計算A'!EH$10:EH$54,$B8),0))*500,0)-IF(AND('計算A'!EF$117=1,ZD8&gt;0),300,0)-IF(AND($L8=1,'計算A'!EG$117=1,IF8=0),300,0))),1000000))</f>
        <v/>
      </c>
      <c r="TJ8">
        <f>IF($B8=0,1000000,IF(INDEX('計算A'!$D$60:$EQ$104,$B8,135)*IF8=1,IF(AND($E8=2,NU8=0),1000000,IF($I8&gt;0,IF(6=$J8,IF(OR(AND(135=$I8+1,OR($K8&lt;&gt;'計算A'!$A$3,'計算A'!$A$4=0)),AND(135=$I8-1,OR(15&lt;&gt;'計算A'!$A$3,'計算A'!$A$4=0))),0,IF(15=$K8,200000,ABS(15-$K8)*100)),100000+ABS(6-$J8)*1000+150)+'計算A'!EH$5*50+IF(AND($E8=1,NU8=0),25,0),INDEX('計算A'!EH$110:EH$114,$F8+1)+IF(AND($E8=1,NU8=0),1000,0)+IF($H8=1,(IF('計算A'!EG$117=1,INDEX('計算A'!EG$10:EG$54,$B8),0)+IF('計算A'!EH$117=1,INDEX('計算A'!EI$10:EI$54,$B8),0))*500,0)-IF(AND('計算A'!EG$117=1,ZE8&gt;0),300,0)-IF(AND($L8=1,'計算A'!EH$117=1,IG8=0),300,0))),1000000))</f>
        <v/>
      </c>
      <c r="TK8">
        <f>IF($B8=0,1000000,IF(INDEX('計算A'!$D$60:$EQ$104,$B8,136)*IG8=1,IF(AND($E8=2,NV8=0),1000000,IF($I8&gt;0,IF(6=$J8,IF(OR(AND(136=$I8+1,OR($K8&lt;&gt;'計算A'!$A$3,'計算A'!$A$4=0)),AND(136=$I8-1,OR(16&lt;&gt;'計算A'!$A$3,'計算A'!$A$4=0))),0,IF(16=$K8,200000,ABS(16-$K8)*100)),100000+ABS(6-$J8)*1000+160)+'計算A'!EI$5*50+IF(AND($E8=1,NV8=0),25,0),INDEX('計算A'!EI$110:EI$114,$F8+1)+IF(AND($E8=1,NV8=0),1000,0)+IF($H8=1,(IF('計算A'!EH$117=1,INDEX('計算A'!EH$10:EH$54,$B8),0)+IF('計算A'!EI$117=1,INDEX('計算A'!EJ$10:EJ$54,$B8),0))*500,0)-IF(AND('計算A'!EH$117=1,ZF8&gt;0),300,0)-IF(AND($L8=1,'計算A'!EI$117=1,IH8=0),300,0))),1000000))</f>
        <v/>
      </c>
      <c r="TL8">
        <f>IF($B8=0,1000000,IF(INDEX('計算A'!$D$60:$EQ$104,$B8,137)*IH8=1,IF(AND($E8=2,NW8=0),1000000,IF($I8&gt;0,IF(6=$J8,IF(OR(AND(137=$I8+1,OR($K8&lt;&gt;'計算A'!$A$3,'計算A'!$A$4=0)),AND(137=$I8-1,OR(17&lt;&gt;'計算A'!$A$3,'計算A'!$A$4=0))),0,IF(17=$K8,200000,ABS(17-$K8)*100)),100000+ABS(6-$J8)*1000+170)+'計算A'!EJ$5*50+IF(AND($E8=1,NW8=0),25,0),INDEX('計算A'!EJ$110:EJ$114,$F8+1)+IF(AND($E8=1,NW8=0),1000,0)+IF($H8=1,(IF('計算A'!EI$117=1,INDEX('計算A'!EI$10:EI$54,$B8),0)+IF('計算A'!EJ$117=1,INDEX('計算A'!EK$10:EK$54,$B8),0))*500,0)-IF(AND('計算A'!EI$117=1,ZG8&gt;0),300,0)-IF(AND($L8=1,'計算A'!EJ$117=1,II8=0),300,0))),1000000))</f>
        <v/>
      </c>
      <c r="TM8">
        <f>IF($B8=0,1000000,IF(INDEX('計算A'!$D$60:$EQ$104,$B8,138)*II8=1,IF(AND($E8=2,NX8=0),1000000,IF($I8&gt;0,IF(6=$J8,IF(OR(AND(138=$I8+1,OR($K8&lt;&gt;'計算A'!$A$3,'計算A'!$A$4=0)),AND(138=$I8-1,OR(18&lt;&gt;'計算A'!$A$3,'計算A'!$A$4=0))),0,IF(18=$K8,200000,ABS(18-$K8)*100)),100000+ABS(6-$J8)*1000+180)+'計算A'!EK$5*50+IF(AND($E8=1,NX8=0),25,0),INDEX('計算A'!EK$110:EK$114,$F8+1)+IF(AND($E8=1,NX8=0),1000,0)+IF($H8=1,(IF('計算A'!EJ$117=1,INDEX('計算A'!EJ$10:EJ$54,$B8),0)+IF('計算A'!EK$117=1,INDEX('計算A'!EL$10:EL$54,$B8),0))*500,0)-IF(AND('計算A'!EJ$117=1,ZH8&gt;0),300,0)-IF(AND($L8=1,'計算A'!EK$117=1,IJ8=0),300,0))),1000000))</f>
        <v/>
      </c>
      <c r="TN8">
        <f>IF($B8=0,1000000,IF(INDEX('計算A'!$D$60:$EQ$104,$B8,139)*IJ8=1,IF(AND($E8=2,NY8=0),1000000,IF($I8&gt;0,IF(6=$J8,IF(OR(AND(139=$I8+1,OR($K8&lt;&gt;'計算A'!$A$3,'計算A'!$A$4=0)),AND(139=$I8-1,OR(19&lt;&gt;'計算A'!$A$3,'計算A'!$A$4=0))),0,IF(19=$K8,200000,ABS(19-$K8)*100)),100000+ABS(6-$J8)*1000+190)+'計算A'!EL$5*50+IF(AND($E8=1,NY8=0),25,0),INDEX('計算A'!EL$110:EL$114,$F8+1)+IF(AND($E8=1,NY8=0),1000,0)+IF($H8=1,(IF('計算A'!EK$117=1,INDEX('計算A'!EK$10:EK$54,$B8),0)+IF('計算A'!EL$117=1,INDEX('計算A'!EM$10:EM$54,$B8),0))*500,0)-IF(AND('計算A'!EK$117=1,ZI8&gt;0),300,0)-IF(AND($L8=1,'計算A'!EL$117=1,IK8=0),300,0))),1000000))</f>
        <v/>
      </c>
      <c r="TO8">
        <f>IF($B8=0,1000000,IF(INDEX('計算A'!$D$60:$EQ$104,$B8,140)*IK8=1,IF(AND($E8=2,NZ8=0),1000000,IF($I8&gt;0,IF(6=$J8,IF(OR(AND(140=$I8+1,OR($K8&lt;&gt;'計算A'!$A$3,'計算A'!$A$4=0)),AND(140=$I8-1,OR(20&lt;&gt;'計算A'!$A$3,'計算A'!$A$4=0))),0,IF(20=$K8,200000,ABS(20-$K8)*100)),100000+ABS(6-$J8)*1000+200)+'計算A'!EM$5*50+IF(AND($E8=1,NZ8=0),25,0),INDEX('計算A'!EM$110:EM$114,$F8+1)+IF(AND($E8=1,NZ8=0),1000,0)+IF($H8=1,(IF('計算A'!EL$117=1,INDEX('計算A'!EL$10:EL$54,$B8),0)+IF('計算A'!EM$117=1,INDEX('計算A'!EN$10:EN$54,$B8),0))*500,0)-IF(AND('計算A'!EL$117=1,ZJ8&gt;0),300,0)-IF(AND($L8=1,'計算A'!EM$117=1,IL8=0),300,0))),1000000))</f>
        <v/>
      </c>
      <c r="TP8">
        <f>IF($B8=0,1000000,IF(INDEX('計算A'!$D$60:$EQ$104,$B8,141)*IL8=1,IF(AND($E8=2,OA8=0),1000000,IF($I8&gt;0,IF(6=$J8,IF(OR(AND(141=$I8+1,OR($K8&lt;&gt;'計算A'!$A$3,'計算A'!$A$4=0)),AND(141=$I8-1,OR(21&lt;&gt;'計算A'!$A$3,'計算A'!$A$4=0))),0,IF(21=$K8,200000,ABS(21-$K8)*100)),100000+ABS(6-$J8)*1000+210)+'計算A'!EN$5*50+IF(AND($E8=1,OA8=0),25,0),INDEX('計算A'!EN$110:EN$114,$F8+1)+IF(AND($E8=1,OA8=0),1000,0)+IF($H8=1,(IF('計算A'!EM$117=1,INDEX('計算A'!EM$10:EM$54,$B8),0)+IF('計算A'!EN$117=1,INDEX('計算A'!EO$10:EO$54,$B8),0))*500,0)-IF(AND('計算A'!EM$117=1,ZK8&gt;0),300,0)-IF(AND($L8=1,'計算A'!EN$117=1,IM8=0),300,0))),1000000))</f>
        <v/>
      </c>
      <c r="TQ8">
        <f>IF($B8=0,1000000,IF(INDEX('計算A'!$D$60:$EQ$104,$B8,142)*IM8=1,IF(AND($E8=2,OB8=0),1000000,IF($I8&gt;0,IF(6=$J8,IF(OR(AND(142=$I8+1,OR($K8&lt;&gt;'計算A'!$A$3,'計算A'!$A$4=0)),AND(142=$I8-1,OR(22&lt;&gt;'計算A'!$A$3,'計算A'!$A$4=0))),0,IF(22=$K8,200000,ABS(22-$K8)*100)),100000+ABS(6-$J8)*1000+220)+'計算A'!EO$5*50+IF(AND($E8=1,OB8=0),25,0),INDEX('計算A'!EO$110:EO$114,$F8+1)+IF(AND($E8=1,OB8=0),1000,0)+IF($H8=1,(IF('計算A'!EN$117=1,INDEX('計算A'!EN$10:EN$54,$B8),0)+IF('計算A'!EO$117=1,INDEX('計算A'!EP$10:EP$54,$B8),0))*500,0)-IF(AND('計算A'!EN$117=1,ZL8&gt;0),300,0)-IF(AND($L8=1,'計算A'!EO$117=1,IN8=0),300,0))),1000000))</f>
        <v/>
      </c>
      <c r="TR8">
        <f>IF($B8=0,1000000,IF(INDEX('計算A'!$D$60:$EQ$104,$B8,143)*IN8=1,IF(AND($E8=2,OC8=0),1000000,IF($I8&gt;0,IF(6=$J8,IF(OR(AND(143=$I8+1,OR($K8&lt;&gt;'計算A'!$A$3,'計算A'!$A$4=0)),AND(143=$I8-1,OR(23&lt;&gt;'計算A'!$A$3,'計算A'!$A$4=0))),0,IF(23=$K8,200000,ABS(23-$K8)*100)),100000+ABS(6-$J8)*1000+230)+'計算A'!EP$5*50+IF(AND($E8=1,OC8=0),25,0),INDEX('計算A'!EP$110:EP$114,$F8+1)+IF(AND($E8=1,OC8=0),1000,0)+IF($H8=1,(IF('計算A'!EO$117=1,INDEX('計算A'!EO$10:EO$54,$B8),0)+IF('計算A'!EP$117=1,INDEX('計算A'!EQ$10:EQ$54,$B8),0))*500,0)-IF(AND('計算A'!EO$117=1,ZM8&gt;0),300,0)-IF(AND($L8=1,'計算A'!EP$117=1,IO8=0),300,0))),1000000))</f>
        <v/>
      </c>
      <c r="TS8">
        <f>IF($B8=0,1000000,IF(INDEX('計算A'!$D$60:$EQ$104,$B8,144)*IO8=1,IF(AND($E8=2,OD8=0),1000000,IF($I8&gt;0,IF(6=$J8,IF(OR(AND(144=$I8+1,OR($K8&lt;&gt;'計算A'!$A$3,'計算A'!$A$4=0)),AND(144=$I8-1,OR(24&lt;&gt;'計算A'!$A$3,'計算A'!$A$4=0))),0,IF(24=$K8,200000,ABS(24-$K8)*100)),100000+ABS(6-$J8)*1000+240)+'計算A'!EQ$5*50+IF(AND($E8=1,OD8=0),25,0),INDEX('計算A'!EQ$110:EQ$114,$F8+1)+IF(AND($E8=1,OD8=0),1000,0)+IF($H8=1,(IF('計算A'!EP$117=1,INDEX('計算A'!EP$10:EP$54,$B8),0))*500,0)-IF(AND('計算A'!EP$117=1,ZN8&gt;0),300,0))),1000000))</f>
        <v/>
      </c>
      <c r="UB8">
        <f>UB7+IF(AND($C7=1,$L7=1),1,0)</f>
        <v/>
      </c>
      <c r="UC8">
        <f>UC7+IF(AND($C7=2,$L7=1),1,0)</f>
        <v/>
      </c>
      <c r="UD8">
        <f>UD7+IF(AND($C7=3,$L7=1),1,0)</f>
        <v/>
      </c>
      <c r="UE8">
        <f>UE7+IF(AND($C7=4,$L7=1),1,0)</f>
        <v/>
      </c>
      <c r="UF8">
        <f>UF7+IF(AND($C7=5,$L7=1),1,0)</f>
        <v/>
      </c>
      <c r="UG8">
        <f>UG7+IF(AND($C7=6,$L7=1),1,0)</f>
        <v/>
      </c>
      <c r="UH8">
        <f>UH7+IF(AND($C7=7,$L7=1),1,0)</f>
        <v/>
      </c>
      <c r="UI8">
        <f>UI7+IF(AND($C7=8,$L7=1),1,0)</f>
        <v/>
      </c>
      <c r="UJ8">
        <f>UJ7+IF(AND($C7=9,$L7=1),1,0)</f>
        <v/>
      </c>
      <c r="UK8">
        <f>UK7+IF(AND($C7=10,$L7=1),1,0)</f>
        <v/>
      </c>
      <c r="UL8">
        <f>UL7+IF(AND($C7=11,$L7=1),1,0)</f>
        <v/>
      </c>
      <c r="UM8">
        <f>UM7+IF(AND($C7=12,$L7=1),1,0)</f>
        <v/>
      </c>
      <c r="UN8">
        <f>UN7+IF(AND($C7=13,$L7=1),1,0)</f>
        <v/>
      </c>
      <c r="UO8">
        <f>UO7+IF(AND($C7=14,$L7=1),1,0)</f>
        <v/>
      </c>
      <c r="UP8">
        <f>UP7+IF(AND($C7=15,$L7=1),1,0)</f>
        <v/>
      </c>
      <c r="UQ8">
        <f>UQ7+IF(AND($C7=16,$L7=1),1,0)</f>
        <v/>
      </c>
      <c r="UR8">
        <f>UR7+IF(AND($C7=17,$L7=1),1,0)</f>
        <v/>
      </c>
      <c r="US8">
        <f>US7+IF(AND($C7=18,$L7=1),1,0)</f>
        <v/>
      </c>
      <c r="UT8">
        <f>UT7+IF(AND($C7=19,$L7=1),1,0)</f>
        <v/>
      </c>
      <c r="UU8">
        <f>UU7+IF(AND($C7=20,$L7=1),1,0)</f>
        <v/>
      </c>
      <c r="UV8">
        <f>UV7+IF(AND($C7=21,$L7=1),1,0)</f>
        <v/>
      </c>
      <c r="UW8">
        <f>UW7+IF(AND($C7=22,$L7=1),1,0)</f>
        <v/>
      </c>
      <c r="UX8">
        <f>UX7+IF(AND($C7=23,$L7=1),1,0)</f>
        <v/>
      </c>
      <c r="UY8">
        <f>UY7+IF(AND($C7=24,$L7=1),1,0)</f>
        <v/>
      </c>
      <c r="UZ8">
        <f>UZ7+IF(AND($C7=25,$L7=1),1,0)</f>
        <v/>
      </c>
      <c r="VA8">
        <f>VA7+IF(AND($C7=26,$L7=1),1,0)</f>
        <v/>
      </c>
      <c r="VB8">
        <f>VB7+IF(AND($C7=27,$L7=1),1,0)</f>
        <v/>
      </c>
      <c r="VC8">
        <f>VC7+IF(AND($C7=28,$L7=1),1,0)</f>
        <v/>
      </c>
      <c r="VD8">
        <f>VD7+IF(AND($C7=29,$L7=1),1,0)</f>
        <v/>
      </c>
      <c r="VE8">
        <f>VE7+IF(AND($C7=30,$L7=1),1,0)</f>
        <v/>
      </c>
      <c r="VF8">
        <f>VF7+IF(AND($C7=31,$L7=1),1,0)</f>
        <v/>
      </c>
      <c r="VG8">
        <f>VG7+IF(AND($C7=32,$L7=1),1,0)</f>
        <v/>
      </c>
      <c r="VH8">
        <f>VH7+IF(AND($C7=33,$L7=1),1,0)</f>
        <v/>
      </c>
      <c r="VI8">
        <f>VI7+IF(AND($C7=34,$L7=1),1,0)</f>
        <v/>
      </c>
      <c r="VJ8">
        <f>VJ7+IF(AND($C7=35,$L7=1),1,0)</f>
        <v/>
      </c>
      <c r="VK8">
        <f>VK7+IF(AND($C7=36,$L7=1),1,0)</f>
        <v/>
      </c>
      <c r="VL8">
        <f>VL7+IF(AND($C7=37,$L7=1),1,0)</f>
        <v/>
      </c>
      <c r="VM8">
        <f>VM7+IF(AND($C7=38,$L7=1),1,0)</f>
        <v/>
      </c>
      <c r="VN8">
        <f>VN7+IF(AND($C7=39,$L7=1),1,0)</f>
        <v/>
      </c>
      <c r="VO8">
        <f>VO7+IF(AND($C7=40,$L7=1),1,0)</f>
        <v/>
      </c>
      <c r="VP8">
        <f>VP7+IF(AND($C7=41,$L7=1),1,0)</f>
        <v/>
      </c>
      <c r="VQ8">
        <f>VQ7+IF(AND($C7=42,$L7=1),1,0)</f>
        <v/>
      </c>
      <c r="VR8">
        <f>VR7+IF(AND($C7=43,$L7=1),1,0)</f>
        <v/>
      </c>
      <c r="VS8">
        <f>VS7+IF(AND($C7=44,$L7=1),1,0)</f>
        <v/>
      </c>
      <c r="VT8">
        <f>VT7+IF(AND($C7=45,$L7=1),1,0)</f>
        <v/>
      </c>
      <c r="VU8">
        <f>VU7+IF(AND($C7=46,$L7=1),1,0)</f>
        <v/>
      </c>
      <c r="VV8">
        <f>VV7+IF(AND($C7=47,$L7=1),1,0)</f>
        <v/>
      </c>
      <c r="VW8">
        <f>VW7+IF(AND($C7=48,$L7=1),1,0)</f>
        <v/>
      </c>
      <c r="VX8">
        <f>VX7+IF(AND($C7=49,$L7=1),1,0)</f>
        <v/>
      </c>
      <c r="VY8">
        <f>VY7+IF(AND($C7=50,$L7=1),1,0)</f>
        <v/>
      </c>
      <c r="VZ8">
        <f>VZ7+IF(AND($C7=51,$L7=1),1,0)</f>
        <v/>
      </c>
      <c r="WA8">
        <f>WA7+IF(AND($C7=52,$L7=1),1,0)</f>
        <v/>
      </c>
      <c r="WB8">
        <f>WB7+IF(AND($C7=53,$L7=1),1,0)</f>
        <v/>
      </c>
      <c r="WC8">
        <f>WC7+IF(AND($C7=54,$L7=1),1,0)</f>
        <v/>
      </c>
      <c r="WD8">
        <f>WD7+IF(AND($C7=55,$L7=1),1,0)</f>
        <v/>
      </c>
      <c r="WE8">
        <f>WE7+IF(AND($C7=56,$L7=1),1,0)</f>
        <v/>
      </c>
      <c r="WF8">
        <f>WF7+IF(AND($C7=57,$L7=1),1,0)</f>
        <v/>
      </c>
      <c r="WG8">
        <f>WG7+IF(AND($C7=58,$L7=1),1,0)</f>
        <v/>
      </c>
      <c r="WH8">
        <f>WH7+IF(AND($C7=59,$L7=1),1,0)</f>
        <v/>
      </c>
      <c r="WI8">
        <f>WI7+IF(AND($C7=60,$L7=1),1,0)</f>
        <v/>
      </c>
      <c r="WJ8">
        <f>WJ7+IF(AND($C7=61,$L7=1),1,0)</f>
        <v/>
      </c>
      <c r="WK8">
        <f>WK7+IF(AND($C7=62,$L7=1),1,0)</f>
        <v/>
      </c>
      <c r="WL8">
        <f>WL7+IF(AND($C7=63,$L7=1),1,0)</f>
        <v/>
      </c>
      <c r="WM8">
        <f>WM7+IF(AND($C7=64,$L7=1),1,0)</f>
        <v/>
      </c>
      <c r="WN8">
        <f>WN7+IF(AND($C7=65,$L7=1),1,0)</f>
        <v/>
      </c>
      <c r="WO8">
        <f>WO7+IF(AND($C7=66,$L7=1),1,0)</f>
        <v/>
      </c>
      <c r="WP8">
        <f>WP7+IF(AND($C7=67,$L7=1),1,0)</f>
        <v/>
      </c>
      <c r="WQ8">
        <f>WQ7+IF(AND($C7=68,$L7=1),1,0)</f>
        <v/>
      </c>
      <c r="WR8">
        <f>WR7+IF(AND($C7=69,$L7=1),1,0)</f>
        <v/>
      </c>
      <c r="WS8">
        <f>WS7+IF(AND($C7=70,$L7=1),1,0)</f>
        <v/>
      </c>
      <c r="WT8">
        <f>WT7+IF(AND($C7=71,$L7=1),1,0)</f>
        <v/>
      </c>
      <c r="WU8">
        <f>WU7+IF(AND($C7=72,$L7=1),1,0)</f>
        <v/>
      </c>
      <c r="WV8">
        <f>WV7+IF(AND($C7=73,$L7=1),1,0)</f>
        <v/>
      </c>
      <c r="WW8">
        <f>WW7+IF(AND($C7=74,$L7=1),1,0)</f>
        <v/>
      </c>
      <c r="WX8">
        <f>WX7+IF(AND($C7=75,$L7=1),1,0)</f>
        <v/>
      </c>
      <c r="WY8">
        <f>WY7+IF(AND($C7=76,$L7=1),1,0)</f>
        <v/>
      </c>
      <c r="WZ8">
        <f>WZ7+IF(AND($C7=77,$L7=1),1,0)</f>
        <v/>
      </c>
      <c r="XA8">
        <f>XA7+IF(AND($C7=78,$L7=1),1,0)</f>
        <v/>
      </c>
      <c r="XB8">
        <f>XB7+IF(AND($C7=79,$L7=1),1,0)</f>
        <v/>
      </c>
      <c r="XC8">
        <f>XC7+IF(AND($C7=80,$L7=1),1,0)</f>
        <v/>
      </c>
      <c r="XD8">
        <f>XD7+IF(AND($C7=81,$L7=1),1,0)</f>
        <v/>
      </c>
      <c r="XE8">
        <f>XE7+IF(AND($C7=82,$L7=1),1,0)</f>
        <v/>
      </c>
      <c r="XF8">
        <f>XF7+IF(AND($C7=83,$L7=1),1,0)</f>
        <v/>
      </c>
      <c r="XG8">
        <f>XG7+IF(AND($C7=84,$L7=1),1,0)</f>
        <v/>
      </c>
      <c r="XH8">
        <f>XH7+IF(AND($C7=85,$L7=1),1,0)</f>
        <v/>
      </c>
      <c r="XI8">
        <f>XI7+IF(AND($C7=86,$L7=1),1,0)</f>
        <v/>
      </c>
      <c r="XJ8">
        <f>XJ7+IF(AND($C7=87,$L7=1),1,0)</f>
        <v/>
      </c>
      <c r="XK8">
        <f>XK7+IF(AND($C7=88,$L7=1),1,0)</f>
        <v/>
      </c>
      <c r="XL8">
        <f>XL7+IF(AND($C7=89,$L7=1),1,0)</f>
        <v/>
      </c>
      <c r="XM8">
        <f>XM7+IF(AND($C7=90,$L7=1),1,0)</f>
        <v/>
      </c>
      <c r="XN8">
        <f>XN7+IF(AND($C7=91,$L7=1),1,0)</f>
        <v/>
      </c>
      <c r="XO8">
        <f>XO7+IF(AND($C7=92,$L7=1),1,0)</f>
        <v/>
      </c>
      <c r="XP8">
        <f>XP7+IF(AND($C7=93,$L7=1),1,0)</f>
        <v/>
      </c>
      <c r="XQ8">
        <f>XQ7+IF(AND($C7=94,$L7=1),1,0)</f>
        <v/>
      </c>
      <c r="XR8">
        <f>XR7+IF(AND($C7=95,$L7=1),1,0)</f>
        <v/>
      </c>
      <c r="XS8">
        <f>XS7+IF(AND($C7=96,$L7=1),1,0)</f>
        <v/>
      </c>
      <c r="XT8">
        <f>XT7+IF(AND($C7=97,$L7=1),1,0)</f>
        <v/>
      </c>
      <c r="XU8">
        <f>XU7+IF(AND($C7=98,$L7=1),1,0)</f>
        <v/>
      </c>
      <c r="XV8">
        <f>XV7+IF(AND($C7=99,$L7=1),1,0)</f>
        <v/>
      </c>
      <c r="XW8">
        <f>XW7+IF(AND($C7=100,$L7=1),1,0)</f>
        <v/>
      </c>
      <c r="XX8">
        <f>XX7+IF(AND($C7=101,$L7=1),1,0)</f>
        <v/>
      </c>
      <c r="XY8">
        <f>XY7+IF(AND($C7=102,$L7=1),1,0)</f>
        <v/>
      </c>
      <c r="XZ8">
        <f>XZ7+IF(AND($C7=103,$L7=1),1,0)</f>
        <v/>
      </c>
      <c r="YA8">
        <f>YA7+IF(AND($C7=104,$L7=1),1,0)</f>
        <v/>
      </c>
      <c r="YB8">
        <f>YB7+IF(AND($C7=105,$L7=1),1,0)</f>
        <v/>
      </c>
      <c r="YC8">
        <f>YC7+IF(AND($C7=106,$L7=1),1,0)</f>
        <v/>
      </c>
      <c r="YD8">
        <f>YD7+IF(AND($C7=107,$L7=1),1,0)</f>
        <v/>
      </c>
      <c r="YE8">
        <f>YE7+IF(AND($C7=108,$L7=1),1,0)</f>
        <v/>
      </c>
      <c r="YF8">
        <f>YF7+IF(AND($C7=109,$L7=1),1,0)</f>
        <v/>
      </c>
      <c r="YG8">
        <f>YG7+IF(AND($C7=110,$L7=1),1,0)</f>
        <v/>
      </c>
      <c r="YH8">
        <f>YH7+IF(AND($C7=111,$L7=1),1,0)</f>
        <v/>
      </c>
      <c r="YI8">
        <f>YI7+IF(AND($C7=112,$L7=1),1,0)</f>
        <v/>
      </c>
      <c r="YJ8">
        <f>YJ7+IF(AND($C7=113,$L7=1),1,0)</f>
        <v/>
      </c>
      <c r="YK8">
        <f>YK7+IF(AND($C7=114,$L7=1),1,0)</f>
        <v/>
      </c>
      <c r="YL8">
        <f>YL7+IF(AND($C7=115,$L7=1),1,0)</f>
        <v/>
      </c>
      <c r="YM8">
        <f>YM7+IF(AND($C7=116,$L7=1),1,0)</f>
        <v/>
      </c>
      <c r="YN8">
        <f>YN7+IF(AND($C7=117,$L7=1),1,0)</f>
        <v/>
      </c>
      <c r="YO8">
        <f>YO7+IF(AND($C7=118,$L7=1),1,0)</f>
        <v/>
      </c>
      <c r="YP8">
        <f>YP7+IF(AND($C7=119,$L7=1),1,0)</f>
        <v/>
      </c>
      <c r="YQ8">
        <f>YQ7+IF(AND($C7=120,$L7=1),1,0)</f>
        <v/>
      </c>
      <c r="YR8">
        <f>YR7+IF(AND($C7=121,$L7=1),1,0)</f>
        <v/>
      </c>
      <c r="YS8">
        <f>YS7+IF(AND($C7=122,$L7=1),1,0)</f>
        <v/>
      </c>
      <c r="YT8">
        <f>YT7+IF(AND($C7=123,$L7=1),1,0)</f>
        <v/>
      </c>
      <c r="YU8">
        <f>YU7+IF(AND($C7=124,$L7=1),1,0)</f>
        <v/>
      </c>
      <c r="YV8">
        <f>YV7+IF(AND($C7=125,$L7=1),1,0)</f>
        <v/>
      </c>
      <c r="YW8">
        <f>YW7+IF(AND($C7=126,$L7=1),1,0)</f>
        <v/>
      </c>
      <c r="YX8">
        <f>YX7+IF(AND($C7=127,$L7=1),1,0)</f>
        <v/>
      </c>
      <c r="YY8">
        <f>YY7+IF(AND($C7=128,$L7=1),1,0)</f>
        <v/>
      </c>
      <c r="YZ8">
        <f>YZ7+IF(AND($C7=129,$L7=1),1,0)</f>
        <v/>
      </c>
      <c r="ZA8">
        <f>ZA7+IF(AND($C7=130,$L7=1),1,0)</f>
        <v/>
      </c>
      <c r="ZB8">
        <f>ZB7+IF(AND($C7=131,$L7=1),1,0)</f>
        <v/>
      </c>
      <c r="ZC8">
        <f>ZC7+IF(AND($C7=132,$L7=1),1,0)</f>
        <v/>
      </c>
      <c r="ZD8">
        <f>ZD7+IF(AND($C7=133,$L7=1),1,0)</f>
        <v/>
      </c>
      <c r="ZE8">
        <f>ZE7+IF(AND($C7=134,$L7=1),1,0)</f>
        <v/>
      </c>
      <c r="ZF8">
        <f>ZF7+IF(AND($C7=135,$L7=1),1,0)</f>
        <v/>
      </c>
      <c r="ZG8">
        <f>ZG7+IF(AND($C7=136,$L7=1),1,0)</f>
        <v/>
      </c>
      <c r="ZH8">
        <f>ZH7+IF(AND($C7=137,$L7=1),1,0)</f>
        <v/>
      </c>
      <c r="ZI8">
        <f>ZI7+IF(AND($C7=138,$L7=1),1,0)</f>
        <v/>
      </c>
      <c r="ZJ8">
        <f>ZJ7+IF(AND($C7=139,$L7=1),1,0)</f>
        <v/>
      </c>
      <c r="ZK8">
        <f>ZK7+IF(AND($C7=140,$L7=1),1,0)</f>
        <v/>
      </c>
      <c r="ZL8">
        <f>ZL7+IF(AND($C7=141,$L7=1),1,0)</f>
        <v/>
      </c>
      <c r="ZM8">
        <f>ZM7+IF(AND($C7=142,$L7=1),1,0)</f>
        <v/>
      </c>
      <c r="ZN8">
        <f>ZN7+IF(AND($C7=143,$L7=1),1,0)</f>
        <v/>
      </c>
      <c r="ZO8">
        <f>ZO7+IF(AND($C7=144,$L7=1),1,0)</f>
        <v/>
      </c>
    </row>
    <row r="9">
      <c r="A9" t="n">
        <v>7</v>
      </c>
      <c r="B9">
        <f>IF(MIN(BH9:CZ9)&gt;=1000000,0,MATCH(MIN(BH9:CZ9),BH9:CZ9,0))</f>
        <v/>
      </c>
      <c r="C9">
        <f>IF(MIN(OF9:TS9)&gt;=1000000,0,MATCH(MIN(OF9:TS9),OF9:TS9,0))</f>
        <v/>
      </c>
      <c r="D9">
        <f>IF(C9&gt;0,INDEX('計算A'!$D$5:$EQ$5,C9),0)</f>
        <v/>
      </c>
      <c r="E9">
        <f>IF(B9=0,0,INDEX('計算A'!$IQ$10:$IQ$54,B9))</f>
        <v/>
      </c>
      <c r="F9">
        <f>IF(B9=0,0,INDEX('計算A'!$IP$10:$IP$54,B9))</f>
        <v/>
      </c>
      <c r="G9">
        <f>IF(AND(C9&gt;0,E9&gt;0),IF(AND(INDEX('計算A'!$D$106:$EQ$106,C9)=1,INDEX($IQ9:$OD9,C9)=1),C9+1,0),0)</f>
        <v/>
      </c>
      <c r="H9">
        <f>IF(B9=0,0,INDEX('計算A'!$IW$10:$IW$54,B9))</f>
        <v/>
      </c>
      <c r="I9">
        <f>IF(B9=0,0,MAX(0,INDEX('計算A'!$IT$10:$IT$54,B9)))</f>
        <v/>
      </c>
      <c r="J9">
        <f>IF(I9=0,0,INDEX('計算A'!$D$2:$EQ$2,I9))</f>
        <v/>
      </c>
      <c r="K9">
        <f>IF(I9=0,0,INDEX('計算A'!$D$3:$EQ$3,I9))</f>
        <v/>
      </c>
      <c r="L9">
        <f>IF(B9=0,0,INDEX('計算A'!$IX$10:$IX$54,B9))</f>
        <v/>
      </c>
      <c r="N9">
        <f>MAX(N8,IF($B8=1,1,0))</f>
        <v/>
      </c>
      <c r="O9">
        <f>MAX(O8,IF($B8=2,1,0))</f>
        <v/>
      </c>
      <c r="P9">
        <f>MAX(P8,IF($B8=3,1,0))</f>
        <v/>
      </c>
      <c r="Q9">
        <f>MAX(Q8,IF($B8=4,1,0))</f>
        <v/>
      </c>
      <c r="R9">
        <f>MAX(R8,IF($B8=5,1,0))</f>
        <v/>
      </c>
      <c r="S9">
        <f>MAX(S8,IF($B8=6,1,0))</f>
        <v/>
      </c>
      <c r="T9">
        <f>MAX(T8,IF($B8=7,1,0))</f>
        <v/>
      </c>
      <c r="U9">
        <f>MAX(U8,IF($B8=8,1,0))</f>
        <v/>
      </c>
      <c r="V9">
        <f>MAX(V8,IF($B8=9,1,0))</f>
        <v/>
      </c>
      <c r="W9">
        <f>MAX(W8,IF($B8=10,1,0))</f>
        <v/>
      </c>
      <c r="X9">
        <f>MAX(X8,IF($B8=11,1,0))</f>
        <v/>
      </c>
      <c r="Y9">
        <f>MAX(Y8,IF($B8=12,1,0))</f>
        <v/>
      </c>
      <c r="Z9">
        <f>MAX(Z8,IF($B8=13,1,0))</f>
        <v/>
      </c>
      <c r="AA9">
        <f>MAX(AA8,IF($B8=14,1,0))</f>
        <v/>
      </c>
      <c r="AB9">
        <f>MAX(AB8,IF($B8=15,1,0))</f>
        <v/>
      </c>
      <c r="AC9">
        <f>MAX(AC8,IF($B8=16,1,0))</f>
        <v/>
      </c>
      <c r="AD9">
        <f>MAX(AD8,IF($B8=17,1,0))</f>
        <v/>
      </c>
      <c r="AE9">
        <f>MAX(AE8,IF($B8=18,1,0))</f>
        <v/>
      </c>
      <c r="AF9">
        <f>MAX(AF8,IF($B8=19,1,0))</f>
        <v/>
      </c>
      <c r="AG9">
        <f>MAX(AG8,IF($B8=20,1,0))</f>
        <v/>
      </c>
      <c r="AH9">
        <f>MAX(AH8,IF($B8=21,1,0))</f>
        <v/>
      </c>
      <c r="AI9">
        <f>MAX(AI8,IF($B8=22,1,0))</f>
        <v/>
      </c>
      <c r="AJ9">
        <f>MAX(AJ8,IF($B8=23,1,0))</f>
        <v/>
      </c>
      <c r="AK9">
        <f>MAX(AK8,IF($B8=24,1,0))</f>
        <v/>
      </c>
      <c r="AL9">
        <f>MAX(AL8,IF($B8=25,1,0))</f>
        <v/>
      </c>
      <c r="AM9">
        <f>MAX(AM8,IF($B8=26,1,0))</f>
        <v/>
      </c>
      <c r="AN9">
        <f>MAX(AN8,IF($B8=27,1,0))</f>
        <v/>
      </c>
      <c r="AO9">
        <f>MAX(AO8,IF($B8=28,1,0))</f>
        <v/>
      </c>
      <c r="AP9">
        <f>MAX(AP8,IF($B8=29,1,0))</f>
        <v/>
      </c>
      <c r="AQ9">
        <f>MAX(AQ8,IF($B8=30,1,0))</f>
        <v/>
      </c>
      <c r="AR9">
        <f>MAX(AR8,IF($B8=31,1,0))</f>
        <v/>
      </c>
      <c r="AS9">
        <f>MAX(AS8,IF($B8=32,1,0))</f>
        <v/>
      </c>
      <c r="AT9">
        <f>MAX(AT8,IF($B8=33,1,0))</f>
        <v/>
      </c>
      <c r="AU9">
        <f>MAX(AU8,IF($B8=34,1,0))</f>
        <v/>
      </c>
      <c r="AV9">
        <f>MAX(AV8,IF($B8=35,1,0))</f>
        <v/>
      </c>
      <c r="AW9">
        <f>MAX(AW8,IF($B8=36,1,0))</f>
        <v/>
      </c>
      <c r="AX9">
        <f>MAX(AX8,IF($B8=37,1,0))</f>
        <v/>
      </c>
      <c r="AY9">
        <f>MAX(AY8,IF($B8=38,1,0))</f>
        <v/>
      </c>
      <c r="AZ9">
        <f>MAX(AZ8,IF($B8=39,1,0))</f>
        <v/>
      </c>
      <c r="BA9">
        <f>MAX(BA8,IF($B8=40,1,0))</f>
        <v/>
      </c>
      <c r="BB9">
        <f>MAX(BB8,IF($B8=41,1,0))</f>
        <v/>
      </c>
      <c r="BC9">
        <f>MAX(BC8,IF($B8=42,1,0))</f>
        <v/>
      </c>
      <c r="BD9">
        <f>MAX(BD8,IF($B8=43,1,0))</f>
        <v/>
      </c>
      <c r="BE9">
        <f>MAX(BE8,IF($B8=44,1,0))</f>
        <v/>
      </c>
      <c r="BF9">
        <f>MAX(BF8,IF($B8=45,1,0))</f>
        <v/>
      </c>
      <c r="BH9">
        <f>IF(N9=1,1000000,IF('計算A'!$IT$10&gt;0,0,500000)+IF('計算A'!$IQ$10=2,SUMPRODUCT('計算A'!$D$60:$EQ$60,$DB9:$IO9,$IQ9:$OD9),SUMPRODUCT('計算A'!$D$60:$EQ$60,$DB9:$IO9))*1000+1)</f>
        <v/>
      </c>
      <c r="BI9">
        <f>IF(O9=1,1000000,IF('計算A'!$IT$11&gt;0,0,500000)+IF('計算A'!$IQ$11=2,SUMPRODUCT('計算A'!$D$61:$EQ$61,$DB9:$IO9,$IQ9:$OD9),SUMPRODUCT('計算A'!$D$61:$EQ$61,$DB9:$IO9))*1000+2)</f>
        <v/>
      </c>
      <c r="BJ9">
        <f>IF(P9=1,1000000,IF('計算A'!$IT$12&gt;0,0,500000)+IF('計算A'!$IQ$12=2,SUMPRODUCT('計算A'!$D$62:$EQ$62,$DB9:$IO9,$IQ9:$OD9),SUMPRODUCT('計算A'!$D$62:$EQ$62,$DB9:$IO9))*1000+3)</f>
        <v/>
      </c>
      <c r="BK9">
        <f>IF(Q9=1,1000000,IF('計算A'!$IT$13&gt;0,0,500000)+IF('計算A'!$IQ$13=2,SUMPRODUCT('計算A'!$D$63:$EQ$63,$DB9:$IO9,$IQ9:$OD9),SUMPRODUCT('計算A'!$D$63:$EQ$63,$DB9:$IO9))*1000+4)</f>
        <v/>
      </c>
      <c r="BL9">
        <f>IF(R9=1,1000000,IF('計算A'!$IT$14&gt;0,0,500000)+IF('計算A'!$IQ$14=2,SUMPRODUCT('計算A'!$D$64:$EQ$64,$DB9:$IO9,$IQ9:$OD9),SUMPRODUCT('計算A'!$D$64:$EQ$64,$DB9:$IO9))*1000+5)</f>
        <v/>
      </c>
      <c r="BM9">
        <f>IF(S9=1,1000000,IF('計算A'!$IT$15&gt;0,0,500000)+IF('計算A'!$IQ$15=2,SUMPRODUCT('計算A'!$D$65:$EQ$65,$DB9:$IO9,$IQ9:$OD9),SUMPRODUCT('計算A'!$D$65:$EQ$65,$DB9:$IO9))*1000+6)</f>
        <v/>
      </c>
      <c r="BN9">
        <f>IF(T9=1,1000000,IF('計算A'!$IT$16&gt;0,0,500000)+IF('計算A'!$IQ$16=2,SUMPRODUCT('計算A'!$D$66:$EQ$66,$DB9:$IO9,$IQ9:$OD9),SUMPRODUCT('計算A'!$D$66:$EQ$66,$DB9:$IO9))*1000+7)</f>
        <v/>
      </c>
      <c r="BO9">
        <f>IF(U9=1,1000000,IF('計算A'!$IT$17&gt;0,0,500000)+IF('計算A'!$IQ$17=2,SUMPRODUCT('計算A'!$D$67:$EQ$67,$DB9:$IO9,$IQ9:$OD9),SUMPRODUCT('計算A'!$D$67:$EQ$67,$DB9:$IO9))*1000+8)</f>
        <v/>
      </c>
      <c r="BP9">
        <f>IF(V9=1,1000000,IF('計算A'!$IT$18&gt;0,0,500000)+IF('計算A'!$IQ$18=2,SUMPRODUCT('計算A'!$D$68:$EQ$68,$DB9:$IO9,$IQ9:$OD9),SUMPRODUCT('計算A'!$D$68:$EQ$68,$DB9:$IO9))*1000+9)</f>
        <v/>
      </c>
      <c r="BQ9">
        <f>IF(W9=1,1000000,IF('計算A'!$IT$19&gt;0,0,500000)+IF('計算A'!$IQ$19=2,SUMPRODUCT('計算A'!$D$69:$EQ$69,$DB9:$IO9,$IQ9:$OD9),SUMPRODUCT('計算A'!$D$69:$EQ$69,$DB9:$IO9))*1000+10)</f>
        <v/>
      </c>
      <c r="BR9">
        <f>IF(X9=1,1000000,IF('計算A'!$IT$20&gt;0,0,500000)+IF('計算A'!$IQ$20=2,SUMPRODUCT('計算A'!$D$70:$EQ$70,$DB9:$IO9,$IQ9:$OD9),SUMPRODUCT('計算A'!$D$70:$EQ$70,$DB9:$IO9))*1000+11)</f>
        <v/>
      </c>
      <c r="BS9">
        <f>IF(Y9=1,1000000,IF('計算A'!$IT$21&gt;0,0,500000)+IF('計算A'!$IQ$21=2,SUMPRODUCT('計算A'!$D$71:$EQ$71,$DB9:$IO9,$IQ9:$OD9),SUMPRODUCT('計算A'!$D$71:$EQ$71,$DB9:$IO9))*1000+12)</f>
        <v/>
      </c>
      <c r="BT9">
        <f>IF(Z9=1,1000000,IF('計算A'!$IT$22&gt;0,0,500000)+IF('計算A'!$IQ$22=2,SUMPRODUCT('計算A'!$D$72:$EQ$72,$DB9:$IO9,$IQ9:$OD9),SUMPRODUCT('計算A'!$D$72:$EQ$72,$DB9:$IO9))*1000+13)</f>
        <v/>
      </c>
      <c r="BU9">
        <f>IF(AA9=1,1000000,IF('計算A'!$IT$23&gt;0,0,500000)+IF('計算A'!$IQ$23=2,SUMPRODUCT('計算A'!$D$73:$EQ$73,$DB9:$IO9,$IQ9:$OD9),SUMPRODUCT('計算A'!$D$73:$EQ$73,$DB9:$IO9))*1000+14)</f>
        <v/>
      </c>
      <c r="BV9">
        <f>IF(AB9=1,1000000,IF('計算A'!$IT$24&gt;0,0,500000)+IF('計算A'!$IQ$24=2,SUMPRODUCT('計算A'!$D$74:$EQ$74,$DB9:$IO9,$IQ9:$OD9),SUMPRODUCT('計算A'!$D$74:$EQ$74,$DB9:$IO9))*1000+15)</f>
        <v/>
      </c>
      <c r="BW9">
        <f>IF(AC9=1,1000000,IF('計算A'!$IT$25&gt;0,0,500000)+IF('計算A'!$IQ$25=2,SUMPRODUCT('計算A'!$D$75:$EQ$75,$DB9:$IO9,$IQ9:$OD9),SUMPRODUCT('計算A'!$D$75:$EQ$75,$DB9:$IO9))*1000+16)</f>
        <v/>
      </c>
      <c r="BX9">
        <f>IF(AD9=1,1000000,IF('計算A'!$IT$26&gt;0,0,500000)+IF('計算A'!$IQ$26=2,SUMPRODUCT('計算A'!$D$76:$EQ$76,$DB9:$IO9,$IQ9:$OD9),SUMPRODUCT('計算A'!$D$76:$EQ$76,$DB9:$IO9))*1000+17)</f>
        <v/>
      </c>
      <c r="BY9">
        <f>IF(AE9=1,1000000,IF('計算A'!$IT$27&gt;0,0,500000)+IF('計算A'!$IQ$27=2,SUMPRODUCT('計算A'!$D$77:$EQ$77,$DB9:$IO9,$IQ9:$OD9),SUMPRODUCT('計算A'!$D$77:$EQ$77,$DB9:$IO9))*1000+18)</f>
        <v/>
      </c>
      <c r="BZ9">
        <f>IF(AF9=1,1000000,IF('計算A'!$IT$28&gt;0,0,500000)+IF('計算A'!$IQ$28=2,SUMPRODUCT('計算A'!$D$78:$EQ$78,$DB9:$IO9,$IQ9:$OD9),SUMPRODUCT('計算A'!$D$78:$EQ$78,$DB9:$IO9))*1000+19)</f>
        <v/>
      </c>
      <c r="CA9">
        <f>IF(AG9=1,1000000,IF('計算A'!$IT$29&gt;0,0,500000)+IF('計算A'!$IQ$29=2,SUMPRODUCT('計算A'!$D$79:$EQ$79,$DB9:$IO9,$IQ9:$OD9),SUMPRODUCT('計算A'!$D$79:$EQ$79,$DB9:$IO9))*1000+20)</f>
        <v/>
      </c>
      <c r="CB9">
        <f>IF(AH9=1,1000000,IF('計算A'!$IT$30&gt;0,0,500000)+IF('計算A'!$IQ$30=2,SUMPRODUCT('計算A'!$D$80:$EQ$80,$DB9:$IO9,$IQ9:$OD9),SUMPRODUCT('計算A'!$D$80:$EQ$80,$DB9:$IO9))*1000+21)</f>
        <v/>
      </c>
      <c r="CC9">
        <f>IF(AI9=1,1000000,IF('計算A'!$IT$31&gt;0,0,500000)+IF('計算A'!$IQ$31=2,SUMPRODUCT('計算A'!$D$81:$EQ$81,$DB9:$IO9,$IQ9:$OD9),SUMPRODUCT('計算A'!$D$81:$EQ$81,$DB9:$IO9))*1000+22)</f>
        <v/>
      </c>
      <c r="CD9">
        <f>IF(AJ9=1,1000000,IF('計算A'!$IT$32&gt;0,0,500000)+IF('計算A'!$IQ$32=2,SUMPRODUCT('計算A'!$D$82:$EQ$82,$DB9:$IO9,$IQ9:$OD9),SUMPRODUCT('計算A'!$D$82:$EQ$82,$DB9:$IO9))*1000+23)</f>
        <v/>
      </c>
      <c r="CE9">
        <f>IF(AK9=1,1000000,IF('計算A'!$IT$33&gt;0,0,500000)+IF('計算A'!$IQ$33=2,SUMPRODUCT('計算A'!$D$83:$EQ$83,$DB9:$IO9,$IQ9:$OD9),SUMPRODUCT('計算A'!$D$83:$EQ$83,$DB9:$IO9))*1000+24)</f>
        <v/>
      </c>
      <c r="CF9">
        <f>IF(AL9=1,1000000,IF('計算A'!$IT$34&gt;0,0,500000)+IF('計算A'!$IQ$34=2,SUMPRODUCT('計算A'!$D$84:$EQ$84,$DB9:$IO9,$IQ9:$OD9),SUMPRODUCT('計算A'!$D$84:$EQ$84,$DB9:$IO9))*1000+25)</f>
        <v/>
      </c>
      <c r="CG9">
        <f>IF(AM9=1,1000000,IF('計算A'!$IT$35&gt;0,0,500000)+IF('計算A'!$IQ$35=2,SUMPRODUCT('計算A'!$D$85:$EQ$85,$DB9:$IO9,$IQ9:$OD9),SUMPRODUCT('計算A'!$D$85:$EQ$85,$DB9:$IO9))*1000+26)</f>
        <v/>
      </c>
      <c r="CH9">
        <f>IF(AN9=1,1000000,IF('計算A'!$IT$36&gt;0,0,500000)+IF('計算A'!$IQ$36=2,SUMPRODUCT('計算A'!$D$86:$EQ$86,$DB9:$IO9,$IQ9:$OD9),SUMPRODUCT('計算A'!$D$86:$EQ$86,$DB9:$IO9))*1000+27)</f>
        <v/>
      </c>
      <c r="CI9">
        <f>IF(AO9=1,1000000,IF('計算A'!$IT$37&gt;0,0,500000)+IF('計算A'!$IQ$37=2,SUMPRODUCT('計算A'!$D$87:$EQ$87,$DB9:$IO9,$IQ9:$OD9),SUMPRODUCT('計算A'!$D$87:$EQ$87,$DB9:$IO9))*1000+28)</f>
        <v/>
      </c>
      <c r="CJ9">
        <f>IF(AP9=1,1000000,IF('計算A'!$IT$38&gt;0,0,500000)+IF('計算A'!$IQ$38=2,SUMPRODUCT('計算A'!$D$88:$EQ$88,$DB9:$IO9,$IQ9:$OD9),SUMPRODUCT('計算A'!$D$88:$EQ$88,$DB9:$IO9))*1000+29)</f>
        <v/>
      </c>
      <c r="CK9">
        <f>IF(AQ9=1,1000000,IF('計算A'!$IT$39&gt;0,0,500000)+IF('計算A'!$IQ$39=2,SUMPRODUCT('計算A'!$D$89:$EQ$89,$DB9:$IO9,$IQ9:$OD9),SUMPRODUCT('計算A'!$D$89:$EQ$89,$DB9:$IO9))*1000+30)</f>
        <v/>
      </c>
      <c r="CL9">
        <f>IF(AR9=1,1000000,IF('計算A'!$IT$40&gt;0,0,500000)+IF('計算A'!$IQ$40=2,SUMPRODUCT('計算A'!$D$90:$EQ$90,$DB9:$IO9,$IQ9:$OD9),SUMPRODUCT('計算A'!$D$90:$EQ$90,$DB9:$IO9))*1000+31)</f>
        <v/>
      </c>
      <c r="CM9">
        <f>IF(AS9=1,1000000,IF('計算A'!$IT$41&gt;0,0,500000)+IF('計算A'!$IQ$41=2,SUMPRODUCT('計算A'!$D$91:$EQ$91,$DB9:$IO9,$IQ9:$OD9),SUMPRODUCT('計算A'!$D$91:$EQ$91,$DB9:$IO9))*1000+32)</f>
        <v/>
      </c>
      <c r="CN9">
        <f>IF(AT9=1,1000000,IF('計算A'!$IT$42&gt;0,0,500000)+IF('計算A'!$IQ$42=2,SUMPRODUCT('計算A'!$D$92:$EQ$92,$DB9:$IO9,$IQ9:$OD9),SUMPRODUCT('計算A'!$D$92:$EQ$92,$DB9:$IO9))*1000+33)</f>
        <v/>
      </c>
      <c r="CO9">
        <f>IF(AU9=1,1000000,IF('計算A'!$IT$43&gt;0,0,500000)+IF('計算A'!$IQ$43=2,SUMPRODUCT('計算A'!$D$93:$EQ$93,$DB9:$IO9,$IQ9:$OD9),SUMPRODUCT('計算A'!$D$93:$EQ$93,$DB9:$IO9))*1000+34)</f>
        <v/>
      </c>
      <c r="CP9">
        <f>IF(AV9=1,1000000,IF('計算A'!$IT$44&gt;0,0,500000)+IF('計算A'!$IQ$44=2,SUMPRODUCT('計算A'!$D$94:$EQ$94,$DB9:$IO9,$IQ9:$OD9),SUMPRODUCT('計算A'!$D$94:$EQ$94,$DB9:$IO9))*1000+35)</f>
        <v/>
      </c>
      <c r="CQ9">
        <f>IF(AW9=1,1000000,IF('計算A'!$IT$45&gt;0,0,500000)+IF('計算A'!$IQ$45=2,SUMPRODUCT('計算A'!$D$95:$EQ$95,$DB9:$IO9,$IQ9:$OD9),SUMPRODUCT('計算A'!$D$95:$EQ$95,$DB9:$IO9))*1000+36)</f>
        <v/>
      </c>
      <c r="CR9">
        <f>IF(AX9=1,1000000,IF('計算A'!$IT$46&gt;0,0,500000)+IF('計算A'!$IQ$46=2,SUMPRODUCT('計算A'!$D$96:$EQ$96,$DB9:$IO9,$IQ9:$OD9),SUMPRODUCT('計算A'!$D$96:$EQ$96,$DB9:$IO9))*1000+37)</f>
        <v/>
      </c>
      <c r="CS9">
        <f>IF(AY9=1,1000000,IF('計算A'!$IT$47&gt;0,0,500000)+IF('計算A'!$IQ$47=2,SUMPRODUCT('計算A'!$D$97:$EQ$97,$DB9:$IO9,$IQ9:$OD9),SUMPRODUCT('計算A'!$D$97:$EQ$97,$DB9:$IO9))*1000+38)</f>
        <v/>
      </c>
      <c r="CT9">
        <f>IF(AZ9=1,1000000,IF('計算A'!$IT$48&gt;0,0,500000)+IF('計算A'!$IQ$48=2,SUMPRODUCT('計算A'!$D$98:$EQ$98,$DB9:$IO9,$IQ9:$OD9),SUMPRODUCT('計算A'!$D$98:$EQ$98,$DB9:$IO9))*1000+39)</f>
        <v/>
      </c>
      <c r="CU9">
        <f>IF(BA9=1,1000000,IF('計算A'!$IT$49&gt;0,0,500000)+IF('計算A'!$IQ$49=2,SUMPRODUCT('計算A'!$D$99:$EQ$99,$DB9:$IO9,$IQ9:$OD9),SUMPRODUCT('計算A'!$D$99:$EQ$99,$DB9:$IO9))*1000+40)</f>
        <v/>
      </c>
      <c r="CV9">
        <f>IF(BB9=1,1000000,IF('計算A'!$IT$50&gt;0,0,500000)+IF('計算A'!$IQ$50=2,SUMPRODUCT('計算A'!$D$100:$EQ$100,$DB9:$IO9,$IQ9:$OD9),SUMPRODUCT('計算A'!$D$100:$EQ$100,$DB9:$IO9))*1000+41)</f>
        <v/>
      </c>
      <c r="CW9">
        <f>IF(BC9=1,1000000,IF('計算A'!$IT$51&gt;0,0,500000)+IF('計算A'!$IQ$51=2,SUMPRODUCT('計算A'!$D$101:$EQ$101,$DB9:$IO9,$IQ9:$OD9),SUMPRODUCT('計算A'!$D$101:$EQ$101,$DB9:$IO9))*1000+42)</f>
        <v/>
      </c>
      <c r="CX9">
        <f>IF(BD9=1,1000000,IF('計算A'!$IT$52&gt;0,0,500000)+IF('計算A'!$IQ$52=2,SUMPRODUCT('計算A'!$D$102:$EQ$102,$DB9:$IO9,$IQ9:$OD9),SUMPRODUCT('計算A'!$D$102:$EQ$102,$DB9:$IO9))*1000+43)</f>
        <v/>
      </c>
      <c r="CY9">
        <f>IF(BE9=1,1000000,IF('計算A'!$IT$53&gt;0,0,500000)+IF('計算A'!$IQ$53=2,SUMPRODUCT('計算A'!$D$103:$EQ$103,$DB9:$IO9,$IQ9:$OD9),SUMPRODUCT('計算A'!$D$103:$EQ$103,$DB9:$IO9))*1000+44)</f>
        <v/>
      </c>
      <c r="CZ9">
        <f>IF(BF9=1,1000000,IF('計算A'!$IT$54&gt;0,0,500000)+IF('計算A'!$IQ$54=2,SUMPRODUCT('計算A'!$D$104:$EQ$104,$DB9:$IO9,$IQ9:$OD9),SUMPRODUCT('計算A'!$D$104:$EQ$104,$DB9:$IO9))*1000+45)</f>
        <v/>
      </c>
      <c r="DB9">
        <f>DB8*IF(OR($C8=1,$G8=1),0,1)</f>
        <v/>
      </c>
      <c r="DC9">
        <f>DC8*IF(OR($C8=2,$G8=2),0,1)</f>
        <v/>
      </c>
      <c r="DD9">
        <f>DD8*IF(OR($C8=3,$G8=3),0,1)</f>
        <v/>
      </c>
      <c r="DE9">
        <f>DE8*IF(OR($C8=4,$G8=4),0,1)</f>
        <v/>
      </c>
      <c r="DF9">
        <f>DF8*IF(OR($C8=5,$G8=5),0,1)</f>
        <v/>
      </c>
      <c r="DG9">
        <f>DG8*IF(OR($C8=6,$G8=6),0,1)</f>
        <v/>
      </c>
      <c r="DH9">
        <f>DH8*IF(OR($C8=7,$G8=7),0,1)</f>
        <v/>
      </c>
      <c r="DI9">
        <f>DI8*IF(OR($C8=8,$G8=8),0,1)</f>
        <v/>
      </c>
      <c r="DJ9">
        <f>DJ8*IF(OR($C8=9,$G8=9),0,1)</f>
        <v/>
      </c>
      <c r="DK9">
        <f>DK8*IF(OR($C8=10,$G8=10),0,1)</f>
        <v/>
      </c>
      <c r="DL9">
        <f>DL8*IF(OR($C8=11,$G8=11),0,1)</f>
        <v/>
      </c>
      <c r="DM9">
        <f>DM8*IF(OR($C8=12,$G8=12),0,1)</f>
        <v/>
      </c>
      <c r="DN9">
        <f>DN8*IF(OR($C8=13,$G8=13),0,1)</f>
        <v/>
      </c>
      <c r="DO9">
        <f>DO8*IF(OR($C8=14,$G8=14),0,1)</f>
        <v/>
      </c>
      <c r="DP9">
        <f>DP8*IF(OR($C8=15,$G8=15),0,1)</f>
        <v/>
      </c>
      <c r="DQ9">
        <f>DQ8*IF(OR($C8=16,$G8=16),0,1)</f>
        <v/>
      </c>
      <c r="DR9">
        <f>DR8*IF(OR($C8=17,$G8=17),0,1)</f>
        <v/>
      </c>
      <c r="DS9">
        <f>DS8*IF(OR($C8=18,$G8=18),0,1)</f>
        <v/>
      </c>
      <c r="DT9">
        <f>DT8*IF(OR($C8=19,$G8=19),0,1)</f>
        <v/>
      </c>
      <c r="DU9">
        <f>DU8*IF(OR($C8=20,$G8=20),0,1)</f>
        <v/>
      </c>
      <c r="DV9">
        <f>DV8*IF(OR($C8=21,$G8=21),0,1)</f>
        <v/>
      </c>
      <c r="DW9">
        <f>DW8*IF(OR($C8=22,$G8=22),0,1)</f>
        <v/>
      </c>
      <c r="DX9">
        <f>DX8*IF(OR($C8=23,$G8=23),0,1)</f>
        <v/>
      </c>
      <c r="DY9">
        <f>DY8*IF(OR($C8=24,$G8=24),0,1)</f>
        <v/>
      </c>
      <c r="DZ9">
        <f>DZ8*IF(OR($C8=25,$G8=25),0,1)</f>
        <v/>
      </c>
      <c r="EA9">
        <f>EA8*IF(OR($C8=26,$G8=26),0,1)</f>
        <v/>
      </c>
      <c r="EB9">
        <f>EB8*IF(OR($C8=27,$G8=27),0,1)</f>
        <v/>
      </c>
      <c r="EC9">
        <f>EC8*IF(OR($C8=28,$G8=28),0,1)</f>
        <v/>
      </c>
      <c r="ED9">
        <f>ED8*IF(OR($C8=29,$G8=29),0,1)</f>
        <v/>
      </c>
      <c r="EE9">
        <f>EE8*IF(OR($C8=30,$G8=30),0,1)</f>
        <v/>
      </c>
      <c r="EF9">
        <f>EF8*IF(OR($C8=31,$G8=31),0,1)</f>
        <v/>
      </c>
      <c r="EG9">
        <f>EG8*IF(OR($C8=32,$G8=32),0,1)</f>
        <v/>
      </c>
      <c r="EH9">
        <f>EH8*IF(OR($C8=33,$G8=33),0,1)</f>
        <v/>
      </c>
      <c r="EI9">
        <f>EI8*IF(OR($C8=34,$G8=34),0,1)</f>
        <v/>
      </c>
      <c r="EJ9">
        <f>EJ8*IF(OR($C8=35,$G8=35),0,1)</f>
        <v/>
      </c>
      <c r="EK9">
        <f>EK8*IF(OR($C8=36,$G8=36),0,1)</f>
        <v/>
      </c>
      <c r="EL9">
        <f>EL8*IF(OR($C8=37,$G8=37),0,1)</f>
        <v/>
      </c>
      <c r="EM9">
        <f>EM8*IF(OR($C8=38,$G8=38),0,1)</f>
        <v/>
      </c>
      <c r="EN9">
        <f>EN8*IF(OR($C8=39,$G8=39),0,1)</f>
        <v/>
      </c>
      <c r="EO9">
        <f>EO8*IF(OR($C8=40,$G8=40),0,1)</f>
        <v/>
      </c>
      <c r="EP9">
        <f>EP8*IF(OR($C8=41,$G8=41),0,1)</f>
        <v/>
      </c>
      <c r="EQ9">
        <f>EQ8*IF(OR($C8=42,$G8=42),0,1)</f>
        <v/>
      </c>
      <c r="ER9">
        <f>ER8*IF(OR($C8=43,$G8=43),0,1)</f>
        <v/>
      </c>
      <c r="ES9">
        <f>ES8*IF(OR($C8=44,$G8=44),0,1)</f>
        <v/>
      </c>
      <c r="ET9">
        <f>ET8*IF(OR($C8=45,$G8=45),0,1)</f>
        <v/>
      </c>
      <c r="EU9">
        <f>EU8*IF(OR($C8=46,$G8=46),0,1)</f>
        <v/>
      </c>
      <c r="EV9">
        <f>EV8*IF(OR($C8=47,$G8=47),0,1)</f>
        <v/>
      </c>
      <c r="EW9">
        <f>EW8*IF(OR($C8=48,$G8=48),0,1)</f>
        <v/>
      </c>
      <c r="EX9">
        <f>EX8*IF(OR($C8=49,$G8=49),0,1)</f>
        <v/>
      </c>
      <c r="EY9">
        <f>EY8*IF(OR($C8=50,$G8=50),0,1)</f>
        <v/>
      </c>
      <c r="EZ9">
        <f>EZ8*IF(OR($C8=51,$G8=51),0,1)</f>
        <v/>
      </c>
      <c r="FA9">
        <f>FA8*IF(OR($C8=52,$G8=52),0,1)</f>
        <v/>
      </c>
      <c r="FB9">
        <f>FB8*IF(OR($C8=53,$G8=53),0,1)</f>
        <v/>
      </c>
      <c r="FC9">
        <f>FC8*IF(OR($C8=54,$G8=54),0,1)</f>
        <v/>
      </c>
      <c r="FD9">
        <f>FD8*IF(OR($C8=55,$G8=55),0,1)</f>
        <v/>
      </c>
      <c r="FE9">
        <f>FE8*IF(OR($C8=56,$G8=56),0,1)</f>
        <v/>
      </c>
      <c r="FF9">
        <f>FF8*IF(OR($C8=57,$G8=57),0,1)</f>
        <v/>
      </c>
      <c r="FG9">
        <f>FG8*IF(OR($C8=58,$G8=58),0,1)</f>
        <v/>
      </c>
      <c r="FH9">
        <f>FH8*IF(OR($C8=59,$G8=59),0,1)</f>
        <v/>
      </c>
      <c r="FI9">
        <f>FI8*IF(OR($C8=60,$G8=60),0,1)</f>
        <v/>
      </c>
      <c r="FJ9">
        <f>FJ8*IF(OR($C8=61,$G8=61),0,1)</f>
        <v/>
      </c>
      <c r="FK9">
        <f>FK8*IF(OR($C8=62,$G8=62),0,1)</f>
        <v/>
      </c>
      <c r="FL9">
        <f>FL8*IF(OR($C8=63,$G8=63),0,1)</f>
        <v/>
      </c>
      <c r="FM9">
        <f>FM8*IF(OR($C8=64,$G8=64),0,1)</f>
        <v/>
      </c>
      <c r="FN9">
        <f>FN8*IF(OR($C8=65,$G8=65),0,1)</f>
        <v/>
      </c>
      <c r="FO9">
        <f>FO8*IF(OR($C8=66,$G8=66),0,1)</f>
        <v/>
      </c>
      <c r="FP9">
        <f>FP8*IF(OR($C8=67,$G8=67),0,1)</f>
        <v/>
      </c>
      <c r="FQ9">
        <f>FQ8*IF(OR($C8=68,$G8=68),0,1)</f>
        <v/>
      </c>
      <c r="FR9">
        <f>FR8*IF(OR($C8=69,$G8=69),0,1)</f>
        <v/>
      </c>
      <c r="FS9">
        <f>FS8*IF(OR($C8=70,$G8=70),0,1)</f>
        <v/>
      </c>
      <c r="FT9">
        <f>FT8*IF(OR($C8=71,$G8=71),0,1)</f>
        <v/>
      </c>
      <c r="FU9">
        <f>FU8*IF(OR($C8=72,$G8=72),0,1)</f>
        <v/>
      </c>
      <c r="FV9">
        <f>FV8*IF(OR($C8=73,$G8=73),0,1)</f>
        <v/>
      </c>
      <c r="FW9">
        <f>FW8*IF(OR($C8=74,$G8=74),0,1)</f>
        <v/>
      </c>
      <c r="FX9">
        <f>FX8*IF(OR($C8=75,$G8=75),0,1)</f>
        <v/>
      </c>
      <c r="FY9">
        <f>FY8*IF(OR($C8=76,$G8=76),0,1)</f>
        <v/>
      </c>
      <c r="FZ9">
        <f>FZ8*IF(OR($C8=77,$G8=77),0,1)</f>
        <v/>
      </c>
      <c r="GA9">
        <f>GA8*IF(OR($C8=78,$G8=78),0,1)</f>
        <v/>
      </c>
      <c r="GB9">
        <f>GB8*IF(OR($C8=79,$G8=79),0,1)</f>
        <v/>
      </c>
      <c r="GC9">
        <f>GC8*IF(OR($C8=80,$G8=80),0,1)</f>
        <v/>
      </c>
      <c r="GD9">
        <f>GD8*IF(OR($C8=81,$G8=81),0,1)</f>
        <v/>
      </c>
      <c r="GE9">
        <f>GE8*IF(OR($C8=82,$G8=82),0,1)</f>
        <v/>
      </c>
      <c r="GF9">
        <f>GF8*IF(OR($C8=83,$G8=83),0,1)</f>
        <v/>
      </c>
      <c r="GG9">
        <f>GG8*IF(OR($C8=84,$G8=84),0,1)</f>
        <v/>
      </c>
      <c r="GH9">
        <f>GH8*IF(OR($C8=85,$G8=85),0,1)</f>
        <v/>
      </c>
      <c r="GI9">
        <f>GI8*IF(OR($C8=86,$G8=86),0,1)</f>
        <v/>
      </c>
      <c r="GJ9">
        <f>GJ8*IF(OR($C8=87,$G8=87),0,1)</f>
        <v/>
      </c>
      <c r="GK9">
        <f>GK8*IF(OR($C8=88,$G8=88),0,1)</f>
        <v/>
      </c>
      <c r="GL9">
        <f>GL8*IF(OR($C8=89,$G8=89),0,1)</f>
        <v/>
      </c>
      <c r="GM9">
        <f>GM8*IF(OR($C8=90,$G8=90),0,1)</f>
        <v/>
      </c>
      <c r="GN9">
        <f>GN8*IF(OR($C8=91,$G8=91),0,1)</f>
        <v/>
      </c>
      <c r="GO9">
        <f>GO8*IF(OR($C8=92,$G8=92),0,1)</f>
        <v/>
      </c>
      <c r="GP9">
        <f>GP8*IF(OR($C8=93,$G8=93),0,1)</f>
        <v/>
      </c>
      <c r="GQ9">
        <f>GQ8*IF(OR($C8=94,$G8=94),0,1)</f>
        <v/>
      </c>
      <c r="GR9">
        <f>GR8*IF(OR($C8=95,$G8=95),0,1)</f>
        <v/>
      </c>
      <c r="GS9">
        <f>GS8*IF(OR($C8=96,$G8=96),0,1)</f>
        <v/>
      </c>
      <c r="GT9">
        <f>GT8*IF(OR($C8=97,$G8=97),0,1)</f>
        <v/>
      </c>
      <c r="GU9">
        <f>GU8*IF(OR($C8=98,$G8=98),0,1)</f>
        <v/>
      </c>
      <c r="GV9">
        <f>GV8*IF(OR($C8=99,$G8=99),0,1)</f>
        <v/>
      </c>
      <c r="GW9">
        <f>GW8*IF(OR($C8=100,$G8=100),0,1)</f>
        <v/>
      </c>
      <c r="GX9">
        <f>GX8*IF(OR($C8=101,$G8=101),0,1)</f>
        <v/>
      </c>
      <c r="GY9">
        <f>GY8*IF(OR($C8=102,$G8=102),0,1)</f>
        <v/>
      </c>
      <c r="GZ9">
        <f>GZ8*IF(OR($C8=103,$G8=103),0,1)</f>
        <v/>
      </c>
      <c r="HA9">
        <f>HA8*IF(OR($C8=104,$G8=104),0,1)</f>
        <v/>
      </c>
      <c r="HB9">
        <f>HB8*IF(OR($C8=105,$G8=105),0,1)</f>
        <v/>
      </c>
      <c r="HC9">
        <f>HC8*IF(OR($C8=106,$G8=106),0,1)</f>
        <v/>
      </c>
      <c r="HD9">
        <f>HD8*IF(OR($C8=107,$G8=107),0,1)</f>
        <v/>
      </c>
      <c r="HE9">
        <f>HE8*IF(OR($C8=108,$G8=108),0,1)</f>
        <v/>
      </c>
      <c r="HF9">
        <f>HF8*IF(OR($C8=109,$G8=109),0,1)</f>
        <v/>
      </c>
      <c r="HG9">
        <f>HG8*IF(OR($C8=110,$G8=110),0,1)</f>
        <v/>
      </c>
      <c r="HH9">
        <f>HH8*IF(OR($C8=111,$G8=111),0,1)</f>
        <v/>
      </c>
      <c r="HI9">
        <f>HI8*IF(OR($C8=112,$G8=112),0,1)</f>
        <v/>
      </c>
      <c r="HJ9">
        <f>HJ8*IF(OR($C8=113,$G8=113),0,1)</f>
        <v/>
      </c>
      <c r="HK9">
        <f>HK8*IF(OR($C8=114,$G8=114),0,1)</f>
        <v/>
      </c>
      <c r="HL9">
        <f>HL8*IF(OR($C8=115,$G8=115),0,1)</f>
        <v/>
      </c>
      <c r="HM9">
        <f>HM8*IF(OR($C8=116,$G8=116),0,1)</f>
        <v/>
      </c>
      <c r="HN9">
        <f>HN8*IF(OR($C8=117,$G8=117),0,1)</f>
        <v/>
      </c>
      <c r="HO9">
        <f>HO8*IF(OR($C8=118,$G8=118),0,1)</f>
        <v/>
      </c>
      <c r="HP9">
        <f>HP8*IF(OR($C8=119,$G8=119),0,1)</f>
        <v/>
      </c>
      <c r="HQ9">
        <f>HQ8*IF(OR($C8=120,$G8=120),0,1)</f>
        <v/>
      </c>
      <c r="HR9">
        <f>HR8*IF(OR($C8=121,$G8=121),0,1)</f>
        <v/>
      </c>
      <c r="HS9">
        <f>HS8*IF(OR($C8=122,$G8=122),0,1)</f>
        <v/>
      </c>
      <c r="HT9">
        <f>HT8*IF(OR($C8=123,$G8=123),0,1)</f>
        <v/>
      </c>
      <c r="HU9">
        <f>HU8*IF(OR($C8=124,$G8=124),0,1)</f>
        <v/>
      </c>
      <c r="HV9">
        <f>HV8*IF(OR($C8=125,$G8=125),0,1)</f>
        <v/>
      </c>
      <c r="HW9">
        <f>HW8*IF(OR($C8=126,$G8=126),0,1)</f>
        <v/>
      </c>
      <c r="HX9">
        <f>HX8*IF(OR($C8=127,$G8=127),0,1)</f>
        <v/>
      </c>
      <c r="HY9">
        <f>HY8*IF(OR($C8=128,$G8=128),0,1)</f>
        <v/>
      </c>
      <c r="HZ9">
        <f>HZ8*IF(OR($C8=129,$G8=129),0,1)</f>
        <v/>
      </c>
      <c r="IA9">
        <f>IA8*IF(OR($C8=130,$G8=130),0,1)</f>
        <v/>
      </c>
      <c r="IB9">
        <f>IB8*IF(OR($C8=131,$G8=131),0,1)</f>
        <v/>
      </c>
      <c r="IC9">
        <f>IC8*IF(OR($C8=132,$G8=132),0,1)</f>
        <v/>
      </c>
      <c r="ID9">
        <f>ID8*IF(OR($C8=133,$G8=133),0,1)</f>
        <v/>
      </c>
      <c r="IE9">
        <f>IE8*IF(OR($C8=134,$G8=134),0,1)</f>
        <v/>
      </c>
      <c r="IF9">
        <f>IF8*IF(OR($C8=135,$G8=135),0,1)</f>
        <v/>
      </c>
      <c r="IG9">
        <f>IG8*IF(OR($C8=136,$G8=136),0,1)</f>
        <v/>
      </c>
      <c r="IH9">
        <f>IH8*IF(OR($C8=137,$G8=137),0,1)</f>
        <v/>
      </c>
      <c r="II9">
        <f>II8*IF(OR($C8=138,$G8=138),0,1)</f>
        <v/>
      </c>
      <c r="IJ9">
        <f>IJ8*IF(OR($C8=139,$G8=139),0,1)</f>
        <v/>
      </c>
      <c r="IK9">
        <f>IK8*IF(OR($C8=140,$G8=140),0,1)</f>
        <v/>
      </c>
      <c r="IL9">
        <f>IL8*IF(OR($C8=141,$G8=141),0,1)</f>
        <v/>
      </c>
      <c r="IM9">
        <f>IM8*IF(OR($C8=142,$G8=142),0,1)</f>
        <v/>
      </c>
      <c r="IN9">
        <f>IN8*IF(OR($C8=143,$G8=143),0,1)</f>
        <v/>
      </c>
      <c r="IO9">
        <f>IO8*IF(OR($C8=144,$G8=144),0,1)</f>
        <v/>
      </c>
      <c r="IQ9">
        <f>IF('計算A'!D$106=1,DC9,1)</f>
        <v/>
      </c>
      <c r="IR9">
        <f>IF('計算A'!E$106=1,DD9,1)</f>
        <v/>
      </c>
      <c r="IS9">
        <f>IF('計算A'!F$106=1,DE9,1)</f>
        <v/>
      </c>
      <c r="IT9">
        <f>IF('計算A'!G$106=1,DF9,1)</f>
        <v/>
      </c>
      <c r="IU9">
        <f>IF('計算A'!H$106=1,DG9,1)</f>
        <v/>
      </c>
      <c r="IV9">
        <f>IF('計算A'!I$106=1,DH9,1)</f>
        <v/>
      </c>
      <c r="IW9">
        <f>IF('計算A'!J$106=1,DI9,1)</f>
        <v/>
      </c>
      <c r="IX9">
        <f>IF('計算A'!K$106=1,DJ9,1)</f>
        <v/>
      </c>
      <c r="IY9">
        <f>IF('計算A'!L$106=1,DK9,1)</f>
        <v/>
      </c>
      <c r="IZ9">
        <f>IF('計算A'!M$106=1,DL9,1)</f>
        <v/>
      </c>
      <c r="JA9">
        <f>IF('計算A'!N$106=1,DM9,1)</f>
        <v/>
      </c>
      <c r="JB9">
        <f>IF('計算A'!O$106=1,DN9,1)</f>
        <v/>
      </c>
      <c r="JC9">
        <f>IF('計算A'!P$106=1,DO9,1)</f>
        <v/>
      </c>
      <c r="JD9">
        <f>IF('計算A'!Q$106=1,DP9,1)</f>
        <v/>
      </c>
      <c r="JE9">
        <f>IF('計算A'!R$106=1,DQ9,1)</f>
        <v/>
      </c>
      <c r="JF9">
        <f>IF('計算A'!S$106=1,DR9,1)</f>
        <v/>
      </c>
      <c r="JG9">
        <f>IF('計算A'!T$106=1,DS9,1)</f>
        <v/>
      </c>
      <c r="JH9">
        <f>IF('計算A'!U$106=1,DT9,1)</f>
        <v/>
      </c>
      <c r="JI9">
        <f>IF('計算A'!V$106=1,DU9,1)</f>
        <v/>
      </c>
      <c r="JJ9">
        <f>IF('計算A'!W$106=1,DV9,1)</f>
        <v/>
      </c>
      <c r="JK9">
        <f>IF('計算A'!X$106=1,DW9,1)</f>
        <v/>
      </c>
      <c r="JL9">
        <f>IF('計算A'!Y$106=1,DX9,1)</f>
        <v/>
      </c>
      <c r="JM9">
        <f>IF('計算A'!Z$106=1,DY9,1)</f>
        <v/>
      </c>
      <c r="JN9">
        <f>IF('計算A'!AA$106=1,DZ9,1)</f>
        <v/>
      </c>
      <c r="JO9">
        <f>IF('計算A'!AB$106=1,EA9,1)</f>
        <v/>
      </c>
      <c r="JP9">
        <f>IF('計算A'!AC$106=1,EB9,1)</f>
        <v/>
      </c>
      <c r="JQ9">
        <f>IF('計算A'!AD$106=1,EC9,1)</f>
        <v/>
      </c>
      <c r="JR9">
        <f>IF('計算A'!AE$106=1,ED9,1)</f>
        <v/>
      </c>
      <c r="JS9">
        <f>IF('計算A'!AF$106=1,EE9,1)</f>
        <v/>
      </c>
      <c r="JT9">
        <f>IF('計算A'!AG$106=1,EF9,1)</f>
        <v/>
      </c>
      <c r="JU9">
        <f>IF('計算A'!AH$106=1,EG9,1)</f>
        <v/>
      </c>
      <c r="JV9">
        <f>IF('計算A'!AI$106=1,EH9,1)</f>
        <v/>
      </c>
      <c r="JW9">
        <f>IF('計算A'!AJ$106=1,EI9,1)</f>
        <v/>
      </c>
      <c r="JX9">
        <f>IF('計算A'!AK$106=1,EJ9,1)</f>
        <v/>
      </c>
      <c r="JY9">
        <f>IF('計算A'!AL$106=1,EK9,1)</f>
        <v/>
      </c>
      <c r="JZ9">
        <f>IF('計算A'!AM$106=1,EL9,1)</f>
        <v/>
      </c>
      <c r="KA9">
        <f>IF('計算A'!AN$106=1,EM9,1)</f>
        <v/>
      </c>
      <c r="KB9">
        <f>IF('計算A'!AO$106=1,EN9,1)</f>
        <v/>
      </c>
      <c r="KC9">
        <f>IF('計算A'!AP$106=1,EO9,1)</f>
        <v/>
      </c>
      <c r="KD9">
        <f>IF('計算A'!AQ$106=1,EP9,1)</f>
        <v/>
      </c>
      <c r="KE9">
        <f>IF('計算A'!AR$106=1,EQ9,1)</f>
        <v/>
      </c>
      <c r="KF9">
        <f>IF('計算A'!AS$106=1,ER9,1)</f>
        <v/>
      </c>
      <c r="KG9">
        <f>IF('計算A'!AT$106=1,ES9,1)</f>
        <v/>
      </c>
      <c r="KH9">
        <f>IF('計算A'!AU$106=1,ET9,1)</f>
        <v/>
      </c>
      <c r="KI9">
        <f>IF('計算A'!AV$106=1,EU9,1)</f>
        <v/>
      </c>
      <c r="KJ9">
        <f>IF('計算A'!AW$106=1,EV9,1)</f>
        <v/>
      </c>
      <c r="KK9">
        <f>IF('計算A'!AX$106=1,EW9,1)</f>
        <v/>
      </c>
      <c r="KL9">
        <f>IF('計算A'!AY$106=1,EX9,1)</f>
        <v/>
      </c>
      <c r="KM9">
        <f>IF('計算A'!AZ$106=1,EY9,1)</f>
        <v/>
      </c>
      <c r="KN9">
        <f>IF('計算A'!BA$106=1,EZ9,1)</f>
        <v/>
      </c>
      <c r="KO9">
        <f>IF('計算A'!BB$106=1,FA9,1)</f>
        <v/>
      </c>
      <c r="KP9">
        <f>IF('計算A'!BC$106=1,FB9,1)</f>
        <v/>
      </c>
      <c r="KQ9">
        <f>IF('計算A'!BD$106=1,FC9,1)</f>
        <v/>
      </c>
      <c r="KR9">
        <f>IF('計算A'!BE$106=1,FD9,1)</f>
        <v/>
      </c>
      <c r="KS9">
        <f>IF('計算A'!BF$106=1,FE9,1)</f>
        <v/>
      </c>
      <c r="KT9">
        <f>IF('計算A'!BG$106=1,FF9,1)</f>
        <v/>
      </c>
      <c r="KU9">
        <f>IF('計算A'!BH$106=1,FG9,1)</f>
        <v/>
      </c>
      <c r="KV9">
        <f>IF('計算A'!BI$106=1,FH9,1)</f>
        <v/>
      </c>
      <c r="KW9">
        <f>IF('計算A'!BJ$106=1,FI9,1)</f>
        <v/>
      </c>
      <c r="KX9">
        <f>IF('計算A'!BK$106=1,FJ9,1)</f>
        <v/>
      </c>
      <c r="KY9">
        <f>IF('計算A'!BL$106=1,FK9,1)</f>
        <v/>
      </c>
      <c r="KZ9">
        <f>IF('計算A'!BM$106=1,FL9,1)</f>
        <v/>
      </c>
      <c r="LA9">
        <f>IF('計算A'!BN$106=1,FM9,1)</f>
        <v/>
      </c>
      <c r="LB9">
        <f>IF('計算A'!BO$106=1,FN9,1)</f>
        <v/>
      </c>
      <c r="LC9">
        <f>IF('計算A'!BP$106=1,FO9,1)</f>
        <v/>
      </c>
      <c r="LD9">
        <f>IF('計算A'!BQ$106=1,FP9,1)</f>
        <v/>
      </c>
      <c r="LE9">
        <f>IF('計算A'!BR$106=1,FQ9,1)</f>
        <v/>
      </c>
      <c r="LF9">
        <f>IF('計算A'!BS$106=1,FR9,1)</f>
        <v/>
      </c>
      <c r="LG9">
        <f>IF('計算A'!BT$106=1,FS9,1)</f>
        <v/>
      </c>
      <c r="LH9">
        <f>IF('計算A'!BU$106=1,FT9,1)</f>
        <v/>
      </c>
      <c r="LI9">
        <f>IF('計算A'!BV$106=1,FU9,1)</f>
        <v/>
      </c>
      <c r="LJ9">
        <f>IF('計算A'!BW$106=1,FV9,1)</f>
        <v/>
      </c>
      <c r="LK9">
        <f>IF('計算A'!BX$106=1,FW9,1)</f>
        <v/>
      </c>
      <c r="LL9">
        <f>IF('計算A'!BY$106=1,FX9,1)</f>
        <v/>
      </c>
      <c r="LM9">
        <f>IF('計算A'!BZ$106=1,FY9,1)</f>
        <v/>
      </c>
      <c r="LN9">
        <f>IF('計算A'!CA$106=1,FZ9,1)</f>
        <v/>
      </c>
      <c r="LO9">
        <f>IF('計算A'!CB$106=1,GA9,1)</f>
        <v/>
      </c>
      <c r="LP9">
        <f>IF('計算A'!CC$106=1,GB9,1)</f>
        <v/>
      </c>
      <c r="LQ9">
        <f>IF('計算A'!CD$106=1,GC9,1)</f>
        <v/>
      </c>
      <c r="LR9">
        <f>IF('計算A'!CE$106=1,GD9,1)</f>
        <v/>
      </c>
      <c r="LS9">
        <f>IF('計算A'!CF$106=1,GE9,1)</f>
        <v/>
      </c>
      <c r="LT9">
        <f>IF('計算A'!CG$106=1,GF9,1)</f>
        <v/>
      </c>
      <c r="LU9">
        <f>IF('計算A'!CH$106=1,GG9,1)</f>
        <v/>
      </c>
      <c r="LV9">
        <f>IF('計算A'!CI$106=1,GH9,1)</f>
        <v/>
      </c>
      <c r="LW9">
        <f>IF('計算A'!CJ$106=1,GI9,1)</f>
        <v/>
      </c>
      <c r="LX9">
        <f>IF('計算A'!CK$106=1,GJ9,1)</f>
        <v/>
      </c>
      <c r="LY9">
        <f>IF('計算A'!CL$106=1,GK9,1)</f>
        <v/>
      </c>
      <c r="LZ9">
        <f>IF('計算A'!CM$106=1,GL9,1)</f>
        <v/>
      </c>
      <c r="MA9">
        <f>IF('計算A'!CN$106=1,GM9,1)</f>
        <v/>
      </c>
      <c r="MB9">
        <f>IF('計算A'!CO$106=1,GN9,1)</f>
        <v/>
      </c>
      <c r="MC9">
        <f>IF('計算A'!CP$106=1,GO9,1)</f>
        <v/>
      </c>
      <c r="MD9">
        <f>IF('計算A'!CQ$106=1,GP9,1)</f>
        <v/>
      </c>
      <c r="ME9">
        <f>IF('計算A'!CR$106=1,GQ9,1)</f>
        <v/>
      </c>
      <c r="MF9">
        <f>IF('計算A'!CS$106=1,GR9,1)</f>
        <v/>
      </c>
      <c r="MG9">
        <f>IF('計算A'!CT$106=1,GS9,1)</f>
        <v/>
      </c>
      <c r="MH9">
        <f>IF('計算A'!CU$106=1,GT9,1)</f>
        <v/>
      </c>
      <c r="MI9">
        <f>IF('計算A'!CV$106=1,GU9,1)</f>
        <v/>
      </c>
      <c r="MJ9">
        <f>IF('計算A'!CW$106=1,GV9,1)</f>
        <v/>
      </c>
      <c r="MK9">
        <f>IF('計算A'!CX$106=1,GW9,1)</f>
        <v/>
      </c>
      <c r="ML9">
        <f>IF('計算A'!CY$106=1,GX9,1)</f>
        <v/>
      </c>
      <c r="MM9">
        <f>IF('計算A'!CZ$106=1,GY9,1)</f>
        <v/>
      </c>
      <c r="MN9">
        <f>IF('計算A'!DA$106=1,GZ9,1)</f>
        <v/>
      </c>
      <c r="MO9">
        <f>IF('計算A'!DB$106=1,HA9,1)</f>
        <v/>
      </c>
      <c r="MP9">
        <f>IF('計算A'!DC$106=1,HB9,1)</f>
        <v/>
      </c>
      <c r="MQ9">
        <f>IF('計算A'!DD$106=1,HC9,1)</f>
        <v/>
      </c>
      <c r="MR9">
        <f>IF('計算A'!DE$106=1,HD9,1)</f>
        <v/>
      </c>
      <c r="MS9">
        <f>IF('計算A'!DF$106=1,HE9,1)</f>
        <v/>
      </c>
      <c r="MT9">
        <f>IF('計算A'!DG$106=1,HF9,1)</f>
        <v/>
      </c>
      <c r="MU9">
        <f>IF('計算A'!DH$106=1,HG9,1)</f>
        <v/>
      </c>
      <c r="MV9">
        <f>IF('計算A'!DI$106=1,HH9,1)</f>
        <v/>
      </c>
      <c r="MW9">
        <f>IF('計算A'!DJ$106=1,HI9,1)</f>
        <v/>
      </c>
      <c r="MX9">
        <f>IF('計算A'!DK$106=1,HJ9,1)</f>
        <v/>
      </c>
      <c r="MY9">
        <f>IF('計算A'!DL$106=1,HK9,1)</f>
        <v/>
      </c>
      <c r="MZ9">
        <f>IF('計算A'!DM$106=1,HL9,1)</f>
        <v/>
      </c>
      <c r="NA9">
        <f>IF('計算A'!DN$106=1,HM9,1)</f>
        <v/>
      </c>
      <c r="NB9">
        <f>IF('計算A'!DO$106=1,HN9,1)</f>
        <v/>
      </c>
      <c r="NC9">
        <f>IF('計算A'!DP$106=1,HO9,1)</f>
        <v/>
      </c>
      <c r="ND9">
        <f>IF('計算A'!DQ$106=1,HP9,1)</f>
        <v/>
      </c>
      <c r="NE9">
        <f>IF('計算A'!DR$106=1,HQ9,1)</f>
        <v/>
      </c>
      <c r="NF9">
        <f>IF('計算A'!DS$106=1,HR9,1)</f>
        <v/>
      </c>
      <c r="NG9">
        <f>IF('計算A'!DT$106=1,HS9,1)</f>
        <v/>
      </c>
      <c r="NH9">
        <f>IF('計算A'!DU$106=1,HT9,1)</f>
        <v/>
      </c>
      <c r="NI9">
        <f>IF('計算A'!DV$106=1,HU9,1)</f>
        <v/>
      </c>
      <c r="NJ9">
        <f>IF('計算A'!DW$106=1,HV9,1)</f>
        <v/>
      </c>
      <c r="NK9">
        <f>IF('計算A'!DX$106=1,HW9,1)</f>
        <v/>
      </c>
      <c r="NL9">
        <f>IF('計算A'!DY$106=1,HX9,1)</f>
        <v/>
      </c>
      <c r="NM9">
        <f>IF('計算A'!DZ$106=1,HY9,1)</f>
        <v/>
      </c>
      <c r="NN9">
        <f>IF('計算A'!EA$106=1,HZ9,1)</f>
        <v/>
      </c>
      <c r="NO9">
        <f>IF('計算A'!EB$106=1,IA9,1)</f>
        <v/>
      </c>
      <c r="NP9">
        <f>IF('計算A'!EC$106=1,IB9,1)</f>
        <v/>
      </c>
      <c r="NQ9">
        <f>IF('計算A'!ED$106=1,IC9,1)</f>
        <v/>
      </c>
      <c r="NR9">
        <f>IF('計算A'!EE$106=1,ID9,1)</f>
        <v/>
      </c>
      <c r="NS9">
        <f>IF('計算A'!EF$106=1,IE9,1)</f>
        <v/>
      </c>
      <c r="NT9">
        <f>IF('計算A'!EG$106=1,IF9,1)</f>
        <v/>
      </c>
      <c r="NU9">
        <f>IF('計算A'!EH$106=1,IG9,1)</f>
        <v/>
      </c>
      <c r="NV9">
        <f>IF('計算A'!EI$106=1,IH9,1)</f>
        <v/>
      </c>
      <c r="NW9">
        <f>IF('計算A'!EJ$106=1,II9,1)</f>
        <v/>
      </c>
      <c r="NX9">
        <f>IF('計算A'!EK$106=1,IJ9,1)</f>
        <v/>
      </c>
      <c r="NY9">
        <f>IF('計算A'!EL$106=1,IK9,1)</f>
        <v/>
      </c>
      <c r="NZ9">
        <f>IF('計算A'!EM$106=1,IL9,1)</f>
        <v/>
      </c>
      <c r="OA9">
        <f>IF('計算A'!EN$106=1,IM9,1)</f>
        <v/>
      </c>
      <c r="OB9">
        <f>IF('計算A'!EO$106=1,IN9,1)</f>
        <v/>
      </c>
      <c r="OC9">
        <f>IF('計算A'!EP$106=1,IO9,1)</f>
        <v/>
      </c>
      <c r="OD9" t="n">
        <v>1</v>
      </c>
      <c r="OF9">
        <f>IF($B9=0,1000000,IF(INDEX('計算A'!$D$60:$EQ$104,$B9,1)*DB9=1,IF(AND($E9=2,IQ9=0),1000000,IF($I9&gt;0,IF(1=$J9,IF(OR(AND(1=$I9+1,OR($K9&lt;&gt;'計算A'!$A$3,'計算A'!$A$4=0)),AND(1=$I9-1,OR(1&lt;&gt;'計算A'!$A$3,'計算A'!$A$4=0))),0,IF(1=$K9,200000,ABS(1-$K9)*100)),100000+ABS(1-$J9)*1000+10)+'計算A'!D$5*50+IF(AND($E9=1,IQ9=0),25,0),INDEX('計算A'!D$110:D$114,$F9+1)+IF(AND($E9=1,IQ9=0),1000,0)+IF($H9=1,(IF('計算A'!D$117=1,INDEX('計算A'!E$10:E$54,$B9),0))*500,0)-IF(AND($L9=1,'計算A'!D$117=1,DC9=0),300,0))),1000000))</f>
        <v/>
      </c>
      <c r="OG9">
        <f>IF($B9=0,1000000,IF(INDEX('計算A'!$D$60:$EQ$104,$B9,2)*DC9=1,IF(AND($E9=2,IR9=0),1000000,IF($I9&gt;0,IF(1=$J9,IF(OR(AND(2=$I9+1,OR($K9&lt;&gt;'計算A'!$A$3,'計算A'!$A$4=0)),AND(2=$I9-1,OR(2&lt;&gt;'計算A'!$A$3,'計算A'!$A$4=0))),0,IF(2=$K9,200000,ABS(2-$K9)*100)),100000+ABS(1-$J9)*1000+20)+'計算A'!E$5*50+IF(AND($E9=1,IR9=0),25,0),INDEX('計算A'!E$110:E$114,$F9+1)+IF(AND($E9=1,IR9=0),1000,0)+IF($H9=1,(IF('計算A'!D$117=1,INDEX('計算A'!D$10:D$54,$B9),0)+IF('計算A'!E$117=1,INDEX('計算A'!F$10:F$54,$B9),0))*500,0)-IF(AND('計算A'!D$117=1,UB9&gt;0),300,0)-IF(AND($L9=1,'計算A'!E$117=1,DD9=0),300,0))),1000000))</f>
        <v/>
      </c>
      <c r="OH9">
        <f>IF($B9=0,1000000,IF(INDEX('計算A'!$D$60:$EQ$104,$B9,3)*DD9=1,IF(AND($E9=2,IS9=0),1000000,IF($I9&gt;0,IF(1=$J9,IF(OR(AND(3=$I9+1,OR($K9&lt;&gt;'計算A'!$A$3,'計算A'!$A$4=0)),AND(3=$I9-1,OR(3&lt;&gt;'計算A'!$A$3,'計算A'!$A$4=0))),0,IF(3=$K9,200000,ABS(3-$K9)*100)),100000+ABS(1-$J9)*1000+30)+'計算A'!F$5*50+IF(AND($E9=1,IS9=0),25,0),INDEX('計算A'!F$110:F$114,$F9+1)+IF(AND($E9=1,IS9=0),1000,0)+IF($H9=1,(IF('計算A'!E$117=1,INDEX('計算A'!E$10:E$54,$B9),0)+IF('計算A'!F$117=1,INDEX('計算A'!G$10:G$54,$B9),0))*500,0)-IF(AND('計算A'!E$117=1,UC9&gt;0),300,0)-IF(AND($L9=1,'計算A'!F$117=1,DE9=0),300,0))),1000000))</f>
        <v/>
      </c>
      <c r="OI9">
        <f>IF($B9=0,1000000,IF(INDEX('計算A'!$D$60:$EQ$104,$B9,4)*DE9=1,IF(AND($E9=2,IT9=0),1000000,IF($I9&gt;0,IF(1=$J9,IF(OR(AND(4=$I9+1,OR($K9&lt;&gt;'計算A'!$A$3,'計算A'!$A$4=0)),AND(4=$I9-1,OR(4&lt;&gt;'計算A'!$A$3,'計算A'!$A$4=0))),0,IF(4=$K9,200000,ABS(4-$K9)*100)),100000+ABS(1-$J9)*1000+40)+'計算A'!G$5*50+IF(AND($E9=1,IT9=0),25,0),INDEX('計算A'!G$110:G$114,$F9+1)+IF(AND($E9=1,IT9=0),1000,0)+IF($H9=1,(IF('計算A'!F$117=1,INDEX('計算A'!F$10:F$54,$B9),0)+IF('計算A'!G$117=1,INDEX('計算A'!H$10:H$54,$B9),0))*500,0)-IF(AND('計算A'!F$117=1,UD9&gt;0),300,0)-IF(AND($L9=1,'計算A'!G$117=1,DF9=0),300,0))),1000000))</f>
        <v/>
      </c>
      <c r="OJ9">
        <f>IF($B9=0,1000000,IF(INDEX('計算A'!$D$60:$EQ$104,$B9,5)*DF9=1,IF(AND($E9=2,IU9=0),1000000,IF($I9&gt;0,IF(1=$J9,IF(OR(AND(5=$I9+1,OR($K9&lt;&gt;'計算A'!$A$3,'計算A'!$A$4=0)),AND(5=$I9-1,OR(5&lt;&gt;'計算A'!$A$3,'計算A'!$A$4=0))),0,IF(5=$K9,200000,ABS(5-$K9)*100)),100000+ABS(1-$J9)*1000+50)+'計算A'!H$5*50+IF(AND($E9=1,IU9=0),25,0),INDEX('計算A'!H$110:H$114,$F9+1)+IF(AND($E9=1,IU9=0),1000,0)+IF($H9=1,(IF('計算A'!G$117=1,INDEX('計算A'!G$10:G$54,$B9),0)+IF('計算A'!H$117=1,INDEX('計算A'!I$10:I$54,$B9),0))*500,0)-IF(AND('計算A'!G$117=1,UE9&gt;0),300,0)-IF(AND($L9=1,'計算A'!H$117=1,DG9=0),300,0))),1000000))</f>
        <v/>
      </c>
      <c r="OK9">
        <f>IF($B9=0,1000000,IF(INDEX('計算A'!$D$60:$EQ$104,$B9,6)*DG9=1,IF(AND($E9=2,IV9=0),1000000,IF($I9&gt;0,IF(1=$J9,IF(OR(AND(6=$I9+1,OR($K9&lt;&gt;'計算A'!$A$3,'計算A'!$A$4=0)),AND(6=$I9-1,OR(6&lt;&gt;'計算A'!$A$3,'計算A'!$A$4=0))),0,IF(6=$K9,200000,ABS(6-$K9)*100)),100000+ABS(1-$J9)*1000+60)+'計算A'!I$5*50+IF(AND($E9=1,IV9=0),25,0),INDEX('計算A'!I$110:I$114,$F9+1)+IF(AND($E9=1,IV9=0),1000,0)+IF($H9=1,(IF('計算A'!H$117=1,INDEX('計算A'!H$10:H$54,$B9),0)+IF('計算A'!I$117=1,INDEX('計算A'!J$10:J$54,$B9),0))*500,0)-IF(AND('計算A'!H$117=1,UF9&gt;0),300,0)-IF(AND($L9=1,'計算A'!I$117=1,DH9=0),300,0))),1000000))</f>
        <v/>
      </c>
      <c r="OL9">
        <f>IF($B9=0,1000000,IF(INDEX('計算A'!$D$60:$EQ$104,$B9,7)*DH9=1,IF(AND($E9=2,IW9=0),1000000,IF($I9&gt;0,IF(1=$J9,IF(OR(AND(7=$I9+1,OR($K9&lt;&gt;'計算A'!$A$3,'計算A'!$A$4=0)),AND(7=$I9-1,OR(7&lt;&gt;'計算A'!$A$3,'計算A'!$A$4=0))),0,IF(7=$K9,200000,ABS(7-$K9)*100)),100000+ABS(1-$J9)*1000+70)+'計算A'!J$5*50+IF(AND($E9=1,IW9=0),25,0),INDEX('計算A'!J$110:J$114,$F9+1)+IF(AND($E9=1,IW9=0),1000,0)+IF($H9=1,(IF('計算A'!I$117=1,INDEX('計算A'!I$10:I$54,$B9),0)+IF('計算A'!J$117=1,INDEX('計算A'!K$10:K$54,$B9),0))*500,0)-IF(AND('計算A'!I$117=1,UG9&gt;0),300,0)-IF(AND($L9=1,'計算A'!J$117=1,DI9=0),300,0))),1000000))</f>
        <v/>
      </c>
      <c r="OM9">
        <f>IF($B9=0,1000000,IF(INDEX('計算A'!$D$60:$EQ$104,$B9,8)*DI9=1,IF(AND($E9=2,IX9=0),1000000,IF($I9&gt;0,IF(1=$J9,IF(OR(AND(8=$I9+1,OR($K9&lt;&gt;'計算A'!$A$3,'計算A'!$A$4=0)),AND(8=$I9-1,OR(8&lt;&gt;'計算A'!$A$3,'計算A'!$A$4=0))),0,IF(8=$K9,200000,ABS(8-$K9)*100)),100000+ABS(1-$J9)*1000+80)+'計算A'!K$5*50+IF(AND($E9=1,IX9=0),25,0),INDEX('計算A'!K$110:K$114,$F9+1)+IF(AND($E9=1,IX9=0),1000,0)+IF($H9=1,(IF('計算A'!J$117=1,INDEX('計算A'!J$10:J$54,$B9),0)+IF('計算A'!K$117=1,INDEX('計算A'!L$10:L$54,$B9),0))*500,0)-IF(AND('計算A'!J$117=1,UH9&gt;0),300,0)-IF(AND($L9=1,'計算A'!K$117=1,DJ9=0),300,0))),1000000))</f>
        <v/>
      </c>
      <c r="ON9">
        <f>IF($B9=0,1000000,IF(INDEX('計算A'!$D$60:$EQ$104,$B9,9)*DJ9=1,IF(AND($E9=2,IY9=0),1000000,IF($I9&gt;0,IF(1=$J9,IF(OR(AND(9=$I9+1,OR($K9&lt;&gt;'計算A'!$A$3,'計算A'!$A$4=0)),AND(9=$I9-1,OR(9&lt;&gt;'計算A'!$A$3,'計算A'!$A$4=0))),0,IF(9=$K9,200000,ABS(9-$K9)*100)),100000+ABS(1-$J9)*1000+90)+'計算A'!L$5*50+IF(AND($E9=1,IY9=0),25,0),INDEX('計算A'!L$110:L$114,$F9+1)+IF(AND($E9=1,IY9=0),1000,0)+IF($H9=1,(IF('計算A'!K$117=1,INDEX('計算A'!K$10:K$54,$B9),0)+IF('計算A'!L$117=1,INDEX('計算A'!M$10:M$54,$B9),0))*500,0)-IF(AND('計算A'!K$117=1,UI9&gt;0),300,0)-IF(AND($L9=1,'計算A'!L$117=1,DK9=0),300,0))),1000000))</f>
        <v/>
      </c>
      <c r="OO9">
        <f>IF($B9=0,1000000,IF(INDEX('計算A'!$D$60:$EQ$104,$B9,10)*DK9=1,IF(AND($E9=2,IZ9=0),1000000,IF($I9&gt;0,IF(1=$J9,IF(OR(AND(10=$I9+1,OR($K9&lt;&gt;'計算A'!$A$3,'計算A'!$A$4=0)),AND(10=$I9-1,OR(10&lt;&gt;'計算A'!$A$3,'計算A'!$A$4=0))),0,IF(10=$K9,200000,ABS(10-$K9)*100)),100000+ABS(1-$J9)*1000+100)+'計算A'!M$5*50+IF(AND($E9=1,IZ9=0),25,0),INDEX('計算A'!M$110:M$114,$F9+1)+IF(AND($E9=1,IZ9=0),1000,0)+IF($H9=1,(IF('計算A'!L$117=1,INDEX('計算A'!L$10:L$54,$B9),0)+IF('計算A'!M$117=1,INDEX('計算A'!N$10:N$54,$B9),0))*500,0)-IF(AND('計算A'!L$117=1,UJ9&gt;0),300,0)-IF(AND($L9=1,'計算A'!M$117=1,DL9=0),300,0))),1000000))</f>
        <v/>
      </c>
      <c r="OP9">
        <f>IF($B9=0,1000000,IF(INDEX('計算A'!$D$60:$EQ$104,$B9,11)*DL9=1,IF(AND($E9=2,JA9=0),1000000,IF($I9&gt;0,IF(1=$J9,IF(OR(AND(11=$I9+1,OR($K9&lt;&gt;'計算A'!$A$3,'計算A'!$A$4=0)),AND(11=$I9-1,OR(11&lt;&gt;'計算A'!$A$3,'計算A'!$A$4=0))),0,IF(11=$K9,200000,ABS(11-$K9)*100)),100000+ABS(1-$J9)*1000+110)+'計算A'!N$5*50+IF(AND($E9=1,JA9=0),25,0),INDEX('計算A'!N$110:N$114,$F9+1)+IF(AND($E9=1,JA9=0),1000,0)+IF($H9=1,(IF('計算A'!M$117=1,INDEX('計算A'!M$10:M$54,$B9),0)+IF('計算A'!N$117=1,INDEX('計算A'!O$10:O$54,$B9),0))*500,0)-IF(AND('計算A'!M$117=1,UK9&gt;0),300,0)-IF(AND($L9=1,'計算A'!N$117=1,DM9=0),300,0))),1000000))</f>
        <v/>
      </c>
      <c r="OQ9">
        <f>IF($B9=0,1000000,IF(INDEX('計算A'!$D$60:$EQ$104,$B9,12)*DM9=1,IF(AND($E9=2,JB9=0),1000000,IF($I9&gt;0,IF(1=$J9,IF(OR(AND(12=$I9+1,OR($K9&lt;&gt;'計算A'!$A$3,'計算A'!$A$4=0)),AND(12=$I9-1,OR(12&lt;&gt;'計算A'!$A$3,'計算A'!$A$4=0))),0,IF(12=$K9,200000,ABS(12-$K9)*100)),100000+ABS(1-$J9)*1000+120)+'計算A'!O$5*50+IF(AND($E9=1,JB9=0),25,0),INDEX('計算A'!O$110:O$114,$F9+1)+IF(AND($E9=1,JB9=0),1000,0)+IF($H9=1,(IF('計算A'!N$117=1,INDEX('計算A'!N$10:N$54,$B9),0)+IF('計算A'!O$117=1,INDEX('計算A'!P$10:P$54,$B9),0))*500,0)-IF(AND('計算A'!N$117=1,UL9&gt;0),300,0)-IF(AND($L9=1,'計算A'!O$117=1,DN9=0),300,0))),1000000))</f>
        <v/>
      </c>
      <c r="OR9">
        <f>IF($B9=0,1000000,IF(INDEX('計算A'!$D$60:$EQ$104,$B9,13)*DN9=1,IF(AND($E9=2,JC9=0),1000000,IF($I9&gt;0,IF(1=$J9,IF(OR(AND(13=$I9+1,OR($K9&lt;&gt;'計算A'!$A$3,'計算A'!$A$4=0)),AND(13=$I9-1,OR(13&lt;&gt;'計算A'!$A$3,'計算A'!$A$4=0))),0,IF(13=$K9,200000,ABS(13-$K9)*100)),100000+ABS(1-$J9)*1000+130)+'計算A'!P$5*50+IF(AND($E9=1,JC9=0),25,0),INDEX('計算A'!P$110:P$114,$F9+1)+IF(AND($E9=1,JC9=0),1000,0)+IF($H9=1,(IF('計算A'!O$117=1,INDEX('計算A'!O$10:O$54,$B9),0)+IF('計算A'!P$117=1,INDEX('計算A'!Q$10:Q$54,$B9),0))*500,0)-IF(AND('計算A'!O$117=1,UM9&gt;0),300,0)-IF(AND($L9=1,'計算A'!P$117=1,DO9=0),300,0))),1000000))</f>
        <v/>
      </c>
      <c r="OS9">
        <f>IF($B9=0,1000000,IF(INDEX('計算A'!$D$60:$EQ$104,$B9,14)*DO9=1,IF(AND($E9=2,JD9=0),1000000,IF($I9&gt;0,IF(1=$J9,IF(OR(AND(14=$I9+1,OR($K9&lt;&gt;'計算A'!$A$3,'計算A'!$A$4=0)),AND(14=$I9-1,OR(14&lt;&gt;'計算A'!$A$3,'計算A'!$A$4=0))),0,IF(14=$K9,200000,ABS(14-$K9)*100)),100000+ABS(1-$J9)*1000+140)+'計算A'!Q$5*50+IF(AND($E9=1,JD9=0),25,0),INDEX('計算A'!Q$110:Q$114,$F9+1)+IF(AND($E9=1,JD9=0),1000,0)+IF($H9=1,(IF('計算A'!P$117=1,INDEX('計算A'!P$10:P$54,$B9),0)+IF('計算A'!Q$117=1,INDEX('計算A'!R$10:R$54,$B9),0))*500,0)-IF(AND('計算A'!P$117=1,UN9&gt;0),300,0)-IF(AND($L9=1,'計算A'!Q$117=1,DP9=0),300,0))),1000000))</f>
        <v/>
      </c>
      <c r="OT9">
        <f>IF($B9=0,1000000,IF(INDEX('計算A'!$D$60:$EQ$104,$B9,15)*DP9=1,IF(AND($E9=2,JE9=0),1000000,IF($I9&gt;0,IF(1=$J9,IF(OR(AND(15=$I9+1,OR($K9&lt;&gt;'計算A'!$A$3,'計算A'!$A$4=0)),AND(15=$I9-1,OR(15&lt;&gt;'計算A'!$A$3,'計算A'!$A$4=0))),0,IF(15=$K9,200000,ABS(15-$K9)*100)),100000+ABS(1-$J9)*1000+150)+'計算A'!R$5*50+IF(AND($E9=1,JE9=0),25,0),INDEX('計算A'!R$110:R$114,$F9+1)+IF(AND($E9=1,JE9=0),1000,0)+IF($H9=1,(IF('計算A'!Q$117=1,INDEX('計算A'!Q$10:Q$54,$B9),0)+IF('計算A'!R$117=1,INDEX('計算A'!S$10:S$54,$B9),0))*500,0)-IF(AND('計算A'!Q$117=1,UO9&gt;0),300,0)-IF(AND($L9=1,'計算A'!R$117=1,DQ9=0),300,0))),1000000))</f>
        <v/>
      </c>
      <c r="OU9">
        <f>IF($B9=0,1000000,IF(INDEX('計算A'!$D$60:$EQ$104,$B9,16)*DQ9=1,IF(AND($E9=2,JF9=0),1000000,IF($I9&gt;0,IF(1=$J9,IF(OR(AND(16=$I9+1,OR($K9&lt;&gt;'計算A'!$A$3,'計算A'!$A$4=0)),AND(16=$I9-1,OR(16&lt;&gt;'計算A'!$A$3,'計算A'!$A$4=0))),0,IF(16=$K9,200000,ABS(16-$K9)*100)),100000+ABS(1-$J9)*1000+160)+'計算A'!S$5*50+IF(AND($E9=1,JF9=0),25,0),INDEX('計算A'!S$110:S$114,$F9+1)+IF(AND($E9=1,JF9=0),1000,0)+IF($H9=1,(IF('計算A'!R$117=1,INDEX('計算A'!R$10:R$54,$B9),0)+IF('計算A'!S$117=1,INDEX('計算A'!T$10:T$54,$B9),0))*500,0)-IF(AND('計算A'!R$117=1,UP9&gt;0),300,0)-IF(AND($L9=1,'計算A'!S$117=1,DR9=0),300,0))),1000000))</f>
        <v/>
      </c>
      <c r="OV9">
        <f>IF($B9=0,1000000,IF(INDEX('計算A'!$D$60:$EQ$104,$B9,17)*DR9=1,IF(AND($E9=2,JG9=0),1000000,IF($I9&gt;0,IF(1=$J9,IF(OR(AND(17=$I9+1,OR($K9&lt;&gt;'計算A'!$A$3,'計算A'!$A$4=0)),AND(17=$I9-1,OR(17&lt;&gt;'計算A'!$A$3,'計算A'!$A$4=0))),0,IF(17=$K9,200000,ABS(17-$K9)*100)),100000+ABS(1-$J9)*1000+170)+'計算A'!T$5*50+IF(AND($E9=1,JG9=0),25,0),INDEX('計算A'!T$110:T$114,$F9+1)+IF(AND($E9=1,JG9=0),1000,0)+IF($H9=1,(IF('計算A'!S$117=1,INDEX('計算A'!S$10:S$54,$B9),0)+IF('計算A'!T$117=1,INDEX('計算A'!U$10:U$54,$B9),0))*500,0)-IF(AND('計算A'!S$117=1,UQ9&gt;0),300,0)-IF(AND($L9=1,'計算A'!T$117=1,DS9=0),300,0))),1000000))</f>
        <v/>
      </c>
      <c r="OW9">
        <f>IF($B9=0,1000000,IF(INDEX('計算A'!$D$60:$EQ$104,$B9,18)*DS9=1,IF(AND($E9=2,JH9=0),1000000,IF($I9&gt;0,IF(1=$J9,IF(OR(AND(18=$I9+1,OR($K9&lt;&gt;'計算A'!$A$3,'計算A'!$A$4=0)),AND(18=$I9-1,OR(18&lt;&gt;'計算A'!$A$3,'計算A'!$A$4=0))),0,IF(18=$K9,200000,ABS(18-$K9)*100)),100000+ABS(1-$J9)*1000+180)+'計算A'!U$5*50+IF(AND($E9=1,JH9=0),25,0),INDEX('計算A'!U$110:U$114,$F9+1)+IF(AND($E9=1,JH9=0),1000,0)+IF($H9=1,(IF('計算A'!T$117=1,INDEX('計算A'!T$10:T$54,$B9),0)+IF('計算A'!U$117=1,INDEX('計算A'!V$10:V$54,$B9),0))*500,0)-IF(AND('計算A'!T$117=1,UR9&gt;0),300,0)-IF(AND($L9=1,'計算A'!U$117=1,DT9=0),300,0))),1000000))</f>
        <v/>
      </c>
      <c r="OX9">
        <f>IF($B9=0,1000000,IF(INDEX('計算A'!$D$60:$EQ$104,$B9,19)*DT9=1,IF(AND($E9=2,JI9=0),1000000,IF($I9&gt;0,IF(1=$J9,IF(OR(AND(19=$I9+1,OR($K9&lt;&gt;'計算A'!$A$3,'計算A'!$A$4=0)),AND(19=$I9-1,OR(19&lt;&gt;'計算A'!$A$3,'計算A'!$A$4=0))),0,IF(19=$K9,200000,ABS(19-$K9)*100)),100000+ABS(1-$J9)*1000+190)+'計算A'!V$5*50+IF(AND($E9=1,JI9=0),25,0),INDEX('計算A'!V$110:V$114,$F9+1)+IF(AND($E9=1,JI9=0),1000,0)+IF($H9=1,(IF('計算A'!U$117=1,INDEX('計算A'!U$10:U$54,$B9),0)+IF('計算A'!V$117=1,INDEX('計算A'!W$10:W$54,$B9),0))*500,0)-IF(AND('計算A'!U$117=1,US9&gt;0),300,0)-IF(AND($L9=1,'計算A'!V$117=1,DU9=0),300,0))),1000000))</f>
        <v/>
      </c>
      <c r="OY9">
        <f>IF($B9=0,1000000,IF(INDEX('計算A'!$D$60:$EQ$104,$B9,20)*DU9=1,IF(AND($E9=2,JJ9=0),1000000,IF($I9&gt;0,IF(1=$J9,IF(OR(AND(20=$I9+1,OR($K9&lt;&gt;'計算A'!$A$3,'計算A'!$A$4=0)),AND(20=$I9-1,OR(20&lt;&gt;'計算A'!$A$3,'計算A'!$A$4=0))),0,IF(20=$K9,200000,ABS(20-$K9)*100)),100000+ABS(1-$J9)*1000+200)+'計算A'!W$5*50+IF(AND($E9=1,JJ9=0),25,0),INDEX('計算A'!W$110:W$114,$F9+1)+IF(AND($E9=1,JJ9=0),1000,0)+IF($H9=1,(IF('計算A'!V$117=1,INDEX('計算A'!V$10:V$54,$B9),0)+IF('計算A'!W$117=1,INDEX('計算A'!X$10:X$54,$B9),0))*500,0)-IF(AND('計算A'!V$117=1,UT9&gt;0),300,0)-IF(AND($L9=1,'計算A'!W$117=1,DV9=0),300,0))),1000000))</f>
        <v/>
      </c>
      <c r="OZ9">
        <f>IF($B9=0,1000000,IF(INDEX('計算A'!$D$60:$EQ$104,$B9,21)*DV9=1,IF(AND($E9=2,JK9=0),1000000,IF($I9&gt;0,IF(1=$J9,IF(OR(AND(21=$I9+1,OR($K9&lt;&gt;'計算A'!$A$3,'計算A'!$A$4=0)),AND(21=$I9-1,OR(21&lt;&gt;'計算A'!$A$3,'計算A'!$A$4=0))),0,IF(21=$K9,200000,ABS(21-$K9)*100)),100000+ABS(1-$J9)*1000+210)+'計算A'!X$5*50+IF(AND($E9=1,JK9=0),25,0),INDEX('計算A'!X$110:X$114,$F9+1)+IF(AND($E9=1,JK9=0),1000,0)+IF($H9=1,(IF('計算A'!W$117=1,INDEX('計算A'!W$10:W$54,$B9),0)+IF('計算A'!X$117=1,INDEX('計算A'!Y$10:Y$54,$B9),0))*500,0)-IF(AND('計算A'!W$117=1,UU9&gt;0),300,0)-IF(AND($L9=1,'計算A'!X$117=1,DW9=0),300,0))),1000000))</f>
        <v/>
      </c>
      <c r="PA9">
        <f>IF($B9=0,1000000,IF(INDEX('計算A'!$D$60:$EQ$104,$B9,22)*DW9=1,IF(AND($E9=2,JL9=0),1000000,IF($I9&gt;0,IF(1=$J9,IF(OR(AND(22=$I9+1,OR($K9&lt;&gt;'計算A'!$A$3,'計算A'!$A$4=0)),AND(22=$I9-1,OR(22&lt;&gt;'計算A'!$A$3,'計算A'!$A$4=0))),0,IF(22=$K9,200000,ABS(22-$K9)*100)),100000+ABS(1-$J9)*1000+220)+'計算A'!Y$5*50+IF(AND($E9=1,JL9=0),25,0),INDEX('計算A'!Y$110:Y$114,$F9+1)+IF(AND($E9=1,JL9=0),1000,0)+IF($H9=1,(IF('計算A'!X$117=1,INDEX('計算A'!X$10:X$54,$B9),0)+IF('計算A'!Y$117=1,INDEX('計算A'!Z$10:Z$54,$B9),0))*500,0)-IF(AND('計算A'!X$117=1,UV9&gt;0),300,0)-IF(AND($L9=1,'計算A'!Y$117=1,DX9=0),300,0))),1000000))</f>
        <v/>
      </c>
      <c r="PB9">
        <f>IF($B9=0,1000000,IF(INDEX('計算A'!$D$60:$EQ$104,$B9,23)*DX9=1,IF(AND($E9=2,JM9=0),1000000,IF($I9&gt;0,IF(1=$J9,IF(OR(AND(23=$I9+1,OR($K9&lt;&gt;'計算A'!$A$3,'計算A'!$A$4=0)),AND(23=$I9-1,OR(23&lt;&gt;'計算A'!$A$3,'計算A'!$A$4=0))),0,IF(23=$K9,200000,ABS(23-$K9)*100)),100000+ABS(1-$J9)*1000+230)+'計算A'!Z$5*50+IF(AND($E9=1,JM9=0),25,0),INDEX('計算A'!Z$110:Z$114,$F9+1)+IF(AND($E9=1,JM9=0),1000,0)+IF($H9=1,(IF('計算A'!Y$117=1,INDEX('計算A'!Y$10:Y$54,$B9),0)+IF('計算A'!Z$117=1,INDEX('計算A'!AA$10:AA$54,$B9),0))*500,0)-IF(AND('計算A'!Y$117=1,UW9&gt;0),300,0)-IF(AND($L9=1,'計算A'!Z$117=1,DY9=0),300,0))),1000000))</f>
        <v/>
      </c>
      <c r="PC9">
        <f>IF($B9=0,1000000,IF(INDEX('計算A'!$D$60:$EQ$104,$B9,24)*DY9=1,IF(AND($E9=2,JN9=0),1000000,IF($I9&gt;0,IF(1=$J9,IF(OR(AND(24=$I9+1,OR($K9&lt;&gt;'計算A'!$A$3,'計算A'!$A$4=0)),AND(24=$I9-1,OR(24&lt;&gt;'計算A'!$A$3,'計算A'!$A$4=0))),0,IF(24=$K9,200000,ABS(24-$K9)*100)),100000+ABS(1-$J9)*1000+240)+'計算A'!AA$5*50+IF(AND($E9=1,JN9=0),25,0),INDEX('計算A'!AA$110:AA$114,$F9+1)+IF(AND($E9=1,JN9=0),1000,0)+IF($H9=1,(IF('計算A'!Z$117=1,INDEX('計算A'!Z$10:Z$54,$B9),0))*500,0)-IF(AND('計算A'!Z$117=1,UX9&gt;0),300,0))),1000000))</f>
        <v/>
      </c>
      <c r="PD9">
        <f>IF($B9=0,1000000,IF(INDEX('計算A'!$D$60:$EQ$104,$B9,25)*DZ9=1,IF(AND($E9=2,JO9=0),1000000,IF($I9&gt;0,IF(2=$J9,IF(OR(AND(25=$I9+1,OR($K9&lt;&gt;'計算A'!$A$3,'計算A'!$A$4=0)),AND(25=$I9-1,OR(1&lt;&gt;'計算A'!$A$3,'計算A'!$A$4=0))),0,IF(1=$K9,200000,ABS(1-$K9)*100)),100000+ABS(2-$J9)*1000+10)+'計算A'!AB$5*50+IF(AND($E9=1,JO9=0),25,0),INDEX('計算A'!AB$110:AB$114,$F9+1)+IF(AND($E9=1,JO9=0),1000,0)+IF($H9=1,(IF('計算A'!AB$117=1,INDEX('計算A'!AC$10:AC$54,$B9),0))*500,0)-IF(AND($L9=1,'計算A'!AB$117=1,EA9=0),300,0))),1000000))</f>
        <v/>
      </c>
      <c r="PE9">
        <f>IF($B9=0,1000000,IF(INDEX('計算A'!$D$60:$EQ$104,$B9,26)*EA9=1,IF(AND($E9=2,JP9=0),1000000,IF($I9&gt;0,IF(2=$J9,IF(OR(AND(26=$I9+1,OR($K9&lt;&gt;'計算A'!$A$3,'計算A'!$A$4=0)),AND(26=$I9-1,OR(2&lt;&gt;'計算A'!$A$3,'計算A'!$A$4=0))),0,IF(2=$K9,200000,ABS(2-$K9)*100)),100000+ABS(2-$J9)*1000+20)+'計算A'!AC$5*50+IF(AND($E9=1,JP9=0),25,0),INDEX('計算A'!AC$110:AC$114,$F9+1)+IF(AND($E9=1,JP9=0),1000,0)+IF($H9=1,(IF('計算A'!AB$117=1,INDEX('計算A'!AB$10:AB$54,$B9),0)+IF('計算A'!AC$117=1,INDEX('計算A'!AD$10:AD$54,$B9),0))*500,0)-IF(AND('計算A'!AB$117=1,UZ9&gt;0),300,0)-IF(AND($L9=1,'計算A'!AC$117=1,EB9=0),300,0))),1000000))</f>
        <v/>
      </c>
      <c r="PF9">
        <f>IF($B9=0,1000000,IF(INDEX('計算A'!$D$60:$EQ$104,$B9,27)*EB9=1,IF(AND($E9=2,JQ9=0),1000000,IF($I9&gt;0,IF(2=$J9,IF(OR(AND(27=$I9+1,OR($K9&lt;&gt;'計算A'!$A$3,'計算A'!$A$4=0)),AND(27=$I9-1,OR(3&lt;&gt;'計算A'!$A$3,'計算A'!$A$4=0))),0,IF(3=$K9,200000,ABS(3-$K9)*100)),100000+ABS(2-$J9)*1000+30)+'計算A'!AD$5*50+IF(AND($E9=1,JQ9=0),25,0),INDEX('計算A'!AD$110:AD$114,$F9+1)+IF(AND($E9=1,JQ9=0),1000,0)+IF($H9=1,(IF('計算A'!AC$117=1,INDEX('計算A'!AC$10:AC$54,$B9),0)+IF('計算A'!AD$117=1,INDEX('計算A'!AE$10:AE$54,$B9),0))*500,0)-IF(AND('計算A'!AC$117=1,VA9&gt;0),300,0)-IF(AND($L9=1,'計算A'!AD$117=1,EC9=0),300,0))),1000000))</f>
        <v/>
      </c>
      <c r="PG9">
        <f>IF($B9=0,1000000,IF(INDEX('計算A'!$D$60:$EQ$104,$B9,28)*EC9=1,IF(AND($E9=2,JR9=0),1000000,IF($I9&gt;0,IF(2=$J9,IF(OR(AND(28=$I9+1,OR($K9&lt;&gt;'計算A'!$A$3,'計算A'!$A$4=0)),AND(28=$I9-1,OR(4&lt;&gt;'計算A'!$A$3,'計算A'!$A$4=0))),0,IF(4=$K9,200000,ABS(4-$K9)*100)),100000+ABS(2-$J9)*1000+40)+'計算A'!AE$5*50+IF(AND($E9=1,JR9=0),25,0),INDEX('計算A'!AE$110:AE$114,$F9+1)+IF(AND($E9=1,JR9=0),1000,0)+IF($H9=1,(IF('計算A'!AD$117=1,INDEX('計算A'!AD$10:AD$54,$B9),0)+IF('計算A'!AE$117=1,INDEX('計算A'!AF$10:AF$54,$B9),0))*500,0)-IF(AND('計算A'!AD$117=1,VB9&gt;0),300,0)-IF(AND($L9=1,'計算A'!AE$117=1,ED9=0),300,0))),1000000))</f>
        <v/>
      </c>
      <c r="PH9">
        <f>IF($B9=0,1000000,IF(INDEX('計算A'!$D$60:$EQ$104,$B9,29)*ED9=1,IF(AND($E9=2,JS9=0),1000000,IF($I9&gt;0,IF(2=$J9,IF(OR(AND(29=$I9+1,OR($K9&lt;&gt;'計算A'!$A$3,'計算A'!$A$4=0)),AND(29=$I9-1,OR(5&lt;&gt;'計算A'!$A$3,'計算A'!$A$4=0))),0,IF(5=$K9,200000,ABS(5-$K9)*100)),100000+ABS(2-$J9)*1000+50)+'計算A'!AF$5*50+IF(AND($E9=1,JS9=0),25,0),INDEX('計算A'!AF$110:AF$114,$F9+1)+IF(AND($E9=1,JS9=0),1000,0)+IF($H9=1,(IF('計算A'!AE$117=1,INDEX('計算A'!AE$10:AE$54,$B9),0)+IF('計算A'!AF$117=1,INDEX('計算A'!AG$10:AG$54,$B9),0))*500,0)-IF(AND('計算A'!AE$117=1,VC9&gt;0),300,0)-IF(AND($L9=1,'計算A'!AF$117=1,EE9=0),300,0))),1000000))</f>
        <v/>
      </c>
      <c r="PI9">
        <f>IF($B9=0,1000000,IF(INDEX('計算A'!$D$60:$EQ$104,$B9,30)*EE9=1,IF(AND($E9=2,JT9=0),1000000,IF($I9&gt;0,IF(2=$J9,IF(OR(AND(30=$I9+1,OR($K9&lt;&gt;'計算A'!$A$3,'計算A'!$A$4=0)),AND(30=$I9-1,OR(6&lt;&gt;'計算A'!$A$3,'計算A'!$A$4=0))),0,IF(6=$K9,200000,ABS(6-$K9)*100)),100000+ABS(2-$J9)*1000+60)+'計算A'!AG$5*50+IF(AND($E9=1,JT9=0),25,0),INDEX('計算A'!AG$110:AG$114,$F9+1)+IF(AND($E9=1,JT9=0),1000,0)+IF($H9=1,(IF('計算A'!AF$117=1,INDEX('計算A'!AF$10:AF$54,$B9),0)+IF('計算A'!AG$117=1,INDEX('計算A'!AH$10:AH$54,$B9),0))*500,0)-IF(AND('計算A'!AF$117=1,VD9&gt;0),300,0)-IF(AND($L9=1,'計算A'!AG$117=1,EF9=0),300,0))),1000000))</f>
        <v/>
      </c>
      <c r="PJ9">
        <f>IF($B9=0,1000000,IF(INDEX('計算A'!$D$60:$EQ$104,$B9,31)*EF9=1,IF(AND($E9=2,JU9=0),1000000,IF($I9&gt;0,IF(2=$J9,IF(OR(AND(31=$I9+1,OR($K9&lt;&gt;'計算A'!$A$3,'計算A'!$A$4=0)),AND(31=$I9-1,OR(7&lt;&gt;'計算A'!$A$3,'計算A'!$A$4=0))),0,IF(7=$K9,200000,ABS(7-$K9)*100)),100000+ABS(2-$J9)*1000+70)+'計算A'!AH$5*50+IF(AND($E9=1,JU9=0),25,0),INDEX('計算A'!AH$110:AH$114,$F9+1)+IF(AND($E9=1,JU9=0),1000,0)+IF($H9=1,(IF('計算A'!AG$117=1,INDEX('計算A'!AG$10:AG$54,$B9),0)+IF('計算A'!AH$117=1,INDEX('計算A'!AI$10:AI$54,$B9),0))*500,0)-IF(AND('計算A'!AG$117=1,VE9&gt;0),300,0)-IF(AND($L9=1,'計算A'!AH$117=1,EG9=0),300,0))),1000000))</f>
        <v/>
      </c>
      <c r="PK9">
        <f>IF($B9=0,1000000,IF(INDEX('計算A'!$D$60:$EQ$104,$B9,32)*EG9=1,IF(AND($E9=2,JV9=0),1000000,IF($I9&gt;0,IF(2=$J9,IF(OR(AND(32=$I9+1,OR($K9&lt;&gt;'計算A'!$A$3,'計算A'!$A$4=0)),AND(32=$I9-1,OR(8&lt;&gt;'計算A'!$A$3,'計算A'!$A$4=0))),0,IF(8=$K9,200000,ABS(8-$K9)*100)),100000+ABS(2-$J9)*1000+80)+'計算A'!AI$5*50+IF(AND($E9=1,JV9=0),25,0),INDEX('計算A'!AI$110:AI$114,$F9+1)+IF(AND($E9=1,JV9=0),1000,0)+IF($H9=1,(IF('計算A'!AH$117=1,INDEX('計算A'!AH$10:AH$54,$B9),0)+IF('計算A'!AI$117=1,INDEX('計算A'!AJ$10:AJ$54,$B9),0))*500,0)-IF(AND('計算A'!AH$117=1,VF9&gt;0),300,0)-IF(AND($L9=1,'計算A'!AI$117=1,EH9=0),300,0))),1000000))</f>
        <v/>
      </c>
      <c r="PL9">
        <f>IF($B9=0,1000000,IF(INDEX('計算A'!$D$60:$EQ$104,$B9,33)*EH9=1,IF(AND($E9=2,JW9=0),1000000,IF($I9&gt;0,IF(2=$J9,IF(OR(AND(33=$I9+1,OR($K9&lt;&gt;'計算A'!$A$3,'計算A'!$A$4=0)),AND(33=$I9-1,OR(9&lt;&gt;'計算A'!$A$3,'計算A'!$A$4=0))),0,IF(9=$K9,200000,ABS(9-$K9)*100)),100000+ABS(2-$J9)*1000+90)+'計算A'!AJ$5*50+IF(AND($E9=1,JW9=0),25,0),INDEX('計算A'!AJ$110:AJ$114,$F9+1)+IF(AND($E9=1,JW9=0),1000,0)+IF($H9=1,(IF('計算A'!AI$117=1,INDEX('計算A'!AI$10:AI$54,$B9),0)+IF('計算A'!AJ$117=1,INDEX('計算A'!AK$10:AK$54,$B9),0))*500,0)-IF(AND('計算A'!AI$117=1,VG9&gt;0),300,0)-IF(AND($L9=1,'計算A'!AJ$117=1,EI9=0),300,0))),1000000))</f>
        <v/>
      </c>
      <c r="PM9">
        <f>IF($B9=0,1000000,IF(INDEX('計算A'!$D$60:$EQ$104,$B9,34)*EI9=1,IF(AND($E9=2,JX9=0),1000000,IF($I9&gt;0,IF(2=$J9,IF(OR(AND(34=$I9+1,OR($K9&lt;&gt;'計算A'!$A$3,'計算A'!$A$4=0)),AND(34=$I9-1,OR(10&lt;&gt;'計算A'!$A$3,'計算A'!$A$4=0))),0,IF(10=$K9,200000,ABS(10-$K9)*100)),100000+ABS(2-$J9)*1000+100)+'計算A'!AK$5*50+IF(AND($E9=1,JX9=0),25,0),INDEX('計算A'!AK$110:AK$114,$F9+1)+IF(AND($E9=1,JX9=0),1000,0)+IF($H9=1,(IF('計算A'!AJ$117=1,INDEX('計算A'!AJ$10:AJ$54,$B9),0)+IF('計算A'!AK$117=1,INDEX('計算A'!AL$10:AL$54,$B9),0))*500,0)-IF(AND('計算A'!AJ$117=1,VH9&gt;0),300,0)-IF(AND($L9=1,'計算A'!AK$117=1,EJ9=0),300,0))),1000000))</f>
        <v/>
      </c>
      <c r="PN9">
        <f>IF($B9=0,1000000,IF(INDEX('計算A'!$D$60:$EQ$104,$B9,35)*EJ9=1,IF(AND($E9=2,JY9=0),1000000,IF($I9&gt;0,IF(2=$J9,IF(OR(AND(35=$I9+1,OR($K9&lt;&gt;'計算A'!$A$3,'計算A'!$A$4=0)),AND(35=$I9-1,OR(11&lt;&gt;'計算A'!$A$3,'計算A'!$A$4=0))),0,IF(11=$K9,200000,ABS(11-$K9)*100)),100000+ABS(2-$J9)*1000+110)+'計算A'!AL$5*50+IF(AND($E9=1,JY9=0),25,0),INDEX('計算A'!AL$110:AL$114,$F9+1)+IF(AND($E9=1,JY9=0),1000,0)+IF($H9=1,(IF('計算A'!AK$117=1,INDEX('計算A'!AK$10:AK$54,$B9),0)+IF('計算A'!AL$117=1,INDEX('計算A'!AM$10:AM$54,$B9),0))*500,0)-IF(AND('計算A'!AK$117=1,VI9&gt;0),300,0)-IF(AND($L9=1,'計算A'!AL$117=1,EK9=0),300,0))),1000000))</f>
        <v/>
      </c>
      <c r="PO9">
        <f>IF($B9=0,1000000,IF(INDEX('計算A'!$D$60:$EQ$104,$B9,36)*EK9=1,IF(AND($E9=2,JZ9=0),1000000,IF($I9&gt;0,IF(2=$J9,IF(OR(AND(36=$I9+1,OR($K9&lt;&gt;'計算A'!$A$3,'計算A'!$A$4=0)),AND(36=$I9-1,OR(12&lt;&gt;'計算A'!$A$3,'計算A'!$A$4=0))),0,IF(12=$K9,200000,ABS(12-$K9)*100)),100000+ABS(2-$J9)*1000+120)+'計算A'!AM$5*50+IF(AND($E9=1,JZ9=0),25,0),INDEX('計算A'!AM$110:AM$114,$F9+1)+IF(AND($E9=1,JZ9=0),1000,0)+IF($H9=1,(IF('計算A'!AL$117=1,INDEX('計算A'!AL$10:AL$54,$B9),0)+IF('計算A'!AM$117=1,INDEX('計算A'!AN$10:AN$54,$B9),0))*500,0)-IF(AND('計算A'!AL$117=1,VJ9&gt;0),300,0)-IF(AND($L9=1,'計算A'!AM$117=1,EL9=0),300,0))),1000000))</f>
        <v/>
      </c>
      <c r="PP9">
        <f>IF($B9=0,1000000,IF(INDEX('計算A'!$D$60:$EQ$104,$B9,37)*EL9=1,IF(AND($E9=2,KA9=0),1000000,IF($I9&gt;0,IF(2=$J9,IF(OR(AND(37=$I9+1,OR($K9&lt;&gt;'計算A'!$A$3,'計算A'!$A$4=0)),AND(37=$I9-1,OR(13&lt;&gt;'計算A'!$A$3,'計算A'!$A$4=0))),0,IF(13=$K9,200000,ABS(13-$K9)*100)),100000+ABS(2-$J9)*1000+130)+'計算A'!AN$5*50+IF(AND($E9=1,KA9=0),25,0),INDEX('計算A'!AN$110:AN$114,$F9+1)+IF(AND($E9=1,KA9=0),1000,0)+IF($H9=1,(IF('計算A'!AM$117=1,INDEX('計算A'!AM$10:AM$54,$B9),0)+IF('計算A'!AN$117=1,INDEX('計算A'!AO$10:AO$54,$B9),0))*500,0)-IF(AND('計算A'!AM$117=1,VK9&gt;0),300,0)-IF(AND($L9=1,'計算A'!AN$117=1,EM9=0),300,0))),1000000))</f>
        <v/>
      </c>
      <c r="PQ9">
        <f>IF($B9=0,1000000,IF(INDEX('計算A'!$D$60:$EQ$104,$B9,38)*EM9=1,IF(AND($E9=2,KB9=0),1000000,IF($I9&gt;0,IF(2=$J9,IF(OR(AND(38=$I9+1,OR($K9&lt;&gt;'計算A'!$A$3,'計算A'!$A$4=0)),AND(38=$I9-1,OR(14&lt;&gt;'計算A'!$A$3,'計算A'!$A$4=0))),0,IF(14=$K9,200000,ABS(14-$K9)*100)),100000+ABS(2-$J9)*1000+140)+'計算A'!AO$5*50+IF(AND($E9=1,KB9=0),25,0),INDEX('計算A'!AO$110:AO$114,$F9+1)+IF(AND($E9=1,KB9=0),1000,0)+IF($H9=1,(IF('計算A'!AN$117=1,INDEX('計算A'!AN$10:AN$54,$B9),0)+IF('計算A'!AO$117=1,INDEX('計算A'!AP$10:AP$54,$B9),0))*500,0)-IF(AND('計算A'!AN$117=1,VL9&gt;0),300,0)-IF(AND($L9=1,'計算A'!AO$117=1,EN9=0),300,0))),1000000))</f>
        <v/>
      </c>
      <c r="PR9">
        <f>IF($B9=0,1000000,IF(INDEX('計算A'!$D$60:$EQ$104,$B9,39)*EN9=1,IF(AND($E9=2,KC9=0),1000000,IF($I9&gt;0,IF(2=$J9,IF(OR(AND(39=$I9+1,OR($K9&lt;&gt;'計算A'!$A$3,'計算A'!$A$4=0)),AND(39=$I9-1,OR(15&lt;&gt;'計算A'!$A$3,'計算A'!$A$4=0))),0,IF(15=$K9,200000,ABS(15-$K9)*100)),100000+ABS(2-$J9)*1000+150)+'計算A'!AP$5*50+IF(AND($E9=1,KC9=0),25,0),INDEX('計算A'!AP$110:AP$114,$F9+1)+IF(AND($E9=1,KC9=0),1000,0)+IF($H9=1,(IF('計算A'!AO$117=1,INDEX('計算A'!AO$10:AO$54,$B9),0)+IF('計算A'!AP$117=1,INDEX('計算A'!AQ$10:AQ$54,$B9),0))*500,0)-IF(AND('計算A'!AO$117=1,VM9&gt;0),300,0)-IF(AND($L9=1,'計算A'!AP$117=1,EO9=0),300,0))),1000000))</f>
        <v/>
      </c>
      <c r="PS9">
        <f>IF($B9=0,1000000,IF(INDEX('計算A'!$D$60:$EQ$104,$B9,40)*EO9=1,IF(AND($E9=2,KD9=0),1000000,IF($I9&gt;0,IF(2=$J9,IF(OR(AND(40=$I9+1,OR($K9&lt;&gt;'計算A'!$A$3,'計算A'!$A$4=0)),AND(40=$I9-1,OR(16&lt;&gt;'計算A'!$A$3,'計算A'!$A$4=0))),0,IF(16=$K9,200000,ABS(16-$K9)*100)),100000+ABS(2-$J9)*1000+160)+'計算A'!AQ$5*50+IF(AND($E9=1,KD9=0),25,0),INDEX('計算A'!AQ$110:AQ$114,$F9+1)+IF(AND($E9=1,KD9=0),1000,0)+IF($H9=1,(IF('計算A'!AP$117=1,INDEX('計算A'!AP$10:AP$54,$B9),0)+IF('計算A'!AQ$117=1,INDEX('計算A'!AR$10:AR$54,$B9),0))*500,0)-IF(AND('計算A'!AP$117=1,VN9&gt;0),300,0)-IF(AND($L9=1,'計算A'!AQ$117=1,EP9=0),300,0))),1000000))</f>
        <v/>
      </c>
      <c r="PT9">
        <f>IF($B9=0,1000000,IF(INDEX('計算A'!$D$60:$EQ$104,$B9,41)*EP9=1,IF(AND($E9=2,KE9=0),1000000,IF($I9&gt;0,IF(2=$J9,IF(OR(AND(41=$I9+1,OR($K9&lt;&gt;'計算A'!$A$3,'計算A'!$A$4=0)),AND(41=$I9-1,OR(17&lt;&gt;'計算A'!$A$3,'計算A'!$A$4=0))),0,IF(17=$K9,200000,ABS(17-$K9)*100)),100000+ABS(2-$J9)*1000+170)+'計算A'!AR$5*50+IF(AND($E9=1,KE9=0),25,0),INDEX('計算A'!AR$110:AR$114,$F9+1)+IF(AND($E9=1,KE9=0),1000,0)+IF($H9=1,(IF('計算A'!AQ$117=1,INDEX('計算A'!AQ$10:AQ$54,$B9),0)+IF('計算A'!AR$117=1,INDEX('計算A'!AS$10:AS$54,$B9),0))*500,0)-IF(AND('計算A'!AQ$117=1,VO9&gt;0),300,0)-IF(AND($L9=1,'計算A'!AR$117=1,EQ9=0),300,0))),1000000))</f>
        <v/>
      </c>
      <c r="PU9">
        <f>IF($B9=0,1000000,IF(INDEX('計算A'!$D$60:$EQ$104,$B9,42)*EQ9=1,IF(AND($E9=2,KF9=0),1000000,IF($I9&gt;0,IF(2=$J9,IF(OR(AND(42=$I9+1,OR($K9&lt;&gt;'計算A'!$A$3,'計算A'!$A$4=0)),AND(42=$I9-1,OR(18&lt;&gt;'計算A'!$A$3,'計算A'!$A$4=0))),0,IF(18=$K9,200000,ABS(18-$K9)*100)),100000+ABS(2-$J9)*1000+180)+'計算A'!AS$5*50+IF(AND($E9=1,KF9=0),25,0),INDEX('計算A'!AS$110:AS$114,$F9+1)+IF(AND($E9=1,KF9=0),1000,0)+IF($H9=1,(IF('計算A'!AR$117=1,INDEX('計算A'!AR$10:AR$54,$B9),0)+IF('計算A'!AS$117=1,INDEX('計算A'!AT$10:AT$54,$B9),0))*500,0)-IF(AND('計算A'!AR$117=1,VP9&gt;0),300,0)-IF(AND($L9=1,'計算A'!AS$117=1,ER9=0),300,0))),1000000))</f>
        <v/>
      </c>
      <c r="PV9">
        <f>IF($B9=0,1000000,IF(INDEX('計算A'!$D$60:$EQ$104,$B9,43)*ER9=1,IF(AND($E9=2,KG9=0),1000000,IF($I9&gt;0,IF(2=$J9,IF(OR(AND(43=$I9+1,OR($K9&lt;&gt;'計算A'!$A$3,'計算A'!$A$4=0)),AND(43=$I9-1,OR(19&lt;&gt;'計算A'!$A$3,'計算A'!$A$4=0))),0,IF(19=$K9,200000,ABS(19-$K9)*100)),100000+ABS(2-$J9)*1000+190)+'計算A'!AT$5*50+IF(AND($E9=1,KG9=0),25,0),INDEX('計算A'!AT$110:AT$114,$F9+1)+IF(AND($E9=1,KG9=0),1000,0)+IF($H9=1,(IF('計算A'!AS$117=1,INDEX('計算A'!AS$10:AS$54,$B9),0)+IF('計算A'!AT$117=1,INDEX('計算A'!AU$10:AU$54,$B9),0))*500,0)-IF(AND('計算A'!AS$117=1,VQ9&gt;0),300,0)-IF(AND($L9=1,'計算A'!AT$117=1,ES9=0),300,0))),1000000))</f>
        <v/>
      </c>
      <c r="PW9">
        <f>IF($B9=0,1000000,IF(INDEX('計算A'!$D$60:$EQ$104,$B9,44)*ES9=1,IF(AND($E9=2,KH9=0),1000000,IF($I9&gt;0,IF(2=$J9,IF(OR(AND(44=$I9+1,OR($K9&lt;&gt;'計算A'!$A$3,'計算A'!$A$4=0)),AND(44=$I9-1,OR(20&lt;&gt;'計算A'!$A$3,'計算A'!$A$4=0))),0,IF(20=$K9,200000,ABS(20-$K9)*100)),100000+ABS(2-$J9)*1000+200)+'計算A'!AU$5*50+IF(AND($E9=1,KH9=0),25,0),INDEX('計算A'!AU$110:AU$114,$F9+1)+IF(AND($E9=1,KH9=0),1000,0)+IF($H9=1,(IF('計算A'!AT$117=1,INDEX('計算A'!AT$10:AT$54,$B9),0)+IF('計算A'!AU$117=1,INDEX('計算A'!AV$10:AV$54,$B9),0))*500,0)-IF(AND('計算A'!AT$117=1,VR9&gt;0),300,0)-IF(AND($L9=1,'計算A'!AU$117=1,ET9=0),300,0))),1000000))</f>
        <v/>
      </c>
      <c r="PX9">
        <f>IF($B9=0,1000000,IF(INDEX('計算A'!$D$60:$EQ$104,$B9,45)*ET9=1,IF(AND($E9=2,KI9=0),1000000,IF($I9&gt;0,IF(2=$J9,IF(OR(AND(45=$I9+1,OR($K9&lt;&gt;'計算A'!$A$3,'計算A'!$A$4=0)),AND(45=$I9-1,OR(21&lt;&gt;'計算A'!$A$3,'計算A'!$A$4=0))),0,IF(21=$K9,200000,ABS(21-$K9)*100)),100000+ABS(2-$J9)*1000+210)+'計算A'!AV$5*50+IF(AND($E9=1,KI9=0),25,0),INDEX('計算A'!AV$110:AV$114,$F9+1)+IF(AND($E9=1,KI9=0),1000,0)+IF($H9=1,(IF('計算A'!AU$117=1,INDEX('計算A'!AU$10:AU$54,$B9),0)+IF('計算A'!AV$117=1,INDEX('計算A'!AW$10:AW$54,$B9),0))*500,0)-IF(AND('計算A'!AU$117=1,VS9&gt;0),300,0)-IF(AND($L9=1,'計算A'!AV$117=1,EU9=0),300,0))),1000000))</f>
        <v/>
      </c>
      <c r="PY9">
        <f>IF($B9=0,1000000,IF(INDEX('計算A'!$D$60:$EQ$104,$B9,46)*EU9=1,IF(AND($E9=2,KJ9=0),1000000,IF($I9&gt;0,IF(2=$J9,IF(OR(AND(46=$I9+1,OR($K9&lt;&gt;'計算A'!$A$3,'計算A'!$A$4=0)),AND(46=$I9-1,OR(22&lt;&gt;'計算A'!$A$3,'計算A'!$A$4=0))),0,IF(22=$K9,200000,ABS(22-$K9)*100)),100000+ABS(2-$J9)*1000+220)+'計算A'!AW$5*50+IF(AND($E9=1,KJ9=0),25,0),INDEX('計算A'!AW$110:AW$114,$F9+1)+IF(AND($E9=1,KJ9=0),1000,0)+IF($H9=1,(IF('計算A'!AV$117=1,INDEX('計算A'!AV$10:AV$54,$B9),0)+IF('計算A'!AW$117=1,INDEX('計算A'!AX$10:AX$54,$B9),0))*500,0)-IF(AND('計算A'!AV$117=1,VT9&gt;0),300,0)-IF(AND($L9=1,'計算A'!AW$117=1,EV9=0),300,0))),1000000))</f>
        <v/>
      </c>
      <c r="PZ9">
        <f>IF($B9=0,1000000,IF(INDEX('計算A'!$D$60:$EQ$104,$B9,47)*EV9=1,IF(AND($E9=2,KK9=0),1000000,IF($I9&gt;0,IF(2=$J9,IF(OR(AND(47=$I9+1,OR($K9&lt;&gt;'計算A'!$A$3,'計算A'!$A$4=0)),AND(47=$I9-1,OR(23&lt;&gt;'計算A'!$A$3,'計算A'!$A$4=0))),0,IF(23=$K9,200000,ABS(23-$K9)*100)),100000+ABS(2-$J9)*1000+230)+'計算A'!AX$5*50+IF(AND($E9=1,KK9=0),25,0),INDEX('計算A'!AX$110:AX$114,$F9+1)+IF(AND($E9=1,KK9=0),1000,0)+IF($H9=1,(IF('計算A'!AW$117=1,INDEX('計算A'!AW$10:AW$54,$B9),0)+IF('計算A'!AX$117=1,INDEX('計算A'!AY$10:AY$54,$B9),0))*500,0)-IF(AND('計算A'!AW$117=1,VU9&gt;0),300,0)-IF(AND($L9=1,'計算A'!AX$117=1,EW9=0),300,0))),1000000))</f>
        <v/>
      </c>
      <c r="QA9">
        <f>IF($B9=0,1000000,IF(INDEX('計算A'!$D$60:$EQ$104,$B9,48)*EW9=1,IF(AND($E9=2,KL9=0),1000000,IF($I9&gt;0,IF(2=$J9,IF(OR(AND(48=$I9+1,OR($K9&lt;&gt;'計算A'!$A$3,'計算A'!$A$4=0)),AND(48=$I9-1,OR(24&lt;&gt;'計算A'!$A$3,'計算A'!$A$4=0))),0,IF(24=$K9,200000,ABS(24-$K9)*100)),100000+ABS(2-$J9)*1000+240)+'計算A'!AY$5*50+IF(AND($E9=1,KL9=0),25,0),INDEX('計算A'!AY$110:AY$114,$F9+1)+IF(AND($E9=1,KL9=0),1000,0)+IF($H9=1,(IF('計算A'!AX$117=1,INDEX('計算A'!AX$10:AX$54,$B9),0))*500,0)-IF(AND('計算A'!AX$117=1,VV9&gt;0),300,0))),1000000))</f>
        <v/>
      </c>
      <c r="QB9">
        <f>IF($B9=0,1000000,IF(INDEX('計算A'!$D$60:$EQ$104,$B9,49)*EX9=1,IF(AND($E9=2,KM9=0),1000000,IF($I9&gt;0,IF(3=$J9,IF(OR(AND(49=$I9+1,OR($K9&lt;&gt;'計算A'!$A$3,'計算A'!$A$4=0)),AND(49=$I9-1,OR(1&lt;&gt;'計算A'!$A$3,'計算A'!$A$4=0))),0,IF(1=$K9,200000,ABS(1-$K9)*100)),100000+ABS(3-$J9)*1000+10)+'計算A'!AZ$5*50+IF(AND($E9=1,KM9=0),25,0),INDEX('計算A'!AZ$110:AZ$114,$F9+1)+IF(AND($E9=1,KM9=0),1000,0)+IF($H9=1,(IF('計算A'!AZ$117=1,INDEX('計算A'!BA$10:BA$54,$B9),0))*500,0)-IF(AND($L9=1,'計算A'!AZ$117=1,EY9=0),300,0))),1000000))</f>
        <v/>
      </c>
      <c r="QC9">
        <f>IF($B9=0,1000000,IF(INDEX('計算A'!$D$60:$EQ$104,$B9,50)*EY9=1,IF(AND($E9=2,KN9=0),1000000,IF($I9&gt;0,IF(3=$J9,IF(OR(AND(50=$I9+1,OR($K9&lt;&gt;'計算A'!$A$3,'計算A'!$A$4=0)),AND(50=$I9-1,OR(2&lt;&gt;'計算A'!$A$3,'計算A'!$A$4=0))),0,IF(2=$K9,200000,ABS(2-$K9)*100)),100000+ABS(3-$J9)*1000+20)+'計算A'!BA$5*50+IF(AND($E9=1,KN9=0),25,0),INDEX('計算A'!BA$110:BA$114,$F9+1)+IF(AND($E9=1,KN9=0),1000,0)+IF($H9=1,(IF('計算A'!AZ$117=1,INDEX('計算A'!AZ$10:AZ$54,$B9),0)+IF('計算A'!BA$117=1,INDEX('計算A'!BB$10:BB$54,$B9),0))*500,0)-IF(AND('計算A'!AZ$117=1,VX9&gt;0),300,0)-IF(AND($L9=1,'計算A'!BA$117=1,EZ9=0),300,0))),1000000))</f>
        <v/>
      </c>
      <c r="QD9">
        <f>IF($B9=0,1000000,IF(INDEX('計算A'!$D$60:$EQ$104,$B9,51)*EZ9=1,IF(AND($E9=2,KO9=0),1000000,IF($I9&gt;0,IF(3=$J9,IF(OR(AND(51=$I9+1,OR($K9&lt;&gt;'計算A'!$A$3,'計算A'!$A$4=0)),AND(51=$I9-1,OR(3&lt;&gt;'計算A'!$A$3,'計算A'!$A$4=0))),0,IF(3=$K9,200000,ABS(3-$K9)*100)),100000+ABS(3-$J9)*1000+30)+'計算A'!BB$5*50+IF(AND($E9=1,KO9=0),25,0),INDEX('計算A'!BB$110:BB$114,$F9+1)+IF(AND($E9=1,KO9=0),1000,0)+IF($H9=1,(IF('計算A'!BA$117=1,INDEX('計算A'!BA$10:BA$54,$B9),0)+IF('計算A'!BB$117=1,INDEX('計算A'!BC$10:BC$54,$B9),0))*500,0)-IF(AND('計算A'!BA$117=1,VY9&gt;0),300,0)-IF(AND($L9=1,'計算A'!BB$117=1,FA9=0),300,0))),1000000))</f>
        <v/>
      </c>
      <c r="QE9">
        <f>IF($B9=0,1000000,IF(INDEX('計算A'!$D$60:$EQ$104,$B9,52)*FA9=1,IF(AND($E9=2,KP9=0),1000000,IF($I9&gt;0,IF(3=$J9,IF(OR(AND(52=$I9+1,OR($K9&lt;&gt;'計算A'!$A$3,'計算A'!$A$4=0)),AND(52=$I9-1,OR(4&lt;&gt;'計算A'!$A$3,'計算A'!$A$4=0))),0,IF(4=$K9,200000,ABS(4-$K9)*100)),100000+ABS(3-$J9)*1000+40)+'計算A'!BC$5*50+IF(AND($E9=1,KP9=0),25,0),INDEX('計算A'!BC$110:BC$114,$F9+1)+IF(AND($E9=1,KP9=0),1000,0)+IF($H9=1,(IF('計算A'!BB$117=1,INDEX('計算A'!BB$10:BB$54,$B9),0)+IF('計算A'!BC$117=1,INDEX('計算A'!BD$10:BD$54,$B9),0))*500,0)-IF(AND('計算A'!BB$117=1,VZ9&gt;0),300,0)-IF(AND($L9=1,'計算A'!BC$117=1,FB9=0),300,0))),1000000))</f>
        <v/>
      </c>
      <c r="QF9">
        <f>IF($B9=0,1000000,IF(INDEX('計算A'!$D$60:$EQ$104,$B9,53)*FB9=1,IF(AND($E9=2,KQ9=0),1000000,IF($I9&gt;0,IF(3=$J9,IF(OR(AND(53=$I9+1,OR($K9&lt;&gt;'計算A'!$A$3,'計算A'!$A$4=0)),AND(53=$I9-1,OR(5&lt;&gt;'計算A'!$A$3,'計算A'!$A$4=0))),0,IF(5=$K9,200000,ABS(5-$K9)*100)),100000+ABS(3-$J9)*1000+50)+'計算A'!BD$5*50+IF(AND($E9=1,KQ9=0),25,0),INDEX('計算A'!BD$110:BD$114,$F9+1)+IF(AND($E9=1,KQ9=0),1000,0)+IF($H9=1,(IF('計算A'!BC$117=1,INDEX('計算A'!BC$10:BC$54,$B9),0)+IF('計算A'!BD$117=1,INDEX('計算A'!BE$10:BE$54,$B9),0))*500,0)-IF(AND('計算A'!BC$117=1,WA9&gt;0),300,0)-IF(AND($L9=1,'計算A'!BD$117=1,FC9=0),300,0))),1000000))</f>
        <v/>
      </c>
      <c r="QG9">
        <f>IF($B9=0,1000000,IF(INDEX('計算A'!$D$60:$EQ$104,$B9,54)*FC9=1,IF(AND($E9=2,KR9=0),1000000,IF($I9&gt;0,IF(3=$J9,IF(OR(AND(54=$I9+1,OR($K9&lt;&gt;'計算A'!$A$3,'計算A'!$A$4=0)),AND(54=$I9-1,OR(6&lt;&gt;'計算A'!$A$3,'計算A'!$A$4=0))),0,IF(6=$K9,200000,ABS(6-$K9)*100)),100000+ABS(3-$J9)*1000+60)+'計算A'!BE$5*50+IF(AND($E9=1,KR9=0),25,0),INDEX('計算A'!BE$110:BE$114,$F9+1)+IF(AND($E9=1,KR9=0),1000,0)+IF($H9=1,(IF('計算A'!BD$117=1,INDEX('計算A'!BD$10:BD$54,$B9),0)+IF('計算A'!BE$117=1,INDEX('計算A'!BF$10:BF$54,$B9),0))*500,0)-IF(AND('計算A'!BD$117=1,WB9&gt;0),300,0)-IF(AND($L9=1,'計算A'!BE$117=1,FD9=0),300,0))),1000000))</f>
        <v/>
      </c>
      <c r="QH9">
        <f>IF($B9=0,1000000,IF(INDEX('計算A'!$D$60:$EQ$104,$B9,55)*FD9=1,IF(AND($E9=2,KS9=0),1000000,IF($I9&gt;0,IF(3=$J9,IF(OR(AND(55=$I9+1,OR($K9&lt;&gt;'計算A'!$A$3,'計算A'!$A$4=0)),AND(55=$I9-1,OR(7&lt;&gt;'計算A'!$A$3,'計算A'!$A$4=0))),0,IF(7=$K9,200000,ABS(7-$K9)*100)),100000+ABS(3-$J9)*1000+70)+'計算A'!BF$5*50+IF(AND($E9=1,KS9=0),25,0),INDEX('計算A'!BF$110:BF$114,$F9+1)+IF(AND($E9=1,KS9=0),1000,0)+IF($H9=1,(IF('計算A'!BE$117=1,INDEX('計算A'!BE$10:BE$54,$B9),0)+IF('計算A'!BF$117=1,INDEX('計算A'!BG$10:BG$54,$B9),0))*500,0)-IF(AND('計算A'!BE$117=1,WC9&gt;0),300,0)-IF(AND($L9=1,'計算A'!BF$117=1,FE9=0),300,0))),1000000))</f>
        <v/>
      </c>
      <c r="QI9">
        <f>IF($B9=0,1000000,IF(INDEX('計算A'!$D$60:$EQ$104,$B9,56)*FE9=1,IF(AND($E9=2,KT9=0),1000000,IF($I9&gt;0,IF(3=$J9,IF(OR(AND(56=$I9+1,OR($K9&lt;&gt;'計算A'!$A$3,'計算A'!$A$4=0)),AND(56=$I9-1,OR(8&lt;&gt;'計算A'!$A$3,'計算A'!$A$4=0))),0,IF(8=$K9,200000,ABS(8-$K9)*100)),100000+ABS(3-$J9)*1000+80)+'計算A'!BG$5*50+IF(AND($E9=1,KT9=0),25,0),INDEX('計算A'!BG$110:BG$114,$F9+1)+IF(AND($E9=1,KT9=0),1000,0)+IF($H9=1,(IF('計算A'!BF$117=1,INDEX('計算A'!BF$10:BF$54,$B9),0)+IF('計算A'!BG$117=1,INDEX('計算A'!BH$10:BH$54,$B9),0))*500,0)-IF(AND('計算A'!BF$117=1,WD9&gt;0),300,0)-IF(AND($L9=1,'計算A'!BG$117=1,FF9=0),300,0))),1000000))</f>
        <v/>
      </c>
      <c r="QJ9">
        <f>IF($B9=0,1000000,IF(INDEX('計算A'!$D$60:$EQ$104,$B9,57)*FF9=1,IF(AND($E9=2,KU9=0),1000000,IF($I9&gt;0,IF(3=$J9,IF(OR(AND(57=$I9+1,OR($K9&lt;&gt;'計算A'!$A$3,'計算A'!$A$4=0)),AND(57=$I9-1,OR(9&lt;&gt;'計算A'!$A$3,'計算A'!$A$4=0))),0,IF(9=$K9,200000,ABS(9-$K9)*100)),100000+ABS(3-$J9)*1000+90)+'計算A'!BH$5*50+IF(AND($E9=1,KU9=0),25,0),INDEX('計算A'!BH$110:BH$114,$F9+1)+IF(AND($E9=1,KU9=0),1000,0)+IF($H9=1,(IF('計算A'!BG$117=1,INDEX('計算A'!BG$10:BG$54,$B9),0)+IF('計算A'!BH$117=1,INDEX('計算A'!BI$10:BI$54,$B9),0))*500,0)-IF(AND('計算A'!BG$117=1,WE9&gt;0),300,0)-IF(AND($L9=1,'計算A'!BH$117=1,FG9=0),300,0))),1000000))</f>
        <v/>
      </c>
      <c r="QK9">
        <f>IF($B9=0,1000000,IF(INDEX('計算A'!$D$60:$EQ$104,$B9,58)*FG9=1,IF(AND($E9=2,KV9=0),1000000,IF($I9&gt;0,IF(3=$J9,IF(OR(AND(58=$I9+1,OR($K9&lt;&gt;'計算A'!$A$3,'計算A'!$A$4=0)),AND(58=$I9-1,OR(10&lt;&gt;'計算A'!$A$3,'計算A'!$A$4=0))),0,IF(10=$K9,200000,ABS(10-$K9)*100)),100000+ABS(3-$J9)*1000+100)+'計算A'!BI$5*50+IF(AND($E9=1,KV9=0),25,0),INDEX('計算A'!BI$110:BI$114,$F9+1)+IF(AND($E9=1,KV9=0),1000,0)+IF($H9=1,(IF('計算A'!BH$117=1,INDEX('計算A'!BH$10:BH$54,$B9),0)+IF('計算A'!BI$117=1,INDEX('計算A'!BJ$10:BJ$54,$B9),0))*500,0)-IF(AND('計算A'!BH$117=1,WF9&gt;0),300,0)-IF(AND($L9=1,'計算A'!BI$117=1,FH9=0),300,0))),1000000))</f>
        <v/>
      </c>
      <c r="QL9">
        <f>IF($B9=0,1000000,IF(INDEX('計算A'!$D$60:$EQ$104,$B9,59)*FH9=1,IF(AND($E9=2,KW9=0),1000000,IF($I9&gt;0,IF(3=$J9,IF(OR(AND(59=$I9+1,OR($K9&lt;&gt;'計算A'!$A$3,'計算A'!$A$4=0)),AND(59=$I9-1,OR(11&lt;&gt;'計算A'!$A$3,'計算A'!$A$4=0))),0,IF(11=$K9,200000,ABS(11-$K9)*100)),100000+ABS(3-$J9)*1000+110)+'計算A'!BJ$5*50+IF(AND($E9=1,KW9=0),25,0),INDEX('計算A'!BJ$110:BJ$114,$F9+1)+IF(AND($E9=1,KW9=0),1000,0)+IF($H9=1,(IF('計算A'!BI$117=1,INDEX('計算A'!BI$10:BI$54,$B9),0)+IF('計算A'!BJ$117=1,INDEX('計算A'!BK$10:BK$54,$B9),0))*500,0)-IF(AND('計算A'!BI$117=1,WG9&gt;0),300,0)-IF(AND($L9=1,'計算A'!BJ$117=1,FI9=0),300,0))),1000000))</f>
        <v/>
      </c>
      <c r="QM9">
        <f>IF($B9=0,1000000,IF(INDEX('計算A'!$D$60:$EQ$104,$B9,60)*FI9=1,IF(AND($E9=2,KX9=0),1000000,IF($I9&gt;0,IF(3=$J9,IF(OR(AND(60=$I9+1,OR($K9&lt;&gt;'計算A'!$A$3,'計算A'!$A$4=0)),AND(60=$I9-1,OR(12&lt;&gt;'計算A'!$A$3,'計算A'!$A$4=0))),0,IF(12=$K9,200000,ABS(12-$K9)*100)),100000+ABS(3-$J9)*1000+120)+'計算A'!BK$5*50+IF(AND($E9=1,KX9=0),25,0),INDEX('計算A'!BK$110:BK$114,$F9+1)+IF(AND($E9=1,KX9=0),1000,0)+IF($H9=1,(IF('計算A'!BJ$117=1,INDEX('計算A'!BJ$10:BJ$54,$B9),0)+IF('計算A'!BK$117=1,INDEX('計算A'!BL$10:BL$54,$B9),0))*500,0)-IF(AND('計算A'!BJ$117=1,WH9&gt;0),300,0)-IF(AND($L9=1,'計算A'!BK$117=1,FJ9=0),300,0))),1000000))</f>
        <v/>
      </c>
      <c r="QN9">
        <f>IF($B9=0,1000000,IF(INDEX('計算A'!$D$60:$EQ$104,$B9,61)*FJ9=1,IF(AND($E9=2,KY9=0),1000000,IF($I9&gt;0,IF(3=$J9,IF(OR(AND(61=$I9+1,OR($K9&lt;&gt;'計算A'!$A$3,'計算A'!$A$4=0)),AND(61=$I9-1,OR(13&lt;&gt;'計算A'!$A$3,'計算A'!$A$4=0))),0,IF(13=$K9,200000,ABS(13-$K9)*100)),100000+ABS(3-$J9)*1000+130)+'計算A'!BL$5*50+IF(AND($E9=1,KY9=0),25,0),INDEX('計算A'!BL$110:BL$114,$F9+1)+IF(AND($E9=1,KY9=0),1000,0)+IF($H9=1,(IF('計算A'!BK$117=1,INDEX('計算A'!BK$10:BK$54,$B9),0)+IF('計算A'!BL$117=1,INDEX('計算A'!BM$10:BM$54,$B9),0))*500,0)-IF(AND('計算A'!BK$117=1,WI9&gt;0),300,0)-IF(AND($L9=1,'計算A'!BL$117=1,FK9=0),300,0))),1000000))</f>
        <v/>
      </c>
      <c r="QO9">
        <f>IF($B9=0,1000000,IF(INDEX('計算A'!$D$60:$EQ$104,$B9,62)*FK9=1,IF(AND($E9=2,KZ9=0),1000000,IF($I9&gt;0,IF(3=$J9,IF(OR(AND(62=$I9+1,OR($K9&lt;&gt;'計算A'!$A$3,'計算A'!$A$4=0)),AND(62=$I9-1,OR(14&lt;&gt;'計算A'!$A$3,'計算A'!$A$4=0))),0,IF(14=$K9,200000,ABS(14-$K9)*100)),100000+ABS(3-$J9)*1000+140)+'計算A'!BM$5*50+IF(AND($E9=1,KZ9=0),25,0),INDEX('計算A'!BM$110:BM$114,$F9+1)+IF(AND($E9=1,KZ9=0),1000,0)+IF($H9=1,(IF('計算A'!BL$117=1,INDEX('計算A'!BL$10:BL$54,$B9),0)+IF('計算A'!BM$117=1,INDEX('計算A'!BN$10:BN$54,$B9),0))*500,0)-IF(AND('計算A'!BL$117=1,WJ9&gt;0),300,0)-IF(AND($L9=1,'計算A'!BM$117=1,FL9=0),300,0))),1000000))</f>
        <v/>
      </c>
      <c r="QP9">
        <f>IF($B9=0,1000000,IF(INDEX('計算A'!$D$60:$EQ$104,$B9,63)*FL9=1,IF(AND($E9=2,LA9=0),1000000,IF($I9&gt;0,IF(3=$J9,IF(OR(AND(63=$I9+1,OR($K9&lt;&gt;'計算A'!$A$3,'計算A'!$A$4=0)),AND(63=$I9-1,OR(15&lt;&gt;'計算A'!$A$3,'計算A'!$A$4=0))),0,IF(15=$K9,200000,ABS(15-$K9)*100)),100000+ABS(3-$J9)*1000+150)+'計算A'!BN$5*50+IF(AND($E9=1,LA9=0),25,0),INDEX('計算A'!BN$110:BN$114,$F9+1)+IF(AND($E9=1,LA9=0),1000,0)+IF($H9=1,(IF('計算A'!BM$117=1,INDEX('計算A'!BM$10:BM$54,$B9),0)+IF('計算A'!BN$117=1,INDEX('計算A'!BO$10:BO$54,$B9),0))*500,0)-IF(AND('計算A'!BM$117=1,WK9&gt;0),300,0)-IF(AND($L9=1,'計算A'!BN$117=1,FM9=0),300,0))),1000000))</f>
        <v/>
      </c>
      <c r="QQ9">
        <f>IF($B9=0,1000000,IF(INDEX('計算A'!$D$60:$EQ$104,$B9,64)*FM9=1,IF(AND($E9=2,LB9=0),1000000,IF($I9&gt;0,IF(3=$J9,IF(OR(AND(64=$I9+1,OR($K9&lt;&gt;'計算A'!$A$3,'計算A'!$A$4=0)),AND(64=$I9-1,OR(16&lt;&gt;'計算A'!$A$3,'計算A'!$A$4=0))),0,IF(16=$K9,200000,ABS(16-$K9)*100)),100000+ABS(3-$J9)*1000+160)+'計算A'!BO$5*50+IF(AND($E9=1,LB9=0),25,0),INDEX('計算A'!BO$110:BO$114,$F9+1)+IF(AND($E9=1,LB9=0),1000,0)+IF($H9=1,(IF('計算A'!BN$117=1,INDEX('計算A'!BN$10:BN$54,$B9),0)+IF('計算A'!BO$117=1,INDEX('計算A'!BP$10:BP$54,$B9),0))*500,0)-IF(AND('計算A'!BN$117=1,WL9&gt;0),300,0)-IF(AND($L9=1,'計算A'!BO$117=1,FN9=0),300,0))),1000000))</f>
        <v/>
      </c>
      <c r="QR9">
        <f>IF($B9=0,1000000,IF(INDEX('計算A'!$D$60:$EQ$104,$B9,65)*FN9=1,IF(AND($E9=2,LC9=0),1000000,IF($I9&gt;0,IF(3=$J9,IF(OR(AND(65=$I9+1,OR($K9&lt;&gt;'計算A'!$A$3,'計算A'!$A$4=0)),AND(65=$I9-1,OR(17&lt;&gt;'計算A'!$A$3,'計算A'!$A$4=0))),0,IF(17=$K9,200000,ABS(17-$K9)*100)),100000+ABS(3-$J9)*1000+170)+'計算A'!BP$5*50+IF(AND($E9=1,LC9=0),25,0),INDEX('計算A'!BP$110:BP$114,$F9+1)+IF(AND($E9=1,LC9=0),1000,0)+IF($H9=1,(IF('計算A'!BO$117=1,INDEX('計算A'!BO$10:BO$54,$B9),0)+IF('計算A'!BP$117=1,INDEX('計算A'!BQ$10:BQ$54,$B9),0))*500,0)-IF(AND('計算A'!BO$117=1,WM9&gt;0),300,0)-IF(AND($L9=1,'計算A'!BP$117=1,FO9=0),300,0))),1000000))</f>
        <v/>
      </c>
      <c r="QS9">
        <f>IF($B9=0,1000000,IF(INDEX('計算A'!$D$60:$EQ$104,$B9,66)*FO9=1,IF(AND($E9=2,LD9=0),1000000,IF($I9&gt;0,IF(3=$J9,IF(OR(AND(66=$I9+1,OR($K9&lt;&gt;'計算A'!$A$3,'計算A'!$A$4=0)),AND(66=$I9-1,OR(18&lt;&gt;'計算A'!$A$3,'計算A'!$A$4=0))),0,IF(18=$K9,200000,ABS(18-$K9)*100)),100000+ABS(3-$J9)*1000+180)+'計算A'!BQ$5*50+IF(AND($E9=1,LD9=0),25,0),INDEX('計算A'!BQ$110:BQ$114,$F9+1)+IF(AND($E9=1,LD9=0),1000,0)+IF($H9=1,(IF('計算A'!BP$117=1,INDEX('計算A'!BP$10:BP$54,$B9),0)+IF('計算A'!BQ$117=1,INDEX('計算A'!BR$10:BR$54,$B9),0))*500,0)-IF(AND('計算A'!BP$117=1,WN9&gt;0),300,0)-IF(AND($L9=1,'計算A'!BQ$117=1,FP9=0),300,0))),1000000))</f>
        <v/>
      </c>
      <c r="QT9">
        <f>IF($B9=0,1000000,IF(INDEX('計算A'!$D$60:$EQ$104,$B9,67)*FP9=1,IF(AND($E9=2,LE9=0),1000000,IF($I9&gt;0,IF(3=$J9,IF(OR(AND(67=$I9+1,OR($K9&lt;&gt;'計算A'!$A$3,'計算A'!$A$4=0)),AND(67=$I9-1,OR(19&lt;&gt;'計算A'!$A$3,'計算A'!$A$4=0))),0,IF(19=$K9,200000,ABS(19-$K9)*100)),100000+ABS(3-$J9)*1000+190)+'計算A'!BR$5*50+IF(AND($E9=1,LE9=0),25,0),INDEX('計算A'!BR$110:BR$114,$F9+1)+IF(AND($E9=1,LE9=0),1000,0)+IF($H9=1,(IF('計算A'!BQ$117=1,INDEX('計算A'!BQ$10:BQ$54,$B9),0)+IF('計算A'!BR$117=1,INDEX('計算A'!BS$10:BS$54,$B9),0))*500,0)-IF(AND('計算A'!BQ$117=1,WO9&gt;0),300,0)-IF(AND($L9=1,'計算A'!BR$117=1,FQ9=0),300,0))),1000000))</f>
        <v/>
      </c>
      <c r="QU9">
        <f>IF($B9=0,1000000,IF(INDEX('計算A'!$D$60:$EQ$104,$B9,68)*FQ9=1,IF(AND($E9=2,LF9=0),1000000,IF($I9&gt;0,IF(3=$J9,IF(OR(AND(68=$I9+1,OR($K9&lt;&gt;'計算A'!$A$3,'計算A'!$A$4=0)),AND(68=$I9-1,OR(20&lt;&gt;'計算A'!$A$3,'計算A'!$A$4=0))),0,IF(20=$K9,200000,ABS(20-$K9)*100)),100000+ABS(3-$J9)*1000+200)+'計算A'!BS$5*50+IF(AND($E9=1,LF9=0),25,0),INDEX('計算A'!BS$110:BS$114,$F9+1)+IF(AND($E9=1,LF9=0),1000,0)+IF($H9=1,(IF('計算A'!BR$117=1,INDEX('計算A'!BR$10:BR$54,$B9),0)+IF('計算A'!BS$117=1,INDEX('計算A'!BT$10:BT$54,$B9),0))*500,0)-IF(AND('計算A'!BR$117=1,WP9&gt;0),300,0)-IF(AND($L9=1,'計算A'!BS$117=1,FR9=0),300,0))),1000000))</f>
        <v/>
      </c>
      <c r="QV9">
        <f>IF($B9=0,1000000,IF(INDEX('計算A'!$D$60:$EQ$104,$B9,69)*FR9=1,IF(AND($E9=2,LG9=0),1000000,IF($I9&gt;0,IF(3=$J9,IF(OR(AND(69=$I9+1,OR($K9&lt;&gt;'計算A'!$A$3,'計算A'!$A$4=0)),AND(69=$I9-1,OR(21&lt;&gt;'計算A'!$A$3,'計算A'!$A$4=0))),0,IF(21=$K9,200000,ABS(21-$K9)*100)),100000+ABS(3-$J9)*1000+210)+'計算A'!BT$5*50+IF(AND($E9=1,LG9=0),25,0),INDEX('計算A'!BT$110:BT$114,$F9+1)+IF(AND($E9=1,LG9=0),1000,0)+IF($H9=1,(IF('計算A'!BS$117=1,INDEX('計算A'!BS$10:BS$54,$B9),0)+IF('計算A'!BT$117=1,INDEX('計算A'!BU$10:BU$54,$B9),0))*500,0)-IF(AND('計算A'!BS$117=1,WQ9&gt;0),300,0)-IF(AND($L9=1,'計算A'!BT$117=1,FS9=0),300,0))),1000000))</f>
        <v/>
      </c>
      <c r="QW9">
        <f>IF($B9=0,1000000,IF(INDEX('計算A'!$D$60:$EQ$104,$B9,70)*FS9=1,IF(AND($E9=2,LH9=0),1000000,IF($I9&gt;0,IF(3=$J9,IF(OR(AND(70=$I9+1,OR($K9&lt;&gt;'計算A'!$A$3,'計算A'!$A$4=0)),AND(70=$I9-1,OR(22&lt;&gt;'計算A'!$A$3,'計算A'!$A$4=0))),0,IF(22=$K9,200000,ABS(22-$K9)*100)),100000+ABS(3-$J9)*1000+220)+'計算A'!BU$5*50+IF(AND($E9=1,LH9=0),25,0),INDEX('計算A'!BU$110:BU$114,$F9+1)+IF(AND($E9=1,LH9=0),1000,0)+IF($H9=1,(IF('計算A'!BT$117=1,INDEX('計算A'!BT$10:BT$54,$B9),0)+IF('計算A'!BU$117=1,INDEX('計算A'!BV$10:BV$54,$B9),0))*500,0)-IF(AND('計算A'!BT$117=1,WR9&gt;0),300,0)-IF(AND($L9=1,'計算A'!BU$117=1,FT9=0),300,0))),1000000))</f>
        <v/>
      </c>
      <c r="QX9">
        <f>IF($B9=0,1000000,IF(INDEX('計算A'!$D$60:$EQ$104,$B9,71)*FT9=1,IF(AND($E9=2,LI9=0),1000000,IF($I9&gt;0,IF(3=$J9,IF(OR(AND(71=$I9+1,OR($K9&lt;&gt;'計算A'!$A$3,'計算A'!$A$4=0)),AND(71=$I9-1,OR(23&lt;&gt;'計算A'!$A$3,'計算A'!$A$4=0))),0,IF(23=$K9,200000,ABS(23-$K9)*100)),100000+ABS(3-$J9)*1000+230)+'計算A'!BV$5*50+IF(AND($E9=1,LI9=0),25,0),INDEX('計算A'!BV$110:BV$114,$F9+1)+IF(AND($E9=1,LI9=0),1000,0)+IF($H9=1,(IF('計算A'!BU$117=1,INDEX('計算A'!BU$10:BU$54,$B9),0)+IF('計算A'!BV$117=1,INDEX('計算A'!BW$10:BW$54,$B9),0))*500,0)-IF(AND('計算A'!BU$117=1,WS9&gt;0),300,0)-IF(AND($L9=1,'計算A'!BV$117=1,FU9=0),300,0))),1000000))</f>
        <v/>
      </c>
      <c r="QY9">
        <f>IF($B9=0,1000000,IF(INDEX('計算A'!$D$60:$EQ$104,$B9,72)*FU9=1,IF(AND($E9=2,LJ9=0),1000000,IF($I9&gt;0,IF(3=$J9,IF(OR(AND(72=$I9+1,OR($K9&lt;&gt;'計算A'!$A$3,'計算A'!$A$4=0)),AND(72=$I9-1,OR(24&lt;&gt;'計算A'!$A$3,'計算A'!$A$4=0))),0,IF(24=$K9,200000,ABS(24-$K9)*100)),100000+ABS(3-$J9)*1000+240)+'計算A'!BW$5*50+IF(AND($E9=1,LJ9=0),25,0),INDEX('計算A'!BW$110:BW$114,$F9+1)+IF(AND($E9=1,LJ9=0),1000,0)+IF($H9=1,(IF('計算A'!BV$117=1,INDEX('計算A'!BV$10:BV$54,$B9),0))*500,0)-IF(AND('計算A'!BV$117=1,WT9&gt;0),300,0))),1000000))</f>
        <v/>
      </c>
      <c r="QZ9">
        <f>IF($B9=0,1000000,IF(INDEX('計算A'!$D$60:$EQ$104,$B9,73)*FV9=1,IF(AND($E9=2,LK9=0),1000000,IF($I9&gt;0,IF(4=$J9,IF(OR(AND(73=$I9+1,OR($K9&lt;&gt;'計算A'!$A$3,'計算A'!$A$4=0)),AND(73=$I9-1,OR(1&lt;&gt;'計算A'!$A$3,'計算A'!$A$4=0))),0,IF(1=$K9,200000,ABS(1-$K9)*100)),100000+ABS(4-$J9)*1000+10)+'計算A'!BX$5*50+IF(AND($E9=1,LK9=0),25,0),INDEX('計算A'!BX$110:BX$114,$F9+1)+IF(AND($E9=1,LK9=0),1000,0)+IF($H9=1,(IF('計算A'!BX$117=1,INDEX('計算A'!BY$10:BY$54,$B9),0))*500,0)-IF(AND($L9=1,'計算A'!BX$117=1,FW9=0),300,0))),1000000))</f>
        <v/>
      </c>
      <c r="RA9">
        <f>IF($B9=0,1000000,IF(INDEX('計算A'!$D$60:$EQ$104,$B9,74)*FW9=1,IF(AND($E9=2,LL9=0),1000000,IF($I9&gt;0,IF(4=$J9,IF(OR(AND(74=$I9+1,OR($K9&lt;&gt;'計算A'!$A$3,'計算A'!$A$4=0)),AND(74=$I9-1,OR(2&lt;&gt;'計算A'!$A$3,'計算A'!$A$4=0))),0,IF(2=$K9,200000,ABS(2-$K9)*100)),100000+ABS(4-$J9)*1000+20)+'計算A'!BY$5*50+IF(AND($E9=1,LL9=0),25,0),INDEX('計算A'!BY$110:BY$114,$F9+1)+IF(AND($E9=1,LL9=0),1000,0)+IF($H9=1,(IF('計算A'!BX$117=1,INDEX('計算A'!BX$10:BX$54,$B9),0)+IF('計算A'!BY$117=1,INDEX('計算A'!BZ$10:BZ$54,$B9),0))*500,0)-IF(AND('計算A'!BX$117=1,WV9&gt;0),300,0)-IF(AND($L9=1,'計算A'!BY$117=1,FX9=0),300,0))),1000000))</f>
        <v/>
      </c>
      <c r="RB9">
        <f>IF($B9=0,1000000,IF(INDEX('計算A'!$D$60:$EQ$104,$B9,75)*FX9=1,IF(AND($E9=2,LM9=0),1000000,IF($I9&gt;0,IF(4=$J9,IF(OR(AND(75=$I9+1,OR($K9&lt;&gt;'計算A'!$A$3,'計算A'!$A$4=0)),AND(75=$I9-1,OR(3&lt;&gt;'計算A'!$A$3,'計算A'!$A$4=0))),0,IF(3=$K9,200000,ABS(3-$K9)*100)),100000+ABS(4-$J9)*1000+30)+'計算A'!BZ$5*50+IF(AND($E9=1,LM9=0),25,0),INDEX('計算A'!BZ$110:BZ$114,$F9+1)+IF(AND($E9=1,LM9=0),1000,0)+IF($H9=1,(IF('計算A'!BY$117=1,INDEX('計算A'!BY$10:BY$54,$B9),0)+IF('計算A'!BZ$117=1,INDEX('計算A'!CA$10:CA$54,$B9),0))*500,0)-IF(AND('計算A'!BY$117=1,WW9&gt;0),300,0)-IF(AND($L9=1,'計算A'!BZ$117=1,FY9=0),300,0))),1000000))</f>
        <v/>
      </c>
      <c r="RC9">
        <f>IF($B9=0,1000000,IF(INDEX('計算A'!$D$60:$EQ$104,$B9,76)*FY9=1,IF(AND($E9=2,LN9=0),1000000,IF($I9&gt;0,IF(4=$J9,IF(OR(AND(76=$I9+1,OR($K9&lt;&gt;'計算A'!$A$3,'計算A'!$A$4=0)),AND(76=$I9-1,OR(4&lt;&gt;'計算A'!$A$3,'計算A'!$A$4=0))),0,IF(4=$K9,200000,ABS(4-$K9)*100)),100000+ABS(4-$J9)*1000+40)+'計算A'!CA$5*50+IF(AND($E9=1,LN9=0),25,0),INDEX('計算A'!CA$110:CA$114,$F9+1)+IF(AND($E9=1,LN9=0),1000,0)+IF($H9=1,(IF('計算A'!BZ$117=1,INDEX('計算A'!BZ$10:BZ$54,$B9),0)+IF('計算A'!CA$117=1,INDEX('計算A'!CB$10:CB$54,$B9),0))*500,0)-IF(AND('計算A'!BZ$117=1,WX9&gt;0),300,0)-IF(AND($L9=1,'計算A'!CA$117=1,FZ9=0),300,0))),1000000))</f>
        <v/>
      </c>
      <c r="RD9">
        <f>IF($B9=0,1000000,IF(INDEX('計算A'!$D$60:$EQ$104,$B9,77)*FZ9=1,IF(AND($E9=2,LO9=0),1000000,IF($I9&gt;0,IF(4=$J9,IF(OR(AND(77=$I9+1,OR($K9&lt;&gt;'計算A'!$A$3,'計算A'!$A$4=0)),AND(77=$I9-1,OR(5&lt;&gt;'計算A'!$A$3,'計算A'!$A$4=0))),0,IF(5=$K9,200000,ABS(5-$K9)*100)),100000+ABS(4-$J9)*1000+50)+'計算A'!CB$5*50+IF(AND($E9=1,LO9=0),25,0),INDEX('計算A'!CB$110:CB$114,$F9+1)+IF(AND($E9=1,LO9=0),1000,0)+IF($H9=1,(IF('計算A'!CA$117=1,INDEX('計算A'!CA$10:CA$54,$B9),0)+IF('計算A'!CB$117=1,INDEX('計算A'!CC$10:CC$54,$B9),0))*500,0)-IF(AND('計算A'!CA$117=1,WY9&gt;0),300,0)-IF(AND($L9=1,'計算A'!CB$117=1,GA9=0),300,0))),1000000))</f>
        <v/>
      </c>
      <c r="RE9">
        <f>IF($B9=0,1000000,IF(INDEX('計算A'!$D$60:$EQ$104,$B9,78)*GA9=1,IF(AND($E9=2,LP9=0),1000000,IF($I9&gt;0,IF(4=$J9,IF(OR(AND(78=$I9+1,OR($K9&lt;&gt;'計算A'!$A$3,'計算A'!$A$4=0)),AND(78=$I9-1,OR(6&lt;&gt;'計算A'!$A$3,'計算A'!$A$4=0))),0,IF(6=$K9,200000,ABS(6-$K9)*100)),100000+ABS(4-$J9)*1000+60)+'計算A'!CC$5*50+IF(AND($E9=1,LP9=0),25,0),INDEX('計算A'!CC$110:CC$114,$F9+1)+IF(AND($E9=1,LP9=0),1000,0)+IF($H9=1,(IF('計算A'!CB$117=1,INDEX('計算A'!CB$10:CB$54,$B9),0)+IF('計算A'!CC$117=1,INDEX('計算A'!CD$10:CD$54,$B9),0))*500,0)-IF(AND('計算A'!CB$117=1,WZ9&gt;0),300,0)-IF(AND($L9=1,'計算A'!CC$117=1,GB9=0),300,0))),1000000))</f>
        <v/>
      </c>
      <c r="RF9">
        <f>IF($B9=0,1000000,IF(INDEX('計算A'!$D$60:$EQ$104,$B9,79)*GB9=1,IF(AND($E9=2,LQ9=0),1000000,IF($I9&gt;0,IF(4=$J9,IF(OR(AND(79=$I9+1,OR($K9&lt;&gt;'計算A'!$A$3,'計算A'!$A$4=0)),AND(79=$I9-1,OR(7&lt;&gt;'計算A'!$A$3,'計算A'!$A$4=0))),0,IF(7=$K9,200000,ABS(7-$K9)*100)),100000+ABS(4-$J9)*1000+70)+'計算A'!CD$5*50+IF(AND($E9=1,LQ9=0),25,0),INDEX('計算A'!CD$110:CD$114,$F9+1)+IF(AND($E9=1,LQ9=0),1000,0)+IF($H9=1,(IF('計算A'!CC$117=1,INDEX('計算A'!CC$10:CC$54,$B9),0)+IF('計算A'!CD$117=1,INDEX('計算A'!CE$10:CE$54,$B9),0))*500,0)-IF(AND('計算A'!CC$117=1,XA9&gt;0),300,0)-IF(AND($L9=1,'計算A'!CD$117=1,GC9=0),300,0))),1000000))</f>
        <v/>
      </c>
      <c r="RG9">
        <f>IF($B9=0,1000000,IF(INDEX('計算A'!$D$60:$EQ$104,$B9,80)*GC9=1,IF(AND($E9=2,LR9=0),1000000,IF($I9&gt;0,IF(4=$J9,IF(OR(AND(80=$I9+1,OR($K9&lt;&gt;'計算A'!$A$3,'計算A'!$A$4=0)),AND(80=$I9-1,OR(8&lt;&gt;'計算A'!$A$3,'計算A'!$A$4=0))),0,IF(8=$K9,200000,ABS(8-$K9)*100)),100000+ABS(4-$J9)*1000+80)+'計算A'!CE$5*50+IF(AND($E9=1,LR9=0),25,0),INDEX('計算A'!CE$110:CE$114,$F9+1)+IF(AND($E9=1,LR9=0),1000,0)+IF($H9=1,(IF('計算A'!CD$117=1,INDEX('計算A'!CD$10:CD$54,$B9),0)+IF('計算A'!CE$117=1,INDEX('計算A'!CF$10:CF$54,$B9),0))*500,0)-IF(AND('計算A'!CD$117=1,XB9&gt;0),300,0)-IF(AND($L9=1,'計算A'!CE$117=1,GD9=0),300,0))),1000000))</f>
        <v/>
      </c>
      <c r="RH9">
        <f>IF($B9=0,1000000,IF(INDEX('計算A'!$D$60:$EQ$104,$B9,81)*GD9=1,IF(AND($E9=2,LS9=0),1000000,IF($I9&gt;0,IF(4=$J9,IF(OR(AND(81=$I9+1,OR($K9&lt;&gt;'計算A'!$A$3,'計算A'!$A$4=0)),AND(81=$I9-1,OR(9&lt;&gt;'計算A'!$A$3,'計算A'!$A$4=0))),0,IF(9=$K9,200000,ABS(9-$K9)*100)),100000+ABS(4-$J9)*1000+90)+'計算A'!CF$5*50+IF(AND($E9=1,LS9=0),25,0),INDEX('計算A'!CF$110:CF$114,$F9+1)+IF(AND($E9=1,LS9=0),1000,0)+IF($H9=1,(IF('計算A'!CE$117=1,INDEX('計算A'!CE$10:CE$54,$B9),0)+IF('計算A'!CF$117=1,INDEX('計算A'!CG$10:CG$54,$B9),0))*500,0)-IF(AND('計算A'!CE$117=1,XC9&gt;0),300,0)-IF(AND($L9=1,'計算A'!CF$117=1,GE9=0),300,0))),1000000))</f>
        <v/>
      </c>
      <c r="RI9">
        <f>IF($B9=0,1000000,IF(INDEX('計算A'!$D$60:$EQ$104,$B9,82)*GE9=1,IF(AND($E9=2,LT9=0),1000000,IF($I9&gt;0,IF(4=$J9,IF(OR(AND(82=$I9+1,OR($K9&lt;&gt;'計算A'!$A$3,'計算A'!$A$4=0)),AND(82=$I9-1,OR(10&lt;&gt;'計算A'!$A$3,'計算A'!$A$4=0))),0,IF(10=$K9,200000,ABS(10-$K9)*100)),100000+ABS(4-$J9)*1000+100)+'計算A'!CG$5*50+IF(AND($E9=1,LT9=0),25,0),INDEX('計算A'!CG$110:CG$114,$F9+1)+IF(AND($E9=1,LT9=0),1000,0)+IF($H9=1,(IF('計算A'!CF$117=1,INDEX('計算A'!CF$10:CF$54,$B9),0)+IF('計算A'!CG$117=1,INDEX('計算A'!CH$10:CH$54,$B9),0))*500,0)-IF(AND('計算A'!CF$117=1,XD9&gt;0),300,0)-IF(AND($L9=1,'計算A'!CG$117=1,GF9=0),300,0))),1000000))</f>
        <v/>
      </c>
      <c r="RJ9">
        <f>IF($B9=0,1000000,IF(INDEX('計算A'!$D$60:$EQ$104,$B9,83)*GF9=1,IF(AND($E9=2,LU9=0),1000000,IF($I9&gt;0,IF(4=$J9,IF(OR(AND(83=$I9+1,OR($K9&lt;&gt;'計算A'!$A$3,'計算A'!$A$4=0)),AND(83=$I9-1,OR(11&lt;&gt;'計算A'!$A$3,'計算A'!$A$4=0))),0,IF(11=$K9,200000,ABS(11-$K9)*100)),100000+ABS(4-$J9)*1000+110)+'計算A'!CH$5*50+IF(AND($E9=1,LU9=0),25,0),INDEX('計算A'!CH$110:CH$114,$F9+1)+IF(AND($E9=1,LU9=0),1000,0)+IF($H9=1,(IF('計算A'!CG$117=1,INDEX('計算A'!CG$10:CG$54,$B9),0)+IF('計算A'!CH$117=1,INDEX('計算A'!CI$10:CI$54,$B9),0))*500,0)-IF(AND('計算A'!CG$117=1,XE9&gt;0),300,0)-IF(AND($L9=1,'計算A'!CH$117=1,GG9=0),300,0))),1000000))</f>
        <v/>
      </c>
      <c r="RK9">
        <f>IF($B9=0,1000000,IF(INDEX('計算A'!$D$60:$EQ$104,$B9,84)*GG9=1,IF(AND($E9=2,LV9=0),1000000,IF($I9&gt;0,IF(4=$J9,IF(OR(AND(84=$I9+1,OR($K9&lt;&gt;'計算A'!$A$3,'計算A'!$A$4=0)),AND(84=$I9-1,OR(12&lt;&gt;'計算A'!$A$3,'計算A'!$A$4=0))),0,IF(12=$K9,200000,ABS(12-$K9)*100)),100000+ABS(4-$J9)*1000+120)+'計算A'!CI$5*50+IF(AND($E9=1,LV9=0),25,0),INDEX('計算A'!CI$110:CI$114,$F9+1)+IF(AND($E9=1,LV9=0),1000,0)+IF($H9=1,(IF('計算A'!CH$117=1,INDEX('計算A'!CH$10:CH$54,$B9),0)+IF('計算A'!CI$117=1,INDEX('計算A'!CJ$10:CJ$54,$B9),0))*500,0)-IF(AND('計算A'!CH$117=1,XF9&gt;0),300,0)-IF(AND($L9=1,'計算A'!CI$117=1,GH9=0),300,0))),1000000))</f>
        <v/>
      </c>
      <c r="RL9">
        <f>IF($B9=0,1000000,IF(INDEX('計算A'!$D$60:$EQ$104,$B9,85)*GH9=1,IF(AND($E9=2,LW9=0),1000000,IF($I9&gt;0,IF(4=$J9,IF(OR(AND(85=$I9+1,OR($K9&lt;&gt;'計算A'!$A$3,'計算A'!$A$4=0)),AND(85=$I9-1,OR(13&lt;&gt;'計算A'!$A$3,'計算A'!$A$4=0))),0,IF(13=$K9,200000,ABS(13-$K9)*100)),100000+ABS(4-$J9)*1000+130)+'計算A'!CJ$5*50+IF(AND($E9=1,LW9=0),25,0),INDEX('計算A'!CJ$110:CJ$114,$F9+1)+IF(AND($E9=1,LW9=0),1000,0)+IF($H9=1,(IF('計算A'!CI$117=1,INDEX('計算A'!CI$10:CI$54,$B9),0)+IF('計算A'!CJ$117=1,INDEX('計算A'!CK$10:CK$54,$B9),0))*500,0)-IF(AND('計算A'!CI$117=1,XG9&gt;0),300,0)-IF(AND($L9=1,'計算A'!CJ$117=1,GI9=0),300,0))),1000000))</f>
        <v/>
      </c>
      <c r="RM9">
        <f>IF($B9=0,1000000,IF(INDEX('計算A'!$D$60:$EQ$104,$B9,86)*GI9=1,IF(AND($E9=2,LX9=0),1000000,IF($I9&gt;0,IF(4=$J9,IF(OR(AND(86=$I9+1,OR($K9&lt;&gt;'計算A'!$A$3,'計算A'!$A$4=0)),AND(86=$I9-1,OR(14&lt;&gt;'計算A'!$A$3,'計算A'!$A$4=0))),0,IF(14=$K9,200000,ABS(14-$K9)*100)),100000+ABS(4-$J9)*1000+140)+'計算A'!CK$5*50+IF(AND($E9=1,LX9=0),25,0),INDEX('計算A'!CK$110:CK$114,$F9+1)+IF(AND($E9=1,LX9=0),1000,0)+IF($H9=1,(IF('計算A'!CJ$117=1,INDEX('計算A'!CJ$10:CJ$54,$B9),0)+IF('計算A'!CK$117=1,INDEX('計算A'!CL$10:CL$54,$B9),0))*500,0)-IF(AND('計算A'!CJ$117=1,XH9&gt;0),300,0)-IF(AND($L9=1,'計算A'!CK$117=1,GJ9=0),300,0))),1000000))</f>
        <v/>
      </c>
      <c r="RN9">
        <f>IF($B9=0,1000000,IF(INDEX('計算A'!$D$60:$EQ$104,$B9,87)*GJ9=1,IF(AND($E9=2,LY9=0),1000000,IF($I9&gt;0,IF(4=$J9,IF(OR(AND(87=$I9+1,OR($K9&lt;&gt;'計算A'!$A$3,'計算A'!$A$4=0)),AND(87=$I9-1,OR(15&lt;&gt;'計算A'!$A$3,'計算A'!$A$4=0))),0,IF(15=$K9,200000,ABS(15-$K9)*100)),100000+ABS(4-$J9)*1000+150)+'計算A'!CL$5*50+IF(AND($E9=1,LY9=0),25,0),INDEX('計算A'!CL$110:CL$114,$F9+1)+IF(AND($E9=1,LY9=0),1000,0)+IF($H9=1,(IF('計算A'!CK$117=1,INDEX('計算A'!CK$10:CK$54,$B9),0)+IF('計算A'!CL$117=1,INDEX('計算A'!CM$10:CM$54,$B9),0))*500,0)-IF(AND('計算A'!CK$117=1,XI9&gt;0),300,0)-IF(AND($L9=1,'計算A'!CL$117=1,GK9=0),300,0))),1000000))</f>
        <v/>
      </c>
      <c r="RO9">
        <f>IF($B9=0,1000000,IF(INDEX('計算A'!$D$60:$EQ$104,$B9,88)*GK9=1,IF(AND($E9=2,LZ9=0),1000000,IF($I9&gt;0,IF(4=$J9,IF(OR(AND(88=$I9+1,OR($K9&lt;&gt;'計算A'!$A$3,'計算A'!$A$4=0)),AND(88=$I9-1,OR(16&lt;&gt;'計算A'!$A$3,'計算A'!$A$4=0))),0,IF(16=$K9,200000,ABS(16-$K9)*100)),100000+ABS(4-$J9)*1000+160)+'計算A'!CM$5*50+IF(AND($E9=1,LZ9=0),25,0),INDEX('計算A'!CM$110:CM$114,$F9+1)+IF(AND($E9=1,LZ9=0),1000,0)+IF($H9=1,(IF('計算A'!CL$117=1,INDEX('計算A'!CL$10:CL$54,$B9),0)+IF('計算A'!CM$117=1,INDEX('計算A'!CN$10:CN$54,$B9),0))*500,0)-IF(AND('計算A'!CL$117=1,XJ9&gt;0),300,0)-IF(AND($L9=1,'計算A'!CM$117=1,GL9=0),300,0))),1000000))</f>
        <v/>
      </c>
      <c r="RP9">
        <f>IF($B9=0,1000000,IF(INDEX('計算A'!$D$60:$EQ$104,$B9,89)*GL9=1,IF(AND($E9=2,MA9=0),1000000,IF($I9&gt;0,IF(4=$J9,IF(OR(AND(89=$I9+1,OR($K9&lt;&gt;'計算A'!$A$3,'計算A'!$A$4=0)),AND(89=$I9-1,OR(17&lt;&gt;'計算A'!$A$3,'計算A'!$A$4=0))),0,IF(17=$K9,200000,ABS(17-$K9)*100)),100000+ABS(4-$J9)*1000+170)+'計算A'!CN$5*50+IF(AND($E9=1,MA9=0),25,0),INDEX('計算A'!CN$110:CN$114,$F9+1)+IF(AND($E9=1,MA9=0),1000,0)+IF($H9=1,(IF('計算A'!CM$117=1,INDEX('計算A'!CM$10:CM$54,$B9),0)+IF('計算A'!CN$117=1,INDEX('計算A'!CO$10:CO$54,$B9),0))*500,0)-IF(AND('計算A'!CM$117=1,XK9&gt;0),300,0)-IF(AND($L9=1,'計算A'!CN$117=1,GM9=0),300,0))),1000000))</f>
        <v/>
      </c>
      <c r="RQ9">
        <f>IF($B9=0,1000000,IF(INDEX('計算A'!$D$60:$EQ$104,$B9,90)*GM9=1,IF(AND($E9=2,MB9=0),1000000,IF($I9&gt;0,IF(4=$J9,IF(OR(AND(90=$I9+1,OR($K9&lt;&gt;'計算A'!$A$3,'計算A'!$A$4=0)),AND(90=$I9-1,OR(18&lt;&gt;'計算A'!$A$3,'計算A'!$A$4=0))),0,IF(18=$K9,200000,ABS(18-$K9)*100)),100000+ABS(4-$J9)*1000+180)+'計算A'!CO$5*50+IF(AND($E9=1,MB9=0),25,0),INDEX('計算A'!CO$110:CO$114,$F9+1)+IF(AND($E9=1,MB9=0),1000,0)+IF($H9=1,(IF('計算A'!CN$117=1,INDEX('計算A'!CN$10:CN$54,$B9),0)+IF('計算A'!CO$117=1,INDEX('計算A'!CP$10:CP$54,$B9),0))*500,0)-IF(AND('計算A'!CN$117=1,XL9&gt;0),300,0)-IF(AND($L9=1,'計算A'!CO$117=1,GN9=0),300,0))),1000000))</f>
        <v/>
      </c>
      <c r="RR9">
        <f>IF($B9=0,1000000,IF(INDEX('計算A'!$D$60:$EQ$104,$B9,91)*GN9=1,IF(AND($E9=2,MC9=0),1000000,IF($I9&gt;0,IF(4=$J9,IF(OR(AND(91=$I9+1,OR($K9&lt;&gt;'計算A'!$A$3,'計算A'!$A$4=0)),AND(91=$I9-1,OR(19&lt;&gt;'計算A'!$A$3,'計算A'!$A$4=0))),0,IF(19=$K9,200000,ABS(19-$K9)*100)),100000+ABS(4-$J9)*1000+190)+'計算A'!CP$5*50+IF(AND($E9=1,MC9=0),25,0),INDEX('計算A'!CP$110:CP$114,$F9+1)+IF(AND($E9=1,MC9=0),1000,0)+IF($H9=1,(IF('計算A'!CO$117=1,INDEX('計算A'!CO$10:CO$54,$B9),0)+IF('計算A'!CP$117=1,INDEX('計算A'!CQ$10:CQ$54,$B9),0))*500,0)-IF(AND('計算A'!CO$117=1,XM9&gt;0),300,0)-IF(AND($L9=1,'計算A'!CP$117=1,GO9=0),300,0))),1000000))</f>
        <v/>
      </c>
      <c r="RS9">
        <f>IF($B9=0,1000000,IF(INDEX('計算A'!$D$60:$EQ$104,$B9,92)*GO9=1,IF(AND($E9=2,MD9=0),1000000,IF($I9&gt;0,IF(4=$J9,IF(OR(AND(92=$I9+1,OR($K9&lt;&gt;'計算A'!$A$3,'計算A'!$A$4=0)),AND(92=$I9-1,OR(20&lt;&gt;'計算A'!$A$3,'計算A'!$A$4=0))),0,IF(20=$K9,200000,ABS(20-$K9)*100)),100000+ABS(4-$J9)*1000+200)+'計算A'!CQ$5*50+IF(AND($E9=1,MD9=0),25,0),INDEX('計算A'!CQ$110:CQ$114,$F9+1)+IF(AND($E9=1,MD9=0),1000,0)+IF($H9=1,(IF('計算A'!CP$117=1,INDEX('計算A'!CP$10:CP$54,$B9),0)+IF('計算A'!CQ$117=1,INDEX('計算A'!CR$10:CR$54,$B9),0))*500,0)-IF(AND('計算A'!CP$117=1,XN9&gt;0),300,0)-IF(AND($L9=1,'計算A'!CQ$117=1,GP9=0),300,0))),1000000))</f>
        <v/>
      </c>
      <c r="RT9">
        <f>IF($B9=0,1000000,IF(INDEX('計算A'!$D$60:$EQ$104,$B9,93)*GP9=1,IF(AND($E9=2,ME9=0),1000000,IF($I9&gt;0,IF(4=$J9,IF(OR(AND(93=$I9+1,OR($K9&lt;&gt;'計算A'!$A$3,'計算A'!$A$4=0)),AND(93=$I9-1,OR(21&lt;&gt;'計算A'!$A$3,'計算A'!$A$4=0))),0,IF(21=$K9,200000,ABS(21-$K9)*100)),100000+ABS(4-$J9)*1000+210)+'計算A'!CR$5*50+IF(AND($E9=1,ME9=0),25,0),INDEX('計算A'!CR$110:CR$114,$F9+1)+IF(AND($E9=1,ME9=0),1000,0)+IF($H9=1,(IF('計算A'!CQ$117=1,INDEX('計算A'!CQ$10:CQ$54,$B9),0)+IF('計算A'!CR$117=1,INDEX('計算A'!CS$10:CS$54,$B9),0))*500,0)-IF(AND('計算A'!CQ$117=1,XO9&gt;0),300,0)-IF(AND($L9=1,'計算A'!CR$117=1,GQ9=0),300,0))),1000000))</f>
        <v/>
      </c>
      <c r="RU9">
        <f>IF($B9=0,1000000,IF(INDEX('計算A'!$D$60:$EQ$104,$B9,94)*GQ9=1,IF(AND($E9=2,MF9=0),1000000,IF($I9&gt;0,IF(4=$J9,IF(OR(AND(94=$I9+1,OR($K9&lt;&gt;'計算A'!$A$3,'計算A'!$A$4=0)),AND(94=$I9-1,OR(22&lt;&gt;'計算A'!$A$3,'計算A'!$A$4=0))),0,IF(22=$K9,200000,ABS(22-$K9)*100)),100000+ABS(4-$J9)*1000+220)+'計算A'!CS$5*50+IF(AND($E9=1,MF9=0),25,0),INDEX('計算A'!CS$110:CS$114,$F9+1)+IF(AND($E9=1,MF9=0),1000,0)+IF($H9=1,(IF('計算A'!CR$117=1,INDEX('計算A'!CR$10:CR$54,$B9),0)+IF('計算A'!CS$117=1,INDEX('計算A'!CT$10:CT$54,$B9),0))*500,0)-IF(AND('計算A'!CR$117=1,XP9&gt;0),300,0)-IF(AND($L9=1,'計算A'!CS$117=1,GR9=0),300,0))),1000000))</f>
        <v/>
      </c>
      <c r="RV9">
        <f>IF($B9=0,1000000,IF(INDEX('計算A'!$D$60:$EQ$104,$B9,95)*GR9=1,IF(AND($E9=2,MG9=0),1000000,IF($I9&gt;0,IF(4=$J9,IF(OR(AND(95=$I9+1,OR($K9&lt;&gt;'計算A'!$A$3,'計算A'!$A$4=0)),AND(95=$I9-1,OR(23&lt;&gt;'計算A'!$A$3,'計算A'!$A$4=0))),0,IF(23=$K9,200000,ABS(23-$K9)*100)),100000+ABS(4-$J9)*1000+230)+'計算A'!CT$5*50+IF(AND($E9=1,MG9=0),25,0),INDEX('計算A'!CT$110:CT$114,$F9+1)+IF(AND($E9=1,MG9=0),1000,0)+IF($H9=1,(IF('計算A'!CS$117=1,INDEX('計算A'!CS$10:CS$54,$B9),0)+IF('計算A'!CT$117=1,INDEX('計算A'!CU$10:CU$54,$B9),0))*500,0)-IF(AND('計算A'!CS$117=1,XQ9&gt;0),300,0)-IF(AND($L9=1,'計算A'!CT$117=1,GS9=0),300,0))),1000000))</f>
        <v/>
      </c>
      <c r="RW9">
        <f>IF($B9=0,1000000,IF(INDEX('計算A'!$D$60:$EQ$104,$B9,96)*GS9=1,IF(AND($E9=2,MH9=0),1000000,IF($I9&gt;0,IF(4=$J9,IF(OR(AND(96=$I9+1,OR($K9&lt;&gt;'計算A'!$A$3,'計算A'!$A$4=0)),AND(96=$I9-1,OR(24&lt;&gt;'計算A'!$A$3,'計算A'!$A$4=0))),0,IF(24=$K9,200000,ABS(24-$K9)*100)),100000+ABS(4-$J9)*1000+240)+'計算A'!CU$5*50+IF(AND($E9=1,MH9=0),25,0),INDEX('計算A'!CU$110:CU$114,$F9+1)+IF(AND($E9=1,MH9=0),1000,0)+IF($H9=1,(IF('計算A'!CT$117=1,INDEX('計算A'!CT$10:CT$54,$B9),0))*500,0)-IF(AND('計算A'!CT$117=1,XR9&gt;0),300,0))),1000000))</f>
        <v/>
      </c>
      <c r="RX9">
        <f>IF($B9=0,1000000,IF(INDEX('計算A'!$D$60:$EQ$104,$B9,97)*GT9=1,IF(AND($E9=2,MI9=0),1000000,IF($I9&gt;0,IF(5=$J9,IF(OR(AND(97=$I9+1,OR($K9&lt;&gt;'計算A'!$A$3,'計算A'!$A$4=0)),AND(97=$I9-1,OR(1&lt;&gt;'計算A'!$A$3,'計算A'!$A$4=0))),0,IF(1=$K9,200000,ABS(1-$K9)*100)),100000+ABS(5-$J9)*1000+10)+'計算A'!CV$5*50+IF(AND($E9=1,MI9=0),25,0),INDEX('計算A'!CV$110:CV$114,$F9+1)+IF(AND($E9=1,MI9=0),1000,0)+IF($H9=1,(IF('計算A'!CV$117=1,INDEX('計算A'!CW$10:CW$54,$B9),0))*500,0)-IF(AND($L9=1,'計算A'!CV$117=1,GU9=0),300,0))),1000000))</f>
        <v/>
      </c>
      <c r="RY9">
        <f>IF($B9=0,1000000,IF(INDEX('計算A'!$D$60:$EQ$104,$B9,98)*GU9=1,IF(AND($E9=2,MJ9=0),1000000,IF($I9&gt;0,IF(5=$J9,IF(OR(AND(98=$I9+1,OR($K9&lt;&gt;'計算A'!$A$3,'計算A'!$A$4=0)),AND(98=$I9-1,OR(2&lt;&gt;'計算A'!$A$3,'計算A'!$A$4=0))),0,IF(2=$K9,200000,ABS(2-$K9)*100)),100000+ABS(5-$J9)*1000+20)+'計算A'!CW$5*50+IF(AND($E9=1,MJ9=0),25,0),INDEX('計算A'!CW$110:CW$114,$F9+1)+IF(AND($E9=1,MJ9=0),1000,0)+IF($H9=1,(IF('計算A'!CV$117=1,INDEX('計算A'!CV$10:CV$54,$B9),0)+IF('計算A'!CW$117=1,INDEX('計算A'!CX$10:CX$54,$B9),0))*500,0)-IF(AND('計算A'!CV$117=1,XT9&gt;0),300,0)-IF(AND($L9=1,'計算A'!CW$117=1,GV9=0),300,0))),1000000))</f>
        <v/>
      </c>
      <c r="RZ9">
        <f>IF($B9=0,1000000,IF(INDEX('計算A'!$D$60:$EQ$104,$B9,99)*GV9=1,IF(AND($E9=2,MK9=0),1000000,IF($I9&gt;0,IF(5=$J9,IF(OR(AND(99=$I9+1,OR($K9&lt;&gt;'計算A'!$A$3,'計算A'!$A$4=0)),AND(99=$I9-1,OR(3&lt;&gt;'計算A'!$A$3,'計算A'!$A$4=0))),0,IF(3=$K9,200000,ABS(3-$K9)*100)),100000+ABS(5-$J9)*1000+30)+'計算A'!CX$5*50+IF(AND($E9=1,MK9=0),25,0),INDEX('計算A'!CX$110:CX$114,$F9+1)+IF(AND($E9=1,MK9=0),1000,0)+IF($H9=1,(IF('計算A'!CW$117=1,INDEX('計算A'!CW$10:CW$54,$B9),0)+IF('計算A'!CX$117=1,INDEX('計算A'!CY$10:CY$54,$B9),0))*500,0)-IF(AND('計算A'!CW$117=1,XU9&gt;0),300,0)-IF(AND($L9=1,'計算A'!CX$117=1,GW9=0),300,0))),1000000))</f>
        <v/>
      </c>
      <c r="SA9">
        <f>IF($B9=0,1000000,IF(INDEX('計算A'!$D$60:$EQ$104,$B9,100)*GW9=1,IF(AND($E9=2,ML9=0),1000000,IF($I9&gt;0,IF(5=$J9,IF(OR(AND(100=$I9+1,OR($K9&lt;&gt;'計算A'!$A$3,'計算A'!$A$4=0)),AND(100=$I9-1,OR(4&lt;&gt;'計算A'!$A$3,'計算A'!$A$4=0))),0,IF(4=$K9,200000,ABS(4-$K9)*100)),100000+ABS(5-$J9)*1000+40)+'計算A'!CY$5*50+IF(AND($E9=1,ML9=0),25,0),INDEX('計算A'!CY$110:CY$114,$F9+1)+IF(AND($E9=1,ML9=0),1000,0)+IF($H9=1,(IF('計算A'!CX$117=1,INDEX('計算A'!CX$10:CX$54,$B9),0)+IF('計算A'!CY$117=1,INDEX('計算A'!CZ$10:CZ$54,$B9),0))*500,0)-IF(AND('計算A'!CX$117=1,XV9&gt;0),300,0)-IF(AND($L9=1,'計算A'!CY$117=1,GX9=0),300,0))),1000000))</f>
        <v/>
      </c>
      <c r="SB9">
        <f>IF($B9=0,1000000,IF(INDEX('計算A'!$D$60:$EQ$104,$B9,101)*GX9=1,IF(AND($E9=2,MM9=0),1000000,IF($I9&gt;0,IF(5=$J9,IF(OR(AND(101=$I9+1,OR($K9&lt;&gt;'計算A'!$A$3,'計算A'!$A$4=0)),AND(101=$I9-1,OR(5&lt;&gt;'計算A'!$A$3,'計算A'!$A$4=0))),0,IF(5=$K9,200000,ABS(5-$K9)*100)),100000+ABS(5-$J9)*1000+50)+'計算A'!CZ$5*50+IF(AND($E9=1,MM9=0),25,0),INDEX('計算A'!CZ$110:CZ$114,$F9+1)+IF(AND($E9=1,MM9=0),1000,0)+IF($H9=1,(IF('計算A'!CY$117=1,INDEX('計算A'!CY$10:CY$54,$B9),0)+IF('計算A'!CZ$117=1,INDEX('計算A'!DA$10:DA$54,$B9),0))*500,0)-IF(AND('計算A'!CY$117=1,XW9&gt;0),300,0)-IF(AND($L9=1,'計算A'!CZ$117=1,GY9=0),300,0))),1000000))</f>
        <v/>
      </c>
      <c r="SC9">
        <f>IF($B9=0,1000000,IF(INDEX('計算A'!$D$60:$EQ$104,$B9,102)*GY9=1,IF(AND($E9=2,MN9=0),1000000,IF($I9&gt;0,IF(5=$J9,IF(OR(AND(102=$I9+1,OR($K9&lt;&gt;'計算A'!$A$3,'計算A'!$A$4=0)),AND(102=$I9-1,OR(6&lt;&gt;'計算A'!$A$3,'計算A'!$A$4=0))),0,IF(6=$K9,200000,ABS(6-$K9)*100)),100000+ABS(5-$J9)*1000+60)+'計算A'!DA$5*50+IF(AND($E9=1,MN9=0),25,0),INDEX('計算A'!DA$110:DA$114,$F9+1)+IF(AND($E9=1,MN9=0),1000,0)+IF($H9=1,(IF('計算A'!CZ$117=1,INDEX('計算A'!CZ$10:CZ$54,$B9),0)+IF('計算A'!DA$117=1,INDEX('計算A'!DB$10:DB$54,$B9),0))*500,0)-IF(AND('計算A'!CZ$117=1,XX9&gt;0),300,0)-IF(AND($L9=1,'計算A'!DA$117=1,GZ9=0),300,0))),1000000))</f>
        <v/>
      </c>
      <c r="SD9">
        <f>IF($B9=0,1000000,IF(INDEX('計算A'!$D$60:$EQ$104,$B9,103)*GZ9=1,IF(AND($E9=2,MO9=0),1000000,IF($I9&gt;0,IF(5=$J9,IF(OR(AND(103=$I9+1,OR($K9&lt;&gt;'計算A'!$A$3,'計算A'!$A$4=0)),AND(103=$I9-1,OR(7&lt;&gt;'計算A'!$A$3,'計算A'!$A$4=0))),0,IF(7=$K9,200000,ABS(7-$K9)*100)),100000+ABS(5-$J9)*1000+70)+'計算A'!DB$5*50+IF(AND($E9=1,MO9=0),25,0),INDEX('計算A'!DB$110:DB$114,$F9+1)+IF(AND($E9=1,MO9=0),1000,0)+IF($H9=1,(IF('計算A'!DA$117=1,INDEX('計算A'!DA$10:DA$54,$B9),0)+IF('計算A'!DB$117=1,INDEX('計算A'!DC$10:DC$54,$B9),0))*500,0)-IF(AND('計算A'!DA$117=1,XY9&gt;0),300,0)-IF(AND($L9=1,'計算A'!DB$117=1,HA9=0),300,0))),1000000))</f>
        <v/>
      </c>
      <c r="SE9">
        <f>IF($B9=0,1000000,IF(INDEX('計算A'!$D$60:$EQ$104,$B9,104)*HA9=1,IF(AND($E9=2,MP9=0),1000000,IF($I9&gt;0,IF(5=$J9,IF(OR(AND(104=$I9+1,OR($K9&lt;&gt;'計算A'!$A$3,'計算A'!$A$4=0)),AND(104=$I9-1,OR(8&lt;&gt;'計算A'!$A$3,'計算A'!$A$4=0))),0,IF(8=$K9,200000,ABS(8-$K9)*100)),100000+ABS(5-$J9)*1000+80)+'計算A'!DC$5*50+IF(AND($E9=1,MP9=0),25,0),INDEX('計算A'!DC$110:DC$114,$F9+1)+IF(AND($E9=1,MP9=0),1000,0)+IF($H9=1,(IF('計算A'!DB$117=1,INDEX('計算A'!DB$10:DB$54,$B9),0)+IF('計算A'!DC$117=1,INDEX('計算A'!DD$10:DD$54,$B9),0))*500,0)-IF(AND('計算A'!DB$117=1,XZ9&gt;0),300,0)-IF(AND($L9=1,'計算A'!DC$117=1,HB9=0),300,0))),1000000))</f>
        <v/>
      </c>
      <c r="SF9">
        <f>IF($B9=0,1000000,IF(INDEX('計算A'!$D$60:$EQ$104,$B9,105)*HB9=1,IF(AND($E9=2,MQ9=0),1000000,IF($I9&gt;0,IF(5=$J9,IF(OR(AND(105=$I9+1,OR($K9&lt;&gt;'計算A'!$A$3,'計算A'!$A$4=0)),AND(105=$I9-1,OR(9&lt;&gt;'計算A'!$A$3,'計算A'!$A$4=0))),0,IF(9=$K9,200000,ABS(9-$K9)*100)),100000+ABS(5-$J9)*1000+90)+'計算A'!DD$5*50+IF(AND($E9=1,MQ9=0),25,0),INDEX('計算A'!DD$110:DD$114,$F9+1)+IF(AND($E9=1,MQ9=0),1000,0)+IF($H9=1,(IF('計算A'!DC$117=1,INDEX('計算A'!DC$10:DC$54,$B9),0)+IF('計算A'!DD$117=1,INDEX('計算A'!DE$10:DE$54,$B9),0))*500,0)-IF(AND('計算A'!DC$117=1,YA9&gt;0),300,0)-IF(AND($L9=1,'計算A'!DD$117=1,HC9=0),300,0))),1000000))</f>
        <v/>
      </c>
      <c r="SG9">
        <f>IF($B9=0,1000000,IF(INDEX('計算A'!$D$60:$EQ$104,$B9,106)*HC9=1,IF(AND($E9=2,MR9=0),1000000,IF($I9&gt;0,IF(5=$J9,IF(OR(AND(106=$I9+1,OR($K9&lt;&gt;'計算A'!$A$3,'計算A'!$A$4=0)),AND(106=$I9-1,OR(10&lt;&gt;'計算A'!$A$3,'計算A'!$A$4=0))),0,IF(10=$K9,200000,ABS(10-$K9)*100)),100000+ABS(5-$J9)*1000+100)+'計算A'!DE$5*50+IF(AND($E9=1,MR9=0),25,0),INDEX('計算A'!DE$110:DE$114,$F9+1)+IF(AND($E9=1,MR9=0),1000,0)+IF($H9=1,(IF('計算A'!DD$117=1,INDEX('計算A'!DD$10:DD$54,$B9),0)+IF('計算A'!DE$117=1,INDEX('計算A'!DF$10:DF$54,$B9),0))*500,0)-IF(AND('計算A'!DD$117=1,YB9&gt;0),300,0)-IF(AND($L9=1,'計算A'!DE$117=1,HD9=0),300,0))),1000000))</f>
        <v/>
      </c>
      <c r="SH9">
        <f>IF($B9=0,1000000,IF(INDEX('計算A'!$D$60:$EQ$104,$B9,107)*HD9=1,IF(AND($E9=2,MS9=0),1000000,IF($I9&gt;0,IF(5=$J9,IF(OR(AND(107=$I9+1,OR($K9&lt;&gt;'計算A'!$A$3,'計算A'!$A$4=0)),AND(107=$I9-1,OR(11&lt;&gt;'計算A'!$A$3,'計算A'!$A$4=0))),0,IF(11=$K9,200000,ABS(11-$K9)*100)),100000+ABS(5-$J9)*1000+110)+'計算A'!DF$5*50+IF(AND($E9=1,MS9=0),25,0),INDEX('計算A'!DF$110:DF$114,$F9+1)+IF(AND($E9=1,MS9=0),1000,0)+IF($H9=1,(IF('計算A'!DE$117=1,INDEX('計算A'!DE$10:DE$54,$B9),0)+IF('計算A'!DF$117=1,INDEX('計算A'!DG$10:DG$54,$B9),0))*500,0)-IF(AND('計算A'!DE$117=1,YC9&gt;0),300,0)-IF(AND($L9=1,'計算A'!DF$117=1,HE9=0),300,0))),1000000))</f>
        <v/>
      </c>
      <c r="SI9">
        <f>IF($B9=0,1000000,IF(INDEX('計算A'!$D$60:$EQ$104,$B9,108)*HE9=1,IF(AND($E9=2,MT9=0),1000000,IF($I9&gt;0,IF(5=$J9,IF(OR(AND(108=$I9+1,OR($K9&lt;&gt;'計算A'!$A$3,'計算A'!$A$4=0)),AND(108=$I9-1,OR(12&lt;&gt;'計算A'!$A$3,'計算A'!$A$4=0))),0,IF(12=$K9,200000,ABS(12-$K9)*100)),100000+ABS(5-$J9)*1000+120)+'計算A'!DG$5*50+IF(AND($E9=1,MT9=0),25,0),INDEX('計算A'!DG$110:DG$114,$F9+1)+IF(AND($E9=1,MT9=0),1000,0)+IF($H9=1,(IF('計算A'!DF$117=1,INDEX('計算A'!DF$10:DF$54,$B9),0)+IF('計算A'!DG$117=1,INDEX('計算A'!DH$10:DH$54,$B9),0))*500,0)-IF(AND('計算A'!DF$117=1,YD9&gt;0),300,0)-IF(AND($L9=1,'計算A'!DG$117=1,HF9=0),300,0))),1000000))</f>
        <v/>
      </c>
      <c r="SJ9">
        <f>IF($B9=0,1000000,IF(INDEX('計算A'!$D$60:$EQ$104,$B9,109)*HF9=1,IF(AND($E9=2,MU9=0),1000000,IF($I9&gt;0,IF(5=$J9,IF(OR(AND(109=$I9+1,OR($K9&lt;&gt;'計算A'!$A$3,'計算A'!$A$4=0)),AND(109=$I9-1,OR(13&lt;&gt;'計算A'!$A$3,'計算A'!$A$4=0))),0,IF(13=$K9,200000,ABS(13-$K9)*100)),100000+ABS(5-$J9)*1000+130)+'計算A'!DH$5*50+IF(AND($E9=1,MU9=0),25,0),INDEX('計算A'!DH$110:DH$114,$F9+1)+IF(AND($E9=1,MU9=0),1000,0)+IF($H9=1,(IF('計算A'!DG$117=1,INDEX('計算A'!DG$10:DG$54,$B9),0)+IF('計算A'!DH$117=1,INDEX('計算A'!DI$10:DI$54,$B9),0))*500,0)-IF(AND('計算A'!DG$117=1,YE9&gt;0),300,0)-IF(AND($L9=1,'計算A'!DH$117=1,HG9=0),300,0))),1000000))</f>
        <v/>
      </c>
      <c r="SK9">
        <f>IF($B9=0,1000000,IF(INDEX('計算A'!$D$60:$EQ$104,$B9,110)*HG9=1,IF(AND($E9=2,MV9=0),1000000,IF($I9&gt;0,IF(5=$J9,IF(OR(AND(110=$I9+1,OR($K9&lt;&gt;'計算A'!$A$3,'計算A'!$A$4=0)),AND(110=$I9-1,OR(14&lt;&gt;'計算A'!$A$3,'計算A'!$A$4=0))),0,IF(14=$K9,200000,ABS(14-$K9)*100)),100000+ABS(5-$J9)*1000+140)+'計算A'!DI$5*50+IF(AND($E9=1,MV9=0),25,0),INDEX('計算A'!DI$110:DI$114,$F9+1)+IF(AND($E9=1,MV9=0),1000,0)+IF($H9=1,(IF('計算A'!DH$117=1,INDEX('計算A'!DH$10:DH$54,$B9),0)+IF('計算A'!DI$117=1,INDEX('計算A'!DJ$10:DJ$54,$B9),0))*500,0)-IF(AND('計算A'!DH$117=1,YF9&gt;0),300,0)-IF(AND($L9=1,'計算A'!DI$117=1,HH9=0),300,0))),1000000))</f>
        <v/>
      </c>
      <c r="SL9">
        <f>IF($B9=0,1000000,IF(INDEX('計算A'!$D$60:$EQ$104,$B9,111)*HH9=1,IF(AND($E9=2,MW9=0),1000000,IF($I9&gt;0,IF(5=$J9,IF(OR(AND(111=$I9+1,OR($K9&lt;&gt;'計算A'!$A$3,'計算A'!$A$4=0)),AND(111=$I9-1,OR(15&lt;&gt;'計算A'!$A$3,'計算A'!$A$4=0))),0,IF(15=$K9,200000,ABS(15-$K9)*100)),100000+ABS(5-$J9)*1000+150)+'計算A'!DJ$5*50+IF(AND($E9=1,MW9=0),25,0),INDEX('計算A'!DJ$110:DJ$114,$F9+1)+IF(AND($E9=1,MW9=0),1000,0)+IF($H9=1,(IF('計算A'!DI$117=1,INDEX('計算A'!DI$10:DI$54,$B9),0)+IF('計算A'!DJ$117=1,INDEX('計算A'!DK$10:DK$54,$B9),0))*500,0)-IF(AND('計算A'!DI$117=1,YG9&gt;0),300,0)-IF(AND($L9=1,'計算A'!DJ$117=1,HI9=0),300,0))),1000000))</f>
        <v/>
      </c>
      <c r="SM9">
        <f>IF($B9=0,1000000,IF(INDEX('計算A'!$D$60:$EQ$104,$B9,112)*HI9=1,IF(AND($E9=2,MX9=0),1000000,IF($I9&gt;0,IF(5=$J9,IF(OR(AND(112=$I9+1,OR($K9&lt;&gt;'計算A'!$A$3,'計算A'!$A$4=0)),AND(112=$I9-1,OR(16&lt;&gt;'計算A'!$A$3,'計算A'!$A$4=0))),0,IF(16=$K9,200000,ABS(16-$K9)*100)),100000+ABS(5-$J9)*1000+160)+'計算A'!DK$5*50+IF(AND($E9=1,MX9=0),25,0),INDEX('計算A'!DK$110:DK$114,$F9+1)+IF(AND($E9=1,MX9=0),1000,0)+IF($H9=1,(IF('計算A'!DJ$117=1,INDEX('計算A'!DJ$10:DJ$54,$B9),0)+IF('計算A'!DK$117=1,INDEX('計算A'!DL$10:DL$54,$B9),0))*500,0)-IF(AND('計算A'!DJ$117=1,YH9&gt;0),300,0)-IF(AND($L9=1,'計算A'!DK$117=1,HJ9=0),300,0))),1000000))</f>
        <v/>
      </c>
      <c r="SN9">
        <f>IF($B9=0,1000000,IF(INDEX('計算A'!$D$60:$EQ$104,$B9,113)*HJ9=1,IF(AND($E9=2,MY9=0),1000000,IF($I9&gt;0,IF(5=$J9,IF(OR(AND(113=$I9+1,OR($K9&lt;&gt;'計算A'!$A$3,'計算A'!$A$4=0)),AND(113=$I9-1,OR(17&lt;&gt;'計算A'!$A$3,'計算A'!$A$4=0))),0,IF(17=$K9,200000,ABS(17-$K9)*100)),100000+ABS(5-$J9)*1000+170)+'計算A'!DL$5*50+IF(AND($E9=1,MY9=0),25,0),INDEX('計算A'!DL$110:DL$114,$F9+1)+IF(AND($E9=1,MY9=0),1000,0)+IF($H9=1,(IF('計算A'!DK$117=1,INDEX('計算A'!DK$10:DK$54,$B9),0)+IF('計算A'!DL$117=1,INDEX('計算A'!DM$10:DM$54,$B9),0))*500,0)-IF(AND('計算A'!DK$117=1,YI9&gt;0),300,0)-IF(AND($L9=1,'計算A'!DL$117=1,HK9=0),300,0))),1000000))</f>
        <v/>
      </c>
      <c r="SO9">
        <f>IF($B9=0,1000000,IF(INDEX('計算A'!$D$60:$EQ$104,$B9,114)*HK9=1,IF(AND($E9=2,MZ9=0),1000000,IF($I9&gt;0,IF(5=$J9,IF(OR(AND(114=$I9+1,OR($K9&lt;&gt;'計算A'!$A$3,'計算A'!$A$4=0)),AND(114=$I9-1,OR(18&lt;&gt;'計算A'!$A$3,'計算A'!$A$4=0))),0,IF(18=$K9,200000,ABS(18-$K9)*100)),100000+ABS(5-$J9)*1000+180)+'計算A'!DM$5*50+IF(AND($E9=1,MZ9=0),25,0),INDEX('計算A'!DM$110:DM$114,$F9+1)+IF(AND($E9=1,MZ9=0),1000,0)+IF($H9=1,(IF('計算A'!DL$117=1,INDEX('計算A'!DL$10:DL$54,$B9),0)+IF('計算A'!DM$117=1,INDEX('計算A'!DN$10:DN$54,$B9),0))*500,0)-IF(AND('計算A'!DL$117=1,YJ9&gt;0),300,0)-IF(AND($L9=1,'計算A'!DM$117=1,HL9=0),300,0))),1000000))</f>
        <v/>
      </c>
      <c r="SP9">
        <f>IF($B9=0,1000000,IF(INDEX('計算A'!$D$60:$EQ$104,$B9,115)*HL9=1,IF(AND($E9=2,NA9=0),1000000,IF($I9&gt;0,IF(5=$J9,IF(OR(AND(115=$I9+1,OR($K9&lt;&gt;'計算A'!$A$3,'計算A'!$A$4=0)),AND(115=$I9-1,OR(19&lt;&gt;'計算A'!$A$3,'計算A'!$A$4=0))),0,IF(19=$K9,200000,ABS(19-$K9)*100)),100000+ABS(5-$J9)*1000+190)+'計算A'!DN$5*50+IF(AND($E9=1,NA9=0),25,0),INDEX('計算A'!DN$110:DN$114,$F9+1)+IF(AND($E9=1,NA9=0),1000,0)+IF($H9=1,(IF('計算A'!DM$117=1,INDEX('計算A'!DM$10:DM$54,$B9),0)+IF('計算A'!DN$117=1,INDEX('計算A'!DO$10:DO$54,$B9),0))*500,0)-IF(AND('計算A'!DM$117=1,YK9&gt;0),300,0)-IF(AND($L9=1,'計算A'!DN$117=1,HM9=0),300,0))),1000000))</f>
        <v/>
      </c>
      <c r="SQ9">
        <f>IF($B9=0,1000000,IF(INDEX('計算A'!$D$60:$EQ$104,$B9,116)*HM9=1,IF(AND($E9=2,NB9=0),1000000,IF($I9&gt;0,IF(5=$J9,IF(OR(AND(116=$I9+1,OR($K9&lt;&gt;'計算A'!$A$3,'計算A'!$A$4=0)),AND(116=$I9-1,OR(20&lt;&gt;'計算A'!$A$3,'計算A'!$A$4=0))),0,IF(20=$K9,200000,ABS(20-$K9)*100)),100000+ABS(5-$J9)*1000+200)+'計算A'!DO$5*50+IF(AND($E9=1,NB9=0),25,0),INDEX('計算A'!DO$110:DO$114,$F9+1)+IF(AND($E9=1,NB9=0),1000,0)+IF($H9=1,(IF('計算A'!DN$117=1,INDEX('計算A'!DN$10:DN$54,$B9),0)+IF('計算A'!DO$117=1,INDEX('計算A'!DP$10:DP$54,$B9),0))*500,0)-IF(AND('計算A'!DN$117=1,YL9&gt;0),300,0)-IF(AND($L9=1,'計算A'!DO$117=1,HN9=0),300,0))),1000000))</f>
        <v/>
      </c>
      <c r="SR9">
        <f>IF($B9=0,1000000,IF(INDEX('計算A'!$D$60:$EQ$104,$B9,117)*HN9=1,IF(AND($E9=2,NC9=0),1000000,IF($I9&gt;0,IF(5=$J9,IF(OR(AND(117=$I9+1,OR($K9&lt;&gt;'計算A'!$A$3,'計算A'!$A$4=0)),AND(117=$I9-1,OR(21&lt;&gt;'計算A'!$A$3,'計算A'!$A$4=0))),0,IF(21=$K9,200000,ABS(21-$K9)*100)),100000+ABS(5-$J9)*1000+210)+'計算A'!DP$5*50+IF(AND($E9=1,NC9=0),25,0),INDEX('計算A'!DP$110:DP$114,$F9+1)+IF(AND($E9=1,NC9=0),1000,0)+IF($H9=1,(IF('計算A'!DO$117=1,INDEX('計算A'!DO$10:DO$54,$B9),0)+IF('計算A'!DP$117=1,INDEX('計算A'!DQ$10:DQ$54,$B9),0))*500,0)-IF(AND('計算A'!DO$117=1,YM9&gt;0),300,0)-IF(AND($L9=1,'計算A'!DP$117=1,HO9=0),300,0))),1000000))</f>
        <v/>
      </c>
      <c r="SS9">
        <f>IF($B9=0,1000000,IF(INDEX('計算A'!$D$60:$EQ$104,$B9,118)*HO9=1,IF(AND($E9=2,ND9=0),1000000,IF($I9&gt;0,IF(5=$J9,IF(OR(AND(118=$I9+1,OR($K9&lt;&gt;'計算A'!$A$3,'計算A'!$A$4=0)),AND(118=$I9-1,OR(22&lt;&gt;'計算A'!$A$3,'計算A'!$A$4=0))),0,IF(22=$K9,200000,ABS(22-$K9)*100)),100000+ABS(5-$J9)*1000+220)+'計算A'!DQ$5*50+IF(AND($E9=1,ND9=0),25,0),INDEX('計算A'!DQ$110:DQ$114,$F9+1)+IF(AND($E9=1,ND9=0),1000,0)+IF($H9=1,(IF('計算A'!DP$117=1,INDEX('計算A'!DP$10:DP$54,$B9),0)+IF('計算A'!DQ$117=1,INDEX('計算A'!DR$10:DR$54,$B9),0))*500,0)-IF(AND('計算A'!DP$117=1,YN9&gt;0),300,0)-IF(AND($L9=1,'計算A'!DQ$117=1,HP9=0),300,0))),1000000))</f>
        <v/>
      </c>
      <c r="ST9">
        <f>IF($B9=0,1000000,IF(INDEX('計算A'!$D$60:$EQ$104,$B9,119)*HP9=1,IF(AND($E9=2,NE9=0),1000000,IF($I9&gt;0,IF(5=$J9,IF(OR(AND(119=$I9+1,OR($K9&lt;&gt;'計算A'!$A$3,'計算A'!$A$4=0)),AND(119=$I9-1,OR(23&lt;&gt;'計算A'!$A$3,'計算A'!$A$4=0))),0,IF(23=$K9,200000,ABS(23-$K9)*100)),100000+ABS(5-$J9)*1000+230)+'計算A'!DR$5*50+IF(AND($E9=1,NE9=0),25,0),INDEX('計算A'!DR$110:DR$114,$F9+1)+IF(AND($E9=1,NE9=0),1000,0)+IF($H9=1,(IF('計算A'!DQ$117=1,INDEX('計算A'!DQ$10:DQ$54,$B9),0)+IF('計算A'!DR$117=1,INDEX('計算A'!DS$10:DS$54,$B9),0))*500,0)-IF(AND('計算A'!DQ$117=1,YO9&gt;0),300,0)-IF(AND($L9=1,'計算A'!DR$117=1,HQ9=0),300,0))),1000000))</f>
        <v/>
      </c>
      <c r="SU9">
        <f>IF($B9=0,1000000,IF(INDEX('計算A'!$D$60:$EQ$104,$B9,120)*HQ9=1,IF(AND($E9=2,NF9=0),1000000,IF($I9&gt;0,IF(5=$J9,IF(OR(AND(120=$I9+1,OR($K9&lt;&gt;'計算A'!$A$3,'計算A'!$A$4=0)),AND(120=$I9-1,OR(24&lt;&gt;'計算A'!$A$3,'計算A'!$A$4=0))),0,IF(24=$K9,200000,ABS(24-$K9)*100)),100000+ABS(5-$J9)*1000+240)+'計算A'!DS$5*50+IF(AND($E9=1,NF9=0),25,0),INDEX('計算A'!DS$110:DS$114,$F9+1)+IF(AND($E9=1,NF9=0),1000,0)+IF($H9=1,(IF('計算A'!DR$117=1,INDEX('計算A'!DR$10:DR$54,$B9),0))*500,0)-IF(AND('計算A'!DR$117=1,YP9&gt;0),300,0))),1000000))</f>
        <v/>
      </c>
      <c r="SV9">
        <f>IF($B9=0,1000000,IF(INDEX('計算A'!$D$60:$EQ$104,$B9,121)*HR9=1,IF(AND($E9=2,NG9=0),1000000,IF($I9&gt;0,IF(6=$J9,IF(OR(AND(121=$I9+1,OR($K9&lt;&gt;'計算A'!$A$3,'計算A'!$A$4=0)),AND(121=$I9-1,OR(1&lt;&gt;'計算A'!$A$3,'計算A'!$A$4=0))),0,IF(1=$K9,200000,ABS(1-$K9)*100)),100000+ABS(6-$J9)*1000+10)+'計算A'!DT$5*50+IF(AND($E9=1,NG9=0),25,0),INDEX('計算A'!DT$110:DT$114,$F9+1)+IF(AND($E9=1,NG9=0),1000,0)+IF($H9=1,(IF('計算A'!DT$117=1,INDEX('計算A'!DU$10:DU$54,$B9),0))*500,0)-IF(AND($L9=1,'計算A'!DT$117=1,HS9=0),300,0))),1000000))</f>
        <v/>
      </c>
      <c r="SW9">
        <f>IF($B9=0,1000000,IF(INDEX('計算A'!$D$60:$EQ$104,$B9,122)*HS9=1,IF(AND($E9=2,NH9=0),1000000,IF($I9&gt;0,IF(6=$J9,IF(OR(AND(122=$I9+1,OR($K9&lt;&gt;'計算A'!$A$3,'計算A'!$A$4=0)),AND(122=$I9-1,OR(2&lt;&gt;'計算A'!$A$3,'計算A'!$A$4=0))),0,IF(2=$K9,200000,ABS(2-$K9)*100)),100000+ABS(6-$J9)*1000+20)+'計算A'!DU$5*50+IF(AND($E9=1,NH9=0),25,0),INDEX('計算A'!DU$110:DU$114,$F9+1)+IF(AND($E9=1,NH9=0),1000,0)+IF($H9=1,(IF('計算A'!DT$117=1,INDEX('計算A'!DT$10:DT$54,$B9),0)+IF('計算A'!DU$117=1,INDEX('計算A'!DV$10:DV$54,$B9),0))*500,0)-IF(AND('計算A'!DT$117=1,YR9&gt;0),300,0)-IF(AND($L9=1,'計算A'!DU$117=1,HT9=0),300,0))),1000000))</f>
        <v/>
      </c>
      <c r="SX9">
        <f>IF($B9=0,1000000,IF(INDEX('計算A'!$D$60:$EQ$104,$B9,123)*HT9=1,IF(AND($E9=2,NI9=0),1000000,IF($I9&gt;0,IF(6=$J9,IF(OR(AND(123=$I9+1,OR($K9&lt;&gt;'計算A'!$A$3,'計算A'!$A$4=0)),AND(123=$I9-1,OR(3&lt;&gt;'計算A'!$A$3,'計算A'!$A$4=0))),0,IF(3=$K9,200000,ABS(3-$K9)*100)),100000+ABS(6-$J9)*1000+30)+'計算A'!DV$5*50+IF(AND($E9=1,NI9=0),25,0),INDEX('計算A'!DV$110:DV$114,$F9+1)+IF(AND($E9=1,NI9=0),1000,0)+IF($H9=1,(IF('計算A'!DU$117=1,INDEX('計算A'!DU$10:DU$54,$B9),0)+IF('計算A'!DV$117=1,INDEX('計算A'!DW$10:DW$54,$B9),0))*500,0)-IF(AND('計算A'!DU$117=1,YS9&gt;0),300,0)-IF(AND($L9=1,'計算A'!DV$117=1,HU9=0),300,0))),1000000))</f>
        <v/>
      </c>
      <c r="SY9">
        <f>IF($B9=0,1000000,IF(INDEX('計算A'!$D$60:$EQ$104,$B9,124)*HU9=1,IF(AND($E9=2,NJ9=0),1000000,IF($I9&gt;0,IF(6=$J9,IF(OR(AND(124=$I9+1,OR($K9&lt;&gt;'計算A'!$A$3,'計算A'!$A$4=0)),AND(124=$I9-1,OR(4&lt;&gt;'計算A'!$A$3,'計算A'!$A$4=0))),0,IF(4=$K9,200000,ABS(4-$K9)*100)),100000+ABS(6-$J9)*1000+40)+'計算A'!DW$5*50+IF(AND($E9=1,NJ9=0),25,0),INDEX('計算A'!DW$110:DW$114,$F9+1)+IF(AND($E9=1,NJ9=0),1000,0)+IF($H9=1,(IF('計算A'!DV$117=1,INDEX('計算A'!DV$10:DV$54,$B9),0)+IF('計算A'!DW$117=1,INDEX('計算A'!DX$10:DX$54,$B9),0))*500,0)-IF(AND('計算A'!DV$117=1,YT9&gt;0),300,0)-IF(AND($L9=1,'計算A'!DW$117=1,HV9=0),300,0))),1000000))</f>
        <v/>
      </c>
      <c r="SZ9">
        <f>IF($B9=0,1000000,IF(INDEX('計算A'!$D$60:$EQ$104,$B9,125)*HV9=1,IF(AND($E9=2,NK9=0),1000000,IF($I9&gt;0,IF(6=$J9,IF(OR(AND(125=$I9+1,OR($K9&lt;&gt;'計算A'!$A$3,'計算A'!$A$4=0)),AND(125=$I9-1,OR(5&lt;&gt;'計算A'!$A$3,'計算A'!$A$4=0))),0,IF(5=$K9,200000,ABS(5-$K9)*100)),100000+ABS(6-$J9)*1000+50)+'計算A'!DX$5*50+IF(AND($E9=1,NK9=0),25,0),INDEX('計算A'!DX$110:DX$114,$F9+1)+IF(AND($E9=1,NK9=0),1000,0)+IF($H9=1,(IF('計算A'!DW$117=1,INDEX('計算A'!DW$10:DW$54,$B9),0)+IF('計算A'!DX$117=1,INDEX('計算A'!DY$10:DY$54,$B9),0))*500,0)-IF(AND('計算A'!DW$117=1,YU9&gt;0),300,0)-IF(AND($L9=1,'計算A'!DX$117=1,HW9=0),300,0))),1000000))</f>
        <v/>
      </c>
      <c r="TA9">
        <f>IF($B9=0,1000000,IF(INDEX('計算A'!$D$60:$EQ$104,$B9,126)*HW9=1,IF(AND($E9=2,NL9=0),1000000,IF($I9&gt;0,IF(6=$J9,IF(OR(AND(126=$I9+1,OR($K9&lt;&gt;'計算A'!$A$3,'計算A'!$A$4=0)),AND(126=$I9-1,OR(6&lt;&gt;'計算A'!$A$3,'計算A'!$A$4=0))),0,IF(6=$K9,200000,ABS(6-$K9)*100)),100000+ABS(6-$J9)*1000+60)+'計算A'!DY$5*50+IF(AND($E9=1,NL9=0),25,0),INDEX('計算A'!DY$110:DY$114,$F9+1)+IF(AND($E9=1,NL9=0),1000,0)+IF($H9=1,(IF('計算A'!DX$117=1,INDEX('計算A'!DX$10:DX$54,$B9),0)+IF('計算A'!DY$117=1,INDEX('計算A'!DZ$10:DZ$54,$B9),0))*500,0)-IF(AND('計算A'!DX$117=1,YV9&gt;0),300,0)-IF(AND($L9=1,'計算A'!DY$117=1,HX9=0),300,0))),1000000))</f>
        <v/>
      </c>
      <c r="TB9">
        <f>IF($B9=0,1000000,IF(INDEX('計算A'!$D$60:$EQ$104,$B9,127)*HX9=1,IF(AND($E9=2,NM9=0),1000000,IF($I9&gt;0,IF(6=$J9,IF(OR(AND(127=$I9+1,OR($K9&lt;&gt;'計算A'!$A$3,'計算A'!$A$4=0)),AND(127=$I9-1,OR(7&lt;&gt;'計算A'!$A$3,'計算A'!$A$4=0))),0,IF(7=$K9,200000,ABS(7-$K9)*100)),100000+ABS(6-$J9)*1000+70)+'計算A'!DZ$5*50+IF(AND($E9=1,NM9=0),25,0),INDEX('計算A'!DZ$110:DZ$114,$F9+1)+IF(AND($E9=1,NM9=0),1000,0)+IF($H9=1,(IF('計算A'!DY$117=1,INDEX('計算A'!DY$10:DY$54,$B9),0)+IF('計算A'!DZ$117=1,INDEX('計算A'!EA$10:EA$54,$B9),0))*500,0)-IF(AND('計算A'!DY$117=1,YW9&gt;0),300,0)-IF(AND($L9=1,'計算A'!DZ$117=1,HY9=0),300,0))),1000000))</f>
        <v/>
      </c>
      <c r="TC9">
        <f>IF($B9=0,1000000,IF(INDEX('計算A'!$D$60:$EQ$104,$B9,128)*HY9=1,IF(AND($E9=2,NN9=0),1000000,IF($I9&gt;0,IF(6=$J9,IF(OR(AND(128=$I9+1,OR($K9&lt;&gt;'計算A'!$A$3,'計算A'!$A$4=0)),AND(128=$I9-1,OR(8&lt;&gt;'計算A'!$A$3,'計算A'!$A$4=0))),0,IF(8=$K9,200000,ABS(8-$K9)*100)),100000+ABS(6-$J9)*1000+80)+'計算A'!EA$5*50+IF(AND($E9=1,NN9=0),25,0),INDEX('計算A'!EA$110:EA$114,$F9+1)+IF(AND($E9=1,NN9=0),1000,0)+IF($H9=1,(IF('計算A'!DZ$117=1,INDEX('計算A'!DZ$10:DZ$54,$B9),0)+IF('計算A'!EA$117=1,INDEX('計算A'!EB$10:EB$54,$B9),0))*500,0)-IF(AND('計算A'!DZ$117=1,YX9&gt;0),300,0)-IF(AND($L9=1,'計算A'!EA$117=1,HZ9=0),300,0))),1000000))</f>
        <v/>
      </c>
      <c r="TD9">
        <f>IF($B9=0,1000000,IF(INDEX('計算A'!$D$60:$EQ$104,$B9,129)*HZ9=1,IF(AND($E9=2,NO9=0),1000000,IF($I9&gt;0,IF(6=$J9,IF(OR(AND(129=$I9+1,OR($K9&lt;&gt;'計算A'!$A$3,'計算A'!$A$4=0)),AND(129=$I9-1,OR(9&lt;&gt;'計算A'!$A$3,'計算A'!$A$4=0))),0,IF(9=$K9,200000,ABS(9-$K9)*100)),100000+ABS(6-$J9)*1000+90)+'計算A'!EB$5*50+IF(AND($E9=1,NO9=0),25,0),INDEX('計算A'!EB$110:EB$114,$F9+1)+IF(AND($E9=1,NO9=0),1000,0)+IF($H9=1,(IF('計算A'!EA$117=1,INDEX('計算A'!EA$10:EA$54,$B9),0)+IF('計算A'!EB$117=1,INDEX('計算A'!EC$10:EC$54,$B9),0))*500,0)-IF(AND('計算A'!EA$117=1,YY9&gt;0),300,0)-IF(AND($L9=1,'計算A'!EB$117=1,IA9=0),300,0))),1000000))</f>
        <v/>
      </c>
      <c r="TE9">
        <f>IF($B9=0,1000000,IF(INDEX('計算A'!$D$60:$EQ$104,$B9,130)*IA9=1,IF(AND($E9=2,NP9=0),1000000,IF($I9&gt;0,IF(6=$J9,IF(OR(AND(130=$I9+1,OR($K9&lt;&gt;'計算A'!$A$3,'計算A'!$A$4=0)),AND(130=$I9-1,OR(10&lt;&gt;'計算A'!$A$3,'計算A'!$A$4=0))),0,IF(10=$K9,200000,ABS(10-$K9)*100)),100000+ABS(6-$J9)*1000+100)+'計算A'!EC$5*50+IF(AND($E9=1,NP9=0),25,0),INDEX('計算A'!EC$110:EC$114,$F9+1)+IF(AND($E9=1,NP9=0),1000,0)+IF($H9=1,(IF('計算A'!EB$117=1,INDEX('計算A'!EB$10:EB$54,$B9),0)+IF('計算A'!EC$117=1,INDEX('計算A'!ED$10:ED$54,$B9),0))*500,0)-IF(AND('計算A'!EB$117=1,YZ9&gt;0),300,0)-IF(AND($L9=1,'計算A'!EC$117=1,IB9=0),300,0))),1000000))</f>
        <v/>
      </c>
      <c r="TF9">
        <f>IF($B9=0,1000000,IF(INDEX('計算A'!$D$60:$EQ$104,$B9,131)*IB9=1,IF(AND($E9=2,NQ9=0),1000000,IF($I9&gt;0,IF(6=$J9,IF(OR(AND(131=$I9+1,OR($K9&lt;&gt;'計算A'!$A$3,'計算A'!$A$4=0)),AND(131=$I9-1,OR(11&lt;&gt;'計算A'!$A$3,'計算A'!$A$4=0))),0,IF(11=$K9,200000,ABS(11-$K9)*100)),100000+ABS(6-$J9)*1000+110)+'計算A'!ED$5*50+IF(AND($E9=1,NQ9=0),25,0),INDEX('計算A'!ED$110:ED$114,$F9+1)+IF(AND($E9=1,NQ9=0),1000,0)+IF($H9=1,(IF('計算A'!EC$117=1,INDEX('計算A'!EC$10:EC$54,$B9),0)+IF('計算A'!ED$117=1,INDEX('計算A'!EE$10:EE$54,$B9),0))*500,0)-IF(AND('計算A'!EC$117=1,ZA9&gt;0),300,0)-IF(AND($L9=1,'計算A'!ED$117=1,IC9=0),300,0))),1000000))</f>
        <v/>
      </c>
      <c r="TG9">
        <f>IF($B9=0,1000000,IF(INDEX('計算A'!$D$60:$EQ$104,$B9,132)*IC9=1,IF(AND($E9=2,NR9=0),1000000,IF($I9&gt;0,IF(6=$J9,IF(OR(AND(132=$I9+1,OR($K9&lt;&gt;'計算A'!$A$3,'計算A'!$A$4=0)),AND(132=$I9-1,OR(12&lt;&gt;'計算A'!$A$3,'計算A'!$A$4=0))),0,IF(12=$K9,200000,ABS(12-$K9)*100)),100000+ABS(6-$J9)*1000+120)+'計算A'!EE$5*50+IF(AND($E9=1,NR9=0),25,0),INDEX('計算A'!EE$110:EE$114,$F9+1)+IF(AND($E9=1,NR9=0),1000,0)+IF($H9=1,(IF('計算A'!ED$117=1,INDEX('計算A'!ED$10:ED$54,$B9),0)+IF('計算A'!EE$117=1,INDEX('計算A'!EF$10:EF$54,$B9),0))*500,0)-IF(AND('計算A'!ED$117=1,ZB9&gt;0),300,0)-IF(AND($L9=1,'計算A'!EE$117=1,ID9=0),300,0))),1000000))</f>
        <v/>
      </c>
      <c r="TH9">
        <f>IF($B9=0,1000000,IF(INDEX('計算A'!$D$60:$EQ$104,$B9,133)*ID9=1,IF(AND($E9=2,NS9=0),1000000,IF($I9&gt;0,IF(6=$J9,IF(OR(AND(133=$I9+1,OR($K9&lt;&gt;'計算A'!$A$3,'計算A'!$A$4=0)),AND(133=$I9-1,OR(13&lt;&gt;'計算A'!$A$3,'計算A'!$A$4=0))),0,IF(13=$K9,200000,ABS(13-$K9)*100)),100000+ABS(6-$J9)*1000+130)+'計算A'!EF$5*50+IF(AND($E9=1,NS9=0),25,0),INDEX('計算A'!EF$110:EF$114,$F9+1)+IF(AND($E9=1,NS9=0),1000,0)+IF($H9=1,(IF('計算A'!EE$117=1,INDEX('計算A'!EE$10:EE$54,$B9),0)+IF('計算A'!EF$117=1,INDEX('計算A'!EG$10:EG$54,$B9),0))*500,0)-IF(AND('計算A'!EE$117=1,ZC9&gt;0),300,0)-IF(AND($L9=1,'計算A'!EF$117=1,IE9=0),300,0))),1000000))</f>
        <v/>
      </c>
      <c r="TI9">
        <f>IF($B9=0,1000000,IF(INDEX('計算A'!$D$60:$EQ$104,$B9,134)*IE9=1,IF(AND($E9=2,NT9=0),1000000,IF($I9&gt;0,IF(6=$J9,IF(OR(AND(134=$I9+1,OR($K9&lt;&gt;'計算A'!$A$3,'計算A'!$A$4=0)),AND(134=$I9-1,OR(14&lt;&gt;'計算A'!$A$3,'計算A'!$A$4=0))),0,IF(14=$K9,200000,ABS(14-$K9)*100)),100000+ABS(6-$J9)*1000+140)+'計算A'!EG$5*50+IF(AND($E9=1,NT9=0),25,0),INDEX('計算A'!EG$110:EG$114,$F9+1)+IF(AND($E9=1,NT9=0),1000,0)+IF($H9=1,(IF('計算A'!EF$117=1,INDEX('計算A'!EF$10:EF$54,$B9),0)+IF('計算A'!EG$117=1,INDEX('計算A'!EH$10:EH$54,$B9),0))*500,0)-IF(AND('計算A'!EF$117=1,ZD9&gt;0),300,0)-IF(AND($L9=1,'計算A'!EG$117=1,IF9=0),300,0))),1000000))</f>
        <v/>
      </c>
      <c r="TJ9">
        <f>IF($B9=0,1000000,IF(INDEX('計算A'!$D$60:$EQ$104,$B9,135)*IF9=1,IF(AND($E9=2,NU9=0),1000000,IF($I9&gt;0,IF(6=$J9,IF(OR(AND(135=$I9+1,OR($K9&lt;&gt;'計算A'!$A$3,'計算A'!$A$4=0)),AND(135=$I9-1,OR(15&lt;&gt;'計算A'!$A$3,'計算A'!$A$4=0))),0,IF(15=$K9,200000,ABS(15-$K9)*100)),100000+ABS(6-$J9)*1000+150)+'計算A'!EH$5*50+IF(AND($E9=1,NU9=0),25,0),INDEX('計算A'!EH$110:EH$114,$F9+1)+IF(AND($E9=1,NU9=0),1000,0)+IF($H9=1,(IF('計算A'!EG$117=1,INDEX('計算A'!EG$10:EG$54,$B9),0)+IF('計算A'!EH$117=1,INDEX('計算A'!EI$10:EI$54,$B9),0))*500,0)-IF(AND('計算A'!EG$117=1,ZE9&gt;0),300,0)-IF(AND($L9=1,'計算A'!EH$117=1,IG9=0),300,0))),1000000))</f>
        <v/>
      </c>
      <c r="TK9">
        <f>IF($B9=0,1000000,IF(INDEX('計算A'!$D$60:$EQ$104,$B9,136)*IG9=1,IF(AND($E9=2,NV9=0),1000000,IF($I9&gt;0,IF(6=$J9,IF(OR(AND(136=$I9+1,OR($K9&lt;&gt;'計算A'!$A$3,'計算A'!$A$4=0)),AND(136=$I9-1,OR(16&lt;&gt;'計算A'!$A$3,'計算A'!$A$4=0))),0,IF(16=$K9,200000,ABS(16-$K9)*100)),100000+ABS(6-$J9)*1000+160)+'計算A'!EI$5*50+IF(AND($E9=1,NV9=0),25,0),INDEX('計算A'!EI$110:EI$114,$F9+1)+IF(AND($E9=1,NV9=0),1000,0)+IF($H9=1,(IF('計算A'!EH$117=1,INDEX('計算A'!EH$10:EH$54,$B9),0)+IF('計算A'!EI$117=1,INDEX('計算A'!EJ$10:EJ$54,$B9),0))*500,0)-IF(AND('計算A'!EH$117=1,ZF9&gt;0),300,0)-IF(AND($L9=1,'計算A'!EI$117=1,IH9=0),300,0))),1000000))</f>
        <v/>
      </c>
      <c r="TL9">
        <f>IF($B9=0,1000000,IF(INDEX('計算A'!$D$60:$EQ$104,$B9,137)*IH9=1,IF(AND($E9=2,NW9=0),1000000,IF($I9&gt;0,IF(6=$J9,IF(OR(AND(137=$I9+1,OR($K9&lt;&gt;'計算A'!$A$3,'計算A'!$A$4=0)),AND(137=$I9-1,OR(17&lt;&gt;'計算A'!$A$3,'計算A'!$A$4=0))),0,IF(17=$K9,200000,ABS(17-$K9)*100)),100000+ABS(6-$J9)*1000+170)+'計算A'!EJ$5*50+IF(AND($E9=1,NW9=0),25,0),INDEX('計算A'!EJ$110:EJ$114,$F9+1)+IF(AND($E9=1,NW9=0),1000,0)+IF($H9=1,(IF('計算A'!EI$117=1,INDEX('計算A'!EI$10:EI$54,$B9),0)+IF('計算A'!EJ$117=1,INDEX('計算A'!EK$10:EK$54,$B9),0))*500,0)-IF(AND('計算A'!EI$117=1,ZG9&gt;0),300,0)-IF(AND($L9=1,'計算A'!EJ$117=1,II9=0),300,0))),1000000))</f>
        <v/>
      </c>
      <c r="TM9">
        <f>IF($B9=0,1000000,IF(INDEX('計算A'!$D$60:$EQ$104,$B9,138)*II9=1,IF(AND($E9=2,NX9=0),1000000,IF($I9&gt;0,IF(6=$J9,IF(OR(AND(138=$I9+1,OR($K9&lt;&gt;'計算A'!$A$3,'計算A'!$A$4=0)),AND(138=$I9-1,OR(18&lt;&gt;'計算A'!$A$3,'計算A'!$A$4=0))),0,IF(18=$K9,200000,ABS(18-$K9)*100)),100000+ABS(6-$J9)*1000+180)+'計算A'!EK$5*50+IF(AND($E9=1,NX9=0),25,0),INDEX('計算A'!EK$110:EK$114,$F9+1)+IF(AND($E9=1,NX9=0),1000,0)+IF($H9=1,(IF('計算A'!EJ$117=1,INDEX('計算A'!EJ$10:EJ$54,$B9),0)+IF('計算A'!EK$117=1,INDEX('計算A'!EL$10:EL$54,$B9),0))*500,0)-IF(AND('計算A'!EJ$117=1,ZH9&gt;0),300,0)-IF(AND($L9=1,'計算A'!EK$117=1,IJ9=0),300,0))),1000000))</f>
        <v/>
      </c>
      <c r="TN9">
        <f>IF($B9=0,1000000,IF(INDEX('計算A'!$D$60:$EQ$104,$B9,139)*IJ9=1,IF(AND($E9=2,NY9=0),1000000,IF($I9&gt;0,IF(6=$J9,IF(OR(AND(139=$I9+1,OR($K9&lt;&gt;'計算A'!$A$3,'計算A'!$A$4=0)),AND(139=$I9-1,OR(19&lt;&gt;'計算A'!$A$3,'計算A'!$A$4=0))),0,IF(19=$K9,200000,ABS(19-$K9)*100)),100000+ABS(6-$J9)*1000+190)+'計算A'!EL$5*50+IF(AND($E9=1,NY9=0),25,0),INDEX('計算A'!EL$110:EL$114,$F9+1)+IF(AND($E9=1,NY9=0),1000,0)+IF($H9=1,(IF('計算A'!EK$117=1,INDEX('計算A'!EK$10:EK$54,$B9),0)+IF('計算A'!EL$117=1,INDEX('計算A'!EM$10:EM$54,$B9),0))*500,0)-IF(AND('計算A'!EK$117=1,ZI9&gt;0),300,0)-IF(AND($L9=1,'計算A'!EL$117=1,IK9=0),300,0))),1000000))</f>
        <v/>
      </c>
      <c r="TO9">
        <f>IF($B9=0,1000000,IF(INDEX('計算A'!$D$60:$EQ$104,$B9,140)*IK9=1,IF(AND($E9=2,NZ9=0),1000000,IF($I9&gt;0,IF(6=$J9,IF(OR(AND(140=$I9+1,OR($K9&lt;&gt;'計算A'!$A$3,'計算A'!$A$4=0)),AND(140=$I9-1,OR(20&lt;&gt;'計算A'!$A$3,'計算A'!$A$4=0))),0,IF(20=$K9,200000,ABS(20-$K9)*100)),100000+ABS(6-$J9)*1000+200)+'計算A'!EM$5*50+IF(AND($E9=1,NZ9=0),25,0),INDEX('計算A'!EM$110:EM$114,$F9+1)+IF(AND($E9=1,NZ9=0),1000,0)+IF($H9=1,(IF('計算A'!EL$117=1,INDEX('計算A'!EL$10:EL$54,$B9),0)+IF('計算A'!EM$117=1,INDEX('計算A'!EN$10:EN$54,$B9),0))*500,0)-IF(AND('計算A'!EL$117=1,ZJ9&gt;0),300,0)-IF(AND($L9=1,'計算A'!EM$117=1,IL9=0),300,0))),1000000))</f>
        <v/>
      </c>
      <c r="TP9">
        <f>IF($B9=0,1000000,IF(INDEX('計算A'!$D$60:$EQ$104,$B9,141)*IL9=1,IF(AND($E9=2,OA9=0),1000000,IF($I9&gt;0,IF(6=$J9,IF(OR(AND(141=$I9+1,OR($K9&lt;&gt;'計算A'!$A$3,'計算A'!$A$4=0)),AND(141=$I9-1,OR(21&lt;&gt;'計算A'!$A$3,'計算A'!$A$4=0))),0,IF(21=$K9,200000,ABS(21-$K9)*100)),100000+ABS(6-$J9)*1000+210)+'計算A'!EN$5*50+IF(AND($E9=1,OA9=0),25,0),INDEX('計算A'!EN$110:EN$114,$F9+1)+IF(AND($E9=1,OA9=0),1000,0)+IF($H9=1,(IF('計算A'!EM$117=1,INDEX('計算A'!EM$10:EM$54,$B9),0)+IF('計算A'!EN$117=1,INDEX('計算A'!EO$10:EO$54,$B9),0))*500,0)-IF(AND('計算A'!EM$117=1,ZK9&gt;0),300,0)-IF(AND($L9=1,'計算A'!EN$117=1,IM9=0),300,0))),1000000))</f>
        <v/>
      </c>
      <c r="TQ9">
        <f>IF($B9=0,1000000,IF(INDEX('計算A'!$D$60:$EQ$104,$B9,142)*IM9=1,IF(AND($E9=2,OB9=0),1000000,IF($I9&gt;0,IF(6=$J9,IF(OR(AND(142=$I9+1,OR($K9&lt;&gt;'計算A'!$A$3,'計算A'!$A$4=0)),AND(142=$I9-1,OR(22&lt;&gt;'計算A'!$A$3,'計算A'!$A$4=0))),0,IF(22=$K9,200000,ABS(22-$K9)*100)),100000+ABS(6-$J9)*1000+220)+'計算A'!EO$5*50+IF(AND($E9=1,OB9=0),25,0),INDEX('計算A'!EO$110:EO$114,$F9+1)+IF(AND($E9=1,OB9=0),1000,0)+IF($H9=1,(IF('計算A'!EN$117=1,INDEX('計算A'!EN$10:EN$54,$B9),0)+IF('計算A'!EO$117=1,INDEX('計算A'!EP$10:EP$54,$B9),0))*500,0)-IF(AND('計算A'!EN$117=1,ZL9&gt;0),300,0)-IF(AND($L9=1,'計算A'!EO$117=1,IN9=0),300,0))),1000000))</f>
        <v/>
      </c>
      <c r="TR9">
        <f>IF($B9=0,1000000,IF(INDEX('計算A'!$D$60:$EQ$104,$B9,143)*IN9=1,IF(AND($E9=2,OC9=0),1000000,IF($I9&gt;0,IF(6=$J9,IF(OR(AND(143=$I9+1,OR($K9&lt;&gt;'計算A'!$A$3,'計算A'!$A$4=0)),AND(143=$I9-1,OR(23&lt;&gt;'計算A'!$A$3,'計算A'!$A$4=0))),0,IF(23=$K9,200000,ABS(23-$K9)*100)),100000+ABS(6-$J9)*1000+230)+'計算A'!EP$5*50+IF(AND($E9=1,OC9=0),25,0),INDEX('計算A'!EP$110:EP$114,$F9+1)+IF(AND($E9=1,OC9=0),1000,0)+IF($H9=1,(IF('計算A'!EO$117=1,INDEX('計算A'!EO$10:EO$54,$B9),0)+IF('計算A'!EP$117=1,INDEX('計算A'!EQ$10:EQ$54,$B9),0))*500,0)-IF(AND('計算A'!EO$117=1,ZM9&gt;0),300,0)-IF(AND($L9=1,'計算A'!EP$117=1,IO9=0),300,0))),1000000))</f>
        <v/>
      </c>
      <c r="TS9">
        <f>IF($B9=0,1000000,IF(INDEX('計算A'!$D$60:$EQ$104,$B9,144)*IO9=1,IF(AND($E9=2,OD9=0),1000000,IF($I9&gt;0,IF(6=$J9,IF(OR(AND(144=$I9+1,OR($K9&lt;&gt;'計算A'!$A$3,'計算A'!$A$4=0)),AND(144=$I9-1,OR(24&lt;&gt;'計算A'!$A$3,'計算A'!$A$4=0))),0,IF(24=$K9,200000,ABS(24-$K9)*100)),100000+ABS(6-$J9)*1000+240)+'計算A'!EQ$5*50+IF(AND($E9=1,OD9=0),25,0),INDEX('計算A'!EQ$110:EQ$114,$F9+1)+IF(AND($E9=1,OD9=0),1000,0)+IF($H9=1,(IF('計算A'!EP$117=1,INDEX('計算A'!EP$10:EP$54,$B9),0))*500,0)-IF(AND('計算A'!EP$117=1,ZN9&gt;0),300,0))),1000000))</f>
        <v/>
      </c>
      <c r="UB9">
        <f>UB8+IF(AND($C8=1,$L8=1),1,0)</f>
        <v/>
      </c>
      <c r="UC9">
        <f>UC8+IF(AND($C8=2,$L8=1),1,0)</f>
        <v/>
      </c>
      <c r="UD9">
        <f>UD8+IF(AND($C8=3,$L8=1),1,0)</f>
        <v/>
      </c>
      <c r="UE9">
        <f>UE8+IF(AND($C8=4,$L8=1),1,0)</f>
        <v/>
      </c>
      <c r="UF9">
        <f>UF8+IF(AND($C8=5,$L8=1),1,0)</f>
        <v/>
      </c>
      <c r="UG9">
        <f>UG8+IF(AND($C8=6,$L8=1),1,0)</f>
        <v/>
      </c>
      <c r="UH9">
        <f>UH8+IF(AND($C8=7,$L8=1),1,0)</f>
        <v/>
      </c>
      <c r="UI9">
        <f>UI8+IF(AND($C8=8,$L8=1),1,0)</f>
        <v/>
      </c>
      <c r="UJ9">
        <f>UJ8+IF(AND($C8=9,$L8=1),1,0)</f>
        <v/>
      </c>
      <c r="UK9">
        <f>UK8+IF(AND($C8=10,$L8=1),1,0)</f>
        <v/>
      </c>
      <c r="UL9">
        <f>UL8+IF(AND($C8=11,$L8=1),1,0)</f>
        <v/>
      </c>
      <c r="UM9">
        <f>UM8+IF(AND($C8=12,$L8=1),1,0)</f>
        <v/>
      </c>
      <c r="UN9">
        <f>UN8+IF(AND($C8=13,$L8=1),1,0)</f>
        <v/>
      </c>
      <c r="UO9">
        <f>UO8+IF(AND($C8=14,$L8=1),1,0)</f>
        <v/>
      </c>
      <c r="UP9">
        <f>UP8+IF(AND($C8=15,$L8=1),1,0)</f>
        <v/>
      </c>
      <c r="UQ9">
        <f>UQ8+IF(AND($C8=16,$L8=1),1,0)</f>
        <v/>
      </c>
      <c r="UR9">
        <f>UR8+IF(AND($C8=17,$L8=1),1,0)</f>
        <v/>
      </c>
      <c r="US9">
        <f>US8+IF(AND($C8=18,$L8=1),1,0)</f>
        <v/>
      </c>
      <c r="UT9">
        <f>UT8+IF(AND($C8=19,$L8=1),1,0)</f>
        <v/>
      </c>
      <c r="UU9">
        <f>UU8+IF(AND($C8=20,$L8=1),1,0)</f>
        <v/>
      </c>
      <c r="UV9">
        <f>UV8+IF(AND($C8=21,$L8=1),1,0)</f>
        <v/>
      </c>
      <c r="UW9">
        <f>UW8+IF(AND($C8=22,$L8=1),1,0)</f>
        <v/>
      </c>
      <c r="UX9">
        <f>UX8+IF(AND($C8=23,$L8=1),1,0)</f>
        <v/>
      </c>
      <c r="UY9">
        <f>UY8+IF(AND($C8=24,$L8=1),1,0)</f>
        <v/>
      </c>
      <c r="UZ9">
        <f>UZ8+IF(AND($C8=25,$L8=1),1,0)</f>
        <v/>
      </c>
      <c r="VA9">
        <f>VA8+IF(AND($C8=26,$L8=1),1,0)</f>
        <v/>
      </c>
      <c r="VB9">
        <f>VB8+IF(AND($C8=27,$L8=1),1,0)</f>
        <v/>
      </c>
      <c r="VC9">
        <f>VC8+IF(AND($C8=28,$L8=1),1,0)</f>
        <v/>
      </c>
      <c r="VD9">
        <f>VD8+IF(AND($C8=29,$L8=1),1,0)</f>
        <v/>
      </c>
      <c r="VE9">
        <f>VE8+IF(AND($C8=30,$L8=1),1,0)</f>
        <v/>
      </c>
      <c r="VF9">
        <f>VF8+IF(AND($C8=31,$L8=1),1,0)</f>
        <v/>
      </c>
      <c r="VG9">
        <f>VG8+IF(AND($C8=32,$L8=1),1,0)</f>
        <v/>
      </c>
      <c r="VH9">
        <f>VH8+IF(AND($C8=33,$L8=1),1,0)</f>
        <v/>
      </c>
      <c r="VI9">
        <f>VI8+IF(AND($C8=34,$L8=1),1,0)</f>
        <v/>
      </c>
      <c r="VJ9">
        <f>VJ8+IF(AND($C8=35,$L8=1),1,0)</f>
        <v/>
      </c>
      <c r="VK9">
        <f>VK8+IF(AND($C8=36,$L8=1),1,0)</f>
        <v/>
      </c>
      <c r="VL9">
        <f>VL8+IF(AND($C8=37,$L8=1),1,0)</f>
        <v/>
      </c>
      <c r="VM9">
        <f>VM8+IF(AND($C8=38,$L8=1),1,0)</f>
        <v/>
      </c>
      <c r="VN9">
        <f>VN8+IF(AND($C8=39,$L8=1),1,0)</f>
        <v/>
      </c>
      <c r="VO9">
        <f>VO8+IF(AND($C8=40,$L8=1),1,0)</f>
        <v/>
      </c>
      <c r="VP9">
        <f>VP8+IF(AND($C8=41,$L8=1),1,0)</f>
        <v/>
      </c>
      <c r="VQ9">
        <f>VQ8+IF(AND($C8=42,$L8=1),1,0)</f>
        <v/>
      </c>
      <c r="VR9">
        <f>VR8+IF(AND($C8=43,$L8=1),1,0)</f>
        <v/>
      </c>
      <c r="VS9">
        <f>VS8+IF(AND($C8=44,$L8=1),1,0)</f>
        <v/>
      </c>
      <c r="VT9">
        <f>VT8+IF(AND($C8=45,$L8=1),1,0)</f>
        <v/>
      </c>
      <c r="VU9">
        <f>VU8+IF(AND($C8=46,$L8=1),1,0)</f>
        <v/>
      </c>
      <c r="VV9">
        <f>VV8+IF(AND($C8=47,$L8=1),1,0)</f>
        <v/>
      </c>
      <c r="VW9">
        <f>VW8+IF(AND($C8=48,$L8=1),1,0)</f>
        <v/>
      </c>
      <c r="VX9">
        <f>VX8+IF(AND($C8=49,$L8=1),1,0)</f>
        <v/>
      </c>
      <c r="VY9">
        <f>VY8+IF(AND($C8=50,$L8=1),1,0)</f>
        <v/>
      </c>
      <c r="VZ9">
        <f>VZ8+IF(AND($C8=51,$L8=1),1,0)</f>
        <v/>
      </c>
      <c r="WA9">
        <f>WA8+IF(AND($C8=52,$L8=1),1,0)</f>
        <v/>
      </c>
      <c r="WB9">
        <f>WB8+IF(AND($C8=53,$L8=1),1,0)</f>
        <v/>
      </c>
      <c r="WC9">
        <f>WC8+IF(AND($C8=54,$L8=1),1,0)</f>
        <v/>
      </c>
      <c r="WD9">
        <f>WD8+IF(AND($C8=55,$L8=1),1,0)</f>
        <v/>
      </c>
      <c r="WE9">
        <f>WE8+IF(AND($C8=56,$L8=1),1,0)</f>
        <v/>
      </c>
      <c r="WF9">
        <f>WF8+IF(AND($C8=57,$L8=1),1,0)</f>
        <v/>
      </c>
      <c r="WG9">
        <f>WG8+IF(AND($C8=58,$L8=1),1,0)</f>
        <v/>
      </c>
      <c r="WH9">
        <f>WH8+IF(AND($C8=59,$L8=1),1,0)</f>
        <v/>
      </c>
      <c r="WI9">
        <f>WI8+IF(AND($C8=60,$L8=1),1,0)</f>
        <v/>
      </c>
      <c r="WJ9">
        <f>WJ8+IF(AND($C8=61,$L8=1),1,0)</f>
        <v/>
      </c>
      <c r="WK9">
        <f>WK8+IF(AND($C8=62,$L8=1),1,0)</f>
        <v/>
      </c>
      <c r="WL9">
        <f>WL8+IF(AND($C8=63,$L8=1),1,0)</f>
        <v/>
      </c>
      <c r="WM9">
        <f>WM8+IF(AND($C8=64,$L8=1),1,0)</f>
        <v/>
      </c>
      <c r="WN9">
        <f>WN8+IF(AND($C8=65,$L8=1),1,0)</f>
        <v/>
      </c>
      <c r="WO9">
        <f>WO8+IF(AND($C8=66,$L8=1),1,0)</f>
        <v/>
      </c>
      <c r="WP9">
        <f>WP8+IF(AND($C8=67,$L8=1),1,0)</f>
        <v/>
      </c>
      <c r="WQ9">
        <f>WQ8+IF(AND($C8=68,$L8=1),1,0)</f>
        <v/>
      </c>
      <c r="WR9">
        <f>WR8+IF(AND($C8=69,$L8=1),1,0)</f>
        <v/>
      </c>
      <c r="WS9">
        <f>WS8+IF(AND($C8=70,$L8=1),1,0)</f>
        <v/>
      </c>
      <c r="WT9">
        <f>WT8+IF(AND($C8=71,$L8=1),1,0)</f>
        <v/>
      </c>
      <c r="WU9">
        <f>WU8+IF(AND($C8=72,$L8=1),1,0)</f>
        <v/>
      </c>
      <c r="WV9">
        <f>WV8+IF(AND($C8=73,$L8=1),1,0)</f>
        <v/>
      </c>
      <c r="WW9">
        <f>WW8+IF(AND($C8=74,$L8=1),1,0)</f>
        <v/>
      </c>
      <c r="WX9">
        <f>WX8+IF(AND($C8=75,$L8=1),1,0)</f>
        <v/>
      </c>
      <c r="WY9">
        <f>WY8+IF(AND($C8=76,$L8=1),1,0)</f>
        <v/>
      </c>
      <c r="WZ9">
        <f>WZ8+IF(AND($C8=77,$L8=1),1,0)</f>
        <v/>
      </c>
      <c r="XA9">
        <f>XA8+IF(AND($C8=78,$L8=1),1,0)</f>
        <v/>
      </c>
      <c r="XB9">
        <f>XB8+IF(AND($C8=79,$L8=1),1,0)</f>
        <v/>
      </c>
      <c r="XC9">
        <f>XC8+IF(AND($C8=80,$L8=1),1,0)</f>
        <v/>
      </c>
      <c r="XD9">
        <f>XD8+IF(AND($C8=81,$L8=1),1,0)</f>
        <v/>
      </c>
      <c r="XE9">
        <f>XE8+IF(AND($C8=82,$L8=1),1,0)</f>
        <v/>
      </c>
      <c r="XF9">
        <f>XF8+IF(AND($C8=83,$L8=1),1,0)</f>
        <v/>
      </c>
      <c r="XG9">
        <f>XG8+IF(AND($C8=84,$L8=1),1,0)</f>
        <v/>
      </c>
      <c r="XH9">
        <f>XH8+IF(AND($C8=85,$L8=1),1,0)</f>
        <v/>
      </c>
      <c r="XI9">
        <f>XI8+IF(AND($C8=86,$L8=1),1,0)</f>
        <v/>
      </c>
      <c r="XJ9">
        <f>XJ8+IF(AND($C8=87,$L8=1),1,0)</f>
        <v/>
      </c>
      <c r="XK9">
        <f>XK8+IF(AND($C8=88,$L8=1),1,0)</f>
        <v/>
      </c>
      <c r="XL9">
        <f>XL8+IF(AND($C8=89,$L8=1),1,0)</f>
        <v/>
      </c>
      <c r="XM9">
        <f>XM8+IF(AND($C8=90,$L8=1),1,0)</f>
        <v/>
      </c>
      <c r="XN9">
        <f>XN8+IF(AND($C8=91,$L8=1),1,0)</f>
        <v/>
      </c>
      <c r="XO9">
        <f>XO8+IF(AND($C8=92,$L8=1),1,0)</f>
        <v/>
      </c>
      <c r="XP9">
        <f>XP8+IF(AND($C8=93,$L8=1),1,0)</f>
        <v/>
      </c>
      <c r="XQ9">
        <f>XQ8+IF(AND($C8=94,$L8=1),1,0)</f>
        <v/>
      </c>
      <c r="XR9">
        <f>XR8+IF(AND($C8=95,$L8=1),1,0)</f>
        <v/>
      </c>
      <c r="XS9">
        <f>XS8+IF(AND($C8=96,$L8=1),1,0)</f>
        <v/>
      </c>
      <c r="XT9">
        <f>XT8+IF(AND($C8=97,$L8=1),1,0)</f>
        <v/>
      </c>
      <c r="XU9">
        <f>XU8+IF(AND($C8=98,$L8=1),1,0)</f>
        <v/>
      </c>
      <c r="XV9">
        <f>XV8+IF(AND($C8=99,$L8=1),1,0)</f>
        <v/>
      </c>
      <c r="XW9">
        <f>XW8+IF(AND($C8=100,$L8=1),1,0)</f>
        <v/>
      </c>
      <c r="XX9">
        <f>XX8+IF(AND($C8=101,$L8=1),1,0)</f>
        <v/>
      </c>
      <c r="XY9">
        <f>XY8+IF(AND($C8=102,$L8=1),1,0)</f>
        <v/>
      </c>
      <c r="XZ9">
        <f>XZ8+IF(AND($C8=103,$L8=1),1,0)</f>
        <v/>
      </c>
      <c r="YA9">
        <f>YA8+IF(AND($C8=104,$L8=1),1,0)</f>
        <v/>
      </c>
      <c r="YB9">
        <f>YB8+IF(AND($C8=105,$L8=1),1,0)</f>
        <v/>
      </c>
      <c r="YC9">
        <f>YC8+IF(AND($C8=106,$L8=1),1,0)</f>
        <v/>
      </c>
      <c r="YD9">
        <f>YD8+IF(AND($C8=107,$L8=1),1,0)</f>
        <v/>
      </c>
      <c r="YE9">
        <f>YE8+IF(AND($C8=108,$L8=1),1,0)</f>
        <v/>
      </c>
      <c r="YF9">
        <f>YF8+IF(AND($C8=109,$L8=1),1,0)</f>
        <v/>
      </c>
      <c r="YG9">
        <f>YG8+IF(AND($C8=110,$L8=1),1,0)</f>
        <v/>
      </c>
      <c r="YH9">
        <f>YH8+IF(AND($C8=111,$L8=1),1,0)</f>
        <v/>
      </c>
      <c r="YI9">
        <f>YI8+IF(AND($C8=112,$L8=1),1,0)</f>
        <v/>
      </c>
      <c r="YJ9">
        <f>YJ8+IF(AND($C8=113,$L8=1),1,0)</f>
        <v/>
      </c>
      <c r="YK9">
        <f>YK8+IF(AND($C8=114,$L8=1),1,0)</f>
        <v/>
      </c>
      <c r="YL9">
        <f>YL8+IF(AND($C8=115,$L8=1),1,0)</f>
        <v/>
      </c>
      <c r="YM9">
        <f>YM8+IF(AND($C8=116,$L8=1),1,0)</f>
        <v/>
      </c>
      <c r="YN9">
        <f>YN8+IF(AND($C8=117,$L8=1),1,0)</f>
        <v/>
      </c>
      <c r="YO9">
        <f>YO8+IF(AND($C8=118,$L8=1),1,0)</f>
        <v/>
      </c>
      <c r="YP9">
        <f>YP8+IF(AND($C8=119,$L8=1),1,0)</f>
        <v/>
      </c>
      <c r="YQ9">
        <f>YQ8+IF(AND($C8=120,$L8=1),1,0)</f>
        <v/>
      </c>
      <c r="YR9">
        <f>YR8+IF(AND($C8=121,$L8=1),1,0)</f>
        <v/>
      </c>
      <c r="YS9">
        <f>YS8+IF(AND($C8=122,$L8=1),1,0)</f>
        <v/>
      </c>
      <c r="YT9">
        <f>YT8+IF(AND($C8=123,$L8=1),1,0)</f>
        <v/>
      </c>
      <c r="YU9">
        <f>YU8+IF(AND($C8=124,$L8=1),1,0)</f>
        <v/>
      </c>
      <c r="YV9">
        <f>YV8+IF(AND($C8=125,$L8=1),1,0)</f>
        <v/>
      </c>
      <c r="YW9">
        <f>YW8+IF(AND($C8=126,$L8=1),1,0)</f>
        <v/>
      </c>
      <c r="YX9">
        <f>YX8+IF(AND($C8=127,$L8=1),1,0)</f>
        <v/>
      </c>
      <c r="YY9">
        <f>YY8+IF(AND($C8=128,$L8=1),1,0)</f>
        <v/>
      </c>
      <c r="YZ9">
        <f>YZ8+IF(AND($C8=129,$L8=1),1,0)</f>
        <v/>
      </c>
      <c r="ZA9">
        <f>ZA8+IF(AND($C8=130,$L8=1),1,0)</f>
        <v/>
      </c>
      <c r="ZB9">
        <f>ZB8+IF(AND($C8=131,$L8=1),1,0)</f>
        <v/>
      </c>
      <c r="ZC9">
        <f>ZC8+IF(AND($C8=132,$L8=1),1,0)</f>
        <v/>
      </c>
      <c r="ZD9">
        <f>ZD8+IF(AND($C8=133,$L8=1),1,0)</f>
        <v/>
      </c>
      <c r="ZE9">
        <f>ZE8+IF(AND($C8=134,$L8=1),1,0)</f>
        <v/>
      </c>
      <c r="ZF9">
        <f>ZF8+IF(AND($C8=135,$L8=1),1,0)</f>
        <v/>
      </c>
      <c r="ZG9">
        <f>ZG8+IF(AND($C8=136,$L8=1),1,0)</f>
        <v/>
      </c>
      <c r="ZH9">
        <f>ZH8+IF(AND($C8=137,$L8=1),1,0)</f>
        <v/>
      </c>
      <c r="ZI9">
        <f>ZI8+IF(AND($C8=138,$L8=1),1,0)</f>
        <v/>
      </c>
      <c r="ZJ9">
        <f>ZJ8+IF(AND($C8=139,$L8=1),1,0)</f>
        <v/>
      </c>
      <c r="ZK9">
        <f>ZK8+IF(AND($C8=140,$L8=1),1,0)</f>
        <v/>
      </c>
      <c r="ZL9">
        <f>ZL8+IF(AND($C8=141,$L8=1),1,0)</f>
        <v/>
      </c>
      <c r="ZM9">
        <f>ZM8+IF(AND($C8=142,$L8=1),1,0)</f>
        <v/>
      </c>
      <c r="ZN9">
        <f>ZN8+IF(AND($C8=143,$L8=1),1,0)</f>
        <v/>
      </c>
      <c r="ZO9">
        <f>ZO8+IF(AND($C8=144,$L8=1),1,0)</f>
        <v/>
      </c>
    </row>
    <row r="10">
      <c r="A10" t="n">
        <v>8</v>
      </c>
      <c r="B10">
        <f>IF(MIN(BH10:CZ10)&gt;=1000000,0,MATCH(MIN(BH10:CZ10),BH10:CZ10,0))</f>
        <v/>
      </c>
      <c r="C10">
        <f>IF(MIN(OF10:TS10)&gt;=1000000,0,MATCH(MIN(OF10:TS10),OF10:TS10,0))</f>
        <v/>
      </c>
      <c r="D10">
        <f>IF(C10&gt;0,INDEX('計算A'!$D$5:$EQ$5,C10),0)</f>
        <v/>
      </c>
      <c r="E10">
        <f>IF(B10=0,0,INDEX('計算A'!$IQ$10:$IQ$54,B10))</f>
        <v/>
      </c>
      <c r="F10">
        <f>IF(B10=0,0,INDEX('計算A'!$IP$10:$IP$54,B10))</f>
        <v/>
      </c>
      <c r="G10">
        <f>IF(AND(C10&gt;0,E10&gt;0),IF(AND(INDEX('計算A'!$D$106:$EQ$106,C10)=1,INDEX($IQ10:$OD10,C10)=1),C10+1,0),0)</f>
        <v/>
      </c>
      <c r="H10">
        <f>IF(B10=0,0,INDEX('計算A'!$IW$10:$IW$54,B10))</f>
        <v/>
      </c>
      <c r="I10">
        <f>IF(B10=0,0,MAX(0,INDEX('計算A'!$IT$10:$IT$54,B10)))</f>
        <v/>
      </c>
      <c r="J10">
        <f>IF(I10=0,0,INDEX('計算A'!$D$2:$EQ$2,I10))</f>
        <v/>
      </c>
      <c r="K10">
        <f>IF(I10=0,0,INDEX('計算A'!$D$3:$EQ$3,I10))</f>
        <v/>
      </c>
      <c r="L10">
        <f>IF(B10=0,0,INDEX('計算A'!$IX$10:$IX$54,B10))</f>
        <v/>
      </c>
      <c r="N10">
        <f>MAX(N9,IF($B9=1,1,0))</f>
        <v/>
      </c>
      <c r="O10">
        <f>MAX(O9,IF($B9=2,1,0))</f>
        <v/>
      </c>
      <c r="P10">
        <f>MAX(P9,IF($B9=3,1,0))</f>
        <v/>
      </c>
      <c r="Q10">
        <f>MAX(Q9,IF($B9=4,1,0))</f>
        <v/>
      </c>
      <c r="R10">
        <f>MAX(R9,IF($B9=5,1,0))</f>
        <v/>
      </c>
      <c r="S10">
        <f>MAX(S9,IF($B9=6,1,0))</f>
        <v/>
      </c>
      <c r="T10">
        <f>MAX(T9,IF($B9=7,1,0))</f>
        <v/>
      </c>
      <c r="U10">
        <f>MAX(U9,IF($B9=8,1,0))</f>
        <v/>
      </c>
      <c r="V10">
        <f>MAX(V9,IF($B9=9,1,0))</f>
        <v/>
      </c>
      <c r="W10">
        <f>MAX(W9,IF($B9=10,1,0))</f>
        <v/>
      </c>
      <c r="X10">
        <f>MAX(X9,IF($B9=11,1,0))</f>
        <v/>
      </c>
      <c r="Y10">
        <f>MAX(Y9,IF($B9=12,1,0))</f>
        <v/>
      </c>
      <c r="Z10">
        <f>MAX(Z9,IF($B9=13,1,0))</f>
        <v/>
      </c>
      <c r="AA10">
        <f>MAX(AA9,IF($B9=14,1,0))</f>
        <v/>
      </c>
      <c r="AB10">
        <f>MAX(AB9,IF($B9=15,1,0))</f>
        <v/>
      </c>
      <c r="AC10">
        <f>MAX(AC9,IF($B9=16,1,0))</f>
        <v/>
      </c>
      <c r="AD10">
        <f>MAX(AD9,IF($B9=17,1,0))</f>
        <v/>
      </c>
      <c r="AE10">
        <f>MAX(AE9,IF($B9=18,1,0))</f>
        <v/>
      </c>
      <c r="AF10">
        <f>MAX(AF9,IF($B9=19,1,0))</f>
        <v/>
      </c>
      <c r="AG10">
        <f>MAX(AG9,IF($B9=20,1,0))</f>
        <v/>
      </c>
      <c r="AH10">
        <f>MAX(AH9,IF($B9=21,1,0))</f>
        <v/>
      </c>
      <c r="AI10">
        <f>MAX(AI9,IF($B9=22,1,0))</f>
        <v/>
      </c>
      <c r="AJ10">
        <f>MAX(AJ9,IF($B9=23,1,0))</f>
        <v/>
      </c>
      <c r="AK10">
        <f>MAX(AK9,IF($B9=24,1,0))</f>
        <v/>
      </c>
      <c r="AL10">
        <f>MAX(AL9,IF($B9=25,1,0))</f>
        <v/>
      </c>
      <c r="AM10">
        <f>MAX(AM9,IF($B9=26,1,0))</f>
        <v/>
      </c>
      <c r="AN10">
        <f>MAX(AN9,IF($B9=27,1,0))</f>
        <v/>
      </c>
      <c r="AO10">
        <f>MAX(AO9,IF($B9=28,1,0))</f>
        <v/>
      </c>
      <c r="AP10">
        <f>MAX(AP9,IF($B9=29,1,0))</f>
        <v/>
      </c>
      <c r="AQ10">
        <f>MAX(AQ9,IF($B9=30,1,0))</f>
        <v/>
      </c>
      <c r="AR10">
        <f>MAX(AR9,IF($B9=31,1,0))</f>
        <v/>
      </c>
      <c r="AS10">
        <f>MAX(AS9,IF($B9=32,1,0))</f>
        <v/>
      </c>
      <c r="AT10">
        <f>MAX(AT9,IF($B9=33,1,0))</f>
        <v/>
      </c>
      <c r="AU10">
        <f>MAX(AU9,IF($B9=34,1,0))</f>
        <v/>
      </c>
      <c r="AV10">
        <f>MAX(AV9,IF($B9=35,1,0))</f>
        <v/>
      </c>
      <c r="AW10">
        <f>MAX(AW9,IF($B9=36,1,0))</f>
        <v/>
      </c>
      <c r="AX10">
        <f>MAX(AX9,IF($B9=37,1,0))</f>
        <v/>
      </c>
      <c r="AY10">
        <f>MAX(AY9,IF($B9=38,1,0))</f>
        <v/>
      </c>
      <c r="AZ10">
        <f>MAX(AZ9,IF($B9=39,1,0))</f>
        <v/>
      </c>
      <c r="BA10">
        <f>MAX(BA9,IF($B9=40,1,0))</f>
        <v/>
      </c>
      <c r="BB10">
        <f>MAX(BB9,IF($B9=41,1,0))</f>
        <v/>
      </c>
      <c r="BC10">
        <f>MAX(BC9,IF($B9=42,1,0))</f>
        <v/>
      </c>
      <c r="BD10">
        <f>MAX(BD9,IF($B9=43,1,0))</f>
        <v/>
      </c>
      <c r="BE10">
        <f>MAX(BE9,IF($B9=44,1,0))</f>
        <v/>
      </c>
      <c r="BF10">
        <f>MAX(BF9,IF($B9=45,1,0))</f>
        <v/>
      </c>
      <c r="BH10">
        <f>IF(N10=1,1000000,IF('計算A'!$IT$10&gt;0,0,500000)+IF('計算A'!$IQ$10=2,SUMPRODUCT('計算A'!$D$60:$EQ$60,$DB10:$IO10,$IQ10:$OD10),SUMPRODUCT('計算A'!$D$60:$EQ$60,$DB10:$IO10))*1000+1)</f>
        <v/>
      </c>
      <c r="BI10">
        <f>IF(O10=1,1000000,IF('計算A'!$IT$11&gt;0,0,500000)+IF('計算A'!$IQ$11=2,SUMPRODUCT('計算A'!$D$61:$EQ$61,$DB10:$IO10,$IQ10:$OD10),SUMPRODUCT('計算A'!$D$61:$EQ$61,$DB10:$IO10))*1000+2)</f>
        <v/>
      </c>
      <c r="BJ10">
        <f>IF(P10=1,1000000,IF('計算A'!$IT$12&gt;0,0,500000)+IF('計算A'!$IQ$12=2,SUMPRODUCT('計算A'!$D$62:$EQ$62,$DB10:$IO10,$IQ10:$OD10),SUMPRODUCT('計算A'!$D$62:$EQ$62,$DB10:$IO10))*1000+3)</f>
        <v/>
      </c>
      <c r="BK10">
        <f>IF(Q10=1,1000000,IF('計算A'!$IT$13&gt;0,0,500000)+IF('計算A'!$IQ$13=2,SUMPRODUCT('計算A'!$D$63:$EQ$63,$DB10:$IO10,$IQ10:$OD10),SUMPRODUCT('計算A'!$D$63:$EQ$63,$DB10:$IO10))*1000+4)</f>
        <v/>
      </c>
      <c r="BL10">
        <f>IF(R10=1,1000000,IF('計算A'!$IT$14&gt;0,0,500000)+IF('計算A'!$IQ$14=2,SUMPRODUCT('計算A'!$D$64:$EQ$64,$DB10:$IO10,$IQ10:$OD10),SUMPRODUCT('計算A'!$D$64:$EQ$64,$DB10:$IO10))*1000+5)</f>
        <v/>
      </c>
      <c r="BM10">
        <f>IF(S10=1,1000000,IF('計算A'!$IT$15&gt;0,0,500000)+IF('計算A'!$IQ$15=2,SUMPRODUCT('計算A'!$D$65:$EQ$65,$DB10:$IO10,$IQ10:$OD10),SUMPRODUCT('計算A'!$D$65:$EQ$65,$DB10:$IO10))*1000+6)</f>
        <v/>
      </c>
      <c r="BN10">
        <f>IF(T10=1,1000000,IF('計算A'!$IT$16&gt;0,0,500000)+IF('計算A'!$IQ$16=2,SUMPRODUCT('計算A'!$D$66:$EQ$66,$DB10:$IO10,$IQ10:$OD10),SUMPRODUCT('計算A'!$D$66:$EQ$66,$DB10:$IO10))*1000+7)</f>
        <v/>
      </c>
      <c r="BO10">
        <f>IF(U10=1,1000000,IF('計算A'!$IT$17&gt;0,0,500000)+IF('計算A'!$IQ$17=2,SUMPRODUCT('計算A'!$D$67:$EQ$67,$DB10:$IO10,$IQ10:$OD10),SUMPRODUCT('計算A'!$D$67:$EQ$67,$DB10:$IO10))*1000+8)</f>
        <v/>
      </c>
      <c r="BP10">
        <f>IF(V10=1,1000000,IF('計算A'!$IT$18&gt;0,0,500000)+IF('計算A'!$IQ$18=2,SUMPRODUCT('計算A'!$D$68:$EQ$68,$DB10:$IO10,$IQ10:$OD10),SUMPRODUCT('計算A'!$D$68:$EQ$68,$DB10:$IO10))*1000+9)</f>
        <v/>
      </c>
      <c r="BQ10">
        <f>IF(W10=1,1000000,IF('計算A'!$IT$19&gt;0,0,500000)+IF('計算A'!$IQ$19=2,SUMPRODUCT('計算A'!$D$69:$EQ$69,$DB10:$IO10,$IQ10:$OD10),SUMPRODUCT('計算A'!$D$69:$EQ$69,$DB10:$IO10))*1000+10)</f>
        <v/>
      </c>
      <c r="BR10">
        <f>IF(X10=1,1000000,IF('計算A'!$IT$20&gt;0,0,500000)+IF('計算A'!$IQ$20=2,SUMPRODUCT('計算A'!$D$70:$EQ$70,$DB10:$IO10,$IQ10:$OD10),SUMPRODUCT('計算A'!$D$70:$EQ$70,$DB10:$IO10))*1000+11)</f>
        <v/>
      </c>
      <c r="BS10">
        <f>IF(Y10=1,1000000,IF('計算A'!$IT$21&gt;0,0,500000)+IF('計算A'!$IQ$21=2,SUMPRODUCT('計算A'!$D$71:$EQ$71,$DB10:$IO10,$IQ10:$OD10),SUMPRODUCT('計算A'!$D$71:$EQ$71,$DB10:$IO10))*1000+12)</f>
        <v/>
      </c>
      <c r="BT10">
        <f>IF(Z10=1,1000000,IF('計算A'!$IT$22&gt;0,0,500000)+IF('計算A'!$IQ$22=2,SUMPRODUCT('計算A'!$D$72:$EQ$72,$DB10:$IO10,$IQ10:$OD10),SUMPRODUCT('計算A'!$D$72:$EQ$72,$DB10:$IO10))*1000+13)</f>
        <v/>
      </c>
      <c r="BU10">
        <f>IF(AA10=1,1000000,IF('計算A'!$IT$23&gt;0,0,500000)+IF('計算A'!$IQ$23=2,SUMPRODUCT('計算A'!$D$73:$EQ$73,$DB10:$IO10,$IQ10:$OD10),SUMPRODUCT('計算A'!$D$73:$EQ$73,$DB10:$IO10))*1000+14)</f>
        <v/>
      </c>
      <c r="BV10">
        <f>IF(AB10=1,1000000,IF('計算A'!$IT$24&gt;0,0,500000)+IF('計算A'!$IQ$24=2,SUMPRODUCT('計算A'!$D$74:$EQ$74,$DB10:$IO10,$IQ10:$OD10),SUMPRODUCT('計算A'!$D$74:$EQ$74,$DB10:$IO10))*1000+15)</f>
        <v/>
      </c>
      <c r="BW10">
        <f>IF(AC10=1,1000000,IF('計算A'!$IT$25&gt;0,0,500000)+IF('計算A'!$IQ$25=2,SUMPRODUCT('計算A'!$D$75:$EQ$75,$DB10:$IO10,$IQ10:$OD10),SUMPRODUCT('計算A'!$D$75:$EQ$75,$DB10:$IO10))*1000+16)</f>
        <v/>
      </c>
      <c r="BX10">
        <f>IF(AD10=1,1000000,IF('計算A'!$IT$26&gt;0,0,500000)+IF('計算A'!$IQ$26=2,SUMPRODUCT('計算A'!$D$76:$EQ$76,$DB10:$IO10,$IQ10:$OD10),SUMPRODUCT('計算A'!$D$76:$EQ$76,$DB10:$IO10))*1000+17)</f>
        <v/>
      </c>
      <c r="BY10">
        <f>IF(AE10=1,1000000,IF('計算A'!$IT$27&gt;0,0,500000)+IF('計算A'!$IQ$27=2,SUMPRODUCT('計算A'!$D$77:$EQ$77,$DB10:$IO10,$IQ10:$OD10),SUMPRODUCT('計算A'!$D$77:$EQ$77,$DB10:$IO10))*1000+18)</f>
        <v/>
      </c>
      <c r="BZ10">
        <f>IF(AF10=1,1000000,IF('計算A'!$IT$28&gt;0,0,500000)+IF('計算A'!$IQ$28=2,SUMPRODUCT('計算A'!$D$78:$EQ$78,$DB10:$IO10,$IQ10:$OD10),SUMPRODUCT('計算A'!$D$78:$EQ$78,$DB10:$IO10))*1000+19)</f>
        <v/>
      </c>
      <c r="CA10">
        <f>IF(AG10=1,1000000,IF('計算A'!$IT$29&gt;0,0,500000)+IF('計算A'!$IQ$29=2,SUMPRODUCT('計算A'!$D$79:$EQ$79,$DB10:$IO10,$IQ10:$OD10),SUMPRODUCT('計算A'!$D$79:$EQ$79,$DB10:$IO10))*1000+20)</f>
        <v/>
      </c>
      <c r="CB10">
        <f>IF(AH10=1,1000000,IF('計算A'!$IT$30&gt;0,0,500000)+IF('計算A'!$IQ$30=2,SUMPRODUCT('計算A'!$D$80:$EQ$80,$DB10:$IO10,$IQ10:$OD10),SUMPRODUCT('計算A'!$D$80:$EQ$80,$DB10:$IO10))*1000+21)</f>
        <v/>
      </c>
      <c r="CC10">
        <f>IF(AI10=1,1000000,IF('計算A'!$IT$31&gt;0,0,500000)+IF('計算A'!$IQ$31=2,SUMPRODUCT('計算A'!$D$81:$EQ$81,$DB10:$IO10,$IQ10:$OD10),SUMPRODUCT('計算A'!$D$81:$EQ$81,$DB10:$IO10))*1000+22)</f>
        <v/>
      </c>
      <c r="CD10">
        <f>IF(AJ10=1,1000000,IF('計算A'!$IT$32&gt;0,0,500000)+IF('計算A'!$IQ$32=2,SUMPRODUCT('計算A'!$D$82:$EQ$82,$DB10:$IO10,$IQ10:$OD10),SUMPRODUCT('計算A'!$D$82:$EQ$82,$DB10:$IO10))*1000+23)</f>
        <v/>
      </c>
      <c r="CE10">
        <f>IF(AK10=1,1000000,IF('計算A'!$IT$33&gt;0,0,500000)+IF('計算A'!$IQ$33=2,SUMPRODUCT('計算A'!$D$83:$EQ$83,$DB10:$IO10,$IQ10:$OD10),SUMPRODUCT('計算A'!$D$83:$EQ$83,$DB10:$IO10))*1000+24)</f>
        <v/>
      </c>
      <c r="CF10">
        <f>IF(AL10=1,1000000,IF('計算A'!$IT$34&gt;0,0,500000)+IF('計算A'!$IQ$34=2,SUMPRODUCT('計算A'!$D$84:$EQ$84,$DB10:$IO10,$IQ10:$OD10),SUMPRODUCT('計算A'!$D$84:$EQ$84,$DB10:$IO10))*1000+25)</f>
        <v/>
      </c>
      <c r="CG10">
        <f>IF(AM10=1,1000000,IF('計算A'!$IT$35&gt;0,0,500000)+IF('計算A'!$IQ$35=2,SUMPRODUCT('計算A'!$D$85:$EQ$85,$DB10:$IO10,$IQ10:$OD10),SUMPRODUCT('計算A'!$D$85:$EQ$85,$DB10:$IO10))*1000+26)</f>
        <v/>
      </c>
      <c r="CH10">
        <f>IF(AN10=1,1000000,IF('計算A'!$IT$36&gt;0,0,500000)+IF('計算A'!$IQ$36=2,SUMPRODUCT('計算A'!$D$86:$EQ$86,$DB10:$IO10,$IQ10:$OD10),SUMPRODUCT('計算A'!$D$86:$EQ$86,$DB10:$IO10))*1000+27)</f>
        <v/>
      </c>
      <c r="CI10">
        <f>IF(AO10=1,1000000,IF('計算A'!$IT$37&gt;0,0,500000)+IF('計算A'!$IQ$37=2,SUMPRODUCT('計算A'!$D$87:$EQ$87,$DB10:$IO10,$IQ10:$OD10),SUMPRODUCT('計算A'!$D$87:$EQ$87,$DB10:$IO10))*1000+28)</f>
        <v/>
      </c>
      <c r="CJ10">
        <f>IF(AP10=1,1000000,IF('計算A'!$IT$38&gt;0,0,500000)+IF('計算A'!$IQ$38=2,SUMPRODUCT('計算A'!$D$88:$EQ$88,$DB10:$IO10,$IQ10:$OD10),SUMPRODUCT('計算A'!$D$88:$EQ$88,$DB10:$IO10))*1000+29)</f>
        <v/>
      </c>
      <c r="CK10">
        <f>IF(AQ10=1,1000000,IF('計算A'!$IT$39&gt;0,0,500000)+IF('計算A'!$IQ$39=2,SUMPRODUCT('計算A'!$D$89:$EQ$89,$DB10:$IO10,$IQ10:$OD10),SUMPRODUCT('計算A'!$D$89:$EQ$89,$DB10:$IO10))*1000+30)</f>
        <v/>
      </c>
      <c r="CL10">
        <f>IF(AR10=1,1000000,IF('計算A'!$IT$40&gt;0,0,500000)+IF('計算A'!$IQ$40=2,SUMPRODUCT('計算A'!$D$90:$EQ$90,$DB10:$IO10,$IQ10:$OD10),SUMPRODUCT('計算A'!$D$90:$EQ$90,$DB10:$IO10))*1000+31)</f>
        <v/>
      </c>
      <c r="CM10">
        <f>IF(AS10=1,1000000,IF('計算A'!$IT$41&gt;0,0,500000)+IF('計算A'!$IQ$41=2,SUMPRODUCT('計算A'!$D$91:$EQ$91,$DB10:$IO10,$IQ10:$OD10),SUMPRODUCT('計算A'!$D$91:$EQ$91,$DB10:$IO10))*1000+32)</f>
        <v/>
      </c>
      <c r="CN10">
        <f>IF(AT10=1,1000000,IF('計算A'!$IT$42&gt;0,0,500000)+IF('計算A'!$IQ$42=2,SUMPRODUCT('計算A'!$D$92:$EQ$92,$DB10:$IO10,$IQ10:$OD10),SUMPRODUCT('計算A'!$D$92:$EQ$92,$DB10:$IO10))*1000+33)</f>
        <v/>
      </c>
      <c r="CO10">
        <f>IF(AU10=1,1000000,IF('計算A'!$IT$43&gt;0,0,500000)+IF('計算A'!$IQ$43=2,SUMPRODUCT('計算A'!$D$93:$EQ$93,$DB10:$IO10,$IQ10:$OD10),SUMPRODUCT('計算A'!$D$93:$EQ$93,$DB10:$IO10))*1000+34)</f>
        <v/>
      </c>
      <c r="CP10">
        <f>IF(AV10=1,1000000,IF('計算A'!$IT$44&gt;0,0,500000)+IF('計算A'!$IQ$44=2,SUMPRODUCT('計算A'!$D$94:$EQ$94,$DB10:$IO10,$IQ10:$OD10),SUMPRODUCT('計算A'!$D$94:$EQ$94,$DB10:$IO10))*1000+35)</f>
        <v/>
      </c>
      <c r="CQ10">
        <f>IF(AW10=1,1000000,IF('計算A'!$IT$45&gt;0,0,500000)+IF('計算A'!$IQ$45=2,SUMPRODUCT('計算A'!$D$95:$EQ$95,$DB10:$IO10,$IQ10:$OD10),SUMPRODUCT('計算A'!$D$95:$EQ$95,$DB10:$IO10))*1000+36)</f>
        <v/>
      </c>
      <c r="CR10">
        <f>IF(AX10=1,1000000,IF('計算A'!$IT$46&gt;0,0,500000)+IF('計算A'!$IQ$46=2,SUMPRODUCT('計算A'!$D$96:$EQ$96,$DB10:$IO10,$IQ10:$OD10),SUMPRODUCT('計算A'!$D$96:$EQ$96,$DB10:$IO10))*1000+37)</f>
        <v/>
      </c>
      <c r="CS10">
        <f>IF(AY10=1,1000000,IF('計算A'!$IT$47&gt;0,0,500000)+IF('計算A'!$IQ$47=2,SUMPRODUCT('計算A'!$D$97:$EQ$97,$DB10:$IO10,$IQ10:$OD10),SUMPRODUCT('計算A'!$D$97:$EQ$97,$DB10:$IO10))*1000+38)</f>
        <v/>
      </c>
      <c r="CT10">
        <f>IF(AZ10=1,1000000,IF('計算A'!$IT$48&gt;0,0,500000)+IF('計算A'!$IQ$48=2,SUMPRODUCT('計算A'!$D$98:$EQ$98,$DB10:$IO10,$IQ10:$OD10),SUMPRODUCT('計算A'!$D$98:$EQ$98,$DB10:$IO10))*1000+39)</f>
        <v/>
      </c>
      <c r="CU10">
        <f>IF(BA10=1,1000000,IF('計算A'!$IT$49&gt;0,0,500000)+IF('計算A'!$IQ$49=2,SUMPRODUCT('計算A'!$D$99:$EQ$99,$DB10:$IO10,$IQ10:$OD10),SUMPRODUCT('計算A'!$D$99:$EQ$99,$DB10:$IO10))*1000+40)</f>
        <v/>
      </c>
      <c r="CV10">
        <f>IF(BB10=1,1000000,IF('計算A'!$IT$50&gt;0,0,500000)+IF('計算A'!$IQ$50=2,SUMPRODUCT('計算A'!$D$100:$EQ$100,$DB10:$IO10,$IQ10:$OD10),SUMPRODUCT('計算A'!$D$100:$EQ$100,$DB10:$IO10))*1000+41)</f>
        <v/>
      </c>
      <c r="CW10">
        <f>IF(BC10=1,1000000,IF('計算A'!$IT$51&gt;0,0,500000)+IF('計算A'!$IQ$51=2,SUMPRODUCT('計算A'!$D$101:$EQ$101,$DB10:$IO10,$IQ10:$OD10),SUMPRODUCT('計算A'!$D$101:$EQ$101,$DB10:$IO10))*1000+42)</f>
        <v/>
      </c>
      <c r="CX10">
        <f>IF(BD10=1,1000000,IF('計算A'!$IT$52&gt;0,0,500000)+IF('計算A'!$IQ$52=2,SUMPRODUCT('計算A'!$D$102:$EQ$102,$DB10:$IO10,$IQ10:$OD10),SUMPRODUCT('計算A'!$D$102:$EQ$102,$DB10:$IO10))*1000+43)</f>
        <v/>
      </c>
      <c r="CY10">
        <f>IF(BE10=1,1000000,IF('計算A'!$IT$53&gt;0,0,500000)+IF('計算A'!$IQ$53=2,SUMPRODUCT('計算A'!$D$103:$EQ$103,$DB10:$IO10,$IQ10:$OD10),SUMPRODUCT('計算A'!$D$103:$EQ$103,$DB10:$IO10))*1000+44)</f>
        <v/>
      </c>
      <c r="CZ10">
        <f>IF(BF10=1,1000000,IF('計算A'!$IT$54&gt;0,0,500000)+IF('計算A'!$IQ$54=2,SUMPRODUCT('計算A'!$D$104:$EQ$104,$DB10:$IO10,$IQ10:$OD10),SUMPRODUCT('計算A'!$D$104:$EQ$104,$DB10:$IO10))*1000+45)</f>
        <v/>
      </c>
      <c r="DB10">
        <f>DB9*IF(OR($C9=1,$G9=1),0,1)</f>
        <v/>
      </c>
      <c r="DC10">
        <f>DC9*IF(OR($C9=2,$G9=2),0,1)</f>
        <v/>
      </c>
      <c r="DD10">
        <f>DD9*IF(OR($C9=3,$G9=3),0,1)</f>
        <v/>
      </c>
      <c r="DE10">
        <f>DE9*IF(OR($C9=4,$G9=4),0,1)</f>
        <v/>
      </c>
      <c r="DF10">
        <f>DF9*IF(OR($C9=5,$G9=5),0,1)</f>
        <v/>
      </c>
      <c r="DG10">
        <f>DG9*IF(OR($C9=6,$G9=6),0,1)</f>
        <v/>
      </c>
      <c r="DH10">
        <f>DH9*IF(OR($C9=7,$G9=7),0,1)</f>
        <v/>
      </c>
      <c r="DI10">
        <f>DI9*IF(OR($C9=8,$G9=8),0,1)</f>
        <v/>
      </c>
      <c r="DJ10">
        <f>DJ9*IF(OR($C9=9,$G9=9),0,1)</f>
        <v/>
      </c>
      <c r="DK10">
        <f>DK9*IF(OR($C9=10,$G9=10),0,1)</f>
        <v/>
      </c>
      <c r="DL10">
        <f>DL9*IF(OR($C9=11,$G9=11),0,1)</f>
        <v/>
      </c>
      <c r="DM10">
        <f>DM9*IF(OR($C9=12,$G9=12),0,1)</f>
        <v/>
      </c>
      <c r="DN10">
        <f>DN9*IF(OR($C9=13,$G9=13),0,1)</f>
        <v/>
      </c>
      <c r="DO10">
        <f>DO9*IF(OR($C9=14,$G9=14),0,1)</f>
        <v/>
      </c>
      <c r="DP10">
        <f>DP9*IF(OR($C9=15,$G9=15),0,1)</f>
        <v/>
      </c>
      <c r="DQ10">
        <f>DQ9*IF(OR($C9=16,$G9=16),0,1)</f>
        <v/>
      </c>
      <c r="DR10">
        <f>DR9*IF(OR($C9=17,$G9=17),0,1)</f>
        <v/>
      </c>
      <c r="DS10">
        <f>DS9*IF(OR($C9=18,$G9=18),0,1)</f>
        <v/>
      </c>
      <c r="DT10">
        <f>DT9*IF(OR($C9=19,$G9=19),0,1)</f>
        <v/>
      </c>
      <c r="DU10">
        <f>DU9*IF(OR($C9=20,$G9=20),0,1)</f>
        <v/>
      </c>
      <c r="DV10">
        <f>DV9*IF(OR($C9=21,$G9=21),0,1)</f>
        <v/>
      </c>
      <c r="DW10">
        <f>DW9*IF(OR($C9=22,$G9=22),0,1)</f>
        <v/>
      </c>
      <c r="DX10">
        <f>DX9*IF(OR($C9=23,$G9=23),0,1)</f>
        <v/>
      </c>
      <c r="DY10">
        <f>DY9*IF(OR($C9=24,$G9=24),0,1)</f>
        <v/>
      </c>
      <c r="DZ10">
        <f>DZ9*IF(OR($C9=25,$G9=25),0,1)</f>
        <v/>
      </c>
      <c r="EA10">
        <f>EA9*IF(OR($C9=26,$G9=26),0,1)</f>
        <v/>
      </c>
      <c r="EB10">
        <f>EB9*IF(OR($C9=27,$G9=27),0,1)</f>
        <v/>
      </c>
      <c r="EC10">
        <f>EC9*IF(OR($C9=28,$G9=28),0,1)</f>
        <v/>
      </c>
      <c r="ED10">
        <f>ED9*IF(OR($C9=29,$G9=29),0,1)</f>
        <v/>
      </c>
      <c r="EE10">
        <f>EE9*IF(OR($C9=30,$G9=30),0,1)</f>
        <v/>
      </c>
      <c r="EF10">
        <f>EF9*IF(OR($C9=31,$G9=31),0,1)</f>
        <v/>
      </c>
      <c r="EG10">
        <f>EG9*IF(OR($C9=32,$G9=32),0,1)</f>
        <v/>
      </c>
      <c r="EH10">
        <f>EH9*IF(OR($C9=33,$G9=33),0,1)</f>
        <v/>
      </c>
      <c r="EI10">
        <f>EI9*IF(OR($C9=34,$G9=34),0,1)</f>
        <v/>
      </c>
      <c r="EJ10">
        <f>EJ9*IF(OR($C9=35,$G9=35),0,1)</f>
        <v/>
      </c>
      <c r="EK10">
        <f>EK9*IF(OR($C9=36,$G9=36),0,1)</f>
        <v/>
      </c>
      <c r="EL10">
        <f>EL9*IF(OR($C9=37,$G9=37),0,1)</f>
        <v/>
      </c>
      <c r="EM10">
        <f>EM9*IF(OR($C9=38,$G9=38),0,1)</f>
        <v/>
      </c>
      <c r="EN10">
        <f>EN9*IF(OR($C9=39,$G9=39),0,1)</f>
        <v/>
      </c>
      <c r="EO10">
        <f>EO9*IF(OR($C9=40,$G9=40),0,1)</f>
        <v/>
      </c>
      <c r="EP10">
        <f>EP9*IF(OR($C9=41,$G9=41),0,1)</f>
        <v/>
      </c>
      <c r="EQ10">
        <f>EQ9*IF(OR($C9=42,$G9=42),0,1)</f>
        <v/>
      </c>
      <c r="ER10">
        <f>ER9*IF(OR($C9=43,$G9=43),0,1)</f>
        <v/>
      </c>
      <c r="ES10">
        <f>ES9*IF(OR($C9=44,$G9=44),0,1)</f>
        <v/>
      </c>
      <c r="ET10">
        <f>ET9*IF(OR($C9=45,$G9=45),0,1)</f>
        <v/>
      </c>
      <c r="EU10">
        <f>EU9*IF(OR($C9=46,$G9=46),0,1)</f>
        <v/>
      </c>
      <c r="EV10">
        <f>EV9*IF(OR($C9=47,$G9=47),0,1)</f>
        <v/>
      </c>
      <c r="EW10">
        <f>EW9*IF(OR($C9=48,$G9=48),0,1)</f>
        <v/>
      </c>
      <c r="EX10">
        <f>EX9*IF(OR($C9=49,$G9=49),0,1)</f>
        <v/>
      </c>
      <c r="EY10">
        <f>EY9*IF(OR($C9=50,$G9=50),0,1)</f>
        <v/>
      </c>
      <c r="EZ10">
        <f>EZ9*IF(OR($C9=51,$G9=51),0,1)</f>
        <v/>
      </c>
      <c r="FA10">
        <f>FA9*IF(OR($C9=52,$G9=52),0,1)</f>
        <v/>
      </c>
      <c r="FB10">
        <f>FB9*IF(OR($C9=53,$G9=53),0,1)</f>
        <v/>
      </c>
      <c r="FC10">
        <f>FC9*IF(OR($C9=54,$G9=54),0,1)</f>
        <v/>
      </c>
      <c r="FD10">
        <f>FD9*IF(OR($C9=55,$G9=55),0,1)</f>
        <v/>
      </c>
      <c r="FE10">
        <f>FE9*IF(OR($C9=56,$G9=56),0,1)</f>
        <v/>
      </c>
      <c r="FF10">
        <f>FF9*IF(OR($C9=57,$G9=57),0,1)</f>
        <v/>
      </c>
      <c r="FG10">
        <f>FG9*IF(OR($C9=58,$G9=58),0,1)</f>
        <v/>
      </c>
      <c r="FH10">
        <f>FH9*IF(OR($C9=59,$G9=59),0,1)</f>
        <v/>
      </c>
      <c r="FI10">
        <f>FI9*IF(OR($C9=60,$G9=60),0,1)</f>
        <v/>
      </c>
      <c r="FJ10">
        <f>FJ9*IF(OR($C9=61,$G9=61),0,1)</f>
        <v/>
      </c>
      <c r="FK10">
        <f>FK9*IF(OR($C9=62,$G9=62),0,1)</f>
        <v/>
      </c>
      <c r="FL10">
        <f>FL9*IF(OR($C9=63,$G9=63),0,1)</f>
        <v/>
      </c>
      <c r="FM10">
        <f>FM9*IF(OR($C9=64,$G9=64),0,1)</f>
        <v/>
      </c>
      <c r="FN10">
        <f>FN9*IF(OR($C9=65,$G9=65),0,1)</f>
        <v/>
      </c>
      <c r="FO10">
        <f>FO9*IF(OR($C9=66,$G9=66),0,1)</f>
        <v/>
      </c>
      <c r="FP10">
        <f>FP9*IF(OR($C9=67,$G9=67),0,1)</f>
        <v/>
      </c>
      <c r="FQ10">
        <f>FQ9*IF(OR($C9=68,$G9=68),0,1)</f>
        <v/>
      </c>
      <c r="FR10">
        <f>FR9*IF(OR($C9=69,$G9=69),0,1)</f>
        <v/>
      </c>
      <c r="FS10">
        <f>FS9*IF(OR($C9=70,$G9=70),0,1)</f>
        <v/>
      </c>
      <c r="FT10">
        <f>FT9*IF(OR($C9=71,$G9=71),0,1)</f>
        <v/>
      </c>
      <c r="FU10">
        <f>FU9*IF(OR($C9=72,$G9=72),0,1)</f>
        <v/>
      </c>
      <c r="FV10">
        <f>FV9*IF(OR($C9=73,$G9=73),0,1)</f>
        <v/>
      </c>
      <c r="FW10">
        <f>FW9*IF(OR($C9=74,$G9=74),0,1)</f>
        <v/>
      </c>
      <c r="FX10">
        <f>FX9*IF(OR($C9=75,$G9=75),0,1)</f>
        <v/>
      </c>
      <c r="FY10">
        <f>FY9*IF(OR($C9=76,$G9=76),0,1)</f>
        <v/>
      </c>
      <c r="FZ10">
        <f>FZ9*IF(OR($C9=77,$G9=77),0,1)</f>
        <v/>
      </c>
      <c r="GA10">
        <f>GA9*IF(OR($C9=78,$G9=78),0,1)</f>
        <v/>
      </c>
      <c r="GB10">
        <f>GB9*IF(OR($C9=79,$G9=79),0,1)</f>
        <v/>
      </c>
      <c r="GC10">
        <f>GC9*IF(OR($C9=80,$G9=80),0,1)</f>
        <v/>
      </c>
      <c r="GD10">
        <f>GD9*IF(OR($C9=81,$G9=81),0,1)</f>
        <v/>
      </c>
      <c r="GE10">
        <f>GE9*IF(OR($C9=82,$G9=82),0,1)</f>
        <v/>
      </c>
      <c r="GF10">
        <f>GF9*IF(OR($C9=83,$G9=83),0,1)</f>
        <v/>
      </c>
      <c r="GG10">
        <f>GG9*IF(OR($C9=84,$G9=84),0,1)</f>
        <v/>
      </c>
      <c r="GH10">
        <f>GH9*IF(OR($C9=85,$G9=85),0,1)</f>
        <v/>
      </c>
      <c r="GI10">
        <f>GI9*IF(OR($C9=86,$G9=86),0,1)</f>
        <v/>
      </c>
      <c r="GJ10">
        <f>GJ9*IF(OR($C9=87,$G9=87),0,1)</f>
        <v/>
      </c>
      <c r="GK10">
        <f>GK9*IF(OR($C9=88,$G9=88),0,1)</f>
        <v/>
      </c>
      <c r="GL10">
        <f>GL9*IF(OR($C9=89,$G9=89),0,1)</f>
        <v/>
      </c>
      <c r="GM10">
        <f>GM9*IF(OR($C9=90,$G9=90),0,1)</f>
        <v/>
      </c>
      <c r="GN10">
        <f>GN9*IF(OR($C9=91,$G9=91),0,1)</f>
        <v/>
      </c>
      <c r="GO10">
        <f>GO9*IF(OR($C9=92,$G9=92),0,1)</f>
        <v/>
      </c>
      <c r="GP10">
        <f>GP9*IF(OR($C9=93,$G9=93),0,1)</f>
        <v/>
      </c>
      <c r="GQ10">
        <f>GQ9*IF(OR($C9=94,$G9=94),0,1)</f>
        <v/>
      </c>
      <c r="GR10">
        <f>GR9*IF(OR($C9=95,$G9=95),0,1)</f>
        <v/>
      </c>
      <c r="GS10">
        <f>GS9*IF(OR($C9=96,$G9=96),0,1)</f>
        <v/>
      </c>
      <c r="GT10">
        <f>GT9*IF(OR($C9=97,$G9=97),0,1)</f>
        <v/>
      </c>
      <c r="GU10">
        <f>GU9*IF(OR($C9=98,$G9=98),0,1)</f>
        <v/>
      </c>
      <c r="GV10">
        <f>GV9*IF(OR($C9=99,$G9=99),0,1)</f>
        <v/>
      </c>
      <c r="GW10">
        <f>GW9*IF(OR($C9=100,$G9=100),0,1)</f>
        <v/>
      </c>
      <c r="GX10">
        <f>GX9*IF(OR($C9=101,$G9=101),0,1)</f>
        <v/>
      </c>
      <c r="GY10">
        <f>GY9*IF(OR($C9=102,$G9=102),0,1)</f>
        <v/>
      </c>
      <c r="GZ10">
        <f>GZ9*IF(OR($C9=103,$G9=103),0,1)</f>
        <v/>
      </c>
      <c r="HA10">
        <f>HA9*IF(OR($C9=104,$G9=104),0,1)</f>
        <v/>
      </c>
      <c r="HB10">
        <f>HB9*IF(OR($C9=105,$G9=105),0,1)</f>
        <v/>
      </c>
      <c r="HC10">
        <f>HC9*IF(OR($C9=106,$G9=106),0,1)</f>
        <v/>
      </c>
      <c r="HD10">
        <f>HD9*IF(OR($C9=107,$G9=107),0,1)</f>
        <v/>
      </c>
      <c r="HE10">
        <f>HE9*IF(OR($C9=108,$G9=108),0,1)</f>
        <v/>
      </c>
      <c r="HF10">
        <f>HF9*IF(OR($C9=109,$G9=109),0,1)</f>
        <v/>
      </c>
      <c r="HG10">
        <f>HG9*IF(OR($C9=110,$G9=110),0,1)</f>
        <v/>
      </c>
      <c r="HH10">
        <f>HH9*IF(OR($C9=111,$G9=111),0,1)</f>
        <v/>
      </c>
      <c r="HI10">
        <f>HI9*IF(OR($C9=112,$G9=112),0,1)</f>
        <v/>
      </c>
      <c r="HJ10">
        <f>HJ9*IF(OR($C9=113,$G9=113),0,1)</f>
        <v/>
      </c>
      <c r="HK10">
        <f>HK9*IF(OR($C9=114,$G9=114),0,1)</f>
        <v/>
      </c>
      <c r="HL10">
        <f>HL9*IF(OR($C9=115,$G9=115),0,1)</f>
        <v/>
      </c>
      <c r="HM10">
        <f>HM9*IF(OR($C9=116,$G9=116),0,1)</f>
        <v/>
      </c>
      <c r="HN10">
        <f>HN9*IF(OR($C9=117,$G9=117),0,1)</f>
        <v/>
      </c>
      <c r="HO10">
        <f>HO9*IF(OR($C9=118,$G9=118),0,1)</f>
        <v/>
      </c>
      <c r="HP10">
        <f>HP9*IF(OR($C9=119,$G9=119),0,1)</f>
        <v/>
      </c>
      <c r="HQ10">
        <f>HQ9*IF(OR($C9=120,$G9=120),0,1)</f>
        <v/>
      </c>
      <c r="HR10">
        <f>HR9*IF(OR($C9=121,$G9=121),0,1)</f>
        <v/>
      </c>
      <c r="HS10">
        <f>HS9*IF(OR($C9=122,$G9=122),0,1)</f>
        <v/>
      </c>
      <c r="HT10">
        <f>HT9*IF(OR($C9=123,$G9=123),0,1)</f>
        <v/>
      </c>
      <c r="HU10">
        <f>HU9*IF(OR($C9=124,$G9=124),0,1)</f>
        <v/>
      </c>
      <c r="HV10">
        <f>HV9*IF(OR($C9=125,$G9=125),0,1)</f>
        <v/>
      </c>
      <c r="HW10">
        <f>HW9*IF(OR($C9=126,$G9=126),0,1)</f>
        <v/>
      </c>
      <c r="HX10">
        <f>HX9*IF(OR($C9=127,$G9=127),0,1)</f>
        <v/>
      </c>
      <c r="HY10">
        <f>HY9*IF(OR($C9=128,$G9=128),0,1)</f>
        <v/>
      </c>
      <c r="HZ10">
        <f>HZ9*IF(OR($C9=129,$G9=129),0,1)</f>
        <v/>
      </c>
      <c r="IA10">
        <f>IA9*IF(OR($C9=130,$G9=130),0,1)</f>
        <v/>
      </c>
      <c r="IB10">
        <f>IB9*IF(OR($C9=131,$G9=131),0,1)</f>
        <v/>
      </c>
      <c r="IC10">
        <f>IC9*IF(OR($C9=132,$G9=132),0,1)</f>
        <v/>
      </c>
      <c r="ID10">
        <f>ID9*IF(OR($C9=133,$G9=133),0,1)</f>
        <v/>
      </c>
      <c r="IE10">
        <f>IE9*IF(OR($C9=134,$G9=134),0,1)</f>
        <v/>
      </c>
      <c r="IF10">
        <f>IF9*IF(OR($C9=135,$G9=135),0,1)</f>
        <v/>
      </c>
      <c r="IG10">
        <f>IG9*IF(OR($C9=136,$G9=136),0,1)</f>
        <v/>
      </c>
      <c r="IH10">
        <f>IH9*IF(OR($C9=137,$G9=137),0,1)</f>
        <v/>
      </c>
      <c r="II10">
        <f>II9*IF(OR($C9=138,$G9=138),0,1)</f>
        <v/>
      </c>
      <c r="IJ10">
        <f>IJ9*IF(OR($C9=139,$G9=139),0,1)</f>
        <v/>
      </c>
      <c r="IK10">
        <f>IK9*IF(OR($C9=140,$G9=140),0,1)</f>
        <v/>
      </c>
      <c r="IL10">
        <f>IL9*IF(OR($C9=141,$G9=141),0,1)</f>
        <v/>
      </c>
      <c r="IM10">
        <f>IM9*IF(OR($C9=142,$G9=142),0,1)</f>
        <v/>
      </c>
      <c r="IN10">
        <f>IN9*IF(OR($C9=143,$G9=143),0,1)</f>
        <v/>
      </c>
      <c r="IO10">
        <f>IO9*IF(OR($C9=144,$G9=144),0,1)</f>
        <v/>
      </c>
      <c r="IQ10">
        <f>IF('計算A'!D$106=1,DC10,1)</f>
        <v/>
      </c>
      <c r="IR10">
        <f>IF('計算A'!E$106=1,DD10,1)</f>
        <v/>
      </c>
      <c r="IS10">
        <f>IF('計算A'!F$106=1,DE10,1)</f>
        <v/>
      </c>
      <c r="IT10">
        <f>IF('計算A'!G$106=1,DF10,1)</f>
        <v/>
      </c>
      <c r="IU10">
        <f>IF('計算A'!H$106=1,DG10,1)</f>
        <v/>
      </c>
      <c r="IV10">
        <f>IF('計算A'!I$106=1,DH10,1)</f>
        <v/>
      </c>
      <c r="IW10">
        <f>IF('計算A'!J$106=1,DI10,1)</f>
        <v/>
      </c>
      <c r="IX10">
        <f>IF('計算A'!K$106=1,DJ10,1)</f>
        <v/>
      </c>
      <c r="IY10">
        <f>IF('計算A'!L$106=1,DK10,1)</f>
        <v/>
      </c>
      <c r="IZ10">
        <f>IF('計算A'!M$106=1,DL10,1)</f>
        <v/>
      </c>
      <c r="JA10">
        <f>IF('計算A'!N$106=1,DM10,1)</f>
        <v/>
      </c>
      <c r="JB10">
        <f>IF('計算A'!O$106=1,DN10,1)</f>
        <v/>
      </c>
      <c r="JC10">
        <f>IF('計算A'!P$106=1,DO10,1)</f>
        <v/>
      </c>
      <c r="JD10">
        <f>IF('計算A'!Q$106=1,DP10,1)</f>
        <v/>
      </c>
      <c r="JE10">
        <f>IF('計算A'!R$106=1,DQ10,1)</f>
        <v/>
      </c>
      <c r="JF10">
        <f>IF('計算A'!S$106=1,DR10,1)</f>
        <v/>
      </c>
      <c r="JG10">
        <f>IF('計算A'!T$106=1,DS10,1)</f>
        <v/>
      </c>
      <c r="JH10">
        <f>IF('計算A'!U$106=1,DT10,1)</f>
        <v/>
      </c>
      <c r="JI10">
        <f>IF('計算A'!V$106=1,DU10,1)</f>
        <v/>
      </c>
      <c r="JJ10">
        <f>IF('計算A'!W$106=1,DV10,1)</f>
        <v/>
      </c>
      <c r="JK10">
        <f>IF('計算A'!X$106=1,DW10,1)</f>
        <v/>
      </c>
      <c r="JL10">
        <f>IF('計算A'!Y$106=1,DX10,1)</f>
        <v/>
      </c>
      <c r="JM10">
        <f>IF('計算A'!Z$106=1,DY10,1)</f>
        <v/>
      </c>
      <c r="JN10">
        <f>IF('計算A'!AA$106=1,DZ10,1)</f>
        <v/>
      </c>
      <c r="JO10">
        <f>IF('計算A'!AB$106=1,EA10,1)</f>
        <v/>
      </c>
      <c r="JP10">
        <f>IF('計算A'!AC$106=1,EB10,1)</f>
        <v/>
      </c>
      <c r="JQ10">
        <f>IF('計算A'!AD$106=1,EC10,1)</f>
        <v/>
      </c>
      <c r="JR10">
        <f>IF('計算A'!AE$106=1,ED10,1)</f>
        <v/>
      </c>
      <c r="JS10">
        <f>IF('計算A'!AF$106=1,EE10,1)</f>
        <v/>
      </c>
      <c r="JT10">
        <f>IF('計算A'!AG$106=1,EF10,1)</f>
        <v/>
      </c>
      <c r="JU10">
        <f>IF('計算A'!AH$106=1,EG10,1)</f>
        <v/>
      </c>
      <c r="JV10">
        <f>IF('計算A'!AI$106=1,EH10,1)</f>
        <v/>
      </c>
      <c r="JW10">
        <f>IF('計算A'!AJ$106=1,EI10,1)</f>
        <v/>
      </c>
      <c r="JX10">
        <f>IF('計算A'!AK$106=1,EJ10,1)</f>
        <v/>
      </c>
      <c r="JY10">
        <f>IF('計算A'!AL$106=1,EK10,1)</f>
        <v/>
      </c>
      <c r="JZ10">
        <f>IF('計算A'!AM$106=1,EL10,1)</f>
        <v/>
      </c>
      <c r="KA10">
        <f>IF('計算A'!AN$106=1,EM10,1)</f>
        <v/>
      </c>
      <c r="KB10">
        <f>IF('計算A'!AO$106=1,EN10,1)</f>
        <v/>
      </c>
      <c r="KC10">
        <f>IF('計算A'!AP$106=1,EO10,1)</f>
        <v/>
      </c>
      <c r="KD10">
        <f>IF('計算A'!AQ$106=1,EP10,1)</f>
        <v/>
      </c>
      <c r="KE10">
        <f>IF('計算A'!AR$106=1,EQ10,1)</f>
        <v/>
      </c>
      <c r="KF10">
        <f>IF('計算A'!AS$106=1,ER10,1)</f>
        <v/>
      </c>
      <c r="KG10">
        <f>IF('計算A'!AT$106=1,ES10,1)</f>
        <v/>
      </c>
      <c r="KH10">
        <f>IF('計算A'!AU$106=1,ET10,1)</f>
        <v/>
      </c>
      <c r="KI10">
        <f>IF('計算A'!AV$106=1,EU10,1)</f>
        <v/>
      </c>
      <c r="KJ10">
        <f>IF('計算A'!AW$106=1,EV10,1)</f>
        <v/>
      </c>
      <c r="KK10">
        <f>IF('計算A'!AX$106=1,EW10,1)</f>
        <v/>
      </c>
      <c r="KL10">
        <f>IF('計算A'!AY$106=1,EX10,1)</f>
        <v/>
      </c>
      <c r="KM10">
        <f>IF('計算A'!AZ$106=1,EY10,1)</f>
        <v/>
      </c>
      <c r="KN10">
        <f>IF('計算A'!BA$106=1,EZ10,1)</f>
        <v/>
      </c>
      <c r="KO10">
        <f>IF('計算A'!BB$106=1,FA10,1)</f>
        <v/>
      </c>
      <c r="KP10">
        <f>IF('計算A'!BC$106=1,FB10,1)</f>
        <v/>
      </c>
      <c r="KQ10">
        <f>IF('計算A'!BD$106=1,FC10,1)</f>
        <v/>
      </c>
      <c r="KR10">
        <f>IF('計算A'!BE$106=1,FD10,1)</f>
        <v/>
      </c>
      <c r="KS10">
        <f>IF('計算A'!BF$106=1,FE10,1)</f>
        <v/>
      </c>
      <c r="KT10">
        <f>IF('計算A'!BG$106=1,FF10,1)</f>
        <v/>
      </c>
      <c r="KU10">
        <f>IF('計算A'!BH$106=1,FG10,1)</f>
        <v/>
      </c>
      <c r="KV10">
        <f>IF('計算A'!BI$106=1,FH10,1)</f>
        <v/>
      </c>
      <c r="KW10">
        <f>IF('計算A'!BJ$106=1,FI10,1)</f>
        <v/>
      </c>
      <c r="KX10">
        <f>IF('計算A'!BK$106=1,FJ10,1)</f>
        <v/>
      </c>
      <c r="KY10">
        <f>IF('計算A'!BL$106=1,FK10,1)</f>
        <v/>
      </c>
      <c r="KZ10">
        <f>IF('計算A'!BM$106=1,FL10,1)</f>
        <v/>
      </c>
      <c r="LA10">
        <f>IF('計算A'!BN$106=1,FM10,1)</f>
        <v/>
      </c>
      <c r="LB10">
        <f>IF('計算A'!BO$106=1,FN10,1)</f>
        <v/>
      </c>
      <c r="LC10">
        <f>IF('計算A'!BP$106=1,FO10,1)</f>
        <v/>
      </c>
      <c r="LD10">
        <f>IF('計算A'!BQ$106=1,FP10,1)</f>
        <v/>
      </c>
      <c r="LE10">
        <f>IF('計算A'!BR$106=1,FQ10,1)</f>
        <v/>
      </c>
      <c r="LF10">
        <f>IF('計算A'!BS$106=1,FR10,1)</f>
        <v/>
      </c>
      <c r="LG10">
        <f>IF('計算A'!BT$106=1,FS10,1)</f>
        <v/>
      </c>
      <c r="LH10">
        <f>IF('計算A'!BU$106=1,FT10,1)</f>
        <v/>
      </c>
      <c r="LI10">
        <f>IF('計算A'!BV$106=1,FU10,1)</f>
        <v/>
      </c>
      <c r="LJ10">
        <f>IF('計算A'!BW$106=1,FV10,1)</f>
        <v/>
      </c>
      <c r="LK10">
        <f>IF('計算A'!BX$106=1,FW10,1)</f>
        <v/>
      </c>
      <c r="LL10">
        <f>IF('計算A'!BY$106=1,FX10,1)</f>
        <v/>
      </c>
      <c r="LM10">
        <f>IF('計算A'!BZ$106=1,FY10,1)</f>
        <v/>
      </c>
      <c r="LN10">
        <f>IF('計算A'!CA$106=1,FZ10,1)</f>
        <v/>
      </c>
      <c r="LO10">
        <f>IF('計算A'!CB$106=1,GA10,1)</f>
        <v/>
      </c>
      <c r="LP10">
        <f>IF('計算A'!CC$106=1,GB10,1)</f>
        <v/>
      </c>
      <c r="LQ10">
        <f>IF('計算A'!CD$106=1,GC10,1)</f>
        <v/>
      </c>
      <c r="LR10">
        <f>IF('計算A'!CE$106=1,GD10,1)</f>
        <v/>
      </c>
      <c r="LS10">
        <f>IF('計算A'!CF$106=1,GE10,1)</f>
        <v/>
      </c>
      <c r="LT10">
        <f>IF('計算A'!CG$106=1,GF10,1)</f>
        <v/>
      </c>
      <c r="LU10">
        <f>IF('計算A'!CH$106=1,GG10,1)</f>
        <v/>
      </c>
      <c r="LV10">
        <f>IF('計算A'!CI$106=1,GH10,1)</f>
        <v/>
      </c>
      <c r="LW10">
        <f>IF('計算A'!CJ$106=1,GI10,1)</f>
        <v/>
      </c>
      <c r="LX10">
        <f>IF('計算A'!CK$106=1,GJ10,1)</f>
        <v/>
      </c>
      <c r="LY10">
        <f>IF('計算A'!CL$106=1,GK10,1)</f>
        <v/>
      </c>
      <c r="LZ10">
        <f>IF('計算A'!CM$106=1,GL10,1)</f>
        <v/>
      </c>
      <c r="MA10">
        <f>IF('計算A'!CN$106=1,GM10,1)</f>
        <v/>
      </c>
      <c r="MB10">
        <f>IF('計算A'!CO$106=1,GN10,1)</f>
        <v/>
      </c>
      <c r="MC10">
        <f>IF('計算A'!CP$106=1,GO10,1)</f>
        <v/>
      </c>
      <c r="MD10">
        <f>IF('計算A'!CQ$106=1,GP10,1)</f>
        <v/>
      </c>
      <c r="ME10">
        <f>IF('計算A'!CR$106=1,GQ10,1)</f>
        <v/>
      </c>
      <c r="MF10">
        <f>IF('計算A'!CS$106=1,GR10,1)</f>
        <v/>
      </c>
      <c r="MG10">
        <f>IF('計算A'!CT$106=1,GS10,1)</f>
        <v/>
      </c>
      <c r="MH10">
        <f>IF('計算A'!CU$106=1,GT10,1)</f>
        <v/>
      </c>
      <c r="MI10">
        <f>IF('計算A'!CV$106=1,GU10,1)</f>
        <v/>
      </c>
      <c r="MJ10">
        <f>IF('計算A'!CW$106=1,GV10,1)</f>
        <v/>
      </c>
      <c r="MK10">
        <f>IF('計算A'!CX$106=1,GW10,1)</f>
        <v/>
      </c>
      <c r="ML10">
        <f>IF('計算A'!CY$106=1,GX10,1)</f>
        <v/>
      </c>
      <c r="MM10">
        <f>IF('計算A'!CZ$106=1,GY10,1)</f>
        <v/>
      </c>
      <c r="MN10">
        <f>IF('計算A'!DA$106=1,GZ10,1)</f>
        <v/>
      </c>
      <c r="MO10">
        <f>IF('計算A'!DB$106=1,HA10,1)</f>
        <v/>
      </c>
      <c r="MP10">
        <f>IF('計算A'!DC$106=1,HB10,1)</f>
        <v/>
      </c>
      <c r="MQ10">
        <f>IF('計算A'!DD$106=1,HC10,1)</f>
        <v/>
      </c>
      <c r="MR10">
        <f>IF('計算A'!DE$106=1,HD10,1)</f>
        <v/>
      </c>
      <c r="MS10">
        <f>IF('計算A'!DF$106=1,HE10,1)</f>
        <v/>
      </c>
      <c r="MT10">
        <f>IF('計算A'!DG$106=1,HF10,1)</f>
        <v/>
      </c>
      <c r="MU10">
        <f>IF('計算A'!DH$106=1,HG10,1)</f>
        <v/>
      </c>
      <c r="MV10">
        <f>IF('計算A'!DI$106=1,HH10,1)</f>
        <v/>
      </c>
      <c r="MW10">
        <f>IF('計算A'!DJ$106=1,HI10,1)</f>
        <v/>
      </c>
      <c r="MX10">
        <f>IF('計算A'!DK$106=1,HJ10,1)</f>
        <v/>
      </c>
      <c r="MY10">
        <f>IF('計算A'!DL$106=1,HK10,1)</f>
        <v/>
      </c>
      <c r="MZ10">
        <f>IF('計算A'!DM$106=1,HL10,1)</f>
        <v/>
      </c>
      <c r="NA10">
        <f>IF('計算A'!DN$106=1,HM10,1)</f>
        <v/>
      </c>
      <c r="NB10">
        <f>IF('計算A'!DO$106=1,HN10,1)</f>
        <v/>
      </c>
      <c r="NC10">
        <f>IF('計算A'!DP$106=1,HO10,1)</f>
        <v/>
      </c>
      <c r="ND10">
        <f>IF('計算A'!DQ$106=1,HP10,1)</f>
        <v/>
      </c>
      <c r="NE10">
        <f>IF('計算A'!DR$106=1,HQ10,1)</f>
        <v/>
      </c>
      <c r="NF10">
        <f>IF('計算A'!DS$106=1,HR10,1)</f>
        <v/>
      </c>
      <c r="NG10">
        <f>IF('計算A'!DT$106=1,HS10,1)</f>
        <v/>
      </c>
      <c r="NH10">
        <f>IF('計算A'!DU$106=1,HT10,1)</f>
        <v/>
      </c>
      <c r="NI10">
        <f>IF('計算A'!DV$106=1,HU10,1)</f>
        <v/>
      </c>
      <c r="NJ10">
        <f>IF('計算A'!DW$106=1,HV10,1)</f>
        <v/>
      </c>
      <c r="NK10">
        <f>IF('計算A'!DX$106=1,HW10,1)</f>
        <v/>
      </c>
      <c r="NL10">
        <f>IF('計算A'!DY$106=1,HX10,1)</f>
        <v/>
      </c>
      <c r="NM10">
        <f>IF('計算A'!DZ$106=1,HY10,1)</f>
        <v/>
      </c>
      <c r="NN10">
        <f>IF('計算A'!EA$106=1,HZ10,1)</f>
        <v/>
      </c>
      <c r="NO10">
        <f>IF('計算A'!EB$106=1,IA10,1)</f>
        <v/>
      </c>
      <c r="NP10">
        <f>IF('計算A'!EC$106=1,IB10,1)</f>
        <v/>
      </c>
      <c r="NQ10">
        <f>IF('計算A'!ED$106=1,IC10,1)</f>
        <v/>
      </c>
      <c r="NR10">
        <f>IF('計算A'!EE$106=1,ID10,1)</f>
        <v/>
      </c>
      <c r="NS10">
        <f>IF('計算A'!EF$106=1,IE10,1)</f>
        <v/>
      </c>
      <c r="NT10">
        <f>IF('計算A'!EG$106=1,IF10,1)</f>
        <v/>
      </c>
      <c r="NU10">
        <f>IF('計算A'!EH$106=1,IG10,1)</f>
        <v/>
      </c>
      <c r="NV10">
        <f>IF('計算A'!EI$106=1,IH10,1)</f>
        <v/>
      </c>
      <c r="NW10">
        <f>IF('計算A'!EJ$106=1,II10,1)</f>
        <v/>
      </c>
      <c r="NX10">
        <f>IF('計算A'!EK$106=1,IJ10,1)</f>
        <v/>
      </c>
      <c r="NY10">
        <f>IF('計算A'!EL$106=1,IK10,1)</f>
        <v/>
      </c>
      <c r="NZ10">
        <f>IF('計算A'!EM$106=1,IL10,1)</f>
        <v/>
      </c>
      <c r="OA10">
        <f>IF('計算A'!EN$106=1,IM10,1)</f>
        <v/>
      </c>
      <c r="OB10">
        <f>IF('計算A'!EO$106=1,IN10,1)</f>
        <v/>
      </c>
      <c r="OC10">
        <f>IF('計算A'!EP$106=1,IO10,1)</f>
        <v/>
      </c>
      <c r="OD10" t="n">
        <v>1</v>
      </c>
      <c r="OF10">
        <f>IF($B10=0,1000000,IF(INDEX('計算A'!$D$60:$EQ$104,$B10,1)*DB10=1,IF(AND($E10=2,IQ10=0),1000000,IF($I10&gt;0,IF(1=$J10,IF(OR(AND(1=$I10+1,OR($K10&lt;&gt;'計算A'!$A$3,'計算A'!$A$4=0)),AND(1=$I10-1,OR(1&lt;&gt;'計算A'!$A$3,'計算A'!$A$4=0))),0,IF(1=$K10,200000,ABS(1-$K10)*100)),100000+ABS(1-$J10)*1000+10)+'計算A'!D$5*50+IF(AND($E10=1,IQ10=0),25,0),INDEX('計算A'!D$110:D$114,$F10+1)+IF(AND($E10=1,IQ10=0),1000,0)+IF($H10=1,(IF('計算A'!D$117=1,INDEX('計算A'!E$10:E$54,$B10),0))*500,0)-IF(AND($L10=1,'計算A'!D$117=1,DC10=0),300,0))),1000000))</f>
        <v/>
      </c>
      <c r="OG10">
        <f>IF($B10=0,1000000,IF(INDEX('計算A'!$D$60:$EQ$104,$B10,2)*DC10=1,IF(AND($E10=2,IR10=0),1000000,IF($I10&gt;0,IF(1=$J10,IF(OR(AND(2=$I10+1,OR($K10&lt;&gt;'計算A'!$A$3,'計算A'!$A$4=0)),AND(2=$I10-1,OR(2&lt;&gt;'計算A'!$A$3,'計算A'!$A$4=0))),0,IF(2=$K10,200000,ABS(2-$K10)*100)),100000+ABS(1-$J10)*1000+20)+'計算A'!E$5*50+IF(AND($E10=1,IR10=0),25,0),INDEX('計算A'!E$110:E$114,$F10+1)+IF(AND($E10=1,IR10=0),1000,0)+IF($H10=1,(IF('計算A'!D$117=1,INDEX('計算A'!D$10:D$54,$B10),0)+IF('計算A'!E$117=1,INDEX('計算A'!F$10:F$54,$B10),0))*500,0)-IF(AND('計算A'!D$117=1,UB10&gt;0),300,0)-IF(AND($L10=1,'計算A'!E$117=1,DD10=0),300,0))),1000000))</f>
        <v/>
      </c>
      <c r="OH10">
        <f>IF($B10=0,1000000,IF(INDEX('計算A'!$D$60:$EQ$104,$B10,3)*DD10=1,IF(AND($E10=2,IS10=0),1000000,IF($I10&gt;0,IF(1=$J10,IF(OR(AND(3=$I10+1,OR($K10&lt;&gt;'計算A'!$A$3,'計算A'!$A$4=0)),AND(3=$I10-1,OR(3&lt;&gt;'計算A'!$A$3,'計算A'!$A$4=0))),0,IF(3=$K10,200000,ABS(3-$K10)*100)),100000+ABS(1-$J10)*1000+30)+'計算A'!F$5*50+IF(AND($E10=1,IS10=0),25,0),INDEX('計算A'!F$110:F$114,$F10+1)+IF(AND($E10=1,IS10=0),1000,0)+IF($H10=1,(IF('計算A'!E$117=1,INDEX('計算A'!E$10:E$54,$B10),0)+IF('計算A'!F$117=1,INDEX('計算A'!G$10:G$54,$B10),0))*500,0)-IF(AND('計算A'!E$117=1,UC10&gt;0),300,0)-IF(AND($L10=1,'計算A'!F$117=1,DE10=0),300,0))),1000000))</f>
        <v/>
      </c>
      <c r="OI10">
        <f>IF($B10=0,1000000,IF(INDEX('計算A'!$D$60:$EQ$104,$B10,4)*DE10=1,IF(AND($E10=2,IT10=0),1000000,IF($I10&gt;0,IF(1=$J10,IF(OR(AND(4=$I10+1,OR($K10&lt;&gt;'計算A'!$A$3,'計算A'!$A$4=0)),AND(4=$I10-1,OR(4&lt;&gt;'計算A'!$A$3,'計算A'!$A$4=0))),0,IF(4=$K10,200000,ABS(4-$K10)*100)),100000+ABS(1-$J10)*1000+40)+'計算A'!G$5*50+IF(AND($E10=1,IT10=0),25,0),INDEX('計算A'!G$110:G$114,$F10+1)+IF(AND($E10=1,IT10=0),1000,0)+IF($H10=1,(IF('計算A'!F$117=1,INDEX('計算A'!F$10:F$54,$B10),0)+IF('計算A'!G$117=1,INDEX('計算A'!H$10:H$54,$B10),0))*500,0)-IF(AND('計算A'!F$117=1,UD10&gt;0),300,0)-IF(AND($L10=1,'計算A'!G$117=1,DF10=0),300,0))),1000000))</f>
        <v/>
      </c>
      <c r="OJ10">
        <f>IF($B10=0,1000000,IF(INDEX('計算A'!$D$60:$EQ$104,$B10,5)*DF10=1,IF(AND($E10=2,IU10=0),1000000,IF($I10&gt;0,IF(1=$J10,IF(OR(AND(5=$I10+1,OR($K10&lt;&gt;'計算A'!$A$3,'計算A'!$A$4=0)),AND(5=$I10-1,OR(5&lt;&gt;'計算A'!$A$3,'計算A'!$A$4=0))),0,IF(5=$K10,200000,ABS(5-$K10)*100)),100000+ABS(1-$J10)*1000+50)+'計算A'!H$5*50+IF(AND($E10=1,IU10=0),25,0),INDEX('計算A'!H$110:H$114,$F10+1)+IF(AND($E10=1,IU10=0),1000,0)+IF($H10=1,(IF('計算A'!G$117=1,INDEX('計算A'!G$10:G$54,$B10),0)+IF('計算A'!H$117=1,INDEX('計算A'!I$10:I$54,$B10),0))*500,0)-IF(AND('計算A'!G$117=1,UE10&gt;0),300,0)-IF(AND($L10=1,'計算A'!H$117=1,DG10=0),300,0))),1000000))</f>
        <v/>
      </c>
      <c r="OK10">
        <f>IF($B10=0,1000000,IF(INDEX('計算A'!$D$60:$EQ$104,$B10,6)*DG10=1,IF(AND($E10=2,IV10=0),1000000,IF($I10&gt;0,IF(1=$J10,IF(OR(AND(6=$I10+1,OR($K10&lt;&gt;'計算A'!$A$3,'計算A'!$A$4=0)),AND(6=$I10-1,OR(6&lt;&gt;'計算A'!$A$3,'計算A'!$A$4=0))),0,IF(6=$K10,200000,ABS(6-$K10)*100)),100000+ABS(1-$J10)*1000+60)+'計算A'!I$5*50+IF(AND($E10=1,IV10=0),25,0),INDEX('計算A'!I$110:I$114,$F10+1)+IF(AND($E10=1,IV10=0),1000,0)+IF($H10=1,(IF('計算A'!H$117=1,INDEX('計算A'!H$10:H$54,$B10),0)+IF('計算A'!I$117=1,INDEX('計算A'!J$10:J$54,$B10),0))*500,0)-IF(AND('計算A'!H$117=1,UF10&gt;0),300,0)-IF(AND($L10=1,'計算A'!I$117=1,DH10=0),300,0))),1000000))</f>
        <v/>
      </c>
      <c r="OL10">
        <f>IF($B10=0,1000000,IF(INDEX('計算A'!$D$60:$EQ$104,$B10,7)*DH10=1,IF(AND($E10=2,IW10=0),1000000,IF($I10&gt;0,IF(1=$J10,IF(OR(AND(7=$I10+1,OR($K10&lt;&gt;'計算A'!$A$3,'計算A'!$A$4=0)),AND(7=$I10-1,OR(7&lt;&gt;'計算A'!$A$3,'計算A'!$A$4=0))),0,IF(7=$K10,200000,ABS(7-$K10)*100)),100000+ABS(1-$J10)*1000+70)+'計算A'!J$5*50+IF(AND($E10=1,IW10=0),25,0),INDEX('計算A'!J$110:J$114,$F10+1)+IF(AND($E10=1,IW10=0),1000,0)+IF($H10=1,(IF('計算A'!I$117=1,INDEX('計算A'!I$10:I$54,$B10),0)+IF('計算A'!J$117=1,INDEX('計算A'!K$10:K$54,$B10),0))*500,0)-IF(AND('計算A'!I$117=1,UG10&gt;0),300,0)-IF(AND($L10=1,'計算A'!J$117=1,DI10=0),300,0))),1000000))</f>
        <v/>
      </c>
      <c r="OM10">
        <f>IF($B10=0,1000000,IF(INDEX('計算A'!$D$60:$EQ$104,$B10,8)*DI10=1,IF(AND($E10=2,IX10=0),1000000,IF($I10&gt;0,IF(1=$J10,IF(OR(AND(8=$I10+1,OR($K10&lt;&gt;'計算A'!$A$3,'計算A'!$A$4=0)),AND(8=$I10-1,OR(8&lt;&gt;'計算A'!$A$3,'計算A'!$A$4=0))),0,IF(8=$K10,200000,ABS(8-$K10)*100)),100000+ABS(1-$J10)*1000+80)+'計算A'!K$5*50+IF(AND($E10=1,IX10=0),25,0),INDEX('計算A'!K$110:K$114,$F10+1)+IF(AND($E10=1,IX10=0),1000,0)+IF($H10=1,(IF('計算A'!J$117=1,INDEX('計算A'!J$10:J$54,$B10),0)+IF('計算A'!K$117=1,INDEX('計算A'!L$10:L$54,$B10),0))*500,0)-IF(AND('計算A'!J$117=1,UH10&gt;0),300,0)-IF(AND($L10=1,'計算A'!K$117=1,DJ10=0),300,0))),1000000))</f>
        <v/>
      </c>
      <c r="ON10">
        <f>IF($B10=0,1000000,IF(INDEX('計算A'!$D$60:$EQ$104,$B10,9)*DJ10=1,IF(AND($E10=2,IY10=0),1000000,IF($I10&gt;0,IF(1=$J10,IF(OR(AND(9=$I10+1,OR($K10&lt;&gt;'計算A'!$A$3,'計算A'!$A$4=0)),AND(9=$I10-1,OR(9&lt;&gt;'計算A'!$A$3,'計算A'!$A$4=0))),0,IF(9=$K10,200000,ABS(9-$K10)*100)),100000+ABS(1-$J10)*1000+90)+'計算A'!L$5*50+IF(AND($E10=1,IY10=0),25,0),INDEX('計算A'!L$110:L$114,$F10+1)+IF(AND($E10=1,IY10=0),1000,0)+IF($H10=1,(IF('計算A'!K$117=1,INDEX('計算A'!K$10:K$54,$B10),0)+IF('計算A'!L$117=1,INDEX('計算A'!M$10:M$54,$B10),0))*500,0)-IF(AND('計算A'!K$117=1,UI10&gt;0),300,0)-IF(AND($L10=1,'計算A'!L$117=1,DK10=0),300,0))),1000000))</f>
        <v/>
      </c>
      <c r="OO10">
        <f>IF($B10=0,1000000,IF(INDEX('計算A'!$D$60:$EQ$104,$B10,10)*DK10=1,IF(AND($E10=2,IZ10=0),1000000,IF($I10&gt;0,IF(1=$J10,IF(OR(AND(10=$I10+1,OR($K10&lt;&gt;'計算A'!$A$3,'計算A'!$A$4=0)),AND(10=$I10-1,OR(10&lt;&gt;'計算A'!$A$3,'計算A'!$A$4=0))),0,IF(10=$K10,200000,ABS(10-$K10)*100)),100000+ABS(1-$J10)*1000+100)+'計算A'!M$5*50+IF(AND($E10=1,IZ10=0),25,0),INDEX('計算A'!M$110:M$114,$F10+1)+IF(AND($E10=1,IZ10=0),1000,0)+IF($H10=1,(IF('計算A'!L$117=1,INDEX('計算A'!L$10:L$54,$B10),0)+IF('計算A'!M$117=1,INDEX('計算A'!N$10:N$54,$B10),0))*500,0)-IF(AND('計算A'!L$117=1,UJ10&gt;0),300,0)-IF(AND($L10=1,'計算A'!M$117=1,DL10=0),300,0))),1000000))</f>
        <v/>
      </c>
      <c r="OP10">
        <f>IF($B10=0,1000000,IF(INDEX('計算A'!$D$60:$EQ$104,$B10,11)*DL10=1,IF(AND($E10=2,JA10=0),1000000,IF($I10&gt;0,IF(1=$J10,IF(OR(AND(11=$I10+1,OR($K10&lt;&gt;'計算A'!$A$3,'計算A'!$A$4=0)),AND(11=$I10-1,OR(11&lt;&gt;'計算A'!$A$3,'計算A'!$A$4=0))),0,IF(11=$K10,200000,ABS(11-$K10)*100)),100000+ABS(1-$J10)*1000+110)+'計算A'!N$5*50+IF(AND($E10=1,JA10=0),25,0),INDEX('計算A'!N$110:N$114,$F10+1)+IF(AND($E10=1,JA10=0),1000,0)+IF($H10=1,(IF('計算A'!M$117=1,INDEX('計算A'!M$10:M$54,$B10),0)+IF('計算A'!N$117=1,INDEX('計算A'!O$10:O$54,$B10),0))*500,0)-IF(AND('計算A'!M$117=1,UK10&gt;0),300,0)-IF(AND($L10=1,'計算A'!N$117=1,DM10=0),300,0))),1000000))</f>
        <v/>
      </c>
      <c r="OQ10">
        <f>IF($B10=0,1000000,IF(INDEX('計算A'!$D$60:$EQ$104,$B10,12)*DM10=1,IF(AND($E10=2,JB10=0),1000000,IF($I10&gt;0,IF(1=$J10,IF(OR(AND(12=$I10+1,OR($K10&lt;&gt;'計算A'!$A$3,'計算A'!$A$4=0)),AND(12=$I10-1,OR(12&lt;&gt;'計算A'!$A$3,'計算A'!$A$4=0))),0,IF(12=$K10,200000,ABS(12-$K10)*100)),100000+ABS(1-$J10)*1000+120)+'計算A'!O$5*50+IF(AND($E10=1,JB10=0),25,0),INDEX('計算A'!O$110:O$114,$F10+1)+IF(AND($E10=1,JB10=0),1000,0)+IF($H10=1,(IF('計算A'!N$117=1,INDEX('計算A'!N$10:N$54,$B10),0)+IF('計算A'!O$117=1,INDEX('計算A'!P$10:P$54,$B10),0))*500,0)-IF(AND('計算A'!N$117=1,UL10&gt;0),300,0)-IF(AND($L10=1,'計算A'!O$117=1,DN10=0),300,0))),1000000))</f>
        <v/>
      </c>
      <c r="OR10">
        <f>IF($B10=0,1000000,IF(INDEX('計算A'!$D$60:$EQ$104,$B10,13)*DN10=1,IF(AND($E10=2,JC10=0),1000000,IF($I10&gt;0,IF(1=$J10,IF(OR(AND(13=$I10+1,OR($K10&lt;&gt;'計算A'!$A$3,'計算A'!$A$4=0)),AND(13=$I10-1,OR(13&lt;&gt;'計算A'!$A$3,'計算A'!$A$4=0))),0,IF(13=$K10,200000,ABS(13-$K10)*100)),100000+ABS(1-$J10)*1000+130)+'計算A'!P$5*50+IF(AND($E10=1,JC10=0),25,0),INDEX('計算A'!P$110:P$114,$F10+1)+IF(AND($E10=1,JC10=0),1000,0)+IF($H10=1,(IF('計算A'!O$117=1,INDEX('計算A'!O$10:O$54,$B10),0)+IF('計算A'!P$117=1,INDEX('計算A'!Q$10:Q$54,$B10),0))*500,0)-IF(AND('計算A'!O$117=1,UM10&gt;0),300,0)-IF(AND($L10=1,'計算A'!P$117=1,DO10=0),300,0))),1000000))</f>
        <v/>
      </c>
      <c r="OS10">
        <f>IF($B10=0,1000000,IF(INDEX('計算A'!$D$60:$EQ$104,$B10,14)*DO10=1,IF(AND($E10=2,JD10=0),1000000,IF($I10&gt;0,IF(1=$J10,IF(OR(AND(14=$I10+1,OR($K10&lt;&gt;'計算A'!$A$3,'計算A'!$A$4=0)),AND(14=$I10-1,OR(14&lt;&gt;'計算A'!$A$3,'計算A'!$A$4=0))),0,IF(14=$K10,200000,ABS(14-$K10)*100)),100000+ABS(1-$J10)*1000+140)+'計算A'!Q$5*50+IF(AND($E10=1,JD10=0),25,0),INDEX('計算A'!Q$110:Q$114,$F10+1)+IF(AND($E10=1,JD10=0),1000,0)+IF($H10=1,(IF('計算A'!P$117=1,INDEX('計算A'!P$10:P$54,$B10),0)+IF('計算A'!Q$117=1,INDEX('計算A'!R$10:R$54,$B10),0))*500,0)-IF(AND('計算A'!P$117=1,UN10&gt;0),300,0)-IF(AND($L10=1,'計算A'!Q$117=1,DP10=0),300,0))),1000000))</f>
        <v/>
      </c>
      <c r="OT10">
        <f>IF($B10=0,1000000,IF(INDEX('計算A'!$D$60:$EQ$104,$B10,15)*DP10=1,IF(AND($E10=2,JE10=0),1000000,IF($I10&gt;0,IF(1=$J10,IF(OR(AND(15=$I10+1,OR($K10&lt;&gt;'計算A'!$A$3,'計算A'!$A$4=0)),AND(15=$I10-1,OR(15&lt;&gt;'計算A'!$A$3,'計算A'!$A$4=0))),0,IF(15=$K10,200000,ABS(15-$K10)*100)),100000+ABS(1-$J10)*1000+150)+'計算A'!R$5*50+IF(AND($E10=1,JE10=0),25,0),INDEX('計算A'!R$110:R$114,$F10+1)+IF(AND($E10=1,JE10=0),1000,0)+IF($H10=1,(IF('計算A'!Q$117=1,INDEX('計算A'!Q$10:Q$54,$B10),0)+IF('計算A'!R$117=1,INDEX('計算A'!S$10:S$54,$B10),0))*500,0)-IF(AND('計算A'!Q$117=1,UO10&gt;0),300,0)-IF(AND($L10=1,'計算A'!R$117=1,DQ10=0),300,0))),1000000))</f>
        <v/>
      </c>
      <c r="OU10">
        <f>IF($B10=0,1000000,IF(INDEX('計算A'!$D$60:$EQ$104,$B10,16)*DQ10=1,IF(AND($E10=2,JF10=0),1000000,IF($I10&gt;0,IF(1=$J10,IF(OR(AND(16=$I10+1,OR($K10&lt;&gt;'計算A'!$A$3,'計算A'!$A$4=0)),AND(16=$I10-1,OR(16&lt;&gt;'計算A'!$A$3,'計算A'!$A$4=0))),0,IF(16=$K10,200000,ABS(16-$K10)*100)),100000+ABS(1-$J10)*1000+160)+'計算A'!S$5*50+IF(AND($E10=1,JF10=0),25,0),INDEX('計算A'!S$110:S$114,$F10+1)+IF(AND($E10=1,JF10=0),1000,0)+IF($H10=1,(IF('計算A'!R$117=1,INDEX('計算A'!R$10:R$54,$B10),0)+IF('計算A'!S$117=1,INDEX('計算A'!T$10:T$54,$B10),0))*500,0)-IF(AND('計算A'!R$117=1,UP10&gt;0),300,0)-IF(AND($L10=1,'計算A'!S$117=1,DR10=0),300,0))),1000000))</f>
        <v/>
      </c>
      <c r="OV10">
        <f>IF($B10=0,1000000,IF(INDEX('計算A'!$D$60:$EQ$104,$B10,17)*DR10=1,IF(AND($E10=2,JG10=0),1000000,IF($I10&gt;0,IF(1=$J10,IF(OR(AND(17=$I10+1,OR($K10&lt;&gt;'計算A'!$A$3,'計算A'!$A$4=0)),AND(17=$I10-1,OR(17&lt;&gt;'計算A'!$A$3,'計算A'!$A$4=0))),0,IF(17=$K10,200000,ABS(17-$K10)*100)),100000+ABS(1-$J10)*1000+170)+'計算A'!T$5*50+IF(AND($E10=1,JG10=0),25,0),INDEX('計算A'!T$110:T$114,$F10+1)+IF(AND($E10=1,JG10=0),1000,0)+IF($H10=1,(IF('計算A'!S$117=1,INDEX('計算A'!S$10:S$54,$B10),0)+IF('計算A'!T$117=1,INDEX('計算A'!U$10:U$54,$B10),0))*500,0)-IF(AND('計算A'!S$117=1,UQ10&gt;0),300,0)-IF(AND($L10=1,'計算A'!T$117=1,DS10=0),300,0))),1000000))</f>
        <v/>
      </c>
      <c r="OW10">
        <f>IF($B10=0,1000000,IF(INDEX('計算A'!$D$60:$EQ$104,$B10,18)*DS10=1,IF(AND($E10=2,JH10=0),1000000,IF($I10&gt;0,IF(1=$J10,IF(OR(AND(18=$I10+1,OR($K10&lt;&gt;'計算A'!$A$3,'計算A'!$A$4=0)),AND(18=$I10-1,OR(18&lt;&gt;'計算A'!$A$3,'計算A'!$A$4=0))),0,IF(18=$K10,200000,ABS(18-$K10)*100)),100000+ABS(1-$J10)*1000+180)+'計算A'!U$5*50+IF(AND($E10=1,JH10=0),25,0),INDEX('計算A'!U$110:U$114,$F10+1)+IF(AND($E10=1,JH10=0),1000,0)+IF($H10=1,(IF('計算A'!T$117=1,INDEX('計算A'!T$10:T$54,$B10),0)+IF('計算A'!U$117=1,INDEX('計算A'!V$10:V$54,$B10),0))*500,0)-IF(AND('計算A'!T$117=1,UR10&gt;0),300,0)-IF(AND($L10=1,'計算A'!U$117=1,DT10=0),300,0))),1000000))</f>
        <v/>
      </c>
      <c r="OX10">
        <f>IF($B10=0,1000000,IF(INDEX('計算A'!$D$60:$EQ$104,$B10,19)*DT10=1,IF(AND($E10=2,JI10=0),1000000,IF($I10&gt;0,IF(1=$J10,IF(OR(AND(19=$I10+1,OR($K10&lt;&gt;'計算A'!$A$3,'計算A'!$A$4=0)),AND(19=$I10-1,OR(19&lt;&gt;'計算A'!$A$3,'計算A'!$A$4=0))),0,IF(19=$K10,200000,ABS(19-$K10)*100)),100000+ABS(1-$J10)*1000+190)+'計算A'!V$5*50+IF(AND($E10=1,JI10=0),25,0),INDEX('計算A'!V$110:V$114,$F10+1)+IF(AND($E10=1,JI10=0),1000,0)+IF($H10=1,(IF('計算A'!U$117=1,INDEX('計算A'!U$10:U$54,$B10),0)+IF('計算A'!V$117=1,INDEX('計算A'!W$10:W$54,$B10),0))*500,0)-IF(AND('計算A'!U$117=1,US10&gt;0),300,0)-IF(AND($L10=1,'計算A'!V$117=1,DU10=0),300,0))),1000000))</f>
        <v/>
      </c>
      <c r="OY10">
        <f>IF($B10=0,1000000,IF(INDEX('計算A'!$D$60:$EQ$104,$B10,20)*DU10=1,IF(AND($E10=2,JJ10=0),1000000,IF($I10&gt;0,IF(1=$J10,IF(OR(AND(20=$I10+1,OR($K10&lt;&gt;'計算A'!$A$3,'計算A'!$A$4=0)),AND(20=$I10-1,OR(20&lt;&gt;'計算A'!$A$3,'計算A'!$A$4=0))),0,IF(20=$K10,200000,ABS(20-$K10)*100)),100000+ABS(1-$J10)*1000+200)+'計算A'!W$5*50+IF(AND($E10=1,JJ10=0),25,0),INDEX('計算A'!W$110:W$114,$F10+1)+IF(AND($E10=1,JJ10=0),1000,0)+IF($H10=1,(IF('計算A'!V$117=1,INDEX('計算A'!V$10:V$54,$B10),0)+IF('計算A'!W$117=1,INDEX('計算A'!X$10:X$54,$B10),0))*500,0)-IF(AND('計算A'!V$117=1,UT10&gt;0),300,0)-IF(AND($L10=1,'計算A'!W$117=1,DV10=0),300,0))),1000000))</f>
        <v/>
      </c>
      <c r="OZ10">
        <f>IF($B10=0,1000000,IF(INDEX('計算A'!$D$60:$EQ$104,$B10,21)*DV10=1,IF(AND($E10=2,JK10=0),1000000,IF($I10&gt;0,IF(1=$J10,IF(OR(AND(21=$I10+1,OR($K10&lt;&gt;'計算A'!$A$3,'計算A'!$A$4=0)),AND(21=$I10-1,OR(21&lt;&gt;'計算A'!$A$3,'計算A'!$A$4=0))),0,IF(21=$K10,200000,ABS(21-$K10)*100)),100000+ABS(1-$J10)*1000+210)+'計算A'!X$5*50+IF(AND($E10=1,JK10=0),25,0),INDEX('計算A'!X$110:X$114,$F10+1)+IF(AND($E10=1,JK10=0),1000,0)+IF($H10=1,(IF('計算A'!W$117=1,INDEX('計算A'!W$10:W$54,$B10),0)+IF('計算A'!X$117=1,INDEX('計算A'!Y$10:Y$54,$B10),0))*500,0)-IF(AND('計算A'!W$117=1,UU10&gt;0),300,0)-IF(AND($L10=1,'計算A'!X$117=1,DW10=0),300,0))),1000000))</f>
        <v/>
      </c>
      <c r="PA10">
        <f>IF($B10=0,1000000,IF(INDEX('計算A'!$D$60:$EQ$104,$B10,22)*DW10=1,IF(AND($E10=2,JL10=0),1000000,IF($I10&gt;0,IF(1=$J10,IF(OR(AND(22=$I10+1,OR($K10&lt;&gt;'計算A'!$A$3,'計算A'!$A$4=0)),AND(22=$I10-1,OR(22&lt;&gt;'計算A'!$A$3,'計算A'!$A$4=0))),0,IF(22=$K10,200000,ABS(22-$K10)*100)),100000+ABS(1-$J10)*1000+220)+'計算A'!Y$5*50+IF(AND($E10=1,JL10=0),25,0),INDEX('計算A'!Y$110:Y$114,$F10+1)+IF(AND($E10=1,JL10=0),1000,0)+IF($H10=1,(IF('計算A'!X$117=1,INDEX('計算A'!X$10:X$54,$B10),0)+IF('計算A'!Y$117=1,INDEX('計算A'!Z$10:Z$54,$B10),0))*500,0)-IF(AND('計算A'!X$117=1,UV10&gt;0),300,0)-IF(AND($L10=1,'計算A'!Y$117=1,DX10=0),300,0))),1000000))</f>
        <v/>
      </c>
      <c r="PB10">
        <f>IF($B10=0,1000000,IF(INDEX('計算A'!$D$60:$EQ$104,$B10,23)*DX10=1,IF(AND($E10=2,JM10=0),1000000,IF($I10&gt;0,IF(1=$J10,IF(OR(AND(23=$I10+1,OR($K10&lt;&gt;'計算A'!$A$3,'計算A'!$A$4=0)),AND(23=$I10-1,OR(23&lt;&gt;'計算A'!$A$3,'計算A'!$A$4=0))),0,IF(23=$K10,200000,ABS(23-$K10)*100)),100000+ABS(1-$J10)*1000+230)+'計算A'!Z$5*50+IF(AND($E10=1,JM10=0),25,0),INDEX('計算A'!Z$110:Z$114,$F10+1)+IF(AND($E10=1,JM10=0),1000,0)+IF($H10=1,(IF('計算A'!Y$117=1,INDEX('計算A'!Y$10:Y$54,$B10),0)+IF('計算A'!Z$117=1,INDEX('計算A'!AA$10:AA$54,$B10),0))*500,0)-IF(AND('計算A'!Y$117=1,UW10&gt;0),300,0)-IF(AND($L10=1,'計算A'!Z$117=1,DY10=0),300,0))),1000000))</f>
        <v/>
      </c>
      <c r="PC10">
        <f>IF($B10=0,1000000,IF(INDEX('計算A'!$D$60:$EQ$104,$B10,24)*DY10=1,IF(AND($E10=2,JN10=0),1000000,IF($I10&gt;0,IF(1=$J10,IF(OR(AND(24=$I10+1,OR($K10&lt;&gt;'計算A'!$A$3,'計算A'!$A$4=0)),AND(24=$I10-1,OR(24&lt;&gt;'計算A'!$A$3,'計算A'!$A$4=0))),0,IF(24=$K10,200000,ABS(24-$K10)*100)),100000+ABS(1-$J10)*1000+240)+'計算A'!AA$5*50+IF(AND($E10=1,JN10=0),25,0),INDEX('計算A'!AA$110:AA$114,$F10+1)+IF(AND($E10=1,JN10=0),1000,0)+IF($H10=1,(IF('計算A'!Z$117=1,INDEX('計算A'!Z$10:Z$54,$B10),0))*500,0)-IF(AND('計算A'!Z$117=1,UX10&gt;0),300,0))),1000000))</f>
        <v/>
      </c>
      <c r="PD10">
        <f>IF($B10=0,1000000,IF(INDEX('計算A'!$D$60:$EQ$104,$B10,25)*DZ10=1,IF(AND($E10=2,JO10=0),1000000,IF($I10&gt;0,IF(2=$J10,IF(OR(AND(25=$I10+1,OR($K10&lt;&gt;'計算A'!$A$3,'計算A'!$A$4=0)),AND(25=$I10-1,OR(1&lt;&gt;'計算A'!$A$3,'計算A'!$A$4=0))),0,IF(1=$K10,200000,ABS(1-$K10)*100)),100000+ABS(2-$J10)*1000+10)+'計算A'!AB$5*50+IF(AND($E10=1,JO10=0),25,0),INDEX('計算A'!AB$110:AB$114,$F10+1)+IF(AND($E10=1,JO10=0),1000,0)+IF($H10=1,(IF('計算A'!AB$117=1,INDEX('計算A'!AC$10:AC$54,$B10),0))*500,0)-IF(AND($L10=1,'計算A'!AB$117=1,EA10=0),300,0))),1000000))</f>
        <v/>
      </c>
      <c r="PE10">
        <f>IF($B10=0,1000000,IF(INDEX('計算A'!$D$60:$EQ$104,$B10,26)*EA10=1,IF(AND($E10=2,JP10=0),1000000,IF($I10&gt;0,IF(2=$J10,IF(OR(AND(26=$I10+1,OR($K10&lt;&gt;'計算A'!$A$3,'計算A'!$A$4=0)),AND(26=$I10-1,OR(2&lt;&gt;'計算A'!$A$3,'計算A'!$A$4=0))),0,IF(2=$K10,200000,ABS(2-$K10)*100)),100000+ABS(2-$J10)*1000+20)+'計算A'!AC$5*50+IF(AND($E10=1,JP10=0),25,0),INDEX('計算A'!AC$110:AC$114,$F10+1)+IF(AND($E10=1,JP10=0),1000,0)+IF($H10=1,(IF('計算A'!AB$117=1,INDEX('計算A'!AB$10:AB$54,$B10),0)+IF('計算A'!AC$117=1,INDEX('計算A'!AD$10:AD$54,$B10),0))*500,0)-IF(AND('計算A'!AB$117=1,UZ10&gt;0),300,0)-IF(AND($L10=1,'計算A'!AC$117=1,EB10=0),300,0))),1000000))</f>
        <v/>
      </c>
      <c r="PF10">
        <f>IF($B10=0,1000000,IF(INDEX('計算A'!$D$60:$EQ$104,$B10,27)*EB10=1,IF(AND($E10=2,JQ10=0),1000000,IF($I10&gt;0,IF(2=$J10,IF(OR(AND(27=$I10+1,OR($K10&lt;&gt;'計算A'!$A$3,'計算A'!$A$4=0)),AND(27=$I10-1,OR(3&lt;&gt;'計算A'!$A$3,'計算A'!$A$4=0))),0,IF(3=$K10,200000,ABS(3-$K10)*100)),100000+ABS(2-$J10)*1000+30)+'計算A'!AD$5*50+IF(AND($E10=1,JQ10=0),25,0),INDEX('計算A'!AD$110:AD$114,$F10+1)+IF(AND($E10=1,JQ10=0),1000,0)+IF($H10=1,(IF('計算A'!AC$117=1,INDEX('計算A'!AC$10:AC$54,$B10),0)+IF('計算A'!AD$117=1,INDEX('計算A'!AE$10:AE$54,$B10),0))*500,0)-IF(AND('計算A'!AC$117=1,VA10&gt;0),300,0)-IF(AND($L10=1,'計算A'!AD$117=1,EC10=0),300,0))),1000000))</f>
        <v/>
      </c>
      <c r="PG10">
        <f>IF($B10=0,1000000,IF(INDEX('計算A'!$D$60:$EQ$104,$B10,28)*EC10=1,IF(AND($E10=2,JR10=0),1000000,IF($I10&gt;0,IF(2=$J10,IF(OR(AND(28=$I10+1,OR($K10&lt;&gt;'計算A'!$A$3,'計算A'!$A$4=0)),AND(28=$I10-1,OR(4&lt;&gt;'計算A'!$A$3,'計算A'!$A$4=0))),0,IF(4=$K10,200000,ABS(4-$K10)*100)),100000+ABS(2-$J10)*1000+40)+'計算A'!AE$5*50+IF(AND($E10=1,JR10=0),25,0),INDEX('計算A'!AE$110:AE$114,$F10+1)+IF(AND($E10=1,JR10=0),1000,0)+IF($H10=1,(IF('計算A'!AD$117=1,INDEX('計算A'!AD$10:AD$54,$B10),0)+IF('計算A'!AE$117=1,INDEX('計算A'!AF$10:AF$54,$B10),0))*500,0)-IF(AND('計算A'!AD$117=1,VB10&gt;0),300,0)-IF(AND($L10=1,'計算A'!AE$117=1,ED10=0),300,0))),1000000))</f>
        <v/>
      </c>
      <c r="PH10">
        <f>IF($B10=0,1000000,IF(INDEX('計算A'!$D$60:$EQ$104,$B10,29)*ED10=1,IF(AND($E10=2,JS10=0),1000000,IF($I10&gt;0,IF(2=$J10,IF(OR(AND(29=$I10+1,OR($K10&lt;&gt;'計算A'!$A$3,'計算A'!$A$4=0)),AND(29=$I10-1,OR(5&lt;&gt;'計算A'!$A$3,'計算A'!$A$4=0))),0,IF(5=$K10,200000,ABS(5-$K10)*100)),100000+ABS(2-$J10)*1000+50)+'計算A'!AF$5*50+IF(AND($E10=1,JS10=0),25,0),INDEX('計算A'!AF$110:AF$114,$F10+1)+IF(AND($E10=1,JS10=0),1000,0)+IF($H10=1,(IF('計算A'!AE$117=1,INDEX('計算A'!AE$10:AE$54,$B10),0)+IF('計算A'!AF$117=1,INDEX('計算A'!AG$10:AG$54,$B10),0))*500,0)-IF(AND('計算A'!AE$117=1,VC10&gt;0),300,0)-IF(AND($L10=1,'計算A'!AF$117=1,EE10=0),300,0))),1000000))</f>
        <v/>
      </c>
      <c r="PI10">
        <f>IF($B10=0,1000000,IF(INDEX('計算A'!$D$60:$EQ$104,$B10,30)*EE10=1,IF(AND($E10=2,JT10=0),1000000,IF($I10&gt;0,IF(2=$J10,IF(OR(AND(30=$I10+1,OR($K10&lt;&gt;'計算A'!$A$3,'計算A'!$A$4=0)),AND(30=$I10-1,OR(6&lt;&gt;'計算A'!$A$3,'計算A'!$A$4=0))),0,IF(6=$K10,200000,ABS(6-$K10)*100)),100000+ABS(2-$J10)*1000+60)+'計算A'!AG$5*50+IF(AND($E10=1,JT10=0),25,0),INDEX('計算A'!AG$110:AG$114,$F10+1)+IF(AND($E10=1,JT10=0),1000,0)+IF($H10=1,(IF('計算A'!AF$117=1,INDEX('計算A'!AF$10:AF$54,$B10),0)+IF('計算A'!AG$117=1,INDEX('計算A'!AH$10:AH$54,$B10),0))*500,0)-IF(AND('計算A'!AF$117=1,VD10&gt;0),300,0)-IF(AND($L10=1,'計算A'!AG$117=1,EF10=0),300,0))),1000000))</f>
        <v/>
      </c>
      <c r="PJ10">
        <f>IF($B10=0,1000000,IF(INDEX('計算A'!$D$60:$EQ$104,$B10,31)*EF10=1,IF(AND($E10=2,JU10=0),1000000,IF($I10&gt;0,IF(2=$J10,IF(OR(AND(31=$I10+1,OR($K10&lt;&gt;'計算A'!$A$3,'計算A'!$A$4=0)),AND(31=$I10-1,OR(7&lt;&gt;'計算A'!$A$3,'計算A'!$A$4=0))),0,IF(7=$K10,200000,ABS(7-$K10)*100)),100000+ABS(2-$J10)*1000+70)+'計算A'!AH$5*50+IF(AND($E10=1,JU10=0),25,0),INDEX('計算A'!AH$110:AH$114,$F10+1)+IF(AND($E10=1,JU10=0),1000,0)+IF($H10=1,(IF('計算A'!AG$117=1,INDEX('計算A'!AG$10:AG$54,$B10),0)+IF('計算A'!AH$117=1,INDEX('計算A'!AI$10:AI$54,$B10),0))*500,0)-IF(AND('計算A'!AG$117=1,VE10&gt;0),300,0)-IF(AND($L10=1,'計算A'!AH$117=1,EG10=0),300,0))),1000000))</f>
        <v/>
      </c>
      <c r="PK10">
        <f>IF($B10=0,1000000,IF(INDEX('計算A'!$D$60:$EQ$104,$B10,32)*EG10=1,IF(AND($E10=2,JV10=0),1000000,IF($I10&gt;0,IF(2=$J10,IF(OR(AND(32=$I10+1,OR($K10&lt;&gt;'計算A'!$A$3,'計算A'!$A$4=0)),AND(32=$I10-1,OR(8&lt;&gt;'計算A'!$A$3,'計算A'!$A$4=0))),0,IF(8=$K10,200000,ABS(8-$K10)*100)),100000+ABS(2-$J10)*1000+80)+'計算A'!AI$5*50+IF(AND($E10=1,JV10=0),25,0),INDEX('計算A'!AI$110:AI$114,$F10+1)+IF(AND($E10=1,JV10=0),1000,0)+IF($H10=1,(IF('計算A'!AH$117=1,INDEX('計算A'!AH$10:AH$54,$B10),0)+IF('計算A'!AI$117=1,INDEX('計算A'!AJ$10:AJ$54,$B10),0))*500,0)-IF(AND('計算A'!AH$117=1,VF10&gt;0),300,0)-IF(AND($L10=1,'計算A'!AI$117=1,EH10=0),300,0))),1000000))</f>
        <v/>
      </c>
      <c r="PL10">
        <f>IF($B10=0,1000000,IF(INDEX('計算A'!$D$60:$EQ$104,$B10,33)*EH10=1,IF(AND($E10=2,JW10=0),1000000,IF($I10&gt;0,IF(2=$J10,IF(OR(AND(33=$I10+1,OR($K10&lt;&gt;'計算A'!$A$3,'計算A'!$A$4=0)),AND(33=$I10-1,OR(9&lt;&gt;'計算A'!$A$3,'計算A'!$A$4=0))),0,IF(9=$K10,200000,ABS(9-$K10)*100)),100000+ABS(2-$J10)*1000+90)+'計算A'!AJ$5*50+IF(AND($E10=1,JW10=0),25,0),INDEX('計算A'!AJ$110:AJ$114,$F10+1)+IF(AND($E10=1,JW10=0),1000,0)+IF($H10=1,(IF('計算A'!AI$117=1,INDEX('計算A'!AI$10:AI$54,$B10),0)+IF('計算A'!AJ$117=1,INDEX('計算A'!AK$10:AK$54,$B10),0))*500,0)-IF(AND('計算A'!AI$117=1,VG10&gt;0),300,0)-IF(AND($L10=1,'計算A'!AJ$117=1,EI10=0),300,0))),1000000))</f>
        <v/>
      </c>
      <c r="PM10">
        <f>IF($B10=0,1000000,IF(INDEX('計算A'!$D$60:$EQ$104,$B10,34)*EI10=1,IF(AND($E10=2,JX10=0),1000000,IF($I10&gt;0,IF(2=$J10,IF(OR(AND(34=$I10+1,OR($K10&lt;&gt;'計算A'!$A$3,'計算A'!$A$4=0)),AND(34=$I10-1,OR(10&lt;&gt;'計算A'!$A$3,'計算A'!$A$4=0))),0,IF(10=$K10,200000,ABS(10-$K10)*100)),100000+ABS(2-$J10)*1000+100)+'計算A'!AK$5*50+IF(AND($E10=1,JX10=0),25,0),INDEX('計算A'!AK$110:AK$114,$F10+1)+IF(AND($E10=1,JX10=0),1000,0)+IF($H10=1,(IF('計算A'!AJ$117=1,INDEX('計算A'!AJ$10:AJ$54,$B10),0)+IF('計算A'!AK$117=1,INDEX('計算A'!AL$10:AL$54,$B10),0))*500,0)-IF(AND('計算A'!AJ$117=1,VH10&gt;0),300,0)-IF(AND($L10=1,'計算A'!AK$117=1,EJ10=0),300,0))),1000000))</f>
        <v/>
      </c>
      <c r="PN10">
        <f>IF($B10=0,1000000,IF(INDEX('計算A'!$D$60:$EQ$104,$B10,35)*EJ10=1,IF(AND($E10=2,JY10=0),1000000,IF($I10&gt;0,IF(2=$J10,IF(OR(AND(35=$I10+1,OR($K10&lt;&gt;'計算A'!$A$3,'計算A'!$A$4=0)),AND(35=$I10-1,OR(11&lt;&gt;'計算A'!$A$3,'計算A'!$A$4=0))),0,IF(11=$K10,200000,ABS(11-$K10)*100)),100000+ABS(2-$J10)*1000+110)+'計算A'!AL$5*50+IF(AND($E10=1,JY10=0),25,0),INDEX('計算A'!AL$110:AL$114,$F10+1)+IF(AND($E10=1,JY10=0),1000,0)+IF($H10=1,(IF('計算A'!AK$117=1,INDEX('計算A'!AK$10:AK$54,$B10),0)+IF('計算A'!AL$117=1,INDEX('計算A'!AM$10:AM$54,$B10),0))*500,0)-IF(AND('計算A'!AK$117=1,VI10&gt;0),300,0)-IF(AND($L10=1,'計算A'!AL$117=1,EK10=0),300,0))),1000000))</f>
        <v/>
      </c>
      <c r="PO10">
        <f>IF($B10=0,1000000,IF(INDEX('計算A'!$D$60:$EQ$104,$B10,36)*EK10=1,IF(AND($E10=2,JZ10=0),1000000,IF($I10&gt;0,IF(2=$J10,IF(OR(AND(36=$I10+1,OR($K10&lt;&gt;'計算A'!$A$3,'計算A'!$A$4=0)),AND(36=$I10-1,OR(12&lt;&gt;'計算A'!$A$3,'計算A'!$A$4=0))),0,IF(12=$K10,200000,ABS(12-$K10)*100)),100000+ABS(2-$J10)*1000+120)+'計算A'!AM$5*50+IF(AND($E10=1,JZ10=0),25,0),INDEX('計算A'!AM$110:AM$114,$F10+1)+IF(AND($E10=1,JZ10=0),1000,0)+IF($H10=1,(IF('計算A'!AL$117=1,INDEX('計算A'!AL$10:AL$54,$B10),0)+IF('計算A'!AM$117=1,INDEX('計算A'!AN$10:AN$54,$B10),0))*500,0)-IF(AND('計算A'!AL$117=1,VJ10&gt;0),300,0)-IF(AND($L10=1,'計算A'!AM$117=1,EL10=0),300,0))),1000000))</f>
        <v/>
      </c>
      <c r="PP10">
        <f>IF($B10=0,1000000,IF(INDEX('計算A'!$D$60:$EQ$104,$B10,37)*EL10=1,IF(AND($E10=2,KA10=0),1000000,IF($I10&gt;0,IF(2=$J10,IF(OR(AND(37=$I10+1,OR($K10&lt;&gt;'計算A'!$A$3,'計算A'!$A$4=0)),AND(37=$I10-1,OR(13&lt;&gt;'計算A'!$A$3,'計算A'!$A$4=0))),0,IF(13=$K10,200000,ABS(13-$K10)*100)),100000+ABS(2-$J10)*1000+130)+'計算A'!AN$5*50+IF(AND($E10=1,KA10=0),25,0),INDEX('計算A'!AN$110:AN$114,$F10+1)+IF(AND($E10=1,KA10=0),1000,0)+IF($H10=1,(IF('計算A'!AM$117=1,INDEX('計算A'!AM$10:AM$54,$B10),0)+IF('計算A'!AN$117=1,INDEX('計算A'!AO$10:AO$54,$B10),0))*500,0)-IF(AND('計算A'!AM$117=1,VK10&gt;0),300,0)-IF(AND($L10=1,'計算A'!AN$117=1,EM10=0),300,0))),1000000))</f>
        <v/>
      </c>
      <c r="PQ10">
        <f>IF($B10=0,1000000,IF(INDEX('計算A'!$D$60:$EQ$104,$B10,38)*EM10=1,IF(AND($E10=2,KB10=0),1000000,IF($I10&gt;0,IF(2=$J10,IF(OR(AND(38=$I10+1,OR($K10&lt;&gt;'計算A'!$A$3,'計算A'!$A$4=0)),AND(38=$I10-1,OR(14&lt;&gt;'計算A'!$A$3,'計算A'!$A$4=0))),0,IF(14=$K10,200000,ABS(14-$K10)*100)),100000+ABS(2-$J10)*1000+140)+'計算A'!AO$5*50+IF(AND($E10=1,KB10=0),25,0),INDEX('計算A'!AO$110:AO$114,$F10+1)+IF(AND($E10=1,KB10=0),1000,0)+IF($H10=1,(IF('計算A'!AN$117=1,INDEX('計算A'!AN$10:AN$54,$B10),0)+IF('計算A'!AO$117=1,INDEX('計算A'!AP$10:AP$54,$B10),0))*500,0)-IF(AND('計算A'!AN$117=1,VL10&gt;0),300,0)-IF(AND($L10=1,'計算A'!AO$117=1,EN10=0),300,0))),1000000))</f>
        <v/>
      </c>
      <c r="PR10">
        <f>IF($B10=0,1000000,IF(INDEX('計算A'!$D$60:$EQ$104,$B10,39)*EN10=1,IF(AND($E10=2,KC10=0),1000000,IF($I10&gt;0,IF(2=$J10,IF(OR(AND(39=$I10+1,OR($K10&lt;&gt;'計算A'!$A$3,'計算A'!$A$4=0)),AND(39=$I10-1,OR(15&lt;&gt;'計算A'!$A$3,'計算A'!$A$4=0))),0,IF(15=$K10,200000,ABS(15-$K10)*100)),100000+ABS(2-$J10)*1000+150)+'計算A'!AP$5*50+IF(AND($E10=1,KC10=0),25,0),INDEX('計算A'!AP$110:AP$114,$F10+1)+IF(AND($E10=1,KC10=0),1000,0)+IF($H10=1,(IF('計算A'!AO$117=1,INDEX('計算A'!AO$10:AO$54,$B10),0)+IF('計算A'!AP$117=1,INDEX('計算A'!AQ$10:AQ$54,$B10),0))*500,0)-IF(AND('計算A'!AO$117=1,VM10&gt;0),300,0)-IF(AND($L10=1,'計算A'!AP$117=1,EO10=0),300,0))),1000000))</f>
        <v/>
      </c>
      <c r="PS10">
        <f>IF($B10=0,1000000,IF(INDEX('計算A'!$D$60:$EQ$104,$B10,40)*EO10=1,IF(AND($E10=2,KD10=0),1000000,IF($I10&gt;0,IF(2=$J10,IF(OR(AND(40=$I10+1,OR($K10&lt;&gt;'計算A'!$A$3,'計算A'!$A$4=0)),AND(40=$I10-1,OR(16&lt;&gt;'計算A'!$A$3,'計算A'!$A$4=0))),0,IF(16=$K10,200000,ABS(16-$K10)*100)),100000+ABS(2-$J10)*1000+160)+'計算A'!AQ$5*50+IF(AND($E10=1,KD10=0),25,0),INDEX('計算A'!AQ$110:AQ$114,$F10+1)+IF(AND($E10=1,KD10=0),1000,0)+IF($H10=1,(IF('計算A'!AP$117=1,INDEX('計算A'!AP$10:AP$54,$B10),0)+IF('計算A'!AQ$117=1,INDEX('計算A'!AR$10:AR$54,$B10),0))*500,0)-IF(AND('計算A'!AP$117=1,VN10&gt;0),300,0)-IF(AND($L10=1,'計算A'!AQ$117=1,EP10=0),300,0))),1000000))</f>
        <v/>
      </c>
      <c r="PT10">
        <f>IF($B10=0,1000000,IF(INDEX('計算A'!$D$60:$EQ$104,$B10,41)*EP10=1,IF(AND($E10=2,KE10=0),1000000,IF($I10&gt;0,IF(2=$J10,IF(OR(AND(41=$I10+1,OR($K10&lt;&gt;'計算A'!$A$3,'計算A'!$A$4=0)),AND(41=$I10-1,OR(17&lt;&gt;'計算A'!$A$3,'計算A'!$A$4=0))),0,IF(17=$K10,200000,ABS(17-$K10)*100)),100000+ABS(2-$J10)*1000+170)+'計算A'!AR$5*50+IF(AND($E10=1,KE10=0),25,0),INDEX('計算A'!AR$110:AR$114,$F10+1)+IF(AND($E10=1,KE10=0),1000,0)+IF($H10=1,(IF('計算A'!AQ$117=1,INDEX('計算A'!AQ$10:AQ$54,$B10),0)+IF('計算A'!AR$117=1,INDEX('計算A'!AS$10:AS$54,$B10),0))*500,0)-IF(AND('計算A'!AQ$117=1,VO10&gt;0),300,0)-IF(AND($L10=1,'計算A'!AR$117=1,EQ10=0),300,0))),1000000))</f>
        <v/>
      </c>
      <c r="PU10">
        <f>IF($B10=0,1000000,IF(INDEX('計算A'!$D$60:$EQ$104,$B10,42)*EQ10=1,IF(AND($E10=2,KF10=0),1000000,IF($I10&gt;0,IF(2=$J10,IF(OR(AND(42=$I10+1,OR($K10&lt;&gt;'計算A'!$A$3,'計算A'!$A$4=0)),AND(42=$I10-1,OR(18&lt;&gt;'計算A'!$A$3,'計算A'!$A$4=0))),0,IF(18=$K10,200000,ABS(18-$K10)*100)),100000+ABS(2-$J10)*1000+180)+'計算A'!AS$5*50+IF(AND($E10=1,KF10=0),25,0),INDEX('計算A'!AS$110:AS$114,$F10+1)+IF(AND($E10=1,KF10=0),1000,0)+IF($H10=1,(IF('計算A'!AR$117=1,INDEX('計算A'!AR$10:AR$54,$B10),0)+IF('計算A'!AS$117=1,INDEX('計算A'!AT$10:AT$54,$B10),0))*500,0)-IF(AND('計算A'!AR$117=1,VP10&gt;0),300,0)-IF(AND($L10=1,'計算A'!AS$117=1,ER10=0),300,0))),1000000))</f>
        <v/>
      </c>
      <c r="PV10">
        <f>IF($B10=0,1000000,IF(INDEX('計算A'!$D$60:$EQ$104,$B10,43)*ER10=1,IF(AND($E10=2,KG10=0),1000000,IF($I10&gt;0,IF(2=$J10,IF(OR(AND(43=$I10+1,OR($K10&lt;&gt;'計算A'!$A$3,'計算A'!$A$4=0)),AND(43=$I10-1,OR(19&lt;&gt;'計算A'!$A$3,'計算A'!$A$4=0))),0,IF(19=$K10,200000,ABS(19-$K10)*100)),100000+ABS(2-$J10)*1000+190)+'計算A'!AT$5*50+IF(AND($E10=1,KG10=0),25,0),INDEX('計算A'!AT$110:AT$114,$F10+1)+IF(AND($E10=1,KG10=0),1000,0)+IF($H10=1,(IF('計算A'!AS$117=1,INDEX('計算A'!AS$10:AS$54,$B10),0)+IF('計算A'!AT$117=1,INDEX('計算A'!AU$10:AU$54,$B10),0))*500,0)-IF(AND('計算A'!AS$117=1,VQ10&gt;0),300,0)-IF(AND($L10=1,'計算A'!AT$117=1,ES10=0),300,0))),1000000))</f>
        <v/>
      </c>
      <c r="PW10">
        <f>IF($B10=0,1000000,IF(INDEX('計算A'!$D$60:$EQ$104,$B10,44)*ES10=1,IF(AND($E10=2,KH10=0),1000000,IF($I10&gt;0,IF(2=$J10,IF(OR(AND(44=$I10+1,OR($K10&lt;&gt;'計算A'!$A$3,'計算A'!$A$4=0)),AND(44=$I10-1,OR(20&lt;&gt;'計算A'!$A$3,'計算A'!$A$4=0))),0,IF(20=$K10,200000,ABS(20-$K10)*100)),100000+ABS(2-$J10)*1000+200)+'計算A'!AU$5*50+IF(AND($E10=1,KH10=0),25,0),INDEX('計算A'!AU$110:AU$114,$F10+1)+IF(AND($E10=1,KH10=0),1000,0)+IF($H10=1,(IF('計算A'!AT$117=1,INDEX('計算A'!AT$10:AT$54,$B10),0)+IF('計算A'!AU$117=1,INDEX('計算A'!AV$10:AV$54,$B10),0))*500,0)-IF(AND('計算A'!AT$117=1,VR10&gt;0),300,0)-IF(AND($L10=1,'計算A'!AU$117=1,ET10=0),300,0))),1000000))</f>
        <v/>
      </c>
      <c r="PX10">
        <f>IF($B10=0,1000000,IF(INDEX('計算A'!$D$60:$EQ$104,$B10,45)*ET10=1,IF(AND($E10=2,KI10=0),1000000,IF($I10&gt;0,IF(2=$J10,IF(OR(AND(45=$I10+1,OR($K10&lt;&gt;'計算A'!$A$3,'計算A'!$A$4=0)),AND(45=$I10-1,OR(21&lt;&gt;'計算A'!$A$3,'計算A'!$A$4=0))),0,IF(21=$K10,200000,ABS(21-$K10)*100)),100000+ABS(2-$J10)*1000+210)+'計算A'!AV$5*50+IF(AND($E10=1,KI10=0),25,0),INDEX('計算A'!AV$110:AV$114,$F10+1)+IF(AND($E10=1,KI10=0),1000,0)+IF($H10=1,(IF('計算A'!AU$117=1,INDEX('計算A'!AU$10:AU$54,$B10),0)+IF('計算A'!AV$117=1,INDEX('計算A'!AW$10:AW$54,$B10),0))*500,0)-IF(AND('計算A'!AU$117=1,VS10&gt;0),300,0)-IF(AND($L10=1,'計算A'!AV$117=1,EU10=0),300,0))),1000000))</f>
        <v/>
      </c>
      <c r="PY10">
        <f>IF($B10=0,1000000,IF(INDEX('計算A'!$D$60:$EQ$104,$B10,46)*EU10=1,IF(AND($E10=2,KJ10=0),1000000,IF($I10&gt;0,IF(2=$J10,IF(OR(AND(46=$I10+1,OR($K10&lt;&gt;'計算A'!$A$3,'計算A'!$A$4=0)),AND(46=$I10-1,OR(22&lt;&gt;'計算A'!$A$3,'計算A'!$A$4=0))),0,IF(22=$K10,200000,ABS(22-$K10)*100)),100000+ABS(2-$J10)*1000+220)+'計算A'!AW$5*50+IF(AND($E10=1,KJ10=0),25,0),INDEX('計算A'!AW$110:AW$114,$F10+1)+IF(AND($E10=1,KJ10=0),1000,0)+IF($H10=1,(IF('計算A'!AV$117=1,INDEX('計算A'!AV$10:AV$54,$B10),0)+IF('計算A'!AW$117=1,INDEX('計算A'!AX$10:AX$54,$B10),0))*500,0)-IF(AND('計算A'!AV$117=1,VT10&gt;0),300,0)-IF(AND($L10=1,'計算A'!AW$117=1,EV10=0),300,0))),1000000))</f>
        <v/>
      </c>
      <c r="PZ10">
        <f>IF($B10=0,1000000,IF(INDEX('計算A'!$D$60:$EQ$104,$B10,47)*EV10=1,IF(AND($E10=2,KK10=0),1000000,IF($I10&gt;0,IF(2=$J10,IF(OR(AND(47=$I10+1,OR($K10&lt;&gt;'計算A'!$A$3,'計算A'!$A$4=0)),AND(47=$I10-1,OR(23&lt;&gt;'計算A'!$A$3,'計算A'!$A$4=0))),0,IF(23=$K10,200000,ABS(23-$K10)*100)),100000+ABS(2-$J10)*1000+230)+'計算A'!AX$5*50+IF(AND($E10=1,KK10=0),25,0),INDEX('計算A'!AX$110:AX$114,$F10+1)+IF(AND($E10=1,KK10=0),1000,0)+IF($H10=1,(IF('計算A'!AW$117=1,INDEX('計算A'!AW$10:AW$54,$B10),0)+IF('計算A'!AX$117=1,INDEX('計算A'!AY$10:AY$54,$B10),0))*500,0)-IF(AND('計算A'!AW$117=1,VU10&gt;0),300,0)-IF(AND($L10=1,'計算A'!AX$117=1,EW10=0),300,0))),1000000))</f>
        <v/>
      </c>
      <c r="QA10">
        <f>IF($B10=0,1000000,IF(INDEX('計算A'!$D$60:$EQ$104,$B10,48)*EW10=1,IF(AND($E10=2,KL10=0),1000000,IF($I10&gt;0,IF(2=$J10,IF(OR(AND(48=$I10+1,OR($K10&lt;&gt;'計算A'!$A$3,'計算A'!$A$4=0)),AND(48=$I10-1,OR(24&lt;&gt;'計算A'!$A$3,'計算A'!$A$4=0))),0,IF(24=$K10,200000,ABS(24-$K10)*100)),100000+ABS(2-$J10)*1000+240)+'計算A'!AY$5*50+IF(AND($E10=1,KL10=0),25,0),INDEX('計算A'!AY$110:AY$114,$F10+1)+IF(AND($E10=1,KL10=0),1000,0)+IF($H10=1,(IF('計算A'!AX$117=1,INDEX('計算A'!AX$10:AX$54,$B10),0))*500,0)-IF(AND('計算A'!AX$117=1,VV10&gt;0),300,0))),1000000))</f>
        <v/>
      </c>
      <c r="QB10">
        <f>IF($B10=0,1000000,IF(INDEX('計算A'!$D$60:$EQ$104,$B10,49)*EX10=1,IF(AND($E10=2,KM10=0),1000000,IF($I10&gt;0,IF(3=$J10,IF(OR(AND(49=$I10+1,OR($K10&lt;&gt;'計算A'!$A$3,'計算A'!$A$4=0)),AND(49=$I10-1,OR(1&lt;&gt;'計算A'!$A$3,'計算A'!$A$4=0))),0,IF(1=$K10,200000,ABS(1-$K10)*100)),100000+ABS(3-$J10)*1000+10)+'計算A'!AZ$5*50+IF(AND($E10=1,KM10=0),25,0),INDEX('計算A'!AZ$110:AZ$114,$F10+1)+IF(AND($E10=1,KM10=0),1000,0)+IF($H10=1,(IF('計算A'!AZ$117=1,INDEX('計算A'!BA$10:BA$54,$B10),0))*500,0)-IF(AND($L10=1,'計算A'!AZ$117=1,EY10=0),300,0))),1000000))</f>
        <v/>
      </c>
      <c r="QC10">
        <f>IF($B10=0,1000000,IF(INDEX('計算A'!$D$60:$EQ$104,$B10,50)*EY10=1,IF(AND($E10=2,KN10=0),1000000,IF($I10&gt;0,IF(3=$J10,IF(OR(AND(50=$I10+1,OR($K10&lt;&gt;'計算A'!$A$3,'計算A'!$A$4=0)),AND(50=$I10-1,OR(2&lt;&gt;'計算A'!$A$3,'計算A'!$A$4=0))),0,IF(2=$K10,200000,ABS(2-$K10)*100)),100000+ABS(3-$J10)*1000+20)+'計算A'!BA$5*50+IF(AND($E10=1,KN10=0),25,0),INDEX('計算A'!BA$110:BA$114,$F10+1)+IF(AND($E10=1,KN10=0),1000,0)+IF($H10=1,(IF('計算A'!AZ$117=1,INDEX('計算A'!AZ$10:AZ$54,$B10),0)+IF('計算A'!BA$117=1,INDEX('計算A'!BB$10:BB$54,$B10),0))*500,0)-IF(AND('計算A'!AZ$117=1,VX10&gt;0),300,0)-IF(AND($L10=1,'計算A'!BA$117=1,EZ10=0),300,0))),1000000))</f>
        <v/>
      </c>
      <c r="QD10">
        <f>IF($B10=0,1000000,IF(INDEX('計算A'!$D$60:$EQ$104,$B10,51)*EZ10=1,IF(AND($E10=2,KO10=0),1000000,IF($I10&gt;0,IF(3=$J10,IF(OR(AND(51=$I10+1,OR($K10&lt;&gt;'計算A'!$A$3,'計算A'!$A$4=0)),AND(51=$I10-1,OR(3&lt;&gt;'計算A'!$A$3,'計算A'!$A$4=0))),0,IF(3=$K10,200000,ABS(3-$K10)*100)),100000+ABS(3-$J10)*1000+30)+'計算A'!BB$5*50+IF(AND($E10=1,KO10=0),25,0),INDEX('計算A'!BB$110:BB$114,$F10+1)+IF(AND($E10=1,KO10=0),1000,0)+IF($H10=1,(IF('計算A'!BA$117=1,INDEX('計算A'!BA$10:BA$54,$B10),0)+IF('計算A'!BB$117=1,INDEX('計算A'!BC$10:BC$54,$B10),0))*500,0)-IF(AND('計算A'!BA$117=1,VY10&gt;0),300,0)-IF(AND($L10=1,'計算A'!BB$117=1,FA10=0),300,0))),1000000))</f>
        <v/>
      </c>
      <c r="QE10">
        <f>IF($B10=0,1000000,IF(INDEX('計算A'!$D$60:$EQ$104,$B10,52)*FA10=1,IF(AND($E10=2,KP10=0),1000000,IF($I10&gt;0,IF(3=$J10,IF(OR(AND(52=$I10+1,OR($K10&lt;&gt;'計算A'!$A$3,'計算A'!$A$4=0)),AND(52=$I10-1,OR(4&lt;&gt;'計算A'!$A$3,'計算A'!$A$4=0))),0,IF(4=$K10,200000,ABS(4-$K10)*100)),100000+ABS(3-$J10)*1000+40)+'計算A'!BC$5*50+IF(AND($E10=1,KP10=0),25,0),INDEX('計算A'!BC$110:BC$114,$F10+1)+IF(AND($E10=1,KP10=0),1000,0)+IF($H10=1,(IF('計算A'!BB$117=1,INDEX('計算A'!BB$10:BB$54,$B10),0)+IF('計算A'!BC$117=1,INDEX('計算A'!BD$10:BD$54,$B10),0))*500,0)-IF(AND('計算A'!BB$117=1,VZ10&gt;0),300,0)-IF(AND($L10=1,'計算A'!BC$117=1,FB10=0),300,0))),1000000))</f>
        <v/>
      </c>
      <c r="QF10">
        <f>IF($B10=0,1000000,IF(INDEX('計算A'!$D$60:$EQ$104,$B10,53)*FB10=1,IF(AND($E10=2,KQ10=0),1000000,IF($I10&gt;0,IF(3=$J10,IF(OR(AND(53=$I10+1,OR($K10&lt;&gt;'計算A'!$A$3,'計算A'!$A$4=0)),AND(53=$I10-1,OR(5&lt;&gt;'計算A'!$A$3,'計算A'!$A$4=0))),0,IF(5=$K10,200000,ABS(5-$K10)*100)),100000+ABS(3-$J10)*1000+50)+'計算A'!BD$5*50+IF(AND($E10=1,KQ10=0),25,0),INDEX('計算A'!BD$110:BD$114,$F10+1)+IF(AND($E10=1,KQ10=0),1000,0)+IF($H10=1,(IF('計算A'!BC$117=1,INDEX('計算A'!BC$10:BC$54,$B10),0)+IF('計算A'!BD$117=1,INDEX('計算A'!BE$10:BE$54,$B10),0))*500,0)-IF(AND('計算A'!BC$117=1,WA10&gt;0),300,0)-IF(AND($L10=1,'計算A'!BD$117=1,FC10=0),300,0))),1000000))</f>
        <v/>
      </c>
      <c r="QG10">
        <f>IF($B10=0,1000000,IF(INDEX('計算A'!$D$60:$EQ$104,$B10,54)*FC10=1,IF(AND($E10=2,KR10=0),1000000,IF($I10&gt;0,IF(3=$J10,IF(OR(AND(54=$I10+1,OR($K10&lt;&gt;'計算A'!$A$3,'計算A'!$A$4=0)),AND(54=$I10-1,OR(6&lt;&gt;'計算A'!$A$3,'計算A'!$A$4=0))),0,IF(6=$K10,200000,ABS(6-$K10)*100)),100000+ABS(3-$J10)*1000+60)+'計算A'!BE$5*50+IF(AND($E10=1,KR10=0),25,0),INDEX('計算A'!BE$110:BE$114,$F10+1)+IF(AND($E10=1,KR10=0),1000,0)+IF($H10=1,(IF('計算A'!BD$117=1,INDEX('計算A'!BD$10:BD$54,$B10),0)+IF('計算A'!BE$117=1,INDEX('計算A'!BF$10:BF$54,$B10),0))*500,0)-IF(AND('計算A'!BD$117=1,WB10&gt;0),300,0)-IF(AND($L10=1,'計算A'!BE$117=1,FD10=0),300,0))),1000000))</f>
        <v/>
      </c>
      <c r="QH10">
        <f>IF($B10=0,1000000,IF(INDEX('計算A'!$D$60:$EQ$104,$B10,55)*FD10=1,IF(AND($E10=2,KS10=0),1000000,IF($I10&gt;0,IF(3=$J10,IF(OR(AND(55=$I10+1,OR($K10&lt;&gt;'計算A'!$A$3,'計算A'!$A$4=0)),AND(55=$I10-1,OR(7&lt;&gt;'計算A'!$A$3,'計算A'!$A$4=0))),0,IF(7=$K10,200000,ABS(7-$K10)*100)),100000+ABS(3-$J10)*1000+70)+'計算A'!BF$5*50+IF(AND($E10=1,KS10=0),25,0),INDEX('計算A'!BF$110:BF$114,$F10+1)+IF(AND($E10=1,KS10=0),1000,0)+IF($H10=1,(IF('計算A'!BE$117=1,INDEX('計算A'!BE$10:BE$54,$B10),0)+IF('計算A'!BF$117=1,INDEX('計算A'!BG$10:BG$54,$B10),0))*500,0)-IF(AND('計算A'!BE$117=1,WC10&gt;0),300,0)-IF(AND($L10=1,'計算A'!BF$117=1,FE10=0),300,0))),1000000))</f>
        <v/>
      </c>
      <c r="QI10">
        <f>IF($B10=0,1000000,IF(INDEX('計算A'!$D$60:$EQ$104,$B10,56)*FE10=1,IF(AND($E10=2,KT10=0),1000000,IF($I10&gt;0,IF(3=$J10,IF(OR(AND(56=$I10+1,OR($K10&lt;&gt;'計算A'!$A$3,'計算A'!$A$4=0)),AND(56=$I10-1,OR(8&lt;&gt;'計算A'!$A$3,'計算A'!$A$4=0))),0,IF(8=$K10,200000,ABS(8-$K10)*100)),100000+ABS(3-$J10)*1000+80)+'計算A'!BG$5*50+IF(AND($E10=1,KT10=0),25,0),INDEX('計算A'!BG$110:BG$114,$F10+1)+IF(AND($E10=1,KT10=0),1000,0)+IF($H10=1,(IF('計算A'!BF$117=1,INDEX('計算A'!BF$10:BF$54,$B10),0)+IF('計算A'!BG$117=1,INDEX('計算A'!BH$10:BH$54,$B10),0))*500,0)-IF(AND('計算A'!BF$117=1,WD10&gt;0),300,0)-IF(AND($L10=1,'計算A'!BG$117=1,FF10=0),300,0))),1000000))</f>
        <v/>
      </c>
      <c r="QJ10">
        <f>IF($B10=0,1000000,IF(INDEX('計算A'!$D$60:$EQ$104,$B10,57)*FF10=1,IF(AND($E10=2,KU10=0),1000000,IF($I10&gt;0,IF(3=$J10,IF(OR(AND(57=$I10+1,OR($K10&lt;&gt;'計算A'!$A$3,'計算A'!$A$4=0)),AND(57=$I10-1,OR(9&lt;&gt;'計算A'!$A$3,'計算A'!$A$4=0))),0,IF(9=$K10,200000,ABS(9-$K10)*100)),100000+ABS(3-$J10)*1000+90)+'計算A'!BH$5*50+IF(AND($E10=1,KU10=0),25,0),INDEX('計算A'!BH$110:BH$114,$F10+1)+IF(AND($E10=1,KU10=0),1000,0)+IF($H10=1,(IF('計算A'!BG$117=1,INDEX('計算A'!BG$10:BG$54,$B10),0)+IF('計算A'!BH$117=1,INDEX('計算A'!BI$10:BI$54,$B10),0))*500,0)-IF(AND('計算A'!BG$117=1,WE10&gt;0),300,0)-IF(AND($L10=1,'計算A'!BH$117=1,FG10=0),300,0))),1000000))</f>
        <v/>
      </c>
      <c r="QK10">
        <f>IF($B10=0,1000000,IF(INDEX('計算A'!$D$60:$EQ$104,$B10,58)*FG10=1,IF(AND($E10=2,KV10=0),1000000,IF($I10&gt;0,IF(3=$J10,IF(OR(AND(58=$I10+1,OR($K10&lt;&gt;'計算A'!$A$3,'計算A'!$A$4=0)),AND(58=$I10-1,OR(10&lt;&gt;'計算A'!$A$3,'計算A'!$A$4=0))),0,IF(10=$K10,200000,ABS(10-$K10)*100)),100000+ABS(3-$J10)*1000+100)+'計算A'!BI$5*50+IF(AND($E10=1,KV10=0),25,0),INDEX('計算A'!BI$110:BI$114,$F10+1)+IF(AND($E10=1,KV10=0),1000,0)+IF($H10=1,(IF('計算A'!BH$117=1,INDEX('計算A'!BH$10:BH$54,$B10),0)+IF('計算A'!BI$117=1,INDEX('計算A'!BJ$10:BJ$54,$B10),0))*500,0)-IF(AND('計算A'!BH$117=1,WF10&gt;0),300,0)-IF(AND($L10=1,'計算A'!BI$117=1,FH10=0),300,0))),1000000))</f>
        <v/>
      </c>
      <c r="QL10">
        <f>IF($B10=0,1000000,IF(INDEX('計算A'!$D$60:$EQ$104,$B10,59)*FH10=1,IF(AND($E10=2,KW10=0),1000000,IF($I10&gt;0,IF(3=$J10,IF(OR(AND(59=$I10+1,OR($K10&lt;&gt;'計算A'!$A$3,'計算A'!$A$4=0)),AND(59=$I10-1,OR(11&lt;&gt;'計算A'!$A$3,'計算A'!$A$4=0))),0,IF(11=$K10,200000,ABS(11-$K10)*100)),100000+ABS(3-$J10)*1000+110)+'計算A'!BJ$5*50+IF(AND($E10=1,KW10=0),25,0),INDEX('計算A'!BJ$110:BJ$114,$F10+1)+IF(AND($E10=1,KW10=0),1000,0)+IF($H10=1,(IF('計算A'!BI$117=1,INDEX('計算A'!BI$10:BI$54,$B10),0)+IF('計算A'!BJ$117=1,INDEX('計算A'!BK$10:BK$54,$B10),0))*500,0)-IF(AND('計算A'!BI$117=1,WG10&gt;0),300,0)-IF(AND($L10=1,'計算A'!BJ$117=1,FI10=0),300,0))),1000000))</f>
        <v/>
      </c>
      <c r="QM10">
        <f>IF($B10=0,1000000,IF(INDEX('計算A'!$D$60:$EQ$104,$B10,60)*FI10=1,IF(AND($E10=2,KX10=0),1000000,IF($I10&gt;0,IF(3=$J10,IF(OR(AND(60=$I10+1,OR($K10&lt;&gt;'計算A'!$A$3,'計算A'!$A$4=0)),AND(60=$I10-1,OR(12&lt;&gt;'計算A'!$A$3,'計算A'!$A$4=0))),0,IF(12=$K10,200000,ABS(12-$K10)*100)),100000+ABS(3-$J10)*1000+120)+'計算A'!BK$5*50+IF(AND($E10=1,KX10=0),25,0),INDEX('計算A'!BK$110:BK$114,$F10+1)+IF(AND($E10=1,KX10=0),1000,0)+IF($H10=1,(IF('計算A'!BJ$117=1,INDEX('計算A'!BJ$10:BJ$54,$B10),0)+IF('計算A'!BK$117=1,INDEX('計算A'!BL$10:BL$54,$B10),0))*500,0)-IF(AND('計算A'!BJ$117=1,WH10&gt;0),300,0)-IF(AND($L10=1,'計算A'!BK$117=1,FJ10=0),300,0))),1000000))</f>
        <v/>
      </c>
      <c r="QN10">
        <f>IF($B10=0,1000000,IF(INDEX('計算A'!$D$60:$EQ$104,$B10,61)*FJ10=1,IF(AND($E10=2,KY10=0),1000000,IF($I10&gt;0,IF(3=$J10,IF(OR(AND(61=$I10+1,OR($K10&lt;&gt;'計算A'!$A$3,'計算A'!$A$4=0)),AND(61=$I10-1,OR(13&lt;&gt;'計算A'!$A$3,'計算A'!$A$4=0))),0,IF(13=$K10,200000,ABS(13-$K10)*100)),100000+ABS(3-$J10)*1000+130)+'計算A'!BL$5*50+IF(AND($E10=1,KY10=0),25,0),INDEX('計算A'!BL$110:BL$114,$F10+1)+IF(AND($E10=1,KY10=0),1000,0)+IF($H10=1,(IF('計算A'!BK$117=1,INDEX('計算A'!BK$10:BK$54,$B10),0)+IF('計算A'!BL$117=1,INDEX('計算A'!BM$10:BM$54,$B10),0))*500,0)-IF(AND('計算A'!BK$117=1,WI10&gt;0),300,0)-IF(AND($L10=1,'計算A'!BL$117=1,FK10=0),300,0))),1000000))</f>
        <v/>
      </c>
      <c r="QO10">
        <f>IF($B10=0,1000000,IF(INDEX('計算A'!$D$60:$EQ$104,$B10,62)*FK10=1,IF(AND($E10=2,KZ10=0),1000000,IF($I10&gt;0,IF(3=$J10,IF(OR(AND(62=$I10+1,OR($K10&lt;&gt;'計算A'!$A$3,'計算A'!$A$4=0)),AND(62=$I10-1,OR(14&lt;&gt;'計算A'!$A$3,'計算A'!$A$4=0))),0,IF(14=$K10,200000,ABS(14-$K10)*100)),100000+ABS(3-$J10)*1000+140)+'計算A'!BM$5*50+IF(AND($E10=1,KZ10=0),25,0),INDEX('計算A'!BM$110:BM$114,$F10+1)+IF(AND($E10=1,KZ10=0),1000,0)+IF($H10=1,(IF('計算A'!BL$117=1,INDEX('計算A'!BL$10:BL$54,$B10),0)+IF('計算A'!BM$117=1,INDEX('計算A'!BN$10:BN$54,$B10),0))*500,0)-IF(AND('計算A'!BL$117=1,WJ10&gt;0),300,0)-IF(AND($L10=1,'計算A'!BM$117=1,FL10=0),300,0))),1000000))</f>
        <v/>
      </c>
      <c r="QP10">
        <f>IF($B10=0,1000000,IF(INDEX('計算A'!$D$60:$EQ$104,$B10,63)*FL10=1,IF(AND($E10=2,LA10=0),1000000,IF($I10&gt;0,IF(3=$J10,IF(OR(AND(63=$I10+1,OR($K10&lt;&gt;'計算A'!$A$3,'計算A'!$A$4=0)),AND(63=$I10-1,OR(15&lt;&gt;'計算A'!$A$3,'計算A'!$A$4=0))),0,IF(15=$K10,200000,ABS(15-$K10)*100)),100000+ABS(3-$J10)*1000+150)+'計算A'!BN$5*50+IF(AND($E10=1,LA10=0),25,0),INDEX('計算A'!BN$110:BN$114,$F10+1)+IF(AND($E10=1,LA10=0),1000,0)+IF($H10=1,(IF('計算A'!BM$117=1,INDEX('計算A'!BM$10:BM$54,$B10),0)+IF('計算A'!BN$117=1,INDEX('計算A'!BO$10:BO$54,$B10),0))*500,0)-IF(AND('計算A'!BM$117=1,WK10&gt;0),300,0)-IF(AND($L10=1,'計算A'!BN$117=1,FM10=0),300,0))),1000000))</f>
        <v/>
      </c>
      <c r="QQ10">
        <f>IF($B10=0,1000000,IF(INDEX('計算A'!$D$60:$EQ$104,$B10,64)*FM10=1,IF(AND($E10=2,LB10=0),1000000,IF($I10&gt;0,IF(3=$J10,IF(OR(AND(64=$I10+1,OR($K10&lt;&gt;'計算A'!$A$3,'計算A'!$A$4=0)),AND(64=$I10-1,OR(16&lt;&gt;'計算A'!$A$3,'計算A'!$A$4=0))),0,IF(16=$K10,200000,ABS(16-$K10)*100)),100000+ABS(3-$J10)*1000+160)+'計算A'!BO$5*50+IF(AND($E10=1,LB10=0),25,0),INDEX('計算A'!BO$110:BO$114,$F10+1)+IF(AND($E10=1,LB10=0),1000,0)+IF($H10=1,(IF('計算A'!BN$117=1,INDEX('計算A'!BN$10:BN$54,$B10),0)+IF('計算A'!BO$117=1,INDEX('計算A'!BP$10:BP$54,$B10),0))*500,0)-IF(AND('計算A'!BN$117=1,WL10&gt;0),300,0)-IF(AND($L10=1,'計算A'!BO$117=1,FN10=0),300,0))),1000000))</f>
        <v/>
      </c>
      <c r="QR10">
        <f>IF($B10=0,1000000,IF(INDEX('計算A'!$D$60:$EQ$104,$B10,65)*FN10=1,IF(AND($E10=2,LC10=0),1000000,IF($I10&gt;0,IF(3=$J10,IF(OR(AND(65=$I10+1,OR($K10&lt;&gt;'計算A'!$A$3,'計算A'!$A$4=0)),AND(65=$I10-1,OR(17&lt;&gt;'計算A'!$A$3,'計算A'!$A$4=0))),0,IF(17=$K10,200000,ABS(17-$K10)*100)),100000+ABS(3-$J10)*1000+170)+'計算A'!BP$5*50+IF(AND($E10=1,LC10=0),25,0),INDEX('計算A'!BP$110:BP$114,$F10+1)+IF(AND($E10=1,LC10=0),1000,0)+IF($H10=1,(IF('計算A'!BO$117=1,INDEX('計算A'!BO$10:BO$54,$B10),0)+IF('計算A'!BP$117=1,INDEX('計算A'!BQ$10:BQ$54,$B10),0))*500,0)-IF(AND('計算A'!BO$117=1,WM10&gt;0),300,0)-IF(AND($L10=1,'計算A'!BP$117=1,FO10=0),300,0))),1000000))</f>
        <v/>
      </c>
      <c r="QS10">
        <f>IF($B10=0,1000000,IF(INDEX('計算A'!$D$60:$EQ$104,$B10,66)*FO10=1,IF(AND($E10=2,LD10=0),1000000,IF($I10&gt;0,IF(3=$J10,IF(OR(AND(66=$I10+1,OR($K10&lt;&gt;'計算A'!$A$3,'計算A'!$A$4=0)),AND(66=$I10-1,OR(18&lt;&gt;'計算A'!$A$3,'計算A'!$A$4=0))),0,IF(18=$K10,200000,ABS(18-$K10)*100)),100000+ABS(3-$J10)*1000+180)+'計算A'!BQ$5*50+IF(AND($E10=1,LD10=0),25,0),INDEX('計算A'!BQ$110:BQ$114,$F10+1)+IF(AND($E10=1,LD10=0),1000,0)+IF($H10=1,(IF('計算A'!BP$117=1,INDEX('計算A'!BP$10:BP$54,$B10),0)+IF('計算A'!BQ$117=1,INDEX('計算A'!BR$10:BR$54,$B10),0))*500,0)-IF(AND('計算A'!BP$117=1,WN10&gt;0),300,0)-IF(AND($L10=1,'計算A'!BQ$117=1,FP10=0),300,0))),1000000))</f>
        <v/>
      </c>
      <c r="QT10">
        <f>IF($B10=0,1000000,IF(INDEX('計算A'!$D$60:$EQ$104,$B10,67)*FP10=1,IF(AND($E10=2,LE10=0),1000000,IF($I10&gt;0,IF(3=$J10,IF(OR(AND(67=$I10+1,OR($K10&lt;&gt;'計算A'!$A$3,'計算A'!$A$4=0)),AND(67=$I10-1,OR(19&lt;&gt;'計算A'!$A$3,'計算A'!$A$4=0))),0,IF(19=$K10,200000,ABS(19-$K10)*100)),100000+ABS(3-$J10)*1000+190)+'計算A'!BR$5*50+IF(AND($E10=1,LE10=0),25,0),INDEX('計算A'!BR$110:BR$114,$F10+1)+IF(AND($E10=1,LE10=0),1000,0)+IF($H10=1,(IF('計算A'!BQ$117=1,INDEX('計算A'!BQ$10:BQ$54,$B10),0)+IF('計算A'!BR$117=1,INDEX('計算A'!BS$10:BS$54,$B10),0))*500,0)-IF(AND('計算A'!BQ$117=1,WO10&gt;0),300,0)-IF(AND($L10=1,'計算A'!BR$117=1,FQ10=0),300,0))),1000000))</f>
        <v/>
      </c>
      <c r="QU10">
        <f>IF($B10=0,1000000,IF(INDEX('計算A'!$D$60:$EQ$104,$B10,68)*FQ10=1,IF(AND($E10=2,LF10=0),1000000,IF($I10&gt;0,IF(3=$J10,IF(OR(AND(68=$I10+1,OR($K10&lt;&gt;'計算A'!$A$3,'計算A'!$A$4=0)),AND(68=$I10-1,OR(20&lt;&gt;'計算A'!$A$3,'計算A'!$A$4=0))),0,IF(20=$K10,200000,ABS(20-$K10)*100)),100000+ABS(3-$J10)*1000+200)+'計算A'!BS$5*50+IF(AND($E10=1,LF10=0),25,0),INDEX('計算A'!BS$110:BS$114,$F10+1)+IF(AND($E10=1,LF10=0),1000,0)+IF($H10=1,(IF('計算A'!BR$117=1,INDEX('計算A'!BR$10:BR$54,$B10),0)+IF('計算A'!BS$117=1,INDEX('計算A'!BT$10:BT$54,$B10),0))*500,0)-IF(AND('計算A'!BR$117=1,WP10&gt;0),300,0)-IF(AND($L10=1,'計算A'!BS$117=1,FR10=0),300,0))),1000000))</f>
        <v/>
      </c>
      <c r="QV10">
        <f>IF($B10=0,1000000,IF(INDEX('計算A'!$D$60:$EQ$104,$B10,69)*FR10=1,IF(AND($E10=2,LG10=0),1000000,IF($I10&gt;0,IF(3=$J10,IF(OR(AND(69=$I10+1,OR($K10&lt;&gt;'計算A'!$A$3,'計算A'!$A$4=0)),AND(69=$I10-1,OR(21&lt;&gt;'計算A'!$A$3,'計算A'!$A$4=0))),0,IF(21=$K10,200000,ABS(21-$K10)*100)),100000+ABS(3-$J10)*1000+210)+'計算A'!BT$5*50+IF(AND($E10=1,LG10=0),25,0),INDEX('計算A'!BT$110:BT$114,$F10+1)+IF(AND($E10=1,LG10=0),1000,0)+IF($H10=1,(IF('計算A'!BS$117=1,INDEX('計算A'!BS$10:BS$54,$B10),0)+IF('計算A'!BT$117=1,INDEX('計算A'!BU$10:BU$54,$B10),0))*500,0)-IF(AND('計算A'!BS$117=1,WQ10&gt;0),300,0)-IF(AND($L10=1,'計算A'!BT$117=1,FS10=0),300,0))),1000000))</f>
        <v/>
      </c>
      <c r="QW10">
        <f>IF($B10=0,1000000,IF(INDEX('計算A'!$D$60:$EQ$104,$B10,70)*FS10=1,IF(AND($E10=2,LH10=0),1000000,IF($I10&gt;0,IF(3=$J10,IF(OR(AND(70=$I10+1,OR($K10&lt;&gt;'計算A'!$A$3,'計算A'!$A$4=0)),AND(70=$I10-1,OR(22&lt;&gt;'計算A'!$A$3,'計算A'!$A$4=0))),0,IF(22=$K10,200000,ABS(22-$K10)*100)),100000+ABS(3-$J10)*1000+220)+'計算A'!BU$5*50+IF(AND($E10=1,LH10=0),25,0),INDEX('計算A'!BU$110:BU$114,$F10+1)+IF(AND($E10=1,LH10=0),1000,0)+IF($H10=1,(IF('計算A'!BT$117=1,INDEX('計算A'!BT$10:BT$54,$B10),0)+IF('計算A'!BU$117=1,INDEX('計算A'!BV$10:BV$54,$B10),0))*500,0)-IF(AND('計算A'!BT$117=1,WR10&gt;0),300,0)-IF(AND($L10=1,'計算A'!BU$117=1,FT10=0),300,0))),1000000))</f>
        <v/>
      </c>
      <c r="QX10">
        <f>IF($B10=0,1000000,IF(INDEX('計算A'!$D$60:$EQ$104,$B10,71)*FT10=1,IF(AND($E10=2,LI10=0),1000000,IF($I10&gt;0,IF(3=$J10,IF(OR(AND(71=$I10+1,OR($K10&lt;&gt;'計算A'!$A$3,'計算A'!$A$4=0)),AND(71=$I10-1,OR(23&lt;&gt;'計算A'!$A$3,'計算A'!$A$4=0))),0,IF(23=$K10,200000,ABS(23-$K10)*100)),100000+ABS(3-$J10)*1000+230)+'計算A'!BV$5*50+IF(AND($E10=1,LI10=0),25,0),INDEX('計算A'!BV$110:BV$114,$F10+1)+IF(AND($E10=1,LI10=0),1000,0)+IF($H10=1,(IF('計算A'!BU$117=1,INDEX('計算A'!BU$10:BU$54,$B10),0)+IF('計算A'!BV$117=1,INDEX('計算A'!BW$10:BW$54,$B10),0))*500,0)-IF(AND('計算A'!BU$117=1,WS10&gt;0),300,0)-IF(AND($L10=1,'計算A'!BV$117=1,FU10=0),300,0))),1000000))</f>
        <v/>
      </c>
      <c r="QY10">
        <f>IF($B10=0,1000000,IF(INDEX('計算A'!$D$60:$EQ$104,$B10,72)*FU10=1,IF(AND($E10=2,LJ10=0),1000000,IF($I10&gt;0,IF(3=$J10,IF(OR(AND(72=$I10+1,OR($K10&lt;&gt;'計算A'!$A$3,'計算A'!$A$4=0)),AND(72=$I10-1,OR(24&lt;&gt;'計算A'!$A$3,'計算A'!$A$4=0))),0,IF(24=$K10,200000,ABS(24-$K10)*100)),100000+ABS(3-$J10)*1000+240)+'計算A'!BW$5*50+IF(AND($E10=1,LJ10=0),25,0),INDEX('計算A'!BW$110:BW$114,$F10+1)+IF(AND($E10=1,LJ10=0),1000,0)+IF($H10=1,(IF('計算A'!BV$117=1,INDEX('計算A'!BV$10:BV$54,$B10),0))*500,0)-IF(AND('計算A'!BV$117=1,WT10&gt;0),300,0))),1000000))</f>
        <v/>
      </c>
      <c r="QZ10">
        <f>IF($B10=0,1000000,IF(INDEX('計算A'!$D$60:$EQ$104,$B10,73)*FV10=1,IF(AND($E10=2,LK10=0),1000000,IF($I10&gt;0,IF(4=$J10,IF(OR(AND(73=$I10+1,OR($K10&lt;&gt;'計算A'!$A$3,'計算A'!$A$4=0)),AND(73=$I10-1,OR(1&lt;&gt;'計算A'!$A$3,'計算A'!$A$4=0))),0,IF(1=$K10,200000,ABS(1-$K10)*100)),100000+ABS(4-$J10)*1000+10)+'計算A'!BX$5*50+IF(AND($E10=1,LK10=0),25,0),INDEX('計算A'!BX$110:BX$114,$F10+1)+IF(AND($E10=1,LK10=0),1000,0)+IF($H10=1,(IF('計算A'!BX$117=1,INDEX('計算A'!BY$10:BY$54,$B10),0))*500,0)-IF(AND($L10=1,'計算A'!BX$117=1,FW10=0),300,0))),1000000))</f>
        <v/>
      </c>
      <c r="RA10">
        <f>IF($B10=0,1000000,IF(INDEX('計算A'!$D$60:$EQ$104,$B10,74)*FW10=1,IF(AND($E10=2,LL10=0),1000000,IF($I10&gt;0,IF(4=$J10,IF(OR(AND(74=$I10+1,OR($K10&lt;&gt;'計算A'!$A$3,'計算A'!$A$4=0)),AND(74=$I10-1,OR(2&lt;&gt;'計算A'!$A$3,'計算A'!$A$4=0))),0,IF(2=$K10,200000,ABS(2-$K10)*100)),100000+ABS(4-$J10)*1000+20)+'計算A'!BY$5*50+IF(AND($E10=1,LL10=0),25,0),INDEX('計算A'!BY$110:BY$114,$F10+1)+IF(AND($E10=1,LL10=0),1000,0)+IF($H10=1,(IF('計算A'!BX$117=1,INDEX('計算A'!BX$10:BX$54,$B10),0)+IF('計算A'!BY$117=1,INDEX('計算A'!BZ$10:BZ$54,$B10),0))*500,0)-IF(AND('計算A'!BX$117=1,WV10&gt;0),300,0)-IF(AND($L10=1,'計算A'!BY$117=1,FX10=0),300,0))),1000000))</f>
        <v/>
      </c>
      <c r="RB10">
        <f>IF($B10=0,1000000,IF(INDEX('計算A'!$D$60:$EQ$104,$B10,75)*FX10=1,IF(AND($E10=2,LM10=0),1000000,IF($I10&gt;0,IF(4=$J10,IF(OR(AND(75=$I10+1,OR($K10&lt;&gt;'計算A'!$A$3,'計算A'!$A$4=0)),AND(75=$I10-1,OR(3&lt;&gt;'計算A'!$A$3,'計算A'!$A$4=0))),0,IF(3=$K10,200000,ABS(3-$K10)*100)),100000+ABS(4-$J10)*1000+30)+'計算A'!BZ$5*50+IF(AND($E10=1,LM10=0),25,0),INDEX('計算A'!BZ$110:BZ$114,$F10+1)+IF(AND($E10=1,LM10=0),1000,0)+IF($H10=1,(IF('計算A'!BY$117=1,INDEX('計算A'!BY$10:BY$54,$B10),0)+IF('計算A'!BZ$117=1,INDEX('計算A'!CA$10:CA$54,$B10),0))*500,0)-IF(AND('計算A'!BY$117=1,WW10&gt;0),300,0)-IF(AND($L10=1,'計算A'!BZ$117=1,FY10=0),300,0))),1000000))</f>
        <v/>
      </c>
      <c r="RC10">
        <f>IF($B10=0,1000000,IF(INDEX('計算A'!$D$60:$EQ$104,$B10,76)*FY10=1,IF(AND($E10=2,LN10=0),1000000,IF($I10&gt;0,IF(4=$J10,IF(OR(AND(76=$I10+1,OR($K10&lt;&gt;'計算A'!$A$3,'計算A'!$A$4=0)),AND(76=$I10-1,OR(4&lt;&gt;'計算A'!$A$3,'計算A'!$A$4=0))),0,IF(4=$K10,200000,ABS(4-$K10)*100)),100000+ABS(4-$J10)*1000+40)+'計算A'!CA$5*50+IF(AND($E10=1,LN10=0),25,0),INDEX('計算A'!CA$110:CA$114,$F10+1)+IF(AND($E10=1,LN10=0),1000,0)+IF($H10=1,(IF('計算A'!BZ$117=1,INDEX('計算A'!BZ$10:BZ$54,$B10),0)+IF('計算A'!CA$117=1,INDEX('計算A'!CB$10:CB$54,$B10),0))*500,0)-IF(AND('計算A'!BZ$117=1,WX10&gt;0),300,0)-IF(AND($L10=1,'計算A'!CA$117=1,FZ10=0),300,0))),1000000))</f>
        <v/>
      </c>
      <c r="RD10">
        <f>IF($B10=0,1000000,IF(INDEX('計算A'!$D$60:$EQ$104,$B10,77)*FZ10=1,IF(AND($E10=2,LO10=0),1000000,IF($I10&gt;0,IF(4=$J10,IF(OR(AND(77=$I10+1,OR($K10&lt;&gt;'計算A'!$A$3,'計算A'!$A$4=0)),AND(77=$I10-1,OR(5&lt;&gt;'計算A'!$A$3,'計算A'!$A$4=0))),0,IF(5=$K10,200000,ABS(5-$K10)*100)),100000+ABS(4-$J10)*1000+50)+'計算A'!CB$5*50+IF(AND($E10=1,LO10=0),25,0),INDEX('計算A'!CB$110:CB$114,$F10+1)+IF(AND($E10=1,LO10=0),1000,0)+IF($H10=1,(IF('計算A'!CA$117=1,INDEX('計算A'!CA$10:CA$54,$B10),0)+IF('計算A'!CB$117=1,INDEX('計算A'!CC$10:CC$54,$B10),0))*500,0)-IF(AND('計算A'!CA$117=1,WY10&gt;0),300,0)-IF(AND($L10=1,'計算A'!CB$117=1,GA10=0),300,0))),1000000))</f>
        <v/>
      </c>
      <c r="RE10">
        <f>IF($B10=0,1000000,IF(INDEX('計算A'!$D$60:$EQ$104,$B10,78)*GA10=1,IF(AND($E10=2,LP10=0),1000000,IF($I10&gt;0,IF(4=$J10,IF(OR(AND(78=$I10+1,OR($K10&lt;&gt;'計算A'!$A$3,'計算A'!$A$4=0)),AND(78=$I10-1,OR(6&lt;&gt;'計算A'!$A$3,'計算A'!$A$4=0))),0,IF(6=$K10,200000,ABS(6-$K10)*100)),100000+ABS(4-$J10)*1000+60)+'計算A'!CC$5*50+IF(AND($E10=1,LP10=0),25,0),INDEX('計算A'!CC$110:CC$114,$F10+1)+IF(AND($E10=1,LP10=0),1000,0)+IF($H10=1,(IF('計算A'!CB$117=1,INDEX('計算A'!CB$10:CB$54,$B10),0)+IF('計算A'!CC$117=1,INDEX('計算A'!CD$10:CD$54,$B10),0))*500,0)-IF(AND('計算A'!CB$117=1,WZ10&gt;0),300,0)-IF(AND($L10=1,'計算A'!CC$117=1,GB10=0),300,0))),1000000))</f>
        <v/>
      </c>
      <c r="RF10">
        <f>IF($B10=0,1000000,IF(INDEX('計算A'!$D$60:$EQ$104,$B10,79)*GB10=1,IF(AND($E10=2,LQ10=0),1000000,IF($I10&gt;0,IF(4=$J10,IF(OR(AND(79=$I10+1,OR($K10&lt;&gt;'計算A'!$A$3,'計算A'!$A$4=0)),AND(79=$I10-1,OR(7&lt;&gt;'計算A'!$A$3,'計算A'!$A$4=0))),0,IF(7=$K10,200000,ABS(7-$K10)*100)),100000+ABS(4-$J10)*1000+70)+'計算A'!CD$5*50+IF(AND($E10=1,LQ10=0),25,0),INDEX('計算A'!CD$110:CD$114,$F10+1)+IF(AND($E10=1,LQ10=0),1000,0)+IF($H10=1,(IF('計算A'!CC$117=1,INDEX('計算A'!CC$10:CC$54,$B10),0)+IF('計算A'!CD$117=1,INDEX('計算A'!CE$10:CE$54,$B10),0))*500,0)-IF(AND('計算A'!CC$117=1,XA10&gt;0),300,0)-IF(AND($L10=1,'計算A'!CD$117=1,GC10=0),300,0))),1000000))</f>
        <v/>
      </c>
      <c r="RG10">
        <f>IF($B10=0,1000000,IF(INDEX('計算A'!$D$60:$EQ$104,$B10,80)*GC10=1,IF(AND($E10=2,LR10=0),1000000,IF($I10&gt;0,IF(4=$J10,IF(OR(AND(80=$I10+1,OR($K10&lt;&gt;'計算A'!$A$3,'計算A'!$A$4=0)),AND(80=$I10-1,OR(8&lt;&gt;'計算A'!$A$3,'計算A'!$A$4=0))),0,IF(8=$K10,200000,ABS(8-$K10)*100)),100000+ABS(4-$J10)*1000+80)+'計算A'!CE$5*50+IF(AND($E10=1,LR10=0),25,0),INDEX('計算A'!CE$110:CE$114,$F10+1)+IF(AND($E10=1,LR10=0),1000,0)+IF($H10=1,(IF('計算A'!CD$117=1,INDEX('計算A'!CD$10:CD$54,$B10),0)+IF('計算A'!CE$117=1,INDEX('計算A'!CF$10:CF$54,$B10),0))*500,0)-IF(AND('計算A'!CD$117=1,XB10&gt;0),300,0)-IF(AND($L10=1,'計算A'!CE$117=1,GD10=0),300,0))),1000000))</f>
        <v/>
      </c>
      <c r="RH10">
        <f>IF($B10=0,1000000,IF(INDEX('計算A'!$D$60:$EQ$104,$B10,81)*GD10=1,IF(AND($E10=2,LS10=0),1000000,IF($I10&gt;0,IF(4=$J10,IF(OR(AND(81=$I10+1,OR($K10&lt;&gt;'計算A'!$A$3,'計算A'!$A$4=0)),AND(81=$I10-1,OR(9&lt;&gt;'計算A'!$A$3,'計算A'!$A$4=0))),0,IF(9=$K10,200000,ABS(9-$K10)*100)),100000+ABS(4-$J10)*1000+90)+'計算A'!CF$5*50+IF(AND($E10=1,LS10=0),25,0),INDEX('計算A'!CF$110:CF$114,$F10+1)+IF(AND($E10=1,LS10=0),1000,0)+IF($H10=1,(IF('計算A'!CE$117=1,INDEX('計算A'!CE$10:CE$54,$B10),0)+IF('計算A'!CF$117=1,INDEX('計算A'!CG$10:CG$54,$B10),0))*500,0)-IF(AND('計算A'!CE$117=1,XC10&gt;0),300,0)-IF(AND($L10=1,'計算A'!CF$117=1,GE10=0),300,0))),1000000))</f>
        <v/>
      </c>
      <c r="RI10">
        <f>IF($B10=0,1000000,IF(INDEX('計算A'!$D$60:$EQ$104,$B10,82)*GE10=1,IF(AND($E10=2,LT10=0),1000000,IF($I10&gt;0,IF(4=$J10,IF(OR(AND(82=$I10+1,OR($K10&lt;&gt;'計算A'!$A$3,'計算A'!$A$4=0)),AND(82=$I10-1,OR(10&lt;&gt;'計算A'!$A$3,'計算A'!$A$4=0))),0,IF(10=$K10,200000,ABS(10-$K10)*100)),100000+ABS(4-$J10)*1000+100)+'計算A'!CG$5*50+IF(AND($E10=1,LT10=0),25,0),INDEX('計算A'!CG$110:CG$114,$F10+1)+IF(AND($E10=1,LT10=0),1000,0)+IF($H10=1,(IF('計算A'!CF$117=1,INDEX('計算A'!CF$10:CF$54,$B10),0)+IF('計算A'!CG$117=1,INDEX('計算A'!CH$10:CH$54,$B10),0))*500,0)-IF(AND('計算A'!CF$117=1,XD10&gt;0),300,0)-IF(AND($L10=1,'計算A'!CG$117=1,GF10=0),300,0))),1000000))</f>
        <v/>
      </c>
      <c r="RJ10">
        <f>IF($B10=0,1000000,IF(INDEX('計算A'!$D$60:$EQ$104,$B10,83)*GF10=1,IF(AND($E10=2,LU10=0),1000000,IF($I10&gt;0,IF(4=$J10,IF(OR(AND(83=$I10+1,OR($K10&lt;&gt;'計算A'!$A$3,'計算A'!$A$4=0)),AND(83=$I10-1,OR(11&lt;&gt;'計算A'!$A$3,'計算A'!$A$4=0))),0,IF(11=$K10,200000,ABS(11-$K10)*100)),100000+ABS(4-$J10)*1000+110)+'計算A'!CH$5*50+IF(AND($E10=1,LU10=0),25,0),INDEX('計算A'!CH$110:CH$114,$F10+1)+IF(AND($E10=1,LU10=0),1000,0)+IF($H10=1,(IF('計算A'!CG$117=1,INDEX('計算A'!CG$10:CG$54,$B10),0)+IF('計算A'!CH$117=1,INDEX('計算A'!CI$10:CI$54,$B10),0))*500,0)-IF(AND('計算A'!CG$117=1,XE10&gt;0),300,0)-IF(AND($L10=1,'計算A'!CH$117=1,GG10=0),300,0))),1000000))</f>
        <v/>
      </c>
      <c r="RK10">
        <f>IF($B10=0,1000000,IF(INDEX('計算A'!$D$60:$EQ$104,$B10,84)*GG10=1,IF(AND($E10=2,LV10=0),1000000,IF($I10&gt;0,IF(4=$J10,IF(OR(AND(84=$I10+1,OR($K10&lt;&gt;'計算A'!$A$3,'計算A'!$A$4=0)),AND(84=$I10-1,OR(12&lt;&gt;'計算A'!$A$3,'計算A'!$A$4=0))),0,IF(12=$K10,200000,ABS(12-$K10)*100)),100000+ABS(4-$J10)*1000+120)+'計算A'!CI$5*50+IF(AND($E10=1,LV10=0),25,0),INDEX('計算A'!CI$110:CI$114,$F10+1)+IF(AND($E10=1,LV10=0),1000,0)+IF($H10=1,(IF('計算A'!CH$117=1,INDEX('計算A'!CH$10:CH$54,$B10),0)+IF('計算A'!CI$117=1,INDEX('計算A'!CJ$10:CJ$54,$B10),0))*500,0)-IF(AND('計算A'!CH$117=1,XF10&gt;0),300,0)-IF(AND($L10=1,'計算A'!CI$117=1,GH10=0),300,0))),1000000))</f>
        <v/>
      </c>
      <c r="RL10">
        <f>IF($B10=0,1000000,IF(INDEX('計算A'!$D$60:$EQ$104,$B10,85)*GH10=1,IF(AND($E10=2,LW10=0),1000000,IF($I10&gt;0,IF(4=$J10,IF(OR(AND(85=$I10+1,OR($K10&lt;&gt;'計算A'!$A$3,'計算A'!$A$4=0)),AND(85=$I10-1,OR(13&lt;&gt;'計算A'!$A$3,'計算A'!$A$4=0))),0,IF(13=$K10,200000,ABS(13-$K10)*100)),100000+ABS(4-$J10)*1000+130)+'計算A'!CJ$5*50+IF(AND($E10=1,LW10=0),25,0),INDEX('計算A'!CJ$110:CJ$114,$F10+1)+IF(AND($E10=1,LW10=0),1000,0)+IF($H10=1,(IF('計算A'!CI$117=1,INDEX('計算A'!CI$10:CI$54,$B10),0)+IF('計算A'!CJ$117=1,INDEX('計算A'!CK$10:CK$54,$B10),0))*500,0)-IF(AND('計算A'!CI$117=1,XG10&gt;0),300,0)-IF(AND($L10=1,'計算A'!CJ$117=1,GI10=0),300,0))),1000000))</f>
        <v/>
      </c>
      <c r="RM10">
        <f>IF($B10=0,1000000,IF(INDEX('計算A'!$D$60:$EQ$104,$B10,86)*GI10=1,IF(AND($E10=2,LX10=0),1000000,IF($I10&gt;0,IF(4=$J10,IF(OR(AND(86=$I10+1,OR($K10&lt;&gt;'計算A'!$A$3,'計算A'!$A$4=0)),AND(86=$I10-1,OR(14&lt;&gt;'計算A'!$A$3,'計算A'!$A$4=0))),0,IF(14=$K10,200000,ABS(14-$K10)*100)),100000+ABS(4-$J10)*1000+140)+'計算A'!CK$5*50+IF(AND($E10=1,LX10=0),25,0),INDEX('計算A'!CK$110:CK$114,$F10+1)+IF(AND($E10=1,LX10=0),1000,0)+IF($H10=1,(IF('計算A'!CJ$117=1,INDEX('計算A'!CJ$10:CJ$54,$B10),0)+IF('計算A'!CK$117=1,INDEX('計算A'!CL$10:CL$54,$B10),0))*500,0)-IF(AND('計算A'!CJ$117=1,XH10&gt;0),300,0)-IF(AND($L10=1,'計算A'!CK$117=1,GJ10=0),300,0))),1000000))</f>
        <v/>
      </c>
      <c r="RN10">
        <f>IF($B10=0,1000000,IF(INDEX('計算A'!$D$60:$EQ$104,$B10,87)*GJ10=1,IF(AND($E10=2,LY10=0),1000000,IF($I10&gt;0,IF(4=$J10,IF(OR(AND(87=$I10+1,OR($K10&lt;&gt;'計算A'!$A$3,'計算A'!$A$4=0)),AND(87=$I10-1,OR(15&lt;&gt;'計算A'!$A$3,'計算A'!$A$4=0))),0,IF(15=$K10,200000,ABS(15-$K10)*100)),100000+ABS(4-$J10)*1000+150)+'計算A'!CL$5*50+IF(AND($E10=1,LY10=0),25,0),INDEX('計算A'!CL$110:CL$114,$F10+1)+IF(AND($E10=1,LY10=0),1000,0)+IF($H10=1,(IF('計算A'!CK$117=1,INDEX('計算A'!CK$10:CK$54,$B10),0)+IF('計算A'!CL$117=1,INDEX('計算A'!CM$10:CM$54,$B10),0))*500,0)-IF(AND('計算A'!CK$117=1,XI10&gt;0),300,0)-IF(AND($L10=1,'計算A'!CL$117=1,GK10=0),300,0))),1000000))</f>
        <v/>
      </c>
      <c r="RO10">
        <f>IF($B10=0,1000000,IF(INDEX('計算A'!$D$60:$EQ$104,$B10,88)*GK10=1,IF(AND($E10=2,LZ10=0),1000000,IF($I10&gt;0,IF(4=$J10,IF(OR(AND(88=$I10+1,OR($K10&lt;&gt;'計算A'!$A$3,'計算A'!$A$4=0)),AND(88=$I10-1,OR(16&lt;&gt;'計算A'!$A$3,'計算A'!$A$4=0))),0,IF(16=$K10,200000,ABS(16-$K10)*100)),100000+ABS(4-$J10)*1000+160)+'計算A'!CM$5*50+IF(AND($E10=1,LZ10=0),25,0),INDEX('計算A'!CM$110:CM$114,$F10+1)+IF(AND($E10=1,LZ10=0),1000,0)+IF($H10=1,(IF('計算A'!CL$117=1,INDEX('計算A'!CL$10:CL$54,$B10),0)+IF('計算A'!CM$117=1,INDEX('計算A'!CN$10:CN$54,$B10),0))*500,0)-IF(AND('計算A'!CL$117=1,XJ10&gt;0),300,0)-IF(AND($L10=1,'計算A'!CM$117=1,GL10=0),300,0))),1000000))</f>
        <v/>
      </c>
      <c r="RP10">
        <f>IF($B10=0,1000000,IF(INDEX('計算A'!$D$60:$EQ$104,$B10,89)*GL10=1,IF(AND($E10=2,MA10=0),1000000,IF($I10&gt;0,IF(4=$J10,IF(OR(AND(89=$I10+1,OR($K10&lt;&gt;'計算A'!$A$3,'計算A'!$A$4=0)),AND(89=$I10-1,OR(17&lt;&gt;'計算A'!$A$3,'計算A'!$A$4=0))),0,IF(17=$K10,200000,ABS(17-$K10)*100)),100000+ABS(4-$J10)*1000+170)+'計算A'!CN$5*50+IF(AND($E10=1,MA10=0),25,0),INDEX('計算A'!CN$110:CN$114,$F10+1)+IF(AND($E10=1,MA10=0),1000,0)+IF($H10=1,(IF('計算A'!CM$117=1,INDEX('計算A'!CM$10:CM$54,$B10),0)+IF('計算A'!CN$117=1,INDEX('計算A'!CO$10:CO$54,$B10),0))*500,0)-IF(AND('計算A'!CM$117=1,XK10&gt;0),300,0)-IF(AND($L10=1,'計算A'!CN$117=1,GM10=0),300,0))),1000000))</f>
        <v/>
      </c>
      <c r="RQ10">
        <f>IF($B10=0,1000000,IF(INDEX('計算A'!$D$60:$EQ$104,$B10,90)*GM10=1,IF(AND($E10=2,MB10=0),1000000,IF($I10&gt;0,IF(4=$J10,IF(OR(AND(90=$I10+1,OR($K10&lt;&gt;'計算A'!$A$3,'計算A'!$A$4=0)),AND(90=$I10-1,OR(18&lt;&gt;'計算A'!$A$3,'計算A'!$A$4=0))),0,IF(18=$K10,200000,ABS(18-$K10)*100)),100000+ABS(4-$J10)*1000+180)+'計算A'!CO$5*50+IF(AND($E10=1,MB10=0),25,0),INDEX('計算A'!CO$110:CO$114,$F10+1)+IF(AND($E10=1,MB10=0),1000,0)+IF($H10=1,(IF('計算A'!CN$117=1,INDEX('計算A'!CN$10:CN$54,$B10),0)+IF('計算A'!CO$117=1,INDEX('計算A'!CP$10:CP$54,$B10),0))*500,0)-IF(AND('計算A'!CN$117=1,XL10&gt;0),300,0)-IF(AND($L10=1,'計算A'!CO$117=1,GN10=0),300,0))),1000000))</f>
        <v/>
      </c>
      <c r="RR10">
        <f>IF($B10=0,1000000,IF(INDEX('計算A'!$D$60:$EQ$104,$B10,91)*GN10=1,IF(AND($E10=2,MC10=0),1000000,IF($I10&gt;0,IF(4=$J10,IF(OR(AND(91=$I10+1,OR($K10&lt;&gt;'計算A'!$A$3,'計算A'!$A$4=0)),AND(91=$I10-1,OR(19&lt;&gt;'計算A'!$A$3,'計算A'!$A$4=0))),0,IF(19=$K10,200000,ABS(19-$K10)*100)),100000+ABS(4-$J10)*1000+190)+'計算A'!CP$5*50+IF(AND($E10=1,MC10=0),25,0),INDEX('計算A'!CP$110:CP$114,$F10+1)+IF(AND($E10=1,MC10=0),1000,0)+IF($H10=1,(IF('計算A'!CO$117=1,INDEX('計算A'!CO$10:CO$54,$B10),0)+IF('計算A'!CP$117=1,INDEX('計算A'!CQ$10:CQ$54,$B10),0))*500,0)-IF(AND('計算A'!CO$117=1,XM10&gt;0),300,0)-IF(AND($L10=1,'計算A'!CP$117=1,GO10=0),300,0))),1000000))</f>
        <v/>
      </c>
      <c r="RS10">
        <f>IF($B10=0,1000000,IF(INDEX('計算A'!$D$60:$EQ$104,$B10,92)*GO10=1,IF(AND($E10=2,MD10=0),1000000,IF($I10&gt;0,IF(4=$J10,IF(OR(AND(92=$I10+1,OR($K10&lt;&gt;'計算A'!$A$3,'計算A'!$A$4=0)),AND(92=$I10-1,OR(20&lt;&gt;'計算A'!$A$3,'計算A'!$A$4=0))),0,IF(20=$K10,200000,ABS(20-$K10)*100)),100000+ABS(4-$J10)*1000+200)+'計算A'!CQ$5*50+IF(AND($E10=1,MD10=0),25,0),INDEX('計算A'!CQ$110:CQ$114,$F10+1)+IF(AND($E10=1,MD10=0),1000,0)+IF($H10=1,(IF('計算A'!CP$117=1,INDEX('計算A'!CP$10:CP$54,$B10),0)+IF('計算A'!CQ$117=1,INDEX('計算A'!CR$10:CR$54,$B10),0))*500,0)-IF(AND('計算A'!CP$117=1,XN10&gt;0),300,0)-IF(AND($L10=1,'計算A'!CQ$117=1,GP10=0),300,0))),1000000))</f>
        <v/>
      </c>
      <c r="RT10">
        <f>IF($B10=0,1000000,IF(INDEX('計算A'!$D$60:$EQ$104,$B10,93)*GP10=1,IF(AND($E10=2,ME10=0),1000000,IF($I10&gt;0,IF(4=$J10,IF(OR(AND(93=$I10+1,OR($K10&lt;&gt;'計算A'!$A$3,'計算A'!$A$4=0)),AND(93=$I10-1,OR(21&lt;&gt;'計算A'!$A$3,'計算A'!$A$4=0))),0,IF(21=$K10,200000,ABS(21-$K10)*100)),100000+ABS(4-$J10)*1000+210)+'計算A'!CR$5*50+IF(AND($E10=1,ME10=0),25,0),INDEX('計算A'!CR$110:CR$114,$F10+1)+IF(AND($E10=1,ME10=0),1000,0)+IF($H10=1,(IF('計算A'!CQ$117=1,INDEX('計算A'!CQ$10:CQ$54,$B10),0)+IF('計算A'!CR$117=1,INDEX('計算A'!CS$10:CS$54,$B10),0))*500,0)-IF(AND('計算A'!CQ$117=1,XO10&gt;0),300,0)-IF(AND($L10=1,'計算A'!CR$117=1,GQ10=0),300,0))),1000000))</f>
        <v/>
      </c>
      <c r="RU10">
        <f>IF($B10=0,1000000,IF(INDEX('計算A'!$D$60:$EQ$104,$B10,94)*GQ10=1,IF(AND($E10=2,MF10=0),1000000,IF($I10&gt;0,IF(4=$J10,IF(OR(AND(94=$I10+1,OR($K10&lt;&gt;'計算A'!$A$3,'計算A'!$A$4=0)),AND(94=$I10-1,OR(22&lt;&gt;'計算A'!$A$3,'計算A'!$A$4=0))),0,IF(22=$K10,200000,ABS(22-$K10)*100)),100000+ABS(4-$J10)*1000+220)+'計算A'!CS$5*50+IF(AND($E10=1,MF10=0),25,0),INDEX('計算A'!CS$110:CS$114,$F10+1)+IF(AND($E10=1,MF10=0),1000,0)+IF($H10=1,(IF('計算A'!CR$117=1,INDEX('計算A'!CR$10:CR$54,$B10),0)+IF('計算A'!CS$117=1,INDEX('計算A'!CT$10:CT$54,$B10),0))*500,0)-IF(AND('計算A'!CR$117=1,XP10&gt;0),300,0)-IF(AND($L10=1,'計算A'!CS$117=1,GR10=0),300,0))),1000000))</f>
        <v/>
      </c>
      <c r="RV10">
        <f>IF($B10=0,1000000,IF(INDEX('計算A'!$D$60:$EQ$104,$B10,95)*GR10=1,IF(AND($E10=2,MG10=0),1000000,IF($I10&gt;0,IF(4=$J10,IF(OR(AND(95=$I10+1,OR($K10&lt;&gt;'計算A'!$A$3,'計算A'!$A$4=0)),AND(95=$I10-1,OR(23&lt;&gt;'計算A'!$A$3,'計算A'!$A$4=0))),0,IF(23=$K10,200000,ABS(23-$K10)*100)),100000+ABS(4-$J10)*1000+230)+'計算A'!CT$5*50+IF(AND($E10=1,MG10=0),25,0),INDEX('計算A'!CT$110:CT$114,$F10+1)+IF(AND($E10=1,MG10=0),1000,0)+IF($H10=1,(IF('計算A'!CS$117=1,INDEX('計算A'!CS$10:CS$54,$B10),0)+IF('計算A'!CT$117=1,INDEX('計算A'!CU$10:CU$54,$B10),0))*500,0)-IF(AND('計算A'!CS$117=1,XQ10&gt;0),300,0)-IF(AND($L10=1,'計算A'!CT$117=1,GS10=0),300,0))),1000000))</f>
        <v/>
      </c>
      <c r="RW10">
        <f>IF($B10=0,1000000,IF(INDEX('計算A'!$D$60:$EQ$104,$B10,96)*GS10=1,IF(AND($E10=2,MH10=0),1000000,IF($I10&gt;0,IF(4=$J10,IF(OR(AND(96=$I10+1,OR($K10&lt;&gt;'計算A'!$A$3,'計算A'!$A$4=0)),AND(96=$I10-1,OR(24&lt;&gt;'計算A'!$A$3,'計算A'!$A$4=0))),0,IF(24=$K10,200000,ABS(24-$K10)*100)),100000+ABS(4-$J10)*1000+240)+'計算A'!CU$5*50+IF(AND($E10=1,MH10=0),25,0),INDEX('計算A'!CU$110:CU$114,$F10+1)+IF(AND($E10=1,MH10=0),1000,0)+IF($H10=1,(IF('計算A'!CT$117=1,INDEX('計算A'!CT$10:CT$54,$B10),0))*500,0)-IF(AND('計算A'!CT$117=1,XR10&gt;0),300,0))),1000000))</f>
        <v/>
      </c>
      <c r="RX10">
        <f>IF($B10=0,1000000,IF(INDEX('計算A'!$D$60:$EQ$104,$B10,97)*GT10=1,IF(AND($E10=2,MI10=0),1000000,IF($I10&gt;0,IF(5=$J10,IF(OR(AND(97=$I10+1,OR($K10&lt;&gt;'計算A'!$A$3,'計算A'!$A$4=0)),AND(97=$I10-1,OR(1&lt;&gt;'計算A'!$A$3,'計算A'!$A$4=0))),0,IF(1=$K10,200000,ABS(1-$K10)*100)),100000+ABS(5-$J10)*1000+10)+'計算A'!CV$5*50+IF(AND($E10=1,MI10=0),25,0),INDEX('計算A'!CV$110:CV$114,$F10+1)+IF(AND($E10=1,MI10=0),1000,0)+IF($H10=1,(IF('計算A'!CV$117=1,INDEX('計算A'!CW$10:CW$54,$B10),0))*500,0)-IF(AND($L10=1,'計算A'!CV$117=1,GU10=0),300,0))),1000000))</f>
        <v/>
      </c>
      <c r="RY10">
        <f>IF($B10=0,1000000,IF(INDEX('計算A'!$D$60:$EQ$104,$B10,98)*GU10=1,IF(AND($E10=2,MJ10=0),1000000,IF($I10&gt;0,IF(5=$J10,IF(OR(AND(98=$I10+1,OR($K10&lt;&gt;'計算A'!$A$3,'計算A'!$A$4=0)),AND(98=$I10-1,OR(2&lt;&gt;'計算A'!$A$3,'計算A'!$A$4=0))),0,IF(2=$K10,200000,ABS(2-$K10)*100)),100000+ABS(5-$J10)*1000+20)+'計算A'!CW$5*50+IF(AND($E10=1,MJ10=0),25,0),INDEX('計算A'!CW$110:CW$114,$F10+1)+IF(AND($E10=1,MJ10=0),1000,0)+IF($H10=1,(IF('計算A'!CV$117=1,INDEX('計算A'!CV$10:CV$54,$B10),0)+IF('計算A'!CW$117=1,INDEX('計算A'!CX$10:CX$54,$B10),0))*500,0)-IF(AND('計算A'!CV$117=1,XT10&gt;0),300,0)-IF(AND($L10=1,'計算A'!CW$117=1,GV10=0),300,0))),1000000))</f>
        <v/>
      </c>
      <c r="RZ10">
        <f>IF($B10=0,1000000,IF(INDEX('計算A'!$D$60:$EQ$104,$B10,99)*GV10=1,IF(AND($E10=2,MK10=0),1000000,IF($I10&gt;0,IF(5=$J10,IF(OR(AND(99=$I10+1,OR($K10&lt;&gt;'計算A'!$A$3,'計算A'!$A$4=0)),AND(99=$I10-1,OR(3&lt;&gt;'計算A'!$A$3,'計算A'!$A$4=0))),0,IF(3=$K10,200000,ABS(3-$K10)*100)),100000+ABS(5-$J10)*1000+30)+'計算A'!CX$5*50+IF(AND($E10=1,MK10=0),25,0),INDEX('計算A'!CX$110:CX$114,$F10+1)+IF(AND($E10=1,MK10=0),1000,0)+IF($H10=1,(IF('計算A'!CW$117=1,INDEX('計算A'!CW$10:CW$54,$B10),0)+IF('計算A'!CX$117=1,INDEX('計算A'!CY$10:CY$54,$B10),0))*500,0)-IF(AND('計算A'!CW$117=1,XU10&gt;0),300,0)-IF(AND($L10=1,'計算A'!CX$117=1,GW10=0),300,0))),1000000))</f>
        <v/>
      </c>
      <c r="SA10">
        <f>IF($B10=0,1000000,IF(INDEX('計算A'!$D$60:$EQ$104,$B10,100)*GW10=1,IF(AND($E10=2,ML10=0),1000000,IF($I10&gt;0,IF(5=$J10,IF(OR(AND(100=$I10+1,OR($K10&lt;&gt;'計算A'!$A$3,'計算A'!$A$4=0)),AND(100=$I10-1,OR(4&lt;&gt;'計算A'!$A$3,'計算A'!$A$4=0))),0,IF(4=$K10,200000,ABS(4-$K10)*100)),100000+ABS(5-$J10)*1000+40)+'計算A'!CY$5*50+IF(AND($E10=1,ML10=0),25,0),INDEX('計算A'!CY$110:CY$114,$F10+1)+IF(AND($E10=1,ML10=0),1000,0)+IF($H10=1,(IF('計算A'!CX$117=1,INDEX('計算A'!CX$10:CX$54,$B10),0)+IF('計算A'!CY$117=1,INDEX('計算A'!CZ$10:CZ$54,$B10),0))*500,0)-IF(AND('計算A'!CX$117=1,XV10&gt;0),300,0)-IF(AND($L10=1,'計算A'!CY$117=1,GX10=0),300,0))),1000000))</f>
        <v/>
      </c>
      <c r="SB10">
        <f>IF($B10=0,1000000,IF(INDEX('計算A'!$D$60:$EQ$104,$B10,101)*GX10=1,IF(AND($E10=2,MM10=0),1000000,IF($I10&gt;0,IF(5=$J10,IF(OR(AND(101=$I10+1,OR($K10&lt;&gt;'計算A'!$A$3,'計算A'!$A$4=0)),AND(101=$I10-1,OR(5&lt;&gt;'計算A'!$A$3,'計算A'!$A$4=0))),0,IF(5=$K10,200000,ABS(5-$K10)*100)),100000+ABS(5-$J10)*1000+50)+'計算A'!CZ$5*50+IF(AND($E10=1,MM10=0),25,0),INDEX('計算A'!CZ$110:CZ$114,$F10+1)+IF(AND($E10=1,MM10=0),1000,0)+IF($H10=1,(IF('計算A'!CY$117=1,INDEX('計算A'!CY$10:CY$54,$B10),0)+IF('計算A'!CZ$117=1,INDEX('計算A'!DA$10:DA$54,$B10),0))*500,0)-IF(AND('計算A'!CY$117=1,XW10&gt;0),300,0)-IF(AND($L10=1,'計算A'!CZ$117=1,GY10=0),300,0))),1000000))</f>
        <v/>
      </c>
      <c r="SC10">
        <f>IF($B10=0,1000000,IF(INDEX('計算A'!$D$60:$EQ$104,$B10,102)*GY10=1,IF(AND($E10=2,MN10=0),1000000,IF($I10&gt;0,IF(5=$J10,IF(OR(AND(102=$I10+1,OR($K10&lt;&gt;'計算A'!$A$3,'計算A'!$A$4=0)),AND(102=$I10-1,OR(6&lt;&gt;'計算A'!$A$3,'計算A'!$A$4=0))),0,IF(6=$K10,200000,ABS(6-$K10)*100)),100000+ABS(5-$J10)*1000+60)+'計算A'!DA$5*50+IF(AND($E10=1,MN10=0),25,0),INDEX('計算A'!DA$110:DA$114,$F10+1)+IF(AND($E10=1,MN10=0),1000,0)+IF($H10=1,(IF('計算A'!CZ$117=1,INDEX('計算A'!CZ$10:CZ$54,$B10),0)+IF('計算A'!DA$117=1,INDEX('計算A'!DB$10:DB$54,$B10),0))*500,0)-IF(AND('計算A'!CZ$117=1,XX10&gt;0),300,0)-IF(AND($L10=1,'計算A'!DA$117=1,GZ10=0),300,0))),1000000))</f>
        <v/>
      </c>
      <c r="SD10">
        <f>IF($B10=0,1000000,IF(INDEX('計算A'!$D$60:$EQ$104,$B10,103)*GZ10=1,IF(AND($E10=2,MO10=0),1000000,IF($I10&gt;0,IF(5=$J10,IF(OR(AND(103=$I10+1,OR($K10&lt;&gt;'計算A'!$A$3,'計算A'!$A$4=0)),AND(103=$I10-1,OR(7&lt;&gt;'計算A'!$A$3,'計算A'!$A$4=0))),0,IF(7=$K10,200000,ABS(7-$K10)*100)),100000+ABS(5-$J10)*1000+70)+'計算A'!DB$5*50+IF(AND($E10=1,MO10=0),25,0),INDEX('計算A'!DB$110:DB$114,$F10+1)+IF(AND($E10=1,MO10=0),1000,0)+IF($H10=1,(IF('計算A'!DA$117=1,INDEX('計算A'!DA$10:DA$54,$B10),0)+IF('計算A'!DB$117=1,INDEX('計算A'!DC$10:DC$54,$B10),0))*500,0)-IF(AND('計算A'!DA$117=1,XY10&gt;0),300,0)-IF(AND($L10=1,'計算A'!DB$117=1,HA10=0),300,0))),1000000))</f>
        <v/>
      </c>
      <c r="SE10">
        <f>IF($B10=0,1000000,IF(INDEX('計算A'!$D$60:$EQ$104,$B10,104)*HA10=1,IF(AND($E10=2,MP10=0),1000000,IF($I10&gt;0,IF(5=$J10,IF(OR(AND(104=$I10+1,OR($K10&lt;&gt;'計算A'!$A$3,'計算A'!$A$4=0)),AND(104=$I10-1,OR(8&lt;&gt;'計算A'!$A$3,'計算A'!$A$4=0))),0,IF(8=$K10,200000,ABS(8-$K10)*100)),100000+ABS(5-$J10)*1000+80)+'計算A'!DC$5*50+IF(AND($E10=1,MP10=0),25,0),INDEX('計算A'!DC$110:DC$114,$F10+1)+IF(AND($E10=1,MP10=0),1000,0)+IF($H10=1,(IF('計算A'!DB$117=1,INDEX('計算A'!DB$10:DB$54,$B10),0)+IF('計算A'!DC$117=1,INDEX('計算A'!DD$10:DD$54,$B10),0))*500,0)-IF(AND('計算A'!DB$117=1,XZ10&gt;0),300,0)-IF(AND($L10=1,'計算A'!DC$117=1,HB10=0),300,0))),1000000))</f>
        <v/>
      </c>
      <c r="SF10">
        <f>IF($B10=0,1000000,IF(INDEX('計算A'!$D$60:$EQ$104,$B10,105)*HB10=1,IF(AND($E10=2,MQ10=0),1000000,IF($I10&gt;0,IF(5=$J10,IF(OR(AND(105=$I10+1,OR($K10&lt;&gt;'計算A'!$A$3,'計算A'!$A$4=0)),AND(105=$I10-1,OR(9&lt;&gt;'計算A'!$A$3,'計算A'!$A$4=0))),0,IF(9=$K10,200000,ABS(9-$K10)*100)),100000+ABS(5-$J10)*1000+90)+'計算A'!DD$5*50+IF(AND($E10=1,MQ10=0),25,0),INDEX('計算A'!DD$110:DD$114,$F10+1)+IF(AND($E10=1,MQ10=0),1000,0)+IF($H10=1,(IF('計算A'!DC$117=1,INDEX('計算A'!DC$10:DC$54,$B10),0)+IF('計算A'!DD$117=1,INDEX('計算A'!DE$10:DE$54,$B10),0))*500,0)-IF(AND('計算A'!DC$117=1,YA10&gt;0),300,0)-IF(AND($L10=1,'計算A'!DD$117=1,HC10=0),300,0))),1000000))</f>
        <v/>
      </c>
      <c r="SG10">
        <f>IF($B10=0,1000000,IF(INDEX('計算A'!$D$60:$EQ$104,$B10,106)*HC10=1,IF(AND($E10=2,MR10=0),1000000,IF($I10&gt;0,IF(5=$J10,IF(OR(AND(106=$I10+1,OR($K10&lt;&gt;'計算A'!$A$3,'計算A'!$A$4=0)),AND(106=$I10-1,OR(10&lt;&gt;'計算A'!$A$3,'計算A'!$A$4=0))),0,IF(10=$K10,200000,ABS(10-$K10)*100)),100000+ABS(5-$J10)*1000+100)+'計算A'!DE$5*50+IF(AND($E10=1,MR10=0),25,0),INDEX('計算A'!DE$110:DE$114,$F10+1)+IF(AND($E10=1,MR10=0),1000,0)+IF($H10=1,(IF('計算A'!DD$117=1,INDEX('計算A'!DD$10:DD$54,$B10),0)+IF('計算A'!DE$117=1,INDEX('計算A'!DF$10:DF$54,$B10),0))*500,0)-IF(AND('計算A'!DD$117=1,YB10&gt;0),300,0)-IF(AND($L10=1,'計算A'!DE$117=1,HD10=0),300,0))),1000000))</f>
        <v/>
      </c>
      <c r="SH10">
        <f>IF($B10=0,1000000,IF(INDEX('計算A'!$D$60:$EQ$104,$B10,107)*HD10=1,IF(AND($E10=2,MS10=0),1000000,IF($I10&gt;0,IF(5=$J10,IF(OR(AND(107=$I10+1,OR($K10&lt;&gt;'計算A'!$A$3,'計算A'!$A$4=0)),AND(107=$I10-1,OR(11&lt;&gt;'計算A'!$A$3,'計算A'!$A$4=0))),0,IF(11=$K10,200000,ABS(11-$K10)*100)),100000+ABS(5-$J10)*1000+110)+'計算A'!DF$5*50+IF(AND($E10=1,MS10=0),25,0),INDEX('計算A'!DF$110:DF$114,$F10+1)+IF(AND($E10=1,MS10=0),1000,0)+IF($H10=1,(IF('計算A'!DE$117=1,INDEX('計算A'!DE$10:DE$54,$B10),0)+IF('計算A'!DF$117=1,INDEX('計算A'!DG$10:DG$54,$B10),0))*500,0)-IF(AND('計算A'!DE$117=1,YC10&gt;0),300,0)-IF(AND($L10=1,'計算A'!DF$117=1,HE10=0),300,0))),1000000))</f>
        <v/>
      </c>
      <c r="SI10">
        <f>IF($B10=0,1000000,IF(INDEX('計算A'!$D$60:$EQ$104,$B10,108)*HE10=1,IF(AND($E10=2,MT10=0),1000000,IF($I10&gt;0,IF(5=$J10,IF(OR(AND(108=$I10+1,OR($K10&lt;&gt;'計算A'!$A$3,'計算A'!$A$4=0)),AND(108=$I10-1,OR(12&lt;&gt;'計算A'!$A$3,'計算A'!$A$4=0))),0,IF(12=$K10,200000,ABS(12-$K10)*100)),100000+ABS(5-$J10)*1000+120)+'計算A'!DG$5*50+IF(AND($E10=1,MT10=0),25,0),INDEX('計算A'!DG$110:DG$114,$F10+1)+IF(AND($E10=1,MT10=0),1000,0)+IF($H10=1,(IF('計算A'!DF$117=1,INDEX('計算A'!DF$10:DF$54,$B10),0)+IF('計算A'!DG$117=1,INDEX('計算A'!DH$10:DH$54,$B10),0))*500,0)-IF(AND('計算A'!DF$117=1,YD10&gt;0),300,0)-IF(AND($L10=1,'計算A'!DG$117=1,HF10=0),300,0))),1000000))</f>
        <v/>
      </c>
      <c r="SJ10">
        <f>IF($B10=0,1000000,IF(INDEX('計算A'!$D$60:$EQ$104,$B10,109)*HF10=1,IF(AND($E10=2,MU10=0),1000000,IF($I10&gt;0,IF(5=$J10,IF(OR(AND(109=$I10+1,OR($K10&lt;&gt;'計算A'!$A$3,'計算A'!$A$4=0)),AND(109=$I10-1,OR(13&lt;&gt;'計算A'!$A$3,'計算A'!$A$4=0))),0,IF(13=$K10,200000,ABS(13-$K10)*100)),100000+ABS(5-$J10)*1000+130)+'計算A'!DH$5*50+IF(AND($E10=1,MU10=0),25,0),INDEX('計算A'!DH$110:DH$114,$F10+1)+IF(AND($E10=1,MU10=0),1000,0)+IF($H10=1,(IF('計算A'!DG$117=1,INDEX('計算A'!DG$10:DG$54,$B10),0)+IF('計算A'!DH$117=1,INDEX('計算A'!DI$10:DI$54,$B10),0))*500,0)-IF(AND('計算A'!DG$117=1,YE10&gt;0),300,0)-IF(AND($L10=1,'計算A'!DH$117=1,HG10=0),300,0))),1000000))</f>
        <v/>
      </c>
      <c r="SK10">
        <f>IF($B10=0,1000000,IF(INDEX('計算A'!$D$60:$EQ$104,$B10,110)*HG10=1,IF(AND($E10=2,MV10=0),1000000,IF($I10&gt;0,IF(5=$J10,IF(OR(AND(110=$I10+1,OR($K10&lt;&gt;'計算A'!$A$3,'計算A'!$A$4=0)),AND(110=$I10-1,OR(14&lt;&gt;'計算A'!$A$3,'計算A'!$A$4=0))),0,IF(14=$K10,200000,ABS(14-$K10)*100)),100000+ABS(5-$J10)*1000+140)+'計算A'!DI$5*50+IF(AND($E10=1,MV10=0),25,0),INDEX('計算A'!DI$110:DI$114,$F10+1)+IF(AND($E10=1,MV10=0),1000,0)+IF($H10=1,(IF('計算A'!DH$117=1,INDEX('計算A'!DH$10:DH$54,$B10),0)+IF('計算A'!DI$117=1,INDEX('計算A'!DJ$10:DJ$54,$B10),0))*500,0)-IF(AND('計算A'!DH$117=1,YF10&gt;0),300,0)-IF(AND($L10=1,'計算A'!DI$117=1,HH10=0),300,0))),1000000))</f>
        <v/>
      </c>
      <c r="SL10">
        <f>IF($B10=0,1000000,IF(INDEX('計算A'!$D$60:$EQ$104,$B10,111)*HH10=1,IF(AND($E10=2,MW10=0),1000000,IF($I10&gt;0,IF(5=$J10,IF(OR(AND(111=$I10+1,OR($K10&lt;&gt;'計算A'!$A$3,'計算A'!$A$4=0)),AND(111=$I10-1,OR(15&lt;&gt;'計算A'!$A$3,'計算A'!$A$4=0))),0,IF(15=$K10,200000,ABS(15-$K10)*100)),100000+ABS(5-$J10)*1000+150)+'計算A'!DJ$5*50+IF(AND($E10=1,MW10=0),25,0),INDEX('計算A'!DJ$110:DJ$114,$F10+1)+IF(AND($E10=1,MW10=0),1000,0)+IF($H10=1,(IF('計算A'!DI$117=1,INDEX('計算A'!DI$10:DI$54,$B10),0)+IF('計算A'!DJ$117=1,INDEX('計算A'!DK$10:DK$54,$B10),0))*500,0)-IF(AND('計算A'!DI$117=1,YG10&gt;0),300,0)-IF(AND($L10=1,'計算A'!DJ$117=1,HI10=0),300,0))),1000000))</f>
        <v/>
      </c>
      <c r="SM10">
        <f>IF($B10=0,1000000,IF(INDEX('計算A'!$D$60:$EQ$104,$B10,112)*HI10=1,IF(AND($E10=2,MX10=0),1000000,IF($I10&gt;0,IF(5=$J10,IF(OR(AND(112=$I10+1,OR($K10&lt;&gt;'計算A'!$A$3,'計算A'!$A$4=0)),AND(112=$I10-1,OR(16&lt;&gt;'計算A'!$A$3,'計算A'!$A$4=0))),0,IF(16=$K10,200000,ABS(16-$K10)*100)),100000+ABS(5-$J10)*1000+160)+'計算A'!DK$5*50+IF(AND($E10=1,MX10=0),25,0),INDEX('計算A'!DK$110:DK$114,$F10+1)+IF(AND($E10=1,MX10=0),1000,0)+IF($H10=1,(IF('計算A'!DJ$117=1,INDEX('計算A'!DJ$10:DJ$54,$B10),0)+IF('計算A'!DK$117=1,INDEX('計算A'!DL$10:DL$54,$B10),0))*500,0)-IF(AND('計算A'!DJ$117=1,YH10&gt;0),300,0)-IF(AND($L10=1,'計算A'!DK$117=1,HJ10=0),300,0))),1000000))</f>
        <v/>
      </c>
      <c r="SN10">
        <f>IF($B10=0,1000000,IF(INDEX('計算A'!$D$60:$EQ$104,$B10,113)*HJ10=1,IF(AND($E10=2,MY10=0),1000000,IF($I10&gt;0,IF(5=$J10,IF(OR(AND(113=$I10+1,OR($K10&lt;&gt;'計算A'!$A$3,'計算A'!$A$4=0)),AND(113=$I10-1,OR(17&lt;&gt;'計算A'!$A$3,'計算A'!$A$4=0))),0,IF(17=$K10,200000,ABS(17-$K10)*100)),100000+ABS(5-$J10)*1000+170)+'計算A'!DL$5*50+IF(AND($E10=1,MY10=0),25,0),INDEX('計算A'!DL$110:DL$114,$F10+1)+IF(AND($E10=1,MY10=0),1000,0)+IF($H10=1,(IF('計算A'!DK$117=1,INDEX('計算A'!DK$10:DK$54,$B10),0)+IF('計算A'!DL$117=1,INDEX('計算A'!DM$10:DM$54,$B10),0))*500,0)-IF(AND('計算A'!DK$117=1,YI10&gt;0),300,0)-IF(AND($L10=1,'計算A'!DL$117=1,HK10=0),300,0))),1000000))</f>
        <v/>
      </c>
      <c r="SO10">
        <f>IF($B10=0,1000000,IF(INDEX('計算A'!$D$60:$EQ$104,$B10,114)*HK10=1,IF(AND($E10=2,MZ10=0),1000000,IF($I10&gt;0,IF(5=$J10,IF(OR(AND(114=$I10+1,OR($K10&lt;&gt;'計算A'!$A$3,'計算A'!$A$4=0)),AND(114=$I10-1,OR(18&lt;&gt;'計算A'!$A$3,'計算A'!$A$4=0))),0,IF(18=$K10,200000,ABS(18-$K10)*100)),100000+ABS(5-$J10)*1000+180)+'計算A'!DM$5*50+IF(AND($E10=1,MZ10=0),25,0),INDEX('計算A'!DM$110:DM$114,$F10+1)+IF(AND($E10=1,MZ10=0),1000,0)+IF($H10=1,(IF('計算A'!DL$117=1,INDEX('計算A'!DL$10:DL$54,$B10),0)+IF('計算A'!DM$117=1,INDEX('計算A'!DN$10:DN$54,$B10),0))*500,0)-IF(AND('計算A'!DL$117=1,YJ10&gt;0),300,0)-IF(AND($L10=1,'計算A'!DM$117=1,HL10=0),300,0))),1000000))</f>
        <v/>
      </c>
      <c r="SP10">
        <f>IF($B10=0,1000000,IF(INDEX('計算A'!$D$60:$EQ$104,$B10,115)*HL10=1,IF(AND($E10=2,NA10=0),1000000,IF($I10&gt;0,IF(5=$J10,IF(OR(AND(115=$I10+1,OR($K10&lt;&gt;'計算A'!$A$3,'計算A'!$A$4=0)),AND(115=$I10-1,OR(19&lt;&gt;'計算A'!$A$3,'計算A'!$A$4=0))),0,IF(19=$K10,200000,ABS(19-$K10)*100)),100000+ABS(5-$J10)*1000+190)+'計算A'!DN$5*50+IF(AND($E10=1,NA10=0),25,0),INDEX('計算A'!DN$110:DN$114,$F10+1)+IF(AND($E10=1,NA10=0),1000,0)+IF($H10=1,(IF('計算A'!DM$117=1,INDEX('計算A'!DM$10:DM$54,$B10),0)+IF('計算A'!DN$117=1,INDEX('計算A'!DO$10:DO$54,$B10),0))*500,0)-IF(AND('計算A'!DM$117=1,YK10&gt;0),300,0)-IF(AND($L10=1,'計算A'!DN$117=1,HM10=0),300,0))),1000000))</f>
        <v/>
      </c>
      <c r="SQ10">
        <f>IF($B10=0,1000000,IF(INDEX('計算A'!$D$60:$EQ$104,$B10,116)*HM10=1,IF(AND($E10=2,NB10=0),1000000,IF($I10&gt;0,IF(5=$J10,IF(OR(AND(116=$I10+1,OR($K10&lt;&gt;'計算A'!$A$3,'計算A'!$A$4=0)),AND(116=$I10-1,OR(20&lt;&gt;'計算A'!$A$3,'計算A'!$A$4=0))),0,IF(20=$K10,200000,ABS(20-$K10)*100)),100000+ABS(5-$J10)*1000+200)+'計算A'!DO$5*50+IF(AND($E10=1,NB10=0),25,0),INDEX('計算A'!DO$110:DO$114,$F10+1)+IF(AND($E10=1,NB10=0),1000,0)+IF($H10=1,(IF('計算A'!DN$117=1,INDEX('計算A'!DN$10:DN$54,$B10),0)+IF('計算A'!DO$117=1,INDEX('計算A'!DP$10:DP$54,$B10),0))*500,0)-IF(AND('計算A'!DN$117=1,YL10&gt;0),300,0)-IF(AND($L10=1,'計算A'!DO$117=1,HN10=0),300,0))),1000000))</f>
        <v/>
      </c>
      <c r="SR10">
        <f>IF($B10=0,1000000,IF(INDEX('計算A'!$D$60:$EQ$104,$B10,117)*HN10=1,IF(AND($E10=2,NC10=0),1000000,IF($I10&gt;0,IF(5=$J10,IF(OR(AND(117=$I10+1,OR($K10&lt;&gt;'計算A'!$A$3,'計算A'!$A$4=0)),AND(117=$I10-1,OR(21&lt;&gt;'計算A'!$A$3,'計算A'!$A$4=0))),0,IF(21=$K10,200000,ABS(21-$K10)*100)),100000+ABS(5-$J10)*1000+210)+'計算A'!DP$5*50+IF(AND($E10=1,NC10=0),25,0),INDEX('計算A'!DP$110:DP$114,$F10+1)+IF(AND($E10=1,NC10=0),1000,0)+IF($H10=1,(IF('計算A'!DO$117=1,INDEX('計算A'!DO$10:DO$54,$B10),0)+IF('計算A'!DP$117=1,INDEX('計算A'!DQ$10:DQ$54,$B10),0))*500,0)-IF(AND('計算A'!DO$117=1,YM10&gt;0),300,0)-IF(AND($L10=1,'計算A'!DP$117=1,HO10=0),300,0))),1000000))</f>
        <v/>
      </c>
      <c r="SS10">
        <f>IF($B10=0,1000000,IF(INDEX('計算A'!$D$60:$EQ$104,$B10,118)*HO10=1,IF(AND($E10=2,ND10=0),1000000,IF($I10&gt;0,IF(5=$J10,IF(OR(AND(118=$I10+1,OR($K10&lt;&gt;'計算A'!$A$3,'計算A'!$A$4=0)),AND(118=$I10-1,OR(22&lt;&gt;'計算A'!$A$3,'計算A'!$A$4=0))),0,IF(22=$K10,200000,ABS(22-$K10)*100)),100000+ABS(5-$J10)*1000+220)+'計算A'!DQ$5*50+IF(AND($E10=1,ND10=0),25,0),INDEX('計算A'!DQ$110:DQ$114,$F10+1)+IF(AND($E10=1,ND10=0),1000,0)+IF($H10=1,(IF('計算A'!DP$117=1,INDEX('計算A'!DP$10:DP$54,$B10),0)+IF('計算A'!DQ$117=1,INDEX('計算A'!DR$10:DR$54,$B10),0))*500,0)-IF(AND('計算A'!DP$117=1,YN10&gt;0),300,0)-IF(AND($L10=1,'計算A'!DQ$117=1,HP10=0),300,0))),1000000))</f>
        <v/>
      </c>
      <c r="ST10">
        <f>IF($B10=0,1000000,IF(INDEX('計算A'!$D$60:$EQ$104,$B10,119)*HP10=1,IF(AND($E10=2,NE10=0),1000000,IF($I10&gt;0,IF(5=$J10,IF(OR(AND(119=$I10+1,OR($K10&lt;&gt;'計算A'!$A$3,'計算A'!$A$4=0)),AND(119=$I10-1,OR(23&lt;&gt;'計算A'!$A$3,'計算A'!$A$4=0))),0,IF(23=$K10,200000,ABS(23-$K10)*100)),100000+ABS(5-$J10)*1000+230)+'計算A'!DR$5*50+IF(AND($E10=1,NE10=0),25,0),INDEX('計算A'!DR$110:DR$114,$F10+1)+IF(AND($E10=1,NE10=0),1000,0)+IF($H10=1,(IF('計算A'!DQ$117=1,INDEX('計算A'!DQ$10:DQ$54,$B10),0)+IF('計算A'!DR$117=1,INDEX('計算A'!DS$10:DS$54,$B10),0))*500,0)-IF(AND('計算A'!DQ$117=1,YO10&gt;0),300,0)-IF(AND($L10=1,'計算A'!DR$117=1,HQ10=0),300,0))),1000000))</f>
        <v/>
      </c>
      <c r="SU10">
        <f>IF($B10=0,1000000,IF(INDEX('計算A'!$D$60:$EQ$104,$B10,120)*HQ10=1,IF(AND($E10=2,NF10=0),1000000,IF($I10&gt;0,IF(5=$J10,IF(OR(AND(120=$I10+1,OR($K10&lt;&gt;'計算A'!$A$3,'計算A'!$A$4=0)),AND(120=$I10-1,OR(24&lt;&gt;'計算A'!$A$3,'計算A'!$A$4=0))),0,IF(24=$K10,200000,ABS(24-$K10)*100)),100000+ABS(5-$J10)*1000+240)+'計算A'!DS$5*50+IF(AND($E10=1,NF10=0),25,0),INDEX('計算A'!DS$110:DS$114,$F10+1)+IF(AND($E10=1,NF10=0),1000,0)+IF($H10=1,(IF('計算A'!DR$117=1,INDEX('計算A'!DR$10:DR$54,$B10),0))*500,0)-IF(AND('計算A'!DR$117=1,YP10&gt;0),300,0))),1000000))</f>
        <v/>
      </c>
      <c r="SV10">
        <f>IF($B10=0,1000000,IF(INDEX('計算A'!$D$60:$EQ$104,$B10,121)*HR10=1,IF(AND($E10=2,NG10=0),1000000,IF($I10&gt;0,IF(6=$J10,IF(OR(AND(121=$I10+1,OR($K10&lt;&gt;'計算A'!$A$3,'計算A'!$A$4=0)),AND(121=$I10-1,OR(1&lt;&gt;'計算A'!$A$3,'計算A'!$A$4=0))),0,IF(1=$K10,200000,ABS(1-$K10)*100)),100000+ABS(6-$J10)*1000+10)+'計算A'!DT$5*50+IF(AND($E10=1,NG10=0),25,0),INDEX('計算A'!DT$110:DT$114,$F10+1)+IF(AND($E10=1,NG10=0),1000,0)+IF($H10=1,(IF('計算A'!DT$117=1,INDEX('計算A'!DU$10:DU$54,$B10),0))*500,0)-IF(AND($L10=1,'計算A'!DT$117=1,HS10=0),300,0))),1000000))</f>
        <v/>
      </c>
      <c r="SW10">
        <f>IF($B10=0,1000000,IF(INDEX('計算A'!$D$60:$EQ$104,$B10,122)*HS10=1,IF(AND($E10=2,NH10=0),1000000,IF($I10&gt;0,IF(6=$J10,IF(OR(AND(122=$I10+1,OR($K10&lt;&gt;'計算A'!$A$3,'計算A'!$A$4=0)),AND(122=$I10-1,OR(2&lt;&gt;'計算A'!$A$3,'計算A'!$A$4=0))),0,IF(2=$K10,200000,ABS(2-$K10)*100)),100000+ABS(6-$J10)*1000+20)+'計算A'!DU$5*50+IF(AND($E10=1,NH10=0),25,0),INDEX('計算A'!DU$110:DU$114,$F10+1)+IF(AND($E10=1,NH10=0),1000,0)+IF($H10=1,(IF('計算A'!DT$117=1,INDEX('計算A'!DT$10:DT$54,$B10),0)+IF('計算A'!DU$117=1,INDEX('計算A'!DV$10:DV$54,$B10),0))*500,0)-IF(AND('計算A'!DT$117=1,YR10&gt;0),300,0)-IF(AND($L10=1,'計算A'!DU$117=1,HT10=0),300,0))),1000000))</f>
        <v/>
      </c>
      <c r="SX10">
        <f>IF($B10=0,1000000,IF(INDEX('計算A'!$D$60:$EQ$104,$B10,123)*HT10=1,IF(AND($E10=2,NI10=0),1000000,IF($I10&gt;0,IF(6=$J10,IF(OR(AND(123=$I10+1,OR($K10&lt;&gt;'計算A'!$A$3,'計算A'!$A$4=0)),AND(123=$I10-1,OR(3&lt;&gt;'計算A'!$A$3,'計算A'!$A$4=0))),0,IF(3=$K10,200000,ABS(3-$K10)*100)),100000+ABS(6-$J10)*1000+30)+'計算A'!DV$5*50+IF(AND($E10=1,NI10=0),25,0),INDEX('計算A'!DV$110:DV$114,$F10+1)+IF(AND($E10=1,NI10=0),1000,0)+IF($H10=1,(IF('計算A'!DU$117=1,INDEX('計算A'!DU$10:DU$54,$B10),0)+IF('計算A'!DV$117=1,INDEX('計算A'!DW$10:DW$54,$B10),0))*500,0)-IF(AND('計算A'!DU$117=1,YS10&gt;0),300,0)-IF(AND($L10=1,'計算A'!DV$117=1,HU10=0),300,0))),1000000))</f>
        <v/>
      </c>
      <c r="SY10">
        <f>IF($B10=0,1000000,IF(INDEX('計算A'!$D$60:$EQ$104,$B10,124)*HU10=1,IF(AND($E10=2,NJ10=0),1000000,IF($I10&gt;0,IF(6=$J10,IF(OR(AND(124=$I10+1,OR($K10&lt;&gt;'計算A'!$A$3,'計算A'!$A$4=0)),AND(124=$I10-1,OR(4&lt;&gt;'計算A'!$A$3,'計算A'!$A$4=0))),0,IF(4=$K10,200000,ABS(4-$K10)*100)),100000+ABS(6-$J10)*1000+40)+'計算A'!DW$5*50+IF(AND($E10=1,NJ10=0),25,0),INDEX('計算A'!DW$110:DW$114,$F10+1)+IF(AND($E10=1,NJ10=0),1000,0)+IF($H10=1,(IF('計算A'!DV$117=1,INDEX('計算A'!DV$10:DV$54,$B10),0)+IF('計算A'!DW$117=1,INDEX('計算A'!DX$10:DX$54,$B10),0))*500,0)-IF(AND('計算A'!DV$117=1,YT10&gt;0),300,0)-IF(AND($L10=1,'計算A'!DW$117=1,HV10=0),300,0))),1000000))</f>
        <v/>
      </c>
      <c r="SZ10">
        <f>IF($B10=0,1000000,IF(INDEX('計算A'!$D$60:$EQ$104,$B10,125)*HV10=1,IF(AND($E10=2,NK10=0),1000000,IF($I10&gt;0,IF(6=$J10,IF(OR(AND(125=$I10+1,OR($K10&lt;&gt;'計算A'!$A$3,'計算A'!$A$4=0)),AND(125=$I10-1,OR(5&lt;&gt;'計算A'!$A$3,'計算A'!$A$4=0))),0,IF(5=$K10,200000,ABS(5-$K10)*100)),100000+ABS(6-$J10)*1000+50)+'計算A'!DX$5*50+IF(AND($E10=1,NK10=0),25,0),INDEX('計算A'!DX$110:DX$114,$F10+1)+IF(AND($E10=1,NK10=0),1000,0)+IF($H10=1,(IF('計算A'!DW$117=1,INDEX('計算A'!DW$10:DW$54,$B10),0)+IF('計算A'!DX$117=1,INDEX('計算A'!DY$10:DY$54,$B10),0))*500,0)-IF(AND('計算A'!DW$117=1,YU10&gt;0),300,0)-IF(AND($L10=1,'計算A'!DX$117=1,HW10=0),300,0))),1000000))</f>
        <v/>
      </c>
      <c r="TA10">
        <f>IF($B10=0,1000000,IF(INDEX('計算A'!$D$60:$EQ$104,$B10,126)*HW10=1,IF(AND($E10=2,NL10=0),1000000,IF($I10&gt;0,IF(6=$J10,IF(OR(AND(126=$I10+1,OR($K10&lt;&gt;'計算A'!$A$3,'計算A'!$A$4=0)),AND(126=$I10-1,OR(6&lt;&gt;'計算A'!$A$3,'計算A'!$A$4=0))),0,IF(6=$K10,200000,ABS(6-$K10)*100)),100000+ABS(6-$J10)*1000+60)+'計算A'!DY$5*50+IF(AND($E10=1,NL10=0),25,0),INDEX('計算A'!DY$110:DY$114,$F10+1)+IF(AND($E10=1,NL10=0),1000,0)+IF($H10=1,(IF('計算A'!DX$117=1,INDEX('計算A'!DX$10:DX$54,$B10),0)+IF('計算A'!DY$117=1,INDEX('計算A'!DZ$10:DZ$54,$B10),0))*500,0)-IF(AND('計算A'!DX$117=1,YV10&gt;0),300,0)-IF(AND($L10=1,'計算A'!DY$117=1,HX10=0),300,0))),1000000))</f>
        <v/>
      </c>
      <c r="TB10">
        <f>IF($B10=0,1000000,IF(INDEX('計算A'!$D$60:$EQ$104,$B10,127)*HX10=1,IF(AND($E10=2,NM10=0),1000000,IF($I10&gt;0,IF(6=$J10,IF(OR(AND(127=$I10+1,OR($K10&lt;&gt;'計算A'!$A$3,'計算A'!$A$4=0)),AND(127=$I10-1,OR(7&lt;&gt;'計算A'!$A$3,'計算A'!$A$4=0))),0,IF(7=$K10,200000,ABS(7-$K10)*100)),100000+ABS(6-$J10)*1000+70)+'計算A'!DZ$5*50+IF(AND($E10=1,NM10=0),25,0),INDEX('計算A'!DZ$110:DZ$114,$F10+1)+IF(AND($E10=1,NM10=0),1000,0)+IF($H10=1,(IF('計算A'!DY$117=1,INDEX('計算A'!DY$10:DY$54,$B10),0)+IF('計算A'!DZ$117=1,INDEX('計算A'!EA$10:EA$54,$B10),0))*500,0)-IF(AND('計算A'!DY$117=1,YW10&gt;0),300,0)-IF(AND($L10=1,'計算A'!DZ$117=1,HY10=0),300,0))),1000000))</f>
        <v/>
      </c>
      <c r="TC10">
        <f>IF($B10=0,1000000,IF(INDEX('計算A'!$D$60:$EQ$104,$B10,128)*HY10=1,IF(AND($E10=2,NN10=0),1000000,IF($I10&gt;0,IF(6=$J10,IF(OR(AND(128=$I10+1,OR($K10&lt;&gt;'計算A'!$A$3,'計算A'!$A$4=0)),AND(128=$I10-1,OR(8&lt;&gt;'計算A'!$A$3,'計算A'!$A$4=0))),0,IF(8=$K10,200000,ABS(8-$K10)*100)),100000+ABS(6-$J10)*1000+80)+'計算A'!EA$5*50+IF(AND($E10=1,NN10=0),25,0),INDEX('計算A'!EA$110:EA$114,$F10+1)+IF(AND($E10=1,NN10=0),1000,0)+IF($H10=1,(IF('計算A'!DZ$117=1,INDEX('計算A'!DZ$10:DZ$54,$B10),0)+IF('計算A'!EA$117=1,INDEX('計算A'!EB$10:EB$54,$B10),0))*500,0)-IF(AND('計算A'!DZ$117=1,YX10&gt;0),300,0)-IF(AND($L10=1,'計算A'!EA$117=1,HZ10=0),300,0))),1000000))</f>
        <v/>
      </c>
      <c r="TD10">
        <f>IF($B10=0,1000000,IF(INDEX('計算A'!$D$60:$EQ$104,$B10,129)*HZ10=1,IF(AND($E10=2,NO10=0),1000000,IF($I10&gt;0,IF(6=$J10,IF(OR(AND(129=$I10+1,OR($K10&lt;&gt;'計算A'!$A$3,'計算A'!$A$4=0)),AND(129=$I10-1,OR(9&lt;&gt;'計算A'!$A$3,'計算A'!$A$4=0))),0,IF(9=$K10,200000,ABS(9-$K10)*100)),100000+ABS(6-$J10)*1000+90)+'計算A'!EB$5*50+IF(AND($E10=1,NO10=0),25,0),INDEX('計算A'!EB$110:EB$114,$F10+1)+IF(AND($E10=1,NO10=0),1000,0)+IF($H10=1,(IF('計算A'!EA$117=1,INDEX('計算A'!EA$10:EA$54,$B10),0)+IF('計算A'!EB$117=1,INDEX('計算A'!EC$10:EC$54,$B10),0))*500,0)-IF(AND('計算A'!EA$117=1,YY10&gt;0),300,0)-IF(AND($L10=1,'計算A'!EB$117=1,IA10=0),300,0))),1000000))</f>
        <v/>
      </c>
      <c r="TE10">
        <f>IF($B10=0,1000000,IF(INDEX('計算A'!$D$60:$EQ$104,$B10,130)*IA10=1,IF(AND($E10=2,NP10=0),1000000,IF($I10&gt;0,IF(6=$J10,IF(OR(AND(130=$I10+1,OR($K10&lt;&gt;'計算A'!$A$3,'計算A'!$A$4=0)),AND(130=$I10-1,OR(10&lt;&gt;'計算A'!$A$3,'計算A'!$A$4=0))),0,IF(10=$K10,200000,ABS(10-$K10)*100)),100000+ABS(6-$J10)*1000+100)+'計算A'!EC$5*50+IF(AND($E10=1,NP10=0),25,0),INDEX('計算A'!EC$110:EC$114,$F10+1)+IF(AND($E10=1,NP10=0),1000,0)+IF($H10=1,(IF('計算A'!EB$117=1,INDEX('計算A'!EB$10:EB$54,$B10),0)+IF('計算A'!EC$117=1,INDEX('計算A'!ED$10:ED$54,$B10),0))*500,0)-IF(AND('計算A'!EB$117=1,YZ10&gt;0),300,0)-IF(AND($L10=1,'計算A'!EC$117=1,IB10=0),300,0))),1000000))</f>
        <v/>
      </c>
      <c r="TF10">
        <f>IF($B10=0,1000000,IF(INDEX('計算A'!$D$60:$EQ$104,$B10,131)*IB10=1,IF(AND($E10=2,NQ10=0),1000000,IF($I10&gt;0,IF(6=$J10,IF(OR(AND(131=$I10+1,OR($K10&lt;&gt;'計算A'!$A$3,'計算A'!$A$4=0)),AND(131=$I10-1,OR(11&lt;&gt;'計算A'!$A$3,'計算A'!$A$4=0))),0,IF(11=$K10,200000,ABS(11-$K10)*100)),100000+ABS(6-$J10)*1000+110)+'計算A'!ED$5*50+IF(AND($E10=1,NQ10=0),25,0),INDEX('計算A'!ED$110:ED$114,$F10+1)+IF(AND($E10=1,NQ10=0),1000,0)+IF($H10=1,(IF('計算A'!EC$117=1,INDEX('計算A'!EC$10:EC$54,$B10),0)+IF('計算A'!ED$117=1,INDEX('計算A'!EE$10:EE$54,$B10),0))*500,0)-IF(AND('計算A'!EC$117=1,ZA10&gt;0),300,0)-IF(AND($L10=1,'計算A'!ED$117=1,IC10=0),300,0))),1000000))</f>
        <v/>
      </c>
      <c r="TG10">
        <f>IF($B10=0,1000000,IF(INDEX('計算A'!$D$60:$EQ$104,$B10,132)*IC10=1,IF(AND($E10=2,NR10=0),1000000,IF($I10&gt;0,IF(6=$J10,IF(OR(AND(132=$I10+1,OR($K10&lt;&gt;'計算A'!$A$3,'計算A'!$A$4=0)),AND(132=$I10-1,OR(12&lt;&gt;'計算A'!$A$3,'計算A'!$A$4=0))),0,IF(12=$K10,200000,ABS(12-$K10)*100)),100000+ABS(6-$J10)*1000+120)+'計算A'!EE$5*50+IF(AND($E10=1,NR10=0),25,0),INDEX('計算A'!EE$110:EE$114,$F10+1)+IF(AND($E10=1,NR10=0),1000,0)+IF($H10=1,(IF('計算A'!ED$117=1,INDEX('計算A'!ED$10:ED$54,$B10),0)+IF('計算A'!EE$117=1,INDEX('計算A'!EF$10:EF$54,$B10),0))*500,0)-IF(AND('計算A'!ED$117=1,ZB10&gt;0),300,0)-IF(AND($L10=1,'計算A'!EE$117=1,ID10=0),300,0))),1000000))</f>
        <v/>
      </c>
      <c r="TH10">
        <f>IF($B10=0,1000000,IF(INDEX('計算A'!$D$60:$EQ$104,$B10,133)*ID10=1,IF(AND($E10=2,NS10=0),1000000,IF($I10&gt;0,IF(6=$J10,IF(OR(AND(133=$I10+1,OR($K10&lt;&gt;'計算A'!$A$3,'計算A'!$A$4=0)),AND(133=$I10-1,OR(13&lt;&gt;'計算A'!$A$3,'計算A'!$A$4=0))),0,IF(13=$K10,200000,ABS(13-$K10)*100)),100000+ABS(6-$J10)*1000+130)+'計算A'!EF$5*50+IF(AND($E10=1,NS10=0),25,0),INDEX('計算A'!EF$110:EF$114,$F10+1)+IF(AND($E10=1,NS10=0),1000,0)+IF($H10=1,(IF('計算A'!EE$117=1,INDEX('計算A'!EE$10:EE$54,$B10),0)+IF('計算A'!EF$117=1,INDEX('計算A'!EG$10:EG$54,$B10),0))*500,0)-IF(AND('計算A'!EE$117=1,ZC10&gt;0),300,0)-IF(AND($L10=1,'計算A'!EF$117=1,IE10=0),300,0))),1000000))</f>
        <v/>
      </c>
      <c r="TI10">
        <f>IF($B10=0,1000000,IF(INDEX('計算A'!$D$60:$EQ$104,$B10,134)*IE10=1,IF(AND($E10=2,NT10=0),1000000,IF($I10&gt;0,IF(6=$J10,IF(OR(AND(134=$I10+1,OR($K10&lt;&gt;'計算A'!$A$3,'計算A'!$A$4=0)),AND(134=$I10-1,OR(14&lt;&gt;'計算A'!$A$3,'計算A'!$A$4=0))),0,IF(14=$K10,200000,ABS(14-$K10)*100)),100000+ABS(6-$J10)*1000+140)+'計算A'!EG$5*50+IF(AND($E10=1,NT10=0),25,0),INDEX('計算A'!EG$110:EG$114,$F10+1)+IF(AND($E10=1,NT10=0),1000,0)+IF($H10=1,(IF('計算A'!EF$117=1,INDEX('計算A'!EF$10:EF$54,$B10),0)+IF('計算A'!EG$117=1,INDEX('計算A'!EH$10:EH$54,$B10),0))*500,0)-IF(AND('計算A'!EF$117=1,ZD10&gt;0),300,0)-IF(AND($L10=1,'計算A'!EG$117=1,IF10=0),300,0))),1000000))</f>
        <v/>
      </c>
      <c r="TJ10">
        <f>IF($B10=0,1000000,IF(INDEX('計算A'!$D$60:$EQ$104,$B10,135)*IF10=1,IF(AND($E10=2,NU10=0),1000000,IF($I10&gt;0,IF(6=$J10,IF(OR(AND(135=$I10+1,OR($K10&lt;&gt;'計算A'!$A$3,'計算A'!$A$4=0)),AND(135=$I10-1,OR(15&lt;&gt;'計算A'!$A$3,'計算A'!$A$4=0))),0,IF(15=$K10,200000,ABS(15-$K10)*100)),100000+ABS(6-$J10)*1000+150)+'計算A'!EH$5*50+IF(AND($E10=1,NU10=0),25,0),INDEX('計算A'!EH$110:EH$114,$F10+1)+IF(AND($E10=1,NU10=0),1000,0)+IF($H10=1,(IF('計算A'!EG$117=1,INDEX('計算A'!EG$10:EG$54,$B10),0)+IF('計算A'!EH$117=1,INDEX('計算A'!EI$10:EI$54,$B10),0))*500,0)-IF(AND('計算A'!EG$117=1,ZE10&gt;0),300,0)-IF(AND($L10=1,'計算A'!EH$117=1,IG10=0),300,0))),1000000))</f>
        <v/>
      </c>
      <c r="TK10">
        <f>IF($B10=0,1000000,IF(INDEX('計算A'!$D$60:$EQ$104,$B10,136)*IG10=1,IF(AND($E10=2,NV10=0),1000000,IF($I10&gt;0,IF(6=$J10,IF(OR(AND(136=$I10+1,OR($K10&lt;&gt;'計算A'!$A$3,'計算A'!$A$4=0)),AND(136=$I10-1,OR(16&lt;&gt;'計算A'!$A$3,'計算A'!$A$4=0))),0,IF(16=$K10,200000,ABS(16-$K10)*100)),100000+ABS(6-$J10)*1000+160)+'計算A'!EI$5*50+IF(AND($E10=1,NV10=0),25,0),INDEX('計算A'!EI$110:EI$114,$F10+1)+IF(AND($E10=1,NV10=0),1000,0)+IF($H10=1,(IF('計算A'!EH$117=1,INDEX('計算A'!EH$10:EH$54,$B10),0)+IF('計算A'!EI$117=1,INDEX('計算A'!EJ$10:EJ$54,$B10),0))*500,0)-IF(AND('計算A'!EH$117=1,ZF10&gt;0),300,0)-IF(AND($L10=1,'計算A'!EI$117=1,IH10=0),300,0))),1000000))</f>
        <v/>
      </c>
      <c r="TL10">
        <f>IF($B10=0,1000000,IF(INDEX('計算A'!$D$60:$EQ$104,$B10,137)*IH10=1,IF(AND($E10=2,NW10=0),1000000,IF($I10&gt;0,IF(6=$J10,IF(OR(AND(137=$I10+1,OR($K10&lt;&gt;'計算A'!$A$3,'計算A'!$A$4=0)),AND(137=$I10-1,OR(17&lt;&gt;'計算A'!$A$3,'計算A'!$A$4=0))),0,IF(17=$K10,200000,ABS(17-$K10)*100)),100000+ABS(6-$J10)*1000+170)+'計算A'!EJ$5*50+IF(AND($E10=1,NW10=0),25,0),INDEX('計算A'!EJ$110:EJ$114,$F10+1)+IF(AND($E10=1,NW10=0),1000,0)+IF($H10=1,(IF('計算A'!EI$117=1,INDEX('計算A'!EI$10:EI$54,$B10),0)+IF('計算A'!EJ$117=1,INDEX('計算A'!EK$10:EK$54,$B10),0))*500,0)-IF(AND('計算A'!EI$117=1,ZG10&gt;0),300,0)-IF(AND($L10=1,'計算A'!EJ$117=1,II10=0),300,0))),1000000))</f>
        <v/>
      </c>
      <c r="TM10">
        <f>IF($B10=0,1000000,IF(INDEX('計算A'!$D$60:$EQ$104,$B10,138)*II10=1,IF(AND($E10=2,NX10=0),1000000,IF($I10&gt;0,IF(6=$J10,IF(OR(AND(138=$I10+1,OR($K10&lt;&gt;'計算A'!$A$3,'計算A'!$A$4=0)),AND(138=$I10-1,OR(18&lt;&gt;'計算A'!$A$3,'計算A'!$A$4=0))),0,IF(18=$K10,200000,ABS(18-$K10)*100)),100000+ABS(6-$J10)*1000+180)+'計算A'!EK$5*50+IF(AND($E10=1,NX10=0),25,0),INDEX('計算A'!EK$110:EK$114,$F10+1)+IF(AND($E10=1,NX10=0),1000,0)+IF($H10=1,(IF('計算A'!EJ$117=1,INDEX('計算A'!EJ$10:EJ$54,$B10),0)+IF('計算A'!EK$117=1,INDEX('計算A'!EL$10:EL$54,$B10),0))*500,0)-IF(AND('計算A'!EJ$117=1,ZH10&gt;0),300,0)-IF(AND($L10=1,'計算A'!EK$117=1,IJ10=0),300,0))),1000000))</f>
        <v/>
      </c>
      <c r="TN10">
        <f>IF($B10=0,1000000,IF(INDEX('計算A'!$D$60:$EQ$104,$B10,139)*IJ10=1,IF(AND($E10=2,NY10=0),1000000,IF($I10&gt;0,IF(6=$J10,IF(OR(AND(139=$I10+1,OR($K10&lt;&gt;'計算A'!$A$3,'計算A'!$A$4=0)),AND(139=$I10-1,OR(19&lt;&gt;'計算A'!$A$3,'計算A'!$A$4=0))),0,IF(19=$K10,200000,ABS(19-$K10)*100)),100000+ABS(6-$J10)*1000+190)+'計算A'!EL$5*50+IF(AND($E10=1,NY10=0),25,0),INDEX('計算A'!EL$110:EL$114,$F10+1)+IF(AND($E10=1,NY10=0),1000,0)+IF($H10=1,(IF('計算A'!EK$117=1,INDEX('計算A'!EK$10:EK$54,$B10),0)+IF('計算A'!EL$117=1,INDEX('計算A'!EM$10:EM$54,$B10),0))*500,0)-IF(AND('計算A'!EK$117=1,ZI10&gt;0),300,0)-IF(AND($L10=1,'計算A'!EL$117=1,IK10=0),300,0))),1000000))</f>
        <v/>
      </c>
      <c r="TO10">
        <f>IF($B10=0,1000000,IF(INDEX('計算A'!$D$60:$EQ$104,$B10,140)*IK10=1,IF(AND($E10=2,NZ10=0),1000000,IF($I10&gt;0,IF(6=$J10,IF(OR(AND(140=$I10+1,OR($K10&lt;&gt;'計算A'!$A$3,'計算A'!$A$4=0)),AND(140=$I10-1,OR(20&lt;&gt;'計算A'!$A$3,'計算A'!$A$4=0))),0,IF(20=$K10,200000,ABS(20-$K10)*100)),100000+ABS(6-$J10)*1000+200)+'計算A'!EM$5*50+IF(AND($E10=1,NZ10=0),25,0),INDEX('計算A'!EM$110:EM$114,$F10+1)+IF(AND($E10=1,NZ10=0),1000,0)+IF($H10=1,(IF('計算A'!EL$117=1,INDEX('計算A'!EL$10:EL$54,$B10),0)+IF('計算A'!EM$117=1,INDEX('計算A'!EN$10:EN$54,$B10),0))*500,0)-IF(AND('計算A'!EL$117=1,ZJ10&gt;0),300,0)-IF(AND($L10=1,'計算A'!EM$117=1,IL10=0),300,0))),1000000))</f>
        <v/>
      </c>
      <c r="TP10">
        <f>IF($B10=0,1000000,IF(INDEX('計算A'!$D$60:$EQ$104,$B10,141)*IL10=1,IF(AND($E10=2,OA10=0),1000000,IF($I10&gt;0,IF(6=$J10,IF(OR(AND(141=$I10+1,OR($K10&lt;&gt;'計算A'!$A$3,'計算A'!$A$4=0)),AND(141=$I10-1,OR(21&lt;&gt;'計算A'!$A$3,'計算A'!$A$4=0))),0,IF(21=$K10,200000,ABS(21-$K10)*100)),100000+ABS(6-$J10)*1000+210)+'計算A'!EN$5*50+IF(AND($E10=1,OA10=0),25,0),INDEX('計算A'!EN$110:EN$114,$F10+1)+IF(AND($E10=1,OA10=0),1000,0)+IF($H10=1,(IF('計算A'!EM$117=1,INDEX('計算A'!EM$10:EM$54,$B10),0)+IF('計算A'!EN$117=1,INDEX('計算A'!EO$10:EO$54,$B10),0))*500,0)-IF(AND('計算A'!EM$117=1,ZK10&gt;0),300,0)-IF(AND($L10=1,'計算A'!EN$117=1,IM10=0),300,0))),1000000))</f>
        <v/>
      </c>
      <c r="TQ10">
        <f>IF($B10=0,1000000,IF(INDEX('計算A'!$D$60:$EQ$104,$B10,142)*IM10=1,IF(AND($E10=2,OB10=0),1000000,IF($I10&gt;0,IF(6=$J10,IF(OR(AND(142=$I10+1,OR($K10&lt;&gt;'計算A'!$A$3,'計算A'!$A$4=0)),AND(142=$I10-1,OR(22&lt;&gt;'計算A'!$A$3,'計算A'!$A$4=0))),0,IF(22=$K10,200000,ABS(22-$K10)*100)),100000+ABS(6-$J10)*1000+220)+'計算A'!EO$5*50+IF(AND($E10=1,OB10=0),25,0),INDEX('計算A'!EO$110:EO$114,$F10+1)+IF(AND($E10=1,OB10=0),1000,0)+IF($H10=1,(IF('計算A'!EN$117=1,INDEX('計算A'!EN$10:EN$54,$B10),0)+IF('計算A'!EO$117=1,INDEX('計算A'!EP$10:EP$54,$B10),0))*500,0)-IF(AND('計算A'!EN$117=1,ZL10&gt;0),300,0)-IF(AND($L10=1,'計算A'!EO$117=1,IN10=0),300,0))),1000000))</f>
        <v/>
      </c>
      <c r="TR10">
        <f>IF($B10=0,1000000,IF(INDEX('計算A'!$D$60:$EQ$104,$B10,143)*IN10=1,IF(AND($E10=2,OC10=0),1000000,IF($I10&gt;0,IF(6=$J10,IF(OR(AND(143=$I10+1,OR($K10&lt;&gt;'計算A'!$A$3,'計算A'!$A$4=0)),AND(143=$I10-1,OR(23&lt;&gt;'計算A'!$A$3,'計算A'!$A$4=0))),0,IF(23=$K10,200000,ABS(23-$K10)*100)),100000+ABS(6-$J10)*1000+230)+'計算A'!EP$5*50+IF(AND($E10=1,OC10=0),25,0),INDEX('計算A'!EP$110:EP$114,$F10+1)+IF(AND($E10=1,OC10=0),1000,0)+IF($H10=1,(IF('計算A'!EO$117=1,INDEX('計算A'!EO$10:EO$54,$B10),0)+IF('計算A'!EP$117=1,INDEX('計算A'!EQ$10:EQ$54,$B10),0))*500,0)-IF(AND('計算A'!EO$117=1,ZM10&gt;0),300,0)-IF(AND($L10=1,'計算A'!EP$117=1,IO10=0),300,0))),1000000))</f>
        <v/>
      </c>
      <c r="TS10">
        <f>IF($B10=0,1000000,IF(INDEX('計算A'!$D$60:$EQ$104,$B10,144)*IO10=1,IF(AND($E10=2,OD10=0),1000000,IF($I10&gt;0,IF(6=$J10,IF(OR(AND(144=$I10+1,OR($K10&lt;&gt;'計算A'!$A$3,'計算A'!$A$4=0)),AND(144=$I10-1,OR(24&lt;&gt;'計算A'!$A$3,'計算A'!$A$4=0))),0,IF(24=$K10,200000,ABS(24-$K10)*100)),100000+ABS(6-$J10)*1000+240)+'計算A'!EQ$5*50+IF(AND($E10=1,OD10=0),25,0),INDEX('計算A'!EQ$110:EQ$114,$F10+1)+IF(AND($E10=1,OD10=0),1000,0)+IF($H10=1,(IF('計算A'!EP$117=1,INDEX('計算A'!EP$10:EP$54,$B10),0))*500,0)-IF(AND('計算A'!EP$117=1,ZN10&gt;0),300,0))),1000000))</f>
        <v/>
      </c>
      <c r="UB10">
        <f>UB9+IF(AND($C9=1,$L9=1),1,0)</f>
        <v/>
      </c>
      <c r="UC10">
        <f>UC9+IF(AND($C9=2,$L9=1),1,0)</f>
        <v/>
      </c>
      <c r="UD10">
        <f>UD9+IF(AND($C9=3,$L9=1),1,0)</f>
        <v/>
      </c>
      <c r="UE10">
        <f>UE9+IF(AND($C9=4,$L9=1),1,0)</f>
        <v/>
      </c>
      <c r="UF10">
        <f>UF9+IF(AND($C9=5,$L9=1),1,0)</f>
        <v/>
      </c>
      <c r="UG10">
        <f>UG9+IF(AND($C9=6,$L9=1),1,0)</f>
        <v/>
      </c>
      <c r="UH10">
        <f>UH9+IF(AND($C9=7,$L9=1),1,0)</f>
        <v/>
      </c>
      <c r="UI10">
        <f>UI9+IF(AND($C9=8,$L9=1),1,0)</f>
        <v/>
      </c>
      <c r="UJ10">
        <f>UJ9+IF(AND($C9=9,$L9=1),1,0)</f>
        <v/>
      </c>
      <c r="UK10">
        <f>UK9+IF(AND($C9=10,$L9=1),1,0)</f>
        <v/>
      </c>
      <c r="UL10">
        <f>UL9+IF(AND($C9=11,$L9=1),1,0)</f>
        <v/>
      </c>
      <c r="UM10">
        <f>UM9+IF(AND($C9=12,$L9=1),1,0)</f>
        <v/>
      </c>
      <c r="UN10">
        <f>UN9+IF(AND($C9=13,$L9=1),1,0)</f>
        <v/>
      </c>
      <c r="UO10">
        <f>UO9+IF(AND($C9=14,$L9=1),1,0)</f>
        <v/>
      </c>
      <c r="UP10">
        <f>UP9+IF(AND($C9=15,$L9=1),1,0)</f>
        <v/>
      </c>
      <c r="UQ10">
        <f>UQ9+IF(AND($C9=16,$L9=1),1,0)</f>
        <v/>
      </c>
      <c r="UR10">
        <f>UR9+IF(AND($C9=17,$L9=1),1,0)</f>
        <v/>
      </c>
      <c r="US10">
        <f>US9+IF(AND($C9=18,$L9=1),1,0)</f>
        <v/>
      </c>
      <c r="UT10">
        <f>UT9+IF(AND($C9=19,$L9=1),1,0)</f>
        <v/>
      </c>
      <c r="UU10">
        <f>UU9+IF(AND($C9=20,$L9=1),1,0)</f>
        <v/>
      </c>
      <c r="UV10">
        <f>UV9+IF(AND($C9=21,$L9=1),1,0)</f>
        <v/>
      </c>
      <c r="UW10">
        <f>UW9+IF(AND($C9=22,$L9=1),1,0)</f>
        <v/>
      </c>
      <c r="UX10">
        <f>UX9+IF(AND($C9=23,$L9=1),1,0)</f>
        <v/>
      </c>
      <c r="UY10">
        <f>UY9+IF(AND($C9=24,$L9=1),1,0)</f>
        <v/>
      </c>
      <c r="UZ10">
        <f>UZ9+IF(AND($C9=25,$L9=1),1,0)</f>
        <v/>
      </c>
      <c r="VA10">
        <f>VA9+IF(AND($C9=26,$L9=1),1,0)</f>
        <v/>
      </c>
      <c r="VB10">
        <f>VB9+IF(AND($C9=27,$L9=1),1,0)</f>
        <v/>
      </c>
      <c r="VC10">
        <f>VC9+IF(AND($C9=28,$L9=1),1,0)</f>
        <v/>
      </c>
      <c r="VD10">
        <f>VD9+IF(AND($C9=29,$L9=1),1,0)</f>
        <v/>
      </c>
      <c r="VE10">
        <f>VE9+IF(AND($C9=30,$L9=1),1,0)</f>
        <v/>
      </c>
      <c r="VF10">
        <f>VF9+IF(AND($C9=31,$L9=1),1,0)</f>
        <v/>
      </c>
      <c r="VG10">
        <f>VG9+IF(AND($C9=32,$L9=1),1,0)</f>
        <v/>
      </c>
      <c r="VH10">
        <f>VH9+IF(AND($C9=33,$L9=1),1,0)</f>
        <v/>
      </c>
      <c r="VI10">
        <f>VI9+IF(AND($C9=34,$L9=1),1,0)</f>
        <v/>
      </c>
      <c r="VJ10">
        <f>VJ9+IF(AND($C9=35,$L9=1),1,0)</f>
        <v/>
      </c>
      <c r="VK10">
        <f>VK9+IF(AND($C9=36,$L9=1),1,0)</f>
        <v/>
      </c>
      <c r="VL10">
        <f>VL9+IF(AND($C9=37,$L9=1),1,0)</f>
        <v/>
      </c>
      <c r="VM10">
        <f>VM9+IF(AND($C9=38,$L9=1),1,0)</f>
        <v/>
      </c>
      <c r="VN10">
        <f>VN9+IF(AND($C9=39,$L9=1),1,0)</f>
        <v/>
      </c>
      <c r="VO10">
        <f>VO9+IF(AND($C9=40,$L9=1),1,0)</f>
        <v/>
      </c>
      <c r="VP10">
        <f>VP9+IF(AND($C9=41,$L9=1),1,0)</f>
        <v/>
      </c>
      <c r="VQ10">
        <f>VQ9+IF(AND($C9=42,$L9=1),1,0)</f>
        <v/>
      </c>
      <c r="VR10">
        <f>VR9+IF(AND($C9=43,$L9=1),1,0)</f>
        <v/>
      </c>
      <c r="VS10">
        <f>VS9+IF(AND($C9=44,$L9=1),1,0)</f>
        <v/>
      </c>
      <c r="VT10">
        <f>VT9+IF(AND($C9=45,$L9=1),1,0)</f>
        <v/>
      </c>
      <c r="VU10">
        <f>VU9+IF(AND($C9=46,$L9=1),1,0)</f>
        <v/>
      </c>
      <c r="VV10">
        <f>VV9+IF(AND($C9=47,$L9=1),1,0)</f>
        <v/>
      </c>
      <c r="VW10">
        <f>VW9+IF(AND($C9=48,$L9=1),1,0)</f>
        <v/>
      </c>
      <c r="VX10">
        <f>VX9+IF(AND($C9=49,$L9=1),1,0)</f>
        <v/>
      </c>
      <c r="VY10">
        <f>VY9+IF(AND($C9=50,$L9=1),1,0)</f>
        <v/>
      </c>
      <c r="VZ10">
        <f>VZ9+IF(AND($C9=51,$L9=1),1,0)</f>
        <v/>
      </c>
      <c r="WA10">
        <f>WA9+IF(AND($C9=52,$L9=1),1,0)</f>
        <v/>
      </c>
      <c r="WB10">
        <f>WB9+IF(AND($C9=53,$L9=1),1,0)</f>
        <v/>
      </c>
      <c r="WC10">
        <f>WC9+IF(AND($C9=54,$L9=1),1,0)</f>
        <v/>
      </c>
      <c r="WD10">
        <f>WD9+IF(AND($C9=55,$L9=1),1,0)</f>
        <v/>
      </c>
      <c r="WE10">
        <f>WE9+IF(AND($C9=56,$L9=1),1,0)</f>
        <v/>
      </c>
      <c r="WF10">
        <f>WF9+IF(AND($C9=57,$L9=1),1,0)</f>
        <v/>
      </c>
      <c r="WG10">
        <f>WG9+IF(AND($C9=58,$L9=1),1,0)</f>
        <v/>
      </c>
      <c r="WH10">
        <f>WH9+IF(AND($C9=59,$L9=1),1,0)</f>
        <v/>
      </c>
      <c r="WI10">
        <f>WI9+IF(AND($C9=60,$L9=1),1,0)</f>
        <v/>
      </c>
      <c r="WJ10">
        <f>WJ9+IF(AND($C9=61,$L9=1),1,0)</f>
        <v/>
      </c>
      <c r="WK10">
        <f>WK9+IF(AND($C9=62,$L9=1),1,0)</f>
        <v/>
      </c>
      <c r="WL10">
        <f>WL9+IF(AND($C9=63,$L9=1),1,0)</f>
        <v/>
      </c>
      <c r="WM10">
        <f>WM9+IF(AND($C9=64,$L9=1),1,0)</f>
        <v/>
      </c>
      <c r="WN10">
        <f>WN9+IF(AND($C9=65,$L9=1),1,0)</f>
        <v/>
      </c>
      <c r="WO10">
        <f>WO9+IF(AND($C9=66,$L9=1),1,0)</f>
        <v/>
      </c>
      <c r="WP10">
        <f>WP9+IF(AND($C9=67,$L9=1),1,0)</f>
        <v/>
      </c>
      <c r="WQ10">
        <f>WQ9+IF(AND($C9=68,$L9=1),1,0)</f>
        <v/>
      </c>
      <c r="WR10">
        <f>WR9+IF(AND($C9=69,$L9=1),1,0)</f>
        <v/>
      </c>
      <c r="WS10">
        <f>WS9+IF(AND($C9=70,$L9=1),1,0)</f>
        <v/>
      </c>
      <c r="WT10">
        <f>WT9+IF(AND($C9=71,$L9=1),1,0)</f>
        <v/>
      </c>
      <c r="WU10">
        <f>WU9+IF(AND($C9=72,$L9=1),1,0)</f>
        <v/>
      </c>
      <c r="WV10">
        <f>WV9+IF(AND($C9=73,$L9=1),1,0)</f>
        <v/>
      </c>
      <c r="WW10">
        <f>WW9+IF(AND($C9=74,$L9=1),1,0)</f>
        <v/>
      </c>
      <c r="WX10">
        <f>WX9+IF(AND($C9=75,$L9=1),1,0)</f>
        <v/>
      </c>
      <c r="WY10">
        <f>WY9+IF(AND($C9=76,$L9=1),1,0)</f>
        <v/>
      </c>
      <c r="WZ10">
        <f>WZ9+IF(AND($C9=77,$L9=1),1,0)</f>
        <v/>
      </c>
      <c r="XA10">
        <f>XA9+IF(AND($C9=78,$L9=1),1,0)</f>
        <v/>
      </c>
      <c r="XB10">
        <f>XB9+IF(AND($C9=79,$L9=1),1,0)</f>
        <v/>
      </c>
      <c r="XC10">
        <f>XC9+IF(AND($C9=80,$L9=1),1,0)</f>
        <v/>
      </c>
      <c r="XD10">
        <f>XD9+IF(AND($C9=81,$L9=1),1,0)</f>
        <v/>
      </c>
      <c r="XE10">
        <f>XE9+IF(AND($C9=82,$L9=1),1,0)</f>
        <v/>
      </c>
      <c r="XF10">
        <f>XF9+IF(AND($C9=83,$L9=1),1,0)</f>
        <v/>
      </c>
      <c r="XG10">
        <f>XG9+IF(AND($C9=84,$L9=1),1,0)</f>
        <v/>
      </c>
      <c r="XH10">
        <f>XH9+IF(AND($C9=85,$L9=1),1,0)</f>
        <v/>
      </c>
      <c r="XI10">
        <f>XI9+IF(AND($C9=86,$L9=1),1,0)</f>
        <v/>
      </c>
      <c r="XJ10">
        <f>XJ9+IF(AND($C9=87,$L9=1),1,0)</f>
        <v/>
      </c>
      <c r="XK10">
        <f>XK9+IF(AND($C9=88,$L9=1),1,0)</f>
        <v/>
      </c>
      <c r="XL10">
        <f>XL9+IF(AND($C9=89,$L9=1),1,0)</f>
        <v/>
      </c>
      <c r="XM10">
        <f>XM9+IF(AND($C9=90,$L9=1),1,0)</f>
        <v/>
      </c>
      <c r="XN10">
        <f>XN9+IF(AND($C9=91,$L9=1),1,0)</f>
        <v/>
      </c>
      <c r="XO10">
        <f>XO9+IF(AND($C9=92,$L9=1),1,0)</f>
        <v/>
      </c>
      <c r="XP10">
        <f>XP9+IF(AND($C9=93,$L9=1),1,0)</f>
        <v/>
      </c>
      <c r="XQ10">
        <f>XQ9+IF(AND($C9=94,$L9=1),1,0)</f>
        <v/>
      </c>
      <c r="XR10">
        <f>XR9+IF(AND($C9=95,$L9=1),1,0)</f>
        <v/>
      </c>
      <c r="XS10">
        <f>XS9+IF(AND($C9=96,$L9=1),1,0)</f>
        <v/>
      </c>
      <c r="XT10">
        <f>XT9+IF(AND($C9=97,$L9=1),1,0)</f>
        <v/>
      </c>
      <c r="XU10">
        <f>XU9+IF(AND($C9=98,$L9=1),1,0)</f>
        <v/>
      </c>
      <c r="XV10">
        <f>XV9+IF(AND($C9=99,$L9=1),1,0)</f>
        <v/>
      </c>
      <c r="XW10">
        <f>XW9+IF(AND($C9=100,$L9=1),1,0)</f>
        <v/>
      </c>
      <c r="XX10">
        <f>XX9+IF(AND($C9=101,$L9=1),1,0)</f>
        <v/>
      </c>
      <c r="XY10">
        <f>XY9+IF(AND($C9=102,$L9=1),1,0)</f>
        <v/>
      </c>
      <c r="XZ10">
        <f>XZ9+IF(AND($C9=103,$L9=1),1,0)</f>
        <v/>
      </c>
      <c r="YA10">
        <f>YA9+IF(AND($C9=104,$L9=1),1,0)</f>
        <v/>
      </c>
      <c r="YB10">
        <f>YB9+IF(AND($C9=105,$L9=1),1,0)</f>
        <v/>
      </c>
      <c r="YC10">
        <f>YC9+IF(AND($C9=106,$L9=1),1,0)</f>
        <v/>
      </c>
      <c r="YD10">
        <f>YD9+IF(AND($C9=107,$L9=1),1,0)</f>
        <v/>
      </c>
      <c r="YE10">
        <f>YE9+IF(AND($C9=108,$L9=1),1,0)</f>
        <v/>
      </c>
      <c r="YF10">
        <f>YF9+IF(AND($C9=109,$L9=1),1,0)</f>
        <v/>
      </c>
      <c r="YG10">
        <f>YG9+IF(AND($C9=110,$L9=1),1,0)</f>
        <v/>
      </c>
      <c r="YH10">
        <f>YH9+IF(AND($C9=111,$L9=1),1,0)</f>
        <v/>
      </c>
      <c r="YI10">
        <f>YI9+IF(AND($C9=112,$L9=1),1,0)</f>
        <v/>
      </c>
      <c r="YJ10">
        <f>YJ9+IF(AND($C9=113,$L9=1),1,0)</f>
        <v/>
      </c>
      <c r="YK10">
        <f>YK9+IF(AND($C9=114,$L9=1),1,0)</f>
        <v/>
      </c>
      <c r="YL10">
        <f>YL9+IF(AND($C9=115,$L9=1),1,0)</f>
        <v/>
      </c>
      <c r="YM10">
        <f>YM9+IF(AND($C9=116,$L9=1),1,0)</f>
        <v/>
      </c>
      <c r="YN10">
        <f>YN9+IF(AND($C9=117,$L9=1),1,0)</f>
        <v/>
      </c>
      <c r="YO10">
        <f>YO9+IF(AND($C9=118,$L9=1),1,0)</f>
        <v/>
      </c>
      <c r="YP10">
        <f>YP9+IF(AND($C9=119,$L9=1),1,0)</f>
        <v/>
      </c>
      <c r="YQ10">
        <f>YQ9+IF(AND($C9=120,$L9=1),1,0)</f>
        <v/>
      </c>
      <c r="YR10">
        <f>YR9+IF(AND($C9=121,$L9=1),1,0)</f>
        <v/>
      </c>
      <c r="YS10">
        <f>YS9+IF(AND($C9=122,$L9=1),1,0)</f>
        <v/>
      </c>
      <c r="YT10">
        <f>YT9+IF(AND($C9=123,$L9=1),1,0)</f>
        <v/>
      </c>
      <c r="YU10">
        <f>YU9+IF(AND($C9=124,$L9=1),1,0)</f>
        <v/>
      </c>
      <c r="YV10">
        <f>YV9+IF(AND($C9=125,$L9=1),1,0)</f>
        <v/>
      </c>
      <c r="YW10">
        <f>YW9+IF(AND($C9=126,$L9=1),1,0)</f>
        <v/>
      </c>
      <c r="YX10">
        <f>YX9+IF(AND($C9=127,$L9=1),1,0)</f>
        <v/>
      </c>
      <c r="YY10">
        <f>YY9+IF(AND($C9=128,$L9=1),1,0)</f>
        <v/>
      </c>
      <c r="YZ10">
        <f>YZ9+IF(AND($C9=129,$L9=1),1,0)</f>
        <v/>
      </c>
      <c r="ZA10">
        <f>ZA9+IF(AND($C9=130,$L9=1),1,0)</f>
        <v/>
      </c>
      <c r="ZB10">
        <f>ZB9+IF(AND($C9=131,$L9=1),1,0)</f>
        <v/>
      </c>
      <c r="ZC10">
        <f>ZC9+IF(AND($C9=132,$L9=1),1,0)</f>
        <v/>
      </c>
      <c r="ZD10">
        <f>ZD9+IF(AND($C9=133,$L9=1),1,0)</f>
        <v/>
      </c>
      <c r="ZE10">
        <f>ZE9+IF(AND($C9=134,$L9=1),1,0)</f>
        <v/>
      </c>
      <c r="ZF10">
        <f>ZF9+IF(AND($C9=135,$L9=1),1,0)</f>
        <v/>
      </c>
      <c r="ZG10">
        <f>ZG9+IF(AND($C9=136,$L9=1),1,0)</f>
        <v/>
      </c>
      <c r="ZH10">
        <f>ZH9+IF(AND($C9=137,$L9=1),1,0)</f>
        <v/>
      </c>
      <c r="ZI10">
        <f>ZI9+IF(AND($C9=138,$L9=1),1,0)</f>
        <v/>
      </c>
      <c r="ZJ10">
        <f>ZJ9+IF(AND($C9=139,$L9=1),1,0)</f>
        <v/>
      </c>
      <c r="ZK10">
        <f>ZK9+IF(AND($C9=140,$L9=1),1,0)</f>
        <v/>
      </c>
      <c r="ZL10">
        <f>ZL9+IF(AND($C9=141,$L9=1),1,0)</f>
        <v/>
      </c>
      <c r="ZM10">
        <f>ZM9+IF(AND($C9=142,$L9=1),1,0)</f>
        <v/>
      </c>
      <c r="ZN10">
        <f>ZN9+IF(AND($C9=143,$L9=1),1,0)</f>
        <v/>
      </c>
      <c r="ZO10">
        <f>ZO9+IF(AND($C9=144,$L9=1),1,0)</f>
        <v/>
      </c>
    </row>
    <row r="11">
      <c r="A11" t="n">
        <v>9</v>
      </c>
      <c r="B11">
        <f>IF(MIN(BH11:CZ11)&gt;=1000000,0,MATCH(MIN(BH11:CZ11),BH11:CZ11,0))</f>
        <v/>
      </c>
      <c r="C11">
        <f>IF(MIN(OF11:TS11)&gt;=1000000,0,MATCH(MIN(OF11:TS11),OF11:TS11,0))</f>
        <v/>
      </c>
      <c r="D11">
        <f>IF(C11&gt;0,INDEX('計算A'!$D$5:$EQ$5,C11),0)</f>
        <v/>
      </c>
      <c r="E11">
        <f>IF(B11=0,0,INDEX('計算A'!$IQ$10:$IQ$54,B11))</f>
        <v/>
      </c>
      <c r="F11">
        <f>IF(B11=0,0,INDEX('計算A'!$IP$10:$IP$54,B11))</f>
        <v/>
      </c>
      <c r="G11">
        <f>IF(AND(C11&gt;0,E11&gt;0),IF(AND(INDEX('計算A'!$D$106:$EQ$106,C11)=1,INDEX($IQ11:$OD11,C11)=1),C11+1,0),0)</f>
        <v/>
      </c>
      <c r="H11">
        <f>IF(B11=0,0,INDEX('計算A'!$IW$10:$IW$54,B11))</f>
        <v/>
      </c>
      <c r="I11">
        <f>IF(B11=0,0,MAX(0,INDEX('計算A'!$IT$10:$IT$54,B11)))</f>
        <v/>
      </c>
      <c r="J11">
        <f>IF(I11=0,0,INDEX('計算A'!$D$2:$EQ$2,I11))</f>
        <v/>
      </c>
      <c r="K11">
        <f>IF(I11=0,0,INDEX('計算A'!$D$3:$EQ$3,I11))</f>
        <v/>
      </c>
      <c r="L11">
        <f>IF(B11=0,0,INDEX('計算A'!$IX$10:$IX$54,B11))</f>
        <v/>
      </c>
      <c r="N11">
        <f>MAX(N10,IF($B10=1,1,0))</f>
        <v/>
      </c>
      <c r="O11">
        <f>MAX(O10,IF($B10=2,1,0))</f>
        <v/>
      </c>
      <c r="P11">
        <f>MAX(P10,IF($B10=3,1,0))</f>
        <v/>
      </c>
      <c r="Q11">
        <f>MAX(Q10,IF($B10=4,1,0))</f>
        <v/>
      </c>
      <c r="R11">
        <f>MAX(R10,IF($B10=5,1,0))</f>
        <v/>
      </c>
      <c r="S11">
        <f>MAX(S10,IF($B10=6,1,0))</f>
        <v/>
      </c>
      <c r="T11">
        <f>MAX(T10,IF($B10=7,1,0))</f>
        <v/>
      </c>
      <c r="U11">
        <f>MAX(U10,IF($B10=8,1,0))</f>
        <v/>
      </c>
      <c r="V11">
        <f>MAX(V10,IF($B10=9,1,0))</f>
        <v/>
      </c>
      <c r="W11">
        <f>MAX(W10,IF($B10=10,1,0))</f>
        <v/>
      </c>
      <c r="X11">
        <f>MAX(X10,IF($B10=11,1,0))</f>
        <v/>
      </c>
      <c r="Y11">
        <f>MAX(Y10,IF($B10=12,1,0))</f>
        <v/>
      </c>
      <c r="Z11">
        <f>MAX(Z10,IF($B10=13,1,0))</f>
        <v/>
      </c>
      <c r="AA11">
        <f>MAX(AA10,IF($B10=14,1,0))</f>
        <v/>
      </c>
      <c r="AB11">
        <f>MAX(AB10,IF($B10=15,1,0))</f>
        <v/>
      </c>
      <c r="AC11">
        <f>MAX(AC10,IF($B10=16,1,0))</f>
        <v/>
      </c>
      <c r="AD11">
        <f>MAX(AD10,IF($B10=17,1,0))</f>
        <v/>
      </c>
      <c r="AE11">
        <f>MAX(AE10,IF($B10=18,1,0))</f>
        <v/>
      </c>
      <c r="AF11">
        <f>MAX(AF10,IF($B10=19,1,0))</f>
        <v/>
      </c>
      <c r="AG11">
        <f>MAX(AG10,IF($B10=20,1,0))</f>
        <v/>
      </c>
      <c r="AH11">
        <f>MAX(AH10,IF($B10=21,1,0))</f>
        <v/>
      </c>
      <c r="AI11">
        <f>MAX(AI10,IF($B10=22,1,0))</f>
        <v/>
      </c>
      <c r="AJ11">
        <f>MAX(AJ10,IF($B10=23,1,0))</f>
        <v/>
      </c>
      <c r="AK11">
        <f>MAX(AK10,IF($B10=24,1,0))</f>
        <v/>
      </c>
      <c r="AL11">
        <f>MAX(AL10,IF($B10=25,1,0))</f>
        <v/>
      </c>
      <c r="AM11">
        <f>MAX(AM10,IF($B10=26,1,0))</f>
        <v/>
      </c>
      <c r="AN11">
        <f>MAX(AN10,IF($B10=27,1,0))</f>
        <v/>
      </c>
      <c r="AO11">
        <f>MAX(AO10,IF($B10=28,1,0))</f>
        <v/>
      </c>
      <c r="AP11">
        <f>MAX(AP10,IF($B10=29,1,0))</f>
        <v/>
      </c>
      <c r="AQ11">
        <f>MAX(AQ10,IF($B10=30,1,0))</f>
        <v/>
      </c>
      <c r="AR11">
        <f>MAX(AR10,IF($B10=31,1,0))</f>
        <v/>
      </c>
      <c r="AS11">
        <f>MAX(AS10,IF($B10=32,1,0))</f>
        <v/>
      </c>
      <c r="AT11">
        <f>MAX(AT10,IF($B10=33,1,0))</f>
        <v/>
      </c>
      <c r="AU11">
        <f>MAX(AU10,IF($B10=34,1,0))</f>
        <v/>
      </c>
      <c r="AV11">
        <f>MAX(AV10,IF($B10=35,1,0))</f>
        <v/>
      </c>
      <c r="AW11">
        <f>MAX(AW10,IF($B10=36,1,0))</f>
        <v/>
      </c>
      <c r="AX11">
        <f>MAX(AX10,IF($B10=37,1,0))</f>
        <v/>
      </c>
      <c r="AY11">
        <f>MAX(AY10,IF($B10=38,1,0))</f>
        <v/>
      </c>
      <c r="AZ11">
        <f>MAX(AZ10,IF($B10=39,1,0))</f>
        <v/>
      </c>
      <c r="BA11">
        <f>MAX(BA10,IF($B10=40,1,0))</f>
        <v/>
      </c>
      <c r="BB11">
        <f>MAX(BB10,IF($B10=41,1,0))</f>
        <v/>
      </c>
      <c r="BC11">
        <f>MAX(BC10,IF($B10=42,1,0))</f>
        <v/>
      </c>
      <c r="BD11">
        <f>MAX(BD10,IF($B10=43,1,0))</f>
        <v/>
      </c>
      <c r="BE11">
        <f>MAX(BE10,IF($B10=44,1,0))</f>
        <v/>
      </c>
      <c r="BF11">
        <f>MAX(BF10,IF($B10=45,1,0))</f>
        <v/>
      </c>
      <c r="BH11">
        <f>IF(N11=1,1000000,IF('計算A'!$IT$10&gt;0,0,500000)+IF('計算A'!$IQ$10=2,SUMPRODUCT('計算A'!$D$60:$EQ$60,$DB11:$IO11,$IQ11:$OD11),SUMPRODUCT('計算A'!$D$60:$EQ$60,$DB11:$IO11))*1000+1)</f>
        <v/>
      </c>
      <c r="BI11">
        <f>IF(O11=1,1000000,IF('計算A'!$IT$11&gt;0,0,500000)+IF('計算A'!$IQ$11=2,SUMPRODUCT('計算A'!$D$61:$EQ$61,$DB11:$IO11,$IQ11:$OD11),SUMPRODUCT('計算A'!$D$61:$EQ$61,$DB11:$IO11))*1000+2)</f>
        <v/>
      </c>
      <c r="BJ11">
        <f>IF(P11=1,1000000,IF('計算A'!$IT$12&gt;0,0,500000)+IF('計算A'!$IQ$12=2,SUMPRODUCT('計算A'!$D$62:$EQ$62,$DB11:$IO11,$IQ11:$OD11),SUMPRODUCT('計算A'!$D$62:$EQ$62,$DB11:$IO11))*1000+3)</f>
        <v/>
      </c>
      <c r="BK11">
        <f>IF(Q11=1,1000000,IF('計算A'!$IT$13&gt;0,0,500000)+IF('計算A'!$IQ$13=2,SUMPRODUCT('計算A'!$D$63:$EQ$63,$DB11:$IO11,$IQ11:$OD11),SUMPRODUCT('計算A'!$D$63:$EQ$63,$DB11:$IO11))*1000+4)</f>
        <v/>
      </c>
      <c r="BL11">
        <f>IF(R11=1,1000000,IF('計算A'!$IT$14&gt;0,0,500000)+IF('計算A'!$IQ$14=2,SUMPRODUCT('計算A'!$D$64:$EQ$64,$DB11:$IO11,$IQ11:$OD11),SUMPRODUCT('計算A'!$D$64:$EQ$64,$DB11:$IO11))*1000+5)</f>
        <v/>
      </c>
      <c r="BM11">
        <f>IF(S11=1,1000000,IF('計算A'!$IT$15&gt;0,0,500000)+IF('計算A'!$IQ$15=2,SUMPRODUCT('計算A'!$D$65:$EQ$65,$DB11:$IO11,$IQ11:$OD11),SUMPRODUCT('計算A'!$D$65:$EQ$65,$DB11:$IO11))*1000+6)</f>
        <v/>
      </c>
      <c r="BN11">
        <f>IF(T11=1,1000000,IF('計算A'!$IT$16&gt;0,0,500000)+IF('計算A'!$IQ$16=2,SUMPRODUCT('計算A'!$D$66:$EQ$66,$DB11:$IO11,$IQ11:$OD11),SUMPRODUCT('計算A'!$D$66:$EQ$66,$DB11:$IO11))*1000+7)</f>
        <v/>
      </c>
      <c r="BO11">
        <f>IF(U11=1,1000000,IF('計算A'!$IT$17&gt;0,0,500000)+IF('計算A'!$IQ$17=2,SUMPRODUCT('計算A'!$D$67:$EQ$67,$DB11:$IO11,$IQ11:$OD11),SUMPRODUCT('計算A'!$D$67:$EQ$67,$DB11:$IO11))*1000+8)</f>
        <v/>
      </c>
      <c r="BP11">
        <f>IF(V11=1,1000000,IF('計算A'!$IT$18&gt;0,0,500000)+IF('計算A'!$IQ$18=2,SUMPRODUCT('計算A'!$D$68:$EQ$68,$DB11:$IO11,$IQ11:$OD11),SUMPRODUCT('計算A'!$D$68:$EQ$68,$DB11:$IO11))*1000+9)</f>
        <v/>
      </c>
      <c r="BQ11">
        <f>IF(W11=1,1000000,IF('計算A'!$IT$19&gt;0,0,500000)+IF('計算A'!$IQ$19=2,SUMPRODUCT('計算A'!$D$69:$EQ$69,$DB11:$IO11,$IQ11:$OD11),SUMPRODUCT('計算A'!$D$69:$EQ$69,$DB11:$IO11))*1000+10)</f>
        <v/>
      </c>
      <c r="BR11">
        <f>IF(X11=1,1000000,IF('計算A'!$IT$20&gt;0,0,500000)+IF('計算A'!$IQ$20=2,SUMPRODUCT('計算A'!$D$70:$EQ$70,$DB11:$IO11,$IQ11:$OD11),SUMPRODUCT('計算A'!$D$70:$EQ$70,$DB11:$IO11))*1000+11)</f>
        <v/>
      </c>
      <c r="BS11">
        <f>IF(Y11=1,1000000,IF('計算A'!$IT$21&gt;0,0,500000)+IF('計算A'!$IQ$21=2,SUMPRODUCT('計算A'!$D$71:$EQ$71,$DB11:$IO11,$IQ11:$OD11),SUMPRODUCT('計算A'!$D$71:$EQ$71,$DB11:$IO11))*1000+12)</f>
        <v/>
      </c>
      <c r="BT11">
        <f>IF(Z11=1,1000000,IF('計算A'!$IT$22&gt;0,0,500000)+IF('計算A'!$IQ$22=2,SUMPRODUCT('計算A'!$D$72:$EQ$72,$DB11:$IO11,$IQ11:$OD11),SUMPRODUCT('計算A'!$D$72:$EQ$72,$DB11:$IO11))*1000+13)</f>
        <v/>
      </c>
      <c r="BU11">
        <f>IF(AA11=1,1000000,IF('計算A'!$IT$23&gt;0,0,500000)+IF('計算A'!$IQ$23=2,SUMPRODUCT('計算A'!$D$73:$EQ$73,$DB11:$IO11,$IQ11:$OD11),SUMPRODUCT('計算A'!$D$73:$EQ$73,$DB11:$IO11))*1000+14)</f>
        <v/>
      </c>
      <c r="BV11">
        <f>IF(AB11=1,1000000,IF('計算A'!$IT$24&gt;0,0,500000)+IF('計算A'!$IQ$24=2,SUMPRODUCT('計算A'!$D$74:$EQ$74,$DB11:$IO11,$IQ11:$OD11),SUMPRODUCT('計算A'!$D$74:$EQ$74,$DB11:$IO11))*1000+15)</f>
        <v/>
      </c>
      <c r="BW11">
        <f>IF(AC11=1,1000000,IF('計算A'!$IT$25&gt;0,0,500000)+IF('計算A'!$IQ$25=2,SUMPRODUCT('計算A'!$D$75:$EQ$75,$DB11:$IO11,$IQ11:$OD11),SUMPRODUCT('計算A'!$D$75:$EQ$75,$DB11:$IO11))*1000+16)</f>
        <v/>
      </c>
      <c r="BX11">
        <f>IF(AD11=1,1000000,IF('計算A'!$IT$26&gt;0,0,500000)+IF('計算A'!$IQ$26=2,SUMPRODUCT('計算A'!$D$76:$EQ$76,$DB11:$IO11,$IQ11:$OD11),SUMPRODUCT('計算A'!$D$76:$EQ$76,$DB11:$IO11))*1000+17)</f>
        <v/>
      </c>
      <c r="BY11">
        <f>IF(AE11=1,1000000,IF('計算A'!$IT$27&gt;0,0,500000)+IF('計算A'!$IQ$27=2,SUMPRODUCT('計算A'!$D$77:$EQ$77,$DB11:$IO11,$IQ11:$OD11),SUMPRODUCT('計算A'!$D$77:$EQ$77,$DB11:$IO11))*1000+18)</f>
        <v/>
      </c>
      <c r="BZ11">
        <f>IF(AF11=1,1000000,IF('計算A'!$IT$28&gt;0,0,500000)+IF('計算A'!$IQ$28=2,SUMPRODUCT('計算A'!$D$78:$EQ$78,$DB11:$IO11,$IQ11:$OD11),SUMPRODUCT('計算A'!$D$78:$EQ$78,$DB11:$IO11))*1000+19)</f>
        <v/>
      </c>
      <c r="CA11">
        <f>IF(AG11=1,1000000,IF('計算A'!$IT$29&gt;0,0,500000)+IF('計算A'!$IQ$29=2,SUMPRODUCT('計算A'!$D$79:$EQ$79,$DB11:$IO11,$IQ11:$OD11),SUMPRODUCT('計算A'!$D$79:$EQ$79,$DB11:$IO11))*1000+20)</f>
        <v/>
      </c>
      <c r="CB11">
        <f>IF(AH11=1,1000000,IF('計算A'!$IT$30&gt;0,0,500000)+IF('計算A'!$IQ$30=2,SUMPRODUCT('計算A'!$D$80:$EQ$80,$DB11:$IO11,$IQ11:$OD11),SUMPRODUCT('計算A'!$D$80:$EQ$80,$DB11:$IO11))*1000+21)</f>
        <v/>
      </c>
      <c r="CC11">
        <f>IF(AI11=1,1000000,IF('計算A'!$IT$31&gt;0,0,500000)+IF('計算A'!$IQ$31=2,SUMPRODUCT('計算A'!$D$81:$EQ$81,$DB11:$IO11,$IQ11:$OD11),SUMPRODUCT('計算A'!$D$81:$EQ$81,$DB11:$IO11))*1000+22)</f>
        <v/>
      </c>
      <c r="CD11">
        <f>IF(AJ11=1,1000000,IF('計算A'!$IT$32&gt;0,0,500000)+IF('計算A'!$IQ$32=2,SUMPRODUCT('計算A'!$D$82:$EQ$82,$DB11:$IO11,$IQ11:$OD11),SUMPRODUCT('計算A'!$D$82:$EQ$82,$DB11:$IO11))*1000+23)</f>
        <v/>
      </c>
      <c r="CE11">
        <f>IF(AK11=1,1000000,IF('計算A'!$IT$33&gt;0,0,500000)+IF('計算A'!$IQ$33=2,SUMPRODUCT('計算A'!$D$83:$EQ$83,$DB11:$IO11,$IQ11:$OD11),SUMPRODUCT('計算A'!$D$83:$EQ$83,$DB11:$IO11))*1000+24)</f>
        <v/>
      </c>
      <c r="CF11">
        <f>IF(AL11=1,1000000,IF('計算A'!$IT$34&gt;0,0,500000)+IF('計算A'!$IQ$34=2,SUMPRODUCT('計算A'!$D$84:$EQ$84,$DB11:$IO11,$IQ11:$OD11),SUMPRODUCT('計算A'!$D$84:$EQ$84,$DB11:$IO11))*1000+25)</f>
        <v/>
      </c>
      <c r="CG11">
        <f>IF(AM11=1,1000000,IF('計算A'!$IT$35&gt;0,0,500000)+IF('計算A'!$IQ$35=2,SUMPRODUCT('計算A'!$D$85:$EQ$85,$DB11:$IO11,$IQ11:$OD11),SUMPRODUCT('計算A'!$D$85:$EQ$85,$DB11:$IO11))*1000+26)</f>
        <v/>
      </c>
      <c r="CH11">
        <f>IF(AN11=1,1000000,IF('計算A'!$IT$36&gt;0,0,500000)+IF('計算A'!$IQ$36=2,SUMPRODUCT('計算A'!$D$86:$EQ$86,$DB11:$IO11,$IQ11:$OD11),SUMPRODUCT('計算A'!$D$86:$EQ$86,$DB11:$IO11))*1000+27)</f>
        <v/>
      </c>
      <c r="CI11">
        <f>IF(AO11=1,1000000,IF('計算A'!$IT$37&gt;0,0,500000)+IF('計算A'!$IQ$37=2,SUMPRODUCT('計算A'!$D$87:$EQ$87,$DB11:$IO11,$IQ11:$OD11),SUMPRODUCT('計算A'!$D$87:$EQ$87,$DB11:$IO11))*1000+28)</f>
        <v/>
      </c>
      <c r="CJ11">
        <f>IF(AP11=1,1000000,IF('計算A'!$IT$38&gt;0,0,500000)+IF('計算A'!$IQ$38=2,SUMPRODUCT('計算A'!$D$88:$EQ$88,$DB11:$IO11,$IQ11:$OD11),SUMPRODUCT('計算A'!$D$88:$EQ$88,$DB11:$IO11))*1000+29)</f>
        <v/>
      </c>
      <c r="CK11">
        <f>IF(AQ11=1,1000000,IF('計算A'!$IT$39&gt;0,0,500000)+IF('計算A'!$IQ$39=2,SUMPRODUCT('計算A'!$D$89:$EQ$89,$DB11:$IO11,$IQ11:$OD11),SUMPRODUCT('計算A'!$D$89:$EQ$89,$DB11:$IO11))*1000+30)</f>
        <v/>
      </c>
      <c r="CL11">
        <f>IF(AR11=1,1000000,IF('計算A'!$IT$40&gt;0,0,500000)+IF('計算A'!$IQ$40=2,SUMPRODUCT('計算A'!$D$90:$EQ$90,$DB11:$IO11,$IQ11:$OD11),SUMPRODUCT('計算A'!$D$90:$EQ$90,$DB11:$IO11))*1000+31)</f>
        <v/>
      </c>
      <c r="CM11">
        <f>IF(AS11=1,1000000,IF('計算A'!$IT$41&gt;0,0,500000)+IF('計算A'!$IQ$41=2,SUMPRODUCT('計算A'!$D$91:$EQ$91,$DB11:$IO11,$IQ11:$OD11),SUMPRODUCT('計算A'!$D$91:$EQ$91,$DB11:$IO11))*1000+32)</f>
        <v/>
      </c>
      <c r="CN11">
        <f>IF(AT11=1,1000000,IF('計算A'!$IT$42&gt;0,0,500000)+IF('計算A'!$IQ$42=2,SUMPRODUCT('計算A'!$D$92:$EQ$92,$DB11:$IO11,$IQ11:$OD11),SUMPRODUCT('計算A'!$D$92:$EQ$92,$DB11:$IO11))*1000+33)</f>
        <v/>
      </c>
      <c r="CO11">
        <f>IF(AU11=1,1000000,IF('計算A'!$IT$43&gt;0,0,500000)+IF('計算A'!$IQ$43=2,SUMPRODUCT('計算A'!$D$93:$EQ$93,$DB11:$IO11,$IQ11:$OD11),SUMPRODUCT('計算A'!$D$93:$EQ$93,$DB11:$IO11))*1000+34)</f>
        <v/>
      </c>
      <c r="CP11">
        <f>IF(AV11=1,1000000,IF('計算A'!$IT$44&gt;0,0,500000)+IF('計算A'!$IQ$44=2,SUMPRODUCT('計算A'!$D$94:$EQ$94,$DB11:$IO11,$IQ11:$OD11),SUMPRODUCT('計算A'!$D$94:$EQ$94,$DB11:$IO11))*1000+35)</f>
        <v/>
      </c>
      <c r="CQ11">
        <f>IF(AW11=1,1000000,IF('計算A'!$IT$45&gt;0,0,500000)+IF('計算A'!$IQ$45=2,SUMPRODUCT('計算A'!$D$95:$EQ$95,$DB11:$IO11,$IQ11:$OD11),SUMPRODUCT('計算A'!$D$95:$EQ$95,$DB11:$IO11))*1000+36)</f>
        <v/>
      </c>
      <c r="CR11">
        <f>IF(AX11=1,1000000,IF('計算A'!$IT$46&gt;0,0,500000)+IF('計算A'!$IQ$46=2,SUMPRODUCT('計算A'!$D$96:$EQ$96,$DB11:$IO11,$IQ11:$OD11),SUMPRODUCT('計算A'!$D$96:$EQ$96,$DB11:$IO11))*1000+37)</f>
        <v/>
      </c>
      <c r="CS11">
        <f>IF(AY11=1,1000000,IF('計算A'!$IT$47&gt;0,0,500000)+IF('計算A'!$IQ$47=2,SUMPRODUCT('計算A'!$D$97:$EQ$97,$DB11:$IO11,$IQ11:$OD11),SUMPRODUCT('計算A'!$D$97:$EQ$97,$DB11:$IO11))*1000+38)</f>
        <v/>
      </c>
      <c r="CT11">
        <f>IF(AZ11=1,1000000,IF('計算A'!$IT$48&gt;0,0,500000)+IF('計算A'!$IQ$48=2,SUMPRODUCT('計算A'!$D$98:$EQ$98,$DB11:$IO11,$IQ11:$OD11),SUMPRODUCT('計算A'!$D$98:$EQ$98,$DB11:$IO11))*1000+39)</f>
        <v/>
      </c>
      <c r="CU11">
        <f>IF(BA11=1,1000000,IF('計算A'!$IT$49&gt;0,0,500000)+IF('計算A'!$IQ$49=2,SUMPRODUCT('計算A'!$D$99:$EQ$99,$DB11:$IO11,$IQ11:$OD11),SUMPRODUCT('計算A'!$D$99:$EQ$99,$DB11:$IO11))*1000+40)</f>
        <v/>
      </c>
      <c r="CV11">
        <f>IF(BB11=1,1000000,IF('計算A'!$IT$50&gt;0,0,500000)+IF('計算A'!$IQ$50=2,SUMPRODUCT('計算A'!$D$100:$EQ$100,$DB11:$IO11,$IQ11:$OD11),SUMPRODUCT('計算A'!$D$100:$EQ$100,$DB11:$IO11))*1000+41)</f>
        <v/>
      </c>
      <c r="CW11">
        <f>IF(BC11=1,1000000,IF('計算A'!$IT$51&gt;0,0,500000)+IF('計算A'!$IQ$51=2,SUMPRODUCT('計算A'!$D$101:$EQ$101,$DB11:$IO11,$IQ11:$OD11),SUMPRODUCT('計算A'!$D$101:$EQ$101,$DB11:$IO11))*1000+42)</f>
        <v/>
      </c>
      <c r="CX11">
        <f>IF(BD11=1,1000000,IF('計算A'!$IT$52&gt;0,0,500000)+IF('計算A'!$IQ$52=2,SUMPRODUCT('計算A'!$D$102:$EQ$102,$DB11:$IO11,$IQ11:$OD11),SUMPRODUCT('計算A'!$D$102:$EQ$102,$DB11:$IO11))*1000+43)</f>
        <v/>
      </c>
      <c r="CY11">
        <f>IF(BE11=1,1000000,IF('計算A'!$IT$53&gt;0,0,500000)+IF('計算A'!$IQ$53=2,SUMPRODUCT('計算A'!$D$103:$EQ$103,$DB11:$IO11,$IQ11:$OD11),SUMPRODUCT('計算A'!$D$103:$EQ$103,$DB11:$IO11))*1000+44)</f>
        <v/>
      </c>
      <c r="CZ11">
        <f>IF(BF11=1,1000000,IF('計算A'!$IT$54&gt;0,0,500000)+IF('計算A'!$IQ$54=2,SUMPRODUCT('計算A'!$D$104:$EQ$104,$DB11:$IO11,$IQ11:$OD11),SUMPRODUCT('計算A'!$D$104:$EQ$104,$DB11:$IO11))*1000+45)</f>
        <v/>
      </c>
      <c r="DB11">
        <f>DB10*IF(OR($C10=1,$G10=1),0,1)</f>
        <v/>
      </c>
      <c r="DC11">
        <f>DC10*IF(OR($C10=2,$G10=2),0,1)</f>
        <v/>
      </c>
      <c r="DD11">
        <f>DD10*IF(OR($C10=3,$G10=3),0,1)</f>
        <v/>
      </c>
      <c r="DE11">
        <f>DE10*IF(OR($C10=4,$G10=4),0,1)</f>
        <v/>
      </c>
      <c r="DF11">
        <f>DF10*IF(OR($C10=5,$G10=5),0,1)</f>
        <v/>
      </c>
      <c r="DG11">
        <f>DG10*IF(OR($C10=6,$G10=6),0,1)</f>
        <v/>
      </c>
      <c r="DH11">
        <f>DH10*IF(OR($C10=7,$G10=7),0,1)</f>
        <v/>
      </c>
      <c r="DI11">
        <f>DI10*IF(OR($C10=8,$G10=8),0,1)</f>
        <v/>
      </c>
      <c r="DJ11">
        <f>DJ10*IF(OR($C10=9,$G10=9),0,1)</f>
        <v/>
      </c>
      <c r="DK11">
        <f>DK10*IF(OR($C10=10,$G10=10),0,1)</f>
        <v/>
      </c>
      <c r="DL11">
        <f>DL10*IF(OR($C10=11,$G10=11),0,1)</f>
        <v/>
      </c>
      <c r="DM11">
        <f>DM10*IF(OR($C10=12,$G10=12),0,1)</f>
        <v/>
      </c>
      <c r="DN11">
        <f>DN10*IF(OR($C10=13,$G10=13),0,1)</f>
        <v/>
      </c>
      <c r="DO11">
        <f>DO10*IF(OR($C10=14,$G10=14),0,1)</f>
        <v/>
      </c>
      <c r="DP11">
        <f>DP10*IF(OR($C10=15,$G10=15),0,1)</f>
        <v/>
      </c>
      <c r="DQ11">
        <f>DQ10*IF(OR($C10=16,$G10=16),0,1)</f>
        <v/>
      </c>
      <c r="DR11">
        <f>DR10*IF(OR($C10=17,$G10=17),0,1)</f>
        <v/>
      </c>
      <c r="DS11">
        <f>DS10*IF(OR($C10=18,$G10=18),0,1)</f>
        <v/>
      </c>
      <c r="DT11">
        <f>DT10*IF(OR($C10=19,$G10=19),0,1)</f>
        <v/>
      </c>
      <c r="DU11">
        <f>DU10*IF(OR($C10=20,$G10=20),0,1)</f>
        <v/>
      </c>
      <c r="DV11">
        <f>DV10*IF(OR($C10=21,$G10=21),0,1)</f>
        <v/>
      </c>
      <c r="DW11">
        <f>DW10*IF(OR($C10=22,$G10=22),0,1)</f>
        <v/>
      </c>
      <c r="DX11">
        <f>DX10*IF(OR($C10=23,$G10=23),0,1)</f>
        <v/>
      </c>
      <c r="DY11">
        <f>DY10*IF(OR($C10=24,$G10=24),0,1)</f>
        <v/>
      </c>
      <c r="DZ11">
        <f>DZ10*IF(OR($C10=25,$G10=25),0,1)</f>
        <v/>
      </c>
      <c r="EA11">
        <f>EA10*IF(OR($C10=26,$G10=26),0,1)</f>
        <v/>
      </c>
      <c r="EB11">
        <f>EB10*IF(OR($C10=27,$G10=27),0,1)</f>
        <v/>
      </c>
      <c r="EC11">
        <f>EC10*IF(OR($C10=28,$G10=28),0,1)</f>
        <v/>
      </c>
      <c r="ED11">
        <f>ED10*IF(OR($C10=29,$G10=29),0,1)</f>
        <v/>
      </c>
      <c r="EE11">
        <f>EE10*IF(OR($C10=30,$G10=30),0,1)</f>
        <v/>
      </c>
      <c r="EF11">
        <f>EF10*IF(OR($C10=31,$G10=31),0,1)</f>
        <v/>
      </c>
      <c r="EG11">
        <f>EG10*IF(OR($C10=32,$G10=32),0,1)</f>
        <v/>
      </c>
      <c r="EH11">
        <f>EH10*IF(OR($C10=33,$G10=33),0,1)</f>
        <v/>
      </c>
      <c r="EI11">
        <f>EI10*IF(OR($C10=34,$G10=34),0,1)</f>
        <v/>
      </c>
      <c r="EJ11">
        <f>EJ10*IF(OR($C10=35,$G10=35),0,1)</f>
        <v/>
      </c>
      <c r="EK11">
        <f>EK10*IF(OR($C10=36,$G10=36),0,1)</f>
        <v/>
      </c>
      <c r="EL11">
        <f>EL10*IF(OR($C10=37,$G10=37),0,1)</f>
        <v/>
      </c>
      <c r="EM11">
        <f>EM10*IF(OR($C10=38,$G10=38),0,1)</f>
        <v/>
      </c>
      <c r="EN11">
        <f>EN10*IF(OR($C10=39,$G10=39),0,1)</f>
        <v/>
      </c>
      <c r="EO11">
        <f>EO10*IF(OR($C10=40,$G10=40),0,1)</f>
        <v/>
      </c>
      <c r="EP11">
        <f>EP10*IF(OR($C10=41,$G10=41),0,1)</f>
        <v/>
      </c>
      <c r="EQ11">
        <f>EQ10*IF(OR($C10=42,$G10=42),0,1)</f>
        <v/>
      </c>
      <c r="ER11">
        <f>ER10*IF(OR($C10=43,$G10=43),0,1)</f>
        <v/>
      </c>
      <c r="ES11">
        <f>ES10*IF(OR($C10=44,$G10=44),0,1)</f>
        <v/>
      </c>
      <c r="ET11">
        <f>ET10*IF(OR($C10=45,$G10=45),0,1)</f>
        <v/>
      </c>
      <c r="EU11">
        <f>EU10*IF(OR($C10=46,$G10=46),0,1)</f>
        <v/>
      </c>
      <c r="EV11">
        <f>EV10*IF(OR($C10=47,$G10=47),0,1)</f>
        <v/>
      </c>
      <c r="EW11">
        <f>EW10*IF(OR($C10=48,$G10=48),0,1)</f>
        <v/>
      </c>
      <c r="EX11">
        <f>EX10*IF(OR($C10=49,$G10=49),0,1)</f>
        <v/>
      </c>
      <c r="EY11">
        <f>EY10*IF(OR($C10=50,$G10=50),0,1)</f>
        <v/>
      </c>
      <c r="EZ11">
        <f>EZ10*IF(OR($C10=51,$G10=51),0,1)</f>
        <v/>
      </c>
      <c r="FA11">
        <f>FA10*IF(OR($C10=52,$G10=52),0,1)</f>
        <v/>
      </c>
      <c r="FB11">
        <f>FB10*IF(OR($C10=53,$G10=53),0,1)</f>
        <v/>
      </c>
      <c r="FC11">
        <f>FC10*IF(OR($C10=54,$G10=54),0,1)</f>
        <v/>
      </c>
      <c r="FD11">
        <f>FD10*IF(OR($C10=55,$G10=55),0,1)</f>
        <v/>
      </c>
      <c r="FE11">
        <f>FE10*IF(OR($C10=56,$G10=56),0,1)</f>
        <v/>
      </c>
      <c r="FF11">
        <f>FF10*IF(OR($C10=57,$G10=57),0,1)</f>
        <v/>
      </c>
      <c r="FG11">
        <f>FG10*IF(OR($C10=58,$G10=58),0,1)</f>
        <v/>
      </c>
      <c r="FH11">
        <f>FH10*IF(OR($C10=59,$G10=59),0,1)</f>
        <v/>
      </c>
      <c r="FI11">
        <f>FI10*IF(OR($C10=60,$G10=60),0,1)</f>
        <v/>
      </c>
      <c r="FJ11">
        <f>FJ10*IF(OR($C10=61,$G10=61),0,1)</f>
        <v/>
      </c>
      <c r="FK11">
        <f>FK10*IF(OR($C10=62,$G10=62),0,1)</f>
        <v/>
      </c>
      <c r="FL11">
        <f>FL10*IF(OR($C10=63,$G10=63),0,1)</f>
        <v/>
      </c>
      <c r="FM11">
        <f>FM10*IF(OR($C10=64,$G10=64),0,1)</f>
        <v/>
      </c>
      <c r="FN11">
        <f>FN10*IF(OR($C10=65,$G10=65),0,1)</f>
        <v/>
      </c>
      <c r="FO11">
        <f>FO10*IF(OR($C10=66,$G10=66),0,1)</f>
        <v/>
      </c>
      <c r="FP11">
        <f>FP10*IF(OR($C10=67,$G10=67),0,1)</f>
        <v/>
      </c>
      <c r="FQ11">
        <f>FQ10*IF(OR($C10=68,$G10=68),0,1)</f>
        <v/>
      </c>
      <c r="FR11">
        <f>FR10*IF(OR($C10=69,$G10=69),0,1)</f>
        <v/>
      </c>
      <c r="FS11">
        <f>FS10*IF(OR($C10=70,$G10=70),0,1)</f>
        <v/>
      </c>
      <c r="FT11">
        <f>FT10*IF(OR($C10=71,$G10=71),0,1)</f>
        <v/>
      </c>
      <c r="FU11">
        <f>FU10*IF(OR($C10=72,$G10=72),0,1)</f>
        <v/>
      </c>
      <c r="FV11">
        <f>FV10*IF(OR($C10=73,$G10=73),0,1)</f>
        <v/>
      </c>
      <c r="FW11">
        <f>FW10*IF(OR($C10=74,$G10=74),0,1)</f>
        <v/>
      </c>
      <c r="FX11">
        <f>FX10*IF(OR($C10=75,$G10=75),0,1)</f>
        <v/>
      </c>
      <c r="FY11">
        <f>FY10*IF(OR($C10=76,$G10=76),0,1)</f>
        <v/>
      </c>
      <c r="FZ11">
        <f>FZ10*IF(OR($C10=77,$G10=77),0,1)</f>
        <v/>
      </c>
      <c r="GA11">
        <f>GA10*IF(OR($C10=78,$G10=78),0,1)</f>
        <v/>
      </c>
      <c r="GB11">
        <f>GB10*IF(OR($C10=79,$G10=79),0,1)</f>
        <v/>
      </c>
      <c r="GC11">
        <f>GC10*IF(OR($C10=80,$G10=80),0,1)</f>
        <v/>
      </c>
      <c r="GD11">
        <f>GD10*IF(OR($C10=81,$G10=81),0,1)</f>
        <v/>
      </c>
      <c r="GE11">
        <f>GE10*IF(OR($C10=82,$G10=82),0,1)</f>
        <v/>
      </c>
      <c r="GF11">
        <f>GF10*IF(OR($C10=83,$G10=83),0,1)</f>
        <v/>
      </c>
      <c r="GG11">
        <f>GG10*IF(OR($C10=84,$G10=84),0,1)</f>
        <v/>
      </c>
      <c r="GH11">
        <f>GH10*IF(OR($C10=85,$G10=85),0,1)</f>
        <v/>
      </c>
      <c r="GI11">
        <f>GI10*IF(OR($C10=86,$G10=86),0,1)</f>
        <v/>
      </c>
      <c r="GJ11">
        <f>GJ10*IF(OR($C10=87,$G10=87),0,1)</f>
        <v/>
      </c>
      <c r="GK11">
        <f>GK10*IF(OR($C10=88,$G10=88),0,1)</f>
        <v/>
      </c>
      <c r="GL11">
        <f>GL10*IF(OR($C10=89,$G10=89),0,1)</f>
        <v/>
      </c>
      <c r="GM11">
        <f>GM10*IF(OR($C10=90,$G10=90),0,1)</f>
        <v/>
      </c>
      <c r="GN11">
        <f>GN10*IF(OR($C10=91,$G10=91),0,1)</f>
        <v/>
      </c>
      <c r="GO11">
        <f>GO10*IF(OR($C10=92,$G10=92),0,1)</f>
        <v/>
      </c>
      <c r="GP11">
        <f>GP10*IF(OR($C10=93,$G10=93),0,1)</f>
        <v/>
      </c>
      <c r="GQ11">
        <f>GQ10*IF(OR($C10=94,$G10=94),0,1)</f>
        <v/>
      </c>
      <c r="GR11">
        <f>GR10*IF(OR($C10=95,$G10=95),0,1)</f>
        <v/>
      </c>
      <c r="GS11">
        <f>GS10*IF(OR($C10=96,$G10=96),0,1)</f>
        <v/>
      </c>
      <c r="GT11">
        <f>GT10*IF(OR($C10=97,$G10=97),0,1)</f>
        <v/>
      </c>
      <c r="GU11">
        <f>GU10*IF(OR($C10=98,$G10=98),0,1)</f>
        <v/>
      </c>
      <c r="GV11">
        <f>GV10*IF(OR($C10=99,$G10=99),0,1)</f>
        <v/>
      </c>
      <c r="GW11">
        <f>GW10*IF(OR($C10=100,$G10=100),0,1)</f>
        <v/>
      </c>
      <c r="GX11">
        <f>GX10*IF(OR($C10=101,$G10=101),0,1)</f>
        <v/>
      </c>
      <c r="GY11">
        <f>GY10*IF(OR($C10=102,$G10=102),0,1)</f>
        <v/>
      </c>
      <c r="GZ11">
        <f>GZ10*IF(OR($C10=103,$G10=103),0,1)</f>
        <v/>
      </c>
      <c r="HA11">
        <f>HA10*IF(OR($C10=104,$G10=104),0,1)</f>
        <v/>
      </c>
      <c r="HB11">
        <f>HB10*IF(OR($C10=105,$G10=105),0,1)</f>
        <v/>
      </c>
      <c r="HC11">
        <f>HC10*IF(OR($C10=106,$G10=106),0,1)</f>
        <v/>
      </c>
      <c r="HD11">
        <f>HD10*IF(OR($C10=107,$G10=107),0,1)</f>
        <v/>
      </c>
      <c r="HE11">
        <f>HE10*IF(OR($C10=108,$G10=108),0,1)</f>
        <v/>
      </c>
      <c r="HF11">
        <f>HF10*IF(OR($C10=109,$G10=109),0,1)</f>
        <v/>
      </c>
      <c r="HG11">
        <f>HG10*IF(OR($C10=110,$G10=110),0,1)</f>
        <v/>
      </c>
      <c r="HH11">
        <f>HH10*IF(OR($C10=111,$G10=111),0,1)</f>
        <v/>
      </c>
      <c r="HI11">
        <f>HI10*IF(OR($C10=112,$G10=112),0,1)</f>
        <v/>
      </c>
      <c r="HJ11">
        <f>HJ10*IF(OR($C10=113,$G10=113),0,1)</f>
        <v/>
      </c>
      <c r="HK11">
        <f>HK10*IF(OR($C10=114,$G10=114),0,1)</f>
        <v/>
      </c>
      <c r="HL11">
        <f>HL10*IF(OR($C10=115,$G10=115),0,1)</f>
        <v/>
      </c>
      <c r="HM11">
        <f>HM10*IF(OR($C10=116,$G10=116),0,1)</f>
        <v/>
      </c>
      <c r="HN11">
        <f>HN10*IF(OR($C10=117,$G10=117),0,1)</f>
        <v/>
      </c>
      <c r="HO11">
        <f>HO10*IF(OR($C10=118,$G10=118),0,1)</f>
        <v/>
      </c>
      <c r="HP11">
        <f>HP10*IF(OR($C10=119,$G10=119),0,1)</f>
        <v/>
      </c>
      <c r="HQ11">
        <f>HQ10*IF(OR($C10=120,$G10=120),0,1)</f>
        <v/>
      </c>
      <c r="HR11">
        <f>HR10*IF(OR($C10=121,$G10=121),0,1)</f>
        <v/>
      </c>
      <c r="HS11">
        <f>HS10*IF(OR($C10=122,$G10=122),0,1)</f>
        <v/>
      </c>
      <c r="HT11">
        <f>HT10*IF(OR($C10=123,$G10=123),0,1)</f>
        <v/>
      </c>
      <c r="HU11">
        <f>HU10*IF(OR($C10=124,$G10=124),0,1)</f>
        <v/>
      </c>
      <c r="HV11">
        <f>HV10*IF(OR($C10=125,$G10=125),0,1)</f>
        <v/>
      </c>
      <c r="HW11">
        <f>HW10*IF(OR($C10=126,$G10=126),0,1)</f>
        <v/>
      </c>
      <c r="HX11">
        <f>HX10*IF(OR($C10=127,$G10=127),0,1)</f>
        <v/>
      </c>
      <c r="HY11">
        <f>HY10*IF(OR($C10=128,$G10=128),0,1)</f>
        <v/>
      </c>
      <c r="HZ11">
        <f>HZ10*IF(OR($C10=129,$G10=129),0,1)</f>
        <v/>
      </c>
      <c r="IA11">
        <f>IA10*IF(OR($C10=130,$G10=130),0,1)</f>
        <v/>
      </c>
      <c r="IB11">
        <f>IB10*IF(OR($C10=131,$G10=131),0,1)</f>
        <v/>
      </c>
      <c r="IC11">
        <f>IC10*IF(OR($C10=132,$G10=132),0,1)</f>
        <v/>
      </c>
      <c r="ID11">
        <f>ID10*IF(OR($C10=133,$G10=133),0,1)</f>
        <v/>
      </c>
      <c r="IE11">
        <f>IE10*IF(OR($C10=134,$G10=134),0,1)</f>
        <v/>
      </c>
      <c r="IF11">
        <f>IF10*IF(OR($C10=135,$G10=135),0,1)</f>
        <v/>
      </c>
      <c r="IG11">
        <f>IG10*IF(OR($C10=136,$G10=136),0,1)</f>
        <v/>
      </c>
      <c r="IH11">
        <f>IH10*IF(OR($C10=137,$G10=137),0,1)</f>
        <v/>
      </c>
      <c r="II11">
        <f>II10*IF(OR($C10=138,$G10=138),0,1)</f>
        <v/>
      </c>
      <c r="IJ11">
        <f>IJ10*IF(OR($C10=139,$G10=139),0,1)</f>
        <v/>
      </c>
      <c r="IK11">
        <f>IK10*IF(OR($C10=140,$G10=140),0,1)</f>
        <v/>
      </c>
      <c r="IL11">
        <f>IL10*IF(OR($C10=141,$G10=141),0,1)</f>
        <v/>
      </c>
      <c r="IM11">
        <f>IM10*IF(OR($C10=142,$G10=142),0,1)</f>
        <v/>
      </c>
      <c r="IN11">
        <f>IN10*IF(OR($C10=143,$G10=143),0,1)</f>
        <v/>
      </c>
      <c r="IO11">
        <f>IO10*IF(OR($C10=144,$G10=144),0,1)</f>
        <v/>
      </c>
      <c r="IQ11">
        <f>IF('計算A'!D$106=1,DC11,1)</f>
        <v/>
      </c>
      <c r="IR11">
        <f>IF('計算A'!E$106=1,DD11,1)</f>
        <v/>
      </c>
      <c r="IS11">
        <f>IF('計算A'!F$106=1,DE11,1)</f>
        <v/>
      </c>
      <c r="IT11">
        <f>IF('計算A'!G$106=1,DF11,1)</f>
        <v/>
      </c>
      <c r="IU11">
        <f>IF('計算A'!H$106=1,DG11,1)</f>
        <v/>
      </c>
      <c r="IV11">
        <f>IF('計算A'!I$106=1,DH11,1)</f>
        <v/>
      </c>
      <c r="IW11">
        <f>IF('計算A'!J$106=1,DI11,1)</f>
        <v/>
      </c>
      <c r="IX11">
        <f>IF('計算A'!K$106=1,DJ11,1)</f>
        <v/>
      </c>
      <c r="IY11">
        <f>IF('計算A'!L$106=1,DK11,1)</f>
        <v/>
      </c>
      <c r="IZ11">
        <f>IF('計算A'!M$106=1,DL11,1)</f>
        <v/>
      </c>
      <c r="JA11">
        <f>IF('計算A'!N$106=1,DM11,1)</f>
        <v/>
      </c>
      <c r="JB11">
        <f>IF('計算A'!O$106=1,DN11,1)</f>
        <v/>
      </c>
      <c r="JC11">
        <f>IF('計算A'!P$106=1,DO11,1)</f>
        <v/>
      </c>
      <c r="JD11">
        <f>IF('計算A'!Q$106=1,DP11,1)</f>
        <v/>
      </c>
      <c r="JE11">
        <f>IF('計算A'!R$106=1,DQ11,1)</f>
        <v/>
      </c>
      <c r="JF11">
        <f>IF('計算A'!S$106=1,DR11,1)</f>
        <v/>
      </c>
      <c r="JG11">
        <f>IF('計算A'!T$106=1,DS11,1)</f>
        <v/>
      </c>
      <c r="JH11">
        <f>IF('計算A'!U$106=1,DT11,1)</f>
        <v/>
      </c>
      <c r="JI11">
        <f>IF('計算A'!V$106=1,DU11,1)</f>
        <v/>
      </c>
      <c r="JJ11">
        <f>IF('計算A'!W$106=1,DV11,1)</f>
        <v/>
      </c>
      <c r="JK11">
        <f>IF('計算A'!X$106=1,DW11,1)</f>
        <v/>
      </c>
      <c r="JL11">
        <f>IF('計算A'!Y$106=1,DX11,1)</f>
        <v/>
      </c>
      <c r="JM11">
        <f>IF('計算A'!Z$106=1,DY11,1)</f>
        <v/>
      </c>
      <c r="JN11">
        <f>IF('計算A'!AA$106=1,DZ11,1)</f>
        <v/>
      </c>
      <c r="JO11">
        <f>IF('計算A'!AB$106=1,EA11,1)</f>
        <v/>
      </c>
      <c r="JP11">
        <f>IF('計算A'!AC$106=1,EB11,1)</f>
        <v/>
      </c>
      <c r="JQ11">
        <f>IF('計算A'!AD$106=1,EC11,1)</f>
        <v/>
      </c>
      <c r="JR11">
        <f>IF('計算A'!AE$106=1,ED11,1)</f>
        <v/>
      </c>
      <c r="JS11">
        <f>IF('計算A'!AF$106=1,EE11,1)</f>
        <v/>
      </c>
      <c r="JT11">
        <f>IF('計算A'!AG$106=1,EF11,1)</f>
        <v/>
      </c>
      <c r="JU11">
        <f>IF('計算A'!AH$106=1,EG11,1)</f>
        <v/>
      </c>
      <c r="JV11">
        <f>IF('計算A'!AI$106=1,EH11,1)</f>
        <v/>
      </c>
      <c r="JW11">
        <f>IF('計算A'!AJ$106=1,EI11,1)</f>
        <v/>
      </c>
      <c r="JX11">
        <f>IF('計算A'!AK$106=1,EJ11,1)</f>
        <v/>
      </c>
      <c r="JY11">
        <f>IF('計算A'!AL$106=1,EK11,1)</f>
        <v/>
      </c>
      <c r="JZ11">
        <f>IF('計算A'!AM$106=1,EL11,1)</f>
        <v/>
      </c>
      <c r="KA11">
        <f>IF('計算A'!AN$106=1,EM11,1)</f>
        <v/>
      </c>
      <c r="KB11">
        <f>IF('計算A'!AO$106=1,EN11,1)</f>
        <v/>
      </c>
      <c r="KC11">
        <f>IF('計算A'!AP$106=1,EO11,1)</f>
        <v/>
      </c>
      <c r="KD11">
        <f>IF('計算A'!AQ$106=1,EP11,1)</f>
        <v/>
      </c>
      <c r="KE11">
        <f>IF('計算A'!AR$106=1,EQ11,1)</f>
        <v/>
      </c>
      <c r="KF11">
        <f>IF('計算A'!AS$106=1,ER11,1)</f>
        <v/>
      </c>
      <c r="KG11">
        <f>IF('計算A'!AT$106=1,ES11,1)</f>
        <v/>
      </c>
      <c r="KH11">
        <f>IF('計算A'!AU$106=1,ET11,1)</f>
        <v/>
      </c>
      <c r="KI11">
        <f>IF('計算A'!AV$106=1,EU11,1)</f>
        <v/>
      </c>
      <c r="KJ11">
        <f>IF('計算A'!AW$106=1,EV11,1)</f>
        <v/>
      </c>
      <c r="KK11">
        <f>IF('計算A'!AX$106=1,EW11,1)</f>
        <v/>
      </c>
      <c r="KL11">
        <f>IF('計算A'!AY$106=1,EX11,1)</f>
        <v/>
      </c>
      <c r="KM11">
        <f>IF('計算A'!AZ$106=1,EY11,1)</f>
        <v/>
      </c>
      <c r="KN11">
        <f>IF('計算A'!BA$106=1,EZ11,1)</f>
        <v/>
      </c>
      <c r="KO11">
        <f>IF('計算A'!BB$106=1,FA11,1)</f>
        <v/>
      </c>
      <c r="KP11">
        <f>IF('計算A'!BC$106=1,FB11,1)</f>
        <v/>
      </c>
      <c r="KQ11">
        <f>IF('計算A'!BD$106=1,FC11,1)</f>
        <v/>
      </c>
      <c r="KR11">
        <f>IF('計算A'!BE$106=1,FD11,1)</f>
        <v/>
      </c>
      <c r="KS11">
        <f>IF('計算A'!BF$106=1,FE11,1)</f>
        <v/>
      </c>
      <c r="KT11">
        <f>IF('計算A'!BG$106=1,FF11,1)</f>
        <v/>
      </c>
      <c r="KU11">
        <f>IF('計算A'!BH$106=1,FG11,1)</f>
        <v/>
      </c>
      <c r="KV11">
        <f>IF('計算A'!BI$106=1,FH11,1)</f>
        <v/>
      </c>
      <c r="KW11">
        <f>IF('計算A'!BJ$106=1,FI11,1)</f>
        <v/>
      </c>
      <c r="KX11">
        <f>IF('計算A'!BK$106=1,FJ11,1)</f>
        <v/>
      </c>
      <c r="KY11">
        <f>IF('計算A'!BL$106=1,FK11,1)</f>
        <v/>
      </c>
      <c r="KZ11">
        <f>IF('計算A'!BM$106=1,FL11,1)</f>
        <v/>
      </c>
      <c r="LA11">
        <f>IF('計算A'!BN$106=1,FM11,1)</f>
        <v/>
      </c>
      <c r="LB11">
        <f>IF('計算A'!BO$106=1,FN11,1)</f>
        <v/>
      </c>
      <c r="LC11">
        <f>IF('計算A'!BP$106=1,FO11,1)</f>
        <v/>
      </c>
      <c r="LD11">
        <f>IF('計算A'!BQ$106=1,FP11,1)</f>
        <v/>
      </c>
      <c r="LE11">
        <f>IF('計算A'!BR$106=1,FQ11,1)</f>
        <v/>
      </c>
      <c r="LF11">
        <f>IF('計算A'!BS$106=1,FR11,1)</f>
        <v/>
      </c>
      <c r="LG11">
        <f>IF('計算A'!BT$106=1,FS11,1)</f>
        <v/>
      </c>
      <c r="LH11">
        <f>IF('計算A'!BU$106=1,FT11,1)</f>
        <v/>
      </c>
      <c r="LI11">
        <f>IF('計算A'!BV$106=1,FU11,1)</f>
        <v/>
      </c>
      <c r="LJ11">
        <f>IF('計算A'!BW$106=1,FV11,1)</f>
        <v/>
      </c>
      <c r="LK11">
        <f>IF('計算A'!BX$106=1,FW11,1)</f>
        <v/>
      </c>
      <c r="LL11">
        <f>IF('計算A'!BY$106=1,FX11,1)</f>
        <v/>
      </c>
      <c r="LM11">
        <f>IF('計算A'!BZ$106=1,FY11,1)</f>
        <v/>
      </c>
      <c r="LN11">
        <f>IF('計算A'!CA$106=1,FZ11,1)</f>
        <v/>
      </c>
      <c r="LO11">
        <f>IF('計算A'!CB$106=1,GA11,1)</f>
        <v/>
      </c>
      <c r="LP11">
        <f>IF('計算A'!CC$106=1,GB11,1)</f>
        <v/>
      </c>
      <c r="LQ11">
        <f>IF('計算A'!CD$106=1,GC11,1)</f>
        <v/>
      </c>
      <c r="LR11">
        <f>IF('計算A'!CE$106=1,GD11,1)</f>
        <v/>
      </c>
      <c r="LS11">
        <f>IF('計算A'!CF$106=1,GE11,1)</f>
        <v/>
      </c>
      <c r="LT11">
        <f>IF('計算A'!CG$106=1,GF11,1)</f>
        <v/>
      </c>
      <c r="LU11">
        <f>IF('計算A'!CH$106=1,GG11,1)</f>
        <v/>
      </c>
      <c r="LV11">
        <f>IF('計算A'!CI$106=1,GH11,1)</f>
        <v/>
      </c>
      <c r="LW11">
        <f>IF('計算A'!CJ$106=1,GI11,1)</f>
        <v/>
      </c>
      <c r="LX11">
        <f>IF('計算A'!CK$106=1,GJ11,1)</f>
        <v/>
      </c>
      <c r="LY11">
        <f>IF('計算A'!CL$106=1,GK11,1)</f>
        <v/>
      </c>
      <c r="LZ11">
        <f>IF('計算A'!CM$106=1,GL11,1)</f>
        <v/>
      </c>
      <c r="MA11">
        <f>IF('計算A'!CN$106=1,GM11,1)</f>
        <v/>
      </c>
      <c r="MB11">
        <f>IF('計算A'!CO$106=1,GN11,1)</f>
        <v/>
      </c>
      <c r="MC11">
        <f>IF('計算A'!CP$106=1,GO11,1)</f>
        <v/>
      </c>
      <c r="MD11">
        <f>IF('計算A'!CQ$106=1,GP11,1)</f>
        <v/>
      </c>
      <c r="ME11">
        <f>IF('計算A'!CR$106=1,GQ11,1)</f>
        <v/>
      </c>
      <c r="MF11">
        <f>IF('計算A'!CS$106=1,GR11,1)</f>
        <v/>
      </c>
      <c r="MG11">
        <f>IF('計算A'!CT$106=1,GS11,1)</f>
        <v/>
      </c>
      <c r="MH11">
        <f>IF('計算A'!CU$106=1,GT11,1)</f>
        <v/>
      </c>
      <c r="MI11">
        <f>IF('計算A'!CV$106=1,GU11,1)</f>
        <v/>
      </c>
      <c r="MJ11">
        <f>IF('計算A'!CW$106=1,GV11,1)</f>
        <v/>
      </c>
      <c r="MK11">
        <f>IF('計算A'!CX$106=1,GW11,1)</f>
        <v/>
      </c>
      <c r="ML11">
        <f>IF('計算A'!CY$106=1,GX11,1)</f>
        <v/>
      </c>
      <c r="MM11">
        <f>IF('計算A'!CZ$106=1,GY11,1)</f>
        <v/>
      </c>
      <c r="MN11">
        <f>IF('計算A'!DA$106=1,GZ11,1)</f>
        <v/>
      </c>
      <c r="MO11">
        <f>IF('計算A'!DB$106=1,HA11,1)</f>
        <v/>
      </c>
      <c r="MP11">
        <f>IF('計算A'!DC$106=1,HB11,1)</f>
        <v/>
      </c>
      <c r="MQ11">
        <f>IF('計算A'!DD$106=1,HC11,1)</f>
        <v/>
      </c>
      <c r="MR11">
        <f>IF('計算A'!DE$106=1,HD11,1)</f>
        <v/>
      </c>
      <c r="MS11">
        <f>IF('計算A'!DF$106=1,HE11,1)</f>
        <v/>
      </c>
      <c r="MT11">
        <f>IF('計算A'!DG$106=1,HF11,1)</f>
        <v/>
      </c>
      <c r="MU11">
        <f>IF('計算A'!DH$106=1,HG11,1)</f>
        <v/>
      </c>
      <c r="MV11">
        <f>IF('計算A'!DI$106=1,HH11,1)</f>
        <v/>
      </c>
      <c r="MW11">
        <f>IF('計算A'!DJ$106=1,HI11,1)</f>
        <v/>
      </c>
      <c r="MX11">
        <f>IF('計算A'!DK$106=1,HJ11,1)</f>
        <v/>
      </c>
      <c r="MY11">
        <f>IF('計算A'!DL$106=1,HK11,1)</f>
        <v/>
      </c>
      <c r="MZ11">
        <f>IF('計算A'!DM$106=1,HL11,1)</f>
        <v/>
      </c>
      <c r="NA11">
        <f>IF('計算A'!DN$106=1,HM11,1)</f>
        <v/>
      </c>
      <c r="NB11">
        <f>IF('計算A'!DO$106=1,HN11,1)</f>
        <v/>
      </c>
      <c r="NC11">
        <f>IF('計算A'!DP$106=1,HO11,1)</f>
        <v/>
      </c>
      <c r="ND11">
        <f>IF('計算A'!DQ$106=1,HP11,1)</f>
        <v/>
      </c>
      <c r="NE11">
        <f>IF('計算A'!DR$106=1,HQ11,1)</f>
        <v/>
      </c>
      <c r="NF11">
        <f>IF('計算A'!DS$106=1,HR11,1)</f>
        <v/>
      </c>
      <c r="NG11">
        <f>IF('計算A'!DT$106=1,HS11,1)</f>
        <v/>
      </c>
      <c r="NH11">
        <f>IF('計算A'!DU$106=1,HT11,1)</f>
        <v/>
      </c>
      <c r="NI11">
        <f>IF('計算A'!DV$106=1,HU11,1)</f>
        <v/>
      </c>
      <c r="NJ11">
        <f>IF('計算A'!DW$106=1,HV11,1)</f>
        <v/>
      </c>
      <c r="NK11">
        <f>IF('計算A'!DX$106=1,HW11,1)</f>
        <v/>
      </c>
      <c r="NL11">
        <f>IF('計算A'!DY$106=1,HX11,1)</f>
        <v/>
      </c>
      <c r="NM11">
        <f>IF('計算A'!DZ$106=1,HY11,1)</f>
        <v/>
      </c>
      <c r="NN11">
        <f>IF('計算A'!EA$106=1,HZ11,1)</f>
        <v/>
      </c>
      <c r="NO11">
        <f>IF('計算A'!EB$106=1,IA11,1)</f>
        <v/>
      </c>
      <c r="NP11">
        <f>IF('計算A'!EC$106=1,IB11,1)</f>
        <v/>
      </c>
      <c r="NQ11">
        <f>IF('計算A'!ED$106=1,IC11,1)</f>
        <v/>
      </c>
      <c r="NR11">
        <f>IF('計算A'!EE$106=1,ID11,1)</f>
        <v/>
      </c>
      <c r="NS11">
        <f>IF('計算A'!EF$106=1,IE11,1)</f>
        <v/>
      </c>
      <c r="NT11">
        <f>IF('計算A'!EG$106=1,IF11,1)</f>
        <v/>
      </c>
      <c r="NU11">
        <f>IF('計算A'!EH$106=1,IG11,1)</f>
        <v/>
      </c>
      <c r="NV11">
        <f>IF('計算A'!EI$106=1,IH11,1)</f>
        <v/>
      </c>
      <c r="NW11">
        <f>IF('計算A'!EJ$106=1,II11,1)</f>
        <v/>
      </c>
      <c r="NX11">
        <f>IF('計算A'!EK$106=1,IJ11,1)</f>
        <v/>
      </c>
      <c r="NY11">
        <f>IF('計算A'!EL$106=1,IK11,1)</f>
        <v/>
      </c>
      <c r="NZ11">
        <f>IF('計算A'!EM$106=1,IL11,1)</f>
        <v/>
      </c>
      <c r="OA11">
        <f>IF('計算A'!EN$106=1,IM11,1)</f>
        <v/>
      </c>
      <c r="OB11">
        <f>IF('計算A'!EO$106=1,IN11,1)</f>
        <v/>
      </c>
      <c r="OC11">
        <f>IF('計算A'!EP$106=1,IO11,1)</f>
        <v/>
      </c>
      <c r="OD11" t="n">
        <v>1</v>
      </c>
      <c r="OF11">
        <f>IF($B11=0,1000000,IF(INDEX('計算A'!$D$60:$EQ$104,$B11,1)*DB11=1,IF(AND($E11=2,IQ11=0),1000000,IF($I11&gt;0,IF(1=$J11,IF(OR(AND(1=$I11+1,OR($K11&lt;&gt;'計算A'!$A$3,'計算A'!$A$4=0)),AND(1=$I11-1,OR(1&lt;&gt;'計算A'!$A$3,'計算A'!$A$4=0))),0,IF(1=$K11,200000,ABS(1-$K11)*100)),100000+ABS(1-$J11)*1000+10)+'計算A'!D$5*50+IF(AND($E11=1,IQ11=0),25,0),INDEX('計算A'!D$110:D$114,$F11+1)+IF(AND($E11=1,IQ11=0),1000,0)+IF($H11=1,(IF('計算A'!D$117=1,INDEX('計算A'!E$10:E$54,$B11),0))*500,0)-IF(AND($L11=1,'計算A'!D$117=1,DC11=0),300,0))),1000000))</f>
        <v/>
      </c>
      <c r="OG11">
        <f>IF($B11=0,1000000,IF(INDEX('計算A'!$D$60:$EQ$104,$B11,2)*DC11=1,IF(AND($E11=2,IR11=0),1000000,IF($I11&gt;0,IF(1=$J11,IF(OR(AND(2=$I11+1,OR($K11&lt;&gt;'計算A'!$A$3,'計算A'!$A$4=0)),AND(2=$I11-1,OR(2&lt;&gt;'計算A'!$A$3,'計算A'!$A$4=0))),0,IF(2=$K11,200000,ABS(2-$K11)*100)),100000+ABS(1-$J11)*1000+20)+'計算A'!E$5*50+IF(AND($E11=1,IR11=0),25,0),INDEX('計算A'!E$110:E$114,$F11+1)+IF(AND($E11=1,IR11=0),1000,0)+IF($H11=1,(IF('計算A'!D$117=1,INDEX('計算A'!D$10:D$54,$B11),0)+IF('計算A'!E$117=1,INDEX('計算A'!F$10:F$54,$B11),0))*500,0)-IF(AND('計算A'!D$117=1,UB11&gt;0),300,0)-IF(AND($L11=1,'計算A'!E$117=1,DD11=0),300,0))),1000000))</f>
        <v/>
      </c>
      <c r="OH11">
        <f>IF($B11=0,1000000,IF(INDEX('計算A'!$D$60:$EQ$104,$B11,3)*DD11=1,IF(AND($E11=2,IS11=0),1000000,IF($I11&gt;0,IF(1=$J11,IF(OR(AND(3=$I11+1,OR($K11&lt;&gt;'計算A'!$A$3,'計算A'!$A$4=0)),AND(3=$I11-1,OR(3&lt;&gt;'計算A'!$A$3,'計算A'!$A$4=0))),0,IF(3=$K11,200000,ABS(3-$K11)*100)),100000+ABS(1-$J11)*1000+30)+'計算A'!F$5*50+IF(AND($E11=1,IS11=0),25,0),INDEX('計算A'!F$110:F$114,$F11+1)+IF(AND($E11=1,IS11=0),1000,0)+IF($H11=1,(IF('計算A'!E$117=1,INDEX('計算A'!E$10:E$54,$B11),0)+IF('計算A'!F$117=1,INDEX('計算A'!G$10:G$54,$B11),0))*500,0)-IF(AND('計算A'!E$117=1,UC11&gt;0),300,0)-IF(AND($L11=1,'計算A'!F$117=1,DE11=0),300,0))),1000000))</f>
        <v/>
      </c>
      <c r="OI11">
        <f>IF($B11=0,1000000,IF(INDEX('計算A'!$D$60:$EQ$104,$B11,4)*DE11=1,IF(AND($E11=2,IT11=0),1000000,IF($I11&gt;0,IF(1=$J11,IF(OR(AND(4=$I11+1,OR($K11&lt;&gt;'計算A'!$A$3,'計算A'!$A$4=0)),AND(4=$I11-1,OR(4&lt;&gt;'計算A'!$A$3,'計算A'!$A$4=0))),0,IF(4=$K11,200000,ABS(4-$K11)*100)),100000+ABS(1-$J11)*1000+40)+'計算A'!G$5*50+IF(AND($E11=1,IT11=0),25,0),INDEX('計算A'!G$110:G$114,$F11+1)+IF(AND($E11=1,IT11=0),1000,0)+IF($H11=1,(IF('計算A'!F$117=1,INDEX('計算A'!F$10:F$54,$B11),0)+IF('計算A'!G$117=1,INDEX('計算A'!H$10:H$54,$B11),0))*500,0)-IF(AND('計算A'!F$117=1,UD11&gt;0),300,0)-IF(AND($L11=1,'計算A'!G$117=1,DF11=0),300,0))),1000000))</f>
        <v/>
      </c>
      <c r="OJ11">
        <f>IF($B11=0,1000000,IF(INDEX('計算A'!$D$60:$EQ$104,$B11,5)*DF11=1,IF(AND($E11=2,IU11=0),1000000,IF($I11&gt;0,IF(1=$J11,IF(OR(AND(5=$I11+1,OR($K11&lt;&gt;'計算A'!$A$3,'計算A'!$A$4=0)),AND(5=$I11-1,OR(5&lt;&gt;'計算A'!$A$3,'計算A'!$A$4=0))),0,IF(5=$K11,200000,ABS(5-$K11)*100)),100000+ABS(1-$J11)*1000+50)+'計算A'!H$5*50+IF(AND($E11=1,IU11=0),25,0),INDEX('計算A'!H$110:H$114,$F11+1)+IF(AND($E11=1,IU11=0),1000,0)+IF($H11=1,(IF('計算A'!G$117=1,INDEX('計算A'!G$10:G$54,$B11),0)+IF('計算A'!H$117=1,INDEX('計算A'!I$10:I$54,$B11),0))*500,0)-IF(AND('計算A'!G$117=1,UE11&gt;0),300,0)-IF(AND($L11=1,'計算A'!H$117=1,DG11=0),300,0))),1000000))</f>
        <v/>
      </c>
      <c r="OK11">
        <f>IF($B11=0,1000000,IF(INDEX('計算A'!$D$60:$EQ$104,$B11,6)*DG11=1,IF(AND($E11=2,IV11=0),1000000,IF($I11&gt;0,IF(1=$J11,IF(OR(AND(6=$I11+1,OR($K11&lt;&gt;'計算A'!$A$3,'計算A'!$A$4=0)),AND(6=$I11-1,OR(6&lt;&gt;'計算A'!$A$3,'計算A'!$A$4=0))),0,IF(6=$K11,200000,ABS(6-$K11)*100)),100000+ABS(1-$J11)*1000+60)+'計算A'!I$5*50+IF(AND($E11=1,IV11=0),25,0),INDEX('計算A'!I$110:I$114,$F11+1)+IF(AND($E11=1,IV11=0),1000,0)+IF($H11=1,(IF('計算A'!H$117=1,INDEX('計算A'!H$10:H$54,$B11),0)+IF('計算A'!I$117=1,INDEX('計算A'!J$10:J$54,$B11),0))*500,0)-IF(AND('計算A'!H$117=1,UF11&gt;0),300,0)-IF(AND($L11=1,'計算A'!I$117=1,DH11=0),300,0))),1000000))</f>
        <v/>
      </c>
      <c r="OL11">
        <f>IF($B11=0,1000000,IF(INDEX('計算A'!$D$60:$EQ$104,$B11,7)*DH11=1,IF(AND($E11=2,IW11=0),1000000,IF($I11&gt;0,IF(1=$J11,IF(OR(AND(7=$I11+1,OR($K11&lt;&gt;'計算A'!$A$3,'計算A'!$A$4=0)),AND(7=$I11-1,OR(7&lt;&gt;'計算A'!$A$3,'計算A'!$A$4=0))),0,IF(7=$K11,200000,ABS(7-$K11)*100)),100000+ABS(1-$J11)*1000+70)+'計算A'!J$5*50+IF(AND($E11=1,IW11=0),25,0),INDEX('計算A'!J$110:J$114,$F11+1)+IF(AND($E11=1,IW11=0),1000,0)+IF($H11=1,(IF('計算A'!I$117=1,INDEX('計算A'!I$10:I$54,$B11),0)+IF('計算A'!J$117=1,INDEX('計算A'!K$10:K$54,$B11),0))*500,0)-IF(AND('計算A'!I$117=1,UG11&gt;0),300,0)-IF(AND($L11=1,'計算A'!J$117=1,DI11=0),300,0))),1000000))</f>
        <v/>
      </c>
      <c r="OM11">
        <f>IF($B11=0,1000000,IF(INDEX('計算A'!$D$60:$EQ$104,$B11,8)*DI11=1,IF(AND($E11=2,IX11=0),1000000,IF($I11&gt;0,IF(1=$J11,IF(OR(AND(8=$I11+1,OR($K11&lt;&gt;'計算A'!$A$3,'計算A'!$A$4=0)),AND(8=$I11-1,OR(8&lt;&gt;'計算A'!$A$3,'計算A'!$A$4=0))),0,IF(8=$K11,200000,ABS(8-$K11)*100)),100000+ABS(1-$J11)*1000+80)+'計算A'!K$5*50+IF(AND($E11=1,IX11=0),25,0),INDEX('計算A'!K$110:K$114,$F11+1)+IF(AND($E11=1,IX11=0),1000,0)+IF($H11=1,(IF('計算A'!J$117=1,INDEX('計算A'!J$10:J$54,$B11),0)+IF('計算A'!K$117=1,INDEX('計算A'!L$10:L$54,$B11),0))*500,0)-IF(AND('計算A'!J$117=1,UH11&gt;0),300,0)-IF(AND($L11=1,'計算A'!K$117=1,DJ11=0),300,0))),1000000))</f>
        <v/>
      </c>
      <c r="ON11">
        <f>IF($B11=0,1000000,IF(INDEX('計算A'!$D$60:$EQ$104,$B11,9)*DJ11=1,IF(AND($E11=2,IY11=0),1000000,IF($I11&gt;0,IF(1=$J11,IF(OR(AND(9=$I11+1,OR($K11&lt;&gt;'計算A'!$A$3,'計算A'!$A$4=0)),AND(9=$I11-1,OR(9&lt;&gt;'計算A'!$A$3,'計算A'!$A$4=0))),0,IF(9=$K11,200000,ABS(9-$K11)*100)),100000+ABS(1-$J11)*1000+90)+'計算A'!L$5*50+IF(AND($E11=1,IY11=0),25,0),INDEX('計算A'!L$110:L$114,$F11+1)+IF(AND($E11=1,IY11=0),1000,0)+IF($H11=1,(IF('計算A'!K$117=1,INDEX('計算A'!K$10:K$54,$B11),0)+IF('計算A'!L$117=1,INDEX('計算A'!M$10:M$54,$B11),0))*500,0)-IF(AND('計算A'!K$117=1,UI11&gt;0),300,0)-IF(AND($L11=1,'計算A'!L$117=1,DK11=0),300,0))),1000000))</f>
        <v/>
      </c>
      <c r="OO11">
        <f>IF($B11=0,1000000,IF(INDEX('計算A'!$D$60:$EQ$104,$B11,10)*DK11=1,IF(AND($E11=2,IZ11=0),1000000,IF($I11&gt;0,IF(1=$J11,IF(OR(AND(10=$I11+1,OR($K11&lt;&gt;'計算A'!$A$3,'計算A'!$A$4=0)),AND(10=$I11-1,OR(10&lt;&gt;'計算A'!$A$3,'計算A'!$A$4=0))),0,IF(10=$K11,200000,ABS(10-$K11)*100)),100000+ABS(1-$J11)*1000+100)+'計算A'!M$5*50+IF(AND($E11=1,IZ11=0),25,0),INDEX('計算A'!M$110:M$114,$F11+1)+IF(AND($E11=1,IZ11=0),1000,0)+IF($H11=1,(IF('計算A'!L$117=1,INDEX('計算A'!L$10:L$54,$B11),0)+IF('計算A'!M$117=1,INDEX('計算A'!N$10:N$54,$B11),0))*500,0)-IF(AND('計算A'!L$117=1,UJ11&gt;0),300,0)-IF(AND($L11=1,'計算A'!M$117=1,DL11=0),300,0))),1000000))</f>
        <v/>
      </c>
      <c r="OP11">
        <f>IF($B11=0,1000000,IF(INDEX('計算A'!$D$60:$EQ$104,$B11,11)*DL11=1,IF(AND($E11=2,JA11=0),1000000,IF($I11&gt;0,IF(1=$J11,IF(OR(AND(11=$I11+1,OR($K11&lt;&gt;'計算A'!$A$3,'計算A'!$A$4=0)),AND(11=$I11-1,OR(11&lt;&gt;'計算A'!$A$3,'計算A'!$A$4=0))),0,IF(11=$K11,200000,ABS(11-$K11)*100)),100000+ABS(1-$J11)*1000+110)+'計算A'!N$5*50+IF(AND($E11=1,JA11=0),25,0),INDEX('計算A'!N$110:N$114,$F11+1)+IF(AND($E11=1,JA11=0),1000,0)+IF($H11=1,(IF('計算A'!M$117=1,INDEX('計算A'!M$10:M$54,$B11),0)+IF('計算A'!N$117=1,INDEX('計算A'!O$10:O$54,$B11),0))*500,0)-IF(AND('計算A'!M$117=1,UK11&gt;0),300,0)-IF(AND($L11=1,'計算A'!N$117=1,DM11=0),300,0))),1000000))</f>
        <v/>
      </c>
      <c r="OQ11">
        <f>IF($B11=0,1000000,IF(INDEX('計算A'!$D$60:$EQ$104,$B11,12)*DM11=1,IF(AND($E11=2,JB11=0),1000000,IF($I11&gt;0,IF(1=$J11,IF(OR(AND(12=$I11+1,OR($K11&lt;&gt;'計算A'!$A$3,'計算A'!$A$4=0)),AND(12=$I11-1,OR(12&lt;&gt;'計算A'!$A$3,'計算A'!$A$4=0))),0,IF(12=$K11,200000,ABS(12-$K11)*100)),100000+ABS(1-$J11)*1000+120)+'計算A'!O$5*50+IF(AND($E11=1,JB11=0),25,0),INDEX('計算A'!O$110:O$114,$F11+1)+IF(AND($E11=1,JB11=0),1000,0)+IF($H11=1,(IF('計算A'!N$117=1,INDEX('計算A'!N$10:N$54,$B11),0)+IF('計算A'!O$117=1,INDEX('計算A'!P$10:P$54,$B11),0))*500,0)-IF(AND('計算A'!N$117=1,UL11&gt;0),300,0)-IF(AND($L11=1,'計算A'!O$117=1,DN11=0),300,0))),1000000))</f>
        <v/>
      </c>
      <c r="OR11">
        <f>IF($B11=0,1000000,IF(INDEX('計算A'!$D$60:$EQ$104,$B11,13)*DN11=1,IF(AND($E11=2,JC11=0),1000000,IF($I11&gt;0,IF(1=$J11,IF(OR(AND(13=$I11+1,OR($K11&lt;&gt;'計算A'!$A$3,'計算A'!$A$4=0)),AND(13=$I11-1,OR(13&lt;&gt;'計算A'!$A$3,'計算A'!$A$4=0))),0,IF(13=$K11,200000,ABS(13-$K11)*100)),100000+ABS(1-$J11)*1000+130)+'計算A'!P$5*50+IF(AND($E11=1,JC11=0),25,0),INDEX('計算A'!P$110:P$114,$F11+1)+IF(AND($E11=1,JC11=0),1000,0)+IF($H11=1,(IF('計算A'!O$117=1,INDEX('計算A'!O$10:O$54,$B11),0)+IF('計算A'!P$117=1,INDEX('計算A'!Q$10:Q$54,$B11),0))*500,0)-IF(AND('計算A'!O$117=1,UM11&gt;0),300,0)-IF(AND($L11=1,'計算A'!P$117=1,DO11=0),300,0))),1000000))</f>
        <v/>
      </c>
      <c r="OS11">
        <f>IF($B11=0,1000000,IF(INDEX('計算A'!$D$60:$EQ$104,$B11,14)*DO11=1,IF(AND($E11=2,JD11=0),1000000,IF($I11&gt;0,IF(1=$J11,IF(OR(AND(14=$I11+1,OR($K11&lt;&gt;'計算A'!$A$3,'計算A'!$A$4=0)),AND(14=$I11-1,OR(14&lt;&gt;'計算A'!$A$3,'計算A'!$A$4=0))),0,IF(14=$K11,200000,ABS(14-$K11)*100)),100000+ABS(1-$J11)*1000+140)+'計算A'!Q$5*50+IF(AND($E11=1,JD11=0),25,0),INDEX('計算A'!Q$110:Q$114,$F11+1)+IF(AND($E11=1,JD11=0),1000,0)+IF($H11=1,(IF('計算A'!P$117=1,INDEX('計算A'!P$10:P$54,$B11),0)+IF('計算A'!Q$117=1,INDEX('計算A'!R$10:R$54,$B11),0))*500,0)-IF(AND('計算A'!P$117=1,UN11&gt;0),300,0)-IF(AND($L11=1,'計算A'!Q$117=1,DP11=0),300,0))),1000000))</f>
        <v/>
      </c>
      <c r="OT11">
        <f>IF($B11=0,1000000,IF(INDEX('計算A'!$D$60:$EQ$104,$B11,15)*DP11=1,IF(AND($E11=2,JE11=0),1000000,IF($I11&gt;0,IF(1=$J11,IF(OR(AND(15=$I11+1,OR($K11&lt;&gt;'計算A'!$A$3,'計算A'!$A$4=0)),AND(15=$I11-1,OR(15&lt;&gt;'計算A'!$A$3,'計算A'!$A$4=0))),0,IF(15=$K11,200000,ABS(15-$K11)*100)),100000+ABS(1-$J11)*1000+150)+'計算A'!R$5*50+IF(AND($E11=1,JE11=0),25,0),INDEX('計算A'!R$110:R$114,$F11+1)+IF(AND($E11=1,JE11=0),1000,0)+IF($H11=1,(IF('計算A'!Q$117=1,INDEX('計算A'!Q$10:Q$54,$B11),0)+IF('計算A'!R$117=1,INDEX('計算A'!S$10:S$54,$B11),0))*500,0)-IF(AND('計算A'!Q$117=1,UO11&gt;0),300,0)-IF(AND($L11=1,'計算A'!R$117=1,DQ11=0),300,0))),1000000))</f>
        <v/>
      </c>
      <c r="OU11">
        <f>IF($B11=0,1000000,IF(INDEX('計算A'!$D$60:$EQ$104,$B11,16)*DQ11=1,IF(AND($E11=2,JF11=0),1000000,IF($I11&gt;0,IF(1=$J11,IF(OR(AND(16=$I11+1,OR($K11&lt;&gt;'計算A'!$A$3,'計算A'!$A$4=0)),AND(16=$I11-1,OR(16&lt;&gt;'計算A'!$A$3,'計算A'!$A$4=0))),0,IF(16=$K11,200000,ABS(16-$K11)*100)),100000+ABS(1-$J11)*1000+160)+'計算A'!S$5*50+IF(AND($E11=1,JF11=0),25,0),INDEX('計算A'!S$110:S$114,$F11+1)+IF(AND($E11=1,JF11=0),1000,0)+IF($H11=1,(IF('計算A'!R$117=1,INDEX('計算A'!R$10:R$54,$B11),0)+IF('計算A'!S$117=1,INDEX('計算A'!T$10:T$54,$B11),0))*500,0)-IF(AND('計算A'!R$117=1,UP11&gt;0),300,0)-IF(AND($L11=1,'計算A'!S$117=1,DR11=0),300,0))),1000000))</f>
        <v/>
      </c>
      <c r="OV11">
        <f>IF($B11=0,1000000,IF(INDEX('計算A'!$D$60:$EQ$104,$B11,17)*DR11=1,IF(AND($E11=2,JG11=0),1000000,IF($I11&gt;0,IF(1=$J11,IF(OR(AND(17=$I11+1,OR($K11&lt;&gt;'計算A'!$A$3,'計算A'!$A$4=0)),AND(17=$I11-1,OR(17&lt;&gt;'計算A'!$A$3,'計算A'!$A$4=0))),0,IF(17=$K11,200000,ABS(17-$K11)*100)),100000+ABS(1-$J11)*1000+170)+'計算A'!T$5*50+IF(AND($E11=1,JG11=0),25,0),INDEX('計算A'!T$110:T$114,$F11+1)+IF(AND($E11=1,JG11=0),1000,0)+IF($H11=1,(IF('計算A'!S$117=1,INDEX('計算A'!S$10:S$54,$B11),0)+IF('計算A'!T$117=1,INDEX('計算A'!U$10:U$54,$B11),0))*500,0)-IF(AND('計算A'!S$117=1,UQ11&gt;0),300,0)-IF(AND($L11=1,'計算A'!T$117=1,DS11=0),300,0))),1000000))</f>
        <v/>
      </c>
      <c r="OW11">
        <f>IF($B11=0,1000000,IF(INDEX('計算A'!$D$60:$EQ$104,$B11,18)*DS11=1,IF(AND($E11=2,JH11=0),1000000,IF($I11&gt;0,IF(1=$J11,IF(OR(AND(18=$I11+1,OR($K11&lt;&gt;'計算A'!$A$3,'計算A'!$A$4=0)),AND(18=$I11-1,OR(18&lt;&gt;'計算A'!$A$3,'計算A'!$A$4=0))),0,IF(18=$K11,200000,ABS(18-$K11)*100)),100000+ABS(1-$J11)*1000+180)+'計算A'!U$5*50+IF(AND($E11=1,JH11=0),25,0),INDEX('計算A'!U$110:U$114,$F11+1)+IF(AND($E11=1,JH11=0),1000,0)+IF($H11=1,(IF('計算A'!T$117=1,INDEX('計算A'!T$10:T$54,$B11),0)+IF('計算A'!U$117=1,INDEX('計算A'!V$10:V$54,$B11),0))*500,0)-IF(AND('計算A'!T$117=1,UR11&gt;0),300,0)-IF(AND($L11=1,'計算A'!U$117=1,DT11=0),300,0))),1000000))</f>
        <v/>
      </c>
      <c r="OX11">
        <f>IF($B11=0,1000000,IF(INDEX('計算A'!$D$60:$EQ$104,$B11,19)*DT11=1,IF(AND($E11=2,JI11=0),1000000,IF($I11&gt;0,IF(1=$J11,IF(OR(AND(19=$I11+1,OR($K11&lt;&gt;'計算A'!$A$3,'計算A'!$A$4=0)),AND(19=$I11-1,OR(19&lt;&gt;'計算A'!$A$3,'計算A'!$A$4=0))),0,IF(19=$K11,200000,ABS(19-$K11)*100)),100000+ABS(1-$J11)*1000+190)+'計算A'!V$5*50+IF(AND($E11=1,JI11=0),25,0),INDEX('計算A'!V$110:V$114,$F11+1)+IF(AND($E11=1,JI11=0),1000,0)+IF($H11=1,(IF('計算A'!U$117=1,INDEX('計算A'!U$10:U$54,$B11),0)+IF('計算A'!V$117=1,INDEX('計算A'!W$10:W$54,$B11),0))*500,0)-IF(AND('計算A'!U$117=1,US11&gt;0),300,0)-IF(AND($L11=1,'計算A'!V$117=1,DU11=0),300,0))),1000000))</f>
        <v/>
      </c>
      <c r="OY11">
        <f>IF($B11=0,1000000,IF(INDEX('計算A'!$D$60:$EQ$104,$B11,20)*DU11=1,IF(AND($E11=2,JJ11=0),1000000,IF($I11&gt;0,IF(1=$J11,IF(OR(AND(20=$I11+1,OR($K11&lt;&gt;'計算A'!$A$3,'計算A'!$A$4=0)),AND(20=$I11-1,OR(20&lt;&gt;'計算A'!$A$3,'計算A'!$A$4=0))),0,IF(20=$K11,200000,ABS(20-$K11)*100)),100000+ABS(1-$J11)*1000+200)+'計算A'!W$5*50+IF(AND($E11=1,JJ11=0),25,0),INDEX('計算A'!W$110:W$114,$F11+1)+IF(AND($E11=1,JJ11=0),1000,0)+IF($H11=1,(IF('計算A'!V$117=1,INDEX('計算A'!V$10:V$54,$B11),0)+IF('計算A'!W$117=1,INDEX('計算A'!X$10:X$54,$B11),0))*500,0)-IF(AND('計算A'!V$117=1,UT11&gt;0),300,0)-IF(AND($L11=1,'計算A'!W$117=1,DV11=0),300,0))),1000000))</f>
        <v/>
      </c>
      <c r="OZ11">
        <f>IF($B11=0,1000000,IF(INDEX('計算A'!$D$60:$EQ$104,$B11,21)*DV11=1,IF(AND($E11=2,JK11=0),1000000,IF($I11&gt;0,IF(1=$J11,IF(OR(AND(21=$I11+1,OR($K11&lt;&gt;'計算A'!$A$3,'計算A'!$A$4=0)),AND(21=$I11-1,OR(21&lt;&gt;'計算A'!$A$3,'計算A'!$A$4=0))),0,IF(21=$K11,200000,ABS(21-$K11)*100)),100000+ABS(1-$J11)*1000+210)+'計算A'!X$5*50+IF(AND($E11=1,JK11=0),25,0),INDEX('計算A'!X$110:X$114,$F11+1)+IF(AND($E11=1,JK11=0),1000,0)+IF($H11=1,(IF('計算A'!W$117=1,INDEX('計算A'!W$10:W$54,$B11),0)+IF('計算A'!X$117=1,INDEX('計算A'!Y$10:Y$54,$B11),0))*500,0)-IF(AND('計算A'!W$117=1,UU11&gt;0),300,0)-IF(AND($L11=1,'計算A'!X$117=1,DW11=0),300,0))),1000000))</f>
        <v/>
      </c>
      <c r="PA11">
        <f>IF($B11=0,1000000,IF(INDEX('計算A'!$D$60:$EQ$104,$B11,22)*DW11=1,IF(AND($E11=2,JL11=0),1000000,IF($I11&gt;0,IF(1=$J11,IF(OR(AND(22=$I11+1,OR($K11&lt;&gt;'計算A'!$A$3,'計算A'!$A$4=0)),AND(22=$I11-1,OR(22&lt;&gt;'計算A'!$A$3,'計算A'!$A$4=0))),0,IF(22=$K11,200000,ABS(22-$K11)*100)),100000+ABS(1-$J11)*1000+220)+'計算A'!Y$5*50+IF(AND($E11=1,JL11=0),25,0),INDEX('計算A'!Y$110:Y$114,$F11+1)+IF(AND($E11=1,JL11=0),1000,0)+IF($H11=1,(IF('計算A'!X$117=1,INDEX('計算A'!X$10:X$54,$B11),0)+IF('計算A'!Y$117=1,INDEX('計算A'!Z$10:Z$54,$B11),0))*500,0)-IF(AND('計算A'!X$117=1,UV11&gt;0),300,0)-IF(AND($L11=1,'計算A'!Y$117=1,DX11=0),300,0))),1000000))</f>
        <v/>
      </c>
      <c r="PB11">
        <f>IF($B11=0,1000000,IF(INDEX('計算A'!$D$60:$EQ$104,$B11,23)*DX11=1,IF(AND($E11=2,JM11=0),1000000,IF($I11&gt;0,IF(1=$J11,IF(OR(AND(23=$I11+1,OR($K11&lt;&gt;'計算A'!$A$3,'計算A'!$A$4=0)),AND(23=$I11-1,OR(23&lt;&gt;'計算A'!$A$3,'計算A'!$A$4=0))),0,IF(23=$K11,200000,ABS(23-$K11)*100)),100000+ABS(1-$J11)*1000+230)+'計算A'!Z$5*50+IF(AND($E11=1,JM11=0),25,0),INDEX('計算A'!Z$110:Z$114,$F11+1)+IF(AND($E11=1,JM11=0),1000,0)+IF($H11=1,(IF('計算A'!Y$117=1,INDEX('計算A'!Y$10:Y$54,$B11),0)+IF('計算A'!Z$117=1,INDEX('計算A'!AA$10:AA$54,$B11),0))*500,0)-IF(AND('計算A'!Y$117=1,UW11&gt;0),300,0)-IF(AND($L11=1,'計算A'!Z$117=1,DY11=0),300,0))),1000000))</f>
        <v/>
      </c>
      <c r="PC11">
        <f>IF($B11=0,1000000,IF(INDEX('計算A'!$D$60:$EQ$104,$B11,24)*DY11=1,IF(AND($E11=2,JN11=0),1000000,IF($I11&gt;0,IF(1=$J11,IF(OR(AND(24=$I11+1,OR($K11&lt;&gt;'計算A'!$A$3,'計算A'!$A$4=0)),AND(24=$I11-1,OR(24&lt;&gt;'計算A'!$A$3,'計算A'!$A$4=0))),0,IF(24=$K11,200000,ABS(24-$K11)*100)),100000+ABS(1-$J11)*1000+240)+'計算A'!AA$5*50+IF(AND($E11=1,JN11=0),25,0),INDEX('計算A'!AA$110:AA$114,$F11+1)+IF(AND($E11=1,JN11=0),1000,0)+IF($H11=1,(IF('計算A'!Z$117=1,INDEX('計算A'!Z$10:Z$54,$B11),0))*500,0)-IF(AND('計算A'!Z$117=1,UX11&gt;0),300,0))),1000000))</f>
        <v/>
      </c>
      <c r="PD11">
        <f>IF($B11=0,1000000,IF(INDEX('計算A'!$D$60:$EQ$104,$B11,25)*DZ11=1,IF(AND($E11=2,JO11=0),1000000,IF($I11&gt;0,IF(2=$J11,IF(OR(AND(25=$I11+1,OR($K11&lt;&gt;'計算A'!$A$3,'計算A'!$A$4=0)),AND(25=$I11-1,OR(1&lt;&gt;'計算A'!$A$3,'計算A'!$A$4=0))),0,IF(1=$K11,200000,ABS(1-$K11)*100)),100000+ABS(2-$J11)*1000+10)+'計算A'!AB$5*50+IF(AND($E11=1,JO11=0),25,0),INDEX('計算A'!AB$110:AB$114,$F11+1)+IF(AND($E11=1,JO11=0),1000,0)+IF($H11=1,(IF('計算A'!AB$117=1,INDEX('計算A'!AC$10:AC$54,$B11),0))*500,0)-IF(AND($L11=1,'計算A'!AB$117=1,EA11=0),300,0))),1000000))</f>
        <v/>
      </c>
      <c r="PE11">
        <f>IF($B11=0,1000000,IF(INDEX('計算A'!$D$60:$EQ$104,$B11,26)*EA11=1,IF(AND($E11=2,JP11=0),1000000,IF($I11&gt;0,IF(2=$J11,IF(OR(AND(26=$I11+1,OR($K11&lt;&gt;'計算A'!$A$3,'計算A'!$A$4=0)),AND(26=$I11-1,OR(2&lt;&gt;'計算A'!$A$3,'計算A'!$A$4=0))),0,IF(2=$K11,200000,ABS(2-$K11)*100)),100000+ABS(2-$J11)*1000+20)+'計算A'!AC$5*50+IF(AND($E11=1,JP11=0),25,0),INDEX('計算A'!AC$110:AC$114,$F11+1)+IF(AND($E11=1,JP11=0),1000,0)+IF($H11=1,(IF('計算A'!AB$117=1,INDEX('計算A'!AB$10:AB$54,$B11),0)+IF('計算A'!AC$117=1,INDEX('計算A'!AD$10:AD$54,$B11),0))*500,0)-IF(AND('計算A'!AB$117=1,UZ11&gt;0),300,0)-IF(AND($L11=1,'計算A'!AC$117=1,EB11=0),300,0))),1000000))</f>
        <v/>
      </c>
      <c r="PF11">
        <f>IF($B11=0,1000000,IF(INDEX('計算A'!$D$60:$EQ$104,$B11,27)*EB11=1,IF(AND($E11=2,JQ11=0),1000000,IF($I11&gt;0,IF(2=$J11,IF(OR(AND(27=$I11+1,OR($K11&lt;&gt;'計算A'!$A$3,'計算A'!$A$4=0)),AND(27=$I11-1,OR(3&lt;&gt;'計算A'!$A$3,'計算A'!$A$4=0))),0,IF(3=$K11,200000,ABS(3-$K11)*100)),100000+ABS(2-$J11)*1000+30)+'計算A'!AD$5*50+IF(AND($E11=1,JQ11=0),25,0),INDEX('計算A'!AD$110:AD$114,$F11+1)+IF(AND($E11=1,JQ11=0),1000,0)+IF($H11=1,(IF('計算A'!AC$117=1,INDEX('計算A'!AC$10:AC$54,$B11),0)+IF('計算A'!AD$117=1,INDEX('計算A'!AE$10:AE$54,$B11),0))*500,0)-IF(AND('計算A'!AC$117=1,VA11&gt;0),300,0)-IF(AND($L11=1,'計算A'!AD$117=1,EC11=0),300,0))),1000000))</f>
        <v/>
      </c>
      <c r="PG11">
        <f>IF($B11=0,1000000,IF(INDEX('計算A'!$D$60:$EQ$104,$B11,28)*EC11=1,IF(AND($E11=2,JR11=0),1000000,IF($I11&gt;0,IF(2=$J11,IF(OR(AND(28=$I11+1,OR($K11&lt;&gt;'計算A'!$A$3,'計算A'!$A$4=0)),AND(28=$I11-1,OR(4&lt;&gt;'計算A'!$A$3,'計算A'!$A$4=0))),0,IF(4=$K11,200000,ABS(4-$K11)*100)),100000+ABS(2-$J11)*1000+40)+'計算A'!AE$5*50+IF(AND($E11=1,JR11=0),25,0),INDEX('計算A'!AE$110:AE$114,$F11+1)+IF(AND($E11=1,JR11=0),1000,0)+IF($H11=1,(IF('計算A'!AD$117=1,INDEX('計算A'!AD$10:AD$54,$B11),0)+IF('計算A'!AE$117=1,INDEX('計算A'!AF$10:AF$54,$B11),0))*500,0)-IF(AND('計算A'!AD$117=1,VB11&gt;0),300,0)-IF(AND($L11=1,'計算A'!AE$117=1,ED11=0),300,0))),1000000))</f>
        <v/>
      </c>
      <c r="PH11">
        <f>IF($B11=0,1000000,IF(INDEX('計算A'!$D$60:$EQ$104,$B11,29)*ED11=1,IF(AND($E11=2,JS11=0),1000000,IF($I11&gt;0,IF(2=$J11,IF(OR(AND(29=$I11+1,OR($K11&lt;&gt;'計算A'!$A$3,'計算A'!$A$4=0)),AND(29=$I11-1,OR(5&lt;&gt;'計算A'!$A$3,'計算A'!$A$4=0))),0,IF(5=$K11,200000,ABS(5-$K11)*100)),100000+ABS(2-$J11)*1000+50)+'計算A'!AF$5*50+IF(AND($E11=1,JS11=0),25,0),INDEX('計算A'!AF$110:AF$114,$F11+1)+IF(AND($E11=1,JS11=0),1000,0)+IF($H11=1,(IF('計算A'!AE$117=1,INDEX('計算A'!AE$10:AE$54,$B11),0)+IF('計算A'!AF$117=1,INDEX('計算A'!AG$10:AG$54,$B11),0))*500,0)-IF(AND('計算A'!AE$117=1,VC11&gt;0),300,0)-IF(AND($L11=1,'計算A'!AF$117=1,EE11=0),300,0))),1000000))</f>
        <v/>
      </c>
      <c r="PI11">
        <f>IF($B11=0,1000000,IF(INDEX('計算A'!$D$60:$EQ$104,$B11,30)*EE11=1,IF(AND($E11=2,JT11=0),1000000,IF($I11&gt;0,IF(2=$J11,IF(OR(AND(30=$I11+1,OR($K11&lt;&gt;'計算A'!$A$3,'計算A'!$A$4=0)),AND(30=$I11-1,OR(6&lt;&gt;'計算A'!$A$3,'計算A'!$A$4=0))),0,IF(6=$K11,200000,ABS(6-$K11)*100)),100000+ABS(2-$J11)*1000+60)+'計算A'!AG$5*50+IF(AND($E11=1,JT11=0),25,0),INDEX('計算A'!AG$110:AG$114,$F11+1)+IF(AND($E11=1,JT11=0),1000,0)+IF($H11=1,(IF('計算A'!AF$117=1,INDEX('計算A'!AF$10:AF$54,$B11),0)+IF('計算A'!AG$117=1,INDEX('計算A'!AH$10:AH$54,$B11),0))*500,0)-IF(AND('計算A'!AF$117=1,VD11&gt;0),300,0)-IF(AND($L11=1,'計算A'!AG$117=1,EF11=0),300,0))),1000000))</f>
        <v/>
      </c>
      <c r="PJ11">
        <f>IF($B11=0,1000000,IF(INDEX('計算A'!$D$60:$EQ$104,$B11,31)*EF11=1,IF(AND($E11=2,JU11=0),1000000,IF($I11&gt;0,IF(2=$J11,IF(OR(AND(31=$I11+1,OR($K11&lt;&gt;'計算A'!$A$3,'計算A'!$A$4=0)),AND(31=$I11-1,OR(7&lt;&gt;'計算A'!$A$3,'計算A'!$A$4=0))),0,IF(7=$K11,200000,ABS(7-$K11)*100)),100000+ABS(2-$J11)*1000+70)+'計算A'!AH$5*50+IF(AND($E11=1,JU11=0),25,0),INDEX('計算A'!AH$110:AH$114,$F11+1)+IF(AND($E11=1,JU11=0),1000,0)+IF($H11=1,(IF('計算A'!AG$117=1,INDEX('計算A'!AG$10:AG$54,$B11),0)+IF('計算A'!AH$117=1,INDEX('計算A'!AI$10:AI$54,$B11),0))*500,0)-IF(AND('計算A'!AG$117=1,VE11&gt;0),300,0)-IF(AND($L11=1,'計算A'!AH$117=1,EG11=0),300,0))),1000000))</f>
        <v/>
      </c>
      <c r="PK11">
        <f>IF($B11=0,1000000,IF(INDEX('計算A'!$D$60:$EQ$104,$B11,32)*EG11=1,IF(AND($E11=2,JV11=0),1000000,IF($I11&gt;0,IF(2=$J11,IF(OR(AND(32=$I11+1,OR($K11&lt;&gt;'計算A'!$A$3,'計算A'!$A$4=0)),AND(32=$I11-1,OR(8&lt;&gt;'計算A'!$A$3,'計算A'!$A$4=0))),0,IF(8=$K11,200000,ABS(8-$K11)*100)),100000+ABS(2-$J11)*1000+80)+'計算A'!AI$5*50+IF(AND($E11=1,JV11=0),25,0),INDEX('計算A'!AI$110:AI$114,$F11+1)+IF(AND($E11=1,JV11=0),1000,0)+IF($H11=1,(IF('計算A'!AH$117=1,INDEX('計算A'!AH$10:AH$54,$B11),0)+IF('計算A'!AI$117=1,INDEX('計算A'!AJ$10:AJ$54,$B11),0))*500,0)-IF(AND('計算A'!AH$117=1,VF11&gt;0),300,0)-IF(AND($L11=1,'計算A'!AI$117=1,EH11=0),300,0))),1000000))</f>
        <v/>
      </c>
      <c r="PL11">
        <f>IF($B11=0,1000000,IF(INDEX('計算A'!$D$60:$EQ$104,$B11,33)*EH11=1,IF(AND($E11=2,JW11=0),1000000,IF($I11&gt;0,IF(2=$J11,IF(OR(AND(33=$I11+1,OR($K11&lt;&gt;'計算A'!$A$3,'計算A'!$A$4=0)),AND(33=$I11-1,OR(9&lt;&gt;'計算A'!$A$3,'計算A'!$A$4=0))),0,IF(9=$K11,200000,ABS(9-$K11)*100)),100000+ABS(2-$J11)*1000+90)+'計算A'!AJ$5*50+IF(AND($E11=1,JW11=0),25,0),INDEX('計算A'!AJ$110:AJ$114,$F11+1)+IF(AND($E11=1,JW11=0),1000,0)+IF($H11=1,(IF('計算A'!AI$117=1,INDEX('計算A'!AI$10:AI$54,$B11),0)+IF('計算A'!AJ$117=1,INDEX('計算A'!AK$10:AK$54,$B11),0))*500,0)-IF(AND('計算A'!AI$117=1,VG11&gt;0),300,0)-IF(AND($L11=1,'計算A'!AJ$117=1,EI11=0),300,0))),1000000))</f>
        <v/>
      </c>
      <c r="PM11">
        <f>IF($B11=0,1000000,IF(INDEX('計算A'!$D$60:$EQ$104,$B11,34)*EI11=1,IF(AND($E11=2,JX11=0),1000000,IF($I11&gt;0,IF(2=$J11,IF(OR(AND(34=$I11+1,OR($K11&lt;&gt;'計算A'!$A$3,'計算A'!$A$4=0)),AND(34=$I11-1,OR(10&lt;&gt;'計算A'!$A$3,'計算A'!$A$4=0))),0,IF(10=$K11,200000,ABS(10-$K11)*100)),100000+ABS(2-$J11)*1000+100)+'計算A'!AK$5*50+IF(AND($E11=1,JX11=0),25,0),INDEX('計算A'!AK$110:AK$114,$F11+1)+IF(AND($E11=1,JX11=0),1000,0)+IF($H11=1,(IF('計算A'!AJ$117=1,INDEX('計算A'!AJ$10:AJ$54,$B11),0)+IF('計算A'!AK$117=1,INDEX('計算A'!AL$10:AL$54,$B11),0))*500,0)-IF(AND('計算A'!AJ$117=1,VH11&gt;0),300,0)-IF(AND($L11=1,'計算A'!AK$117=1,EJ11=0),300,0))),1000000))</f>
        <v/>
      </c>
      <c r="PN11">
        <f>IF($B11=0,1000000,IF(INDEX('計算A'!$D$60:$EQ$104,$B11,35)*EJ11=1,IF(AND($E11=2,JY11=0),1000000,IF($I11&gt;0,IF(2=$J11,IF(OR(AND(35=$I11+1,OR($K11&lt;&gt;'計算A'!$A$3,'計算A'!$A$4=0)),AND(35=$I11-1,OR(11&lt;&gt;'計算A'!$A$3,'計算A'!$A$4=0))),0,IF(11=$K11,200000,ABS(11-$K11)*100)),100000+ABS(2-$J11)*1000+110)+'計算A'!AL$5*50+IF(AND($E11=1,JY11=0),25,0),INDEX('計算A'!AL$110:AL$114,$F11+1)+IF(AND($E11=1,JY11=0),1000,0)+IF($H11=1,(IF('計算A'!AK$117=1,INDEX('計算A'!AK$10:AK$54,$B11),0)+IF('計算A'!AL$117=1,INDEX('計算A'!AM$10:AM$54,$B11),0))*500,0)-IF(AND('計算A'!AK$117=1,VI11&gt;0),300,0)-IF(AND($L11=1,'計算A'!AL$117=1,EK11=0),300,0))),1000000))</f>
        <v/>
      </c>
      <c r="PO11">
        <f>IF($B11=0,1000000,IF(INDEX('計算A'!$D$60:$EQ$104,$B11,36)*EK11=1,IF(AND($E11=2,JZ11=0),1000000,IF($I11&gt;0,IF(2=$J11,IF(OR(AND(36=$I11+1,OR($K11&lt;&gt;'計算A'!$A$3,'計算A'!$A$4=0)),AND(36=$I11-1,OR(12&lt;&gt;'計算A'!$A$3,'計算A'!$A$4=0))),0,IF(12=$K11,200000,ABS(12-$K11)*100)),100000+ABS(2-$J11)*1000+120)+'計算A'!AM$5*50+IF(AND($E11=1,JZ11=0),25,0),INDEX('計算A'!AM$110:AM$114,$F11+1)+IF(AND($E11=1,JZ11=0),1000,0)+IF($H11=1,(IF('計算A'!AL$117=1,INDEX('計算A'!AL$10:AL$54,$B11),0)+IF('計算A'!AM$117=1,INDEX('計算A'!AN$10:AN$54,$B11),0))*500,0)-IF(AND('計算A'!AL$117=1,VJ11&gt;0),300,0)-IF(AND($L11=1,'計算A'!AM$117=1,EL11=0),300,0))),1000000))</f>
        <v/>
      </c>
      <c r="PP11">
        <f>IF($B11=0,1000000,IF(INDEX('計算A'!$D$60:$EQ$104,$B11,37)*EL11=1,IF(AND($E11=2,KA11=0),1000000,IF($I11&gt;0,IF(2=$J11,IF(OR(AND(37=$I11+1,OR($K11&lt;&gt;'計算A'!$A$3,'計算A'!$A$4=0)),AND(37=$I11-1,OR(13&lt;&gt;'計算A'!$A$3,'計算A'!$A$4=0))),0,IF(13=$K11,200000,ABS(13-$K11)*100)),100000+ABS(2-$J11)*1000+130)+'計算A'!AN$5*50+IF(AND($E11=1,KA11=0),25,0),INDEX('計算A'!AN$110:AN$114,$F11+1)+IF(AND($E11=1,KA11=0),1000,0)+IF($H11=1,(IF('計算A'!AM$117=1,INDEX('計算A'!AM$10:AM$54,$B11),0)+IF('計算A'!AN$117=1,INDEX('計算A'!AO$10:AO$54,$B11),0))*500,0)-IF(AND('計算A'!AM$117=1,VK11&gt;0),300,0)-IF(AND($L11=1,'計算A'!AN$117=1,EM11=0),300,0))),1000000))</f>
        <v/>
      </c>
      <c r="PQ11">
        <f>IF($B11=0,1000000,IF(INDEX('計算A'!$D$60:$EQ$104,$B11,38)*EM11=1,IF(AND($E11=2,KB11=0),1000000,IF($I11&gt;0,IF(2=$J11,IF(OR(AND(38=$I11+1,OR($K11&lt;&gt;'計算A'!$A$3,'計算A'!$A$4=0)),AND(38=$I11-1,OR(14&lt;&gt;'計算A'!$A$3,'計算A'!$A$4=0))),0,IF(14=$K11,200000,ABS(14-$K11)*100)),100000+ABS(2-$J11)*1000+140)+'計算A'!AO$5*50+IF(AND($E11=1,KB11=0),25,0),INDEX('計算A'!AO$110:AO$114,$F11+1)+IF(AND($E11=1,KB11=0),1000,0)+IF($H11=1,(IF('計算A'!AN$117=1,INDEX('計算A'!AN$10:AN$54,$B11),0)+IF('計算A'!AO$117=1,INDEX('計算A'!AP$10:AP$54,$B11),0))*500,0)-IF(AND('計算A'!AN$117=1,VL11&gt;0),300,0)-IF(AND($L11=1,'計算A'!AO$117=1,EN11=0),300,0))),1000000))</f>
        <v/>
      </c>
      <c r="PR11">
        <f>IF($B11=0,1000000,IF(INDEX('計算A'!$D$60:$EQ$104,$B11,39)*EN11=1,IF(AND($E11=2,KC11=0),1000000,IF($I11&gt;0,IF(2=$J11,IF(OR(AND(39=$I11+1,OR($K11&lt;&gt;'計算A'!$A$3,'計算A'!$A$4=0)),AND(39=$I11-1,OR(15&lt;&gt;'計算A'!$A$3,'計算A'!$A$4=0))),0,IF(15=$K11,200000,ABS(15-$K11)*100)),100000+ABS(2-$J11)*1000+150)+'計算A'!AP$5*50+IF(AND($E11=1,KC11=0),25,0),INDEX('計算A'!AP$110:AP$114,$F11+1)+IF(AND($E11=1,KC11=0),1000,0)+IF($H11=1,(IF('計算A'!AO$117=1,INDEX('計算A'!AO$10:AO$54,$B11),0)+IF('計算A'!AP$117=1,INDEX('計算A'!AQ$10:AQ$54,$B11),0))*500,0)-IF(AND('計算A'!AO$117=1,VM11&gt;0),300,0)-IF(AND($L11=1,'計算A'!AP$117=1,EO11=0),300,0))),1000000))</f>
        <v/>
      </c>
      <c r="PS11">
        <f>IF($B11=0,1000000,IF(INDEX('計算A'!$D$60:$EQ$104,$B11,40)*EO11=1,IF(AND($E11=2,KD11=0),1000000,IF($I11&gt;0,IF(2=$J11,IF(OR(AND(40=$I11+1,OR($K11&lt;&gt;'計算A'!$A$3,'計算A'!$A$4=0)),AND(40=$I11-1,OR(16&lt;&gt;'計算A'!$A$3,'計算A'!$A$4=0))),0,IF(16=$K11,200000,ABS(16-$K11)*100)),100000+ABS(2-$J11)*1000+160)+'計算A'!AQ$5*50+IF(AND($E11=1,KD11=0),25,0),INDEX('計算A'!AQ$110:AQ$114,$F11+1)+IF(AND($E11=1,KD11=0),1000,0)+IF($H11=1,(IF('計算A'!AP$117=1,INDEX('計算A'!AP$10:AP$54,$B11),0)+IF('計算A'!AQ$117=1,INDEX('計算A'!AR$10:AR$54,$B11),0))*500,0)-IF(AND('計算A'!AP$117=1,VN11&gt;0),300,0)-IF(AND($L11=1,'計算A'!AQ$117=1,EP11=0),300,0))),1000000))</f>
        <v/>
      </c>
      <c r="PT11">
        <f>IF($B11=0,1000000,IF(INDEX('計算A'!$D$60:$EQ$104,$B11,41)*EP11=1,IF(AND($E11=2,KE11=0),1000000,IF($I11&gt;0,IF(2=$J11,IF(OR(AND(41=$I11+1,OR($K11&lt;&gt;'計算A'!$A$3,'計算A'!$A$4=0)),AND(41=$I11-1,OR(17&lt;&gt;'計算A'!$A$3,'計算A'!$A$4=0))),0,IF(17=$K11,200000,ABS(17-$K11)*100)),100000+ABS(2-$J11)*1000+170)+'計算A'!AR$5*50+IF(AND($E11=1,KE11=0),25,0),INDEX('計算A'!AR$110:AR$114,$F11+1)+IF(AND($E11=1,KE11=0),1000,0)+IF($H11=1,(IF('計算A'!AQ$117=1,INDEX('計算A'!AQ$10:AQ$54,$B11),0)+IF('計算A'!AR$117=1,INDEX('計算A'!AS$10:AS$54,$B11),0))*500,0)-IF(AND('計算A'!AQ$117=1,VO11&gt;0),300,0)-IF(AND($L11=1,'計算A'!AR$117=1,EQ11=0),300,0))),1000000))</f>
        <v/>
      </c>
      <c r="PU11">
        <f>IF($B11=0,1000000,IF(INDEX('計算A'!$D$60:$EQ$104,$B11,42)*EQ11=1,IF(AND($E11=2,KF11=0),1000000,IF($I11&gt;0,IF(2=$J11,IF(OR(AND(42=$I11+1,OR($K11&lt;&gt;'計算A'!$A$3,'計算A'!$A$4=0)),AND(42=$I11-1,OR(18&lt;&gt;'計算A'!$A$3,'計算A'!$A$4=0))),0,IF(18=$K11,200000,ABS(18-$K11)*100)),100000+ABS(2-$J11)*1000+180)+'計算A'!AS$5*50+IF(AND($E11=1,KF11=0),25,0),INDEX('計算A'!AS$110:AS$114,$F11+1)+IF(AND($E11=1,KF11=0),1000,0)+IF($H11=1,(IF('計算A'!AR$117=1,INDEX('計算A'!AR$10:AR$54,$B11),0)+IF('計算A'!AS$117=1,INDEX('計算A'!AT$10:AT$54,$B11),0))*500,0)-IF(AND('計算A'!AR$117=1,VP11&gt;0),300,0)-IF(AND($L11=1,'計算A'!AS$117=1,ER11=0),300,0))),1000000))</f>
        <v/>
      </c>
      <c r="PV11">
        <f>IF($B11=0,1000000,IF(INDEX('計算A'!$D$60:$EQ$104,$B11,43)*ER11=1,IF(AND($E11=2,KG11=0),1000000,IF($I11&gt;0,IF(2=$J11,IF(OR(AND(43=$I11+1,OR($K11&lt;&gt;'計算A'!$A$3,'計算A'!$A$4=0)),AND(43=$I11-1,OR(19&lt;&gt;'計算A'!$A$3,'計算A'!$A$4=0))),0,IF(19=$K11,200000,ABS(19-$K11)*100)),100000+ABS(2-$J11)*1000+190)+'計算A'!AT$5*50+IF(AND($E11=1,KG11=0),25,0),INDEX('計算A'!AT$110:AT$114,$F11+1)+IF(AND($E11=1,KG11=0),1000,0)+IF($H11=1,(IF('計算A'!AS$117=1,INDEX('計算A'!AS$10:AS$54,$B11),0)+IF('計算A'!AT$117=1,INDEX('計算A'!AU$10:AU$54,$B11),0))*500,0)-IF(AND('計算A'!AS$117=1,VQ11&gt;0),300,0)-IF(AND($L11=1,'計算A'!AT$117=1,ES11=0),300,0))),1000000))</f>
        <v/>
      </c>
      <c r="PW11">
        <f>IF($B11=0,1000000,IF(INDEX('計算A'!$D$60:$EQ$104,$B11,44)*ES11=1,IF(AND($E11=2,KH11=0),1000000,IF($I11&gt;0,IF(2=$J11,IF(OR(AND(44=$I11+1,OR($K11&lt;&gt;'計算A'!$A$3,'計算A'!$A$4=0)),AND(44=$I11-1,OR(20&lt;&gt;'計算A'!$A$3,'計算A'!$A$4=0))),0,IF(20=$K11,200000,ABS(20-$K11)*100)),100000+ABS(2-$J11)*1000+200)+'計算A'!AU$5*50+IF(AND($E11=1,KH11=0),25,0),INDEX('計算A'!AU$110:AU$114,$F11+1)+IF(AND($E11=1,KH11=0),1000,0)+IF($H11=1,(IF('計算A'!AT$117=1,INDEX('計算A'!AT$10:AT$54,$B11),0)+IF('計算A'!AU$117=1,INDEX('計算A'!AV$10:AV$54,$B11),0))*500,0)-IF(AND('計算A'!AT$117=1,VR11&gt;0),300,0)-IF(AND($L11=1,'計算A'!AU$117=1,ET11=0),300,0))),1000000))</f>
        <v/>
      </c>
      <c r="PX11">
        <f>IF($B11=0,1000000,IF(INDEX('計算A'!$D$60:$EQ$104,$B11,45)*ET11=1,IF(AND($E11=2,KI11=0),1000000,IF($I11&gt;0,IF(2=$J11,IF(OR(AND(45=$I11+1,OR($K11&lt;&gt;'計算A'!$A$3,'計算A'!$A$4=0)),AND(45=$I11-1,OR(21&lt;&gt;'計算A'!$A$3,'計算A'!$A$4=0))),0,IF(21=$K11,200000,ABS(21-$K11)*100)),100000+ABS(2-$J11)*1000+210)+'計算A'!AV$5*50+IF(AND($E11=1,KI11=0),25,0),INDEX('計算A'!AV$110:AV$114,$F11+1)+IF(AND($E11=1,KI11=0),1000,0)+IF($H11=1,(IF('計算A'!AU$117=1,INDEX('計算A'!AU$10:AU$54,$B11),0)+IF('計算A'!AV$117=1,INDEX('計算A'!AW$10:AW$54,$B11),0))*500,0)-IF(AND('計算A'!AU$117=1,VS11&gt;0),300,0)-IF(AND($L11=1,'計算A'!AV$117=1,EU11=0),300,0))),1000000))</f>
        <v/>
      </c>
      <c r="PY11">
        <f>IF($B11=0,1000000,IF(INDEX('計算A'!$D$60:$EQ$104,$B11,46)*EU11=1,IF(AND($E11=2,KJ11=0),1000000,IF($I11&gt;0,IF(2=$J11,IF(OR(AND(46=$I11+1,OR($K11&lt;&gt;'計算A'!$A$3,'計算A'!$A$4=0)),AND(46=$I11-1,OR(22&lt;&gt;'計算A'!$A$3,'計算A'!$A$4=0))),0,IF(22=$K11,200000,ABS(22-$K11)*100)),100000+ABS(2-$J11)*1000+220)+'計算A'!AW$5*50+IF(AND($E11=1,KJ11=0),25,0),INDEX('計算A'!AW$110:AW$114,$F11+1)+IF(AND($E11=1,KJ11=0),1000,0)+IF($H11=1,(IF('計算A'!AV$117=1,INDEX('計算A'!AV$10:AV$54,$B11),0)+IF('計算A'!AW$117=1,INDEX('計算A'!AX$10:AX$54,$B11),0))*500,0)-IF(AND('計算A'!AV$117=1,VT11&gt;0),300,0)-IF(AND($L11=1,'計算A'!AW$117=1,EV11=0),300,0))),1000000))</f>
        <v/>
      </c>
      <c r="PZ11">
        <f>IF($B11=0,1000000,IF(INDEX('計算A'!$D$60:$EQ$104,$B11,47)*EV11=1,IF(AND($E11=2,KK11=0),1000000,IF($I11&gt;0,IF(2=$J11,IF(OR(AND(47=$I11+1,OR($K11&lt;&gt;'計算A'!$A$3,'計算A'!$A$4=0)),AND(47=$I11-1,OR(23&lt;&gt;'計算A'!$A$3,'計算A'!$A$4=0))),0,IF(23=$K11,200000,ABS(23-$K11)*100)),100000+ABS(2-$J11)*1000+230)+'計算A'!AX$5*50+IF(AND($E11=1,KK11=0),25,0),INDEX('計算A'!AX$110:AX$114,$F11+1)+IF(AND($E11=1,KK11=0),1000,0)+IF($H11=1,(IF('計算A'!AW$117=1,INDEX('計算A'!AW$10:AW$54,$B11),0)+IF('計算A'!AX$117=1,INDEX('計算A'!AY$10:AY$54,$B11),0))*500,0)-IF(AND('計算A'!AW$117=1,VU11&gt;0),300,0)-IF(AND($L11=1,'計算A'!AX$117=1,EW11=0),300,0))),1000000))</f>
        <v/>
      </c>
      <c r="QA11">
        <f>IF($B11=0,1000000,IF(INDEX('計算A'!$D$60:$EQ$104,$B11,48)*EW11=1,IF(AND($E11=2,KL11=0),1000000,IF($I11&gt;0,IF(2=$J11,IF(OR(AND(48=$I11+1,OR($K11&lt;&gt;'計算A'!$A$3,'計算A'!$A$4=0)),AND(48=$I11-1,OR(24&lt;&gt;'計算A'!$A$3,'計算A'!$A$4=0))),0,IF(24=$K11,200000,ABS(24-$K11)*100)),100000+ABS(2-$J11)*1000+240)+'計算A'!AY$5*50+IF(AND($E11=1,KL11=0),25,0),INDEX('計算A'!AY$110:AY$114,$F11+1)+IF(AND($E11=1,KL11=0),1000,0)+IF($H11=1,(IF('計算A'!AX$117=1,INDEX('計算A'!AX$10:AX$54,$B11),0))*500,0)-IF(AND('計算A'!AX$117=1,VV11&gt;0),300,0))),1000000))</f>
        <v/>
      </c>
      <c r="QB11">
        <f>IF($B11=0,1000000,IF(INDEX('計算A'!$D$60:$EQ$104,$B11,49)*EX11=1,IF(AND($E11=2,KM11=0),1000000,IF($I11&gt;0,IF(3=$J11,IF(OR(AND(49=$I11+1,OR($K11&lt;&gt;'計算A'!$A$3,'計算A'!$A$4=0)),AND(49=$I11-1,OR(1&lt;&gt;'計算A'!$A$3,'計算A'!$A$4=0))),0,IF(1=$K11,200000,ABS(1-$K11)*100)),100000+ABS(3-$J11)*1000+10)+'計算A'!AZ$5*50+IF(AND($E11=1,KM11=0),25,0),INDEX('計算A'!AZ$110:AZ$114,$F11+1)+IF(AND($E11=1,KM11=0),1000,0)+IF($H11=1,(IF('計算A'!AZ$117=1,INDEX('計算A'!BA$10:BA$54,$B11),0))*500,0)-IF(AND($L11=1,'計算A'!AZ$117=1,EY11=0),300,0))),1000000))</f>
        <v/>
      </c>
      <c r="QC11">
        <f>IF($B11=0,1000000,IF(INDEX('計算A'!$D$60:$EQ$104,$B11,50)*EY11=1,IF(AND($E11=2,KN11=0),1000000,IF($I11&gt;0,IF(3=$J11,IF(OR(AND(50=$I11+1,OR($K11&lt;&gt;'計算A'!$A$3,'計算A'!$A$4=0)),AND(50=$I11-1,OR(2&lt;&gt;'計算A'!$A$3,'計算A'!$A$4=0))),0,IF(2=$K11,200000,ABS(2-$K11)*100)),100000+ABS(3-$J11)*1000+20)+'計算A'!BA$5*50+IF(AND($E11=1,KN11=0),25,0),INDEX('計算A'!BA$110:BA$114,$F11+1)+IF(AND($E11=1,KN11=0),1000,0)+IF($H11=1,(IF('計算A'!AZ$117=1,INDEX('計算A'!AZ$10:AZ$54,$B11),0)+IF('計算A'!BA$117=1,INDEX('計算A'!BB$10:BB$54,$B11),0))*500,0)-IF(AND('計算A'!AZ$117=1,VX11&gt;0),300,0)-IF(AND($L11=1,'計算A'!BA$117=1,EZ11=0),300,0))),1000000))</f>
        <v/>
      </c>
      <c r="QD11">
        <f>IF($B11=0,1000000,IF(INDEX('計算A'!$D$60:$EQ$104,$B11,51)*EZ11=1,IF(AND($E11=2,KO11=0),1000000,IF($I11&gt;0,IF(3=$J11,IF(OR(AND(51=$I11+1,OR($K11&lt;&gt;'計算A'!$A$3,'計算A'!$A$4=0)),AND(51=$I11-1,OR(3&lt;&gt;'計算A'!$A$3,'計算A'!$A$4=0))),0,IF(3=$K11,200000,ABS(3-$K11)*100)),100000+ABS(3-$J11)*1000+30)+'計算A'!BB$5*50+IF(AND($E11=1,KO11=0),25,0),INDEX('計算A'!BB$110:BB$114,$F11+1)+IF(AND($E11=1,KO11=0),1000,0)+IF($H11=1,(IF('計算A'!BA$117=1,INDEX('計算A'!BA$10:BA$54,$B11),0)+IF('計算A'!BB$117=1,INDEX('計算A'!BC$10:BC$54,$B11),0))*500,0)-IF(AND('計算A'!BA$117=1,VY11&gt;0),300,0)-IF(AND($L11=1,'計算A'!BB$117=1,FA11=0),300,0))),1000000))</f>
        <v/>
      </c>
      <c r="QE11">
        <f>IF($B11=0,1000000,IF(INDEX('計算A'!$D$60:$EQ$104,$B11,52)*FA11=1,IF(AND($E11=2,KP11=0),1000000,IF($I11&gt;0,IF(3=$J11,IF(OR(AND(52=$I11+1,OR($K11&lt;&gt;'計算A'!$A$3,'計算A'!$A$4=0)),AND(52=$I11-1,OR(4&lt;&gt;'計算A'!$A$3,'計算A'!$A$4=0))),0,IF(4=$K11,200000,ABS(4-$K11)*100)),100000+ABS(3-$J11)*1000+40)+'計算A'!BC$5*50+IF(AND($E11=1,KP11=0),25,0),INDEX('計算A'!BC$110:BC$114,$F11+1)+IF(AND($E11=1,KP11=0),1000,0)+IF($H11=1,(IF('計算A'!BB$117=1,INDEX('計算A'!BB$10:BB$54,$B11),0)+IF('計算A'!BC$117=1,INDEX('計算A'!BD$10:BD$54,$B11),0))*500,0)-IF(AND('計算A'!BB$117=1,VZ11&gt;0),300,0)-IF(AND($L11=1,'計算A'!BC$117=1,FB11=0),300,0))),1000000))</f>
        <v/>
      </c>
      <c r="QF11">
        <f>IF($B11=0,1000000,IF(INDEX('計算A'!$D$60:$EQ$104,$B11,53)*FB11=1,IF(AND($E11=2,KQ11=0),1000000,IF($I11&gt;0,IF(3=$J11,IF(OR(AND(53=$I11+1,OR($K11&lt;&gt;'計算A'!$A$3,'計算A'!$A$4=0)),AND(53=$I11-1,OR(5&lt;&gt;'計算A'!$A$3,'計算A'!$A$4=0))),0,IF(5=$K11,200000,ABS(5-$K11)*100)),100000+ABS(3-$J11)*1000+50)+'計算A'!BD$5*50+IF(AND($E11=1,KQ11=0),25,0),INDEX('計算A'!BD$110:BD$114,$F11+1)+IF(AND($E11=1,KQ11=0),1000,0)+IF($H11=1,(IF('計算A'!BC$117=1,INDEX('計算A'!BC$10:BC$54,$B11),0)+IF('計算A'!BD$117=1,INDEX('計算A'!BE$10:BE$54,$B11),0))*500,0)-IF(AND('計算A'!BC$117=1,WA11&gt;0),300,0)-IF(AND($L11=1,'計算A'!BD$117=1,FC11=0),300,0))),1000000))</f>
        <v/>
      </c>
      <c r="QG11">
        <f>IF($B11=0,1000000,IF(INDEX('計算A'!$D$60:$EQ$104,$B11,54)*FC11=1,IF(AND($E11=2,KR11=0),1000000,IF($I11&gt;0,IF(3=$J11,IF(OR(AND(54=$I11+1,OR($K11&lt;&gt;'計算A'!$A$3,'計算A'!$A$4=0)),AND(54=$I11-1,OR(6&lt;&gt;'計算A'!$A$3,'計算A'!$A$4=0))),0,IF(6=$K11,200000,ABS(6-$K11)*100)),100000+ABS(3-$J11)*1000+60)+'計算A'!BE$5*50+IF(AND($E11=1,KR11=0),25,0),INDEX('計算A'!BE$110:BE$114,$F11+1)+IF(AND($E11=1,KR11=0),1000,0)+IF($H11=1,(IF('計算A'!BD$117=1,INDEX('計算A'!BD$10:BD$54,$B11),0)+IF('計算A'!BE$117=1,INDEX('計算A'!BF$10:BF$54,$B11),0))*500,0)-IF(AND('計算A'!BD$117=1,WB11&gt;0),300,0)-IF(AND($L11=1,'計算A'!BE$117=1,FD11=0),300,0))),1000000))</f>
        <v/>
      </c>
      <c r="QH11">
        <f>IF($B11=0,1000000,IF(INDEX('計算A'!$D$60:$EQ$104,$B11,55)*FD11=1,IF(AND($E11=2,KS11=0),1000000,IF($I11&gt;0,IF(3=$J11,IF(OR(AND(55=$I11+1,OR($K11&lt;&gt;'計算A'!$A$3,'計算A'!$A$4=0)),AND(55=$I11-1,OR(7&lt;&gt;'計算A'!$A$3,'計算A'!$A$4=0))),0,IF(7=$K11,200000,ABS(7-$K11)*100)),100000+ABS(3-$J11)*1000+70)+'計算A'!BF$5*50+IF(AND($E11=1,KS11=0),25,0),INDEX('計算A'!BF$110:BF$114,$F11+1)+IF(AND($E11=1,KS11=0),1000,0)+IF($H11=1,(IF('計算A'!BE$117=1,INDEX('計算A'!BE$10:BE$54,$B11),0)+IF('計算A'!BF$117=1,INDEX('計算A'!BG$10:BG$54,$B11),0))*500,0)-IF(AND('計算A'!BE$117=1,WC11&gt;0),300,0)-IF(AND($L11=1,'計算A'!BF$117=1,FE11=0),300,0))),1000000))</f>
        <v/>
      </c>
      <c r="QI11">
        <f>IF($B11=0,1000000,IF(INDEX('計算A'!$D$60:$EQ$104,$B11,56)*FE11=1,IF(AND($E11=2,KT11=0),1000000,IF($I11&gt;0,IF(3=$J11,IF(OR(AND(56=$I11+1,OR($K11&lt;&gt;'計算A'!$A$3,'計算A'!$A$4=0)),AND(56=$I11-1,OR(8&lt;&gt;'計算A'!$A$3,'計算A'!$A$4=0))),0,IF(8=$K11,200000,ABS(8-$K11)*100)),100000+ABS(3-$J11)*1000+80)+'計算A'!BG$5*50+IF(AND($E11=1,KT11=0),25,0),INDEX('計算A'!BG$110:BG$114,$F11+1)+IF(AND($E11=1,KT11=0),1000,0)+IF($H11=1,(IF('計算A'!BF$117=1,INDEX('計算A'!BF$10:BF$54,$B11),0)+IF('計算A'!BG$117=1,INDEX('計算A'!BH$10:BH$54,$B11),0))*500,0)-IF(AND('計算A'!BF$117=1,WD11&gt;0),300,0)-IF(AND($L11=1,'計算A'!BG$117=1,FF11=0),300,0))),1000000))</f>
        <v/>
      </c>
      <c r="QJ11">
        <f>IF($B11=0,1000000,IF(INDEX('計算A'!$D$60:$EQ$104,$B11,57)*FF11=1,IF(AND($E11=2,KU11=0),1000000,IF($I11&gt;0,IF(3=$J11,IF(OR(AND(57=$I11+1,OR($K11&lt;&gt;'計算A'!$A$3,'計算A'!$A$4=0)),AND(57=$I11-1,OR(9&lt;&gt;'計算A'!$A$3,'計算A'!$A$4=0))),0,IF(9=$K11,200000,ABS(9-$K11)*100)),100000+ABS(3-$J11)*1000+90)+'計算A'!BH$5*50+IF(AND($E11=1,KU11=0),25,0),INDEX('計算A'!BH$110:BH$114,$F11+1)+IF(AND($E11=1,KU11=0),1000,0)+IF($H11=1,(IF('計算A'!BG$117=1,INDEX('計算A'!BG$10:BG$54,$B11),0)+IF('計算A'!BH$117=1,INDEX('計算A'!BI$10:BI$54,$B11),0))*500,0)-IF(AND('計算A'!BG$117=1,WE11&gt;0),300,0)-IF(AND($L11=1,'計算A'!BH$117=1,FG11=0),300,0))),1000000))</f>
        <v/>
      </c>
      <c r="QK11">
        <f>IF($B11=0,1000000,IF(INDEX('計算A'!$D$60:$EQ$104,$B11,58)*FG11=1,IF(AND($E11=2,KV11=0),1000000,IF($I11&gt;0,IF(3=$J11,IF(OR(AND(58=$I11+1,OR($K11&lt;&gt;'計算A'!$A$3,'計算A'!$A$4=0)),AND(58=$I11-1,OR(10&lt;&gt;'計算A'!$A$3,'計算A'!$A$4=0))),0,IF(10=$K11,200000,ABS(10-$K11)*100)),100000+ABS(3-$J11)*1000+100)+'計算A'!BI$5*50+IF(AND($E11=1,KV11=0),25,0),INDEX('計算A'!BI$110:BI$114,$F11+1)+IF(AND($E11=1,KV11=0),1000,0)+IF($H11=1,(IF('計算A'!BH$117=1,INDEX('計算A'!BH$10:BH$54,$B11),0)+IF('計算A'!BI$117=1,INDEX('計算A'!BJ$10:BJ$54,$B11),0))*500,0)-IF(AND('計算A'!BH$117=1,WF11&gt;0),300,0)-IF(AND($L11=1,'計算A'!BI$117=1,FH11=0),300,0))),1000000))</f>
        <v/>
      </c>
      <c r="QL11">
        <f>IF($B11=0,1000000,IF(INDEX('計算A'!$D$60:$EQ$104,$B11,59)*FH11=1,IF(AND($E11=2,KW11=0),1000000,IF($I11&gt;0,IF(3=$J11,IF(OR(AND(59=$I11+1,OR($K11&lt;&gt;'計算A'!$A$3,'計算A'!$A$4=0)),AND(59=$I11-1,OR(11&lt;&gt;'計算A'!$A$3,'計算A'!$A$4=0))),0,IF(11=$K11,200000,ABS(11-$K11)*100)),100000+ABS(3-$J11)*1000+110)+'計算A'!BJ$5*50+IF(AND($E11=1,KW11=0),25,0),INDEX('計算A'!BJ$110:BJ$114,$F11+1)+IF(AND($E11=1,KW11=0),1000,0)+IF($H11=1,(IF('計算A'!BI$117=1,INDEX('計算A'!BI$10:BI$54,$B11),0)+IF('計算A'!BJ$117=1,INDEX('計算A'!BK$10:BK$54,$B11),0))*500,0)-IF(AND('計算A'!BI$117=1,WG11&gt;0),300,0)-IF(AND($L11=1,'計算A'!BJ$117=1,FI11=0),300,0))),1000000))</f>
        <v/>
      </c>
      <c r="QM11">
        <f>IF($B11=0,1000000,IF(INDEX('計算A'!$D$60:$EQ$104,$B11,60)*FI11=1,IF(AND($E11=2,KX11=0),1000000,IF($I11&gt;0,IF(3=$J11,IF(OR(AND(60=$I11+1,OR($K11&lt;&gt;'計算A'!$A$3,'計算A'!$A$4=0)),AND(60=$I11-1,OR(12&lt;&gt;'計算A'!$A$3,'計算A'!$A$4=0))),0,IF(12=$K11,200000,ABS(12-$K11)*100)),100000+ABS(3-$J11)*1000+120)+'計算A'!BK$5*50+IF(AND($E11=1,KX11=0),25,0),INDEX('計算A'!BK$110:BK$114,$F11+1)+IF(AND($E11=1,KX11=0),1000,0)+IF($H11=1,(IF('計算A'!BJ$117=1,INDEX('計算A'!BJ$10:BJ$54,$B11),0)+IF('計算A'!BK$117=1,INDEX('計算A'!BL$10:BL$54,$B11),0))*500,0)-IF(AND('計算A'!BJ$117=1,WH11&gt;0),300,0)-IF(AND($L11=1,'計算A'!BK$117=1,FJ11=0),300,0))),1000000))</f>
        <v/>
      </c>
      <c r="QN11">
        <f>IF($B11=0,1000000,IF(INDEX('計算A'!$D$60:$EQ$104,$B11,61)*FJ11=1,IF(AND($E11=2,KY11=0),1000000,IF($I11&gt;0,IF(3=$J11,IF(OR(AND(61=$I11+1,OR($K11&lt;&gt;'計算A'!$A$3,'計算A'!$A$4=0)),AND(61=$I11-1,OR(13&lt;&gt;'計算A'!$A$3,'計算A'!$A$4=0))),0,IF(13=$K11,200000,ABS(13-$K11)*100)),100000+ABS(3-$J11)*1000+130)+'計算A'!BL$5*50+IF(AND($E11=1,KY11=0),25,0),INDEX('計算A'!BL$110:BL$114,$F11+1)+IF(AND($E11=1,KY11=0),1000,0)+IF($H11=1,(IF('計算A'!BK$117=1,INDEX('計算A'!BK$10:BK$54,$B11),0)+IF('計算A'!BL$117=1,INDEX('計算A'!BM$10:BM$54,$B11),0))*500,0)-IF(AND('計算A'!BK$117=1,WI11&gt;0),300,0)-IF(AND($L11=1,'計算A'!BL$117=1,FK11=0),300,0))),1000000))</f>
        <v/>
      </c>
      <c r="QO11">
        <f>IF($B11=0,1000000,IF(INDEX('計算A'!$D$60:$EQ$104,$B11,62)*FK11=1,IF(AND($E11=2,KZ11=0),1000000,IF($I11&gt;0,IF(3=$J11,IF(OR(AND(62=$I11+1,OR($K11&lt;&gt;'計算A'!$A$3,'計算A'!$A$4=0)),AND(62=$I11-1,OR(14&lt;&gt;'計算A'!$A$3,'計算A'!$A$4=0))),0,IF(14=$K11,200000,ABS(14-$K11)*100)),100000+ABS(3-$J11)*1000+140)+'計算A'!BM$5*50+IF(AND($E11=1,KZ11=0),25,0),INDEX('計算A'!BM$110:BM$114,$F11+1)+IF(AND($E11=1,KZ11=0),1000,0)+IF($H11=1,(IF('計算A'!BL$117=1,INDEX('計算A'!BL$10:BL$54,$B11),0)+IF('計算A'!BM$117=1,INDEX('計算A'!BN$10:BN$54,$B11),0))*500,0)-IF(AND('計算A'!BL$117=1,WJ11&gt;0),300,0)-IF(AND($L11=1,'計算A'!BM$117=1,FL11=0),300,0))),1000000))</f>
        <v/>
      </c>
      <c r="QP11">
        <f>IF($B11=0,1000000,IF(INDEX('計算A'!$D$60:$EQ$104,$B11,63)*FL11=1,IF(AND($E11=2,LA11=0),1000000,IF($I11&gt;0,IF(3=$J11,IF(OR(AND(63=$I11+1,OR($K11&lt;&gt;'計算A'!$A$3,'計算A'!$A$4=0)),AND(63=$I11-1,OR(15&lt;&gt;'計算A'!$A$3,'計算A'!$A$4=0))),0,IF(15=$K11,200000,ABS(15-$K11)*100)),100000+ABS(3-$J11)*1000+150)+'計算A'!BN$5*50+IF(AND($E11=1,LA11=0),25,0),INDEX('計算A'!BN$110:BN$114,$F11+1)+IF(AND($E11=1,LA11=0),1000,0)+IF($H11=1,(IF('計算A'!BM$117=1,INDEX('計算A'!BM$10:BM$54,$B11),0)+IF('計算A'!BN$117=1,INDEX('計算A'!BO$10:BO$54,$B11),0))*500,0)-IF(AND('計算A'!BM$117=1,WK11&gt;0),300,0)-IF(AND($L11=1,'計算A'!BN$117=1,FM11=0),300,0))),1000000))</f>
        <v/>
      </c>
      <c r="QQ11">
        <f>IF($B11=0,1000000,IF(INDEX('計算A'!$D$60:$EQ$104,$B11,64)*FM11=1,IF(AND($E11=2,LB11=0),1000000,IF($I11&gt;0,IF(3=$J11,IF(OR(AND(64=$I11+1,OR($K11&lt;&gt;'計算A'!$A$3,'計算A'!$A$4=0)),AND(64=$I11-1,OR(16&lt;&gt;'計算A'!$A$3,'計算A'!$A$4=0))),0,IF(16=$K11,200000,ABS(16-$K11)*100)),100000+ABS(3-$J11)*1000+160)+'計算A'!BO$5*50+IF(AND($E11=1,LB11=0),25,0),INDEX('計算A'!BO$110:BO$114,$F11+1)+IF(AND($E11=1,LB11=0),1000,0)+IF($H11=1,(IF('計算A'!BN$117=1,INDEX('計算A'!BN$10:BN$54,$B11),0)+IF('計算A'!BO$117=1,INDEX('計算A'!BP$10:BP$54,$B11),0))*500,0)-IF(AND('計算A'!BN$117=1,WL11&gt;0),300,0)-IF(AND($L11=1,'計算A'!BO$117=1,FN11=0),300,0))),1000000))</f>
        <v/>
      </c>
      <c r="QR11">
        <f>IF($B11=0,1000000,IF(INDEX('計算A'!$D$60:$EQ$104,$B11,65)*FN11=1,IF(AND($E11=2,LC11=0),1000000,IF($I11&gt;0,IF(3=$J11,IF(OR(AND(65=$I11+1,OR($K11&lt;&gt;'計算A'!$A$3,'計算A'!$A$4=0)),AND(65=$I11-1,OR(17&lt;&gt;'計算A'!$A$3,'計算A'!$A$4=0))),0,IF(17=$K11,200000,ABS(17-$K11)*100)),100000+ABS(3-$J11)*1000+170)+'計算A'!BP$5*50+IF(AND($E11=1,LC11=0),25,0),INDEX('計算A'!BP$110:BP$114,$F11+1)+IF(AND($E11=1,LC11=0),1000,0)+IF($H11=1,(IF('計算A'!BO$117=1,INDEX('計算A'!BO$10:BO$54,$B11),0)+IF('計算A'!BP$117=1,INDEX('計算A'!BQ$10:BQ$54,$B11),0))*500,0)-IF(AND('計算A'!BO$117=1,WM11&gt;0),300,0)-IF(AND($L11=1,'計算A'!BP$117=1,FO11=0),300,0))),1000000))</f>
        <v/>
      </c>
      <c r="QS11">
        <f>IF($B11=0,1000000,IF(INDEX('計算A'!$D$60:$EQ$104,$B11,66)*FO11=1,IF(AND($E11=2,LD11=0),1000000,IF($I11&gt;0,IF(3=$J11,IF(OR(AND(66=$I11+1,OR($K11&lt;&gt;'計算A'!$A$3,'計算A'!$A$4=0)),AND(66=$I11-1,OR(18&lt;&gt;'計算A'!$A$3,'計算A'!$A$4=0))),0,IF(18=$K11,200000,ABS(18-$K11)*100)),100000+ABS(3-$J11)*1000+180)+'計算A'!BQ$5*50+IF(AND($E11=1,LD11=0),25,0),INDEX('計算A'!BQ$110:BQ$114,$F11+1)+IF(AND($E11=1,LD11=0),1000,0)+IF($H11=1,(IF('計算A'!BP$117=1,INDEX('計算A'!BP$10:BP$54,$B11),0)+IF('計算A'!BQ$117=1,INDEX('計算A'!BR$10:BR$54,$B11),0))*500,0)-IF(AND('計算A'!BP$117=1,WN11&gt;0),300,0)-IF(AND($L11=1,'計算A'!BQ$117=1,FP11=0),300,0))),1000000))</f>
        <v/>
      </c>
      <c r="QT11">
        <f>IF($B11=0,1000000,IF(INDEX('計算A'!$D$60:$EQ$104,$B11,67)*FP11=1,IF(AND($E11=2,LE11=0),1000000,IF($I11&gt;0,IF(3=$J11,IF(OR(AND(67=$I11+1,OR($K11&lt;&gt;'計算A'!$A$3,'計算A'!$A$4=0)),AND(67=$I11-1,OR(19&lt;&gt;'計算A'!$A$3,'計算A'!$A$4=0))),0,IF(19=$K11,200000,ABS(19-$K11)*100)),100000+ABS(3-$J11)*1000+190)+'計算A'!BR$5*50+IF(AND($E11=1,LE11=0),25,0),INDEX('計算A'!BR$110:BR$114,$F11+1)+IF(AND($E11=1,LE11=0),1000,0)+IF($H11=1,(IF('計算A'!BQ$117=1,INDEX('計算A'!BQ$10:BQ$54,$B11),0)+IF('計算A'!BR$117=1,INDEX('計算A'!BS$10:BS$54,$B11),0))*500,0)-IF(AND('計算A'!BQ$117=1,WO11&gt;0),300,0)-IF(AND($L11=1,'計算A'!BR$117=1,FQ11=0),300,0))),1000000))</f>
        <v/>
      </c>
      <c r="QU11">
        <f>IF($B11=0,1000000,IF(INDEX('計算A'!$D$60:$EQ$104,$B11,68)*FQ11=1,IF(AND($E11=2,LF11=0),1000000,IF($I11&gt;0,IF(3=$J11,IF(OR(AND(68=$I11+1,OR($K11&lt;&gt;'計算A'!$A$3,'計算A'!$A$4=0)),AND(68=$I11-1,OR(20&lt;&gt;'計算A'!$A$3,'計算A'!$A$4=0))),0,IF(20=$K11,200000,ABS(20-$K11)*100)),100000+ABS(3-$J11)*1000+200)+'計算A'!BS$5*50+IF(AND($E11=1,LF11=0),25,0),INDEX('計算A'!BS$110:BS$114,$F11+1)+IF(AND($E11=1,LF11=0),1000,0)+IF($H11=1,(IF('計算A'!BR$117=1,INDEX('計算A'!BR$10:BR$54,$B11),0)+IF('計算A'!BS$117=1,INDEX('計算A'!BT$10:BT$54,$B11),0))*500,0)-IF(AND('計算A'!BR$117=1,WP11&gt;0),300,0)-IF(AND($L11=1,'計算A'!BS$117=1,FR11=0),300,0))),1000000))</f>
        <v/>
      </c>
      <c r="QV11">
        <f>IF($B11=0,1000000,IF(INDEX('計算A'!$D$60:$EQ$104,$B11,69)*FR11=1,IF(AND($E11=2,LG11=0),1000000,IF($I11&gt;0,IF(3=$J11,IF(OR(AND(69=$I11+1,OR($K11&lt;&gt;'計算A'!$A$3,'計算A'!$A$4=0)),AND(69=$I11-1,OR(21&lt;&gt;'計算A'!$A$3,'計算A'!$A$4=0))),0,IF(21=$K11,200000,ABS(21-$K11)*100)),100000+ABS(3-$J11)*1000+210)+'計算A'!BT$5*50+IF(AND($E11=1,LG11=0),25,0),INDEX('計算A'!BT$110:BT$114,$F11+1)+IF(AND($E11=1,LG11=0),1000,0)+IF($H11=1,(IF('計算A'!BS$117=1,INDEX('計算A'!BS$10:BS$54,$B11),0)+IF('計算A'!BT$117=1,INDEX('計算A'!BU$10:BU$54,$B11),0))*500,0)-IF(AND('計算A'!BS$117=1,WQ11&gt;0),300,0)-IF(AND($L11=1,'計算A'!BT$117=1,FS11=0),300,0))),1000000))</f>
        <v/>
      </c>
      <c r="QW11">
        <f>IF($B11=0,1000000,IF(INDEX('計算A'!$D$60:$EQ$104,$B11,70)*FS11=1,IF(AND($E11=2,LH11=0),1000000,IF($I11&gt;0,IF(3=$J11,IF(OR(AND(70=$I11+1,OR($K11&lt;&gt;'計算A'!$A$3,'計算A'!$A$4=0)),AND(70=$I11-1,OR(22&lt;&gt;'計算A'!$A$3,'計算A'!$A$4=0))),0,IF(22=$K11,200000,ABS(22-$K11)*100)),100000+ABS(3-$J11)*1000+220)+'計算A'!BU$5*50+IF(AND($E11=1,LH11=0),25,0),INDEX('計算A'!BU$110:BU$114,$F11+1)+IF(AND($E11=1,LH11=0),1000,0)+IF($H11=1,(IF('計算A'!BT$117=1,INDEX('計算A'!BT$10:BT$54,$B11),0)+IF('計算A'!BU$117=1,INDEX('計算A'!BV$10:BV$54,$B11),0))*500,0)-IF(AND('計算A'!BT$117=1,WR11&gt;0),300,0)-IF(AND($L11=1,'計算A'!BU$117=1,FT11=0),300,0))),1000000))</f>
        <v/>
      </c>
      <c r="QX11">
        <f>IF($B11=0,1000000,IF(INDEX('計算A'!$D$60:$EQ$104,$B11,71)*FT11=1,IF(AND($E11=2,LI11=0),1000000,IF($I11&gt;0,IF(3=$J11,IF(OR(AND(71=$I11+1,OR($K11&lt;&gt;'計算A'!$A$3,'計算A'!$A$4=0)),AND(71=$I11-1,OR(23&lt;&gt;'計算A'!$A$3,'計算A'!$A$4=0))),0,IF(23=$K11,200000,ABS(23-$K11)*100)),100000+ABS(3-$J11)*1000+230)+'計算A'!BV$5*50+IF(AND($E11=1,LI11=0),25,0),INDEX('計算A'!BV$110:BV$114,$F11+1)+IF(AND($E11=1,LI11=0),1000,0)+IF($H11=1,(IF('計算A'!BU$117=1,INDEX('計算A'!BU$10:BU$54,$B11),0)+IF('計算A'!BV$117=1,INDEX('計算A'!BW$10:BW$54,$B11),0))*500,0)-IF(AND('計算A'!BU$117=1,WS11&gt;0),300,0)-IF(AND($L11=1,'計算A'!BV$117=1,FU11=0),300,0))),1000000))</f>
        <v/>
      </c>
      <c r="QY11">
        <f>IF($B11=0,1000000,IF(INDEX('計算A'!$D$60:$EQ$104,$B11,72)*FU11=1,IF(AND($E11=2,LJ11=0),1000000,IF($I11&gt;0,IF(3=$J11,IF(OR(AND(72=$I11+1,OR($K11&lt;&gt;'計算A'!$A$3,'計算A'!$A$4=0)),AND(72=$I11-1,OR(24&lt;&gt;'計算A'!$A$3,'計算A'!$A$4=0))),0,IF(24=$K11,200000,ABS(24-$K11)*100)),100000+ABS(3-$J11)*1000+240)+'計算A'!BW$5*50+IF(AND($E11=1,LJ11=0),25,0),INDEX('計算A'!BW$110:BW$114,$F11+1)+IF(AND($E11=1,LJ11=0),1000,0)+IF($H11=1,(IF('計算A'!BV$117=1,INDEX('計算A'!BV$10:BV$54,$B11),0))*500,0)-IF(AND('計算A'!BV$117=1,WT11&gt;0),300,0))),1000000))</f>
        <v/>
      </c>
      <c r="QZ11">
        <f>IF($B11=0,1000000,IF(INDEX('計算A'!$D$60:$EQ$104,$B11,73)*FV11=1,IF(AND($E11=2,LK11=0),1000000,IF($I11&gt;0,IF(4=$J11,IF(OR(AND(73=$I11+1,OR($K11&lt;&gt;'計算A'!$A$3,'計算A'!$A$4=0)),AND(73=$I11-1,OR(1&lt;&gt;'計算A'!$A$3,'計算A'!$A$4=0))),0,IF(1=$K11,200000,ABS(1-$K11)*100)),100000+ABS(4-$J11)*1000+10)+'計算A'!BX$5*50+IF(AND($E11=1,LK11=0),25,0),INDEX('計算A'!BX$110:BX$114,$F11+1)+IF(AND($E11=1,LK11=0),1000,0)+IF($H11=1,(IF('計算A'!BX$117=1,INDEX('計算A'!BY$10:BY$54,$B11),0))*500,0)-IF(AND($L11=1,'計算A'!BX$117=1,FW11=0),300,0))),1000000))</f>
        <v/>
      </c>
      <c r="RA11">
        <f>IF($B11=0,1000000,IF(INDEX('計算A'!$D$60:$EQ$104,$B11,74)*FW11=1,IF(AND($E11=2,LL11=0),1000000,IF($I11&gt;0,IF(4=$J11,IF(OR(AND(74=$I11+1,OR($K11&lt;&gt;'計算A'!$A$3,'計算A'!$A$4=0)),AND(74=$I11-1,OR(2&lt;&gt;'計算A'!$A$3,'計算A'!$A$4=0))),0,IF(2=$K11,200000,ABS(2-$K11)*100)),100000+ABS(4-$J11)*1000+20)+'計算A'!BY$5*50+IF(AND($E11=1,LL11=0),25,0),INDEX('計算A'!BY$110:BY$114,$F11+1)+IF(AND($E11=1,LL11=0),1000,0)+IF($H11=1,(IF('計算A'!BX$117=1,INDEX('計算A'!BX$10:BX$54,$B11),0)+IF('計算A'!BY$117=1,INDEX('計算A'!BZ$10:BZ$54,$B11),0))*500,0)-IF(AND('計算A'!BX$117=1,WV11&gt;0),300,0)-IF(AND($L11=1,'計算A'!BY$117=1,FX11=0),300,0))),1000000))</f>
        <v/>
      </c>
      <c r="RB11">
        <f>IF($B11=0,1000000,IF(INDEX('計算A'!$D$60:$EQ$104,$B11,75)*FX11=1,IF(AND($E11=2,LM11=0),1000000,IF($I11&gt;0,IF(4=$J11,IF(OR(AND(75=$I11+1,OR($K11&lt;&gt;'計算A'!$A$3,'計算A'!$A$4=0)),AND(75=$I11-1,OR(3&lt;&gt;'計算A'!$A$3,'計算A'!$A$4=0))),0,IF(3=$K11,200000,ABS(3-$K11)*100)),100000+ABS(4-$J11)*1000+30)+'計算A'!BZ$5*50+IF(AND($E11=1,LM11=0),25,0),INDEX('計算A'!BZ$110:BZ$114,$F11+1)+IF(AND($E11=1,LM11=0),1000,0)+IF($H11=1,(IF('計算A'!BY$117=1,INDEX('計算A'!BY$10:BY$54,$B11),0)+IF('計算A'!BZ$117=1,INDEX('計算A'!CA$10:CA$54,$B11),0))*500,0)-IF(AND('計算A'!BY$117=1,WW11&gt;0),300,0)-IF(AND($L11=1,'計算A'!BZ$117=1,FY11=0),300,0))),1000000))</f>
        <v/>
      </c>
      <c r="RC11">
        <f>IF($B11=0,1000000,IF(INDEX('計算A'!$D$60:$EQ$104,$B11,76)*FY11=1,IF(AND($E11=2,LN11=0),1000000,IF($I11&gt;0,IF(4=$J11,IF(OR(AND(76=$I11+1,OR($K11&lt;&gt;'計算A'!$A$3,'計算A'!$A$4=0)),AND(76=$I11-1,OR(4&lt;&gt;'計算A'!$A$3,'計算A'!$A$4=0))),0,IF(4=$K11,200000,ABS(4-$K11)*100)),100000+ABS(4-$J11)*1000+40)+'計算A'!CA$5*50+IF(AND($E11=1,LN11=0),25,0),INDEX('計算A'!CA$110:CA$114,$F11+1)+IF(AND($E11=1,LN11=0),1000,0)+IF($H11=1,(IF('計算A'!BZ$117=1,INDEX('計算A'!BZ$10:BZ$54,$B11),0)+IF('計算A'!CA$117=1,INDEX('計算A'!CB$10:CB$54,$B11),0))*500,0)-IF(AND('計算A'!BZ$117=1,WX11&gt;0),300,0)-IF(AND($L11=1,'計算A'!CA$117=1,FZ11=0),300,0))),1000000))</f>
        <v/>
      </c>
      <c r="RD11">
        <f>IF($B11=0,1000000,IF(INDEX('計算A'!$D$60:$EQ$104,$B11,77)*FZ11=1,IF(AND($E11=2,LO11=0),1000000,IF($I11&gt;0,IF(4=$J11,IF(OR(AND(77=$I11+1,OR($K11&lt;&gt;'計算A'!$A$3,'計算A'!$A$4=0)),AND(77=$I11-1,OR(5&lt;&gt;'計算A'!$A$3,'計算A'!$A$4=0))),0,IF(5=$K11,200000,ABS(5-$K11)*100)),100000+ABS(4-$J11)*1000+50)+'計算A'!CB$5*50+IF(AND($E11=1,LO11=0),25,0),INDEX('計算A'!CB$110:CB$114,$F11+1)+IF(AND($E11=1,LO11=0),1000,0)+IF($H11=1,(IF('計算A'!CA$117=1,INDEX('計算A'!CA$10:CA$54,$B11),0)+IF('計算A'!CB$117=1,INDEX('計算A'!CC$10:CC$54,$B11),0))*500,0)-IF(AND('計算A'!CA$117=1,WY11&gt;0),300,0)-IF(AND($L11=1,'計算A'!CB$117=1,GA11=0),300,0))),1000000))</f>
        <v/>
      </c>
      <c r="RE11">
        <f>IF($B11=0,1000000,IF(INDEX('計算A'!$D$60:$EQ$104,$B11,78)*GA11=1,IF(AND($E11=2,LP11=0),1000000,IF($I11&gt;0,IF(4=$J11,IF(OR(AND(78=$I11+1,OR($K11&lt;&gt;'計算A'!$A$3,'計算A'!$A$4=0)),AND(78=$I11-1,OR(6&lt;&gt;'計算A'!$A$3,'計算A'!$A$4=0))),0,IF(6=$K11,200000,ABS(6-$K11)*100)),100000+ABS(4-$J11)*1000+60)+'計算A'!CC$5*50+IF(AND($E11=1,LP11=0),25,0),INDEX('計算A'!CC$110:CC$114,$F11+1)+IF(AND($E11=1,LP11=0),1000,0)+IF($H11=1,(IF('計算A'!CB$117=1,INDEX('計算A'!CB$10:CB$54,$B11),0)+IF('計算A'!CC$117=1,INDEX('計算A'!CD$10:CD$54,$B11),0))*500,0)-IF(AND('計算A'!CB$117=1,WZ11&gt;0),300,0)-IF(AND($L11=1,'計算A'!CC$117=1,GB11=0),300,0))),1000000))</f>
        <v/>
      </c>
      <c r="RF11">
        <f>IF($B11=0,1000000,IF(INDEX('計算A'!$D$60:$EQ$104,$B11,79)*GB11=1,IF(AND($E11=2,LQ11=0),1000000,IF($I11&gt;0,IF(4=$J11,IF(OR(AND(79=$I11+1,OR($K11&lt;&gt;'計算A'!$A$3,'計算A'!$A$4=0)),AND(79=$I11-1,OR(7&lt;&gt;'計算A'!$A$3,'計算A'!$A$4=0))),0,IF(7=$K11,200000,ABS(7-$K11)*100)),100000+ABS(4-$J11)*1000+70)+'計算A'!CD$5*50+IF(AND($E11=1,LQ11=0),25,0),INDEX('計算A'!CD$110:CD$114,$F11+1)+IF(AND($E11=1,LQ11=0),1000,0)+IF($H11=1,(IF('計算A'!CC$117=1,INDEX('計算A'!CC$10:CC$54,$B11),0)+IF('計算A'!CD$117=1,INDEX('計算A'!CE$10:CE$54,$B11),0))*500,0)-IF(AND('計算A'!CC$117=1,XA11&gt;0),300,0)-IF(AND($L11=1,'計算A'!CD$117=1,GC11=0),300,0))),1000000))</f>
        <v/>
      </c>
      <c r="RG11">
        <f>IF($B11=0,1000000,IF(INDEX('計算A'!$D$60:$EQ$104,$B11,80)*GC11=1,IF(AND($E11=2,LR11=0),1000000,IF($I11&gt;0,IF(4=$J11,IF(OR(AND(80=$I11+1,OR($K11&lt;&gt;'計算A'!$A$3,'計算A'!$A$4=0)),AND(80=$I11-1,OR(8&lt;&gt;'計算A'!$A$3,'計算A'!$A$4=0))),0,IF(8=$K11,200000,ABS(8-$K11)*100)),100000+ABS(4-$J11)*1000+80)+'計算A'!CE$5*50+IF(AND($E11=1,LR11=0),25,0),INDEX('計算A'!CE$110:CE$114,$F11+1)+IF(AND($E11=1,LR11=0),1000,0)+IF($H11=1,(IF('計算A'!CD$117=1,INDEX('計算A'!CD$10:CD$54,$B11),0)+IF('計算A'!CE$117=1,INDEX('計算A'!CF$10:CF$54,$B11),0))*500,0)-IF(AND('計算A'!CD$117=1,XB11&gt;0),300,0)-IF(AND($L11=1,'計算A'!CE$117=1,GD11=0),300,0))),1000000))</f>
        <v/>
      </c>
      <c r="RH11">
        <f>IF($B11=0,1000000,IF(INDEX('計算A'!$D$60:$EQ$104,$B11,81)*GD11=1,IF(AND($E11=2,LS11=0),1000000,IF($I11&gt;0,IF(4=$J11,IF(OR(AND(81=$I11+1,OR($K11&lt;&gt;'計算A'!$A$3,'計算A'!$A$4=0)),AND(81=$I11-1,OR(9&lt;&gt;'計算A'!$A$3,'計算A'!$A$4=0))),0,IF(9=$K11,200000,ABS(9-$K11)*100)),100000+ABS(4-$J11)*1000+90)+'計算A'!CF$5*50+IF(AND($E11=1,LS11=0),25,0),INDEX('計算A'!CF$110:CF$114,$F11+1)+IF(AND($E11=1,LS11=0),1000,0)+IF($H11=1,(IF('計算A'!CE$117=1,INDEX('計算A'!CE$10:CE$54,$B11),0)+IF('計算A'!CF$117=1,INDEX('計算A'!CG$10:CG$54,$B11),0))*500,0)-IF(AND('計算A'!CE$117=1,XC11&gt;0),300,0)-IF(AND($L11=1,'計算A'!CF$117=1,GE11=0),300,0))),1000000))</f>
        <v/>
      </c>
      <c r="RI11">
        <f>IF($B11=0,1000000,IF(INDEX('計算A'!$D$60:$EQ$104,$B11,82)*GE11=1,IF(AND($E11=2,LT11=0),1000000,IF($I11&gt;0,IF(4=$J11,IF(OR(AND(82=$I11+1,OR($K11&lt;&gt;'計算A'!$A$3,'計算A'!$A$4=0)),AND(82=$I11-1,OR(10&lt;&gt;'計算A'!$A$3,'計算A'!$A$4=0))),0,IF(10=$K11,200000,ABS(10-$K11)*100)),100000+ABS(4-$J11)*1000+100)+'計算A'!CG$5*50+IF(AND($E11=1,LT11=0),25,0),INDEX('計算A'!CG$110:CG$114,$F11+1)+IF(AND($E11=1,LT11=0),1000,0)+IF($H11=1,(IF('計算A'!CF$117=1,INDEX('計算A'!CF$10:CF$54,$B11),0)+IF('計算A'!CG$117=1,INDEX('計算A'!CH$10:CH$54,$B11),0))*500,0)-IF(AND('計算A'!CF$117=1,XD11&gt;0),300,0)-IF(AND($L11=1,'計算A'!CG$117=1,GF11=0),300,0))),1000000))</f>
        <v/>
      </c>
      <c r="RJ11">
        <f>IF($B11=0,1000000,IF(INDEX('計算A'!$D$60:$EQ$104,$B11,83)*GF11=1,IF(AND($E11=2,LU11=0),1000000,IF($I11&gt;0,IF(4=$J11,IF(OR(AND(83=$I11+1,OR($K11&lt;&gt;'計算A'!$A$3,'計算A'!$A$4=0)),AND(83=$I11-1,OR(11&lt;&gt;'計算A'!$A$3,'計算A'!$A$4=0))),0,IF(11=$K11,200000,ABS(11-$K11)*100)),100000+ABS(4-$J11)*1000+110)+'計算A'!CH$5*50+IF(AND($E11=1,LU11=0),25,0),INDEX('計算A'!CH$110:CH$114,$F11+1)+IF(AND($E11=1,LU11=0),1000,0)+IF($H11=1,(IF('計算A'!CG$117=1,INDEX('計算A'!CG$10:CG$54,$B11),0)+IF('計算A'!CH$117=1,INDEX('計算A'!CI$10:CI$54,$B11),0))*500,0)-IF(AND('計算A'!CG$117=1,XE11&gt;0),300,0)-IF(AND($L11=1,'計算A'!CH$117=1,GG11=0),300,0))),1000000))</f>
        <v/>
      </c>
      <c r="RK11">
        <f>IF($B11=0,1000000,IF(INDEX('計算A'!$D$60:$EQ$104,$B11,84)*GG11=1,IF(AND($E11=2,LV11=0),1000000,IF($I11&gt;0,IF(4=$J11,IF(OR(AND(84=$I11+1,OR($K11&lt;&gt;'計算A'!$A$3,'計算A'!$A$4=0)),AND(84=$I11-1,OR(12&lt;&gt;'計算A'!$A$3,'計算A'!$A$4=0))),0,IF(12=$K11,200000,ABS(12-$K11)*100)),100000+ABS(4-$J11)*1000+120)+'計算A'!CI$5*50+IF(AND($E11=1,LV11=0),25,0),INDEX('計算A'!CI$110:CI$114,$F11+1)+IF(AND($E11=1,LV11=0),1000,0)+IF($H11=1,(IF('計算A'!CH$117=1,INDEX('計算A'!CH$10:CH$54,$B11),0)+IF('計算A'!CI$117=1,INDEX('計算A'!CJ$10:CJ$54,$B11),0))*500,0)-IF(AND('計算A'!CH$117=1,XF11&gt;0),300,0)-IF(AND($L11=1,'計算A'!CI$117=1,GH11=0),300,0))),1000000))</f>
        <v/>
      </c>
      <c r="RL11">
        <f>IF($B11=0,1000000,IF(INDEX('計算A'!$D$60:$EQ$104,$B11,85)*GH11=1,IF(AND($E11=2,LW11=0),1000000,IF($I11&gt;0,IF(4=$J11,IF(OR(AND(85=$I11+1,OR($K11&lt;&gt;'計算A'!$A$3,'計算A'!$A$4=0)),AND(85=$I11-1,OR(13&lt;&gt;'計算A'!$A$3,'計算A'!$A$4=0))),0,IF(13=$K11,200000,ABS(13-$K11)*100)),100000+ABS(4-$J11)*1000+130)+'計算A'!CJ$5*50+IF(AND($E11=1,LW11=0),25,0),INDEX('計算A'!CJ$110:CJ$114,$F11+1)+IF(AND($E11=1,LW11=0),1000,0)+IF($H11=1,(IF('計算A'!CI$117=1,INDEX('計算A'!CI$10:CI$54,$B11),0)+IF('計算A'!CJ$117=1,INDEX('計算A'!CK$10:CK$54,$B11),0))*500,0)-IF(AND('計算A'!CI$117=1,XG11&gt;0),300,0)-IF(AND($L11=1,'計算A'!CJ$117=1,GI11=0),300,0))),1000000))</f>
        <v/>
      </c>
      <c r="RM11">
        <f>IF($B11=0,1000000,IF(INDEX('計算A'!$D$60:$EQ$104,$B11,86)*GI11=1,IF(AND($E11=2,LX11=0),1000000,IF($I11&gt;0,IF(4=$J11,IF(OR(AND(86=$I11+1,OR($K11&lt;&gt;'計算A'!$A$3,'計算A'!$A$4=0)),AND(86=$I11-1,OR(14&lt;&gt;'計算A'!$A$3,'計算A'!$A$4=0))),0,IF(14=$K11,200000,ABS(14-$K11)*100)),100000+ABS(4-$J11)*1000+140)+'計算A'!CK$5*50+IF(AND($E11=1,LX11=0),25,0),INDEX('計算A'!CK$110:CK$114,$F11+1)+IF(AND($E11=1,LX11=0),1000,0)+IF($H11=1,(IF('計算A'!CJ$117=1,INDEX('計算A'!CJ$10:CJ$54,$B11),0)+IF('計算A'!CK$117=1,INDEX('計算A'!CL$10:CL$54,$B11),0))*500,0)-IF(AND('計算A'!CJ$117=1,XH11&gt;0),300,0)-IF(AND($L11=1,'計算A'!CK$117=1,GJ11=0),300,0))),1000000))</f>
        <v/>
      </c>
      <c r="RN11">
        <f>IF($B11=0,1000000,IF(INDEX('計算A'!$D$60:$EQ$104,$B11,87)*GJ11=1,IF(AND($E11=2,LY11=0),1000000,IF($I11&gt;0,IF(4=$J11,IF(OR(AND(87=$I11+1,OR($K11&lt;&gt;'計算A'!$A$3,'計算A'!$A$4=0)),AND(87=$I11-1,OR(15&lt;&gt;'計算A'!$A$3,'計算A'!$A$4=0))),0,IF(15=$K11,200000,ABS(15-$K11)*100)),100000+ABS(4-$J11)*1000+150)+'計算A'!CL$5*50+IF(AND($E11=1,LY11=0),25,0),INDEX('計算A'!CL$110:CL$114,$F11+1)+IF(AND($E11=1,LY11=0),1000,0)+IF($H11=1,(IF('計算A'!CK$117=1,INDEX('計算A'!CK$10:CK$54,$B11),0)+IF('計算A'!CL$117=1,INDEX('計算A'!CM$10:CM$54,$B11),0))*500,0)-IF(AND('計算A'!CK$117=1,XI11&gt;0),300,0)-IF(AND($L11=1,'計算A'!CL$117=1,GK11=0),300,0))),1000000))</f>
        <v/>
      </c>
      <c r="RO11">
        <f>IF($B11=0,1000000,IF(INDEX('計算A'!$D$60:$EQ$104,$B11,88)*GK11=1,IF(AND($E11=2,LZ11=0),1000000,IF($I11&gt;0,IF(4=$J11,IF(OR(AND(88=$I11+1,OR($K11&lt;&gt;'計算A'!$A$3,'計算A'!$A$4=0)),AND(88=$I11-1,OR(16&lt;&gt;'計算A'!$A$3,'計算A'!$A$4=0))),0,IF(16=$K11,200000,ABS(16-$K11)*100)),100000+ABS(4-$J11)*1000+160)+'計算A'!CM$5*50+IF(AND($E11=1,LZ11=0),25,0),INDEX('計算A'!CM$110:CM$114,$F11+1)+IF(AND($E11=1,LZ11=0),1000,0)+IF($H11=1,(IF('計算A'!CL$117=1,INDEX('計算A'!CL$10:CL$54,$B11),0)+IF('計算A'!CM$117=1,INDEX('計算A'!CN$10:CN$54,$B11),0))*500,0)-IF(AND('計算A'!CL$117=1,XJ11&gt;0),300,0)-IF(AND($L11=1,'計算A'!CM$117=1,GL11=0),300,0))),1000000))</f>
        <v/>
      </c>
      <c r="RP11">
        <f>IF($B11=0,1000000,IF(INDEX('計算A'!$D$60:$EQ$104,$B11,89)*GL11=1,IF(AND($E11=2,MA11=0),1000000,IF($I11&gt;0,IF(4=$J11,IF(OR(AND(89=$I11+1,OR($K11&lt;&gt;'計算A'!$A$3,'計算A'!$A$4=0)),AND(89=$I11-1,OR(17&lt;&gt;'計算A'!$A$3,'計算A'!$A$4=0))),0,IF(17=$K11,200000,ABS(17-$K11)*100)),100000+ABS(4-$J11)*1000+170)+'計算A'!CN$5*50+IF(AND($E11=1,MA11=0),25,0),INDEX('計算A'!CN$110:CN$114,$F11+1)+IF(AND($E11=1,MA11=0),1000,0)+IF($H11=1,(IF('計算A'!CM$117=1,INDEX('計算A'!CM$10:CM$54,$B11),0)+IF('計算A'!CN$117=1,INDEX('計算A'!CO$10:CO$54,$B11),0))*500,0)-IF(AND('計算A'!CM$117=1,XK11&gt;0),300,0)-IF(AND($L11=1,'計算A'!CN$117=1,GM11=0),300,0))),1000000))</f>
        <v/>
      </c>
      <c r="RQ11">
        <f>IF($B11=0,1000000,IF(INDEX('計算A'!$D$60:$EQ$104,$B11,90)*GM11=1,IF(AND($E11=2,MB11=0),1000000,IF($I11&gt;0,IF(4=$J11,IF(OR(AND(90=$I11+1,OR($K11&lt;&gt;'計算A'!$A$3,'計算A'!$A$4=0)),AND(90=$I11-1,OR(18&lt;&gt;'計算A'!$A$3,'計算A'!$A$4=0))),0,IF(18=$K11,200000,ABS(18-$K11)*100)),100000+ABS(4-$J11)*1000+180)+'計算A'!CO$5*50+IF(AND($E11=1,MB11=0),25,0),INDEX('計算A'!CO$110:CO$114,$F11+1)+IF(AND($E11=1,MB11=0),1000,0)+IF($H11=1,(IF('計算A'!CN$117=1,INDEX('計算A'!CN$10:CN$54,$B11),0)+IF('計算A'!CO$117=1,INDEX('計算A'!CP$10:CP$54,$B11),0))*500,0)-IF(AND('計算A'!CN$117=1,XL11&gt;0),300,0)-IF(AND($L11=1,'計算A'!CO$117=1,GN11=0),300,0))),1000000))</f>
        <v/>
      </c>
      <c r="RR11">
        <f>IF($B11=0,1000000,IF(INDEX('計算A'!$D$60:$EQ$104,$B11,91)*GN11=1,IF(AND($E11=2,MC11=0),1000000,IF($I11&gt;0,IF(4=$J11,IF(OR(AND(91=$I11+1,OR($K11&lt;&gt;'計算A'!$A$3,'計算A'!$A$4=0)),AND(91=$I11-1,OR(19&lt;&gt;'計算A'!$A$3,'計算A'!$A$4=0))),0,IF(19=$K11,200000,ABS(19-$K11)*100)),100000+ABS(4-$J11)*1000+190)+'計算A'!CP$5*50+IF(AND($E11=1,MC11=0),25,0),INDEX('計算A'!CP$110:CP$114,$F11+1)+IF(AND($E11=1,MC11=0),1000,0)+IF($H11=1,(IF('計算A'!CO$117=1,INDEX('計算A'!CO$10:CO$54,$B11),0)+IF('計算A'!CP$117=1,INDEX('計算A'!CQ$10:CQ$54,$B11),0))*500,0)-IF(AND('計算A'!CO$117=1,XM11&gt;0),300,0)-IF(AND($L11=1,'計算A'!CP$117=1,GO11=0),300,0))),1000000))</f>
        <v/>
      </c>
      <c r="RS11">
        <f>IF($B11=0,1000000,IF(INDEX('計算A'!$D$60:$EQ$104,$B11,92)*GO11=1,IF(AND($E11=2,MD11=0),1000000,IF($I11&gt;0,IF(4=$J11,IF(OR(AND(92=$I11+1,OR($K11&lt;&gt;'計算A'!$A$3,'計算A'!$A$4=0)),AND(92=$I11-1,OR(20&lt;&gt;'計算A'!$A$3,'計算A'!$A$4=0))),0,IF(20=$K11,200000,ABS(20-$K11)*100)),100000+ABS(4-$J11)*1000+200)+'計算A'!CQ$5*50+IF(AND($E11=1,MD11=0),25,0),INDEX('計算A'!CQ$110:CQ$114,$F11+1)+IF(AND($E11=1,MD11=0),1000,0)+IF($H11=1,(IF('計算A'!CP$117=1,INDEX('計算A'!CP$10:CP$54,$B11),0)+IF('計算A'!CQ$117=1,INDEX('計算A'!CR$10:CR$54,$B11),0))*500,0)-IF(AND('計算A'!CP$117=1,XN11&gt;0),300,0)-IF(AND($L11=1,'計算A'!CQ$117=1,GP11=0),300,0))),1000000))</f>
        <v/>
      </c>
      <c r="RT11">
        <f>IF($B11=0,1000000,IF(INDEX('計算A'!$D$60:$EQ$104,$B11,93)*GP11=1,IF(AND($E11=2,ME11=0),1000000,IF($I11&gt;0,IF(4=$J11,IF(OR(AND(93=$I11+1,OR($K11&lt;&gt;'計算A'!$A$3,'計算A'!$A$4=0)),AND(93=$I11-1,OR(21&lt;&gt;'計算A'!$A$3,'計算A'!$A$4=0))),0,IF(21=$K11,200000,ABS(21-$K11)*100)),100000+ABS(4-$J11)*1000+210)+'計算A'!CR$5*50+IF(AND($E11=1,ME11=0),25,0),INDEX('計算A'!CR$110:CR$114,$F11+1)+IF(AND($E11=1,ME11=0),1000,0)+IF($H11=1,(IF('計算A'!CQ$117=1,INDEX('計算A'!CQ$10:CQ$54,$B11),0)+IF('計算A'!CR$117=1,INDEX('計算A'!CS$10:CS$54,$B11),0))*500,0)-IF(AND('計算A'!CQ$117=1,XO11&gt;0),300,0)-IF(AND($L11=1,'計算A'!CR$117=1,GQ11=0),300,0))),1000000))</f>
        <v/>
      </c>
      <c r="RU11">
        <f>IF($B11=0,1000000,IF(INDEX('計算A'!$D$60:$EQ$104,$B11,94)*GQ11=1,IF(AND($E11=2,MF11=0),1000000,IF($I11&gt;0,IF(4=$J11,IF(OR(AND(94=$I11+1,OR($K11&lt;&gt;'計算A'!$A$3,'計算A'!$A$4=0)),AND(94=$I11-1,OR(22&lt;&gt;'計算A'!$A$3,'計算A'!$A$4=0))),0,IF(22=$K11,200000,ABS(22-$K11)*100)),100000+ABS(4-$J11)*1000+220)+'計算A'!CS$5*50+IF(AND($E11=1,MF11=0),25,0),INDEX('計算A'!CS$110:CS$114,$F11+1)+IF(AND($E11=1,MF11=0),1000,0)+IF($H11=1,(IF('計算A'!CR$117=1,INDEX('計算A'!CR$10:CR$54,$B11),0)+IF('計算A'!CS$117=1,INDEX('計算A'!CT$10:CT$54,$B11),0))*500,0)-IF(AND('計算A'!CR$117=1,XP11&gt;0),300,0)-IF(AND($L11=1,'計算A'!CS$117=1,GR11=0),300,0))),1000000))</f>
        <v/>
      </c>
      <c r="RV11">
        <f>IF($B11=0,1000000,IF(INDEX('計算A'!$D$60:$EQ$104,$B11,95)*GR11=1,IF(AND($E11=2,MG11=0),1000000,IF($I11&gt;0,IF(4=$J11,IF(OR(AND(95=$I11+1,OR($K11&lt;&gt;'計算A'!$A$3,'計算A'!$A$4=0)),AND(95=$I11-1,OR(23&lt;&gt;'計算A'!$A$3,'計算A'!$A$4=0))),0,IF(23=$K11,200000,ABS(23-$K11)*100)),100000+ABS(4-$J11)*1000+230)+'計算A'!CT$5*50+IF(AND($E11=1,MG11=0),25,0),INDEX('計算A'!CT$110:CT$114,$F11+1)+IF(AND($E11=1,MG11=0),1000,0)+IF($H11=1,(IF('計算A'!CS$117=1,INDEX('計算A'!CS$10:CS$54,$B11),0)+IF('計算A'!CT$117=1,INDEX('計算A'!CU$10:CU$54,$B11),0))*500,0)-IF(AND('計算A'!CS$117=1,XQ11&gt;0),300,0)-IF(AND($L11=1,'計算A'!CT$117=1,GS11=0),300,0))),1000000))</f>
        <v/>
      </c>
      <c r="RW11">
        <f>IF($B11=0,1000000,IF(INDEX('計算A'!$D$60:$EQ$104,$B11,96)*GS11=1,IF(AND($E11=2,MH11=0),1000000,IF($I11&gt;0,IF(4=$J11,IF(OR(AND(96=$I11+1,OR($K11&lt;&gt;'計算A'!$A$3,'計算A'!$A$4=0)),AND(96=$I11-1,OR(24&lt;&gt;'計算A'!$A$3,'計算A'!$A$4=0))),0,IF(24=$K11,200000,ABS(24-$K11)*100)),100000+ABS(4-$J11)*1000+240)+'計算A'!CU$5*50+IF(AND($E11=1,MH11=0),25,0),INDEX('計算A'!CU$110:CU$114,$F11+1)+IF(AND($E11=1,MH11=0),1000,0)+IF($H11=1,(IF('計算A'!CT$117=1,INDEX('計算A'!CT$10:CT$54,$B11),0))*500,0)-IF(AND('計算A'!CT$117=1,XR11&gt;0),300,0))),1000000))</f>
        <v/>
      </c>
      <c r="RX11">
        <f>IF($B11=0,1000000,IF(INDEX('計算A'!$D$60:$EQ$104,$B11,97)*GT11=1,IF(AND($E11=2,MI11=0),1000000,IF($I11&gt;0,IF(5=$J11,IF(OR(AND(97=$I11+1,OR($K11&lt;&gt;'計算A'!$A$3,'計算A'!$A$4=0)),AND(97=$I11-1,OR(1&lt;&gt;'計算A'!$A$3,'計算A'!$A$4=0))),0,IF(1=$K11,200000,ABS(1-$K11)*100)),100000+ABS(5-$J11)*1000+10)+'計算A'!CV$5*50+IF(AND($E11=1,MI11=0),25,0),INDEX('計算A'!CV$110:CV$114,$F11+1)+IF(AND($E11=1,MI11=0),1000,0)+IF($H11=1,(IF('計算A'!CV$117=1,INDEX('計算A'!CW$10:CW$54,$B11),0))*500,0)-IF(AND($L11=1,'計算A'!CV$117=1,GU11=0),300,0))),1000000))</f>
        <v/>
      </c>
      <c r="RY11">
        <f>IF($B11=0,1000000,IF(INDEX('計算A'!$D$60:$EQ$104,$B11,98)*GU11=1,IF(AND($E11=2,MJ11=0),1000000,IF($I11&gt;0,IF(5=$J11,IF(OR(AND(98=$I11+1,OR($K11&lt;&gt;'計算A'!$A$3,'計算A'!$A$4=0)),AND(98=$I11-1,OR(2&lt;&gt;'計算A'!$A$3,'計算A'!$A$4=0))),0,IF(2=$K11,200000,ABS(2-$K11)*100)),100000+ABS(5-$J11)*1000+20)+'計算A'!CW$5*50+IF(AND($E11=1,MJ11=0),25,0),INDEX('計算A'!CW$110:CW$114,$F11+1)+IF(AND($E11=1,MJ11=0),1000,0)+IF($H11=1,(IF('計算A'!CV$117=1,INDEX('計算A'!CV$10:CV$54,$B11),0)+IF('計算A'!CW$117=1,INDEX('計算A'!CX$10:CX$54,$B11),0))*500,0)-IF(AND('計算A'!CV$117=1,XT11&gt;0),300,0)-IF(AND($L11=1,'計算A'!CW$117=1,GV11=0),300,0))),1000000))</f>
        <v/>
      </c>
      <c r="RZ11">
        <f>IF($B11=0,1000000,IF(INDEX('計算A'!$D$60:$EQ$104,$B11,99)*GV11=1,IF(AND($E11=2,MK11=0),1000000,IF($I11&gt;0,IF(5=$J11,IF(OR(AND(99=$I11+1,OR($K11&lt;&gt;'計算A'!$A$3,'計算A'!$A$4=0)),AND(99=$I11-1,OR(3&lt;&gt;'計算A'!$A$3,'計算A'!$A$4=0))),0,IF(3=$K11,200000,ABS(3-$K11)*100)),100000+ABS(5-$J11)*1000+30)+'計算A'!CX$5*50+IF(AND($E11=1,MK11=0),25,0),INDEX('計算A'!CX$110:CX$114,$F11+1)+IF(AND($E11=1,MK11=0),1000,0)+IF($H11=1,(IF('計算A'!CW$117=1,INDEX('計算A'!CW$10:CW$54,$B11),0)+IF('計算A'!CX$117=1,INDEX('計算A'!CY$10:CY$54,$B11),0))*500,0)-IF(AND('計算A'!CW$117=1,XU11&gt;0),300,0)-IF(AND($L11=1,'計算A'!CX$117=1,GW11=0),300,0))),1000000))</f>
        <v/>
      </c>
      <c r="SA11">
        <f>IF($B11=0,1000000,IF(INDEX('計算A'!$D$60:$EQ$104,$B11,100)*GW11=1,IF(AND($E11=2,ML11=0),1000000,IF($I11&gt;0,IF(5=$J11,IF(OR(AND(100=$I11+1,OR($K11&lt;&gt;'計算A'!$A$3,'計算A'!$A$4=0)),AND(100=$I11-1,OR(4&lt;&gt;'計算A'!$A$3,'計算A'!$A$4=0))),0,IF(4=$K11,200000,ABS(4-$K11)*100)),100000+ABS(5-$J11)*1000+40)+'計算A'!CY$5*50+IF(AND($E11=1,ML11=0),25,0),INDEX('計算A'!CY$110:CY$114,$F11+1)+IF(AND($E11=1,ML11=0),1000,0)+IF($H11=1,(IF('計算A'!CX$117=1,INDEX('計算A'!CX$10:CX$54,$B11),0)+IF('計算A'!CY$117=1,INDEX('計算A'!CZ$10:CZ$54,$B11),0))*500,0)-IF(AND('計算A'!CX$117=1,XV11&gt;0),300,0)-IF(AND($L11=1,'計算A'!CY$117=1,GX11=0),300,0))),1000000))</f>
        <v/>
      </c>
      <c r="SB11">
        <f>IF($B11=0,1000000,IF(INDEX('計算A'!$D$60:$EQ$104,$B11,101)*GX11=1,IF(AND($E11=2,MM11=0),1000000,IF($I11&gt;0,IF(5=$J11,IF(OR(AND(101=$I11+1,OR($K11&lt;&gt;'計算A'!$A$3,'計算A'!$A$4=0)),AND(101=$I11-1,OR(5&lt;&gt;'計算A'!$A$3,'計算A'!$A$4=0))),0,IF(5=$K11,200000,ABS(5-$K11)*100)),100000+ABS(5-$J11)*1000+50)+'計算A'!CZ$5*50+IF(AND($E11=1,MM11=0),25,0),INDEX('計算A'!CZ$110:CZ$114,$F11+1)+IF(AND($E11=1,MM11=0),1000,0)+IF($H11=1,(IF('計算A'!CY$117=1,INDEX('計算A'!CY$10:CY$54,$B11),0)+IF('計算A'!CZ$117=1,INDEX('計算A'!DA$10:DA$54,$B11),0))*500,0)-IF(AND('計算A'!CY$117=1,XW11&gt;0),300,0)-IF(AND($L11=1,'計算A'!CZ$117=1,GY11=0),300,0))),1000000))</f>
        <v/>
      </c>
      <c r="SC11">
        <f>IF($B11=0,1000000,IF(INDEX('計算A'!$D$60:$EQ$104,$B11,102)*GY11=1,IF(AND($E11=2,MN11=0),1000000,IF($I11&gt;0,IF(5=$J11,IF(OR(AND(102=$I11+1,OR($K11&lt;&gt;'計算A'!$A$3,'計算A'!$A$4=0)),AND(102=$I11-1,OR(6&lt;&gt;'計算A'!$A$3,'計算A'!$A$4=0))),0,IF(6=$K11,200000,ABS(6-$K11)*100)),100000+ABS(5-$J11)*1000+60)+'計算A'!DA$5*50+IF(AND($E11=1,MN11=0),25,0),INDEX('計算A'!DA$110:DA$114,$F11+1)+IF(AND($E11=1,MN11=0),1000,0)+IF($H11=1,(IF('計算A'!CZ$117=1,INDEX('計算A'!CZ$10:CZ$54,$B11),0)+IF('計算A'!DA$117=1,INDEX('計算A'!DB$10:DB$54,$B11),0))*500,0)-IF(AND('計算A'!CZ$117=1,XX11&gt;0),300,0)-IF(AND($L11=1,'計算A'!DA$117=1,GZ11=0),300,0))),1000000))</f>
        <v/>
      </c>
      <c r="SD11">
        <f>IF($B11=0,1000000,IF(INDEX('計算A'!$D$60:$EQ$104,$B11,103)*GZ11=1,IF(AND($E11=2,MO11=0),1000000,IF($I11&gt;0,IF(5=$J11,IF(OR(AND(103=$I11+1,OR($K11&lt;&gt;'計算A'!$A$3,'計算A'!$A$4=0)),AND(103=$I11-1,OR(7&lt;&gt;'計算A'!$A$3,'計算A'!$A$4=0))),0,IF(7=$K11,200000,ABS(7-$K11)*100)),100000+ABS(5-$J11)*1000+70)+'計算A'!DB$5*50+IF(AND($E11=1,MO11=0),25,0),INDEX('計算A'!DB$110:DB$114,$F11+1)+IF(AND($E11=1,MO11=0),1000,0)+IF($H11=1,(IF('計算A'!DA$117=1,INDEX('計算A'!DA$10:DA$54,$B11),0)+IF('計算A'!DB$117=1,INDEX('計算A'!DC$10:DC$54,$B11),0))*500,0)-IF(AND('計算A'!DA$117=1,XY11&gt;0),300,0)-IF(AND($L11=1,'計算A'!DB$117=1,HA11=0),300,0))),1000000))</f>
        <v/>
      </c>
      <c r="SE11">
        <f>IF($B11=0,1000000,IF(INDEX('計算A'!$D$60:$EQ$104,$B11,104)*HA11=1,IF(AND($E11=2,MP11=0),1000000,IF($I11&gt;0,IF(5=$J11,IF(OR(AND(104=$I11+1,OR($K11&lt;&gt;'計算A'!$A$3,'計算A'!$A$4=0)),AND(104=$I11-1,OR(8&lt;&gt;'計算A'!$A$3,'計算A'!$A$4=0))),0,IF(8=$K11,200000,ABS(8-$K11)*100)),100000+ABS(5-$J11)*1000+80)+'計算A'!DC$5*50+IF(AND($E11=1,MP11=0),25,0),INDEX('計算A'!DC$110:DC$114,$F11+1)+IF(AND($E11=1,MP11=0),1000,0)+IF($H11=1,(IF('計算A'!DB$117=1,INDEX('計算A'!DB$10:DB$54,$B11),0)+IF('計算A'!DC$117=1,INDEX('計算A'!DD$10:DD$54,$B11),0))*500,0)-IF(AND('計算A'!DB$117=1,XZ11&gt;0),300,0)-IF(AND($L11=1,'計算A'!DC$117=1,HB11=0),300,0))),1000000))</f>
        <v/>
      </c>
      <c r="SF11">
        <f>IF($B11=0,1000000,IF(INDEX('計算A'!$D$60:$EQ$104,$B11,105)*HB11=1,IF(AND($E11=2,MQ11=0),1000000,IF($I11&gt;0,IF(5=$J11,IF(OR(AND(105=$I11+1,OR($K11&lt;&gt;'計算A'!$A$3,'計算A'!$A$4=0)),AND(105=$I11-1,OR(9&lt;&gt;'計算A'!$A$3,'計算A'!$A$4=0))),0,IF(9=$K11,200000,ABS(9-$K11)*100)),100000+ABS(5-$J11)*1000+90)+'計算A'!DD$5*50+IF(AND($E11=1,MQ11=0),25,0),INDEX('計算A'!DD$110:DD$114,$F11+1)+IF(AND($E11=1,MQ11=0),1000,0)+IF($H11=1,(IF('計算A'!DC$117=1,INDEX('計算A'!DC$10:DC$54,$B11),0)+IF('計算A'!DD$117=1,INDEX('計算A'!DE$10:DE$54,$B11),0))*500,0)-IF(AND('計算A'!DC$117=1,YA11&gt;0),300,0)-IF(AND($L11=1,'計算A'!DD$117=1,HC11=0),300,0))),1000000))</f>
        <v/>
      </c>
      <c r="SG11">
        <f>IF($B11=0,1000000,IF(INDEX('計算A'!$D$60:$EQ$104,$B11,106)*HC11=1,IF(AND($E11=2,MR11=0),1000000,IF($I11&gt;0,IF(5=$J11,IF(OR(AND(106=$I11+1,OR($K11&lt;&gt;'計算A'!$A$3,'計算A'!$A$4=0)),AND(106=$I11-1,OR(10&lt;&gt;'計算A'!$A$3,'計算A'!$A$4=0))),0,IF(10=$K11,200000,ABS(10-$K11)*100)),100000+ABS(5-$J11)*1000+100)+'計算A'!DE$5*50+IF(AND($E11=1,MR11=0),25,0),INDEX('計算A'!DE$110:DE$114,$F11+1)+IF(AND($E11=1,MR11=0),1000,0)+IF($H11=1,(IF('計算A'!DD$117=1,INDEX('計算A'!DD$10:DD$54,$B11),0)+IF('計算A'!DE$117=1,INDEX('計算A'!DF$10:DF$54,$B11),0))*500,0)-IF(AND('計算A'!DD$117=1,YB11&gt;0),300,0)-IF(AND($L11=1,'計算A'!DE$117=1,HD11=0),300,0))),1000000))</f>
        <v/>
      </c>
      <c r="SH11">
        <f>IF($B11=0,1000000,IF(INDEX('計算A'!$D$60:$EQ$104,$B11,107)*HD11=1,IF(AND($E11=2,MS11=0),1000000,IF($I11&gt;0,IF(5=$J11,IF(OR(AND(107=$I11+1,OR($K11&lt;&gt;'計算A'!$A$3,'計算A'!$A$4=0)),AND(107=$I11-1,OR(11&lt;&gt;'計算A'!$A$3,'計算A'!$A$4=0))),0,IF(11=$K11,200000,ABS(11-$K11)*100)),100000+ABS(5-$J11)*1000+110)+'計算A'!DF$5*50+IF(AND($E11=1,MS11=0),25,0),INDEX('計算A'!DF$110:DF$114,$F11+1)+IF(AND($E11=1,MS11=0),1000,0)+IF($H11=1,(IF('計算A'!DE$117=1,INDEX('計算A'!DE$10:DE$54,$B11),0)+IF('計算A'!DF$117=1,INDEX('計算A'!DG$10:DG$54,$B11),0))*500,0)-IF(AND('計算A'!DE$117=1,YC11&gt;0),300,0)-IF(AND($L11=1,'計算A'!DF$117=1,HE11=0),300,0))),1000000))</f>
        <v/>
      </c>
      <c r="SI11">
        <f>IF($B11=0,1000000,IF(INDEX('計算A'!$D$60:$EQ$104,$B11,108)*HE11=1,IF(AND($E11=2,MT11=0),1000000,IF($I11&gt;0,IF(5=$J11,IF(OR(AND(108=$I11+1,OR($K11&lt;&gt;'計算A'!$A$3,'計算A'!$A$4=0)),AND(108=$I11-1,OR(12&lt;&gt;'計算A'!$A$3,'計算A'!$A$4=0))),0,IF(12=$K11,200000,ABS(12-$K11)*100)),100000+ABS(5-$J11)*1000+120)+'計算A'!DG$5*50+IF(AND($E11=1,MT11=0),25,0),INDEX('計算A'!DG$110:DG$114,$F11+1)+IF(AND($E11=1,MT11=0),1000,0)+IF($H11=1,(IF('計算A'!DF$117=1,INDEX('計算A'!DF$10:DF$54,$B11),0)+IF('計算A'!DG$117=1,INDEX('計算A'!DH$10:DH$54,$B11),0))*500,0)-IF(AND('計算A'!DF$117=1,YD11&gt;0),300,0)-IF(AND($L11=1,'計算A'!DG$117=1,HF11=0),300,0))),1000000))</f>
        <v/>
      </c>
      <c r="SJ11">
        <f>IF($B11=0,1000000,IF(INDEX('計算A'!$D$60:$EQ$104,$B11,109)*HF11=1,IF(AND($E11=2,MU11=0),1000000,IF($I11&gt;0,IF(5=$J11,IF(OR(AND(109=$I11+1,OR($K11&lt;&gt;'計算A'!$A$3,'計算A'!$A$4=0)),AND(109=$I11-1,OR(13&lt;&gt;'計算A'!$A$3,'計算A'!$A$4=0))),0,IF(13=$K11,200000,ABS(13-$K11)*100)),100000+ABS(5-$J11)*1000+130)+'計算A'!DH$5*50+IF(AND($E11=1,MU11=0),25,0),INDEX('計算A'!DH$110:DH$114,$F11+1)+IF(AND($E11=1,MU11=0),1000,0)+IF($H11=1,(IF('計算A'!DG$117=1,INDEX('計算A'!DG$10:DG$54,$B11),0)+IF('計算A'!DH$117=1,INDEX('計算A'!DI$10:DI$54,$B11),0))*500,0)-IF(AND('計算A'!DG$117=1,YE11&gt;0),300,0)-IF(AND($L11=1,'計算A'!DH$117=1,HG11=0),300,0))),1000000))</f>
        <v/>
      </c>
      <c r="SK11">
        <f>IF($B11=0,1000000,IF(INDEX('計算A'!$D$60:$EQ$104,$B11,110)*HG11=1,IF(AND($E11=2,MV11=0),1000000,IF($I11&gt;0,IF(5=$J11,IF(OR(AND(110=$I11+1,OR($K11&lt;&gt;'計算A'!$A$3,'計算A'!$A$4=0)),AND(110=$I11-1,OR(14&lt;&gt;'計算A'!$A$3,'計算A'!$A$4=0))),0,IF(14=$K11,200000,ABS(14-$K11)*100)),100000+ABS(5-$J11)*1000+140)+'計算A'!DI$5*50+IF(AND($E11=1,MV11=0),25,0),INDEX('計算A'!DI$110:DI$114,$F11+1)+IF(AND($E11=1,MV11=0),1000,0)+IF($H11=1,(IF('計算A'!DH$117=1,INDEX('計算A'!DH$10:DH$54,$B11),0)+IF('計算A'!DI$117=1,INDEX('計算A'!DJ$10:DJ$54,$B11),0))*500,0)-IF(AND('計算A'!DH$117=1,YF11&gt;0),300,0)-IF(AND($L11=1,'計算A'!DI$117=1,HH11=0),300,0))),1000000))</f>
        <v/>
      </c>
      <c r="SL11">
        <f>IF($B11=0,1000000,IF(INDEX('計算A'!$D$60:$EQ$104,$B11,111)*HH11=1,IF(AND($E11=2,MW11=0),1000000,IF($I11&gt;0,IF(5=$J11,IF(OR(AND(111=$I11+1,OR($K11&lt;&gt;'計算A'!$A$3,'計算A'!$A$4=0)),AND(111=$I11-1,OR(15&lt;&gt;'計算A'!$A$3,'計算A'!$A$4=0))),0,IF(15=$K11,200000,ABS(15-$K11)*100)),100000+ABS(5-$J11)*1000+150)+'計算A'!DJ$5*50+IF(AND($E11=1,MW11=0),25,0),INDEX('計算A'!DJ$110:DJ$114,$F11+1)+IF(AND($E11=1,MW11=0),1000,0)+IF($H11=1,(IF('計算A'!DI$117=1,INDEX('計算A'!DI$10:DI$54,$B11),0)+IF('計算A'!DJ$117=1,INDEX('計算A'!DK$10:DK$54,$B11),0))*500,0)-IF(AND('計算A'!DI$117=1,YG11&gt;0),300,0)-IF(AND($L11=1,'計算A'!DJ$117=1,HI11=0),300,0))),1000000))</f>
        <v/>
      </c>
      <c r="SM11">
        <f>IF($B11=0,1000000,IF(INDEX('計算A'!$D$60:$EQ$104,$B11,112)*HI11=1,IF(AND($E11=2,MX11=0),1000000,IF($I11&gt;0,IF(5=$J11,IF(OR(AND(112=$I11+1,OR($K11&lt;&gt;'計算A'!$A$3,'計算A'!$A$4=0)),AND(112=$I11-1,OR(16&lt;&gt;'計算A'!$A$3,'計算A'!$A$4=0))),0,IF(16=$K11,200000,ABS(16-$K11)*100)),100000+ABS(5-$J11)*1000+160)+'計算A'!DK$5*50+IF(AND($E11=1,MX11=0),25,0),INDEX('計算A'!DK$110:DK$114,$F11+1)+IF(AND($E11=1,MX11=0),1000,0)+IF($H11=1,(IF('計算A'!DJ$117=1,INDEX('計算A'!DJ$10:DJ$54,$B11),0)+IF('計算A'!DK$117=1,INDEX('計算A'!DL$10:DL$54,$B11),0))*500,0)-IF(AND('計算A'!DJ$117=1,YH11&gt;0),300,0)-IF(AND($L11=1,'計算A'!DK$117=1,HJ11=0),300,0))),1000000))</f>
        <v/>
      </c>
      <c r="SN11">
        <f>IF($B11=0,1000000,IF(INDEX('計算A'!$D$60:$EQ$104,$B11,113)*HJ11=1,IF(AND($E11=2,MY11=0),1000000,IF($I11&gt;0,IF(5=$J11,IF(OR(AND(113=$I11+1,OR($K11&lt;&gt;'計算A'!$A$3,'計算A'!$A$4=0)),AND(113=$I11-1,OR(17&lt;&gt;'計算A'!$A$3,'計算A'!$A$4=0))),0,IF(17=$K11,200000,ABS(17-$K11)*100)),100000+ABS(5-$J11)*1000+170)+'計算A'!DL$5*50+IF(AND($E11=1,MY11=0),25,0),INDEX('計算A'!DL$110:DL$114,$F11+1)+IF(AND($E11=1,MY11=0),1000,0)+IF($H11=1,(IF('計算A'!DK$117=1,INDEX('計算A'!DK$10:DK$54,$B11),0)+IF('計算A'!DL$117=1,INDEX('計算A'!DM$10:DM$54,$B11),0))*500,0)-IF(AND('計算A'!DK$117=1,YI11&gt;0),300,0)-IF(AND($L11=1,'計算A'!DL$117=1,HK11=0),300,0))),1000000))</f>
        <v/>
      </c>
      <c r="SO11">
        <f>IF($B11=0,1000000,IF(INDEX('計算A'!$D$60:$EQ$104,$B11,114)*HK11=1,IF(AND($E11=2,MZ11=0),1000000,IF($I11&gt;0,IF(5=$J11,IF(OR(AND(114=$I11+1,OR($K11&lt;&gt;'計算A'!$A$3,'計算A'!$A$4=0)),AND(114=$I11-1,OR(18&lt;&gt;'計算A'!$A$3,'計算A'!$A$4=0))),0,IF(18=$K11,200000,ABS(18-$K11)*100)),100000+ABS(5-$J11)*1000+180)+'計算A'!DM$5*50+IF(AND($E11=1,MZ11=0),25,0),INDEX('計算A'!DM$110:DM$114,$F11+1)+IF(AND($E11=1,MZ11=0),1000,0)+IF($H11=1,(IF('計算A'!DL$117=1,INDEX('計算A'!DL$10:DL$54,$B11),0)+IF('計算A'!DM$117=1,INDEX('計算A'!DN$10:DN$54,$B11),0))*500,0)-IF(AND('計算A'!DL$117=1,YJ11&gt;0),300,0)-IF(AND($L11=1,'計算A'!DM$117=1,HL11=0),300,0))),1000000))</f>
        <v/>
      </c>
      <c r="SP11">
        <f>IF($B11=0,1000000,IF(INDEX('計算A'!$D$60:$EQ$104,$B11,115)*HL11=1,IF(AND($E11=2,NA11=0),1000000,IF($I11&gt;0,IF(5=$J11,IF(OR(AND(115=$I11+1,OR($K11&lt;&gt;'計算A'!$A$3,'計算A'!$A$4=0)),AND(115=$I11-1,OR(19&lt;&gt;'計算A'!$A$3,'計算A'!$A$4=0))),0,IF(19=$K11,200000,ABS(19-$K11)*100)),100000+ABS(5-$J11)*1000+190)+'計算A'!DN$5*50+IF(AND($E11=1,NA11=0),25,0),INDEX('計算A'!DN$110:DN$114,$F11+1)+IF(AND($E11=1,NA11=0),1000,0)+IF($H11=1,(IF('計算A'!DM$117=1,INDEX('計算A'!DM$10:DM$54,$B11),0)+IF('計算A'!DN$117=1,INDEX('計算A'!DO$10:DO$54,$B11),0))*500,0)-IF(AND('計算A'!DM$117=1,YK11&gt;0),300,0)-IF(AND($L11=1,'計算A'!DN$117=1,HM11=0),300,0))),1000000))</f>
        <v/>
      </c>
      <c r="SQ11">
        <f>IF($B11=0,1000000,IF(INDEX('計算A'!$D$60:$EQ$104,$B11,116)*HM11=1,IF(AND($E11=2,NB11=0),1000000,IF($I11&gt;0,IF(5=$J11,IF(OR(AND(116=$I11+1,OR($K11&lt;&gt;'計算A'!$A$3,'計算A'!$A$4=0)),AND(116=$I11-1,OR(20&lt;&gt;'計算A'!$A$3,'計算A'!$A$4=0))),0,IF(20=$K11,200000,ABS(20-$K11)*100)),100000+ABS(5-$J11)*1000+200)+'計算A'!DO$5*50+IF(AND($E11=1,NB11=0),25,0),INDEX('計算A'!DO$110:DO$114,$F11+1)+IF(AND($E11=1,NB11=0),1000,0)+IF($H11=1,(IF('計算A'!DN$117=1,INDEX('計算A'!DN$10:DN$54,$B11),0)+IF('計算A'!DO$117=1,INDEX('計算A'!DP$10:DP$54,$B11),0))*500,0)-IF(AND('計算A'!DN$117=1,YL11&gt;0),300,0)-IF(AND($L11=1,'計算A'!DO$117=1,HN11=0),300,0))),1000000))</f>
        <v/>
      </c>
      <c r="SR11">
        <f>IF($B11=0,1000000,IF(INDEX('計算A'!$D$60:$EQ$104,$B11,117)*HN11=1,IF(AND($E11=2,NC11=0),1000000,IF($I11&gt;0,IF(5=$J11,IF(OR(AND(117=$I11+1,OR($K11&lt;&gt;'計算A'!$A$3,'計算A'!$A$4=0)),AND(117=$I11-1,OR(21&lt;&gt;'計算A'!$A$3,'計算A'!$A$4=0))),0,IF(21=$K11,200000,ABS(21-$K11)*100)),100000+ABS(5-$J11)*1000+210)+'計算A'!DP$5*50+IF(AND($E11=1,NC11=0),25,0),INDEX('計算A'!DP$110:DP$114,$F11+1)+IF(AND($E11=1,NC11=0),1000,0)+IF($H11=1,(IF('計算A'!DO$117=1,INDEX('計算A'!DO$10:DO$54,$B11),0)+IF('計算A'!DP$117=1,INDEX('計算A'!DQ$10:DQ$54,$B11),0))*500,0)-IF(AND('計算A'!DO$117=1,YM11&gt;0),300,0)-IF(AND($L11=1,'計算A'!DP$117=1,HO11=0),300,0))),1000000))</f>
        <v/>
      </c>
      <c r="SS11">
        <f>IF($B11=0,1000000,IF(INDEX('計算A'!$D$60:$EQ$104,$B11,118)*HO11=1,IF(AND($E11=2,ND11=0),1000000,IF($I11&gt;0,IF(5=$J11,IF(OR(AND(118=$I11+1,OR($K11&lt;&gt;'計算A'!$A$3,'計算A'!$A$4=0)),AND(118=$I11-1,OR(22&lt;&gt;'計算A'!$A$3,'計算A'!$A$4=0))),0,IF(22=$K11,200000,ABS(22-$K11)*100)),100000+ABS(5-$J11)*1000+220)+'計算A'!DQ$5*50+IF(AND($E11=1,ND11=0),25,0),INDEX('計算A'!DQ$110:DQ$114,$F11+1)+IF(AND($E11=1,ND11=0),1000,0)+IF($H11=1,(IF('計算A'!DP$117=1,INDEX('計算A'!DP$10:DP$54,$B11),0)+IF('計算A'!DQ$117=1,INDEX('計算A'!DR$10:DR$54,$B11),0))*500,0)-IF(AND('計算A'!DP$117=1,YN11&gt;0),300,0)-IF(AND($L11=1,'計算A'!DQ$117=1,HP11=0),300,0))),1000000))</f>
        <v/>
      </c>
      <c r="ST11">
        <f>IF($B11=0,1000000,IF(INDEX('計算A'!$D$60:$EQ$104,$B11,119)*HP11=1,IF(AND($E11=2,NE11=0),1000000,IF($I11&gt;0,IF(5=$J11,IF(OR(AND(119=$I11+1,OR($K11&lt;&gt;'計算A'!$A$3,'計算A'!$A$4=0)),AND(119=$I11-1,OR(23&lt;&gt;'計算A'!$A$3,'計算A'!$A$4=0))),0,IF(23=$K11,200000,ABS(23-$K11)*100)),100000+ABS(5-$J11)*1000+230)+'計算A'!DR$5*50+IF(AND($E11=1,NE11=0),25,0),INDEX('計算A'!DR$110:DR$114,$F11+1)+IF(AND($E11=1,NE11=0),1000,0)+IF($H11=1,(IF('計算A'!DQ$117=1,INDEX('計算A'!DQ$10:DQ$54,$B11),0)+IF('計算A'!DR$117=1,INDEX('計算A'!DS$10:DS$54,$B11),0))*500,0)-IF(AND('計算A'!DQ$117=1,YO11&gt;0),300,0)-IF(AND($L11=1,'計算A'!DR$117=1,HQ11=0),300,0))),1000000))</f>
        <v/>
      </c>
      <c r="SU11">
        <f>IF($B11=0,1000000,IF(INDEX('計算A'!$D$60:$EQ$104,$B11,120)*HQ11=1,IF(AND($E11=2,NF11=0),1000000,IF($I11&gt;0,IF(5=$J11,IF(OR(AND(120=$I11+1,OR($K11&lt;&gt;'計算A'!$A$3,'計算A'!$A$4=0)),AND(120=$I11-1,OR(24&lt;&gt;'計算A'!$A$3,'計算A'!$A$4=0))),0,IF(24=$K11,200000,ABS(24-$K11)*100)),100000+ABS(5-$J11)*1000+240)+'計算A'!DS$5*50+IF(AND($E11=1,NF11=0),25,0),INDEX('計算A'!DS$110:DS$114,$F11+1)+IF(AND($E11=1,NF11=0),1000,0)+IF($H11=1,(IF('計算A'!DR$117=1,INDEX('計算A'!DR$10:DR$54,$B11),0))*500,0)-IF(AND('計算A'!DR$117=1,YP11&gt;0),300,0))),1000000))</f>
        <v/>
      </c>
      <c r="SV11">
        <f>IF($B11=0,1000000,IF(INDEX('計算A'!$D$60:$EQ$104,$B11,121)*HR11=1,IF(AND($E11=2,NG11=0),1000000,IF($I11&gt;0,IF(6=$J11,IF(OR(AND(121=$I11+1,OR($K11&lt;&gt;'計算A'!$A$3,'計算A'!$A$4=0)),AND(121=$I11-1,OR(1&lt;&gt;'計算A'!$A$3,'計算A'!$A$4=0))),0,IF(1=$K11,200000,ABS(1-$K11)*100)),100000+ABS(6-$J11)*1000+10)+'計算A'!DT$5*50+IF(AND($E11=1,NG11=0),25,0),INDEX('計算A'!DT$110:DT$114,$F11+1)+IF(AND($E11=1,NG11=0),1000,0)+IF($H11=1,(IF('計算A'!DT$117=1,INDEX('計算A'!DU$10:DU$54,$B11),0))*500,0)-IF(AND($L11=1,'計算A'!DT$117=1,HS11=0),300,0))),1000000))</f>
        <v/>
      </c>
      <c r="SW11">
        <f>IF($B11=0,1000000,IF(INDEX('計算A'!$D$60:$EQ$104,$B11,122)*HS11=1,IF(AND($E11=2,NH11=0),1000000,IF($I11&gt;0,IF(6=$J11,IF(OR(AND(122=$I11+1,OR($K11&lt;&gt;'計算A'!$A$3,'計算A'!$A$4=0)),AND(122=$I11-1,OR(2&lt;&gt;'計算A'!$A$3,'計算A'!$A$4=0))),0,IF(2=$K11,200000,ABS(2-$K11)*100)),100000+ABS(6-$J11)*1000+20)+'計算A'!DU$5*50+IF(AND($E11=1,NH11=0),25,0),INDEX('計算A'!DU$110:DU$114,$F11+1)+IF(AND($E11=1,NH11=0),1000,0)+IF($H11=1,(IF('計算A'!DT$117=1,INDEX('計算A'!DT$10:DT$54,$B11),0)+IF('計算A'!DU$117=1,INDEX('計算A'!DV$10:DV$54,$B11),0))*500,0)-IF(AND('計算A'!DT$117=1,YR11&gt;0),300,0)-IF(AND($L11=1,'計算A'!DU$117=1,HT11=0),300,0))),1000000))</f>
        <v/>
      </c>
      <c r="SX11">
        <f>IF($B11=0,1000000,IF(INDEX('計算A'!$D$60:$EQ$104,$B11,123)*HT11=1,IF(AND($E11=2,NI11=0),1000000,IF($I11&gt;0,IF(6=$J11,IF(OR(AND(123=$I11+1,OR($K11&lt;&gt;'計算A'!$A$3,'計算A'!$A$4=0)),AND(123=$I11-1,OR(3&lt;&gt;'計算A'!$A$3,'計算A'!$A$4=0))),0,IF(3=$K11,200000,ABS(3-$K11)*100)),100000+ABS(6-$J11)*1000+30)+'計算A'!DV$5*50+IF(AND($E11=1,NI11=0),25,0),INDEX('計算A'!DV$110:DV$114,$F11+1)+IF(AND($E11=1,NI11=0),1000,0)+IF($H11=1,(IF('計算A'!DU$117=1,INDEX('計算A'!DU$10:DU$54,$B11),0)+IF('計算A'!DV$117=1,INDEX('計算A'!DW$10:DW$54,$B11),0))*500,0)-IF(AND('計算A'!DU$117=1,YS11&gt;0),300,0)-IF(AND($L11=1,'計算A'!DV$117=1,HU11=0),300,0))),1000000))</f>
        <v/>
      </c>
      <c r="SY11">
        <f>IF($B11=0,1000000,IF(INDEX('計算A'!$D$60:$EQ$104,$B11,124)*HU11=1,IF(AND($E11=2,NJ11=0),1000000,IF($I11&gt;0,IF(6=$J11,IF(OR(AND(124=$I11+1,OR($K11&lt;&gt;'計算A'!$A$3,'計算A'!$A$4=0)),AND(124=$I11-1,OR(4&lt;&gt;'計算A'!$A$3,'計算A'!$A$4=0))),0,IF(4=$K11,200000,ABS(4-$K11)*100)),100000+ABS(6-$J11)*1000+40)+'計算A'!DW$5*50+IF(AND($E11=1,NJ11=0),25,0),INDEX('計算A'!DW$110:DW$114,$F11+1)+IF(AND($E11=1,NJ11=0),1000,0)+IF($H11=1,(IF('計算A'!DV$117=1,INDEX('計算A'!DV$10:DV$54,$B11),0)+IF('計算A'!DW$117=1,INDEX('計算A'!DX$10:DX$54,$B11),0))*500,0)-IF(AND('計算A'!DV$117=1,YT11&gt;0),300,0)-IF(AND($L11=1,'計算A'!DW$117=1,HV11=0),300,0))),1000000))</f>
        <v/>
      </c>
      <c r="SZ11">
        <f>IF($B11=0,1000000,IF(INDEX('計算A'!$D$60:$EQ$104,$B11,125)*HV11=1,IF(AND($E11=2,NK11=0),1000000,IF($I11&gt;0,IF(6=$J11,IF(OR(AND(125=$I11+1,OR($K11&lt;&gt;'計算A'!$A$3,'計算A'!$A$4=0)),AND(125=$I11-1,OR(5&lt;&gt;'計算A'!$A$3,'計算A'!$A$4=0))),0,IF(5=$K11,200000,ABS(5-$K11)*100)),100000+ABS(6-$J11)*1000+50)+'計算A'!DX$5*50+IF(AND($E11=1,NK11=0),25,0),INDEX('計算A'!DX$110:DX$114,$F11+1)+IF(AND($E11=1,NK11=0),1000,0)+IF($H11=1,(IF('計算A'!DW$117=1,INDEX('計算A'!DW$10:DW$54,$B11),0)+IF('計算A'!DX$117=1,INDEX('計算A'!DY$10:DY$54,$B11),0))*500,0)-IF(AND('計算A'!DW$117=1,YU11&gt;0),300,0)-IF(AND($L11=1,'計算A'!DX$117=1,HW11=0),300,0))),1000000))</f>
        <v/>
      </c>
      <c r="TA11">
        <f>IF($B11=0,1000000,IF(INDEX('計算A'!$D$60:$EQ$104,$B11,126)*HW11=1,IF(AND($E11=2,NL11=0),1000000,IF($I11&gt;0,IF(6=$J11,IF(OR(AND(126=$I11+1,OR($K11&lt;&gt;'計算A'!$A$3,'計算A'!$A$4=0)),AND(126=$I11-1,OR(6&lt;&gt;'計算A'!$A$3,'計算A'!$A$4=0))),0,IF(6=$K11,200000,ABS(6-$K11)*100)),100000+ABS(6-$J11)*1000+60)+'計算A'!DY$5*50+IF(AND($E11=1,NL11=0),25,0),INDEX('計算A'!DY$110:DY$114,$F11+1)+IF(AND($E11=1,NL11=0),1000,0)+IF($H11=1,(IF('計算A'!DX$117=1,INDEX('計算A'!DX$10:DX$54,$B11),0)+IF('計算A'!DY$117=1,INDEX('計算A'!DZ$10:DZ$54,$B11),0))*500,0)-IF(AND('計算A'!DX$117=1,YV11&gt;0),300,0)-IF(AND($L11=1,'計算A'!DY$117=1,HX11=0),300,0))),1000000))</f>
        <v/>
      </c>
      <c r="TB11">
        <f>IF($B11=0,1000000,IF(INDEX('計算A'!$D$60:$EQ$104,$B11,127)*HX11=1,IF(AND($E11=2,NM11=0),1000000,IF($I11&gt;0,IF(6=$J11,IF(OR(AND(127=$I11+1,OR($K11&lt;&gt;'計算A'!$A$3,'計算A'!$A$4=0)),AND(127=$I11-1,OR(7&lt;&gt;'計算A'!$A$3,'計算A'!$A$4=0))),0,IF(7=$K11,200000,ABS(7-$K11)*100)),100000+ABS(6-$J11)*1000+70)+'計算A'!DZ$5*50+IF(AND($E11=1,NM11=0),25,0),INDEX('計算A'!DZ$110:DZ$114,$F11+1)+IF(AND($E11=1,NM11=0),1000,0)+IF($H11=1,(IF('計算A'!DY$117=1,INDEX('計算A'!DY$10:DY$54,$B11),0)+IF('計算A'!DZ$117=1,INDEX('計算A'!EA$10:EA$54,$B11),0))*500,0)-IF(AND('計算A'!DY$117=1,YW11&gt;0),300,0)-IF(AND($L11=1,'計算A'!DZ$117=1,HY11=0),300,0))),1000000))</f>
        <v/>
      </c>
      <c r="TC11">
        <f>IF($B11=0,1000000,IF(INDEX('計算A'!$D$60:$EQ$104,$B11,128)*HY11=1,IF(AND($E11=2,NN11=0),1000000,IF($I11&gt;0,IF(6=$J11,IF(OR(AND(128=$I11+1,OR($K11&lt;&gt;'計算A'!$A$3,'計算A'!$A$4=0)),AND(128=$I11-1,OR(8&lt;&gt;'計算A'!$A$3,'計算A'!$A$4=0))),0,IF(8=$K11,200000,ABS(8-$K11)*100)),100000+ABS(6-$J11)*1000+80)+'計算A'!EA$5*50+IF(AND($E11=1,NN11=0),25,0),INDEX('計算A'!EA$110:EA$114,$F11+1)+IF(AND($E11=1,NN11=0),1000,0)+IF($H11=1,(IF('計算A'!DZ$117=1,INDEX('計算A'!DZ$10:DZ$54,$B11),0)+IF('計算A'!EA$117=1,INDEX('計算A'!EB$10:EB$54,$B11),0))*500,0)-IF(AND('計算A'!DZ$117=1,YX11&gt;0),300,0)-IF(AND($L11=1,'計算A'!EA$117=1,HZ11=0),300,0))),1000000))</f>
        <v/>
      </c>
      <c r="TD11">
        <f>IF($B11=0,1000000,IF(INDEX('計算A'!$D$60:$EQ$104,$B11,129)*HZ11=1,IF(AND($E11=2,NO11=0),1000000,IF($I11&gt;0,IF(6=$J11,IF(OR(AND(129=$I11+1,OR($K11&lt;&gt;'計算A'!$A$3,'計算A'!$A$4=0)),AND(129=$I11-1,OR(9&lt;&gt;'計算A'!$A$3,'計算A'!$A$4=0))),0,IF(9=$K11,200000,ABS(9-$K11)*100)),100000+ABS(6-$J11)*1000+90)+'計算A'!EB$5*50+IF(AND($E11=1,NO11=0),25,0),INDEX('計算A'!EB$110:EB$114,$F11+1)+IF(AND($E11=1,NO11=0),1000,0)+IF($H11=1,(IF('計算A'!EA$117=1,INDEX('計算A'!EA$10:EA$54,$B11),0)+IF('計算A'!EB$117=1,INDEX('計算A'!EC$10:EC$54,$B11),0))*500,0)-IF(AND('計算A'!EA$117=1,YY11&gt;0),300,0)-IF(AND($L11=1,'計算A'!EB$117=1,IA11=0),300,0))),1000000))</f>
        <v/>
      </c>
      <c r="TE11">
        <f>IF($B11=0,1000000,IF(INDEX('計算A'!$D$60:$EQ$104,$B11,130)*IA11=1,IF(AND($E11=2,NP11=0),1000000,IF($I11&gt;0,IF(6=$J11,IF(OR(AND(130=$I11+1,OR($K11&lt;&gt;'計算A'!$A$3,'計算A'!$A$4=0)),AND(130=$I11-1,OR(10&lt;&gt;'計算A'!$A$3,'計算A'!$A$4=0))),0,IF(10=$K11,200000,ABS(10-$K11)*100)),100000+ABS(6-$J11)*1000+100)+'計算A'!EC$5*50+IF(AND($E11=1,NP11=0),25,0),INDEX('計算A'!EC$110:EC$114,$F11+1)+IF(AND($E11=1,NP11=0),1000,0)+IF($H11=1,(IF('計算A'!EB$117=1,INDEX('計算A'!EB$10:EB$54,$B11),0)+IF('計算A'!EC$117=1,INDEX('計算A'!ED$10:ED$54,$B11),0))*500,0)-IF(AND('計算A'!EB$117=1,YZ11&gt;0),300,0)-IF(AND($L11=1,'計算A'!EC$117=1,IB11=0),300,0))),1000000))</f>
        <v/>
      </c>
      <c r="TF11">
        <f>IF($B11=0,1000000,IF(INDEX('計算A'!$D$60:$EQ$104,$B11,131)*IB11=1,IF(AND($E11=2,NQ11=0),1000000,IF($I11&gt;0,IF(6=$J11,IF(OR(AND(131=$I11+1,OR($K11&lt;&gt;'計算A'!$A$3,'計算A'!$A$4=0)),AND(131=$I11-1,OR(11&lt;&gt;'計算A'!$A$3,'計算A'!$A$4=0))),0,IF(11=$K11,200000,ABS(11-$K11)*100)),100000+ABS(6-$J11)*1000+110)+'計算A'!ED$5*50+IF(AND($E11=1,NQ11=0),25,0),INDEX('計算A'!ED$110:ED$114,$F11+1)+IF(AND($E11=1,NQ11=0),1000,0)+IF($H11=1,(IF('計算A'!EC$117=1,INDEX('計算A'!EC$10:EC$54,$B11),0)+IF('計算A'!ED$117=1,INDEX('計算A'!EE$10:EE$54,$B11),0))*500,0)-IF(AND('計算A'!EC$117=1,ZA11&gt;0),300,0)-IF(AND($L11=1,'計算A'!ED$117=1,IC11=0),300,0))),1000000))</f>
        <v/>
      </c>
      <c r="TG11">
        <f>IF($B11=0,1000000,IF(INDEX('計算A'!$D$60:$EQ$104,$B11,132)*IC11=1,IF(AND($E11=2,NR11=0),1000000,IF($I11&gt;0,IF(6=$J11,IF(OR(AND(132=$I11+1,OR($K11&lt;&gt;'計算A'!$A$3,'計算A'!$A$4=0)),AND(132=$I11-1,OR(12&lt;&gt;'計算A'!$A$3,'計算A'!$A$4=0))),0,IF(12=$K11,200000,ABS(12-$K11)*100)),100000+ABS(6-$J11)*1000+120)+'計算A'!EE$5*50+IF(AND($E11=1,NR11=0),25,0),INDEX('計算A'!EE$110:EE$114,$F11+1)+IF(AND($E11=1,NR11=0),1000,0)+IF($H11=1,(IF('計算A'!ED$117=1,INDEX('計算A'!ED$10:ED$54,$B11),0)+IF('計算A'!EE$117=1,INDEX('計算A'!EF$10:EF$54,$B11),0))*500,0)-IF(AND('計算A'!ED$117=1,ZB11&gt;0),300,0)-IF(AND($L11=1,'計算A'!EE$117=1,ID11=0),300,0))),1000000))</f>
        <v/>
      </c>
      <c r="TH11">
        <f>IF($B11=0,1000000,IF(INDEX('計算A'!$D$60:$EQ$104,$B11,133)*ID11=1,IF(AND($E11=2,NS11=0),1000000,IF($I11&gt;0,IF(6=$J11,IF(OR(AND(133=$I11+1,OR($K11&lt;&gt;'計算A'!$A$3,'計算A'!$A$4=0)),AND(133=$I11-1,OR(13&lt;&gt;'計算A'!$A$3,'計算A'!$A$4=0))),0,IF(13=$K11,200000,ABS(13-$K11)*100)),100000+ABS(6-$J11)*1000+130)+'計算A'!EF$5*50+IF(AND($E11=1,NS11=0),25,0),INDEX('計算A'!EF$110:EF$114,$F11+1)+IF(AND($E11=1,NS11=0),1000,0)+IF($H11=1,(IF('計算A'!EE$117=1,INDEX('計算A'!EE$10:EE$54,$B11),0)+IF('計算A'!EF$117=1,INDEX('計算A'!EG$10:EG$54,$B11),0))*500,0)-IF(AND('計算A'!EE$117=1,ZC11&gt;0),300,0)-IF(AND($L11=1,'計算A'!EF$117=1,IE11=0),300,0))),1000000))</f>
        <v/>
      </c>
      <c r="TI11">
        <f>IF($B11=0,1000000,IF(INDEX('計算A'!$D$60:$EQ$104,$B11,134)*IE11=1,IF(AND($E11=2,NT11=0),1000000,IF($I11&gt;0,IF(6=$J11,IF(OR(AND(134=$I11+1,OR($K11&lt;&gt;'計算A'!$A$3,'計算A'!$A$4=0)),AND(134=$I11-1,OR(14&lt;&gt;'計算A'!$A$3,'計算A'!$A$4=0))),0,IF(14=$K11,200000,ABS(14-$K11)*100)),100000+ABS(6-$J11)*1000+140)+'計算A'!EG$5*50+IF(AND($E11=1,NT11=0),25,0),INDEX('計算A'!EG$110:EG$114,$F11+1)+IF(AND($E11=1,NT11=0),1000,0)+IF($H11=1,(IF('計算A'!EF$117=1,INDEX('計算A'!EF$10:EF$54,$B11),0)+IF('計算A'!EG$117=1,INDEX('計算A'!EH$10:EH$54,$B11),0))*500,0)-IF(AND('計算A'!EF$117=1,ZD11&gt;0),300,0)-IF(AND($L11=1,'計算A'!EG$117=1,IF11=0),300,0))),1000000))</f>
        <v/>
      </c>
      <c r="TJ11">
        <f>IF($B11=0,1000000,IF(INDEX('計算A'!$D$60:$EQ$104,$B11,135)*IF11=1,IF(AND($E11=2,NU11=0),1000000,IF($I11&gt;0,IF(6=$J11,IF(OR(AND(135=$I11+1,OR($K11&lt;&gt;'計算A'!$A$3,'計算A'!$A$4=0)),AND(135=$I11-1,OR(15&lt;&gt;'計算A'!$A$3,'計算A'!$A$4=0))),0,IF(15=$K11,200000,ABS(15-$K11)*100)),100000+ABS(6-$J11)*1000+150)+'計算A'!EH$5*50+IF(AND($E11=1,NU11=0),25,0),INDEX('計算A'!EH$110:EH$114,$F11+1)+IF(AND($E11=1,NU11=0),1000,0)+IF($H11=1,(IF('計算A'!EG$117=1,INDEX('計算A'!EG$10:EG$54,$B11),0)+IF('計算A'!EH$117=1,INDEX('計算A'!EI$10:EI$54,$B11),0))*500,0)-IF(AND('計算A'!EG$117=1,ZE11&gt;0),300,0)-IF(AND($L11=1,'計算A'!EH$117=1,IG11=0),300,0))),1000000))</f>
        <v/>
      </c>
      <c r="TK11">
        <f>IF($B11=0,1000000,IF(INDEX('計算A'!$D$60:$EQ$104,$B11,136)*IG11=1,IF(AND($E11=2,NV11=0),1000000,IF($I11&gt;0,IF(6=$J11,IF(OR(AND(136=$I11+1,OR($K11&lt;&gt;'計算A'!$A$3,'計算A'!$A$4=0)),AND(136=$I11-1,OR(16&lt;&gt;'計算A'!$A$3,'計算A'!$A$4=0))),0,IF(16=$K11,200000,ABS(16-$K11)*100)),100000+ABS(6-$J11)*1000+160)+'計算A'!EI$5*50+IF(AND($E11=1,NV11=0),25,0),INDEX('計算A'!EI$110:EI$114,$F11+1)+IF(AND($E11=1,NV11=0),1000,0)+IF($H11=1,(IF('計算A'!EH$117=1,INDEX('計算A'!EH$10:EH$54,$B11),0)+IF('計算A'!EI$117=1,INDEX('計算A'!EJ$10:EJ$54,$B11),0))*500,0)-IF(AND('計算A'!EH$117=1,ZF11&gt;0),300,0)-IF(AND($L11=1,'計算A'!EI$117=1,IH11=0),300,0))),1000000))</f>
        <v/>
      </c>
      <c r="TL11">
        <f>IF($B11=0,1000000,IF(INDEX('計算A'!$D$60:$EQ$104,$B11,137)*IH11=1,IF(AND($E11=2,NW11=0),1000000,IF($I11&gt;0,IF(6=$J11,IF(OR(AND(137=$I11+1,OR($K11&lt;&gt;'計算A'!$A$3,'計算A'!$A$4=0)),AND(137=$I11-1,OR(17&lt;&gt;'計算A'!$A$3,'計算A'!$A$4=0))),0,IF(17=$K11,200000,ABS(17-$K11)*100)),100000+ABS(6-$J11)*1000+170)+'計算A'!EJ$5*50+IF(AND($E11=1,NW11=0),25,0),INDEX('計算A'!EJ$110:EJ$114,$F11+1)+IF(AND($E11=1,NW11=0),1000,0)+IF($H11=1,(IF('計算A'!EI$117=1,INDEX('計算A'!EI$10:EI$54,$B11),0)+IF('計算A'!EJ$117=1,INDEX('計算A'!EK$10:EK$54,$B11),0))*500,0)-IF(AND('計算A'!EI$117=1,ZG11&gt;0),300,0)-IF(AND($L11=1,'計算A'!EJ$117=1,II11=0),300,0))),1000000))</f>
        <v/>
      </c>
      <c r="TM11">
        <f>IF($B11=0,1000000,IF(INDEX('計算A'!$D$60:$EQ$104,$B11,138)*II11=1,IF(AND($E11=2,NX11=0),1000000,IF($I11&gt;0,IF(6=$J11,IF(OR(AND(138=$I11+1,OR($K11&lt;&gt;'計算A'!$A$3,'計算A'!$A$4=0)),AND(138=$I11-1,OR(18&lt;&gt;'計算A'!$A$3,'計算A'!$A$4=0))),0,IF(18=$K11,200000,ABS(18-$K11)*100)),100000+ABS(6-$J11)*1000+180)+'計算A'!EK$5*50+IF(AND($E11=1,NX11=0),25,0),INDEX('計算A'!EK$110:EK$114,$F11+1)+IF(AND($E11=1,NX11=0),1000,0)+IF($H11=1,(IF('計算A'!EJ$117=1,INDEX('計算A'!EJ$10:EJ$54,$B11),0)+IF('計算A'!EK$117=1,INDEX('計算A'!EL$10:EL$54,$B11),0))*500,0)-IF(AND('計算A'!EJ$117=1,ZH11&gt;0),300,0)-IF(AND($L11=1,'計算A'!EK$117=1,IJ11=0),300,0))),1000000))</f>
        <v/>
      </c>
      <c r="TN11">
        <f>IF($B11=0,1000000,IF(INDEX('計算A'!$D$60:$EQ$104,$B11,139)*IJ11=1,IF(AND($E11=2,NY11=0),1000000,IF($I11&gt;0,IF(6=$J11,IF(OR(AND(139=$I11+1,OR($K11&lt;&gt;'計算A'!$A$3,'計算A'!$A$4=0)),AND(139=$I11-1,OR(19&lt;&gt;'計算A'!$A$3,'計算A'!$A$4=0))),0,IF(19=$K11,200000,ABS(19-$K11)*100)),100000+ABS(6-$J11)*1000+190)+'計算A'!EL$5*50+IF(AND($E11=1,NY11=0),25,0),INDEX('計算A'!EL$110:EL$114,$F11+1)+IF(AND($E11=1,NY11=0),1000,0)+IF($H11=1,(IF('計算A'!EK$117=1,INDEX('計算A'!EK$10:EK$54,$B11),0)+IF('計算A'!EL$117=1,INDEX('計算A'!EM$10:EM$54,$B11),0))*500,0)-IF(AND('計算A'!EK$117=1,ZI11&gt;0),300,0)-IF(AND($L11=1,'計算A'!EL$117=1,IK11=0),300,0))),1000000))</f>
        <v/>
      </c>
      <c r="TO11">
        <f>IF($B11=0,1000000,IF(INDEX('計算A'!$D$60:$EQ$104,$B11,140)*IK11=1,IF(AND($E11=2,NZ11=0),1000000,IF($I11&gt;0,IF(6=$J11,IF(OR(AND(140=$I11+1,OR($K11&lt;&gt;'計算A'!$A$3,'計算A'!$A$4=0)),AND(140=$I11-1,OR(20&lt;&gt;'計算A'!$A$3,'計算A'!$A$4=0))),0,IF(20=$K11,200000,ABS(20-$K11)*100)),100000+ABS(6-$J11)*1000+200)+'計算A'!EM$5*50+IF(AND($E11=1,NZ11=0),25,0),INDEX('計算A'!EM$110:EM$114,$F11+1)+IF(AND($E11=1,NZ11=0),1000,0)+IF($H11=1,(IF('計算A'!EL$117=1,INDEX('計算A'!EL$10:EL$54,$B11),0)+IF('計算A'!EM$117=1,INDEX('計算A'!EN$10:EN$54,$B11),0))*500,0)-IF(AND('計算A'!EL$117=1,ZJ11&gt;0),300,0)-IF(AND($L11=1,'計算A'!EM$117=1,IL11=0),300,0))),1000000))</f>
        <v/>
      </c>
      <c r="TP11">
        <f>IF($B11=0,1000000,IF(INDEX('計算A'!$D$60:$EQ$104,$B11,141)*IL11=1,IF(AND($E11=2,OA11=0),1000000,IF($I11&gt;0,IF(6=$J11,IF(OR(AND(141=$I11+1,OR($K11&lt;&gt;'計算A'!$A$3,'計算A'!$A$4=0)),AND(141=$I11-1,OR(21&lt;&gt;'計算A'!$A$3,'計算A'!$A$4=0))),0,IF(21=$K11,200000,ABS(21-$K11)*100)),100000+ABS(6-$J11)*1000+210)+'計算A'!EN$5*50+IF(AND($E11=1,OA11=0),25,0),INDEX('計算A'!EN$110:EN$114,$F11+1)+IF(AND($E11=1,OA11=0),1000,0)+IF($H11=1,(IF('計算A'!EM$117=1,INDEX('計算A'!EM$10:EM$54,$B11),0)+IF('計算A'!EN$117=1,INDEX('計算A'!EO$10:EO$54,$B11),0))*500,0)-IF(AND('計算A'!EM$117=1,ZK11&gt;0),300,0)-IF(AND($L11=1,'計算A'!EN$117=1,IM11=0),300,0))),1000000))</f>
        <v/>
      </c>
      <c r="TQ11">
        <f>IF($B11=0,1000000,IF(INDEX('計算A'!$D$60:$EQ$104,$B11,142)*IM11=1,IF(AND($E11=2,OB11=0),1000000,IF($I11&gt;0,IF(6=$J11,IF(OR(AND(142=$I11+1,OR($K11&lt;&gt;'計算A'!$A$3,'計算A'!$A$4=0)),AND(142=$I11-1,OR(22&lt;&gt;'計算A'!$A$3,'計算A'!$A$4=0))),0,IF(22=$K11,200000,ABS(22-$K11)*100)),100000+ABS(6-$J11)*1000+220)+'計算A'!EO$5*50+IF(AND($E11=1,OB11=0),25,0),INDEX('計算A'!EO$110:EO$114,$F11+1)+IF(AND($E11=1,OB11=0),1000,0)+IF($H11=1,(IF('計算A'!EN$117=1,INDEX('計算A'!EN$10:EN$54,$B11),0)+IF('計算A'!EO$117=1,INDEX('計算A'!EP$10:EP$54,$B11),0))*500,0)-IF(AND('計算A'!EN$117=1,ZL11&gt;0),300,0)-IF(AND($L11=1,'計算A'!EO$117=1,IN11=0),300,0))),1000000))</f>
        <v/>
      </c>
      <c r="TR11">
        <f>IF($B11=0,1000000,IF(INDEX('計算A'!$D$60:$EQ$104,$B11,143)*IN11=1,IF(AND($E11=2,OC11=0),1000000,IF($I11&gt;0,IF(6=$J11,IF(OR(AND(143=$I11+1,OR($K11&lt;&gt;'計算A'!$A$3,'計算A'!$A$4=0)),AND(143=$I11-1,OR(23&lt;&gt;'計算A'!$A$3,'計算A'!$A$4=0))),0,IF(23=$K11,200000,ABS(23-$K11)*100)),100000+ABS(6-$J11)*1000+230)+'計算A'!EP$5*50+IF(AND($E11=1,OC11=0),25,0),INDEX('計算A'!EP$110:EP$114,$F11+1)+IF(AND($E11=1,OC11=0),1000,0)+IF($H11=1,(IF('計算A'!EO$117=1,INDEX('計算A'!EO$10:EO$54,$B11),0)+IF('計算A'!EP$117=1,INDEX('計算A'!EQ$10:EQ$54,$B11),0))*500,0)-IF(AND('計算A'!EO$117=1,ZM11&gt;0),300,0)-IF(AND($L11=1,'計算A'!EP$117=1,IO11=0),300,0))),1000000))</f>
        <v/>
      </c>
      <c r="TS11">
        <f>IF($B11=0,1000000,IF(INDEX('計算A'!$D$60:$EQ$104,$B11,144)*IO11=1,IF(AND($E11=2,OD11=0),1000000,IF($I11&gt;0,IF(6=$J11,IF(OR(AND(144=$I11+1,OR($K11&lt;&gt;'計算A'!$A$3,'計算A'!$A$4=0)),AND(144=$I11-1,OR(24&lt;&gt;'計算A'!$A$3,'計算A'!$A$4=0))),0,IF(24=$K11,200000,ABS(24-$K11)*100)),100000+ABS(6-$J11)*1000+240)+'計算A'!EQ$5*50+IF(AND($E11=1,OD11=0),25,0),INDEX('計算A'!EQ$110:EQ$114,$F11+1)+IF(AND($E11=1,OD11=0),1000,0)+IF($H11=1,(IF('計算A'!EP$117=1,INDEX('計算A'!EP$10:EP$54,$B11),0))*500,0)-IF(AND('計算A'!EP$117=1,ZN11&gt;0),300,0))),1000000))</f>
        <v/>
      </c>
      <c r="UB11">
        <f>UB10+IF(AND($C10=1,$L10=1),1,0)</f>
        <v/>
      </c>
      <c r="UC11">
        <f>UC10+IF(AND($C10=2,$L10=1),1,0)</f>
        <v/>
      </c>
      <c r="UD11">
        <f>UD10+IF(AND($C10=3,$L10=1),1,0)</f>
        <v/>
      </c>
      <c r="UE11">
        <f>UE10+IF(AND($C10=4,$L10=1),1,0)</f>
        <v/>
      </c>
      <c r="UF11">
        <f>UF10+IF(AND($C10=5,$L10=1),1,0)</f>
        <v/>
      </c>
      <c r="UG11">
        <f>UG10+IF(AND($C10=6,$L10=1),1,0)</f>
        <v/>
      </c>
      <c r="UH11">
        <f>UH10+IF(AND($C10=7,$L10=1),1,0)</f>
        <v/>
      </c>
      <c r="UI11">
        <f>UI10+IF(AND($C10=8,$L10=1),1,0)</f>
        <v/>
      </c>
      <c r="UJ11">
        <f>UJ10+IF(AND($C10=9,$L10=1),1,0)</f>
        <v/>
      </c>
      <c r="UK11">
        <f>UK10+IF(AND($C10=10,$L10=1),1,0)</f>
        <v/>
      </c>
      <c r="UL11">
        <f>UL10+IF(AND($C10=11,$L10=1),1,0)</f>
        <v/>
      </c>
      <c r="UM11">
        <f>UM10+IF(AND($C10=12,$L10=1),1,0)</f>
        <v/>
      </c>
      <c r="UN11">
        <f>UN10+IF(AND($C10=13,$L10=1),1,0)</f>
        <v/>
      </c>
      <c r="UO11">
        <f>UO10+IF(AND($C10=14,$L10=1),1,0)</f>
        <v/>
      </c>
      <c r="UP11">
        <f>UP10+IF(AND($C10=15,$L10=1),1,0)</f>
        <v/>
      </c>
      <c r="UQ11">
        <f>UQ10+IF(AND($C10=16,$L10=1),1,0)</f>
        <v/>
      </c>
      <c r="UR11">
        <f>UR10+IF(AND($C10=17,$L10=1),1,0)</f>
        <v/>
      </c>
      <c r="US11">
        <f>US10+IF(AND($C10=18,$L10=1),1,0)</f>
        <v/>
      </c>
      <c r="UT11">
        <f>UT10+IF(AND($C10=19,$L10=1),1,0)</f>
        <v/>
      </c>
      <c r="UU11">
        <f>UU10+IF(AND($C10=20,$L10=1),1,0)</f>
        <v/>
      </c>
      <c r="UV11">
        <f>UV10+IF(AND($C10=21,$L10=1),1,0)</f>
        <v/>
      </c>
      <c r="UW11">
        <f>UW10+IF(AND($C10=22,$L10=1),1,0)</f>
        <v/>
      </c>
      <c r="UX11">
        <f>UX10+IF(AND($C10=23,$L10=1),1,0)</f>
        <v/>
      </c>
      <c r="UY11">
        <f>UY10+IF(AND($C10=24,$L10=1),1,0)</f>
        <v/>
      </c>
      <c r="UZ11">
        <f>UZ10+IF(AND($C10=25,$L10=1),1,0)</f>
        <v/>
      </c>
      <c r="VA11">
        <f>VA10+IF(AND($C10=26,$L10=1),1,0)</f>
        <v/>
      </c>
      <c r="VB11">
        <f>VB10+IF(AND($C10=27,$L10=1),1,0)</f>
        <v/>
      </c>
      <c r="VC11">
        <f>VC10+IF(AND($C10=28,$L10=1),1,0)</f>
        <v/>
      </c>
      <c r="VD11">
        <f>VD10+IF(AND($C10=29,$L10=1),1,0)</f>
        <v/>
      </c>
      <c r="VE11">
        <f>VE10+IF(AND($C10=30,$L10=1),1,0)</f>
        <v/>
      </c>
      <c r="VF11">
        <f>VF10+IF(AND($C10=31,$L10=1),1,0)</f>
        <v/>
      </c>
      <c r="VG11">
        <f>VG10+IF(AND($C10=32,$L10=1),1,0)</f>
        <v/>
      </c>
      <c r="VH11">
        <f>VH10+IF(AND($C10=33,$L10=1),1,0)</f>
        <v/>
      </c>
      <c r="VI11">
        <f>VI10+IF(AND($C10=34,$L10=1),1,0)</f>
        <v/>
      </c>
      <c r="VJ11">
        <f>VJ10+IF(AND($C10=35,$L10=1),1,0)</f>
        <v/>
      </c>
      <c r="VK11">
        <f>VK10+IF(AND($C10=36,$L10=1),1,0)</f>
        <v/>
      </c>
      <c r="VL11">
        <f>VL10+IF(AND($C10=37,$L10=1),1,0)</f>
        <v/>
      </c>
      <c r="VM11">
        <f>VM10+IF(AND($C10=38,$L10=1),1,0)</f>
        <v/>
      </c>
      <c r="VN11">
        <f>VN10+IF(AND($C10=39,$L10=1),1,0)</f>
        <v/>
      </c>
      <c r="VO11">
        <f>VO10+IF(AND($C10=40,$L10=1),1,0)</f>
        <v/>
      </c>
      <c r="VP11">
        <f>VP10+IF(AND($C10=41,$L10=1),1,0)</f>
        <v/>
      </c>
      <c r="VQ11">
        <f>VQ10+IF(AND($C10=42,$L10=1),1,0)</f>
        <v/>
      </c>
      <c r="VR11">
        <f>VR10+IF(AND($C10=43,$L10=1),1,0)</f>
        <v/>
      </c>
      <c r="VS11">
        <f>VS10+IF(AND($C10=44,$L10=1),1,0)</f>
        <v/>
      </c>
      <c r="VT11">
        <f>VT10+IF(AND($C10=45,$L10=1),1,0)</f>
        <v/>
      </c>
      <c r="VU11">
        <f>VU10+IF(AND($C10=46,$L10=1),1,0)</f>
        <v/>
      </c>
      <c r="VV11">
        <f>VV10+IF(AND($C10=47,$L10=1),1,0)</f>
        <v/>
      </c>
      <c r="VW11">
        <f>VW10+IF(AND($C10=48,$L10=1),1,0)</f>
        <v/>
      </c>
      <c r="VX11">
        <f>VX10+IF(AND($C10=49,$L10=1),1,0)</f>
        <v/>
      </c>
      <c r="VY11">
        <f>VY10+IF(AND($C10=50,$L10=1),1,0)</f>
        <v/>
      </c>
      <c r="VZ11">
        <f>VZ10+IF(AND($C10=51,$L10=1),1,0)</f>
        <v/>
      </c>
      <c r="WA11">
        <f>WA10+IF(AND($C10=52,$L10=1),1,0)</f>
        <v/>
      </c>
      <c r="WB11">
        <f>WB10+IF(AND($C10=53,$L10=1),1,0)</f>
        <v/>
      </c>
      <c r="WC11">
        <f>WC10+IF(AND($C10=54,$L10=1),1,0)</f>
        <v/>
      </c>
      <c r="WD11">
        <f>WD10+IF(AND($C10=55,$L10=1),1,0)</f>
        <v/>
      </c>
      <c r="WE11">
        <f>WE10+IF(AND($C10=56,$L10=1),1,0)</f>
        <v/>
      </c>
      <c r="WF11">
        <f>WF10+IF(AND($C10=57,$L10=1),1,0)</f>
        <v/>
      </c>
      <c r="WG11">
        <f>WG10+IF(AND($C10=58,$L10=1),1,0)</f>
        <v/>
      </c>
      <c r="WH11">
        <f>WH10+IF(AND($C10=59,$L10=1),1,0)</f>
        <v/>
      </c>
      <c r="WI11">
        <f>WI10+IF(AND($C10=60,$L10=1),1,0)</f>
        <v/>
      </c>
      <c r="WJ11">
        <f>WJ10+IF(AND($C10=61,$L10=1),1,0)</f>
        <v/>
      </c>
      <c r="WK11">
        <f>WK10+IF(AND($C10=62,$L10=1),1,0)</f>
        <v/>
      </c>
      <c r="WL11">
        <f>WL10+IF(AND($C10=63,$L10=1),1,0)</f>
        <v/>
      </c>
      <c r="WM11">
        <f>WM10+IF(AND($C10=64,$L10=1),1,0)</f>
        <v/>
      </c>
      <c r="WN11">
        <f>WN10+IF(AND($C10=65,$L10=1),1,0)</f>
        <v/>
      </c>
      <c r="WO11">
        <f>WO10+IF(AND($C10=66,$L10=1),1,0)</f>
        <v/>
      </c>
      <c r="WP11">
        <f>WP10+IF(AND($C10=67,$L10=1),1,0)</f>
        <v/>
      </c>
      <c r="WQ11">
        <f>WQ10+IF(AND($C10=68,$L10=1),1,0)</f>
        <v/>
      </c>
      <c r="WR11">
        <f>WR10+IF(AND($C10=69,$L10=1),1,0)</f>
        <v/>
      </c>
      <c r="WS11">
        <f>WS10+IF(AND($C10=70,$L10=1),1,0)</f>
        <v/>
      </c>
      <c r="WT11">
        <f>WT10+IF(AND($C10=71,$L10=1),1,0)</f>
        <v/>
      </c>
      <c r="WU11">
        <f>WU10+IF(AND($C10=72,$L10=1),1,0)</f>
        <v/>
      </c>
      <c r="WV11">
        <f>WV10+IF(AND($C10=73,$L10=1),1,0)</f>
        <v/>
      </c>
      <c r="WW11">
        <f>WW10+IF(AND($C10=74,$L10=1),1,0)</f>
        <v/>
      </c>
      <c r="WX11">
        <f>WX10+IF(AND($C10=75,$L10=1),1,0)</f>
        <v/>
      </c>
      <c r="WY11">
        <f>WY10+IF(AND($C10=76,$L10=1),1,0)</f>
        <v/>
      </c>
      <c r="WZ11">
        <f>WZ10+IF(AND($C10=77,$L10=1),1,0)</f>
        <v/>
      </c>
      <c r="XA11">
        <f>XA10+IF(AND($C10=78,$L10=1),1,0)</f>
        <v/>
      </c>
      <c r="XB11">
        <f>XB10+IF(AND($C10=79,$L10=1),1,0)</f>
        <v/>
      </c>
      <c r="XC11">
        <f>XC10+IF(AND($C10=80,$L10=1),1,0)</f>
        <v/>
      </c>
      <c r="XD11">
        <f>XD10+IF(AND($C10=81,$L10=1),1,0)</f>
        <v/>
      </c>
      <c r="XE11">
        <f>XE10+IF(AND($C10=82,$L10=1),1,0)</f>
        <v/>
      </c>
      <c r="XF11">
        <f>XF10+IF(AND($C10=83,$L10=1),1,0)</f>
        <v/>
      </c>
      <c r="XG11">
        <f>XG10+IF(AND($C10=84,$L10=1),1,0)</f>
        <v/>
      </c>
      <c r="XH11">
        <f>XH10+IF(AND($C10=85,$L10=1),1,0)</f>
        <v/>
      </c>
      <c r="XI11">
        <f>XI10+IF(AND($C10=86,$L10=1),1,0)</f>
        <v/>
      </c>
      <c r="XJ11">
        <f>XJ10+IF(AND($C10=87,$L10=1),1,0)</f>
        <v/>
      </c>
      <c r="XK11">
        <f>XK10+IF(AND($C10=88,$L10=1),1,0)</f>
        <v/>
      </c>
      <c r="XL11">
        <f>XL10+IF(AND($C10=89,$L10=1),1,0)</f>
        <v/>
      </c>
      <c r="XM11">
        <f>XM10+IF(AND($C10=90,$L10=1),1,0)</f>
        <v/>
      </c>
      <c r="XN11">
        <f>XN10+IF(AND($C10=91,$L10=1),1,0)</f>
        <v/>
      </c>
      <c r="XO11">
        <f>XO10+IF(AND($C10=92,$L10=1),1,0)</f>
        <v/>
      </c>
      <c r="XP11">
        <f>XP10+IF(AND($C10=93,$L10=1),1,0)</f>
        <v/>
      </c>
      <c r="XQ11">
        <f>XQ10+IF(AND($C10=94,$L10=1),1,0)</f>
        <v/>
      </c>
      <c r="XR11">
        <f>XR10+IF(AND($C10=95,$L10=1),1,0)</f>
        <v/>
      </c>
      <c r="XS11">
        <f>XS10+IF(AND($C10=96,$L10=1),1,0)</f>
        <v/>
      </c>
      <c r="XT11">
        <f>XT10+IF(AND($C10=97,$L10=1),1,0)</f>
        <v/>
      </c>
      <c r="XU11">
        <f>XU10+IF(AND($C10=98,$L10=1),1,0)</f>
        <v/>
      </c>
      <c r="XV11">
        <f>XV10+IF(AND($C10=99,$L10=1),1,0)</f>
        <v/>
      </c>
      <c r="XW11">
        <f>XW10+IF(AND($C10=100,$L10=1),1,0)</f>
        <v/>
      </c>
      <c r="XX11">
        <f>XX10+IF(AND($C10=101,$L10=1),1,0)</f>
        <v/>
      </c>
      <c r="XY11">
        <f>XY10+IF(AND($C10=102,$L10=1),1,0)</f>
        <v/>
      </c>
      <c r="XZ11">
        <f>XZ10+IF(AND($C10=103,$L10=1),1,0)</f>
        <v/>
      </c>
      <c r="YA11">
        <f>YA10+IF(AND($C10=104,$L10=1),1,0)</f>
        <v/>
      </c>
      <c r="YB11">
        <f>YB10+IF(AND($C10=105,$L10=1),1,0)</f>
        <v/>
      </c>
      <c r="YC11">
        <f>YC10+IF(AND($C10=106,$L10=1),1,0)</f>
        <v/>
      </c>
      <c r="YD11">
        <f>YD10+IF(AND($C10=107,$L10=1),1,0)</f>
        <v/>
      </c>
      <c r="YE11">
        <f>YE10+IF(AND($C10=108,$L10=1),1,0)</f>
        <v/>
      </c>
      <c r="YF11">
        <f>YF10+IF(AND($C10=109,$L10=1),1,0)</f>
        <v/>
      </c>
      <c r="YG11">
        <f>YG10+IF(AND($C10=110,$L10=1),1,0)</f>
        <v/>
      </c>
      <c r="YH11">
        <f>YH10+IF(AND($C10=111,$L10=1),1,0)</f>
        <v/>
      </c>
      <c r="YI11">
        <f>YI10+IF(AND($C10=112,$L10=1),1,0)</f>
        <v/>
      </c>
      <c r="YJ11">
        <f>YJ10+IF(AND($C10=113,$L10=1),1,0)</f>
        <v/>
      </c>
      <c r="YK11">
        <f>YK10+IF(AND($C10=114,$L10=1),1,0)</f>
        <v/>
      </c>
      <c r="YL11">
        <f>YL10+IF(AND($C10=115,$L10=1),1,0)</f>
        <v/>
      </c>
      <c r="YM11">
        <f>YM10+IF(AND($C10=116,$L10=1),1,0)</f>
        <v/>
      </c>
      <c r="YN11">
        <f>YN10+IF(AND($C10=117,$L10=1),1,0)</f>
        <v/>
      </c>
      <c r="YO11">
        <f>YO10+IF(AND($C10=118,$L10=1),1,0)</f>
        <v/>
      </c>
      <c r="YP11">
        <f>YP10+IF(AND($C10=119,$L10=1),1,0)</f>
        <v/>
      </c>
      <c r="YQ11">
        <f>YQ10+IF(AND($C10=120,$L10=1),1,0)</f>
        <v/>
      </c>
      <c r="YR11">
        <f>YR10+IF(AND($C10=121,$L10=1),1,0)</f>
        <v/>
      </c>
      <c r="YS11">
        <f>YS10+IF(AND($C10=122,$L10=1),1,0)</f>
        <v/>
      </c>
      <c r="YT11">
        <f>YT10+IF(AND($C10=123,$L10=1),1,0)</f>
        <v/>
      </c>
      <c r="YU11">
        <f>YU10+IF(AND($C10=124,$L10=1),1,0)</f>
        <v/>
      </c>
      <c r="YV11">
        <f>YV10+IF(AND($C10=125,$L10=1),1,0)</f>
        <v/>
      </c>
      <c r="YW11">
        <f>YW10+IF(AND($C10=126,$L10=1),1,0)</f>
        <v/>
      </c>
      <c r="YX11">
        <f>YX10+IF(AND($C10=127,$L10=1),1,0)</f>
        <v/>
      </c>
      <c r="YY11">
        <f>YY10+IF(AND($C10=128,$L10=1),1,0)</f>
        <v/>
      </c>
      <c r="YZ11">
        <f>YZ10+IF(AND($C10=129,$L10=1),1,0)</f>
        <v/>
      </c>
      <c r="ZA11">
        <f>ZA10+IF(AND($C10=130,$L10=1),1,0)</f>
        <v/>
      </c>
      <c r="ZB11">
        <f>ZB10+IF(AND($C10=131,$L10=1),1,0)</f>
        <v/>
      </c>
      <c r="ZC11">
        <f>ZC10+IF(AND($C10=132,$L10=1),1,0)</f>
        <v/>
      </c>
      <c r="ZD11">
        <f>ZD10+IF(AND($C10=133,$L10=1),1,0)</f>
        <v/>
      </c>
      <c r="ZE11">
        <f>ZE10+IF(AND($C10=134,$L10=1),1,0)</f>
        <v/>
      </c>
      <c r="ZF11">
        <f>ZF10+IF(AND($C10=135,$L10=1),1,0)</f>
        <v/>
      </c>
      <c r="ZG11">
        <f>ZG10+IF(AND($C10=136,$L10=1),1,0)</f>
        <v/>
      </c>
      <c r="ZH11">
        <f>ZH10+IF(AND($C10=137,$L10=1),1,0)</f>
        <v/>
      </c>
      <c r="ZI11">
        <f>ZI10+IF(AND($C10=138,$L10=1),1,0)</f>
        <v/>
      </c>
      <c r="ZJ11">
        <f>ZJ10+IF(AND($C10=139,$L10=1),1,0)</f>
        <v/>
      </c>
      <c r="ZK11">
        <f>ZK10+IF(AND($C10=140,$L10=1),1,0)</f>
        <v/>
      </c>
      <c r="ZL11">
        <f>ZL10+IF(AND($C10=141,$L10=1),1,0)</f>
        <v/>
      </c>
      <c r="ZM11">
        <f>ZM10+IF(AND($C10=142,$L10=1),1,0)</f>
        <v/>
      </c>
      <c r="ZN11">
        <f>ZN10+IF(AND($C10=143,$L10=1),1,0)</f>
        <v/>
      </c>
      <c r="ZO11">
        <f>ZO10+IF(AND($C10=144,$L10=1),1,0)</f>
        <v/>
      </c>
    </row>
    <row r="12">
      <c r="A12" t="n">
        <v>10</v>
      </c>
      <c r="B12">
        <f>IF(MIN(BH12:CZ12)&gt;=1000000,0,MATCH(MIN(BH12:CZ12),BH12:CZ12,0))</f>
        <v/>
      </c>
      <c r="C12">
        <f>IF(MIN(OF12:TS12)&gt;=1000000,0,MATCH(MIN(OF12:TS12),OF12:TS12,0))</f>
        <v/>
      </c>
      <c r="D12">
        <f>IF(C12&gt;0,INDEX('計算A'!$D$5:$EQ$5,C12),0)</f>
        <v/>
      </c>
      <c r="E12">
        <f>IF(B12=0,0,INDEX('計算A'!$IQ$10:$IQ$54,B12))</f>
        <v/>
      </c>
      <c r="F12">
        <f>IF(B12=0,0,INDEX('計算A'!$IP$10:$IP$54,B12))</f>
        <v/>
      </c>
      <c r="G12">
        <f>IF(AND(C12&gt;0,E12&gt;0),IF(AND(INDEX('計算A'!$D$106:$EQ$106,C12)=1,INDEX($IQ12:$OD12,C12)=1),C12+1,0),0)</f>
        <v/>
      </c>
      <c r="H12">
        <f>IF(B12=0,0,INDEX('計算A'!$IW$10:$IW$54,B12))</f>
        <v/>
      </c>
      <c r="I12">
        <f>IF(B12=0,0,MAX(0,INDEX('計算A'!$IT$10:$IT$54,B12)))</f>
        <v/>
      </c>
      <c r="J12">
        <f>IF(I12=0,0,INDEX('計算A'!$D$2:$EQ$2,I12))</f>
        <v/>
      </c>
      <c r="K12">
        <f>IF(I12=0,0,INDEX('計算A'!$D$3:$EQ$3,I12))</f>
        <v/>
      </c>
      <c r="L12">
        <f>IF(B12=0,0,INDEX('計算A'!$IX$10:$IX$54,B12))</f>
        <v/>
      </c>
      <c r="N12">
        <f>MAX(N11,IF($B11=1,1,0))</f>
        <v/>
      </c>
      <c r="O12">
        <f>MAX(O11,IF($B11=2,1,0))</f>
        <v/>
      </c>
      <c r="P12">
        <f>MAX(P11,IF($B11=3,1,0))</f>
        <v/>
      </c>
      <c r="Q12">
        <f>MAX(Q11,IF($B11=4,1,0))</f>
        <v/>
      </c>
      <c r="R12">
        <f>MAX(R11,IF($B11=5,1,0))</f>
        <v/>
      </c>
      <c r="S12">
        <f>MAX(S11,IF($B11=6,1,0))</f>
        <v/>
      </c>
      <c r="T12">
        <f>MAX(T11,IF($B11=7,1,0))</f>
        <v/>
      </c>
      <c r="U12">
        <f>MAX(U11,IF($B11=8,1,0))</f>
        <v/>
      </c>
      <c r="V12">
        <f>MAX(V11,IF($B11=9,1,0))</f>
        <v/>
      </c>
      <c r="W12">
        <f>MAX(W11,IF($B11=10,1,0))</f>
        <v/>
      </c>
      <c r="X12">
        <f>MAX(X11,IF($B11=11,1,0))</f>
        <v/>
      </c>
      <c r="Y12">
        <f>MAX(Y11,IF($B11=12,1,0))</f>
        <v/>
      </c>
      <c r="Z12">
        <f>MAX(Z11,IF($B11=13,1,0))</f>
        <v/>
      </c>
      <c r="AA12">
        <f>MAX(AA11,IF($B11=14,1,0))</f>
        <v/>
      </c>
      <c r="AB12">
        <f>MAX(AB11,IF($B11=15,1,0))</f>
        <v/>
      </c>
      <c r="AC12">
        <f>MAX(AC11,IF($B11=16,1,0))</f>
        <v/>
      </c>
      <c r="AD12">
        <f>MAX(AD11,IF($B11=17,1,0))</f>
        <v/>
      </c>
      <c r="AE12">
        <f>MAX(AE11,IF($B11=18,1,0))</f>
        <v/>
      </c>
      <c r="AF12">
        <f>MAX(AF11,IF($B11=19,1,0))</f>
        <v/>
      </c>
      <c r="AG12">
        <f>MAX(AG11,IF($B11=20,1,0))</f>
        <v/>
      </c>
      <c r="AH12">
        <f>MAX(AH11,IF($B11=21,1,0))</f>
        <v/>
      </c>
      <c r="AI12">
        <f>MAX(AI11,IF($B11=22,1,0))</f>
        <v/>
      </c>
      <c r="AJ12">
        <f>MAX(AJ11,IF($B11=23,1,0))</f>
        <v/>
      </c>
      <c r="AK12">
        <f>MAX(AK11,IF($B11=24,1,0))</f>
        <v/>
      </c>
      <c r="AL12">
        <f>MAX(AL11,IF($B11=25,1,0))</f>
        <v/>
      </c>
      <c r="AM12">
        <f>MAX(AM11,IF($B11=26,1,0))</f>
        <v/>
      </c>
      <c r="AN12">
        <f>MAX(AN11,IF($B11=27,1,0))</f>
        <v/>
      </c>
      <c r="AO12">
        <f>MAX(AO11,IF($B11=28,1,0))</f>
        <v/>
      </c>
      <c r="AP12">
        <f>MAX(AP11,IF($B11=29,1,0))</f>
        <v/>
      </c>
      <c r="AQ12">
        <f>MAX(AQ11,IF($B11=30,1,0))</f>
        <v/>
      </c>
      <c r="AR12">
        <f>MAX(AR11,IF($B11=31,1,0))</f>
        <v/>
      </c>
      <c r="AS12">
        <f>MAX(AS11,IF($B11=32,1,0))</f>
        <v/>
      </c>
      <c r="AT12">
        <f>MAX(AT11,IF($B11=33,1,0))</f>
        <v/>
      </c>
      <c r="AU12">
        <f>MAX(AU11,IF($B11=34,1,0))</f>
        <v/>
      </c>
      <c r="AV12">
        <f>MAX(AV11,IF($B11=35,1,0))</f>
        <v/>
      </c>
      <c r="AW12">
        <f>MAX(AW11,IF($B11=36,1,0))</f>
        <v/>
      </c>
      <c r="AX12">
        <f>MAX(AX11,IF($B11=37,1,0))</f>
        <v/>
      </c>
      <c r="AY12">
        <f>MAX(AY11,IF($B11=38,1,0))</f>
        <v/>
      </c>
      <c r="AZ12">
        <f>MAX(AZ11,IF($B11=39,1,0))</f>
        <v/>
      </c>
      <c r="BA12">
        <f>MAX(BA11,IF($B11=40,1,0))</f>
        <v/>
      </c>
      <c r="BB12">
        <f>MAX(BB11,IF($B11=41,1,0))</f>
        <v/>
      </c>
      <c r="BC12">
        <f>MAX(BC11,IF($B11=42,1,0))</f>
        <v/>
      </c>
      <c r="BD12">
        <f>MAX(BD11,IF($B11=43,1,0))</f>
        <v/>
      </c>
      <c r="BE12">
        <f>MAX(BE11,IF($B11=44,1,0))</f>
        <v/>
      </c>
      <c r="BF12">
        <f>MAX(BF11,IF($B11=45,1,0))</f>
        <v/>
      </c>
      <c r="BH12">
        <f>IF(N12=1,1000000,IF('計算A'!$IT$10&gt;0,0,500000)+IF('計算A'!$IQ$10=2,SUMPRODUCT('計算A'!$D$60:$EQ$60,$DB12:$IO12,$IQ12:$OD12),SUMPRODUCT('計算A'!$D$60:$EQ$60,$DB12:$IO12))*1000+1)</f>
        <v/>
      </c>
      <c r="BI12">
        <f>IF(O12=1,1000000,IF('計算A'!$IT$11&gt;0,0,500000)+IF('計算A'!$IQ$11=2,SUMPRODUCT('計算A'!$D$61:$EQ$61,$DB12:$IO12,$IQ12:$OD12),SUMPRODUCT('計算A'!$D$61:$EQ$61,$DB12:$IO12))*1000+2)</f>
        <v/>
      </c>
      <c r="BJ12">
        <f>IF(P12=1,1000000,IF('計算A'!$IT$12&gt;0,0,500000)+IF('計算A'!$IQ$12=2,SUMPRODUCT('計算A'!$D$62:$EQ$62,$DB12:$IO12,$IQ12:$OD12),SUMPRODUCT('計算A'!$D$62:$EQ$62,$DB12:$IO12))*1000+3)</f>
        <v/>
      </c>
      <c r="BK12">
        <f>IF(Q12=1,1000000,IF('計算A'!$IT$13&gt;0,0,500000)+IF('計算A'!$IQ$13=2,SUMPRODUCT('計算A'!$D$63:$EQ$63,$DB12:$IO12,$IQ12:$OD12),SUMPRODUCT('計算A'!$D$63:$EQ$63,$DB12:$IO12))*1000+4)</f>
        <v/>
      </c>
      <c r="BL12">
        <f>IF(R12=1,1000000,IF('計算A'!$IT$14&gt;0,0,500000)+IF('計算A'!$IQ$14=2,SUMPRODUCT('計算A'!$D$64:$EQ$64,$DB12:$IO12,$IQ12:$OD12),SUMPRODUCT('計算A'!$D$64:$EQ$64,$DB12:$IO12))*1000+5)</f>
        <v/>
      </c>
      <c r="BM12">
        <f>IF(S12=1,1000000,IF('計算A'!$IT$15&gt;0,0,500000)+IF('計算A'!$IQ$15=2,SUMPRODUCT('計算A'!$D$65:$EQ$65,$DB12:$IO12,$IQ12:$OD12),SUMPRODUCT('計算A'!$D$65:$EQ$65,$DB12:$IO12))*1000+6)</f>
        <v/>
      </c>
      <c r="BN12">
        <f>IF(T12=1,1000000,IF('計算A'!$IT$16&gt;0,0,500000)+IF('計算A'!$IQ$16=2,SUMPRODUCT('計算A'!$D$66:$EQ$66,$DB12:$IO12,$IQ12:$OD12),SUMPRODUCT('計算A'!$D$66:$EQ$66,$DB12:$IO12))*1000+7)</f>
        <v/>
      </c>
      <c r="BO12">
        <f>IF(U12=1,1000000,IF('計算A'!$IT$17&gt;0,0,500000)+IF('計算A'!$IQ$17=2,SUMPRODUCT('計算A'!$D$67:$EQ$67,$DB12:$IO12,$IQ12:$OD12),SUMPRODUCT('計算A'!$D$67:$EQ$67,$DB12:$IO12))*1000+8)</f>
        <v/>
      </c>
      <c r="BP12">
        <f>IF(V12=1,1000000,IF('計算A'!$IT$18&gt;0,0,500000)+IF('計算A'!$IQ$18=2,SUMPRODUCT('計算A'!$D$68:$EQ$68,$DB12:$IO12,$IQ12:$OD12),SUMPRODUCT('計算A'!$D$68:$EQ$68,$DB12:$IO12))*1000+9)</f>
        <v/>
      </c>
      <c r="BQ12">
        <f>IF(W12=1,1000000,IF('計算A'!$IT$19&gt;0,0,500000)+IF('計算A'!$IQ$19=2,SUMPRODUCT('計算A'!$D$69:$EQ$69,$DB12:$IO12,$IQ12:$OD12),SUMPRODUCT('計算A'!$D$69:$EQ$69,$DB12:$IO12))*1000+10)</f>
        <v/>
      </c>
      <c r="BR12">
        <f>IF(X12=1,1000000,IF('計算A'!$IT$20&gt;0,0,500000)+IF('計算A'!$IQ$20=2,SUMPRODUCT('計算A'!$D$70:$EQ$70,$DB12:$IO12,$IQ12:$OD12),SUMPRODUCT('計算A'!$D$70:$EQ$70,$DB12:$IO12))*1000+11)</f>
        <v/>
      </c>
      <c r="BS12">
        <f>IF(Y12=1,1000000,IF('計算A'!$IT$21&gt;0,0,500000)+IF('計算A'!$IQ$21=2,SUMPRODUCT('計算A'!$D$71:$EQ$71,$DB12:$IO12,$IQ12:$OD12),SUMPRODUCT('計算A'!$D$71:$EQ$71,$DB12:$IO12))*1000+12)</f>
        <v/>
      </c>
      <c r="BT12">
        <f>IF(Z12=1,1000000,IF('計算A'!$IT$22&gt;0,0,500000)+IF('計算A'!$IQ$22=2,SUMPRODUCT('計算A'!$D$72:$EQ$72,$DB12:$IO12,$IQ12:$OD12),SUMPRODUCT('計算A'!$D$72:$EQ$72,$DB12:$IO12))*1000+13)</f>
        <v/>
      </c>
      <c r="BU12">
        <f>IF(AA12=1,1000000,IF('計算A'!$IT$23&gt;0,0,500000)+IF('計算A'!$IQ$23=2,SUMPRODUCT('計算A'!$D$73:$EQ$73,$DB12:$IO12,$IQ12:$OD12),SUMPRODUCT('計算A'!$D$73:$EQ$73,$DB12:$IO12))*1000+14)</f>
        <v/>
      </c>
      <c r="BV12">
        <f>IF(AB12=1,1000000,IF('計算A'!$IT$24&gt;0,0,500000)+IF('計算A'!$IQ$24=2,SUMPRODUCT('計算A'!$D$74:$EQ$74,$DB12:$IO12,$IQ12:$OD12),SUMPRODUCT('計算A'!$D$74:$EQ$74,$DB12:$IO12))*1000+15)</f>
        <v/>
      </c>
      <c r="BW12">
        <f>IF(AC12=1,1000000,IF('計算A'!$IT$25&gt;0,0,500000)+IF('計算A'!$IQ$25=2,SUMPRODUCT('計算A'!$D$75:$EQ$75,$DB12:$IO12,$IQ12:$OD12),SUMPRODUCT('計算A'!$D$75:$EQ$75,$DB12:$IO12))*1000+16)</f>
        <v/>
      </c>
      <c r="BX12">
        <f>IF(AD12=1,1000000,IF('計算A'!$IT$26&gt;0,0,500000)+IF('計算A'!$IQ$26=2,SUMPRODUCT('計算A'!$D$76:$EQ$76,$DB12:$IO12,$IQ12:$OD12),SUMPRODUCT('計算A'!$D$76:$EQ$76,$DB12:$IO12))*1000+17)</f>
        <v/>
      </c>
      <c r="BY12">
        <f>IF(AE12=1,1000000,IF('計算A'!$IT$27&gt;0,0,500000)+IF('計算A'!$IQ$27=2,SUMPRODUCT('計算A'!$D$77:$EQ$77,$DB12:$IO12,$IQ12:$OD12),SUMPRODUCT('計算A'!$D$77:$EQ$77,$DB12:$IO12))*1000+18)</f>
        <v/>
      </c>
      <c r="BZ12">
        <f>IF(AF12=1,1000000,IF('計算A'!$IT$28&gt;0,0,500000)+IF('計算A'!$IQ$28=2,SUMPRODUCT('計算A'!$D$78:$EQ$78,$DB12:$IO12,$IQ12:$OD12),SUMPRODUCT('計算A'!$D$78:$EQ$78,$DB12:$IO12))*1000+19)</f>
        <v/>
      </c>
      <c r="CA12">
        <f>IF(AG12=1,1000000,IF('計算A'!$IT$29&gt;0,0,500000)+IF('計算A'!$IQ$29=2,SUMPRODUCT('計算A'!$D$79:$EQ$79,$DB12:$IO12,$IQ12:$OD12),SUMPRODUCT('計算A'!$D$79:$EQ$79,$DB12:$IO12))*1000+20)</f>
        <v/>
      </c>
      <c r="CB12">
        <f>IF(AH12=1,1000000,IF('計算A'!$IT$30&gt;0,0,500000)+IF('計算A'!$IQ$30=2,SUMPRODUCT('計算A'!$D$80:$EQ$80,$DB12:$IO12,$IQ12:$OD12),SUMPRODUCT('計算A'!$D$80:$EQ$80,$DB12:$IO12))*1000+21)</f>
        <v/>
      </c>
      <c r="CC12">
        <f>IF(AI12=1,1000000,IF('計算A'!$IT$31&gt;0,0,500000)+IF('計算A'!$IQ$31=2,SUMPRODUCT('計算A'!$D$81:$EQ$81,$DB12:$IO12,$IQ12:$OD12),SUMPRODUCT('計算A'!$D$81:$EQ$81,$DB12:$IO12))*1000+22)</f>
        <v/>
      </c>
      <c r="CD12">
        <f>IF(AJ12=1,1000000,IF('計算A'!$IT$32&gt;0,0,500000)+IF('計算A'!$IQ$32=2,SUMPRODUCT('計算A'!$D$82:$EQ$82,$DB12:$IO12,$IQ12:$OD12),SUMPRODUCT('計算A'!$D$82:$EQ$82,$DB12:$IO12))*1000+23)</f>
        <v/>
      </c>
      <c r="CE12">
        <f>IF(AK12=1,1000000,IF('計算A'!$IT$33&gt;0,0,500000)+IF('計算A'!$IQ$33=2,SUMPRODUCT('計算A'!$D$83:$EQ$83,$DB12:$IO12,$IQ12:$OD12),SUMPRODUCT('計算A'!$D$83:$EQ$83,$DB12:$IO12))*1000+24)</f>
        <v/>
      </c>
      <c r="CF12">
        <f>IF(AL12=1,1000000,IF('計算A'!$IT$34&gt;0,0,500000)+IF('計算A'!$IQ$34=2,SUMPRODUCT('計算A'!$D$84:$EQ$84,$DB12:$IO12,$IQ12:$OD12),SUMPRODUCT('計算A'!$D$84:$EQ$84,$DB12:$IO12))*1000+25)</f>
        <v/>
      </c>
      <c r="CG12">
        <f>IF(AM12=1,1000000,IF('計算A'!$IT$35&gt;0,0,500000)+IF('計算A'!$IQ$35=2,SUMPRODUCT('計算A'!$D$85:$EQ$85,$DB12:$IO12,$IQ12:$OD12),SUMPRODUCT('計算A'!$D$85:$EQ$85,$DB12:$IO12))*1000+26)</f>
        <v/>
      </c>
      <c r="CH12">
        <f>IF(AN12=1,1000000,IF('計算A'!$IT$36&gt;0,0,500000)+IF('計算A'!$IQ$36=2,SUMPRODUCT('計算A'!$D$86:$EQ$86,$DB12:$IO12,$IQ12:$OD12),SUMPRODUCT('計算A'!$D$86:$EQ$86,$DB12:$IO12))*1000+27)</f>
        <v/>
      </c>
      <c r="CI12">
        <f>IF(AO12=1,1000000,IF('計算A'!$IT$37&gt;0,0,500000)+IF('計算A'!$IQ$37=2,SUMPRODUCT('計算A'!$D$87:$EQ$87,$DB12:$IO12,$IQ12:$OD12),SUMPRODUCT('計算A'!$D$87:$EQ$87,$DB12:$IO12))*1000+28)</f>
        <v/>
      </c>
      <c r="CJ12">
        <f>IF(AP12=1,1000000,IF('計算A'!$IT$38&gt;0,0,500000)+IF('計算A'!$IQ$38=2,SUMPRODUCT('計算A'!$D$88:$EQ$88,$DB12:$IO12,$IQ12:$OD12),SUMPRODUCT('計算A'!$D$88:$EQ$88,$DB12:$IO12))*1000+29)</f>
        <v/>
      </c>
      <c r="CK12">
        <f>IF(AQ12=1,1000000,IF('計算A'!$IT$39&gt;0,0,500000)+IF('計算A'!$IQ$39=2,SUMPRODUCT('計算A'!$D$89:$EQ$89,$DB12:$IO12,$IQ12:$OD12),SUMPRODUCT('計算A'!$D$89:$EQ$89,$DB12:$IO12))*1000+30)</f>
        <v/>
      </c>
      <c r="CL12">
        <f>IF(AR12=1,1000000,IF('計算A'!$IT$40&gt;0,0,500000)+IF('計算A'!$IQ$40=2,SUMPRODUCT('計算A'!$D$90:$EQ$90,$DB12:$IO12,$IQ12:$OD12),SUMPRODUCT('計算A'!$D$90:$EQ$90,$DB12:$IO12))*1000+31)</f>
        <v/>
      </c>
      <c r="CM12">
        <f>IF(AS12=1,1000000,IF('計算A'!$IT$41&gt;0,0,500000)+IF('計算A'!$IQ$41=2,SUMPRODUCT('計算A'!$D$91:$EQ$91,$DB12:$IO12,$IQ12:$OD12),SUMPRODUCT('計算A'!$D$91:$EQ$91,$DB12:$IO12))*1000+32)</f>
        <v/>
      </c>
      <c r="CN12">
        <f>IF(AT12=1,1000000,IF('計算A'!$IT$42&gt;0,0,500000)+IF('計算A'!$IQ$42=2,SUMPRODUCT('計算A'!$D$92:$EQ$92,$DB12:$IO12,$IQ12:$OD12),SUMPRODUCT('計算A'!$D$92:$EQ$92,$DB12:$IO12))*1000+33)</f>
        <v/>
      </c>
      <c r="CO12">
        <f>IF(AU12=1,1000000,IF('計算A'!$IT$43&gt;0,0,500000)+IF('計算A'!$IQ$43=2,SUMPRODUCT('計算A'!$D$93:$EQ$93,$DB12:$IO12,$IQ12:$OD12),SUMPRODUCT('計算A'!$D$93:$EQ$93,$DB12:$IO12))*1000+34)</f>
        <v/>
      </c>
      <c r="CP12">
        <f>IF(AV12=1,1000000,IF('計算A'!$IT$44&gt;0,0,500000)+IF('計算A'!$IQ$44=2,SUMPRODUCT('計算A'!$D$94:$EQ$94,$DB12:$IO12,$IQ12:$OD12),SUMPRODUCT('計算A'!$D$94:$EQ$94,$DB12:$IO12))*1000+35)</f>
        <v/>
      </c>
      <c r="CQ12">
        <f>IF(AW12=1,1000000,IF('計算A'!$IT$45&gt;0,0,500000)+IF('計算A'!$IQ$45=2,SUMPRODUCT('計算A'!$D$95:$EQ$95,$DB12:$IO12,$IQ12:$OD12),SUMPRODUCT('計算A'!$D$95:$EQ$95,$DB12:$IO12))*1000+36)</f>
        <v/>
      </c>
      <c r="CR12">
        <f>IF(AX12=1,1000000,IF('計算A'!$IT$46&gt;0,0,500000)+IF('計算A'!$IQ$46=2,SUMPRODUCT('計算A'!$D$96:$EQ$96,$DB12:$IO12,$IQ12:$OD12),SUMPRODUCT('計算A'!$D$96:$EQ$96,$DB12:$IO12))*1000+37)</f>
        <v/>
      </c>
      <c r="CS12">
        <f>IF(AY12=1,1000000,IF('計算A'!$IT$47&gt;0,0,500000)+IF('計算A'!$IQ$47=2,SUMPRODUCT('計算A'!$D$97:$EQ$97,$DB12:$IO12,$IQ12:$OD12),SUMPRODUCT('計算A'!$D$97:$EQ$97,$DB12:$IO12))*1000+38)</f>
        <v/>
      </c>
      <c r="CT12">
        <f>IF(AZ12=1,1000000,IF('計算A'!$IT$48&gt;0,0,500000)+IF('計算A'!$IQ$48=2,SUMPRODUCT('計算A'!$D$98:$EQ$98,$DB12:$IO12,$IQ12:$OD12),SUMPRODUCT('計算A'!$D$98:$EQ$98,$DB12:$IO12))*1000+39)</f>
        <v/>
      </c>
      <c r="CU12">
        <f>IF(BA12=1,1000000,IF('計算A'!$IT$49&gt;0,0,500000)+IF('計算A'!$IQ$49=2,SUMPRODUCT('計算A'!$D$99:$EQ$99,$DB12:$IO12,$IQ12:$OD12),SUMPRODUCT('計算A'!$D$99:$EQ$99,$DB12:$IO12))*1000+40)</f>
        <v/>
      </c>
      <c r="CV12">
        <f>IF(BB12=1,1000000,IF('計算A'!$IT$50&gt;0,0,500000)+IF('計算A'!$IQ$50=2,SUMPRODUCT('計算A'!$D$100:$EQ$100,$DB12:$IO12,$IQ12:$OD12),SUMPRODUCT('計算A'!$D$100:$EQ$100,$DB12:$IO12))*1000+41)</f>
        <v/>
      </c>
      <c r="CW12">
        <f>IF(BC12=1,1000000,IF('計算A'!$IT$51&gt;0,0,500000)+IF('計算A'!$IQ$51=2,SUMPRODUCT('計算A'!$D$101:$EQ$101,$DB12:$IO12,$IQ12:$OD12),SUMPRODUCT('計算A'!$D$101:$EQ$101,$DB12:$IO12))*1000+42)</f>
        <v/>
      </c>
      <c r="CX12">
        <f>IF(BD12=1,1000000,IF('計算A'!$IT$52&gt;0,0,500000)+IF('計算A'!$IQ$52=2,SUMPRODUCT('計算A'!$D$102:$EQ$102,$DB12:$IO12,$IQ12:$OD12),SUMPRODUCT('計算A'!$D$102:$EQ$102,$DB12:$IO12))*1000+43)</f>
        <v/>
      </c>
      <c r="CY12">
        <f>IF(BE12=1,1000000,IF('計算A'!$IT$53&gt;0,0,500000)+IF('計算A'!$IQ$53=2,SUMPRODUCT('計算A'!$D$103:$EQ$103,$DB12:$IO12,$IQ12:$OD12),SUMPRODUCT('計算A'!$D$103:$EQ$103,$DB12:$IO12))*1000+44)</f>
        <v/>
      </c>
      <c r="CZ12">
        <f>IF(BF12=1,1000000,IF('計算A'!$IT$54&gt;0,0,500000)+IF('計算A'!$IQ$54=2,SUMPRODUCT('計算A'!$D$104:$EQ$104,$DB12:$IO12,$IQ12:$OD12),SUMPRODUCT('計算A'!$D$104:$EQ$104,$DB12:$IO12))*1000+45)</f>
        <v/>
      </c>
      <c r="DB12">
        <f>DB11*IF(OR($C11=1,$G11=1),0,1)</f>
        <v/>
      </c>
      <c r="DC12">
        <f>DC11*IF(OR($C11=2,$G11=2),0,1)</f>
        <v/>
      </c>
      <c r="DD12">
        <f>DD11*IF(OR($C11=3,$G11=3),0,1)</f>
        <v/>
      </c>
      <c r="DE12">
        <f>DE11*IF(OR($C11=4,$G11=4),0,1)</f>
        <v/>
      </c>
      <c r="DF12">
        <f>DF11*IF(OR($C11=5,$G11=5),0,1)</f>
        <v/>
      </c>
      <c r="DG12">
        <f>DG11*IF(OR($C11=6,$G11=6),0,1)</f>
        <v/>
      </c>
      <c r="DH12">
        <f>DH11*IF(OR($C11=7,$G11=7),0,1)</f>
        <v/>
      </c>
      <c r="DI12">
        <f>DI11*IF(OR($C11=8,$G11=8),0,1)</f>
        <v/>
      </c>
      <c r="DJ12">
        <f>DJ11*IF(OR($C11=9,$G11=9),0,1)</f>
        <v/>
      </c>
      <c r="DK12">
        <f>DK11*IF(OR($C11=10,$G11=10),0,1)</f>
        <v/>
      </c>
      <c r="DL12">
        <f>DL11*IF(OR($C11=11,$G11=11),0,1)</f>
        <v/>
      </c>
      <c r="DM12">
        <f>DM11*IF(OR($C11=12,$G11=12),0,1)</f>
        <v/>
      </c>
      <c r="DN12">
        <f>DN11*IF(OR($C11=13,$G11=13),0,1)</f>
        <v/>
      </c>
      <c r="DO12">
        <f>DO11*IF(OR($C11=14,$G11=14),0,1)</f>
        <v/>
      </c>
      <c r="DP12">
        <f>DP11*IF(OR($C11=15,$G11=15),0,1)</f>
        <v/>
      </c>
      <c r="DQ12">
        <f>DQ11*IF(OR($C11=16,$G11=16),0,1)</f>
        <v/>
      </c>
      <c r="DR12">
        <f>DR11*IF(OR($C11=17,$G11=17),0,1)</f>
        <v/>
      </c>
      <c r="DS12">
        <f>DS11*IF(OR($C11=18,$G11=18),0,1)</f>
        <v/>
      </c>
      <c r="DT12">
        <f>DT11*IF(OR($C11=19,$G11=19),0,1)</f>
        <v/>
      </c>
      <c r="DU12">
        <f>DU11*IF(OR($C11=20,$G11=20),0,1)</f>
        <v/>
      </c>
      <c r="DV12">
        <f>DV11*IF(OR($C11=21,$G11=21),0,1)</f>
        <v/>
      </c>
      <c r="DW12">
        <f>DW11*IF(OR($C11=22,$G11=22),0,1)</f>
        <v/>
      </c>
      <c r="DX12">
        <f>DX11*IF(OR($C11=23,$G11=23),0,1)</f>
        <v/>
      </c>
      <c r="DY12">
        <f>DY11*IF(OR($C11=24,$G11=24),0,1)</f>
        <v/>
      </c>
      <c r="DZ12">
        <f>DZ11*IF(OR($C11=25,$G11=25),0,1)</f>
        <v/>
      </c>
      <c r="EA12">
        <f>EA11*IF(OR($C11=26,$G11=26),0,1)</f>
        <v/>
      </c>
      <c r="EB12">
        <f>EB11*IF(OR($C11=27,$G11=27),0,1)</f>
        <v/>
      </c>
      <c r="EC12">
        <f>EC11*IF(OR($C11=28,$G11=28),0,1)</f>
        <v/>
      </c>
      <c r="ED12">
        <f>ED11*IF(OR($C11=29,$G11=29),0,1)</f>
        <v/>
      </c>
      <c r="EE12">
        <f>EE11*IF(OR($C11=30,$G11=30),0,1)</f>
        <v/>
      </c>
      <c r="EF12">
        <f>EF11*IF(OR($C11=31,$G11=31),0,1)</f>
        <v/>
      </c>
      <c r="EG12">
        <f>EG11*IF(OR($C11=32,$G11=32),0,1)</f>
        <v/>
      </c>
      <c r="EH12">
        <f>EH11*IF(OR($C11=33,$G11=33),0,1)</f>
        <v/>
      </c>
      <c r="EI12">
        <f>EI11*IF(OR($C11=34,$G11=34),0,1)</f>
        <v/>
      </c>
      <c r="EJ12">
        <f>EJ11*IF(OR($C11=35,$G11=35),0,1)</f>
        <v/>
      </c>
      <c r="EK12">
        <f>EK11*IF(OR($C11=36,$G11=36),0,1)</f>
        <v/>
      </c>
      <c r="EL12">
        <f>EL11*IF(OR($C11=37,$G11=37),0,1)</f>
        <v/>
      </c>
      <c r="EM12">
        <f>EM11*IF(OR($C11=38,$G11=38),0,1)</f>
        <v/>
      </c>
      <c r="EN12">
        <f>EN11*IF(OR($C11=39,$G11=39),0,1)</f>
        <v/>
      </c>
      <c r="EO12">
        <f>EO11*IF(OR($C11=40,$G11=40),0,1)</f>
        <v/>
      </c>
      <c r="EP12">
        <f>EP11*IF(OR($C11=41,$G11=41),0,1)</f>
        <v/>
      </c>
      <c r="EQ12">
        <f>EQ11*IF(OR($C11=42,$G11=42),0,1)</f>
        <v/>
      </c>
      <c r="ER12">
        <f>ER11*IF(OR($C11=43,$G11=43),0,1)</f>
        <v/>
      </c>
      <c r="ES12">
        <f>ES11*IF(OR($C11=44,$G11=44),0,1)</f>
        <v/>
      </c>
      <c r="ET12">
        <f>ET11*IF(OR($C11=45,$G11=45),0,1)</f>
        <v/>
      </c>
      <c r="EU12">
        <f>EU11*IF(OR($C11=46,$G11=46),0,1)</f>
        <v/>
      </c>
      <c r="EV12">
        <f>EV11*IF(OR($C11=47,$G11=47),0,1)</f>
        <v/>
      </c>
      <c r="EW12">
        <f>EW11*IF(OR($C11=48,$G11=48),0,1)</f>
        <v/>
      </c>
      <c r="EX12">
        <f>EX11*IF(OR($C11=49,$G11=49),0,1)</f>
        <v/>
      </c>
      <c r="EY12">
        <f>EY11*IF(OR($C11=50,$G11=50),0,1)</f>
        <v/>
      </c>
      <c r="EZ12">
        <f>EZ11*IF(OR($C11=51,$G11=51),0,1)</f>
        <v/>
      </c>
      <c r="FA12">
        <f>FA11*IF(OR($C11=52,$G11=52),0,1)</f>
        <v/>
      </c>
      <c r="FB12">
        <f>FB11*IF(OR($C11=53,$G11=53),0,1)</f>
        <v/>
      </c>
      <c r="FC12">
        <f>FC11*IF(OR($C11=54,$G11=54),0,1)</f>
        <v/>
      </c>
      <c r="FD12">
        <f>FD11*IF(OR($C11=55,$G11=55),0,1)</f>
        <v/>
      </c>
      <c r="FE12">
        <f>FE11*IF(OR($C11=56,$G11=56),0,1)</f>
        <v/>
      </c>
      <c r="FF12">
        <f>FF11*IF(OR($C11=57,$G11=57),0,1)</f>
        <v/>
      </c>
      <c r="FG12">
        <f>FG11*IF(OR($C11=58,$G11=58),0,1)</f>
        <v/>
      </c>
      <c r="FH12">
        <f>FH11*IF(OR($C11=59,$G11=59),0,1)</f>
        <v/>
      </c>
      <c r="FI12">
        <f>FI11*IF(OR($C11=60,$G11=60),0,1)</f>
        <v/>
      </c>
      <c r="FJ12">
        <f>FJ11*IF(OR($C11=61,$G11=61),0,1)</f>
        <v/>
      </c>
      <c r="FK12">
        <f>FK11*IF(OR($C11=62,$G11=62),0,1)</f>
        <v/>
      </c>
      <c r="FL12">
        <f>FL11*IF(OR($C11=63,$G11=63),0,1)</f>
        <v/>
      </c>
      <c r="FM12">
        <f>FM11*IF(OR($C11=64,$G11=64),0,1)</f>
        <v/>
      </c>
      <c r="FN12">
        <f>FN11*IF(OR($C11=65,$G11=65),0,1)</f>
        <v/>
      </c>
      <c r="FO12">
        <f>FO11*IF(OR($C11=66,$G11=66),0,1)</f>
        <v/>
      </c>
      <c r="FP12">
        <f>FP11*IF(OR($C11=67,$G11=67),0,1)</f>
        <v/>
      </c>
      <c r="FQ12">
        <f>FQ11*IF(OR($C11=68,$G11=68),0,1)</f>
        <v/>
      </c>
      <c r="FR12">
        <f>FR11*IF(OR($C11=69,$G11=69),0,1)</f>
        <v/>
      </c>
      <c r="FS12">
        <f>FS11*IF(OR($C11=70,$G11=70),0,1)</f>
        <v/>
      </c>
      <c r="FT12">
        <f>FT11*IF(OR($C11=71,$G11=71),0,1)</f>
        <v/>
      </c>
      <c r="FU12">
        <f>FU11*IF(OR($C11=72,$G11=72),0,1)</f>
        <v/>
      </c>
      <c r="FV12">
        <f>FV11*IF(OR($C11=73,$G11=73),0,1)</f>
        <v/>
      </c>
      <c r="FW12">
        <f>FW11*IF(OR($C11=74,$G11=74),0,1)</f>
        <v/>
      </c>
      <c r="FX12">
        <f>FX11*IF(OR($C11=75,$G11=75),0,1)</f>
        <v/>
      </c>
      <c r="FY12">
        <f>FY11*IF(OR($C11=76,$G11=76),0,1)</f>
        <v/>
      </c>
      <c r="FZ12">
        <f>FZ11*IF(OR($C11=77,$G11=77),0,1)</f>
        <v/>
      </c>
      <c r="GA12">
        <f>GA11*IF(OR($C11=78,$G11=78),0,1)</f>
        <v/>
      </c>
      <c r="GB12">
        <f>GB11*IF(OR($C11=79,$G11=79),0,1)</f>
        <v/>
      </c>
      <c r="GC12">
        <f>GC11*IF(OR($C11=80,$G11=80),0,1)</f>
        <v/>
      </c>
      <c r="GD12">
        <f>GD11*IF(OR($C11=81,$G11=81),0,1)</f>
        <v/>
      </c>
      <c r="GE12">
        <f>GE11*IF(OR($C11=82,$G11=82),0,1)</f>
        <v/>
      </c>
      <c r="GF12">
        <f>GF11*IF(OR($C11=83,$G11=83),0,1)</f>
        <v/>
      </c>
      <c r="GG12">
        <f>GG11*IF(OR($C11=84,$G11=84),0,1)</f>
        <v/>
      </c>
      <c r="GH12">
        <f>GH11*IF(OR($C11=85,$G11=85),0,1)</f>
        <v/>
      </c>
      <c r="GI12">
        <f>GI11*IF(OR($C11=86,$G11=86),0,1)</f>
        <v/>
      </c>
      <c r="GJ12">
        <f>GJ11*IF(OR($C11=87,$G11=87),0,1)</f>
        <v/>
      </c>
      <c r="GK12">
        <f>GK11*IF(OR($C11=88,$G11=88),0,1)</f>
        <v/>
      </c>
      <c r="GL12">
        <f>GL11*IF(OR($C11=89,$G11=89),0,1)</f>
        <v/>
      </c>
      <c r="GM12">
        <f>GM11*IF(OR($C11=90,$G11=90),0,1)</f>
        <v/>
      </c>
      <c r="GN12">
        <f>GN11*IF(OR($C11=91,$G11=91),0,1)</f>
        <v/>
      </c>
      <c r="GO12">
        <f>GO11*IF(OR($C11=92,$G11=92),0,1)</f>
        <v/>
      </c>
      <c r="GP12">
        <f>GP11*IF(OR($C11=93,$G11=93),0,1)</f>
        <v/>
      </c>
      <c r="GQ12">
        <f>GQ11*IF(OR($C11=94,$G11=94),0,1)</f>
        <v/>
      </c>
      <c r="GR12">
        <f>GR11*IF(OR($C11=95,$G11=95),0,1)</f>
        <v/>
      </c>
      <c r="GS12">
        <f>GS11*IF(OR($C11=96,$G11=96),0,1)</f>
        <v/>
      </c>
      <c r="GT12">
        <f>GT11*IF(OR($C11=97,$G11=97),0,1)</f>
        <v/>
      </c>
      <c r="GU12">
        <f>GU11*IF(OR($C11=98,$G11=98),0,1)</f>
        <v/>
      </c>
      <c r="GV12">
        <f>GV11*IF(OR($C11=99,$G11=99),0,1)</f>
        <v/>
      </c>
      <c r="GW12">
        <f>GW11*IF(OR($C11=100,$G11=100),0,1)</f>
        <v/>
      </c>
      <c r="GX12">
        <f>GX11*IF(OR($C11=101,$G11=101),0,1)</f>
        <v/>
      </c>
      <c r="GY12">
        <f>GY11*IF(OR($C11=102,$G11=102),0,1)</f>
        <v/>
      </c>
      <c r="GZ12">
        <f>GZ11*IF(OR($C11=103,$G11=103),0,1)</f>
        <v/>
      </c>
      <c r="HA12">
        <f>HA11*IF(OR($C11=104,$G11=104),0,1)</f>
        <v/>
      </c>
      <c r="HB12">
        <f>HB11*IF(OR($C11=105,$G11=105),0,1)</f>
        <v/>
      </c>
      <c r="HC12">
        <f>HC11*IF(OR($C11=106,$G11=106),0,1)</f>
        <v/>
      </c>
      <c r="HD12">
        <f>HD11*IF(OR($C11=107,$G11=107),0,1)</f>
        <v/>
      </c>
      <c r="HE12">
        <f>HE11*IF(OR($C11=108,$G11=108),0,1)</f>
        <v/>
      </c>
      <c r="HF12">
        <f>HF11*IF(OR($C11=109,$G11=109),0,1)</f>
        <v/>
      </c>
      <c r="HG12">
        <f>HG11*IF(OR($C11=110,$G11=110),0,1)</f>
        <v/>
      </c>
      <c r="HH12">
        <f>HH11*IF(OR($C11=111,$G11=111),0,1)</f>
        <v/>
      </c>
      <c r="HI12">
        <f>HI11*IF(OR($C11=112,$G11=112),0,1)</f>
        <v/>
      </c>
      <c r="HJ12">
        <f>HJ11*IF(OR($C11=113,$G11=113),0,1)</f>
        <v/>
      </c>
      <c r="HK12">
        <f>HK11*IF(OR($C11=114,$G11=114),0,1)</f>
        <v/>
      </c>
      <c r="HL12">
        <f>HL11*IF(OR($C11=115,$G11=115),0,1)</f>
        <v/>
      </c>
      <c r="HM12">
        <f>HM11*IF(OR($C11=116,$G11=116),0,1)</f>
        <v/>
      </c>
      <c r="HN12">
        <f>HN11*IF(OR($C11=117,$G11=117),0,1)</f>
        <v/>
      </c>
      <c r="HO12">
        <f>HO11*IF(OR($C11=118,$G11=118),0,1)</f>
        <v/>
      </c>
      <c r="HP12">
        <f>HP11*IF(OR($C11=119,$G11=119),0,1)</f>
        <v/>
      </c>
      <c r="HQ12">
        <f>HQ11*IF(OR($C11=120,$G11=120),0,1)</f>
        <v/>
      </c>
      <c r="HR12">
        <f>HR11*IF(OR($C11=121,$G11=121),0,1)</f>
        <v/>
      </c>
      <c r="HS12">
        <f>HS11*IF(OR($C11=122,$G11=122),0,1)</f>
        <v/>
      </c>
      <c r="HT12">
        <f>HT11*IF(OR($C11=123,$G11=123),0,1)</f>
        <v/>
      </c>
      <c r="HU12">
        <f>HU11*IF(OR($C11=124,$G11=124),0,1)</f>
        <v/>
      </c>
      <c r="HV12">
        <f>HV11*IF(OR($C11=125,$G11=125),0,1)</f>
        <v/>
      </c>
      <c r="HW12">
        <f>HW11*IF(OR($C11=126,$G11=126),0,1)</f>
        <v/>
      </c>
      <c r="HX12">
        <f>HX11*IF(OR($C11=127,$G11=127),0,1)</f>
        <v/>
      </c>
      <c r="HY12">
        <f>HY11*IF(OR($C11=128,$G11=128),0,1)</f>
        <v/>
      </c>
      <c r="HZ12">
        <f>HZ11*IF(OR($C11=129,$G11=129),0,1)</f>
        <v/>
      </c>
      <c r="IA12">
        <f>IA11*IF(OR($C11=130,$G11=130),0,1)</f>
        <v/>
      </c>
      <c r="IB12">
        <f>IB11*IF(OR($C11=131,$G11=131),0,1)</f>
        <v/>
      </c>
      <c r="IC12">
        <f>IC11*IF(OR($C11=132,$G11=132),0,1)</f>
        <v/>
      </c>
      <c r="ID12">
        <f>ID11*IF(OR($C11=133,$G11=133),0,1)</f>
        <v/>
      </c>
      <c r="IE12">
        <f>IE11*IF(OR($C11=134,$G11=134),0,1)</f>
        <v/>
      </c>
      <c r="IF12">
        <f>IF11*IF(OR($C11=135,$G11=135),0,1)</f>
        <v/>
      </c>
      <c r="IG12">
        <f>IG11*IF(OR($C11=136,$G11=136),0,1)</f>
        <v/>
      </c>
      <c r="IH12">
        <f>IH11*IF(OR($C11=137,$G11=137),0,1)</f>
        <v/>
      </c>
      <c r="II12">
        <f>II11*IF(OR($C11=138,$G11=138),0,1)</f>
        <v/>
      </c>
      <c r="IJ12">
        <f>IJ11*IF(OR($C11=139,$G11=139),0,1)</f>
        <v/>
      </c>
      <c r="IK12">
        <f>IK11*IF(OR($C11=140,$G11=140),0,1)</f>
        <v/>
      </c>
      <c r="IL12">
        <f>IL11*IF(OR($C11=141,$G11=141),0,1)</f>
        <v/>
      </c>
      <c r="IM12">
        <f>IM11*IF(OR($C11=142,$G11=142),0,1)</f>
        <v/>
      </c>
      <c r="IN12">
        <f>IN11*IF(OR($C11=143,$G11=143),0,1)</f>
        <v/>
      </c>
      <c r="IO12">
        <f>IO11*IF(OR($C11=144,$G11=144),0,1)</f>
        <v/>
      </c>
      <c r="IQ12">
        <f>IF('計算A'!D$106=1,DC12,1)</f>
        <v/>
      </c>
      <c r="IR12">
        <f>IF('計算A'!E$106=1,DD12,1)</f>
        <v/>
      </c>
      <c r="IS12">
        <f>IF('計算A'!F$106=1,DE12,1)</f>
        <v/>
      </c>
      <c r="IT12">
        <f>IF('計算A'!G$106=1,DF12,1)</f>
        <v/>
      </c>
      <c r="IU12">
        <f>IF('計算A'!H$106=1,DG12,1)</f>
        <v/>
      </c>
      <c r="IV12">
        <f>IF('計算A'!I$106=1,DH12,1)</f>
        <v/>
      </c>
      <c r="IW12">
        <f>IF('計算A'!J$106=1,DI12,1)</f>
        <v/>
      </c>
      <c r="IX12">
        <f>IF('計算A'!K$106=1,DJ12,1)</f>
        <v/>
      </c>
      <c r="IY12">
        <f>IF('計算A'!L$106=1,DK12,1)</f>
        <v/>
      </c>
      <c r="IZ12">
        <f>IF('計算A'!M$106=1,DL12,1)</f>
        <v/>
      </c>
      <c r="JA12">
        <f>IF('計算A'!N$106=1,DM12,1)</f>
        <v/>
      </c>
      <c r="JB12">
        <f>IF('計算A'!O$106=1,DN12,1)</f>
        <v/>
      </c>
      <c r="JC12">
        <f>IF('計算A'!P$106=1,DO12,1)</f>
        <v/>
      </c>
      <c r="JD12">
        <f>IF('計算A'!Q$106=1,DP12,1)</f>
        <v/>
      </c>
      <c r="JE12">
        <f>IF('計算A'!R$106=1,DQ12,1)</f>
        <v/>
      </c>
      <c r="JF12">
        <f>IF('計算A'!S$106=1,DR12,1)</f>
        <v/>
      </c>
      <c r="JG12">
        <f>IF('計算A'!T$106=1,DS12,1)</f>
        <v/>
      </c>
      <c r="JH12">
        <f>IF('計算A'!U$106=1,DT12,1)</f>
        <v/>
      </c>
      <c r="JI12">
        <f>IF('計算A'!V$106=1,DU12,1)</f>
        <v/>
      </c>
      <c r="JJ12">
        <f>IF('計算A'!W$106=1,DV12,1)</f>
        <v/>
      </c>
      <c r="JK12">
        <f>IF('計算A'!X$106=1,DW12,1)</f>
        <v/>
      </c>
      <c r="JL12">
        <f>IF('計算A'!Y$106=1,DX12,1)</f>
        <v/>
      </c>
      <c r="JM12">
        <f>IF('計算A'!Z$106=1,DY12,1)</f>
        <v/>
      </c>
      <c r="JN12">
        <f>IF('計算A'!AA$106=1,DZ12,1)</f>
        <v/>
      </c>
      <c r="JO12">
        <f>IF('計算A'!AB$106=1,EA12,1)</f>
        <v/>
      </c>
      <c r="JP12">
        <f>IF('計算A'!AC$106=1,EB12,1)</f>
        <v/>
      </c>
      <c r="JQ12">
        <f>IF('計算A'!AD$106=1,EC12,1)</f>
        <v/>
      </c>
      <c r="JR12">
        <f>IF('計算A'!AE$106=1,ED12,1)</f>
        <v/>
      </c>
      <c r="JS12">
        <f>IF('計算A'!AF$106=1,EE12,1)</f>
        <v/>
      </c>
      <c r="JT12">
        <f>IF('計算A'!AG$106=1,EF12,1)</f>
        <v/>
      </c>
      <c r="JU12">
        <f>IF('計算A'!AH$106=1,EG12,1)</f>
        <v/>
      </c>
      <c r="JV12">
        <f>IF('計算A'!AI$106=1,EH12,1)</f>
        <v/>
      </c>
      <c r="JW12">
        <f>IF('計算A'!AJ$106=1,EI12,1)</f>
        <v/>
      </c>
      <c r="JX12">
        <f>IF('計算A'!AK$106=1,EJ12,1)</f>
        <v/>
      </c>
      <c r="JY12">
        <f>IF('計算A'!AL$106=1,EK12,1)</f>
        <v/>
      </c>
      <c r="JZ12">
        <f>IF('計算A'!AM$106=1,EL12,1)</f>
        <v/>
      </c>
      <c r="KA12">
        <f>IF('計算A'!AN$106=1,EM12,1)</f>
        <v/>
      </c>
      <c r="KB12">
        <f>IF('計算A'!AO$106=1,EN12,1)</f>
        <v/>
      </c>
      <c r="KC12">
        <f>IF('計算A'!AP$106=1,EO12,1)</f>
        <v/>
      </c>
      <c r="KD12">
        <f>IF('計算A'!AQ$106=1,EP12,1)</f>
        <v/>
      </c>
      <c r="KE12">
        <f>IF('計算A'!AR$106=1,EQ12,1)</f>
        <v/>
      </c>
      <c r="KF12">
        <f>IF('計算A'!AS$106=1,ER12,1)</f>
        <v/>
      </c>
      <c r="KG12">
        <f>IF('計算A'!AT$106=1,ES12,1)</f>
        <v/>
      </c>
      <c r="KH12">
        <f>IF('計算A'!AU$106=1,ET12,1)</f>
        <v/>
      </c>
      <c r="KI12">
        <f>IF('計算A'!AV$106=1,EU12,1)</f>
        <v/>
      </c>
      <c r="KJ12">
        <f>IF('計算A'!AW$106=1,EV12,1)</f>
        <v/>
      </c>
      <c r="KK12">
        <f>IF('計算A'!AX$106=1,EW12,1)</f>
        <v/>
      </c>
      <c r="KL12">
        <f>IF('計算A'!AY$106=1,EX12,1)</f>
        <v/>
      </c>
      <c r="KM12">
        <f>IF('計算A'!AZ$106=1,EY12,1)</f>
        <v/>
      </c>
      <c r="KN12">
        <f>IF('計算A'!BA$106=1,EZ12,1)</f>
        <v/>
      </c>
      <c r="KO12">
        <f>IF('計算A'!BB$106=1,FA12,1)</f>
        <v/>
      </c>
      <c r="KP12">
        <f>IF('計算A'!BC$106=1,FB12,1)</f>
        <v/>
      </c>
      <c r="KQ12">
        <f>IF('計算A'!BD$106=1,FC12,1)</f>
        <v/>
      </c>
      <c r="KR12">
        <f>IF('計算A'!BE$106=1,FD12,1)</f>
        <v/>
      </c>
      <c r="KS12">
        <f>IF('計算A'!BF$106=1,FE12,1)</f>
        <v/>
      </c>
      <c r="KT12">
        <f>IF('計算A'!BG$106=1,FF12,1)</f>
        <v/>
      </c>
      <c r="KU12">
        <f>IF('計算A'!BH$106=1,FG12,1)</f>
        <v/>
      </c>
      <c r="KV12">
        <f>IF('計算A'!BI$106=1,FH12,1)</f>
        <v/>
      </c>
      <c r="KW12">
        <f>IF('計算A'!BJ$106=1,FI12,1)</f>
        <v/>
      </c>
      <c r="KX12">
        <f>IF('計算A'!BK$106=1,FJ12,1)</f>
        <v/>
      </c>
      <c r="KY12">
        <f>IF('計算A'!BL$106=1,FK12,1)</f>
        <v/>
      </c>
      <c r="KZ12">
        <f>IF('計算A'!BM$106=1,FL12,1)</f>
        <v/>
      </c>
      <c r="LA12">
        <f>IF('計算A'!BN$106=1,FM12,1)</f>
        <v/>
      </c>
      <c r="LB12">
        <f>IF('計算A'!BO$106=1,FN12,1)</f>
        <v/>
      </c>
      <c r="LC12">
        <f>IF('計算A'!BP$106=1,FO12,1)</f>
        <v/>
      </c>
      <c r="LD12">
        <f>IF('計算A'!BQ$106=1,FP12,1)</f>
        <v/>
      </c>
      <c r="LE12">
        <f>IF('計算A'!BR$106=1,FQ12,1)</f>
        <v/>
      </c>
      <c r="LF12">
        <f>IF('計算A'!BS$106=1,FR12,1)</f>
        <v/>
      </c>
      <c r="LG12">
        <f>IF('計算A'!BT$106=1,FS12,1)</f>
        <v/>
      </c>
      <c r="LH12">
        <f>IF('計算A'!BU$106=1,FT12,1)</f>
        <v/>
      </c>
      <c r="LI12">
        <f>IF('計算A'!BV$106=1,FU12,1)</f>
        <v/>
      </c>
      <c r="LJ12">
        <f>IF('計算A'!BW$106=1,FV12,1)</f>
        <v/>
      </c>
      <c r="LK12">
        <f>IF('計算A'!BX$106=1,FW12,1)</f>
        <v/>
      </c>
      <c r="LL12">
        <f>IF('計算A'!BY$106=1,FX12,1)</f>
        <v/>
      </c>
      <c r="LM12">
        <f>IF('計算A'!BZ$106=1,FY12,1)</f>
        <v/>
      </c>
      <c r="LN12">
        <f>IF('計算A'!CA$106=1,FZ12,1)</f>
        <v/>
      </c>
      <c r="LO12">
        <f>IF('計算A'!CB$106=1,GA12,1)</f>
        <v/>
      </c>
      <c r="LP12">
        <f>IF('計算A'!CC$106=1,GB12,1)</f>
        <v/>
      </c>
      <c r="LQ12">
        <f>IF('計算A'!CD$106=1,GC12,1)</f>
        <v/>
      </c>
      <c r="LR12">
        <f>IF('計算A'!CE$106=1,GD12,1)</f>
        <v/>
      </c>
      <c r="LS12">
        <f>IF('計算A'!CF$106=1,GE12,1)</f>
        <v/>
      </c>
      <c r="LT12">
        <f>IF('計算A'!CG$106=1,GF12,1)</f>
        <v/>
      </c>
      <c r="LU12">
        <f>IF('計算A'!CH$106=1,GG12,1)</f>
        <v/>
      </c>
      <c r="LV12">
        <f>IF('計算A'!CI$106=1,GH12,1)</f>
        <v/>
      </c>
      <c r="LW12">
        <f>IF('計算A'!CJ$106=1,GI12,1)</f>
        <v/>
      </c>
      <c r="LX12">
        <f>IF('計算A'!CK$106=1,GJ12,1)</f>
        <v/>
      </c>
      <c r="LY12">
        <f>IF('計算A'!CL$106=1,GK12,1)</f>
        <v/>
      </c>
      <c r="LZ12">
        <f>IF('計算A'!CM$106=1,GL12,1)</f>
        <v/>
      </c>
      <c r="MA12">
        <f>IF('計算A'!CN$106=1,GM12,1)</f>
        <v/>
      </c>
      <c r="MB12">
        <f>IF('計算A'!CO$106=1,GN12,1)</f>
        <v/>
      </c>
      <c r="MC12">
        <f>IF('計算A'!CP$106=1,GO12,1)</f>
        <v/>
      </c>
      <c r="MD12">
        <f>IF('計算A'!CQ$106=1,GP12,1)</f>
        <v/>
      </c>
      <c r="ME12">
        <f>IF('計算A'!CR$106=1,GQ12,1)</f>
        <v/>
      </c>
      <c r="MF12">
        <f>IF('計算A'!CS$106=1,GR12,1)</f>
        <v/>
      </c>
      <c r="MG12">
        <f>IF('計算A'!CT$106=1,GS12,1)</f>
        <v/>
      </c>
      <c r="MH12">
        <f>IF('計算A'!CU$106=1,GT12,1)</f>
        <v/>
      </c>
      <c r="MI12">
        <f>IF('計算A'!CV$106=1,GU12,1)</f>
        <v/>
      </c>
      <c r="MJ12">
        <f>IF('計算A'!CW$106=1,GV12,1)</f>
        <v/>
      </c>
      <c r="MK12">
        <f>IF('計算A'!CX$106=1,GW12,1)</f>
        <v/>
      </c>
      <c r="ML12">
        <f>IF('計算A'!CY$106=1,GX12,1)</f>
        <v/>
      </c>
      <c r="MM12">
        <f>IF('計算A'!CZ$106=1,GY12,1)</f>
        <v/>
      </c>
      <c r="MN12">
        <f>IF('計算A'!DA$106=1,GZ12,1)</f>
        <v/>
      </c>
      <c r="MO12">
        <f>IF('計算A'!DB$106=1,HA12,1)</f>
        <v/>
      </c>
      <c r="MP12">
        <f>IF('計算A'!DC$106=1,HB12,1)</f>
        <v/>
      </c>
      <c r="MQ12">
        <f>IF('計算A'!DD$106=1,HC12,1)</f>
        <v/>
      </c>
      <c r="MR12">
        <f>IF('計算A'!DE$106=1,HD12,1)</f>
        <v/>
      </c>
      <c r="MS12">
        <f>IF('計算A'!DF$106=1,HE12,1)</f>
        <v/>
      </c>
      <c r="MT12">
        <f>IF('計算A'!DG$106=1,HF12,1)</f>
        <v/>
      </c>
      <c r="MU12">
        <f>IF('計算A'!DH$106=1,HG12,1)</f>
        <v/>
      </c>
      <c r="MV12">
        <f>IF('計算A'!DI$106=1,HH12,1)</f>
        <v/>
      </c>
      <c r="MW12">
        <f>IF('計算A'!DJ$106=1,HI12,1)</f>
        <v/>
      </c>
      <c r="MX12">
        <f>IF('計算A'!DK$106=1,HJ12,1)</f>
        <v/>
      </c>
      <c r="MY12">
        <f>IF('計算A'!DL$106=1,HK12,1)</f>
        <v/>
      </c>
      <c r="MZ12">
        <f>IF('計算A'!DM$106=1,HL12,1)</f>
        <v/>
      </c>
      <c r="NA12">
        <f>IF('計算A'!DN$106=1,HM12,1)</f>
        <v/>
      </c>
      <c r="NB12">
        <f>IF('計算A'!DO$106=1,HN12,1)</f>
        <v/>
      </c>
      <c r="NC12">
        <f>IF('計算A'!DP$106=1,HO12,1)</f>
        <v/>
      </c>
      <c r="ND12">
        <f>IF('計算A'!DQ$106=1,HP12,1)</f>
        <v/>
      </c>
      <c r="NE12">
        <f>IF('計算A'!DR$106=1,HQ12,1)</f>
        <v/>
      </c>
      <c r="NF12">
        <f>IF('計算A'!DS$106=1,HR12,1)</f>
        <v/>
      </c>
      <c r="NG12">
        <f>IF('計算A'!DT$106=1,HS12,1)</f>
        <v/>
      </c>
      <c r="NH12">
        <f>IF('計算A'!DU$106=1,HT12,1)</f>
        <v/>
      </c>
      <c r="NI12">
        <f>IF('計算A'!DV$106=1,HU12,1)</f>
        <v/>
      </c>
      <c r="NJ12">
        <f>IF('計算A'!DW$106=1,HV12,1)</f>
        <v/>
      </c>
      <c r="NK12">
        <f>IF('計算A'!DX$106=1,HW12,1)</f>
        <v/>
      </c>
      <c r="NL12">
        <f>IF('計算A'!DY$106=1,HX12,1)</f>
        <v/>
      </c>
      <c r="NM12">
        <f>IF('計算A'!DZ$106=1,HY12,1)</f>
        <v/>
      </c>
      <c r="NN12">
        <f>IF('計算A'!EA$106=1,HZ12,1)</f>
        <v/>
      </c>
      <c r="NO12">
        <f>IF('計算A'!EB$106=1,IA12,1)</f>
        <v/>
      </c>
      <c r="NP12">
        <f>IF('計算A'!EC$106=1,IB12,1)</f>
        <v/>
      </c>
      <c r="NQ12">
        <f>IF('計算A'!ED$106=1,IC12,1)</f>
        <v/>
      </c>
      <c r="NR12">
        <f>IF('計算A'!EE$106=1,ID12,1)</f>
        <v/>
      </c>
      <c r="NS12">
        <f>IF('計算A'!EF$106=1,IE12,1)</f>
        <v/>
      </c>
      <c r="NT12">
        <f>IF('計算A'!EG$106=1,IF12,1)</f>
        <v/>
      </c>
      <c r="NU12">
        <f>IF('計算A'!EH$106=1,IG12,1)</f>
        <v/>
      </c>
      <c r="NV12">
        <f>IF('計算A'!EI$106=1,IH12,1)</f>
        <v/>
      </c>
      <c r="NW12">
        <f>IF('計算A'!EJ$106=1,II12,1)</f>
        <v/>
      </c>
      <c r="NX12">
        <f>IF('計算A'!EK$106=1,IJ12,1)</f>
        <v/>
      </c>
      <c r="NY12">
        <f>IF('計算A'!EL$106=1,IK12,1)</f>
        <v/>
      </c>
      <c r="NZ12">
        <f>IF('計算A'!EM$106=1,IL12,1)</f>
        <v/>
      </c>
      <c r="OA12">
        <f>IF('計算A'!EN$106=1,IM12,1)</f>
        <v/>
      </c>
      <c r="OB12">
        <f>IF('計算A'!EO$106=1,IN12,1)</f>
        <v/>
      </c>
      <c r="OC12">
        <f>IF('計算A'!EP$106=1,IO12,1)</f>
        <v/>
      </c>
      <c r="OD12" t="n">
        <v>1</v>
      </c>
      <c r="OF12">
        <f>IF($B12=0,1000000,IF(INDEX('計算A'!$D$60:$EQ$104,$B12,1)*DB12=1,IF(AND($E12=2,IQ12=0),1000000,IF($I12&gt;0,IF(1=$J12,IF(OR(AND(1=$I12+1,OR($K12&lt;&gt;'計算A'!$A$3,'計算A'!$A$4=0)),AND(1=$I12-1,OR(1&lt;&gt;'計算A'!$A$3,'計算A'!$A$4=0))),0,IF(1=$K12,200000,ABS(1-$K12)*100)),100000+ABS(1-$J12)*1000+10)+'計算A'!D$5*50+IF(AND($E12=1,IQ12=0),25,0),INDEX('計算A'!D$110:D$114,$F12+1)+IF(AND($E12=1,IQ12=0),1000,0)+IF($H12=1,(IF('計算A'!D$117=1,INDEX('計算A'!E$10:E$54,$B12),0))*500,0)-IF(AND($L12=1,'計算A'!D$117=1,DC12=0),300,0))),1000000))</f>
        <v/>
      </c>
      <c r="OG12">
        <f>IF($B12=0,1000000,IF(INDEX('計算A'!$D$60:$EQ$104,$B12,2)*DC12=1,IF(AND($E12=2,IR12=0),1000000,IF($I12&gt;0,IF(1=$J12,IF(OR(AND(2=$I12+1,OR($K12&lt;&gt;'計算A'!$A$3,'計算A'!$A$4=0)),AND(2=$I12-1,OR(2&lt;&gt;'計算A'!$A$3,'計算A'!$A$4=0))),0,IF(2=$K12,200000,ABS(2-$K12)*100)),100000+ABS(1-$J12)*1000+20)+'計算A'!E$5*50+IF(AND($E12=1,IR12=0),25,0),INDEX('計算A'!E$110:E$114,$F12+1)+IF(AND($E12=1,IR12=0),1000,0)+IF($H12=1,(IF('計算A'!D$117=1,INDEX('計算A'!D$10:D$54,$B12),0)+IF('計算A'!E$117=1,INDEX('計算A'!F$10:F$54,$B12),0))*500,0)-IF(AND('計算A'!D$117=1,UB12&gt;0),300,0)-IF(AND($L12=1,'計算A'!E$117=1,DD12=0),300,0))),1000000))</f>
        <v/>
      </c>
      <c r="OH12">
        <f>IF($B12=0,1000000,IF(INDEX('計算A'!$D$60:$EQ$104,$B12,3)*DD12=1,IF(AND($E12=2,IS12=0),1000000,IF($I12&gt;0,IF(1=$J12,IF(OR(AND(3=$I12+1,OR($K12&lt;&gt;'計算A'!$A$3,'計算A'!$A$4=0)),AND(3=$I12-1,OR(3&lt;&gt;'計算A'!$A$3,'計算A'!$A$4=0))),0,IF(3=$K12,200000,ABS(3-$K12)*100)),100000+ABS(1-$J12)*1000+30)+'計算A'!F$5*50+IF(AND($E12=1,IS12=0),25,0),INDEX('計算A'!F$110:F$114,$F12+1)+IF(AND($E12=1,IS12=0),1000,0)+IF($H12=1,(IF('計算A'!E$117=1,INDEX('計算A'!E$10:E$54,$B12),0)+IF('計算A'!F$117=1,INDEX('計算A'!G$10:G$54,$B12),0))*500,0)-IF(AND('計算A'!E$117=1,UC12&gt;0),300,0)-IF(AND($L12=1,'計算A'!F$117=1,DE12=0),300,0))),1000000))</f>
        <v/>
      </c>
      <c r="OI12">
        <f>IF($B12=0,1000000,IF(INDEX('計算A'!$D$60:$EQ$104,$B12,4)*DE12=1,IF(AND($E12=2,IT12=0),1000000,IF($I12&gt;0,IF(1=$J12,IF(OR(AND(4=$I12+1,OR($K12&lt;&gt;'計算A'!$A$3,'計算A'!$A$4=0)),AND(4=$I12-1,OR(4&lt;&gt;'計算A'!$A$3,'計算A'!$A$4=0))),0,IF(4=$K12,200000,ABS(4-$K12)*100)),100000+ABS(1-$J12)*1000+40)+'計算A'!G$5*50+IF(AND($E12=1,IT12=0),25,0),INDEX('計算A'!G$110:G$114,$F12+1)+IF(AND($E12=1,IT12=0),1000,0)+IF($H12=1,(IF('計算A'!F$117=1,INDEX('計算A'!F$10:F$54,$B12),0)+IF('計算A'!G$117=1,INDEX('計算A'!H$10:H$54,$B12),0))*500,0)-IF(AND('計算A'!F$117=1,UD12&gt;0),300,0)-IF(AND($L12=1,'計算A'!G$117=1,DF12=0),300,0))),1000000))</f>
        <v/>
      </c>
      <c r="OJ12">
        <f>IF($B12=0,1000000,IF(INDEX('計算A'!$D$60:$EQ$104,$B12,5)*DF12=1,IF(AND($E12=2,IU12=0),1000000,IF($I12&gt;0,IF(1=$J12,IF(OR(AND(5=$I12+1,OR($K12&lt;&gt;'計算A'!$A$3,'計算A'!$A$4=0)),AND(5=$I12-1,OR(5&lt;&gt;'計算A'!$A$3,'計算A'!$A$4=0))),0,IF(5=$K12,200000,ABS(5-$K12)*100)),100000+ABS(1-$J12)*1000+50)+'計算A'!H$5*50+IF(AND($E12=1,IU12=0),25,0),INDEX('計算A'!H$110:H$114,$F12+1)+IF(AND($E12=1,IU12=0),1000,0)+IF($H12=1,(IF('計算A'!G$117=1,INDEX('計算A'!G$10:G$54,$B12),0)+IF('計算A'!H$117=1,INDEX('計算A'!I$10:I$54,$B12),0))*500,0)-IF(AND('計算A'!G$117=1,UE12&gt;0),300,0)-IF(AND($L12=1,'計算A'!H$117=1,DG12=0),300,0))),1000000))</f>
        <v/>
      </c>
      <c r="OK12">
        <f>IF($B12=0,1000000,IF(INDEX('計算A'!$D$60:$EQ$104,$B12,6)*DG12=1,IF(AND($E12=2,IV12=0),1000000,IF($I12&gt;0,IF(1=$J12,IF(OR(AND(6=$I12+1,OR($K12&lt;&gt;'計算A'!$A$3,'計算A'!$A$4=0)),AND(6=$I12-1,OR(6&lt;&gt;'計算A'!$A$3,'計算A'!$A$4=0))),0,IF(6=$K12,200000,ABS(6-$K12)*100)),100000+ABS(1-$J12)*1000+60)+'計算A'!I$5*50+IF(AND($E12=1,IV12=0),25,0),INDEX('計算A'!I$110:I$114,$F12+1)+IF(AND($E12=1,IV12=0),1000,0)+IF($H12=1,(IF('計算A'!H$117=1,INDEX('計算A'!H$10:H$54,$B12),0)+IF('計算A'!I$117=1,INDEX('計算A'!J$10:J$54,$B12),0))*500,0)-IF(AND('計算A'!H$117=1,UF12&gt;0),300,0)-IF(AND($L12=1,'計算A'!I$117=1,DH12=0),300,0))),1000000))</f>
        <v/>
      </c>
      <c r="OL12">
        <f>IF($B12=0,1000000,IF(INDEX('計算A'!$D$60:$EQ$104,$B12,7)*DH12=1,IF(AND($E12=2,IW12=0),1000000,IF($I12&gt;0,IF(1=$J12,IF(OR(AND(7=$I12+1,OR($K12&lt;&gt;'計算A'!$A$3,'計算A'!$A$4=0)),AND(7=$I12-1,OR(7&lt;&gt;'計算A'!$A$3,'計算A'!$A$4=0))),0,IF(7=$K12,200000,ABS(7-$K12)*100)),100000+ABS(1-$J12)*1000+70)+'計算A'!J$5*50+IF(AND($E12=1,IW12=0),25,0),INDEX('計算A'!J$110:J$114,$F12+1)+IF(AND($E12=1,IW12=0),1000,0)+IF($H12=1,(IF('計算A'!I$117=1,INDEX('計算A'!I$10:I$54,$B12),0)+IF('計算A'!J$117=1,INDEX('計算A'!K$10:K$54,$B12),0))*500,0)-IF(AND('計算A'!I$117=1,UG12&gt;0),300,0)-IF(AND($L12=1,'計算A'!J$117=1,DI12=0),300,0))),1000000))</f>
        <v/>
      </c>
      <c r="OM12">
        <f>IF($B12=0,1000000,IF(INDEX('計算A'!$D$60:$EQ$104,$B12,8)*DI12=1,IF(AND($E12=2,IX12=0),1000000,IF($I12&gt;0,IF(1=$J12,IF(OR(AND(8=$I12+1,OR($K12&lt;&gt;'計算A'!$A$3,'計算A'!$A$4=0)),AND(8=$I12-1,OR(8&lt;&gt;'計算A'!$A$3,'計算A'!$A$4=0))),0,IF(8=$K12,200000,ABS(8-$K12)*100)),100000+ABS(1-$J12)*1000+80)+'計算A'!K$5*50+IF(AND($E12=1,IX12=0),25,0),INDEX('計算A'!K$110:K$114,$F12+1)+IF(AND($E12=1,IX12=0),1000,0)+IF($H12=1,(IF('計算A'!J$117=1,INDEX('計算A'!J$10:J$54,$B12),0)+IF('計算A'!K$117=1,INDEX('計算A'!L$10:L$54,$B12),0))*500,0)-IF(AND('計算A'!J$117=1,UH12&gt;0),300,0)-IF(AND($L12=1,'計算A'!K$117=1,DJ12=0),300,0))),1000000))</f>
        <v/>
      </c>
      <c r="ON12">
        <f>IF($B12=0,1000000,IF(INDEX('計算A'!$D$60:$EQ$104,$B12,9)*DJ12=1,IF(AND($E12=2,IY12=0),1000000,IF($I12&gt;0,IF(1=$J12,IF(OR(AND(9=$I12+1,OR($K12&lt;&gt;'計算A'!$A$3,'計算A'!$A$4=0)),AND(9=$I12-1,OR(9&lt;&gt;'計算A'!$A$3,'計算A'!$A$4=0))),0,IF(9=$K12,200000,ABS(9-$K12)*100)),100000+ABS(1-$J12)*1000+90)+'計算A'!L$5*50+IF(AND($E12=1,IY12=0),25,0),INDEX('計算A'!L$110:L$114,$F12+1)+IF(AND($E12=1,IY12=0),1000,0)+IF($H12=1,(IF('計算A'!K$117=1,INDEX('計算A'!K$10:K$54,$B12),0)+IF('計算A'!L$117=1,INDEX('計算A'!M$10:M$54,$B12),0))*500,0)-IF(AND('計算A'!K$117=1,UI12&gt;0),300,0)-IF(AND($L12=1,'計算A'!L$117=1,DK12=0),300,0))),1000000))</f>
        <v/>
      </c>
      <c r="OO12">
        <f>IF($B12=0,1000000,IF(INDEX('計算A'!$D$60:$EQ$104,$B12,10)*DK12=1,IF(AND($E12=2,IZ12=0),1000000,IF($I12&gt;0,IF(1=$J12,IF(OR(AND(10=$I12+1,OR($K12&lt;&gt;'計算A'!$A$3,'計算A'!$A$4=0)),AND(10=$I12-1,OR(10&lt;&gt;'計算A'!$A$3,'計算A'!$A$4=0))),0,IF(10=$K12,200000,ABS(10-$K12)*100)),100000+ABS(1-$J12)*1000+100)+'計算A'!M$5*50+IF(AND($E12=1,IZ12=0),25,0),INDEX('計算A'!M$110:M$114,$F12+1)+IF(AND($E12=1,IZ12=0),1000,0)+IF($H12=1,(IF('計算A'!L$117=1,INDEX('計算A'!L$10:L$54,$B12),0)+IF('計算A'!M$117=1,INDEX('計算A'!N$10:N$54,$B12),0))*500,0)-IF(AND('計算A'!L$117=1,UJ12&gt;0),300,0)-IF(AND($L12=1,'計算A'!M$117=1,DL12=0),300,0))),1000000))</f>
        <v/>
      </c>
      <c r="OP12">
        <f>IF($B12=0,1000000,IF(INDEX('計算A'!$D$60:$EQ$104,$B12,11)*DL12=1,IF(AND($E12=2,JA12=0),1000000,IF($I12&gt;0,IF(1=$J12,IF(OR(AND(11=$I12+1,OR($K12&lt;&gt;'計算A'!$A$3,'計算A'!$A$4=0)),AND(11=$I12-1,OR(11&lt;&gt;'計算A'!$A$3,'計算A'!$A$4=0))),0,IF(11=$K12,200000,ABS(11-$K12)*100)),100000+ABS(1-$J12)*1000+110)+'計算A'!N$5*50+IF(AND($E12=1,JA12=0),25,0),INDEX('計算A'!N$110:N$114,$F12+1)+IF(AND($E12=1,JA12=0),1000,0)+IF($H12=1,(IF('計算A'!M$117=1,INDEX('計算A'!M$10:M$54,$B12),0)+IF('計算A'!N$117=1,INDEX('計算A'!O$10:O$54,$B12),0))*500,0)-IF(AND('計算A'!M$117=1,UK12&gt;0),300,0)-IF(AND($L12=1,'計算A'!N$117=1,DM12=0),300,0))),1000000))</f>
        <v/>
      </c>
      <c r="OQ12">
        <f>IF($B12=0,1000000,IF(INDEX('計算A'!$D$60:$EQ$104,$B12,12)*DM12=1,IF(AND($E12=2,JB12=0),1000000,IF($I12&gt;0,IF(1=$J12,IF(OR(AND(12=$I12+1,OR($K12&lt;&gt;'計算A'!$A$3,'計算A'!$A$4=0)),AND(12=$I12-1,OR(12&lt;&gt;'計算A'!$A$3,'計算A'!$A$4=0))),0,IF(12=$K12,200000,ABS(12-$K12)*100)),100000+ABS(1-$J12)*1000+120)+'計算A'!O$5*50+IF(AND($E12=1,JB12=0),25,0),INDEX('計算A'!O$110:O$114,$F12+1)+IF(AND($E12=1,JB12=0),1000,0)+IF($H12=1,(IF('計算A'!N$117=1,INDEX('計算A'!N$10:N$54,$B12),0)+IF('計算A'!O$117=1,INDEX('計算A'!P$10:P$54,$B12),0))*500,0)-IF(AND('計算A'!N$117=1,UL12&gt;0),300,0)-IF(AND($L12=1,'計算A'!O$117=1,DN12=0),300,0))),1000000))</f>
        <v/>
      </c>
      <c r="OR12">
        <f>IF($B12=0,1000000,IF(INDEX('計算A'!$D$60:$EQ$104,$B12,13)*DN12=1,IF(AND($E12=2,JC12=0),1000000,IF($I12&gt;0,IF(1=$J12,IF(OR(AND(13=$I12+1,OR($K12&lt;&gt;'計算A'!$A$3,'計算A'!$A$4=0)),AND(13=$I12-1,OR(13&lt;&gt;'計算A'!$A$3,'計算A'!$A$4=0))),0,IF(13=$K12,200000,ABS(13-$K12)*100)),100000+ABS(1-$J12)*1000+130)+'計算A'!P$5*50+IF(AND($E12=1,JC12=0),25,0),INDEX('計算A'!P$110:P$114,$F12+1)+IF(AND($E12=1,JC12=0),1000,0)+IF($H12=1,(IF('計算A'!O$117=1,INDEX('計算A'!O$10:O$54,$B12),0)+IF('計算A'!P$117=1,INDEX('計算A'!Q$10:Q$54,$B12),0))*500,0)-IF(AND('計算A'!O$117=1,UM12&gt;0),300,0)-IF(AND($L12=1,'計算A'!P$117=1,DO12=0),300,0))),1000000))</f>
        <v/>
      </c>
      <c r="OS12">
        <f>IF($B12=0,1000000,IF(INDEX('計算A'!$D$60:$EQ$104,$B12,14)*DO12=1,IF(AND($E12=2,JD12=0),1000000,IF($I12&gt;0,IF(1=$J12,IF(OR(AND(14=$I12+1,OR($K12&lt;&gt;'計算A'!$A$3,'計算A'!$A$4=0)),AND(14=$I12-1,OR(14&lt;&gt;'計算A'!$A$3,'計算A'!$A$4=0))),0,IF(14=$K12,200000,ABS(14-$K12)*100)),100000+ABS(1-$J12)*1000+140)+'計算A'!Q$5*50+IF(AND($E12=1,JD12=0),25,0),INDEX('計算A'!Q$110:Q$114,$F12+1)+IF(AND($E12=1,JD12=0),1000,0)+IF($H12=1,(IF('計算A'!P$117=1,INDEX('計算A'!P$10:P$54,$B12),0)+IF('計算A'!Q$117=1,INDEX('計算A'!R$10:R$54,$B12),0))*500,0)-IF(AND('計算A'!P$117=1,UN12&gt;0),300,0)-IF(AND($L12=1,'計算A'!Q$117=1,DP12=0),300,0))),1000000))</f>
        <v/>
      </c>
      <c r="OT12">
        <f>IF($B12=0,1000000,IF(INDEX('計算A'!$D$60:$EQ$104,$B12,15)*DP12=1,IF(AND($E12=2,JE12=0),1000000,IF($I12&gt;0,IF(1=$J12,IF(OR(AND(15=$I12+1,OR($K12&lt;&gt;'計算A'!$A$3,'計算A'!$A$4=0)),AND(15=$I12-1,OR(15&lt;&gt;'計算A'!$A$3,'計算A'!$A$4=0))),0,IF(15=$K12,200000,ABS(15-$K12)*100)),100000+ABS(1-$J12)*1000+150)+'計算A'!R$5*50+IF(AND($E12=1,JE12=0),25,0),INDEX('計算A'!R$110:R$114,$F12+1)+IF(AND($E12=1,JE12=0),1000,0)+IF($H12=1,(IF('計算A'!Q$117=1,INDEX('計算A'!Q$10:Q$54,$B12),0)+IF('計算A'!R$117=1,INDEX('計算A'!S$10:S$54,$B12),0))*500,0)-IF(AND('計算A'!Q$117=1,UO12&gt;0),300,0)-IF(AND($L12=1,'計算A'!R$117=1,DQ12=0),300,0))),1000000))</f>
        <v/>
      </c>
      <c r="OU12">
        <f>IF($B12=0,1000000,IF(INDEX('計算A'!$D$60:$EQ$104,$B12,16)*DQ12=1,IF(AND($E12=2,JF12=0),1000000,IF($I12&gt;0,IF(1=$J12,IF(OR(AND(16=$I12+1,OR($K12&lt;&gt;'計算A'!$A$3,'計算A'!$A$4=0)),AND(16=$I12-1,OR(16&lt;&gt;'計算A'!$A$3,'計算A'!$A$4=0))),0,IF(16=$K12,200000,ABS(16-$K12)*100)),100000+ABS(1-$J12)*1000+160)+'計算A'!S$5*50+IF(AND($E12=1,JF12=0),25,0),INDEX('計算A'!S$110:S$114,$F12+1)+IF(AND($E12=1,JF12=0),1000,0)+IF($H12=1,(IF('計算A'!R$117=1,INDEX('計算A'!R$10:R$54,$B12),0)+IF('計算A'!S$117=1,INDEX('計算A'!T$10:T$54,$B12),0))*500,0)-IF(AND('計算A'!R$117=1,UP12&gt;0),300,0)-IF(AND($L12=1,'計算A'!S$117=1,DR12=0),300,0))),1000000))</f>
        <v/>
      </c>
      <c r="OV12">
        <f>IF($B12=0,1000000,IF(INDEX('計算A'!$D$60:$EQ$104,$B12,17)*DR12=1,IF(AND($E12=2,JG12=0),1000000,IF($I12&gt;0,IF(1=$J12,IF(OR(AND(17=$I12+1,OR($K12&lt;&gt;'計算A'!$A$3,'計算A'!$A$4=0)),AND(17=$I12-1,OR(17&lt;&gt;'計算A'!$A$3,'計算A'!$A$4=0))),0,IF(17=$K12,200000,ABS(17-$K12)*100)),100000+ABS(1-$J12)*1000+170)+'計算A'!T$5*50+IF(AND($E12=1,JG12=0),25,0),INDEX('計算A'!T$110:T$114,$F12+1)+IF(AND($E12=1,JG12=0),1000,0)+IF($H12=1,(IF('計算A'!S$117=1,INDEX('計算A'!S$10:S$54,$B12),0)+IF('計算A'!T$117=1,INDEX('計算A'!U$10:U$54,$B12),0))*500,0)-IF(AND('計算A'!S$117=1,UQ12&gt;0),300,0)-IF(AND($L12=1,'計算A'!T$117=1,DS12=0),300,0))),1000000))</f>
        <v/>
      </c>
      <c r="OW12">
        <f>IF($B12=0,1000000,IF(INDEX('計算A'!$D$60:$EQ$104,$B12,18)*DS12=1,IF(AND($E12=2,JH12=0),1000000,IF($I12&gt;0,IF(1=$J12,IF(OR(AND(18=$I12+1,OR($K12&lt;&gt;'計算A'!$A$3,'計算A'!$A$4=0)),AND(18=$I12-1,OR(18&lt;&gt;'計算A'!$A$3,'計算A'!$A$4=0))),0,IF(18=$K12,200000,ABS(18-$K12)*100)),100000+ABS(1-$J12)*1000+180)+'計算A'!U$5*50+IF(AND($E12=1,JH12=0),25,0),INDEX('計算A'!U$110:U$114,$F12+1)+IF(AND($E12=1,JH12=0),1000,0)+IF($H12=1,(IF('計算A'!T$117=1,INDEX('計算A'!T$10:T$54,$B12),0)+IF('計算A'!U$117=1,INDEX('計算A'!V$10:V$54,$B12),0))*500,0)-IF(AND('計算A'!T$117=1,UR12&gt;0),300,0)-IF(AND($L12=1,'計算A'!U$117=1,DT12=0),300,0))),1000000))</f>
        <v/>
      </c>
      <c r="OX12">
        <f>IF($B12=0,1000000,IF(INDEX('計算A'!$D$60:$EQ$104,$B12,19)*DT12=1,IF(AND($E12=2,JI12=0),1000000,IF($I12&gt;0,IF(1=$J12,IF(OR(AND(19=$I12+1,OR($K12&lt;&gt;'計算A'!$A$3,'計算A'!$A$4=0)),AND(19=$I12-1,OR(19&lt;&gt;'計算A'!$A$3,'計算A'!$A$4=0))),0,IF(19=$K12,200000,ABS(19-$K12)*100)),100000+ABS(1-$J12)*1000+190)+'計算A'!V$5*50+IF(AND($E12=1,JI12=0),25,0),INDEX('計算A'!V$110:V$114,$F12+1)+IF(AND($E12=1,JI12=0),1000,0)+IF($H12=1,(IF('計算A'!U$117=1,INDEX('計算A'!U$10:U$54,$B12),0)+IF('計算A'!V$117=1,INDEX('計算A'!W$10:W$54,$B12),0))*500,0)-IF(AND('計算A'!U$117=1,US12&gt;0),300,0)-IF(AND($L12=1,'計算A'!V$117=1,DU12=0),300,0))),1000000))</f>
        <v/>
      </c>
      <c r="OY12">
        <f>IF($B12=0,1000000,IF(INDEX('計算A'!$D$60:$EQ$104,$B12,20)*DU12=1,IF(AND($E12=2,JJ12=0),1000000,IF($I12&gt;0,IF(1=$J12,IF(OR(AND(20=$I12+1,OR($K12&lt;&gt;'計算A'!$A$3,'計算A'!$A$4=0)),AND(20=$I12-1,OR(20&lt;&gt;'計算A'!$A$3,'計算A'!$A$4=0))),0,IF(20=$K12,200000,ABS(20-$K12)*100)),100000+ABS(1-$J12)*1000+200)+'計算A'!W$5*50+IF(AND($E12=1,JJ12=0),25,0),INDEX('計算A'!W$110:W$114,$F12+1)+IF(AND($E12=1,JJ12=0),1000,0)+IF($H12=1,(IF('計算A'!V$117=1,INDEX('計算A'!V$10:V$54,$B12),0)+IF('計算A'!W$117=1,INDEX('計算A'!X$10:X$54,$B12),0))*500,0)-IF(AND('計算A'!V$117=1,UT12&gt;0),300,0)-IF(AND($L12=1,'計算A'!W$117=1,DV12=0),300,0))),1000000))</f>
        <v/>
      </c>
      <c r="OZ12">
        <f>IF($B12=0,1000000,IF(INDEX('計算A'!$D$60:$EQ$104,$B12,21)*DV12=1,IF(AND($E12=2,JK12=0),1000000,IF($I12&gt;0,IF(1=$J12,IF(OR(AND(21=$I12+1,OR($K12&lt;&gt;'計算A'!$A$3,'計算A'!$A$4=0)),AND(21=$I12-1,OR(21&lt;&gt;'計算A'!$A$3,'計算A'!$A$4=0))),0,IF(21=$K12,200000,ABS(21-$K12)*100)),100000+ABS(1-$J12)*1000+210)+'計算A'!X$5*50+IF(AND($E12=1,JK12=0),25,0),INDEX('計算A'!X$110:X$114,$F12+1)+IF(AND($E12=1,JK12=0),1000,0)+IF($H12=1,(IF('計算A'!W$117=1,INDEX('計算A'!W$10:W$54,$B12),0)+IF('計算A'!X$117=1,INDEX('計算A'!Y$10:Y$54,$B12),0))*500,0)-IF(AND('計算A'!W$117=1,UU12&gt;0),300,0)-IF(AND($L12=1,'計算A'!X$117=1,DW12=0),300,0))),1000000))</f>
        <v/>
      </c>
      <c r="PA12">
        <f>IF($B12=0,1000000,IF(INDEX('計算A'!$D$60:$EQ$104,$B12,22)*DW12=1,IF(AND($E12=2,JL12=0),1000000,IF($I12&gt;0,IF(1=$J12,IF(OR(AND(22=$I12+1,OR($K12&lt;&gt;'計算A'!$A$3,'計算A'!$A$4=0)),AND(22=$I12-1,OR(22&lt;&gt;'計算A'!$A$3,'計算A'!$A$4=0))),0,IF(22=$K12,200000,ABS(22-$K12)*100)),100000+ABS(1-$J12)*1000+220)+'計算A'!Y$5*50+IF(AND($E12=1,JL12=0),25,0),INDEX('計算A'!Y$110:Y$114,$F12+1)+IF(AND($E12=1,JL12=0),1000,0)+IF($H12=1,(IF('計算A'!X$117=1,INDEX('計算A'!X$10:X$54,$B12),0)+IF('計算A'!Y$117=1,INDEX('計算A'!Z$10:Z$54,$B12),0))*500,0)-IF(AND('計算A'!X$117=1,UV12&gt;0),300,0)-IF(AND($L12=1,'計算A'!Y$117=1,DX12=0),300,0))),1000000))</f>
        <v/>
      </c>
      <c r="PB12">
        <f>IF($B12=0,1000000,IF(INDEX('計算A'!$D$60:$EQ$104,$B12,23)*DX12=1,IF(AND($E12=2,JM12=0),1000000,IF($I12&gt;0,IF(1=$J12,IF(OR(AND(23=$I12+1,OR($K12&lt;&gt;'計算A'!$A$3,'計算A'!$A$4=0)),AND(23=$I12-1,OR(23&lt;&gt;'計算A'!$A$3,'計算A'!$A$4=0))),0,IF(23=$K12,200000,ABS(23-$K12)*100)),100000+ABS(1-$J12)*1000+230)+'計算A'!Z$5*50+IF(AND($E12=1,JM12=0),25,0),INDEX('計算A'!Z$110:Z$114,$F12+1)+IF(AND($E12=1,JM12=0),1000,0)+IF($H12=1,(IF('計算A'!Y$117=1,INDEX('計算A'!Y$10:Y$54,$B12),0)+IF('計算A'!Z$117=1,INDEX('計算A'!AA$10:AA$54,$B12),0))*500,0)-IF(AND('計算A'!Y$117=1,UW12&gt;0),300,0)-IF(AND($L12=1,'計算A'!Z$117=1,DY12=0),300,0))),1000000))</f>
        <v/>
      </c>
      <c r="PC12">
        <f>IF($B12=0,1000000,IF(INDEX('計算A'!$D$60:$EQ$104,$B12,24)*DY12=1,IF(AND($E12=2,JN12=0),1000000,IF($I12&gt;0,IF(1=$J12,IF(OR(AND(24=$I12+1,OR($K12&lt;&gt;'計算A'!$A$3,'計算A'!$A$4=0)),AND(24=$I12-1,OR(24&lt;&gt;'計算A'!$A$3,'計算A'!$A$4=0))),0,IF(24=$K12,200000,ABS(24-$K12)*100)),100000+ABS(1-$J12)*1000+240)+'計算A'!AA$5*50+IF(AND($E12=1,JN12=0),25,0),INDEX('計算A'!AA$110:AA$114,$F12+1)+IF(AND($E12=1,JN12=0),1000,0)+IF($H12=1,(IF('計算A'!Z$117=1,INDEX('計算A'!Z$10:Z$54,$B12),0))*500,0)-IF(AND('計算A'!Z$117=1,UX12&gt;0),300,0))),1000000))</f>
        <v/>
      </c>
      <c r="PD12">
        <f>IF($B12=0,1000000,IF(INDEX('計算A'!$D$60:$EQ$104,$B12,25)*DZ12=1,IF(AND($E12=2,JO12=0),1000000,IF($I12&gt;0,IF(2=$J12,IF(OR(AND(25=$I12+1,OR($K12&lt;&gt;'計算A'!$A$3,'計算A'!$A$4=0)),AND(25=$I12-1,OR(1&lt;&gt;'計算A'!$A$3,'計算A'!$A$4=0))),0,IF(1=$K12,200000,ABS(1-$K12)*100)),100000+ABS(2-$J12)*1000+10)+'計算A'!AB$5*50+IF(AND($E12=1,JO12=0),25,0),INDEX('計算A'!AB$110:AB$114,$F12+1)+IF(AND($E12=1,JO12=0),1000,0)+IF($H12=1,(IF('計算A'!AB$117=1,INDEX('計算A'!AC$10:AC$54,$B12),0))*500,0)-IF(AND($L12=1,'計算A'!AB$117=1,EA12=0),300,0))),1000000))</f>
        <v/>
      </c>
      <c r="PE12">
        <f>IF($B12=0,1000000,IF(INDEX('計算A'!$D$60:$EQ$104,$B12,26)*EA12=1,IF(AND($E12=2,JP12=0),1000000,IF($I12&gt;0,IF(2=$J12,IF(OR(AND(26=$I12+1,OR($K12&lt;&gt;'計算A'!$A$3,'計算A'!$A$4=0)),AND(26=$I12-1,OR(2&lt;&gt;'計算A'!$A$3,'計算A'!$A$4=0))),0,IF(2=$K12,200000,ABS(2-$K12)*100)),100000+ABS(2-$J12)*1000+20)+'計算A'!AC$5*50+IF(AND($E12=1,JP12=0),25,0),INDEX('計算A'!AC$110:AC$114,$F12+1)+IF(AND($E12=1,JP12=0),1000,0)+IF($H12=1,(IF('計算A'!AB$117=1,INDEX('計算A'!AB$10:AB$54,$B12),0)+IF('計算A'!AC$117=1,INDEX('計算A'!AD$10:AD$54,$B12),0))*500,0)-IF(AND('計算A'!AB$117=1,UZ12&gt;0),300,0)-IF(AND($L12=1,'計算A'!AC$117=1,EB12=0),300,0))),1000000))</f>
        <v/>
      </c>
      <c r="PF12">
        <f>IF($B12=0,1000000,IF(INDEX('計算A'!$D$60:$EQ$104,$B12,27)*EB12=1,IF(AND($E12=2,JQ12=0),1000000,IF($I12&gt;0,IF(2=$J12,IF(OR(AND(27=$I12+1,OR($K12&lt;&gt;'計算A'!$A$3,'計算A'!$A$4=0)),AND(27=$I12-1,OR(3&lt;&gt;'計算A'!$A$3,'計算A'!$A$4=0))),0,IF(3=$K12,200000,ABS(3-$K12)*100)),100000+ABS(2-$J12)*1000+30)+'計算A'!AD$5*50+IF(AND($E12=1,JQ12=0),25,0),INDEX('計算A'!AD$110:AD$114,$F12+1)+IF(AND($E12=1,JQ12=0),1000,0)+IF($H12=1,(IF('計算A'!AC$117=1,INDEX('計算A'!AC$10:AC$54,$B12),0)+IF('計算A'!AD$117=1,INDEX('計算A'!AE$10:AE$54,$B12),0))*500,0)-IF(AND('計算A'!AC$117=1,VA12&gt;0),300,0)-IF(AND($L12=1,'計算A'!AD$117=1,EC12=0),300,0))),1000000))</f>
        <v/>
      </c>
      <c r="PG12">
        <f>IF($B12=0,1000000,IF(INDEX('計算A'!$D$60:$EQ$104,$B12,28)*EC12=1,IF(AND($E12=2,JR12=0),1000000,IF($I12&gt;0,IF(2=$J12,IF(OR(AND(28=$I12+1,OR($K12&lt;&gt;'計算A'!$A$3,'計算A'!$A$4=0)),AND(28=$I12-1,OR(4&lt;&gt;'計算A'!$A$3,'計算A'!$A$4=0))),0,IF(4=$K12,200000,ABS(4-$K12)*100)),100000+ABS(2-$J12)*1000+40)+'計算A'!AE$5*50+IF(AND($E12=1,JR12=0),25,0),INDEX('計算A'!AE$110:AE$114,$F12+1)+IF(AND($E12=1,JR12=0),1000,0)+IF($H12=1,(IF('計算A'!AD$117=1,INDEX('計算A'!AD$10:AD$54,$B12),0)+IF('計算A'!AE$117=1,INDEX('計算A'!AF$10:AF$54,$B12),0))*500,0)-IF(AND('計算A'!AD$117=1,VB12&gt;0),300,0)-IF(AND($L12=1,'計算A'!AE$117=1,ED12=0),300,0))),1000000))</f>
        <v/>
      </c>
      <c r="PH12">
        <f>IF($B12=0,1000000,IF(INDEX('計算A'!$D$60:$EQ$104,$B12,29)*ED12=1,IF(AND($E12=2,JS12=0),1000000,IF($I12&gt;0,IF(2=$J12,IF(OR(AND(29=$I12+1,OR($K12&lt;&gt;'計算A'!$A$3,'計算A'!$A$4=0)),AND(29=$I12-1,OR(5&lt;&gt;'計算A'!$A$3,'計算A'!$A$4=0))),0,IF(5=$K12,200000,ABS(5-$K12)*100)),100000+ABS(2-$J12)*1000+50)+'計算A'!AF$5*50+IF(AND($E12=1,JS12=0),25,0),INDEX('計算A'!AF$110:AF$114,$F12+1)+IF(AND($E12=1,JS12=0),1000,0)+IF($H12=1,(IF('計算A'!AE$117=1,INDEX('計算A'!AE$10:AE$54,$B12),0)+IF('計算A'!AF$117=1,INDEX('計算A'!AG$10:AG$54,$B12),0))*500,0)-IF(AND('計算A'!AE$117=1,VC12&gt;0),300,0)-IF(AND($L12=1,'計算A'!AF$117=1,EE12=0),300,0))),1000000))</f>
        <v/>
      </c>
      <c r="PI12">
        <f>IF($B12=0,1000000,IF(INDEX('計算A'!$D$60:$EQ$104,$B12,30)*EE12=1,IF(AND($E12=2,JT12=0),1000000,IF($I12&gt;0,IF(2=$J12,IF(OR(AND(30=$I12+1,OR($K12&lt;&gt;'計算A'!$A$3,'計算A'!$A$4=0)),AND(30=$I12-1,OR(6&lt;&gt;'計算A'!$A$3,'計算A'!$A$4=0))),0,IF(6=$K12,200000,ABS(6-$K12)*100)),100000+ABS(2-$J12)*1000+60)+'計算A'!AG$5*50+IF(AND($E12=1,JT12=0),25,0),INDEX('計算A'!AG$110:AG$114,$F12+1)+IF(AND($E12=1,JT12=0),1000,0)+IF($H12=1,(IF('計算A'!AF$117=1,INDEX('計算A'!AF$10:AF$54,$B12),0)+IF('計算A'!AG$117=1,INDEX('計算A'!AH$10:AH$54,$B12),0))*500,0)-IF(AND('計算A'!AF$117=1,VD12&gt;0),300,0)-IF(AND($L12=1,'計算A'!AG$117=1,EF12=0),300,0))),1000000))</f>
        <v/>
      </c>
      <c r="PJ12">
        <f>IF($B12=0,1000000,IF(INDEX('計算A'!$D$60:$EQ$104,$B12,31)*EF12=1,IF(AND($E12=2,JU12=0),1000000,IF($I12&gt;0,IF(2=$J12,IF(OR(AND(31=$I12+1,OR($K12&lt;&gt;'計算A'!$A$3,'計算A'!$A$4=0)),AND(31=$I12-1,OR(7&lt;&gt;'計算A'!$A$3,'計算A'!$A$4=0))),0,IF(7=$K12,200000,ABS(7-$K12)*100)),100000+ABS(2-$J12)*1000+70)+'計算A'!AH$5*50+IF(AND($E12=1,JU12=0),25,0),INDEX('計算A'!AH$110:AH$114,$F12+1)+IF(AND($E12=1,JU12=0),1000,0)+IF($H12=1,(IF('計算A'!AG$117=1,INDEX('計算A'!AG$10:AG$54,$B12),0)+IF('計算A'!AH$117=1,INDEX('計算A'!AI$10:AI$54,$B12),0))*500,0)-IF(AND('計算A'!AG$117=1,VE12&gt;0),300,0)-IF(AND($L12=1,'計算A'!AH$117=1,EG12=0),300,0))),1000000))</f>
        <v/>
      </c>
      <c r="PK12">
        <f>IF($B12=0,1000000,IF(INDEX('計算A'!$D$60:$EQ$104,$B12,32)*EG12=1,IF(AND($E12=2,JV12=0),1000000,IF($I12&gt;0,IF(2=$J12,IF(OR(AND(32=$I12+1,OR($K12&lt;&gt;'計算A'!$A$3,'計算A'!$A$4=0)),AND(32=$I12-1,OR(8&lt;&gt;'計算A'!$A$3,'計算A'!$A$4=0))),0,IF(8=$K12,200000,ABS(8-$K12)*100)),100000+ABS(2-$J12)*1000+80)+'計算A'!AI$5*50+IF(AND($E12=1,JV12=0),25,0),INDEX('計算A'!AI$110:AI$114,$F12+1)+IF(AND($E12=1,JV12=0),1000,0)+IF($H12=1,(IF('計算A'!AH$117=1,INDEX('計算A'!AH$10:AH$54,$B12),0)+IF('計算A'!AI$117=1,INDEX('計算A'!AJ$10:AJ$54,$B12),0))*500,0)-IF(AND('計算A'!AH$117=1,VF12&gt;0),300,0)-IF(AND($L12=1,'計算A'!AI$117=1,EH12=0),300,0))),1000000))</f>
        <v/>
      </c>
      <c r="PL12">
        <f>IF($B12=0,1000000,IF(INDEX('計算A'!$D$60:$EQ$104,$B12,33)*EH12=1,IF(AND($E12=2,JW12=0),1000000,IF($I12&gt;0,IF(2=$J12,IF(OR(AND(33=$I12+1,OR($K12&lt;&gt;'計算A'!$A$3,'計算A'!$A$4=0)),AND(33=$I12-1,OR(9&lt;&gt;'計算A'!$A$3,'計算A'!$A$4=0))),0,IF(9=$K12,200000,ABS(9-$K12)*100)),100000+ABS(2-$J12)*1000+90)+'計算A'!AJ$5*50+IF(AND($E12=1,JW12=0),25,0),INDEX('計算A'!AJ$110:AJ$114,$F12+1)+IF(AND($E12=1,JW12=0),1000,0)+IF($H12=1,(IF('計算A'!AI$117=1,INDEX('計算A'!AI$10:AI$54,$B12),0)+IF('計算A'!AJ$117=1,INDEX('計算A'!AK$10:AK$54,$B12),0))*500,0)-IF(AND('計算A'!AI$117=1,VG12&gt;0),300,0)-IF(AND($L12=1,'計算A'!AJ$117=1,EI12=0),300,0))),1000000))</f>
        <v/>
      </c>
      <c r="PM12">
        <f>IF($B12=0,1000000,IF(INDEX('計算A'!$D$60:$EQ$104,$B12,34)*EI12=1,IF(AND($E12=2,JX12=0),1000000,IF($I12&gt;0,IF(2=$J12,IF(OR(AND(34=$I12+1,OR($K12&lt;&gt;'計算A'!$A$3,'計算A'!$A$4=0)),AND(34=$I12-1,OR(10&lt;&gt;'計算A'!$A$3,'計算A'!$A$4=0))),0,IF(10=$K12,200000,ABS(10-$K12)*100)),100000+ABS(2-$J12)*1000+100)+'計算A'!AK$5*50+IF(AND($E12=1,JX12=0),25,0),INDEX('計算A'!AK$110:AK$114,$F12+1)+IF(AND($E12=1,JX12=0),1000,0)+IF($H12=1,(IF('計算A'!AJ$117=1,INDEX('計算A'!AJ$10:AJ$54,$B12),0)+IF('計算A'!AK$117=1,INDEX('計算A'!AL$10:AL$54,$B12),0))*500,0)-IF(AND('計算A'!AJ$117=1,VH12&gt;0),300,0)-IF(AND($L12=1,'計算A'!AK$117=1,EJ12=0),300,0))),1000000))</f>
        <v/>
      </c>
      <c r="PN12">
        <f>IF($B12=0,1000000,IF(INDEX('計算A'!$D$60:$EQ$104,$B12,35)*EJ12=1,IF(AND($E12=2,JY12=0),1000000,IF($I12&gt;0,IF(2=$J12,IF(OR(AND(35=$I12+1,OR($K12&lt;&gt;'計算A'!$A$3,'計算A'!$A$4=0)),AND(35=$I12-1,OR(11&lt;&gt;'計算A'!$A$3,'計算A'!$A$4=0))),0,IF(11=$K12,200000,ABS(11-$K12)*100)),100000+ABS(2-$J12)*1000+110)+'計算A'!AL$5*50+IF(AND($E12=1,JY12=0),25,0),INDEX('計算A'!AL$110:AL$114,$F12+1)+IF(AND($E12=1,JY12=0),1000,0)+IF($H12=1,(IF('計算A'!AK$117=1,INDEX('計算A'!AK$10:AK$54,$B12),0)+IF('計算A'!AL$117=1,INDEX('計算A'!AM$10:AM$54,$B12),0))*500,0)-IF(AND('計算A'!AK$117=1,VI12&gt;0),300,0)-IF(AND($L12=1,'計算A'!AL$117=1,EK12=0),300,0))),1000000))</f>
        <v/>
      </c>
      <c r="PO12">
        <f>IF($B12=0,1000000,IF(INDEX('計算A'!$D$60:$EQ$104,$B12,36)*EK12=1,IF(AND($E12=2,JZ12=0),1000000,IF($I12&gt;0,IF(2=$J12,IF(OR(AND(36=$I12+1,OR($K12&lt;&gt;'計算A'!$A$3,'計算A'!$A$4=0)),AND(36=$I12-1,OR(12&lt;&gt;'計算A'!$A$3,'計算A'!$A$4=0))),0,IF(12=$K12,200000,ABS(12-$K12)*100)),100000+ABS(2-$J12)*1000+120)+'計算A'!AM$5*50+IF(AND($E12=1,JZ12=0),25,0),INDEX('計算A'!AM$110:AM$114,$F12+1)+IF(AND($E12=1,JZ12=0),1000,0)+IF($H12=1,(IF('計算A'!AL$117=1,INDEX('計算A'!AL$10:AL$54,$B12),0)+IF('計算A'!AM$117=1,INDEX('計算A'!AN$10:AN$54,$B12),0))*500,0)-IF(AND('計算A'!AL$117=1,VJ12&gt;0),300,0)-IF(AND($L12=1,'計算A'!AM$117=1,EL12=0),300,0))),1000000))</f>
        <v/>
      </c>
      <c r="PP12">
        <f>IF($B12=0,1000000,IF(INDEX('計算A'!$D$60:$EQ$104,$B12,37)*EL12=1,IF(AND($E12=2,KA12=0),1000000,IF($I12&gt;0,IF(2=$J12,IF(OR(AND(37=$I12+1,OR($K12&lt;&gt;'計算A'!$A$3,'計算A'!$A$4=0)),AND(37=$I12-1,OR(13&lt;&gt;'計算A'!$A$3,'計算A'!$A$4=0))),0,IF(13=$K12,200000,ABS(13-$K12)*100)),100000+ABS(2-$J12)*1000+130)+'計算A'!AN$5*50+IF(AND($E12=1,KA12=0),25,0),INDEX('計算A'!AN$110:AN$114,$F12+1)+IF(AND($E12=1,KA12=0),1000,0)+IF($H12=1,(IF('計算A'!AM$117=1,INDEX('計算A'!AM$10:AM$54,$B12),0)+IF('計算A'!AN$117=1,INDEX('計算A'!AO$10:AO$54,$B12),0))*500,0)-IF(AND('計算A'!AM$117=1,VK12&gt;0),300,0)-IF(AND($L12=1,'計算A'!AN$117=1,EM12=0),300,0))),1000000))</f>
        <v/>
      </c>
      <c r="PQ12">
        <f>IF($B12=0,1000000,IF(INDEX('計算A'!$D$60:$EQ$104,$B12,38)*EM12=1,IF(AND($E12=2,KB12=0),1000000,IF($I12&gt;0,IF(2=$J12,IF(OR(AND(38=$I12+1,OR($K12&lt;&gt;'計算A'!$A$3,'計算A'!$A$4=0)),AND(38=$I12-1,OR(14&lt;&gt;'計算A'!$A$3,'計算A'!$A$4=0))),0,IF(14=$K12,200000,ABS(14-$K12)*100)),100000+ABS(2-$J12)*1000+140)+'計算A'!AO$5*50+IF(AND($E12=1,KB12=0),25,0),INDEX('計算A'!AO$110:AO$114,$F12+1)+IF(AND($E12=1,KB12=0),1000,0)+IF($H12=1,(IF('計算A'!AN$117=1,INDEX('計算A'!AN$10:AN$54,$B12),0)+IF('計算A'!AO$117=1,INDEX('計算A'!AP$10:AP$54,$B12),0))*500,0)-IF(AND('計算A'!AN$117=1,VL12&gt;0),300,0)-IF(AND($L12=1,'計算A'!AO$117=1,EN12=0),300,0))),1000000))</f>
        <v/>
      </c>
      <c r="PR12">
        <f>IF($B12=0,1000000,IF(INDEX('計算A'!$D$60:$EQ$104,$B12,39)*EN12=1,IF(AND($E12=2,KC12=0),1000000,IF($I12&gt;0,IF(2=$J12,IF(OR(AND(39=$I12+1,OR($K12&lt;&gt;'計算A'!$A$3,'計算A'!$A$4=0)),AND(39=$I12-1,OR(15&lt;&gt;'計算A'!$A$3,'計算A'!$A$4=0))),0,IF(15=$K12,200000,ABS(15-$K12)*100)),100000+ABS(2-$J12)*1000+150)+'計算A'!AP$5*50+IF(AND($E12=1,KC12=0),25,0),INDEX('計算A'!AP$110:AP$114,$F12+1)+IF(AND($E12=1,KC12=0),1000,0)+IF($H12=1,(IF('計算A'!AO$117=1,INDEX('計算A'!AO$10:AO$54,$B12),0)+IF('計算A'!AP$117=1,INDEX('計算A'!AQ$10:AQ$54,$B12),0))*500,0)-IF(AND('計算A'!AO$117=1,VM12&gt;0),300,0)-IF(AND($L12=1,'計算A'!AP$117=1,EO12=0),300,0))),1000000))</f>
        <v/>
      </c>
      <c r="PS12">
        <f>IF($B12=0,1000000,IF(INDEX('計算A'!$D$60:$EQ$104,$B12,40)*EO12=1,IF(AND($E12=2,KD12=0),1000000,IF($I12&gt;0,IF(2=$J12,IF(OR(AND(40=$I12+1,OR($K12&lt;&gt;'計算A'!$A$3,'計算A'!$A$4=0)),AND(40=$I12-1,OR(16&lt;&gt;'計算A'!$A$3,'計算A'!$A$4=0))),0,IF(16=$K12,200000,ABS(16-$K12)*100)),100000+ABS(2-$J12)*1000+160)+'計算A'!AQ$5*50+IF(AND($E12=1,KD12=0),25,0),INDEX('計算A'!AQ$110:AQ$114,$F12+1)+IF(AND($E12=1,KD12=0),1000,0)+IF($H12=1,(IF('計算A'!AP$117=1,INDEX('計算A'!AP$10:AP$54,$B12),0)+IF('計算A'!AQ$117=1,INDEX('計算A'!AR$10:AR$54,$B12),0))*500,0)-IF(AND('計算A'!AP$117=1,VN12&gt;0),300,0)-IF(AND($L12=1,'計算A'!AQ$117=1,EP12=0),300,0))),1000000))</f>
        <v/>
      </c>
      <c r="PT12">
        <f>IF($B12=0,1000000,IF(INDEX('計算A'!$D$60:$EQ$104,$B12,41)*EP12=1,IF(AND($E12=2,KE12=0),1000000,IF($I12&gt;0,IF(2=$J12,IF(OR(AND(41=$I12+1,OR($K12&lt;&gt;'計算A'!$A$3,'計算A'!$A$4=0)),AND(41=$I12-1,OR(17&lt;&gt;'計算A'!$A$3,'計算A'!$A$4=0))),0,IF(17=$K12,200000,ABS(17-$K12)*100)),100000+ABS(2-$J12)*1000+170)+'計算A'!AR$5*50+IF(AND($E12=1,KE12=0),25,0),INDEX('計算A'!AR$110:AR$114,$F12+1)+IF(AND($E12=1,KE12=0),1000,0)+IF($H12=1,(IF('計算A'!AQ$117=1,INDEX('計算A'!AQ$10:AQ$54,$B12),0)+IF('計算A'!AR$117=1,INDEX('計算A'!AS$10:AS$54,$B12),0))*500,0)-IF(AND('計算A'!AQ$117=1,VO12&gt;0),300,0)-IF(AND($L12=1,'計算A'!AR$117=1,EQ12=0),300,0))),1000000))</f>
        <v/>
      </c>
      <c r="PU12">
        <f>IF($B12=0,1000000,IF(INDEX('計算A'!$D$60:$EQ$104,$B12,42)*EQ12=1,IF(AND($E12=2,KF12=0),1000000,IF($I12&gt;0,IF(2=$J12,IF(OR(AND(42=$I12+1,OR($K12&lt;&gt;'計算A'!$A$3,'計算A'!$A$4=0)),AND(42=$I12-1,OR(18&lt;&gt;'計算A'!$A$3,'計算A'!$A$4=0))),0,IF(18=$K12,200000,ABS(18-$K12)*100)),100000+ABS(2-$J12)*1000+180)+'計算A'!AS$5*50+IF(AND($E12=1,KF12=0),25,0),INDEX('計算A'!AS$110:AS$114,$F12+1)+IF(AND($E12=1,KF12=0),1000,0)+IF($H12=1,(IF('計算A'!AR$117=1,INDEX('計算A'!AR$10:AR$54,$B12),0)+IF('計算A'!AS$117=1,INDEX('計算A'!AT$10:AT$54,$B12),0))*500,0)-IF(AND('計算A'!AR$117=1,VP12&gt;0),300,0)-IF(AND($L12=1,'計算A'!AS$117=1,ER12=0),300,0))),1000000))</f>
        <v/>
      </c>
      <c r="PV12">
        <f>IF($B12=0,1000000,IF(INDEX('計算A'!$D$60:$EQ$104,$B12,43)*ER12=1,IF(AND($E12=2,KG12=0),1000000,IF($I12&gt;0,IF(2=$J12,IF(OR(AND(43=$I12+1,OR($K12&lt;&gt;'計算A'!$A$3,'計算A'!$A$4=0)),AND(43=$I12-1,OR(19&lt;&gt;'計算A'!$A$3,'計算A'!$A$4=0))),0,IF(19=$K12,200000,ABS(19-$K12)*100)),100000+ABS(2-$J12)*1000+190)+'計算A'!AT$5*50+IF(AND($E12=1,KG12=0),25,0),INDEX('計算A'!AT$110:AT$114,$F12+1)+IF(AND($E12=1,KG12=0),1000,0)+IF($H12=1,(IF('計算A'!AS$117=1,INDEX('計算A'!AS$10:AS$54,$B12),0)+IF('計算A'!AT$117=1,INDEX('計算A'!AU$10:AU$54,$B12),0))*500,0)-IF(AND('計算A'!AS$117=1,VQ12&gt;0),300,0)-IF(AND($L12=1,'計算A'!AT$117=1,ES12=0),300,0))),1000000))</f>
        <v/>
      </c>
      <c r="PW12">
        <f>IF($B12=0,1000000,IF(INDEX('計算A'!$D$60:$EQ$104,$B12,44)*ES12=1,IF(AND($E12=2,KH12=0),1000000,IF($I12&gt;0,IF(2=$J12,IF(OR(AND(44=$I12+1,OR($K12&lt;&gt;'計算A'!$A$3,'計算A'!$A$4=0)),AND(44=$I12-1,OR(20&lt;&gt;'計算A'!$A$3,'計算A'!$A$4=0))),0,IF(20=$K12,200000,ABS(20-$K12)*100)),100000+ABS(2-$J12)*1000+200)+'計算A'!AU$5*50+IF(AND($E12=1,KH12=0),25,0),INDEX('計算A'!AU$110:AU$114,$F12+1)+IF(AND($E12=1,KH12=0),1000,0)+IF($H12=1,(IF('計算A'!AT$117=1,INDEX('計算A'!AT$10:AT$54,$B12),0)+IF('計算A'!AU$117=1,INDEX('計算A'!AV$10:AV$54,$B12),0))*500,0)-IF(AND('計算A'!AT$117=1,VR12&gt;0),300,0)-IF(AND($L12=1,'計算A'!AU$117=1,ET12=0),300,0))),1000000))</f>
        <v/>
      </c>
      <c r="PX12">
        <f>IF($B12=0,1000000,IF(INDEX('計算A'!$D$60:$EQ$104,$B12,45)*ET12=1,IF(AND($E12=2,KI12=0),1000000,IF($I12&gt;0,IF(2=$J12,IF(OR(AND(45=$I12+1,OR($K12&lt;&gt;'計算A'!$A$3,'計算A'!$A$4=0)),AND(45=$I12-1,OR(21&lt;&gt;'計算A'!$A$3,'計算A'!$A$4=0))),0,IF(21=$K12,200000,ABS(21-$K12)*100)),100000+ABS(2-$J12)*1000+210)+'計算A'!AV$5*50+IF(AND($E12=1,KI12=0),25,0),INDEX('計算A'!AV$110:AV$114,$F12+1)+IF(AND($E12=1,KI12=0),1000,0)+IF($H12=1,(IF('計算A'!AU$117=1,INDEX('計算A'!AU$10:AU$54,$B12),0)+IF('計算A'!AV$117=1,INDEX('計算A'!AW$10:AW$54,$B12),0))*500,0)-IF(AND('計算A'!AU$117=1,VS12&gt;0),300,0)-IF(AND($L12=1,'計算A'!AV$117=1,EU12=0),300,0))),1000000))</f>
        <v/>
      </c>
      <c r="PY12">
        <f>IF($B12=0,1000000,IF(INDEX('計算A'!$D$60:$EQ$104,$B12,46)*EU12=1,IF(AND($E12=2,KJ12=0),1000000,IF($I12&gt;0,IF(2=$J12,IF(OR(AND(46=$I12+1,OR($K12&lt;&gt;'計算A'!$A$3,'計算A'!$A$4=0)),AND(46=$I12-1,OR(22&lt;&gt;'計算A'!$A$3,'計算A'!$A$4=0))),0,IF(22=$K12,200000,ABS(22-$K12)*100)),100000+ABS(2-$J12)*1000+220)+'計算A'!AW$5*50+IF(AND($E12=1,KJ12=0),25,0),INDEX('計算A'!AW$110:AW$114,$F12+1)+IF(AND($E12=1,KJ12=0),1000,0)+IF($H12=1,(IF('計算A'!AV$117=1,INDEX('計算A'!AV$10:AV$54,$B12),0)+IF('計算A'!AW$117=1,INDEX('計算A'!AX$10:AX$54,$B12),0))*500,0)-IF(AND('計算A'!AV$117=1,VT12&gt;0),300,0)-IF(AND($L12=1,'計算A'!AW$117=1,EV12=0),300,0))),1000000))</f>
        <v/>
      </c>
      <c r="PZ12">
        <f>IF($B12=0,1000000,IF(INDEX('計算A'!$D$60:$EQ$104,$B12,47)*EV12=1,IF(AND($E12=2,KK12=0),1000000,IF($I12&gt;0,IF(2=$J12,IF(OR(AND(47=$I12+1,OR($K12&lt;&gt;'計算A'!$A$3,'計算A'!$A$4=0)),AND(47=$I12-1,OR(23&lt;&gt;'計算A'!$A$3,'計算A'!$A$4=0))),0,IF(23=$K12,200000,ABS(23-$K12)*100)),100000+ABS(2-$J12)*1000+230)+'計算A'!AX$5*50+IF(AND($E12=1,KK12=0),25,0),INDEX('計算A'!AX$110:AX$114,$F12+1)+IF(AND($E12=1,KK12=0),1000,0)+IF($H12=1,(IF('計算A'!AW$117=1,INDEX('計算A'!AW$10:AW$54,$B12),0)+IF('計算A'!AX$117=1,INDEX('計算A'!AY$10:AY$54,$B12),0))*500,0)-IF(AND('計算A'!AW$117=1,VU12&gt;0),300,0)-IF(AND($L12=1,'計算A'!AX$117=1,EW12=0),300,0))),1000000))</f>
        <v/>
      </c>
      <c r="QA12">
        <f>IF($B12=0,1000000,IF(INDEX('計算A'!$D$60:$EQ$104,$B12,48)*EW12=1,IF(AND($E12=2,KL12=0),1000000,IF($I12&gt;0,IF(2=$J12,IF(OR(AND(48=$I12+1,OR($K12&lt;&gt;'計算A'!$A$3,'計算A'!$A$4=0)),AND(48=$I12-1,OR(24&lt;&gt;'計算A'!$A$3,'計算A'!$A$4=0))),0,IF(24=$K12,200000,ABS(24-$K12)*100)),100000+ABS(2-$J12)*1000+240)+'計算A'!AY$5*50+IF(AND($E12=1,KL12=0),25,0),INDEX('計算A'!AY$110:AY$114,$F12+1)+IF(AND($E12=1,KL12=0),1000,0)+IF($H12=1,(IF('計算A'!AX$117=1,INDEX('計算A'!AX$10:AX$54,$B12),0))*500,0)-IF(AND('計算A'!AX$117=1,VV12&gt;0),300,0))),1000000))</f>
        <v/>
      </c>
      <c r="QB12">
        <f>IF($B12=0,1000000,IF(INDEX('計算A'!$D$60:$EQ$104,$B12,49)*EX12=1,IF(AND($E12=2,KM12=0),1000000,IF($I12&gt;0,IF(3=$J12,IF(OR(AND(49=$I12+1,OR($K12&lt;&gt;'計算A'!$A$3,'計算A'!$A$4=0)),AND(49=$I12-1,OR(1&lt;&gt;'計算A'!$A$3,'計算A'!$A$4=0))),0,IF(1=$K12,200000,ABS(1-$K12)*100)),100000+ABS(3-$J12)*1000+10)+'計算A'!AZ$5*50+IF(AND($E12=1,KM12=0),25,0),INDEX('計算A'!AZ$110:AZ$114,$F12+1)+IF(AND($E12=1,KM12=0),1000,0)+IF($H12=1,(IF('計算A'!AZ$117=1,INDEX('計算A'!BA$10:BA$54,$B12),0))*500,0)-IF(AND($L12=1,'計算A'!AZ$117=1,EY12=0),300,0))),1000000))</f>
        <v/>
      </c>
      <c r="QC12">
        <f>IF($B12=0,1000000,IF(INDEX('計算A'!$D$60:$EQ$104,$B12,50)*EY12=1,IF(AND($E12=2,KN12=0),1000000,IF($I12&gt;0,IF(3=$J12,IF(OR(AND(50=$I12+1,OR($K12&lt;&gt;'計算A'!$A$3,'計算A'!$A$4=0)),AND(50=$I12-1,OR(2&lt;&gt;'計算A'!$A$3,'計算A'!$A$4=0))),0,IF(2=$K12,200000,ABS(2-$K12)*100)),100000+ABS(3-$J12)*1000+20)+'計算A'!BA$5*50+IF(AND($E12=1,KN12=0),25,0),INDEX('計算A'!BA$110:BA$114,$F12+1)+IF(AND($E12=1,KN12=0),1000,0)+IF($H12=1,(IF('計算A'!AZ$117=1,INDEX('計算A'!AZ$10:AZ$54,$B12),0)+IF('計算A'!BA$117=1,INDEX('計算A'!BB$10:BB$54,$B12),0))*500,0)-IF(AND('計算A'!AZ$117=1,VX12&gt;0),300,0)-IF(AND($L12=1,'計算A'!BA$117=1,EZ12=0),300,0))),1000000))</f>
        <v/>
      </c>
      <c r="QD12">
        <f>IF($B12=0,1000000,IF(INDEX('計算A'!$D$60:$EQ$104,$B12,51)*EZ12=1,IF(AND($E12=2,KO12=0),1000000,IF($I12&gt;0,IF(3=$J12,IF(OR(AND(51=$I12+1,OR($K12&lt;&gt;'計算A'!$A$3,'計算A'!$A$4=0)),AND(51=$I12-1,OR(3&lt;&gt;'計算A'!$A$3,'計算A'!$A$4=0))),0,IF(3=$K12,200000,ABS(3-$K12)*100)),100000+ABS(3-$J12)*1000+30)+'計算A'!BB$5*50+IF(AND($E12=1,KO12=0),25,0),INDEX('計算A'!BB$110:BB$114,$F12+1)+IF(AND($E12=1,KO12=0),1000,0)+IF($H12=1,(IF('計算A'!BA$117=1,INDEX('計算A'!BA$10:BA$54,$B12),0)+IF('計算A'!BB$117=1,INDEX('計算A'!BC$10:BC$54,$B12),0))*500,0)-IF(AND('計算A'!BA$117=1,VY12&gt;0),300,0)-IF(AND($L12=1,'計算A'!BB$117=1,FA12=0),300,0))),1000000))</f>
        <v/>
      </c>
      <c r="QE12">
        <f>IF($B12=0,1000000,IF(INDEX('計算A'!$D$60:$EQ$104,$B12,52)*FA12=1,IF(AND($E12=2,KP12=0),1000000,IF($I12&gt;0,IF(3=$J12,IF(OR(AND(52=$I12+1,OR($K12&lt;&gt;'計算A'!$A$3,'計算A'!$A$4=0)),AND(52=$I12-1,OR(4&lt;&gt;'計算A'!$A$3,'計算A'!$A$4=0))),0,IF(4=$K12,200000,ABS(4-$K12)*100)),100000+ABS(3-$J12)*1000+40)+'計算A'!BC$5*50+IF(AND($E12=1,KP12=0),25,0),INDEX('計算A'!BC$110:BC$114,$F12+1)+IF(AND($E12=1,KP12=0),1000,0)+IF($H12=1,(IF('計算A'!BB$117=1,INDEX('計算A'!BB$10:BB$54,$B12),0)+IF('計算A'!BC$117=1,INDEX('計算A'!BD$10:BD$54,$B12),0))*500,0)-IF(AND('計算A'!BB$117=1,VZ12&gt;0),300,0)-IF(AND($L12=1,'計算A'!BC$117=1,FB12=0),300,0))),1000000))</f>
        <v/>
      </c>
      <c r="QF12">
        <f>IF($B12=0,1000000,IF(INDEX('計算A'!$D$60:$EQ$104,$B12,53)*FB12=1,IF(AND($E12=2,KQ12=0),1000000,IF($I12&gt;0,IF(3=$J12,IF(OR(AND(53=$I12+1,OR($K12&lt;&gt;'計算A'!$A$3,'計算A'!$A$4=0)),AND(53=$I12-1,OR(5&lt;&gt;'計算A'!$A$3,'計算A'!$A$4=0))),0,IF(5=$K12,200000,ABS(5-$K12)*100)),100000+ABS(3-$J12)*1000+50)+'計算A'!BD$5*50+IF(AND($E12=1,KQ12=0),25,0),INDEX('計算A'!BD$110:BD$114,$F12+1)+IF(AND($E12=1,KQ12=0),1000,0)+IF($H12=1,(IF('計算A'!BC$117=1,INDEX('計算A'!BC$10:BC$54,$B12),0)+IF('計算A'!BD$117=1,INDEX('計算A'!BE$10:BE$54,$B12),0))*500,0)-IF(AND('計算A'!BC$117=1,WA12&gt;0),300,0)-IF(AND($L12=1,'計算A'!BD$117=1,FC12=0),300,0))),1000000))</f>
        <v/>
      </c>
      <c r="QG12">
        <f>IF($B12=0,1000000,IF(INDEX('計算A'!$D$60:$EQ$104,$B12,54)*FC12=1,IF(AND($E12=2,KR12=0),1000000,IF($I12&gt;0,IF(3=$J12,IF(OR(AND(54=$I12+1,OR($K12&lt;&gt;'計算A'!$A$3,'計算A'!$A$4=0)),AND(54=$I12-1,OR(6&lt;&gt;'計算A'!$A$3,'計算A'!$A$4=0))),0,IF(6=$K12,200000,ABS(6-$K12)*100)),100000+ABS(3-$J12)*1000+60)+'計算A'!BE$5*50+IF(AND($E12=1,KR12=0),25,0),INDEX('計算A'!BE$110:BE$114,$F12+1)+IF(AND($E12=1,KR12=0),1000,0)+IF($H12=1,(IF('計算A'!BD$117=1,INDEX('計算A'!BD$10:BD$54,$B12),0)+IF('計算A'!BE$117=1,INDEX('計算A'!BF$10:BF$54,$B12),0))*500,0)-IF(AND('計算A'!BD$117=1,WB12&gt;0),300,0)-IF(AND($L12=1,'計算A'!BE$117=1,FD12=0),300,0))),1000000))</f>
        <v/>
      </c>
      <c r="QH12">
        <f>IF($B12=0,1000000,IF(INDEX('計算A'!$D$60:$EQ$104,$B12,55)*FD12=1,IF(AND($E12=2,KS12=0),1000000,IF($I12&gt;0,IF(3=$J12,IF(OR(AND(55=$I12+1,OR($K12&lt;&gt;'計算A'!$A$3,'計算A'!$A$4=0)),AND(55=$I12-1,OR(7&lt;&gt;'計算A'!$A$3,'計算A'!$A$4=0))),0,IF(7=$K12,200000,ABS(7-$K12)*100)),100000+ABS(3-$J12)*1000+70)+'計算A'!BF$5*50+IF(AND($E12=1,KS12=0),25,0),INDEX('計算A'!BF$110:BF$114,$F12+1)+IF(AND($E12=1,KS12=0),1000,0)+IF($H12=1,(IF('計算A'!BE$117=1,INDEX('計算A'!BE$10:BE$54,$B12),0)+IF('計算A'!BF$117=1,INDEX('計算A'!BG$10:BG$54,$B12),0))*500,0)-IF(AND('計算A'!BE$117=1,WC12&gt;0),300,0)-IF(AND($L12=1,'計算A'!BF$117=1,FE12=0),300,0))),1000000))</f>
        <v/>
      </c>
      <c r="QI12">
        <f>IF($B12=0,1000000,IF(INDEX('計算A'!$D$60:$EQ$104,$B12,56)*FE12=1,IF(AND($E12=2,KT12=0),1000000,IF($I12&gt;0,IF(3=$J12,IF(OR(AND(56=$I12+1,OR($K12&lt;&gt;'計算A'!$A$3,'計算A'!$A$4=0)),AND(56=$I12-1,OR(8&lt;&gt;'計算A'!$A$3,'計算A'!$A$4=0))),0,IF(8=$K12,200000,ABS(8-$K12)*100)),100000+ABS(3-$J12)*1000+80)+'計算A'!BG$5*50+IF(AND($E12=1,KT12=0),25,0),INDEX('計算A'!BG$110:BG$114,$F12+1)+IF(AND($E12=1,KT12=0),1000,0)+IF($H12=1,(IF('計算A'!BF$117=1,INDEX('計算A'!BF$10:BF$54,$B12),0)+IF('計算A'!BG$117=1,INDEX('計算A'!BH$10:BH$54,$B12),0))*500,0)-IF(AND('計算A'!BF$117=1,WD12&gt;0),300,0)-IF(AND($L12=1,'計算A'!BG$117=1,FF12=0),300,0))),1000000))</f>
        <v/>
      </c>
      <c r="QJ12">
        <f>IF($B12=0,1000000,IF(INDEX('計算A'!$D$60:$EQ$104,$B12,57)*FF12=1,IF(AND($E12=2,KU12=0),1000000,IF($I12&gt;0,IF(3=$J12,IF(OR(AND(57=$I12+1,OR($K12&lt;&gt;'計算A'!$A$3,'計算A'!$A$4=0)),AND(57=$I12-1,OR(9&lt;&gt;'計算A'!$A$3,'計算A'!$A$4=0))),0,IF(9=$K12,200000,ABS(9-$K12)*100)),100000+ABS(3-$J12)*1000+90)+'計算A'!BH$5*50+IF(AND($E12=1,KU12=0),25,0),INDEX('計算A'!BH$110:BH$114,$F12+1)+IF(AND($E12=1,KU12=0),1000,0)+IF($H12=1,(IF('計算A'!BG$117=1,INDEX('計算A'!BG$10:BG$54,$B12),0)+IF('計算A'!BH$117=1,INDEX('計算A'!BI$10:BI$54,$B12),0))*500,0)-IF(AND('計算A'!BG$117=1,WE12&gt;0),300,0)-IF(AND($L12=1,'計算A'!BH$117=1,FG12=0),300,0))),1000000))</f>
        <v/>
      </c>
      <c r="QK12">
        <f>IF($B12=0,1000000,IF(INDEX('計算A'!$D$60:$EQ$104,$B12,58)*FG12=1,IF(AND($E12=2,KV12=0),1000000,IF($I12&gt;0,IF(3=$J12,IF(OR(AND(58=$I12+1,OR($K12&lt;&gt;'計算A'!$A$3,'計算A'!$A$4=0)),AND(58=$I12-1,OR(10&lt;&gt;'計算A'!$A$3,'計算A'!$A$4=0))),0,IF(10=$K12,200000,ABS(10-$K12)*100)),100000+ABS(3-$J12)*1000+100)+'計算A'!BI$5*50+IF(AND($E12=1,KV12=0),25,0),INDEX('計算A'!BI$110:BI$114,$F12+1)+IF(AND($E12=1,KV12=0),1000,0)+IF($H12=1,(IF('計算A'!BH$117=1,INDEX('計算A'!BH$10:BH$54,$B12),0)+IF('計算A'!BI$117=1,INDEX('計算A'!BJ$10:BJ$54,$B12),0))*500,0)-IF(AND('計算A'!BH$117=1,WF12&gt;0),300,0)-IF(AND($L12=1,'計算A'!BI$117=1,FH12=0),300,0))),1000000))</f>
        <v/>
      </c>
      <c r="QL12">
        <f>IF($B12=0,1000000,IF(INDEX('計算A'!$D$60:$EQ$104,$B12,59)*FH12=1,IF(AND($E12=2,KW12=0),1000000,IF($I12&gt;0,IF(3=$J12,IF(OR(AND(59=$I12+1,OR($K12&lt;&gt;'計算A'!$A$3,'計算A'!$A$4=0)),AND(59=$I12-1,OR(11&lt;&gt;'計算A'!$A$3,'計算A'!$A$4=0))),0,IF(11=$K12,200000,ABS(11-$K12)*100)),100000+ABS(3-$J12)*1000+110)+'計算A'!BJ$5*50+IF(AND($E12=1,KW12=0),25,0),INDEX('計算A'!BJ$110:BJ$114,$F12+1)+IF(AND($E12=1,KW12=0),1000,0)+IF($H12=1,(IF('計算A'!BI$117=1,INDEX('計算A'!BI$10:BI$54,$B12),0)+IF('計算A'!BJ$117=1,INDEX('計算A'!BK$10:BK$54,$B12),0))*500,0)-IF(AND('計算A'!BI$117=1,WG12&gt;0),300,0)-IF(AND($L12=1,'計算A'!BJ$117=1,FI12=0),300,0))),1000000))</f>
        <v/>
      </c>
      <c r="QM12">
        <f>IF($B12=0,1000000,IF(INDEX('計算A'!$D$60:$EQ$104,$B12,60)*FI12=1,IF(AND($E12=2,KX12=0),1000000,IF($I12&gt;0,IF(3=$J12,IF(OR(AND(60=$I12+1,OR($K12&lt;&gt;'計算A'!$A$3,'計算A'!$A$4=0)),AND(60=$I12-1,OR(12&lt;&gt;'計算A'!$A$3,'計算A'!$A$4=0))),0,IF(12=$K12,200000,ABS(12-$K12)*100)),100000+ABS(3-$J12)*1000+120)+'計算A'!BK$5*50+IF(AND($E12=1,KX12=0),25,0),INDEX('計算A'!BK$110:BK$114,$F12+1)+IF(AND($E12=1,KX12=0),1000,0)+IF($H12=1,(IF('計算A'!BJ$117=1,INDEX('計算A'!BJ$10:BJ$54,$B12),0)+IF('計算A'!BK$117=1,INDEX('計算A'!BL$10:BL$54,$B12),0))*500,0)-IF(AND('計算A'!BJ$117=1,WH12&gt;0),300,0)-IF(AND($L12=1,'計算A'!BK$117=1,FJ12=0),300,0))),1000000))</f>
        <v/>
      </c>
      <c r="QN12">
        <f>IF($B12=0,1000000,IF(INDEX('計算A'!$D$60:$EQ$104,$B12,61)*FJ12=1,IF(AND($E12=2,KY12=0),1000000,IF($I12&gt;0,IF(3=$J12,IF(OR(AND(61=$I12+1,OR($K12&lt;&gt;'計算A'!$A$3,'計算A'!$A$4=0)),AND(61=$I12-1,OR(13&lt;&gt;'計算A'!$A$3,'計算A'!$A$4=0))),0,IF(13=$K12,200000,ABS(13-$K12)*100)),100000+ABS(3-$J12)*1000+130)+'計算A'!BL$5*50+IF(AND($E12=1,KY12=0),25,0),INDEX('計算A'!BL$110:BL$114,$F12+1)+IF(AND($E12=1,KY12=0),1000,0)+IF($H12=1,(IF('計算A'!BK$117=1,INDEX('計算A'!BK$10:BK$54,$B12),0)+IF('計算A'!BL$117=1,INDEX('計算A'!BM$10:BM$54,$B12),0))*500,0)-IF(AND('計算A'!BK$117=1,WI12&gt;0),300,0)-IF(AND($L12=1,'計算A'!BL$117=1,FK12=0),300,0))),1000000))</f>
        <v/>
      </c>
      <c r="QO12">
        <f>IF($B12=0,1000000,IF(INDEX('計算A'!$D$60:$EQ$104,$B12,62)*FK12=1,IF(AND($E12=2,KZ12=0),1000000,IF($I12&gt;0,IF(3=$J12,IF(OR(AND(62=$I12+1,OR($K12&lt;&gt;'計算A'!$A$3,'計算A'!$A$4=0)),AND(62=$I12-1,OR(14&lt;&gt;'計算A'!$A$3,'計算A'!$A$4=0))),0,IF(14=$K12,200000,ABS(14-$K12)*100)),100000+ABS(3-$J12)*1000+140)+'計算A'!BM$5*50+IF(AND($E12=1,KZ12=0),25,0),INDEX('計算A'!BM$110:BM$114,$F12+1)+IF(AND($E12=1,KZ12=0),1000,0)+IF($H12=1,(IF('計算A'!BL$117=1,INDEX('計算A'!BL$10:BL$54,$B12),0)+IF('計算A'!BM$117=1,INDEX('計算A'!BN$10:BN$54,$B12),0))*500,0)-IF(AND('計算A'!BL$117=1,WJ12&gt;0),300,0)-IF(AND($L12=1,'計算A'!BM$117=1,FL12=0),300,0))),1000000))</f>
        <v/>
      </c>
      <c r="QP12">
        <f>IF($B12=0,1000000,IF(INDEX('計算A'!$D$60:$EQ$104,$B12,63)*FL12=1,IF(AND($E12=2,LA12=0),1000000,IF($I12&gt;0,IF(3=$J12,IF(OR(AND(63=$I12+1,OR($K12&lt;&gt;'計算A'!$A$3,'計算A'!$A$4=0)),AND(63=$I12-1,OR(15&lt;&gt;'計算A'!$A$3,'計算A'!$A$4=0))),0,IF(15=$K12,200000,ABS(15-$K12)*100)),100000+ABS(3-$J12)*1000+150)+'計算A'!BN$5*50+IF(AND($E12=1,LA12=0),25,0),INDEX('計算A'!BN$110:BN$114,$F12+1)+IF(AND($E12=1,LA12=0),1000,0)+IF($H12=1,(IF('計算A'!BM$117=1,INDEX('計算A'!BM$10:BM$54,$B12),0)+IF('計算A'!BN$117=1,INDEX('計算A'!BO$10:BO$54,$B12),0))*500,0)-IF(AND('計算A'!BM$117=1,WK12&gt;0),300,0)-IF(AND($L12=1,'計算A'!BN$117=1,FM12=0),300,0))),1000000))</f>
        <v/>
      </c>
      <c r="QQ12">
        <f>IF($B12=0,1000000,IF(INDEX('計算A'!$D$60:$EQ$104,$B12,64)*FM12=1,IF(AND($E12=2,LB12=0),1000000,IF($I12&gt;0,IF(3=$J12,IF(OR(AND(64=$I12+1,OR($K12&lt;&gt;'計算A'!$A$3,'計算A'!$A$4=0)),AND(64=$I12-1,OR(16&lt;&gt;'計算A'!$A$3,'計算A'!$A$4=0))),0,IF(16=$K12,200000,ABS(16-$K12)*100)),100000+ABS(3-$J12)*1000+160)+'計算A'!BO$5*50+IF(AND($E12=1,LB12=0),25,0),INDEX('計算A'!BO$110:BO$114,$F12+1)+IF(AND($E12=1,LB12=0),1000,0)+IF($H12=1,(IF('計算A'!BN$117=1,INDEX('計算A'!BN$10:BN$54,$B12),0)+IF('計算A'!BO$117=1,INDEX('計算A'!BP$10:BP$54,$B12),0))*500,0)-IF(AND('計算A'!BN$117=1,WL12&gt;0),300,0)-IF(AND($L12=1,'計算A'!BO$117=1,FN12=0),300,0))),1000000))</f>
        <v/>
      </c>
      <c r="QR12">
        <f>IF($B12=0,1000000,IF(INDEX('計算A'!$D$60:$EQ$104,$B12,65)*FN12=1,IF(AND($E12=2,LC12=0),1000000,IF($I12&gt;0,IF(3=$J12,IF(OR(AND(65=$I12+1,OR($K12&lt;&gt;'計算A'!$A$3,'計算A'!$A$4=0)),AND(65=$I12-1,OR(17&lt;&gt;'計算A'!$A$3,'計算A'!$A$4=0))),0,IF(17=$K12,200000,ABS(17-$K12)*100)),100000+ABS(3-$J12)*1000+170)+'計算A'!BP$5*50+IF(AND($E12=1,LC12=0),25,0),INDEX('計算A'!BP$110:BP$114,$F12+1)+IF(AND($E12=1,LC12=0),1000,0)+IF($H12=1,(IF('計算A'!BO$117=1,INDEX('計算A'!BO$10:BO$54,$B12),0)+IF('計算A'!BP$117=1,INDEX('計算A'!BQ$10:BQ$54,$B12),0))*500,0)-IF(AND('計算A'!BO$117=1,WM12&gt;0),300,0)-IF(AND($L12=1,'計算A'!BP$117=1,FO12=0),300,0))),1000000))</f>
        <v/>
      </c>
      <c r="QS12">
        <f>IF($B12=0,1000000,IF(INDEX('計算A'!$D$60:$EQ$104,$B12,66)*FO12=1,IF(AND($E12=2,LD12=0),1000000,IF($I12&gt;0,IF(3=$J12,IF(OR(AND(66=$I12+1,OR($K12&lt;&gt;'計算A'!$A$3,'計算A'!$A$4=0)),AND(66=$I12-1,OR(18&lt;&gt;'計算A'!$A$3,'計算A'!$A$4=0))),0,IF(18=$K12,200000,ABS(18-$K12)*100)),100000+ABS(3-$J12)*1000+180)+'計算A'!BQ$5*50+IF(AND($E12=1,LD12=0),25,0),INDEX('計算A'!BQ$110:BQ$114,$F12+1)+IF(AND($E12=1,LD12=0),1000,0)+IF($H12=1,(IF('計算A'!BP$117=1,INDEX('計算A'!BP$10:BP$54,$B12),0)+IF('計算A'!BQ$117=1,INDEX('計算A'!BR$10:BR$54,$B12),0))*500,0)-IF(AND('計算A'!BP$117=1,WN12&gt;0),300,0)-IF(AND($L12=1,'計算A'!BQ$117=1,FP12=0),300,0))),1000000))</f>
        <v/>
      </c>
      <c r="QT12">
        <f>IF($B12=0,1000000,IF(INDEX('計算A'!$D$60:$EQ$104,$B12,67)*FP12=1,IF(AND($E12=2,LE12=0),1000000,IF($I12&gt;0,IF(3=$J12,IF(OR(AND(67=$I12+1,OR($K12&lt;&gt;'計算A'!$A$3,'計算A'!$A$4=0)),AND(67=$I12-1,OR(19&lt;&gt;'計算A'!$A$3,'計算A'!$A$4=0))),0,IF(19=$K12,200000,ABS(19-$K12)*100)),100000+ABS(3-$J12)*1000+190)+'計算A'!BR$5*50+IF(AND($E12=1,LE12=0),25,0),INDEX('計算A'!BR$110:BR$114,$F12+1)+IF(AND($E12=1,LE12=0),1000,0)+IF($H12=1,(IF('計算A'!BQ$117=1,INDEX('計算A'!BQ$10:BQ$54,$B12),0)+IF('計算A'!BR$117=1,INDEX('計算A'!BS$10:BS$54,$B12),0))*500,0)-IF(AND('計算A'!BQ$117=1,WO12&gt;0),300,0)-IF(AND($L12=1,'計算A'!BR$117=1,FQ12=0),300,0))),1000000))</f>
        <v/>
      </c>
      <c r="QU12">
        <f>IF($B12=0,1000000,IF(INDEX('計算A'!$D$60:$EQ$104,$B12,68)*FQ12=1,IF(AND($E12=2,LF12=0),1000000,IF($I12&gt;0,IF(3=$J12,IF(OR(AND(68=$I12+1,OR($K12&lt;&gt;'計算A'!$A$3,'計算A'!$A$4=0)),AND(68=$I12-1,OR(20&lt;&gt;'計算A'!$A$3,'計算A'!$A$4=0))),0,IF(20=$K12,200000,ABS(20-$K12)*100)),100000+ABS(3-$J12)*1000+200)+'計算A'!BS$5*50+IF(AND($E12=1,LF12=0),25,0),INDEX('計算A'!BS$110:BS$114,$F12+1)+IF(AND($E12=1,LF12=0),1000,0)+IF($H12=1,(IF('計算A'!BR$117=1,INDEX('計算A'!BR$10:BR$54,$B12),0)+IF('計算A'!BS$117=1,INDEX('計算A'!BT$10:BT$54,$B12),0))*500,0)-IF(AND('計算A'!BR$117=1,WP12&gt;0),300,0)-IF(AND($L12=1,'計算A'!BS$117=1,FR12=0),300,0))),1000000))</f>
        <v/>
      </c>
      <c r="QV12">
        <f>IF($B12=0,1000000,IF(INDEX('計算A'!$D$60:$EQ$104,$B12,69)*FR12=1,IF(AND($E12=2,LG12=0),1000000,IF($I12&gt;0,IF(3=$J12,IF(OR(AND(69=$I12+1,OR($K12&lt;&gt;'計算A'!$A$3,'計算A'!$A$4=0)),AND(69=$I12-1,OR(21&lt;&gt;'計算A'!$A$3,'計算A'!$A$4=0))),0,IF(21=$K12,200000,ABS(21-$K12)*100)),100000+ABS(3-$J12)*1000+210)+'計算A'!BT$5*50+IF(AND($E12=1,LG12=0),25,0),INDEX('計算A'!BT$110:BT$114,$F12+1)+IF(AND($E12=1,LG12=0),1000,0)+IF($H12=1,(IF('計算A'!BS$117=1,INDEX('計算A'!BS$10:BS$54,$B12),0)+IF('計算A'!BT$117=1,INDEX('計算A'!BU$10:BU$54,$B12),0))*500,0)-IF(AND('計算A'!BS$117=1,WQ12&gt;0),300,0)-IF(AND($L12=1,'計算A'!BT$117=1,FS12=0),300,0))),1000000))</f>
        <v/>
      </c>
      <c r="QW12">
        <f>IF($B12=0,1000000,IF(INDEX('計算A'!$D$60:$EQ$104,$B12,70)*FS12=1,IF(AND($E12=2,LH12=0),1000000,IF($I12&gt;0,IF(3=$J12,IF(OR(AND(70=$I12+1,OR($K12&lt;&gt;'計算A'!$A$3,'計算A'!$A$4=0)),AND(70=$I12-1,OR(22&lt;&gt;'計算A'!$A$3,'計算A'!$A$4=0))),0,IF(22=$K12,200000,ABS(22-$K12)*100)),100000+ABS(3-$J12)*1000+220)+'計算A'!BU$5*50+IF(AND($E12=1,LH12=0),25,0),INDEX('計算A'!BU$110:BU$114,$F12+1)+IF(AND($E12=1,LH12=0),1000,0)+IF($H12=1,(IF('計算A'!BT$117=1,INDEX('計算A'!BT$10:BT$54,$B12),0)+IF('計算A'!BU$117=1,INDEX('計算A'!BV$10:BV$54,$B12),0))*500,0)-IF(AND('計算A'!BT$117=1,WR12&gt;0),300,0)-IF(AND($L12=1,'計算A'!BU$117=1,FT12=0),300,0))),1000000))</f>
        <v/>
      </c>
      <c r="QX12">
        <f>IF($B12=0,1000000,IF(INDEX('計算A'!$D$60:$EQ$104,$B12,71)*FT12=1,IF(AND($E12=2,LI12=0),1000000,IF($I12&gt;0,IF(3=$J12,IF(OR(AND(71=$I12+1,OR($K12&lt;&gt;'計算A'!$A$3,'計算A'!$A$4=0)),AND(71=$I12-1,OR(23&lt;&gt;'計算A'!$A$3,'計算A'!$A$4=0))),0,IF(23=$K12,200000,ABS(23-$K12)*100)),100000+ABS(3-$J12)*1000+230)+'計算A'!BV$5*50+IF(AND($E12=1,LI12=0),25,0),INDEX('計算A'!BV$110:BV$114,$F12+1)+IF(AND($E12=1,LI12=0),1000,0)+IF($H12=1,(IF('計算A'!BU$117=1,INDEX('計算A'!BU$10:BU$54,$B12),0)+IF('計算A'!BV$117=1,INDEX('計算A'!BW$10:BW$54,$B12),0))*500,0)-IF(AND('計算A'!BU$117=1,WS12&gt;0),300,0)-IF(AND($L12=1,'計算A'!BV$117=1,FU12=0),300,0))),1000000))</f>
        <v/>
      </c>
      <c r="QY12">
        <f>IF($B12=0,1000000,IF(INDEX('計算A'!$D$60:$EQ$104,$B12,72)*FU12=1,IF(AND($E12=2,LJ12=0),1000000,IF($I12&gt;0,IF(3=$J12,IF(OR(AND(72=$I12+1,OR($K12&lt;&gt;'計算A'!$A$3,'計算A'!$A$4=0)),AND(72=$I12-1,OR(24&lt;&gt;'計算A'!$A$3,'計算A'!$A$4=0))),0,IF(24=$K12,200000,ABS(24-$K12)*100)),100000+ABS(3-$J12)*1000+240)+'計算A'!BW$5*50+IF(AND($E12=1,LJ12=0),25,0),INDEX('計算A'!BW$110:BW$114,$F12+1)+IF(AND($E12=1,LJ12=0),1000,0)+IF($H12=1,(IF('計算A'!BV$117=1,INDEX('計算A'!BV$10:BV$54,$B12),0))*500,0)-IF(AND('計算A'!BV$117=1,WT12&gt;0),300,0))),1000000))</f>
        <v/>
      </c>
      <c r="QZ12">
        <f>IF($B12=0,1000000,IF(INDEX('計算A'!$D$60:$EQ$104,$B12,73)*FV12=1,IF(AND($E12=2,LK12=0),1000000,IF($I12&gt;0,IF(4=$J12,IF(OR(AND(73=$I12+1,OR($K12&lt;&gt;'計算A'!$A$3,'計算A'!$A$4=0)),AND(73=$I12-1,OR(1&lt;&gt;'計算A'!$A$3,'計算A'!$A$4=0))),0,IF(1=$K12,200000,ABS(1-$K12)*100)),100000+ABS(4-$J12)*1000+10)+'計算A'!BX$5*50+IF(AND($E12=1,LK12=0),25,0),INDEX('計算A'!BX$110:BX$114,$F12+1)+IF(AND($E12=1,LK12=0),1000,0)+IF($H12=1,(IF('計算A'!BX$117=1,INDEX('計算A'!BY$10:BY$54,$B12),0))*500,0)-IF(AND($L12=1,'計算A'!BX$117=1,FW12=0),300,0))),1000000))</f>
        <v/>
      </c>
      <c r="RA12">
        <f>IF($B12=0,1000000,IF(INDEX('計算A'!$D$60:$EQ$104,$B12,74)*FW12=1,IF(AND($E12=2,LL12=0),1000000,IF($I12&gt;0,IF(4=$J12,IF(OR(AND(74=$I12+1,OR($K12&lt;&gt;'計算A'!$A$3,'計算A'!$A$4=0)),AND(74=$I12-1,OR(2&lt;&gt;'計算A'!$A$3,'計算A'!$A$4=0))),0,IF(2=$K12,200000,ABS(2-$K12)*100)),100000+ABS(4-$J12)*1000+20)+'計算A'!BY$5*50+IF(AND($E12=1,LL12=0),25,0),INDEX('計算A'!BY$110:BY$114,$F12+1)+IF(AND($E12=1,LL12=0),1000,0)+IF($H12=1,(IF('計算A'!BX$117=1,INDEX('計算A'!BX$10:BX$54,$B12),0)+IF('計算A'!BY$117=1,INDEX('計算A'!BZ$10:BZ$54,$B12),0))*500,0)-IF(AND('計算A'!BX$117=1,WV12&gt;0),300,0)-IF(AND($L12=1,'計算A'!BY$117=1,FX12=0),300,0))),1000000))</f>
        <v/>
      </c>
      <c r="RB12">
        <f>IF($B12=0,1000000,IF(INDEX('計算A'!$D$60:$EQ$104,$B12,75)*FX12=1,IF(AND($E12=2,LM12=0),1000000,IF($I12&gt;0,IF(4=$J12,IF(OR(AND(75=$I12+1,OR($K12&lt;&gt;'計算A'!$A$3,'計算A'!$A$4=0)),AND(75=$I12-1,OR(3&lt;&gt;'計算A'!$A$3,'計算A'!$A$4=0))),0,IF(3=$K12,200000,ABS(3-$K12)*100)),100000+ABS(4-$J12)*1000+30)+'計算A'!BZ$5*50+IF(AND($E12=1,LM12=0),25,0),INDEX('計算A'!BZ$110:BZ$114,$F12+1)+IF(AND($E12=1,LM12=0),1000,0)+IF($H12=1,(IF('計算A'!BY$117=1,INDEX('計算A'!BY$10:BY$54,$B12),0)+IF('計算A'!BZ$117=1,INDEX('計算A'!CA$10:CA$54,$B12),0))*500,0)-IF(AND('計算A'!BY$117=1,WW12&gt;0),300,0)-IF(AND($L12=1,'計算A'!BZ$117=1,FY12=0),300,0))),1000000))</f>
        <v/>
      </c>
      <c r="RC12">
        <f>IF($B12=0,1000000,IF(INDEX('計算A'!$D$60:$EQ$104,$B12,76)*FY12=1,IF(AND($E12=2,LN12=0),1000000,IF($I12&gt;0,IF(4=$J12,IF(OR(AND(76=$I12+1,OR($K12&lt;&gt;'計算A'!$A$3,'計算A'!$A$4=0)),AND(76=$I12-1,OR(4&lt;&gt;'計算A'!$A$3,'計算A'!$A$4=0))),0,IF(4=$K12,200000,ABS(4-$K12)*100)),100000+ABS(4-$J12)*1000+40)+'計算A'!CA$5*50+IF(AND($E12=1,LN12=0),25,0),INDEX('計算A'!CA$110:CA$114,$F12+1)+IF(AND($E12=1,LN12=0),1000,0)+IF($H12=1,(IF('計算A'!BZ$117=1,INDEX('計算A'!BZ$10:BZ$54,$B12),0)+IF('計算A'!CA$117=1,INDEX('計算A'!CB$10:CB$54,$B12),0))*500,0)-IF(AND('計算A'!BZ$117=1,WX12&gt;0),300,0)-IF(AND($L12=1,'計算A'!CA$117=1,FZ12=0),300,0))),1000000))</f>
        <v/>
      </c>
      <c r="RD12">
        <f>IF($B12=0,1000000,IF(INDEX('計算A'!$D$60:$EQ$104,$B12,77)*FZ12=1,IF(AND($E12=2,LO12=0),1000000,IF($I12&gt;0,IF(4=$J12,IF(OR(AND(77=$I12+1,OR($K12&lt;&gt;'計算A'!$A$3,'計算A'!$A$4=0)),AND(77=$I12-1,OR(5&lt;&gt;'計算A'!$A$3,'計算A'!$A$4=0))),0,IF(5=$K12,200000,ABS(5-$K12)*100)),100000+ABS(4-$J12)*1000+50)+'計算A'!CB$5*50+IF(AND($E12=1,LO12=0),25,0),INDEX('計算A'!CB$110:CB$114,$F12+1)+IF(AND($E12=1,LO12=0),1000,0)+IF($H12=1,(IF('計算A'!CA$117=1,INDEX('計算A'!CA$10:CA$54,$B12),0)+IF('計算A'!CB$117=1,INDEX('計算A'!CC$10:CC$54,$B12),0))*500,0)-IF(AND('計算A'!CA$117=1,WY12&gt;0),300,0)-IF(AND($L12=1,'計算A'!CB$117=1,GA12=0),300,0))),1000000))</f>
        <v/>
      </c>
      <c r="RE12">
        <f>IF($B12=0,1000000,IF(INDEX('計算A'!$D$60:$EQ$104,$B12,78)*GA12=1,IF(AND($E12=2,LP12=0),1000000,IF($I12&gt;0,IF(4=$J12,IF(OR(AND(78=$I12+1,OR($K12&lt;&gt;'計算A'!$A$3,'計算A'!$A$4=0)),AND(78=$I12-1,OR(6&lt;&gt;'計算A'!$A$3,'計算A'!$A$4=0))),0,IF(6=$K12,200000,ABS(6-$K12)*100)),100000+ABS(4-$J12)*1000+60)+'計算A'!CC$5*50+IF(AND($E12=1,LP12=0),25,0),INDEX('計算A'!CC$110:CC$114,$F12+1)+IF(AND($E12=1,LP12=0),1000,0)+IF($H12=1,(IF('計算A'!CB$117=1,INDEX('計算A'!CB$10:CB$54,$B12),0)+IF('計算A'!CC$117=1,INDEX('計算A'!CD$10:CD$54,$B12),0))*500,0)-IF(AND('計算A'!CB$117=1,WZ12&gt;0),300,0)-IF(AND($L12=1,'計算A'!CC$117=1,GB12=0),300,0))),1000000))</f>
        <v/>
      </c>
      <c r="RF12">
        <f>IF($B12=0,1000000,IF(INDEX('計算A'!$D$60:$EQ$104,$B12,79)*GB12=1,IF(AND($E12=2,LQ12=0),1000000,IF($I12&gt;0,IF(4=$J12,IF(OR(AND(79=$I12+1,OR($K12&lt;&gt;'計算A'!$A$3,'計算A'!$A$4=0)),AND(79=$I12-1,OR(7&lt;&gt;'計算A'!$A$3,'計算A'!$A$4=0))),0,IF(7=$K12,200000,ABS(7-$K12)*100)),100000+ABS(4-$J12)*1000+70)+'計算A'!CD$5*50+IF(AND($E12=1,LQ12=0),25,0),INDEX('計算A'!CD$110:CD$114,$F12+1)+IF(AND($E12=1,LQ12=0),1000,0)+IF($H12=1,(IF('計算A'!CC$117=1,INDEX('計算A'!CC$10:CC$54,$B12),0)+IF('計算A'!CD$117=1,INDEX('計算A'!CE$10:CE$54,$B12),0))*500,0)-IF(AND('計算A'!CC$117=1,XA12&gt;0),300,0)-IF(AND($L12=1,'計算A'!CD$117=1,GC12=0),300,0))),1000000))</f>
        <v/>
      </c>
      <c r="RG12">
        <f>IF($B12=0,1000000,IF(INDEX('計算A'!$D$60:$EQ$104,$B12,80)*GC12=1,IF(AND($E12=2,LR12=0),1000000,IF($I12&gt;0,IF(4=$J12,IF(OR(AND(80=$I12+1,OR($K12&lt;&gt;'計算A'!$A$3,'計算A'!$A$4=0)),AND(80=$I12-1,OR(8&lt;&gt;'計算A'!$A$3,'計算A'!$A$4=0))),0,IF(8=$K12,200000,ABS(8-$K12)*100)),100000+ABS(4-$J12)*1000+80)+'計算A'!CE$5*50+IF(AND($E12=1,LR12=0),25,0),INDEX('計算A'!CE$110:CE$114,$F12+1)+IF(AND($E12=1,LR12=0),1000,0)+IF($H12=1,(IF('計算A'!CD$117=1,INDEX('計算A'!CD$10:CD$54,$B12),0)+IF('計算A'!CE$117=1,INDEX('計算A'!CF$10:CF$54,$B12),0))*500,0)-IF(AND('計算A'!CD$117=1,XB12&gt;0),300,0)-IF(AND($L12=1,'計算A'!CE$117=1,GD12=0),300,0))),1000000))</f>
        <v/>
      </c>
      <c r="RH12">
        <f>IF($B12=0,1000000,IF(INDEX('計算A'!$D$60:$EQ$104,$B12,81)*GD12=1,IF(AND($E12=2,LS12=0),1000000,IF($I12&gt;0,IF(4=$J12,IF(OR(AND(81=$I12+1,OR($K12&lt;&gt;'計算A'!$A$3,'計算A'!$A$4=0)),AND(81=$I12-1,OR(9&lt;&gt;'計算A'!$A$3,'計算A'!$A$4=0))),0,IF(9=$K12,200000,ABS(9-$K12)*100)),100000+ABS(4-$J12)*1000+90)+'計算A'!CF$5*50+IF(AND($E12=1,LS12=0),25,0),INDEX('計算A'!CF$110:CF$114,$F12+1)+IF(AND($E12=1,LS12=0),1000,0)+IF($H12=1,(IF('計算A'!CE$117=1,INDEX('計算A'!CE$10:CE$54,$B12),0)+IF('計算A'!CF$117=1,INDEX('計算A'!CG$10:CG$54,$B12),0))*500,0)-IF(AND('計算A'!CE$117=1,XC12&gt;0),300,0)-IF(AND($L12=1,'計算A'!CF$117=1,GE12=0),300,0))),1000000))</f>
        <v/>
      </c>
      <c r="RI12">
        <f>IF($B12=0,1000000,IF(INDEX('計算A'!$D$60:$EQ$104,$B12,82)*GE12=1,IF(AND($E12=2,LT12=0),1000000,IF($I12&gt;0,IF(4=$J12,IF(OR(AND(82=$I12+1,OR($K12&lt;&gt;'計算A'!$A$3,'計算A'!$A$4=0)),AND(82=$I12-1,OR(10&lt;&gt;'計算A'!$A$3,'計算A'!$A$4=0))),0,IF(10=$K12,200000,ABS(10-$K12)*100)),100000+ABS(4-$J12)*1000+100)+'計算A'!CG$5*50+IF(AND($E12=1,LT12=0),25,0),INDEX('計算A'!CG$110:CG$114,$F12+1)+IF(AND($E12=1,LT12=0),1000,0)+IF($H12=1,(IF('計算A'!CF$117=1,INDEX('計算A'!CF$10:CF$54,$B12),0)+IF('計算A'!CG$117=1,INDEX('計算A'!CH$10:CH$54,$B12),0))*500,0)-IF(AND('計算A'!CF$117=1,XD12&gt;0),300,0)-IF(AND($L12=1,'計算A'!CG$117=1,GF12=0),300,0))),1000000))</f>
        <v/>
      </c>
      <c r="RJ12">
        <f>IF($B12=0,1000000,IF(INDEX('計算A'!$D$60:$EQ$104,$B12,83)*GF12=1,IF(AND($E12=2,LU12=0),1000000,IF($I12&gt;0,IF(4=$J12,IF(OR(AND(83=$I12+1,OR($K12&lt;&gt;'計算A'!$A$3,'計算A'!$A$4=0)),AND(83=$I12-1,OR(11&lt;&gt;'計算A'!$A$3,'計算A'!$A$4=0))),0,IF(11=$K12,200000,ABS(11-$K12)*100)),100000+ABS(4-$J12)*1000+110)+'計算A'!CH$5*50+IF(AND($E12=1,LU12=0),25,0),INDEX('計算A'!CH$110:CH$114,$F12+1)+IF(AND($E12=1,LU12=0),1000,0)+IF($H12=1,(IF('計算A'!CG$117=1,INDEX('計算A'!CG$10:CG$54,$B12),0)+IF('計算A'!CH$117=1,INDEX('計算A'!CI$10:CI$54,$B12),0))*500,0)-IF(AND('計算A'!CG$117=1,XE12&gt;0),300,0)-IF(AND($L12=1,'計算A'!CH$117=1,GG12=0),300,0))),1000000))</f>
        <v/>
      </c>
      <c r="RK12">
        <f>IF($B12=0,1000000,IF(INDEX('計算A'!$D$60:$EQ$104,$B12,84)*GG12=1,IF(AND($E12=2,LV12=0),1000000,IF($I12&gt;0,IF(4=$J12,IF(OR(AND(84=$I12+1,OR($K12&lt;&gt;'計算A'!$A$3,'計算A'!$A$4=0)),AND(84=$I12-1,OR(12&lt;&gt;'計算A'!$A$3,'計算A'!$A$4=0))),0,IF(12=$K12,200000,ABS(12-$K12)*100)),100000+ABS(4-$J12)*1000+120)+'計算A'!CI$5*50+IF(AND($E12=1,LV12=0),25,0),INDEX('計算A'!CI$110:CI$114,$F12+1)+IF(AND($E12=1,LV12=0),1000,0)+IF($H12=1,(IF('計算A'!CH$117=1,INDEX('計算A'!CH$10:CH$54,$B12),0)+IF('計算A'!CI$117=1,INDEX('計算A'!CJ$10:CJ$54,$B12),0))*500,0)-IF(AND('計算A'!CH$117=1,XF12&gt;0),300,0)-IF(AND($L12=1,'計算A'!CI$117=1,GH12=0),300,0))),1000000))</f>
        <v/>
      </c>
      <c r="RL12">
        <f>IF($B12=0,1000000,IF(INDEX('計算A'!$D$60:$EQ$104,$B12,85)*GH12=1,IF(AND($E12=2,LW12=0),1000000,IF($I12&gt;0,IF(4=$J12,IF(OR(AND(85=$I12+1,OR($K12&lt;&gt;'計算A'!$A$3,'計算A'!$A$4=0)),AND(85=$I12-1,OR(13&lt;&gt;'計算A'!$A$3,'計算A'!$A$4=0))),0,IF(13=$K12,200000,ABS(13-$K12)*100)),100000+ABS(4-$J12)*1000+130)+'計算A'!CJ$5*50+IF(AND($E12=1,LW12=0),25,0),INDEX('計算A'!CJ$110:CJ$114,$F12+1)+IF(AND($E12=1,LW12=0),1000,0)+IF($H12=1,(IF('計算A'!CI$117=1,INDEX('計算A'!CI$10:CI$54,$B12),0)+IF('計算A'!CJ$117=1,INDEX('計算A'!CK$10:CK$54,$B12),0))*500,0)-IF(AND('計算A'!CI$117=1,XG12&gt;0),300,0)-IF(AND($L12=1,'計算A'!CJ$117=1,GI12=0),300,0))),1000000))</f>
        <v/>
      </c>
      <c r="RM12">
        <f>IF($B12=0,1000000,IF(INDEX('計算A'!$D$60:$EQ$104,$B12,86)*GI12=1,IF(AND($E12=2,LX12=0),1000000,IF($I12&gt;0,IF(4=$J12,IF(OR(AND(86=$I12+1,OR($K12&lt;&gt;'計算A'!$A$3,'計算A'!$A$4=0)),AND(86=$I12-1,OR(14&lt;&gt;'計算A'!$A$3,'計算A'!$A$4=0))),0,IF(14=$K12,200000,ABS(14-$K12)*100)),100000+ABS(4-$J12)*1000+140)+'計算A'!CK$5*50+IF(AND($E12=1,LX12=0),25,0),INDEX('計算A'!CK$110:CK$114,$F12+1)+IF(AND($E12=1,LX12=0),1000,0)+IF($H12=1,(IF('計算A'!CJ$117=1,INDEX('計算A'!CJ$10:CJ$54,$B12),0)+IF('計算A'!CK$117=1,INDEX('計算A'!CL$10:CL$54,$B12),0))*500,0)-IF(AND('計算A'!CJ$117=1,XH12&gt;0),300,0)-IF(AND($L12=1,'計算A'!CK$117=1,GJ12=0),300,0))),1000000))</f>
        <v/>
      </c>
      <c r="RN12">
        <f>IF($B12=0,1000000,IF(INDEX('計算A'!$D$60:$EQ$104,$B12,87)*GJ12=1,IF(AND($E12=2,LY12=0),1000000,IF($I12&gt;0,IF(4=$J12,IF(OR(AND(87=$I12+1,OR($K12&lt;&gt;'計算A'!$A$3,'計算A'!$A$4=0)),AND(87=$I12-1,OR(15&lt;&gt;'計算A'!$A$3,'計算A'!$A$4=0))),0,IF(15=$K12,200000,ABS(15-$K12)*100)),100000+ABS(4-$J12)*1000+150)+'計算A'!CL$5*50+IF(AND($E12=1,LY12=0),25,0),INDEX('計算A'!CL$110:CL$114,$F12+1)+IF(AND($E12=1,LY12=0),1000,0)+IF($H12=1,(IF('計算A'!CK$117=1,INDEX('計算A'!CK$10:CK$54,$B12),0)+IF('計算A'!CL$117=1,INDEX('計算A'!CM$10:CM$54,$B12),0))*500,0)-IF(AND('計算A'!CK$117=1,XI12&gt;0),300,0)-IF(AND($L12=1,'計算A'!CL$117=1,GK12=0),300,0))),1000000))</f>
        <v/>
      </c>
      <c r="RO12">
        <f>IF($B12=0,1000000,IF(INDEX('計算A'!$D$60:$EQ$104,$B12,88)*GK12=1,IF(AND($E12=2,LZ12=0),1000000,IF($I12&gt;0,IF(4=$J12,IF(OR(AND(88=$I12+1,OR($K12&lt;&gt;'計算A'!$A$3,'計算A'!$A$4=0)),AND(88=$I12-1,OR(16&lt;&gt;'計算A'!$A$3,'計算A'!$A$4=0))),0,IF(16=$K12,200000,ABS(16-$K12)*100)),100000+ABS(4-$J12)*1000+160)+'計算A'!CM$5*50+IF(AND($E12=1,LZ12=0),25,0),INDEX('計算A'!CM$110:CM$114,$F12+1)+IF(AND($E12=1,LZ12=0),1000,0)+IF($H12=1,(IF('計算A'!CL$117=1,INDEX('計算A'!CL$10:CL$54,$B12),0)+IF('計算A'!CM$117=1,INDEX('計算A'!CN$10:CN$54,$B12),0))*500,0)-IF(AND('計算A'!CL$117=1,XJ12&gt;0),300,0)-IF(AND($L12=1,'計算A'!CM$117=1,GL12=0),300,0))),1000000))</f>
        <v/>
      </c>
      <c r="RP12">
        <f>IF($B12=0,1000000,IF(INDEX('計算A'!$D$60:$EQ$104,$B12,89)*GL12=1,IF(AND($E12=2,MA12=0),1000000,IF($I12&gt;0,IF(4=$J12,IF(OR(AND(89=$I12+1,OR($K12&lt;&gt;'計算A'!$A$3,'計算A'!$A$4=0)),AND(89=$I12-1,OR(17&lt;&gt;'計算A'!$A$3,'計算A'!$A$4=0))),0,IF(17=$K12,200000,ABS(17-$K12)*100)),100000+ABS(4-$J12)*1000+170)+'計算A'!CN$5*50+IF(AND($E12=1,MA12=0),25,0),INDEX('計算A'!CN$110:CN$114,$F12+1)+IF(AND($E12=1,MA12=0),1000,0)+IF($H12=1,(IF('計算A'!CM$117=1,INDEX('計算A'!CM$10:CM$54,$B12),0)+IF('計算A'!CN$117=1,INDEX('計算A'!CO$10:CO$54,$B12),0))*500,0)-IF(AND('計算A'!CM$117=1,XK12&gt;0),300,0)-IF(AND($L12=1,'計算A'!CN$117=1,GM12=0),300,0))),1000000))</f>
        <v/>
      </c>
      <c r="RQ12">
        <f>IF($B12=0,1000000,IF(INDEX('計算A'!$D$60:$EQ$104,$B12,90)*GM12=1,IF(AND($E12=2,MB12=0),1000000,IF($I12&gt;0,IF(4=$J12,IF(OR(AND(90=$I12+1,OR($K12&lt;&gt;'計算A'!$A$3,'計算A'!$A$4=0)),AND(90=$I12-1,OR(18&lt;&gt;'計算A'!$A$3,'計算A'!$A$4=0))),0,IF(18=$K12,200000,ABS(18-$K12)*100)),100000+ABS(4-$J12)*1000+180)+'計算A'!CO$5*50+IF(AND($E12=1,MB12=0),25,0),INDEX('計算A'!CO$110:CO$114,$F12+1)+IF(AND($E12=1,MB12=0),1000,0)+IF($H12=1,(IF('計算A'!CN$117=1,INDEX('計算A'!CN$10:CN$54,$B12),0)+IF('計算A'!CO$117=1,INDEX('計算A'!CP$10:CP$54,$B12),0))*500,0)-IF(AND('計算A'!CN$117=1,XL12&gt;0),300,0)-IF(AND($L12=1,'計算A'!CO$117=1,GN12=0),300,0))),1000000))</f>
        <v/>
      </c>
      <c r="RR12">
        <f>IF($B12=0,1000000,IF(INDEX('計算A'!$D$60:$EQ$104,$B12,91)*GN12=1,IF(AND($E12=2,MC12=0),1000000,IF($I12&gt;0,IF(4=$J12,IF(OR(AND(91=$I12+1,OR($K12&lt;&gt;'計算A'!$A$3,'計算A'!$A$4=0)),AND(91=$I12-1,OR(19&lt;&gt;'計算A'!$A$3,'計算A'!$A$4=0))),0,IF(19=$K12,200000,ABS(19-$K12)*100)),100000+ABS(4-$J12)*1000+190)+'計算A'!CP$5*50+IF(AND($E12=1,MC12=0),25,0),INDEX('計算A'!CP$110:CP$114,$F12+1)+IF(AND($E12=1,MC12=0),1000,0)+IF($H12=1,(IF('計算A'!CO$117=1,INDEX('計算A'!CO$10:CO$54,$B12),0)+IF('計算A'!CP$117=1,INDEX('計算A'!CQ$10:CQ$54,$B12),0))*500,0)-IF(AND('計算A'!CO$117=1,XM12&gt;0),300,0)-IF(AND($L12=1,'計算A'!CP$117=1,GO12=0),300,0))),1000000))</f>
        <v/>
      </c>
      <c r="RS12">
        <f>IF($B12=0,1000000,IF(INDEX('計算A'!$D$60:$EQ$104,$B12,92)*GO12=1,IF(AND($E12=2,MD12=0),1000000,IF($I12&gt;0,IF(4=$J12,IF(OR(AND(92=$I12+1,OR($K12&lt;&gt;'計算A'!$A$3,'計算A'!$A$4=0)),AND(92=$I12-1,OR(20&lt;&gt;'計算A'!$A$3,'計算A'!$A$4=0))),0,IF(20=$K12,200000,ABS(20-$K12)*100)),100000+ABS(4-$J12)*1000+200)+'計算A'!CQ$5*50+IF(AND($E12=1,MD12=0),25,0),INDEX('計算A'!CQ$110:CQ$114,$F12+1)+IF(AND($E12=1,MD12=0),1000,0)+IF($H12=1,(IF('計算A'!CP$117=1,INDEX('計算A'!CP$10:CP$54,$B12),0)+IF('計算A'!CQ$117=1,INDEX('計算A'!CR$10:CR$54,$B12),0))*500,0)-IF(AND('計算A'!CP$117=1,XN12&gt;0),300,0)-IF(AND($L12=1,'計算A'!CQ$117=1,GP12=0),300,0))),1000000))</f>
        <v/>
      </c>
      <c r="RT12">
        <f>IF($B12=0,1000000,IF(INDEX('計算A'!$D$60:$EQ$104,$B12,93)*GP12=1,IF(AND($E12=2,ME12=0),1000000,IF($I12&gt;0,IF(4=$J12,IF(OR(AND(93=$I12+1,OR($K12&lt;&gt;'計算A'!$A$3,'計算A'!$A$4=0)),AND(93=$I12-1,OR(21&lt;&gt;'計算A'!$A$3,'計算A'!$A$4=0))),0,IF(21=$K12,200000,ABS(21-$K12)*100)),100000+ABS(4-$J12)*1000+210)+'計算A'!CR$5*50+IF(AND($E12=1,ME12=0),25,0),INDEX('計算A'!CR$110:CR$114,$F12+1)+IF(AND($E12=1,ME12=0),1000,0)+IF($H12=1,(IF('計算A'!CQ$117=1,INDEX('計算A'!CQ$10:CQ$54,$B12),0)+IF('計算A'!CR$117=1,INDEX('計算A'!CS$10:CS$54,$B12),0))*500,0)-IF(AND('計算A'!CQ$117=1,XO12&gt;0),300,0)-IF(AND($L12=1,'計算A'!CR$117=1,GQ12=0),300,0))),1000000))</f>
        <v/>
      </c>
      <c r="RU12">
        <f>IF($B12=0,1000000,IF(INDEX('計算A'!$D$60:$EQ$104,$B12,94)*GQ12=1,IF(AND($E12=2,MF12=0),1000000,IF($I12&gt;0,IF(4=$J12,IF(OR(AND(94=$I12+1,OR($K12&lt;&gt;'計算A'!$A$3,'計算A'!$A$4=0)),AND(94=$I12-1,OR(22&lt;&gt;'計算A'!$A$3,'計算A'!$A$4=0))),0,IF(22=$K12,200000,ABS(22-$K12)*100)),100000+ABS(4-$J12)*1000+220)+'計算A'!CS$5*50+IF(AND($E12=1,MF12=0),25,0),INDEX('計算A'!CS$110:CS$114,$F12+1)+IF(AND($E12=1,MF12=0),1000,0)+IF($H12=1,(IF('計算A'!CR$117=1,INDEX('計算A'!CR$10:CR$54,$B12),0)+IF('計算A'!CS$117=1,INDEX('計算A'!CT$10:CT$54,$B12),0))*500,0)-IF(AND('計算A'!CR$117=1,XP12&gt;0),300,0)-IF(AND($L12=1,'計算A'!CS$117=1,GR12=0),300,0))),1000000))</f>
        <v/>
      </c>
      <c r="RV12">
        <f>IF($B12=0,1000000,IF(INDEX('計算A'!$D$60:$EQ$104,$B12,95)*GR12=1,IF(AND($E12=2,MG12=0),1000000,IF($I12&gt;0,IF(4=$J12,IF(OR(AND(95=$I12+1,OR($K12&lt;&gt;'計算A'!$A$3,'計算A'!$A$4=0)),AND(95=$I12-1,OR(23&lt;&gt;'計算A'!$A$3,'計算A'!$A$4=0))),0,IF(23=$K12,200000,ABS(23-$K12)*100)),100000+ABS(4-$J12)*1000+230)+'計算A'!CT$5*50+IF(AND($E12=1,MG12=0),25,0),INDEX('計算A'!CT$110:CT$114,$F12+1)+IF(AND($E12=1,MG12=0),1000,0)+IF($H12=1,(IF('計算A'!CS$117=1,INDEX('計算A'!CS$10:CS$54,$B12),0)+IF('計算A'!CT$117=1,INDEX('計算A'!CU$10:CU$54,$B12),0))*500,0)-IF(AND('計算A'!CS$117=1,XQ12&gt;0),300,0)-IF(AND($L12=1,'計算A'!CT$117=1,GS12=0),300,0))),1000000))</f>
        <v/>
      </c>
      <c r="RW12">
        <f>IF($B12=0,1000000,IF(INDEX('計算A'!$D$60:$EQ$104,$B12,96)*GS12=1,IF(AND($E12=2,MH12=0),1000000,IF($I12&gt;0,IF(4=$J12,IF(OR(AND(96=$I12+1,OR($K12&lt;&gt;'計算A'!$A$3,'計算A'!$A$4=0)),AND(96=$I12-1,OR(24&lt;&gt;'計算A'!$A$3,'計算A'!$A$4=0))),0,IF(24=$K12,200000,ABS(24-$K12)*100)),100000+ABS(4-$J12)*1000+240)+'計算A'!CU$5*50+IF(AND($E12=1,MH12=0),25,0),INDEX('計算A'!CU$110:CU$114,$F12+1)+IF(AND($E12=1,MH12=0),1000,0)+IF($H12=1,(IF('計算A'!CT$117=1,INDEX('計算A'!CT$10:CT$54,$B12),0))*500,0)-IF(AND('計算A'!CT$117=1,XR12&gt;0),300,0))),1000000))</f>
        <v/>
      </c>
      <c r="RX12">
        <f>IF($B12=0,1000000,IF(INDEX('計算A'!$D$60:$EQ$104,$B12,97)*GT12=1,IF(AND($E12=2,MI12=0),1000000,IF($I12&gt;0,IF(5=$J12,IF(OR(AND(97=$I12+1,OR($K12&lt;&gt;'計算A'!$A$3,'計算A'!$A$4=0)),AND(97=$I12-1,OR(1&lt;&gt;'計算A'!$A$3,'計算A'!$A$4=0))),0,IF(1=$K12,200000,ABS(1-$K12)*100)),100000+ABS(5-$J12)*1000+10)+'計算A'!CV$5*50+IF(AND($E12=1,MI12=0),25,0),INDEX('計算A'!CV$110:CV$114,$F12+1)+IF(AND($E12=1,MI12=0),1000,0)+IF($H12=1,(IF('計算A'!CV$117=1,INDEX('計算A'!CW$10:CW$54,$B12),0))*500,0)-IF(AND($L12=1,'計算A'!CV$117=1,GU12=0),300,0))),1000000))</f>
        <v/>
      </c>
      <c r="RY12">
        <f>IF($B12=0,1000000,IF(INDEX('計算A'!$D$60:$EQ$104,$B12,98)*GU12=1,IF(AND($E12=2,MJ12=0),1000000,IF($I12&gt;0,IF(5=$J12,IF(OR(AND(98=$I12+1,OR($K12&lt;&gt;'計算A'!$A$3,'計算A'!$A$4=0)),AND(98=$I12-1,OR(2&lt;&gt;'計算A'!$A$3,'計算A'!$A$4=0))),0,IF(2=$K12,200000,ABS(2-$K12)*100)),100000+ABS(5-$J12)*1000+20)+'計算A'!CW$5*50+IF(AND($E12=1,MJ12=0),25,0),INDEX('計算A'!CW$110:CW$114,$F12+1)+IF(AND($E12=1,MJ12=0),1000,0)+IF($H12=1,(IF('計算A'!CV$117=1,INDEX('計算A'!CV$10:CV$54,$B12),0)+IF('計算A'!CW$117=1,INDEX('計算A'!CX$10:CX$54,$B12),0))*500,0)-IF(AND('計算A'!CV$117=1,XT12&gt;0),300,0)-IF(AND($L12=1,'計算A'!CW$117=1,GV12=0),300,0))),1000000))</f>
        <v/>
      </c>
      <c r="RZ12">
        <f>IF($B12=0,1000000,IF(INDEX('計算A'!$D$60:$EQ$104,$B12,99)*GV12=1,IF(AND($E12=2,MK12=0),1000000,IF($I12&gt;0,IF(5=$J12,IF(OR(AND(99=$I12+1,OR($K12&lt;&gt;'計算A'!$A$3,'計算A'!$A$4=0)),AND(99=$I12-1,OR(3&lt;&gt;'計算A'!$A$3,'計算A'!$A$4=0))),0,IF(3=$K12,200000,ABS(3-$K12)*100)),100000+ABS(5-$J12)*1000+30)+'計算A'!CX$5*50+IF(AND($E12=1,MK12=0),25,0),INDEX('計算A'!CX$110:CX$114,$F12+1)+IF(AND($E12=1,MK12=0),1000,0)+IF($H12=1,(IF('計算A'!CW$117=1,INDEX('計算A'!CW$10:CW$54,$B12),0)+IF('計算A'!CX$117=1,INDEX('計算A'!CY$10:CY$54,$B12),0))*500,0)-IF(AND('計算A'!CW$117=1,XU12&gt;0),300,0)-IF(AND($L12=1,'計算A'!CX$117=1,GW12=0),300,0))),1000000))</f>
        <v/>
      </c>
      <c r="SA12">
        <f>IF($B12=0,1000000,IF(INDEX('計算A'!$D$60:$EQ$104,$B12,100)*GW12=1,IF(AND($E12=2,ML12=0),1000000,IF($I12&gt;0,IF(5=$J12,IF(OR(AND(100=$I12+1,OR($K12&lt;&gt;'計算A'!$A$3,'計算A'!$A$4=0)),AND(100=$I12-1,OR(4&lt;&gt;'計算A'!$A$3,'計算A'!$A$4=0))),0,IF(4=$K12,200000,ABS(4-$K12)*100)),100000+ABS(5-$J12)*1000+40)+'計算A'!CY$5*50+IF(AND($E12=1,ML12=0),25,0),INDEX('計算A'!CY$110:CY$114,$F12+1)+IF(AND($E12=1,ML12=0),1000,0)+IF($H12=1,(IF('計算A'!CX$117=1,INDEX('計算A'!CX$10:CX$54,$B12),0)+IF('計算A'!CY$117=1,INDEX('計算A'!CZ$10:CZ$54,$B12),0))*500,0)-IF(AND('計算A'!CX$117=1,XV12&gt;0),300,0)-IF(AND($L12=1,'計算A'!CY$117=1,GX12=0),300,0))),1000000))</f>
        <v/>
      </c>
      <c r="SB12">
        <f>IF($B12=0,1000000,IF(INDEX('計算A'!$D$60:$EQ$104,$B12,101)*GX12=1,IF(AND($E12=2,MM12=0),1000000,IF($I12&gt;0,IF(5=$J12,IF(OR(AND(101=$I12+1,OR($K12&lt;&gt;'計算A'!$A$3,'計算A'!$A$4=0)),AND(101=$I12-1,OR(5&lt;&gt;'計算A'!$A$3,'計算A'!$A$4=0))),0,IF(5=$K12,200000,ABS(5-$K12)*100)),100000+ABS(5-$J12)*1000+50)+'計算A'!CZ$5*50+IF(AND($E12=1,MM12=0),25,0),INDEX('計算A'!CZ$110:CZ$114,$F12+1)+IF(AND($E12=1,MM12=0),1000,0)+IF($H12=1,(IF('計算A'!CY$117=1,INDEX('計算A'!CY$10:CY$54,$B12),0)+IF('計算A'!CZ$117=1,INDEX('計算A'!DA$10:DA$54,$B12),0))*500,0)-IF(AND('計算A'!CY$117=1,XW12&gt;0),300,0)-IF(AND($L12=1,'計算A'!CZ$117=1,GY12=0),300,0))),1000000))</f>
        <v/>
      </c>
      <c r="SC12">
        <f>IF($B12=0,1000000,IF(INDEX('計算A'!$D$60:$EQ$104,$B12,102)*GY12=1,IF(AND($E12=2,MN12=0),1000000,IF($I12&gt;0,IF(5=$J12,IF(OR(AND(102=$I12+1,OR($K12&lt;&gt;'計算A'!$A$3,'計算A'!$A$4=0)),AND(102=$I12-1,OR(6&lt;&gt;'計算A'!$A$3,'計算A'!$A$4=0))),0,IF(6=$K12,200000,ABS(6-$K12)*100)),100000+ABS(5-$J12)*1000+60)+'計算A'!DA$5*50+IF(AND($E12=1,MN12=0),25,0),INDEX('計算A'!DA$110:DA$114,$F12+1)+IF(AND($E12=1,MN12=0),1000,0)+IF($H12=1,(IF('計算A'!CZ$117=1,INDEX('計算A'!CZ$10:CZ$54,$B12),0)+IF('計算A'!DA$117=1,INDEX('計算A'!DB$10:DB$54,$B12),0))*500,0)-IF(AND('計算A'!CZ$117=1,XX12&gt;0),300,0)-IF(AND($L12=1,'計算A'!DA$117=1,GZ12=0),300,0))),1000000))</f>
        <v/>
      </c>
      <c r="SD12">
        <f>IF($B12=0,1000000,IF(INDEX('計算A'!$D$60:$EQ$104,$B12,103)*GZ12=1,IF(AND($E12=2,MO12=0),1000000,IF($I12&gt;0,IF(5=$J12,IF(OR(AND(103=$I12+1,OR($K12&lt;&gt;'計算A'!$A$3,'計算A'!$A$4=0)),AND(103=$I12-1,OR(7&lt;&gt;'計算A'!$A$3,'計算A'!$A$4=0))),0,IF(7=$K12,200000,ABS(7-$K12)*100)),100000+ABS(5-$J12)*1000+70)+'計算A'!DB$5*50+IF(AND($E12=1,MO12=0),25,0),INDEX('計算A'!DB$110:DB$114,$F12+1)+IF(AND($E12=1,MO12=0),1000,0)+IF($H12=1,(IF('計算A'!DA$117=1,INDEX('計算A'!DA$10:DA$54,$B12),0)+IF('計算A'!DB$117=1,INDEX('計算A'!DC$10:DC$54,$B12),0))*500,0)-IF(AND('計算A'!DA$117=1,XY12&gt;0),300,0)-IF(AND($L12=1,'計算A'!DB$117=1,HA12=0),300,0))),1000000))</f>
        <v/>
      </c>
      <c r="SE12">
        <f>IF($B12=0,1000000,IF(INDEX('計算A'!$D$60:$EQ$104,$B12,104)*HA12=1,IF(AND($E12=2,MP12=0),1000000,IF($I12&gt;0,IF(5=$J12,IF(OR(AND(104=$I12+1,OR($K12&lt;&gt;'計算A'!$A$3,'計算A'!$A$4=0)),AND(104=$I12-1,OR(8&lt;&gt;'計算A'!$A$3,'計算A'!$A$4=0))),0,IF(8=$K12,200000,ABS(8-$K12)*100)),100000+ABS(5-$J12)*1000+80)+'計算A'!DC$5*50+IF(AND($E12=1,MP12=0),25,0),INDEX('計算A'!DC$110:DC$114,$F12+1)+IF(AND($E12=1,MP12=0),1000,0)+IF($H12=1,(IF('計算A'!DB$117=1,INDEX('計算A'!DB$10:DB$54,$B12),0)+IF('計算A'!DC$117=1,INDEX('計算A'!DD$10:DD$54,$B12),0))*500,0)-IF(AND('計算A'!DB$117=1,XZ12&gt;0),300,0)-IF(AND($L12=1,'計算A'!DC$117=1,HB12=0),300,0))),1000000))</f>
        <v/>
      </c>
      <c r="SF12">
        <f>IF($B12=0,1000000,IF(INDEX('計算A'!$D$60:$EQ$104,$B12,105)*HB12=1,IF(AND($E12=2,MQ12=0),1000000,IF($I12&gt;0,IF(5=$J12,IF(OR(AND(105=$I12+1,OR($K12&lt;&gt;'計算A'!$A$3,'計算A'!$A$4=0)),AND(105=$I12-1,OR(9&lt;&gt;'計算A'!$A$3,'計算A'!$A$4=0))),0,IF(9=$K12,200000,ABS(9-$K12)*100)),100000+ABS(5-$J12)*1000+90)+'計算A'!DD$5*50+IF(AND($E12=1,MQ12=0),25,0),INDEX('計算A'!DD$110:DD$114,$F12+1)+IF(AND($E12=1,MQ12=0),1000,0)+IF($H12=1,(IF('計算A'!DC$117=1,INDEX('計算A'!DC$10:DC$54,$B12),0)+IF('計算A'!DD$117=1,INDEX('計算A'!DE$10:DE$54,$B12),0))*500,0)-IF(AND('計算A'!DC$117=1,YA12&gt;0),300,0)-IF(AND($L12=1,'計算A'!DD$117=1,HC12=0),300,0))),1000000))</f>
        <v/>
      </c>
      <c r="SG12">
        <f>IF($B12=0,1000000,IF(INDEX('計算A'!$D$60:$EQ$104,$B12,106)*HC12=1,IF(AND($E12=2,MR12=0),1000000,IF($I12&gt;0,IF(5=$J12,IF(OR(AND(106=$I12+1,OR($K12&lt;&gt;'計算A'!$A$3,'計算A'!$A$4=0)),AND(106=$I12-1,OR(10&lt;&gt;'計算A'!$A$3,'計算A'!$A$4=0))),0,IF(10=$K12,200000,ABS(10-$K12)*100)),100000+ABS(5-$J12)*1000+100)+'計算A'!DE$5*50+IF(AND($E12=1,MR12=0),25,0),INDEX('計算A'!DE$110:DE$114,$F12+1)+IF(AND($E12=1,MR12=0),1000,0)+IF($H12=1,(IF('計算A'!DD$117=1,INDEX('計算A'!DD$10:DD$54,$B12),0)+IF('計算A'!DE$117=1,INDEX('計算A'!DF$10:DF$54,$B12),0))*500,0)-IF(AND('計算A'!DD$117=1,YB12&gt;0),300,0)-IF(AND($L12=1,'計算A'!DE$117=1,HD12=0),300,0))),1000000))</f>
        <v/>
      </c>
      <c r="SH12">
        <f>IF($B12=0,1000000,IF(INDEX('計算A'!$D$60:$EQ$104,$B12,107)*HD12=1,IF(AND($E12=2,MS12=0),1000000,IF($I12&gt;0,IF(5=$J12,IF(OR(AND(107=$I12+1,OR($K12&lt;&gt;'計算A'!$A$3,'計算A'!$A$4=0)),AND(107=$I12-1,OR(11&lt;&gt;'計算A'!$A$3,'計算A'!$A$4=0))),0,IF(11=$K12,200000,ABS(11-$K12)*100)),100000+ABS(5-$J12)*1000+110)+'計算A'!DF$5*50+IF(AND($E12=1,MS12=0),25,0),INDEX('計算A'!DF$110:DF$114,$F12+1)+IF(AND($E12=1,MS12=0),1000,0)+IF($H12=1,(IF('計算A'!DE$117=1,INDEX('計算A'!DE$10:DE$54,$B12),0)+IF('計算A'!DF$117=1,INDEX('計算A'!DG$10:DG$54,$B12),0))*500,0)-IF(AND('計算A'!DE$117=1,YC12&gt;0),300,0)-IF(AND($L12=1,'計算A'!DF$117=1,HE12=0),300,0))),1000000))</f>
        <v/>
      </c>
      <c r="SI12">
        <f>IF($B12=0,1000000,IF(INDEX('計算A'!$D$60:$EQ$104,$B12,108)*HE12=1,IF(AND($E12=2,MT12=0),1000000,IF($I12&gt;0,IF(5=$J12,IF(OR(AND(108=$I12+1,OR($K12&lt;&gt;'計算A'!$A$3,'計算A'!$A$4=0)),AND(108=$I12-1,OR(12&lt;&gt;'計算A'!$A$3,'計算A'!$A$4=0))),0,IF(12=$K12,200000,ABS(12-$K12)*100)),100000+ABS(5-$J12)*1000+120)+'計算A'!DG$5*50+IF(AND($E12=1,MT12=0),25,0),INDEX('計算A'!DG$110:DG$114,$F12+1)+IF(AND($E12=1,MT12=0),1000,0)+IF($H12=1,(IF('計算A'!DF$117=1,INDEX('計算A'!DF$10:DF$54,$B12),0)+IF('計算A'!DG$117=1,INDEX('計算A'!DH$10:DH$54,$B12),0))*500,0)-IF(AND('計算A'!DF$117=1,YD12&gt;0),300,0)-IF(AND($L12=1,'計算A'!DG$117=1,HF12=0),300,0))),1000000))</f>
        <v/>
      </c>
      <c r="SJ12">
        <f>IF($B12=0,1000000,IF(INDEX('計算A'!$D$60:$EQ$104,$B12,109)*HF12=1,IF(AND($E12=2,MU12=0),1000000,IF($I12&gt;0,IF(5=$J12,IF(OR(AND(109=$I12+1,OR($K12&lt;&gt;'計算A'!$A$3,'計算A'!$A$4=0)),AND(109=$I12-1,OR(13&lt;&gt;'計算A'!$A$3,'計算A'!$A$4=0))),0,IF(13=$K12,200000,ABS(13-$K12)*100)),100000+ABS(5-$J12)*1000+130)+'計算A'!DH$5*50+IF(AND($E12=1,MU12=0),25,0),INDEX('計算A'!DH$110:DH$114,$F12+1)+IF(AND($E12=1,MU12=0),1000,0)+IF($H12=1,(IF('計算A'!DG$117=1,INDEX('計算A'!DG$10:DG$54,$B12),0)+IF('計算A'!DH$117=1,INDEX('計算A'!DI$10:DI$54,$B12),0))*500,0)-IF(AND('計算A'!DG$117=1,YE12&gt;0),300,0)-IF(AND($L12=1,'計算A'!DH$117=1,HG12=0),300,0))),1000000))</f>
        <v/>
      </c>
      <c r="SK12">
        <f>IF($B12=0,1000000,IF(INDEX('計算A'!$D$60:$EQ$104,$B12,110)*HG12=1,IF(AND($E12=2,MV12=0),1000000,IF($I12&gt;0,IF(5=$J12,IF(OR(AND(110=$I12+1,OR($K12&lt;&gt;'計算A'!$A$3,'計算A'!$A$4=0)),AND(110=$I12-1,OR(14&lt;&gt;'計算A'!$A$3,'計算A'!$A$4=0))),0,IF(14=$K12,200000,ABS(14-$K12)*100)),100000+ABS(5-$J12)*1000+140)+'計算A'!DI$5*50+IF(AND($E12=1,MV12=0),25,0),INDEX('計算A'!DI$110:DI$114,$F12+1)+IF(AND($E12=1,MV12=0),1000,0)+IF($H12=1,(IF('計算A'!DH$117=1,INDEX('計算A'!DH$10:DH$54,$B12),0)+IF('計算A'!DI$117=1,INDEX('計算A'!DJ$10:DJ$54,$B12),0))*500,0)-IF(AND('計算A'!DH$117=1,YF12&gt;0),300,0)-IF(AND($L12=1,'計算A'!DI$117=1,HH12=0),300,0))),1000000))</f>
        <v/>
      </c>
      <c r="SL12">
        <f>IF($B12=0,1000000,IF(INDEX('計算A'!$D$60:$EQ$104,$B12,111)*HH12=1,IF(AND($E12=2,MW12=0),1000000,IF($I12&gt;0,IF(5=$J12,IF(OR(AND(111=$I12+1,OR($K12&lt;&gt;'計算A'!$A$3,'計算A'!$A$4=0)),AND(111=$I12-1,OR(15&lt;&gt;'計算A'!$A$3,'計算A'!$A$4=0))),0,IF(15=$K12,200000,ABS(15-$K12)*100)),100000+ABS(5-$J12)*1000+150)+'計算A'!DJ$5*50+IF(AND($E12=1,MW12=0),25,0),INDEX('計算A'!DJ$110:DJ$114,$F12+1)+IF(AND($E12=1,MW12=0),1000,0)+IF($H12=1,(IF('計算A'!DI$117=1,INDEX('計算A'!DI$10:DI$54,$B12),0)+IF('計算A'!DJ$117=1,INDEX('計算A'!DK$10:DK$54,$B12),0))*500,0)-IF(AND('計算A'!DI$117=1,YG12&gt;0),300,0)-IF(AND($L12=1,'計算A'!DJ$117=1,HI12=0),300,0))),1000000))</f>
        <v/>
      </c>
      <c r="SM12">
        <f>IF($B12=0,1000000,IF(INDEX('計算A'!$D$60:$EQ$104,$B12,112)*HI12=1,IF(AND($E12=2,MX12=0),1000000,IF($I12&gt;0,IF(5=$J12,IF(OR(AND(112=$I12+1,OR($K12&lt;&gt;'計算A'!$A$3,'計算A'!$A$4=0)),AND(112=$I12-1,OR(16&lt;&gt;'計算A'!$A$3,'計算A'!$A$4=0))),0,IF(16=$K12,200000,ABS(16-$K12)*100)),100000+ABS(5-$J12)*1000+160)+'計算A'!DK$5*50+IF(AND($E12=1,MX12=0),25,0),INDEX('計算A'!DK$110:DK$114,$F12+1)+IF(AND($E12=1,MX12=0),1000,0)+IF($H12=1,(IF('計算A'!DJ$117=1,INDEX('計算A'!DJ$10:DJ$54,$B12),0)+IF('計算A'!DK$117=1,INDEX('計算A'!DL$10:DL$54,$B12),0))*500,0)-IF(AND('計算A'!DJ$117=1,YH12&gt;0),300,0)-IF(AND($L12=1,'計算A'!DK$117=1,HJ12=0),300,0))),1000000))</f>
        <v/>
      </c>
      <c r="SN12">
        <f>IF($B12=0,1000000,IF(INDEX('計算A'!$D$60:$EQ$104,$B12,113)*HJ12=1,IF(AND($E12=2,MY12=0),1000000,IF($I12&gt;0,IF(5=$J12,IF(OR(AND(113=$I12+1,OR($K12&lt;&gt;'計算A'!$A$3,'計算A'!$A$4=0)),AND(113=$I12-1,OR(17&lt;&gt;'計算A'!$A$3,'計算A'!$A$4=0))),0,IF(17=$K12,200000,ABS(17-$K12)*100)),100000+ABS(5-$J12)*1000+170)+'計算A'!DL$5*50+IF(AND($E12=1,MY12=0),25,0),INDEX('計算A'!DL$110:DL$114,$F12+1)+IF(AND($E12=1,MY12=0),1000,0)+IF($H12=1,(IF('計算A'!DK$117=1,INDEX('計算A'!DK$10:DK$54,$B12),0)+IF('計算A'!DL$117=1,INDEX('計算A'!DM$10:DM$54,$B12),0))*500,0)-IF(AND('計算A'!DK$117=1,YI12&gt;0),300,0)-IF(AND($L12=1,'計算A'!DL$117=1,HK12=0),300,0))),1000000))</f>
        <v/>
      </c>
      <c r="SO12">
        <f>IF($B12=0,1000000,IF(INDEX('計算A'!$D$60:$EQ$104,$B12,114)*HK12=1,IF(AND($E12=2,MZ12=0),1000000,IF($I12&gt;0,IF(5=$J12,IF(OR(AND(114=$I12+1,OR($K12&lt;&gt;'計算A'!$A$3,'計算A'!$A$4=0)),AND(114=$I12-1,OR(18&lt;&gt;'計算A'!$A$3,'計算A'!$A$4=0))),0,IF(18=$K12,200000,ABS(18-$K12)*100)),100000+ABS(5-$J12)*1000+180)+'計算A'!DM$5*50+IF(AND($E12=1,MZ12=0),25,0),INDEX('計算A'!DM$110:DM$114,$F12+1)+IF(AND($E12=1,MZ12=0),1000,0)+IF($H12=1,(IF('計算A'!DL$117=1,INDEX('計算A'!DL$10:DL$54,$B12),0)+IF('計算A'!DM$117=1,INDEX('計算A'!DN$10:DN$54,$B12),0))*500,0)-IF(AND('計算A'!DL$117=1,YJ12&gt;0),300,0)-IF(AND($L12=1,'計算A'!DM$117=1,HL12=0),300,0))),1000000))</f>
        <v/>
      </c>
      <c r="SP12">
        <f>IF($B12=0,1000000,IF(INDEX('計算A'!$D$60:$EQ$104,$B12,115)*HL12=1,IF(AND($E12=2,NA12=0),1000000,IF($I12&gt;0,IF(5=$J12,IF(OR(AND(115=$I12+1,OR($K12&lt;&gt;'計算A'!$A$3,'計算A'!$A$4=0)),AND(115=$I12-1,OR(19&lt;&gt;'計算A'!$A$3,'計算A'!$A$4=0))),0,IF(19=$K12,200000,ABS(19-$K12)*100)),100000+ABS(5-$J12)*1000+190)+'計算A'!DN$5*50+IF(AND($E12=1,NA12=0),25,0),INDEX('計算A'!DN$110:DN$114,$F12+1)+IF(AND($E12=1,NA12=0),1000,0)+IF($H12=1,(IF('計算A'!DM$117=1,INDEX('計算A'!DM$10:DM$54,$B12),0)+IF('計算A'!DN$117=1,INDEX('計算A'!DO$10:DO$54,$B12),0))*500,0)-IF(AND('計算A'!DM$117=1,YK12&gt;0),300,0)-IF(AND($L12=1,'計算A'!DN$117=1,HM12=0),300,0))),1000000))</f>
        <v/>
      </c>
      <c r="SQ12">
        <f>IF($B12=0,1000000,IF(INDEX('計算A'!$D$60:$EQ$104,$B12,116)*HM12=1,IF(AND($E12=2,NB12=0),1000000,IF($I12&gt;0,IF(5=$J12,IF(OR(AND(116=$I12+1,OR($K12&lt;&gt;'計算A'!$A$3,'計算A'!$A$4=0)),AND(116=$I12-1,OR(20&lt;&gt;'計算A'!$A$3,'計算A'!$A$4=0))),0,IF(20=$K12,200000,ABS(20-$K12)*100)),100000+ABS(5-$J12)*1000+200)+'計算A'!DO$5*50+IF(AND($E12=1,NB12=0),25,0),INDEX('計算A'!DO$110:DO$114,$F12+1)+IF(AND($E12=1,NB12=0),1000,0)+IF($H12=1,(IF('計算A'!DN$117=1,INDEX('計算A'!DN$10:DN$54,$B12),0)+IF('計算A'!DO$117=1,INDEX('計算A'!DP$10:DP$54,$B12),0))*500,0)-IF(AND('計算A'!DN$117=1,YL12&gt;0),300,0)-IF(AND($L12=1,'計算A'!DO$117=1,HN12=0),300,0))),1000000))</f>
        <v/>
      </c>
      <c r="SR12">
        <f>IF($B12=0,1000000,IF(INDEX('計算A'!$D$60:$EQ$104,$B12,117)*HN12=1,IF(AND($E12=2,NC12=0),1000000,IF($I12&gt;0,IF(5=$J12,IF(OR(AND(117=$I12+1,OR($K12&lt;&gt;'計算A'!$A$3,'計算A'!$A$4=0)),AND(117=$I12-1,OR(21&lt;&gt;'計算A'!$A$3,'計算A'!$A$4=0))),0,IF(21=$K12,200000,ABS(21-$K12)*100)),100000+ABS(5-$J12)*1000+210)+'計算A'!DP$5*50+IF(AND($E12=1,NC12=0),25,0),INDEX('計算A'!DP$110:DP$114,$F12+1)+IF(AND($E12=1,NC12=0),1000,0)+IF($H12=1,(IF('計算A'!DO$117=1,INDEX('計算A'!DO$10:DO$54,$B12),0)+IF('計算A'!DP$117=1,INDEX('計算A'!DQ$10:DQ$54,$B12),0))*500,0)-IF(AND('計算A'!DO$117=1,YM12&gt;0),300,0)-IF(AND($L12=1,'計算A'!DP$117=1,HO12=0),300,0))),1000000))</f>
        <v/>
      </c>
      <c r="SS12">
        <f>IF($B12=0,1000000,IF(INDEX('計算A'!$D$60:$EQ$104,$B12,118)*HO12=1,IF(AND($E12=2,ND12=0),1000000,IF($I12&gt;0,IF(5=$J12,IF(OR(AND(118=$I12+1,OR($K12&lt;&gt;'計算A'!$A$3,'計算A'!$A$4=0)),AND(118=$I12-1,OR(22&lt;&gt;'計算A'!$A$3,'計算A'!$A$4=0))),0,IF(22=$K12,200000,ABS(22-$K12)*100)),100000+ABS(5-$J12)*1000+220)+'計算A'!DQ$5*50+IF(AND($E12=1,ND12=0),25,0),INDEX('計算A'!DQ$110:DQ$114,$F12+1)+IF(AND($E12=1,ND12=0),1000,0)+IF($H12=1,(IF('計算A'!DP$117=1,INDEX('計算A'!DP$10:DP$54,$B12),0)+IF('計算A'!DQ$117=1,INDEX('計算A'!DR$10:DR$54,$B12),0))*500,0)-IF(AND('計算A'!DP$117=1,YN12&gt;0),300,0)-IF(AND($L12=1,'計算A'!DQ$117=1,HP12=0),300,0))),1000000))</f>
        <v/>
      </c>
      <c r="ST12">
        <f>IF($B12=0,1000000,IF(INDEX('計算A'!$D$60:$EQ$104,$B12,119)*HP12=1,IF(AND($E12=2,NE12=0),1000000,IF($I12&gt;0,IF(5=$J12,IF(OR(AND(119=$I12+1,OR($K12&lt;&gt;'計算A'!$A$3,'計算A'!$A$4=0)),AND(119=$I12-1,OR(23&lt;&gt;'計算A'!$A$3,'計算A'!$A$4=0))),0,IF(23=$K12,200000,ABS(23-$K12)*100)),100000+ABS(5-$J12)*1000+230)+'計算A'!DR$5*50+IF(AND($E12=1,NE12=0),25,0),INDEX('計算A'!DR$110:DR$114,$F12+1)+IF(AND($E12=1,NE12=0),1000,0)+IF($H12=1,(IF('計算A'!DQ$117=1,INDEX('計算A'!DQ$10:DQ$54,$B12),0)+IF('計算A'!DR$117=1,INDEX('計算A'!DS$10:DS$54,$B12),0))*500,0)-IF(AND('計算A'!DQ$117=1,YO12&gt;0),300,0)-IF(AND($L12=1,'計算A'!DR$117=1,HQ12=0),300,0))),1000000))</f>
        <v/>
      </c>
      <c r="SU12">
        <f>IF($B12=0,1000000,IF(INDEX('計算A'!$D$60:$EQ$104,$B12,120)*HQ12=1,IF(AND($E12=2,NF12=0),1000000,IF($I12&gt;0,IF(5=$J12,IF(OR(AND(120=$I12+1,OR($K12&lt;&gt;'計算A'!$A$3,'計算A'!$A$4=0)),AND(120=$I12-1,OR(24&lt;&gt;'計算A'!$A$3,'計算A'!$A$4=0))),0,IF(24=$K12,200000,ABS(24-$K12)*100)),100000+ABS(5-$J12)*1000+240)+'計算A'!DS$5*50+IF(AND($E12=1,NF12=0),25,0),INDEX('計算A'!DS$110:DS$114,$F12+1)+IF(AND($E12=1,NF12=0),1000,0)+IF($H12=1,(IF('計算A'!DR$117=1,INDEX('計算A'!DR$10:DR$54,$B12),0))*500,0)-IF(AND('計算A'!DR$117=1,YP12&gt;0),300,0))),1000000))</f>
        <v/>
      </c>
      <c r="SV12">
        <f>IF($B12=0,1000000,IF(INDEX('計算A'!$D$60:$EQ$104,$B12,121)*HR12=1,IF(AND($E12=2,NG12=0),1000000,IF($I12&gt;0,IF(6=$J12,IF(OR(AND(121=$I12+1,OR($K12&lt;&gt;'計算A'!$A$3,'計算A'!$A$4=0)),AND(121=$I12-1,OR(1&lt;&gt;'計算A'!$A$3,'計算A'!$A$4=0))),0,IF(1=$K12,200000,ABS(1-$K12)*100)),100000+ABS(6-$J12)*1000+10)+'計算A'!DT$5*50+IF(AND($E12=1,NG12=0),25,0),INDEX('計算A'!DT$110:DT$114,$F12+1)+IF(AND($E12=1,NG12=0),1000,0)+IF($H12=1,(IF('計算A'!DT$117=1,INDEX('計算A'!DU$10:DU$54,$B12),0))*500,0)-IF(AND($L12=1,'計算A'!DT$117=1,HS12=0),300,0))),1000000))</f>
        <v/>
      </c>
      <c r="SW12">
        <f>IF($B12=0,1000000,IF(INDEX('計算A'!$D$60:$EQ$104,$B12,122)*HS12=1,IF(AND($E12=2,NH12=0),1000000,IF($I12&gt;0,IF(6=$J12,IF(OR(AND(122=$I12+1,OR($K12&lt;&gt;'計算A'!$A$3,'計算A'!$A$4=0)),AND(122=$I12-1,OR(2&lt;&gt;'計算A'!$A$3,'計算A'!$A$4=0))),0,IF(2=$K12,200000,ABS(2-$K12)*100)),100000+ABS(6-$J12)*1000+20)+'計算A'!DU$5*50+IF(AND($E12=1,NH12=0),25,0),INDEX('計算A'!DU$110:DU$114,$F12+1)+IF(AND($E12=1,NH12=0),1000,0)+IF($H12=1,(IF('計算A'!DT$117=1,INDEX('計算A'!DT$10:DT$54,$B12),0)+IF('計算A'!DU$117=1,INDEX('計算A'!DV$10:DV$54,$B12),0))*500,0)-IF(AND('計算A'!DT$117=1,YR12&gt;0),300,0)-IF(AND($L12=1,'計算A'!DU$117=1,HT12=0),300,0))),1000000))</f>
        <v/>
      </c>
      <c r="SX12">
        <f>IF($B12=0,1000000,IF(INDEX('計算A'!$D$60:$EQ$104,$B12,123)*HT12=1,IF(AND($E12=2,NI12=0),1000000,IF($I12&gt;0,IF(6=$J12,IF(OR(AND(123=$I12+1,OR($K12&lt;&gt;'計算A'!$A$3,'計算A'!$A$4=0)),AND(123=$I12-1,OR(3&lt;&gt;'計算A'!$A$3,'計算A'!$A$4=0))),0,IF(3=$K12,200000,ABS(3-$K12)*100)),100000+ABS(6-$J12)*1000+30)+'計算A'!DV$5*50+IF(AND($E12=1,NI12=0),25,0),INDEX('計算A'!DV$110:DV$114,$F12+1)+IF(AND($E12=1,NI12=0),1000,0)+IF($H12=1,(IF('計算A'!DU$117=1,INDEX('計算A'!DU$10:DU$54,$B12),0)+IF('計算A'!DV$117=1,INDEX('計算A'!DW$10:DW$54,$B12),0))*500,0)-IF(AND('計算A'!DU$117=1,YS12&gt;0),300,0)-IF(AND($L12=1,'計算A'!DV$117=1,HU12=0),300,0))),1000000))</f>
        <v/>
      </c>
      <c r="SY12">
        <f>IF($B12=0,1000000,IF(INDEX('計算A'!$D$60:$EQ$104,$B12,124)*HU12=1,IF(AND($E12=2,NJ12=0),1000000,IF($I12&gt;0,IF(6=$J12,IF(OR(AND(124=$I12+1,OR($K12&lt;&gt;'計算A'!$A$3,'計算A'!$A$4=0)),AND(124=$I12-1,OR(4&lt;&gt;'計算A'!$A$3,'計算A'!$A$4=0))),0,IF(4=$K12,200000,ABS(4-$K12)*100)),100000+ABS(6-$J12)*1000+40)+'計算A'!DW$5*50+IF(AND($E12=1,NJ12=0),25,0),INDEX('計算A'!DW$110:DW$114,$F12+1)+IF(AND($E12=1,NJ12=0),1000,0)+IF($H12=1,(IF('計算A'!DV$117=1,INDEX('計算A'!DV$10:DV$54,$B12),0)+IF('計算A'!DW$117=1,INDEX('計算A'!DX$10:DX$54,$B12),0))*500,0)-IF(AND('計算A'!DV$117=1,YT12&gt;0),300,0)-IF(AND($L12=1,'計算A'!DW$117=1,HV12=0),300,0))),1000000))</f>
        <v/>
      </c>
      <c r="SZ12">
        <f>IF($B12=0,1000000,IF(INDEX('計算A'!$D$60:$EQ$104,$B12,125)*HV12=1,IF(AND($E12=2,NK12=0),1000000,IF($I12&gt;0,IF(6=$J12,IF(OR(AND(125=$I12+1,OR($K12&lt;&gt;'計算A'!$A$3,'計算A'!$A$4=0)),AND(125=$I12-1,OR(5&lt;&gt;'計算A'!$A$3,'計算A'!$A$4=0))),0,IF(5=$K12,200000,ABS(5-$K12)*100)),100000+ABS(6-$J12)*1000+50)+'計算A'!DX$5*50+IF(AND($E12=1,NK12=0),25,0),INDEX('計算A'!DX$110:DX$114,$F12+1)+IF(AND($E12=1,NK12=0),1000,0)+IF($H12=1,(IF('計算A'!DW$117=1,INDEX('計算A'!DW$10:DW$54,$B12),0)+IF('計算A'!DX$117=1,INDEX('計算A'!DY$10:DY$54,$B12),0))*500,0)-IF(AND('計算A'!DW$117=1,YU12&gt;0),300,0)-IF(AND($L12=1,'計算A'!DX$117=1,HW12=0),300,0))),1000000))</f>
        <v/>
      </c>
      <c r="TA12">
        <f>IF($B12=0,1000000,IF(INDEX('計算A'!$D$60:$EQ$104,$B12,126)*HW12=1,IF(AND($E12=2,NL12=0),1000000,IF($I12&gt;0,IF(6=$J12,IF(OR(AND(126=$I12+1,OR($K12&lt;&gt;'計算A'!$A$3,'計算A'!$A$4=0)),AND(126=$I12-1,OR(6&lt;&gt;'計算A'!$A$3,'計算A'!$A$4=0))),0,IF(6=$K12,200000,ABS(6-$K12)*100)),100000+ABS(6-$J12)*1000+60)+'計算A'!DY$5*50+IF(AND($E12=1,NL12=0),25,0),INDEX('計算A'!DY$110:DY$114,$F12+1)+IF(AND($E12=1,NL12=0),1000,0)+IF($H12=1,(IF('計算A'!DX$117=1,INDEX('計算A'!DX$10:DX$54,$B12),0)+IF('計算A'!DY$117=1,INDEX('計算A'!DZ$10:DZ$54,$B12),0))*500,0)-IF(AND('計算A'!DX$117=1,YV12&gt;0),300,0)-IF(AND($L12=1,'計算A'!DY$117=1,HX12=0),300,0))),1000000))</f>
        <v/>
      </c>
      <c r="TB12">
        <f>IF($B12=0,1000000,IF(INDEX('計算A'!$D$60:$EQ$104,$B12,127)*HX12=1,IF(AND($E12=2,NM12=0),1000000,IF($I12&gt;0,IF(6=$J12,IF(OR(AND(127=$I12+1,OR($K12&lt;&gt;'計算A'!$A$3,'計算A'!$A$4=0)),AND(127=$I12-1,OR(7&lt;&gt;'計算A'!$A$3,'計算A'!$A$4=0))),0,IF(7=$K12,200000,ABS(7-$K12)*100)),100000+ABS(6-$J12)*1000+70)+'計算A'!DZ$5*50+IF(AND($E12=1,NM12=0),25,0),INDEX('計算A'!DZ$110:DZ$114,$F12+1)+IF(AND($E12=1,NM12=0),1000,0)+IF($H12=1,(IF('計算A'!DY$117=1,INDEX('計算A'!DY$10:DY$54,$B12),0)+IF('計算A'!DZ$117=1,INDEX('計算A'!EA$10:EA$54,$B12),0))*500,0)-IF(AND('計算A'!DY$117=1,YW12&gt;0),300,0)-IF(AND($L12=1,'計算A'!DZ$117=1,HY12=0),300,0))),1000000))</f>
        <v/>
      </c>
      <c r="TC12">
        <f>IF($B12=0,1000000,IF(INDEX('計算A'!$D$60:$EQ$104,$B12,128)*HY12=1,IF(AND($E12=2,NN12=0),1000000,IF($I12&gt;0,IF(6=$J12,IF(OR(AND(128=$I12+1,OR($K12&lt;&gt;'計算A'!$A$3,'計算A'!$A$4=0)),AND(128=$I12-1,OR(8&lt;&gt;'計算A'!$A$3,'計算A'!$A$4=0))),0,IF(8=$K12,200000,ABS(8-$K12)*100)),100000+ABS(6-$J12)*1000+80)+'計算A'!EA$5*50+IF(AND($E12=1,NN12=0),25,0),INDEX('計算A'!EA$110:EA$114,$F12+1)+IF(AND($E12=1,NN12=0),1000,0)+IF($H12=1,(IF('計算A'!DZ$117=1,INDEX('計算A'!DZ$10:DZ$54,$B12),0)+IF('計算A'!EA$117=1,INDEX('計算A'!EB$10:EB$54,$B12),0))*500,0)-IF(AND('計算A'!DZ$117=1,YX12&gt;0),300,0)-IF(AND($L12=1,'計算A'!EA$117=1,HZ12=0),300,0))),1000000))</f>
        <v/>
      </c>
      <c r="TD12">
        <f>IF($B12=0,1000000,IF(INDEX('計算A'!$D$60:$EQ$104,$B12,129)*HZ12=1,IF(AND($E12=2,NO12=0),1000000,IF($I12&gt;0,IF(6=$J12,IF(OR(AND(129=$I12+1,OR($K12&lt;&gt;'計算A'!$A$3,'計算A'!$A$4=0)),AND(129=$I12-1,OR(9&lt;&gt;'計算A'!$A$3,'計算A'!$A$4=0))),0,IF(9=$K12,200000,ABS(9-$K12)*100)),100000+ABS(6-$J12)*1000+90)+'計算A'!EB$5*50+IF(AND($E12=1,NO12=0),25,0),INDEX('計算A'!EB$110:EB$114,$F12+1)+IF(AND($E12=1,NO12=0),1000,0)+IF($H12=1,(IF('計算A'!EA$117=1,INDEX('計算A'!EA$10:EA$54,$B12),0)+IF('計算A'!EB$117=1,INDEX('計算A'!EC$10:EC$54,$B12),0))*500,0)-IF(AND('計算A'!EA$117=1,YY12&gt;0),300,0)-IF(AND($L12=1,'計算A'!EB$117=1,IA12=0),300,0))),1000000))</f>
        <v/>
      </c>
      <c r="TE12">
        <f>IF($B12=0,1000000,IF(INDEX('計算A'!$D$60:$EQ$104,$B12,130)*IA12=1,IF(AND($E12=2,NP12=0),1000000,IF($I12&gt;0,IF(6=$J12,IF(OR(AND(130=$I12+1,OR($K12&lt;&gt;'計算A'!$A$3,'計算A'!$A$4=0)),AND(130=$I12-1,OR(10&lt;&gt;'計算A'!$A$3,'計算A'!$A$4=0))),0,IF(10=$K12,200000,ABS(10-$K12)*100)),100000+ABS(6-$J12)*1000+100)+'計算A'!EC$5*50+IF(AND($E12=1,NP12=0),25,0),INDEX('計算A'!EC$110:EC$114,$F12+1)+IF(AND($E12=1,NP12=0),1000,0)+IF($H12=1,(IF('計算A'!EB$117=1,INDEX('計算A'!EB$10:EB$54,$B12),0)+IF('計算A'!EC$117=1,INDEX('計算A'!ED$10:ED$54,$B12),0))*500,0)-IF(AND('計算A'!EB$117=1,YZ12&gt;0),300,0)-IF(AND($L12=1,'計算A'!EC$117=1,IB12=0),300,0))),1000000))</f>
        <v/>
      </c>
      <c r="TF12">
        <f>IF($B12=0,1000000,IF(INDEX('計算A'!$D$60:$EQ$104,$B12,131)*IB12=1,IF(AND($E12=2,NQ12=0),1000000,IF($I12&gt;0,IF(6=$J12,IF(OR(AND(131=$I12+1,OR($K12&lt;&gt;'計算A'!$A$3,'計算A'!$A$4=0)),AND(131=$I12-1,OR(11&lt;&gt;'計算A'!$A$3,'計算A'!$A$4=0))),0,IF(11=$K12,200000,ABS(11-$K12)*100)),100000+ABS(6-$J12)*1000+110)+'計算A'!ED$5*50+IF(AND($E12=1,NQ12=0),25,0),INDEX('計算A'!ED$110:ED$114,$F12+1)+IF(AND($E12=1,NQ12=0),1000,0)+IF($H12=1,(IF('計算A'!EC$117=1,INDEX('計算A'!EC$10:EC$54,$B12),0)+IF('計算A'!ED$117=1,INDEX('計算A'!EE$10:EE$54,$B12),0))*500,0)-IF(AND('計算A'!EC$117=1,ZA12&gt;0),300,0)-IF(AND($L12=1,'計算A'!ED$117=1,IC12=0),300,0))),1000000))</f>
        <v/>
      </c>
      <c r="TG12">
        <f>IF($B12=0,1000000,IF(INDEX('計算A'!$D$60:$EQ$104,$B12,132)*IC12=1,IF(AND($E12=2,NR12=0),1000000,IF($I12&gt;0,IF(6=$J12,IF(OR(AND(132=$I12+1,OR($K12&lt;&gt;'計算A'!$A$3,'計算A'!$A$4=0)),AND(132=$I12-1,OR(12&lt;&gt;'計算A'!$A$3,'計算A'!$A$4=0))),0,IF(12=$K12,200000,ABS(12-$K12)*100)),100000+ABS(6-$J12)*1000+120)+'計算A'!EE$5*50+IF(AND($E12=1,NR12=0),25,0),INDEX('計算A'!EE$110:EE$114,$F12+1)+IF(AND($E12=1,NR12=0),1000,0)+IF($H12=1,(IF('計算A'!ED$117=1,INDEX('計算A'!ED$10:ED$54,$B12),0)+IF('計算A'!EE$117=1,INDEX('計算A'!EF$10:EF$54,$B12),0))*500,0)-IF(AND('計算A'!ED$117=1,ZB12&gt;0),300,0)-IF(AND($L12=1,'計算A'!EE$117=1,ID12=0),300,0))),1000000))</f>
        <v/>
      </c>
      <c r="TH12">
        <f>IF($B12=0,1000000,IF(INDEX('計算A'!$D$60:$EQ$104,$B12,133)*ID12=1,IF(AND($E12=2,NS12=0),1000000,IF($I12&gt;0,IF(6=$J12,IF(OR(AND(133=$I12+1,OR($K12&lt;&gt;'計算A'!$A$3,'計算A'!$A$4=0)),AND(133=$I12-1,OR(13&lt;&gt;'計算A'!$A$3,'計算A'!$A$4=0))),0,IF(13=$K12,200000,ABS(13-$K12)*100)),100000+ABS(6-$J12)*1000+130)+'計算A'!EF$5*50+IF(AND($E12=1,NS12=0),25,0),INDEX('計算A'!EF$110:EF$114,$F12+1)+IF(AND($E12=1,NS12=0),1000,0)+IF($H12=1,(IF('計算A'!EE$117=1,INDEX('計算A'!EE$10:EE$54,$B12),0)+IF('計算A'!EF$117=1,INDEX('計算A'!EG$10:EG$54,$B12),0))*500,0)-IF(AND('計算A'!EE$117=1,ZC12&gt;0),300,0)-IF(AND($L12=1,'計算A'!EF$117=1,IE12=0),300,0))),1000000))</f>
        <v/>
      </c>
      <c r="TI12">
        <f>IF($B12=0,1000000,IF(INDEX('計算A'!$D$60:$EQ$104,$B12,134)*IE12=1,IF(AND($E12=2,NT12=0),1000000,IF($I12&gt;0,IF(6=$J12,IF(OR(AND(134=$I12+1,OR($K12&lt;&gt;'計算A'!$A$3,'計算A'!$A$4=0)),AND(134=$I12-1,OR(14&lt;&gt;'計算A'!$A$3,'計算A'!$A$4=0))),0,IF(14=$K12,200000,ABS(14-$K12)*100)),100000+ABS(6-$J12)*1000+140)+'計算A'!EG$5*50+IF(AND($E12=1,NT12=0),25,0),INDEX('計算A'!EG$110:EG$114,$F12+1)+IF(AND($E12=1,NT12=0),1000,0)+IF($H12=1,(IF('計算A'!EF$117=1,INDEX('計算A'!EF$10:EF$54,$B12),0)+IF('計算A'!EG$117=1,INDEX('計算A'!EH$10:EH$54,$B12),0))*500,0)-IF(AND('計算A'!EF$117=1,ZD12&gt;0),300,0)-IF(AND($L12=1,'計算A'!EG$117=1,IF12=0),300,0))),1000000))</f>
        <v/>
      </c>
      <c r="TJ12">
        <f>IF($B12=0,1000000,IF(INDEX('計算A'!$D$60:$EQ$104,$B12,135)*IF12=1,IF(AND($E12=2,NU12=0),1000000,IF($I12&gt;0,IF(6=$J12,IF(OR(AND(135=$I12+1,OR($K12&lt;&gt;'計算A'!$A$3,'計算A'!$A$4=0)),AND(135=$I12-1,OR(15&lt;&gt;'計算A'!$A$3,'計算A'!$A$4=0))),0,IF(15=$K12,200000,ABS(15-$K12)*100)),100000+ABS(6-$J12)*1000+150)+'計算A'!EH$5*50+IF(AND($E12=1,NU12=0),25,0),INDEX('計算A'!EH$110:EH$114,$F12+1)+IF(AND($E12=1,NU12=0),1000,0)+IF($H12=1,(IF('計算A'!EG$117=1,INDEX('計算A'!EG$10:EG$54,$B12),0)+IF('計算A'!EH$117=1,INDEX('計算A'!EI$10:EI$54,$B12),0))*500,0)-IF(AND('計算A'!EG$117=1,ZE12&gt;0),300,0)-IF(AND($L12=1,'計算A'!EH$117=1,IG12=0),300,0))),1000000))</f>
        <v/>
      </c>
      <c r="TK12">
        <f>IF($B12=0,1000000,IF(INDEX('計算A'!$D$60:$EQ$104,$B12,136)*IG12=1,IF(AND($E12=2,NV12=0),1000000,IF($I12&gt;0,IF(6=$J12,IF(OR(AND(136=$I12+1,OR($K12&lt;&gt;'計算A'!$A$3,'計算A'!$A$4=0)),AND(136=$I12-1,OR(16&lt;&gt;'計算A'!$A$3,'計算A'!$A$4=0))),0,IF(16=$K12,200000,ABS(16-$K12)*100)),100000+ABS(6-$J12)*1000+160)+'計算A'!EI$5*50+IF(AND($E12=1,NV12=0),25,0),INDEX('計算A'!EI$110:EI$114,$F12+1)+IF(AND($E12=1,NV12=0),1000,0)+IF($H12=1,(IF('計算A'!EH$117=1,INDEX('計算A'!EH$10:EH$54,$B12),0)+IF('計算A'!EI$117=1,INDEX('計算A'!EJ$10:EJ$54,$B12),0))*500,0)-IF(AND('計算A'!EH$117=1,ZF12&gt;0),300,0)-IF(AND($L12=1,'計算A'!EI$117=1,IH12=0),300,0))),1000000))</f>
        <v/>
      </c>
      <c r="TL12">
        <f>IF($B12=0,1000000,IF(INDEX('計算A'!$D$60:$EQ$104,$B12,137)*IH12=1,IF(AND($E12=2,NW12=0),1000000,IF($I12&gt;0,IF(6=$J12,IF(OR(AND(137=$I12+1,OR($K12&lt;&gt;'計算A'!$A$3,'計算A'!$A$4=0)),AND(137=$I12-1,OR(17&lt;&gt;'計算A'!$A$3,'計算A'!$A$4=0))),0,IF(17=$K12,200000,ABS(17-$K12)*100)),100000+ABS(6-$J12)*1000+170)+'計算A'!EJ$5*50+IF(AND($E12=1,NW12=0),25,0),INDEX('計算A'!EJ$110:EJ$114,$F12+1)+IF(AND($E12=1,NW12=0),1000,0)+IF($H12=1,(IF('計算A'!EI$117=1,INDEX('計算A'!EI$10:EI$54,$B12),0)+IF('計算A'!EJ$117=1,INDEX('計算A'!EK$10:EK$54,$B12),0))*500,0)-IF(AND('計算A'!EI$117=1,ZG12&gt;0),300,0)-IF(AND($L12=1,'計算A'!EJ$117=1,II12=0),300,0))),1000000))</f>
        <v/>
      </c>
      <c r="TM12">
        <f>IF($B12=0,1000000,IF(INDEX('計算A'!$D$60:$EQ$104,$B12,138)*II12=1,IF(AND($E12=2,NX12=0),1000000,IF($I12&gt;0,IF(6=$J12,IF(OR(AND(138=$I12+1,OR($K12&lt;&gt;'計算A'!$A$3,'計算A'!$A$4=0)),AND(138=$I12-1,OR(18&lt;&gt;'計算A'!$A$3,'計算A'!$A$4=0))),0,IF(18=$K12,200000,ABS(18-$K12)*100)),100000+ABS(6-$J12)*1000+180)+'計算A'!EK$5*50+IF(AND($E12=1,NX12=0),25,0),INDEX('計算A'!EK$110:EK$114,$F12+1)+IF(AND($E12=1,NX12=0),1000,0)+IF($H12=1,(IF('計算A'!EJ$117=1,INDEX('計算A'!EJ$10:EJ$54,$B12),0)+IF('計算A'!EK$117=1,INDEX('計算A'!EL$10:EL$54,$B12),0))*500,0)-IF(AND('計算A'!EJ$117=1,ZH12&gt;0),300,0)-IF(AND($L12=1,'計算A'!EK$117=1,IJ12=0),300,0))),1000000))</f>
        <v/>
      </c>
      <c r="TN12">
        <f>IF($B12=0,1000000,IF(INDEX('計算A'!$D$60:$EQ$104,$B12,139)*IJ12=1,IF(AND($E12=2,NY12=0),1000000,IF($I12&gt;0,IF(6=$J12,IF(OR(AND(139=$I12+1,OR($K12&lt;&gt;'計算A'!$A$3,'計算A'!$A$4=0)),AND(139=$I12-1,OR(19&lt;&gt;'計算A'!$A$3,'計算A'!$A$4=0))),0,IF(19=$K12,200000,ABS(19-$K12)*100)),100000+ABS(6-$J12)*1000+190)+'計算A'!EL$5*50+IF(AND($E12=1,NY12=0),25,0),INDEX('計算A'!EL$110:EL$114,$F12+1)+IF(AND($E12=1,NY12=0),1000,0)+IF($H12=1,(IF('計算A'!EK$117=1,INDEX('計算A'!EK$10:EK$54,$B12),0)+IF('計算A'!EL$117=1,INDEX('計算A'!EM$10:EM$54,$B12),0))*500,0)-IF(AND('計算A'!EK$117=1,ZI12&gt;0),300,0)-IF(AND($L12=1,'計算A'!EL$117=1,IK12=0),300,0))),1000000))</f>
        <v/>
      </c>
      <c r="TO12">
        <f>IF($B12=0,1000000,IF(INDEX('計算A'!$D$60:$EQ$104,$B12,140)*IK12=1,IF(AND($E12=2,NZ12=0),1000000,IF($I12&gt;0,IF(6=$J12,IF(OR(AND(140=$I12+1,OR($K12&lt;&gt;'計算A'!$A$3,'計算A'!$A$4=0)),AND(140=$I12-1,OR(20&lt;&gt;'計算A'!$A$3,'計算A'!$A$4=0))),0,IF(20=$K12,200000,ABS(20-$K12)*100)),100000+ABS(6-$J12)*1000+200)+'計算A'!EM$5*50+IF(AND($E12=1,NZ12=0),25,0),INDEX('計算A'!EM$110:EM$114,$F12+1)+IF(AND($E12=1,NZ12=0),1000,0)+IF($H12=1,(IF('計算A'!EL$117=1,INDEX('計算A'!EL$10:EL$54,$B12),0)+IF('計算A'!EM$117=1,INDEX('計算A'!EN$10:EN$54,$B12),0))*500,0)-IF(AND('計算A'!EL$117=1,ZJ12&gt;0),300,0)-IF(AND($L12=1,'計算A'!EM$117=1,IL12=0),300,0))),1000000))</f>
        <v/>
      </c>
      <c r="TP12">
        <f>IF($B12=0,1000000,IF(INDEX('計算A'!$D$60:$EQ$104,$B12,141)*IL12=1,IF(AND($E12=2,OA12=0),1000000,IF($I12&gt;0,IF(6=$J12,IF(OR(AND(141=$I12+1,OR($K12&lt;&gt;'計算A'!$A$3,'計算A'!$A$4=0)),AND(141=$I12-1,OR(21&lt;&gt;'計算A'!$A$3,'計算A'!$A$4=0))),0,IF(21=$K12,200000,ABS(21-$K12)*100)),100000+ABS(6-$J12)*1000+210)+'計算A'!EN$5*50+IF(AND($E12=1,OA12=0),25,0),INDEX('計算A'!EN$110:EN$114,$F12+1)+IF(AND($E12=1,OA12=0),1000,0)+IF($H12=1,(IF('計算A'!EM$117=1,INDEX('計算A'!EM$10:EM$54,$B12),0)+IF('計算A'!EN$117=1,INDEX('計算A'!EO$10:EO$54,$B12),0))*500,0)-IF(AND('計算A'!EM$117=1,ZK12&gt;0),300,0)-IF(AND($L12=1,'計算A'!EN$117=1,IM12=0),300,0))),1000000))</f>
        <v/>
      </c>
      <c r="TQ12">
        <f>IF($B12=0,1000000,IF(INDEX('計算A'!$D$60:$EQ$104,$B12,142)*IM12=1,IF(AND($E12=2,OB12=0),1000000,IF($I12&gt;0,IF(6=$J12,IF(OR(AND(142=$I12+1,OR($K12&lt;&gt;'計算A'!$A$3,'計算A'!$A$4=0)),AND(142=$I12-1,OR(22&lt;&gt;'計算A'!$A$3,'計算A'!$A$4=0))),0,IF(22=$K12,200000,ABS(22-$K12)*100)),100000+ABS(6-$J12)*1000+220)+'計算A'!EO$5*50+IF(AND($E12=1,OB12=0),25,0),INDEX('計算A'!EO$110:EO$114,$F12+1)+IF(AND($E12=1,OB12=0),1000,0)+IF($H12=1,(IF('計算A'!EN$117=1,INDEX('計算A'!EN$10:EN$54,$B12),0)+IF('計算A'!EO$117=1,INDEX('計算A'!EP$10:EP$54,$B12),0))*500,0)-IF(AND('計算A'!EN$117=1,ZL12&gt;0),300,0)-IF(AND($L12=1,'計算A'!EO$117=1,IN12=0),300,0))),1000000))</f>
        <v/>
      </c>
      <c r="TR12">
        <f>IF($B12=0,1000000,IF(INDEX('計算A'!$D$60:$EQ$104,$B12,143)*IN12=1,IF(AND($E12=2,OC12=0),1000000,IF($I12&gt;0,IF(6=$J12,IF(OR(AND(143=$I12+1,OR($K12&lt;&gt;'計算A'!$A$3,'計算A'!$A$4=0)),AND(143=$I12-1,OR(23&lt;&gt;'計算A'!$A$3,'計算A'!$A$4=0))),0,IF(23=$K12,200000,ABS(23-$K12)*100)),100000+ABS(6-$J12)*1000+230)+'計算A'!EP$5*50+IF(AND($E12=1,OC12=0),25,0),INDEX('計算A'!EP$110:EP$114,$F12+1)+IF(AND($E12=1,OC12=0),1000,0)+IF($H12=1,(IF('計算A'!EO$117=1,INDEX('計算A'!EO$10:EO$54,$B12),0)+IF('計算A'!EP$117=1,INDEX('計算A'!EQ$10:EQ$54,$B12),0))*500,0)-IF(AND('計算A'!EO$117=1,ZM12&gt;0),300,0)-IF(AND($L12=1,'計算A'!EP$117=1,IO12=0),300,0))),1000000))</f>
        <v/>
      </c>
      <c r="TS12">
        <f>IF($B12=0,1000000,IF(INDEX('計算A'!$D$60:$EQ$104,$B12,144)*IO12=1,IF(AND($E12=2,OD12=0),1000000,IF($I12&gt;0,IF(6=$J12,IF(OR(AND(144=$I12+1,OR($K12&lt;&gt;'計算A'!$A$3,'計算A'!$A$4=0)),AND(144=$I12-1,OR(24&lt;&gt;'計算A'!$A$3,'計算A'!$A$4=0))),0,IF(24=$K12,200000,ABS(24-$K12)*100)),100000+ABS(6-$J12)*1000+240)+'計算A'!EQ$5*50+IF(AND($E12=1,OD12=0),25,0),INDEX('計算A'!EQ$110:EQ$114,$F12+1)+IF(AND($E12=1,OD12=0),1000,0)+IF($H12=1,(IF('計算A'!EP$117=1,INDEX('計算A'!EP$10:EP$54,$B12),0))*500,0)-IF(AND('計算A'!EP$117=1,ZN12&gt;0),300,0))),1000000))</f>
        <v/>
      </c>
      <c r="UB12">
        <f>UB11+IF(AND($C11=1,$L11=1),1,0)</f>
        <v/>
      </c>
      <c r="UC12">
        <f>UC11+IF(AND($C11=2,$L11=1),1,0)</f>
        <v/>
      </c>
      <c r="UD12">
        <f>UD11+IF(AND($C11=3,$L11=1),1,0)</f>
        <v/>
      </c>
      <c r="UE12">
        <f>UE11+IF(AND($C11=4,$L11=1),1,0)</f>
        <v/>
      </c>
      <c r="UF12">
        <f>UF11+IF(AND($C11=5,$L11=1),1,0)</f>
        <v/>
      </c>
      <c r="UG12">
        <f>UG11+IF(AND($C11=6,$L11=1),1,0)</f>
        <v/>
      </c>
      <c r="UH12">
        <f>UH11+IF(AND($C11=7,$L11=1),1,0)</f>
        <v/>
      </c>
      <c r="UI12">
        <f>UI11+IF(AND($C11=8,$L11=1),1,0)</f>
        <v/>
      </c>
      <c r="UJ12">
        <f>UJ11+IF(AND($C11=9,$L11=1),1,0)</f>
        <v/>
      </c>
      <c r="UK12">
        <f>UK11+IF(AND($C11=10,$L11=1),1,0)</f>
        <v/>
      </c>
      <c r="UL12">
        <f>UL11+IF(AND($C11=11,$L11=1),1,0)</f>
        <v/>
      </c>
      <c r="UM12">
        <f>UM11+IF(AND($C11=12,$L11=1),1,0)</f>
        <v/>
      </c>
      <c r="UN12">
        <f>UN11+IF(AND($C11=13,$L11=1),1,0)</f>
        <v/>
      </c>
      <c r="UO12">
        <f>UO11+IF(AND($C11=14,$L11=1),1,0)</f>
        <v/>
      </c>
      <c r="UP12">
        <f>UP11+IF(AND($C11=15,$L11=1),1,0)</f>
        <v/>
      </c>
      <c r="UQ12">
        <f>UQ11+IF(AND($C11=16,$L11=1),1,0)</f>
        <v/>
      </c>
      <c r="UR12">
        <f>UR11+IF(AND($C11=17,$L11=1),1,0)</f>
        <v/>
      </c>
      <c r="US12">
        <f>US11+IF(AND($C11=18,$L11=1),1,0)</f>
        <v/>
      </c>
      <c r="UT12">
        <f>UT11+IF(AND($C11=19,$L11=1),1,0)</f>
        <v/>
      </c>
      <c r="UU12">
        <f>UU11+IF(AND($C11=20,$L11=1),1,0)</f>
        <v/>
      </c>
      <c r="UV12">
        <f>UV11+IF(AND($C11=21,$L11=1),1,0)</f>
        <v/>
      </c>
      <c r="UW12">
        <f>UW11+IF(AND($C11=22,$L11=1),1,0)</f>
        <v/>
      </c>
      <c r="UX12">
        <f>UX11+IF(AND($C11=23,$L11=1),1,0)</f>
        <v/>
      </c>
      <c r="UY12">
        <f>UY11+IF(AND($C11=24,$L11=1),1,0)</f>
        <v/>
      </c>
      <c r="UZ12">
        <f>UZ11+IF(AND($C11=25,$L11=1),1,0)</f>
        <v/>
      </c>
      <c r="VA12">
        <f>VA11+IF(AND($C11=26,$L11=1),1,0)</f>
        <v/>
      </c>
      <c r="VB12">
        <f>VB11+IF(AND($C11=27,$L11=1),1,0)</f>
        <v/>
      </c>
      <c r="VC12">
        <f>VC11+IF(AND($C11=28,$L11=1),1,0)</f>
        <v/>
      </c>
      <c r="VD12">
        <f>VD11+IF(AND($C11=29,$L11=1),1,0)</f>
        <v/>
      </c>
      <c r="VE12">
        <f>VE11+IF(AND($C11=30,$L11=1),1,0)</f>
        <v/>
      </c>
      <c r="VF12">
        <f>VF11+IF(AND($C11=31,$L11=1),1,0)</f>
        <v/>
      </c>
      <c r="VG12">
        <f>VG11+IF(AND($C11=32,$L11=1),1,0)</f>
        <v/>
      </c>
      <c r="VH12">
        <f>VH11+IF(AND($C11=33,$L11=1),1,0)</f>
        <v/>
      </c>
      <c r="VI12">
        <f>VI11+IF(AND($C11=34,$L11=1),1,0)</f>
        <v/>
      </c>
      <c r="VJ12">
        <f>VJ11+IF(AND($C11=35,$L11=1),1,0)</f>
        <v/>
      </c>
      <c r="VK12">
        <f>VK11+IF(AND($C11=36,$L11=1),1,0)</f>
        <v/>
      </c>
      <c r="VL12">
        <f>VL11+IF(AND($C11=37,$L11=1),1,0)</f>
        <v/>
      </c>
      <c r="VM12">
        <f>VM11+IF(AND($C11=38,$L11=1),1,0)</f>
        <v/>
      </c>
      <c r="VN12">
        <f>VN11+IF(AND($C11=39,$L11=1),1,0)</f>
        <v/>
      </c>
      <c r="VO12">
        <f>VO11+IF(AND($C11=40,$L11=1),1,0)</f>
        <v/>
      </c>
      <c r="VP12">
        <f>VP11+IF(AND($C11=41,$L11=1),1,0)</f>
        <v/>
      </c>
      <c r="VQ12">
        <f>VQ11+IF(AND($C11=42,$L11=1),1,0)</f>
        <v/>
      </c>
      <c r="VR12">
        <f>VR11+IF(AND($C11=43,$L11=1),1,0)</f>
        <v/>
      </c>
      <c r="VS12">
        <f>VS11+IF(AND($C11=44,$L11=1),1,0)</f>
        <v/>
      </c>
      <c r="VT12">
        <f>VT11+IF(AND($C11=45,$L11=1),1,0)</f>
        <v/>
      </c>
      <c r="VU12">
        <f>VU11+IF(AND($C11=46,$L11=1),1,0)</f>
        <v/>
      </c>
      <c r="VV12">
        <f>VV11+IF(AND($C11=47,$L11=1),1,0)</f>
        <v/>
      </c>
      <c r="VW12">
        <f>VW11+IF(AND($C11=48,$L11=1),1,0)</f>
        <v/>
      </c>
      <c r="VX12">
        <f>VX11+IF(AND($C11=49,$L11=1),1,0)</f>
        <v/>
      </c>
      <c r="VY12">
        <f>VY11+IF(AND($C11=50,$L11=1),1,0)</f>
        <v/>
      </c>
      <c r="VZ12">
        <f>VZ11+IF(AND($C11=51,$L11=1),1,0)</f>
        <v/>
      </c>
      <c r="WA12">
        <f>WA11+IF(AND($C11=52,$L11=1),1,0)</f>
        <v/>
      </c>
      <c r="WB12">
        <f>WB11+IF(AND($C11=53,$L11=1),1,0)</f>
        <v/>
      </c>
      <c r="WC12">
        <f>WC11+IF(AND($C11=54,$L11=1),1,0)</f>
        <v/>
      </c>
      <c r="WD12">
        <f>WD11+IF(AND($C11=55,$L11=1),1,0)</f>
        <v/>
      </c>
      <c r="WE12">
        <f>WE11+IF(AND($C11=56,$L11=1),1,0)</f>
        <v/>
      </c>
      <c r="WF12">
        <f>WF11+IF(AND($C11=57,$L11=1),1,0)</f>
        <v/>
      </c>
      <c r="WG12">
        <f>WG11+IF(AND($C11=58,$L11=1),1,0)</f>
        <v/>
      </c>
      <c r="WH12">
        <f>WH11+IF(AND($C11=59,$L11=1),1,0)</f>
        <v/>
      </c>
      <c r="WI12">
        <f>WI11+IF(AND($C11=60,$L11=1),1,0)</f>
        <v/>
      </c>
      <c r="WJ12">
        <f>WJ11+IF(AND($C11=61,$L11=1),1,0)</f>
        <v/>
      </c>
      <c r="WK12">
        <f>WK11+IF(AND($C11=62,$L11=1),1,0)</f>
        <v/>
      </c>
      <c r="WL12">
        <f>WL11+IF(AND($C11=63,$L11=1),1,0)</f>
        <v/>
      </c>
      <c r="WM12">
        <f>WM11+IF(AND($C11=64,$L11=1),1,0)</f>
        <v/>
      </c>
      <c r="WN12">
        <f>WN11+IF(AND($C11=65,$L11=1),1,0)</f>
        <v/>
      </c>
      <c r="WO12">
        <f>WO11+IF(AND($C11=66,$L11=1),1,0)</f>
        <v/>
      </c>
      <c r="WP12">
        <f>WP11+IF(AND($C11=67,$L11=1),1,0)</f>
        <v/>
      </c>
      <c r="WQ12">
        <f>WQ11+IF(AND($C11=68,$L11=1),1,0)</f>
        <v/>
      </c>
      <c r="WR12">
        <f>WR11+IF(AND($C11=69,$L11=1),1,0)</f>
        <v/>
      </c>
      <c r="WS12">
        <f>WS11+IF(AND($C11=70,$L11=1),1,0)</f>
        <v/>
      </c>
      <c r="WT12">
        <f>WT11+IF(AND($C11=71,$L11=1),1,0)</f>
        <v/>
      </c>
      <c r="WU12">
        <f>WU11+IF(AND($C11=72,$L11=1),1,0)</f>
        <v/>
      </c>
      <c r="WV12">
        <f>WV11+IF(AND($C11=73,$L11=1),1,0)</f>
        <v/>
      </c>
      <c r="WW12">
        <f>WW11+IF(AND($C11=74,$L11=1),1,0)</f>
        <v/>
      </c>
      <c r="WX12">
        <f>WX11+IF(AND($C11=75,$L11=1),1,0)</f>
        <v/>
      </c>
      <c r="WY12">
        <f>WY11+IF(AND($C11=76,$L11=1),1,0)</f>
        <v/>
      </c>
      <c r="WZ12">
        <f>WZ11+IF(AND($C11=77,$L11=1),1,0)</f>
        <v/>
      </c>
      <c r="XA12">
        <f>XA11+IF(AND($C11=78,$L11=1),1,0)</f>
        <v/>
      </c>
      <c r="XB12">
        <f>XB11+IF(AND($C11=79,$L11=1),1,0)</f>
        <v/>
      </c>
      <c r="XC12">
        <f>XC11+IF(AND($C11=80,$L11=1),1,0)</f>
        <v/>
      </c>
      <c r="XD12">
        <f>XD11+IF(AND($C11=81,$L11=1),1,0)</f>
        <v/>
      </c>
      <c r="XE12">
        <f>XE11+IF(AND($C11=82,$L11=1),1,0)</f>
        <v/>
      </c>
      <c r="XF12">
        <f>XF11+IF(AND($C11=83,$L11=1),1,0)</f>
        <v/>
      </c>
      <c r="XG12">
        <f>XG11+IF(AND($C11=84,$L11=1),1,0)</f>
        <v/>
      </c>
      <c r="XH12">
        <f>XH11+IF(AND($C11=85,$L11=1),1,0)</f>
        <v/>
      </c>
      <c r="XI12">
        <f>XI11+IF(AND($C11=86,$L11=1),1,0)</f>
        <v/>
      </c>
      <c r="XJ12">
        <f>XJ11+IF(AND($C11=87,$L11=1),1,0)</f>
        <v/>
      </c>
      <c r="XK12">
        <f>XK11+IF(AND($C11=88,$L11=1),1,0)</f>
        <v/>
      </c>
      <c r="XL12">
        <f>XL11+IF(AND($C11=89,$L11=1),1,0)</f>
        <v/>
      </c>
      <c r="XM12">
        <f>XM11+IF(AND($C11=90,$L11=1),1,0)</f>
        <v/>
      </c>
      <c r="XN12">
        <f>XN11+IF(AND($C11=91,$L11=1),1,0)</f>
        <v/>
      </c>
      <c r="XO12">
        <f>XO11+IF(AND($C11=92,$L11=1),1,0)</f>
        <v/>
      </c>
      <c r="XP12">
        <f>XP11+IF(AND($C11=93,$L11=1),1,0)</f>
        <v/>
      </c>
      <c r="XQ12">
        <f>XQ11+IF(AND($C11=94,$L11=1),1,0)</f>
        <v/>
      </c>
      <c r="XR12">
        <f>XR11+IF(AND($C11=95,$L11=1),1,0)</f>
        <v/>
      </c>
      <c r="XS12">
        <f>XS11+IF(AND($C11=96,$L11=1),1,0)</f>
        <v/>
      </c>
      <c r="XT12">
        <f>XT11+IF(AND($C11=97,$L11=1),1,0)</f>
        <v/>
      </c>
      <c r="XU12">
        <f>XU11+IF(AND($C11=98,$L11=1),1,0)</f>
        <v/>
      </c>
      <c r="XV12">
        <f>XV11+IF(AND($C11=99,$L11=1),1,0)</f>
        <v/>
      </c>
      <c r="XW12">
        <f>XW11+IF(AND($C11=100,$L11=1),1,0)</f>
        <v/>
      </c>
      <c r="XX12">
        <f>XX11+IF(AND($C11=101,$L11=1),1,0)</f>
        <v/>
      </c>
      <c r="XY12">
        <f>XY11+IF(AND($C11=102,$L11=1),1,0)</f>
        <v/>
      </c>
      <c r="XZ12">
        <f>XZ11+IF(AND($C11=103,$L11=1),1,0)</f>
        <v/>
      </c>
      <c r="YA12">
        <f>YA11+IF(AND($C11=104,$L11=1),1,0)</f>
        <v/>
      </c>
      <c r="YB12">
        <f>YB11+IF(AND($C11=105,$L11=1),1,0)</f>
        <v/>
      </c>
      <c r="YC12">
        <f>YC11+IF(AND($C11=106,$L11=1),1,0)</f>
        <v/>
      </c>
      <c r="YD12">
        <f>YD11+IF(AND($C11=107,$L11=1),1,0)</f>
        <v/>
      </c>
      <c r="YE12">
        <f>YE11+IF(AND($C11=108,$L11=1),1,0)</f>
        <v/>
      </c>
      <c r="YF12">
        <f>YF11+IF(AND($C11=109,$L11=1),1,0)</f>
        <v/>
      </c>
      <c r="YG12">
        <f>YG11+IF(AND($C11=110,$L11=1),1,0)</f>
        <v/>
      </c>
      <c r="YH12">
        <f>YH11+IF(AND($C11=111,$L11=1),1,0)</f>
        <v/>
      </c>
      <c r="YI12">
        <f>YI11+IF(AND($C11=112,$L11=1),1,0)</f>
        <v/>
      </c>
      <c r="YJ12">
        <f>YJ11+IF(AND($C11=113,$L11=1),1,0)</f>
        <v/>
      </c>
      <c r="YK12">
        <f>YK11+IF(AND($C11=114,$L11=1),1,0)</f>
        <v/>
      </c>
      <c r="YL12">
        <f>YL11+IF(AND($C11=115,$L11=1),1,0)</f>
        <v/>
      </c>
      <c r="YM12">
        <f>YM11+IF(AND($C11=116,$L11=1),1,0)</f>
        <v/>
      </c>
      <c r="YN12">
        <f>YN11+IF(AND($C11=117,$L11=1),1,0)</f>
        <v/>
      </c>
      <c r="YO12">
        <f>YO11+IF(AND($C11=118,$L11=1),1,0)</f>
        <v/>
      </c>
      <c r="YP12">
        <f>YP11+IF(AND($C11=119,$L11=1),1,0)</f>
        <v/>
      </c>
      <c r="YQ12">
        <f>YQ11+IF(AND($C11=120,$L11=1),1,0)</f>
        <v/>
      </c>
      <c r="YR12">
        <f>YR11+IF(AND($C11=121,$L11=1),1,0)</f>
        <v/>
      </c>
      <c r="YS12">
        <f>YS11+IF(AND($C11=122,$L11=1),1,0)</f>
        <v/>
      </c>
      <c r="YT12">
        <f>YT11+IF(AND($C11=123,$L11=1),1,0)</f>
        <v/>
      </c>
      <c r="YU12">
        <f>YU11+IF(AND($C11=124,$L11=1),1,0)</f>
        <v/>
      </c>
      <c r="YV12">
        <f>YV11+IF(AND($C11=125,$L11=1),1,0)</f>
        <v/>
      </c>
      <c r="YW12">
        <f>YW11+IF(AND($C11=126,$L11=1),1,0)</f>
        <v/>
      </c>
      <c r="YX12">
        <f>YX11+IF(AND($C11=127,$L11=1),1,0)</f>
        <v/>
      </c>
      <c r="YY12">
        <f>YY11+IF(AND($C11=128,$L11=1),1,0)</f>
        <v/>
      </c>
      <c r="YZ12">
        <f>YZ11+IF(AND($C11=129,$L11=1),1,0)</f>
        <v/>
      </c>
      <c r="ZA12">
        <f>ZA11+IF(AND($C11=130,$L11=1),1,0)</f>
        <v/>
      </c>
      <c r="ZB12">
        <f>ZB11+IF(AND($C11=131,$L11=1),1,0)</f>
        <v/>
      </c>
      <c r="ZC12">
        <f>ZC11+IF(AND($C11=132,$L11=1),1,0)</f>
        <v/>
      </c>
      <c r="ZD12">
        <f>ZD11+IF(AND($C11=133,$L11=1),1,0)</f>
        <v/>
      </c>
      <c r="ZE12">
        <f>ZE11+IF(AND($C11=134,$L11=1),1,0)</f>
        <v/>
      </c>
      <c r="ZF12">
        <f>ZF11+IF(AND($C11=135,$L11=1),1,0)</f>
        <v/>
      </c>
      <c r="ZG12">
        <f>ZG11+IF(AND($C11=136,$L11=1),1,0)</f>
        <v/>
      </c>
      <c r="ZH12">
        <f>ZH11+IF(AND($C11=137,$L11=1),1,0)</f>
        <v/>
      </c>
      <c r="ZI12">
        <f>ZI11+IF(AND($C11=138,$L11=1),1,0)</f>
        <v/>
      </c>
      <c r="ZJ12">
        <f>ZJ11+IF(AND($C11=139,$L11=1),1,0)</f>
        <v/>
      </c>
      <c r="ZK12">
        <f>ZK11+IF(AND($C11=140,$L11=1),1,0)</f>
        <v/>
      </c>
      <c r="ZL12">
        <f>ZL11+IF(AND($C11=141,$L11=1),1,0)</f>
        <v/>
      </c>
      <c r="ZM12">
        <f>ZM11+IF(AND($C11=142,$L11=1),1,0)</f>
        <v/>
      </c>
      <c r="ZN12">
        <f>ZN11+IF(AND($C11=143,$L11=1),1,0)</f>
        <v/>
      </c>
      <c r="ZO12">
        <f>ZO11+IF(AND($C11=144,$L11=1),1,0)</f>
        <v/>
      </c>
    </row>
    <row r="13">
      <c r="A13" t="n">
        <v>11</v>
      </c>
      <c r="B13">
        <f>IF(MIN(BH13:CZ13)&gt;=1000000,0,MATCH(MIN(BH13:CZ13),BH13:CZ13,0))</f>
        <v/>
      </c>
      <c r="C13">
        <f>IF(MIN(OF13:TS13)&gt;=1000000,0,MATCH(MIN(OF13:TS13),OF13:TS13,0))</f>
        <v/>
      </c>
      <c r="D13">
        <f>IF(C13&gt;0,INDEX('計算A'!$D$5:$EQ$5,C13),0)</f>
        <v/>
      </c>
      <c r="E13">
        <f>IF(B13=0,0,INDEX('計算A'!$IQ$10:$IQ$54,B13))</f>
        <v/>
      </c>
      <c r="F13">
        <f>IF(B13=0,0,INDEX('計算A'!$IP$10:$IP$54,B13))</f>
        <v/>
      </c>
      <c r="G13">
        <f>IF(AND(C13&gt;0,E13&gt;0),IF(AND(INDEX('計算A'!$D$106:$EQ$106,C13)=1,INDEX($IQ13:$OD13,C13)=1),C13+1,0),0)</f>
        <v/>
      </c>
      <c r="H13">
        <f>IF(B13=0,0,INDEX('計算A'!$IW$10:$IW$54,B13))</f>
        <v/>
      </c>
      <c r="I13">
        <f>IF(B13=0,0,MAX(0,INDEX('計算A'!$IT$10:$IT$54,B13)))</f>
        <v/>
      </c>
      <c r="J13">
        <f>IF(I13=0,0,INDEX('計算A'!$D$2:$EQ$2,I13))</f>
        <v/>
      </c>
      <c r="K13">
        <f>IF(I13=0,0,INDEX('計算A'!$D$3:$EQ$3,I13))</f>
        <v/>
      </c>
      <c r="L13">
        <f>IF(B13=0,0,INDEX('計算A'!$IX$10:$IX$54,B13))</f>
        <v/>
      </c>
      <c r="N13">
        <f>MAX(N12,IF($B12=1,1,0))</f>
        <v/>
      </c>
      <c r="O13">
        <f>MAX(O12,IF($B12=2,1,0))</f>
        <v/>
      </c>
      <c r="P13">
        <f>MAX(P12,IF($B12=3,1,0))</f>
        <v/>
      </c>
      <c r="Q13">
        <f>MAX(Q12,IF($B12=4,1,0))</f>
        <v/>
      </c>
      <c r="R13">
        <f>MAX(R12,IF($B12=5,1,0))</f>
        <v/>
      </c>
      <c r="S13">
        <f>MAX(S12,IF($B12=6,1,0))</f>
        <v/>
      </c>
      <c r="T13">
        <f>MAX(T12,IF($B12=7,1,0))</f>
        <v/>
      </c>
      <c r="U13">
        <f>MAX(U12,IF($B12=8,1,0))</f>
        <v/>
      </c>
      <c r="V13">
        <f>MAX(V12,IF($B12=9,1,0))</f>
        <v/>
      </c>
      <c r="W13">
        <f>MAX(W12,IF($B12=10,1,0))</f>
        <v/>
      </c>
      <c r="X13">
        <f>MAX(X12,IF($B12=11,1,0))</f>
        <v/>
      </c>
      <c r="Y13">
        <f>MAX(Y12,IF($B12=12,1,0))</f>
        <v/>
      </c>
      <c r="Z13">
        <f>MAX(Z12,IF($B12=13,1,0))</f>
        <v/>
      </c>
      <c r="AA13">
        <f>MAX(AA12,IF($B12=14,1,0))</f>
        <v/>
      </c>
      <c r="AB13">
        <f>MAX(AB12,IF($B12=15,1,0))</f>
        <v/>
      </c>
      <c r="AC13">
        <f>MAX(AC12,IF($B12=16,1,0))</f>
        <v/>
      </c>
      <c r="AD13">
        <f>MAX(AD12,IF($B12=17,1,0))</f>
        <v/>
      </c>
      <c r="AE13">
        <f>MAX(AE12,IF($B12=18,1,0))</f>
        <v/>
      </c>
      <c r="AF13">
        <f>MAX(AF12,IF($B12=19,1,0))</f>
        <v/>
      </c>
      <c r="AG13">
        <f>MAX(AG12,IF($B12=20,1,0))</f>
        <v/>
      </c>
      <c r="AH13">
        <f>MAX(AH12,IF($B12=21,1,0))</f>
        <v/>
      </c>
      <c r="AI13">
        <f>MAX(AI12,IF($B12=22,1,0))</f>
        <v/>
      </c>
      <c r="AJ13">
        <f>MAX(AJ12,IF($B12=23,1,0))</f>
        <v/>
      </c>
      <c r="AK13">
        <f>MAX(AK12,IF($B12=24,1,0))</f>
        <v/>
      </c>
      <c r="AL13">
        <f>MAX(AL12,IF($B12=25,1,0))</f>
        <v/>
      </c>
      <c r="AM13">
        <f>MAX(AM12,IF($B12=26,1,0))</f>
        <v/>
      </c>
      <c r="AN13">
        <f>MAX(AN12,IF($B12=27,1,0))</f>
        <v/>
      </c>
      <c r="AO13">
        <f>MAX(AO12,IF($B12=28,1,0))</f>
        <v/>
      </c>
      <c r="AP13">
        <f>MAX(AP12,IF($B12=29,1,0))</f>
        <v/>
      </c>
      <c r="AQ13">
        <f>MAX(AQ12,IF($B12=30,1,0))</f>
        <v/>
      </c>
      <c r="AR13">
        <f>MAX(AR12,IF($B12=31,1,0))</f>
        <v/>
      </c>
      <c r="AS13">
        <f>MAX(AS12,IF($B12=32,1,0))</f>
        <v/>
      </c>
      <c r="AT13">
        <f>MAX(AT12,IF($B12=33,1,0))</f>
        <v/>
      </c>
      <c r="AU13">
        <f>MAX(AU12,IF($B12=34,1,0))</f>
        <v/>
      </c>
      <c r="AV13">
        <f>MAX(AV12,IF($B12=35,1,0))</f>
        <v/>
      </c>
      <c r="AW13">
        <f>MAX(AW12,IF($B12=36,1,0))</f>
        <v/>
      </c>
      <c r="AX13">
        <f>MAX(AX12,IF($B12=37,1,0))</f>
        <v/>
      </c>
      <c r="AY13">
        <f>MAX(AY12,IF($B12=38,1,0))</f>
        <v/>
      </c>
      <c r="AZ13">
        <f>MAX(AZ12,IF($B12=39,1,0))</f>
        <v/>
      </c>
      <c r="BA13">
        <f>MAX(BA12,IF($B12=40,1,0))</f>
        <v/>
      </c>
      <c r="BB13">
        <f>MAX(BB12,IF($B12=41,1,0))</f>
        <v/>
      </c>
      <c r="BC13">
        <f>MAX(BC12,IF($B12=42,1,0))</f>
        <v/>
      </c>
      <c r="BD13">
        <f>MAX(BD12,IF($B12=43,1,0))</f>
        <v/>
      </c>
      <c r="BE13">
        <f>MAX(BE12,IF($B12=44,1,0))</f>
        <v/>
      </c>
      <c r="BF13">
        <f>MAX(BF12,IF($B12=45,1,0))</f>
        <v/>
      </c>
      <c r="BH13">
        <f>IF(N13=1,1000000,IF('計算A'!$IT$10&gt;0,0,500000)+IF('計算A'!$IQ$10=2,SUMPRODUCT('計算A'!$D$60:$EQ$60,$DB13:$IO13,$IQ13:$OD13),SUMPRODUCT('計算A'!$D$60:$EQ$60,$DB13:$IO13))*1000+1)</f>
        <v/>
      </c>
      <c r="BI13">
        <f>IF(O13=1,1000000,IF('計算A'!$IT$11&gt;0,0,500000)+IF('計算A'!$IQ$11=2,SUMPRODUCT('計算A'!$D$61:$EQ$61,$DB13:$IO13,$IQ13:$OD13),SUMPRODUCT('計算A'!$D$61:$EQ$61,$DB13:$IO13))*1000+2)</f>
        <v/>
      </c>
      <c r="BJ13">
        <f>IF(P13=1,1000000,IF('計算A'!$IT$12&gt;0,0,500000)+IF('計算A'!$IQ$12=2,SUMPRODUCT('計算A'!$D$62:$EQ$62,$DB13:$IO13,$IQ13:$OD13),SUMPRODUCT('計算A'!$D$62:$EQ$62,$DB13:$IO13))*1000+3)</f>
        <v/>
      </c>
      <c r="BK13">
        <f>IF(Q13=1,1000000,IF('計算A'!$IT$13&gt;0,0,500000)+IF('計算A'!$IQ$13=2,SUMPRODUCT('計算A'!$D$63:$EQ$63,$DB13:$IO13,$IQ13:$OD13),SUMPRODUCT('計算A'!$D$63:$EQ$63,$DB13:$IO13))*1000+4)</f>
        <v/>
      </c>
      <c r="BL13">
        <f>IF(R13=1,1000000,IF('計算A'!$IT$14&gt;0,0,500000)+IF('計算A'!$IQ$14=2,SUMPRODUCT('計算A'!$D$64:$EQ$64,$DB13:$IO13,$IQ13:$OD13),SUMPRODUCT('計算A'!$D$64:$EQ$64,$DB13:$IO13))*1000+5)</f>
        <v/>
      </c>
      <c r="BM13">
        <f>IF(S13=1,1000000,IF('計算A'!$IT$15&gt;0,0,500000)+IF('計算A'!$IQ$15=2,SUMPRODUCT('計算A'!$D$65:$EQ$65,$DB13:$IO13,$IQ13:$OD13),SUMPRODUCT('計算A'!$D$65:$EQ$65,$DB13:$IO13))*1000+6)</f>
        <v/>
      </c>
      <c r="BN13">
        <f>IF(T13=1,1000000,IF('計算A'!$IT$16&gt;0,0,500000)+IF('計算A'!$IQ$16=2,SUMPRODUCT('計算A'!$D$66:$EQ$66,$DB13:$IO13,$IQ13:$OD13),SUMPRODUCT('計算A'!$D$66:$EQ$66,$DB13:$IO13))*1000+7)</f>
        <v/>
      </c>
      <c r="BO13">
        <f>IF(U13=1,1000000,IF('計算A'!$IT$17&gt;0,0,500000)+IF('計算A'!$IQ$17=2,SUMPRODUCT('計算A'!$D$67:$EQ$67,$DB13:$IO13,$IQ13:$OD13),SUMPRODUCT('計算A'!$D$67:$EQ$67,$DB13:$IO13))*1000+8)</f>
        <v/>
      </c>
      <c r="BP13">
        <f>IF(V13=1,1000000,IF('計算A'!$IT$18&gt;0,0,500000)+IF('計算A'!$IQ$18=2,SUMPRODUCT('計算A'!$D$68:$EQ$68,$DB13:$IO13,$IQ13:$OD13),SUMPRODUCT('計算A'!$D$68:$EQ$68,$DB13:$IO13))*1000+9)</f>
        <v/>
      </c>
      <c r="BQ13">
        <f>IF(W13=1,1000000,IF('計算A'!$IT$19&gt;0,0,500000)+IF('計算A'!$IQ$19=2,SUMPRODUCT('計算A'!$D$69:$EQ$69,$DB13:$IO13,$IQ13:$OD13),SUMPRODUCT('計算A'!$D$69:$EQ$69,$DB13:$IO13))*1000+10)</f>
        <v/>
      </c>
      <c r="BR13">
        <f>IF(X13=1,1000000,IF('計算A'!$IT$20&gt;0,0,500000)+IF('計算A'!$IQ$20=2,SUMPRODUCT('計算A'!$D$70:$EQ$70,$DB13:$IO13,$IQ13:$OD13),SUMPRODUCT('計算A'!$D$70:$EQ$70,$DB13:$IO13))*1000+11)</f>
        <v/>
      </c>
      <c r="BS13">
        <f>IF(Y13=1,1000000,IF('計算A'!$IT$21&gt;0,0,500000)+IF('計算A'!$IQ$21=2,SUMPRODUCT('計算A'!$D$71:$EQ$71,$DB13:$IO13,$IQ13:$OD13),SUMPRODUCT('計算A'!$D$71:$EQ$71,$DB13:$IO13))*1000+12)</f>
        <v/>
      </c>
      <c r="BT13">
        <f>IF(Z13=1,1000000,IF('計算A'!$IT$22&gt;0,0,500000)+IF('計算A'!$IQ$22=2,SUMPRODUCT('計算A'!$D$72:$EQ$72,$DB13:$IO13,$IQ13:$OD13),SUMPRODUCT('計算A'!$D$72:$EQ$72,$DB13:$IO13))*1000+13)</f>
        <v/>
      </c>
      <c r="BU13">
        <f>IF(AA13=1,1000000,IF('計算A'!$IT$23&gt;0,0,500000)+IF('計算A'!$IQ$23=2,SUMPRODUCT('計算A'!$D$73:$EQ$73,$DB13:$IO13,$IQ13:$OD13),SUMPRODUCT('計算A'!$D$73:$EQ$73,$DB13:$IO13))*1000+14)</f>
        <v/>
      </c>
      <c r="BV13">
        <f>IF(AB13=1,1000000,IF('計算A'!$IT$24&gt;0,0,500000)+IF('計算A'!$IQ$24=2,SUMPRODUCT('計算A'!$D$74:$EQ$74,$DB13:$IO13,$IQ13:$OD13),SUMPRODUCT('計算A'!$D$74:$EQ$74,$DB13:$IO13))*1000+15)</f>
        <v/>
      </c>
      <c r="BW13">
        <f>IF(AC13=1,1000000,IF('計算A'!$IT$25&gt;0,0,500000)+IF('計算A'!$IQ$25=2,SUMPRODUCT('計算A'!$D$75:$EQ$75,$DB13:$IO13,$IQ13:$OD13),SUMPRODUCT('計算A'!$D$75:$EQ$75,$DB13:$IO13))*1000+16)</f>
        <v/>
      </c>
      <c r="BX13">
        <f>IF(AD13=1,1000000,IF('計算A'!$IT$26&gt;0,0,500000)+IF('計算A'!$IQ$26=2,SUMPRODUCT('計算A'!$D$76:$EQ$76,$DB13:$IO13,$IQ13:$OD13),SUMPRODUCT('計算A'!$D$76:$EQ$76,$DB13:$IO13))*1000+17)</f>
        <v/>
      </c>
      <c r="BY13">
        <f>IF(AE13=1,1000000,IF('計算A'!$IT$27&gt;0,0,500000)+IF('計算A'!$IQ$27=2,SUMPRODUCT('計算A'!$D$77:$EQ$77,$DB13:$IO13,$IQ13:$OD13),SUMPRODUCT('計算A'!$D$77:$EQ$77,$DB13:$IO13))*1000+18)</f>
        <v/>
      </c>
      <c r="BZ13">
        <f>IF(AF13=1,1000000,IF('計算A'!$IT$28&gt;0,0,500000)+IF('計算A'!$IQ$28=2,SUMPRODUCT('計算A'!$D$78:$EQ$78,$DB13:$IO13,$IQ13:$OD13),SUMPRODUCT('計算A'!$D$78:$EQ$78,$DB13:$IO13))*1000+19)</f>
        <v/>
      </c>
      <c r="CA13">
        <f>IF(AG13=1,1000000,IF('計算A'!$IT$29&gt;0,0,500000)+IF('計算A'!$IQ$29=2,SUMPRODUCT('計算A'!$D$79:$EQ$79,$DB13:$IO13,$IQ13:$OD13),SUMPRODUCT('計算A'!$D$79:$EQ$79,$DB13:$IO13))*1000+20)</f>
        <v/>
      </c>
      <c r="CB13">
        <f>IF(AH13=1,1000000,IF('計算A'!$IT$30&gt;0,0,500000)+IF('計算A'!$IQ$30=2,SUMPRODUCT('計算A'!$D$80:$EQ$80,$DB13:$IO13,$IQ13:$OD13),SUMPRODUCT('計算A'!$D$80:$EQ$80,$DB13:$IO13))*1000+21)</f>
        <v/>
      </c>
      <c r="CC13">
        <f>IF(AI13=1,1000000,IF('計算A'!$IT$31&gt;0,0,500000)+IF('計算A'!$IQ$31=2,SUMPRODUCT('計算A'!$D$81:$EQ$81,$DB13:$IO13,$IQ13:$OD13),SUMPRODUCT('計算A'!$D$81:$EQ$81,$DB13:$IO13))*1000+22)</f>
        <v/>
      </c>
      <c r="CD13">
        <f>IF(AJ13=1,1000000,IF('計算A'!$IT$32&gt;0,0,500000)+IF('計算A'!$IQ$32=2,SUMPRODUCT('計算A'!$D$82:$EQ$82,$DB13:$IO13,$IQ13:$OD13),SUMPRODUCT('計算A'!$D$82:$EQ$82,$DB13:$IO13))*1000+23)</f>
        <v/>
      </c>
      <c r="CE13">
        <f>IF(AK13=1,1000000,IF('計算A'!$IT$33&gt;0,0,500000)+IF('計算A'!$IQ$33=2,SUMPRODUCT('計算A'!$D$83:$EQ$83,$DB13:$IO13,$IQ13:$OD13),SUMPRODUCT('計算A'!$D$83:$EQ$83,$DB13:$IO13))*1000+24)</f>
        <v/>
      </c>
      <c r="CF13">
        <f>IF(AL13=1,1000000,IF('計算A'!$IT$34&gt;0,0,500000)+IF('計算A'!$IQ$34=2,SUMPRODUCT('計算A'!$D$84:$EQ$84,$DB13:$IO13,$IQ13:$OD13),SUMPRODUCT('計算A'!$D$84:$EQ$84,$DB13:$IO13))*1000+25)</f>
        <v/>
      </c>
      <c r="CG13">
        <f>IF(AM13=1,1000000,IF('計算A'!$IT$35&gt;0,0,500000)+IF('計算A'!$IQ$35=2,SUMPRODUCT('計算A'!$D$85:$EQ$85,$DB13:$IO13,$IQ13:$OD13),SUMPRODUCT('計算A'!$D$85:$EQ$85,$DB13:$IO13))*1000+26)</f>
        <v/>
      </c>
      <c r="CH13">
        <f>IF(AN13=1,1000000,IF('計算A'!$IT$36&gt;0,0,500000)+IF('計算A'!$IQ$36=2,SUMPRODUCT('計算A'!$D$86:$EQ$86,$DB13:$IO13,$IQ13:$OD13),SUMPRODUCT('計算A'!$D$86:$EQ$86,$DB13:$IO13))*1000+27)</f>
        <v/>
      </c>
      <c r="CI13">
        <f>IF(AO13=1,1000000,IF('計算A'!$IT$37&gt;0,0,500000)+IF('計算A'!$IQ$37=2,SUMPRODUCT('計算A'!$D$87:$EQ$87,$DB13:$IO13,$IQ13:$OD13),SUMPRODUCT('計算A'!$D$87:$EQ$87,$DB13:$IO13))*1000+28)</f>
        <v/>
      </c>
      <c r="CJ13">
        <f>IF(AP13=1,1000000,IF('計算A'!$IT$38&gt;0,0,500000)+IF('計算A'!$IQ$38=2,SUMPRODUCT('計算A'!$D$88:$EQ$88,$DB13:$IO13,$IQ13:$OD13),SUMPRODUCT('計算A'!$D$88:$EQ$88,$DB13:$IO13))*1000+29)</f>
        <v/>
      </c>
      <c r="CK13">
        <f>IF(AQ13=1,1000000,IF('計算A'!$IT$39&gt;0,0,500000)+IF('計算A'!$IQ$39=2,SUMPRODUCT('計算A'!$D$89:$EQ$89,$DB13:$IO13,$IQ13:$OD13),SUMPRODUCT('計算A'!$D$89:$EQ$89,$DB13:$IO13))*1000+30)</f>
        <v/>
      </c>
      <c r="CL13">
        <f>IF(AR13=1,1000000,IF('計算A'!$IT$40&gt;0,0,500000)+IF('計算A'!$IQ$40=2,SUMPRODUCT('計算A'!$D$90:$EQ$90,$DB13:$IO13,$IQ13:$OD13),SUMPRODUCT('計算A'!$D$90:$EQ$90,$DB13:$IO13))*1000+31)</f>
        <v/>
      </c>
      <c r="CM13">
        <f>IF(AS13=1,1000000,IF('計算A'!$IT$41&gt;0,0,500000)+IF('計算A'!$IQ$41=2,SUMPRODUCT('計算A'!$D$91:$EQ$91,$DB13:$IO13,$IQ13:$OD13),SUMPRODUCT('計算A'!$D$91:$EQ$91,$DB13:$IO13))*1000+32)</f>
        <v/>
      </c>
      <c r="CN13">
        <f>IF(AT13=1,1000000,IF('計算A'!$IT$42&gt;0,0,500000)+IF('計算A'!$IQ$42=2,SUMPRODUCT('計算A'!$D$92:$EQ$92,$DB13:$IO13,$IQ13:$OD13),SUMPRODUCT('計算A'!$D$92:$EQ$92,$DB13:$IO13))*1000+33)</f>
        <v/>
      </c>
      <c r="CO13">
        <f>IF(AU13=1,1000000,IF('計算A'!$IT$43&gt;0,0,500000)+IF('計算A'!$IQ$43=2,SUMPRODUCT('計算A'!$D$93:$EQ$93,$DB13:$IO13,$IQ13:$OD13),SUMPRODUCT('計算A'!$D$93:$EQ$93,$DB13:$IO13))*1000+34)</f>
        <v/>
      </c>
      <c r="CP13">
        <f>IF(AV13=1,1000000,IF('計算A'!$IT$44&gt;0,0,500000)+IF('計算A'!$IQ$44=2,SUMPRODUCT('計算A'!$D$94:$EQ$94,$DB13:$IO13,$IQ13:$OD13),SUMPRODUCT('計算A'!$D$94:$EQ$94,$DB13:$IO13))*1000+35)</f>
        <v/>
      </c>
      <c r="CQ13">
        <f>IF(AW13=1,1000000,IF('計算A'!$IT$45&gt;0,0,500000)+IF('計算A'!$IQ$45=2,SUMPRODUCT('計算A'!$D$95:$EQ$95,$DB13:$IO13,$IQ13:$OD13),SUMPRODUCT('計算A'!$D$95:$EQ$95,$DB13:$IO13))*1000+36)</f>
        <v/>
      </c>
      <c r="CR13">
        <f>IF(AX13=1,1000000,IF('計算A'!$IT$46&gt;0,0,500000)+IF('計算A'!$IQ$46=2,SUMPRODUCT('計算A'!$D$96:$EQ$96,$DB13:$IO13,$IQ13:$OD13),SUMPRODUCT('計算A'!$D$96:$EQ$96,$DB13:$IO13))*1000+37)</f>
        <v/>
      </c>
      <c r="CS13">
        <f>IF(AY13=1,1000000,IF('計算A'!$IT$47&gt;0,0,500000)+IF('計算A'!$IQ$47=2,SUMPRODUCT('計算A'!$D$97:$EQ$97,$DB13:$IO13,$IQ13:$OD13),SUMPRODUCT('計算A'!$D$97:$EQ$97,$DB13:$IO13))*1000+38)</f>
        <v/>
      </c>
      <c r="CT13">
        <f>IF(AZ13=1,1000000,IF('計算A'!$IT$48&gt;0,0,500000)+IF('計算A'!$IQ$48=2,SUMPRODUCT('計算A'!$D$98:$EQ$98,$DB13:$IO13,$IQ13:$OD13),SUMPRODUCT('計算A'!$D$98:$EQ$98,$DB13:$IO13))*1000+39)</f>
        <v/>
      </c>
      <c r="CU13">
        <f>IF(BA13=1,1000000,IF('計算A'!$IT$49&gt;0,0,500000)+IF('計算A'!$IQ$49=2,SUMPRODUCT('計算A'!$D$99:$EQ$99,$DB13:$IO13,$IQ13:$OD13),SUMPRODUCT('計算A'!$D$99:$EQ$99,$DB13:$IO13))*1000+40)</f>
        <v/>
      </c>
      <c r="CV13">
        <f>IF(BB13=1,1000000,IF('計算A'!$IT$50&gt;0,0,500000)+IF('計算A'!$IQ$50=2,SUMPRODUCT('計算A'!$D$100:$EQ$100,$DB13:$IO13,$IQ13:$OD13),SUMPRODUCT('計算A'!$D$100:$EQ$100,$DB13:$IO13))*1000+41)</f>
        <v/>
      </c>
      <c r="CW13">
        <f>IF(BC13=1,1000000,IF('計算A'!$IT$51&gt;0,0,500000)+IF('計算A'!$IQ$51=2,SUMPRODUCT('計算A'!$D$101:$EQ$101,$DB13:$IO13,$IQ13:$OD13),SUMPRODUCT('計算A'!$D$101:$EQ$101,$DB13:$IO13))*1000+42)</f>
        <v/>
      </c>
      <c r="CX13">
        <f>IF(BD13=1,1000000,IF('計算A'!$IT$52&gt;0,0,500000)+IF('計算A'!$IQ$52=2,SUMPRODUCT('計算A'!$D$102:$EQ$102,$DB13:$IO13,$IQ13:$OD13),SUMPRODUCT('計算A'!$D$102:$EQ$102,$DB13:$IO13))*1000+43)</f>
        <v/>
      </c>
      <c r="CY13">
        <f>IF(BE13=1,1000000,IF('計算A'!$IT$53&gt;0,0,500000)+IF('計算A'!$IQ$53=2,SUMPRODUCT('計算A'!$D$103:$EQ$103,$DB13:$IO13,$IQ13:$OD13),SUMPRODUCT('計算A'!$D$103:$EQ$103,$DB13:$IO13))*1000+44)</f>
        <v/>
      </c>
      <c r="CZ13">
        <f>IF(BF13=1,1000000,IF('計算A'!$IT$54&gt;0,0,500000)+IF('計算A'!$IQ$54=2,SUMPRODUCT('計算A'!$D$104:$EQ$104,$DB13:$IO13,$IQ13:$OD13),SUMPRODUCT('計算A'!$D$104:$EQ$104,$DB13:$IO13))*1000+45)</f>
        <v/>
      </c>
      <c r="DB13">
        <f>DB12*IF(OR($C12=1,$G12=1),0,1)</f>
        <v/>
      </c>
      <c r="DC13">
        <f>DC12*IF(OR($C12=2,$G12=2),0,1)</f>
        <v/>
      </c>
      <c r="DD13">
        <f>DD12*IF(OR($C12=3,$G12=3),0,1)</f>
        <v/>
      </c>
      <c r="DE13">
        <f>DE12*IF(OR($C12=4,$G12=4),0,1)</f>
        <v/>
      </c>
      <c r="DF13">
        <f>DF12*IF(OR($C12=5,$G12=5),0,1)</f>
        <v/>
      </c>
      <c r="DG13">
        <f>DG12*IF(OR($C12=6,$G12=6),0,1)</f>
        <v/>
      </c>
      <c r="DH13">
        <f>DH12*IF(OR($C12=7,$G12=7),0,1)</f>
        <v/>
      </c>
      <c r="DI13">
        <f>DI12*IF(OR($C12=8,$G12=8),0,1)</f>
        <v/>
      </c>
      <c r="DJ13">
        <f>DJ12*IF(OR($C12=9,$G12=9),0,1)</f>
        <v/>
      </c>
      <c r="DK13">
        <f>DK12*IF(OR($C12=10,$G12=10),0,1)</f>
        <v/>
      </c>
      <c r="DL13">
        <f>DL12*IF(OR($C12=11,$G12=11),0,1)</f>
        <v/>
      </c>
      <c r="DM13">
        <f>DM12*IF(OR($C12=12,$G12=12),0,1)</f>
        <v/>
      </c>
      <c r="DN13">
        <f>DN12*IF(OR($C12=13,$G12=13),0,1)</f>
        <v/>
      </c>
      <c r="DO13">
        <f>DO12*IF(OR($C12=14,$G12=14),0,1)</f>
        <v/>
      </c>
      <c r="DP13">
        <f>DP12*IF(OR($C12=15,$G12=15),0,1)</f>
        <v/>
      </c>
      <c r="DQ13">
        <f>DQ12*IF(OR($C12=16,$G12=16),0,1)</f>
        <v/>
      </c>
      <c r="DR13">
        <f>DR12*IF(OR($C12=17,$G12=17),0,1)</f>
        <v/>
      </c>
      <c r="DS13">
        <f>DS12*IF(OR($C12=18,$G12=18),0,1)</f>
        <v/>
      </c>
      <c r="DT13">
        <f>DT12*IF(OR($C12=19,$G12=19),0,1)</f>
        <v/>
      </c>
      <c r="DU13">
        <f>DU12*IF(OR($C12=20,$G12=20),0,1)</f>
        <v/>
      </c>
      <c r="DV13">
        <f>DV12*IF(OR($C12=21,$G12=21),0,1)</f>
        <v/>
      </c>
      <c r="DW13">
        <f>DW12*IF(OR($C12=22,$G12=22),0,1)</f>
        <v/>
      </c>
      <c r="DX13">
        <f>DX12*IF(OR($C12=23,$G12=23),0,1)</f>
        <v/>
      </c>
      <c r="DY13">
        <f>DY12*IF(OR($C12=24,$G12=24),0,1)</f>
        <v/>
      </c>
      <c r="DZ13">
        <f>DZ12*IF(OR($C12=25,$G12=25),0,1)</f>
        <v/>
      </c>
      <c r="EA13">
        <f>EA12*IF(OR($C12=26,$G12=26),0,1)</f>
        <v/>
      </c>
      <c r="EB13">
        <f>EB12*IF(OR($C12=27,$G12=27),0,1)</f>
        <v/>
      </c>
      <c r="EC13">
        <f>EC12*IF(OR($C12=28,$G12=28),0,1)</f>
        <v/>
      </c>
      <c r="ED13">
        <f>ED12*IF(OR($C12=29,$G12=29),0,1)</f>
        <v/>
      </c>
      <c r="EE13">
        <f>EE12*IF(OR($C12=30,$G12=30),0,1)</f>
        <v/>
      </c>
      <c r="EF13">
        <f>EF12*IF(OR($C12=31,$G12=31),0,1)</f>
        <v/>
      </c>
      <c r="EG13">
        <f>EG12*IF(OR($C12=32,$G12=32),0,1)</f>
        <v/>
      </c>
      <c r="EH13">
        <f>EH12*IF(OR($C12=33,$G12=33),0,1)</f>
        <v/>
      </c>
      <c r="EI13">
        <f>EI12*IF(OR($C12=34,$G12=34),0,1)</f>
        <v/>
      </c>
      <c r="EJ13">
        <f>EJ12*IF(OR($C12=35,$G12=35),0,1)</f>
        <v/>
      </c>
      <c r="EK13">
        <f>EK12*IF(OR($C12=36,$G12=36),0,1)</f>
        <v/>
      </c>
      <c r="EL13">
        <f>EL12*IF(OR($C12=37,$G12=37),0,1)</f>
        <v/>
      </c>
      <c r="EM13">
        <f>EM12*IF(OR($C12=38,$G12=38),0,1)</f>
        <v/>
      </c>
      <c r="EN13">
        <f>EN12*IF(OR($C12=39,$G12=39),0,1)</f>
        <v/>
      </c>
      <c r="EO13">
        <f>EO12*IF(OR($C12=40,$G12=40),0,1)</f>
        <v/>
      </c>
      <c r="EP13">
        <f>EP12*IF(OR($C12=41,$G12=41),0,1)</f>
        <v/>
      </c>
      <c r="EQ13">
        <f>EQ12*IF(OR($C12=42,$G12=42),0,1)</f>
        <v/>
      </c>
      <c r="ER13">
        <f>ER12*IF(OR($C12=43,$G12=43),0,1)</f>
        <v/>
      </c>
      <c r="ES13">
        <f>ES12*IF(OR($C12=44,$G12=44),0,1)</f>
        <v/>
      </c>
      <c r="ET13">
        <f>ET12*IF(OR($C12=45,$G12=45),0,1)</f>
        <v/>
      </c>
      <c r="EU13">
        <f>EU12*IF(OR($C12=46,$G12=46),0,1)</f>
        <v/>
      </c>
      <c r="EV13">
        <f>EV12*IF(OR($C12=47,$G12=47),0,1)</f>
        <v/>
      </c>
      <c r="EW13">
        <f>EW12*IF(OR($C12=48,$G12=48),0,1)</f>
        <v/>
      </c>
      <c r="EX13">
        <f>EX12*IF(OR($C12=49,$G12=49),0,1)</f>
        <v/>
      </c>
      <c r="EY13">
        <f>EY12*IF(OR($C12=50,$G12=50),0,1)</f>
        <v/>
      </c>
      <c r="EZ13">
        <f>EZ12*IF(OR($C12=51,$G12=51),0,1)</f>
        <v/>
      </c>
      <c r="FA13">
        <f>FA12*IF(OR($C12=52,$G12=52),0,1)</f>
        <v/>
      </c>
      <c r="FB13">
        <f>FB12*IF(OR($C12=53,$G12=53),0,1)</f>
        <v/>
      </c>
      <c r="FC13">
        <f>FC12*IF(OR($C12=54,$G12=54),0,1)</f>
        <v/>
      </c>
      <c r="FD13">
        <f>FD12*IF(OR($C12=55,$G12=55),0,1)</f>
        <v/>
      </c>
      <c r="FE13">
        <f>FE12*IF(OR($C12=56,$G12=56),0,1)</f>
        <v/>
      </c>
      <c r="FF13">
        <f>FF12*IF(OR($C12=57,$G12=57),0,1)</f>
        <v/>
      </c>
      <c r="FG13">
        <f>FG12*IF(OR($C12=58,$G12=58),0,1)</f>
        <v/>
      </c>
      <c r="FH13">
        <f>FH12*IF(OR($C12=59,$G12=59),0,1)</f>
        <v/>
      </c>
      <c r="FI13">
        <f>FI12*IF(OR($C12=60,$G12=60),0,1)</f>
        <v/>
      </c>
      <c r="FJ13">
        <f>FJ12*IF(OR($C12=61,$G12=61),0,1)</f>
        <v/>
      </c>
      <c r="FK13">
        <f>FK12*IF(OR($C12=62,$G12=62),0,1)</f>
        <v/>
      </c>
      <c r="FL13">
        <f>FL12*IF(OR($C12=63,$G12=63),0,1)</f>
        <v/>
      </c>
      <c r="FM13">
        <f>FM12*IF(OR($C12=64,$G12=64),0,1)</f>
        <v/>
      </c>
      <c r="FN13">
        <f>FN12*IF(OR($C12=65,$G12=65),0,1)</f>
        <v/>
      </c>
      <c r="FO13">
        <f>FO12*IF(OR($C12=66,$G12=66),0,1)</f>
        <v/>
      </c>
      <c r="FP13">
        <f>FP12*IF(OR($C12=67,$G12=67),0,1)</f>
        <v/>
      </c>
      <c r="FQ13">
        <f>FQ12*IF(OR($C12=68,$G12=68),0,1)</f>
        <v/>
      </c>
      <c r="FR13">
        <f>FR12*IF(OR($C12=69,$G12=69),0,1)</f>
        <v/>
      </c>
      <c r="FS13">
        <f>FS12*IF(OR($C12=70,$G12=70),0,1)</f>
        <v/>
      </c>
      <c r="FT13">
        <f>FT12*IF(OR($C12=71,$G12=71),0,1)</f>
        <v/>
      </c>
      <c r="FU13">
        <f>FU12*IF(OR($C12=72,$G12=72),0,1)</f>
        <v/>
      </c>
      <c r="FV13">
        <f>FV12*IF(OR($C12=73,$G12=73),0,1)</f>
        <v/>
      </c>
      <c r="FW13">
        <f>FW12*IF(OR($C12=74,$G12=74),0,1)</f>
        <v/>
      </c>
      <c r="FX13">
        <f>FX12*IF(OR($C12=75,$G12=75),0,1)</f>
        <v/>
      </c>
      <c r="FY13">
        <f>FY12*IF(OR($C12=76,$G12=76),0,1)</f>
        <v/>
      </c>
      <c r="FZ13">
        <f>FZ12*IF(OR($C12=77,$G12=77),0,1)</f>
        <v/>
      </c>
      <c r="GA13">
        <f>GA12*IF(OR($C12=78,$G12=78),0,1)</f>
        <v/>
      </c>
      <c r="GB13">
        <f>GB12*IF(OR($C12=79,$G12=79),0,1)</f>
        <v/>
      </c>
      <c r="GC13">
        <f>GC12*IF(OR($C12=80,$G12=80),0,1)</f>
        <v/>
      </c>
      <c r="GD13">
        <f>GD12*IF(OR($C12=81,$G12=81),0,1)</f>
        <v/>
      </c>
      <c r="GE13">
        <f>GE12*IF(OR($C12=82,$G12=82),0,1)</f>
        <v/>
      </c>
      <c r="GF13">
        <f>GF12*IF(OR($C12=83,$G12=83),0,1)</f>
        <v/>
      </c>
      <c r="GG13">
        <f>GG12*IF(OR($C12=84,$G12=84),0,1)</f>
        <v/>
      </c>
      <c r="GH13">
        <f>GH12*IF(OR($C12=85,$G12=85),0,1)</f>
        <v/>
      </c>
      <c r="GI13">
        <f>GI12*IF(OR($C12=86,$G12=86),0,1)</f>
        <v/>
      </c>
      <c r="GJ13">
        <f>GJ12*IF(OR($C12=87,$G12=87),0,1)</f>
        <v/>
      </c>
      <c r="GK13">
        <f>GK12*IF(OR($C12=88,$G12=88),0,1)</f>
        <v/>
      </c>
      <c r="GL13">
        <f>GL12*IF(OR($C12=89,$G12=89),0,1)</f>
        <v/>
      </c>
      <c r="GM13">
        <f>GM12*IF(OR($C12=90,$G12=90),0,1)</f>
        <v/>
      </c>
      <c r="GN13">
        <f>GN12*IF(OR($C12=91,$G12=91),0,1)</f>
        <v/>
      </c>
      <c r="GO13">
        <f>GO12*IF(OR($C12=92,$G12=92),0,1)</f>
        <v/>
      </c>
      <c r="GP13">
        <f>GP12*IF(OR($C12=93,$G12=93),0,1)</f>
        <v/>
      </c>
      <c r="GQ13">
        <f>GQ12*IF(OR($C12=94,$G12=94),0,1)</f>
        <v/>
      </c>
      <c r="GR13">
        <f>GR12*IF(OR($C12=95,$G12=95),0,1)</f>
        <v/>
      </c>
      <c r="GS13">
        <f>GS12*IF(OR($C12=96,$G12=96),0,1)</f>
        <v/>
      </c>
      <c r="GT13">
        <f>GT12*IF(OR($C12=97,$G12=97),0,1)</f>
        <v/>
      </c>
      <c r="GU13">
        <f>GU12*IF(OR($C12=98,$G12=98),0,1)</f>
        <v/>
      </c>
      <c r="GV13">
        <f>GV12*IF(OR($C12=99,$G12=99),0,1)</f>
        <v/>
      </c>
      <c r="GW13">
        <f>GW12*IF(OR($C12=100,$G12=100),0,1)</f>
        <v/>
      </c>
      <c r="GX13">
        <f>GX12*IF(OR($C12=101,$G12=101),0,1)</f>
        <v/>
      </c>
      <c r="GY13">
        <f>GY12*IF(OR($C12=102,$G12=102),0,1)</f>
        <v/>
      </c>
      <c r="GZ13">
        <f>GZ12*IF(OR($C12=103,$G12=103),0,1)</f>
        <v/>
      </c>
      <c r="HA13">
        <f>HA12*IF(OR($C12=104,$G12=104),0,1)</f>
        <v/>
      </c>
      <c r="HB13">
        <f>HB12*IF(OR($C12=105,$G12=105),0,1)</f>
        <v/>
      </c>
      <c r="HC13">
        <f>HC12*IF(OR($C12=106,$G12=106),0,1)</f>
        <v/>
      </c>
      <c r="HD13">
        <f>HD12*IF(OR($C12=107,$G12=107),0,1)</f>
        <v/>
      </c>
      <c r="HE13">
        <f>HE12*IF(OR($C12=108,$G12=108),0,1)</f>
        <v/>
      </c>
      <c r="HF13">
        <f>HF12*IF(OR($C12=109,$G12=109),0,1)</f>
        <v/>
      </c>
      <c r="HG13">
        <f>HG12*IF(OR($C12=110,$G12=110),0,1)</f>
        <v/>
      </c>
      <c r="HH13">
        <f>HH12*IF(OR($C12=111,$G12=111),0,1)</f>
        <v/>
      </c>
      <c r="HI13">
        <f>HI12*IF(OR($C12=112,$G12=112),0,1)</f>
        <v/>
      </c>
      <c r="HJ13">
        <f>HJ12*IF(OR($C12=113,$G12=113),0,1)</f>
        <v/>
      </c>
      <c r="HK13">
        <f>HK12*IF(OR($C12=114,$G12=114),0,1)</f>
        <v/>
      </c>
      <c r="HL13">
        <f>HL12*IF(OR($C12=115,$G12=115),0,1)</f>
        <v/>
      </c>
      <c r="HM13">
        <f>HM12*IF(OR($C12=116,$G12=116),0,1)</f>
        <v/>
      </c>
      <c r="HN13">
        <f>HN12*IF(OR($C12=117,$G12=117),0,1)</f>
        <v/>
      </c>
      <c r="HO13">
        <f>HO12*IF(OR($C12=118,$G12=118),0,1)</f>
        <v/>
      </c>
      <c r="HP13">
        <f>HP12*IF(OR($C12=119,$G12=119),0,1)</f>
        <v/>
      </c>
      <c r="HQ13">
        <f>HQ12*IF(OR($C12=120,$G12=120),0,1)</f>
        <v/>
      </c>
      <c r="HR13">
        <f>HR12*IF(OR($C12=121,$G12=121),0,1)</f>
        <v/>
      </c>
      <c r="HS13">
        <f>HS12*IF(OR($C12=122,$G12=122),0,1)</f>
        <v/>
      </c>
      <c r="HT13">
        <f>HT12*IF(OR($C12=123,$G12=123),0,1)</f>
        <v/>
      </c>
      <c r="HU13">
        <f>HU12*IF(OR($C12=124,$G12=124),0,1)</f>
        <v/>
      </c>
      <c r="HV13">
        <f>HV12*IF(OR($C12=125,$G12=125),0,1)</f>
        <v/>
      </c>
      <c r="HW13">
        <f>HW12*IF(OR($C12=126,$G12=126),0,1)</f>
        <v/>
      </c>
      <c r="HX13">
        <f>HX12*IF(OR($C12=127,$G12=127),0,1)</f>
        <v/>
      </c>
      <c r="HY13">
        <f>HY12*IF(OR($C12=128,$G12=128),0,1)</f>
        <v/>
      </c>
      <c r="HZ13">
        <f>HZ12*IF(OR($C12=129,$G12=129),0,1)</f>
        <v/>
      </c>
      <c r="IA13">
        <f>IA12*IF(OR($C12=130,$G12=130),0,1)</f>
        <v/>
      </c>
      <c r="IB13">
        <f>IB12*IF(OR($C12=131,$G12=131),0,1)</f>
        <v/>
      </c>
      <c r="IC13">
        <f>IC12*IF(OR($C12=132,$G12=132),0,1)</f>
        <v/>
      </c>
      <c r="ID13">
        <f>ID12*IF(OR($C12=133,$G12=133),0,1)</f>
        <v/>
      </c>
      <c r="IE13">
        <f>IE12*IF(OR($C12=134,$G12=134),0,1)</f>
        <v/>
      </c>
      <c r="IF13">
        <f>IF12*IF(OR($C12=135,$G12=135),0,1)</f>
        <v/>
      </c>
      <c r="IG13">
        <f>IG12*IF(OR($C12=136,$G12=136),0,1)</f>
        <v/>
      </c>
      <c r="IH13">
        <f>IH12*IF(OR($C12=137,$G12=137),0,1)</f>
        <v/>
      </c>
      <c r="II13">
        <f>II12*IF(OR($C12=138,$G12=138),0,1)</f>
        <v/>
      </c>
      <c r="IJ13">
        <f>IJ12*IF(OR($C12=139,$G12=139),0,1)</f>
        <v/>
      </c>
      <c r="IK13">
        <f>IK12*IF(OR($C12=140,$G12=140),0,1)</f>
        <v/>
      </c>
      <c r="IL13">
        <f>IL12*IF(OR($C12=141,$G12=141),0,1)</f>
        <v/>
      </c>
      <c r="IM13">
        <f>IM12*IF(OR($C12=142,$G12=142),0,1)</f>
        <v/>
      </c>
      <c r="IN13">
        <f>IN12*IF(OR($C12=143,$G12=143),0,1)</f>
        <v/>
      </c>
      <c r="IO13">
        <f>IO12*IF(OR($C12=144,$G12=144),0,1)</f>
        <v/>
      </c>
      <c r="IQ13">
        <f>IF('計算A'!D$106=1,DC13,1)</f>
        <v/>
      </c>
      <c r="IR13">
        <f>IF('計算A'!E$106=1,DD13,1)</f>
        <v/>
      </c>
      <c r="IS13">
        <f>IF('計算A'!F$106=1,DE13,1)</f>
        <v/>
      </c>
      <c r="IT13">
        <f>IF('計算A'!G$106=1,DF13,1)</f>
        <v/>
      </c>
      <c r="IU13">
        <f>IF('計算A'!H$106=1,DG13,1)</f>
        <v/>
      </c>
      <c r="IV13">
        <f>IF('計算A'!I$106=1,DH13,1)</f>
        <v/>
      </c>
      <c r="IW13">
        <f>IF('計算A'!J$106=1,DI13,1)</f>
        <v/>
      </c>
      <c r="IX13">
        <f>IF('計算A'!K$106=1,DJ13,1)</f>
        <v/>
      </c>
      <c r="IY13">
        <f>IF('計算A'!L$106=1,DK13,1)</f>
        <v/>
      </c>
      <c r="IZ13">
        <f>IF('計算A'!M$106=1,DL13,1)</f>
        <v/>
      </c>
      <c r="JA13">
        <f>IF('計算A'!N$106=1,DM13,1)</f>
        <v/>
      </c>
      <c r="JB13">
        <f>IF('計算A'!O$106=1,DN13,1)</f>
        <v/>
      </c>
      <c r="JC13">
        <f>IF('計算A'!P$106=1,DO13,1)</f>
        <v/>
      </c>
      <c r="JD13">
        <f>IF('計算A'!Q$106=1,DP13,1)</f>
        <v/>
      </c>
      <c r="JE13">
        <f>IF('計算A'!R$106=1,DQ13,1)</f>
        <v/>
      </c>
      <c r="JF13">
        <f>IF('計算A'!S$106=1,DR13,1)</f>
        <v/>
      </c>
      <c r="JG13">
        <f>IF('計算A'!T$106=1,DS13,1)</f>
        <v/>
      </c>
      <c r="JH13">
        <f>IF('計算A'!U$106=1,DT13,1)</f>
        <v/>
      </c>
      <c r="JI13">
        <f>IF('計算A'!V$106=1,DU13,1)</f>
        <v/>
      </c>
      <c r="JJ13">
        <f>IF('計算A'!W$106=1,DV13,1)</f>
        <v/>
      </c>
      <c r="JK13">
        <f>IF('計算A'!X$106=1,DW13,1)</f>
        <v/>
      </c>
      <c r="JL13">
        <f>IF('計算A'!Y$106=1,DX13,1)</f>
        <v/>
      </c>
      <c r="JM13">
        <f>IF('計算A'!Z$106=1,DY13,1)</f>
        <v/>
      </c>
      <c r="JN13">
        <f>IF('計算A'!AA$106=1,DZ13,1)</f>
        <v/>
      </c>
      <c r="JO13">
        <f>IF('計算A'!AB$106=1,EA13,1)</f>
        <v/>
      </c>
      <c r="JP13">
        <f>IF('計算A'!AC$106=1,EB13,1)</f>
        <v/>
      </c>
      <c r="JQ13">
        <f>IF('計算A'!AD$106=1,EC13,1)</f>
        <v/>
      </c>
      <c r="JR13">
        <f>IF('計算A'!AE$106=1,ED13,1)</f>
        <v/>
      </c>
      <c r="JS13">
        <f>IF('計算A'!AF$106=1,EE13,1)</f>
        <v/>
      </c>
      <c r="JT13">
        <f>IF('計算A'!AG$106=1,EF13,1)</f>
        <v/>
      </c>
      <c r="JU13">
        <f>IF('計算A'!AH$106=1,EG13,1)</f>
        <v/>
      </c>
      <c r="JV13">
        <f>IF('計算A'!AI$106=1,EH13,1)</f>
        <v/>
      </c>
      <c r="JW13">
        <f>IF('計算A'!AJ$106=1,EI13,1)</f>
        <v/>
      </c>
      <c r="JX13">
        <f>IF('計算A'!AK$106=1,EJ13,1)</f>
        <v/>
      </c>
      <c r="JY13">
        <f>IF('計算A'!AL$106=1,EK13,1)</f>
        <v/>
      </c>
      <c r="JZ13">
        <f>IF('計算A'!AM$106=1,EL13,1)</f>
        <v/>
      </c>
      <c r="KA13">
        <f>IF('計算A'!AN$106=1,EM13,1)</f>
        <v/>
      </c>
      <c r="KB13">
        <f>IF('計算A'!AO$106=1,EN13,1)</f>
        <v/>
      </c>
      <c r="KC13">
        <f>IF('計算A'!AP$106=1,EO13,1)</f>
        <v/>
      </c>
      <c r="KD13">
        <f>IF('計算A'!AQ$106=1,EP13,1)</f>
        <v/>
      </c>
      <c r="KE13">
        <f>IF('計算A'!AR$106=1,EQ13,1)</f>
        <v/>
      </c>
      <c r="KF13">
        <f>IF('計算A'!AS$106=1,ER13,1)</f>
        <v/>
      </c>
      <c r="KG13">
        <f>IF('計算A'!AT$106=1,ES13,1)</f>
        <v/>
      </c>
      <c r="KH13">
        <f>IF('計算A'!AU$106=1,ET13,1)</f>
        <v/>
      </c>
      <c r="KI13">
        <f>IF('計算A'!AV$106=1,EU13,1)</f>
        <v/>
      </c>
      <c r="KJ13">
        <f>IF('計算A'!AW$106=1,EV13,1)</f>
        <v/>
      </c>
      <c r="KK13">
        <f>IF('計算A'!AX$106=1,EW13,1)</f>
        <v/>
      </c>
      <c r="KL13">
        <f>IF('計算A'!AY$106=1,EX13,1)</f>
        <v/>
      </c>
      <c r="KM13">
        <f>IF('計算A'!AZ$106=1,EY13,1)</f>
        <v/>
      </c>
      <c r="KN13">
        <f>IF('計算A'!BA$106=1,EZ13,1)</f>
        <v/>
      </c>
      <c r="KO13">
        <f>IF('計算A'!BB$106=1,FA13,1)</f>
        <v/>
      </c>
      <c r="KP13">
        <f>IF('計算A'!BC$106=1,FB13,1)</f>
        <v/>
      </c>
      <c r="KQ13">
        <f>IF('計算A'!BD$106=1,FC13,1)</f>
        <v/>
      </c>
      <c r="KR13">
        <f>IF('計算A'!BE$106=1,FD13,1)</f>
        <v/>
      </c>
      <c r="KS13">
        <f>IF('計算A'!BF$106=1,FE13,1)</f>
        <v/>
      </c>
      <c r="KT13">
        <f>IF('計算A'!BG$106=1,FF13,1)</f>
        <v/>
      </c>
      <c r="KU13">
        <f>IF('計算A'!BH$106=1,FG13,1)</f>
        <v/>
      </c>
      <c r="KV13">
        <f>IF('計算A'!BI$106=1,FH13,1)</f>
        <v/>
      </c>
      <c r="KW13">
        <f>IF('計算A'!BJ$106=1,FI13,1)</f>
        <v/>
      </c>
      <c r="KX13">
        <f>IF('計算A'!BK$106=1,FJ13,1)</f>
        <v/>
      </c>
      <c r="KY13">
        <f>IF('計算A'!BL$106=1,FK13,1)</f>
        <v/>
      </c>
      <c r="KZ13">
        <f>IF('計算A'!BM$106=1,FL13,1)</f>
        <v/>
      </c>
      <c r="LA13">
        <f>IF('計算A'!BN$106=1,FM13,1)</f>
        <v/>
      </c>
      <c r="LB13">
        <f>IF('計算A'!BO$106=1,FN13,1)</f>
        <v/>
      </c>
      <c r="LC13">
        <f>IF('計算A'!BP$106=1,FO13,1)</f>
        <v/>
      </c>
      <c r="LD13">
        <f>IF('計算A'!BQ$106=1,FP13,1)</f>
        <v/>
      </c>
      <c r="LE13">
        <f>IF('計算A'!BR$106=1,FQ13,1)</f>
        <v/>
      </c>
      <c r="LF13">
        <f>IF('計算A'!BS$106=1,FR13,1)</f>
        <v/>
      </c>
      <c r="LG13">
        <f>IF('計算A'!BT$106=1,FS13,1)</f>
        <v/>
      </c>
      <c r="LH13">
        <f>IF('計算A'!BU$106=1,FT13,1)</f>
        <v/>
      </c>
      <c r="LI13">
        <f>IF('計算A'!BV$106=1,FU13,1)</f>
        <v/>
      </c>
      <c r="LJ13">
        <f>IF('計算A'!BW$106=1,FV13,1)</f>
        <v/>
      </c>
      <c r="LK13">
        <f>IF('計算A'!BX$106=1,FW13,1)</f>
        <v/>
      </c>
      <c r="LL13">
        <f>IF('計算A'!BY$106=1,FX13,1)</f>
        <v/>
      </c>
      <c r="LM13">
        <f>IF('計算A'!BZ$106=1,FY13,1)</f>
        <v/>
      </c>
      <c r="LN13">
        <f>IF('計算A'!CA$106=1,FZ13,1)</f>
        <v/>
      </c>
      <c r="LO13">
        <f>IF('計算A'!CB$106=1,GA13,1)</f>
        <v/>
      </c>
      <c r="LP13">
        <f>IF('計算A'!CC$106=1,GB13,1)</f>
        <v/>
      </c>
      <c r="LQ13">
        <f>IF('計算A'!CD$106=1,GC13,1)</f>
        <v/>
      </c>
      <c r="LR13">
        <f>IF('計算A'!CE$106=1,GD13,1)</f>
        <v/>
      </c>
      <c r="LS13">
        <f>IF('計算A'!CF$106=1,GE13,1)</f>
        <v/>
      </c>
      <c r="LT13">
        <f>IF('計算A'!CG$106=1,GF13,1)</f>
        <v/>
      </c>
      <c r="LU13">
        <f>IF('計算A'!CH$106=1,GG13,1)</f>
        <v/>
      </c>
      <c r="LV13">
        <f>IF('計算A'!CI$106=1,GH13,1)</f>
        <v/>
      </c>
      <c r="LW13">
        <f>IF('計算A'!CJ$106=1,GI13,1)</f>
        <v/>
      </c>
      <c r="LX13">
        <f>IF('計算A'!CK$106=1,GJ13,1)</f>
        <v/>
      </c>
      <c r="LY13">
        <f>IF('計算A'!CL$106=1,GK13,1)</f>
        <v/>
      </c>
      <c r="LZ13">
        <f>IF('計算A'!CM$106=1,GL13,1)</f>
        <v/>
      </c>
      <c r="MA13">
        <f>IF('計算A'!CN$106=1,GM13,1)</f>
        <v/>
      </c>
      <c r="MB13">
        <f>IF('計算A'!CO$106=1,GN13,1)</f>
        <v/>
      </c>
      <c r="MC13">
        <f>IF('計算A'!CP$106=1,GO13,1)</f>
        <v/>
      </c>
      <c r="MD13">
        <f>IF('計算A'!CQ$106=1,GP13,1)</f>
        <v/>
      </c>
      <c r="ME13">
        <f>IF('計算A'!CR$106=1,GQ13,1)</f>
        <v/>
      </c>
      <c r="MF13">
        <f>IF('計算A'!CS$106=1,GR13,1)</f>
        <v/>
      </c>
      <c r="MG13">
        <f>IF('計算A'!CT$106=1,GS13,1)</f>
        <v/>
      </c>
      <c r="MH13">
        <f>IF('計算A'!CU$106=1,GT13,1)</f>
        <v/>
      </c>
      <c r="MI13">
        <f>IF('計算A'!CV$106=1,GU13,1)</f>
        <v/>
      </c>
      <c r="MJ13">
        <f>IF('計算A'!CW$106=1,GV13,1)</f>
        <v/>
      </c>
      <c r="MK13">
        <f>IF('計算A'!CX$106=1,GW13,1)</f>
        <v/>
      </c>
      <c r="ML13">
        <f>IF('計算A'!CY$106=1,GX13,1)</f>
        <v/>
      </c>
      <c r="MM13">
        <f>IF('計算A'!CZ$106=1,GY13,1)</f>
        <v/>
      </c>
      <c r="MN13">
        <f>IF('計算A'!DA$106=1,GZ13,1)</f>
        <v/>
      </c>
      <c r="MO13">
        <f>IF('計算A'!DB$106=1,HA13,1)</f>
        <v/>
      </c>
      <c r="MP13">
        <f>IF('計算A'!DC$106=1,HB13,1)</f>
        <v/>
      </c>
      <c r="MQ13">
        <f>IF('計算A'!DD$106=1,HC13,1)</f>
        <v/>
      </c>
      <c r="MR13">
        <f>IF('計算A'!DE$106=1,HD13,1)</f>
        <v/>
      </c>
      <c r="MS13">
        <f>IF('計算A'!DF$106=1,HE13,1)</f>
        <v/>
      </c>
      <c r="MT13">
        <f>IF('計算A'!DG$106=1,HF13,1)</f>
        <v/>
      </c>
      <c r="MU13">
        <f>IF('計算A'!DH$106=1,HG13,1)</f>
        <v/>
      </c>
      <c r="MV13">
        <f>IF('計算A'!DI$106=1,HH13,1)</f>
        <v/>
      </c>
      <c r="MW13">
        <f>IF('計算A'!DJ$106=1,HI13,1)</f>
        <v/>
      </c>
      <c r="MX13">
        <f>IF('計算A'!DK$106=1,HJ13,1)</f>
        <v/>
      </c>
      <c r="MY13">
        <f>IF('計算A'!DL$106=1,HK13,1)</f>
        <v/>
      </c>
      <c r="MZ13">
        <f>IF('計算A'!DM$106=1,HL13,1)</f>
        <v/>
      </c>
      <c r="NA13">
        <f>IF('計算A'!DN$106=1,HM13,1)</f>
        <v/>
      </c>
      <c r="NB13">
        <f>IF('計算A'!DO$106=1,HN13,1)</f>
        <v/>
      </c>
      <c r="NC13">
        <f>IF('計算A'!DP$106=1,HO13,1)</f>
        <v/>
      </c>
      <c r="ND13">
        <f>IF('計算A'!DQ$106=1,HP13,1)</f>
        <v/>
      </c>
      <c r="NE13">
        <f>IF('計算A'!DR$106=1,HQ13,1)</f>
        <v/>
      </c>
      <c r="NF13">
        <f>IF('計算A'!DS$106=1,HR13,1)</f>
        <v/>
      </c>
      <c r="NG13">
        <f>IF('計算A'!DT$106=1,HS13,1)</f>
        <v/>
      </c>
      <c r="NH13">
        <f>IF('計算A'!DU$106=1,HT13,1)</f>
        <v/>
      </c>
      <c r="NI13">
        <f>IF('計算A'!DV$106=1,HU13,1)</f>
        <v/>
      </c>
      <c r="NJ13">
        <f>IF('計算A'!DW$106=1,HV13,1)</f>
        <v/>
      </c>
      <c r="NK13">
        <f>IF('計算A'!DX$106=1,HW13,1)</f>
        <v/>
      </c>
      <c r="NL13">
        <f>IF('計算A'!DY$106=1,HX13,1)</f>
        <v/>
      </c>
      <c r="NM13">
        <f>IF('計算A'!DZ$106=1,HY13,1)</f>
        <v/>
      </c>
      <c r="NN13">
        <f>IF('計算A'!EA$106=1,HZ13,1)</f>
        <v/>
      </c>
      <c r="NO13">
        <f>IF('計算A'!EB$106=1,IA13,1)</f>
        <v/>
      </c>
      <c r="NP13">
        <f>IF('計算A'!EC$106=1,IB13,1)</f>
        <v/>
      </c>
      <c r="NQ13">
        <f>IF('計算A'!ED$106=1,IC13,1)</f>
        <v/>
      </c>
      <c r="NR13">
        <f>IF('計算A'!EE$106=1,ID13,1)</f>
        <v/>
      </c>
      <c r="NS13">
        <f>IF('計算A'!EF$106=1,IE13,1)</f>
        <v/>
      </c>
      <c r="NT13">
        <f>IF('計算A'!EG$106=1,IF13,1)</f>
        <v/>
      </c>
      <c r="NU13">
        <f>IF('計算A'!EH$106=1,IG13,1)</f>
        <v/>
      </c>
      <c r="NV13">
        <f>IF('計算A'!EI$106=1,IH13,1)</f>
        <v/>
      </c>
      <c r="NW13">
        <f>IF('計算A'!EJ$106=1,II13,1)</f>
        <v/>
      </c>
      <c r="NX13">
        <f>IF('計算A'!EK$106=1,IJ13,1)</f>
        <v/>
      </c>
      <c r="NY13">
        <f>IF('計算A'!EL$106=1,IK13,1)</f>
        <v/>
      </c>
      <c r="NZ13">
        <f>IF('計算A'!EM$106=1,IL13,1)</f>
        <v/>
      </c>
      <c r="OA13">
        <f>IF('計算A'!EN$106=1,IM13,1)</f>
        <v/>
      </c>
      <c r="OB13">
        <f>IF('計算A'!EO$106=1,IN13,1)</f>
        <v/>
      </c>
      <c r="OC13">
        <f>IF('計算A'!EP$106=1,IO13,1)</f>
        <v/>
      </c>
      <c r="OD13" t="n">
        <v>1</v>
      </c>
      <c r="OF13">
        <f>IF($B13=0,1000000,IF(INDEX('計算A'!$D$60:$EQ$104,$B13,1)*DB13=1,IF(AND($E13=2,IQ13=0),1000000,IF($I13&gt;0,IF(1=$J13,IF(OR(AND(1=$I13+1,OR($K13&lt;&gt;'計算A'!$A$3,'計算A'!$A$4=0)),AND(1=$I13-1,OR(1&lt;&gt;'計算A'!$A$3,'計算A'!$A$4=0))),0,IF(1=$K13,200000,ABS(1-$K13)*100)),100000+ABS(1-$J13)*1000+10)+'計算A'!D$5*50+IF(AND($E13=1,IQ13=0),25,0),INDEX('計算A'!D$110:D$114,$F13+1)+IF(AND($E13=1,IQ13=0),1000,0)+IF($H13=1,(IF('計算A'!D$117=1,INDEX('計算A'!E$10:E$54,$B13),0))*500,0)-IF(AND($L13=1,'計算A'!D$117=1,DC13=0),300,0))),1000000))</f>
        <v/>
      </c>
      <c r="OG13">
        <f>IF($B13=0,1000000,IF(INDEX('計算A'!$D$60:$EQ$104,$B13,2)*DC13=1,IF(AND($E13=2,IR13=0),1000000,IF($I13&gt;0,IF(1=$J13,IF(OR(AND(2=$I13+1,OR($K13&lt;&gt;'計算A'!$A$3,'計算A'!$A$4=0)),AND(2=$I13-1,OR(2&lt;&gt;'計算A'!$A$3,'計算A'!$A$4=0))),0,IF(2=$K13,200000,ABS(2-$K13)*100)),100000+ABS(1-$J13)*1000+20)+'計算A'!E$5*50+IF(AND($E13=1,IR13=0),25,0),INDEX('計算A'!E$110:E$114,$F13+1)+IF(AND($E13=1,IR13=0),1000,0)+IF($H13=1,(IF('計算A'!D$117=1,INDEX('計算A'!D$10:D$54,$B13),0)+IF('計算A'!E$117=1,INDEX('計算A'!F$10:F$54,$B13),0))*500,0)-IF(AND('計算A'!D$117=1,UB13&gt;0),300,0)-IF(AND($L13=1,'計算A'!E$117=1,DD13=0),300,0))),1000000))</f>
        <v/>
      </c>
      <c r="OH13">
        <f>IF($B13=0,1000000,IF(INDEX('計算A'!$D$60:$EQ$104,$B13,3)*DD13=1,IF(AND($E13=2,IS13=0),1000000,IF($I13&gt;0,IF(1=$J13,IF(OR(AND(3=$I13+1,OR($K13&lt;&gt;'計算A'!$A$3,'計算A'!$A$4=0)),AND(3=$I13-1,OR(3&lt;&gt;'計算A'!$A$3,'計算A'!$A$4=0))),0,IF(3=$K13,200000,ABS(3-$K13)*100)),100000+ABS(1-$J13)*1000+30)+'計算A'!F$5*50+IF(AND($E13=1,IS13=0),25,0),INDEX('計算A'!F$110:F$114,$F13+1)+IF(AND($E13=1,IS13=0),1000,0)+IF($H13=1,(IF('計算A'!E$117=1,INDEX('計算A'!E$10:E$54,$B13),0)+IF('計算A'!F$117=1,INDEX('計算A'!G$10:G$54,$B13),0))*500,0)-IF(AND('計算A'!E$117=1,UC13&gt;0),300,0)-IF(AND($L13=1,'計算A'!F$117=1,DE13=0),300,0))),1000000))</f>
        <v/>
      </c>
      <c r="OI13">
        <f>IF($B13=0,1000000,IF(INDEX('計算A'!$D$60:$EQ$104,$B13,4)*DE13=1,IF(AND($E13=2,IT13=0),1000000,IF($I13&gt;0,IF(1=$J13,IF(OR(AND(4=$I13+1,OR($K13&lt;&gt;'計算A'!$A$3,'計算A'!$A$4=0)),AND(4=$I13-1,OR(4&lt;&gt;'計算A'!$A$3,'計算A'!$A$4=0))),0,IF(4=$K13,200000,ABS(4-$K13)*100)),100000+ABS(1-$J13)*1000+40)+'計算A'!G$5*50+IF(AND($E13=1,IT13=0),25,0),INDEX('計算A'!G$110:G$114,$F13+1)+IF(AND($E13=1,IT13=0),1000,0)+IF($H13=1,(IF('計算A'!F$117=1,INDEX('計算A'!F$10:F$54,$B13),0)+IF('計算A'!G$117=1,INDEX('計算A'!H$10:H$54,$B13),0))*500,0)-IF(AND('計算A'!F$117=1,UD13&gt;0),300,0)-IF(AND($L13=1,'計算A'!G$117=1,DF13=0),300,0))),1000000))</f>
        <v/>
      </c>
      <c r="OJ13">
        <f>IF($B13=0,1000000,IF(INDEX('計算A'!$D$60:$EQ$104,$B13,5)*DF13=1,IF(AND($E13=2,IU13=0),1000000,IF($I13&gt;0,IF(1=$J13,IF(OR(AND(5=$I13+1,OR($K13&lt;&gt;'計算A'!$A$3,'計算A'!$A$4=0)),AND(5=$I13-1,OR(5&lt;&gt;'計算A'!$A$3,'計算A'!$A$4=0))),0,IF(5=$K13,200000,ABS(5-$K13)*100)),100000+ABS(1-$J13)*1000+50)+'計算A'!H$5*50+IF(AND($E13=1,IU13=0),25,0),INDEX('計算A'!H$110:H$114,$F13+1)+IF(AND($E13=1,IU13=0),1000,0)+IF($H13=1,(IF('計算A'!G$117=1,INDEX('計算A'!G$10:G$54,$B13),0)+IF('計算A'!H$117=1,INDEX('計算A'!I$10:I$54,$B13),0))*500,0)-IF(AND('計算A'!G$117=1,UE13&gt;0),300,0)-IF(AND($L13=1,'計算A'!H$117=1,DG13=0),300,0))),1000000))</f>
        <v/>
      </c>
      <c r="OK13">
        <f>IF($B13=0,1000000,IF(INDEX('計算A'!$D$60:$EQ$104,$B13,6)*DG13=1,IF(AND($E13=2,IV13=0),1000000,IF($I13&gt;0,IF(1=$J13,IF(OR(AND(6=$I13+1,OR($K13&lt;&gt;'計算A'!$A$3,'計算A'!$A$4=0)),AND(6=$I13-1,OR(6&lt;&gt;'計算A'!$A$3,'計算A'!$A$4=0))),0,IF(6=$K13,200000,ABS(6-$K13)*100)),100000+ABS(1-$J13)*1000+60)+'計算A'!I$5*50+IF(AND($E13=1,IV13=0),25,0),INDEX('計算A'!I$110:I$114,$F13+1)+IF(AND($E13=1,IV13=0),1000,0)+IF($H13=1,(IF('計算A'!H$117=1,INDEX('計算A'!H$10:H$54,$B13),0)+IF('計算A'!I$117=1,INDEX('計算A'!J$10:J$54,$B13),0))*500,0)-IF(AND('計算A'!H$117=1,UF13&gt;0),300,0)-IF(AND($L13=1,'計算A'!I$117=1,DH13=0),300,0))),1000000))</f>
        <v/>
      </c>
      <c r="OL13">
        <f>IF($B13=0,1000000,IF(INDEX('計算A'!$D$60:$EQ$104,$B13,7)*DH13=1,IF(AND($E13=2,IW13=0),1000000,IF($I13&gt;0,IF(1=$J13,IF(OR(AND(7=$I13+1,OR($K13&lt;&gt;'計算A'!$A$3,'計算A'!$A$4=0)),AND(7=$I13-1,OR(7&lt;&gt;'計算A'!$A$3,'計算A'!$A$4=0))),0,IF(7=$K13,200000,ABS(7-$K13)*100)),100000+ABS(1-$J13)*1000+70)+'計算A'!J$5*50+IF(AND($E13=1,IW13=0),25,0),INDEX('計算A'!J$110:J$114,$F13+1)+IF(AND($E13=1,IW13=0),1000,0)+IF($H13=1,(IF('計算A'!I$117=1,INDEX('計算A'!I$10:I$54,$B13),0)+IF('計算A'!J$117=1,INDEX('計算A'!K$10:K$54,$B13),0))*500,0)-IF(AND('計算A'!I$117=1,UG13&gt;0),300,0)-IF(AND($L13=1,'計算A'!J$117=1,DI13=0),300,0))),1000000))</f>
        <v/>
      </c>
      <c r="OM13">
        <f>IF($B13=0,1000000,IF(INDEX('計算A'!$D$60:$EQ$104,$B13,8)*DI13=1,IF(AND($E13=2,IX13=0),1000000,IF($I13&gt;0,IF(1=$J13,IF(OR(AND(8=$I13+1,OR($K13&lt;&gt;'計算A'!$A$3,'計算A'!$A$4=0)),AND(8=$I13-1,OR(8&lt;&gt;'計算A'!$A$3,'計算A'!$A$4=0))),0,IF(8=$K13,200000,ABS(8-$K13)*100)),100000+ABS(1-$J13)*1000+80)+'計算A'!K$5*50+IF(AND($E13=1,IX13=0),25,0),INDEX('計算A'!K$110:K$114,$F13+1)+IF(AND($E13=1,IX13=0),1000,0)+IF($H13=1,(IF('計算A'!J$117=1,INDEX('計算A'!J$10:J$54,$B13),0)+IF('計算A'!K$117=1,INDEX('計算A'!L$10:L$54,$B13),0))*500,0)-IF(AND('計算A'!J$117=1,UH13&gt;0),300,0)-IF(AND($L13=1,'計算A'!K$117=1,DJ13=0),300,0))),1000000))</f>
        <v/>
      </c>
      <c r="ON13">
        <f>IF($B13=0,1000000,IF(INDEX('計算A'!$D$60:$EQ$104,$B13,9)*DJ13=1,IF(AND($E13=2,IY13=0),1000000,IF($I13&gt;0,IF(1=$J13,IF(OR(AND(9=$I13+1,OR($K13&lt;&gt;'計算A'!$A$3,'計算A'!$A$4=0)),AND(9=$I13-1,OR(9&lt;&gt;'計算A'!$A$3,'計算A'!$A$4=0))),0,IF(9=$K13,200000,ABS(9-$K13)*100)),100000+ABS(1-$J13)*1000+90)+'計算A'!L$5*50+IF(AND($E13=1,IY13=0),25,0),INDEX('計算A'!L$110:L$114,$F13+1)+IF(AND($E13=1,IY13=0),1000,0)+IF($H13=1,(IF('計算A'!K$117=1,INDEX('計算A'!K$10:K$54,$B13),0)+IF('計算A'!L$117=1,INDEX('計算A'!M$10:M$54,$B13),0))*500,0)-IF(AND('計算A'!K$117=1,UI13&gt;0),300,0)-IF(AND($L13=1,'計算A'!L$117=1,DK13=0),300,0))),1000000))</f>
        <v/>
      </c>
      <c r="OO13">
        <f>IF($B13=0,1000000,IF(INDEX('計算A'!$D$60:$EQ$104,$B13,10)*DK13=1,IF(AND($E13=2,IZ13=0),1000000,IF($I13&gt;0,IF(1=$J13,IF(OR(AND(10=$I13+1,OR($K13&lt;&gt;'計算A'!$A$3,'計算A'!$A$4=0)),AND(10=$I13-1,OR(10&lt;&gt;'計算A'!$A$3,'計算A'!$A$4=0))),0,IF(10=$K13,200000,ABS(10-$K13)*100)),100000+ABS(1-$J13)*1000+100)+'計算A'!M$5*50+IF(AND($E13=1,IZ13=0),25,0),INDEX('計算A'!M$110:M$114,$F13+1)+IF(AND($E13=1,IZ13=0),1000,0)+IF($H13=1,(IF('計算A'!L$117=1,INDEX('計算A'!L$10:L$54,$B13),0)+IF('計算A'!M$117=1,INDEX('計算A'!N$10:N$54,$B13),0))*500,0)-IF(AND('計算A'!L$117=1,UJ13&gt;0),300,0)-IF(AND($L13=1,'計算A'!M$117=1,DL13=0),300,0))),1000000))</f>
        <v/>
      </c>
      <c r="OP13">
        <f>IF($B13=0,1000000,IF(INDEX('計算A'!$D$60:$EQ$104,$B13,11)*DL13=1,IF(AND($E13=2,JA13=0),1000000,IF($I13&gt;0,IF(1=$J13,IF(OR(AND(11=$I13+1,OR($K13&lt;&gt;'計算A'!$A$3,'計算A'!$A$4=0)),AND(11=$I13-1,OR(11&lt;&gt;'計算A'!$A$3,'計算A'!$A$4=0))),0,IF(11=$K13,200000,ABS(11-$K13)*100)),100000+ABS(1-$J13)*1000+110)+'計算A'!N$5*50+IF(AND($E13=1,JA13=0),25,0),INDEX('計算A'!N$110:N$114,$F13+1)+IF(AND($E13=1,JA13=0),1000,0)+IF($H13=1,(IF('計算A'!M$117=1,INDEX('計算A'!M$10:M$54,$B13),0)+IF('計算A'!N$117=1,INDEX('計算A'!O$10:O$54,$B13),0))*500,0)-IF(AND('計算A'!M$117=1,UK13&gt;0),300,0)-IF(AND($L13=1,'計算A'!N$117=1,DM13=0),300,0))),1000000))</f>
        <v/>
      </c>
      <c r="OQ13">
        <f>IF($B13=0,1000000,IF(INDEX('計算A'!$D$60:$EQ$104,$B13,12)*DM13=1,IF(AND($E13=2,JB13=0),1000000,IF($I13&gt;0,IF(1=$J13,IF(OR(AND(12=$I13+1,OR($K13&lt;&gt;'計算A'!$A$3,'計算A'!$A$4=0)),AND(12=$I13-1,OR(12&lt;&gt;'計算A'!$A$3,'計算A'!$A$4=0))),0,IF(12=$K13,200000,ABS(12-$K13)*100)),100000+ABS(1-$J13)*1000+120)+'計算A'!O$5*50+IF(AND($E13=1,JB13=0),25,0),INDEX('計算A'!O$110:O$114,$F13+1)+IF(AND($E13=1,JB13=0),1000,0)+IF($H13=1,(IF('計算A'!N$117=1,INDEX('計算A'!N$10:N$54,$B13),0)+IF('計算A'!O$117=1,INDEX('計算A'!P$10:P$54,$B13),0))*500,0)-IF(AND('計算A'!N$117=1,UL13&gt;0),300,0)-IF(AND($L13=1,'計算A'!O$117=1,DN13=0),300,0))),1000000))</f>
        <v/>
      </c>
      <c r="OR13">
        <f>IF($B13=0,1000000,IF(INDEX('計算A'!$D$60:$EQ$104,$B13,13)*DN13=1,IF(AND($E13=2,JC13=0),1000000,IF($I13&gt;0,IF(1=$J13,IF(OR(AND(13=$I13+1,OR($K13&lt;&gt;'計算A'!$A$3,'計算A'!$A$4=0)),AND(13=$I13-1,OR(13&lt;&gt;'計算A'!$A$3,'計算A'!$A$4=0))),0,IF(13=$K13,200000,ABS(13-$K13)*100)),100000+ABS(1-$J13)*1000+130)+'計算A'!P$5*50+IF(AND($E13=1,JC13=0),25,0),INDEX('計算A'!P$110:P$114,$F13+1)+IF(AND($E13=1,JC13=0),1000,0)+IF($H13=1,(IF('計算A'!O$117=1,INDEX('計算A'!O$10:O$54,$B13),0)+IF('計算A'!P$117=1,INDEX('計算A'!Q$10:Q$54,$B13),0))*500,0)-IF(AND('計算A'!O$117=1,UM13&gt;0),300,0)-IF(AND($L13=1,'計算A'!P$117=1,DO13=0),300,0))),1000000))</f>
        <v/>
      </c>
      <c r="OS13">
        <f>IF($B13=0,1000000,IF(INDEX('計算A'!$D$60:$EQ$104,$B13,14)*DO13=1,IF(AND($E13=2,JD13=0),1000000,IF($I13&gt;0,IF(1=$J13,IF(OR(AND(14=$I13+1,OR($K13&lt;&gt;'計算A'!$A$3,'計算A'!$A$4=0)),AND(14=$I13-1,OR(14&lt;&gt;'計算A'!$A$3,'計算A'!$A$4=0))),0,IF(14=$K13,200000,ABS(14-$K13)*100)),100000+ABS(1-$J13)*1000+140)+'計算A'!Q$5*50+IF(AND($E13=1,JD13=0),25,0),INDEX('計算A'!Q$110:Q$114,$F13+1)+IF(AND($E13=1,JD13=0),1000,0)+IF($H13=1,(IF('計算A'!P$117=1,INDEX('計算A'!P$10:P$54,$B13),0)+IF('計算A'!Q$117=1,INDEX('計算A'!R$10:R$54,$B13),0))*500,0)-IF(AND('計算A'!P$117=1,UN13&gt;0),300,0)-IF(AND($L13=1,'計算A'!Q$117=1,DP13=0),300,0))),1000000))</f>
        <v/>
      </c>
      <c r="OT13">
        <f>IF($B13=0,1000000,IF(INDEX('計算A'!$D$60:$EQ$104,$B13,15)*DP13=1,IF(AND($E13=2,JE13=0),1000000,IF($I13&gt;0,IF(1=$J13,IF(OR(AND(15=$I13+1,OR($K13&lt;&gt;'計算A'!$A$3,'計算A'!$A$4=0)),AND(15=$I13-1,OR(15&lt;&gt;'計算A'!$A$3,'計算A'!$A$4=0))),0,IF(15=$K13,200000,ABS(15-$K13)*100)),100000+ABS(1-$J13)*1000+150)+'計算A'!R$5*50+IF(AND($E13=1,JE13=0),25,0),INDEX('計算A'!R$110:R$114,$F13+1)+IF(AND($E13=1,JE13=0),1000,0)+IF($H13=1,(IF('計算A'!Q$117=1,INDEX('計算A'!Q$10:Q$54,$B13),0)+IF('計算A'!R$117=1,INDEX('計算A'!S$10:S$54,$B13),0))*500,0)-IF(AND('計算A'!Q$117=1,UO13&gt;0),300,0)-IF(AND($L13=1,'計算A'!R$117=1,DQ13=0),300,0))),1000000))</f>
        <v/>
      </c>
      <c r="OU13">
        <f>IF($B13=0,1000000,IF(INDEX('計算A'!$D$60:$EQ$104,$B13,16)*DQ13=1,IF(AND($E13=2,JF13=0),1000000,IF($I13&gt;0,IF(1=$J13,IF(OR(AND(16=$I13+1,OR($K13&lt;&gt;'計算A'!$A$3,'計算A'!$A$4=0)),AND(16=$I13-1,OR(16&lt;&gt;'計算A'!$A$3,'計算A'!$A$4=0))),0,IF(16=$K13,200000,ABS(16-$K13)*100)),100000+ABS(1-$J13)*1000+160)+'計算A'!S$5*50+IF(AND($E13=1,JF13=0),25,0),INDEX('計算A'!S$110:S$114,$F13+1)+IF(AND($E13=1,JF13=0),1000,0)+IF($H13=1,(IF('計算A'!R$117=1,INDEX('計算A'!R$10:R$54,$B13),0)+IF('計算A'!S$117=1,INDEX('計算A'!T$10:T$54,$B13),0))*500,0)-IF(AND('計算A'!R$117=1,UP13&gt;0),300,0)-IF(AND($L13=1,'計算A'!S$117=1,DR13=0),300,0))),1000000))</f>
        <v/>
      </c>
      <c r="OV13">
        <f>IF($B13=0,1000000,IF(INDEX('計算A'!$D$60:$EQ$104,$B13,17)*DR13=1,IF(AND($E13=2,JG13=0),1000000,IF($I13&gt;0,IF(1=$J13,IF(OR(AND(17=$I13+1,OR($K13&lt;&gt;'計算A'!$A$3,'計算A'!$A$4=0)),AND(17=$I13-1,OR(17&lt;&gt;'計算A'!$A$3,'計算A'!$A$4=0))),0,IF(17=$K13,200000,ABS(17-$K13)*100)),100000+ABS(1-$J13)*1000+170)+'計算A'!T$5*50+IF(AND($E13=1,JG13=0),25,0),INDEX('計算A'!T$110:T$114,$F13+1)+IF(AND($E13=1,JG13=0),1000,0)+IF($H13=1,(IF('計算A'!S$117=1,INDEX('計算A'!S$10:S$54,$B13),0)+IF('計算A'!T$117=1,INDEX('計算A'!U$10:U$54,$B13),0))*500,0)-IF(AND('計算A'!S$117=1,UQ13&gt;0),300,0)-IF(AND($L13=1,'計算A'!T$117=1,DS13=0),300,0))),1000000))</f>
        <v/>
      </c>
      <c r="OW13">
        <f>IF($B13=0,1000000,IF(INDEX('計算A'!$D$60:$EQ$104,$B13,18)*DS13=1,IF(AND($E13=2,JH13=0),1000000,IF($I13&gt;0,IF(1=$J13,IF(OR(AND(18=$I13+1,OR($K13&lt;&gt;'計算A'!$A$3,'計算A'!$A$4=0)),AND(18=$I13-1,OR(18&lt;&gt;'計算A'!$A$3,'計算A'!$A$4=0))),0,IF(18=$K13,200000,ABS(18-$K13)*100)),100000+ABS(1-$J13)*1000+180)+'計算A'!U$5*50+IF(AND($E13=1,JH13=0),25,0),INDEX('計算A'!U$110:U$114,$F13+1)+IF(AND($E13=1,JH13=0),1000,0)+IF($H13=1,(IF('計算A'!T$117=1,INDEX('計算A'!T$10:T$54,$B13),0)+IF('計算A'!U$117=1,INDEX('計算A'!V$10:V$54,$B13),0))*500,0)-IF(AND('計算A'!T$117=1,UR13&gt;0),300,0)-IF(AND($L13=1,'計算A'!U$117=1,DT13=0),300,0))),1000000))</f>
        <v/>
      </c>
      <c r="OX13">
        <f>IF($B13=0,1000000,IF(INDEX('計算A'!$D$60:$EQ$104,$B13,19)*DT13=1,IF(AND($E13=2,JI13=0),1000000,IF($I13&gt;0,IF(1=$J13,IF(OR(AND(19=$I13+1,OR($K13&lt;&gt;'計算A'!$A$3,'計算A'!$A$4=0)),AND(19=$I13-1,OR(19&lt;&gt;'計算A'!$A$3,'計算A'!$A$4=0))),0,IF(19=$K13,200000,ABS(19-$K13)*100)),100000+ABS(1-$J13)*1000+190)+'計算A'!V$5*50+IF(AND($E13=1,JI13=0),25,0),INDEX('計算A'!V$110:V$114,$F13+1)+IF(AND($E13=1,JI13=0),1000,0)+IF($H13=1,(IF('計算A'!U$117=1,INDEX('計算A'!U$10:U$54,$B13),0)+IF('計算A'!V$117=1,INDEX('計算A'!W$10:W$54,$B13),0))*500,0)-IF(AND('計算A'!U$117=1,US13&gt;0),300,0)-IF(AND($L13=1,'計算A'!V$117=1,DU13=0),300,0))),1000000))</f>
        <v/>
      </c>
      <c r="OY13">
        <f>IF($B13=0,1000000,IF(INDEX('計算A'!$D$60:$EQ$104,$B13,20)*DU13=1,IF(AND($E13=2,JJ13=0),1000000,IF($I13&gt;0,IF(1=$J13,IF(OR(AND(20=$I13+1,OR($K13&lt;&gt;'計算A'!$A$3,'計算A'!$A$4=0)),AND(20=$I13-1,OR(20&lt;&gt;'計算A'!$A$3,'計算A'!$A$4=0))),0,IF(20=$K13,200000,ABS(20-$K13)*100)),100000+ABS(1-$J13)*1000+200)+'計算A'!W$5*50+IF(AND($E13=1,JJ13=0),25,0),INDEX('計算A'!W$110:W$114,$F13+1)+IF(AND($E13=1,JJ13=0),1000,0)+IF($H13=1,(IF('計算A'!V$117=1,INDEX('計算A'!V$10:V$54,$B13),0)+IF('計算A'!W$117=1,INDEX('計算A'!X$10:X$54,$B13),0))*500,0)-IF(AND('計算A'!V$117=1,UT13&gt;0),300,0)-IF(AND($L13=1,'計算A'!W$117=1,DV13=0),300,0))),1000000))</f>
        <v/>
      </c>
      <c r="OZ13">
        <f>IF($B13=0,1000000,IF(INDEX('計算A'!$D$60:$EQ$104,$B13,21)*DV13=1,IF(AND($E13=2,JK13=0),1000000,IF($I13&gt;0,IF(1=$J13,IF(OR(AND(21=$I13+1,OR($K13&lt;&gt;'計算A'!$A$3,'計算A'!$A$4=0)),AND(21=$I13-1,OR(21&lt;&gt;'計算A'!$A$3,'計算A'!$A$4=0))),0,IF(21=$K13,200000,ABS(21-$K13)*100)),100000+ABS(1-$J13)*1000+210)+'計算A'!X$5*50+IF(AND($E13=1,JK13=0),25,0),INDEX('計算A'!X$110:X$114,$F13+1)+IF(AND($E13=1,JK13=0),1000,0)+IF($H13=1,(IF('計算A'!W$117=1,INDEX('計算A'!W$10:W$54,$B13),0)+IF('計算A'!X$117=1,INDEX('計算A'!Y$10:Y$54,$B13),0))*500,0)-IF(AND('計算A'!W$117=1,UU13&gt;0),300,0)-IF(AND($L13=1,'計算A'!X$117=1,DW13=0),300,0))),1000000))</f>
        <v/>
      </c>
      <c r="PA13">
        <f>IF($B13=0,1000000,IF(INDEX('計算A'!$D$60:$EQ$104,$B13,22)*DW13=1,IF(AND($E13=2,JL13=0),1000000,IF($I13&gt;0,IF(1=$J13,IF(OR(AND(22=$I13+1,OR($K13&lt;&gt;'計算A'!$A$3,'計算A'!$A$4=0)),AND(22=$I13-1,OR(22&lt;&gt;'計算A'!$A$3,'計算A'!$A$4=0))),0,IF(22=$K13,200000,ABS(22-$K13)*100)),100000+ABS(1-$J13)*1000+220)+'計算A'!Y$5*50+IF(AND($E13=1,JL13=0),25,0),INDEX('計算A'!Y$110:Y$114,$F13+1)+IF(AND($E13=1,JL13=0),1000,0)+IF($H13=1,(IF('計算A'!X$117=1,INDEX('計算A'!X$10:X$54,$B13),0)+IF('計算A'!Y$117=1,INDEX('計算A'!Z$10:Z$54,$B13),0))*500,0)-IF(AND('計算A'!X$117=1,UV13&gt;0),300,0)-IF(AND($L13=1,'計算A'!Y$117=1,DX13=0),300,0))),1000000))</f>
        <v/>
      </c>
      <c r="PB13">
        <f>IF($B13=0,1000000,IF(INDEX('計算A'!$D$60:$EQ$104,$B13,23)*DX13=1,IF(AND($E13=2,JM13=0),1000000,IF($I13&gt;0,IF(1=$J13,IF(OR(AND(23=$I13+1,OR($K13&lt;&gt;'計算A'!$A$3,'計算A'!$A$4=0)),AND(23=$I13-1,OR(23&lt;&gt;'計算A'!$A$3,'計算A'!$A$4=0))),0,IF(23=$K13,200000,ABS(23-$K13)*100)),100000+ABS(1-$J13)*1000+230)+'計算A'!Z$5*50+IF(AND($E13=1,JM13=0),25,0),INDEX('計算A'!Z$110:Z$114,$F13+1)+IF(AND($E13=1,JM13=0),1000,0)+IF($H13=1,(IF('計算A'!Y$117=1,INDEX('計算A'!Y$10:Y$54,$B13),0)+IF('計算A'!Z$117=1,INDEX('計算A'!AA$10:AA$54,$B13),0))*500,0)-IF(AND('計算A'!Y$117=1,UW13&gt;0),300,0)-IF(AND($L13=1,'計算A'!Z$117=1,DY13=0),300,0))),1000000))</f>
        <v/>
      </c>
      <c r="PC13">
        <f>IF($B13=0,1000000,IF(INDEX('計算A'!$D$60:$EQ$104,$B13,24)*DY13=1,IF(AND($E13=2,JN13=0),1000000,IF($I13&gt;0,IF(1=$J13,IF(OR(AND(24=$I13+1,OR($K13&lt;&gt;'計算A'!$A$3,'計算A'!$A$4=0)),AND(24=$I13-1,OR(24&lt;&gt;'計算A'!$A$3,'計算A'!$A$4=0))),0,IF(24=$K13,200000,ABS(24-$K13)*100)),100000+ABS(1-$J13)*1000+240)+'計算A'!AA$5*50+IF(AND($E13=1,JN13=0),25,0),INDEX('計算A'!AA$110:AA$114,$F13+1)+IF(AND($E13=1,JN13=0),1000,0)+IF($H13=1,(IF('計算A'!Z$117=1,INDEX('計算A'!Z$10:Z$54,$B13),0))*500,0)-IF(AND('計算A'!Z$117=1,UX13&gt;0),300,0))),1000000))</f>
        <v/>
      </c>
      <c r="PD13">
        <f>IF($B13=0,1000000,IF(INDEX('計算A'!$D$60:$EQ$104,$B13,25)*DZ13=1,IF(AND($E13=2,JO13=0),1000000,IF($I13&gt;0,IF(2=$J13,IF(OR(AND(25=$I13+1,OR($K13&lt;&gt;'計算A'!$A$3,'計算A'!$A$4=0)),AND(25=$I13-1,OR(1&lt;&gt;'計算A'!$A$3,'計算A'!$A$4=0))),0,IF(1=$K13,200000,ABS(1-$K13)*100)),100000+ABS(2-$J13)*1000+10)+'計算A'!AB$5*50+IF(AND($E13=1,JO13=0),25,0),INDEX('計算A'!AB$110:AB$114,$F13+1)+IF(AND($E13=1,JO13=0),1000,0)+IF($H13=1,(IF('計算A'!AB$117=1,INDEX('計算A'!AC$10:AC$54,$B13),0))*500,0)-IF(AND($L13=1,'計算A'!AB$117=1,EA13=0),300,0))),1000000))</f>
        <v/>
      </c>
      <c r="PE13">
        <f>IF($B13=0,1000000,IF(INDEX('計算A'!$D$60:$EQ$104,$B13,26)*EA13=1,IF(AND($E13=2,JP13=0),1000000,IF($I13&gt;0,IF(2=$J13,IF(OR(AND(26=$I13+1,OR($K13&lt;&gt;'計算A'!$A$3,'計算A'!$A$4=0)),AND(26=$I13-1,OR(2&lt;&gt;'計算A'!$A$3,'計算A'!$A$4=0))),0,IF(2=$K13,200000,ABS(2-$K13)*100)),100000+ABS(2-$J13)*1000+20)+'計算A'!AC$5*50+IF(AND($E13=1,JP13=0),25,0),INDEX('計算A'!AC$110:AC$114,$F13+1)+IF(AND($E13=1,JP13=0),1000,0)+IF($H13=1,(IF('計算A'!AB$117=1,INDEX('計算A'!AB$10:AB$54,$B13),0)+IF('計算A'!AC$117=1,INDEX('計算A'!AD$10:AD$54,$B13),0))*500,0)-IF(AND('計算A'!AB$117=1,UZ13&gt;0),300,0)-IF(AND($L13=1,'計算A'!AC$117=1,EB13=0),300,0))),1000000))</f>
        <v/>
      </c>
      <c r="PF13">
        <f>IF($B13=0,1000000,IF(INDEX('計算A'!$D$60:$EQ$104,$B13,27)*EB13=1,IF(AND($E13=2,JQ13=0),1000000,IF($I13&gt;0,IF(2=$J13,IF(OR(AND(27=$I13+1,OR($K13&lt;&gt;'計算A'!$A$3,'計算A'!$A$4=0)),AND(27=$I13-1,OR(3&lt;&gt;'計算A'!$A$3,'計算A'!$A$4=0))),0,IF(3=$K13,200000,ABS(3-$K13)*100)),100000+ABS(2-$J13)*1000+30)+'計算A'!AD$5*50+IF(AND($E13=1,JQ13=0),25,0),INDEX('計算A'!AD$110:AD$114,$F13+1)+IF(AND($E13=1,JQ13=0),1000,0)+IF($H13=1,(IF('計算A'!AC$117=1,INDEX('計算A'!AC$10:AC$54,$B13),0)+IF('計算A'!AD$117=1,INDEX('計算A'!AE$10:AE$54,$B13),0))*500,0)-IF(AND('計算A'!AC$117=1,VA13&gt;0),300,0)-IF(AND($L13=1,'計算A'!AD$117=1,EC13=0),300,0))),1000000))</f>
        <v/>
      </c>
      <c r="PG13">
        <f>IF($B13=0,1000000,IF(INDEX('計算A'!$D$60:$EQ$104,$B13,28)*EC13=1,IF(AND($E13=2,JR13=0),1000000,IF($I13&gt;0,IF(2=$J13,IF(OR(AND(28=$I13+1,OR($K13&lt;&gt;'計算A'!$A$3,'計算A'!$A$4=0)),AND(28=$I13-1,OR(4&lt;&gt;'計算A'!$A$3,'計算A'!$A$4=0))),0,IF(4=$K13,200000,ABS(4-$K13)*100)),100000+ABS(2-$J13)*1000+40)+'計算A'!AE$5*50+IF(AND($E13=1,JR13=0),25,0),INDEX('計算A'!AE$110:AE$114,$F13+1)+IF(AND($E13=1,JR13=0),1000,0)+IF($H13=1,(IF('計算A'!AD$117=1,INDEX('計算A'!AD$10:AD$54,$B13),0)+IF('計算A'!AE$117=1,INDEX('計算A'!AF$10:AF$54,$B13),0))*500,0)-IF(AND('計算A'!AD$117=1,VB13&gt;0),300,0)-IF(AND($L13=1,'計算A'!AE$117=1,ED13=0),300,0))),1000000))</f>
        <v/>
      </c>
      <c r="PH13">
        <f>IF($B13=0,1000000,IF(INDEX('計算A'!$D$60:$EQ$104,$B13,29)*ED13=1,IF(AND($E13=2,JS13=0),1000000,IF($I13&gt;0,IF(2=$J13,IF(OR(AND(29=$I13+1,OR($K13&lt;&gt;'計算A'!$A$3,'計算A'!$A$4=0)),AND(29=$I13-1,OR(5&lt;&gt;'計算A'!$A$3,'計算A'!$A$4=0))),0,IF(5=$K13,200000,ABS(5-$K13)*100)),100000+ABS(2-$J13)*1000+50)+'計算A'!AF$5*50+IF(AND($E13=1,JS13=0),25,0),INDEX('計算A'!AF$110:AF$114,$F13+1)+IF(AND($E13=1,JS13=0),1000,0)+IF($H13=1,(IF('計算A'!AE$117=1,INDEX('計算A'!AE$10:AE$54,$B13),0)+IF('計算A'!AF$117=1,INDEX('計算A'!AG$10:AG$54,$B13),0))*500,0)-IF(AND('計算A'!AE$117=1,VC13&gt;0),300,0)-IF(AND($L13=1,'計算A'!AF$117=1,EE13=0),300,0))),1000000))</f>
        <v/>
      </c>
      <c r="PI13">
        <f>IF($B13=0,1000000,IF(INDEX('計算A'!$D$60:$EQ$104,$B13,30)*EE13=1,IF(AND($E13=2,JT13=0),1000000,IF($I13&gt;0,IF(2=$J13,IF(OR(AND(30=$I13+1,OR($K13&lt;&gt;'計算A'!$A$3,'計算A'!$A$4=0)),AND(30=$I13-1,OR(6&lt;&gt;'計算A'!$A$3,'計算A'!$A$4=0))),0,IF(6=$K13,200000,ABS(6-$K13)*100)),100000+ABS(2-$J13)*1000+60)+'計算A'!AG$5*50+IF(AND($E13=1,JT13=0),25,0),INDEX('計算A'!AG$110:AG$114,$F13+1)+IF(AND($E13=1,JT13=0),1000,0)+IF($H13=1,(IF('計算A'!AF$117=1,INDEX('計算A'!AF$10:AF$54,$B13),0)+IF('計算A'!AG$117=1,INDEX('計算A'!AH$10:AH$54,$B13),0))*500,0)-IF(AND('計算A'!AF$117=1,VD13&gt;0),300,0)-IF(AND($L13=1,'計算A'!AG$117=1,EF13=0),300,0))),1000000))</f>
        <v/>
      </c>
      <c r="PJ13">
        <f>IF($B13=0,1000000,IF(INDEX('計算A'!$D$60:$EQ$104,$B13,31)*EF13=1,IF(AND($E13=2,JU13=0),1000000,IF($I13&gt;0,IF(2=$J13,IF(OR(AND(31=$I13+1,OR($K13&lt;&gt;'計算A'!$A$3,'計算A'!$A$4=0)),AND(31=$I13-1,OR(7&lt;&gt;'計算A'!$A$3,'計算A'!$A$4=0))),0,IF(7=$K13,200000,ABS(7-$K13)*100)),100000+ABS(2-$J13)*1000+70)+'計算A'!AH$5*50+IF(AND($E13=1,JU13=0),25,0),INDEX('計算A'!AH$110:AH$114,$F13+1)+IF(AND($E13=1,JU13=0),1000,0)+IF($H13=1,(IF('計算A'!AG$117=1,INDEX('計算A'!AG$10:AG$54,$B13),0)+IF('計算A'!AH$117=1,INDEX('計算A'!AI$10:AI$54,$B13),0))*500,0)-IF(AND('計算A'!AG$117=1,VE13&gt;0),300,0)-IF(AND($L13=1,'計算A'!AH$117=1,EG13=0),300,0))),1000000))</f>
        <v/>
      </c>
      <c r="PK13">
        <f>IF($B13=0,1000000,IF(INDEX('計算A'!$D$60:$EQ$104,$B13,32)*EG13=1,IF(AND($E13=2,JV13=0),1000000,IF($I13&gt;0,IF(2=$J13,IF(OR(AND(32=$I13+1,OR($K13&lt;&gt;'計算A'!$A$3,'計算A'!$A$4=0)),AND(32=$I13-1,OR(8&lt;&gt;'計算A'!$A$3,'計算A'!$A$4=0))),0,IF(8=$K13,200000,ABS(8-$K13)*100)),100000+ABS(2-$J13)*1000+80)+'計算A'!AI$5*50+IF(AND($E13=1,JV13=0),25,0),INDEX('計算A'!AI$110:AI$114,$F13+1)+IF(AND($E13=1,JV13=0),1000,0)+IF($H13=1,(IF('計算A'!AH$117=1,INDEX('計算A'!AH$10:AH$54,$B13),0)+IF('計算A'!AI$117=1,INDEX('計算A'!AJ$10:AJ$54,$B13),0))*500,0)-IF(AND('計算A'!AH$117=1,VF13&gt;0),300,0)-IF(AND($L13=1,'計算A'!AI$117=1,EH13=0),300,0))),1000000))</f>
        <v/>
      </c>
      <c r="PL13">
        <f>IF($B13=0,1000000,IF(INDEX('計算A'!$D$60:$EQ$104,$B13,33)*EH13=1,IF(AND($E13=2,JW13=0),1000000,IF($I13&gt;0,IF(2=$J13,IF(OR(AND(33=$I13+1,OR($K13&lt;&gt;'計算A'!$A$3,'計算A'!$A$4=0)),AND(33=$I13-1,OR(9&lt;&gt;'計算A'!$A$3,'計算A'!$A$4=0))),0,IF(9=$K13,200000,ABS(9-$K13)*100)),100000+ABS(2-$J13)*1000+90)+'計算A'!AJ$5*50+IF(AND($E13=1,JW13=0),25,0),INDEX('計算A'!AJ$110:AJ$114,$F13+1)+IF(AND($E13=1,JW13=0),1000,0)+IF($H13=1,(IF('計算A'!AI$117=1,INDEX('計算A'!AI$10:AI$54,$B13),0)+IF('計算A'!AJ$117=1,INDEX('計算A'!AK$10:AK$54,$B13),0))*500,0)-IF(AND('計算A'!AI$117=1,VG13&gt;0),300,0)-IF(AND($L13=1,'計算A'!AJ$117=1,EI13=0),300,0))),1000000))</f>
        <v/>
      </c>
      <c r="PM13">
        <f>IF($B13=0,1000000,IF(INDEX('計算A'!$D$60:$EQ$104,$B13,34)*EI13=1,IF(AND($E13=2,JX13=0),1000000,IF($I13&gt;0,IF(2=$J13,IF(OR(AND(34=$I13+1,OR($K13&lt;&gt;'計算A'!$A$3,'計算A'!$A$4=0)),AND(34=$I13-1,OR(10&lt;&gt;'計算A'!$A$3,'計算A'!$A$4=0))),0,IF(10=$K13,200000,ABS(10-$K13)*100)),100000+ABS(2-$J13)*1000+100)+'計算A'!AK$5*50+IF(AND($E13=1,JX13=0),25,0),INDEX('計算A'!AK$110:AK$114,$F13+1)+IF(AND($E13=1,JX13=0),1000,0)+IF($H13=1,(IF('計算A'!AJ$117=1,INDEX('計算A'!AJ$10:AJ$54,$B13),0)+IF('計算A'!AK$117=1,INDEX('計算A'!AL$10:AL$54,$B13),0))*500,0)-IF(AND('計算A'!AJ$117=1,VH13&gt;0),300,0)-IF(AND($L13=1,'計算A'!AK$117=1,EJ13=0),300,0))),1000000))</f>
        <v/>
      </c>
      <c r="PN13">
        <f>IF($B13=0,1000000,IF(INDEX('計算A'!$D$60:$EQ$104,$B13,35)*EJ13=1,IF(AND($E13=2,JY13=0),1000000,IF($I13&gt;0,IF(2=$J13,IF(OR(AND(35=$I13+1,OR($K13&lt;&gt;'計算A'!$A$3,'計算A'!$A$4=0)),AND(35=$I13-1,OR(11&lt;&gt;'計算A'!$A$3,'計算A'!$A$4=0))),0,IF(11=$K13,200000,ABS(11-$K13)*100)),100000+ABS(2-$J13)*1000+110)+'計算A'!AL$5*50+IF(AND($E13=1,JY13=0),25,0),INDEX('計算A'!AL$110:AL$114,$F13+1)+IF(AND($E13=1,JY13=0),1000,0)+IF($H13=1,(IF('計算A'!AK$117=1,INDEX('計算A'!AK$10:AK$54,$B13),0)+IF('計算A'!AL$117=1,INDEX('計算A'!AM$10:AM$54,$B13),0))*500,0)-IF(AND('計算A'!AK$117=1,VI13&gt;0),300,0)-IF(AND($L13=1,'計算A'!AL$117=1,EK13=0),300,0))),1000000))</f>
        <v/>
      </c>
      <c r="PO13">
        <f>IF($B13=0,1000000,IF(INDEX('計算A'!$D$60:$EQ$104,$B13,36)*EK13=1,IF(AND($E13=2,JZ13=0),1000000,IF($I13&gt;0,IF(2=$J13,IF(OR(AND(36=$I13+1,OR($K13&lt;&gt;'計算A'!$A$3,'計算A'!$A$4=0)),AND(36=$I13-1,OR(12&lt;&gt;'計算A'!$A$3,'計算A'!$A$4=0))),0,IF(12=$K13,200000,ABS(12-$K13)*100)),100000+ABS(2-$J13)*1000+120)+'計算A'!AM$5*50+IF(AND($E13=1,JZ13=0),25,0),INDEX('計算A'!AM$110:AM$114,$F13+1)+IF(AND($E13=1,JZ13=0),1000,0)+IF($H13=1,(IF('計算A'!AL$117=1,INDEX('計算A'!AL$10:AL$54,$B13),0)+IF('計算A'!AM$117=1,INDEX('計算A'!AN$10:AN$54,$B13),0))*500,0)-IF(AND('計算A'!AL$117=1,VJ13&gt;0),300,0)-IF(AND($L13=1,'計算A'!AM$117=1,EL13=0),300,0))),1000000))</f>
        <v/>
      </c>
      <c r="PP13">
        <f>IF($B13=0,1000000,IF(INDEX('計算A'!$D$60:$EQ$104,$B13,37)*EL13=1,IF(AND($E13=2,KA13=0),1000000,IF($I13&gt;0,IF(2=$J13,IF(OR(AND(37=$I13+1,OR($K13&lt;&gt;'計算A'!$A$3,'計算A'!$A$4=0)),AND(37=$I13-1,OR(13&lt;&gt;'計算A'!$A$3,'計算A'!$A$4=0))),0,IF(13=$K13,200000,ABS(13-$K13)*100)),100000+ABS(2-$J13)*1000+130)+'計算A'!AN$5*50+IF(AND($E13=1,KA13=0),25,0),INDEX('計算A'!AN$110:AN$114,$F13+1)+IF(AND($E13=1,KA13=0),1000,0)+IF($H13=1,(IF('計算A'!AM$117=1,INDEX('計算A'!AM$10:AM$54,$B13),0)+IF('計算A'!AN$117=1,INDEX('計算A'!AO$10:AO$54,$B13),0))*500,0)-IF(AND('計算A'!AM$117=1,VK13&gt;0),300,0)-IF(AND($L13=1,'計算A'!AN$117=1,EM13=0),300,0))),1000000))</f>
        <v/>
      </c>
      <c r="PQ13">
        <f>IF($B13=0,1000000,IF(INDEX('計算A'!$D$60:$EQ$104,$B13,38)*EM13=1,IF(AND($E13=2,KB13=0),1000000,IF($I13&gt;0,IF(2=$J13,IF(OR(AND(38=$I13+1,OR($K13&lt;&gt;'計算A'!$A$3,'計算A'!$A$4=0)),AND(38=$I13-1,OR(14&lt;&gt;'計算A'!$A$3,'計算A'!$A$4=0))),0,IF(14=$K13,200000,ABS(14-$K13)*100)),100000+ABS(2-$J13)*1000+140)+'計算A'!AO$5*50+IF(AND($E13=1,KB13=0),25,0),INDEX('計算A'!AO$110:AO$114,$F13+1)+IF(AND($E13=1,KB13=0),1000,0)+IF($H13=1,(IF('計算A'!AN$117=1,INDEX('計算A'!AN$10:AN$54,$B13),0)+IF('計算A'!AO$117=1,INDEX('計算A'!AP$10:AP$54,$B13),0))*500,0)-IF(AND('計算A'!AN$117=1,VL13&gt;0),300,0)-IF(AND($L13=1,'計算A'!AO$117=1,EN13=0),300,0))),1000000))</f>
        <v/>
      </c>
      <c r="PR13">
        <f>IF($B13=0,1000000,IF(INDEX('計算A'!$D$60:$EQ$104,$B13,39)*EN13=1,IF(AND($E13=2,KC13=0),1000000,IF($I13&gt;0,IF(2=$J13,IF(OR(AND(39=$I13+1,OR($K13&lt;&gt;'計算A'!$A$3,'計算A'!$A$4=0)),AND(39=$I13-1,OR(15&lt;&gt;'計算A'!$A$3,'計算A'!$A$4=0))),0,IF(15=$K13,200000,ABS(15-$K13)*100)),100000+ABS(2-$J13)*1000+150)+'計算A'!AP$5*50+IF(AND($E13=1,KC13=0),25,0),INDEX('計算A'!AP$110:AP$114,$F13+1)+IF(AND($E13=1,KC13=0),1000,0)+IF($H13=1,(IF('計算A'!AO$117=1,INDEX('計算A'!AO$10:AO$54,$B13),0)+IF('計算A'!AP$117=1,INDEX('計算A'!AQ$10:AQ$54,$B13),0))*500,0)-IF(AND('計算A'!AO$117=1,VM13&gt;0),300,0)-IF(AND($L13=1,'計算A'!AP$117=1,EO13=0),300,0))),1000000))</f>
        <v/>
      </c>
      <c r="PS13">
        <f>IF($B13=0,1000000,IF(INDEX('計算A'!$D$60:$EQ$104,$B13,40)*EO13=1,IF(AND($E13=2,KD13=0),1000000,IF($I13&gt;0,IF(2=$J13,IF(OR(AND(40=$I13+1,OR($K13&lt;&gt;'計算A'!$A$3,'計算A'!$A$4=0)),AND(40=$I13-1,OR(16&lt;&gt;'計算A'!$A$3,'計算A'!$A$4=0))),0,IF(16=$K13,200000,ABS(16-$K13)*100)),100000+ABS(2-$J13)*1000+160)+'計算A'!AQ$5*50+IF(AND($E13=1,KD13=0),25,0),INDEX('計算A'!AQ$110:AQ$114,$F13+1)+IF(AND($E13=1,KD13=0),1000,0)+IF($H13=1,(IF('計算A'!AP$117=1,INDEX('計算A'!AP$10:AP$54,$B13),0)+IF('計算A'!AQ$117=1,INDEX('計算A'!AR$10:AR$54,$B13),0))*500,0)-IF(AND('計算A'!AP$117=1,VN13&gt;0),300,0)-IF(AND($L13=1,'計算A'!AQ$117=1,EP13=0),300,0))),1000000))</f>
        <v/>
      </c>
      <c r="PT13">
        <f>IF($B13=0,1000000,IF(INDEX('計算A'!$D$60:$EQ$104,$B13,41)*EP13=1,IF(AND($E13=2,KE13=0),1000000,IF($I13&gt;0,IF(2=$J13,IF(OR(AND(41=$I13+1,OR($K13&lt;&gt;'計算A'!$A$3,'計算A'!$A$4=0)),AND(41=$I13-1,OR(17&lt;&gt;'計算A'!$A$3,'計算A'!$A$4=0))),0,IF(17=$K13,200000,ABS(17-$K13)*100)),100000+ABS(2-$J13)*1000+170)+'計算A'!AR$5*50+IF(AND($E13=1,KE13=0),25,0),INDEX('計算A'!AR$110:AR$114,$F13+1)+IF(AND($E13=1,KE13=0),1000,0)+IF($H13=1,(IF('計算A'!AQ$117=1,INDEX('計算A'!AQ$10:AQ$54,$B13),0)+IF('計算A'!AR$117=1,INDEX('計算A'!AS$10:AS$54,$B13),0))*500,0)-IF(AND('計算A'!AQ$117=1,VO13&gt;0),300,0)-IF(AND($L13=1,'計算A'!AR$117=1,EQ13=0),300,0))),1000000))</f>
        <v/>
      </c>
      <c r="PU13">
        <f>IF($B13=0,1000000,IF(INDEX('計算A'!$D$60:$EQ$104,$B13,42)*EQ13=1,IF(AND($E13=2,KF13=0),1000000,IF($I13&gt;0,IF(2=$J13,IF(OR(AND(42=$I13+1,OR($K13&lt;&gt;'計算A'!$A$3,'計算A'!$A$4=0)),AND(42=$I13-1,OR(18&lt;&gt;'計算A'!$A$3,'計算A'!$A$4=0))),0,IF(18=$K13,200000,ABS(18-$K13)*100)),100000+ABS(2-$J13)*1000+180)+'計算A'!AS$5*50+IF(AND($E13=1,KF13=0),25,0),INDEX('計算A'!AS$110:AS$114,$F13+1)+IF(AND($E13=1,KF13=0),1000,0)+IF($H13=1,(IF('計算A'!AR$117=1,INDEX('計算A'!AR$10:AR$54,$B13),0)+IF('計算A'!AS$117=1,INDEX('計算A'!AT$10:AT$54,$B13),0))*500,0)-IF(AND('計算A'!AR$117=1,VP13&gt;0),300,0)-IF(AND($L13=1,'計算A'!AS$117=1,ER13=0),300,0))),1000000))</f>
        <v/>
      </c>
      <c r="PV13">
        <f>IF($B13=0,1000000,IF(INDEX('計算A'!$D$60:$EQ$104,$B13,43)*ER13=1,IF(AND($E13=2,KG13=0),1000000,IF($I13&gt;0,IF(2=$J13,IF(OR(AND(43=$I13+1,OR($K13&lt;&gt;'計算A'!$A$3,'計算A'!$A$4=0)),AND(43=$I13-1,OR(19&lt;&gt;'計算A'!$A$3,'計算A'!$A$4=0))),0,IF(19=$K13,200000,ABS(19-$K13)*100)),100000+ABS(2-$J13)*1000+190)+'計算A'!AT$5*50+IF(AND($E13=1,KG13=0),25,0),INDEX('計算A'!AT$110:AT$114,$F13+1)+IF(AND($E13=1,KG13=0),1000,0)+IF($H13=1,(IF('計算A'!AS$117=1,INDEX('計算A'!AS$10:AS$54,$B13),0)+IF('計算A'!AT$117=1,INDEX('計算A'!AU$10:AU$54,$B13),0))*500,0)-IF(AND('計算A'!AS$117=1,VQ13&gt;0),300,0)-IF(AND($L13=1,'計算A'!AT$117=1,ES13=0),300,0))),1000000))</f>
        <v/>
      </c>
      <c r="PW13">
        <f>IF($B13=0,1000000,IF(INDEX('計算A'!$D$60:$EQ$104,$B13,44)*ES13=1,IF(AND($E13=2,KH13=0),1000000,IF($I13&gt;0,IF(2=$J13,IF(OR(AND(44=$I13+1,OR($K13&lt;&gt;'計算A'!$A$3,'計算A'!$A$4=0)),AND(44=$I13-1,OR(20&lt;&gt;'計算A'!$A$3,'計算A'!$A$4=0))),0,IF(20=$K13,200000,ABS(20-$K13)*100)),100000+ABS(2-$J13)*1000+200)+'計算A'!AU$5*50+IF(AND($E13=1,KH13=0),25,0),INDEX('計算A'!AU$110:AU$114,$F13+1)+IF(AND($E13=1,KH13=0),1000,0)+IF($H13=1,(IF('計算A'!AT$117=1,INDEX('計算A'!AT$10:AT$54,$B13),0)+IF('計算A'!AU$117=1,INDEX('計算A'!AV$10:AV$54,$B13),0))*500,0)-IF(AND('計算A'!AT$117=1,VR13&gt;0),300,0)-IF(AND($L13=1,'計算A'!AU$117=1,ET13=0),300,0))),1000000))</f>
        <v/>
      </c>
      <c r="PX13">
        <f>IF($B13=0,1000000,IF(INDEX('計算A'!$D$60:$EQ$104,$B13,45)*ET13=1,IF(AND($E13=2,KI13=0),1000000,IF($I13&gt;0,IF(2=$J13,IF(OR(AND(45=$I13+1,OR($K13&lt;&gt;'計算A'!$A$3,'計算A'!$A$4=0)),AND(45=$I13-1,OR(21&lt;&gt;'計算A'!$A$3,'計算A'!$A$4=0))),0,IF(21=$K13,200000,ABS(21-$K13)*100)),100000+ABS(2-$J13)*1000+210)+'計算A'!AV$5*50+IF(AND($E13=1,KI13=0),25,0),INDEX('計算A'!AV$110:AV$114,$F13+1)+IF(AND($E13=1,KI13=0),1000,0)+IF($H13=1,(IF('計算A'!AU$117=1,INDEX('計算A'!AU$10:AU$54,$B13),0)+IF('計算A'!AV$117=1,INDEX('計算A'!AW$10:AW$54,$B13),0))*500,0)-IF(AND('計算A'!AU$117=1,VS13&gt;0),300,0)-IF(AND($L13=1,'計算A'!AV$117=1,EU13=0),300,0))),1000000))</f>
        <v/>
      </c>
      <c r="PY13">
        <f>IF($B13=0,1000000,IF(INDEX('計算A'!$D$60:$EQ$104,$B13,46)*EU13=1,IF(AND($E13=2,KJ13=0),1000000,IF($I13&gt;0,IF(2=$J13,IF(OR(AND(46=$I13+1,OR($K13&lt;&gt;'計算A'!$A$3,'計算A'!$A$4=0)),AND(46=$I13-1,OR(22&lt;&gt;'計算A'!$A$3,'計算A'!$A$4=0))),0,IF(22=$K13,200000,ABS(22-$K13)*100)),100000+ABS(2-$J13)*1000+220)+'計算A'!AW$5*50+IF(AND($E13=1,KJ13=0),25,0),INDEX('計算A'!AW$110:AW$114,$F13+1)+IF(AND($E13=1,KJ13=0),1000,0)+IF($H13=1,(IF('計算A'!AV$117=1,INDEX('計算A'!AV$10:AV$54,$B13),0)+IF('計算A'!AW$117=1,INDEX('計算A'!AX$10:AX$54,$B13),0))*500,0)-IF(AND('計算A'!AV$117=1,VT13&gt;0),300,0)-IF(AND($L13=1,'計算A'!AW$117=1,EV13=0),300,0))),1000000))</f>
        <v/>
      </c>
      <c r="PZ13">
        <f>IF($B13=0,1000000,IF(INDEX('計算A'!$D$60:$EQ$104,$B13,47)*EV13=1,IF(AND($E13=2,KK13=0),1000000,IF($I13&gt;0,IF(2=$J13,IF(OR(AND(47=$I13+1,OR($K13&lt;&gt;'計算A'!$A$3,'計算A'!$A$4=0)),AND(47=$I13-1,OR(23&lt;&gt;'計算A'!$A$3,'計算A'!$A$4=0))),0,IF(23=$K13,200000,ABS(23-$K13)*100)),100000+ABS(2-$J13)*1000+230)+'計算A'!AX$5*50+IF(AND($E13=1,KK13=0),25,0),INDEX('計算A'!AX$110:AX$114,$F13+1)+IF(AND($E13=1,KK13=0),1000,0)+IF($H13=1,(IF('計算A'!AW$117=1,INDEX('計算A'!AW$10:AW$54,$B13),0)+IF('計算A'!AX$117=1,INDEX('計算A'!AY$10:AY$54,$B13),0))*500,0)-IF(AND('計算A'!AW$117=1,VU13&gt;0),300,0)-IF(AND($L13=1,'計算A'!AX$117=1,EW13=0),300,0))),1000000))</f>
        <v/>
      </c>
      <c r="QA13">
        <f>IF($B13=0,1000000,IF(INDEX('計算A'!$D$60:$EQ$104,$B13,48)*EW13=1,IF(AND($E13=2,KL13=0),1000000,IF($I13&gt;0,IF(2=$J13,IF(OR(AND(48=$I13+1,OR($K13&lt;&gt;'計算A'!$A$3,'計算A'!$A$4=0)),AND(48=$I13-1,OR(24&lt;&gt;'計算A'!$A$3,'計算A'!$A$4=0))),0,IF(24=$K13,200000,ABS(24-$K13)*100)),100000+ABS(2-$J13)*1000+240)+'計算A'!AY$5*50+IF(AND($E13=1,KL13=0),25,0),INDEX('計算A'!AY$110:AY$114,$F13+1)+IF(AND($E13=1,KL13=0),1000,0)+IF($H13=1,(IF('計算A'!AX$117=1,INDEX('計算A'!AX$10:AX$54,$B13),0))*500,0)-IF(AND('計算A'!AX$117=1,VV13&gt;0),300,0))),1000000))</f>
        <v/>
      </c>
      <c r="QB13">
        <f>IF($B13=0,1000000,IF(INDEX('計算A'!$D$60:$EQ$104,$B13,49)*EX13=1,IF(AND($E13=2,KM13=0),1000000,IF($I13&gt;0,IF(3=$J13,IF(OR(AND(49=$I13+1,OR($K13&lt;&gt;'計算A'!$A$3,'計算A'!$A$4=0)),AND(49=$I13-1,OR(1&lt;&gt;'計算A'!$A$3,'計算A'!$A$4=0))),0,IF(1=$K13,200000,ABS(1-$K13)*100)),100000+ABS(3-$J13)*1000+10)+'計算A'!AZ$5*50+IF(AND($E13=1,KM13=0),25,0),INDEX('計算A'!AZ$110:AZ$114,$F13+1)+IF(AND($E13=1,KM13=0),1000,0)+IF($H13=1,(IF('計算A'!AZ$117=1,INDEX('計算A'!BA$10:BA$54,$B13),0))*500,0)-IF(AND($L13=1,'計算A'!AZ$117=1,EY13=0),300,0))),1000000))</f>
        <v/>
      </c>
      <c r="QC13">
        <f>IF($B13=0,1000000,IF(INDEX('計算A'!$D$60:$EQ$104,$B13,50)*EY13=1,IF(AND($E13=2,KN13=0),1000000,IF($I13&gt;0,IF(3=$J13,IF(OR(AND(50=$I13+1,OR($K13&lt;&gt;'計算A'!$A$3,'計算A'!$A$4=0)),AND(50=$I13-1,OR(2&lt;&gt;'計算A'!$A$3,'計算A'!$A$4=0))),0,IF(2=$K13,200000,ABS(2-$K13)*100)),100000+ABS(3-$J13)*1000+20)+'計算A'!BA$5*50+IF(AND($E13=1,KN13=0),25,0),INDEX('計算A'!BA$110:BA$114,$F13+1)+IF(AND($E13=1,KN13=0),1000,0)+IF($H13=1,(IF('計算A'!AZ$117=1,INDEX('計算A'!AZ$10:AZ$54,$B13),0)+IF('計算A'!BA$117=1,INDEX('計算A'!BB$10:BB$54,$B13),0))*500,0)-IF(AND('計算A'!AZ$117=1,VX13&gt;0),300,0)-IF(AND($L13=1,'計算A'!BA$117=1,EZ13=0),300,0))),1000000))</f>
        <v/>
      </c>
      <c r="QD13">
        <f>IF($B13=0,1000000,IF(INDEX('計算A'!$D$60:$EQ$104,$B13,51)*EZ13=1,IF(AND($E13=2,KO13=0),1000000,IF($I13&gt;0,IF(3=$J13,IF(OR(AND(51=$I13+1,OR($K13&lt;&gt;'計算A'!$A$3,'計算A'!$A$4=0)),AND(51=$I13-1,OR(3&lt;&gt;'計算A'!$A$3,'計算A'!$A$4=0))),0,IF(3=$K13,200000,ABS(3-$K13)*100)),100000+ABS(3-$J13)*1000+30)+'計算A'!BB$5*50+IF(AND($E13=1,KO13=0),25,0),INDEX('計算A'!BB$110:BB$114,$F13+1)+IF(AND($E13=1,KO13=0),1000,0)+IF($H13=1,(IF('計算A'!BA$117=1,INDEX('計算A'!BA$10:BA$54,$B13),0)+IF('計算A'!BB$117=1,INDEX('計算A'!BC$10:BC$54,$B13),0))*500,0)-IF(AND('計算A'!BA$117=1,VY13&gt;0),300,0)-IF(AND($L13=1,'計算A'!BB$117=1,FA13=0),300,0))),1000000))</f>
        <v/>
      </c>
      <c r="QE13">
        <f>IF($B13=0,1000000,IF(INDEX('計算A'!$D$60:$EQ$104,$B13,52)*FA13=1,IF(AND($E13=2,KP13=0),1000000,IF($I13&gt;0,IF(3=$J13,IF(OR(AND(52=$I13+1,OR($K13&lt;&gt;'計算A'!$A$3,'計算A'!$A$4=0)),AND(52=$I13-1,OR(4&lt;&gt;'計算A'!$A$3,'計算A'!$A$4=0))),0,IF(4=$K13,200000,ABS(4-$K13)*100)),100000+ABS(3-$J13)*1000+40)+'計算A'!BC$5*50+IF(AND($E13=1,KP13=0),25,0),INDEX('計算A'!BC$110:BC$114,$F13+1)+IF(AND($E13=1,KP13=0),1000,0)+IF($H13=1,(IF('計算A'!BB$117=1,INDEX('計算A'!BB$10:BB$54,$B13),0)+IF('計算A'!BC$117=1,INDEX('計算A'!BD$10:BD$54,$B13),0))*500,0)-IF(AND('計算A'!BB$117=1,VZ13&gt;0),300,0)-IF(AND($L13=1,'計算A'!BC$117=1,FB13=0),300,0))),1000000))</f>
        <v/>
      </c>
      <c r="QF13">
        <f>IF($B13=0,1000000,IF(INDEX('計算A'!$D$60:$EQ$104,$B13,53)*FB13=1,IF(AND($E13=2,KQ13=0),1000000,IF($I13&gt;0,IF(3=$J13,IF(OR(AND(53=$I13+1,OR($K13&lt;&gt;'計算A'!$A$3,'計算A'!$A$4=0)),AND(53=$I13-1,OR(5&lt;&gt;'計算A'!$A$3,'計算A'!$A$4=0))),0,IF(5=$K13,200000,ABS(5-$K13)*100)),100000+ABS(3-$J13)*1000+50)+'計算A'!BD$5*50+IF(AND($E13=1,KQ13=0),25,0),INDEX('計算A'!BD$110:BD$114,$F13+1)+IF(AND($E13=1,KQ13=0),1000,0)+IF($H13=1,(IF('計算A'!BC$117=1,INDEX('計算A'!BC$10:BC$54,$B13),0)+IF('計算A'!BD$117=1,INDEX('計算A'!BE$10:BE$54,$B13),0))*500,0)-IF(AND('計算A'!BC$117=1,WA13&gt;0),300,0)-IF(AND($L13=1,'計算A'!BD$117=1,FC13=0),300,0))),1000000))</f>
        <v/>
      </c>
      <c r="QG13">
        <f>IF($B13=0,1000000,IF(INDEX('計算A'!$D$60:$EQ$104,$B13,54)*FC13=1,IF(AND($E13=2,KR13=0),1000000,IF($I13&gt;0,IF(3=$J13,IF(OR(AND(54=$I13+1,OR($K13&lt;&gt;'計算A'!$A$3,'計算A'!$A$4=0)),AND(54=$I13-1,OR(6&lt;&gt;'計算A'!$A$3,'計算A'!$A$4=0))),0,IF(6=$K13,200000,ABS(6-$K13)*100)),100000+ABS(3-$J13)*1000+60)+'計算A'!BE$5*50+IF(AND($E13=1,KR13=0),25,0),INDEX('計算A'!BE$110:BE$114,$F13+1)+IF(AND($E13=1,KR13=0),1000,0)+IF($H13=1,(IF('計算A'!BD$117=1,INDEX('計算A'!BD$10:BD$54,$B13),0)+IF('計算A'!BE$117=1,INDEX('計算A'!BF$10:BF$54,$B13),0))*500,0)-IF(AND('計算A'!BD$117=1,WB13&gt;0),300,0)-IF(AND($L13=1,'計算A'!BE$117=1,FD13=0),300,0))),1000000))</f>
        <v/>
      </c>
      <c r="QH13">
        <f>IF($B13=0,1000000,IF(INDEX('計算A'!$D$60:$EQ$104,$B13,55)*FD13=1,IF(AND($E13=2,KS13=0),1000000,IF($I13&gt;0,IF(3=$J13,IF(OR(AND(55=$I13+1,OR($K13&lt;&gt;'計算A'!$A$3,'計算A'!$A$4=0)),AND(55=$I13-1,OR(7&lt;&gt;'計算A'!$A$3,'計算A'!$A$4=0))),0,IF(7=$K13,200000,ABS(7-$K13)*100)),100000+ABS(3-$J13)*1000+70)+'計算A'!BF$5*50+IF(AND($E13=1,KS13=0),25,0),INDEX('計算A'!BF$110:BF$114,$F13+1)+IF(AND($E13=1,KS13=0),1000,0)+IF($H13=1,(IF('計算A'!BE$117=1,INDEX('計算A'!BE$10:BE$54,$B13),0)+IF('計算A'!BF$117=1,INDEX('計算A'!BG$10:BG$54,$B13),0))*500,0)-IF(AND('計算A'!BE$117=1,WC13&gt;0),300,0)-IF(AND($L13=1,'計算A'!BF$117=1,FE13=0),300,0))),1000000))</f>
        <v/>
      </c>
      <c r="QI13">
        <f>IF($B13=0,1000000,IF(INDEX('計算A'!$D$60:$EQ$104,$B13,56)*FE13=1,IF(AND($E13=2,KT13=0),1000000,IF($I13&gt;0,IF(3=$J13,IF(OR(AND(56=$I13+1,OR($K13&lt;&gt;'計算A'!$A$3,'計算A'!$A$4=0)),AND(56=$I13-1,OR(8&lt;&gt;'計算A'!$A$3,'計算A'!$A$4=0))),0,IF(8=$K13,200000,ABS(8-$K13)*100)),100000+ABS(3-$J13)*1000+80)+'計算A'!BG$5*50+IF(AND($E13=1,KT13=0),25,0),INDEX('計算A'!BG$110:BG$114,$F13+1)+IF(AND($E13=1,KT13=0),1000,0)+IF($H13=1,(IF('計算A'!BF$117=1,INDEX('計算A'!BF$10:BF$54,$B13),0)+IF('計算A'!BG$117=1,INDEX('計算A'!BH$10:BH$54,$B13),0))*500,0)-IF(AND('計算A'!BF$117=1,WD13&gt;0),300,0)-IF(AND($L13=1,'計算A'!BG$117=1,FF13=0),300,0))),1000000))</f>
        <v/>
      </c>
      <c r="QJ13">
        <f>IF($B13=0,1000000,IF(INDEX('計算A'!$D$60:$EQ$104,$B13,57)*FF13=1,IF(AND($E13=2,KU13=0),1000000,IF($I13&gt;0,IF(3=$J13,IF(OR(AND(57=$I13+1,OR($K13&lt;&gt;'計算A'!$A$3,'計算A'!$A$4=0)),AND(57=$I13-1,OR(9&lt;&gt;'計算A'!$A$3,'計算A'!$A$4=0))),0,IF(9=$K13,200000,ABS(9-$K13)*100)),100000+ABS(3-$J13)*1000+90)+'計算A'!BH$5*50+IF(AND($E13=1,KU13=0),25,0),INDEX('計算A'!BH$110:BH$114,$F13+1)+IF(AND($E13=1,KU13=0),1000,0)+IF($H13=1,(IF('計算A'!BG$117=1,INDEX('計算A'!BG$10:BG$54,$B13),0)+IF('計算A'!BH$117=1,INDEX('計算A'!BI$10:BI$54,$B13),0))*500,0)-IF(AND('計算A'!BG$117=1,WE13&gt;0),300,0)-IF(AND($L13=1,'計算A'!BH$117=1,FG13=0),300,0))),1000000))</f>
        <v/>
      </c>
      <c r="QK13">
        <f>IF($B13=0,1000000,IF(INDEX('計算A'!$D$60:$EQ$104,$B13,58)*FG13=1,IF(AND($E13=2,KV13=0),1000000,IF($I13&gt;0,IF(3=$J13,IF(OR(AND(58=$I13+1,OR($K13&lt;&gt;'計算A'!$A$3,'計算A'!$A$4=0)),AND(58=$I13-1,OR(10&lt;&gt;'計算A'!$A$3,'計算A'!$A$4=0))),0,IF(10=$K13,200000,ABS(10-$K13)*100)),100000+ABS(3-$J13)*1000+100)+'計算A'!BI$5*50+IF(AND($E13=1,KV13=0),25,0),INDEX('計算A'!BI$110:BI$114,$F13+1)+IF(AND($E13=1,KV13=0),1000,0)+IF($H13=1,(IF('計算A'!BH$117=1,INDEX('計算A'!BH$10:BH$54,$B13),0)+IF('計算A'!BI$117=1,INDEX('計算A'!BJ$10:BJ$54,$B13),0))*500,0)-IF(AND('計算A'!BH$117=1,WF13&gt;0),300,0)-IF(AND($L13=1,'計算A'!BI$117=1,FH13=0),300,0))),1000000))</f>
        <v/>
      </c>
      <c r="QL13">
        <f>IF($B13=0,1000000,IF(INDEX('計算A'!$D$60:$EQ$104,$B13,59)*FH13=1,IF(AND($E13=2,KW13=0),1000000,IF($I13&gt;0,IF(3=$J13,IF(OR(AND(59=$I13+1,OR($K13&lt;&gt;'計算A'!$A$3,'計算A'!$A$4=0)),AND(59=$I13-1,OR(11&lt;&gt;'計算A'!$A$3,'計算A'!$A$4=0))),0,IF(11=$K13,200000,ABS(11-$K13)*100)),100000+ABS(3-$J13)*1000+110)+'計算A'!BJ$5*50+IF(AND($E13=1,KW13=0),25,0),INDEX('計算A'!BJ$110:BJ$114,$F13+1)+IF(AND($E13=1,KW13=0),1000,0)+IF($H13=1,(IF('計算A'!BI$117=1,INDEX('計算A'!BI$10:BI$54,$B13),0)+IF('計算A'!BJ$117=1,INDEX('計算A'!BK$10:BK$54,$B13),0))*500,0)-IF(AND('計算A'!BI$117=1,WG13&gt;0),300,0)-IF(AND($L13=1,'計算A'!BJ$117=1,FI13=0),300,0))),1000000))</f>
        <v/>
      </c>
      <c r="QM13">
        <f>IF($B13=0,1000000,IF(INDEX('計算A'!$D$60:$EQ$104,$B13,60)*FI13=1,IF(AND($E13=2,KX13=0),1000000,IF($I13&gt;0,IF(3=$J13,IF(OR(AND(60=$I13+1,OR($K13&lt;&gt;'計算A'!$A$3,'計算A'!$A$4=0)),AND(60=$I13-1,OR(12&lt;&gt;'計算A'!$A$3,'計算A'!$A$4=0))),0,IF(12=$K13,200000,ABS(12-$K13)*100)),100000+ABS(3-$J13)*1000+120)+'計算A'!BK$5*50+IF(AND($E13=1,KX13=0),25,0),INDEX('計算A'!BK$110:BK$114,$F13+1)+IF(AND($E13=1,KX13=0),1000,0)+IF($H13=1,(IF('計算A'!BJ$117=1,INDEX('計算A'!BJ$10:BJ$54,$B13),0)+IF('計算A'!BK$117=1,INDEX('計算A'!BL$10:BL$54,$B13),0))*500,0)-IF(AND('計算A'!BJ$117=1,WH13&gt;0),300,0)-IF(AND($L13=1,'計算A'!BK$117=1,FJ13=0),300,0))),1000000))</f>
        <v/>
      </c>
      <c r="QN13">
        <f>IF($B13=0,1000000,IF(INDEX('計算A'!$D$60:$EQ$104,$B13,61)*FJ13=1,IF(AND($E13=2,KY13=0),1000000,IF($I13&gt;0,IF(3=$J13,IF(OR(AND(61=$I13+1,OR($K13&lt;&gt;'計算A'!$A$3,'計算A'!$A$4=0)),AND(61=$I13-1,OR(13&lt;&gt;'計算A'!$A$3,'計算A'!$A$4=0))),0,IF(13=$K13,200000,ABS(13-$K13)*100)),100000+ABS(3-$J13)*1000+130)+'計算A'!BL$5*50+IF(AND($E13=1,KY13=0),25,0),INDEX('計算A'!BL$110:BL$114,$F13+1)+IF(AND($E13=1,KY13=0),1000,0)+IF($H13=1,(IF('計算A'!BK$117=1,INDEX('計算A'!BK$10:BK$54,$B13),0)+IF('計算A'!BL$117=1,INDEX('計算A'!BM$10:BM$54,$B13),0))*500,0)-IF(AND('計算A'!BK$117=1,WI13&gt;0),300,0)-IF(AND($L13=1,'計算A'!BL$117=1,FK13=0),300,0))),1000000))</f>
        <v/>
      </c>
      <c r="QO13">
        <f>IF($B13=0,1000000,IF(INDEX('計算A'!$D$60:$EQ$104,$B13,62)*FK13=1,IF(AND($E13=2,KZ13=0),1000000,IF($I13&gt;0,IF(3=$J13,IF(OR(AND(62=$I13+1,OR($K13&lt;&gt;'計算A'!$A$3,'計算A'!$A$4=0)),AND(62=$I13-1,OR(14&lt;&gt;'計算A'!$A$3,'計算A'!$A$4=0))),0,IF(14=$K13,200000,ABS(14-$K13)*100)),100000+ABS(3-$J13)*1000+140)+'計算A'!BM$5*50+IF(AND($E13=1,KZ13=0),25,0),INDEX('計算A'!BM$110:BM$114,$F13+1)+IF(AND($E13=1,KZ13=0),1000,0)+IF($H13=1,(IF('計算A'!BL$117=1,INDEX('計算A'!BL$10:BL$54,$B13),0)+IF('計算A'!BM$117=1,INDEX('計算A'!BN$10:BN$54,$B13),0))*500,0)-IF(AND('計算A'!BL$117=1,WJ13&gt;0),300,0)-IF(AND($L13=1,'計算A'!BM$117=1,FL13=0),300,0))),1000000))</f>
        <v/>
      </c>
      <c r="QP13">
        <f>IF($B13=0,1000000,IF(INDEX('計算A'!$D$60:$EQ$104,$B13,63)*FL13=1,IF(AND($E13=2,LA13=0),1000000,IF($I13&gt;0,IF(3=$J13,IF(OR(AND(63=$I13+1,OR($K13&lt;&gt;'計算A'!$A$3,'計算A'!$A$4=0)),AND(63=$I13-1,OR(15&lt;&gt;'計算A'!$A$3,'計算A'!$A$4=0))),0,IF(15=$K13,200000,ABS(15-$K13)*100)),100000+ABS(3-$J13)*1000+150)+'計算A'!BN$5*50+IF(AND($E13=1,LA13=0),25,0),INDEX('計算A'!BN$110:BN$114,$F13+1)+IF(AND($E13=1,LA13=0),1000,0)+IF($H13=1,(IF('計算A'!BM$117=1,INDEX('計算A'!BM$10:BM$54,$B13),0)+IF('計算A'!BN$117=1,INDEX('計算A'!BO$10:BO$54,$B13),0))*500,0)-IF(AND('計算A'!BM$117=1,WK13&gt;0),300,0)-IF(AND($L13=1,'計算A'!BN$117=1,FM13=0),300,0))),1000000))</f>
        <v/>
      </c>
      <c r="QQ13">
        <f>IF($B13=0,1000000,IF(INDEX('計算A'!$D$60:$EQ$104,$B13,64)*FM13=1,IF(AND($E13=2,LB13=0),1000000,IF($I13&gt;0,IF(3=$J13,IF(OR(AND(64=$I13+1,OR($K13&lt;&gt;'計算A'!$A$3,'計算A'!$A$4=0)),AND(64=$I13-1,OR(16&lt;&gt;'計算A'!$A$3,'計算A'!$A$4=0))),0,IF(16=$K13,200000,ABS(16-$K13)*100)),100000+ABS(3-$J13)*1000+160)+'計算A'!BO$5*50+IF(AND($E13=1,LB13=0),25,0),INDEX('計算A'!BO$110:BO$114,$F13+1)+IF(AND($E13=1,LB13=0),1000,0)+IF($H13=1,(IF('計算A'!BN$117=1,INDEX('計算A'!BN$10:BN$54,$B13),0)+IF('計算A'!BO$117=1,INDEX('計算A'!BP$10:BP$54,$B13),0))*500,0)-IF(AND('計算A'!BN$117=1,WL13&gt;0),300,0)-IF(AND($L13=1,'計算A'!BO$117=1,FN13=0),300,0))),1000000))</f>
        <v/>
      </c>
      <c r="QR13">
        <f>IF($B13=0,1000000,IF(INDEX('計算A'!$D$60:$EQ$104,$B13,65)*FN13=1,IF(AND($E13=2,LC13=0),1000000,IF($I13&gt;0,IF(3=$J13,IF(OR(AND(65=$I13+1,OR($K13&lt;&gt;'計算A'!$A$3,'計算A'!$A$4=0)),AND(65=$I13-1,OR(17&lt;&gt;'計算A'!$A$3,'計算A'!$A$4=0))),0,IF(17=$K13,200000,ABS(17-$K13)*100)),100000+ABS(3-$J13)*1000+170)+'計算A'!BP$5*50+IF(AND($E13=1,LC13=0),25,0),INDEX('計算A'!BP$110:BP$114,$F13+1)+IF(AND($E13=1,LC13=0),1000,0)+IF($H13=1,(IF('計算A'!BO$117=1,INDEX('計算A'!BO$10:BO$54,$B13),0)+IF('計算A'!BP$117=1,INDEX('計算A'!BQ$10:BQ$54,$B13),0))*500,0)-IF(AND('計算A'!BO$117=1,WM13&gt;0),300,0)-IF(AND($L13=1,'計算A'!BP$117=1,FO13=0),300,0))),1000000))</f>
        <v/>
      </c>
      <c r="QS13">
        <f>IF($B13=0,1000000,IF(INDEX('計算A'!$D$60:$EQ$104,$B13,66)*FO13=1,IF(AND($E13=2,LD13=0),1000000,IF($I13&gt;0,IF(3=$J13,IF(OR(AND(66=$I13+1,OR($K13&lt;&gt;'計算A'!$A$3,'計算A'!$A$4=0)),AND(66=$I13-1,OR(18&lt;&gt;'計算A'!$A$3,'計算A'!$A$4=0))),0,IF(18=$K13,200000,ABS(18-$K13)*100)),100000+ABS(3-$J13)*1000+180)+'計算A'!BQ$5*50+IF(AND($E13=1,LD13=0),25,0),INDEX('計算A'!BQ$110:BQ$114,$F13+1)+IF(AND($E13=1,LD13=0),1000,0)+IF($H13=1,(IF('計算A'!BP$117=1,INDEX('計算A'!BP$10:BP$54,$B13),0)+IF('計算A'!BQ$117=1,INDEX('計算A'!BR$10:BR$54,$B13),0))*500,0)-IF(AND('計算A'!BP$117=1,WN13&gt;0),300,0)-IF(AND($L13=1,'計算A'!BQ$117=1,FP13=0),300,0))),1000000))</f>
        <v/>
      </c>
      <c r="QT13">
        <f>IF($B13=0,1000000,IF(INDEX('計算A'!$D$60:$EQ$104,$B13,67)*FP13=1,IF(AND($E13=2,LE13=0),1000000,IF($I13&gt;0,IF(3=$J13,IF(OR(AND(67=$I13+1,OR($K13&lt;&gt;'計算A'!$A$3,'計算A'!$A$4=0)),AND(67=$I13-1,OR(19&lt;&gt;'計算A'!$A$3,'計算A'!$A$4=0))),0,IF(19=$K13,200000,ABS(19-$K13)*100)),100000+ABS(3-$J13)*1000+190)+'計算A'!BR$5*50+IF(AND($E13=1,LE13=0),25,0),INDEX('計算A'!BR$110:BR$114,$F13+1)+IF(AND($E13=1,LE13=0),1000,0)+IF($H13=1,(IF('計算A'!BQ$117=1,INDEX('計算A'!BQ$10:BQ$54,$B13),0)+IF('計算A'!BR$117=1,INDEX('計算A'!BS$10:BS$54,$B13),0))*500,0)-IF(AND('計算A'!BQ$117=1,WO13&gt;0),300,0)-IF(AND($L13=1,'計算A'!BR$117=1,FQ13=0),300,0))),1000000))</f>
        <v/>
      </c>
      <c r="QU13">
        <f>IF($B13=0,1000000,IF(INDEX('計算A'!$D$60:$EQ$104,$B13,68)*FQ13=1,IF(AND($E13=2,LF13=0),1000000,IF($I13&gt;0,IF(3=$J13,IF(OR(AND(68=$I13+1,OR($K13&lt;&gt;'計算A'!$A$3,'計算A'!$A$4=0)),AND(68=$I13-1,OR(20&lt;&gt;'計算A'!$A$3,'計算A'!$A$4=0))),0,IF(20=$K13,200000,ABS(20-$K13)*100)),100000+ABS(3-$J13)*1000+200)+'計算A'!BS$5*50+IF(AND($E13=1,LF13=0),25,0),INDEX('計算A'!BS$110:BS$114,$F13+1)+IF(AND($E13=1,LF13=0),1000,0)+IF($H13=1,(IF('計算A'!BR$117=1,INDEX('計算A'!BR$10:BR$54,$B13),0)+IF('計算A'!BS$117=1,INDEX('計算A'!BT$10:BT$54,$B13),0))*500,0)-IF(AND('計算A'!BR$117=1,WP13&gt;0),300,0)-IF(AND($L13=1,'計算A'!BS$117=1,FR13=0),300,0))),1000000))</f>
        <v/>
      </c>
      <c r="QV13">
        <f>IF($B13=0,1000000,IF(INDEX('計算A'!$D$60:$EQ$104,$B13,69)*FR13=1,IF(AND($E13=2,LG13=0),1000000,IF($I13&gt;0,IF(3=$J13,IF(OR(AND(69=$I13+1,OR($K13&lt;&gt;'計算A'!$A$3,'計算A'!$A$4=0)),AND(69=$I13-1,OR(21&lt;&gt;'計算A'!$A$3,'計算A'!$A$4=0))),0,IF(21=$K13,200000,ABS(21-$K13)*100)),100000+ABS(3-$J13)*1000+210)+'計算A'!BT$5*50+IF(AND($E13=1,LG13=0),25,0),INDEX('計算A'!BT$110:BT$114,$F13+1)+IF(AND($E13=1,LG13=0),1000,0)+IF($H13=1,(IF('計算A'!BS$117=1,INDEX('計算A'!BS$10:BS$54,$B13),0)+IF('計算A'!BT$117=1,INDEX('計算A'!BU$10:BU$54,$B13),0))*500,0)-IF(AND('計算A'!BS$117=1,WQ13&gt;0),300,0)-IF(AND($L13=1,'計算A'!BT$117=1,FS13=0),300,0))),1000000))</f>
        <v/>
      </c>
      <c r="QW13">
        <f>IF($B13=0,1000000,IF(INDEX('計算A'!$D$60:$EQ$104,$B13,70)*FS13=1,IF(AND($E13=2,LH13=0),1000000,IF($I13&gt;0,IF(3=$J13,IF(OR(AND(70=$I13+1,OR($K13&lt;&gt;'計算A'!$A$3,'計算A'!$A$4=0)),AND(70=$I13-1,OR(22&lt;&gt;'計算A'!$A$3,'計算A'!$A$4=0))),0,IF(22=$K13,200000,ABS(22-$K13)*100)),100000+ABS(3-$J13)*1000+220)+'計算A'!BU$5*50+IF(AND($E13=1,LH13=0),25,0),INDEX('計算A'!BU$110:BU$114,$F13+1)+IF(AND($E13=1,LH13=0),1000,0)+IF($H13=1,(IF('計算A'!BT$117=1,INDEX('計算A'!BT$10:BT$54,$B13),0)+IF('計算A'!BU$117=1,INDEX('計算A'!BV$10:BV$54,$B13),0))*500,0)-IF(AND('計算A'!BT$117=1,WR13&gt;0),300,0)-IF(AND($L13=1,'計算A'!BU$117=1,FT13=0),300,0))),1000000))</f>
        <v/>
      </c>
      <c r="QX13">
        <f>IF($B13=0,1000000,IF(INDEX('計算A'!$D$60:$EQ$104,$B13,71)*FT13=1,IF(AND($E13=2,LI13=0),1000000,IF($I13&gt;0,IF(3=$J13,IF(OR(AND(71=$I13+1,OR($K13&lt;&gt;'計算A'!$A$3,'計算A'!$A$4=0)),AND(71=$I13-1,OR(23&lt;&gt;'計算A'!$A$3,'計算A'!$A$4=0))),0,IF(23=$K13,200000,ABS(23-$K13)*100)),100000+ABS(3-$J13)*1000+230)+'計算A'!BV$5*50+IF(AND($E13=1,LI13=0),25,0),INDEX('計算A'!BV$110:BV$114,$F13+1)+IF(AND($E13=1,LI13=0),1000,0)+IF($H13=1,(IF('計算A'!BU$117=1,INDEX('計算A'!BU$10:BU$54,$B13),0)+IF('計算A'!BV$117=1,INDEX('計算A'!BW$10:BW$54,$B13),0))*500,0)-IF(AND('計算A'!BU$117=1,WS13&gt;0),300,0)-IF(AND($L13=1,'計算A'!BV$117=1,FU13=0),300,0))),1000000))</f>
        <v/>
      </c>
      <c r="QY13">
        <f>IF($B13=0,1000000,IF(INDEX('計算A'!$D$60:$EQ$104,$B13,72)*FU13=1,IF(AND($E13=2,LJ13=0),1000000,IF($I13&gt;0,IF(3=$J13,IF(OR(AND(72=$I13+1,OR($K13&lt;&gt;'計算A'!$A$3,'計算A'!$A$4=0)),AND(72=$I13-1,OR(24&lt;&gt;'計算A'!$A$3,'計算A'!$A$4=0))),0,IF(24=$K13,200000,ABS(24-$K13)*100)),100000+ABS(3-$J13)*1000+240)+'計算A'!BW$5*50+IF(AND($E13=1,LJ13=0),25,0),INDEX('計算A'!BW$110:BW$114,$F13+1)+IF(AND($E13=1,LJ13=0),1000,0)+IF($H13=1,(IF('計算A'!BV$117=1,INDEX('計算A'!BV$10:BV$54,$B13),0))*500,0)-IF(AND('計算A'!BV$117=1,WT13&gt;0),300,0))),1000000))</f>
        <v/>
      </c>
      <c r="QZ13">
        <f>IF($B13=0,1000000,IF(INDEX('計算A'!$D$60:$EQ$104,$B13,73)*FV13=1,IF(AND($E13=2,LK13=0),1000000,IF($I13&gt;0,IF(4=$J13,IF(OR(AND(73=$I13+1,OR($K13&lt;&gt;'計算A'!$A$3,'計算A'!$A$4=0)),AND(73=$I13-1,OR(1&lt;&gt;'計算A'!$A$3,'計算A'!$A$4=0))),0,IF(1=$K13,200000,ABS(1-$K13)*100)),100000+ABS(4-$J13)*1000+10)+'計算A'!BX$5*50+IF(AND($E13=1,LK13=0),25,0),INDEX('計算A'!BX$110:BX$114,$F13+1)+IF(AND($E13=1,LK13=0),1000,0)+IF($H13=1,(IF('計算A'!BX$117=1,INDEX('計算A'!BY$10:BY$54,$B13),0))*500,0)-IF(AND($L13=1,'計算A'!BX$117=1,FW13=0),300,0))),1000000))</f>
        <v/>
      </c>
      <c r="RA13">
        <f>IF($B13=0,1000000,IF(INDEX('計算A'!$D$60:$EQ$104,$B13,74)*FW13=1,IF(AND($E13=2,LL13=0),1000000,IF($I13&gt;0,IF(4=$J13,IF(OR(AND(74=$I13+1,OR($K13&lt;&gt;'計算A'!$A$3,'計算A'!$A$4=0)),AND(74=$I13-1,OR(2&lt;&gt;'計算A'!$A$3,'計算A'!$A$4=0))),0,IF(2=$K13,200000,ABS(2-$K13)*100)),100000+ABS(4-$J13)*1000+20)+'計算A'!BY$5*50+IF(AND($E13=1,LL13=0),25,0),INDEX('計算A'!BY$110:BY$114,$F13+1)+IF(AND($E13=1,LL13=0),1000,0)+IF($H13=1,(IF('計算A'!BX$117=1,INDEX('計算A'!BX$10:BX$54,$B13),0)+IF('計算A'!BY$117=1,INDEX('計算A'!BZ$10:BZ$54,$B13),0))*500,0)-IF(AND('計算A'!BX$117=1,WV13&gt;0),300,0)-IF(AND($L13=1,'計算A'!BY$117=1,FX13=0),300,0))),1000000))</f>
        <v/>
      </c>
      <c r="RB13">
        <f>IF($B13=0,1000000,IF(INDEX('計算A'!$D$60:$EQ$104,$B13,75)*FX13=1,IF(AND($E13=2,LM13=0),1000000,IF($I13&gt;0,IF(4=$J13,IF(OR(AND(75=$I13+1,OR($K13&lt;&gt;'計算A'!$A$3,'計算A'!$A$4=0)),AND(75=$I13-1,OR(3&lt;&gt;'計算A'!$A$3,'計算A'!$A$4=0))),0,IF(3=$K13,200000,ABS(3-$K13)*100)),100000+ABS(4-$J13)*1000+30)+'計算A'!BZ$5*50+IF(AND($E13=1,LM13=0),25,0),INDEX('計算A'!BZ$110:BZ$114,$F13+1)+IF(AND($E13=1,LM13=0),1000,0)+IF($H13=1,(IF('計算A'!BY$117=1,INDEX('計算A'!BY$10:BY$54,$B13),0)+IF('計算A'!BZ$117=1,INDEX('計算A'!CA$10:CA$54,$B13),0))*500,0)-IF(AND('計算A'!BY$117=1,WW13&gt;0),300,0)-IF(AND($L13=1,'計算A'!BZ$117=1,FY13=0),300,0))),1000000))</f>
        <v/>
      </c>
      <c r="RC13">
        <f>IF($B13=0,1000000,IF(INDEX('計算A'!$D$60:$EQ$104,$B13,76)*FY13=1,IF(AND($E13=2,LN13=0),1000000,IF($I13&gt;0,IF(4=$J13,IF(OR(AND(76=$I13+1,OR($K13&lt;&gt;'計算A'!$A$3,'計算A'!$A$4=0)),AND(76=$I13-1,OR(4&lt;&gt;'計算A'!$A$3,'計算A'!$A$4=0))),0,IF(4=$K13,200000,ABS(4-$K13)*100)),100000+ABS(4-$J13)*1000+40)+'計算A'!CA$5*50+IF(AND($E13=1,LN13=0),25,0),INDEX('計算A'!CA$110:CA$114,$F13+1)+IF(AND($E13=1,LN13=0),1000,0)+IF($H13=1,(IF('計算A'!BZ$117=1,INDEX('計算A'!BZ$10:BZ$54,$B13),0)+IF('計算A'!CA$117=1,INDEX('計算A'!CB$10:CB$54,$B13),0))*500,0)-IF(AND('計算A'!BZ$117=1,WX13&gt;0),300,0)-IF(AND($L13=1,'計算A'!CA$117=1,FZ13=0),300,0))),1000000))</f>
        <v/>
      </c>
      <c r="RD13">
        <f>IF($B13=0,1000000,IF(INDEX('計算A'!$D$60:$EQ$104,$B13,77)*FZ13=1,IF(AND($E13=2,LO13=0),1000000,IF($I13&gt;0,IF(4=$J13,IF(OR(AND(77=$I13+1,OR($K13&lt;&gt;'計算A'!$A$3,'計算A'!$A$4=0)),AND(77=$I13-1,OR(5&lt;&gt;'計算A'!$A$3,'計算A'!$A$4=0))),0,IF(5=$K13,200000,ABS(5-$K13)*100)),100000+ABS(4-$J13)*1000+50)+'計算A'!CB$5*50+IF(AND($E13=1,LO13=0),25,0),INDEX('計算A'!CB$110:CB$114,$F13+1)+IF(AND($E13=1,LO13=0),1000,0)+IF($H13=1,(IF('計算A'!CA$117=1,INDEX('計算A'!CA$10:CA$54,$B13),0)+IF('計算A'!CB$117=1,INDEX('計算A'!CC$10:CC$54,$B13),0))*500,0)-IF(AND('計算A'!CA$117=1,WY13&gt;0),300,0)-IF(AND($L13=1,'計算A'!CB$117=1,GA13=0),300,0))),1000000))</f>
        <v/>
      </c>
      <c r="RE13">
        <f>IF($B13=0,1000000,IF(INDEX('計算A'!$D$60:$EQ$104,$B13,78)*GA13=1,IF(AND($E13=2,LP13=0),1000000,IF($I13&gt;0,IF(4=$J13,IF(OR(AND(78=$I13+1,OR($K13&lt;&gt;'計算A'!$A$3,'計算A'!$A$4=0)),AND(78=$I13-1,OR(6&lt;&gt;'計算A'!$A$3,'計算A'!$A$4=0))),0,IF(6=$K13,200000,ABS(6-$K13)*100)),100000+ABS(4-$J13)*1000+60)+'計算A'!CC$5*50+IF(AND($E13=1,LP13=0),25,0),INDEX('計算A'!CC$110:CC$114,$F13+1)+IF(AND($E13=1,LP13=0),1000,0)+IF($H13=1,(IF('計算A'!CB$117=1,INDEX('計算A'!CB$10:CB$54,$B13),0)+IF('計算A'!CC$117=1,INDEX('計算A'!CD$10:CD$54,$B13),0))*500,0)-IF(AND('計算A'!CB$117=1,WZ13&gt;0),300,0)-IF(AND($L13=1,'計算A'!CC$117=1,GB13=0),300,0))),1000000))</f>
        <v/>
      </c>
      <c r="RF13">
        <f>IF($B13=0,1000000,IF(INDEX('計算A'!$D$60:$EQ$104,$B13,79)*GB13=1,IF(AND($E13=2,LQ13=0),1000000,IF($I13&gt;0,IF(4=$J13,IF(OR(AND(79=$I13+1,OR($K13&lt;&gt;'計算A'!$A$3,'計算A'!$A$4=0)),AND(79=$I13-1,OR(7&lt;&gt;'計算A'!$A$3,'計算A'!$A$4=0))),0,IF(7=$K13,200000,ABS(7-$K13)*100)),100000+ABS(4-$J13)*1000+70)+'計算A'!CD$5*50+IF(AND($E13=1,LQ13=0),25,0),INDEX('計算A'!CD$110:CD$114,$F13+1)+IF(AND($E13=1,LQ13=0),1000,0)+IF($H13=1,(IF('計算A'!CC$117=1,INDEX('計算A'!CC$10:CC$54,$B13),0)+IF('計算A'!CD$117=1,INDEX('計算A'!CE$10:CE$54,$B13),0))*500,0)-IF(AND('計算A'!CC$117=1,XA13&gt;0),300,0)-IF(AND($L13=1,'計算A'!CD$117=1,GC13=0),300,0))),1000000))</f>
        <v/>
      </c>
      <c r="RG13">
        <f>IF($B13=0,1000000,IF(INDEX('計算A'!$D$60:$EQ$104,$B13,80)*GC13=1,IF(AND($E13=2,LR13=0),1000000,IF($I13&gt;0,IF(4=$J13,IF(OR(AND(80=$I13+1,OR($K13&lt;&gt;'計算A'!$A$3,'計算A'!$A$4=0)),AND(80=$I13-1,OR(8&lt;&gt;'計算A'!$A$3,'計算A'!$A$4=0))),0,IF(8=$K13,200000,ABS(8-$K13)*100)),100000+ABS(4-$J13)*1000+80)+'計算A'!CE$5*50+IF(AND($E13=1,LR13=0),25,0),INDEX('計算A'!CE$110:CE$114,$F13+1)+IF(AND($E13=1,LR13=0),1000,0)+IF($H13=1,(IF('計算A'!CD$117=1,INDEX('計算A'!CD$10:CD$54,$B13),0)+IF('計算A'!CE$117=1,INDEX('計算A'!CF$10:CF$54,$B13),0))*500,0)-IF(AND('計算A'!CD$117=1,XB13&gt;0),300,0)-IF(AND($L13=1,'計算A'!CE$117=1,GD13=0),300,0))),1000000))</f>
        <v/>
      </c>
      <c r="RH13">
        <f>IF($B13=0,1000000,IF(INDEX('計算A'!$D$60:$EQ$104,$B13,81)*GD13=1,IF(AND($E13=2,LS13=0),1000000,IF($I13&gt;0,IF(4=$J13,IF(OR(AND(81=$I13+1,OR($K13&lt;&gt;'計算A'!$A$3,'計算A'!$A$4=0)),AND(81=$I13-1,OR(9&lt;&gt;'計算A'!$A$3,'計算A'!$A$4=0))),0,IF(9=$K13,200000,ABS(9-$K13)*100)),100000+ABS(4-$J13)*1000+90)+'計算A'!CF$5*50+IF(AND($E13=1,LS13=0),25,0),INDEX('計算A'!CF$110:CF$114,$F13+1)+IF(AND($E13=1,LS13=0),1000,0)+IF($H13=1,(IF('計算A'!CE$117=1,INDEX('計算A'!CE$10:CE$54,$B13),0)+IF('計算A'!CF$117=1,INDEX('計算A'!CG$10:CG$54,$B13),0))*500,0)-IF(AND('計算A'!CE$117=1,XC13&gt;0),300,0)-IF(AND($L13=1,'計算A'!CF$117=1,GE13=0),300,0))),1000000))</f>
        <v/>
      </c>
      <c r="RI13">
        <f>IF($B13=0,1000000,IF(INDEX('計算A'!$D$60:$EQ$104,$B13,82)*GE13=1,IF(AND($E13=2,LT13=0),1000000,IF($I13&gt;0,IF(4=$J13,IF(OR(AND(82=$I13+1,OR($K13&lt;&gt;'計算A'!$A$3,'計算A'!$A$4=0)),AND(82=$I13-1,OR(10&lt;&gt;'計算A'!$A$3,'計算A'!$A$4=0))),0,IF(10=$K13,200000,ABS(10-$K13)*100)),100000+ABS(4-$J13)*1000+100)+'計算A'!CG$5*50+IF(AND($E13=1,LT13=0),25,0),INDEX('計算A'!CG$110:CG$114,$F13+1)+IF(AND($E13=1,LT13=0),1000,0)+IF($H13=1,(IF('計算A'!CF$117=1,INDEX('計算A'!CF$10:CF$54,$B13),0)+IF('計算A'!CG$117=1,INDEX('計算A'!CH$10:CH$54,$B13),0))*500,0)-IF(AND('計算A'!CF$117=1,XD13&gt;0),300,0)-IF(AND($L13=1,'計算A'!CG$117=1,GF13=0),300,0))),1000000))</f>
        <v/>
      </c>
      <c r="RJ13">
        <f>IF($B13=0,1000000,IF(INDEX('計算A'!$D$60:$EQ$104,$B13,83)*GF13=1,IF(AND($E13=2,LU13=0),1000000,IF($I13&gt;0,IF(4=$J13,IF(OR(AND(83=$I13+1,OR($K13&lt;&gt;'計算A'!$A$3,'計算A'!$A$4=0)),AND(83=$I13-1,OR(11&lt;&gt;'計算A'!$A$3,'計算A'!$A$4=0))),0,IF(11=$K13,200000,ABS(11-$K13)*100)),100000+ABS(4-$J13)*1000+110)+'計算A'!CH$5*50+IF(AND($E13=1,LU13=0),25,0),INDEX('計算A'!CH$110:CH$114,$F13+1)+IF(AND($E13=1,LU13=0),1000,0)+IF($H13=1,(IF('計算A'!CG$117=1,INDEX('計算A'!CG$10:CG$54,$B13),0)+IF('計算A'!CH$117=1,INDEX('計算A'!CI$10:CI$54,$B13),0))*500,0)-IF(AND('計算A'!CG$117=1,XE13&gt;0),300,0)-IF(AND($L13=1,'計算A'!CH$117=1,GG13=0),300,0))),1000000))</f>
        <v/>
      </c>
      <c r="RK13">
        <f>IF($B13=0,1000000,IF(INDEX('計算A'!$D$60:$EQ$104,$B13,84)*GG13=1,IF(AND($E13=2,LV13=0),1000000,IF($I13&gt;0,IF(4=$J13,IF(OR(AND(84=$I13+1,OR($K13&lt;&gt;'計算A'!$A$3,'計算A'!$A$4=0)),AND(84=$I13-1,OR(12&lt;&gt;'計算A'!$A$3,'計算A'!$A$4=0))),0,IF(12=$K13,200000,ABS(12-$K13)*100)),100000+ABS(4-$J13)*1000+120)+'計算A'!CI$5*50+IF(AND($E13=1,LV13=0),25,0),INDEX('計算A'!CI$110:CI$114,$F13+1)+IF(AND($E13=1,LV13=0),1000,0)+IF($H13=1,(IF('計算A'!CH$117=1,INDEX('計算A'!CH$10:CH$54,$B13),0)+IF('計算A'!CI$117=1,INDEX('計算A'!CJ$10:CJ$54,$B13),0))*500,0)-IF(AND('計算A'!CH$117=1,XF13&gt;0),300,0)-IF(AND($L13=1,'計算A'!CI$117=1,GH13=0),300,0))),1000000))</f>
        <v/>
      </c>
      <c r="RL13">
        <f>IF($B13=0,1000000,IF(INDEX('計算A'!$D$60:$EQ$104,$B13,85)*GH13=1,IF(AND($E13=2,LW13=0),1000000,IF($I13&gt;0,IF(4=$J13,IF(OR(AND(85=$I13+1,OR($K13&lt;&gt;'計算A'!$A$3,'計算A'!$A$4=0)),AND(85=$I13-1,OR(13&lt;&gt;'計算A'!$A$3,'計算A'!$A$4=0))),0,IF(13=$K13,200000,ABS(13-$K13)*100)),100000+ABS(4-$J13)*1000+130)+'計算A'!CJ$5*50+IF(AND($E13=1,LW13=0),25,0),INDEX('計算A'!CJ$110:CJ$114,$F13+1)+IF(AND($E13=1,LW13=0),1000,0)+IF($H13=1,(IF('計算A'!CI$117=1,INDEX('計算A'!CI$10:CI$54,$B13),0)+IF('計算A'!CJ$117=1,INDEX('計算A'!CK$10:CK$54,$B13),0))*500,0)-IF(AND('計算A'!CI$117=1,XG13&gt;0),300,0)-IF(AND($L13=1,'計算A'!CJ$117=1,GI13=0),300,0))),1000000))</f>
        <v/>
      </c>
      <c r="RM13">
        <f>IF($B13=0,1000000,IF(INDEX('計算A'!$D$60:$EQ$104,$B13,86)*GI13=1,IF(AND($E13=2,LX13=0),1000000,IF($I13&gt;0,IF(4=$J13,IF(OR(AND(86=$I13+1,OR($K13&lt;&gt;'計算A'!$A$3,'計算A'!$A$4=0)),AND(86=$I13-1,OR(14&lt;&gt;'計算A'!$A$3,'計算A'!$A$4=0))),0,IF(14=$K13,200000,ABS(14-$K13)*100)),100000+ABS(4-$J13)*1000+140)+'計算A'!CK$5*50+IF(AND($E13=1,LX13=0),25,0),INDEX('計算A'!CK$110:CK$114,$F13+1)+IF(AND($E13=1,LX13=0),1000,0)+IF($H13=1,(IF('計算A'!CJ$117=1,INDEX('計算A'!CJ$10:CJ$54,$B13),0)+IF('計算A'!CK$117=1,INDEX('計算A'!CL$10:CL$54,$B13),0))*500,0)-IF(AND('計算A'!CJ$117=1,XH13&gt;0),300,0)-IF(AND($L13=1,'計算A'!CK$117=1,GJ13=0),300,0))),1000000))</f>
        <v/>
      </c>
      <c r="RN13">
        <f>IF($B13=0,1000000,IF(INDEX('計算A'!$D$60:$EQ$104,$B13,87)*GJ13=1,IF(AND($E13=2,LY13=0),1000000,IF($I13&gt;0,IF(4=$J13,IF(OR(AND(87=$I13+1,OR($K13&lt;&gt;'計算A'!$A$3,'計算A'!$A$4=0)),AND(87=$I13-1,OR(15&lt;&gt;'計算A'!$A$3,'計算A'!$A$4=0))),0,IF(15=$K13,200000,ABS(15-$K13)*100)),100000+ABS(4-$J13)*1000+150)+'計算A'!CL$5*50+IF(AND($E13=1,LY13=0),25,0),INDEX('計算A'!CL$110:CL$114,$F13+1)+IF(AND($E13=1,LY13=0),1000,0)+IF($H13=1,(IF('計算A'!CK$117=1,INDEX('計算A'!CK$10:CK$54,$B13),0)+IF('計算A'!CL$117=1,INDEX('計算A'!CM$10:CM$54,$B13),0))*500,0)-IF(AND('計算A'!CK$117=1,XI13&gt;0),300,0)-IF(AND($L13=1,'計算A'!CL$117=1,GK13=0),300,0))),1000000))</f>
        <v/>
      </c>
      <c r="RO13">
        <f>IF($B13=0,1000000,IF(INDEX('計算A'!$D$60:$EQ$104,$B13,88)*GK13=1,IF(AND($E13=2,LZ13=0),1000000,IF($I13&gt;0,IF(4=$J13,IF(OR(AND(88=$I13+1,OR($K13&lt;&gt;'計算A'!$A$3,'計算A'!$A$4=0)),AND(88=$I13-1,OR(16&lt;&gt;'計算A'!$A$3,'計算A'!$A$4=0))),0,IF(16=$K13,200000,ABS(16-$K13)*100)),100000+ABS(4-$J13)*1000+160)+'計算A'!CM$5*50+IF(AND($E13=1,LZ13=0),25,0),INDEX('計算A'!CM$110:CM$114,$F13+1)+IF(AND($E13=1,LZ13=0),1000,0)+IF($H13=1,(IF('計算A'!CL$117=1,INDEX('計算A'!CL$10:CL$54,$B13),0)+IF('計算A'!CM$117=1,INDEX('計算A'!CN$10:CN$54,$B13),0))*500,0)-IF(AND('計算A'!CL$117=1,XJ13&gt;0),300,0)-IF(AND($L13=1,'計算A'!CM$117=1,GL13=0),300,0))),1000000))</f>
        <v/>
      </c>
      <c r="RP13">
        <f>IF($B13=0,1000000,IF(INDEX('計算A'!$D$60:$EQ$104,$B13,89)*GL13=1,IF(AND($E13=2,MA13=0),1000000,IF($I13&gt;0,IF(4=$J13,IF(OR(AND(89=$I13+1,OR($K13&lt;&gt;'計算A'!$A$3,'計算A'!$A$4=0)),AND(89=$I13-1,OR(17&lt;&gt;'計算A'!$A$3,'計算A'!$A$4=0))),0,IF(17=$K13,200000,ABS(17-$K13)*100)),100000+ABS(4-$J13)*1000+170)+'計算A'!CN$5*50+IF(AND($E13=1,MA13=0),25,0),INDEX('計算A'!CN$110:CN$114,$F13+1)+IF(AND($E13=1,MA13=0),1000,0)+IF($H13=1,(IF('計算A'!CM$117=1,INDEX('計算A'!CM$10:CM$54,$B13),0)+IF('計算A'!CN$117=1,INDEX('計算A'!CO$10:CO$54,$B13),0))*500,0)-IF(AND('計算A'!CM$117=1,XK13&gt;0),300,0)-IF(AND($L13=1,'計算A'!CN$117=1,GM13=0),300,0))),1000000))</f>
        <v/>
      </c>
      <c r="RQ13">
        <f>IF($B13=0,1000000,IF(INDEX('計算A'!$D$60:$EQ$104,$B13,90)*GM13=1,IF(AND($E13=2,MB13=0),1000000,IF($I13&gt;0,IF(4=$J13,IF(OR(AND(90=$I13+1,OR($K13&lt;&gt;'計算A'!$A$3,'計算A'!$A$4=0)),AND(90=$I13-1,OR(18&lt;&gt;'計算A'!$A$3,'計算A'!$A$4=0))),0,IF(18=$K13,200000,ABS(18-$K13)*100)),100000+ABS(4-$J13)*1000+180)+'計算A'!CO$5*50+IF(AND($E13=1,MB13=0),25,0),INDEX('計算A'!CO$110:CO$114,$F13+1)+IF(AND($E13=1,MB13=0),1000,0)+IF($H13=1,(IF('計算A'!CN$117=1,INDEX('計算A'!CN$10:CN$54,$B13),0)+IF('計算A'!CO$117=1,INDEX('計算A'!CP$10:CP$54,$B13),0))*500,0)-IF(AND('計算A'!CN$117=1,XL13&gt;0),300,0)-IF(AND($L13=1,'計算A'!CO$117=1,GN13=0),300,0))),1000000))</f>
        <v/>
      </c>
      <c r="RR13">
        <f>IF($B13=0,1000000,IF(INDEX('計算A'!$D$60:$EQ$104,$B13,91)*GN13=1,IF(AND($E13=2,MC13=0),1000000,IF($I13&gt;0,IF(4=$J13,IF(OR(AND(91=$I13+1,OR($K13&lt;&gt;'計算A'!$A$3,'計算A'!$A$4=0)),AND(91=$I13-1,OR(19&lt;&gt;'計算A'!$A$3,'計算A'!$A$4=0))),0,IF(19=$K13,200000,ABS(19-$K13)*100)),100000+ABS(4-$J13)*1000+190)+'計算A'!CP$5*50+IF(AND($E13=1,MC13=0),25,0),INDEX('計算A'!CP$110:CP$114,$F13+1)+IF(AND($E13=1,MC13=0),1000,0)+IF($H13=1,(IF('計算A'!CO$117=1,INDEX('計算A'!CO$10:CO$54,$B13),0)+IF('計算A'!CP$117=1,INDEX('計算A'!CQ$10:CQ$54,$B13),0))*500,0)-IF(AND('計算A'!CO$117=1,XM13&gt;0),300,0)-IF(AND($L13=1,'計算A'!CP$117=1,GO13=0),300,0))),1000000))</f>
        <v/>
      </c>
      <c r="RS13">
        <f>IF($B13=0,1000000,IF(INDEX('計算A'!$D$60:$EQ$104,$B13,92)*GO13=1,IF(AND($E13=2,MD13=0),1000000,IF($I13&gt;0,IF(4=$J13,IF(OR(AND(92=$I13+1,OR($K13&lt;&gt;'計算A'!$A$3,'計算A'!$A$4=0)),AND(92=$I13-1,OR(20&lt;&gt;'計算A'!$A$3,'計算A'!$A$4=0))),0,IF(20=$K13,200000,ABS(20-$K13)*100)),100000+ABS(4-$J13)*1000+200)+'計算A'!CQ$5*50+IF(AND($E13=1,MD13=0),25,0),INDEX('計算A'!CQ$110:CQ$114,$F13+1)+IF(AND($E13=1,MD13=0),1000,0)+IF($H13=1,(IF('計算A'!CP$117=1,INDEX('計算A'!CP$10:CP$54,$B13),0)+IF('計算A'!CQ$117=1,INDEX('計算A'!CR$10:CR$54,$B13),0))*500,0)-IF(AND('計算A'!CP$117=1,XN13&gt;0),300,0)-IF(AND($L13=1,'計算A'!CQ$117=1,GP13=0),300,0))),1000000))</f>
        <v/>
      </c>
      <c r="RT13">
        <f>IF($B13=0,1000000,IF(INDEX('計算A'!$D$60:$EQ$104,$B13,93)*GP13=1,IF(AND($E13=2,ME13=0),1000000,IF($I13&gt;0,IF(4=$J13,IF(OR(AND(93=$I13+1,OR($K13&lt;&gt;'計算A'!$A$3,'計算A'!$A$4=0)),AND(93=$I13-1,OR(21&lt;&gt;'計算A'!$A$3,'計算A'!$A$4=0))),0,IF(21=$K13,200000,ABS(21-$K13)*100)),100000+ABS(4-$J13)*1000+210)+'計算A'!CR$5*50+IF(AND($E13=1,ME13=0),25,0),INDEX('計算A'!CR$110:CR$114,$F13+1)+IF(AND($E13=1,ME13=0),1000,0)+IF($H13=1,(IF('計算A'!CQ$117=1,INDEX('計算A'!CQ$10:CQ$54,$B13),0)+IF('計算A'!CR$117=1,INDEX('計算A'!CS$10:CS$54,$B13),0))*500,0)-IF(AND('計算A'!CQ$117=1,XO13&gt;0),300,0)-IF(AND($L13=1,'計算A'!CR$117=1,GQ13=0),300,0))),1000000))</f>
        <v/>
      </c>
      <c r="RU13">
        <f>IF($B13=0,1000000,IF(INDEX('計算A'!$D$60:$EQ$104,$B13,94)*GQ13=1,IF(AND($E13=2,MF13=0),1000000,IF($I13&gt;0,IF(4=$J13,IF(OR(AND(94=$I13+1,OR($K13&lt;&gt;'計算A'!$A$3,'計算A'!$A$4=0)),AND(94=$I13-1,OR(22&lt;&gt;'計算A'!$A$3,'計算A'!$A$4=0))),0,IF(22=$K13,200000,ABS(22-$K13)*100)),100000+ABS(4-$J13)*1000+220)+'計算A'!CS$5*50+IF(AND($E13=1,MF13=0),25,0),INDEX('計算A'!CS$110:CS$114,$F13+1)+IF(AND($E13=1,MF13=0),1000,0)+IF($H13=1,(IF('計算A'!CR$117=1,INDEX('計算A'!CR$10:CR$54,$B13),0)+IF('計算A'!CS$117=1,INDEX('計算A'!CT$10:CT$54,$B13),0))*500,0)-IF(AND('計算A'!CR$117=1,XP13&gt;0),300,0)-IF(AND($L13=1,'計算A'!CS$117=1,GR13=0),300,0))),1000000))</f>
        <v/>
      </c>
      <c r="RV13">
        <f>IF($B13=0,1000000,IF(INDEX('計算A'!$D$60:$EQ$104,$B13,95)*GR13=1,IF(AND($E13=2,MG13=0),1000000,IF($I13&gt;0,IF(4=$J13,IF(OR(AND(95=$I13+1,OR($K13&lt;&gt;'計算A'!$A$3,'計算A'!$A$4=0)),AND(95=$I13-1,OR(23&lt;&gt;'計算A'!$A$3,'計算A'!$A$4=0))),0,IF(23=$K13,200000,ABS(23-$K13)*100)),100000+ABS(4-$J13)*1000+230)+'計算A'!CT$5*50+IF(AND($E13=1,MG13=0),25,0),INDEX('計算A'!CT$110:CT$114,$F13+1)+IF(AND($E13=1,MG13=0),1000,0)+IF($H13=1,(IF('計算A'!CS$117=1,INDEX('計算A'!CS$10:CS$54,$B13),0)+IF('計算A'!CT$117=1,INDEX('計算A'!CU$10:CU$54,$B13),0))*500,0)-IF(AND('計算A'!CS$117=1,XQ13&gt;0),300,0)-IF(AND($L13=1,'計算A'!CT$117=1,GS13=0),300,0))),1000000))</f>
        <v/>
      </c>
      <c r="RW13">
        <f>IF($B13=0,1000000,IF(INDEX('計算A'!$D$60:$EQ$104,$B13,96)*GS13=1,IF(AND($E13=2,MH13=0),1000000,IF($I13&gt;0,IF(4=$J13,IF(OR(AND(96=$I13+1,OR($K13&lt;&gt;'計算A'!$A$3,'計算A'!$A$4=0)),AND(96=$I13-1,OR(24&lt;&gt;'計算A'!$A$3,'計算A'!$A$4=0))),0,IF(24=$K13,200000,ABS(24-$K13)*100)),100000+ABS(4-$J13)*1000+240)+'計算A'!CU$5*50+IF(AND($E13=1,MH13=0),25,0),INDEX('計算A'!CU$110:CU$114,$F13+1)+IF(AND($E13=1,MH13=0),1000,0)+IF($H13=1,(IF('計算A'!CT$117=1,INDEX('計算A'!CT$10:CT$54,$B13),0))*500,0)-IF(AND('計算A'!CT$117=1,XR13&gt;0),300,0))),1000000))</f>
        <v/>
      </c>
      <c r="RX13">
        <f>IF($B13=0,1000000,IF(INDEX('計算A'!$D$60:$EQ$104,$B13,97)*GT13=1,IF(AND($E13=2,MI13=0),1000000,IF($I13&gt;0,IF(5=$J13,IF(OR(AND(97=$I13+1,OR($K13&lt;&gt;'計算A'!$A$3,'計算A'!$A$4=0)),AND(97=$I13-1,OR(1&lt;&gt;'計算A'!$A$3,'計算A'!$A$4=0))),0,IF(1=$K13,200000,ABS(1-$K13)*100)),100000+ABS(5-$J13)*1000+10)+'計算A'!CV$5*50+IF(AND($E13=1,MI13=0),25,0),INDEX('計算A'!CV$110:CV$114,$F13+1)+IF(AND($E13=1,MI13=0),1000,0)+IF($H13=1,(IF('計算A'!CV$117=1,INDEX('計算A'!CW$10:CW$54,$B13),0))*500,0)-IF(AND($L13=1,'計算A'!CV$117=1,GU13=0),300,0))),1000000))</f>
        <v/>
      </c>
      <c r="RY13">
        <f>IF($B13=0,1000000,IF(INDEX('計算A'!$D$60:$EQ$104,$B13,98)*GU13=1,IF(AND($E13=2,MJ13=0),1000000,IF($I13&gt;0,IF(5=$J13,IF(OR(AND(98=$I13+1,OR($K13&lt;&gt;'計算A'!$A$3,'計算A'!$A$4=0)),AND(98=$I13-1,OR(2&lt;&gt;'計算A'!$A$3,'計算A'!$A$4=0))),0,IF(2=$K13,200000,ABS(2-$K13)*100)),100000+ABS(5-$J13)*1000+20)+'計算A'!CW$5*50+IF(AND($E13=1,MJ13=0),25,0),INDEX('計算A'!CW$110:CW$114,$F13+1)+IF(AND($E13=1,MJ13=0),1000,0)+IF($H13=1,(IF('計算A'!CV$117=1,INDEX('計算A'!CV$10:CV$54,$B13),0)+IF('計算A'!CW$117=1,INDEX('計算A'!CX$10:CX$54,$B13),0))*500,0)-IF(AND('計算A'!CV$117=1,XT13&gt;0),300,0)-IF(AND($L13=1,'計算A'!CW$117=1,GV13=0),300,0))),1000000))</f>
        <v/>
      </c>
      <c r="RZ13">
        <f>IF($B13=0,1000000,IF(INDEX('計算A'!$D$60:$EQ$104,$B13,99)*GV13=1,IF(AND($E13=2,MK13=0),1000000,IF($I13&gt;0,IF(5=$J13,IF(OR(AND(99=$I13+1,OR($K13&lt;&gt;'計算A'!$A$3,'計算A'!$A$4=0)),AND(99=$I13-1,OR(3&lt;&gt;'計算A'!$A$3,'計算A'!$A$4=0))),0,IF(3=$K13,200000,ABS(3-$K13)*100)),100000+ABS(5-$J13)*1000+30)+'計算A'!CX$5*50+IF(AND($E13=1,MK13=0),25,0),INDEX('計算A'!CX$110:CX$114,$F13+1)+IF(AND($E13=1,MK13=0),1000,0)+IF($H13=1,(IF('計算A'!CW$117=1,INDEX('計算A'!CW$10:CW$54,$B13),0)+IF('計算A'!CX$117=1,INDEX('計算A'!CY$10:CY$54,$B13),0))*500,0)-IF(AND('計算A'!CW$117=1,XU13&gt;0),300,0)-IF(AND($L13=1,'計算A'!CX$117=1,GW13=0),300,0))),1000000))</f>
        <v/>
      </c>
      <c r="SA13">
        <f>IF($B13=0,1000000,IF(INDEX('計算A'!$D$60:$EQ$104,$B13,100)*GW13=1,IF(AND($E13=2,ML13=0),1000000,IF($I13&gt;0,IF(5=$J13,IF(OR(AND(100=$I13+1,OR($K13&lt;&gt;'計算A'!$A$3,'計算A'!$A$4=0)),AND(100=$I13-1,OR(4&lt;&gt;'計算A'!$A$3,'計算A'!$A$4=0))),0,IF(4=$K13,200000,ABS(4-$K13)*100)),100000+ABS(5-$J13)*1000+40)+'計算A'!CY$5*50+IF(AND($E13=1,ML13=0),25,0),INDEX('計算A'!CY$110:CY$114,$F13+1)+IF(AND($E13=1,ML13=0),1000,0)+IF($H13=1,(IF('計算A'!CX$117=1,INDEX('計算A'!CX$10:CX$54,$B13),0)+IF('計算A'!CY$117=1,INDEX('計算A'!CZ$10:CZ$54,$B13),0))*500,0)-IF(AND('計算A'!CX$117=1,XV13&gt;0),300,0)-IF(AND($L13=1,'計算A'!CY$117=1,GX13=0),300,0))),1000000))</f>
        <v/>
      </c>
      <c r="SB13">
        <f>IF($B13=0,1000000,IF(INDEX('計算A'!$D$60:$EQ$104,$B13,101)*GX13=1,IF(AND($E13=2,MM13=0),1000000,IF($I13&gt;0,IF(5=$J13,IF(OR(AND(101=$I13+1,OR($K13&lt;&gt;'計算A'!$A$3,'計算A'!$A$4=0)),AND(101=$I13-1,OR(5&lt;&gt;'計算A'!$A$3,'計算A'!$A$4=0))),0,IF(5=$K13,200000,ABS(5-$K13)*100)),100000+ABS(5-$J13)*1000+50)+'計算A'!CZ$5*50+IF(AND($E13=1,MM13=0),25,0),INDEX('計算A'!CZ$110:CZ$114,$F13+1)+IF(AND($E13=1,MM13=0),1000,0)+IF($H13=1,(IF('計算A'!CY$117=1,INDEX('計算A'!CY$10:CY$54,$B13),0)+IF('計算A'!CZ$117=1,INDEX('計算A'!DA$10:DA$54,$B13),0))*500,0)-IF(AND('計算A'!CY$117=1,XW13&gt;0),300,0)-IF(AND($L13=1,'計算A'!CZ$117=1,GY13=0),300,0))),1000000))</f>
        <v/>
      </c>
      <c r="SC13">
        <f>IF($B13=0,1000000,IF(INDEX('計算A'!$D$60:$EQ$104,$B13,102)*GY13=1,IF(AND($E13=2,MN13=0),1000000,IF($I13&gt;0,IF(5=$J13,IF(OR(AND(102=$I13+1,OR($K13&lt;&gt;'計算A'!$A$3,'計算A'!$A$4=0)),AND(102=$I13-1,OR(6&lt;&gt;'計算A'!$A$3,'計算A'!$A$4=0))),0,IF(6=$K13,200000,ABS(6-$K13)*100)),100000+ABS(5-$J13)*1000+60)+'計算A'!DA$5*50+IF(AND($E13=1,MN13=0),25,0),INDEX('計算A'!DA$110:DA$114,$F13+1)+IF(AND($E13=1,MN13=0),1000,0)+IF($H13=1,(IF('計算A'!CZ$117=1,INDEX('計算A'!CZ$10:CZ$54,$B13),0)+IF('計算A'!DA$117=1,INDEX('計算A'!DB$10:DB$54,$B13),0))*500,0)-IF(AND('計算A'!CZ$117=1,XX13&gt;0),300,0)-IF(AND($L13=1,'計算A'!DA$117=1,GZ13=0),300,0))),1000000))</f>
        <v/>
      </c>
      <c r="SD13">
        <f>IF($B13=0,1000000,IF(INDEX('計算A'!$D$60:$EQ$104,$B13,103)*GZ13=1,IF(AND($E13=2,MO13=0),1000000,IF($I13&gt;0,IF(5=$J13,IF(OR(AND(103=$I13+1,OR($K13&lt;&gt;'計算A'!$A$3,'計算A'!$A$4=0)),AND(103=$I13-1,OR(7&lt;&gt;'計算A'!$A$3,'計算A'!$A$4=0))),0,IF(7=$K13,200000,ABS(7-$K13)*100)),100000+ABS(5-$J13)*1000+70)+'計算A'!DB$5*50+IF(AND($E13=1,MO13=0),25,0),INDEX('計算A'!DB$110:DB$114,$F13+1)+IF(AND($E13=1,MO13=0),1000,0)+IF($H13=1,(IF('計算A'!DA$117=1,INDEX('計算A'!DA$10:DA$54,$B13),0)+IF('計算A'!DB$117=1,INDEX('計算A'!DC$10:DC$54,$B13),0))*500,0)-IF(AND('計算A'!DA$117=1,XY13&gt;0),300,0)-IF(AND($L13=1,'計算A'!DB$117=1,HA13=0),300,0))),1000000))</f>
        <v/>
      </c>
      <c r="SE13">
        <f>IF($B13=0,1000000,IF(INDEX('計算A'!$D$60:$EQ$104,$B13,104)*HA13=1,IF(AND($E13=2,MP13=0),1000000,IF($I13&gt;0,IF(5=$J13,IF(OR(AND(104=$I13+1,OR($K13&lt;&gt;'計算A'!$A$3,'計算A'!$A$4=0)),AND(104=$I13-1,OR(8&lt;&gt;'計算A'!$A$3,'計算A'!$A$4=0))),0,IF(8=$K13,200000,ABS(8-$K13)*100)),100000+ABS(5-$J13)*1000+80)+'計算A'!DC$5*50+IF(AND($E13=1,MP13=0),25,0),INDEX('計算A'!DC$110:DC$114,$F13+1)+IF(AND($E13=1,MP13=0),1000,0)+IF($H13=1,(IF('計算A'!DB$117=1,INDEX('計算A'!DB$10:DB$54,$B13),0)+IF('計算A'!DC$117=1,INDEX('計算A'!DD$10:DD$54,$B13),0))*500,0)-IF(AND('計算A'!DB$117=1,XZ13&gt;0),300,0)-IF(AND($L13=1,'計算A'!DC$117=1,HB13=0),300,0))),1000000))</f>
        <v/>
      </c>
      <c r="SF13">
        <f>IF($B13=0,1000000,IF(INDEX('計算A'!$D$60:$EQ$104,$B13,105)*HB13=1,IF(AND($E13=2,MQ13=0),1000000,IF($I13&gt;0,IF(5=$J13,IF(OR(AND(105=$I13+1,OR($K13&lt;&gt;'計算A'!$A$3,'計算A'!$A$4=0)),AND(105=$I13-1,OR(9&lt;&gt;'計算A'!$A$3,'計算A'!$A$4=0))),0,IF(9=$K13,200000,ABS(9-$K13)*100)),100000+ABS(5-$J13)*1000+90)+'計算A'!DD$5*50+IF(AND($E13=1,MQ13=0),25,0),INDEX('計算A'!DD$110:DD$114,$F13+1)+IF(AND($E13=1,MQ13=0),1000,0)+IF($H13=1,(IF('計算A'!DC$117=1,INDEX('計算A'!DC$10:DC$54,$B13),0)+IF('計算A'!DD$117=1,INDEX('計算A'!DE$10:DE$54,$B13),0))*500,0)-IF(AND('計算A'!DC$117=1,YA13&gt;0),300,0)-IF(AND($L13=1,'計算A'!DD$117=1,HC13=0),300,0))),1000000))</f>
        <v/>
      </c>
      <c r="SG13">
        <f>IF($B13=0,1000000,IF(INDEX('計算A'!$D$60:$EQ$104,$B13,106)*HC13=1,IF(AND($E13=2,MR13=0),1000000,IF($I13&gt;0,IF(5=$J13,IF(OR(AND(106=$I13+1,OR($K13&lt;&gt;'計算A'!$A$3,'計算A'!$A$4=0)),AND(106=$I13-1,OR(10&lt;&gt;'計算A'!$A$3,'計算A'!$A$4=0))),0,IF(10=$K13,200000,ABS(10-$K13)*100)),100000+ABS(5-$J13)*1000+100)+'計算A'!DE$5*50+IF(AND($E13=1,MR13=0),25,0),INDEX('計算A'!DE$110:DE$114,$F13+1)+IF(AND($E13=1,MR13=0),1000,0)+IF($H13=1,(IF('計算A'!DD$117=1,INDEX('計算A'!DD$10:DD$54,$B13),0)+IF('計算A'!DE$117=1,INDEX('計算A'!DF$10:DF$54,$B13),0))*500,0)-IF(AND('計算A'!DD$117=1,YB13&gt;0),300,0)-IF(AND($L13=1,'計算A'!DE$117=1,HD13=0),300,0))),1000000))</f>
        <v/>
      </c>
      <c r="SH13">
        <f>IF($B13=0,1000000,IF(INDEX('計算A'!$D$60:$EQ$104,$B13,107)*HD13=1,IF(AND($E13=2,MS13=0),1000000,IF($I13&gt;0,IF(5=$J13,IF(OR(AND(107=$I13+1,OR($K13&lt;&gt;'計算A'!$A$3,'計算A'!$A$4=0)),AND(107=$I13-1,OR(11&lt;&gt;'計算A'!$A$3,'計算A'!$A$4=0))),0,IF(11=$K13,200000,ABS(11-$K13)*100)),100000+ABS(5-$J13)*1000+110)+'計算A'!DF$5*50+IF(AND($E13=1,MS13=0),25,0),INDEX('計算A'!DF$110:DF$114,$F13+1)+IF(AND($E13=1,MS13=0),1000,0)+IF($H13=1,(IF('計算A'!DE$117=1,INDEX('計算A'!DE$10:DE$54,$B13),0)+IF('計算A'!DF$117=1,INDEX('計算A'!DG$10:DG$54,$B13),0))*500,0)-IF(AND('計算A'!DE$117=1,YC13&gt;0),300,0)-IF(AND($L13=1,'計算A'!DF$117=1,HE13=0),300,0))),1000000))</f>
        <v/>
      </c>
      <c r="SI13">
        <f>IF($B13=0,1000000,IF(INDEX('計算A'!$D$60:$EQ$104,$B13,108)*HE13=1,IF(AND($E13=2,MT13=0),1000000,IF($I13&gt;0,IF(5=$J13,IF(OR(AND(108=$I13+1,OR($K13&lt;&gt;'計算A'!$A$3,'計算A'!$A$4=0)),AND(108=$I13-1,OR(12&lt;&gt;'計算A'!$A$3,'計算A'!$A$4=0))),0,IF(12=$K13,200000,ABS(12-$K13)*100)),100000+ABS(5-$J13)*1000+120)+'計算A'!DG$5*50+IF(AND($E13=1,MT13=0),25,0),INDEX('計算A'!DG$110:DG$114,$F13+1)+IF(AND($E13=1,MT13=0),1000,0)+IF($H13=1,(IF('計算A'!DF$117=1,INDEX('計算A'!DF$10:DF$54,$B13),0)+IF('計算A'!DG$117=1,INDEX('計算A'!DH$10:DH$54,$B13),0))*500,0)-IF(AND('計算A'!DF$117=1,YD13&gt;0),300,0)-IF(AND($L13=1,'計算A'!DG$117=1,HF13=0),300,0))),1000000))</f>
        <v/>
      </c>
      <c r="SJ13">
        <f>IF($B13=0,1000000,IF(INDEX('計算A'!$D$60:$EQ$104,$B13,109)*HF13=1,IF(AND($E13=2,MU13=0),1000000,IF($I13&gt;0,IF(5=$J13,IF(OR(AND(109=$I13+1,OR($K13&lt;&gt;'計算A'!$A$3,'計算A'!$A$4=0)),AND(109=$I13-1,OR(13&lt;&gt;'計算A'!$A$3,'計算A'!$A$4=0))),0,IF(13=$K13,200000,ABS(13-$K13)*100)),100000+ABS(5-$J13)*1000+130)+'計算A'!DH$5*50+IF(AND($E13=1,MU13=0),25,0),INDEX('計算A'!DH$110:DH$114,$F13+1)+IF(AND($E13=1,MU13=0),1000,0)+IF($H13=1,(IF('計算A'!DG$117=1,INDEX('計算A'!DG$10:DG$54,$B13),0)+IF('計算A'!DH$117=1,INDEX('計算A'!DI$10:DI$54,$B13),0))*500,0)-IF(AND('計算A'!DG$117=1,YE13&gt;0),300,0)-IF(AND($L13=1,'計算A'!DH$117=1,HG13=0),300,0))),1000000))</f>
        <v/>
      </c>
      <c r="SK13">
        <f>IF($B13=0,1000000,IF(INDEX('計算A'!$D$60:$EQ$104,$B13,110)*HG13=1,IF(AND($E13=2,MV13=0),1000000,IF($I13&gt;0,IF(5=$J13,IF(OR(AND(110=$I13+1,OR($K13&lt;&gt;'計算A'!$A$3,'計算A'!$A$4=0)),AND(110=$I13-1,OR(14&lt;&gt;'計算A'!$A$3,'計算A'!$A$4=0))),0,IF(14=$K13,200000,ABS(14-$K13)*100)),100000+ABS(5-$J13)*1000+140)+'計算A'!DI$5*50+IF(AND($E13=1,MV13=0),25,0),INDEX('計算A'!DI$110:DI$114,$F13+1)+IF(AND($E13=1,MV13=0),1000,0)+IF($H13=1,(IF('計算A'!DH$117=1,INDEX('計算A'!DH$10:DH$54,$B13),0)+IF('計算A'!DI$117=1,INDEX('計算A'!DJ$10:DJ$54,$B13),0))*500,0)-IF(AND('計算A'!DH$117=1,YF13&gt;0),300,0)-IF(AND($L13=1,'計算A'!DI$117=1,HH13=0),300,0))),1000000))</f>
        <v/>
      </c>
      <c r="SL13">
        <f>IF($B13=0,1000000,IF(INDEX('計算A'!$D$60:$EQ$104,$B13,111)*HH13=1,IF(AND($E13=2,MW13=0),1000000,IF($I13&gt;0,IF(5=$J13,IF(OR(AND(111=$I13+1,OR($K13&lt;&gt;'計算A'!$A$3,'計算A'!$A$4=0)),AND(111=$I13-1,OR(15&lt;&gt;'計算A'!$A$3,'計算A'!$A$4=0))),0,IF(15=$K13,200000,ABS(15-$K13)*100)),100000+ABS(5-$J13)*1000+150)+'計算A'!DJ$5*50+IF(AND($E13=1,MW13=0),25,0),INDEX('計算A'!DJ$110:DJ$114,$F13+1)+IF(AND($E13=1,MW13=0),1000,0)+IF($H13=1,(IF('計算A'!DI$117=1,INDEX('計算A'!DI$10:DI$54,$B13),0)+IF('計算A'!DJ$117=1,INDEX('計算A'!DK$10:DK$54,$B13),0))*500,0)-IF(AND('計算A'!DI$117=1,YG13&gt;0),300,0)-IF(AND($L13=1,'計算A'!DJ$117=1,HI13=0),300,0))),1000000))</f>
        <v/>
      </c>
      <c r="SM13">
        <f>IF($B13=0,1000000,IF(INDEX('計算A'!$D$60:$EQ$104,$B13,112)*HI13=1,IF(AND($E13=2,MX13=0),1000000,IF($I13&gt;0,IF(5=$J13,IF(OR(AND(112=$I13+1,OR($K13&lt;&gt;'計算A'!$A$3,'計算A'!$A$4=0)),AND(112=$I13-1,OR(16&lt;&gt;'計算A'!$A$3,'計算A'!$A$4=0))),0,IF(16=$K13,200000,ABS(16-$K13)*100)),100000+ABS(5-$J13)*1000+160)+'計算A'!DK$5*50+IF(AND($E13=1,MX13=0),25,0),INDEX('計算A'!DK$110:DK$114,$F13+1)+IF(AND($E13=1,MX13=0),1000,0)+IF($H13=1,(IF('計算A'!DJ$117=1,INDEX('計算A'!DJ$10:DJ$54,$B13),0)+IF('計算A'!DK$117=1,INDEX('計算A'!DL$10:DL$54,$B13),0))*500,0)-IF(AND('計算A'!DJ$117=1,YH13&gt;0),300,0)-IF(AND($L13=1,'計算A'!DK$117=1,HJ13=0),300,0))),1000000))</f>
        <v/>
      </c>
      <c r="SN13">
        <f>IF($B13=0,1000000,IF(INDEX('計算A'!$D$60:$EQ$104,$B13,113)*HJ13=1,IF(AND($E13=2,MY13=0),1000000,IF($I13&gt;0,IF(5=$J13,IF(OR(AND(113=$I13+1,OR($K13&lt;&gt;'計算A'!$A$3,'計算A'!$A$4=0)),AND(113=$I13-1,OR(17&lt;&gt;'計算A'!$A$3,'計算A'!$A$4=0))),0,IF(17=$K13,200000,ABS(17-$K13)*100)),100000+ABS(5-$J13)*1000+170)+'計算A'!DL$5*50+IF(AND($E13=1,MY13=0),25,0),INDEX('計算A'!DL$110:DL$114,$F13+1)+IF(AND($E13=1,MY13=0),1000,0)+IF($H13=1,(IF('計算A'!DK$117=1,INDEX('計算A'!DK$10:DK$54,$B13),0)+IF('計算A'!DL$117=1,INDEX('計算A'!DM$10:DM$54,$B13),0))*500,0)-IF(AND('計算A'!DK$117=1,YI13&gt;0),300,0)-IF(AND($L13=1,'計算A'!DL$117=1,HK13=0),300,0))),1000000))</f>
        <v/>
      </c>
      <c r="SO13">
        <f>IF($B13=0,1000000,IF(INDEX('計算A'!$D$60:$EQ$104,$B13,114)*HK13=1,IF(AND($E13=2,MZ13=0),1000000,IF($I13&gt;0,IF(5=$J13,IF(OR(AND(114=$I13+1,OR($K13&lt;&gt;'計算A'!$A$3,'計算A'!$A$4=0)),AND(114=$I13-1,OR(18&lt;&gt;'計算A'!$A$3,'計算A'!$A$4=0))),0,IF(18=$K13,200000,ABS(18-$K13)*100)),100000+ABS(5-$J13)*1000+180)+'計算A'!DM$5*50+IF(AND($E13=1,MZ13=0),25,0),INDEX('計算A'!DM$110:DM$114,$F13+1)+IF(AND($E13=1,MZ13=0),1000,0)+IF($H13=1,(IF('計算A'!DL$117=1,INDEX('計算A'!DL$10:DL$54,$B13),0)+IF('計算A'!DM$117=1,INDEX('計算A'!DN$10:DN$54,$B13),0))*500,0)-IF(AND('計算A'!DL$117=1,YJ13&gt;0),300,0)-IF(AND($L13=1,'計算A'!DM$117=1,HL13=0),300,0))),1000000))</f>
        <v/>
      </c>
      <c r="SP13">
        <f>IF($B13=0,1000000,IF(INDEX('計算A'!$D$60:$EQ$104,$B13,115)*HL13=1,IF(AND($E13=2,NA13=0),1000000,IF($I13&gt;0,IF(5=$J13,IF(OR(AND(115=$I13+1,OR($K13&lt;&gt;'計算A'!$A$3,'計算A'!$A$4=0)),AND(115=$I13-1,OR(19&lt;&gt;'計算A'!$A$3,'計算A'!$A$4=0))),0,IF(19=$K13,200000,ABS(19-$K13)*100)),100000+ABS(5-$J13)*1000+190)+'計算A'!DN$5*50+IF(AND($E13=1,NA13=0),25,0),INDEX('計算A'!DN$110:DN$114,$F13+1)+IF(AND($E13=1,NA13=0),1000,0)+IF($H13=1,(IF('計算A'!DM$117=1,INDEX('計算A'!DM$10:DM$54,$B13),0)+IF('計算A'!DN$117=1,INDEX('計算A'!DO$10:DO$54,$B13),0))*500,0)-IF(AND('計算A'!DM$117=1,YK13&gt;0),300,0)-IF(AND($L13=1,'計算A'!DN$117=1,HM13=0),300,0))),1000000))</f>
        <v/>
      </c>
      <c r="SQ13">
        <f>IF($B13=0,1000000,IF(INDEX('計算A'!$D$60:$EQ$104,$B13,116)*HM13=1,IF(AND($E13=2,NB13=0),1000000,IF($I13&gt;0,IF(5=$J13,IF(OR(AND(116=$I13+1,OR($K13&lt;&gt;'計算A'!$A$3,'計算A'!$A$4=0)),AND(116=$I13-1,OR(20&lt;&gt;'計算A'!$A$3,'計算A'!$A$4=0))),0,IF(20=$K13,200000,ABS(20-$K13)*100)),100000+ABS(5-$J13)*1000+200)+'計算A'!DO$5*50+IF(AND($E13=1,NB13=0),25,0),INDEX('計算A'!DO$110:DO$114,$F13+1)+IF(AND($E13=1,NB13=0),1000,0)+IF($H13=1,(IF('計算A'!DN$117=1,INDEX('計算A'!DN$10:DN$54,$B13),0)+IF('計算A'!DO$117=1,INDEX('計算A'!DP$10:DP$54,$B13),0))*500,0)-IF(AND('計算A'!DN$117=1,YL13&gt;0),300,0)-IF(AND($L13=1,'計算A'!DO$117=1,HN13=0),300,0))),1000000))</f>
        <v/>
      </c>
      <c r="SR13">
        <f>IF($B13=0,1000000,IF(INDEX('計算A'!$D$60:$EQ$104,$B13,117)*HN13=1,IF(AND($E13=2,NC13=0),1000000,IF($I13&gt;0,IF(5=$J13,IF(OR(AND(117=$I13+1,OR($K13&lt;&gt;'計算A'!$A$3,'計算A'!$A$4=0)),AND(117=$I13-1,OR(21&lt;&gt;'計算A'!$A$3,'計算A'!$A$4=0))),0,IF(21=$K13,200000,ABS(21-$K13)*100)),100000+ABS(5-$J13)*1000+210)+'計算A'!DP$5*50+IF(AND($E13=1,NC13=0),25,0),INDEX('計算A'!DP$110:DP$114,$F13+1)+IF(AND($E13=1,NC13=0),1000,0)+IF($H13=1,(IF('計算A'!DO$117=1,INDEX('計算A'!DO$10:DO$54,$B13),0)+IF('計算A'!DP$117=1,INDEX('計算A'!DQ$10:DQ$54,$B13),0))*500,0)-IF(AND('計算A'!DO$117=1,YM13&gt;0),300,0)-IF(AND($L13=1,'計算A'!DP$117=1,HO13=0),300,0))),1000000))</f>
        <v/>
      </c>
      <c r="SS13">
        <f>IF($B13=0,1000000,IF(INDEX('計算A'!$D$60:$EQ$104,$B13,118)*HO13=1,IF(AND($E13=2,ND13=0),1000000,IF($I13&gt;0,IF(5=$J13,IF(OR(AND(118=$I13+1,OR($K13&lt;&gt;'計算A'!$A$3,'計算A'!$A$4=0)),AND(118=$I13-1,OR(22&lt;&gt;'計算A'!$A$3,'計算A'!$A$4=0))),0,IF(22=$K13,200000,ABS(22-$K13)*100)),100000+ABS(5-$J13)*1000+220)+'計算A'!DQ$5*50+IF(AND($E13=1,ND13=0),25,0),INDEX('計算A'!DQ$110:DQ$114,$F13+1)+IF(AND($E13=1,ND13=0),1000,0)+IF($H13=1,(IF('計算A'!DP$117=1,INDEX('計算A'!DP$10:DP$54,$B13),0)+IF('計算A'!DQ$117=1,INDEX('計算A'!DR$10:DR$54,$B13),0))*500,0)-IF(AND('計算A'!DP$117=1,YN13&gt;0),300,0)-IF(AND($L13=1,'計算A'!DQ$117=1,HP13=0),300,0))),1000000))</f>
        <v/>
      </c>
      <c r="ST13">
        <f>IF($B13=0,1000000,IF(INDEX('計算A'!$D$60:$EQ$104,$B13,119)*HP13=1,IF(AND($E13=2,NE13=0),1000000,IF($I13&gt;0,IF(5=$J13,IF(OR(AND(119=$I13+1,OR($K13&lt;&gt;'計算A'!$A$3,'計算A'!$A$4=0)),AND(119=$I13-1,OR(23&lt;&gt;'計算A'!$A$3,'計算A'!$A$4=0))),0,IF(23=$K13,200000,ABS(23-$K13)*100)),100000+ABS(5-$J13)*1000+230)+'計算A'!DR$5*50+IF(AND($E13=1,NE13=0),25,0),INDEX('計算A'!DR$110:DR$114,$F13+1)+IF(AND($E13=1,NE13=0),1000,0)+IF($H13=1,(IF('計算A'!DQ$117=1,INDEX('計算A'!DQ$10:DQ$54,$B13),0)+IF('計算A'!DR$117=1,INDEX('計算A'!DS$10:DS$54,$B13),0))*500,0)-IF(AND('計算A'!DQ$117=1,YO13&gt;0),300,0)-IF(AND($L13=1,'計算A'!DR$117=1,HQ13=0),300,0))),1000000))</f>
        <v/>
      </c>
      <c r="SU13">
        <f>IF($B13=0,1000000,IF(INDEX('計算A'!$D$60:$EQ$104,$B13,120)*HQ13=1,IF(AND($E13=2,NF13=0),1000000,IF($I13&gt;0,IF(5=$J13,IF(OR(AND(120=$I13+1,OR($K13&lt;&gt;'計算A'!$A$3,'計算A'!$A$4=0)),AND(120=$I13-1,OR(24&lt;&gt;'計算A'!$A$3,'計算A'!$A$4=0))),0,IF(24=$K13,200000,ABS(24-$K13)*100)),100000+ABS(5-$J13)*1000+240)+'計算A'!DS$5*50+IF(AND($E13=1,NF13=0),25,0),INDEX('計算A'!DS$110:DS$114,$F13+1)+IF(AND($E13=1,NF13=0),1000,0)+IF($H13=1,(IF('計算A'!DR$117=1,INDEX('計算A'!DR$10:DR$54,$B13),0))*500,0)-IF(AND('計算A'!DR$117=1,YP13&gt;0),300,0))),1000000))</f>
        <v/>
      </c>
      <c r="SV13">
        <f>IF($B13=0,1000000,IF(INDEX('計算A'!$D$60:$EQ$104,$B13,121)*HR13=1,IF(AND($E13=2,NG13=0),1000000,IF($I13&gt;0,IF(6=$J13,IF(OR(AND(121=$I13+1,OR($K13&lt;&gt;'計算A'!$A$3,'計算A'!$A$4=0)),AND(121=$I13-1,OR(1&lt;&gt;'計算A'!$A$3,'計算A'!$A$4=0))),0,IF(1=$K13,200000,ABS(1-$K13)*100)),100000+ABS(6-$J13)*1000+10)+'計算A'!DT$5*50+IF(AND($E13=1,NG13=0),25,0),INDEX('計算A'!DT$110:DT$114,$F13+1)+IF(AND($E13=1,NG13=0),1000,0)+IF($H13=1,(IF('計算A'!DT$117=1,INDEX('計算A'!DU$10:DU$54,$B13),0))*500,0)-IF(AND($L13=1,'計算A'!DT$117=1,HS13=0),300,0))),1000000))</f>
        <v/>
      </c>
      <c r="SW13">
        <f>IF($B13=0,1000000,IF(INDEX('計算A'!$D$60:$EQ$104,$B13,122)*HS13=1,IF(AND($E13=2,NH13=0),1000000,IF($I13&gt;0,IF(6=$J13,IF(OR(AND(122=$I13+1,OR($K13&lt;&gt;'計算A'!$A$3,'計算A'!$A$4=0)),AND(122=$I13-1,OR(2&lt;&gt;'計算A'!$A$3,'計算A'!$A$4=0))),0,IF(2=$K13,200000,ABS(2-$K13)*100)),100000+ABS(6-$J13)*1000+20)+'計算A'!DU$5*50+IF(AND($E13=1,NH13=0),25,0),INDEX('計算A'!DU$110:DU$114,$F13+1)+IF(AND($E13=1,NH13=0),1000,0)+IF($H13=1,(IF('計算A'!DT$117=1,INDEX('計算A'!DT$10:DT$54,$B13),0)+IF('計算A'!DU$117=1,INDEX('計算A'!DV$10:DV$54,$B13),0))*500,0)-IF(AND('計算A'!DT$117=1,YR13&gt;0),300,0)-IF(AND($L13=1,'計算A'!DU$117=1,HT13=0),300,0))),1000000))</f>
        <v/>
      </c>
      <c r="SX13">
        <f>IF($B13=0,1000000,IF(INDEX('計算A'!$D$60:$EQ$104,$B13,123)*HT13=1,IF(AND($E13=2,NI13=0),1000000,IF($I13&gt;0,IF(6=$J13,IF(OR(AND(123=$I13+1,OR($K13&lt;&gt;'計算A'!$A$3,'計算A'!$A$4=0)),AND(123=$I13-1,OR(3&lt;&gt;'計算A'!$A$3,'計算A'!$A$4=0))),0,IF(3=$K13,200000,ABS(3-$K13)*100)),100000+ABS(6-$J13)*1000+30)+'計算A'!DV$5*50+IF(AND($E13=1,NI13=0),25,0),INDEX('計算A'!DV$110:DV$114,$F13+1)+IF(AND($E13=1,NI13=0),1000,0)+IF($H13=1,(IF('計算A'!DU$117=1,INDEX('計算A'!DU$10:DU$54,$B13),0)+IF('計算A'!DV$117=1,INDEX('計算A'!DW$10:DW$54,$B13),0))*500,0)-IF(AND('計算A'!DU$117=1,YS13&gt;0),300,0)-IF(AND($L13=1,'計算A'!DV$117=1,HU13=0),300,0))),1000000))</f>
        <v/>
      </c>
      <c r="SY13">
        <f>IF($B13=0,1000000,IF(INDEX('計算A'!$D$60:$EQ$104,$B13,124)*HU13=1,IF(AND($E13=2,NJ13=0),1000000,IF($I13&gt;0,IF(6=$J13,IF(OR(AND(124=$I13+1,OR($K13&lt;&gt;'計算A'!$A$3,'計算A'!$A$4=0)),AND(124=$I13-1,OR(4&lt;&gt;'計算A'!$A$3,'計算A'!$A$4=0))),0,IF(4=$K13,200000,ABS(4-$K13)*100)),100000+ABS(6-$J13)*1000+40)+'計算A'!DW$5*50+IF(AND($E13=1,NJ13=0),25,0),INDEX('計算A'!DW$110:DW$114,$F13+1)+IF(AND($E13=1,NJ13=0),1000,0)+IF($H13=1,(IF('計算A'!DV$117=1,INDEX('計算A'!DV$10:DV$54,$B13),0)+IF('計算A'!DW$117=1,INDEX('計算A'!DX$10:DX$54,$B13),0))*500,0)-IF(AND('計算A'!DV$117=1,YT13&gt;0),300,0)-IF(AND($L13=1,'計算A'!DW$117=1,HV13=0),300,0))),1000000))</f>
        <v/>
      </c>
      <c r="SZ13">
        <f>IF($B13=0,1000000,IF(INDEX('計算A'!$D$60:$EQ$104,$B13,125)*HV13=1,IF(AND($E13=2,NK13=0),1000000,IF($I13&gt;0,IF(6=$J13,IF(OR(AND(125=$I13+1,OR($K13&lt;&gt;'計算A'!$A$3,'計算A'!$A$4=0)),AND(125=$I13-1,OR(5&lt;&gt;'計算A'!$A$3,'計算A'!$A$4=0))),0,IF(5=$K13,200000,ABS(5-$K13)*100)),100000+ABS(6-$J13)*1000+50)+'計算A'!DX$5*50+IF(AND($E13=1,NK13=0),25,0),INDEX('計算A'!DX$110:DX$114,$F13+1)+IF(AND($E13=1,NK13=0),1000,0)+IF($H13=1,(IF('計算A'!DW$117=1,INDEX('計算A'!DW$10:DW$54,$B13),0)+IF('計算A'!DX$117=1,INDEX('計算A'!DY$10:DY$54,$B13),0))*500,0)-IF(AND('計算A'!DW$117=1,YU13&gt;0),300,0)-IF(AND($L13=1,'計算A'!DX$117=1,HW13=0),300,0))),1000000))</f>
        <v/>
      </c>
      <c r="TA13">
        <f>IF($B13=0,1000000,IF(INDEX('計算A'!$D$60:$EQ$104,$B13,126)*HW13=1,IF(AND($E13=2,NL13=0),1000000,IF($I13&gt;0,IF(6=$J13,IF(OR(AND(126=$I13+1,OR($K13&lt;&gt;'計算A'!$A$3,'計算A'!$A$4=0)),AND(126=$I13-1,OR(6&lt;&gt;'計算A'!$A$3,'計算A'!$A$4=0))),0,IF(6=$K13,200000,ABS(6-$K13)*100)),100000+ABS(6-$J13)*1000+60)+'計算A'!DY$5*50+IF(AND($E13=1,NL13=0),25,0),INDEX('計算A'!DY$110:DY$114,$F13+1)+IF(AND($E13=1,NL13=0),1000,0)+IF($H13=1,(IF('計算A'!DX$117=1,INDEX('計算A'!DX$10:DX$54,$B13),0)+IF('計算A'!DY$117=1,INDEX('計算A'!DZ$10:DZ$54,$B13),0))*500,0)-IF(AND('計算A'!DX$117=1,YV13&gt;0),300,0)-IF(AND($L13=1,'計算A'!DY$117=1,HX13=0),300,0))),1000000))</f>
        <v/>
      </c>
      <c r="TB13">
        <f>IF($B13=0,1000000,IF(INDEX('計算A'!$D$60:$EQ$104,$B13,127)*HX13=1,IF(AND($E13=2,NM13=0),1000000,IF($I13&gt;0,IF(6=$J13,IF(OR(AND(127=$I13+1,OR($K13&lt;&gt;'計算A'!$A$3,'計算A'!$A$4=0)),AND(127=$I13-1,OR(7&lt;&gt;'計算A'!$A$3,'計算A'!$A$4=0))),0,IF(7=$K13,200000,ABS(7-$K13)*100)),100000+ABS(6-$J13)*1000+70)+'計算A'!DZ$5*50+IF(AND($E13=1,NM13=0),25,0),INDEX('計算A'!DZ$110:DZ$114,$F13+1)+IF(AND($E13=1,NM13=0),1000,0)+IF($H13=1,(IF('計算A'!DY$117=1,INDEX('計算A'!DY$10:DY$54,$B13),0)+IF('計算A'!DZ$117=1,INDEX('計算A'!EA$10:EA$54,$B13),0))*500,0)-IF(AND('計算A'!DY$117=1,YW13&gt;0),300,0)-IF(AND($L13=1,'計算A'!DZ$117=1,HY13=0),300,0))),1000000))</f>
        <v/>
      </c>
      <c r="TC13">
        <f>IF($B13=0,1000000,IF(INDEX('計算A'!$D$60:$EQ$104,$B13,128)*HY13=1,IF(AND($E13=2,NN13=0),1000000,IF($I13&gt;0,IF(6=$J13,IF(OR(AND(128=$I13+1,OR($K13&lt;&gt;'計算A'!$A$3,'計算A'!$A$4=0)),AND(128=$I13-1,OR(8&lt;&gt;'計算A'!$A$3,'計算A'!$A$4=0))),0,IF(8=$K13,200000,ABS(8-$K13)*100)),100000+ABS(6-$J13)*1000+80)+'計算A'!EA$5*50+IF(AND($E13=1,NN13=0),25,0),INDEX('計算A'!EA$110:EA$114,$F13+1)+IF(AND($E13=1,NN13=0),1000,0)+IF($H13=1,(IF('計算A'!DZ$117=1,INDEX('計算A'!DZ$10:DZ$54,$B13),0)+IF('計算A'!EA$117=1,INDEX('計算A'!EB$10:EB$54,$B13),0))*500,0)-IF(AND('計算A'!DZ$117=1,YX13&gt;0),300,0)-IF(AND($L13=1,'計算A'!EA$117=1,HZ13=0),300,0))),1000000))</f>
        <v/>
      </c>
      <c r="TD13">
        <f>IF($B13=0,1000000,IF(INDEX('計算A'!$D$60:$EQ$104,$B13,129)*HZ13=1,IF(AND($E13=2,NO13=0),1000000,IF($I13&gt;0,IF(6=$J13,IF(OR(AND(129=$I13+1,OR($K13&lt;&gt;'計算A'!$A$3,'計算A'!$A$4=0)),AND(129=$I13-1,OR(9&lt;&gt;'計算A'!$A$3,'計算A'!$A$4=0))),0,IF(9=$K13,200000,ABS(9-$K13)*100)),100000+ABS(6-$J13)*1000+90)+'計算A'!EB$5*50+IF(AND($E13=1,NO13=0),25,0),INDEX('計算A'!EB$110:EB$114,$F13+1)+IF(AND($E13=1,NO13=0),1000,0)+IF($H13=1,(IF('計算A'!EA$117=1,INDEX('計算A'!EA$10:EA$54,$B13),0)+IF('計算A'!EB$117=1,INDEX('計算A'!EC$10:EC$54,$B13),0))*500,0)-IF(AND('計算A'!EA$117=1,YY13&gt;0),300,0)-IF(AND($L13=1,'計算A'!EB$117=1,IA13=0),300,0))),1000000))</f>
        <v/>
      </c>
      <c r="TE13">
        <f>IF($B13=0,1000000,IF(INDEX('計算A'!$D$60:$EQ$104,$B13,130)*IA13=1,IF(AND($E13=2,NP13=0),1000000,IF($I13&gt;0,IF(6=$J13,IF(OR(AND(130=$I13+1,OR($K13&lt;&gt;'計算A'!$A$3,'計算A'!$A$4=0)),AND(130=$I13-1,OR(10&lt;&gt;'計算A'!$A$3,'計算A'!$A$4=0))),0,IF(10=$K13,200000,ABS(10-$K13)*100)),100000+ABS(6-$J13)*1000+100)+'計算A'!EC$5*50+IF(AND($E13=1,NP13=0),25,0),INDEX('計算A'!EC$110:EC$114,$F13+1)+IF(AND($E13=1,NP13=0),1000,0)+IF($H13=1,(IF('計算A'!EB$117=1,INDEX('計算A'!EB$10:EB$54,$B13),0)+IF('計算A'!EC$117=1,INDEX('計算A'!ED$10:ED$54,$B13),0))*500,0)-IF(AND('計算A'!EB$117=1,YZ13&gt;0),300,0)-IF(AND($L13=1,'計算A'!EC$117=1,IB13=0),300,0))),1000000))</f>
        <v/>
      </c>
      <c r="TF13">
        <f>IF($B13=0,1000000,IF(INDEX('計算A'!$D$60:$EQ$104,$B13,131)*IB13=1,IF(AND($E13=2,NQ13=0),1000000,IF($I13&gt;0,IF(6=$J13,IF(OR(AND(131=$I13+1,OR($K13&lt;&gt;'計算A'!$A$3,'計算A'!$A$4=0)),AND(131=$I13-1,OR(11&lt;&gt;'計算A'!$A$3,'計算A'!$A$4=0))),0,IF(11=$K13,200000,ABS(11-$K13)*100)),100000+ABS(6-$J13)*1000+110)+'計算A'!ED$5*50+IF(AND($E13=1,NQ13=0),25,0),INDEX('計算A'!ED$110:ED$114,$F13+1)+IF(AND($E13=1,NQ13=0),1000,0)+IF($H13=1,(IF('計算A'!EC$117=1,INDEX('計算A'!EC$10:EC$54,$B13),0)+IF('計算A'!ED$117=1,INDEX('計算A'!EE$10:EE$54,$B13),0))*500,0)-IF(AND('計算A'!EC$117=1,ZA13&gt;0),300,0)-IF(AND($L13=1,'計算A'!ED$117=1,IC13=0),300,0))),1000000))</f>
        <v/>
      </c>
      <c r="TG13">
        <f>IF($B13=0,1000000,IF(INDEX('計算A'!$D$60:$EQ$104,$B13,132)*IC13=1,IF(AND($E13=2,NR13=0),1000000,IF($I13&gt;0,IF(6=$J13,IF(OR(AND(132=$I13+1,OR($K13&lt;&gt;'計算A'!$A$3,'計算A'!$A$4=0)),AND(132=$I13-1,OR(12&lt;&gt;'計算A'!$A$3,'計算A'!$A$4=0))),0,IF(12=$K13,200000,ABS(12-$K13)*100)),100000+ABS(6-$J13)*1000+120)+'計算A'!EE$5*50+IF(AND($E13=1,NR13=0),25,0),INDEX('計算A'!EE$110:EE$114,$F13+1)+IF(AND($E13=1,NR13=0),1000,0)+IF($H13=1,(IF('計算A'!ED$117=1,INDEX('計算A'!ED$10:ED$54,$B13),0)+IF('計算A'!EE$117=1,INDEX('計算A'!EF$10:EF$54,$B13),0))*500,0)-IF(AND('計算A'!ED$117=1,ZB13&gt;0),300,0)-IF(AND($L13=1,'計算A'!EE$117=1,ID13=0),300,0))),1000000))</f>
        <v/>
      </c>
      <c r="TH13">
        <f>IF($B13=0,1000000,IF(INDEX('計算A'!$D$60:$EQ$104,$B13,133)*ID13=1,IF(AND($E13=2,NS13=0),1000000,IF($I13&gt;0,IF(6=$J13,IF(OR(AND(133=$I13+1,OR($K13&lt;&gt;'計算A'!$A$3,'計算A'!$A$4=0)),AND(133=$I13-1,OR(13&lt;&gt;'計算A'!$A$3,'計算A'!$A$4=0))),0,IF(13=$K13,200000,ABS(13-$K13)*100)),100000+ABS(6-$J13)*1000+130)+'計算A'!EF$5*50+IF(AND($E13=1,NS13=0),25,0),INDEX('計算A'!EF$110:EF$114,$F13+1)+IF(AND($E13=1,NS13=0),1000,0)+IF($H13=1,(IF('計算A'!EE$117=1,INDEX('計算A'!EE$10:EE$54,$B13),0)+IF('計算A'!EF$117=1,INDEX('計算A'!EG$10:EG$54,$B13),0))*500,0)-IF(AND('計算A'!EE$117=1,ZC13&gt;0),300,0)-IF(AND($L13=1,'計算A'!EF$117=1,IE13=0),300,0))),1000000))</f>
        <v/>
      </c>
      <c r="TI13">
        <f>IF($B13=0,1000000,IF(INDEX('計算A'!$D$60:$EQ$104,$B13,134)*IE13=1,IF(AND($E13=2,NT13=0),1000000,IF($I13&gt;0,IF(6=$J13,IF(OR(AND(134=$I13+1,OR($K13&lt;&gt;'計算A'!$A$3,'計算A'!$A$4=0)),AND(134=$I13-1,OR(14&lt;&gt;'計算A'!$A$3,'計算A'!$A$4=0))),0,IF(14=$K13,200000,ABS(14-$K13)*100)),100000+ABS(6-$J13)*1000+140)+'計算A'!EG$5*50+IF(AND($E13=1,NT13=0),25,0),INDEX('計算A'!EG$110:EG$114,$F13+1)+IF(AND($E13=1,NT13=0),1000,0)+IF($H13=1,(IF('計算A'!EF$117=1,INDEX('計算A'!EF$10:EF$54,$B13),0)+IF('計算A'!EG$117=1,INDEX('計算A'!EH$10:EH$54,$B13),0))*500,0)-IF(AND('計算A'!EF$117=1,ZD13&gt;0),300,0)-IF(AND($L13=1,'計算A'!EG$117=1,IF13=0),300,0))),1000000))</f>
        <v/>
      </c>
      <c r="TJ13">
        <f>IF($B13=0,1000000,IF(INDEX('計算A'!$D$60:$EQ$104,$B13,135)*IF13=1,IF(AND($E13=2,NU13=0),1000000,IF($I13&gt;0,IF(6=$J13,IF(OR(AND(135=$I13+1,OR($K13&lt;&gt;'計算A'!$A$3,'計算A'!$A$4=0)),AND(135=$I13-1,OR(15&lt;&gt;'計算A'!$A$3,'計算A'!$A$4=0))),0,IF(15=$K13,200000,ABS(15-$K13)*100)),100000+ABS(6-$J13)*1000+150)+'計算A'!EH$5*50+IF(AND($E13=1,NU13=0),25,0),INDEX('計算A'!EH$110:EH$114,$F13+1)+IF(AND($E13=1,NU13=0),1000,0)+IF($H13=1,(IF('計算A'!EG$117=1,INDEX('計算A'!EG$10:EG$54,$B13),0)+IF('計算A'!EH$117=1,INDEX('計算A'!EI$10:EI$54,$B13),0))*500,0)-IF(AND('計算A'!EG$117=1,ZE13&gt;0),300,0)-IF(AND($L13=1,'計算A'!EH$117=1,IG13=0),300,0))),1000000))</f>
        <v/>
      </c>
      <c r="TK13">
        <f>IF($B13=0,1000000,IF(INDEX('計算A'!$D$60:$EQ$104,$B13,136)*IG13=1,IF(AND($E13=2,NV13=0),1000000,IF($I13&gt;0,IF(6=$J13,IF(OR(AND(136=$I13+1,OR($K13&lt;&gt;'計算A'!$A$3,'計算A'!$A$4=0)),AND(136=$I13-1,OR(16&lt;&gt;'計算A'!$A$3,'計算A'!$A$4=0))),0,IF(16=$K13,200000,ABS(16-$K13)*100)),100000+ABS(6-$J13)*1000+160)+'計算A'!EI$5*50+IF(AND($E13=1,NV13=0),25,0),INDEX('計算A'!EI$110:EI$114,$F13+1)+IF(AND($E13=1,NV13=0),1000,0)+IF($H13=1,(IF('計算A'!EH$117=1,INDEX('計算A'!EH$10:EH$54,$B13),0)+IF('計算A'!EI$117=1,INDEX('計算A'!EJ$10:EJ$54,$B13),0))*500,0)-IF(AND('計算A'!EH$117=1,ZF13&gt;0),300,0)-IF(AND($L13=1,'計算A'!EI$117=1,IH13=0),300,0))),1000000))</f>
        <v/>
      </c>
      <c r="TL13">
        <f>IF($B13=0,1000000,IF(INDEX('計算A'!$D$60:$EQ$104,$B13,137)*IH13=1,IF(AND($E13=2,NW13=0),1000000,IF($I13&gt;0,IF(6=$J13,IF(OR(AND(137=$I13+1,OR($K13&lt;&gt;'計算A'!$A$3,'計算A'!$A$4=0)),AND(137=$I13-1,OR(17&lt;&gt;'計算A'!$A$3,'計算A'!$A$4=0))),0,IF(17=$K13,200000,ABS(17-$K13)*100)),100000+ABS(6-$J13)*1000+170)+'計算A'!EJ$5*50+IF(AND($E13=1,NW13=0),25,0),INDEX('計算A'!EJ$110:EJ$114,$F13+1)+IF(AND($E13=1,NW13=0),1000,0)+IF($H13=1,(IF('計算A'!EI$117=1,INDEX('計算A'!EI$10:EI$54,$B13),0)+IF('計算A'!EJ$117=1,INDEX('計算A'!EK$10:EK$54,$B13),0))*500,0)-IF(AND('計算A'!EI$117=1,ZG13&gt;0),300,0)-IF(AND($L13=1,'計算A'!EJ$117=1,II13=0),300,0))),1000000))</f>
        <v/>
      </c>
      <c r="TM13">
        <f>IF($B13=0,1000000,IF(INDEX('計算A'!$D$60:$EQ$104,$B13,138)*II13=1,IF(AND($E13=2,NX13=0),1000000,IF($I13&gt;0,IF(6=$J13,IF(OR(AND(138=$I13+1,OR($K13&lt;&gt;'計算A'!$A$3,'計算A'!$A$4=0)),AND(138=$I13-1,OR(18&lt;&gt;'計算A'!$A$3,'計算A'!$A$4=0))),0,IF(18=$K13,200000,ABS(18-$K13)*100)),100000+ABS(6-$J13)*1000+180)+'計算A'!EK$5*50+IF(AND($E13=1,NX13=0),25,0),INDEX('計算A'!EK$110:EK$114,$F13+1)+IF(AND($E13=1,NX13=0),1000,0)+IF($H13=1,(IF('計算A'!EJ$117=1,INDEX('計算A'!EJ$10:EJ$54,$B13),0)+IF('計算A'!EK$117=1,INDEX('計算A'!EL$10:EL$54,$B13),0))*500,0)-IF(AND('計算A'!EJ$117=1,ZH13&gt;0),300,0)-IF(AND($L13=1,'計算A'!EK$117=1,IJ13=0),300,0))),1000000))</f>
        <v/>
      </c>
      <c r="TN13">
        <f>IF($B13=0,1000000,IF(INDEX('計算A'!$D$60:$EQ$104,$B13,139)*IJ13=1,IF(AND($E13=2,NY13=0),1000000,IF($I13&gt;0,IF(6=$J13,IF(OR(AND(139=$I13+1,OR($K13&lt;&gt;'計算A'!$A$3,'計算A'!$A$4=0)),AND(139=$I13-1,OR(19&lt;&gt;'計算A'!$A$3,'計算A'!$A$4=0))),0,IF(19=$K13,200000,ABS(19-$K13)*100)),100000+ABS(6-$J13)*1000+190)+'計算A'!EL$5*50+IF(AND($E13=1,NY13=0),25,0),INDEX('計算A'!EL$110:EL$114,$F13+1)+IF(AND($E13=1,NY13=0),1000,0)+IF($H13=1,(IF('計算A'!EK$117=1,INDEX('計算A'!EK$10:EK$54,$B13),0)+IF('計算A'!EL$117=1,INDEX('計算A'!EM$10:EM$54,$B13),0))*500,0)-IF(AND('計算A'!EK$117=1,ZI13&gt;0),300,0)-IF(AND($L13=1,'計算A'!EL$117=1,IK13=0),300,0))),1000000))</f>
        <v/>
      </c>
      <c r="TO13">
        <f>IF($B13=0,1000000,IF(INDEX('計算A'!$D$60:$EQ$104,$B13,140)*IK13=1,IF(AND($E13=2,NZ13=0),1000000,IF($I13&gt;0,IF(6=$J13,IF(OR(AND(140=$I13+1,OR($K13&lt;&gt;'計算A'!$A$3,'計算A'!$A$4=0)),AND(140=$I13-1,OR(20&lt;&gt;'計算A'!$A$3,'計算A'!$A$4=0))),0,IF(20=$K13,200000,ABS(20-$K13)*100)),100000+ABS(6-$J13)*1000+200)+'計算A'!EM$5*50+IF(AND($E13=1,NZ13=0),25,0),INDEX('計算A'!EM$110:EM$114,$F13+1)+IF(AND($E13=1,NZ13=0),1000,0)+IF($H13=1,(IF('計算A'!EL$117=1,INDEX('計算A'!EL$10:EL$54,$B13),0)+IF('計算A'!EM$117=1,INDEX('計算A'!EN$10:EN$54,$B13),0))*500,0)-IF(AND('計算A'!EL$117=1,ZJ13&gt;0),300,0)-IF(AND($L13=1,'計算A'!EM$117=1,IL13=0),300,0))),1000000))</f>
        <v/>
      </c>
      <c r="TP13">
        <f>IF($B13=0,1000000,IF(INDEX('計算A'!$D$60:$EQ$104,$B13,141)*IL13=1,IF(AND($E13=2,OA13=0),1000000,IF($I13&gt;0,IF(6=$J13,IF(OR(AND(141=$I13+1,OR($K13&lt;&gt;'計算A'!$A$3,'計算A'!$A$4=0)),AND(141=$I13-1,OR(21&lt;&gt;'計算A'!$A$3,'計算A'!$A$4=0))),0,IF(21=$K13,200000,ABS(21-$K13)*100)),100000+ABS(6-$J13)*1000+210)+'計算A'!EN$5*50+IF(AND($E13=1,OA13=0),25,0),INDEX('計算A'!EN$110:EN$114,$F13+1)+IF(AND($E13=1,OA13=0),1000,0)+IF($H13=1,(IF('計算A'!EM$117=1,INDEX('計算A'!EM$10:EM$54,$B13),0)+IF('計算A'!EN$117=1,INDEX('計算A'!EO$10:EO$54,$B13),0))*500,0)-IF(AND('計算A'!EM$117=1,ZK13&gt;0),300,0)-IF(AND($L13=1,'計算A'!EN$117=1,IM13=0),300,0))),1000000))</f>
        <v/>
      </c>
      <c r="TQ13">
        <f>IF($B13=0,1000000,IF(INDEX('計算A'!$D$60:$EQ$104,$B13,142)*IM13=1,IF(AND($E13=2,OB13=0),1000000,IF($I13&gt;0,IF(6=$J13,IF(OR(AND(142=$I13+1,OR($K13&lt;&gt;'計算A'!$A$3,'計算A'!$A$4=0)),AND(142=$I13-1,OR(22&lt;&gt;'計算A'!$A$3,'計算A'!$A$4=0))),0,IF(22=$K13,200000,ABS(22-$K13)*100)),100000+ABS(6-$J13)*1000+220)+'計算A'!EO$5*50+IF(AND($E13=1,OB13=0),25,0),INDEX('計算A'!EO$110:EO$114,$F13+1)+IF(AND($E13=1,OB13=0),1000,0)+IF($H13=1,(IF('計算A'!EN$117=1,INDEX('計算A'!EN$10:EN$54,$B13),0)+IF('計算A'!EO$117=1,INDEX('計算A'!EP$10:EP$54,$B13),0))*500,0)-IF(AND('計算A'!EN$117=1,ZL13&gt;0),300,0)-IF(AND($L13=1,'計算A'!EO$117=1,IN13=0),300,0))),1000000))</f>
        <v/>
      </c>
      <c r="TR13">
        <f>IF($B13=0,1000000,IF(INDEX('計算A'!$D$60:$EQ$104,$B13,143)*IN13=1,IF(AND($E13=2,OC13=0),1000000,IF($I13&gt;0,IF(6=$J13,IF(OR(AND(143=$I13+1,OR($K13&lt;&gt;'計算A'!$A$3,'計算A'!$A$4=0)),AND(143=$I13-1,OR(23&lt;&gt;'計算A'!$A$3,'計算A'!$A$4=0))),0,IF(23=$K13,200000,ABS(23-$K13)*100)),100000+ABS(6-$J13)*1000+230)+'計算A'!EP$5*50+IF(AND($E13=1,OC13=0),25,0),INDEX('計算A'!EP$110:EP$114,$F13+1)+IF(AND($E13=1,OC13=0),1000,0)+IF($H13=1,(IF('計算A'!EO$117=1,INDEX('計算A'!EO$10:EO$54,$B13),0)+IF('計算A'!EP$117=1,INDEX('計算A'!EQ$10:EQ$54,$B13),0))*500,0)-IF(AND('計算A'!EO$117=1,ZM13&gt;0),300,0)-IF(AND($L13=1,'計算A'!EP$117=1,IO13=0),300,0))),1000000))</f>
        <v/>
      </c>
      <c r="TS13">
        <f>IF($B13=0,1000000,IF(INDEX('計算A'!$D$60:$EQ$104,$B13,144)*IO13=1,IF(AND($E13=2,OD13=0),1000000,IF($I13&gt;0,IF(6=$J13,IF(OR(AND(144=$I13+1,OR($K13&lt;&gt;'計算A'!$A$3,'計算A'!$A$4=0)),AND(144=$I13-1,OR(24&lt;&gt;'計算A'!$A$3,'計算A'!$A$4=0))),0,IF(24=$K13,200000,ABS(24-$K13)*100)),100000+ABS(6-$J13)*1000+240)+'計算A'!EQ$5*50+IF(AND($E13=1,OD13=0),25,0),INDEX('計算A'!EQ$110:EQ$114,$F13+1)+IF(AND($E13=1,OD13=0),1000,0)+IF($H13=1,(IF('計算A'!EP$117=1,INDEX('計算A'!EP$10:EP$54,$B13),0))*500,0)-IF(AND('計算A'!EP$117=1,ZN13&gt;0),300,0))),1000000))</f>
        <v/>
      </c>
      <c r="UB13">
        <f>UB12+IF(AND($C12=1,$L12=1),1,0)</f>
        <v/>
      </c>
      <c r="UC13">
        <f>UC12+IF(AND($C12=2,$L12=1),1,0)</f>
        <v/>
      </c>
      <c r="UD13">
        <f>UD12+IF(AND($C12=3,$L12=1),1,0)</f>
        <v/>
      </c>
      <c r="UE13">
        <f>UE12+IF(AND($C12=4,$L12=1),1,0)</f>
        <v/>
      </c>
      <c r="UF13">
        <f>UF12+IF(AND($C12=5,$L12=1),1,0)</f>
        <v/>
      </c>
      <c r="UG13">
        <f>UG12+IF(AND($C12=6,$L12=1),1,0)</f>
        <v/>
      </c>
      <c r="UH13">
        <f>UH12+IF(AND($C12=7,$L12=1),1,0)</f>
        <v/>
      </c>
      <c r="UI13">
        <f>UI12+IF(AND($C12=8,$L12=1),1,0)</f>
        <v/>
      </c>
      <c r="UJ13">
        <f>UJ12+IF(AND($C12=9,$L12=1),1,0)</f>
        <v/>
      </c>
      <c r="UK13">
        <f>UK12+IF(AND($C12=10,$L12=1),1,0)</f>
        <v/>
      </c>
      <c r="UL13">
        <f>UL12+IF(AND($C12=11,$L12=1),1,0)</f>
        <v/>
      </c>
      <c r="UM13">
        <f>UM12+IF(AND($C12=12,$L12=1),1,0)</f>
        <v/>
      </c>
      <c r="UN13">
        <f>UN12+IF(AND($C12=13,$L12=1),1,0)</f>
        <v/>
      </c>
      <c r="UO13">
        <f>UO12+IF(AND($C12=14,$L12=1),1,0)</f>
        <v/>
      </c>
      <c r="UP13">
        <f>UP12+IF(AND($C12=15,$L12=1),1,0)</f>
        <v/>
      </c>
      <c r="UQ13">
        <f>UQ12+IF(AND($C12=16,$L12=1),1,0)</f>
        <v/>
      </c>
      <c r="UR13">
        <f>UR12+IF(AND($C12=17,$L12=1),1,0)</f>
        <v/>
      </c>
      <c r="US13">
        <f>US12+IF(AND($C12=18,$L12=1),1,0)</f>
        <v/>
      </c>
      <c r="UT13">
        <f>UT12+IF(AND($C12=19,$L12=1),1,0)</f>
        <v/>
      </c>
      <c r="UU13">
        <f>UU12+IF(AND($C12=20,$L12=1),1,0)</f>
        <v/>
      </c>
      <c r="UV13">
        <f>UV12+IF(AND($C12=21,$L12=1),1,0)</f>
        <v/>
      </c>
      <c r="UW13">
        <f>UW12+IF(AND($C12=22,$L12=1),1,0)</f>
        <v/>
      </c>
      <c r="UX13">
        <f>UX12+IF(AND($C12=23,$L12=1),1,0)</f>
        <v/>
      </c>
      <c r="UY13">
        <f>UY12+IF(AND($C12=24,$L12=1),1,0)</f>
        <v/>
      </c>
      <c r="UZ13">
        <f>UZ12+IF(AND($C12=25,$L12=1),1,0)</f>
        <v/>
      </c>
      <c r="VA13">
        <f>VA12+IF(AND($C12=26,$L12=1),1,0)</f>
        <v/>
      </c>
      <c r="VB13">
        <f>VB12+IF(AND($C12=27,$L12=1),1,0)</f>
        <v/>
      </c>
      <c r="VC13">
        <f>VC12+IF(AND($C12=28,$L12=1),1,0)</f>
        <v/>
      </c>
      <c r="VD13">
        <f>VD12+IF(AND($C12=29,$L12=1),1,0)</f>
        <v/>
      </c>
      <c r="VE13">
        <f>VE12+IF(AND($C12=30,$L12=1),1,0)</f>
        <v/>
      </c>
      <c r="VF13">
        <f>VF12+IF(AND($C12=31,$L12=1),1,0)</f>
        <v/>
      </c>
      <c r="VG13">
        <f>VG12+IF(AND($C12=32,$L12=1),1,0)</f>
        <v/>
      </c>
      <c r="VH13">
        <f>VH12+IF(AND($C12=33,$L12=1),1,0)</f>
        <v/>
      </c>
      <c r="VI13">
        <f>VI12+IF(AND($C12=34,$L12=1),1,0)</f>
        <v/>
      </c>
      <c r="VJ13">
        <f>VJ12+IF(AND($C12=35,$L12=1),1,0)</f>
        <v/>
      </c>
      <c r="VK13">
        <f>VK12+IF(AND($C12=36,$L12=1),1,0)</f>
        <v/>
      </c>
      <c r="VL13">
        <f>VL12+IF(AND($C12=37,$L12=1),1,0)</f>
        <v/>
      </c>
      <c r="VM13">
        <f>VM12+IF(AND($C12=38,$L12=1),1,0)</f>
        <v/>
      </c>
      <c r="VN13">
        <f>VN12+IF(AND($C12=39,$L12=1),1,0)</f>
        <v/>
      </c>
      <c r="VO13">
        <f>VO12+IF(AND($C12=40,$L12=1),1,0)</f>
        <v/>
      </c>
      <c r="VP13">
        <f>VP12+IF(AND($C12=41,$L12=1),1,0)</f>
        <v/>
      </c>
      <c r="VQ13">
        <f>VQ12+IF(AND($C12=42,$L12=1),1,0)</f>
        <v/>
      </c>
      <c r="VR13">
        <f>VR12+IF(AND($C12=43,$L12=1),1,0)</f>
        <v/>
      </c>
      <c r="VS13">
        <f>VS12+IF(AND($C12=44,$L12=1),1,0)</f>
        <v/>
      </c>
      <c r="VT13">
        <f>VT12+IF(AND($C12=45,$L12=1),1,0)</f>
        <v/>
      </c>
      <c r="VU13">
        <f>VU12+IF(AND($C12=46,$L12=1),1,0)</f>
        <v/>
      </c>
      <c r="VV13">
        <f>VV12+IF(AND($C12=47,$L12=1),1,0)</f>
        <v/>
      </c>
      <c r="VW13">
        <f>VW12+IF(AND($C12=48,$L12=1),1,0)</f>
        <v/>
      </c>
      <c r="VX13">
        <f>VX12+IF(AND($C12=49,$L12=1),1,0)</f>
        <v/>
      </c>
      <c r="VY13">
        <f>VY12+IF(AND($C12=50,$L12=1),1,0)</f>
        <v/>
      </c>
      <c r="VZ13">
        <f>VZ12+IF(AND($C12=51,$L12=1),1,0)</f>
        <v/>
      </c>
      <c r="WA13">
        <f>WA12+IF(AND($C12=52,$L12=1),1,0)</f>
        <v/>
      </c>
      <c r="WB13">
        <f>WB12+IF(AND($C12=53,$L12=1),1,0)</f>
        <v/>
      </c>
      <c r="WC13">
        <f>WC12+IF(AND($C12=54,$L12=1),1,0)</f>
        <v/>
      </c>
      <c r="WD13">
        <f>WD12+IF(AND($C12=55,$L12=1),1,0)</f>
        <v/>
      </c>
      <c r="WE13">
        <f>WE12+IF(AND($C12=56,$L12=1),1,0)</f>
        <v/>
      </c>
      <c r="WF13">
        <f>WF12+IF(AND($C12=57,$L12=1),1,0)</f>
        <v/>
      </c>
      <c r="WG13">
        <f>WG12+IF(AND($C12=58,$L12=1),1,0)</f>
        <v/>
      </c>
      <c r="WH13">
        <f>WH12+IF(AND($C12=59,$L12=1),1,0)</f>
        <v/>
      </c>
      <c r="WI13">
        <f>WI12+IF(AND($C12=60,$L12=1),1,0)</f>
        <v/>
      </c>
      <c r="WJ13">
        <f>WJ12+IF(AND($C12=61,$L12=1),1,0)</f>
        <v/>
      </c>
      <c r="WK13">
        <f>WK12+IF(AND($C12=62,$L12=1),1,0)</f>
        <v/>
      </c>
      <c r="WL13">
        <f>WL12+IF(AND($C12=63,$L12=1),1,0)</f>
        <v/>
      </c>
      <c r="WM13">
        <f>WM12+IF(AND($C12=64,$L12=1),1,0)</f>
        <v/>
      </c>
      <c r="WN13">
        <f>WN12+IF(AND($C12=65,$L12=1),1,0)</f>
        <v/>
      </c>
      <c r="WO13">
        <f>WO12+IF(AND($C12=66,$L12=1),1,0)</f>
        <v/>
      </c>
      <c r="WP13">
        <f>WP12+IF(AND($C12=67,$L12=1),1,0)</f>
        <v/>
      </c>
      <c r="WQ13">
        <f>WQ12+IF(AND($C12=68,$L12=1),1,0)</f>
        <v/>
      </c>
      <c r="WR13">
        <f>WR12+IF(AND($C12=69,$L12=1),1,0)</f>
        <v/>
      </c>
      <c r="WS13">
        <f>WS12+IF(AND($C12=70,$L12=1),1,0)</f>
        <v/>
      </c>
      <c r="WT13">
        <f>WT12+IF(AND($C12=71,$L12=1),1,0)</f>
        <v/>
      </c>
      <c r="WU13">
        <f>WU12+IF(AND($C12=72,$L12=1),1,0)</f>
        <v/>
      </c>
      <c r="WV13">
        <f>WV12+IF(AND($C12=73,$L12=1),1,0)</f>
        <v/>
      </c>
      <c r="WW13">
        <f>WW12+IF(AND($C12=74,$L12=1),1,0)</f>
        <v/>
      </c>
      <c r="WX13">
        <f>WX12+IF(AND($C12=75,$L12=1),1,0)</f>
        <v/>
      </c>
      <c r="WY13">
        <f>WY12+IF(AND($C12=76,$L12=1),1,0)</f>
        <v/>
      </c>
      <c r="WZ13">
        <f>WZ12+IF(AND($C12=77,$L12=1),1,0)</f>
        <v/>
      </c>
      <c r="XA13">
        <f>XA12+IF(AND($C12=78,$L12=1),1,0)</f>
        <v/>
      </c>
      <c r="XB13">
        <f>XB12+IF(AND($C12=79,$L12=1),1,0)</f>
        <v/>
      </c>
      <c r="XC13">
        <f>XC12+IF(AND($C12=80,$L12=1),1,0)</f>
        <v/>
      </c>
      <c r="XD13">
        <f>XD12+IF(AND($C12=81,$L12=1),1,0)</f>
        <v/>
      </c>
      <c r="XE13">
        <f>XE12+IF(AND($C12=82,$L12=1),1,0)</f>
        <v/>
      </c>
      <c r="XF13">
        <f>XF12+IF(AND($C12=83,$L12=1),1,0)</f>
        <v/>
      </c>
      <c r="XG13">
        <f>XG12+IF(AND($C12=84,$L12=1),1,0)</f>
        <v/>
      </c>
      <c r="XH13">
        <f>XH12+IF(AND($C12=85,$L12=1),1,0)</f>
        <v/>
      </c>
      <c r="XI13">
        <f>XI12+IF(AND($C12=86,$L12=1),1,0)</f>
        <v/>
      </c>
      <c r="XJ13">
        <f>XJ12+IF(AND($C12=87,$L12=1),1,0)</f>
        <v/>
      </c>
      <c r="XK13">
        <f>XK12+IF(AND($C12=88,$L12=1),1,0)</f>
        <v/>
      </c>
      <c r="XL13">
        <f>XL12+IF(AND($C12=89,$L12=1),1,0)</f>
        <v/>
      </c>
      <c r="XM13">
        <f>XM12+IF(AND($C12=90,$L12=1),1,0)</f>
        <v/>
      </c>
      <c r="XN13">
        <f>XN12+IF(AND($C12=91,$L12=1),1,0)</f>
        <v/>
      </c>
      <c r="XO13">
        <f>XO12+IF(AND($C12=92,$L12=1),1,0)</f>
        <v/>
      </c>
      <c r="XP13">
        <f>XP12+IF(AND($C12=93,$L12=1),1,0)</f>
        <v/>
      </c>
      <c r="XQ13">
        <f>XQ12+IF(AND($C12=94,$L12=1),1,0)</f>
        <v/>
      </c>
      <c r="XR13">
        <f>XR12+IF(AND($C12=95,$L12=1),1,0)</f>
        <v/>
      </c>
      <c r="XS13">
        <f>XS12+IF(AND($C12=96,$L12=1),1,0)</f>
        <v/>
      </c>
      <c r="XT13">
        <f>XT12+IF(AND($C12=97,$L12=1),1,0)</f>
        <v/>
      </c>
      <c r="XU13">
        <f>XU12+IF(AND($C12=98,$L12=1),1,0)</f>
        <v/>
      </c>
      <c r="XV13">
        <f>XV12+IF(AND($C12=99,$L12=1),1,0)</f>
        <v/>
      </c>
      <c r="XW13">
        <f>XW12+IF(AND($C12=100,$L12=1),1,0)</f>
        <v/>
      </c>
      <c r="XX13">
        <f>XX12+IF(AND($C12=101,$L12=1),1,0)</f>
        <v/>
      </c>
      <c r="XY13">
        <f>XY12+IF(AND($C12=102,$L12=1),1,0)</f>
        <v/>
      </c>
      <c r="XZ13">
        <f>XZ12+IF(AND($C12=103,$L12=1),1,0)</f>
        <v/>
      </c>
      <c r="YA13">
        <f>YA12+IF(AND($C12=104,$L12=1),1,0)</f>
        <v/>
      </c>
      <c r="YB13">
        <f>YB12+IF(AND($C12=105,$L12=1),1,0)</f>
        <v/>
      </c>
      <c r="YC13">
        <f>YC12+IF(AND($C12=106,$L12=1),1,0)</f>
        <v/>
      </c>
      <c r="YD13">
        <f>YD12+IF(AND($C12=107,$L12=1),1,0)</f>
        <v/>
      </c>
      <c r="YE13">
        <f>YE12+IF(AND($C12=108,$L12=1),1,0)</f>
        <v/>
      </c>
      <c r="YF13">
        <f>YF12+IF(AND($C12=109,$L12=1),1,0)</f>
        <v/>
      </c>
      <c r="YG13">
        <f>YG12+IF(AND($C12=110,$L12=1),1,0)</f>
        <v/>
      </c>
      <c r="YH13">
        <f>YH12+IF(AND($C12=111,$L12=1),1,0)</f>
        <v/>
      </c>
      <c r="YI13">
        <f>YI12+IF(AND($C12=112,$L12=1),1,0)</f>
        <v/>
      </c>
      <c r="YJ13">
        <f>YJ12+IF(AND($C12=113,$L12=1),1,0)</f>
        <v/>
      </c>
      <c r="YK13">
        <f>YK12+IF(AND($C12=114,$L12=1),1,0)</f>
        <v/>
      </c>
      <c r="YL13">
        <f>YL12+IF(AND($C12=115,$L12=1),1,0)</f>
        <v/>
      </c>
      <c r="YM13">
        <f>YM12+IF(AND($C12=116,$L12=1),1,0)</f>
        <v/>
      </c>
      <c r="YN13">
        <f>YN12+IF(AND($C12=117,$L12=1),1,0)</f>
        <v/>
      </c>
      <c r="YO13">
        <f>YO12+IF(AND($C12=118,$L12=1),1,0)</f>
        <v/>
      </c>
      <c r="YP13">
        <f>YP12+IF(AND($C12=119,$L12=1),1,0)</f>
        <v/>
      </c>
      <c r="YQ13">
        <f>YQ12+IF(AND($C12=120,$L12=1),1,0)</f>
        <v/>
      </c>
      <c r="YR13">
        <f>YR12+IF(AND($C12=121,$L12=1),1,0)</f>
        <v/>
      </c>
      <c r="YS13">
        <f>YS12+IF(AND($C12=122,$L12=1),1,0)</f>
        <v/>
      </c>
      <c r="YT13">
        <f>YT12+IF(AND($C12=123,$L12=1),1,0)</f>
        <v/>
      </c>
      <c r="YU13">
        <f>YU12+IF(AND($C12=124,$L12=1),1,0)</f>
        <v/>
      </c>
      <c r="YV13">
        <f>YV12+IF(AND($C12=125,$L12=1),1,0)</f>
        <v/>
      </c>
      <c r="YW13">
        <f>YW12+IF(AND($C12=126,$L12=1),1,0)</f>
        <v/>
      </c>
      <c r="YX13">
        <f>YX12+IF(AND($C12=127,$L12=1),1,0)</f>
        <v/>
      </c>
      <c r="YY13">
        <f>YY12+IF(AND($C12=128,$L12=1),1,0)</f>
        <v/>
      </c>
      <c r="YZ13">
        <f>YZ12+IF(AND($C12=129,$L12=1),1,0)</f>
        <v/>
      </c>
      <c r="ZA13">
        <f>ZA12+IF(AND($C12=130,$L12=1),1,0)</f>
        <v/>
      </c>
      <c r="ZB13">
        <f>ZB12+IF(AND($C12=131,$L12=1),1,0)</f>
        <v/>
      </c>
      <c r="ZC13">
        <f>ZC12+IF(AND($C12=132,$L12=1),1,0)</f>
        <v/>
      </c>
      <c r="ZD13">
        <f>ZD12+IF(AND($C12=133,$L12=1),1,0)</f>
        <v/>
      </c>
      <c r="ZE13">
        <f>ZE12+IF(AND($C12=134,$L12=1),1,0)</f>
        <v/>
      </c>
      <c r="ZF13">
        <f>ZF12+IF(AND($C12=135,$L12=1),1,0)</f>
        <v/>
      </c>
      <c r="ZG13">
        <f>ZG12+IF(AND($C12=136,$L12=1),1,0)</f>
        <v/>
      </c>
      <c r="ZH13">
        <f>ZH12+IF(AND($C12=137,$L12=1),1,0)</f>
        <v/>
      </c>
      <c r="ZI13">
        <f>ZI12+IF(AND($C12=138,$L12=1),1,0)</f>
        <v/>
      </c>
      <c r="ZJ13">
        <f>ZJ12+IF(AND($C12=139,$L12=1),1,0)</f>
        <v/>
      </c>
      <c r="ZK13">
        <f>ZK12+IF(AND($C12=140,$L12=1),1,0)</f>
        <v/>
      </c>
      <c r="ZL13">
        <f>ZL12+IF(AND($C12=141,$L12=1),1,0)</f>
        <v/>
      </c>
      <c r="ZM13">
        <f>ZM12+IF(AND($C12=142,$L12=1),1,0)</f>
        <v/>
      </c>
      <c r="ZN13">
        <f>ZN12+IF(AND($C12=143,$L12=1),1,0)</f>
        <v/>
      </c>
      <c r="ZO13">
        <f>ZO12+IF(AND($C12=144,$L12=1),1,0)</f>
        <v/>
      </c>
    </row>
    <row r="14">
      <c r="A14" t="n">
        <v>12</v>
      </c>
      <c r="B14">
        <f>IF(MIN(BH14:CZ14)&gt;=1000000,0,MATCH(MIN(BH14:CZ14),BH14:CZ14,0))</f>
        <v/>
      </c>
      <c r="C14">
        <f>IF(MIN(OF14:TS14)&gt;=1000000,0,MATCH(MIN(OF14:TS14),OF14:TS14,0))</f>
        <v/>
      </c>
      <c r="D14">
        <f>IF(C14&gt;0,INDEX('計算A'!$D$5:$EQ$5,C14),0)</f>
        <v/>
      </c>
      <c r="E14">
        <f>IF(B14=0,0,INDEX('計算A'!$IQ$10:$IQ$54,B14))</f>
        <v/>
      </c>
      <c r="F14">
        <f>IF(B14=0,0,INDEX('計算A'!$IP$10:$IP$54,B14))</f>
        <v/>
      </c>
      <c r="G14">
        <f>IF(AND(C14&gt;0,E14&gt;0),IF(AND(INDEX('計算A'!$D$106:$EQ$106,C14)=1,INDEX($IQ14:$OD14,C14)=1),C14+1,0),0)</f>
        <v/>
      </c>
      <c r="H14">
        <f>IF(B14=0,0,INDEX('計算A'!$IW$10:$IW$54,B14))</f>
        <v/>
      </c>
      <c r="I14">
        <f>IF(B14=0,0,MAX(0,INDEX('計算A'!$IT$10:$IT$54,B14)))</f>
        <v/>
      </c>
      <c r="J14">
        <f>IF(I14=0,0,INDEX('計算A'!$D$2:$EQ$2,I14))</f>
        <v/>
      </c>
      <c r="K14">
        <f>IF(I14=0,0,INDEX('計算A'!$D$3:$EQ$3,I14))</f>
        <v/>
      </c>
      <c r="L14">
        <f>IF(B14=0,0,INDEX('計算A'!$IX$10:$IX$54,B14))</f>
        <v/>
      </c>
      <c r="N14">
        <f>MAX(N13,IF($B13=1,1,0))</f>
        <v/>
      </c>
      <c r="O14">
        <f>MAX(O13,IF($B13=2,1,0))</f>
        <v/>
      </c>
      <c r="P14">
        <f>MAX(P13,IF($B13=3,1,0))</f>
        <v/>
      </c>
      <c r="Q14">
        <f>MAX(Q13,IF($B13=4,1,0))</f>
        <v/>
      </c>
      <c r="R14">
        <f>MAX(R13,IF($B13=5,1,0))</f>
        <v/>
      </c>
      <c r="S14">
        <f>MAX(S13,IF($B13=6,1,0))</f>
        <v/>
      </c>
      <c r="T14">
        <f>MAX(T13,IF($B13=7,1,0))</f>
        <v/>
      </c>
      <c r="U14">
        <f>MAX(U13,IF($B13=8,1,0))</f>
        <v/>
      </c>
      <c r="V14">
        <f>MAX(V13,IF($B13=9,1,0))</f>
        <v/>
      </c>
      <c r="W14">
        <f>MAX(W13,IF($B13=10,1,0))</f>
        <v/>
      </c>
      <c r="X14">
        <f>MAX(X13,IF($B13=11,1,0))</f>
        <v/>
      </c>
      <c r="Y14">
        <f>MAX(Y13,IF($B13=12,1,0))</f>
        <v/>
      </c>
      <c r="Z14">
        <f>MAX(Z13,IF($B13=13,1,0))</f>
        <v/>
      </c>
      <c r="AA14">
        <f>MAX(AA13,IF($B13=14,1,0))</f>
        <v/>
      </c>
      <c r="AB14">
        <f>MAX(AB13,IF($B13=15,1,0))</f>
        <v/>
      </c>
      <c r="AC14">
        <f>MAX(AC13,IF($B13=16,1,0))</f>
        <v/>
      </c>
      <c r="AD14">
        <f>MAX(AD13,IF($B13=17,1,0))</f>
        <v/>
      </c>
      <c r="AE14">
        <f>MAX(AE13,IF($B13=18,1,0))</f>
        <v/>
      </c>
      <c r="AF14">
        <f>MAX(AF13,IF($B13=19,1,0))</f>
        <v/>
      </c>
      <c r="AG14">
        <f>MAX(AG13,IF($B13=20,1,0))</f>
        <v/>
      </c>
      <c r="AH14">
        <f>MAX(AH13,IF($B13=21,1,0))</f>
        <v/>
      </c>
      <c r="AI14">
        <f>MAX(AI13,IF($B13=22,1,0))</f>
        <v/>
      </c>
      <c r="AJ14">
        <f>MAX(AJ13,IF($B13=23,1,0))</f>
        <v/>
      </c>
      <c r="AK14">
        <f>MAX(AK13,IF($B13=24,1,0))</f>
        <v/>
      </c>
      <c r="AL14">
        <f>MAX(AL13,IF($B13=25,1,0))</f>
        <v/>
      </c>
      <c r="AM14">
        <f>MAX(AM13,IF($B13=26,1,0))</f>
        <v/>
      </c>
      <c r="AN14">
        <f>MAX(AN13,IF($B13=27,1,0))</f>
        <v/>
      </c>
      <c r="AO14">
        <f>MAX(AO13,IF($B13=28,1,0))</f>
        <v/>
      </c>
      <c r="AP14">
        <f>MAX(AP13,IF($B13=29,1,0))</f>
        <v/>
      </c>
      <c r="AQ14">
        <f>MAX(AQ13,IF($B13=30,1,0))</f>
        <v/>
      </c>
      <c r="AR14">
        <f>MAX(AR13,IF($B13=31,1,0))</f>
        <v/>
      </c>
      <c r="AS14">
        <f>MAX(AS13,IF($B13=32,1,0))</f>
        <v/>
      </c>
      <c r="AT14">
        <f>MAX(AT13,IF($B13=33,1,0))</f>
        <v/>
      </c>
      <c r="AU14">
        <f>MAX(AU13,IF($B13=34,1,0))</f>
        <v/>
      </c>
      <c r="AV14">
        <f>MAX(AV13,IF($B13=35,1,0))</f>
        <v/>
      </c>
      <c r="AW14">
        <f>MAX(AW13,IF($B13=36,1,0))</f>
        <v/>
      </c>
      <c r="AX14">
        <f>MAX(AX13,IF($B13=37,1,0))</f>
        <v/>
      </c>
      <c r="AY14">
        <f>MAX(AY13,IF($B13=38,1,0))</f>
        <v/>
      </c>
      <c r="AZ14">
        <f>MAX(AZ13,IF($B13=39,1,0))</f>
        <v/>
      </c>
      <c r="BA14">
        <f>MAX(BA13,IF($B13=40,1,0))</f>
        <v/>
      </c>
      <c r="BB14">
        <f>MAX(BB13,IF($B13=41,1,0))</f>
        <v/>
      </c>
      <c r="BC14">
        <f>MAX(BC13,IF($B13=42,1,0))</f>
        <v/>
      </c>
      <c r="BD14">
        <f>MAX(BD13,IF($B13=43,1,0))</f>
        <v/>
      </c>
      <c r="BE14">
        <f>MAX(BE13,IF($B13=44,1,0))</f>
        <v/>
      </c>
      <c r="BF14">
        <f>MAX(BF13,IF($B13=45,1,0))</f>
        <v/>
      </c>
      <c r="BH14">
        <f>IF(N14=1,1000000,IF('計算A'!$IT$10&gt;0,0,500000)+IF('計算A'!$IQ$10=2,SUMPRODUCT('計算A'!$D$60:$EQ$60,$DB14:$IO14,$IQ14:$OD14),SUMPRODUCT('計算A'!$D$60:$EQ$60,$DB14:$IO14))*1000+1)</f>
        <v/>
      </c>
      <c r="BI14">
        <f>IF(O14=1,1000000,IF('計算A'!$IT$11&gt;0,0,500000)+IF('計算A'!$IQ$11=2,SUMPRODUCT('計算A'!$D$61:$EQ$61,$DB14:$IO14,$IQ14:$OD14),SUMPRODUCT('計算A'!$D$61:$EQ$61,$DB14:$IO14))*1000+2)</f>
        <v/>
      </c>
      <c r="BJ14">
        <f>IF(P14=1,1000000,IF('計算A'!$IT$12&gt;0,0,500000)+IF('計算A'!$IQ$12=2,SUMPRODUCT('計算A'!$D$62:$EQ$62,$DB14:$IO14,$IQ14:$OD14),SUMPRODUCT('計算A'!$D$62:$EQ$62,$DB14:$IO14))*1000+3)</f>
        <v/>
      </c>
      <c r="BK14">
        <f>IF(Q14=1,1000000,IF('計算A'!$IT$13&gt;0,0,500000)+IF('計算A'!$IQ$13=2,SUMPRODUCT('計算A'!$D$63:$EQ$63,$DB14:$IO14,$IQ14:$OD14),SUMPRODUCT('計算A'!$D$63:$EQ$63,$DB14:$IO14))*1000+4)</f>
        <v/>
      </c>
      <c r="BL14">
        <f>IF(R14=1,1000000,IF('計算A'!$IT$14&gt;0,0,500000)+IF('計算A'!$IQ$14=2,SUMPRODUCT('計算A'!$D$64:$EQ$64,$DB14:$IO14,$IQ14:$OD14),SUMPRODUCT('計算A'!$D$64:$EQ$64,$DB14:$IO14))*1000+5)</f>
        <v/>
      </c>
      <c r="BM14">
        <f>IF(S14=1,1000000,IF('計算A'!$IT$15&gt;0,0,500000)+IF('計算A'!$IQ$15=2,SUMPRODUCT('計算A'!$D$65:$EQ$65,$DB14:$IO14,$IQ14:$OD14),SUMPRODUCT('計算A'!$D$65:$EQ$65,$DB14:$IO14))*1000+6)</f>
        <v/>
      </c>
      <c r="BN14">
        <f>IF(T14=1,1000000,IF('計算A'!$IT$16&gt;0,0,500000)+IF('計算A'!$IQ$16=2,SUMPRODUCT('計算A'!$D$66:$EQ$66,$DB14:$IO14,$IQ14:$OD14),SUMPRODUCT('計算A'!$D$66:$EQ$66,$DB14:$IO14))*1000+7)</f>
        <v/>
      </c>
      <c r="BO14">
        <f>IF(U14=1,1000000,IF('計算A'!$IT$17&gt;0,0,500000)+IF('計算A'!$IQ$17=2,SUMPRODUCT('計算A'!$D$67:$EQ$67,$DB14:$IO14,$IQ14:$OD14),SUMPRODUCT('計算A'!$D$67:$EQ$67,$DB14:$IO14))*1000+8)</f>
        <v/>
      </c>
      <c r="BP14">
        <f>IF(V14=1,1000000,IF('計算A'!$IT$18&gt;0,0,500000)+IF('計算A'!$IQ$18=2,SUMPRODUCT('計算A'!$D$68:$EQ$68,$DB14:$IO14,$IQ14:$OD14),SUMPRODUCT('計算A'!$D$68:$EQ$68,$DB14:$IO14))*1000+9)</f>
        <v/>
      </c>
      <c r="BQ14">
        <f>IF(W14=1,1000000,IF('計算A'!$IT$19&gt;0,0,500000)+IF('計算A'!$IQ$19=2,SUMPRODUCT('計算A'!$D$69:$EQ$69,$DB14:$IO14,$IQ14:$OD14),SUMPRODUCT('計算A'!$D$69:$EQ$69,$DB14:$IO14))*1000+10)</f>
        <v/>
      </c>
      <c r="BR14">
        <f>IF(X14=1,1000000,IF('計算A'!$IT$20&gt;0,0,500000)+IF('計算A'!$IQ$20=2,SUMPRODUCT('計算A'!$D$70:$EQ$70,$DB14:$IO14,$IQ14:$OD14),SUMPRODUCT('計算A'!$D$70:$EQ$70,$DB14:$IO14))*1000+11)</f>
        <v/>
      </c>
      <c r="BS14">
        <f>IF(Y14=1,1000000,IF('計算A'!$IT$21&gt;0,0,500000)+IF('計算A'!$IQ$21=2,SUMPRODUCT('計算A'!$D$71:$EQ$71,$DB14:$IO14,$IQ14:$OD14),SUMPRODUCT('計算A'!$D$71:$EQ$71,$DB14:$IO14))*1000+12)</f>
        <v/>
      </c>
      <c r="BT14">
        <f>IF(Z14=1,1000000,IF('計算A'!$IT$22&gt;0,0,500000)+IF('計算A'!$IQ$22=2,SUMPRODUCT('計算A'!$D$72:$EQ$72,$DB14:$IO14,$IQ14:$OD14),SUMPRODUCT('計算A'!$D$72:$EQ$72,$DB14:$IO14))*1000+13)</f>
        <v/>
      </c>
      <c r="BU14">
        <f>IF(AA14=1,1000000,IF('計算A'!$IT$23&gt;0,0,500000)+IF('計算A'!$IQ$23=2,SUMPRODUCT('計算A'!$D$73:$EQ$73,$DB14:$IO14,$IQ14:$OD14),SUMPRODUCT('計算A'!$D$73:$EQ$73,$DB14:$IO14))*1000+14)</f>
        <v/>
      </c>
      <c r="BV14">
        <f>IF(AB14=1,1000000,IF('計算A'!$IT$24&gt;0,0,500000)+IF('計算A'!$IQ$24=2,SUMPRODUCT('計算A'!$D$74:$EQ$74,$DB14:$IO14,$IQ14:$OD14),SUMPRODUCT('計算A'!$D$74:$EQ$74,$DB14:$IO14))*1000+15)</f>
        <v/>
      </c>
      <c r="BW14">
        <f>IF(AC14=1,1000000,IF('計算A'!$IT$25&gt;0,0,500000)+IF('計算A'!$IQ$25=2,SUMPRODUCT('計算A'!$D$75:$EQ$75,$DB14:$IO14,$IQ14:$OD14),SUMPRODUCT('計算A'!$D$75:$EQ$75,$DB14:$IO14))*1000+16)</f>
        <v/>
      </c>
      <c r="BX14">
        <f>IF(AD14=1,1000000,IF('計算A'!$IT$26&gt;0,0,500000)+IF('計算A'!$IQ$26=2,SUMPRODUCT('計算A'!$D$76:$EQ$76,$DB14:$IO14,$IQ14:$OD14),SUMPRODUCT('計算A'!$D$76:$EQ$76,$DB14:$IO14))*1000+17)</f>
        <v/>
      </c>
      <c r="BY14">
        <f>IF(AE14=1,1000000,IF('計算A'!$IT$27&gt;0,0,500000)+IF('計算A'!$IQ$27=2,SUMPRODUCT('計算A'!$D$77:$EQ$77,$DB14:$IO14,$IQ14:$OD14),SUMPRODUCT('計算A'!$D$77:$EQ$77,$DB14:$IO14))*1000+18)</f>
        <v/>
      </c>
      <c r="BZ14">
        <f>IF(AF14=1,1000000,IF('計算A'!$IT$28&gt;0,0,500000)+IF('計算A'!$IQ$28=2,SUMPRODUCT('計算A'!$D$78:$EQ$78,$DB14:$IO14,$IQ14:$OD14),SUMPRODUCT('計算A'!$D$78:$EQ$78,$DB14:$IO14))*1000+19)</f>
        <v/>
      </c>
      <c r="CA14">
        <f>IF(AG14=1,1000000,IF('計算A'!$IT$29&gt;0,0,500000)+IF('計算A'!$IQ$29=2,SUMPRODUCT('計算A'!$D$79:$EQ$79,$DB14:$IO14,$IQ14:$OD14),SUMPRODUCT('計算A'!$D$79:$EQ$79,$DB14:$IO14))*1000+20)</f>
        <v/>
      </c>
      <c r="CB14">
        <f>IF(AH14=1,1000000,IF('計算A'!$IT$30&gt;0,0,500000)+IF('計算A'!$IQ$30=2,SUMPRODUCT('計算A'!$D$80:$EQ$80,$DB14:$IO14,$IQ14:$OD14),SUMPRODUCT('計算A'!$D$80:$EQ$80,$DB14:$IO14))*1000+21)</f>
        <v/>
      </c>
      <c r="CC14">
        <f>IF(AI14=1,1000000,IF('計算A'!$IT$31&gt;0,0,500000)+IF('計算A'!$IQ$31=2,SUMPRODUCT('計算A'!$D$81:$EQ$81,$DB14:$IO14,$IQ14:$OD14),SUMPRODUCT('計算A'!$D$81:$EQ$81,$DB14:$IO14))*1000+22)</f>
        <v/>
      </c>
      <c r="CD14">
        <f>IF(AJ14=1,1000000,IF('計算A'!$IT$32&gt;0,0,500000)+IF('計算A'!$IQ$32=2,SUMPRODUCT('計算A'!$D$82:$EQ$82,$DB14:$IO14,$IQ14:$OD14),SUMPRODUCT('計算A'!$D$82:$EQ$82,$DB14:$IO14))*1000+23)</f>
        <v/>
      </c>
      <c r="CE14">
        <f>IF(AK14=1,1000000,IF('計算A'!$IT$33&gt;0,0,500000)+IF('計算A'!$IQ$33=2,SUMPRODUCT('計算A'!$D$83:$EQ$83,$DB14:$IO14,$IQ14:$OD14),SUMPRODUCT('計算A'!$D$83:$EQ$83,$DB14:$IO14))*1000+24)</f>
        <v/>
      </c>
      <c r="CF14">
        <f>IF(AL14=1,1000000,IF('計算A'!$IT$34&gt;0,0,500000)+IF('計算A'!$IQ$34=2,SUMPRODUCT('計算A'!$D$84:$EQ$84,$DB14:$IO14,$IQ14:$OD14),SUMPRODUCT('計算A'!$D$84:$EQ$84,$DB14:$IO14))*1000+25)</f>
        <v/>
      </c>
      <c r="CG14">
        <f>IF(AM14=1,1000000,IF('計算A'!$IT$35&gt;0,0,500000)+IF('計算A'!$IQ$35=2,SUMPRODUCT('計算A'!$D$85:$EQ$85,$DB14:$IO14,$IQ14:$OD14),SUMPRODUCT('計算A'!$D$85:$EQ$85,$DB14:$IO14))*1000+26)</f>
        <v/>
      </c>
      <c r="CH14">
        <f>IF(AN14=1,1000000,IF('計算A'!$IT$36&gt;0,0,500000)+IF('計算A'!$IQ$36=2,SUMPRODUCT('計算A'!$D$86:$EQ$86,$DB14:$IO14,$IQ14:$OD14),SUMPRODUCT('計算A'!$D$86:$EQ$86,$DB14:$IO14))*1000+27)</f>
        <v/>
      </c>
      <c r="CI14">
        <f>IF(AO14=1,1000000,IF('計算A'!$IT$37&gt;0,0,500000)+IF('計算A'!$IQ$37=2,SUMPRODUCT('計算A'!$D$87:$EQ$87,$DB14:$IO14,$IQ14:$OD14),SUMPRODUCT('計算A'!$D$87:$EQ$87,$DB14:$IO14))*1000+28)</f>
        <v/>
      </c>
      <c r="CJ14">
        <f>IF(AP14=1,1000000,IF('計算A'!$IT$38&gt;0,0,500000)+IF('計算A'!$IQ$38=2,SUMPRODUCT('計算A'!$D$88:$EQ$88,$DB14:$IO14,$IQ14:$OD14),SUMPRODUCT('計算A'!$D$88:$EQ$88,$DB14:$IO14))*1000+29)</f>
        <v/>
      </c>
      <c r="CK14">
        <f>IF(AQ14=1,1000000,IF('計算A'!$IT$39&gt;0,0,500000)+IF('計算A'!$IQ$39=2,SUMPRODUCT('計算A'!$D$89:$EQ$89,$DB14:$IO14,$IQ14:$OD14),SUMPRODUCT('計算A'!$D$89:$EQ$89,$DB14:$IO14))*1000+30)</f>
        <v/>
      </c>
      <c r="CL14">
        <f>IF(AR14=1,1000000,IF('計算A'!$IT$40&gt;0,0,500000)+IF('計算A'!$IQ$40=2,SUMPRODUCT('計算A'!$D$90:$EQ$90,$DB14:$IO14,$IQ14:$OD14),SUMPRODUCT('計算A'!$D$90:$EQ$90,$DB14:$IO14))*1000+31)</f>
        <v/>
      </c>
      <c r="CM14">
        <f>IF(AS14=1,1000000,IF('計算A'!$IT$41&gt;0,0,500000)+IF('計算A'!$IQ$41=2,SUMPRODUCT('計算A'!$D$91:$EQ$91,$DB14:$IO14,$IQ14:$OD14),SUMPRODUCT('計算A'!$D$91:$EQ$91,$DB14:$IO14))*1000+32)</f>
        <v/>
      </c>
      <c r="CN14">
        <f>IF(AT14=1,1000000,IF('計算A'!$IT$42&gt;0,0,500000)+IF('計算A'!$IQ$42=2,SUMPRODUCT('計算A'!$D$92:$EQ$92,$DB14:$IO14,$IQ14:$OD14),SUMPRODUCT('計算A'!$D$92:$EQ$92,$DB14:$IO14))*1000+33)</f>
        <v/>
      </c>
      <c r="CO14">
        <f>IF(AU14=1,1000000,IF('計算A'!$IT$43&gt;0,0,500000)+IF('計算A'!$IQ$43=2,SUMPRODUCT('計算A'!$D$93:$EQ$93,$DB14:$IO14,$IQ14:$OD14),SUMPRODUCT('計算A'!$D$93:$EQ$93,$DB14:$IO14))*1000+34)</f>
        <v/>
      </c>
      <c r="CP14">
        <f>IF(AV14=1,1000000,IF('計算A'!$IT$44&gt;0,0,500000)+IF('計算A'!$IQ$44=2,SUMPRODUCT('計算A'!$D$94:$EQ$94,$DB14:$IO14,$IQ14:$OD14),SUMPRODUCT('計算A'!$D$94:$EQ$94,$DB14:$IO14))*1000+35)</f>
        <v/>
      </c>
      <c r="CQ14">
        <f>IF(AW14=1,1000000,IF('計算A'!$IT$45&gt;0,0,500000)+IF('計算A'!$IQ$45=2,SUMPRODUCT('計算A'!$D$95:$EQ$95,$DB14:$IO14,$IQ14:$OD14),SUMPRODUCT('計算A'!$D$95:$EQ$95,$DB14:$IO14))*1000+36)</f>
        <v/>
      </c>
      <c r="CR14">
        <f>IF(AX14=1,1000000,IF('計算A'!$IT$46&gt;0,0,500000)+IF('計算A'!$IQ$46=2,SUMPRODUCT('計算A'!$D$96:$EQ$96,$DB14:$IO14,$IQ14:$OD14),SUMPRODUCT('計算A'!$D$96:$EQ$96,$DB14:$IO14))*1000+37)</f>
        <v/>
      </c>
      <c r="CS14">
        <f>IF(AY14=1,1000000,IF('計算A'!$IT$47&gt;0,0,500000)+IF('計算A'!$IQ$47=2,SUMPRODUCT('計算A'!$D$97:$EQ$97,$DB14:$IO14,$IQ14:$OD14),SUMPRODUCT('計算A'!$D$97:$EQ$97,$DB14:$IO14))*1000+38)</f>
        <v/>
      </c>
      <c r="CT14">
        <f>IF(AZ14=1,1000000,IF('計算A'!$IT$48&gt;0,0,500000)+IF('計算A'!$IQ$48=2,SUMPRODUCT('計算A'!$D$98:$EQ$98,$DB14:$IO14,$IQ14:$OD14),SUMPRODUCT('計算A'!$D$98:$EQ$98,$DB14:$IO14))*1000+39)</f>
        <v/>
      </c>
      <c r="CU14">
        <f>IF(BA14=1,1000000,IF('計算A'!$IT$49&gt;0,0,500000)+IF('計算A'!$IQ$49=2,SUMPRODUCT('計算A'!$D$99:$EQ$99,$DB14:$IO14,$IQ14:$OD14),SUMPRODUCT('計算A'!$D$99:$EQ$99,$DB14:$IO14))*1000+40)</f>
        <v/>
      </c>
      <c r="CV14">
        <f>IF(BB14=1,1000000,IF('計算A'!$IT$50&gt;0,0,500000)+IF('計算A'!$IQ$50=2,SUMPRODUCT('計算A'!$D$100:$EQ$100,$DB14:$IO14,$IQ14:$OD14),SUMPRODUCT('計算A'!$D$100:$EQ$100,$DB14:$IO14))*1000+41)</f>
        <v/>
      </c>
      <c r="CW14">
        <f>IF(BC14=1,1000000,IF('計算A'!$IT$51&gt;0,0,500000)+IF('計算A'!$IQ$51=2,SUMPRODUCT('計算A'!$D$101:$EQ$101,$DB14:$IO14,$IQ14:$OD14),SUMPRODUCT('計算A'!$D$101:$EQ$101,$DB14:$IO14))*1000+42)</f>
        <v/>
      </c>
      <c r="CX14">
        <f>IF(BD14=1,1000000,IF('計算A'!$IT$52&gt;0,0,500000)+IF('計算A'!$IQ$52=2,SUMPRODUCT('計算A'!$D$102:$EQ$102,$DB14:$IO14,$IQ14:$OD14),SUMPRODUCT('計算A'!$D$102:$EQ$102,$DB14:$IO14))*1000+43)</f>
        <v/>
      </c>
      <c r="CY14">
        <f>IF(BE14=1,1000000,IF('計算A'!$IT$53&gt;0,0,500000)+IF('計算A'!$IQ$53=2,SUMPRODUCT('計算A'!$D$103:$EQ$103,$DB14:$IO14,$IQ14:$OD14),SUMPRODUCT('計算A'!$D$103:$EQ$103,$DB14:$IO14))*1000+44)</f>
        <v/>
      </c>
      <c r="CZ14">
        <f>IF(BF14=1,1000000,IF('計算A'!$IT$54&gt;0,0,500000)+IF('計算A'!$IQ$54=2,SUMPRODUCT('計算A'!$D$104:$EQ$104,$DB14:$IO14,$IQ14:$OD14),SUMPRODUCT('計算A'!$D$104:$EQ$104,$DB14:$IO14))*1000+45)</f>
        <v/>
      </c>
      <c r="DB14">
        <f>DB13*IF(OR($C13=1,$G13=1),0,1)</f>
        <v/>
      </c>
      <c r="DC14">
        <f>DC13*IF(OR($C13=2,$G13=2),0,1)</f>
        <v/>
      </c>
      <c r="DD14">
        <f>DD13*IF(OR($C13=3,$G13=3),0,1)</f>
        <v/>
      </c>
      <c r="DE14">
        <f>DE13*IF(OR($C13=4,$G13=4),0,1)</f>
        <v/>
      </c>
      <c r="DF14">
        <f>DF13*IF(OR($C13=5,$G13=5),0,1)</f>
        <v/>
      </c>
      <c r="DG14">
        <f>DG13*IF(OR($C13=6,$G13=6),0,1)</f>
        <v/>
      </c>
      <c r="DH14">
        <f>DH13*IF(OR($C13=7,$G13=7),0,1)</f>
        <v/>
      </c>
      <c r="DI14">
        <f>DI13*IF(OR($C13=8,$G13=8),0,1)</f>
        <v/>
      </c>
      <c r="DJ14">
        <f>DJ13*IF(OR($C13=9,$G13=9),0,1)</f>
        <v/>
      </c>
      <c r="DK14">
        <f>DK13*IF(OR($C13=10,$G13=10),0,1)</f>
        <v/>
      </c>
      <c r="DL14">
        <f>DL13*IF(OR($C13=11,$G13=11),0,1)</f>
        <v/>
      </c>
      <c r="DM14">
        <f>DM13*IF(OR($C13=12,$G13=12),0,1)</f>
        <v/>
      </c>
      <c r="DN14">
        <f>DN13*IF(OR($C13=13,$G13=13),0,1)</f>
        <v/>
      </c>
      <c r="DO14">
        <f>DO13*IF(OR($C13=14,$G13=14),0,1)</f>
        <v/>
      </c>
      <c r="DP14">
        <f>DP13*IF(OR($C13=15,$G13=15),0,1)</f>
        <v/>
      </c>
      <c r="DQ14">
        <f>DQ13*IF(OR($C13=16,$G13=16),0,1)</f>
        <v/>
      </c>
      <c r="DR14">
        <f>DR13*IF(OR($C13=17,$G13=17),0,1)</f>
        <v/>
      </c>
      <c r="DS14">
        <f>DS13*IF(OR($C13=18,$G13=18),0,1)</f>
        <v/>
      </c>
      <c r="DT14">
        <f>DT13*IF(OR($C13=19,$G13=19),0,1)</f>
        <v/>
      </c>
      <c r="DU14">
        <f>DU13*IF(OR($C13=20,$G13=20),0,1)</f>
        <v/>
      </c>
      <c r="DV14">
        <f>DV13*IF(OR($C13=21,$G13=21),0,1)</f>
        <v/>
      </c>
      <c r="DW14">
        <f>DW13*IF(OR($C13=22,$G13=22),0,1)</f>
        <v/>
      </c>
      <c r="DX14">
        <f>DX13*IF(OR($C13=23,$G13=23),0,1)</f>
        <v/>
      </c>
      <c r="DY14">
        <f>DY13*IF(OR($C13=24,$G13=24),0,1)</f>
        <v/>
      </c>
      <c r="DZ14">
        <f>DZ13*IF(OR($C13=25,$G13=25),0,1)</f>
        <v/>
      </c>
      <c r="EA14">
        <f>EA13*IF(OR($C13=26,$G13=26),0,1)</f>
        <v/>
      </c>
      <c r="EB14">
        <f>EB13*IF(OR($C13=27,$G13=27),0,1)</f>
        <v/>
      </c>
      <c r="EC14">
        <f>EC13*IF(OR($C13=28,$G13=28),0,1)</f>
        <v/>
      </c>
      <c r="ED14">
        <f>ED13*IF(OR($C13=29,$G13=29),0,1)</f>
        <v/>
      </c>
      <c r="EE14">
        <f>EE13*IF(OR($C13=30,$G13=30),0,1)</f>
        <v/>
      </c>
      <c r="EF14">
        <f>EF13*IF(OR($C13=31,$G13=31),0,1)</f>
        <v/>
      </c>
      <c r="EG14">
        <f>EG13*IF(OR($C13=32,$G13=32),0,1)</f>
        <v/>
      </c>
      <c r="EH14">
        <f>EH13*IF(OR($C13=33,$G13=33),0,1)</f>
        <v/>
      </c>
      <c r="EI14">
        <f>EI13*IF(OR($C13=34,$G13=34),0,1)</f>
        <v/>
      </c>
      <c r="EJ14">
        <f>EJ13*IF(OR($C13=35,$G13=35),0,1)</f>
        <v/>
      </c>
      <c r="EK14">
        <f>EK13*IF(OR($C13=36,$G13=36),0,1)</f>
        <v/>
      </c>
      <c r="EL14">
        <f>EL13*IF(OR($C13=37,$G13=37),0,1)</f>
        <v/>
      </c>
      <c r="EM14">
        <f>EM13*IF(OR($C13=38,$G13=38),0,1)</f>
        <v/>
      </c>
      <c r="EN14">
        <f>EN13*IF(OR($C13=39,$G13=39),0,1)</f>
        <v/>
      </c>
      <c r="EO14">
        <f>EO13*IF(OR($C13=40,$G13=40),0,1)</f>
        <v/>
      </c>
      <c r="EP14">
        <f>EP13*IF(OR($C13=41,$G13=41),0,1)</f>
        <v/>
      </c>
      <c r="EQ14">
        <f>EQ13*IF(OR($C13=42,$G13=42),0,1)</f>
        <v/>
      </c>
      <c r="ER14">
        <f>ER13*IF(OR($C13=43,$G13=43),0,1)</f>
        <v/>
      </c>
      <c r="ES14">
        <f>ES13*IF(OR($C13=44,$G13=44),0,1)</f>
        <v/>
      </c>
      <c r="ET14">
        <f>ET13*IF(OR($C13=45,$G13=45),0,1)</f>
        <v/>
      </c>
      <c r="EU14">
        <f>EU13*IF(OR($C13=46,$G13=46),0,1)</f>
        <v/>
      </c>
      <c r="EV14">
        <f>EV13*IF(OR($C13=47,$G13=47),0,1)</f>
        <v/>
      </c>
      <c r="EW14">
        <f>EW13*IF(OR($C13=48,$G13=48),0,1)</f>
        <v/>
      </c>
      <c r="EX14">
        <f>EX13*IF(OR($C13=49,$G13=49),0,1)</f>
        <v/>
      </c>
      <c r="EY14">
        <f>EY13*IF(OR($C13=50,$G13=50),0,1)</f>
        <v/>
      </c>
      <c r="EZ14">
        <f>EZ13*IF(OR($C13=51,$G13=51),0,1)</f>
        <v/>
      </c>
      <c r="FA14">
        <f>FA13*IF(OR($C13=52,$G13=52),0,1)</f>
        <v/>
      </c>
      <c r="FB14">
        <f>FB13*IF(OR($C13=53,$G13=53),0,1)</f>
        <v/>
      </c>
      <c r="FC14">
        <f>FC13*IF(OR($C13=54,$G13=54),0,1)</f>
        <v/>
      </c>
      <c r="FD14">
        <f>FD13*IF(OR($C13=55,$G13=55),0,1)</f>
        <v/>
      </c>
      <c r="FE14">
        <f>FE13*IF(OR($C13=56,$G13=56),0,1)</f>
        <v/>
      </c>
      <c r="FF14">
        <f>FF13*IF(OR($C13=57,$G13=57),0,1)</f>
        <v/>
      </c>
      <c r="FG14">
        <f>FG13*IF(OR($C13=58,$G13=58),0,1)</f>
        <v/>
      </c>
      <c r="FH14">
        <f>FH13*IF(OR($C13=59,$G13=59),0,1)</f>
        <v/>
      </c>
      <c r="FI14">
        <f>FI13*IF(OR($C13=60,$G13=60),0,1)</f>
        <v/>
      </c>
      <c r="FJ14">
        <f>FJ13*IF(OR($C13=61,$G13=61),0,1)</f>
        <v/>
      </c>
      <c r="FK14">
        <f>FK13*IF(OR($C13=62,$G13=62),0,1)</f>
        <v/>
      </c>
      <c r="FL14">
        <f>FL13*IF(OR($C13=63,$G13=63),0,1)</f>
        <v/>
      </c>
      <c r="FM14">
        <f>FM13*IF(OR($C13=64,$G13=64),0,1)</f>
        <v/>
      </c>
      <c r="FN14">
        <f>FN13*IF(OR($C13=65,$G13=65),0,1)</f>
        <v/>
      </c>
      <c r="FO14">
        <f>FO13*IF(OR($C13=66,$G13=66),0,1)</f>
        <v/>
      </c>
      <c r="FP14">
        <f>FP13*IF(OR($C13=67,$G13=67),0,1)</f>
        <v/>
      </c>
      <c r="FQ14">
        <f>FQ13*IF(OR($C13=68,$G13=68),0,1)</f>
        <v/>
      </c>
      <c r="FR14">
        <f>FR13*IF(OR($C13=69,$G13=69),0,1)</f>
        <v/>
      </c>
      <c r="FS14">
        <f>FS13*IF(OR($C13=70,$G13=70),0,1)</f>
        <v/>
      </c>
      <c r="FT14">
        <f>FT13*IF(OR($C13=71,$G13=71),0,1)</f>
        <v/>
      </c>
      <c r="FU14">
        <f>FU13*IF(OR($C13=72,$G13=72),0,1)</f>
        <v/>
      </c>
      <c r="FV14">
        <f>FV13*IF(OR($C13=73,$G13=73),0,1)</f>
        <v/>
      </c>
      <c r="FW14">
        <f>FW13*IF(OR($C13=74,$G13=74),0,1)</f>
        <v/>
      </c>
      <c r="FX14">
        <f>FX13*IF(OR($C13=75,$G13=75),0,1)</f>
        <v/>
      </c>
      <c r="FY14">
        <f>FY13*IF(OR($C13=76,$G13=76),0,1)</f>
        <v/>
      </c>
      <c r="FZ14">
        <f>FZ13*IF(OR($C13=77,$G13=77),0,1)</f>
        <v/>
      </c>
      <c r="GA14">
        <f>GA13*IF(OR($C13=78,$G13=78),0,1)</f>
        <v/>
      </c>
      <c r="GB14">
        <f>GB13*IF(OR($C13=79,$G13=79),0,1)</f>
        <v/>
      </c>
      <c r="GC14">
        <f>GC13*IF(OR($C13=80,$G13=80),0,1)</f>
        <v/>
      </c>
      <c r="GD14">
        <f>GD13*IF(OR($C13=81,$G13=81),0,1)</f>
        <v/>
      </c>
      <c r="GE14">
        <f>GE13*IF(OR($C13=82,$G13=82),0,1)</f>
        <v/>
      </c>
      <c r="GF14">
        <f>GF13*IF(OR($C13=83,$G13=83),0,1)</f>
        <v/>
      </c>
      <c r="GG14">
        <f>GG13*IF(OR($C13=84,$G13=84),0,1)</f>
        <v/>
      </c>
      <c r="GH14">
        <f>GH13*IF(OR($C13=85,$G13=85),0,1)</f>
        <v/>
      </c>
      <c r="GI14">
        <f>GI13*IF(OR($C13=86,$G13=86),0,1)</f>
        <v/>
      </c>
      <c r="GJ14">
        <f>GJ13*IF(OR($C13=87,$G13=87),0,1)</f>
        <v/>
      </c>
      <c r="GK14">
        <f>GK13*IF(OR($C13=88,$G13=88),0,1)</f>
        <v/>
      </c>
      <c r="GL14">
        <f>GL13*IF(OR($C13=89,$G13=89),0,1)</f>
        <v/>
      </c>
      <c r="GM14">
        <f>GM13*IF(OR($C13=90,$G13=90),0,1)</f>
        <v/>
      </c>
      <c r="GN14">
        <f>GN13*IF(OR($C13=91,$G13=91),0,1)</f>
        <v/>
      </c>
      <c r="GO14">
        <f>GO13*IF(OR($C13=92,$G13=92),0,1)</f>
        <v/>
      </c>
      <c r="GP14">
        <f>GP13*IF(OR($C13=93,$G13=93),0,1)</f>
        <v/>
      </c>
      <c r="GQ14">
        <f>GQ13*IF(OR($C13=94,$G13=94),0,1)</f>
        <v/>
      </c>
      <c r="GR14">
        <f>GR13*IF(OR($C13=95,$G13=95),0,1)</f>
        <v/>
      </c>
      <c r="GS14">
        <f>GS13*IF(OR($C13=96,$G13=96),0,1)</f>
        <v/>
      </c>
      <c r="GT14">
        <f>GT13*IF(OR($C13=97,$G13=97),0,1)</f>
        <v/>
      </c>
      <c r="GU14">
        <f>GU13*IF(OR($C13=98,$G13=98),0,1)</f>
        <v/>
      </c>
      <c r="GV14">
        <f>GV13*IF(OR($C13=99,$G13=99),0,1)</f>
        <v/>
      </c>
      <c r="GW14">
        <f>GW13*IF(OR($C13=100,$G13=100),0,1)</f>
        <v/>
      </c>
      <c r="GX14">
        <f>GX13*IF(OR($C13=101,$G13=101),0,1)</f>
        <v/>
      </c>
      <c r="GY14">
        <f>GY13*IF(OR($C13=102,$G13=102),0,1)</f>
        <v/>
      </c>
      <c r="GZ14">
        <f>GZ13*IF(OR($C13=103,$G13=103),0,1)</f>
        <v/>
      </c>
      <c r="HA14">
        <f>HA13*IF(OR($C13=104,$G13=104),0,1)</f>
        <v/>
      </c>
      <c r="HB14">
        <f>HB13*IF(OR($C13=105,$G13=105),0,1)</f>
        <v/>
      </c>
      <c r="HC14">
        <f>HC13*IF(OR($C13=106,$G13=106),0,1)</f>
        <v/>
      </c>
      <c r="HD14">
        <f>HD13*IF(OR($C13=107,$G13=107),0,1)</f>
        <v/>
      </c>
      <c r="HE14">
        <f>HE13*IF(OR($C13=108,$G13=108),0,1)</f>
        <v/>
      </c>
      <c r="HF14">
        <f>HF13*IF(OR($C13=109,$G13=109),0,1)</f>
        <v/>
      </c>
      <c r="HG14">
        <f>HG13*IF(OR($C13=110,$G13=110),0,1)</f>
        <v/>
      </c>
      <c r="HH14">
        <f>HH13*IF(OR($C13=111,$G13=111),0,1)</f>
        <v/>
      </c>
      <c r="HI14">
        <f>HI13*IF(OR($C13=112,$G13=112),0,1)</f>
        <v/>
      </c>
      <c r="HJ14">
        <f>HJ13*IF(OR($C13=113,$G13=113),0,1)</f>
        <v/>
      </c>
      <c r="HK14">
        <f>HK13*IF(OR($C13=114,$G13=114),0,1)</f>
        <v/>
      </c>
      <c r="HL14">
        <f>HL13*IF(OR($C13=115,$G13=115),0,1)</f>
        <v/>
      </c>
      <c r="HM14">
        <f>HM13*IF(OR($C13=116,$G13=116),0,1)</f>
        <v/>
      </c>
      <c r="HN14">
        <f>HN13*IF(OR($C13=117,$G13=117),0,1)</f>
        <v/>
      </c>
      <c r="HO14">
        <f>HO13*IF(OR($C13=118,$G13=118),0,1)</f>
        <v/>
      </c>
      <c r="HP14">
        <f>HP13*IF(OR($C13=119,$G13=119),0,1)</f>
        <v/>
      </c>
      <c r="HQ14">
        <f>HQ13*IF(OR($C13=120,$G13=120),0,1)</f>
        <v/>
      </c>
      <c r="HR14">
        <f>HR13*IF(OR($C13=121,$G13=121),0,1)</f>
        <v/>
      </c>
      <c r="HS14">
        <f>HS13*IF(OR($C13=122,$G13=122),0,1)</f>
        <v/>
      </c>
      <c r="HT14">
        <f>HT13*IF(OR($C13=123,$G13=123),0,1)</f>
        <v/>
      </c>
      <c r="HU14">
        <f>HU13*IF(OR($C13=124,$G13=124),0,1)</f>
        <v/>
      </c>
      <c r="HV14">
        <f>HV13*IF(OR($C13=125,$G13=125),0,1)</f>
        <v/>
      </c>
      <c r="HW14">
        <f>HW13*IF(OR($C13=126,$G13=126),0,1)</f>
        <v/>
      </c>
      <c r="HX14">
        <f>HX13*IF(OR($C13=127,$G13=127),0,1)</f>
        <v/>
      </c>
      <c r="HY14">
        <f>HY13*IF(OR($C13=128,$G13=128),0,1)</f>
        <v/>
      </c>
      <c r="HZ14">
        <f>HZ13*IF(OR($C13=129,$G13=129),0,1)</f>
        <v/>
      </c>
      <c r="IA14">
        <f>IA13*IF(OR($C13=130,$G13=130),0,1)</f>
        <v/>
      </c>
      <c r="IB14">
        <f>IB13*IF(OR($C13=131,$G13=131),0,1)</f>
        <v/>
      </c>
      <c r="IC14">
        <f>IC13*IF(OR($C13=132,$G13=132),0,1)</f>
        <v/>
      </c>
      <c r="ID14">
        <f>ID13*IF(OR($C13=133,$G13=133),0,1)</f>
        <v/>
      </c>
      <c r="IE14">
        <f>IE13*IF(OR($C13=134,$G13=134),0,1)</f>
        <v/>
      </c>
      <c r="IF14">
        <f>IF13*IF(OR($C13=135,$G13=135),0,1)</f>
        <v/>
      </c>
      <c r="IG14">
        <f>IG13*IF(OR($C13=136,$G13=136),0,1)</f>
        <v/>
      </c>
      <c r="IH14">
        <f>IH13*IF(OR($C13=137,$G13=137),0,1)</f>
        <v/>
      </c>
      <c r="II14">
        <f>II13*IF(OR($C13=138,$G13=138),0,1)</f>
        <v/>
      </c>
      <c r="IJ14">
        <f>IJ13*IF(OR($C13=139,$G13=139),0,1)</f>
        <v/>
      </c>
      <c r="IK14">
        <f>IK13*IF(OR($C13=140,$G13=140),0,1)</f>
        <v/>
      </c>
      <c r="IL14">
        <f>IL13*IF(OR($C13=141,$G13=141),0,1)</f>
        <v/>
      </c>
      <c r="IM14">
        <f>IM13*IF(OR($C13=142,$G13=142),0,1)</f>
        <v/>
      </c>
      <c r="IN14">
        <f>IN13*IF(OR($C13=143,$G13=143),0,1)</f>
        <v/>
      </c>
      <c r="IO14">
        <f>IO13*IF(OR($C13=144,$G13=144),0,1)</f>
        <v/>
      </c>
      <c r="IQ14">
        <f>IF('計算A'!D$106=1,DC14,1)</f>
        <v/>
      </c>
      <c r="IR14">
        <f>IF('計算A'!E$106=1,DD14,1)</f>
        <v/>
      </c>
      <c r="IS14">
        <f>IF('計算A'!F$106=1,DE14,1)</f>
        <v/>
      </c>
      <c r="IT14">
        <f>IF('計算A'!G$106=1,DF14,1)</f>
        <v/>
      </c>
      <c r="IU14">
        <f>IF('計算A'!H$106=1,DG14,1)</f>
        <v/>
      </c>
      <c r="IV14">
        <f>IF('計算A'!I$106=1,DH14,1)</f>
        <v/>
      </c>
      <c r="IW14">
        <f>IF('計算A'!J$106=1,DI14,1)</f>
        <v/>
      </c>
      <c r="IX14">
        <f>IF('計算A'!K$106=1,DJ14,1)</f>
        <v/>
      </c>
      <c r="IY14">
        <f>IF('計算A'!L$106=1,DK14,1)</f>
        <v/>
      </c>
      <c r="IZ14">
        <f>IF('計算A'!M$106=1,DL14,1)</f>
        <v/>
      </c>
      <c r="JA14">
        <f>IF('計算A'!N$106=1,DM14,1)</f>
        <v/>
      </c>
      <c r="JB14">
        <f>IF('計算A'!O$106=1,DN14,1)</f>
        <v/>
      </c>
      <c r="JC14">
        <f>IF('計算A'!P$106=1,DO14,1)</f>
        <v/>
      </c>
      <c r="JD14">
        <f>IF('計算A'!Q$106=1,DP14,1)</f>
        <v/>
      </c>
      <c r="JE14">
        <f>IF('計算A'!R$106=1,DQ14,1)</f>
        <v/>
      </c>
      <c r="JF14">
        <f>IF('計算A'!S$106=1,DR14,1)</f>
        <v/>
      </c>
      <c r="JG14">
        <f>IF('計算A'!T$106=1,DS14,1)</f>
        <v/>
      </c>
      <c r="JH14">
        <f>IF('計算A'!U$106=1,DT14,1)</f>
        <v/>
      </c>
      <c r="JI14">
        <f>IF('計算A'!V$106=1,DU14,1)</f>
        <v/>
      </c>
      <c r="JJ14">
        <f>IF('計算A'!W$106=1,DV14,1)</f>
        <v/>
      </c>
      <c r="JK14">
        <f>IF('計算A'!X$106=1,DW14,1)</f>
        <v/>
      </c>
      <c r="JL14">
        <f>IF('計算A'!Y$106=1,DX14,1)</f>
        <v/>
      </c>
      <c r="JM14">
        <f>IF('計算A'!Z$106=1,DY14,1)</f>
        <v/>
      </c>
      <c r="JN14">
        <f>IF('計算A'!AA$106=1,DZ14,1)</f>
        <v/>
      </c>
      <c r="JO14">
        <f>IF('計算A'!AB$106=1,EA14,1)</f>
        <v/>
      </c>
      <c r="JP14">
        <f>IF('計算A'!AC$106=1,EB14,1)</f>
        <v/>
      </c>
      <c r="JQ14">
        <f>IF('計算A'!AD$106=1,EC14,1)</f>
        <v/>
      </c>
      <c r="JR14">
        <f>IF('計算A'!AE$106=1,ED14,1)</f>
        <v/>
      </c>
      <c r="JS14">
        <f>IF('計算A'!AF$106=1,EE14,1)</f>
        <v/>
      </c>
      <c r="JT14">
        <f>IF('計算A'!AG$106=1,EF14,1)</f>
        <v/>
      </c>
      <c r="JU14">
        <f>IF('計算A'!AH$106=1,EG14,1)</f>
        <v/>
      </c>
      <c r="JV14">
        <f>IF('計算A'!AI$106=1,EH14,1)</f>
        <v/>
      </c>
      <c r="JW14">
        <f>IF('計算A'!AJ$106=1,EI14,1)</f>
        <v/>
      </c>
      <c r="JX14">
        <f>IF('計算A'!AK$106=1,EJ14,1)</f>
        <v/>
      </c>
      <c r="JY14">
        <f>IF('計算A'!AL$106=1,EK14,1)</f>
        <v/>
      </c>
      <c r="JZ14">
        <f>IF('計算A'!AM$106=1,EL14,1)</f>
        <v/>
      </c>
      <c r="KA14">
        <f>IF('計算A'!AN$106=1,EM14,1)</f>
        <v/>
      </c>
      <c r="KB14">
        <f>IF('計算A'!AO$106=1,EN14,1)</f>
        <v/>
      </c>
      <c r="KC14">
        <f>IF('計算A'!AP$106=1,EO14,1)</f>
        <v/>
      </c>
      <c r="KD14">
        <f>IF('計算A'!AQ$106=1,EP14,1)</f>
        <v/>
      </c>
      <c r="KE14">
        <f>IF('計算A'!AR$106=1,EQ14,1)</f>
        <v/>
      </c>
      <c r="KF14">
        <f>IF('計算A'!AS$106=1,ER14,1)</f>
        <v/>
      </c>
      <c r="KG14">
        <f>IF('計算A'!AT$106=1,ES14,1)</f>
        <v/>
      </c>
      <c r="KH14">
        <f>IF('計算A'!AU$106=1,ET14,1)</f>
        <v/>
      </c>
      <c r="KI14">
        <f>IF('計算A'!AV$106=1,EU14,1)</f>
        <v/>
      </c>
      <c r="KJ14">
        <f>IF('計算A'!AW$106=1,EV14,1)</f>
        <v/>
      </c>
      <c r="KK14">
        <f>IF('計算A'!AX$106=1,EW14,1)</f>
        <v/>
      </c>
      <c r="KL14">
        <f>IF('計算A'!AY$106=1,EX14,1)</f>
        <v/>
      </c>
      <c r="KM14">
        <f>IF('計算A'!AZ$106=1,EY14,1)</f>
        <v/>
      </c>
      <c r="KN14">
        <f>IF('計算A'!BA$106=1,EZ14,1)</f>
        <v/>
      </c>
      <c r="KO14">
        <f>IF('計算A'!BB$106=1,FA14,1)</f>
        <v/>
      </c>
      <c r="KP14">
        <f>IF('計算A'!BC$106=1,FB14,1)</f>
        <v/>
      </c>
      <c r="KQ14">
        <f>IF('計算A'!BD$106=1,FC14,1)</f>
        <v/>
      </c>
      <c r="KR14">
        <f>IF('計算A'!BE$106=1,FD14,1)</f>
        <v/>
      </c>
      <c r="KS14">
        <f>IF('計算A'!BF$106=1,FE14,1)</f>
        <v/>
      </c>
      <c r="KT14">
        <f>IF('計算A'!BG$106=1,FF14,1)</f>
        <v/>
      </c>
      <c r="KU14">
        <f>IF('計算A'!BH$106=1,FG14,1)</f>
        <v/>
      </c>
      <c r="KV14">
        <f>IF('計算A'!BI$106=1,FH14,1)</f>
        <v/>
      </c>
      <c r="KW14">
        <f>IF('計算A'!BJ$106=1,FI14,1)</f>
        <v/>
      </c>
      <c r="KX14">
        <f>IF('計算A'!BK$106=1,FJ14,1)</f>
        <v/>
      </c>
      <c r="KY14">
        <f>IF('計算A'!BL$106=1,FK14,1)</f>
        <v/>
      </c>
      <c r="KZ14">
        <f>IF('計算A'!BM$106=1,FL14,1)</f>
        <v/>
      </c>
      <c r="LA14">
        <f>IF('計算A'!BN$106=1,FM14,1)</f>
        <v/>
      </c>
      <c r="LB14">
        <f>IF('計算A'!BO$106=1,FN14,1)</f>
        <v/>
      </c>
      <c r="LC14">
        <f>IF('計算A'!BP$106=1,FO14,1)</f>
        <v/>
      </c>
      <c r="LD14">
        <f>IF('計算A'!BQ$106=1,FP14,1)</f>
        <v/>
      </c>
      <c r="LE14">
        <f>IF('計算A'!BR$106=1,FQ14,1)</f>
        <v/>
      </c>
      <c r="LF14">
        <f>IF('計算A'!BS$106=1,FR14,1)</f>
        <v/>
      </c>
      <c r="LG14">
        <f>IF('計算A'!BT$106=1,FS14,1)</f>
        <v/>
      </c>
      <c r="LH14">
        <f>IF('計算A'!BU$106=1,FT14,1)</f>
        <v/>
      </c>
      <c r="LI14">
        <f>IF('計算A'!BV$106=1,FU14,1)</f>
        <v/>
      </c>
      <c r="LJ14">
        <f>IF('計算A'!BW$106=1,FV14,1)</f>
        <v/>
      </c>
      <c r="LK14">
        <f>IF('計算A'!BX$106=1,FW14,1)</f>
        <v/>
      </c>
      <c r="LL14">
        <f>IF('計算A'!BY$106=1,FX14,1)</f>
        <v/>
      </c>
      <c r="LM14">
        <f>IF('計算A'!BZ$106=1,FY14,1)</f>
        <v/>
      </c>
      <c r="LN14">
        <f>IF('計算A'!CA$106=1,FZ14,1)</f>
        <v/>
      </c>
      <c r="LO14">
        <f>IF('計算A'!CB$106=1,GA14,1)</f>
        <v/>
      </c>
      <c r="LP14">
        <f>IF('計算A'!CC$106=1,GB14,1)</f>
        <v/>
      </c>
      <c r="LQ14">
        <f>IF('計算A'!CD$106=1,GC14,1)</f>
        <v/>
      </c>
      <c r="LR14">
        <f>IF('計算A'!CE$106=1,GD14,1)</f>
        <v/>
      </c>
      <c r="LS14">
        <f>IF('計算A'!CF$106=1,GE14,1)</f>
        <v/>
      </c>
      <c r="LT14">
        <f>IF('計算A'!CG$106=1,GF14,1)</f>
        <v/>
      </c>
      <c r="LU14">
        <f>IF('計算A'!CH$106=1,GG14,1)</f>
        <v/>
      </c>
      <c r="LV14">
        <f>IF('計算A'!CI$106=1,GH14,1)</f>
        <v/>
      </c>
      <c r="LW14">
        <f>IF('計算A'!CJ$106=1,GI14,1)</f>
        <v/>
      </c>
      <c r="LX14">
        <f>IF('計算A'!CK$106=1,GJ14,1)</f>
        <v/>
      </c>
      <c r="LY14">
        <f>IF('計算A'!CL$106=1,GK14,1)</f>
        <v/>
      </c>
      <c r="LZ14">
        <f>IF('計算A'!CM$106=1,GL14,1)</f>
        <v/>
      </c>
      <c r="MA14">
        <f>IF('計算A'!CN$106=1,GM14,1)</f>
        <v/>
      </c>
      <c r="MB14">
        <f>IF('計算A'!CO$106=1,GN14,1)</f>
        <v/>
      </c>
      <c r="MC14">
        <f>IF('計算A'!CP$106=1,GO14,1)</f>
        <v/>
      </c>
      <c r="MD14">
        <f>IF('計算A'!CQ$106=1,GP14,1)</f>
        <v/>
      </c>
      <c r="ME14">
        <f>IF('計算A'!CR$106=1,GQ14,1)</f>
        <v/>
      </c>
      <c r="MF14">
        <f>IF('計算A'!CS$106=1,GR14,1)</f>
        <v/>
      </c>
      <c r="MG14">
        <f>IF('計算A'!CT$106=1,GS14,1)</f>
        <v/>
      </c>
      <c r="MH14">
        <f>IF('計算A'!CU$106=1,GT14,1)</f>
        <v/>
      </c>
      <c r="MI14">
        <f>IF('計算A'!CV$106=1,GU14,1)</f>
        <v/>
      </c>
      <c r="MJ14">
        <f>IF('計算A'!CW$106=1,GV14,1)</f>
        <v/>
      </c>
      <c r="MK14">
        <f>IF('計算A'!CX$106=1,GW14,1)</f>
        <v/>
      </c>
      <c r="ML14">
        <f>IF('計算A'!CY$106=1,GX14,1)</f>
        <v/>
      </c>
      <c r="MM14">
        <f>IF('計算A'!CZ$106=1,GY14,1)</f>
        <v/>
      </c>
      <c r="MN14">
        <f>IF('計算A'!DA$106=1,GZ14,1)</f>
        <v/>
      </c>
      <c r="MO14">
        <f>IF('計算A'!DB$106=1,HA14,1)</f>
        <v/>
      </c>
      <c r="MP14">
        <f>IF('計算A'!DC$106=1,HB14,1)</f>
        <v/>
      </c>
      <c r="MQ14">
        <f>IF('計算A'!DD$106=1,HC14,1)</f>
        <v/>
      </c>
      <c r="MR14">
        <f>IF('計算A'!DE$106=1,HD14,1)</f>
        <v/>
      </c>
      <c r="MS14">
        <f>IF('計算A'!DF$106=1,HE14,1)</f>
        <v/>
      </c>
      <c r="MT14">
        <f>IF('計算A'!DG$106=1,HF14,1)</f>
        <v/>
      </c>
      <c r="MU14">
        <f>IF('計算A'!DH$106=1,HG14,1)</f>
        <v/>
      </c>
      <c r="MV14">
        <f>IF('計算A'!DI$106=1,HH14,1)</f>
        <v/>
      </c>
      <c r="MW14">
        <f>IF('計算A'!DJ$106=1,HI14,1)</f>
        <v/>
      </c>
      <c r="MX14">
        <f>IF('計算A'!DK$106=1,HJ14,1)</f>
        <v/>
      </c>
      <c r="MY14">
        <f>IF('計算A'!DL$106=1,HK14,1)</f>
        <v/>
      </c>
      <c r="MZ14">
        <f>IF('計算A'!DM$106=1,HL14,1)</f>
        <v/>
      </c>
      <c r="NA14">
        <f>IF('計算A'!DN$106=1,HM14,1)</f>
        <v/>
      </c>
      <c r="NB14">
        <f>IF('計算A'!DO$106=1,HN14,1)</f>
        <v/>
      </c>
      <c r="NC14">
        <f>IF('計算A'!DP$106=1,HO14,1)</f>
        <v/>
      </c>
      <c r="ND14">
        <f>IF('計算A'!DQ$106=1,HP14,1)</f>
        <v/>
      </c>
      <c r="NE14">
        <f>IF('計算A'!DR$106=1,HQ14,1)</f>
        <v/>
      </c>
      <c r="NF14">
        <f>IF('計算A'!DS$106=1,HR14,1)</f>
        <v/>
      </c>
      <c r="NG14">
        <f>IF('計算A'!DT$106=1,HS14,1)</f>
        <v/>
      </c>
      <c r="NH14">
        <f>IF('計算A'!DU$106=1,HT14,1)</f>
        <v/>
      </c>
      <c r="NI14">
        <f>IF('計算A'!DV$106=1,HU14,1)</f>
        <v/>
      </c>
      <c r="NJ14">
        <f>IF('計算A'!DW$106=1,HV14,1)</f>
        <v/>
      </c>
      <c r="NK14">
        <f>IF('計算A'!DX$106=1,HW14,1)</f>
        <v/>
      </c>
      <c r="NL14">
        <f>IF('計算A'!DY$106=1,HX14,1)</f>
        <v/>
      </c>
      <c r="NM14">
        <f>IF('計算A'!DZ$106=1,HY14,1)</f>
        <v/>
      </c>
      <c r="NN14">
        <f>IF('計算A'!EA$106=1,HZ14,1)</f>
        <v/>
      </c>
      <c r="NO14">
        <f>IF('計算A'!EB$106=1,IA14,1)</f>
        <v/>
      </c>
      <c r="NP14">
        <f>IF('計算A'!EC$106=1,IB14,1)</f>
        <v/>
      </c>
      <c r="NQ14">
        <f>IF('計算A'!ED$106=1,IC14,1)</f>
        <v/>
      </c>
      <c r="NR14">
        <f>IF('計算A'!EE$106=1,ID14,1)</f>
        <v/>
      </c>
      <c r="NS14">
        <f>IF('計算A'!EF$106=1,IE14,1)</f>
        <v/>
      </c>
      <c r="NT14">
        <f>IF('計算A'!EG$106=1,IF14,1)</f>
        <v/>
      </c>
      <c r="NU14">
        <f>IF('計算A'!EH$106=1,IG14,1)</f>
        <v/>
      </c>
      <c r="NV14">
        <f>IF('計算A'!EI$106=1,IH14,1)</f>
        <v/>
      </c>
      <c r="NW14">
        <f>IF('計算A'!EJ$106=1,II14,1)</f>
        <v/>
      </c>
      <c r="NX14">
        <f>IF('計算A'!EK$106=1,IJ14,1)</f>
        <v/>
      </c>
      <c r="NY14">
        <f>IF('計算A'!EL$106=1,IK14,1)</f>
        <v/>
      </c>
      <c r="NZ14">
        <f>IF('計算A'!EM$106=1,IL14,1)</f>
        <v/>
      </c>
      <c r="OA14">
        <f>IF('計算A'!EN$106=1,IM14,1)</f>
        <v/>
      </c>
      <c r="OB14">
        <f>IF('計算A'!EO$106=1,IN14,1)</f>
        <v/>
      </c>
      <c r="OC14">
        <f>IF('計算A'!EP$106=1,IO14,1)</f>
        <v/>
      </c>
      <c r="OD14" t="n">
        <v>1</v>
      </c>
      <c r="OF14">
        <f>IF($B14=0,1000000,IF(INDEX('計算A'!$D$60:$EQ$104,$B14,1)*DB14=1,IF(AND($E14=2,IQ14=0),1000000,IF($I14&gt;0,IF(1=$J14,IF(OR(AND(1=$I14+1,OR($K14&lt;&gt;'計算A'!$A$3,'計算A'!$A$4=0)),AND(1=$I14-1,OR(1&lt;&gt;'計算A'!$A$3,'計算A'!$A$4=0))),0,IF(1=$K14,200000,ABS(1-$K14)*100)),100000+ABS(1-$J14)*1000+10)+'計算A'!D$5*50+IF(AND($E14=1,IQ14=0),25,0),INDEX('計算A'!D$110:D$114,$F14+1)+IF(AND($E14=1,IQ14=0),1000,0)+IF($H14=1,(IF('計算A'!D$117=1,INDEX('計算A'!E$10:E$54,$B14),0))*500,0)-IF(AND($L14=1,'計算A'!D$117=1,DC14=0),300,0))),1000000))</f>
        <v/>
      </c>
      <c r="OG14">
        <f>IF($B14=0,1000000,IF(INDEX('計算A'!$D$60:$EQ$104,$B14,2)*DC14=1,IF(AND($E14=2,IR14=0),1000000,IF($I14&gt;0,IF(1=$J14,IF(OR(AND(2=$I14+1,OR($K14&lt;&gt;'計算A'!$A$3,'計算A'!$A$4=0)),AND(2=$I14-1,OR(2&lt;&gt;'計算A'!$A$3,'計算A'!$A$4=0))),0,IF(2=$K14,200000,ABS(2-$K14)*100)),100000+ABS(1-$J14)*1000+20)+'計算A'!E$5*50+IF(AND($E14=1,IR14=0),25,0),INDEX('計算A'!E$110:E$114,$F14+1)+IF(AND($E14=1,IR14=0),1000,0)+IF($H14=1,(IF('計算A'!D$117=1,INDEX('計算A'!D$10:D$54,$B14),0)+IF('計算A'!E$117=1,INDEX('計算A'!F$10:F$54,$B14),0))*500,0)-IF(AND('計算A'!D$117=1,UB14&gt;0),300,0)-IF(AND($L14=1,'計算A'!E$117=1,DD14=0),300,0))),1000000))</f>
        <v/>
      </c>
      <c r="OH14">
        <f>IF($B14=0,1000000,IF(INDEX('計算A'!$D$60:$EQ$104,$B14,3)*DD14=1,IF(AND($E14=2,IS14=0),1000000,IF($I14&gt;0,IF(1=$J14,IF(OR(AND(3=$I14+1,OR($K14&lt;&gt;'計算A'!$A$3,'計算A'!$A$4=0)),AND(3=$I14-1,OR(3&lt;&gt;'計算A'!$A$3,'計算A'!$A$4=0))),0,IF(3=$K14,200000,ABS(3-$K14)*100)),100000+ABS(1-$J14)*1000+30)+'計算A'!F$5*50+IF(AND($E14=1,IS14=0),25,0),INDEX('計算A'!F$110:F$114,$F14+1)+IF(AND($E14=1,IS14=0),1000,0)+IF($H14=1,(IF('計算A'!E$117=1,INDEX('計算A'!E$10:E$54,$B14),0)+IF('計算A'!F$117=1,INDEX('計算A'!G$10:G$54,$B14),0))*500,0)-IF(AND('計算A'!E$117=1,UC14&gt;0),300,0)-IF(AND($L14=1,'計算A'!F$117=1,DE14=0),300,0))),1000000))</f>
        <v/>
      </c>
      <c r="OI14">
        <f>IF($B14=0,1000000,IF(INDEX('計算A'!$D$60:$EQ$104,$B14,4)*DE14=1,IF(AND($E14=2,IT14=0),1000000,IF($I14&gt;0,IF(1=$J14,IF(OR(AND(4=$I14+1,OR($K14&lt;&gt;'計算A'!$A$3,'計算A'!$A$4=0)),AND(4=$I14-1,OR(4&lt;&gt;'計算A'!$A$3,'計算A'!$A$4=0))),0,IF(4=$K14,200000,ABS(4-$K14)*100)),100000+ABS(1-$J14)*1000+40)+'計算A'!G$5*50+IF(AND($E14=1,IT14=0),25,0),INDEX('計算A'!G$110:G$114,$F14+1)+IF(AND($E14=1,IT14=0),1000,0)+IF($H14=1,(IF('計算A'!F$117=1,INDEX('計算A'!F$10:F$54,$B14),0)+IF('計算A'!G$117=1,INDEX('計算A'!H$10:H$54,$B14),0))*500,0)-IF(AND('計算A'!F$117=1,UD14&gt;0),300,0)-IF(AND($L14=1,'計算A'!G$117=1,DF14=0),300,0))),1000000))</f>
        <v/>
      </c>
      <c r="OJ14">
        <f>IF($B14=0,1000000,IF(INDEX('計算A'!$D$60:$EQ$104,$B14,5)*DF14=1,IF(AND($E14=2,IU14=0),1000000,IF($I14&gt;0,IF(1=$J14,IF(OR(AND(5=$I14+1,OR($K14&lt;&gt;'計算A'!$A$3,'計算A'!$A$4=0)),AND(5=$I14-1,OR(5&lt;&gt;'計算A'!$A$3,'計算A'!$A$4=0))),0,IF(5=$K14,200000,ABS(5-$K14)*100)),100000+ABS(1-$J14)*1000+50)+'計算A'!H$5*50+IF(AND($E14=1,IU14=0),25,0),INDEX('計算A'!H$110:H$114,$F14+1)+IF(AND($E14=1,IU14=0),1000,0)+IF($H14=1,(IF('計算A'!G$117=1,INDEX('計算A'!G$10:G$54,$B14),0)+IF('計算A'!H$117=1,INDEX('計算A'!I$10:I$54,$B14),0))*500,0)-IF(AND('計算A'!G$117=1,UE14&gt;0),300,0)-IF(AND($L14=1,'計算A'!H$117=1,DG14=0),300,0))),1000000))</f>
        <v/>
      </c>
      <c r="OK14">
        <f>IF($B14=0,1000000,IF(INDEX('計算A'!$D$60:$EQ$104,$B14,6)*DG14=1,IF(AND($E14=2,IV14=0),1000000,IF($I14&gt;0,IF(1=$J14,IF(OR(AND(6=$I14+1,OR($K14&lt;&gt;'計算A'!$A$3,'計算A'!$A$4=0)),AND(6=$I14-1,OR(6&lt;&gt;'計算A'!$A$3,'計算A'!$A$4=0))),0,IF(6=$K14,200000,ABS(6-$K14)*100)),100000+ABS(1-$J14)*1000+60)+'計算A'!I$5*50+IF(AND($E14=1,IV14=0),25,0),INDEX('計算A'!I$110:I$114,$F14+1)+IF(AND($E14=1,IV14=0),1000,0)+IF($H14=1,(IF('計算A'!H$117=1,INDEX('計算A'!H$10:H$54,$B14),0)+IF('計算A'!I$117=1,INDEX('計算A'!J$10:J$54,$B14),0))*500,0)-IF(AND('計算A'!H$117=1,UF14&gt;0),300,0)-IF(AND($L14=1,'計算A'!I$117=1,DH14=0),300,0))),1000000))</f>
        <v/>
      </c>
      <c r="OL14">
        <f>IF($B14=0,1000000,IF(INDEX('計算A'!$D$60:$EQ$104,$B14,7)*DH14=1,IF(AND($E14=2,IW14=0),1000000,IF($I14&gt;0,IF(1=$J14,IF(OR(AND(7=$I14+1,OR($K14&lt;&gt;'計算A'!$A$3,'計算A'!$A$4=0)),AND(7=$I14-1,OR(7&lt;&gt;'計算A'!$A$3,'計算A'!$A$4=0))),0,IF(7=$K14,200000,ABS(7-$K14)*100)),100000+ABS(1-$J14)*1000+70)+'計算A'!J$5*50+IF(AND($E14=1,IW14=0),25,0),INDEX('計算A'!J$110:J$114,$F14+1)+IF(AND($E14=1,IW14=0),1000,0)+IF($H14=1,(IF('計算A'!I$117=1,INDEX('計算A'!I$10:I$54,$B14),0)+IF('計算A'!J$117=1,INDEX('計算A'!K$10:K$54,$B14),0))*500,0)-IF(AND('計算A'!I$117=1,UG14&gt;0),300,0)-IF(AND($L14=1,'計算A'!J$117=1,DI14=0),300,0))),1000000))</f>
        <v/>
      </c>
      <c r="OM14">
        <f>IF($B14=0,1000000,IF(INDEX('計算A'!$D$60:$EQ$104,$B14,8)*DI14=1,IF(AND($E14=2,IX14=0),1000000,IF($I14&gt;0,IF(1=$J14,IF(OR(AND(8=$I14+1,OR($K14&lt;&gt;'計算A'!$A$3,'計算A'!$A$4=0)),AND(8=$I14-1,OR(8&lt;&gt;'計算A'!$A$3,'計算A'!$A$4=0))),0,IF(8=$K14,200000,ABS(8-$K14)*100)),100000+ABS(1-$J14)*1000+80)+'計算A'!K$5*50+IF(AND($E14=1,IX14=0),25,0),INDEX('計算A'!K$110:K$114,$F14+1)+IF(AND($E14=1,IX14=0),1000,0)+IF($H14=1,(IF('計算A'!J$117=1,INDEX('計算A'!J$10:J$54,$B14),0)+IF('計算A'!K$117=1,INDEX('計算A'!L$10:L$54,$B14),0))*500,0)-IF(AND('計算A'!J$117=1,UH14&gt;0),300,0)-IF(AND($L14=1,'計算A'!K$117=1,DJ14=0),300,0))),1000000))</f>
        <v/>
      </c>
      <c r="ON14">
        <f>IF($B14=0,1000000,IF(INDEX('計算A'!$D$60:$EQ$104,$B14,9)*DJ14=1,IF(AND($E14=2,IY14=0),1000000,IF($I14&gt;0,IF(1=$J14,IF(OR(AND(9=$I14+1,OR($K14&lt;&gt;'計算A'!$A$3,'計算A'!$A$4=0)),AND(9=$I14-1,OR(9&lt;&gt;'計算A'!$A$3,'計算A'!$A$4=0))),0,IF(9=$K14,200000,ABS(9-$K14)*100)),100000+ABS(1-$J14)*1000+90)+'計算A'!L$5*50+IF(AND($E14=1,IY14=0),25,0),INDEX('計算A'!L$110:L$114,$F14+1)+IF(AND($E14=1,IY14=0),1000,0)+IF($H14=1,(IF('計算A'!K$117=1,INDEX('計算A'!K$10:K$54,$B14),0)+IF('計算A'!L$117=1,INDEX('計算A'!M$10:M$54,$B14),0))*500,0)-IF(AND('計算A'!K$117=1,UI14&gt;0),300,0)-IF(AND($L14=1,'計算A'!L$117=1,DK14=0),300,0))),1000000))</f>
        <v/>
      </c>
      <c r="OO14">
        <f>IF($B14=0,1000000,IF(INDEX('計算A'!$D$60:$EQ$104,$B14,10)*DK14=1,IF(AND($E14=2,IZ14=0),1000000,IF($I14&gt;0,IF(1=$J14,IF(OR(AND(10=$I14+1,OR($K14&lt;&gt;'計算A'!$A$3,'計算A'!$A$4=0)),AND(10=$I14-1,OR(10&lt;&gt;'計算A'!$A$3,'計算A'!$A$4=0))),0,IF(10=$K14,200000,ABS(10-$K14)*100)),100000+ABS(1-$J14)*1000+100)+'計算A'!M$5*50+IF(AND($E14=1,IZ14=0),25,0),INDEX('計算A'!M$110:M$114,$F14+1)+IF(AND($E14=1,IZ14=0),1000,0)+IF($H14=1,(IF('計算A'!L$117=1,INDEX('計算A'!L$10:L$54,$B14),0)+IF('計算A'!M$117=1,INDEX('計算A'!N$10:N$54,$B14),0))*500,0)-IF(AND('計算A'!L$117=1,UJ14&gt;0),300,0)-IF(AND($L14=1,'計算A'!M$117=1,DL14=0),300,0))),1000000))</f>
        <v/>
      </c>
      <c r="OP14">
        <f>IF($B14=0,1000000,IF(INDEX('計算A'!$D$60:$EQ$104,$B14,11)*DL14=1,IF(AND($E14=2,JA14=0),1000000,IF($I14&gt;0,IF(1=$J14,IF(OR(AND(11=$I14+1,OR($K14&lt;&gt;'計算A'!$A$3,'計算A'!$A$4=0)),AND(11=$I14-1,OR(11&lt;&gt;'計算A'!$A$3,'計算A'!$A$4=0))),0,IF(11=$K14,200000,ABS(11-$K14)*100)),100000+ABS(1-$J14)*1000+110)+'計算A'!N$5*50+IF(AND($E14=1,JA14=0),25,0),INDEX('計算A'!N$110:N$114,$F14+1)+IF(AND($E14=1,JA14=0),1000,0)+IF($H14=1,(IF('計算A'!M$117=1,INDEX('計算A'!M$10:M$54,$B14),0)+IF('計算A'!N$117=1,INDEX('計算A'!O$10:O$54,$B14),0))*500,0)-IF(AND('計算A'!M$117=1,UK14&gt;0),300,0)-IF(AND($L14=1,'計算A'!N$117=1,DM14=0),300,0))),1000000))</f>
        <v/>
      </c>
      <c r="OQ14">
        <f>IF($B14=0,1000000,IF(INDEX('計算A'!$D$60:$EQ$104,$B14,12)*DM14=1,IF(AND($E14=2,JB14=0),1000000,IF($I14&gt;0,IF(1=$J14,IF(OR(AND(12=$I14+1,OR($K14&lt;&gt;'計算A'!$A$3,'計算A'!$A$4=0)),AND(12=$I14-1,OR(12&lt;&gt;'計算A'!$A$3,'計算A'!$A$4=0))),0,IF(12=$K14,200000,ABS(12-$K14)*100)),100000+ABS(1-$J14)*1000+120)+'計算A'!O$5*50+IF(AND($E14=1,JB14=0),25,0),INDEX('計算A'!O$110:O$114,$F14+1)+IF(AND($E14=1,JB14=0),1000,0)+IF($H14=1,(IF('計算A'!N$117=1,INDEX('計算A'!N$10:N$54,$B14),0)+IF('計算A'!O$117=1,INDEX('計算A'!P$10:P$54,$B14),0))*500,0)-IF(AND('計算A'!N$117=1,UL14&gt;0),300,0)-IF(AND($L14=1,'計算A'!O$117=1,DN14=0),300,0))),1000000))</f>
        <v/>
      </c>
      <c r="OR14">
        <f>IF($B14=0,1000000,IF(INDEX('計算A'!$D$60:$EQ$104,$B14,13)*DN14=1,IF(AND($E14=2,JC14=0),1000000,IF($I14&gt;0,IF(1=$J14,IF(OR(AND(13=$I14+1,OR($K14&lt;&gt;'計算A'!$A$3,'計算A'!$A$4=0)),AND(13=$I14-1,OR(13&lt;&gt;'計算A'!$A$3,'計算A'!$A$4=0))),0,IF(13=$K14,200000,ABS(13-$K14)*100)),100000+ABS(1-$J14)*1000+130)+'計算A'!P$5*50+IF(AND($E14=1,JC14=0),25,0),INDEX('計算A'!P$110:P$114,$F14+1)+IF(AND($E14=1,JC14=0),1000,0)+IF($H14=1,(IF('計算A'!O$117=1,INDEX('計算A'!O$10:O$54,$B14),0)+IF('計算A'!P$117=1,INDEX('計算A'!Q$10:Q$54,$B14),0))*500,0)-IF(AND('計算A'!O$117=1,UM14&gt;0),300,0)-IF(AND($L14=1,'計算A'!P$117=1,DO14=0),300,0))),1000000))</f>
        <v/>
      </c>
      <c r="OS14">
        <f>IF($B14=0,1000000,IF(INDEX('計算A'!$D$60:$EQ$104,$B14,14)*DO14=1,IF(AND($E14=2,JD14=0),1000000,IF($I14&gt;0,IF(1=$J14,IF(OR(AND(14=$I14+1,OR($K14&lt;&gt;'計算A'!$A$3,'計算A'!$A$4=0)),AND(14=$I14-1,OR(14&lt;&gt;'計算A'!$A$3,'計算A'!$A$4=0))),0,IF(14=$K14,200000,ABS(14-$K14)*100)),100000+ABS(1-$J14)*1000+140)+'計算A'!Q$5*50+IF(AND($E14=1,JD14=0),25,0),INDEX('計算A'!Q$110:Q$114,$F14+1)+IF(AND($E14=1,JD14=0),1000,0)+IF($H14=1,(IF('計算A'!P$117=1,INDEX('計算A'!P$10:P$54,$B14),0)+IF('計算A'!Q$117=1,INDEX('計算A'!R$10:R$54,$B14),0))*500,0)-IF(AND('計算A'!P$117=1,UN14&gt;0),300,0)-IF(AND($L14=1,'計算A'!Q$117=1,DP14=0),300,0))),1000000))</f>
        <v/>
      </c>
      <c r="OT14">
        <f>IF($B14=0,1000000,IF(INDEX('計算A'!$D$60:$EQ$104,$B14,15)*DP14=1,IF(AND($E14=2,JE14=0),1000000,IF($I14&gt;0,IF(1=$J14,IF(OR(AND(15=$I14+1,OR($K14&lt;&gt;'計算A'!$A$3,'計算A'!$A$4=0)),AND(15=$I14-1,OR(15&lt;&gt;'計算A'!$A$3,'計算A'!$A$4=0))),0,IF(15=$K14,200000,ABS(15-$K14)*100)),100000+ABS(1-$J14)*1000+150)+'計算A'!R$5*50+IF(AND($E14=1,JE14=0),25,0),INDEX('計算A'!R$110:R$114,$F14+1)+IF(AND($E14=1,JE14=0),1000,0)+IF($H14=1,(IF('計算A'!Q$117=1,INDEX('計算A'!Q$10:Q$54,$B14),0)+IF('計算A'!R$117=1,INDEX('計算A'!S$10:S$54,$B14),0))*500,0)-IF(AND('計算A'!Q$117=1,UO14&gt;0),300,0)-IF(AND($L14=1,'計算A'!R$117=1,DQ14=0),300,0))),1000000))</f>
        <v/>
      </c>
      <c r="OU14">
        <f>IF($B14=0,1000000,IF(INDEX('計算A'!$D$60:$EQ$104,$B14,16)*DQ14=1,IF(AND($E14=2,JF14=0),1000000,IF($I14&gt;0,IF(1=$J14,IF(OR(AND(16=$I14+1,OR($K14&lt;&gt;'計算A'!$A$3,'計算A'!$A$4=0)),AND(16=$I14-1,OR(16&lt;&gt;'計算A'!$A$3,'計算A'!$A$4=0))),0,IF(16=$K14,200000,ABS(16-$K14)*100)),100000+ABS(1-$J14)*1000+160)+'計算A'!S$5*50+IF(AND($E14=1,JF14=0),25,0),INDEX('計算A'!S$110:S$114,$F14+1)+IF(AND($E14=1,JF14=0),1000,0)+IF($H14=1,(IF('計算A'!R$117=1,INDEX('計算A'!R$10:R$54,$B14),0)+IF('計算A'!S$117=1,INDEX('計算A'!T$10:T$54,$B14),0))*500,0)-IF(AND('計算A'!R$117=1,UP14&gt;0),300,0)-IF(AND($L14=1,'計算A'!S$117=1,DR14=0),300,0))),1000000))</f>
        <v/>
      </c>
      <c r="OV14">
        <f>IF($B14=0,1000000,IF(INDEX('計算A'!$D$60:$EQ$104,$B14,17)*DR14=1,IF(AND($E14=2,JG14=0),1000000,IF($I14&gt;0,IF(1=$J14,IF(OR(AND(17=$I14+1,OR($K14&lt;&gt;'計算A'!$A$3,'計算A'!$A$4=0)),AND(17=$I14-1,OR(17&lt;&gt;'計算A'!$A$3,'計算A'!$A$4=0))),0,IF(17=$K14,200000,ABS(17-$K14)*100)),100000+ABS(1-$J14)*1000+170)+'計算A'!T$5*50+IF(AND($E14=1,JG14=0),25,0),INDEX('計算A'!T$110:T$114,$F14+1)+IF(AND($E14=1,JG14=0),1000,0)+IF($H14=1,(IF('計算A'!S$117=1,INDEX('計算A'!S$10:S$54,$B14),0)+IF('計算A'!T$117=1,INDEX('計算A'!U$10:U$54,$B14),0))*500,0)-IF(AND('計算A'!S$117=1,UQ14&gt;0),300,0)-IF(AND($L14=1,'計算A'!T$117=1,DS14=0),300,0))),1000000))</f>
        <v/>
      </c>
      <c r="OW14">
        <f>IF($B14=0,1000000,IF(INDEX('計算A'!$D$60:$EQ$104,$B14,18)*DS14=1,IF(AND($E14=2,JH14=0),1000000,IF($I14&gt;0,IF(1=$J14,IF(OR(AND(18=$I14+1,OR($K14&lt;&gt;'計算A'!$A$3,'計算A'!$A$4=0)),AND(18=$I14-1,OR(18&lt;&gt;'計算A'!$A$3,'計算A'!$A$4=0))),0,IF(18=$K14,200000,ABS(18-$K14)*100)),100000+ABS(1-$J14)*1000+180)+'計算A'!U$5*50+IF(AND($E14=1,JH14=0),25,0),INDEX('計算A'!U$110:U$114,$F14+1)+IF(AND($E14=1,JH14=0),1000,0)+IF($H14=1,(IF('計算A'!T$117=1,INDEX('計算A'!T$10:T$54,$B14),0)+IF('計算A'!U$117=1,INDEX('計算A'!V$10:V$54,$B14),0))*500,0)-IF(AND('計算A'!T$117=1,UR14&gt;0),300,0)-IF(AND($L14=1,'計算A'!U$117=1,DT14=0),300,0))),1000000))</f>
        <v/>
      </c>
      <c r="OX14">
        <f>IF($B14=0,1000000,IF(INDEX('計算A'!$D$60:$EQ$104,$B14,19)*DT14=1,IF(AND($E14=2,JI14=0),1000000,IF($I14&gt;0,IF(1=$J14,IF(OR(AND(19=$I14+1,OR($K14&lt;&gt;'計算A'!$A$3,'計算A'!$A$4=0)),AND(19=$I14-1,OR(19&lt;&gt;'計算A'!$A$3,'計算A'!$A$4=0))),0,IF(19=$K14,200000,ABS(19-$K14)*100)),100000+ABS(1-$J14)*1000+190)+'計算A'!V$5*50+IF(AND($E14=1,JI14=0),25,0),INDEX('計算A'!V$110:V$114,$F14+1)+IF(AND($E14=1,JI14=0),1000,0)+IF($H14=1,(IF('計算A'!U$117=1,INDEX('計算A'!U$10:U$54,$B14),0)+IF('計算A'!V$117=1,INDEX('計算A'!W$10:W$54,$B14),0))*500,0)-IF(AND('計算A'!U$117=1,US14&gt;0),300,0)-IF(AND($L14=1,'計算A'!V$117=1,DU14=0),300,0))),1000000))</f>
        <v/>
      </c>
      <c r="OY14">
        <f>IF($B14=0,1000000,IF(INDEX('計算A'!$D$60:$EQ$104,$B14,20)*DU14=1,IF(AND($E14=2,JJ14=0),1000000,IF($I14&gt;0,IF(1=$J14,IF(OR(AND(20=$I14+1,OR($K14&lt;&gt;'計算A'!$A$3,'計算A'!$A$4=0)),AND(20=$I14-1,OR(20&lt;&gt;'計算A'!$A$3,'計算A'!$A$4=0))),0,IF(20=$K14,200000,ABS(20-$K14)*100)),100000+ABS(1-$J14)*1000+200)+'計算A'!W$5*50+IF(AND($E14=1,JJ14=0),25,0),INDEX('計算A'!W$110:W$114,$F14+1)+IF(AND($E14=1,JJ14=0),1000,0)+IF($H14=1,(IF('計算A'!V$117=1,INDEX('計算A'!V$10:V$54,$B14),0)+IF('計算A'!W$117=1,INDEX('計算A'!X$10:X$54,$B14),0))*500,0)-IF(AND('計算A'!V$117=1,UT14&gt;0),300,0)-IF(AND($L14=1,'計算A'!W$117=1,DV14=0),300,0))),1000000))</f>
        <v/>
      </c>
      <c r="OZ14">
        <f>IF($B14=0,1000000,IF(INDEX('計算A'!$D$60:$EQ$104,$B14,21)*DV14=1,IF(AND($E14=2,JK14=0),1000000,IF($I14&gt;0,IF(1=$J14,IF(OR(AND(21=$I14+1,OR($K14&lt;&gt;'計算A'!$A$3,'計算A'!$A$4=0)),AND(21=$I14-1,OR(21&lt;&gt;'計算A'!$A$3,'計算A'!$A$4=0))),0,IF(21=$K14,200000,ABS(21-$K14)*100)),100000+ABS(1-$J14)*1000+210)+'計算A'!X$5*50+IF(AND($E14=1,JK14=0),25,0),INDEX('計算A'!X$110:X$114,$F14+1)+IF(AND($E14=1,JK14=0),1000,0)+IF($H14=1,(IF('計算A'!W$117=1,INDEX('計算A'!W$10:W$54,$B14),0)+IF('計算A'!X$117=1,INDEX('計算A'!Y$10:Y$54,$B14),0))*500,0)-IF(AND('計算A'!W$117=1,UU14&gt;0),300,0)-IF(AND($L14=1,'計算A'!X$117=1,DW14=0),300,0))),1000000))</f>
        <v/>
      </c>
      <c r="PA14">
        <f>IF($B14=0,1000000,IF(INDEX('計算A'!$D$60:$EQ$104,$B14,22)*DW14=1,IF(AND($E14=2,JL14=0),1000000,IF($I14&gt;0,IF(1=$J14,IF(OR(AND(22=$I14+1,OR($K14&lt;&gt;'計算A'!$A$3,'計算A'!$A$4=0)),AND(22=$I14-1,OR(22&lt;&gt;'計算A'!$A$3,'計算A'!$A$4=0))),0,IF(22=$K14,200000,ABS(22-$K14)*100)),100000+ABS(1-$J14)*1000+220)+'計算A'!Y$5*50+IF(AND($E14=1,JL14=0),25,0),INDEX('計算A'!Y$110:Y$114,$F14+1)+IF(AND($E14=1,JL14=0),1000,0)+IF($H14=1,(IF('計算A'!X$117=1,INDEX('計算A'!X$10:X$54,$B14),0)+IF('計算A'!Y$117=1,INDEX('計算A'!Z$10:Z$54,$B14),0))*500,0)-IF(AND('計算A'!X$117=1,UV14&gt;0),300,0)-IF(AND($L14=1,'計算A'!Y$117=1,DX14=0),300,0))),1000000))</f>
        <v/>
      </c>
      <c r="PB14">
        <f>IF($B14=0,1000000,IF(INDEX('計算A'!$D$60:$EQ$104,$B14,23)*DX14=1,IF(AND($E14=2,JM14=0),1000000,IF($I14&gt;0,IF(1=$J14,IF(OR(AND(23=$I14+1,OR($K14&lt;&gt;'計算A'!$A$3,'計算A'!$A$4=0)),AND(23=$I14-1,OR(23&lt;&gt;'計算A'!$A$3,'計算A'!$A$4=0))),0,IF(23=$K14,200000,ABS(23-$K14)*100)),100000+ABS(1-$J14)*1000+230)+'計算A'!Z$5*50+IF(AND($E14=1,JM14=0),25,0),INDEX('計算A'!Z$110:Z$114,$F14+1)+IF(AND($E14=1,JM14=0),1000,0)+IF($H14=1,(IF('計算A'!Y$117=1,INDEX('計算A'!Y$10:Y$54,$B14),0)+IF('計算A'!Z$117=1,INDEX('計算A'!AA$10:AA$54,$B14),0))*500,0)-IF(AND('計算A'!Y$117=1,UW14&gt;0),300,0)-IF(AND($L14=1,'計算A'!Z$117=1,DY14=0),300,0))),1000000))</f>
        <v/>
      </c>
      <c r="PC14">
        <f>IF($B14=0,1000000,IF(INDEX('計算A'!$D$60:$EQ$104,$B14,24)*DY14=1,IF(AND($E14=2,JN14=0),1000000,IF($I14&gt;0,IF(1=$J14,IF(OR(AND(24=$I14+1,OR($K14&lt;&gt;'計算A'!$A$3,'計算A'!$A$4=0)),AND(24=$I14-1,OR(24&lt;&gt;'計算A'!$A$3,'計算A'!$A$4=0))),0,IF(24=$K14,200000,ABS(24-$K14)*100)),100000+ABS(1-$J14)*1000+240)+'計算A'!AA$5*50+IF(AND($E14=1,JN14=0),25,0),INDEX('計算A'!AA$110:AA$114,$F14+1)+IF(AND($E14=1,JN14=0),1000,0)+IF($H14=1,(IF('計算A'!Z$117=1,INDEX('計算A'!Z$10:Z$54,$B14),0))*500,0)-IF(AND('計算A'!Z$117=1,UX14&gt;0),300,0))),1000000))</f>
        <v/>
      </c>
      <c r="PD14">
        <f>IF($B14=0,1000000,IF(INDEX('計算A'!$D$60:$EQ$104,$B14,25)*DZ14=1,IF(AND($E14=2,JO14=0),1000000,IF($I14&gt;0,IF(2=$J14,IF(OR(AND(25=$I14+1,OR($K14&lt;&gt;'計算A'!$A$3,'計算A'!$A$4=0)),AND(25=$I14-1,OR(1&lt;&gt;'計算A'!$A$3,'計算A'!$A$4=0))),0,IF(1=$K14,200000,ABS(1-$K14)*100)),100000+ABS(2-$J14)*1000+10)+'計算A'!AB$5*50+IF(AND($E14=1,JO14=0),25,0),INDEX('計算A'!AB$110:AB$114,$F14+1)+IF(AND($E14=1,JO14=0),1000,0)+IF($H14=1,(IF('計算A'!AB$117=1,INDEX('計算A'!AC$10:AC$54,$B14),0))*500,0)-IF(AND($L14=1,'計算A'!AB$117=1,EA14=0),300,0))),1000000))</f>
        <v/>
      </c>
      <c r="PE14">
        <f>IF($B14=0,1000000,IF(INDEX('計算A'!$D$60:$EQ$104,$B14,26)*EA14=1,IF(AND($E14=2,JP14=0),1000000,IF($I14&gt;0,IF(2=$J14,IF(OR(AND(26=$I14+1,OR($K14&lt;&gt;'計算A'!$A$3,'計算A'!$A$4=0)),AND(26=$I14-1,OR(2&lt;&gt;'計算A'!$A$3,'計算A'!$A$4=0))),0,IF(2=$K14,200000,ABS(2-$K14)*100)),100000+ABS(2-$J14)*1000+20)+'計算A'!AC$5*50+IF(AND($E14=1,JP14=0),25,0),INDEX('計算A'!AC$110:AC$114,$F14+1)+IF(AND($E14=1,JP14=0),1000,0)+IF($H14=1,(IF('計算A'!AB$117=1,INDEX('計算A'!AB$10:AB$54,$B14),0)+IF('計算A'!AC$117=1,INDEX('計算A'!AD$10:AD$54,$B14),0))*500,0)-IF(AND('計算A'!AB$117=1,UZ14&gt;0),300,0)-IF(AND($L14=1,'計算A'!AC$117=1,EB14=0),300,0))),1000000))</f>
        <v/>
      </c>
      <c r="PF14">
        <f>IF($B14=0,1000000,IF(INDEX('計算A'!$D$60:$EQ$104,$B14,27)*EB14=1,IF(AND($E14=2,JQ14=0),1000000,IF($I14&gt;0,IF(2=$J14,IF(OR(AND(27=$I14+1,OR($K14&lt;&gt;'計算A'!$A$3,'計算A'!$A$4=0)),AND(27=$I14-1,OR(3&lt;&gt;'計算A'!$A$3,'計算A'!$A$4=0))),0,IF(3=$K14,200000,ABS(3-$K14)*100)),100000+ABS(2-$J14)*1000+30)+'計算A'!AD$5*50+IF(AND($E14=1,JQ14=0),25,0),INDEX('計算A'!AD$110:AD$114,$F14+1)+IF(AND($E14=1,JQ14=0),1000,0)+IF($H14=1,(IF('計算A'!AC$117=1,INDEX('計算A'!AC$10:AC$54,$B14),0)+IF('計算A'!AD$117=1,INDEX('計算A'!AE$10:AE$54,$B14),0))*500,0)-IF(AND('計算A'!AC$117=1,VA14&gt;0),300,0)-IF(AND($L14=1,'計算A'!AD$117=1,EC14=0),300,0))),1000000))</f>
        <v/>
      </c>
      <c r="PG14">
        <f>IF($B14=0,1000000,IF(INDEX('計算A'!$D$60:$EQ$104,$B14,28)*EC14=1,IF(AND($E14=2,JR14=0),1000000,IF($I14&gt;0,IF(2=$J14,IF(OR(AND(28=$I14+1,OR($K14&lt;&gt;'計算A'!$A$3,'計算A'!$A$4=0)),AND(28=$I14-1,OR(4&lt;&gt;'計算A'!$A$3,'計算A'!$A$4=0))),0,IF(4=$K14,200000,ABS(4-$K14)*100)),100000+ABS(2-$J14)*1000+40)+'計算A'!AE$5*50+IF(AND($E14=1,JR14=0),25,0),INDEX('計算A'!AE$110:AE$114,$F14+1)+IF(AND($E14=1,JR14=0),1000,0)+IF($H14=1,(IF('計算A'!AD$117=1,INDEX('計算A'!AD$10:AD$54,$B14),0)+IF('計算A'!AE$117=1,INDEX('計算A'!AF$10:AF$54,$B14),0))*500,0)-IF(AND('計算A'!AD$117=1,VB14&gt;0),300,0)-IF(AND($L14=1,'計算A'!AE$117=1,ED14=0),300,0))),1000000))</f>
        <v/>
      </c>
      <c r="PH14">
        <f>IF($B14=0,1000000,IF(INDEX('計算A'!$D$60:$EQ$104,$B14,29)*ED14=1,IF(AND($E14=2,JS14=0),1000000,IF($I14&gt;0,IF(2=$J14,IF(OR(AND(29=$I14+1,OR($K14&lt;&gt;'計算A'!$A$3,'計算A'!$A$4=0)),AND(29=$I14-1,OR(5&lt;&gt;'計算A'!$A$3,'計算A'!$A$4=0))),0,IF(5=$K14,200000,ABS(5-$K14)*100)),100000+ABS(2-$J14)*1000+50)+'計算A'!AF$5*50+IF(AND($E14=1,JS14=0),25,0),INDEX('計算A'!AF$110:AF$114,$F14+1)+IF(AND($E14=1,JS14=0),1000,0)+IF($H14=1,(IF('計算A'!AE$117=1,INDEX('計算A'!AE$10:AE$54,$B14),0)+IF('計算A'!AF$117=1,INDEX('計算A'!AG$10:AG$54,$B14),0))*500,0)-IF(AND('計算A'!AE$117=1,VC14&gt;0),300,0)-IF(AND($L14=1,'計算A'!AF$117=1,EE14=0),300,0))),1000000))</f>
        <v/>
      </c>
      <c r="PI14">
        <f>IF($B14=0,1000000,IF(INDEX('計算A'!$D$60:$EQ$104,$B14,30)*EE14=1,IF(AND($E14=2,JT14=0),1000000,IF($I14&gt;0,IF(2=$J14,IF(OR(AND(30=$I14+1,OR($K14&lt;&gt;'計算A'!$A$3,'計算A'!$A$4=0)),AND(30=$I14-1,OR(6&lt;&gt;'計算A'!$A$3,'計算A'!$A$4=0))),0,IF(6=$K14,200000,ABS(6-$K14)*100)),100000+ABS(2-$J14)*1000+60)+'計算A'!AG$5*50+IF(AND($E14=1,JT14=0),25,0),INDEX('計算A'!AG$110:AG$114,$F14+1)+IF(AND($E14=1,JT14=0),1000,0)+IF($H14=1,(IF('計算A'!AF$117=1,INDEX('計算A'!AF$10:AF$54,$B14),0)+IF('計算A'!AG$117=1,INDEX('計算A'!AH$10:AH$54,$B14),0))*500,0)-IF(AND('計算A'!AF$117=1,VD14&gt;0),300,0)-IF(AND($L14=1,'計算A'!AG$117=1,EF14=0),300,0))),1000000))</f>
        <v/>
      </c>
      <c r="PJ14">
        <f>IF($B14=0,1000000,IF(INDEX('計算A'!$D$60:$EQ$104,$B14,31)*EF14=1,IF(AND($E14=2,JU14=0),1000000,IF($I14&gt;0,IF(2=$J14,IF(OR(AND(31=$I14+1,OR($K14&lt;&gt;'計算A'!$A$3,'計算A'!$A$4=0)),AND(31=$I14-1,OR(7&lt;&gt;'計算A'!$A$3,'計算A'!$A$4=0))),0,IF(7=$K14,200000,ABS(7-$K14)*100)),100000+ABS(2-$J14)*1000+70)+'計算A'!AH$5*50+IF(AND($E14=1,JU14=0),25,0),INDEX('計算A'!AH$110:AH$114,$F14+1)+IF(AND($E14=1,JU14=0),1000,0)+IF($H14=1,(IF('計算A'!AG$117=1,INDEX('計算A'!AG$10:AG$54,$B14),0)+IF('計算A'!AH$117=1,INDEX('計算A'!AI$10:AI$54,$B14),0))*500,0)-IF(AND('計算A'!AG$117=1,VE14&gt;0),300,0)-IF(AND($L14=1,'計算A'!AH$117=1,EG14=0),300,0))),1000000))</f>
        <v/>
      </c>
      <c r="PK14">
        <f>IF($B14=0,1000000,IF(INDEX('計算A'!$D$60:$EQ$104,$B14,32)*EG14=1,IF(AND($E14=2,JV14=0),1000000,IF($I14&gt;0,IF(2=$J14,IF(OR(AND(32=$I14+1,OR($K14&lt;&gt;'計算A'!$A$3,'計算A'!$A$4=0)),AND(32=$I14-1,OR(8&lt;&gt;'計算A'!$A$3,'計算A'!$A$4=0))),0,IF(8=$K14,200000,ABS(8-$K14)*100)),100000+ABS(2-$J14)*1000+80)+'計算A'!AI$5*50+IF(AND($E14=1,JV14=0),25,0),INDEX('計算A'!AI$110:AI$114,$F14+1)+IF(AND($E14=1,JV14=0),1000,0)+IF($H14=1,(IF('計算A'!AH$117=1,INDEX('計算A'!AH$10:AH$54,$B14),0)+IF('計算A'!AI$117=1,INDEX('計算A'!AJ$10:AJ$54,$B14),0))*500,0)-IF(AND('計算A'!AH$117=1,VF14&gt;0),300,0)-IF(AND($L14=1,'計算A'!AI$117=1,EH14=0),300,0))),1000000))</f>
        <v/>
      </c>
      <c r="PL14">
        <f>IF($B14=0,1000000,IF(INDEX('計算A'!$D$60:$EQ$104,$B14,33)*EH14=1,IF(AND($E14=2,JW14=0),1000000,IF($I14&gt;0,IF(2=$J14,IF(OR(AND(33=$I14+1,OR($K14&lt;&gt;'計算A'!$A$3,'計算A'!$A$4=0)),AND(33=$I14-1,OR(9&lt;&gt;'計算A'!$A$3,'計算A'!$A$4=0))),0,IF(9=$K14,200000,ABS(9-$K14)*100)),100000+ABS(2-$J14)*1000+90)+'計算A'!AJ$5*50+IF(AND($E14=1,JW14=0),25,0),INDEX('計算A'!AJ$110:AJ$114,$F14+1)+IF(AND($E14=1,JW14=0),1000,0)+IF($H14=1,(IF('計算A'!AI$117=1,INDEX('計算A'!AI$10:AI$54,$B14),0)+IF('計算A'!AJ$117=1,INDEX('計算A'!AK$10:AK$54,$B14),0))*500,0)-IF(AND('計算A'!AI$117=1,VG14&gt;0),300,0)-IF(AND($L14=1,'計算A'!AJ$117=1,EI14=0),300,0))),1000000))</f>
        <v/>
      </c>
      <c r="PM14">
        <f>IF($B14=0,1000000,IF(INDEX('計算A'!$D$60:$EQ$104,$B14,34)*EI14=1,IF(AND($E14=2,JX14=0),1000000,IF($I14&gt;0,IF(2=$J14,IF(OR(AND(34=$I14+1,OR($K14&lt;&gt;'計算A'!$A$3,'計算A'!$A$4=0)),AND(34=$I14-1,OR(10&lt;&gt;'計算A'!$A$3,'計算A'!$A$4=0))),0,IF(10=$K14,200000,ABS(10-$K14)*100)),100000+ABS(2-$J14)*1000+100)+'計算A'!AK$5*50+IF(AND($E14=1,JX14=0),25,0),INDEX('計算A'!AK$110:AK$114,$F14+1)+IF(AND($E14=1,JX14=0),1000,0)+IF($H14=1,(IF('計算A'!AJ$117=1,INDEX('計算A'!AJ$10:AJ$54,$B14),0)+IF('計算A'!AK$117=1,INDEX('計算A'!AL$10:AL$54,$B14),0))*500,0)-IF(AND('計算A'!AJ$117=1,VH14&gt;0),300,0)-IF(AND($L14=1,'計算A'!AK$117=1,EJ14=0),300,0))),1000000))</f>
        <v/>
      </c>
      <c r="PN14">
        <f>IF($B14=0,1000000,IF(INDEX('計算A'!$D$60:$EQ$104,$B14,35)*EJ14=1,IF(AND($E14=2,JY14=0),1000000,IF($I14&gt;0,IF(2=$J14,IF(OR(AND(35=$I14+1,OR($K14&lt;&gt;'計算A'!$A$3,'計算A'!$A$4=0)),AND(35=$I14-1,OR(11&lt;&gt;'計算A'!$A$3,'計算A'!$A$4=0))),0,IF(11=$K14,200000,ABS(11-$K14)*100)),100000+ABS(2-$J14)*1000+110)+'計算A'!AL$5*50+IF(AND($E14=1,JY14=0),25,0),INDEX('計算A'!AL$110:AL$114,$F14+1)+IF(AND($E14=1,JY14=0),1000,0)+IF($H14=1,(IF('計算A'!AK$117=1,INDEX('計算A'!AK$10:AK$54,$B14),0)+IF('計算A'!AL$117=1,INDEX('計算A'!AM$10:AM$54,$B14),0))*500,0)-IF(AND('計算A'!AK$117=1,VI14&gt;0),300,0)-IF(AND($L14=1,'計算A'!AL$117=1,EK14=0),300,0))),1000000))</f>
        <v/>
      </c>
      <c r="PO14">
        <f>IF($B14=0,1000000,IF(INDEX('計算A'!$D$60:$EQ$104,$B14,36)*EK14=1,IF(AND($E14=2,JZ14=0),1000000,IF($I14&gt;0,IF(2=$J14,IF(OR(AND(36=$I14+1,OR($K14&lt;&gt;'計算A'!$A$3,'計算A'!$A$4=0)),AND(36=$I14-1,OR(12&lt;&gt;'計算A'!$A$3,'計算A'!$A$4=0))),0,IF(12=$K14,200000,ABS(12-$K14)*100)),100000+ABS(2-$J14)*1000+120)+'計算A'!AM$5*50+IF(AND($E14=1,JZ14=0),25,0),INDEX('計算A'!AM$110:AM$114,$F14+1)+IF(AND($E14=1,JZ14=0),1000,0)+IF($H14=1,(IF('計算A'!AL$117=1,INDEX('計算A'!AL$10:AL$54,$B14),0)+IF('計算A'!AM$117=1,INDEX('計算A'!AN$10:AN$54,$B14),0))*500,0)-IF(AND('計算A'!AL$117=1,VJ14&gt;0),300,0)-IF(AND($L14=1,'計算A'!AM$117=1,EL14=0),300,0))),1000000))</f>
        <v/>
      </c>
      <c r="PP14">
        <f>IF($B14=0,1000000,IF(INDEX('計算A'!$D$60:$EQ$104,$B14,37)*EL14=1,IF(AND($E14=2,KA14=0),1000000,IF($I14&gt;0,IF(2=$J14,IF(OR(AND(37=$I14+1,OR($K14&lt;&gt;'計算A'!$A$3,'計算A'!$A$4=0)),AND(37=$I14-1,OR(13&lt;&gt;'計算A'!$A$3,'計算A'!$A$4=0))),0,IF(13=$K14,200000,ABS(13-$K14)*100)),100000+ABS(2-$J14)*1000+130)+'計算A'!AN$5*50+IF(AND($E14=1,KA14=0),25,0),INDEX('計算A'!AN$110:AN$114,$F14+1)+IF(AND($E14=1,KA14=0),1000,0)+IF($H14=1,(IF('計算A'!AM$117=1,INDEX('計算A'!AM$10:AM$54,$B14),0)+IF('計算A'!AN$117=1,INDEX('計算A'!AO$10:AO$54,$B14),0))*500,0)-IF(AND('計算A'!AM$117=1,VK14&gt;0),300,0)-IF(AND($L14=1,'計算A'!AN$117=1,EM14=0),300,0))),1000000))</f>
        <v/>
      </c>
      <c r="PQ14">
        <f>IF($B14=0,1000000,IF(INDEX('計算A'!$D$60:$EQ$104,$B14,38)*EM14=1,IF(AND($E14=2,KB14=0),1000000,IF($I14&gt;0,IF(2=$J14,IF(OR(AND(38=$I14+1,OR($K14&lt;&gt;'計算A'!$A$3,'計算A'!$A$4=0)),AND(38=$I14-1,OR(14&lt;&gt;'計算A'!$A$3,'計算A'!$A$4=0))),0,IF(14=$K14,200000,ABS(14-$K14)*100)),100000+ABS(2-$J14)*1000+140)+'計算A'!AO$5*50+IF(AND($E14=1,KB14=0),25,0),INDEX('計算A'!AO$110:AO$114,$F14+1)+IF(AND($E14=1,KB14=0),1000,0)+IF($H14=1,(IF('計算A'!AN$117=1,INDEX('計算A'!AN$10:AN$54,$B14),0)+IF('計算A'!AO$117=1,INDEX('計算A'!AP$10:AP$54,$B14),0))*500,0)-IF(AND('計算A'!AN$117=1,VL14&gt;0),300,0)-IF(AND($L14=1,'計算A'!AO$117=1,EN14=0),300,0))),1000000))</f>
        <v/>
      </c>
      <c r="PR14">
        <f>IF($B14=0,1000000,IF(INDEX('計算A'!$D$60:$EQ$104,$B14,39)*EN14=1,IF(AND($E14=2,KC14=0),1000000,IF($I14&gt;0,IF(2=$J14,IF(OR(AND(39=$I14+1,OR($K14&lt;&gt;'計算A'!$A$3,'計算A'!$A$4=0)),AND(39=$I14-1,OR(15&lt;&gt;'計算A'!$A$3,'計算A'!$A$4=0))),0,IF(15=$K14,200000,ABS(15-$K14)*100)),100000+ABS(2-$J14)*1000+150)+'計算A'!AP$5*50+IF(AND($E14=1,KC14=0),25,0),INDEX('計算A'!AP$110:AP$114,$F14+1)+IF(AND($E14=1,KC14=0),1000,0)+IF($H14=1,(IF('計算A'!AO$117=1,INDEX('計算A'!AO$10:AO$54,$B14),0)+IF('計算A'!AP$117=1,INDEX('計算A'!AQ$10:AQ$54,$B14),0))*500,0)-IF(AND('計算A'!AO$117=1,VM14&gt;0),300,0)-IF(AND($L14=1,'計算A'!AP$117=1,EO14=0),300,0))),1000000))</f>
        <v/>
      </c>
      <c r="PS14">
        <f>IF($B14=0,1000000,IF(INDEX('計算A'!$D$60:$EQ$104,$B14,40)*EO14=1,IF(AND($E14=2,KD14=0),1000000,IF($I14&gt;0,IF(2=$J14,IF(OR(AND(40=$I14+1,OR($K14&lt;&gt;'計算A'!$A$3,'計算A'!$A$4=0)),AND(40=$I14-1,OR(16&lt;&gt;'計算A'!$A$3,'計算A'!$A$4=0))),0,IF(16=$K14,200000,ABS(16-$K14)*100)),100000+ABS(2-$J14)*1000+160)+'計算A'!AQ$5*50+IF(AND($E14=1,KD14=0),25,0),INDEX('計算A'!AQ$110:AQ$114,$F14+1)+IF(AND($E14=1,KD14=0),1000,0)+IF($H14=1,(IF('計算A'!AP$117=1,INDEX('計算A'!AP$10:AP$54,$B14),0)+IF('計算A'!AQ$117=1,INDEX('計算A'!AR$10:AR$54,$B14),0))*500,0)-IF(AND('計算A'!AP$117=1,VN14&gt;0),300,0)-IF(AND($L14=1,'計算A'!AQ$117=1,EP14=0),300,0))),1000000))</f>
        <v/>
      </c>
      <c r="PT14">
        <f>IF($B14=0,1000000,IF(INDEX('計算A'!$D$60:$EQ$104,$B14,41)*EP14=1,IF(AND($E14=2,KE14=0),1000000,IF($I14&gt;0,IF(2=$J14,IF(OR(AND(41=$I14+1,OR($K14&lt;&gt;'計算A'!$A$3,'計算A'!$A$4=0)),AND(41=$I14-1,OR(17&lt;&gt;'計算A'!$A$3,'計算A'!$A$4=0))),0,IF(17=$K14,200000,ABS(17-$K14)*100)),100000+ABS(2-$J14)*1000+170)+'計算A'!AR$5*50+IF(AND($E14=1,KE14=0),25,0),INDEX('計算A'!AR$110:AR$114,$F14+1)+IF(AND($E14=1,KE14=0),1000,0)+IF($H14=1,(IF('計算A'!AQ$117=1,INDEX('計算A'!AQ$10:AQ$54,$B14),0)+IF('計算A'!AR$117=1,INDEX('計算A'!AS$10:AS$54,$B14),0))*500,0)-IF(AND('計算A'!AQ$117=1,VO14&gt;0),300,0)-IF(AND($L14=1,'計算A'!AR$117=1,EQ14=0),300,0))),1000000))</f>
        <v/>
      </c>
      <c r="PU14">
        <f>IF($B14=0,1000000,IF(INDEX('計算A'!$D$60:$EQ$104,$B14,42)*EQ14=1,IF(AND($E14=2,KF14=0),1000000,IF($I14&gt;0,IF(2=$J14,IF(OR(AND(42=$I14+1,OR($K14&lt;&gt;'計算A'!$A$3,'計算A'!$A$4=0)),AND(42=$I14-1,OR(18&lt;&gt;'計算A'!$A$3,'計算A'!$A$4=0))),0,IF(18=$K14,200000,ABS(18-$K14)*100)),100000+ABS(2-$J14)*1000+180)+'計算A'!AS$5*50+IF(AND($E14=1,KF14=0),25,0),INDEX('計算A'!AS$110:AS$114,$F14+1)+IF(AND($E14=1,KF14=0),1000,0)+IF($H14=1,(IF('計算A'!AR$117=1,INDEX('計算A'!AR$10:AR$54,$B14),0)+IF('計算A'!AS$117=1,INDEX('計算A'!AT$10:AT$54,$B14),0))*500,0)-IF(AND('計算A'!AR$117=1,VP14&gt;0),300,0)-IF(AND($L14=1,'計算A'!AS$117=1,ER14=0),300,0))),1000000))</f>
        <v/>
      </c>
      <c r="PV14">
        <f>IF($B14=0,1000000,IF(INDEX('計算A'!$D$60:$EQ$104,$B14,43)*ER14=1,IF(AND($E14=2,KG14=0),1000000,IF($I14&gt;0,IF(2=$J14,IF(OR(AND(43=$I14+1,OR($K14&lt;&gt;'計算A'!$A$3,'計算A'!$A$4=0)),AND(43=$I14-1,OR(19&lt;&gt;'計算A'!$A$3,'計算A'!$A$4=0))),0,IF(19=$K14,200000,ABS(19-$K14)*100)),100000+ABS(2-$J14)*1000+190)+'計算A'!AT$5*50+IF(AND($E14=1,KG14=0),25,0),INDEX('計算A'!AT$110:AT$114,$F14+1)+IF(AND($E14=1,KG14=0),1000,0)+IF($H14=1,(IF('計算A'!AS$117=1,INDEX('計算A'!AS$10:AS$54,$B14),0)+IF('計算A'!AT$117=1,INDEX('計算A'!AU$10:AU$54,$B14),0))*500,0)-IF(AND('計算A'!AS$117=1,VQ14&gt;0),300,0)-IF(AND($L14=1,'計算A'!AT$117=1,ES14=0),300,0))),1000000))</f>
        <v/>
      </c>
      <c r="PW14">
        <f>IF($B14=0,1000000,IF(INDEX('計算A'!$D$60:$EQ$104,$B14,44)*ES14=1,IF(AND($E14=2,KH14=0),1000000,IF($I14&gt;0,IF(2=$J14,IF(OR(AND(44=$I14+1,OR($K14&lt;&gt;'計算A'!$A$3,'計算A'!$A$4=0)),AND(44=$I14-1,OR(20&lt;&gt;'計算A'!$A$3,'計算A'!$A$4=0))),0,IF(20=$K14,200000,ABS(20-$K14)*100)),100000+ABS(2-$J14)*1000+200)+'計算A'!AU$5*50+IF(AND($E14=1,KH14=0),25,0),INDEX('計算A'!AU$110:AU$114,$F14+1)+IF(AND($E14=1,KH14=0),1000,0)+IF($H14=1,(IF('計算A'!AT$117=1,INDEX('計算A'!AT$10:AT$54,$B14),0)+IF('計算A'!AU$117=1,INDEX('計算A'!AV$10:AV$54,$B14),0))*500,0)-IF(AND('計算A'!AT$117=1,VR14&gt;0),300,0)-IF(AND($L14=1,'計算A'!AU$117=1,ET14=0),300,0))),1000000))</f>
        <v/>
      </c>
      <c r="PX14">
        <f>IF($B14=0,1000000,IF(INDEX('計算A'!$D$60:$EQ$104,$B14,45)*ET14=1,IF(AND($E14=2,KI14=0),1000000,IF($I14&gt;0,IF(2=$J14,IF(OR(AND(45=$I14+1,OR($K14&lt;&gt;'計算A'!$A$3,'計算A'!$A$4=0)),AND(45=$I14-1,OR(21&lt;&gt;'計算A'!$A$3,'計算A'!$A$4=0))),0,IF(21=$K14,200000,ABS(21-$K14)*100)),100000+ABS(2-$J14)*1000+210)+'計算A'!AV$5*50+IF(AND($E14=1,KI14=0),25,0),INDEX('計算A'!AV$110:AV$114,$F14+1)+IF(AND($E14=1,KI14=0),1000,0)+IF($H14=1,(IF('計算A'!AU$117=1,INDEX('計算A'!AU$10:AU$54,$B14),0)+IF('計算A'!AV$117=1,INDEX('計算A'!AW$10:AW$54,$B14),0))*500,0)-IF(AND('計算A'!AU$117=1,VS14&gt;0),300,0)-IF(AND($L14=1,'計算A'!AV$117=1,EU14=0),300,0))),1000000))</f>
        <v/>
      </c>
      <c r="PY14">
        <f>IF($B14=0,1000000,IF(INDEX('計算A'!$D$60:$EQ$104,$B14,46)*EU14=1,IF(AND($E14=2,KJ14=0),1000000,IF($I14&gt;0,IF(2=$J14,IF(OR(AND(46=$I14+1,OR($K14&lt;&gt;'計算A'!$A$3,'計算A'!$A$4=0)),AND(46=$I14-1,OR(22&lt;&gt;'計算A'!$A$3,'計算A'!$A$4=0))),0,IF(22=$K14,200000,ABS(22-$K14)*100)),100000+ABS(2-$J14)*1000+220)+'計算A'!AW$5*50+IF(AND($E14=1,KJ14=0),25,0),INDEX('計算A'!AW$110:AW$114,$F14+1)+IF(AND($E14=1,KJ14=0),1000,0)+IF($H14=1,(IF('計算A'!AV$117=1,INDEX('計算A'!AV$10:AV$54,$B14),0)+IF('計算A'!AW$117=1,INDEX('計算A'!AX$10:AX$54,$B14),0))*500,0)-IF(AND('計算A'!AV$117=1,VT14&gt;0),300,0)-IF(AND($L14=1,'計算A'!AW$117=1,EV14=0),300,0))),1000000))</f>
        <v/>
      </c>
      <c r="PZ14">
        <f>IF($B14=0,1000000,IF(INDEX('計算A'!$D$60:$EQ$104,$B14,47)*EV14=1,IF(AND($E14=2,KK14=0),1000000,IF($I14&gt;0,IF(2=$J14,IF(OR(AND(47=$I14+1,OR($K14&lt;&gt;'計算A'!$A$3,'計算A'!$A$4=0)),AND(47=$I14-1,OR(23&lt;&gt;'計算A'!$A$3,'計算A'!$A$4=0))),0,IF(23=$K14,200000,ABS(23-$K14)*100)),100000+ABS(2-$J14)*1000+230)+'計算A'!AX$5*50+IF(AND($E14=1,KK14=0),25,0),INDEX('計算A'!AX$110:AX$114,$F14+1)+IF(AND($E14=1,KK14=0),1000,0)+IF($H14=1,(IF('計算A'!AW$117=1,INDEX('計算A'!AW$10:AW$54,$B14),0)+IF('計算A'!AX$117=1,INDEX('計算A'!AY$10:AY$54,$B14),0))*500,0)-IF(AND('計算A'!AW$117=1,VU14&gt;0),300,0)-IF(AND($L14=1,'計算A'!AX$117=1,EW14=0),300,0))),1000000))</f>
        <v/>
      </c>
      <c r="QA14">
        <f>IF($B14=0,1000000,IF(INDEX('計算A'!$D$60:$EQ$104,$B14,48)*EW14=1,IF(AND($E14=2,KL14=0),1000000,IF($I14&gt;0,IF(2=$J14,IF(OR(AND(48=$I14+1,OR($K14&lt;&gt;'計算A'!$A$3,'計算A'!$A$4=0)),AND(48=$I14-1,OR(24&lt;&gt;'計算A'!$A$3,'計算A'!$A$4=0))),0,IF(24=$K14,200000,ABS(24-$K14)*100)),100000+ABS(2-$J14)*1000+240)+'計算A'!AY$5*50+IF(AND($E14=1,KL14=0),25,0),INDEX('計算A'!AY$110:AY$114,$F14+1)+IF(AND($E14=1,KL14=0),1000,0)+IF($H14=1,(IF('計算A'!AX$117=1,INDEX('計算A'!AX$10:AX$54,$B14),0))*500,0)-IF(AND('計算A'!AX$117=1,VV14&gt;0),300,0))),1000000))</f>
        <v/>
      </c>
      <c r="QB14">
        <f>IF($B14=0,1000000,IF(INDEX('計算A'!$D$60:$EQ$104,$B14,49)*EX14=1,IF(AND($E14=2,KM14=0),1000000,IF($I14&gt;0,IF(3=$J14,IF(OR(AND(49=$I14+1,OR($K14&lt;&gt;'計算A'!$A$3,'計算A'!$A$4=0)),AND(49=$I14-1,OR(1&lt;&gt;'計算A'!$A$3,'計算A'!$A$4=0))),0,IF(1=$K14,200000,ABS(1-$K14)*100)),100000+ABS(3-$J14)*1000+10)+'計算A'!AZ$5*50+IF(AND($E14=1,KM14=0),25,0),INDEX('計算A'!AZ$110:AZ$114,$F14+1)+IF(AND($E14=1,KM14=0),1000,0)+IF($H14=1,(IF('計算A'!AZ$117=1,INDEX('計算A'!BA$10:BA$54,$B14),0))*500,0)-IF(AND($L14=1,'計算A'!AZ$117=1,EY14=0),300,0))),1000000))</f>
        <v/>
      </c>
      <c r="QC14">
        <f>IF($B14=0,1000000,IF(INDEX('計算A'!$D$60:$EQ$104,$B14,50)*EY14=1,IF(AND($E14=2,KN14=0),1000000,IF($I14&gt;0,IF(3=$J14,IF(OR(AND(50=$I14+1,OR($K14&lt;&gt;'計算A'!$A$3,'計算A'!$A$4=0)),AND(50=$I14-1,OR(2&lt;&gt;'計算A'!$A$3,'計算A'!$A$4=0))),0,IF(2=$K14,200000,ABS(2-$K14)*100)),100000+ABS(3-$J14)*1000+20)+'計算A'!BA$5*50+IF(AND($E14=1,KN14=0),25,0),INDEX('計算A'!BA$110:BA$114,$F14+1)+IF(AND($E14=1,KN14=0),1000,0)+IF($H14=1,(IF('計算A'!AZ$117=1,INDEX('計算A'!AZ$10:AZ$54,$B14),0)+IF('計算A'!BA$117=1,INDEX('計算A'!BB$10:BB$54,$B14),0))*500,0)-IF(AND('計算A'!AZ$117=1,VX14&gt;0),300,0)-IF(AND($L14=1,'計算A'!BA$117=1,EZ14=0),300,0))),1000000))</f>
        <v/>
      </c>
      <c r="QD14">
        <f>IF($B14=0,1000000,IF(INDEX('計算A'!$D$60:$EQ$104,$B14,51)*EZ14=1,IF(AND($E14=2,KO14=0),1000000,IF($I14&gt;0,IF(3=$J14,IF(OR(AND(51=$I14+1,OR($K14&lt;&gt;'計算A'!$A$3,'計算A'!$A$4=0)),AND(51=$I14-1,OR(3&lt;&gt;'計算A'!$A$3,'計算A'!$A$4=0))),0,IF(3=$K14,200000,ABS(3-$K14)*100)),100000+ABS(3-$J14)*1000+30)+'計算A'!BB$5*50+IF(AND($E14=1,KO14=0),25,0),INDEX('計算A'!BB$110:BB$114,$F14+1)+IF(AND($E14=1,KO14=0),1000,0)+IF($H14=1,(IF('計算A'!BA$117=1,INDEX('計算A'!BA$10:BA$54,$B14),0)+IF('計算A'!BB$117=1,INDEX('計算A'!BC$10:BC$54,$B14),0))*500,0)-IF(AND('計算A'!BA$117=1,VY14&gt;0),300,0)-IF(AND($L14=1,'計算A'!BB$117=1,FA14=0),300,0))),1000000))</f>
        <v/>
      </c>
      <c r="QE14">
        <f>IF($B14=0,1000000,IF(INDEX('計算A'!$D$60:$EQ$104,$B14,52)*FA14=1,IF(AND($E14=2,KP14=0),1000000,IF($I14&gt;0,IF(3=$J14,IF(OR(AND(52=$I14+1,OR($K14&lt;&gt;'計算A'!$A$3,'計算A'!$A$4=0)),AND(52=$I14-1,OR(4&lt;&gt;'計算A'!$A$3,'計算A'!$A$4=0))),0,IF(4=$K14,200000,ABS(4-$K14)*100)),100000+ABS(3-$J14)*1000+40)+'計算A'!BC$5*50+IF(AND($E14=1,KP14=0),25,0),INDEX('計算A'!BC$110:BC$114,$F14+1)+IF(AND($E14=1,KP14=0),1000,0)+IF($H14=1,(IF('計算A'!BB$117=1,INDEX('計算A'!BB$10:BB$54,$B14),0)+IF('計算A'!BC$117=1,INDEX('計算A'!BD$10:BD$54,$B14),0))*500,0)-IF(AND('計算A'!BB$117=1,VZ14&gt;0),300,0)-IF(AND($L14=1,'計算A'!BC$117=1,FB14=0),300,0))),1000000))</f>
        <v/>
      </c>
      <c r="QF14">
        <f>IF($B14=0,1000000,IF(INDEX('計算A'!$D$60:$EQ$104,$B14,53)*FB14=1,IF(AND($E14=2,KQ14=0),1000000,IF($I14&gt;0,IF(3=$J14,IF(OR(AND(53=$I14+1,OR($K14&lt;&gt;'計算A'!$A$3,'計算A'!$A$4=0)),AND(53=$I14-1,OR(5&lt;&gt;'計算A'!$A$3,'計算A'!$A$4=0))),0,IF(5=$K14,200000,ABS(5-$K14)*100)),100000+ABS(3-$J14)*1000+50)+'計算A'!BD$5*50+IF(AND($E14=1,KQ14=0),25,0),INDEX('計算A'!BD$110:BD$114,$F14+1)+IF(AND($E14=1,KQ14=0),1000,0)+IF($H14=1,(IF('計算A'!BC$117=1,INDEX('計算A'!BC$10:BC$54,$B14),0)+IF('計算A'!BD$117=1,INDEX('計算A'!BE$10:BE$54,$B14),0))*500,0)-IF(AND('計算A'!BC$117=1,WA14&gt;0),300,0)-IF(AND($L14=1,'計算A'!BD$117=1,FC14=0),300,0))),1000000))</f>
        <v/>
      </c>
      <c r="QG14">
        <f>IF($B14=0,1000000,IF(INDEX('計算A'!$D$60:$EQ$104,$B14,54)*FC14=1,IF(AND($E14=2,KR14=0),1000000,IF($I14&gt;0,IF(3=$J14,IF(OR(AND(54=$I14+1,OR($K14&lt;&gt;'計算A'!$A$3,'計算A'!$A$4=0)),AND(54=$I14-1,OR(6&lt;&gt;'計算A'!$A$3,'計算A'!$A$4=0))),0,IF(6=$K14,200000,ABS(6-$K14)*100)),100000+ABS(3-$J14)*1000+60)+'計算A'!BE$5*50+IF(AND($E14=1,KR14=0),25,0),INDEX('計算A'!BE$110:BE$114,$F14+1)+IF(AND($E14=1,KR14=0),1000,0)+IF($H14=1,(IF('計算A'!BD$117=1,INDEX('計算A'!BD$10:BD$54,$B14),0)+IF('計算A'!BE$117=1,INDEX('計算A'!BF$10:BF$54,$B14),0))*500,0)-IF(AND('計算A'!BD$117=1,WB14&gt;0),300,0)-IF(AND($L14=1,'計算A'!BE$117=1,FD14=0),300,0))),1000000))</f>
        <v/>
      </c>
      <c r="QH14">
        <f>IF($B14=0,1000000,IF(INDEX('計算A'!$D$60:$EQ$104,$B14,55)*FD14=1,IF(AND($E14=2,KS14=0),1000000,IF($I14&gt;0,IF(3=$J14,IF(OR(AND(55=$I14+1,OR($K14&lt;&gt;'計算A'!$A$3,'計算A'!$A$4=0)),AND(55=$I14-1,OR(7&lt;&gt;'計算A'!$A$3,'計算A'!$A$4=0))),0,IF(7=$K14,200000,ABS(7-$K14)*100)),100000+ABS(3-$J14)*1000+70)+'計算A'!BF$5*50+IF(AND($E14=1,KS14=0),25,0),INDEX('計算A'!BF$110:BF$114,$F14+1)+IF(AND($E14=1,KS14=0),1000,0)+IF($H14=1,(IF('計算A'!BE$117=1,INDEX('計算A'!BE$10:BE$54,$B14),0)+IF('計算A'!BF$117=1,INDEX('計算A'!BG$10:BG$54,$B14),0))*500,0)-IF(AND('計算A'!BE$117=1,WC14&gt;0),300,0)-IF(AND($L14=1,'計算A'!BF$117=1,FE14=0),300,0))),1000000))</f>
        <v/>
      </c>
      <c r="QI14">
        <f>IF($B14=0,1000000,IF(INDEX('計算A'!$D$60:$EQ$104,$B14,56)*FE14=1,IF(AND($E14=2,KT14=0),1000000,IF($I14&gt;0,IF(3=$J14,IF(OR(AND(56=$I14+1,OR($K14&lt;&gt;'計算A'!$A$3,'計算A'!$A$4=0)),AND(56=$I14-1,OR(8&lt;&gt;'計算A'!$A$3,'計算A'!$A$4=0))),0,IF(8=$K14,200000,ABS(8-$K14)*100)),100000+ABS(3-$J14)*1000+80)+'計算A'!BG$5*50+IF(AND($E14=1,KT14=0),25,0),INDEX('計算A'!BG$110:BG$114,$F14+1)+IF(AND($E14=1,KT14=0),1000,0)+IF($H14=1,(IF('計算A'!BF$117=1,INDEX('計算A'!BF$10:BF$54,$B14),0)+IF('計算A'!BG$117=1,INDEX('計算A'!BH$10:BH$54,$B14),0))*500,0)-IF(AND('計算A'!BF$117=1,WD14&gt;0),300,0)-IF(AND($L14=1,'計算A'!BG$117=1,FF14=0),300,0))),1000000))</f>
        <v/>
      </c>
      <c r="QJ14">
        <f>IF($B14=0,1000000,IF(INDEX('計算A'!$D$60:$EQ$104,$B14,57)*FF14=1,IF(AND($E14=2,KU14=0),1000000,IF($I14&gt;0,IF(3=$J14,IF(OR(AND(57=$I14+1,OR($K14&lt;&gt;'計算A'!$A$3,'計算A'!$A$4=0)),AND(57=$I14-1,OR(9&lt;&gt;'計算A'!$A$3,'計算A'!$A$4=0))),0,IF(9=$K14,200000,ABS(9-$K14)*100)),100000+ABS(3-$J14)*1000+90)+'計算A'!BH$5*50+IF(AND($E14=1,KU14=0),25,0),INDEX('計算A'!BH$110:BH$114,$F14+1)+IF(AND($E14=1,KU14=0),1000,0)+IF($H14=1,(IF('計算A'!BG$117=1,INDEX('計算A'!BG$10:BG$54,$B14),0)+IF('計算A'!BH$117=1,INDEX('計算A'!BI$10:BI$54,$B14),0))*500,0)-IF(AND('計算A'!BG$117=1,WE14&gt;0),300,0)-IF(AND($L14=1,'計算A'!BH$117=1,FG14=0),300,0))),1000000))</f>
        <v/>
      </c>
      <c r="QK14">
        <f>IF($B14=0,1000000,IF(INDEX('計算A'!$D$60:$EQ$104,$B14,58)*FG14=1,IF(AND($E14=2,KV14=0),1000000,IF($I14&gt;0,IF(3=$J14,IF(OR(AND(58=$I14+1,OR($K14&lt;&gt;'計算A'!$A$3,'計算A'!$A$4=0)),AND(58=$I14-1,OR(10&lt;&gt;'計算A'!$A$3,'計算A'!$A$4=0))),0,IF(10=$K14,200000,ABS(10-$K14)*100)),100000+ABS(3-$J14)*1000+100)+'計算A'!BI$5*50+IF(AND($E14=1,KV14=0),25,0),INDEX('計算A'!BI$110:BI$114,$F14+1)+IF(AND($E14=1,KV14=0),1000,0)+IF($H14=1,(IF('計算A'!BH$117=1,INDEX('計算A'!BH$10:BH$54,$B14),0)+IF('計算A'!BI$117=1,INDEX('計算A'!BJ$10:BJ$54,$B14),0))*500,0)-IF(AND('計算A'!BH$117=1,WF14&gt;0),300,0)-IF(AND($L14=1,'計算A'!BI$117=1,FH14=0),300,0))),1000000))</f>
        <v/>
      </c>
      <c r="QL14">
        <f>IF($B14=0,1000000,IF(INDEX('計算A'!$D$60:$EQ$104,$B14,59)*FH14=1,IF(AND($E14=2,KW14=0),1000000,IF($I14&gt;0,IF(3=$J14,IF(OR(AND(59=$I14+1,OR($K14&lt;&gt;'計算A'!$A$3,'計算A'!$A$4=0)),AND(59=$I14-1,OR(11&lt;&gt;'計算A'!$A$3,'計算A'!$A$4=0))),0,IF(11=$K14,200000,ABS(11-$K14)*100)),100000+ABS(3-$J14)*1000+110)+'計算A'!BJ$5*50+IF(AND($E14=1,KW14=0),25,0),INDEX('計算A'!BJ$110:BJ$114,$F14+1)+IF(AND($E14=1,KW14=0),1000,0)+IF($H14=1,(IF('計算A'!BI$117=1,INDEX('計算A'!BI$10:BI$54,$B14),0)+IF('計算A'!BJ$117=1,INDEX('計算A'!BK$10:BK$54,$B14),0))*500,0)-IF(AND('計算A'!BI$117=1,WG14&gt;0),300,0)-IF(AND($L14=1,'計算A'!BJ$117=1,FI14=0),300,0))),1000000))</f>
        <v/>
      </c>
      <c r="QM14">
        <f>IF($B14=0,1000000,IF(INDEX('計算A'!$D$60:$EQ$104,$B14,60)*FI14=1,IF(AND($E14=2,KX14=0),1000000,IF($I14&gt;0,IF(3=$J14,IF(OR(AND(60=$I14+1,OR($K14&lt;&gt;'計算A'!$A$3,'計算A'!$A$4=0)),AND(60=$I14-1,OR(12&lt;&gt;'計算A'!$A$3,'計算A'!$A$4=0))),0,IF(12=$K14,200000,ABS(12-$K14)*100)),100000+ABS(3-$J14)*1000+120)+'計算A'!BK$5*50+IF(AND($E14=1,KX14=0),25,0),INDEX('計算A'!BK$110:BK$114,$F14+1)+IF(AND($E14=1,KX14=0),1000,0)+IF($H14=1,(IF('計算A'!BJ$117=1,INDEX('計算A'!BJ$10:BJ$54,$B14),0)+IF('計算A'!BK$117=1,INDEX('計算A'!BL$10:BL$54,$B14),0))*500,0)-IF(AND('計算A'!BJ$117=1,WH14&gt;0),300,0)-IF(AND($L14=1,'計算A'!BK$117=1,FJ14=0),300,0))),1000000))</f>
        <v/>
      </c>
      <c r="QN14">
        <f>IF($B14=0,1000000,IF(INDEX('計算A'!$D$60:$EQ$104,$B14,61)*FJ14=1,IF(AND($E14=2,KY14=0),1000000,IF($I14&gt;0,IF(3=$J14,IF(OR(AND(61=$I14+1,OR($K14&lt;&gt;'計算A'!$A$3,'計算A'!$A$4=0)),AND(61=$I14-1,OR(13&lt;&gt;'計算A'!$A$3,'計算A'!$A$4=0))),0,IF(13=$K14,200000,ABS(13-$K14)*100)),100000+ABS(3-$J14)*1000+130)+'計算A'!BL$5*50+IF(AND($E14=1,KY14=0),25,0),INDEX('計算A'!BL$110:BL$114,$F14+1)+IF(AND($E14=1,KY14=0),1000,0)+IF($H14=1,(IF('計算A'!BK$117=1,INDEX('計算A'!BK$10:BK$54,$B14),0)+IF('計算A'!BL$117=1,INDEX('計算A'!BM$10:BM$54,$B14),0))*500,0)-IF(AND('計算A'!BK$117=1,WI14&gt;0),300,0)-IF(AND($L14=1,'計算A'!BL$117=1,FK14=0),300,0))),1000000))</f>
        <v/>
      </c>
      <c r="QO14">
        <f>IF($B14=0,1000000,IF(INDEX('計算A'!$D$60:$EQ$104,$B14,62)*FK14=1,IF(AND($E14=2,KZ14=0),1000000,IF($I14&gt;0,IF(3=$J14,IF(OR(AND(62=$I14+1,OR($K14&lt;&gt;'計算A'!$A$3,'計算A'!$A$4=0)),AND(62=$I14-1,OR(14&lt;&gt;'計算A'!$A$3,'計算A'!$A$4=0))),0,IF(14=$K14,200000,ABS(14-$K14)*100)),100000+ABS(3-$J14)*1000+140)+'計算A'!BM$5*50+IF(AND($E14=1,KZ14=0),25,0),INDEX('計算A'!BM$110:BM$114,$F14+1)+IF(AND($E14=1,KZ14=0),1000,0)+IF($H14=1,(IF('計算A'!BL$117=1,INDEX('計算A'!BL$10:BL$54,$B14),0)+IF('計算A'!BM$117=1,INDEX('計算A'!BN$10:BN$54,$B14),0))*500,0)-IF(AND('計算A'!BL$117=1,WJ14&gt;0),300,0)-IF(AND($L14=1,'計算A'!BM$117=1,FL14=0),300,0))),1000000))</f>
        <v/>
      </c>
      <c r="QP14">
        <f>IF($B14=0,1000000,IF(INDEX('計算A'!$D$60:$EQ$104,$B14,63)*FL14=1,IF(AND($E14=2,LA14=0),1000000,IF($I14&gt;0,IF(3=$J14,IF(OR(AND(63=$I14+1,OR($K14&lt;&gt;'計算A'!$A$3,'計算A'!$A$4=0)),AND(63=$I14-1,OR(15&lt;&gt;'計算A'!$A$3,'計算A'!$A$4=0))),0,IF(15=$K14,200000,ABS(15-$K14)*100)),100000+ABS(3-$J14)*1000+150)+'計算A'!BN$5*50+IF(AND($E14=1,LA14=0),25,0),INDEX('計算A'!BN$110:BN$114,$F14+1)+IF(AND($E14=1,LA14=0),1000,0)+IF($H14=1,(IF('計算A'!BM$117=1,INDEX('計算A'!BM$10:BM$54,$B14),0)+IF('計算A'!BN$117=1,INDEX('計算A'!BO$10:BO$54,$B14),0))*500,0)-IF(AND('計算A'!BM$117=1,WK14&gt;0),300,0)-IF(AND($L14=1,'計算A'!BN$117=1,FM14=0),300,0))),1000000))</f>
        <v/>
      </c>
      <c r="QQ14">
        <f>IF($B14=0,1000000,IF(INDEX('計算A'!$D$60:$EQ$104,$B14,64)*FM14=1,IF(AND($E14=2,LB14=0),1000000,IF($I14&gt;0,IF(3=$J14,IF(OR(AND(64=$I14+1,OR($K14&lt;&gt;'計算A'!$A$3,'計算A'!$A$4=0)),AND(64=$I14-1,OR(16&lt;&gt;'計算A'!$A$3,'計算A'!$A$4=0))),0,IF(16=$K14,200000,ABS(16-$K14)*100)),100000+ABS(3-$J14)*1000+160)+'計算A'!BO$5*50+IF(AND($E14=1,LB14=0),25,0),INDEX('計算A'!BO$110:BO$114,$F14+1)+IF(AND($E14=1,LB14=0),1000,0)+IF($H14=1,(IF('計算A'!BN$117=1,INDEX('計算A'!BN$10:BN$54,$B14),0)+IF('計算A'!BO$117=1,INDEX('計算A'!BP$10:BP$54,$B14),0))*500,0)-IF(AND('計算A'!BN$117=1,WL14&gt;0),300,0)-IF(AND($L14=1,'計算A'!BO$117=1,FN14=0),300,0))),1000000))</f>
        <v/>
      </c>
      <c r="QR14">
        <f>IF($B14=0,1000000,IF(INDEX('計算A'!$D$60:$EQ$104,$B14,65)*FN14=1,IF(AND($E14=2,LC14=0),1000000,IF($I14&gt;0,IF(3=$J14,IF(OR(AND(65=$I14+1,OR($K14&lt;&gt;'計算A'!$A$3,'計算A'!$A$4=0)),AND(65=$I14-1,OR(17&lt;&gt;'計算A'!$A$3,'計算A'!$A$4=0))),0,IF(17=$K14,200000,ABS(17-$K14)*100)),100000+ABS(3-$J14)*1000+170)+'計算A'!BP$5*50+IF(AND($E14=1,LC14=0),25,0),INDEX('計算A'!BP$110:BP$114,$F14+1)+IF(AND($E14=1,LC14=0),1000,0)+IF($H14=1,(IF('計算A'!BO$117=1,INDEX('計算A'!BO$10:BO$54,$B14),0)+IF('計算A'!BP$117=1,INDEX('計算A'!BQ$10:BQ$54,$B14),0))*500,0)-IF(AND('計算A'!BO$117=1,WM14&gt;0),300,0)-IF(AND($L14=1,'計算A'!BP$117=1,FO14=0),300,0))),1000000))</f>
        <v/>
      </c>
      <c r="QS14">
        <f>IF($B14=0,1000000,IF(INDEX('計算A'!$D$60:$EQ$104,$B14,66)*FO14=1,IF(AND($E14=2,LD14=0),1000000,IF($I14&gt;0,IF(3=$J14,IF(OR(AND(66=$I14+1,OR($K14&lt;&gt;'計算A'!$A$3,'計算A'!$A$4=0)),AND(66=$I14-1,OR(18&lt;&gt;'計算A'!$A$3,'計算A'!$A$4=0))),0,IF(18=$K14,200000,ABS(18-$K14)*100)),100000+ABS(3-$J14)*1000+180)+'計算A'!BQ$5*50+IF(AND($E14=1,LD14=0),25,0),INDEX('計算A'!BQ$110:BQ$114,$F14+1)+IF(AND($E14=1,LD14=0),1000,0)+IF($H14=1,(IF('計算A'!BP$117=1,INDEX('計算A'!BP$10:BP$54,$B14),0)+IF('計算A'!BQ$117=1,INDEX('計算A'!BR$10:BR$54,$B14),0))*500,0)-IF(AND('計算A'!BP$117=1,WN14&gt;0),300,0)-IF(AND($L14=1,'計算A'!BQ$117=1,FP14=0),300,0))),1000000))</f>
        <v/>
      </c>
      <c r="QT14">
        <f>IF($B14=0,1000000,IF(INDEX('計算A'!$D$60:$EQ$104,$B14,67)*FP14=1,IF(AND($E14=2,LE14=0),1000000,IF($I14&gt;0,IF(3=$J14,IF(OR(AND(67=$I14+1,OR($K14&lt;&gt;'計算A'!$A$3,'計算A'!$A$4=0)),AND(67=$I14-1,OR(19&lt;&gt;'計算A'!$A$3,'計算A'!$A$4=0))),0,IF(19=$K14,200000,ABS(19-$K14)*100)),100000+ABS(3-$J14)*1000+190)+'計算A'!BR$5*50+IF(AND($E14=1,LE14=0),25,0),INDEX('計算A'!BR$110:BR$114,$F14+1)+IF(AND($E14=1,LE14=0),1000,0)+IF($H14=1,(IF('計算A'!BQ$117=1,INDEX('計算A'!BQ$10:BQ$54,$B14),0)+IF('計算A'!BR$117=1,INDEX('計算A'!BS$10:BS$54,$B14),0))*500,0)-IF(AND('計算A'!BQ$117=1,WO14&gt;0),300,0)-IF(AND($L14=1,'計算A'!BR$117=1,FQ14=0),300,0))),1000000))</f>
        <v/>
      </c>
      <c r="QU14">
        <f>IF($B14=0,1000000,IF(INDEX('計算A'!$D$60:$EQ$104,$B14,68)*FQ14=1,IF(AND($E14=2,LF14=0),1000000,IF($I14&gt;0,IF(3=$J14,IF(OR(AND(68=$I14+1,OR($K14&lt;&gt;'計算A'!$A$3,'計算A'!$A$4=0)),AND(68=$I14-1,OR(20&lt;&gt;'計算A'!$A$3,'計算A'!$A$4=0))),0,IF(20=$K14,200000,ABS(20-$K14)*100)),100000+ABS(3-$J14)*1000+200)+'計算A'!BS$5*50+IF(AND($E14=1,LF14=0),25,0),INDEX('計算A'!BS$110:BS$114,$F14+1)+IF(AND($E14=1,LF14=0),1000,0)+IF($H14=1,(IF('計算A'!BR$117=1,INDEX('計算A'!BR$10:BR$54,$B14),0)+IF('計算A'!BS$117=1,INDEX('計算A'!BT$10:BT$54,$B14),0))*500,0)-IF(AND('計算A'!BR$117=1,WP14&gt;0),300,0)-IF(AND($L14=1,'計算A'!BS$117=1,FR14=0),300,0))),1000000))</f>
        <v/>
      </c>
      <c r="QV14">
        <f>IF($B14=0,1000000,IF(INDEX('計算A'!$D$60:$EQ$104,$B14,69)*FR14=1,IF(AND($E14=2,LG14=0),1000000,IF($I14&gt;0,IF(3=$J14,IF(OR(AND(69=$I14+1,OR($K14&lt;&gt;'計算A'!$A$3,'計算A'!$A$4=0)),AND(69=$I14-1,OR(21&lt;&gt;'計算A'!$A$3,'計算A'!$A$4=0))),0,IF(21=$K14,200000,ABS(21-$K14)*100)),100000+ABS(3-$J14)*1000+210)+'計算A'!BT$5*50+IF(AND($E14=1,LG14=0),25,0),INDEX('計算A'!BT$110:BT$114,$F14+1)+IF(AND($E14=1,LG14=0),1000,0)+IF($H14=1,(IF('計算A'!BS$117=1,INDEX('計算A'!BS$10:BS$54,$B14),0)+IF('計算A'!BT$117=1,INDEX('計算A'!BU$10:BU$54,$B14),0))*500,0)-IF(AND('計算A'!BS$117=1,WQ14&gt;0),300,0)-IF(AND($L14=1,'計算A'!BT$117=1,FS14=0),300,0))),1000000))</f>
        <v/>
      </c>
      <c r="QW14">
        <f>IF($B14=0,1000000,IF(INDEX('計算A'!$D$60:$EQ$104,$B14,70)*FS14=1,IF(AND($E14=2,LH14=0),1000000,IF($I14&gt;0,IF(3=$J14,IF(OR(AND(70=$I14+1,OR($K14&lt;&gt;'計算A'!$A$3,'計算A'!$A$4=0)),AND(70=$I14-1,OR(22&lt;&gt;'計算A'!$A$3,'計算A'!$A$4=0))),0,IF(22=$K14,200000,ABS(22-$K14)*100)),100000+ABS(3-$J14)*1000+220)+'計算A'!BU$5*50+IF(AND($E14=1,LH14=0),25,0),INDEX('計算A'!BU$110:BU$114,$F14+1)+IF(AND($E14=1,LH14=0),1000,0)+IF($H14=1,(IF('計算A'!BT$117=1,INDEX('計算A'!BT$10:BT$54,$B14),0)+IF('計算A'!BU$117=1,INDEX('計算A'!BV$10:BV$54,$B14),0))*500,0)-IF(AND('計算A'!BT$117=1,WR14&gt;0),300,0)-IF(AND($L14=1,'計算A'!BU$117=1,FT14=0),300,0))),1000000))</f>
        <v/>
      </c>
      <c r="QX14">
        <f>IF($B14=0,1000000,IF(INDEX('計算A'!$D$60:$EQ$104,$B14,71)*FT14=1,IF(AND($E14=2,LI14=0),1000000,IF($I14&gt;0,IF(3=$J14,IF(OR(AND(71=$I14+1,OR($K14&lt;&gt;'計算A'!$A$3,'計算A'!$A$4=0)),AND(71=$I14-1,OR(23&lt;&gt;'計算A'!$A$3,'計算A'!$A$4=0))),0,IF(23=$K14,200000,ABS(23-$K14)*100)),100000+ABS(3-$J14)*1000+230)+'計算A'!BV$5*50+IF(AND($E14=1,LI14=0),25,0),INDEX('計算A'!BV$110:BV$114,$F14+1)+IF(AND($E14=1,LI14=0),1000,0)+IF($H14=1,(IF('計算A'!BU$117=1,INDEX('計算A'!BU$10:BU$54,$B14),0)+IF('計算A'!BV$117=1,INDEX('計算A'!BW$10:BW$54,$B14),0))*500,0)-IF(AND('計算A'!BU$117=1,WS14&gt;0),300,0)-IF(AND($L14=1,'計算A'!BV$117=1,FU14=0),300,0))),1000000))</f>
        <v/>
      </c>
      <c r="QY14">
        <f>IF($B14=0,1000000,IF(INDEX('計算A'!$D$60:$EQ$104,$B14,72)*FU14=1,IF(AND($E14=2,LJ14=0),1000000,IF($I14&gt;0,IF(3=$J14,IF(OR(AND(72=$I14+1,OR($K14&lt;&gt;'計算A'!$A$3,'計算A'!$A$4=0)),AND(72=$I14-1,OR(24&lt;&gt;'計算A'!$A$3,'計算A'!$A$4=0))),0,IF(24=$K14,200000,ABS(24-$K14)*100)),100000+ABS(3-$J14)*1000+240)+'計算A'!BW$5*50+IF(AND($E14=1,LJ14=0),25,0),INDEX('計算A'!BW$110:BW$114,$F14+1)+IF(AND($E14=1,LJ14=0),1000,0)+IF($H14=1,(IF('計算A'!BV$117=1,INDEX('計算A'!BV$10:BV$54,$B14),0))*500,0)-IF(AND('計算A'!BV$117=1,WT14&gt;0),300,0))),1000000))</f>
        <v/>
      </c>
      <c r="QZ14">
        <f>IF($B14=0,1000000,IF(INDEX('計算A'!$D$60:$EQ$104,$B14,73)*FV14=1,IF(AND($E14=2,LK14=0),1000000,IF($I14&gt;0,IF(4=$J14,IF(OR(AND(73=$I14+1,OR($K14&lt;&gt;'計算A'!$A$3,'計算A'!$A$4=0)),AND(73=$I14-1,OR(1&lt;&gt;'計算A'!$A$3,'計算A'!$A$4=0))),0,IF(1=$K14,200000,ABS(1-$K14)*100)),100000+ABS(4-$J14)*1000+10)+'計算A'!BX$5*50+IF(AND($E14=1,LK14=0),25,0),INDEX('計算A'!BX$110:BX$114,$F14+1)+IF(AND($E14=1,LK14=0),1000,0)+IF($H14=1,(IF('計算A'!BX$117=1,INDEX('計算A'!BY$10:BY$54,$B14),0))*500,0)-IF(AND($L14=1,'計算A'!BX$117=1,FW14=0),300,0))),1000000))</f>
        <v/>
      </c>
      <c r="RA14">
        <f>IF($B14=0,1000000,IF(INDEX('計算A'!$D$60:$EQ$104,$B14,74)*FW14=1,IF(AND($E14=2,LL14=0),1000000,IF($I14&gt;0,IF(4=$J14,IF(OR(AND(74=$I14+1,OR($K14&lt;&gt;'計算A'!$A$3,'計算A'!$A$4=0)),AND(74=$I14-1,OR(2&lt;&gt;'計算A'!$A$3,'計算A'!$A$4=0))),0,IF(2=$K14,200000,ABS(2-$K14)*100)),100000+ABS(4-$J14)*1000+20)+'計算A'!BY$5*50+IF(AND($E14=1,LL14=0),25,0),INDEX('計算A'!BY$110:BY$114,$F14+1)+IF(AND($E14=1,LL14=0),1000,0)+IF($H14=1,(IF('計算A'!BX$117=1,INDEX('計算A'!BX$10:BX$54,$B14),0)+IF('計算A'!BY$117=1,INDEX('計算A'!BZ$10:BZ$54,$B14),0))*500,0)-IF(AND('計算A'!BX$117=1,WV14&gt;0),300,0)-IF(AND($L14=1,'計算A'!BY$117=1,FX14=0),300,0))),1000000))</f>
        <v/>
      </c>
      <c r="RB14">
        <f>IF($B14=0,1000000,IF(INDEX('計算A'!$D$60:$EQ$104,$B14,75)*FX14=1,IF(AND($E14=2,LM14=0),1000000,IF($I14&gt;0,IF(4=$J14,IF(OR(AND(75=$I14+1,OR($K14&lt;&gt;'計算A'!$A$3,'計算A'!$A$4=0)),AND(75=$I14-1,OR(3&lt;&gt;'計算A'!$A$3,'計算A'!$A$4=0))),0,IF(3=$K14,200000,ABS(3-$K14)*100)),100000+ABS(4-$J14)*1000+30)+'計算A'!BZ$5*50+IF(AND($E14=1,LM14=0),25,0),INDEX('計算A'!BZ$110:BZ$114,$F14+1)+IF(AND($E14=1,LM14=0),1000,0)+IF($H14=1,(IF('計算A'!BY$117=1,INDEX('計算A'!BY$10:BY$54,$B14),0)+IF('計算A'!BZ$117=1,INDEX('計算A'!CA$10:CA$54,$B14),0))*500,0)-IF(AND('計算A'!BY$117=1,WW14&gt;0),300,0)-IF(AND($L14=1,'計算A'!BZ$117=1,FY14=0),300,0))),1000000))</f>
        <v/>
      </c>
      <c r="RC14">
        <f>IF($B14=0,1000000,IF(INDEX('計算A'!$D$60:$EQ$104,$B14,76)*FY14=1,IF(AND($E14=2,LN14=0),1000000,IF($I14&gt;0,IF(4=$J14,IF(OR(AND(76=$I14+1,OR($K14&lt;&gt;'計算A'!$A$3,'計算A'!$A$4=0)),AND(76=$I14-1,OR(4&lt;&gt;'計算A'!$A$3,'計算A'!$A$4=0))),0,IF(4=$K14,200000,ABS(4-$K14)*100)),100000+ABS(4-$J14)*1000+40)+'計算A'!CA$5*50+IF(AND($E14=1,LN14=0),25,0),INDEX('計算A'!CA$110:CA$114,$F14+1)+IF(AND($E14=1,LN14=0),1000,0)+IF($H14=1,(IF('計算A'!BZ$117=1,INDEX('計算A'!BZ$10:BZ$54,$B14),0)+IF('計算A'!CA$117=1,INDEX('計算A'!CB$10:CB$54,$B14),0))*500,0)-IF(AND('計算A'!BZ$117=1,WX14&gt;0),300,0)-IF(AND($L14=1,'計算A'!CA$117=1,FZ14=0),300,0))),1000000))</f>
        <v/>
      </c>
      <c r="RD14">
        <f>IF($B14=0,1000000,IF(INDEX('計算A'!$D$60:$EQ$104,$B14,77)*FZ14=1,IF(AND($E14=2,LO14=0),1000000,IF($I14&gt;0,IF(4=$J14,IF(OR(AND(77=$I14+1,OR($K14&lt;&gt;'計算A'!$A$3,'計算A'!$A$4=0)),AND(77=$I14-1,OR(5&lt;&gt;'計算A'!$A$3,'計算A'!$A$4=0))),0,IF(5=$K14,200000,ABS(5-$K14)*100)),100000+ABS(4-$J14)*1000+50)+'計算A'!CB$5*50+IF(AND($E14=1,LO14=0),25,0),INDEX('計算A'!CB$110:CB$114,$F14+1)+IF(AND($E14=1,LO14=0),1000,0)+IF($H14=1,(IF('計算A'!CA$117=1,INDEX('計算A'!CA$10:CA$54,$B14),0)+IF('計算A'!CB$117=1,INDEX('計算A'!CC$10:CC$54,$B14),0))*500,0)-IF(AND('計算A'!CA$117=1,WY14&gt;0),300,0)-IF(AND($L14=1,'計算A'!CB$117=1,GA14=0),300,0))),1000000))</f>
        <v/>
      </c>
      <c r="RE14">
        <f>IF($B14=0,1000000,IF(INDEX('計算A'!$D$60:$EQ$104,$B14,78)*GA14=1,IF(AND($E14=2,LP14=0),1000000,IF($I14&gt;0,IF(4=$J14,IF(OR(AND(78=$I14+1,OR($K14&lt;&gt;'計算A'!$A$3,'計算A'!$A$4=0)),AND(78=$I14-1,OR(6&lt;&gt;'計算A'!$A$3,'計算A'!$A$4=0))),0,IF(6=$K14,200000,ABS(6-$K14)*100)),100000+ABS(4-$J14)*1000+60)+'計算A'!CC$5*50+IF(AND($E14=1,LP14=0),25,0),INDEX('計算A'!CC$110:CC$114,$F14+1)+IF(AND($E14=1,LP14=0),1000,0)+IF($H14=1,(IF('計算A'!CB$117=1,INDEX('計算A'!CB$10:CB$54,$B14),0)+IF('計算A'!CC$117=1,INDEX('計算A'!CD$10:CD$54,$B14),0))*500,0)-IF(AND('計算A'!CB$117=1,WZ14&gt;0),300,0)-IF(AND($L14=1,'計算A'!CC$117=1,GB14=0),300,0))),1000000))</f>
        <v/>
      </c>
      <c r="RF14">
        <f>IF($B14=0,1000000,IF(INDEX('計算A'!$D$60:$EQ$104,$B14,79)*GB14=1,IF(AND($E14=2,LQ14=0),1000000,IF($I14&gt;0,IF(4=$J14,IF(OR(AND(79=$I14+1,OR($K14&lt;&gt;'計算A'!$A$3,'計算A'!$A$4=0)),AND(79=$I14-1,OR(7&lt;&gt;'計算A'!$A$3,'計算A'!$A$4=0))),0,IF(7=$K14,200000,ABS(7-$K14)*100)),100000+ABS(4-$J14)*1000+70)+'計算A'!CD$5*50+IF(AND($E14=1,LQ14=0),25,0),INDEX('計算A'!CD$110:CD$114,$F14+1)+IF(AND($E14=1,LQ14=0),1000,0)+IF($H14=1,(IF('計算A'!CC$117=1,INDEX('計算A'!CC$10:CC$54,$B14),0)+IF('計算A'!CD$117=1,INDEX('計算A'!CE$10:CE$54,$B14),0))*500,0)-IF(AND('計算A'!CC$117=1,XA14&gt;0),300,0)-IF(AND($L14=1,'計算A'!CD$117=1,GC14=0),300,0))),1000000))</f>
        <v/>
      </c>
      <c r="RG14">
        <f>IF($B14=0,1000000,IF(INDEX('計算A'!$D$60:$EQ$104,$B14,80)*GC14=1,IF(AND($E14=2,LR14=0),1000000,IF($I14&gt;0,IF(4=$J14,IF(OR(AND(80=$I14+1,OR($K14&lt;&gt;'計算A'!$A$3,'計算A'!$A$4=0)),AND(80=$I14-1,OR(8&lt;&gt;'計算A'!$A$3,'計算A'!$A$4=0))),0,IF(8=$K14,200000,ABS(8-$K14)*100)),100000+ABS(4-$J14)*1000+80)+'計算A'!CE$5*50+IF(AND($E14=1,LR14=0),25,0),INDEX('計算A'!CE$110:CE$114,$F14+1)+IF(AND($E14=1,LR14=0),1000,0)+IF($H14=1,(IF('計算A'!CD$117=1,INDEX('計算A'!CD$10:CD$54,$B14),0)+IF('計算A'!CE$117=1,INDEX('計算A'!CF$10:CF$54,$B14),0))*500,0)-IF(AND('計算A'!CD$117=1,XB14&gt;0),300,0)-IF(AND($L14=1,'計算A'!CE$117=1,GD14=0),300,0))),1000000))</f>
        <v/>
      </c>
      <c r="RH14">
        <f>IF($B14=0,1000000,IF(INDEX('計算A'!$D$60:$EQ$104,$B14,81)*GD14=1,IF(AND($E14=2,LS14=0),1000000,IF($I14&gt;0,IF(4=$J14,IF(OR(AND(81=$I14+1,OR($K14&lt;&gt;'計算A'!$A$3,'計算A'!$A$4=0)),AND(81=$I14-1,OR(9&lt;&gt;'計算A'!$A$3,'計算A'!$A$4=0))),0,IF(9=$K14,200000,ABS(9-$K14)*100)),100000+ABS(4-$J14)*1000+90)+'計算A'!CF$5*50+IF(AND($E14=1,LS14=0),25,0),INDEX('計算A'!CF$110:CF$114,$F14+1)+IF(AND($E14=1,LS14=0),1000,0)+IF($H14=1,(IF('計算A'!CE$117=1,INDEX('計算A'!CE$10:CE$54,$B14),0)+IF('計算A'!CF$117=1,INDEX('計算A'!CG$10:CG$54,$B14),0))*500,0)-IF(AND('計算A'!CE$117=1,XC14&gt;0),300,0)-IF(AND($L14=1,'計算A'!CF$117=1,GE14=0),300,0))),1000000))</f>
        <v/>
      </c>
      <c r="RI14">
        <f>IF($B14=0,1000000,IF(INDEX('計算A'!$D$60:$EQ$104,$B14,82)*GE14=1,IF(AND($E14=2,LT14=0),1000000,IF($I14&gt;0,IF(4=$J14,IF(OR(AND(82=$I14+1,OR($K14&lt;&gt;'計算A'!$A$3,'計算A'!$A$4=0)),AND(82=$I14-1,OR(10&lt;&gt;'計算A'!$A$3,'計算A'!$A$4=0))),0,IF(10=$K14,200000,ABS(10-$K14)*100)),100000+ABS(4-$J14)*1000+100)+'計算A'!CG$5*50+IF(AND($E14=1,LT14=0),25,0),INDEX('計算A'!CG$110:CG$114,$F14+1)+IF(AND($E14=1,LT14=0),1000,0)+IF($H14=1,(IF('計算A'!CF$117=1,INDEX('計算A'!CF$10:CF$54,$B14),0)+IF('計算A'!CG$117=1,INDEX('計算A'!CH$10:CH$54,$B14),0))*500,0)-IF(AND('計算A'!CF$117=1,XD14&gt;0),300,0)-IF(AND($L14=1,'計算A'!CG$117=1,GF14=0),300,0))),1000000))</f>
        <v/>
      </c>
      <c r="RJ14">
        <f>IF($B14=0,1000000,IF(INDEX('計算A'!$D$60:$EQ$104,$B14,83)*GF14=1,IF(AND($E14=2,LU14=0),1000000,IF($I14&gt;0,IF(4=$J14,IF(OR(AND(83=$I14+1,OR($K14&lt;&gt;'計算A'!$A$3,'計算A'!$A$4=0)),AND(83=$I14-1,OR(11&lt;&gt;'計算A'!$A$3,'計算A'!$A$4=0))),0,IF(11=$K14,200000,ABS(11-$K14)*100)),100000+ABS(4-$J14)*1000+110)+'計算A'!CH$5*50+IF(AND($E14=1,LU14=0),25,0),INDEX('計算A'!CH$110:CH$114,$F14+1)+IF(AND($E14=1,LU14=0),1000,0)+IF($H14=1,(IF('計算A'!CG$117=1,INDEX('計算A'!CG$10:CG$54,$B14),0)+IF('計算A'!CH$117=1,INDEX('計算A'!CI$10:CI$54,$B14),0))*500,0)-IF(AND('計算A'!CG$117=1,XE14&gt;0),300,0)-IF(AND($L14=1,'計算A'!CH$117=1,GG14=0),300,0))),1000000))</f>
        <v/>
      </c>
      <c r="RK14">
        <f>IF($B14=0,1000000,IF(INDEX('計算A'!$D$60:$EQ$104,$B14,84)*GG14=1,IF(AND($E14=2,LV14=0),1000000,IF($I14&gt;0,IF(4=$J14,IF(OR(AND(84=$I14+1,OR($K14&lt;&gt;'計算A'!$A$3,'計算A'!$A$4=0)),AND(84=$I14-1,OR(12&lt;&gt;'計算A'!$A$3,'計算A'!$A$4=0))),0,IF(12=$K14,200000,ABS(12-$K14)*100)),100000+ABS(4-$J14)*1000+120)+'計算A'!CI$5*50+IF(AND($E14=1,LV14=0),25,0),INDEX('計算A'!CI$110:CI$114,$F14+1)+IF(AND($E14=1,LV14=0),1000,0)+IF($H14=1,(IF('計算A'!CH$117=1,INDEX('計算A'!CH$10:CH$54,$B14),0)+IF('計算A'!CI$117=1,INDEX('計算A'!CJ$10:CJ$54,$B14),0))*500,0)-IF(AND('計算A'!CH$117=1,XF14&gt;0),300,0)-IF(AND($L14=1,'計算A'!CI$117=1,GH14=0),300,0))),1000000))</f>
        <v/>
      </c>
      <c r="RL14">
        <f>IF($B14=0,1000000,IF(INDEX('計算A'!$D$60:$EQ$104,$B14,85)*GH14=1,IF(AND($E14=2,LW14=0),1000000,IF($I14&gt;0,IF(4=$J14,IF(OR(AND(85=$I14+1,OR($K14&lt;&gt;'計算A'!$A$3,'計算A'!$A$4=0)),AND(85=$I14-1,OR(13&lt;&gt;'計算A'!$A$3,'計算A'!$A$4=0))),0,IF(13=$K14,200000,ABS(13-$K14)*100)),100000+ABS(4-$J14)*1000+130)+'計算A'!CJ$5*50+IF(AND($E14=1,LW14=0),25,0),INDEX('計算A'!CJ$110:CJ$114,$F14+1)+IF(AND($E14=1,LW14=0),1000,0)+IF($H14=1,(IF('計算A'!CI$117=1,INDEX('計算A'!CI$10:CI$54,$B14),0)+IF('計算A'!CJ$117=1,INDEX('計算A'!CK$10:CK$54,$B14),0))*500,0)-IF(AND('計算A'!CI$117=1,XG14&gt;0),300,0)-IF(AND($L14=1,'計算A'!CJ$117=1,GI14=0),300,0))),1000000))</f>
        <v/>
      </c>
      <c r="RM14">
        <f>IF($B14=0,1000000,IF(INDEX('計算A'!$D$60:$EQ$104,$B14,86)*GI14=1,IF(AND($E14=2,LX14=0),1000000,IF($I14&gt;0,IF(4=$J14,IF(OR(AND(86=$I14+1,OR($K14&lt;&gt;'計算A'!$A$3,'計算A'!$A$4=0)),AND(86=$I14-1,OR(14&lt;&gt;'計算A'!$A$3,'計算A'!$A$4=0))),0,IF(14=$K14,200000,ABS(14-$K14)*100)),100000+ABS(4-$J14)*1000+140)+'計算A'!CK$5*50+IF(AND($E14=1,LX14=0),25,0),INDEX('計算A'!CK$110:CK$114,$F14+1)+IF(AND($E14=1,LX14=0),1000,0)+IF($H14=1,(IF('計算A'!CJ$117=1,INDEX('計算A'!CJ$10:CJ$54,$B14),0)+IF('計算A'!CK$117=1,INDEX('計算A'!CL$10:CL$54,$B14),0))*500,0)-IF(AND('計算A'!CJ$117=1,XH14&gt;0),300,0)-IF(AND($L14=1,'計算A'!CK$117=1,GJ14=0),300,0))),1000000))</f>
        <v/>
      </c>
      <c r="RN14">
        <f>IF($B14=0,1000000,IF(INDEX('計算A'!$D$60:$EQ$104,$B14,87)*GJ14=1,IF(AND($E14=2,LY14=0),1000000,IF($I14&gt;0,IF(4=$J14,IF(OR(AND(87=$I14+1,OR($K14&lt;&gt;'計算A'!$A$3,'計算A'!$A$4=0)),AND(87=$I14-1,OR(15&lt;&gt;'計算A'!$A$3,'計算A'!$A$4=0))),0,IF(15=$K14,200000,ABS(15-$K14)*100)),100000+ABS(4-$J14)*1000+150)+'計算A'!CL$5*50+IF(AND($E14=1,LY14=0),25,0),INDEX('計算A'!CL$110:CL$114,$F14+1)+IF(AND($E14=1,LY14=0),1000,0)+IF($H14=1,(IF('計算A'!CK$117=1,INDEX('計算A'!CK$10:CK$54,$B14),0)+IF('計算A'!CL$117=1,INDEX('計算A'!CM$10:CM$54,$B14),0))*500,0)-IF(AND('計算A'!CK$117=1,XI14&gt;0),300,0)-IF(AND($L14=1,'計算A'!CL$117=1,GK14=0),300,0))),1000000))</f>
        <v/>
      </c>
      <c r="RO14">
        <f>IF($B14=0,1000000,IF(INDEX('計算A'!$D$60:$EQ$104,$B14,88)*GK14=1,IF(AND($E14=2,LZ14=0),1000000,IF($I14&gt;0,IF(4=$J14,IF(OR(AND(88=$I14+1,OR($K14&lt;&gt;'計算A'!$A$3,'計算A'!$A$4=0)),AND(88=$I14-1,OR(16&lt;&gt;'計算A'!$A$3,'計算A'!$A$4=0))),0,IF(16=$K14,200000,ABS(16-$K14)*100)),100000+ABS(4-$J14)*1000+160)+'計算A'!CM$5*50+IF(AND($E14=1,LZ14=0),25,0),INDEX('計算A'!CM$110:CM$114,$F14+1)+IF(AND($E14=1,LZ14=0),1000,0)+IF($H14=1,(IF('計算A'!CL$117=1,INDEX('計算A'!CL$10:CL$54,$B14),0)+IF('計算A'!CM$117=1,INDEX('計算A'!CN$10:CN$54,$B14),0))*500,0)-IF(AND('計算A'!CL$117=1,XJ14&gt;0),300,0)-IF(AND($L14=1,'計算A'!CM$117=1,GL14=0),300,0))),1000000))</f>
        <v/>
      </c>
      <c r="RP14">
        <f>IF($B14=0,1000000,IF(INDEX('計算A'!$D$60:$EQ$104,$B14,89)*GL14=1,IF(AND($E14=2,MA14=0),1000000,IF($I14&gt;0,IF(4=$J14,IF(OR(AND(89=$I14+1,OR($K14&lt;&gt;'計算A'!$A$3,'計算A'!$A$4=0)),AND(89=$I14-1,OR(17&lt;&gt;'計算A'!$A$3,'計算A'!$A$4=0))),0,IF(17=$K14,200000,ABS(17-$K14)*100)),100000+ABS(4-$J14)*1000+170)+'計算A'!CN$5*50+IF(AND($E14=1,MA14=0),25,0),INDEX('計算A'!CN$110:CN$114,$F14+1)+IF(AND($E14=1,MA14=0),1000,0)+IF($H14=1,(IF('計算A'!CM$117=1,INDEX('計算A'!CM$10:CM$54,$B14),0)+IF('計算A'!CN$117=1,INDEX('計算A'!CO$10:CO$54,$B14),0))*500,0)-IF(AND('計算A'!CM$117=1,XK14&gt;0),300,0)-IF(AND($L14=1,'計算A'!CN$117=1,GM14=0),300,0))),1000000))</f>
        <v/>
      </c>
      <c r="RQ14">
        <f>IF($B14=0,1000000,IF(INDEX('計算A'!$D$60:$EQ$104,$B14,90)*GM14=1,IF(AND($E14=2,MB14=0),1000000,IF($I14&gt;0,IF(4=$J14,IF(OR(AND(90=$I14+1,OR($K14&lt;&gt;'計算A'!$A$3,'計算A'!$A$4=0)),AND(90=$I14-1,OR(18&lt;&gt;'計算A'!$A$3,'計算A'!$A$4=0))),0,IF(18=$K14,200000,ABS(18-$K14)*100)),100000+ABS(4-$J14)*1000+180)+'計算A'!CO$5*50+IF(AND($E14=1,MB14=0),25,0),INDEX('計算A'!CO$110:CO$114,$F14+1)+IF(AND($E14=1,MB14=0),1000,0)+IF($H14=1,(IF('計算A'!CN$117=1,INDEX('計算A'!CN$10:CN$54,$B14),0)+IF('計算A'!CO$117=1,INDEX('計算A'!CP$10:CP$54,$B14),0))*500,0)-IF(AND('計算A'!CN$117=1,XL14&gt;0),300,0)-IF(AND($L14=1,'計算A'!CO$117=1,GN14=0),300,0))),1000000))</f>
        <v/>
      </c>
      <c r="RR14">
        <f>IF($B14=0,1000000,IF(INDEX('計算A'!$D$60:$EQ$104,$B14,91)*GN14=1,IF(AND($E14=2,MC14=0),1000000,IF($I14&gt;0,IF(4=$J14,IF(OR(AND(91=$I14+1,OR($K14&lt;&gt;'計算A'!$A$3,'計算A'!$A$4=0)),AND(91=$I14-1,OR(19&lt;&gt;'計算A'!$A$3,'計算A'!$A$4=0))),0,IF(19=$K14,200000,ABS(19-$K14)*100)),100000+ABS(4-$J14)*1000+190)+'計算A'!CP$5*50+IF(AND($E14=1,MC14=0),25,0),INDEX('計算A'!CP$110:CP$114,$F14+1)+IF(AND($E14=1,MC14=0),1000,0)+IF($H14=1,(IF('計算A'!CO$117=1,INDEX('計算A'!CO$10:CO$54,$B14),0)+IF('計算A'!CP$117=1,INDEX('計算A'!CQ$10:CQ$54,$B14),0))*500,0)-IF(AND('計算A'!CO$117=1,XM14&gt;0),300,0)-IF(AND($L14=1,'計算A'!CP$117=1,GO14=0),300,0))),1000000))</f>
        <v/>
      </c>
      <c r="RS14">
        <f>IF($B14=0,1000000,IF(INDEX('計算A'!$D$60:$EQ$104,$B14,92)*GO14=1,IF(AND($E14=2,MD14=0),1000000,IF($I14&gt;0,IF(4=$J14,IF(OR(AND(92=$I14+1,OR($K14&lt;&gt;'計算A'!$A$3,'計算A'!$A$4=0)),AND(92=$I14-1,OR(20&lt;&gt;'計算A'!$A$3,'計算A'!$A$4=0))),0,IF(20=$K14,200000,ABS(20-$K14)*100)),100000+ABS(4-$J14)*1000+200)+'計算A'!CQ$5*50+IF(AND($E14=1,MD14=0),25,0),INDEX('計算A'!CQ$110:CQ$114,$F14+1)+IF(AND($E14=1,MD14=0),1000,0)+IF($H14=1,(IF('計算A'!CP$117=1,INDEX('計算A'!CP$10:CP$54,$B14),0)+IF('計算A'!CQ$117=1,INDEX('計算A'!CR$10:CR$54,$B14),0))*500,0)-IF(AND('計算A'!CP$117=1,XN14&gt;0),300,0)-IF(AND($L14=1,'計算A'!CQ$117=1,GP14=0),300,0))),1000000))</f>
        <v/>
      </c>
      <c r="RT14">
        <f>IF($B14=0,1000000,IF(INDEX('計算A'!$D$60:$EQ$104,$B14,93)*GP14=1,IF(AND($E14=2,ME14=0),1000000,IF($I14&gt;0,IF(4=$J14,IF(OR(AND(93=$I14+1,OR($K14&lt;&gt;'計算A'!$A$3,'計算A'!$A$4=0)),AND(93=$I14-1,OR(21&lt;&gt;'計算A'!$A$3,'計算A'!$A$4=0))),0,IF(21=$K14,200000,ABS(21-$K14)*100)),100000+ABS(4-$J14)*1000+210)+'計算A'!CR$5*50+IF(AND($E14=1,ME14=0),25,0),INDEX('計算A'!CR$110:CR$114,$F14+1)+IF(AND($E14=1,ME14=0),1000,0)+IF($H14=1,(IF('計算A'!CQ$117=1,INDEX('計算A'!CQ$10:CQ$54,$B14),0)+IF('計算A'!CR$117=1,INDEX('計算A'!CS$10:CS$54,$B14),0))*500,0)-IF(AND('計算A'!CQ$117=1,XO14&gt;0),300,0)-IF(AND($L14=1,'計算A'!CR$117=1,GQ14=0),300,0))),1000000))</f>
        <v/>
      </c>
      <c r="RU14">
        <f>IF($B14=0,1000000,IF(INDEX('計算A'!$D$60:$EQ$104,$B14,94)*GQ14=1,IF(AND($E14=2,MF14=0),1000000,IF($I14&gt;0,IF(4=$J14,IF(OR(AND(94=$I14+1,OR($K14&lt;&gt;'計算A'!$A$3,'計算A'!$A$4=0)),AND(94=$I14-1,OR(22&lt;&gt;'計算A'!$A$3,'計算A'!$A$4=0))),0,IF(22=$K14,200000,ABS(22-$K14)*100)),100000+ABS(4-$J14)*1000+220)+'計算A'!CS$5*50+IF(AND($E14=1,MF14=0),25,0),INDEX('計算A'!CS$110:CS$114,$F14+1)+IF(AND($E14=1,MF14=0),1000,0)+IF($H14=1,(IF('計算A'!CR$117=1,INDEX('計算A'!CR$10:CR$54,$B14),0)+IF('計算A'!CS$117=1,INDEX('計算A'!CT$10:CT$54,$B14),0))*500,0)-IF(AND('計算A'!CR$117=1,XP14&gt;0),300,0)-IF(AND($L14=1,'計算A'!CS$117=1,GR14=0),300,0))),1000000))</f>
        <v/>
      </c>
      <c r="RV14">
        <f>IF($B14=0,1000000,IF(INDEX('計算A'!$D$60:$EQ$104,$B14,95)*GR14=1,IF(AND($E14=2,MG14=0),1000000,IF($I14&gt;0,IF(4=$J14,IF(OR(AND(95=$I14+1,OR($K14&lt;&gt;'計算A'!$A$3,'計算A'!$A$4=0)),AND(95=$I14-1,OR(23&lt;&gt;'計算A'!$A$3,'計算A'!$A$4=0))),0,IF(23=$K14,200000,ABS(23-$K14)*100)),100000+ABS(4-$J14)*1000+230)+'計算A'!CT$5*50+IF(AND($E14=1,MG14=0),25,0),INDEX('計算A'!CT$110:CT$114,$F14+1)+IF(AND($E14=1,MG14=0),1000,0)+IF($H14=1,(IF('計算A'!CS$117=1,INDEX('計算A'!CS$10:CS$54,$B14),0)+IF('計算A'!CT$117=1,INDEX('計算A'!CU$10:CU$54,$B14),0))*500,0)-IF(AND('計算A'!CS$117=1,XQ14&gt;0),300,0)-IF(AND($L14=1,'計算A'!CT$117=1,GS14=0),300,0))),1000000))</f>
        <v/>
      </c>
      <c r="RW14">
        <f>IF($B14=0,1000000,IF(INDEX('計算A'!$D$60:$EQ$104,$B14,96)*GS14=1,IF(AND($E14=2,MH14=0),1000000,IF($I14&gt;0,IF(4=$J14,IF(OR(AND(96=$I14+1,OR($K14&lt;&gt;'計算A'!$A$3,'計算A'!$A$4=0)),AND(96=$I14-1,OR(24&lt;&gt;'計算A'!$A$3,'計算A'!$A$4=0))),0,IF(24=$K14,200000,ABS(24-$K14)*100)),100000+ABS(4-$J14)*1000+240)+'計算A'!CU$5*50+IF(AND($E14=1,MH14=0),25,0),INDEX('計算A'!CU$110:CU$114,$F14+1)+IF(AND($E14=1,MH14=0),1000,0)+IF($H14=1,(IF('計算A'!CT$117=1,INDEX('計算A'!CT$10:CT$54,$B14),0))*500,0)-IF(AND('計算A'!CT$117=1,XR14&gt;0),300,0))),1000000))</f>
        <v/>
      </c>
      <c r="RX14">
        <f>IF($B14=0,1000000,IF(INDEX('計算A'!$D$60:$EQ$104,$B14,97)*GT14=1,IF(AND($E14=2,MI14=0),1000000,IF($I14&gt;0,IF(5=$J14,IF(OR(AND(97=$I14+1,OR($K14&lt;&gt;'計算A'!$A$3,'計算A'!$A$4=0)),AND(97=$I14-1,OR(1&lt;&gt;'計算A'!$A$3,'計算A'!$A$4=0))),0,IF(1=$K14,200000,ABS(1-$K14)*100)),100000+ABS(5-$J14)*1000+10)+'計算A'!CV$5*50+IF(AND($E14=1,MI14=0),25,0),INDEX('計算A'!CV$110:CV$114,$F14+1)+IF(AND($E14=1,MI14=0),1000,0)+IF($H14=1,(IF('計算A'!CV$117=1,INDEX('計算A'!CW$10:CW$54,$B14),0))*500,0)-IF(AND($L14=1,'計算A'!CV$117=1,GU14=0),300,0))),1000000))</f>
        <v/>
      </c>
      <c r="RY14">
        <f>IF($B14=0,1000000,IF(INDEX('計算A'!$D$60:$EQ$104,$B14,98)*GU14=1,IF(AND($E14=2,MJ14=0),1000000,IF($I14&gt;0,IF(5=$J14,IF(OR(AND(98=$I14+1,OR($K14&lt;&gt;'計算A'!$A$3,'計算A'!$A$4=0)),AND(98=$I14-1,OR(2&lt;&gt;'計算A'!$A$3,'計算A'!$A$4=0))),0,IF(2=$K14,200000,ABS(2-$K14)*100)),100000+ABS(5-$J14)*1000+20)+'計算A'!CW$5*50+IF(AND($E14=1,MJ14=0),25,0),INDEX('計算A'!CW$110:CW$114,$F14+1)+IF(AND($E14=1,MJ14=0),1000,0)+IF($H14=1,(IF('計算A'!CV$117=1,INDEX('計算A'!CV$10:CV$54,$B14),0)+IF('計算A'!CW$117=1,INDEX('計算A'!CX$10:CX$54,$B14),0))*500,0)-IF(AND('計算A'!CV$117=1,XT14&gt;0),300,0)-IF(AND($L14=1,'計算A'!CW$117=1,GV14=0),300,0))),1000000))</f>
        <v/>
      </c>
      <c r="RZ14">
        <f>IF($B14=0,1000000,IF(INDEX('計算A'!$D$60:$EQ$104,$B14,99)*GV14=1,IF(AND($E14=2,MK14=0),1000000,IF($I14&gt;0,IF(5=$J14,IF(OR(AND(99=$I14+1,OR($K14&lt;&gt;'計算A'!$A$3,'計算A'!$A$4=0)),AND(99=$I14-1,OR(3&lt;&gt;'計算A'!$A$3,'計算A'!$A$4=0))),0,IF(3=$K14,200000,ABS(3-$K14)*100)),100000+ABS(5-$J14)*1000+30)+'計算A'!CX$5*50+IF(AND($E14=1,MK14=0),25,0),INDEX('計算A'!CX$110:CX$114,$F14+1)+IF(AND($E14=1,MK14=0),1000,0)+IF($H14=1,(IF('計算A'!CW$117=1,INDEX('計算A'!CW$10:CW$54,$B14),0)+IF('計算A'!CX$117=1,INDEX('計算A'!CY$10:CY$54,$B14),0))*500,0)-IF(AND('計算A'!CW$117=1,XU14&gt;0),300,0)-IF(AND($L14=1,'計算A'!CX$117=1,GW14=0),300,0))),1000000))</f>
        <v/>
      </c>
      <c r="SA14">
        <f>IF($B14=0,1000000,IF(INDEX('計算A'!$D$60:$EQ$104,$B14,100)*GW14=1,IF(AND($E14=2,ML14=0),1000000,IF($I14&gt;0,IF(5=$J14,IF(OR(AND(100=$I14+1,OR($K14&lt;&gt;'計算A'!$A$3,'計算A'!$A$4=0)),AND(100=$I14-1,OR(4&lt;&gt;'計算A'!$A$3,'計算A'!$A$4=0))),0,IF(4=$K14,200000,ABS(4-$K14)*100)),100000+ABS(5-$J14)*1000+40)+'計算A'!CY$5*50+IF(AND($E14=1,ML14=0),25,0),INDEX('計算A'!CY$110:CY$114,$F14+1)+IF(AND($E14=1,ML14=0),1000,0)+IF($H14=1,(IF('計算A'!CX$117=1,INDEX('計算A'!CX$10:CX$54,$B14),0)+IF('計算A'!CY$117=1,INDEX('計算A'!CZ$10:CZ$54,$B14),0))*500,0)-IF(AND('計算A'!CX$117=1,XV14&gt;0),300,0)-IF(AND($L14=1,'計算A'!CY$117=1,GX14=0),300,0))),1000000))</f>
        <v/>
      </c>
      <c r="SB14">
        <f>IF($B14=0,1000000,IF(INDEX('計算A'!$D$60:$EQ$104,$B14,101)*GX14=1,IF(AND($E14=2,MM14=0),1000000,IF($I14&gt;0,IF(5=$J14,IF(OR(AND(101=$I14+1,OR($K14&lt;&gt;'計算A'!$A$3,'計算A'!$A$4=0)),AND(101=$I14-1,OR(5&lt;&gt;'計算A'!$A$3,'計算A'!$A$4=0))),0,IF(5=$K14,200000,ABS(5-$K14)*100)),100000+ABS(5-$J14)*1000+50)+'計算A'!CZ$5*50+IF(AND($E14=1,MM14=0),25,0),INDEX('計算A'!CZ$110:CZ$114,$F14+1)+IF(AND($E14=1,MM14=0),1000,0)+IF($H14=1,(IF('計算A'!CY$117=1,INDEX('計算A'!CY$10:CY$54,$B14),0)+IF('計算A'!CZ$117=1,INDEX('計算A'!DA$10:DA$54,$B14),0))*500,0)-IF(AND('計算A'!CY$117=1,XW14&gt;0),300,0)-IF(AND($L14=1,'計算A'!CZ$117=1,GY14=0),300,0))),1000000))</f>
        <v/>
      </c>
      <c r="SC14">
        <f>IF($B14=0,1000000,IF(INDEX('計算A'!$D$60:$EQ$104,$B14,102)*GY14=1,IF(AND($E14=2,MN14=0),1000000,IF($I14&gt;0,IF(5=$J14,IF(OR(AND(102=$I14+1,OR($K14&lt;&gt;'計算A'!$A$3,'計算A'!$A$4=0)),AND(102=$I14-1,OR(6&lt;&gt;'計算A'!$A$3,'計算A'!$A$4=0))),0,IF(6=$K14,200000,ABS(6-$K14)*100)),100000+ABS(5-$J14)*1000+60)+'計算A'!DA$5*50+IF(AND($E14=1,MN14=0),25,0),INDEX('計算A'!DA$110:DA$114,$F14+1)+IF(AND($E14=1,MN14=0),1000,0)+IF($H14=1,(IF('計算A'!CZ$117=1,INDEX('計算A'!CZ$10:CZ$54,$B14),0)+IF('計算A'!DA$117=1,INDEX('計算A'!DB$10:DB$54,$B14),0))*500,0)-IF(AND('計算A'!CZ$117=1,XX14&gt;0),300,0)-IF(AND($L14=1,'計算A'!DA$117=1,GZ14=0),300,0))),1000000))</f>
        <v/>
      </c>
      <c r="SD14">
        <f>IF($B14=0,1000000,IF(INDEX('計算A'!$D$60:$EQ$104,$B14,103)*GZ14=1,IF(AND($E14=2,MO14=0),1000000,IF($I14&gt;0,IF(5=$J14,IF(OR(AND(103=$I14+1,OR($K14&lt;&gt;'計算A'!$A$3,'計算A'!$A$4=0)),AND(103=$I14-1,OR(7&lt;&gt;'計算A'!$A$3,'計算A'!$A$4=0))),0,IF(7=$K14,200000,ABS(7-$K14)*100)),100000+ABS(5-$J14)*1000+70)+'計算A'!DB$5*50+IF(AND($E14=1,MO14=0),25,0),INDEX('計算A'!DB$110:DB$114,$F14+1)+IF(AND($E14=1,MO14=0),1000,0)+IF($H14=1,(IF('計算A'!DA$117=1,INDEX('計算A'!DA$10:DA$54,$B14),0)+IF('計算A'!DB$117=1,INDEX('計算A'!DC$10:DC$54,$B14),0))*500,0)-IF(AND('計算A'!DA$117=1,XY14&gt;0),300,0)-IF(AND($L14=1,'計算A'!DB$117=1,HA14=0),300,0))),1000000))</f>
        <v/>
      </c>
      <c r="SE14">
        <f>IF($B14=0,1000000,IF(INDEX('計算A'!$D$60:$EQ$104,$B14,104)*HA14=1,IF(AND($E14=2,MP14=0),1000000,IF($I14&gt;0,IF(5=$J14,IF(OR(AND(104=$I14+1,OR($K14&lt;&gt;'計算A'!$A$3,'計算A'!$A$4=0)),AND(104=$I14-1,OR(8&lt;&gt;'計算A'!$A$3,'計算A'!$A$4=0))),0,IF(8=$K14,200000,ABS(8-$K14)*100)),100000+ABS(5-$J14)*1000+80)+'計算A'!DC$5*50+IF(AND($E14=1,MP14=0),25,0),INDEX('計算A'!DC$110:DC$114,$F14+1)+IF(AND($E14=1,MP14=0),1000,0)+IF($H14=1,(IF('計算A'!DB$117=1,INDEX('計算A'!DB$10:DB$54,$B14),0)+IF('計算A'!DC$117=1,INDEX('計算A'!DD$10:DD$54,$B14),0))*500,0)-IF(AND('計算A'!DB$117=1,XZ14&gt;0),300,0)-IF(AND($L14=1,'計算A'!DC$117=1,HB14=0),300,0))),1000000))</f>
        <v/>
      </c>
      <c r="SF14">
        <f>IF($B14=0,1000000,IF(INDEX('計算A'!$D$60:$EQ$104,$B14,105)*HB14=1,IF(AND($E14=2,MQ14=0),1000000,IF($I14&gt;0,IF(5=$J14,IF(OR(AND(105=$I14+1,OR($K14&lt;&gt;'計算A'!$A$3,'計算A'!$A$4=0)),AND(105=$I14-1,OR(9&lt;&gt;'計算A'!$A$3,'計算A'!$A$4=0))),0,IF(9=$K14,200000,ABS(9-$K14)*100)),100000+ABS(5-$J14)*1000+90)+'計算A'!DD$5*50+IF(AND($E14=1,MQ14=0),25,0),INDEX('計算A'!DD$110:DD$114,$F14+1)+IF(AND($E14=1,MQ14=0),1000,0)+IF($H14=1,(IF('計算A'!DC$117=1,INDEX('計算A'!DC$10:DC$54,$B14),0)+IF('計算A'!DD$117=1,INDEX('計算A'!DE$10:DE$54,$B14),0))*500,0)-IF(AND('計算A'!DC$117=1,YA14&gt;0),300,0)-IF(AND($L14=1,'計算A'!DD$117=1,HC14=0),300,0))),1000000))</f>
        <v/>
      </c>
      <c r="SG14">
        <f>IF($B14=0,1000000,IF(INDEX('計算A'!$D$60:$EQ$104,$B14,106)*HC14=1,IF(AND($E14=2,MR14=0),1000000,IF($I14&gt;0,IF(5=$J14,IF(OR(AND(106=$I14+1,OR($K14&lt;&gt;'計算A'!$A$3,'計算A'!$A$4=0)),AND(106=$I14-1,OR(10&lt;&gt;'計算A'!$A$3,'計算A'!$A$4=0))),0,IF(10=$K14,200000,ABS(10-$K14)*100)),100000+ABS(5-$J14)*1000+100)+'計算A'!DE$5*50+IF(AND($E14=1,MR14=0),25,0),INDEX('計算A'!DE$110:DE$114,$F14+1)+IF(AND($E14=1,MR14=0),1000,0)+IF($H14=1,(IF('計算A'!DD$117=1,INDEX('計算A'!DD$10:DD$54,$B14),0)+IF('計算A'!DE$117=1,INDEX('計算A'!DF$10:DF$54,$B14),0))*500,0)-IF(AND('計算A'!DD$117=1,YB14&gt;0),300,0)-IF(AND($L14=1,'計算A'!DE$117=1,HD14=0),300,0))),1000000))</f>
        <v/>
      </c>
      <c r="SH14">
        <f>IF($B14=0,1000000,IF(INDEX('計算A'!$D$60:$EQ$104,$B14,107)*HD14=1,IF(AND($E14=2,MS14=0),1000000,IF($I14&gt;0,IF(5=$J14,IF(OR(AND(107=$I14+1,OR($K14&lt;&gt;'計算A'!$A$3,'計算A'!$A$4=0)),AND(107=$I14-1,OR(11&lt;&gt;'計算A'!$A$3,'計算A'!$A$4=0))),0,IF(11=$K14,200000,ABS(11-$K14)*100)),100000+ABS(5-$J14)*1000+110)+'計算A'!DF$5*50+IF(AND($E14=1,MS14=0),25,0),INDEX('計算A'!DF$110:DF$114,$F14+1)+IF(AND($E14=1,MS14=0),1000,0)+IF($H14=1,(IF('計算A'!DE$117=1,INDEX('計算A'!DE$10:DE$54,$B14),0)+IF('計算A'!DF$117=1,INDEX('計算A'!DG$10:DG$54,$B14),0))*500,0)-IF(AND('計算A'!DE$117=1,YC14&gt;0),300,0)-IF(AND($L14=1,'計算A'!DF$117=1,HE14=0),300,0))),1000000))</f>
        <v/>
      </c>
      <c r="SI14">
        <f>IF($B14=0,1000000,IF(INDEX('計算A'!$D$60:$EQ$104,$B14,108)*HE14=1,IF(AND($E14=2,MT14=0),1000000,IF($I14&gt;0,IF(5=$J14,IF(OR(AND(108=$I14+1,OR($K14&lt;&gt;'計算A'!$A$3,'計算A'!$A$4=0)),AND(108=$I14-1,OR(12&lt;&gt;'計算A'!$A$3,'計算A'!$A$4=0))),0,IF(12=$K14,200000,ABS(12-$K14)*100)),100000+ABS(5-$J14)*1000+120)+'計算A'!DG$5*50+IF(AND($E14=1,MT14=0),25,0),INDEX('計算A'!DG$110:DG$114,$F14+1)+IF(AND($E14=1,MT14=0),1000,0)+IF($H14=1,(IF('計算A'!DF$117=1,INDEX('計算A'!DF$10:DF$54,$B14),0)+IF('計算A'!DG$117=1,INDEX('計算A'!DH$10:DH$54,$B14),0))*500,0)-IF(AND('計算A'!DF$117=1,YD14&gt;0),300,0)-IF(AND($L14=1,'計算A'!DG$117=1,HF14=0),300,0))),1000000))</f>
        <v/>
      </c>
      <c r="SJ14">
        <f>IF($B14=0,1000000,IF(INDEX('計算A'!$D$60:$EQ$104,$B14,109)*HF14=1,IF(AND($E14=2,MU14=0),1000000,IF($I14&gt;0,IF(5=$J14,IF(OR(AND(109=$I14+1,OR($K14&lt;&gt;'計算A'!$A$3,'計算A'!$A$4=0)),AND(109=$I14-1,OR(13&lt;&gt;'計算A'!$A$3,'計算A'!$A$4=0))),0,IF(13=$K14,200000,ABS(13-$K14)*100)),100000+ABS(5-$J14)*1000+130)+'計算A'!DH$5*50+IF(AND($E14=1,MU14=0),25,0),INDEX('計算A'!DH$110:DH$114,$F14+1)+IF(AND($E14=1,MU14=0),1000,0)+IF($H14=1,(IF('計算A'!DG$117=1,INDEX('計算A'!DG$10:DG$54,$B14),0)+IF('計算A'!DH$117=1,INDEX('計算A'!DI$10:DI$54,$B14),0))*500,0)-IF(AND('計算A'!DG$117=1,YE14&gt;0),300,0)-IF(AND($L14=1,'計算A'!DH$117=1,HG14=0),300,0))),1000000))</f>
        <v/>
      </c>
      <c r="SK14">
        <f>IF($B14=0,1000000,IF(INDEX('計算A'!$D$60:$EQ$104,$B14,110)*HG14=1,IF(AND($E14=2,MV14=0),1000000,IF($I14&gt;0,IF(5=$J14,IF(OR(AND(110=$I14+1,OR($K14&lt;&gt;'計算A'!$A$3,'計算A'!$A$4=0)),AND(110=$I14-1,OR(14&lt;&gt;'計算A'!$A$3,'計算A'!$A$4=0))),0,IF(14=$K14,200000,ABS(14-$K14)*100)),100000+ABS(5-$J14)*1000+140)+'計算A'!DI$5*50+IF(AND($E14=1,MV14=0),25,0),INDEX('計算A'!DI$110:DI$114,$F14+1)+IF(AND($E14=1,MV14=0),1000,0)+IF($H14=1,(IF('計算A'!DH$117=1,INDEX('計算A'!DH$10:DH$54,$B14),0)+IF('計算A'!DI$117=1,INDEX('計算A'!DJ$10:DJ$54,$B14),0))*500,0)-IF(AND('計算A'!DH$117=1,YF14&gt;0),300,0)-IF(AND($L14=1,'計算A'!DI$117=1,HH14=0),300,0))),1000000))</f>
        <v/>
      </c>
      <c r="SL14">
        <f>IF($B14=0,1000000,IF(INDEX('計算A'!$D$60:$EQ$104,$B14,111)*HH14=1,IF(AND($E14=2,MW14=0),1000000,IF($I14&gt;0,IF(5=$J14,IF(OR(AND(111=$I14+1,OR($K14&lt;&gt;'計算A'!$A$3,'計算A'!$A$4=0)),AND(111=$I14-1,OR(15&lt;&gt;'計算A'!$A$3,'計算A'!$A$4=0))),0,IF(15=$K14,200000,ABS(15-$K14)*100)),100000+ABS(5-$J14)*1000+150)+'計算A'!DJ$5*50+IF(AND($E14=1,MW14=0),25,0),INDEX('計算A'!DJ$110:DJ$114,$F14+1)+IF(AND($E14=1,MW14=0),1000,0)+IF($H14=1,(IF('計算A'!DI$117=1,INDEX('計算A'!DI$10:DI$54,$B14),0)+IF('計算A'!DJ$117=1,INDEX('計算A'!DK$10:DK$54,$B14),0))*500,0)-IF(AND('計算A'!DI$117=1,YG14&gt;0),300,0)-IF(AND($L14=1,'計算A'!DJ$117=1,HI14=0),300,0))),1000000))</f>
        <v/>
      </c>
      <c r="SM14">
        <f>IF($B14=0,1000000,IF(INDEX('計算A'!$D$60:$EQ$104,$B14,112)*HI14=1,IF(AND($E14=2,MX14=0),1000000,IF($I14&gt;0,IF(5=$J14,IF(OR(AND(112=$I14+1,OR($K14&lt;&gt;'計算A'!$A$3,'計算A'!$A$4=0)),AND(112=$I14-1,OR(16&lt;&gt;'計算A'!$A$3,'計算A'!$A$4=0))),0,IF(16=$K14,200000,ABS(16-$K14)*100)),100000+ABS(5-$J14)*1000+160)+'計算A'!DK$5*50+IF(AND($E14=1,MX14=0),25,0),INDEX('計算A'!DK$110:DK$114,$F14+1)+IF(AND($E14=1,MX14=0),1000,0)+IF($H14=1,(IF('計算A'!DJ$117=1,INDEX('計算A'!DJ$10:DJ$54,$B14),0)+IF('計算A'!DK$117=1,INDEX('計算A'!DL$10:DL$54,$B14),0))*500,0)-IF(AND('計算A'!DJ$117=1,YH14&gt;0),300,0)-IF(AND($L14=1,'計算A'!DK$117=1,HJ14=0),300,0))),1000000))</f>
        <v/>
      </c>
      <c r="SN14">
        <f>IF($B14=0,1000000,IF(INDEX('計算A'!$D$60:$EQ$104,$B14,113)*HJ14=1,IF(AND($E14=2,MY14=0),1000000,IF($I14&gt;0,IF(5=$J14,IF(OR(AND(113=$I14+1,OR($K14&lt;&gt;'計算A'!$A$3,'計算A'!$A$4=0)),AND(113=$I14-1,OR(17&lt;&gt;'計算A'!$A$3,'計算A'!$A$4=0))),0,IF(17=$K14,200000,ABS(17-$K14)*100)),100000+ABS(5-$J14)*1000+170)+'計算A'!DL$5*50+IF(AND($E14=1,MY14=0),25,0),INDEX('計算A'!DL$110:DL$114,$F14+1)+IF(AND($E14=1,MY14=0),1000,0)+IF($H14=1,(IF('計算A'!DK$117=1,INDEX('計算A'!DK$10:DK$54,$B14),0)+IF('計算A'!DL$117=1,INDEX('計算A'!DM$10:DM$54,$B14),0))*500,0)-IF(AND('計算A'!DK$117=1,YI14&gt;0),300,0)-IF(AND($L14=1,'計算A'!DL$117=1,HK14=0),300,0))),1000000))</f>
        <v/>
      </c>
      <c r="SO14">
        <f>IF($B14=0,1000000,IF(INDEX('計算A'!$D$60:$EQ$104,$B14,114)*HK14=1,IF(AND($E14=2,MZ14=0),1000000,IF($I14&gt;0,IF(5=$J14,IF(OR(AND(114=$I14+1,OR($K14&lt;&gt;'計算A'!$A$3,'計算A'!$A$4=0)),AND(114=$I14-1,OR(18&lt;&gt;'計算A'!$A$3,'計算A'!$A$4=0))),0,IF(18=$K14,200000,ABS(18-$K14)*100)),100000+ABS(5-$J14)*1000+180)+'計算A'!DM$5*50+IF(AND($E14=1,MZ14=0),25,0),INDEX('計算A'!DM$110:DM$114,$F14+1)+IF(AND($E14=1,MZ14=0),1000,0)+IF($H14=1,(IF('計算A'!DL$117=1,INDEX('計算A'!DL$10:DL$54,$B14),0)+IF('計算A'!DM$117=1,INDEX('計算A'!DN$10:DN$54,$B14),0))*500,0)-IF(AND('計算A'!DL$117=1,YJ14&gt;0),300,0)-IF(AND($L14=1,'計算A'!DM$117=1,HL14=0),300,0))),1000000))</f>
        <v/>
      </c>
      <c r="SP14">
        <f>IF($B14=0,1000000,IF(INDEX('計算A'!$D$60:$EQ$104,$B14,115)*HL14=1,IF(AND($E14=2,NA14=0),1000000,IF($I14&gt;0,IF(5=$J14,IF(OR(AND(115=$I14+1,OR($K14&lt;&gt;'計算A'!$A$3,'計算A'!$A$4=0)),AND(115=$I14-1,OR(19&lt;&gt;'計算A'!$A$3,'計算A'!$A$4=0))),0,IF(19=$K14,200000,ABS(19-$K14)*100)),100000+ABS(5-$J14)*1000+190)+'計算A'!DN$5*50+IF(AND($E14=1,NA14=0),25,0),INDEX('計算A'!DN$110:DN$114,$F14+1)+IF(AND($E14=1,NA14=0),1000,0)+IF($H14=1,(IF('計算A'!DM$117=1,INDEX('計算A'!DM$10:DM$54,$B14),0)+IF('計算A'!DN$117=1,INDEX('計算A'!DO$10:DO$54,$B14),0))*500,0)-IF(AND('計算A'!DM$117=1,YK14&gt;0),300,0)-IF(AND($L14=1,'計算A'!DN$117=1,HM14=0),300,0))),1000000))</f>
        <v/>
      </c>
      <c r="SQ14">
        <f>IF($B14=0,1000000,IF(INDEX('計算A'!$D$60:$EQ$104,$B14,116)*HM14=1,IF(AND($E14=2,NB14=0),1000000,IF($I14&gt;0,IF(5=$J14,IF(OR(AND(116=$I14+1,OR($K14&lt;&gt;'計算A'!$A$3,'計算A'!$A$4=0)),AND(116=$I14-1,OR(20&lt;&gt;'計算A'!$A$3,'計算A'!$A$4=0))),0,IF(20=$K14,200000,ABS(20-$K14)*100)),100000+ABS(5-$J14)*1000+200)+'計算A'!DO$5*50+IF(AND($E14=1,NB14=0),25,0),INDEX('計算A'!DO$110:DO$114,$F14+1)+IF(AND($E14=1,NB14=0),1000,0)+IF($H14=1,(IF('計算A'!DN$117=1,INDEX('計算A'!DN$10:DN$54,$B14),0)+IF('計算A'!DO$117=1,INDEX('計算A'!DP$10:DP$54,$B14),0))*500,0)-IF(AND('計算A'!DN$117=1,YL14&gt;0),300,0)-IF(AND($L14=1,'計算A'!DO$117=1,HN14=0),300,0))),1000000))</f>
        <v/>
      </c>
      <c r="SR14">
        <f>IF($B14=0,1000000,IF(INDEX('計算A'!$D$60:$EQ$104,$B14,117)*HN14=1,IF(AND($E14=2,NC14=0),1000000,IF($I14&gt;0,IF(5=$J14,IF(OR(AND(117=$I14+1,OR($K14&lt;&gt;'計算A'!$A$3,'計算A'!$A$4=0)),AND(117=$I14-1,OR(21&lt;&gt;'計算A'!$A$3,'計算A'!$A$4=0))),0,IF(21=$K14,200000,ABS(21-$K14)*100)),100000+ABS(5-$J14)*1000+210)+'計算A'!DP$5*50+IF(AND($E14=1,NC14=0),25,0),INDEX('計算A'!DP$110:DP$114,$F14+1)+IF(AND($E14=1,NC14=0),1000,0)+IF($H14=1,(IF('計算A'!DO$117=1,INDEX('計算A'!DO$10:DO$54,$B14),0)+IF('計算A'!DP$117=1,INDEX('計算A'!DQ$10:DQ$54,$B14),0))*500,0)-IF(AND('計算A'!DO$117=1,YM14&gt;0),300,0)-IF(AND($L14=1,'計算A'!DP$117=1,HO14=0),300,0))),1000000))</f>
        <v/>
      </c>
      <c r="SS14">
        <f>IF($B14=0,1000000,IF(INDEX('計算A'!$D$60:$EQ$104,$B14,118)*HO14=1,IF(AND($E14=2,ND14=0),1000000,IF($I14&gt;0,IF(5=$J14,IF(OR(AND(118=$I14+1,OR($K14&lt;&gt;'計算A'!$A$3,'計算A'!$A$4=0)),AND(118=$I14-1,OR(22&lt;&gt;'計算A'!$A$3,'計算A'!$A$4=0))),0,IF(22=$K14,200000,ABS(22-$K14)*100)),100000+ABS(5-$J14)*1000+220)+'計算A'!DQ$5*50+IF(AND($E14=1,ND14=0),25,0),INDEX('計算A'!DQ$110:DQ$114,$F14+1)+IF(AND($E14=1,ND14=0),1000,0)+IF($H14=1,(IF('計算A'!DP$117=1,INDEX('計算A'!DP$10:DP$54,$B14),0)+IF('計算A'!DQ$117=1,INDEX('計算A'!DR$10:DR$54,$B14),0))*500,0)-IF(AND('計算A'!DP$117=1,YN14&gt;0),300,0)-IF(AND($L14=1,'計算A'!DQ$117=1,HP14=0),300,0))),1000000))</f>
        <v/>
      </c>
      <c r="ST14">
        <f>IF($B14=0,1000000,IF(INDEX('計算A'!$D$60:$EQ$104,$B14,119)*HP14=1,IF(AND($E14=2,NE14=0),1000000,IF($I14&gt;0,IF(5=$J14,IF(OR(AND(119=$I14+1,OR($K14&lt;&gt;'計算A'!$A$3,'計算A'!$A$4=0)),AND(119=$I14-1,OR(23&lt;&gt;'計算A'!$A$3,'計算A'!$A$4=0))),0,IF(23=$K14,200000,ABS(23-$K14)*100)),100000+ABS(5-$J14)*1000+230)+'計算A'!DR$5*50+IF(AND($E14=1,NE14=0),25,0),INDEX('計算A'!DR$110:DR$114,$F14+1)+IF(AND($E14=1,NE14=0),1000,0)+IF($H14=1,(IF('計算A'!DQ$117=1,INDEX('計算A'!DQ$10:DQ$54,$B14),0)+IF('計算A'!DR$117=1,INDEX('計算A'!DS$10:DS$54,$B14),0))*500,0)-IF(AND('計算A'!DQ$117=1,YO14&gt;0),300,0)-IF(AND($L14=1,'計算A'!DR$117=1,HQ14=0),300,0))),1000000))</f>
        <v/>
      </c>
      <c r="SU14">
        <f>IF($B14=0,1000000,IF(INDEX('計算A'!$D$60:$EQ$104,$B14,120)*HQ14=1,IF(AND($E14=2,NF14=0),1000000,IF($I14&gt;0,IF(5=$J14,IF(OR(AND(120=$I14+1,OR($K14&lt;&gt;'計算A'!$A$3,'計算A'!$A$4=0)),AND(120=$I14-1,OR(24&lt;&gt;'計算A'!$A$3,'計算A'!$A$4=0))),0,IF(24=$K14,200000,ABS(24-$K14)*100)),100000+ABS(5-$J14)*1000+240)+'計算A'!DS$5*50+IF(AND($E14=1,NF14=0),25,0),INDEX('計算A'!DS$110:DS$114,$F14+1)+IF(AND($E14=1,NF14=0),1000,0)+IF($H14=1,(IF('計算A'!DR$117=1,INDEX('計算A'!DR$10:DR$54,$B14),0))*500,0)-IF(AND('計算A'!DR$117=1,YP14&gt;0),300,0))),1000000))</f>
        <v/>
      </c>
      <c r="SV14">
        <f>IF($B14=0,1000000,IF(INDEX('計算A'!$D$60:$EQ$104,$B14,121)*HR14=1,IF(AND($E14=2,NG14=0),1000000,IF($I14&gt;0,IF(6=$J14,IF(OR(AND(121=$I14+1,OR($K14&lt;&gt;'計算A'!$A$3,'計算A'!$A$4=0)),AND(121=$I14-1,OR(1&lt;&gt;'計算A'!$A$3,'計算A'!$A$4=0))),0,IF(1=$K14,200000,ABS(1-$K14)*100)),100000+ABS(6-$J14)*1000+10)+'計算A'!DT$5*50+IF(AND($E14=1,NG14=0),25,0),INDEX('計算A'!DT$110:DT$114,$F14+1)+IF(AND($E14=1,NG14=0),1000,0)+IF($H14=1,(IF('計算A'!DT$117=1,INDEX('計算A'!DU$10:DU$54,$B14),0))*500,0)-IF(AND($L14=1,'計算A'!DT$117=1,HS14=0),300,0))),1000000))</f>
        <v/>
      </c>
      <c r="SW14">
        <f>IF($B14=0,1000000,IF(INDEX('計算A'!$D$60:$EQ$104,$B14,122)*HS14=1,IF(AND($E14=2,NH14=0),1000000,IF($I14&gt;0,IF(6=$J14,IF(OR(AND(122=$I14+1,OR($K14&lt;&gt;'計算A'!$A$3,'計算A'!$A$4=0)),AND(122=$I14-1,OR(2&lt;&gt;'計算A'!$A$3,'計算A'!$A$4=0))),0,IF(2=$K14,200000,ABS(2-$K14)*100)),100000+ABS(6-$J14)*1000+20)+'計算A'!DU$5*50+IF(AND($E14=1,NH14=0),25,0),INDEX('計算A'!DU$110:DU$114,$F14+1)+IF(AND($E14=1,NH14=0),1000,0)+IF($H14=1,(IF('計算A'!DT$117=1,INDEX('計算A'!DT$10:DT$54,$B14),0)+IF('計算A'!DU$117=1,INDEX('計算A'!DV$10:DV$54,$B14),0))*500,0)-IF(AND('計算A'!DT$117=1,YR14&gt;0),300,0)-IF(AND($L14=1,'計算A'!DU$117=1,HT14=0),300,0))),1000000))</f>
        <v/>
      </c>
      <c r="SX14">
        <f>IF($B14=0,1000000,IF(INDEX('計算A'!$D$60:$EQ$104,$B14,123)*HT14=1,IF(AND($E14=2,NI14=0),1000000,IF($I14&gt;0,IF(6=$J14,IF(OR(AND(123=$I14+1,OR($K14&lt;&gt;'計算A'!$A$3,'計算A'!$A$4=0)),AND(123=$I14-1,OR(3&lt;&gt;'計算A'!$A$3,'計算A'!$A$4=0))),0,IF(3=$K14,200000,ABS(3-$K14)*100)),100000+ABS(6-$J14)*1000+30)+'計算A'!DV$5*50+IF(AND($E14=1,NI14=0),25,0),INDEX('計算A'!DV$110:DV$114,$F14+1)+IF(AND($E14=1,NI14=0),1000,0)+IF($H14=1,(IF('計算A'!DU$117=1,INDEX('計算A'!DU$10:DU$54,$B14),0)+IF('計算A'!DV$117=1,INDEX('計算A'!DW$10:DW$54,$B14),0))*500,0)-IF(AND('計算A'!DU$117=1,YS14&gt;0),300,0)-IF(AND($L14=1,'計算A'!DV$117=1,HU14=0),300,0))),1000000))</f>
        <v/>
      </c>
      <c r="SY14">
        <f>IF($B14=0,1000000,IF(INDEX('計算A'!$D$60:$EQ$104,$B14,124)*HU14=1,IF(AND($E14=2,NJ14=0),1000000,IF($I14&gt;0,IF(6=$J14,IF(OR(AND(124=$I14+1,OR($K14&lt;&gt;'計算A'!$A$3,'計算A'!$A$4=0)),AND(124=$I14-1,OR(4&lt;&gt;'計算A'!$A$3,'計算A'!$A$4=0))),0,IF(4=$K14,200000,ABS(4-$K14)*100)),100000+ABS(6-$J14)*1000+40)+'計算A'!DW$5*50+IF(AND($E14=1,NJ14=0),25,0),INDEX('計算A'!DW$110:DW$114,$F14+1)+IF(AND($E14=1,NJ14=0),1000,0)+IF($H14=1,(IF('計算A'!DV$117=1,INDEX('計算A'!DV$10:DV$54,$B14),0)+IF('計算A'!DW$117=1,INDEX('計算A'!DX$10:DX$54,$B14),0))*500,0)-IF(AND('計算A'!DV$117=1,YT14&gt;0),300,0)-IF(AND($L14=1,'計算A'!DW$117=1,HV14=0),300,0))),1000000))</f>
        <v/>
      </c>
      <c r="SZ14">
        <f>IF($B14=0,1000000,IF(INDEX('計算A'!$D$60:$EQ$104,$B14,125)*HV14=1,IF(AND($E14=2,NK14=0),1000000,IF($I14&gt;0,IF(6=$J14,IF(OR(AND(125=$I14+1,OR($K14&lt;&gt;'計算A'!$A$3,'計算A'!$A$4=0)),AND(125=$I14-1,OR(5&lt;&gt;'計算A'!$A$3,'計算A'!$A$4=0))),0,IF(5=$K14,200000,ABS(5-$K14)*100)),100000+ABS(6-$J14)*1000+50)+'計算A'!DX$5*50+IF(AND($E14=1,NK14=0),25,0),INDEX('計算A'!DX$110:DX$114,$F14+1)+IF(AND($E14=1,NK14=0),1000,0)+IF($H14=1,(IF('計算A'!DW$117=1,INDEX('計算A'!DW$10:DW$54,$B14),0)+IF('計算A'!DX$117=1,INDEX('計算A'!DY$10:DY$54,$B14),0))*500,0)-IF(AND('計算A'!DW$117=1,YU14&gt;0),300,0)-IF(AND($L14=1,'計算A'!DX$117=1,HW14=0),300,0))),1000000))</f>
        <v/>
      </c>
      <c r="TA14">
        <f>IF($B14=0,1000000,IF(INDEX('計算A'!$D$60:$EQ$104,$B14,126)*HW14=1,IF(AND($E14=2,NL14=0),1000000,IF($I14&gt;0,IF(6=$J14,IF(OR(AND(126=$I14+1,OR($K14&lt;&gt;'計算A'!$A$3,'計算A'!$A$4=0)),AND(126=$I14-1,OR(6&lt;&gt;'計算A'!$A$3,'計算A'!$A$4=0))),0,IF(6=$K14,200000,ABS(6-$K14)*100)),100000+ABS(6-$J14)*1000+60)+'計算A'!DY$5*50+IF(AND($E14=1,NL14=0),25,0),INDEX('計算A'!DY$110:DY$114,$F14+1)+IF(AND($E14=1,NL14=0),1000,0)+IF($H14=1,(IF('計算A'!DX$117=1,INDEX('計算A'!DX$10:DX$54,$B14),0)+IF('計算A'!DY$117=1,INDEX('計算A'!DZ$10:DZ$54,$B14),0))*500,0)-IF(AND('計算A'!DX$117=1,YV14&gt;0),300,0)-IF(AND($L14=1,'計算A'!DY$117=1,HX14=0),300,0))),1000000))</f>
        <v/>
      </c>
      <c r="TB14">
        <f>IF($B14=0,1000000,IF(INDEX('計算A'!$D$60:$EQ$104,$B14,127)*HX14=1,IF(AND($E14=2,NM14=0),1000000,IF($I14&gt;0,IF(6=$J14,IF(OR(AND(127=$I14+1,OR($K14&lt;&gt;'計算A'!$A$3,'計算A'!$A$4=0)),AND(127=$I14-1,OR(7&lt;&gt;'計算A'!$A$3,'計算A'!$A$4=0))),0,IF(7=$K14,200000,ABS(7-$K14)*100)),100000+ABS(6-$J14)*1000+70)+'計算A'!DZ$5*50+IF(AND($E14=1,NM14=0),25,0),INDEX('計算A'!DZ$110:DZ$114,$F14+1)+IF(AND($E14=1,NM14=0),1000,0)+IF($H14=1,(IF('計算A'!DY$117=1,INDEX('計算A'!DY$10:DY$54,$B14),0)+IF('計算A'!DZ$117=1,INDEX('計算A'!EA$10:EA$54,$B14),0))*500,0)-IF(AND('計算A'!DY$117=1,YW14&gt;0),300,0)-IF(AND($L14=1,'計算A'!DZ$117=1,HY14=0),300,0))),1000000))</f>
        <v/>
      </c>
      <c r="TC14">
        <f>IF($B14=0,1000000,IF(INDEX('計算A'!$D$60:$EQ$104,$B14,128)*HY14=1,IF(AND($E14=2,NN14=0),1000000,IF($I14&gt;0,IF(6=$J14,IF(OR(AND(128=$I14+1,OR($K14&lt;&gt;'計算A'!$A$3,'計算A'!$A$4=0)),AND(128=$I14-1,OR(8&lt;&gt;'計算A'!$A$3,'計算A'!$A$4=0))),0,IF(8=$K14,200000,ABS(8-$K14)*100)),100000+ABS(6-$J14)*1000+80)+'計算A'!EA$5*50+IF(AND($E14=1,NN14=0),25,0),INDEX('計算A'!EA$110:EA$114,$F14+1)+IF(AND($E14=1,NN14=0),1000,0)+IF($H14=1,(IF('計算A'!DZ$117=1,INDEX('計算A'!DZ$10:DZ$54,$B14),0)+IF('計算A'!EA$117=1,INDEX('計算A'!EB$10:EB$54,$B14),0))*500,0)-IF(AND('計算A'!DZ$117=1,YX14&gt;0),300,0)-IF(AND($L14=1,'計算A'!EA$117=1,HZ14=0),300,0))),1000000))</f>
        <v/>
      </c>
      <c r="TD14">
        <f>IF($B14=0,1000000,IF(INDEX('計算A'!$D$60:$EQ$104,$B14,129)*HZ14=1,IF(AND($E14=2,NO14=0),1000000,IF($I14&gt;0,IF(6=$J14,IF(OR(AND(129=$I14+1,OR($K14&lt;&gt;'計算A'!$A$3,'計算A'!$A$4=0)),AND(129=$I14-1,OR(9&lt;&gt;'計算A'!$A$3,'計算A'!$A$4=0))),0,IF(9=$K14,200000,ABS(9-$K14)*100)),100000+ABS(6-$J14)*1000+90)+'計算A'!EB$5*50+IF(AND($E14=1,NO14=0),25,0),INDEX('計算A'!EB$110:EB$114,$F14+1)+IF(AND($E14=1,NO14=0),1000,0)+IF($H14=1,(IF('計算A'!EA$117=1,INDEX('計算A'!EA$10:EA$54,$B14),0)+IF('計算A'!EB$117=1,INDEX('計算A'!EC$10:EC$54,$B14),0))*500,0)-IF(AND('計算A'!EA$117=1,YY14&gt;0),300,0)-IF(AND($L14=1,'計算A'!EB$117=1,IA14=0),300,0))),1000000))</f>
        <v/>
      </c>
      <c r="TE14">
        <f>IF($B14=0,1000000,IF(INDEX('計算A'!$D$60:$EQ$104,$B14,130)*IA14=1,IF(AND($E14=2,NP14=0),1000000,IF($I14&gt;0,IF(6=$J14,IF(OR(AND(130=$I14+1,OR($K14&lt;&gt;'計算A'!$A$3,'計算A'!$A$4=0)),AND(130=$I14-1,OR(10&lt;&gt;'計算A'!$A$3,'計算A'!$A$4=0))),0,IF(10=$K14,200000,ABS(10-$K14)*100)),100000+ABS(6-$J14)*1000+100)+'計算A'!EC$5*50+IF(AND($E14=1,NP14=0),25,0),INDEX('計算A'!EC$110:EC$114,$F14+1)+IF(AND($E14=1,NP14=0),1000,0)+IF($H14=1,(IF('計算A'!EB$117=1,INDEX('計算A'!EB$10:EB$54,$B14),0)+IF('計算A'!EC$117=1,INDEX('計算A'!ED$10:ED$54,$B14),0))*500,0)-IF(AND('計算A'!EB$117=1,YZ14&gt;0),300,0)-IF(AND($L14=1,'計算A'!EC$117=1,IB14=0),300,0))),1000000))</f>
        <v/>
      </c>
      <c r="TF14">
        <f>IF($B14=0,1000000,IF(INDEX('計算A'!$D$60:$EQ$104,$B14,131)*IB14=1,IF(AND($E14=2,NQ14=0),1000000,IF($I14&gt;0,IF(6=$J14,IF(OR(AND(131=$I14+1,OR($K14&lt;&gt;'計算A'!$A$3,'計算A'!$A$4=0)),AND(131=$I14-1,OR(11&lt;&gt;'計算A'!$A$3,'計算A'!$A$4=0))),0,IF(11=$K14,200000,ABS(11-$K14)*100)),100000+ABS(6-$J14)*1000+110)+'計算A'!ED$5*50+IF(AND($E14=1,NQ14=0),25,0),INDEX('計算A'!ED$110:ED$114,$F14+1)+IF(AND($E14=1,NQ14=0),1000,0)+IF($H14=1,(IF('計算A'!EC$117=1,INDEX('計算A'!EC$10:EC$54,$B14),0)+IF('計算A'!ED$117=1,INDEX('計算A'!EE$10:EE$54,$B14),0))*500,0)-IF(AND('計算A'!EC$117=1,ZA14&gt;0),300,0)-IF(AND($L14=1,'計算A'!ED$117=1,IC14=0),300,0))),1000000))</f>
        <v/>
      </c>
      <c r="TG14">
        <f>IF($B14=0,1000000,IF(INDEX('計算A'!$D$60:$EQ$104,$B14,132)*IC14=1,IF(AND($E14=2,NR14=0),1000000,IF($I14&gt;0,IF(6=$J14,IF(OR(AND(132=$I14+1,OR($K14&lt;&gt;'計算A'!$A$3,'計算A'!$A$4=0)),AND(132=$I14-1,OR(12&lt;&gt;'計算A'!$A$3,'計算A'!$A$4=0))),0,IF(12=$K14,200000,ABS(12-$K14)*100)),100000+ABS(6-$J14)*1000+120)+'計算A'!EE$5*50+IF(AND($E14=1,NR14=0),25,0),INDEX('計算A'!EE$110:EE$114,$F14+1)+IF(AND($E14=1,NR14=0),1000,0)+IF($H14=1,(IF('計算A'!ED$117=1,INDEX('計算A'!ED$10:ED$54,$B14),0)+IF('計算A'!EE$117=1,INDEX('計算A'!EF$10:EF$54,$B14),0))*500,0)-IF(AND('計算A'!ED$117=1,ZB14&gt;0),300,0)-IF(AND($L14=1,'計算A'!EE$117=1,ID14=0),300,0))),1000000))</f>
        <v/>
      </c>
      <c r="TH14">
        <f>IF($B14=0,1000000,IF(INDEX('計算A'!$D$60:$EQ$104,$B14,133)*ID14=1,IF(AND($E14=2,NS14=0),1000000,IF($I14&gt;0,IF(6=$J14,IF(OR(AND(133=$I14+1,OR($K14&lt;&gt;'計算A'!$A$3,'計算A'!$A$4=0)),AND(133=$I14-1,OR(13&lt;&gt;'計算A'!$A$3,'計算A'!$A$4=0))),0,IF(13=$K14,200000,ABS(13-$K14)*100)),100000+ABS(6-$J14)*1000+130)+'計算A'!EF$5*50+IF(AND($E14=1,NS14=0),25,0),INDEX('計算A'!EF$110:EF$114,$F14+1)+IF(AND($E14=1,NS14=0),1000,0)+IF($H14=1,(IF('計算A'!EE$117=1,INDEX('計算A'!EE$10:EE$54,$B14),0)+IF('計算A'!EF$117=1,INDEX('計算A'!EG$10:EG$54,$B14),0))*500,0)-IF(AND('計算A'!EE$117=1,ZC14&gt;0),300,0)-IF(AND($L14=1,'計算A'!EF$117=1,IE14=0),300,0))),1000000))</f>
        <v/>
      </c>
      <c r="TI14">
        <f>IF($B14=0,1000000,IF(INDEX('計算A'!$D$60:$EQ$104,$B14,134)*IE14=1,IF(AND($E14=2,NT14=0),1000000,IF($I14&gt;0,IF(6=$J14,IF(OR(AND(134=$I14+1,OR($K14&lt;&gt;'計算A'!$A$3,'計算A'!$A$4=0)),AND(134=$I14-1,OR(14&lt;&gt;'計算A'!$A$3,'計算A'!$A$4=0))),0,IF(14=$K14,200000,ABS(14-$K14)*100)),100000+ABS(6-$J14)*1000+140)+'計算A'!EG$5*50+IF(AND($E14=1,NT14=0),25,0),INDEX('計算A'!EG$110:EG$114,$F14+1)+IF(AND($E14=1,NT14=0),1000,0)+IF($H14=1,(IF('計算A'!EF$117=1,INDEX('計算A'!EF$10:EF$54,$B14),0)+IF('計算A'!EG$117=1,INDEX('計算A'!EH$10:EH$54,$B14),0))*500,0)-IF(AND('計算A'!EF$117=1,ZD14&gt;0),300,0)-IF(AND($L14=1,'計算A'!EG$117=1,IF14=0),300,0))),1000000))</f>
        <v/>
      </c>
      <c r="TJ14">
        <f>IF($B14=0,1000000,IF(INDEX('計算A'!$D$60:$EQ$104,$B14,135)*IF14=1,IF(AND($E14=2,NU14=0),1000000,IF($I14&gt;0,IF(6=$J14,IF(OR(AND(135=$I14+1,OR($K14&lt;&gt;'計算A'!$A$3,'計算A'!$A$4=0)),AND(135=$I14-1,OR(15&lt;&gt;'計算A'!$A$3,'計算A'!$A$4=0))),0,IF(15=$K14,200000,ABS(15-$K14)*100)),100000+ABS(6-$J14)*1000+150)+'計算A'!EH$5*50+IF(AND($E14=1,NU14=0),25,0),INDEX('計算A'!EH$110:EH$114,$F14+1)+IF(AND($E14=1,NU14=0),1000,0)+IF($H14=1,(IF('計算A'!EG$117=1,INDEX('計算A'!EG$10:EG$54,$B14),0)+IF('計算A'!EH$117=1,INDEX('計算A'!EI$10:EI$54,$B14),0))*500,0)-IF(AND('計算A'!EG$117=1,ZE14&gt;0),300,0)-IF(AND($L14=1,'計算A'!EH$117=1,IG14=0),300,0))),1000000))</f>
        <v/>
      </c>
      <c r="TK14">
        <f>IF($B14=0,1000000,IF(INDEX('計算A'!$D$60:$EQ$104,$B14,136)*IG14=1,IF(AND($E14=2,NV14=0),1000000,IF($I14&gt;0,IF(6=$J14,IF(OR(AND(136=$I14+1,OR($K14&lt;&gt;'計算A'!$A$3,'計算A'!$A$4=0)),AND(136=$I14-1,OR(16&lt;&gt;'計算A'!$A$3,'計算A'!$A$4=0))),0,IF(16=$K14,200000,ABS(16-$K14)*100)),100000+ABS(6-$J14)*1000+160)+'計算A'!EI$5*50+IF(AND($E14=1,NV14=0),25,0),INDEX('計算A'!EI$110:EI$114,$F14+1)+IF(AND($E14=1,NV14=0),1000,0)+IF($H14=1,(IF('計算A'!EH$117=1,INDEX('計算A'!EH$10:EH$54,$B14),0)+IF('計算A'!EI$117=1,INDEX('計算A'!EJ$10:EJ$54,$B14),0))*500,0)-IF(AND('計算A'!EH$117=1,ZF14&gt;0),300,0)-IF(AND($L14=1,'計算A'!EI$117=1,IH14=0),300,0))),1000000))</f>
        <v/>
      </c>
      <c r="TL14">
        <f>IF($B14=0,1000000,IF(INDEX('計算A'!$D$60:$EQ$104,$B14,137)*IH14=1,IF(AND($E14=2,NW14=0),1000000,IF($I14&gt;0,IF(6=$J14,IF(OR(AND(137=$I14+1,OR($K14&lt;&gt;'計算A'!$A$3,'計算A'!$A$4=0)),AND(137=$I14-1,OR(17&lt;&gt;'計算A'!$A$3,'計算A'!$A$4=0))),0,IF(17=$K14,200000,ABS(17-$K14)*100)),100000+ABS(6-$J14)*1000+170)+'計算A'!EJ$5*50+IF(AND($E14=1,NW14=0),25,0),INDEX('計算A'!EJ$110:EJ$114,$F14+1)+IF(AND($E14=1,NW14=0),1000,0)+IF($H14=1,(IF('計算A'!EI$117=1,INDEX('計算A'!EI$10:EI$54,$B14),0)+IF('計算A'!EJ$117=1,INDEX('計算A'!EK$10:EK$54,$B14),0))*500,0)-IF(AND('計算A'!EI$117=1,ZG14&gt;0),300,0)-IF(AND($L14=1,'計算A'!EJ$117=1,II14=0),300,0))),1000000))</f>
        <v/>
      </c>
      <c r="TM14">
        <f>IF($B14=0,1000000,IF(INDEX('計算A'!$D$60:$EQ$104,$B14,138)*II14=1,IF(AND($E14=2,NX14=0),1000000,IF($I14&gt;0,IF(6=$J14,IF(OR(AND(138=$I14+1,OR($K14&lt;&gt;'計算A'!$A$3,'計算A'!$A$4=0)),AND(138=$I14-1,OR(18&lt;&gt;'計算A'!$A$3,'計算A'!$A$4=0))),0,IF(18=$K14,200000,ABS(18-$K14)*100)),100000+ABS(6-$J14)*1000+180)+'計算A'!EK$5*50+IF(AND($E14=1,NX14=0),25,0),INDEX('計算A'!EK$110:EK$114,$F14+1)+IF(AND($E14=1,NX14=0),1000,0)+IF($H14=1,(IF('計算A'!EJ$117=1,INDEX('計算A'!EJ$10:EJ$54,$B14),0)+IF('計算A'!EK$117=1,INDEX('計算A'!EL$10:EL$54,$B14),0))*500,0)-IF(AND('計算A'!EJ$117=1,ZH14&gt;0),300,0)-IF(AND($L14=1,'計算A'!EK$117=1,IJ14=0),300,0))),1000000))</f>
        <v/>
      </c>
      <c r="TN14">
        <f>IF($B14=0,1000000,IF(INDEX('計算A'!$D$60:$EQ$104,$B14,139)*IJ14=1,IF(AND($E14=2,NY14=0),1000000,IF($I14&gt;0,IF(6=$J14,IF(OR(AND(139=$I14+1,OR($K14&lt;&gt;'計算A'!$A$3,'計算A'!$A$4=0)),AND(139=$I14-1,OR(19&lt;&gt;'計算A'!$A$3,'計算A'!$A$4=0))),0,IF(19=$K14,200000,ABS(19-$K14)*100)),100000+ABS(6-$J14)*1000+190)+'計算A'!EL$5*50+IF(AND($E14=1,NY14=0),25,0),INDEX('計算A'!EL$110:EL$114,$F14+1)+IF(AND($E14=1,NY14=0),1000,0)+IF($H14=1,(IF('計算A'!EK$117=1,INDEX('計算A'!EK$10:EK$54,$B14),0)+IF('計算A'!EL$117=1,INDEX('計算A'!EM$10:EM$54,$B14),0))*500,0)-IF(AND('計算A'!EK$117=1,ZI14&gt;0),300,0)-IF(AND($L14=1,'計算A'!EL$117=1,IK14=0),300,0))),1000000))</f>
        <v/>
      </c>
      <c r="TO14">
        <f>IF($B14=0,1000000,IF(INDEX('計算A'!$D$60:$EQ$104,$B14,140)*IK14=1,IF(AND($E14=2,NZ14=0),1000000,IF($I14&gt;0,IF(6=$J14,IF(OR(AND(140=$I14+1,OR($K14&lt;&gt;'計算A'!$A$3,'計算A'!$A$4=0)),AND(140=$I14-1,OR(20&lt;&gt;'計算A'!$A$3,'計算A'!$A$4=0))),0,IF(20=$K14,200000,ABS(20-$K14)*100)),100000+ABS(6-$J14)*1000+200)+'計算A'!EM$5*50+IF(AND($E14=1,NZ14=0),25,0),INDEX('計算A'!EM$110:EM$114,$F14+1)+IF(AND($E14=1,NZ14=0),1000,0)+IF($H14=1,(IF('計算A'!EL$117=1,INDEX('計算A'!EL$10:EL$54,$B14),0)+IF('計算A'!EM$117=1,INDEX('計算A'!EN$10:EN$54,$B14),0))*500,0)-IF(AND('計算A'!EL$117=1,ZJ14&gt;0),300,0)-IF(AND($L14=1,'計算A'!EM$117=1,IL14=0),300,0))),1000000))</f>
        <v/>
      </c>
      <c r="TP14">
        <f>IF($B14=0,1000000,IF(INDEX('計算A'!$D$60:$EQ$104,$B14,141)*IL14=1,IF(AND($E14=2,OA14=0),1000000,IF($I14&gt;0,IF(6=$J14,IF(OR(AND(141=$I14+1,OR($K14&lt;&gt;'計算A'!$A$3,'計算A'!$A$4=0)),AND(141=$I14-1,OR(21&lt;&gt;'計算A'!$A$3,'計算A'!$A$4=0))),0,IF(21=$K14,200000,ABS(21-$K14)*100)),100000+ABS(6-$J14)*1000+210)+'計算A'!EN$5*50+IF(AND($E14=1,OA14=0),25,0),INDEX('計算A'!EN$110:EN$114,$F14+1)+IF(AND($E14=1,OA14=0),1000,0)+IF($H14=1,(IF('計算A'!EM$117=1,INDEX('計算A'!EM$10:EM$54,$B14),0)+IF('計算A'!EN$117=1,INDEX('計算A'!EO$10:EO$54,$B14),0))*500,0)-IF(AND('計算A'!EM$117=1,ZK14&gt;0),300,0)-IF(AND($L14=1,'計算A'!EN$117=1,IM14=0),300,0))),1000000))</f>
        <v/>
      </c>
      <c r="TQ14">
        <f>IF($B14=0,1000000,IF(INDEX('計算A'!$D$60:$EQ$104,$B14,142)*IM14=1,IF(AND($E14=2,OB14=0),1000000,IF($I14&gt;0,IF(6=$J14,IF(OR(AND(142=$I14+1,OR($K14&lt;&gt;'計算A'!$A$3,'計算A'!$A$4=0)),AND(142=$I14-1,OR(22&lt;&gt;'計算A'!$A$3,'計算A'!$A$4=0))),0,IF(22=$K14,200000,ABS(22-$K14)*100)),100000+ABS(6-$J14)*1000+220)+'計算A'!EO$5*50+IF(AND($E14=1,OB14=0),25,0),INDEX('計算A'!EO$110:EO$114,$F14+1)+IF(AND($E14=1,OB14=0),1000,0)+IF($H14=1,(IF('計算A'!EN$117=1,INDEX('計算A'!EN$10:EN$54,$B14),0)+IF('計算A'!EO$117=1,INDEX('計算A'!EP$10:EP$54,$B14),0))*500,0)-IF(AND('計算A'!EN$117=1,ZL14&gt;0),300,0)-IF(AND($L14=1,'計算A'!EO$117=1,IN14=0),300,0))),1000000))</f>
        <v/>
      </c>
      <c r="TR14">
        <f>IF($B14=0,1000000,IF(INDEX('計算A'!$D$60:$EQ$104,$B14,143)*IN14=1,IF(AND($E14=2,OC14=0),1000000,IF($I14&gt;0,IF(6=$J14,IF(OR(AND(143=$I14+1,OR($K14&lt;&gt;'計算A'!$A$3,'計算A'!$A$4=0)),AND(143=$I14-1,OR(23&lt;&gt;'計算A'!$A$3,'計算A'!$A$4=0))),0,IF(23=$K14,200000,ABS(23-$K14)*100)),100000+ABS(6-$J14)*1000+230)+'計算A'!EP$5*50+IF(AND($E14=1,OC14=0),25,0),INDEX('計算A'!EP$110:EP$114,$F14+1)+IF(AND($E14=1,OC14=0),1000,0)+IF($H14=1,(IF('計算A'!EO$117=1,INDEX('計算A'!EO$10:EO$54,$B14),0)+IF('計算A'!EP$117=1,INDEX('計算A'!EQ$10:EQ$54,$B14),0))*500,0)-IF(AND('計算A'!EO$117=1,ZM14&gt;0),300,0)-IF(AND($L14=1,'計算A'!EP$117=1,IO14=0),300,0))),1000000))</f>
        <v/>
      </c>
      <c r="TS14">
        <f>IF($B14=0,1000000,IF(INDEX('計算A'!$D$60:$EQ$104,$B14,144)*IO14=1,IF(AND($E14=2,OD14=0),1000000,IF($I14&gt;0,IF(6=$J14,IF(OR(AND(144=$I14+1,OR($K14&lt;&gt;'計算A'!$A$3,'計算A'!$A$4=0)),AND(144=$I14-1,OR(24&lt;&gt;'計算A'!$A$3,'計算A'!$A$4=0))),0,IF(24=$K14,200000,ABS(24-$K14)*100)),100000+ABS(6-$J14)*1000+240)+'計算A'!EQ$5*50+IF(AND($E14=1,OD14=0),25,0),INDEX('計算A'!EQ$110:EQ$114,$F14+1)+IF(AND($E14=1,OD14=0),1000,0)+IF($H14=1,(IF('計算A'!EP$117=1,INDEX('計算A'!EP$10:EP$54,$B14),0))*500,0)-IF(AND('計算A'!EP$117=1,ZN14&gt;0),300,0))),1000000))</f>
        <v/>
      </c>
      <c r="UB14">
        <f>UB13+IF(AND($C13=1,$L13=1),1,0)</f>
        <v/>
      </c>
      <c r="UC14">
        <f>UC13+IF(AND($C13=2,$L13=1),1,0)</f>
        <v/>
      </c>
      <c r="UD14">
        <f>UD13+IF(AND($C13=3,$L13=1),1,0)</f>
        <v/>
      </c>
      <c r="UE14">
        <f>UE13+IF(AND($C13=4,$L13=1),1,0)</f>
        <v/>
      </c>
      <c r="UF14">
        <f>UF13+IF(AND($C13=5,$L13=1),1,0)</f>
        <v/>
      </c>
      <c r="UG14">
        <f>UG13+IF(AND($C13=6,$L13=1),1,0)</f>
        <v/>
      </c>
      <c r="UH14">
        <f>UH13+IF(AND($C13=7,$L13=1),1,0)</f>
        <v/>
      </c>
      <c r="UI14">
        <f>UI13+IF(AND($C13=8,$L13=1),1,0)</f>
        <v/>
      </c>
      <c r="UJ14">
        <f>UJ13+IF(AND($C13=9,$L13=1),1,0)</f>
        <v/>
      </c>
      <c r="UK14">
        <f>UK13+IF(AND($C13=10,$L13=1),1,0)</f>
        <v/>
      </c>
      <c r="UL14">
        <f>UL13+IF(AND($C13=11,$L13=1),1,0)</f>
        <v/>
      </c>
      <c r="UM14">
        <f>UM13+IF(AND($C13=12,$L13=1),1,0)</f>
        <v/>
      </c>
      <c r="UN14">
        <f>UN13+IF(AND($C13=13,$L13=1),1,0)</f>
        <v/>
      </c>
      <c r="UO14">
        <f>UO13+IF(AND($C13=14,$L13=1),1,0)</f>
        <v/>
      </c>
      <c r="UP14">
        <f>UP13+IF(AND($C13=15,$L13=1),1,0)</f>
        <v/>
      </c>
      <c r="UQ14">
        <f>UQ13+IF(AND($C13=16,$L13=1),1,0)</f>
        <v/>
      </c>
      <c r="UR14">
        <f>UR13+IF(AND($C13=17,$L13=1),1,0)</f>
        <v/>
      </c>
      <c r="US14">
        <f>US13+IF(AND($C13=18,$L13=1),1,0)</f>
        <v/>
      </c>
      <c r="UT14">
        <f>UT13+IF(AND($C13=19,$L13=1),1,0)</f>
        <v/>
      </c>
      <c r="UU14">
        <f>UU13+IF(AND($C13=20,$L13=1),1,0)</f>
        <v/>
      </c>
      <c r="UV14">
        <f>UV13+IF(AND($C13=21,$L13=1),1,0)</f>
        <v/>
      </c>
      <c r="UW14">
        <f>UW13+IF(AND($C13=22,$L13=1),1,0)</f>
        <v/>
      </c>
      <c r="UX14">
        <f>UX13+IF(AND($C13=23,$L13=1),1,0)</f>
        <v/>
      </c>
      <c r="UY14">
        <f>UY13+IF(AND($C13=24,$L13=1),1,0)</f>
        <v/>
      </c>
      <c r="UZ14">
        <f>UZ13+IF(AND($C13=25,$L13=1),1,0)</f>
        <v/>
      </c>
      <c r="VA14">
        <f>VA13+IF(AND($C13=26,$L13=1),1,0)</f>
        <v/>
      </c>
      <c r="VB14">
        <f>VB13+IF(AND($C13=27,$L13=1),1,0)</f>
        <v/>
      </c>
      <c r="VC14">
        <f>VC13+IF(AND($C13=28,$L13=1),1,0)</f>
        <v/>
      </c>
      <c r="VD14">
        <f>VD13+IF(AND($C13=29,$L13=1),1,0)</f>
        <v/>
      </c>
      <c r="VE14">
        <f>VE13+IF(AND($C13=30,$L13=1),1,0)</f>
        <v/>
      </c>
      <c r="VF14">
        <f>VF13+IF(AND($C13=31,$L13=1),1,0)</f>
        <v/>
      </c>
      <c r="VG14">
        <f>VG13+IF(AND($C13=32,$L13=1),1,0)</f>
        <v/>
      </c>
      <c r="VH14">
        <f>VH13+IF(AND($C13=33,$L13=1),1,0)</f>
        <v/>
      </c>
      <c r="VI14">
        <f>VI13+IF(AND($C13=34,$L13=1),1,0)</f>
        <v/>
      </c>
      <c r="VJ14">
        <f>VJ13+IF(AND($C13=35,$L13=1),1,0)</f>
        <v/>
      </c>
      <c r="VK14">
        <f>VK13+IF(AND($C13=36,$L13=1),1,0)</f>
        <v/>
      </c>
      <c r="VL14">
        <f>VL13+IF(AND($C13=37,$L13=1),1,0)</f>
        <v/>
      </c>
      <c r="VM14">
        <f>VM13+IF(AND($C13=38,$L13=1),1,0)</f>
        <v/>
      </c>
      <c r="VN14">
        <f>VN13+IF(AND($C13=39,$L13=1),1,0)</f>
        <v/>
      </c>
      <c r="VO14">
        <f>VO13+IF(AND($C13=40,$L13=1),1,0)</f>
        <v/>
      </c>
      <c r="VP14">
        <f>VP13+IF(AND($C13=41,$L13=1),1,0)</f>
        <v/>
      </c>
      <c r="VQ14">
        <f>VQ13+IF(AND($C13=42,$L13=1),1,0)</f>
        <v/>
      </c>
      <c r="VR14">
        <f>VR13+IF(AND($C13=43,$L13=1),1,0)</f>
        <v/>
      </c>
      <c r="VS14">
        <f>VS13+IF(AND($C13=44,$L13=1),1,0)</f>
        <v/>
      </c>
      <c r="VT14">
        <f>VT13+IF(AND($C13=45,$L13=1),1,0)</f>
        <v/>
      </c>
      <c r="VU14">
        <f>VU13+IF(AND($C13=46,$L13=1),1,0)</f>
        <v/>
      </c>
      <c r="VV14">
        <f>VV13+IF(AND($C13=47,$L13=1),1,0)</f>
        <v/>
      </c>
      <c r="VW14">
        <f>VW13+IF(AND($C13=48,$L13=1),1,0)</f>
        <v/>
      </c>
      <c r="VX14">
        <f>VX13+IF(AND($C13=49,$L13=1),1,0)</f>
        <v/>
      </c>
      <c r="VY14">
        <f>VY13+IF(AND($C13=50,$L13=1),1,0)</f>
        <v/>
      </c>
      <c r="VZ14">
        <f>VZ13+IF(AND($C13=51,$L13=1),1,0)</f>
        <v/>
      </c>
      <c r="WA14">
        <f>WA13+IF(AND($C13=52,$L13=1),1,0)</f>
        <v/>
      </c>
      <c r="WB14">
        <f>WB13+IF(AND($C13=53,$L13=1),1,0)</f>
        <v/>
      </c>
      <c r="WC14">
        <f>WC13+IF(AND($C13=54,$L13=1),1,0)</f>
        <v/>
      </c>
      <c r="WD14">
        <f>WD13+IF(AND($C13=55,$L13=1),1,0)</f>
        <v/>
      </c>
      <c r="WE14">
        <f>WE13+IF(AND($C13=56,$L13=1),1,0)</f>
        <v/>
      </c>
      <c r="WF14">
        <f>WF13+IF(AND($C13=57,$L13=1),1,0)</f>
        <v/>
      </c>
      <c r="WG14">
        <f>WG13+IF(AND($C13=58,$L13=1),1,0)</f>
        <v/>
      </c>
      <c r="WH14">
        <f>WH13+IF(AND($C13=59,$L13=1),1,0)</f>
        <v/>
      </c>
      <c r="WI14">
        <f>WI13+IF(AND($C13=60,$L13=1),1,0)</f>
        <v/>
      </c>
      <c r="WJ14">
        <f>WJ13+IF(AND($C13=61,$L13=1),1,0)</f>
        <v/>
      </c>
      <c r="WK14">
        <f>WK13+IF(AND($C13=62,$L13=1),1,0)</f>
        <v/>
      </c>
      <c r="WL14">
        <f>WL13+IF(AND($C13=63,$L13=1),1,0)</f>
        <v/>
      </c>
      <c r="WM14">
        <f>WM13+IF(AND($C13=64,$L13=1),1,0)</f>
        <v/>
      </c>
      <c r="WN14">
        <f>WN13+IF(AND($C13=65,$L13=1),1,0)</f>
        <v/>
      </c>
      <c r="WO14">
        <f>WO13+IF(AND($C13=66,$L13=1),1,0)</f>
        <v/>
      </c>
      <c r="WP14">
        <f>WP13+IF(AND($C13=67,$L13=1),1,0)</f>
        <v/>
      </c>
      <c r="WQ14">
        <f>WQ13+IF(AND($C13=68,$L13=1),1,0)</f>
        <v/>
      </c>
      <c r="WR14">
        <f>WR13+IF(AND($C13=69,$L13=1),1,0)</f>
        <v/>
      </c>
      <c r="WS14">
        <f>WS13+IF(AND($C13=70,$L13=1),1,0)</f>
        <v/>
      </c>
      <c r="WT14">
        <f>WT13+IF(AND($C13=71,$L13=1),1,0)</f>
        <v/>
      </c>
      <c r="WU14">
        <f>WU13+IF(AND($C13=72,$L13=1),1,0)</f>
        <v/>
      </c>
      <c r="WV14">
        <f>WV13+IF(AND($C13=73,$L13=1),1,0)</f>
        <v/>
      </c>
      <c r="WW14">
        <f>WW13+IF(AND($C13=74,$L13=1),1,0)</f>
        <v/>
      </c>
      <c r="WX14">
        <f>WX13+IF(AND($C13=75,$L13=1),1,0)</f>
        <v/>
      </c>
      <c r="WY14">
        <f>WY13+IF(AND($C13=76,$L13=1),1,0)</f>
        <v/>
      </c>
      <c r="WZ14">
        <f>WZ13+IF(AND($C13=77,$L13=1),1,0)</f>
        <v/>
      </c>
      <c r="XA14">
        <f>XA13+IF(AND($C13=78,$L13=1),1,0)</f>
        <v/>
      </c>
      <c r="XB14">
        <f>XB13+IF(AND($C13=79,$L13=1),1,0)</f>
        <v/>
      </c>
      <c r="XC14">
        <f>XC13+IF(AND($C13=80,$L13=1),1,0)</f>
        <v/>
      </c>
      <c r="XD14">
        <f>XD13+IF(AND($C13=81,$L13=1),1,0)</f>
        <v/>
      </c>
      <c r="XE14">
        <f>XE13+IF(AND($C13=82,$L13=1),1,0)</f>
        <v/>
      </c>
      <c r="XF14">
        <f>XF13+IF(AND($C13=83,$L13=1),1,0)</f>
        <v/>
      </c>
      <c r="XG14">
        <f>XG13+IF(AND($C13=84,$L13=1),1,0)</f>
        <v/>
      </c>
      <c r="XH14">
        <f>XH13+IF(AND($C13=85,$L13=1),1,0)</f>
        <v/>
      </c>
      <c r="XI14">
        <f>XI13+IF(AND($C13=86,$L13=1),1,0)</f>
        <v/>
      </c>
      <c r="XJ14">
        <f>XJ13+IF(AND($C13=87,$L13=1),1,0)</f>
        <v/>
      </c>
      <c r="XK14">
        <f>XK13+IF(AND($C13=88,$L13=1),1,0)</f>
        <v/>
      </c>
      <c r="XL14">
        <f>XL13+IF(AND($C13=89,$L13=1),1,0)</f>
        <v/>
      </c>
      <c r="XM14">
        <f>XM13+IF(AND($C13=90,$L13=1),1,0)</f>
        <v/>
      </c>
      <c r="XN14">
        <f>XN13+IF(AND($C13=91,$L13=1),1,0)</f>
        <v/>
      </c>
      <c r="XO14">
        <f>XO13+IF(AND($C13=92,$L13=1),1,0)</f>
        <v/>
      </c>
      <c r="XP14">
        <f>XP13+IF(AND($C13=93,$L13=1),1,0)</f>
        <v/>
      </c>
      <c r="XQ14">
        <f>XQ13+IF(AND($C13=94,$L13=1),1,0)</f>
        <v/>
      </c>
      <c r="XR14">
        <f>XR13+IF(AND($C13=95,$L13=1),1,0)</f>
        <v/>
      </c>
      <c r="XS14">
        <f>XS13+IF(AND($C13=96,$L13=1),1,0)</f>
        <v/>
      </c>
      <c r="XT14">
        <f>XT13+IF(AND($C13=97,$L13=1),1,0)</f>
        <v/>
      </c>
      <c r="XU14">
        <f>XU13+IF(AND($C13=98,$L13=1),1,0)</f>
        <v/>
      </c>
      <c r="XV14">
        <f>XV13+IF(AND($C13=99,$L13=1),1,0)</f>
        <v/>
      </c>
      <c r="XW14">
        <f>XW13+IF(AND($C13=100,$L13=1),1,0)</f>
        <v/>
      </c>
      <c r="XX14">
        <f>XX13+IF(AND($C13=101,$L13=1),1,0)</f>
        <v/>
      </c>
      <c r="XY14">
        <f>XY13+IF(AND($C13=102,$L13=1),1,0)</f>
        <v/>
      </c>
      <c r="XZ14">
        <f>XZ13+IF(AND($C13=103,$L13=1),1,0)</f>
        <v/>
      </c>
      <c r="YA14">
        <f>YA13+IF(AND($C13=104,$L13=1),1,0)</f>
        <v/>
      </c>
      <c r="YB14">
        <f>YB13+IF(AND($C13=105,$L13=1),1,0)</f>
        <v/>
      </c>
      <c r="YC14">
        <f>YC13+IF(AND($C13=106,$L13=1),1,0)</f>
        <v/>
      </c>
      <c r="YD14">
        <f>YD13+IF(AND($C13=107,$L13=1),1,0)</f>
        <v/>
      </c>
      <c r="YE14">
        <f>YE13+IF(AND($C13=108,$L13=1),1,0)</f>
        <v/>
      </c>
      <c r="YF14">
        <f>YF13+IF(AND($C13=109,$L13=1),1,0)</f>
        <v/>
      </c>
      <c r="YG14">
        <f>YG13+IF(AND($C13=110,$L13=1),1,0)</f>
        <v/>
      </c>
      <c r="YH14">
        <f>YH13+IF(AND($C13=111,$L13=1),1,0)</f>
        <v/>
      </c>
      <c r="YI14">
        <f>YI13+IF(AND($C13=112,$L13=1),1,0)</f>
        <v/>
      </c>
      <c r="YJ14">
        <f>YJ13+IF(AND($C13=113,$L13=1),1,0)</f>
        <v/>
      </c>
      <c r="YK14">
        <f>YK13+IF(AND($C13=114,$L13=1),1,0)</f>
        <v/>
      </c>
      <c r="YL14">
        <f>YL13+IF(AND($C13=115,$L13=1),1,0)</f>
        <v/>
      </c>
      <c r="YM14">
        <f>YM13+IF(AND($C13=116,$L13=1),1,0)</f>
        <v/>
      </c>
      <c r="YN14">
        <f>YN13+IF(AND($C13=117,$L13=1),1,0)</f>
        <v/>
      </c>
      <c r="YO14">
        <f>YO13+IF(AND($C13=118,$L13=1),1,0)</f>
        <v/>
      </c>
      <c r="YP14">
        <f>YP13+IF(AND($C13=119,$L13=1),1,0)</f>
        <v/>
      </c>
      <c r="YQ14">
        <f>YQ13+IF(AND($C13=120,$L13=1),1,0)</f>
        <v/>
      </c>
      <c r="YR14">
        <f>YR13+IF(AND($C13=121,$L13=1),1,0)</f>
        <v/>
      </c>
      <c r="YS14">
        <f>YS13+IF(AND($C13=122,$L13=1),1,0)</f>
        <v/>
      </c>
      <c r="YT14">
        <f>YT13+IF(AND($C13=123,$L13=1),1,0)</f>
        <v/>
      </c>
      <c r="YU14">
        <f>YU13+IF(AND($C13=124,$L13=1),1,0)</f>
        <v/>
      </c>
      <c r="YV14">
        <f>YV13+IF(AND($C13=125,$L13=1),1,0)</f>
        <v/>
      </c>
      <c r="YW14">
        <f>YW13+IF(AND($C13=126,$L13=1),1,0)</f>
        <v/>
      </c>
      <c r="YX14">
        <f>YX13+IF(AND($C13=127,$L13=1),1,0)</f>
        <v/>
      </c>
      <c r="YY14">
        <f>YY13+IF(AND($C13=128,$L13=1),1,0)</f>
        <v/>
      </c>
      <c r="YZ14">
        <f>YZ13+IF(AND($C13=129,$L13=1),1,0)</f>
        <v/>
      </c>
      <c r="ZA14">
        <f>ZA13+IF(AND($C13=130,$L13=1),1,0)</f>
        <v/>
      </c>
      <c r="ZB14">
        <f>ZB13+IF(AND($C13=131,$L13=1),1,0)</f>
        <v/>
      </c>
      <c r="ZC14">
        <f>ZC13+IF(AND($C13=132,$L13=1),1,0)</f>
        <v/>
      </c>
      <c r="ZD14">
        <f>ZD13+IF(AND($C13=133,$L13=1),1,0)</f>
        <v/>
      </c>
      <c r="ZE14">
        <f>ZE13+IF(AND($C13=134,$L13=1),1,0)</f>
        <v/>
      </c>
      <c r="ZF14">
        <f>ZF13+IF(AND($C13=135,$L13=1),1,0)</f>
        <v/>
      </c>
      <c r="ZG14">
        <f>ZG13+IF(AND($C13=136,$L13=1),1,0)</f>
        <v/>
      </c>
      <c r="ZH14">
        <f>ZH13+IF(AND($C13=137,$L13=1),1,0)</f>
        <v/>
      </c>
      <c r="ZI14">
        <f>ZI13+IF(AND($C13=138,$L13=1),1,0)</f>
        <v/>
      </c>
      <c r="ZJ14">
        <f>ZJ13+IF(AND($C13=139,$L13=1),1,0)</f>
        <v/>
      </c>
      <c r="ZK14">
        <f>ZK13+IF(AND($C13=140,$L13=1),1,0)</f>
        <v/>
      </c>
      <c r="ZL14">
        <f>ZL13+IF(AND($C13=141,$L13=1),1,0)</f>
        <v/>
      </c>
      <c r="ZM14">
        <f>ZM13+IF(AND($C13=142,$L13=1),1,0)</f>
        <v/>
      </c>
      <c r="ZN14">
        <f>ZN13+IF(AND($C13=143,$L13=1),1,0)</f>
        <v/>
      </c>
      <c r="ZO14">
        <f>ZO13+IF(AND($C13=144,$L13=1),1,0)</f>
        <v/>
      </c>
    </row>
    <row r="15">
      <c r="A15" t="n">
        <v>13</v>
      </c>
      <c r="B15">
        <f>IF(MIN(BH15:CZ15)&gt;=1000000,0,MATCH(MIN(BH15:CZ15),BH15:CZ15,0))</f>
        <v/>
      </c>
      <c r="C15">
        <f>IF(MIN(OF15:TS15)&gt;=1000000,0,MATCH(MIN(OF15:TS15),OF15:TS15,0))</f>
        <v/>
      </c>
      <c r="D15">
        <f>IF(C15&gt;0,INDEX('計算A'!$D$5:$EQ$5,C15),0)</f>
        <v/>
      </c>
      <c r="E15">
        <f>IF(B15=0,0,INDEX('計算A'!$IQ$10:$IQ$54,B15))</f>
        <v/>
      </c>
      <c r="F15">
        <f>IF(B15=0,0,INDEX('計算A'!$IP$10:$IP$54,B15))</f>
        <v/>
      </c>
      <c r="G15">
        <f>IF(AND(C15&gt;0,E15&gt;0),IF(AND(INDEX('計算A'!$D$106:$EQ$106,C15)=1,INDEX($IQ15:$OD15,C15)=1),C15+1,0),0)</f>
        <v/>
      </c>
      <c r="H15">
        <f>IF(B15=0,0,INDEX('計算A'!$IW$10:$IW$54,B15))</f>
        <v/>
      </c>
      <c r="I15">
        <f>IF(B15=0,0,MAX(0,INDEX('計算A'!$IT$10:$IT$54,B15)))</f>
        <v/>
      </c>
      <c r="J15">
        <f>IF(I15=0,0,INDEX('計算A'!$D$2:$EQ$2,I15))</f>
        <v/>
      </c>
      <c r="K15">
        <f>IF(I15=0,0,INDEX('計算A'!$D$3:$EQ$3,I15))</f>
        <v/>
      </c>
      <c r="L15">
        <f>IF(B15=0,0,INDEX('計算A'!$IX$10:$IX$54,B15))</f>
        <v/>
      </c>
      <c r="N15">
        <f>MAX(N14,IF($B14=1,1,0))</f>
        <v/>
      </c>
      <c r="O15">
        <f>MAX(O14,IF($B14=2,1,0))</f>
        <v/>
      </c>
      <c r="P15">
        <f>MAX(P14,IF($B14=3,1,0))</f>
        <v/>
      </c>
      <c r="Q15">
        <f>MAX(Q14,IF($B14=4,1,0))</f>
        <v/>
      </c>
      <c r="R15">
        <f>MAX(R14,IF($B14=5,1,0))</f>
        <v/>
      </c>
      <c r="S15">
        <f>MAX(S14,IF($B14=6,1,0))</f>
        <v/>
      </c>
      <c r="T15">
        <f>MAX(T14,IF($B14=7,1,0))</f>
        <v/>
      </c>
      <c r="U15">
        <f>MAX(U14,IF($B14=8,1,0))</f>
        <v/>
      </c>
      <c r="V15">
        <f>MAX(V14,IF($B14=9,1,0))</f>
        <v/>
      </c>
      <c r="W15">
        <f>MAX(W14,IF($B14=10,1,0))</f>
        <v/>
      </c>
      <c r="X15">
        <f>MAX(X14,IF($B14=11,1,0))</f>
        <v/>
      </c>
      <c r="Y15">
        <f>MAX(Y14,IF($B14=12,1,0))</f>
        <v/>
      </c>
      <c r="Z15">
        <f>MAX(Z14,IF($B14=13,1,0))</f>
        <v/>
      </c>
      <c r="AA15">
        <f>MAX(AA14,IF($B14=14,1,0))</f>
        <v/>
      </c>
      <c r="AB15">
        <f>MAX(AB14,IF($B14=15,1,0))</f>
        <v/>
      </c>
      <c r="AC15">
        <f>MAX(AC14,IF($B14=16,1,0))</f>
        <v/>
      </c>
      <c r="AD15">
        <f>MAX(AD14,IF($B14=17,1,0))</f>
        <v/>
      </c>
      <c r="AE15">
        <f>MAX(AE14,IF($B14=18,1,0))</f>
        <v/>
      </c>
      <c r="AF15">
        <f>MAX(AF14,IF($B14=19,1,0))</f>
        <v/>
      </c>
      <c r="AG15">
        <f>MAX(AG14,IF($B14=20,1,0))</f>
        <v/>
      </c>
      <c r="AH15">
        <f>MAX(AH14,IF($B14=21,1,0))</f>
        <v/>
      </c>
      <c r="AI15">
        <f>MAX(AI14,IF($B14=22,1,0))</f>
        <v/>
      </c>
      <c r="AJ15">
        <f>MAX(AJ14,IF($B14=23,1,0))</f>
        <v/>
      </c>
      <c r="AK15">
        <f>MAX(AK14,IF($B14=24,1,0))</f>
        <v/>
      </c>
      <c r="AL15">
        <f>MAX(AL14,IF($B14=25,1,0))</f>
        <v/>
      </c>
      <c r="AM15">
        <f>MAX(AM14,IF($B14=26,1,0))</f>
        <v/>
      </c>
      <c r="AN15">
        <f>MAX(AN14,IF($B14=27,1,0))</f>
        <v/>
      </c>
      <c r="AO15">
        <f>MAX(AO14,IF($B14=28,1,0))</f>
        <v/>
      </c>
      <c r="AP15">
        <f>MAX(AP14,IF($B14=29,1,0))</f>
        <v/>
      </c>
      <c r="AQ15">
        <f>MAX(AQ14,IF($B14=30,1,0))</f>
        <v/>
      </c>
      <c r="AR15">
        <f>MAX(AR14,IF($B14=31,1,0))</f>
        <v/>
      </c>
      <c r="AS15">
        <f>MAX(AS14,IF($B14=32,1,0))</f>
        <v/>
      </c>
      <c r="AT15">
        <f>MAX(AT14,IF($B14=33,1,0))</f>
        <v/>
      </c>
      <c r="AU15">
        <f>MAX(AU14,IF($B14=34,1,0))</f>
        <v/>
      </c>
      <c r="AV15">
        <f>MAX(AV14,IF($B14=35,1,0))</f>
        <v/>
      </c>
      <c r="AW15">
        <f>MAX(AW14,IF($B14=36,1,0))</f>
        <v/>
      </c>
      <c r="AX15">
        <f>MAX(AX14,IF($B14=37,1,0))</f>
        <v/>
      </c>
      <c r="AY15">
        <f>MAX(AY14,IF($B14=38,1,0))</f>
        <v/>
      </c>
      <c r="AZ15">
        <f>MAX(AZ14,IF($B14=39,1,0))</f>
        <v/>
      </c>
      <c r="BA15">
        <f>MAX(BA14,IF($B14=40,1,0))</f>
        <v/>
      </c>
      <c r="BB15">
        <f>MAX(BB14,IF($B14=41,1,0))</f>
        <v/>
      </c>
      <c r="BC15">
        <f>MAX(BC14,IF($B14=42,1,0))</f>
        <v/>
      </c>
      <c r="BD15">
        <f>MAX(BD14,IF($B14=43,1,0))</f>
        <v/>
      </c>
      <c r="BE15">
        <f>MAX(BE14,IF($B14=44,1,0))</f>
        <v/>
      </c>
      <c r="BF15">
        <f>MAX(BF14,IF($B14=45,1,0))</f>
        <v/>
      </c>
      <c r="BH15">
        <f>IF(N15=1,1000000,IF('計算A'!$IT$10&gt;0,0,500000)+IF('計算A'!$IQ$10=2,SUMPRODUCT('計算A'!$D$60:$EQ$60,$DB15:$IO15,$IQ15:$OD15),SUMPRODUCT('計算A'!$D$60:$EQ$60,$DB15:$IO15))*1000+1)</f>
        <v/>
      </c>
      <c r="BI15">
        <f>IF(O15=1,1000000,IF('計算A'!$IT$11&gt;0,0,500000)+IF('計算A'!$IQ$11=2,SUMPRODUCT('計算A'!$D$61:$EQ$61,$DB15:$IO15,$IQ15:$OD15),SUMPRODUCT('計算A'!$D$61:$EQ$61,$DB15:$IO15))*1000+2)</f>
        <v/>
      </c>
      <c r="BJ15">
        <f>IF(P15=1,1000000,IF('計算A'!$IT$12&gt;0,0,500000)+IF('計算A'!$IQ$12=2,SUMPRODUCT('計算A'!$D$62:$EQ$62,$DB15:$IO15,$IQ15:$OD15),SUMPRODUCT('計算A'!$D$62:$EQ$62,$DB15:$IO15))*1000+3)</f>
        <v/>
      </c>
      <c r="BK15">
        <f>IF(Q15=1,1000000,IF('計算A'!$IT$13&gt;0,0,500000)+IF('計算A'!$IQ$13=2,SUMPRODUCT('計算A'!$D$63:$EQ$63,$DB15:$IO15,$IQ15:$OD15),SUMPRODUCT('計算A'!$D$63:$EQ$63,$DB15:$IO15))*1000+4)</f>
        <v/>
      </c>
      <c r="BL15">
        <f>IF(R15=1,1000000,IF('計算A'!$IT$14&gt;0,0,500000)+IF('計算A'!$IQ$14=2,SUMPRODUCT('計算A'!$D$64:$EQ$64,$DB15:$IO15,$IQ15:$OD15),SUMPRODUCT('計算A'!$D$64:$EQ$64,$DB15:$IO15))*1000+5)</f>
        <v/>
      </c>
      <c r="BM15">
        <f>IF(S15=1,1000000,IF('計算A'!$IT$15&gt;0,0,500000)+IF('計算A'!$IQ$15=2,SUMPRODUCT('計算A'!$D$65:$EQ$65,$DB15:$IO15,$IQ15:$OD15),SUMPRODUCT('計算A'!$D$65:$EQ$65,$DB15:$IO15))*1000+6)</f>
        <v/>
      </c>
      <c r="BN15">
        <f>IF(T15=1,1000000,IF('計算A'!$IT$16&gt;0,0,500000)+IF('計算A'!$IQ$16=2,SUMPRODUCT('計算A'!$D$66:$EQ$66,$DB15:$IO15,$IQ15:$OD15),SUMPRODUCT('計算A'!$D$66:$EQ$66,$DB15:$IO15))*1000+7)</f>
        <v/>
      </c>
      <c r="BO15">
        <f>IF(U15=1,1000000,IF('計算A'!$IT$17&gt;0,0,500000)+IF('計算A'!$IQ$17=2,SUMPRODUCT('計算A'!$D$67:$EQ$67,$DB15:$IO15,$IQ15:$OD15),SUMPRODUCT('計算A'!$D$67:$EQ$67,$DB15:$IO15))*1000+8)</f>
        <v/>
      </c>
      <c r="BP15">
        <f>IF(V15=1,1000000,IF('計算A'!$IT$18&gt;0,0,500000)+IF('計算A'!$IQ$18=2,SUMPRODUCT('計算A'!$D$68:$EQ$68,$DB15:$IO15,$IQ15:$OD15),SUMPRODUCT('計算A'!$D$68:$EQ$68,$DB15:$IO15))*1000+9)</f>
        <v/>
      </c>
      <c r="BQ15">
        <f>IF(W15=1,1000000,IF('計算A'!$IT$19&gt;0,0,500000)+IF('計算A'!$IQ$19=2,SUMPRODUCT('計算A'!$D$69:$EQ$69,$DB15:$IO15,$IQ15:$OD15),SUMPRODUCT('計算A'!$D$69:$EQ$69,$DB15:$IO15))*1000+10)</f>
        <v/>
      </c>
      <c r="BR15">
        <f>IF(X15=1,1000000,IF('計算A'!$IT$20&gt;0,0,500000)+IF('計算A'!$IQ$20=2,SUMPRODUCT('計算A'!$D$70:$EQ$70,$DB15:$IO15,$IQ15:$OD15),SUMPRODUCT('計算A'!$D$70:$EQ$70,$DB15:$IO15))*1000+11)</f>
        <v/>
      </c>
      <c r="BS15">
        <f>IF(Y15=1,1000000,IF('計算A'!$IT$21&gt;0,0,500000)+IF('計算A'!$IQ$21=2,SUMPRODUCT('計算A'!$D$71:$EQ$71,$DB15:$IO15,$IQ15:$OD15),SUMPRODUCT('計算A'!$D$71:$EQ$71,$DB15:$IO15))*1000+12)</f>
        <v/>
      </c>
      <c r="BT15">
        <f>IF(Z15=1,1000000,IF('計算A'!$IT$22&gt;0,0,500000)+IF('計算A'!$IQ$22=2,SUMPRODUCT('計算A'!$D$72:$EQ$72,$DB15:$IO15,$IQ15:$OD15),SUMPRODUCT('計算A'!$D$72:$EQ$72,$DB15:$IO15))*1000+13)</f>
        <v/>
      </c>
      <c r="BU15">
        <f>IF(AA15=1,1000000,IF('計算A'!$IT$23&gt;0,0,500000)+IF('計算A'!$IQ$23=2,SUMPRODUCT('計算A'!$D$73:$EQ$73,$DB15:$IO15,$IQ15:$OD15),SUMPRODUCT('計算A'!$D$73:$EQ$73,$DB15:$IO15))*1000+14)</f>
        <v/>
      </c>
      <c r="BV15">
        <f>IF(AB15=1,1000000,IF('計算A'!$IT$24&gt;0,0,500000)+IF('計算A'!$IQ$24=2,SUMPRODUCT('計算A'!$D$74:$EQ$74,$DB15:$IO15,$IQ15:$OD15),SUMPRODUCT('計算A'!$D$74:$EQ$74,$DB15:$IO15))*1000+15)</f>
        <v/>
      </c>
      <c r="BW15">
        <f>IF(AC15=1,1000000,IF('計算A'!$IT$25&gt;0,0,500000)+IF('計算A'!$IQ$25=2,SUMPRODUCT('計算A'!$D$75:$EQ$75,$DB15:$IO15,$IQ15:$OD15),SUMPRODUCT('計算A'!$D$75:$EQ$75,$DB15:$IO15))*1000+16)</f>
        <v/>
      </c>
      <c r="BX15">
        <f>IF(AD15=1,1000000,IF('計算A'!$IT$26&gt;0,0,500000)+IF('計算A'!$IQ$26=2,SUMPRODUCT('計算A'!$D$76:$EQ$76,$DB15:$IO15,$IQ15:$OD15),SUMPRODUCT('計算A'!$D$76:$EQ$76,$DB15:$IO15))*1000+17)</f>
        <v/>
      </c>
      <c r="BY15">
        <f>IF(AE15=1,1000000,IF('計算A'!$IT$27&gt;0,0,500000)+IF('計算A'!$IQ$27=2,SUMPRODUCT('計算A'!$D$77:$EQ$77,$DB15:$IO15,$IQ15:$OD15),SUMPRODUCT('計算A'!$D$77:$EQ$77,$DB15:$IO15))*1000+18)</f>
        <v/>
      </c>
      <c r="BZ15">
        <f>IF(AF15=1,1000000,IF('計算A'!$IT$28&gt;0,0,500000)+IF('計算A'!$IQ$28=2,SUMPRODUCT('計算A'!$D$78:$EQ$78,$DB15:$IO15,$IQ15:$OD15),SUMPRODUCT('計算A'!$D$78:$EQ$78,$DB15:$IO15))*1000+19)</f>
        <v/>
      </c>
      <c r="CA15">
        <f>IF(AG15=1,1000000,IF('計算A'!$IT$29&gt;0,0,500000)+IF('計算A'!$IQ$29=2,SUMPRODUCT('計算A'!$D$79:$EQ$79,$DB15:$IO15,$IQ15:$OD15),SUMPRODUCT('計算A'!$D$79:$EQ$79,$DB15:$IO15))*1000+20)</f>
        <v/>
      </c>
      <c r="CB15">
        <f>IF(AH15=1,1000000,IF('計算A'!$IT$30&gt;0,0,500000)+IF('計算A'!$IQ$30=2,SUMPRODUCT('計算A'!$D$80:$EQ$80,$DB15:$IO15,$IQ15:$OD15),SUMPRODUCT('計算A'!$D$80:$EQ$80,$DB15:$IO15))*1000+21)</f>
        <v/>
      </c>
      <c r="CC15">
        <f>IF(AI15=1,1000000,IF('計算A'!$IT$31&gt;0,0,500000)+IF('計算A'!$IQ$31=2,SUMPRODUCT('計算A'!$D$81:$EQ$81,$DB15:$IO15,$IQ15:$OD15),SUMPRODUCT('計算A'!$D$81:$EQ$81,$DB15:$IO15))*1000+22)</f>
        <v/>
      </c>
      <c r="CD15">
        <f>IF(AJ15=1,1000000,IF('計算A'!$IT$32&gt;0,0,500000)+IF('計算A'!$IQ$32=2,SUMPRODUCT('計算A'!$D$82:$EQ$82,$DB15:$IO15,$IQ15:$OD15),SUMPRODUCT('計算A'!$D$82:$EQ$82,$DB15:$IO15))*1000+23)</f>
        <v/>
      </c>
      <c r="CE15">
        <f>IF(AK15=1,1000000,IF('計算A'!$IT$33&gt;0,0,500000)+IF('計算A'!$IQ$33=2,SUMPRODUCT('計算A'!$D$83:$EQ$83,$DB15:$IO15,$IQ15:$OD15),SUMPRODUCT('計算A'!$D$83:$EQ$83,$DB15:$IO15))*1000+24)</f>
        <v/>
      </c>
      <c r="CF15">
        <f>IF(AL15=1,1000000,IF('計算A'!$IT$34&gt;0,0,500000)+IF('計算A'!$IQ$34=2,SUMPRODUCT('計算A'!$D$84:$EQ$84,$DB15:$IO15,$IQ15:$OD15),SUMPRODUCT('計算A'!$D$84:$EQ$84,$DB15:$IO15))*1000+25)</f>
        <v/>
      </c>
      <c r="CG15">
        <f>IF(AM15=1,1000000,IF('計算A'!$IT$35&gt;0,0,500000)+IF('計算A'!$IQ$35=2,SUMPRODUCT('計算A'!$D$85:$EQ$85,$DB15:$IO15,$IQ15:$OD15),SUMPRODUCT('計算A'!$D$85:$EQ$85,$DB15:$IO15))*1000+26)</f>
        <v/>
      </c>
      <c r="CH15">
        <f>IF(AN15=1,1000000,IF('計算A'!$IT$36&gt;0,0,500000)+IF('計算A'!$IQ$36=2,SUMPRODUCT('計算A'!$D$86:$EQ$86,$DB15:$IO15,$IQ15:$OD15),SUMPRODUCT('計算A'!$D$86:$EQ$86,$DB15:$IO15))*1000+27)</f>
        <v/>
      </c>
      <c r="CI15">
        <f>IF(AO15=1,1000000,IF('計算A'!$IT$37&gt;0,0,500000)+IF('計算A'!$IQ$37=2,SUMPRODUCT('計算A'!$D$87:$EQ$87,$DB15:$IO15,$IQ15:$OD15),SUMPRODUCT('計算A'!$D$87:$EQ$87,$DB15:$IO15))*1000+28)</f>
        <v/>
      </c>
      <c r="CJ15">
        <f>IF(AP15=1,1000000,IF('計算A'!$IT$38&gt;0,0,500000)+IF('計算A'!$IQ$38=2,SUMPRODUCT('計算A'!$D$88:$EQ$88,$DB15:$IO15,$IQ15:$OD15),SUMPRODUCT('計算A'!$D$88:$EQ$88,$DB15:$IO15))*1000+29)</f>
        <v/>
      </c>
      <c r="CK15">
        <f>IF(AQ15=1,1000000,IF('計算A'!$IT$39&gt;0,0,500000)+IF('計算A'!$IQ$39=2,SUMPRODUCT('計算A'!$D$89:$EQ$89,$DB15:$IO15,$IQ15:$OD15),SUMPRODUCT('計算A'!$D$89:$EQ$89,$DB15:$IO15))*1000+30)</f>
        <v/>
      </c>
      <c r="CL15">
        <f>IF(AR15=1,1000000,IF('計算A'!$IT$40&gt;0,0,500000)+IF('計算A'!$IQ$40=2,SUMPRODUCT('計算A'!$D$90:$EQ$90,$DB15:$IO15,$IQ15:$OD15),SUMPRODUCT('計算A'!$D$90:$EQ$90,$DB15:$IO15))*1000+31)</f>
        <v/>
      </c>
      <c r="CM15">
        <f>IF(AS15=1,1000000,IF('計算A'!$IT$41&gt;0,0,500000)+IF('計算A'!$IQ$41=2,SUMPRODUCT('計算A'!$D$91:$EQ$91,$DB15:$IO15,$IQ15:$OD15),SUMPRODUCT('計算A'!$D$91:$EQ$91,$DB15:$IO15))*1000+32)</f>
        <v/>
      </c>
      <c r="CN15">
        <f>IF(AT15=1,1000000,IF('計算A'!$IT$42&gt;0,0,500000)+IF('計算A'!$IQ$42=2,SUMPRODUCT('計算A'!$D$92:$EQ$92,$DB15:$IO15,$IQ15:$OD15),SUMPRODUCT('計算A'!$D$92:$EQ$92,$DB15:$IO15))*1000+33)</f>
        <v/>
      </c>
      <c r="CO15">
        <f>IF(AU15=1,1000000,IF('計算A'!$IT$43&gt;0,0,500000)+IF('計算A'!$IQ$43=2,SUMPRODUCT('計算A'!$D$93:$EQ$93,$DB15:$IO15,$IQ15:$OD15),SUMPRODUCT('計算A'!$D$93:$EQ$93,$DB15:$IO15))*1000+34)</f>
        <v/>
      </c>
      <c r="CP15">
        <f>IF(AV15=1,1000000,IF('計算A'!$IT$44&gt;0,0,500000)+IF('計算A'!$IQ$44=2,SUMPRODUCT('計算A'!$D$94:$EQ$94,$DB15:$IO15,$IQ15:$OD15),SUMPRODUCT('計算A'!$D$94:$EQ$94,$DB15:$IO15))*1000+35)</f>
        <v/>
      </c>
      <c r="CQ15">
        <f>IF(AW15=1,1000000,IF('計算A'!$IT$45&gt;0,0,500000)+IF('計算A'!$IQ$45=2,SUMPRODUCT('計算A'!$D$95:$EQ$95,$DB15:$IO15,$IQ15:$OD15),SUMPRODUCT('計算A'!$D$95:$EQ$95,$DB15:$IO15))*1000+36)</f>
        <v/>
      </c>
      <c r="CR15">
        <f>IF(AX15=1,1000000,IF('計算A'!$IT$46&gt;0,0,500000)+IF('計算A'!$IQ$46=2,SUMPRODUCT('計算A'!$D$96:$EQ$96,$DB15:$IO15,$IQ15:$OD15),SUMPRODUCT('計算A'!$D$96:$EQ$96,$DB15:$IO15))*1000+37)</f>
        <v/>
      </c>
      <c r="CS15">
        <f>IF(AY15=1,1000000,IF('計算A'!$IT$47&gt;0,0,500000)+IF('計算A'!$IQ$47=2,SUMPRODUCT('計算A'!$D$97:$EQ$97,$DB15:$IO15,$IQ15:$OD15),SUMPRODUCT('計算A'!$D$97:$EQ$97,$DB15:$IO15))*1000+38)</f>
        <v/>
      </c>
      <c r="CT15">
        <f>IF(AZ15=1,1000000,IF('計算A'!$IT$48&gt;0,0,500000)+IF('計算A'!$IQ$48=2,SUMPRODUCT('計算A'!$D$98:$EQ$98,$DB15:$IO15,$IQ15:$OD15),SUMPRODUCT('計算A'!$D$98:$EQ$98,$DB15:$IO15))*1000+39)</f>
        <v/>
      </c>
      <c r="CU15">
        <f>IF(BA15=1,1000000,IF('計算A'!$IT$49&gt;0,0,500000)+IF('計算A'!$IQ$49=2,SUMPRODUCT('計算A'!$D$99:$EQ$99,$DB15:$IO15,$IQ15:$OD15),SUMPRODUCT('計算A'!$D$99:$EQ$99,$DB15:$IO15))*1000+40)</f>
        <v/>
      </c>
      <c r="CV15">
        <f>IF(BB15=1,1000000,IF('計算A'!$IT$50&gt;0,0,500000)+IF('計算A'!$IQ$50=2,SUMPRODUCT('計算A'!$D$100:$EQ$100,$DB15:$IO15,$IQ15:$OD15),SUMPRODUCT('計算A'!$D$100:$EQ$100,$DB15:$IO15))*1000+41)</f>
        <v/>
      </c>
      <c r="CW15">
        <f>IF(BC15=1,1000000,IF('計算A'!$IT$51&gt;0,0,500000)+IF('計算A'!$IQ$51=2,SUMPRODUCT('計算A'!$D$101:$EQ$101,$DB15:$IO15,$IQ15:$OD15),SUMPRODUCT('計算A'!$D$101:$EQ$101,$DB15:$IO15))*1000+42)</f>
        <v/>
      </c>
      <c r="CX15">
        <f>IF(BD15=1,1000000,IF('計算A'!$IT$52&gt;0,0,500000)+IF('計算A'!$IQ$52=2,SUMPRODUCT('計算A'!$D$102:$EQ$102,$DB15:$IO15,$IQ15:$OD15),SUMPRODUCT('計算A'!$D$102:$EQ$102,$DB15:$IO15))*1000+43)</f>
        <v/>
      </c>
      <c r="CY15">
        <f>IF(BE15=1,1000000,IF('計算A'!$IT$53&gt;0,0,500000)+IF('計算A'!$IQ$53=2,SUMPRODUCT('計算A'!$D$103:$EQ$103,$DB15:$IO15,$IQ15:$OD15),SUMPRODUCT('計算A'!$D$103:$EQ$103,$DB15:$IO15))*1000+44)</f>
        <v/>
      </c>
      <c r="CZ15">
        <f>IF(BF15=1,1000000,IF('計算A'!$IT$54&gt;0,0,500000)+IF('計算A'!$IQ$54=2,SUMPRODUCT('計算A'!$D$104:$EQ$104,$DB15:$IO15,$IQ15:$OD15),SUMPRODUCT('計算A'!$D$104:$EQ$104,$DB15:$IO15))*1000+45)</f>
        <v/>
      </c>
      <c r="DB15">
        <f>DB14*IF(OR($C14=1,$G14=1),0,1)</f>
        <v/>
      </c>
      <c r="DC15">
        <f>DC14*IF(OR($C14=2,$G14=2),0,1)</f>
        <v/>
      </c>
      <c r="DD15">
        <f>DD14*IF(OR($C14=3,$G14=3),0,1)</f>
        <v/>
      </c>
      <c r="DE15">
        <f>DE14*IF(OR($C14=4,$G14=4),0,1)</f>
        <v/>
      </c>
      <c r="DF15">
        <f>DF14*IF(OR($C14=5,$G14=5),0,1)</f>
        <v/>
      </c>
      <c r="DG15">
        <f>DG14*IF(OR($C14=6,$G14=6),0,1)</f>
        <v/>
      </c>
      <c r="DH15">
        <f>DH14*IF(OR($C14=7,$G14=7),0,1)</f>
        <v/>
      </c>
      <c r="DI15">
        <f>DI14*IF(OR($C14=8,$G14=8),0,1)</f>
        <v/>
      </c>
      <c r="DJ15">
        <f>DJ14*IF(OR($C14=9,$G14=9),0,1)</f>
        <v/>
      </c>
      <c r="DK15">
        <f>DK14*IF(OR($C14=10,$G14=10),0,1)</f>
        <v/>
      </c>
      <c r="DL15">
        <f>DL14*IF(OR($C14=11,$G14=11),0,1)</f>
        <v/>
      </c>
      <c r="DM15">
        <f>DM14*IF(OR($C14=12,$G14=12),0,1)</f>
        <v/>
      </c>
      <c r="DN15">
        <f>DN14*IF(OR($C14=13,$G14=13),0,1)</f>
        <v/>
      </c>
      <c r="DO15">
        <f>DO14*IF(OR($C14=14,$G14=14),0,1)</f>
        <v/>
      </c>
      <c r="DP15">
        <f>DP14*IF(OR($C14=15,$G14=15),0,1)</f>
        <v/>
      </c>
      <c r="DQ15">
        <f>DQ14*IF(OR($C14=16,$G14=16),0,1)</f>
        <v/>
      </c>
      <c r="DR15">
        <f>DR14*IF(OR($C14=17,$G14=17),0,1)</f>
        <v/>
      </c>
      <c r="DS15">
        <f>DS14*IF(OR($C14=18,$G14=18),0,1)</f>
        <v/>
      </c>
      <c r="DT15">
        <f>DT14*IF(OR($C14=19,$G14=19),0,1)</f>
        <v/>
      </c>
      <c r="DU15">
        <f>DU14*IF(OR($C14=20,$G14=20),0,1)</f>
        <v/>
      </c>
      <c r="DV15">
        <f>DV14*IF(OR($C14=21,$G14=21),0,1)</f>
        <v/>
      </c>
      <c r="DW15">
        <f>DW14*IF(OR($C14=22,$G14=22),0,1)</f>
        <v/>
      </c>
      <c r="DX15">
        <f>DX14*IF(OR($C14=23,$G14=23),0,1)</f>
        <v/>
      </c>
      <c r="DY15">
        <f>DY14*IF(OR($C14=24,$G14=24),0,1)</f>
        <v/>
      </c>
      <c r="DZ15">
        <f>DZ14*IF(OR($C14=25,$G14=25),0,1)</f>
        <v/>
      </c>
      <c r="EA15">
        <f>EA14*IF(OR($C14=26,$G14=26),0,1)</f>
        <v/>
      </c>
      <c r="EB15">
        <f>EB14*IF(OR($C14=27,$G14=27),0,1)</f>
        <v/>
      </c>
      <c r="EC15">
        <f>EC14*IF(OR($C14=28,$G14=28),0,1)</f>
        <v/>
      </c>
      <c r="ED15">
        <f>ED14*IF(OR($C14=29,$G14=29),0,1)</f>
        <v/>
      </c>
      <c r="EE15">
        <f>EE14*IF(OR($C14=30,$G14=30),0,1)</f>
        <v/>
      </c>
      <c r="EF15">
        <f>EF14*IF(OR($C14=31,$G14=31),0,1)</f>
        <v/>
      </c>
      <c r="EG15">
        <f>EG14*IF(OR($C14=32,$G14=32),0,1)</f>
        <v/>
      </c>
      <c r="EH15">
        <f>EH14*IF(OR($C14=33,$G14=33),0,1)</f>
        <v/>
      </c>
      <c r="EI15">
        <f>EI14*IF(OR($C14=34,$G14=34),0,1)</f>
        <v/>
      </c>
      <c r="EJ15">
        <f>EJ14*IF(OR($C14=35,$G14=35),0,1)</f>
        <v/>
      </c>
      <c r="EK15">
        <f>EK14*IF(OR($C14=36,$G14=36),0,1)</f>
        <v/>
      </c>
      <c r="EL15">
        <f>EL14*IF(OR($C14=37,$G14=37),0,1)</f>
        <v/>
      </c>
      <c r="EM15">
        <f>EM14*IF(OR($C14=38,$G14=38),0,1)</f>
        <v/>
      </c>
      <c r="EN15">
        <f>EN14*IF(OR($C14=39,$G14=39),0,1)</f>
        <v/>
      </c>
      <c r="EO15">
        <f>EO14*IF(OR($C14=40,$G14=40),0,1)</f>
        <v/>
      </c>
      <c r="EP15">
        <f>EP14*IF(OR($C14=41,$G14=41),0,1)</f>
        <v/>
      </c>
      <c r="EQ15">
        <f>EQ14*IF(OR($C14=42,$G14=42),0,1)</f>
        <v/>
      </c>
      <c r="ER15">
        <f>ER14*IF(OR($C14=43,$G14=43),0,1)</f>
        <v/>
      </c>
      <c r="ES15">
        <f>ES14*IF(OR($C14=44,$G14=44),0,1)</f>
        <v/>
      </c>
      <c r="ET15">
        <f>ET14*IF(OR($C14=45,$G14=45),0,1)</f>
        <v/>
      </c>
      <c r="EU15">
        <f>EU14*IF(OR($C14=46,$G14=46),0,1)</f>
        <v/>
      </c>
      <c r="EV15">
        <f>EV14*IF(OR($C14=47,$G14=47),0,1)</f>
        <v/>
      </c>
      <c r="EW15">
        <f>EW14*IF(OR($C14=48,$G14=48),0,1)</f>
        <v/>
      </c>
      <c r="EX15">
        <f>EX14*IF(OR($C14=49,$G14=49),0,1)</f>
        <v/>
      </c>
      <c r="EY15">
        <f>EY14*IF(OR($C14=50,$G14=50),0,1)</f>
        <v/>
      </c>
      <c r="EZ15">
        <f>EZ14*IF(OR($C14=51,$G14=51),0,1)</f>
        <v/>
      </c>
      <c r="FA15">
        <f>FA14*IF(OR($C14=52,$G14=52),0,1)</f>
        <v/>
      </c>
      <c r="FB15">
        <f>FB14*IF(OR($C14=53,$G14=53),0,1)</f>
        <v/>
      </c>
      <c r="FC15">
        <f>FC14*IF(OR($C14=54,$G14=54),0,1)</f>
        <v/>
      </c>
      <c r="FD15">
        <f>FD14*IF(OR($C14=55,$G14=55),0,1)</f>
        <v/>
      </c>
      <c r="FE15">
        <f>FE14*IF(OR($C14=56,$G14=56),0,1)</f>
        <v/>
      </c>
      <c r="FF15">
        <f>FF14*IF(OR($C14=57,$G14=57),0,1)</f>
        <v/>
      </c>
      <c r="FG15">
        <f>FG14*IF(OR($C14=58,$G14=58),0,1)</f>
        <v/>
      </c>
      <c r="FH15">
        <f>FH14*IF(OR($C14=59,$G14=59),0,1)</f>
        <v/>
      </c>
      <c r="FI15">
        <f>FI14*IF(OR($C14=60,$G14=60),0,1)</f>
        <v/>
      </c>
      <c r="FJ15">
        <f>FJ14*IF(OR($C14=61,$G14=61),0,1)</f>
        <v/>
      </c>
      <c r="FK15">
        <f>FK14*IF(OR($C14=62,$G14=62),0,1)</f>
        <v/>
      </c>
      <c r="FL15">
        <f>FL14*IF(OR($C14=63,$G14=63),0,1)</f>
        <v/>
      </c>
      <c r="FM15">
        <f>FM14*IF(OR($C14=64,$G14=64),0,1)</f>
        <v/>
      </c>
      <c r="FN15">
        <f>FN14*IF(OR($C14=65,$G14=65),0,1)</f>
        <v/>
      </c>
      <c r="FO15">
        <f>FO14*IF(OR($C14=66,$G14=66),0,1)</f>
        <v/>
      </c>
      <c r="FP15">
        <f>FP14*IF(OR($C14=67,$G14=67),0,1)</f>
        <v/>
      </c>
      <c r="FQ15">
        <f>FQ14*IF(OR($C14=68,$G14=68),0,1)</f>
        <v/>
      </c>
      <c r="FR15">
        <f>FR14*IF(OR($C14=69,$G14=69),0,1)</f>
        <v/>
      </c>
      <c r="FS15">
        <f>FS14*IF(OR($C14=70,$G14=70),0,1)</f>
        <v/>
      </c>
      <c r="FT15">
        <f>FT14*IF(OR($C14=71,$G14=71),0,1)</f>
        <v/>
      </c>
      <c r="FU15">
        <f>FU14*IF(OR($C14=72,$G14=72),0,1)</f>
        <v/>
      </c>
      <c r="FV15">
        <f>FV14*IF(OR($C14=73,$G14=73),0,1)</f>
        <v/>
      </c>
      <c r="FW15">
        <f>FW14*IF(OR($C14=74,$G14=74),0,1)</f>
        <v/>
      </c>
      <c r="FX15">
        <f>FX14*IF(OR($C14=75,$G14=75),0,1)</f>
        <v/>
      </c>
      <c r="FY15">
        <f>FY14*IF(OR($C14=76,$G14=76),0,1)</f>
        <v/>
      </c>
      <c r="FZ15">
        <f>FZ14*IF(OR($C14=77,$G14=77),0,1)</f>
        <v/>
      </c>
      <c r="GA15">
        <f>GA14*IF(OR($C14=78,$G14=78),0,1)</f>
        <v/>
      </c>
      <c r="GB15">
        <f>GB14*IF(OR($C14=79,$G14=79),0,1)</f>
        <v/>
      </c>
      <c r="GC15">
        <f>GC14*IF(OR($C14=80,$G14=80),0,1)</f>
        <v/>
      </c>
      <c r="GD15">
        <f>GD14*IF(OR($C14=81,$G14=81),0,1)</f>
        <v/>
      </c>
      <c r="GE15">
        <f>GE14*IF(OR($C14=82,$G14=82),0,1)</f>
        <v/>
      </c>
      <c r="GF15">
        <f>GF14*IF(OR($C14=83,$G14=83),0,1)</f>
        <v/>
      </c>
      <c r="GG15">
        <f>GG14*IF(OR($C14=84,$G14=84),0,1)</f>
        <v/>
      </c>
      <c r="GH15">
        <f>GH14*IF(OR($C14=85,$G14=85),0,1)</f>
        <v/>
      </c>
      <c r="GI15">
        <f>GI14*IF(OR($C14=86,$G14=86),0,1)</f>
        <v/>
      </c>
      <c r="GJ15">
        <f>GJ14*IF(OR($C14=87,$G14=87),0,1)</f>
        <v/>
      </c>
      <c r="GK15">
        <f>GK14*IF(OR($C14=88,$G14=88),0,1)</f>
        <v/>
      </c>
      <c r="GL15">
        <f>GL14*IF(OR($C14=89,$G14=89),0,1)</f>
        <v/>
      </c>
      <c r="GM15">
        <f>GM14*IF(OR($C14=90,$G14=90),0,1)</f>
        <v/>
      </c>
      <c r="GN15">
        <f>GN14*IF(OR($C14=91,$G14=91),0,1)</f>
        <v/>
      </c>
      <c r="GO15">
        <f>GO14*IF(OR($C14=92,$G14=92),0,1)</f>
        <v/>
      </c>
      <c r="GP15">
        <f>GP14*IF(OR($C14=93,$G14=93),0,1)</f>
        <v/>
      </c>
      <c r="GQ15">
        <f>GQ14*IF(OR($C14=94,$G14=94),0,1)</f>
        <v/>
      </c>
      <c r="GR15">
        <f>GR14*IF(OR($C14=95,$G14=95),0,1)</f>
        <v/>
      </c>
      <c r="GS15">
        <f>GS14*IF(OR($C14=96,$G14=96),0,1)</f>
        <v/>
      </c>
      <c r="GT15">
        <f>GT14*IF(OR($C14=97,$G14=97),0,1)</f>
        <v/>
      </c>
      <c r="GU15">
        <f>GU14*IF(OR($C14=98,$G14=98),0,1)</f>
        <v/>
      </c>
      <c r="GV15">
        <f>GV14*IF(OR($C14=99,$G14=99),0,1)</f>
        <v/>
      </c>
      <c r="GW15">
        <f>GW14*IF(OR($C14=100,$G14=100),0,1)</f>
        <v/>
      </c>
      <c r="GX15">
        <f>GX14*IF(OR($C14=101,$G14=101),0,1)</f>
        <v/>
      </c>
      <c r="GY15">
        <f>GY14*IF(OR($C14=102,$G14=102),0,1)</f>
        <v/>
      </c>
      <c r="GZ15">
        <f>GZ14*IF(OR($C14=103,$G14=103),0,1)</f>
        <v/>
      </c>
      <c r="HA15">
        <f>HA14*IF(OR($C14=104,$G14=104),0,1)</f>
        <v/>
      </c>
      <c r="HB15">
        <f>HB14*IF(OR($C14=105,$G14=105),0,1)</f>
        <v/>
      </c>
      <c r="HC15">
        <f>HC14*IF(OR($C14=106,$G14=106),0,1)</f>
        <v/>
      </c>
      <c r="HD15">
        <f>HD14*IF(OR($C14=107,$G14=107),0,1)</f>
        <v/>
      </c>
      <c r="HE15">
        <f>HE14*IF(OR($C14=108,$G14=108),0,1)</f>
        <v/>
      </c>
      <c r="HF15">
        <f>HF14*IF(OR($C14=109,$G14=109),0,1)</f>
        <v/>
      </c>
      <c r="HG15">
        <f>HG14*IF(OR($C14=110,$G14=110),0,1)</f>
        <v/>
      </c>
      <c r="HH15">
        <f>HH14*IF(OR($C14=111,$G14=111),0,1)</f>
        <v/>
      </c>
      <c r="HI15">
        <f>HI14*IF(OR($C14=112,$G14=112),0,1)</f>
        <v/>
      </c>
      <c r="HJ15">
        <f>HJ14*IF(OR($C14=113,$G14=113),0,1)</f>
        <v/>
      </c>
      <c r="HK15">
        <f>HK14*IF(OR($C14=114,$G14=114),0,1)</f>
        <v/>
      </c>
      <c r="HL15">
        <f>HL14*IF(OR($C14=115,$G14=115),0,1)</f>
        <v/>
      </c>
      <c r="HM15">
        <f>HM14*IF(OR($C14=116,$G14=116),0,1)</f>
        <v/>
      </c>
      <c r="HN15">
        <f>HN14*IF(OR($C14=117,$G14=117),0,1)</f>
        <v/>
      </c>
      <c r="HO15">
        <f>HO14*IF(OR($C14=118,$G14=118),0,1)</f>
        <v/>
      </c>
      <c r="HP15">
        <f>HP14*IF(OR($C14=119,$G14=119),0,1)</f>
        <v/>
      </c>
      <c r="HQ15">
        <f>HQ14*IF(OR($C14=120,$G14=120),0,1)</f>
        <v/>
      </c>
      <c r="HR15">
        <f>HR14*IF(OR($C14=121,$G14=121),0,1)</f>
        <v/>
      </c>
      <c r="HS15">
        <f>HS14*IF(OR($C14=122,$G14=122),0,1)</f>
        <v/>
      </c>
      <c r="HT15">
        <f>HT14*IF(OR($C14=123,$G14=123),0,1)</f>
        <v/>
      </c>
      <c r="HU15">
        <f>HU14*IF(OR($C14=124,$G14=124),0,1)</f>
        <v/>
      </c>
      <c r="HV15">
        <f>HV14*IF(OR($C14=125,$G14=125),0,1)</f>
        <v/>
      </c>
      <c r="HW15">
        <f>HW14*IF(OR($C14=126,$G14=126),0,1)</f>
        <v/>
      </c>
      <c r="HX15">
        <f>HX14*IF(OR($C14=127,$G14=127),0,1)</f>
        <v/>
      </c>
      <c r="HY15">
        <f>HY14*IF(OR($C14=128,$G14=128),0,1)</f>
        <v/>
      </c>
      <c r="HZ15">
        <f>HZ14*IF(OR($C14=129,$G14=129),0,1)</f>
        <v/>
      </c>
      <c r="IA15">
        <f>IA14*IF(OR($C14=130,$G14=130),0,1)</f>
        <v/>
      </c>
      <c r="IB15">
        <f>IB14*IF(OR($C14=131,$G14=131),0,1)</f>
        <v/>
      </c>
      <c r="IC15">
        <f>IC14*IF(OR($C14=132,$G14=132),0,1)</f>
        <v/>
      </c>
      <c r="ID15">
        <f>ID14*IF(OR($C14=133,$G14=133),0,1)</f>
        <v/>
      </c>
      <c r="IE15">
        <f>IE14*IF(OR($C14=134,$G14=134),0,1)</f>
        <v/>
      </c>
      <c r="IF15">
        <f>IF14*IF(OR($C14=135,$G14=135),0,1)</f>
        <v/>
      </c>
      <c r="IG15">
        <f>IG14*IF(OR($C14=136,$G14=136),0,1)</f>
        <v/>
      </c>
      <c r="IH15">
        <f>IH14*IF(OR($C14=137,$G14=137),0,1)</f>
        <v/>
      </c>
      <c r="II15">
        <f>II14*IF(OR($C14=138,$G14=138),0,1)</f>
        <v/>
      </c>
      <c r="IJ15">
        <f>IJ14*IF(OR($C14=139,$G14=139),0,1)</f>
        <v/>
      </c>
      <c r="IK15">
        <f>IK14*IF(OR($C14=140,$G14=140),0,1)</f>
        <v/>
      </c>
      <c r="IL15">
        <f>IL14*IF(OR($C14=141,$G14=141),0,1)</f>
        <v/>
      </c>
      <c r="IM15">
        <f>IM14*IF(OR($C14=142,$G14=142),0,1)</f>
        <v/>
      </c>
      <c r="IN15">
        <f>IN14*IF(OR($C14=143,$G14=143),0,1)</f>
        <v/>
      </c>
      <c r="IO15">
        <f>IO14*IF(OR($C14=144,$G14=144),0,1)</f>
        <v/>
      </c>
      <c r="IQ15">
        <f>IF('計算A'!D$106=1,DC15,1)</f>
        <v/>
      </c>
      <c r="IR15">
        <f>IF('計算A'!E$106=1,DD15,1)</f>
        <v/>
      </c>
      <c r="IS15">
        <f>IF('計算A'!F$106=1,DE15,1)</f>
        <v/>
      </c>
      <c r="IT15">
        <f>IF('計算A'!G$106=1,DF15,1)</f>
        <v/>
      </c>
      <c r="IU15">
        <f>IF('計算A'!H$106=1,DG15,1)</f>
        <v/>
      </c>
      <c r="IV15">
        <f>IF('計算A'!I$106=1,DH15,1)</f>
        <v/>
      </c>
      <c r="IW15">
        <f>IF('計算A'!J$106=1,DI15,1)</f>
        <v/>
      </c>
      <c r="IX15">
        <f>IF('計算A'!K$106=1,DJ15,1)</f>
        <v/>
      </c>
      <c r="IY15">
        <f>IF('計算A'!L$106=1,DK15,1)</f>
        <v/>
      </c>
      <c r="IZ15">
        <f>IF('計算A'!M$106=1,DL15,1)</f>
        <v/>
      </c>
      <c r="JA15">
        <f>IF('計算A'!N$106=1,DM15,1)</f>
        <v/>
      </c>
      <c r="JB15">
        <f>IF('計算A'!O$106=1,DN15,1)</f>
        <v/>
      </c>
      <c r="JC15">
        <f>IF('計算A'!P$106=1,DO15,1)</f>
        <v/>
      </c>
      <c r="JD15">
        <f>IF('計算A'!Q$106=1,DP15,1)</f>
        <v/>
      </c>
      <c r="JE15">
        <f>IF('計算A'!R$106=1,DQ15,1)</f>
        <v/>
      </c>
      <c r="JF15">
        <f>IF('計算A'!S$106=1,DR15,1)</f>
        <v/>
      </c>
      <c r="JG15">
        <f>IF('計算A'!T$106=1,DS15,1)</f>
        <v/>
      </c>
      <c r="JH15">
        <f>IF('計算A'!U$106=1,DT15,1)</f>
        <v/>
      </c>
      <c r="JI15">
        <f>IF('計算A'!V$106=1,DU15,1)</f>
        <v/>
      </c>
      <c r="JJ15">
        <f>IF('計算A'!W$106=1,DV15,1)</f>
        <v/>
      </c>
      <c r="JK15">
        <f>IF('計算A'!X$106=1,DW15,1)</f>
        <v/>
      </c>
      <c r="JL15">
        <f>IF('計算A'!Y$106=1,DX15,1)</f>
        <v/>
      </c>
      <c r="JM15">
        <f>IF('計算A'!Z$106=1,DY15,1)</f>
        <v/>
      </c>
      <c r="JN15">
        <f>IF('計算A'!AA$106=1,DZ15,1)</f>
        <v/>
      </c>
      <c r="JO15">
        <f>IF('計算A'!AB$106=1,EA15,1)</f>
        <v/>
      </c>
      <c r="JP15">
        <f>IF('計算A'!AC$106=1,EB15,1)</f>
        <v/>
      </c>
      <c r="JQ15">
        <f>IF('計算A'!AD$106=1,EC15,1)</f>
        <v/>
      </c>
      <c r="JR15">
        <f>IF('計算A'!AE$106=1,ED15,1)</f>
        <v/>
      </c>
      <c r="JS15">
        <f>IF('計算A'!AF$106=1,EE15,1)</f>
        <v/>
      </c>
      <c r="JT15">
        <f>IF('計算A'!AG$106=1,EF15,1)</f>
        <v/>
      </c>
      <c r="JU15">
        <f>IF('計算A'!AH$106=1,EG15,1)</f>
        <v/>
      </c>
      <c r="JV15">
        <f>IF('計算A'!AI$106=1,EH15,1)</f>
        <v/>
      </c>
      <c r="JW15">
        <f>IF('計算A'!AJ$106=1,EI15,1)</f>
        <v/>
      </c>
      <c r="JX15">
        <f>IF('計算A'!AK$106=1,EJ15,1)</f>
        <v/>
      </c>
      <c r="JY15">
        <f>IF('計算A'!AL$106=1,EK15,1)</f>
        <v/>
      </c>
      <c r="JZ15">
        <f>IF('計算A'!AM$106=1,EL15,1)</f>
        <v/>
      </c>
      <c r="KA15">
        <f>IF('計算A'!AN$106=1,EM15,1)</f>
        <v/>
      </c>
      <c r="KB15">
        <f>IF('計算A'!AO$106=1,EN15,1)</f>
        <v/>
      </c>
      <c r="KC15">
        <f>IF('計算A'!AP$106=1,EO15,1)</f>
        <v/>
      </c>
      <c r="KD15">
        <f>IF('計算A'!AQ$106=1,EP15,1)</f>
        <v/>
      </c>
      <c r="KE15">
        <f>IF('計算A'!AR$106=1,EQ15,1)</f>
        <v/>
      </c>
      <c r="KF15">
        <f>IF('計算A'!AS$106=1,ER15,1)</f>
        <v/>
      </c>
      <c r="KG15">
        <f>IF('計算A'!AT$106=1,ES15,1)</f>
        <v/>
      </c>
      <c r="KH15">
        <f>IF('計算A'!AU$106=1,ET15,1)</f>
        <v/>
      </c>
      <c r="KI15">
        <f>IF('計算A'!AV$106=1,EU15,1)</f>
        <v/>
      </c>
      <c r="KJ15">
        <f>IF('計算A'!AW$106=1,EV15,1)</f>
        <v/>
      </c>
      <c r="KK15">
        <f>IF('計算A'!AX$106=1,EW15,1)</f>
        <v/>
      </c>
      <c r="KL15">
        <f>IF('計算A'!AY$106=1,EX15,1)</f>
        <v/>
      </c>
      <c r="KM15">
        <f>IF('計算A'!AZ$106=1,EY15,1)</f>
        <v/>
      </c>
      <c r="KN15">
        <f>IF('計算A'!BA$106=1,EZ15,1)</f>
        <v/>
      </c>
      <c r="KO15">
        <f>IF('計算A'!BB$106=1,FA15,1)</f>
        <v/>
      </c>
      <c r="KP15">
        <f>IF('計算A'!BC$106=1,FB15,1)</f>
        <v/>
      </c>
      <c r="KQ15">
        <f>IF('計算A'!BD$106=1,FC15,1)</f>
        <v/>
      </c>
      <c r="KR15">
        <f>IF('計算A'!BE$106=1,FD15,1)</f>
        <v/>
      </c>
      <c r="KS15">
        <f>IF('計算A'!BF$106=1,FE15,1)</f>
        <v/>
      </c>
      <c r="KT15">
        <f>IF('計算A'!BG$106=1,FF15,1)</f>
        <v/>
      </c>
      <c r="KU15">
        <f>IF('計算A'!BH$106=1,FG15,1)</f>
        <v/>
      </c>
      <c r="KV15">
        <f>IF('計算A'!BI$106=1,FH15,1)</f>
        <v/>
      </c>
      <c r="KW15">
        <f>IF('計算A'!BJ$106=1,FI15,1)</f>
        <v/>
      </c>
      <c r="KX15">
        <f>IF('計算A'!BK$106=1,FJ15,1)</f>
        <v/>
      </c>
      <c r="KY15">
        <f>IF('計算A'!BL$106=1,FK15,1)</f>
        <v/>
      </c>
      <c r="KZ15">
        <f>IF('計算A'!BM$106=1,FL15,1)</f>
        <v/>
      </c>
      <c r="LA15">
        <f>IF('計算A'!BN$106=1,FM15,1)</f>
        <v/>
      </c>
      <c r="LB15">
        <f>IF('計算A'!BO$106=1,FN15,1)</f>
        <v/>
      </c>
      <c r="LC15">
        <f>IF('計算A'!BP$106=1,FO15,1)</f>
        <v/>
      </c>
      <c r="LD15">
        <f>IF('計算A'!BQ$106=1,FP15,1)</f>
        <v/>
      </c>
      <c r="LE15">
        <f>IF('計算A'!BR$106=1,FQ15,1)</f>
        <v/>
      </c>
      <c r="LF15">
        <f>IF('計算A'!BS$106=1,FR15,1)</f>
        <v/>
      </c>
      <c r="LG15">
        <f>IF('計算A'!BT$106=1,FS15,1)</f>
        <v/>
      </c>
      <c r="LH15">
        <f>IF('計算A'!BU$106=1,FT15,1)</f>
        <v/>
      </c>
      <c r="LI15">
        <f>IF('計算A'!BV$106=1,FU15,1)</f>
        <v/>
      </c>
      <c r="LJ15">
        <f>IF('計算A'!BW$106=1,FV15,1)</f>
        <v/>
      </c>
      <c r="LK15">
        <f>IF('計算A'!BX$106=1,FW15,1)</f>
        <v/>
      </c>
      <c r="LL15">
        <f>IF('計算A'!BY$106=1,FX15,1)</f>
        <v/>
      </c>
      <c r="LM15">
        <f>IF('計算A'!BZ$106=1,FY15,1)</f>
        <v/>
      </c>
      <c r="LN15">
        <f>IF('計算A'!CA$106=1,FZ15,1)</f>
        <v/>
      </c>
      <c r="LO15">
        <f>IF('計算A'!CB$106=1,GA15,1)</f>
        <v/>
      </c>
      <c r="LP15">
        <f>IF('計算A'!CC$106=1,GB15,1)</f>
        <v/>
      </c>
      <c r="LQ15">
        <f>IF('計算A'!CD$106=1,GC15,1)</f>
        <v/>
      </c>
      <c r="LR15">
        <f>IF('計算A'!CE$106=1,GD15,1)</f>
        <v/>
      </c>
      <c r="LS15">
        <f>IF('計算A'!CF$106=1,GE15,1)</f>
        <v/>
      </c>
      <c r="LT15">
        <f>IF('計算A'!CG$106=1,GF15,1)</f>
        <v/>
      </c>
      <c r="LU15">
        <f>IF('計算A'!CH$106=1,GG15,1)</f>
        <v/>
      </c>
      <c r="LV15">
        <f>IF('計算A'!CI$106=1,GH15,1)</f>
        <v/>
      </c>
      <c r="LW15">
        <f>IF('計算A'!CJ$106=1,GI15,1)</f>
        <v/>
      </c>
      <c r="LX15">
        <f>IF('計算A'!CK$106=1,GJ15,1)</f>
        <v/>
      </c>
      <c r="LY15">
        <f>IF('計算A'!CL$106=1,GK15,1)</f>
        <v/>
      </c>
      <c r="LZ15">
        <f>IF('計算A'!CM$106=1,GL15,1)</f>
        <v/>
      </c>
      <c r="MA15">
        <f>IF('計算A'!CN$106=1,GM15,1)</f>
        <v/>
      </c>
      <c r="MB15">
        <f>IF('計算A'!CO$106=1,GN15,1)</f>
        <v/>
      </c>
      <c r="MC15">
        <f>IF('計算A'!CP$106=1,GO15,1)</f>
        <v/>
      </c>
      <c r="MD15">
        <f>IF('計算A'!CQ$106=1,GP15,1)</f>
        <v/>
      </c>
      <c r="ME15">
        <f>IF('計算A'!CR$106=1,GQ15,1)</f>
        <v/>
      </c>
      <c r="MF15">
        <f>IF('計算A'!CS$106=1,GR15,1)</f>
        <v/>
      </c>
      <c r="MG15">
        <f>IF('計算A'!CT$106=1,GS15,1)</f>
        <v/>
      </c>
      <c r="MH15">
        <f>IF('計算A'!CU$106=1,GT15,1)</f>
        <v/>
      </c>
      <c r="MI15">
        <f>IF('計算A'!CV$106=1,GU15,1)</f>
        <v/>
      </c>
      <c r="MJ15">
        <f>IF('計算A'!CW$106=1,GV15,1)</f>
        <v/>
      </c>
      <c r="MK15">
        <f>IF('計算A'!CX$106=1,GW15,1)</f>
        <v/>
      </c>
      <c r="ML15">
        <f>IF('計算A'!CY$106=1,GX15,1)</f>
        <v/>
      </c>
      <c r="MM15">
        <f>IF('計算A'!CZ$106=1,GY15,1)</f>
        <v/>
      </c>
      <c r="MN15">
        <f>IF('計算A'!DA$106=1,GZ15,1)</f>
        <v/>
      </c>
      <c r="MO15">
        <f>IF('計算A'!DB$106=1,HA15,1)</f>
        <v/>
      </c>
      <c r="MP15">
        <f>IF('計算A'!DC$106=1,HB15,1)</f>
        <v/>
      </c>
      <c r="MQ15">
        <f>IF('計算A'!DD$106=1,HC15,1)</f>
        <v/>
      </c>
      <c r="MR15">
        <f>IF('計算A'!DE$106=1,HD15,1)</f>
        <v/>
      </c>
      <c r="MS15">
        <f>IF('計算A'!DF$106=1,HE15,1)</f>
        <v/>
      </c>
      <c r="MT15">
        <f>IF('計算A'!DG$106=1,HF15,1)</f>
        <v/>
      </c>
      <c r="MU15">
        <f>IF('計算A'!DH$106=1,HG15,1)</f>
        <v/>
      </c>
      <c r="MV15">
        <f>IF('計算A'!DI$106=1,HH15,1)</f>
        <v/>
      </c>
      <c r="MW15">
        <f>IF('計算A'!DJ$106=1,HI15,1)</f>
        <v/>
      </c>
      <c r="MX15">
        <f>IF('計算A'!DK$106=1,HJ15,1)</f>
        <v/>
      </c>
      <c r="MY15">
        <f>IF('計算A'!DL$106=1,HK15,1)</f>
        <v/>
      </c>
      <c r="MZ15">
        <f>IF('計算A'!DM$106=1,HL15,1)</f>
        <v/>
      </c>
      <c r="NA15">
        <f>IF('計算A'!DN$106=1,HM15,1)</f>
        <v/>
      </c>
      <c r="NB15">
        <f>IF('計算A'!DO$106=1,HN15,1)</f>
        <v/>
      </c>
      <c r="NC15">
        <f>IF('計算A'!DP$106=1,HO15,1)</f>
        <v/>
      </c>
      <c r="ND15">
        <f>IF('計算A'!DQ$106=1,HP15,1)</f>
        <v/>
      </c>
      <c r="NE15">
        <f>IF('計算A'!DR$106=1,HQ15,1)</f>
        <v/>
      </c>
      <c r="NF15">
        <f>IF('計算A'!DS$106=1,HR15,1)</f>
        <v/>
      </c>
      <c r="NG15">
        <f>IF('計算A'!DT$106=1,HS15,1)</f>
        <v/>
      </c>
      <c r="NH15">
        <f>IF('計算A'!DU$106=1,HT15,1)</f>
        <v/>
      </c>
      <c r="NI15">
        <f>IF('計算A'!DV$106=1,HU15,1)</f>
        <v/>
      </c>
      <c r="NJ15">
        <f>IF('計算A'!DW$106=1,HV15,1)</f>
        <v/>
      </c>
      <c r="NK15">
        <f>IF('計算A'!DX$106=1,HW15,1)</f>
        <v/>
      </c>
      <c r="NL15">
        <f>IF('計算A'!DY$106=1,HX15,1)</f>
        <v/>
      </c>
      <c r="NM15">
        <f>IF('計算A'!DZ$106=1,HY15,1)</f>
        <v/>
      </c>
      <c r="NN15">
        <f>IF('計算A'!EA$106=1,HZ15,1)</f>
        <v/>
      </c>
      <c r="NO15">
        <f>IF('計算A'!EB$106=1,IA15,1)</f>
        <v/>
      </c>
      <c r="NP15">
        <f>IF('計算A'!EC$106=1,IB15,1)</f>
        <v/>
      </c>
      <c r="NQ15">
        <f>IF('計算A'!ED$106=1,IC15,1)</f>
        <v/>
      </c>
      <c r="NR15">
        <f>IF('計算A'!EE$106=1,ID15,1)</f>
        <v/>
      </c>
      <c r="NS15">
        <f>IF('計算A'!EF$106=1,IE15,1)</f>
        <v/>
      </c>
      <c r="NT15">
        <f>IF('計算A'!EG$106=1,IF15,1)</f>
        <v/>
      </c>
      <c r="NU15">
        <f>IF('計算A'!EH$106=1,IG15,1)</f>
        <v/>
      </c>
      <c r="NV15">
        <f>IF('計算A'!EI$106=1,IH15,1)</f>
        <v/>
      </c>
      <c r="NW15">
        <f>IF('計算A'!EJ$106=1,II15,1)</f>
        <v/>
      </c>
      <c r="NX15">
        <f>IF('計算A'!EK$106=1,IJ15,1)</f>
        <v/>
      </c>
      <c r="NY15">
        <f>IF('計算A'!EL$106=1,IK15,1)</f>
        <v/>
      </c>
      <c r="NZ15">
        <f>IF('計算A'!EM$106=1,IL15,1)</f>
        <v/>
      </c>
      <c r="OA15">
        <f>IF('計算A'!EN$106=1,IM15,1)</f>
        <v/>
      </c>
      <c r="OB15">
        <f>IF('計算A'!EO$106=1,IN15,1)</f>
        <v/>
      </c>
      <c r="OC15">
        <f>IF('計算A'!EP$106=1,IO15,1)</f>
        <v/>
      </c>
      <c r="OD15" t="n">
        <v>1</v>
      </c>
      <c r="OF15">
        <f>IF($B15=0,1000000,IF(INDEX('計算A'!$D$60:$EQ$104,$B15,1)*DB15=1,IF(AND($E15=2,IQ15=0),1000000,IF($I15&gt;0,IF(1=$J15,IF(OR(AND(1=$I15+1,OR($K15&lt;&gt;'計算A'!$A$3,'計算A'!$A$4=0)),AND(1=$I15-1,OR(1&lt;&gt;'計算A'!$A$3,'計算A'!$A$4=0))),0,IF(1=$K15,200000,ABS(1-$K15)*100)),100000+ABS(1-$J15)*1000+10)+'計算A'!D$5*50+IF(AND($E15=1,IQ15=0),25,0),INDEX('計算A'!D$110:D$114,$F15+1)+IF(AND($E15=1,IQ15=0),1000,0)+IF($H15=1,(IF('計算A'!D$117=1,INDEX('計算A'!E$10:E$54,$B15),0))*500,0)-IF(AND($L15=1,'計算A'!D$117=1,DC15=0),300,0))),1000000))</f>
        <v/>
      </c>
      <c r="OG15">
        <f>IF($B15=0,1000000,IF(INDEX('計算A'!$D$60:$EQ$104,$B15,2)*DC15=1,IF(AND($E15=2,IR15=0),1000000,IF($I15&gt;0,IF(1=$J15,IF(OR(AND(2=$I15+1,OR($K15&lt;&gt;'計算A'!$A$3,'計算A'!$A$4=0)),AND(2=$I15-1,OR(2&lt;&gt;'計算A'!$A$3,'計算A'!$A$4=0))),0,IF(2=$K15,200000,ABS(2-$K15)*100)),100000+ABS(1-$J15)*1000+20)+'計算A'!E$5*50+IF(AND($E15=1,IR15=0),25,0),INDEX('計算A'!E$110:E$114,$F15+1)+IF(AND($E15=1,IR15=0),1000,0)+IF($H15=1,(IF('計算A'!D$117=1,INDEX('計算A'!D$10:D$54,$B15),0)+IF('計算A'!E$117=1,INDEX('計算A'!F$10:F$54,$B15),0))*500,0)-IF(AND('計算A'!D$117=1,UB15&gt;0),300,0)-IF(AND($L15=1,'計算A'!E$117=1,DD15=0),300,0))),1000000))</f>
        <v/>
      </c>
      <c r="OH15">
        <f>IF($B15=0,1000000,IF(INDEX('計算A'!$D$60:$EQ$104,$B15,3)*DD15=1,IF(AND($E15=2,IS15=0),1000000,IF($I15&gt;0,IF(1=$J15,IF(OR(AND(3=$I15+1,OR($K15&lt;&gt;'計算A'!$A$3,'計算A'!$A$4=0)),AND(3=$I15-1,OR(3&lt;&gt;'計算A'!$A$3,'計算A'!$A$4=0))),0,IF(3=$K15,200000,ABS(3-$K15)*100)),100000+ABS(1-$J15)*1000+30)+'計算A'!F$5*50+IF(AND($E15=1,IS15=0),25,0),INDEX('計算A'!F$110:F$114,$F15+1)+IF(AND($E15=1,IS15=0),1000,0)+IF($H15=1,(IF('計算A'!E$117=1,INDEX('計算A'!E$10:E$54,$B15),0)+IF('計算A'!F$117=1,INDEX('計算A'!G$10:G$54,$B15),0))*500,0)-IF(AND('計算A'!E$117=1,UC15&gt;0),300,0)-IF(AND($L15=1,'計算A'!F$117=1,DE15=0),300,0))),1000000))</f>
        <v/>
      </c>
      <c r="OI15">
        <f>IF($B15=0,1000000,IF(INDEX('計算A'!$D$60:$EQ$104,$B15,4)*DE15=1,IF(AND($E15=2,IT15=0),1000000,IF($I15&gt;0,IF(1=$J15,IF(OR(AND(4=$I15+1,OR($K15&lt;&gt;'計算A'!$A$3,'計算A'!$A$4=0)),AND(4=$I15-1,OR(4&lt;&gt;'計算A'!$A$3,'計算A'!$A$4=0))),0,IF(4=$K15,200000,ABS(4-$K15)*100)),100000+ABS(1-$J15)*1000+40)+'計算A'!G$5*50+IF(AND($E15=1,IT15=0),25,0),INDEX('計算A'!G$110:G$114,$F15+1)+IF(AND($E15=1,IT15=0),1000,0)+IF($H15=1,(IF('計算A'!F$117=1,INDEX('計算A'!F$10:F$54,$B15),0)+IF('計算A'!G$117=1,INDEX('計算A'!H$10:H$54,$B15),0))*500,0)-IF(AND('計算A'!F$117=1,UD15&gt;0),300,0)-IF(AND($L15=1,'計算A'!G$117=1,DF15=0),300,0))),1000000))</f>
        <v/>
      </c>
      <c r="OJ15">
        <f>IF($B15=0,1000000,IF(INDEX('計算A'!$D$60:$EQ$104,$B15,5)*DF15=1,IF(AND($E15=2,IU15=0),1000000,IF($I15&gt;0,IF(1=$J15,IF(OR(AND(5=$I15+1,OR($K15&lt;&gt;'計算A'!$A$3,'計算A'!$A$4=0)),AND(5=$I15-1,OR(5&lt;&gt;'計算A'!$A$3,'計算A'!$A$4=0))),0,IF(5=$K15,200000,ABS(5-$K15)*100)),100000+ABS(1-$J15)*1000+50)+'計算A'!H$5*50+IF(AND($E15=1,IU15=0),25,0),INDEX('計算A'!H$110:H$114,$F15+1)+IF(AND($E15=1,IU15=0),1000,0)+IF($H15=1,(IF('計算A'!G$117=1,INDEX('計算A'!G$10:G$54,$B15),0)+IF('計算A'!H$117=1,INDEX('計算A'!I$10:I$54,$B15),0))*500,0)-IF(AND('計算A'!G$117=1,UE15&gt;0),300,0)-IF(AND($L15=1,'計算A'!H$117=1,DG15=0),300,0))),1000000))</f>
        <v/>
      </c>
      <c r="OK15">
        <f>IF($B15=0,1000000,IF(INDEX('計算A'!$D$60:$EQ$104,$B15,6)*DG15=1,IF(AND($E15=2,IV15=0),1000000,IF($I15&gt;0,IF(1=$J15,IF(OR(AND(6=$I15+1,OR($K15&lt;&gt;'計算A'!$A$3,'計算A'!$A$4=0)),AND(6=$I15-1,OR(6&lt;&gt;'計算A'!$A$3,'計算A'!$A$4=0))),0,IF(6=$K15,200000,ABS(6-$K15)*100)),100000+ABS(1-$J15)*1000+60)+'計算A'!I$5*50+IF(AND($E15=1,IV15=0),25,0),INDEX('計算A'!I$110:I$114,$F15+1)+IF(AND($E15=1,IV15=0),1000,0)+IF($H15=1,(IF('計算A'!H$117=1,INDEX('計算A'!H$10:H$54,$B15),0)+IF('計算A'!I$117=1,INDEX('計算A'!J$10:J$54,$B15),0))*500,0)-IF(AND('計算A'!H$117=1,UF15&gt;0),300,0)-IF(AND($L15=1,'計算A'!I$117=1,DH15=0),300,0))),1000000))</f>
        <v/>
      </c>
      <c r="OL15">
        <f>IF($B15=0,1000000,IF(INDEX('計算A'!$D$60:$EQ$104,$B15,7)*DH15=1,IF(AND($E15=2,IW15=0),1000000,IF($I15&gt;0,IF(1=$J15,IF(OR(AND(7=$I15+1,OR($K15&lt;&gt;'計算A'!$A$3,'計算A'!$A$4=0)),AND(7=$I15-1,OR(7&lt;&gt;'計算A'!$A$3,'計算A'!$A$4=0))),0,IF(7=$K15,200000,ABS(7-$K15)*100)),100000+ABS(1-$J15)*1000+70)+'計算A'!J$5*50+IF(AND($E15=1,IW15=0),25,0),INDEX('計算A'!J$110:J$114,$F15+1)+IF(AND($E15=1,IW15=0),1000,0)+IF($H15=1,(IF('計算A'!I$117=1,INDEX('計算A'!I$10:I$54,$B15),0)+IF('計算A'!J$117=1,INDEX('計算A'!K$10:K$54,$B15),0))*500,0)-IF(AND('計算A'!I$117=1,UG15&gt;0),300,0)-IF(AND($L15=1,'計算A'!J$117=1,DI15=0),300,0))),1000000))</f>
        <v/>
      </c>
      <c r="OM15">
        <f>IF($B15=0,1000000,IF(INDEX('計算A'!$D$60:$EQ$104,$B15,8)*DI15=1,IF(AND($E15=2,IX15=0),1000000,IF($I15&gt;0,IF(1=$J15,IF(OR(AND(8=$I15+1,OR($K15&lt;&gt;'計算A'!$A$3,'計算A'!$A$4=0)),AND(8=$I15-1,OR(8&lt;&gt;'計算A'!$A$3,'計算A'!$A$4=0))),0,IF(8=$K15,200000,ABS(8-$K15)*100)),100000+ABS(1-$J15)*1000+80)+'計算A'!K$5*50+IF(AND($E15=1,IX15=0),25,0),INDEX('計算A'!K$110:K$114,$F15+1)+IF(AND($E15=1,IX15=0),1000,0)+IF($H15=1,(IF('計算A'!J$117=1,INDEX('計算A'!J$10:J$54,$B15),0)+IF('計算A'!K$117=1,INDEX('計算A'!L$10:L$54,$B15),0))*500,0)-IF(AND('計算A'!J$117=1,UH15&gt;0),300,0)-IF(AND($L15=1,'計算A'!K$117=1,DJ15=0),300,0))),1000000))</f>
        <v/>
      </c>
      <c r="ON15">
        <f>IF($B15=0,1000000,IF(INDEX('計算A'!$D$60:$EQ$104,$B15,9)*DJ15=1,IF(AND($E15=2,IY15=0),1000000,IF($I15&gt;0,IF(1=$J15,IF(OR(AND(9=$I15+1,OR($K15&lt;&gt;'計算A'!$A$3,'計算A'!$A$4=0)),AND(9=$I15-1,OR(9&lt;&gt;'計算A'!$A$3,'計算A'!$A$4=0))),0,IF(9=$K15,200000,ABS(9-$K15)*100)),100000+ABS(1-$J15)*1000+90)+'計算A'!L$5*50+IF(AND($E15=1,IY15=0),25,0),INDEX('計算A'!L$110:L$114,$F15+1)+IF(AND($E15=1,IY15=0),1000,0)+IF($H15=1,(IF('計算A'!K$117=1,INDEX('計算A'!K$10:K$54,$B15),0)+IF('計算A'!L$117=1,INDEX('計算A'!M$10:M$54,$B15),0))*500,0)-IF(AND('計算A'!K$117=1,UI15&gt;0),300,0)-IF(AND($L15=1,'計算A'!L$117=1,DK15=0),300,0))),1000000))</f>
        <v/>
      </c>
      <c r="OO15">
        <f>IF($B15=0,1000000,IF(INDEX('計算A'!$D$60:$EQ$104,$B15,10)*DK15=1,IF(AND($E15=2,IZ15=0),1000000,IF($I15&gt;0,IF(1=$J15,IF(OR(AND(10=$I15+1,OR($K15&lt;&gt;'計算A'!$A$3,'計算A'!$A$4=0)),AND(10=$I15-1,OR(10&lt;&gt;'計算A'!$A$3,'計算A'!$A$4=0))),0,IF(10=$K15,200000,ABS(10-$K15)*100)),100000+ABS(1-$J15)*1000+100)+'計算A'!M$5*50+IF(AND($E15=1,IZ15=0),25,0),INDEX('計算A'!M$110:M$114,$F15+1)+IF(AND($E15=1,IZ15=0),1000,0)+IF($H15=1,(IF('計算A'!L$117=1,INDEX('計算A'!L$10:L$54,$B15),0)+IF('計算A'!M$117=1,INDEX('計算A'!N$10:N$54,$B15),0))*500,0)-IF(AND('計算A'!L$117=1,UJ15&gt;0),300,0)-IF(AND($L15=1,'計算A'!M$117=1,DL15=0),300,0))),1000000))</f>
        <v/>
      </c>
      <c r="OP15">
        <f>IF($B15=0,1000000,IF(INDEX('計算A'!$D$60:$EQ$104,$B15,11)*DL15=1,IF(AND($E15=2,JA15=0),1000000,IF($I15&gt;0,IF(1=$J15,IF(OR(AND(11=$I15+1,OR($K15&lt;&gt;'計算A'!$A$3,'計算A'!$A$4=0)),AND(11=$I15-1,OR(11&lt;&gt;'計算A'!$A$3,'計算A'!$A$4=0))),0,IF(11=$K15,200000,ABS(11-$K15)*100)),100000+ABS(1-$J15)*1000+110)+'計算A'!N$5*50+IF(AND($E15=1,JA15=0),25,0),INDEX('計算A'!N$110:N$114,$F15+1)+IF(AND($E15=1,JA15=0),1000,0)+IF($H15=1,(IF('計算A'!M$117=1,INDEX('計算A'!M$10:M$54,$B15),0)+IF('計算A'!N$117=1,INDEX('計算A'!O$10:O$54,$B15),0))*500,0)-IF(AND('計算A'!M$117=1,UK15&gt;0),300,0)-IF(AND($L15=1,'計算A'!N$117=1,DM15=0),300,0))),1000000))</f>
        <v/>
      </c>
      <c r="OQ15">
        <f>IF($B15=0,1000000,IF(INDEX('計算A'!$D$60:$EQ$104,$B15,12)*DM15=1,IF(AND($E15=2,JB15=0),1000000,IF($I15&gt;0,IF(1=$J15,IF(OR(AND(12=$I15+1,OR($K15&lt;&gt;'計算A'!$A$3,'計算A'!$A$4=0)),AND(12=$I15-1,OR(12&lt;&gt;'計算A'!$A$3,'計算A'!$A$4=0))),0,IF(12=$K15,200000,ABS(12-$K15)*100)),100000+ABS(1-$J15)*1000+120)+'計算A'!O$5*50+IF(AND($E15=1,JB15=0),25,0),INDEX('計算A'!O$110:O$114,$F15+1)+IF(AND($E15=1,JB15=0),1000,0)+IF($H15=1,(IF('計算A'!N$117=1,INDEX('計算A'!N$10:N$54,$B15),0)+IF('計算A'!O$117=1,INDEX('計算A'!P$10:P$54,$B15),0))*500,0)-IF(AND('計算A'!N$117=1,UL15&gt;0),300,0)-IF(AND($L15=1,'計算A'!O$117=1,DN15=0),300,0))),1000000))</f>
        <v/>
      </c>
      <c r="OR15">
        <f>IF($B15=0,1000000,IF(INDEX('計算A'!$D$60:$EQ$104,$B15,13)*DN15=1,IF(AND($E15=2,JC15=0),1000000,IF($I15&gt;0,IF(1=$J15,IF(OR(AND(13=$I15+1,OR($K15&lt;&gt;'計算A'!$A$3,'計算A'!$A$4=0)),AND(13=$I15-1,OR(13&lt;&gt;'計算A'!$A$3,'計算A'!$A$4=0))),0,IF(13=$K15,200000,ABS(13-$K15)*100)),100000+ABS(1-$J15)*1000+130)+'計算A'!P$5*50+IF(AND($E15=1,JC15=0),25,0),INDEX('計算A'!P$110:P$114,$F15+1)+IF(AND($E15=1,JC15=0),1000,0)+IF($H15=1,(IF('計算A'!O$117=1,INDEX('計算A'!O$10:O$54,$B15),0)+IF('計算A'!P$117=1,INDEX('計算A'!Q$10:Q$54,$B15),0))*500,0)-IF(AND('計算A'!O$117=1,UM15&gt;0),300,0)-IF(AND($L15=1,'計算A'!P$117=1,DO15=0),300,0))),1000000))</f>
        <v/>
      </c>
      <c r="OS15">
        <f>IF($B15=0,1000000,IF(INDEX('計算A'!$D$60:$EQ$104,$B15,14)*DO15=1,IF(AND($E15=2,JD15=0),1000000,IF($I15&gt;0,IF(1=$J15,IF(OR(AND(14=$I15+1,OR($K15&lt;&gt;'計算A'!$A$3,'計算A'!$A$4=0)),AND(14=$I15-1,OR(14&lt;&gt;'計算A'!$A$3,'計算A'!$A$4=0))),0,IF(14=$K15,200000,ABS(14-$K15)*100)),100000+ABS(1-$J15)*1000+140)+'計算A'!Q$5*50+IF(AND($E15=1,JD15=0),25,0),INDEX('計算A'!Q$110:Q$114,$F15+1)+IF(AND($E15=1,JD15=0),1000,0)+IF($H15=1,(IF('計算A'!P$117=1,INDEX('計算A'!P$10:P$54,$B15),0)+IF('計算A'!Q$117=1,INDEX('計算A'!R$10:R$54,$B15),0))*500,0)-IF(AND('計算A'!P$117=1,UN15&gt;0),300,0)-IF(AND($L15=1,'計算A'!Q$117=1,DP15=0),300,0))),1000000))</f>
        <v/>
      </c>
      <c r="OT15">
        <f>IF($B15=0,1000000,IF(INDEX('計算A'!$D$60:$EQ$104,$B15,15)*DP15=1,IF(AND($E15=2,JE15=0),1000000,IF($I15&gt;0,IF(1=$J15,IF(OR(AND(15=$I15+1,OR($K15&lt;&gt;'計算A'!$A$3,'計算A'!$A$4=0)),AND(15=$I15-1,OR(15&lt;&gt;'計算A'!$A$3,'計算A'!$A$4=0))),0,IF(15=$K15,200000,ABS(15-$K15)*100)),100000+ABS(1-$J15)*1000+150)+'計算A'!R$5*50+IF(AND($E15=1,JE15=0),25,0),INDEX('計算A'!R$110:R$114,$F15+1)+IF(AND($E15=1,JE15=0),1000,0)+IF($H15=1,(IF('計算A'!Q$117=1,INDEX('計算A'!Q$10:Q$54,$B15),0)+IF('計算A'!R$117=1,INDEX('計算A'!S$10:S$54,$B15),0))*500,0)-IF(AND('計算A'!Q$117=1,UO15&gt;0),300,0)-IF(AND($L15=1,'計算A'!R$117=1,DQ15=0),300,0))),1000000))</f>
        <v/>
      </c>
      <c r="OU15">
        <f>IF($B15=0,1000000,IF(INDEX('計算A'!$D$60:$EQ$104,$B15,16)*DQ15=1,IF(AND($E15=2,JF15=0),1000000,IF($I15&gt;0,IF(1=$J15,IF(OR(AND(16=$I15+1,OR($K15&lt;&gt;'計算A'!$A$3,'計算A'!$A$4=0)),AND(16=$I15-1,OR(16&lt;&gt;'計算A'!$A$3,'計算A'!$A$4=0))),0,IF(16=$K15,200000,ABS(16-$K15)*100)),100000+ABS(1-$J15)*1000+160)+'計算A'!S$5*50+IF(AND($E15=1,JF15=0),25,0),INDEX('計算A'!S$110:S$114,$F15+1)+IF(AND($E15=1,JF15=0),1000,0)+IF($H15=1,(IF('計算A'!R$117=1,INDEX('計算A'!R$10:R$54,$B15),0)+IF('計算A'!S$117=1,INDEX('計算A'!T$10:T$54,$B15),0))*500,0)-IF(AND('計算A'!R$117=1,UP15&gt;0),300,0)-IF(AND($L15=1,'計算A'!S$117=1,DR15=0),300,0))),1000000))</f>
        <v/>
      </c>
      <c r="OV15">
        <f>IF($B15=0,1000000,IF(INDEX('計算A'!$D$60:$EQ$104,$B15,17)*DR15=1,IF(AND($E15=2,JG15=0),1000000,IF($I15&gt;0,IF(1=$J15,IF(OR(AND(17=$I15+1,OR($K15&lt;&gt;'計算A'!$A$3,'計算A'!$A$4=0)),AND(17=$I15-1,OR(17&lt;&gt;'計算A'!$A$3,'計算A'!$A$4=0))),0,IF(17=$K15,200000,ABS(17-$K15)*100)),100000+ABS(1-$J15)*1000+170)+'計算A'!T$5*50+IF(AND($E15=1,JG15=0),25,0),INDEX('計算A'!T$110:T$114,$F15+1)+IF(AND($E15=1,JG15=0),1000,0)+IF($H15=1,(IF('計算A'!S$117=1,INDEX('計算A'!S$10:S$54,$B15),0)+IF('計算A'!T$117=1,INDEX('計算A'!U$10:U$54,$B15),0))*500,0)-IF(AND('計算A'!S$117=1,UQ15&gt;0),300,0)-IF(AND($L15=1,'計算A'!T$117=1,DS15=0),300,0))),1000000))</f>
        <v/>
      </c>
      <c r="OW15">
        <f>IF($B15=0,1000000,IF(INDEX('計算A'!$D$60:$EQ$104,$B15,18)*DS15=1,IF(AND($E15=2,JH15=0),1000000,IF($I15&gt;0,IF(1=$J15,IF(OR(AND(18=$I15+1,OR($K15&lt;&gt;'計算A'!$A$3,'計算A'!$A$4=0)),AND(18=$I15-1,OR(18&lt;&gt;'計算A'!$A$3,'計算A'!$A$4=0))),0,IF(18=$K15,200000,ABS(18-$K15)*100)),100000+ABS(1-$J15)*1000+180)+'計算A'!U$5*50+IF(AND($E15=1,JH15=0),25,0),INDEX('計算A'!U$110:U$114,$F15+1)+IF(AND($E15=1,JH15=0),1000,0)+IF($H15=1,(IF('計算A'!T$117=1,INDEX('計算A'!T$10:T$54,$B15),0)+IF('計算A'!U$117=1,INDEX('計算A'!V$10:V$54,$B15),0))*500,0)-IF(AND('計算A'!T$117=1,UR15&gt;0),300,0)-IF(AND($L15=1,'計算A'!U$117=1,DT15=0),300,0))),1000000))</f>
        <v/>
      </c>
      <c r="OX15">
        <f>IF($B15=0,1000000,IF(INDEX('計算A'!$D$60:$EQ$104,$B15,19)*DT15=1,IF(AND($E15=2,JI15=0),1000000,IF($I15&gt;0,IF(1=$J15,IF(OR(AND(19=$I15+1,OR($K15&lt;&gt;'計算A'!$A$3,'計算A'!$A$4=0)),AND(19=$I15-1,OR(19&lt;&gt;'計算A'!$A$3,'計算A'!$A$4=0))),0,IF(19=$K15,200000,ABS(19-$K15)*100)),100000+ABS(1-$J15)*1000+190)+'計算A'!V$5*50+IF(AND($E15=1,JI15=0),25,0),INDEX('計算A'!V$110:V$114,$F15+1)+IF(AND($E15=1,JI15=0),1000,0)+IF($H15=1,(IF('計算A'!U$117=1,INDEX('計算A'!U$10:U$54,$B15),0)+IF('計算A'!V$117=1,INDEX('計算A'!W$10:W$54,$B15),0))*500,0)-IF(AND('計算A'!U$117=1,US15&gt;0),300,0)-IF(AND($L15=1,'計算A'!V$117=1,DU15=0),300,0))),1000000))</f>
        <v/>
      </c>
      <c r="OY15">
        <f>IF($B15=0,1000000,IF(INDEX('計算A'!$D$60:$EQ$104,$B15,20)*DU15=1,IF(AND($E15=2,JJ15=0),1000000,IF($I15&gt;0,IF(1=$J15,IF(OR(AND(20=$I15+1,OR($K15&lt;&gt;'計算A'!$A$3,'計算A'!$A$4=0)),AND(20=$I15-1,OR(20&lt;&gt;'計算A'!$A$3,'計算A'!$A$4=0))),0,IF(20=$K15,200000,ABS(20-$K15)*100)),100000+ABS(1-$J15)*1000+200)+'計算A'!W$5*50+IF(AND($E15=1,JJ15=0),25,0),INDEX('計算A'!W$110:W$114,$F15+1)+IF(AND($E15=1,JJ15=0),1000,0)+IF($H15=1,(IF('計算A'!V$117=1,INDEX('計算A'!V$10:V$54,$B15),0)+IF('計算A'!W$117=1,INDEX('計算A'!X$10:X$54,$B15),0))*500,0)-IF(AND('計算A'!V$117=1,UT15&gt;0),300,0)-IF(AND($L15=1,'計算A'!W$117=1,DV15=0),300,0))),1000000))</f>
        <v/>
      </c>
      <c r="OZ15">
        <f>IF($B15=0,1000000,IF(INDEX('計算A'!$D$60:$EQ$104,$B15,21)*DV15=1,IF(AND($E15=2,JK15=0),1000000,IF($I15&gt;0,IF(1=$J15,IF(OR(AND(21=$I15+1,OR($K15&lt;&gt;'計算A'!$A$3,'計算A'!$A$4=0)),AND(21=$I15-1,OR(21&lt;&gt;'計算A'!$A$3,'計算A'!$A$4=0))),0,IF(21=$K15,200000,ABS(21-$K15)*100)),100000+ABS(1-$J15)*1000+210)+'計算A'!X$5*50+IF(AND($E15=1,JK15=0),25,0),INDEX('計算A'!X$110:X$114,$F15+1)+IF(AND($E15=1,JK15=0),1000,0)+IF($H15=1,(IF('計算A'!W$117=1,INDEX('計算A'!W$10:W$54,$B15),0)+IF('計算A'!X$117=1,INDEX('計算A'!Y$10:Y$54,$B15),0))*500,0)-IF(AND('計算A'!W$117=1,UU15&gt;0),300,0)-IF(AND($L15=1,'計算A'!X$117=1,DW15=0),300,0))),1000000))</f>
        <v/>
      </c>
      <c r="PA15">
        <f>IF($B15=0,1000000,IF(INDEX('計算A'!$D$60:$EQ$104,$B15,22)*DW15=1,IF(AND($E15=2,JL15=0),1000000,IF($I15&gt;0,IF(1=$J15,IF(OR(AND(22=$I15+1,OR($K15&lt;&gt;'計算A'!$A$3,'計算A'!$A$4=0)),AND(22=$I15-1,OR(22&lt;&gt;'計算A'!$A$3,'計算A'!$A$4=0))),0,IF(22=$K15,200000,ABS(22-$K15)*100)),100000+ABS(1-$J15)*1000+220)+'計算A'!Y$5*50+IF(AND($E15=1,JL15=0),25,0),INDEX('計算A'!Y$110:Y$114,$F15+1)+IF(AND($E15=1,JL15=0),1000,0)+IF($H15=1,(IF('計算A'!X$117=1,INDEX('計算A'!X$10:X$54,$B15),0)+IF('計算A'!Y$117=1,INDEX('計算A'!Z$10:Z$54,$B15),0))*500,0)-IF(AND('計算A'!X$117=1,UV15&gt;0),300,0)-IF(AND($L15=1,'計算A'!Y$117=1,DX15=0),300,0))),1000000))</f>
        <v/>
      </c>
      <c r="PB15">
        <f>IF($B15=0,1000000,IF(INDEX('計算A'!$D$60:$EQ$104,$B15,23)*DX15=1,IF(AND($E15=2,JM15=0),1000000,IF($I15&gt;0,IF(1=$J15,IF(OR(AND(23=$I15+1,OR($K15&lt;&gt;'計算A'!$A$3,'計算A'!$A$4=0)),AND(23=$I15-1,OR(23&lt;&gt;'計算A'!$A$3,'計算A'!$A$4=0))),0,IF(23=$K15,200000,ABS(23-$K15)*100)),100000+ABS(1-$J15)*1000+230)+'計算A'!Z$5*50+IF(AND($E15=1,JM15=0),25,0),INDEX('計算A'!Z$110:Z$114,$F15+1)+IF(AND($E15=1,JM15=0),1000,0)+IF($H15=1,(IF('計算A'!Y$117=1,INDEX('計算A'!Y$10:Y$54,$B15),0)+IF('計算A'!Z$117=1,INDEX('計算A'!AA$10:AA$54,$B15),0))*500,0)-IF(AND('計算A'!Y$117=1,UW15&gt;0),300,0)-IF(AND($L15=1,'計算A'!Z$117=1,DY15=0),300,0))),1000000))</f>
        <v/>
      </c>
      <c r="PC15">
        <f>IF($B15=0,1000000,IF(INDEX('計算A'!$D$60:$EQ$104,$B15,24)*DY15=1,IF(AND($E15=2,JN15=0),1000000,IF($I15&gt;0,IF(1=$J15,IF(OR(AND(24=$I15+1,OR($K15&lt;&gt;'計算A'!$A$3,'計算A'!$A$4=0)),AND(24=$I15-1,OR(24&lt;&gt;'計算A'!$A$3,'計算A'!$A$4=0))),0,IF(24=$K15,200000,ABS(24-$K15)*100)),100000+ABS(1-$J15)*1000+240)+'計算A'!AA$5*50+IF(AND($E15=1,JN15=0),25,0),INDEX('計算A'!AA$110:AA$114,$F15+1)+IF(AND($E15=1,JN15=0),1000,0)+IF($H15=1,(IF('計算A'!Z$117=1,INDEX('計算A'!Z$10:Z$54,$B15),0))*500,0)-IF(AND('計算A'!Z$117=1,UX15&gt;0),300,0))),1000000))</f>
        <v/>
      </c>
      <c r="PD15">
        <f>IF($B15=0,1000000,IF(INDEX('計算A'!$D$60:$EQ$104,$B15,25)*DZ15=1,IF(AND($E15=2,JO15=0),1000000,IF($I15&gt;0,IF(2=$J15,IF(OR(AND(25=$I15+1,OR($K15&lt;&gt;'計算A'!$A$3,'計算A'!$A$4=0)),AND(25=$I15-1,OR(1&lt;&gt;'計算A'!$A$3,'計算A'!$A$4=0))),0,IF(1=$K15,200000,ABS(1-$K15)*100)),100000+ABS(2-$J15)*1000+10)+'計算A'!AB$5*50+IF(AND($E15=1,JO15=0),25,0),INDEX('計算A'!AB$110:AB$114,$F15+1)+IF(AND($E15=1,JO15=0),1000,0)+IF($H15=1,(IF('計算A'!AB$117=1,INDEX('計算A'!AC$10:AC$54,$B15),0))*500,0)-IF(AND($L15=1,'計算A'!AB$117=1,EA15=0),300,0))),1000000))</f>
        <v/>
      </c>
      <c r="PE15">
        <f>IF($B15=0,1000000,IF(INDEX('計算A'!$D$60:$EQ$104,$B15,26)*EA15=1,IF(AND($E15=2,JP15=0),1000000,IF($I15&gt;0,IF(2=$J15,IF(OR(AND(26=$I15+1,OR($K15&lt;&gt;'計算A'!$A$3,'計算A'!$A$4=0)),AND(26=$I15-1,OR(2&lt;&gt;'計算A'!$A$3,'計算A'!$A$4=0))),0,IF(2=$K15,200000,ABS(2-$K15)*100)),100000+ABS(2-$J15)*1000+20)+'計算A'!AC$5*50+IF(AND($E15=1,JP15=0),25,0),INDEX('計算A'!AC$110:AC$114,$F15+1)+IF(AND($E15=1,JP15=0),1000,0)+IF($H15=1,(IF('計算A'!AB$117=1,INDEX('計算A'!AB$10:AB$54,$B15),0)+IF('計算A'!AC$117=1,INDEX('計算A'!AD$10:AD$54,$B15),0))*500,0)-IF(AND('計算A'!AB$117=1,UZ15&gt;0),300,0)-IF(AND($L15=1,'計算A'!AC$117=1,EB15=0),300,0))),1000000))</f>
        <v/>
      </c>
      <c r="PF15">
        <f>IF($B15=0,1000000,IF(INDEX('計算A'!$D$60:$EQ$104,$B15,27)*EB15=1,IF(AND($E15=2,JQ15=0),1000000,IF($I15&gt;0,IF(2=$J15,IF(OR(AND(27=$I15+1,OR($K15&lt;&gt;'計算A'!$A$3,'計算A'!$A$4=0)),AND(27=$I15-1,OR(3&lt;&gt;'計算A'!$A$3,'計算A'!$A$4=0))),0,IF(3=$K15,200000,ABS(3-$K15)*100)),100000+ABS(2-$J15)*1000+30)+'計算A'!AD$5*50+IF(AND($E15=1,JQ15=0),25,0),INDEX('計算A'!AD$110:AD$114,$F15+1)+IF(AND($E15=1,JQ15=0),1000,0)+IF($H15=1,(IF('計算A'!AC$117=1,INDEX('計算A'!AC$10:AC$54,$B15),0)+IF('計算A'!AD$117=1,INDEX('計算A'!AE$10:AE$54,$B15),0))*500,0)-IF(AND('計算A'!AC$117=1,VA15&gt;0),300,0)-IF(AND($L15=1,'計算A'!AD$117=1,EC15=0),300,0))),1000000))</f>
        <v/>
      </c>
      <c r="PG15">
        <f>IF($B15=0,1000000,IF(INDEX('計算A'!$D$60:$EQ$104,$B15,28)*EC15=1,IF(AND($E15=2,JR15=0),1000000,IF($I15&gt;0,IF(2=$J15,IF(OR(AND(28=$I15+1,OR($K15&lt;&gt;'計算A'!$A$3,'計算A'!$A$4=0)),AND(28=$I15-1,OR(4&lt;&gt;'計算A'!$A$3,'計算A'!$A$4=0))),0,IF(4=$K15,200000,ABS(4-$K15)*100)),100000+ABS(2-$J15)*1000+40)+'計算A'!AE$5*50+IF(AND($E15=1,JR15=0),25,0),INDEX('計算A'!AE$110:AE$114,$F15+1)+IF(AND($E15=1,JR15=0),1000,0)+IF($H15=1,(IF('計算A'!AD$117=1,INDEX('計算A'!AD$10:AD$54,$B15),0)+IF('計算A'!AE$117=1,INDEX('計算A'!AF$10:AF$54,$B15),0))*500,0)-IF(AND('計算A'!AD$117=1,VB15&gt;0),300,0)-IF(AND($L15=1,'計算A'!AE$117=1,ED15=0),300,0))),1000000))</f>
        <v/>
      </c>
      <c r="PH15">
        <f>IF($B15=0,1000000,IF(INDEX('計算A'!$D$60:$EQ$104,$B15,29)*ED15=1,IF(AND($E15=2,JS15=0),1000000,IF($I15&gt;0,IF(2=$J15,IF(OR(AND(29=$I15+1,OR($K15&lt;&gt;'計算A'!$A$3,'計算A'!$A$4=0)),AND(29=$I15-1,OR(5&lt;&gt;'計算A'!$A$3,'計算A'!$A$4=0))),0,IF(5=$K15,200000,ABS(5-$K15)*100)),100000+ABS(2-$J15)*1000+50)+'計算A'!AF$5*50+IF(AND($E15=1,JS15=0),25,0),INDEX('計算A'!AF$110:AF$114,$F15+1)+IF(AND($E15=1,JS15=0),1000,0)+IF($H15=1,(IF('計算A'!AE$117=1,INDEX('計算A'!AE$10:AE$54,$B15),0)+IF('計算A'!AF$117=1,INDEX('計算A'!AG$10:AG$54,$B15),0))*500,0)-IF(AND('計算A'!AE$117=1,VC15&gt;0),300,0)-IF(AND($L15=1,'計算A'!AF$117=1,EE15=0),300,0))),1000000))</f>
        <v/>
      </c>
      <c r="PI15">
        <f>IF($B15=0,1000000,IF(INDEX('計算A'!$D$60:$EQ$104,$B15,30)*EE15=1,IF(AND($E15=2,JT15=0),1000000,IF($I15&gt;0,IF(2=$J15,IF(OR(AND(30=$I15+1,OR($K15&lt;&gt;'計算A'!$A$3,'計算A'!$A$4=0)),AND(30=$I15-1,OR(6&lt;&gt;'計算A'!$A$3,'計算A'!$A$4=0))),0,IF(6=$K15,200000,ABS(6-$K15)*100)),100000+ABS(2-$J15)*1000+60)+'計算A'!AG$5*50+IF(AND($E15=1,JT15=0),25,0),INDEX('計算A'!AG$110:AG$114,$F15+1)+IF(AND($E15=1,JT15=0),1000,0)+IF($H15=1,(IF('計算A'!AF$117=1,INDEX('計算A'!AF$10:AF$54,$B15),0)+IF('計算A'!AG$117=1,INDEX('計算A'!AH$10:AH$54,$B15),0))*500,0)-IF(AND('計算A'!AF$117=1,VD15&gt;0),300,0)-IF(AND($L15=1,'計算A'!AG$117=1,EF15=0),300,0))),1000000))</f>
        <v/>
      </c>
      <c r="PJ15">
        <f>IF($B15=0,1000000,IF(INDEX('計算A'!$D$60:$EQ$104,$B15,31)*EF15=1,IF(AND($E15=2,JU15=0),1000000,IF($I15&gt;0,IF(2=$J15,IF(OR(AND(31=$I15+1,OR($K15&lt;&gt;'計算A'!$A$3,'計算A'!$A$4=0)),AND(31=$I15-1,OR(7&lt;&gt;'計算A'!$A$3,'計算A'!$A$4=0))),0,IF(7=$K15,200000,ABS(7-$K15)*100)),100000+ABS(2-$J15)*1000+70)+'計算A'!AH$5*50+IF(AND($E15=1,JU15=0),25,0),INDEX('計算A'!AH$110:AH$114,$F15+1)+IF(AND($E15=1,JU15=0),1000,0)+IF($H15=1,(IF('計算A'!AG$117=1,INDEX('計算A'!AG$10:AG$54,$B15),0)+IF('計算A'!AH$117=1,INDEX('計算A'!AI$10:AI$54,$B15),0))*500,0)-IF(AND('計算A'!AG$117=1,VE15&gt;0),300,0)-IF(AND($L15=1,'計算A'!AH$117=1,EG15=0),300,0))),1000000))</f>
        <v/>
      </c>
      <c r="PK15">
        <f>IF($B15=0,1000000,IF(INDEX('計算A'!$D$60:$EQ$104,$B15,32)*EG15=1,IF(AND($E15=2,JV15=0),1000000,IF($I15&gt;0,IF(2=$J15,IF(OR(AND(32=$I15+1,OR($K15&lt;&gt;'計算A'!$A$3,'計算A'!$A$4=0)),AND(32=$I15-1,OR(8&lt;&gt;'計算A'!$A$3,'計算A'!$A$4=0))),0,IF(8=$K15,200000,ABS(8-$K15)*100)),100000+ABS(2-$J15)*1000+80)+'計算A'!AI$5*50+IF(AND($E15=1,JV15=0),25,0),INDEX('計算A'!AI$110:AI$114,$F15+1)+IF(AND($E15=1,JV15=0),1000,0)+IF($H15=1,(IF('計算A'!AH$117=1,INDEX('計算A'!AH$10:AH$54,$B15),0)+IF('計算A'!AI$117=1,INDEX('計算A'!AJ$10:AJ$54,$B15),0))*500,0)-IF(AND('計算A'!AH$117=1,VF15&gt;0),300,0)-IF(AND($L15=1,'計算A'!AI$117=1,EH15=0),300,0))),1000000))</f>
        <v/>
      </c>
      <c r="PL15">
        <f>IF($B15=0,1000000,IF(INDEX('計算A'!$D$60:$EQ$104,$B15,33)*EH15=1,IF(AND($E15=2,JW15=0),1000000,IF($I15&gt;0,IF(2=$J15,IF(OR(AND(33=$I15+1,OR($K15&lt;&gt;'計算A'!$A$3,'計算A'!$A$4=0)),AND(33=$I15-1,OR(9&lt;&gt;'計算A'!$A$3,'計算A'!$A$4=0))),0,IF(9=$K15,200000,ABS(9-$K15)*100)),100000+ABS(2-$J15)*1000+90)+'計算A'!AJ$5*50+IF(AND($E15=1,JW15=0),25,0),INDEX('計算A'!AJ$110:AJ$114,$F15+1)+IF(AND($E15=1,JW15=0),1000,0)+IF($H15=1,(IF('計算A'!AI$117=1,INDEX('計算A'!AI$10:AI$54,$B15),0)+IF('計算A'!AJ$117=1,INDEX('計算A'!AK$10:AK$54,$B15),0))*500,0)-IF(AND('計算A'!AI$117=1,VG15&gt;0),300,0)-IF(AND($L15=1,'計算A'!AJ$117=1,EI15=0),300,0))),1000000))</f>
        <v/>
      </c>
      <c r="PM15">
        <f>IF($B15=0,1000000,IF(INDEX('計算A'!$D$60:$EQ$104,$B15,34)*EI15=1,IF(AND($E15=2,JX15=0),1000000,IF($I15&gt;0,IF(2=$J15,IF(OR(AND(34=$I15+1,OR($K15&lt;&gt;'計算A'!$A$3,'計算A'!$A$4=0)),AND(34=$I15-1,OR(10&lt;&gt;'計算A'!$A$3,'計算A'!$A$4=0))),0,IF(10=$K15,200000,ABS(10-$K15)*100)),100000+ABS(2-$J15)*1000+100)+'計算A'!AK$5*50+IF(AND($E15=1,JX15=0),25,0),INDEX('計算A'!AK$110:AK$114,$F15+1)+IF(AND($E15=1,JX15=0),1000,0)+IF($H15=1,(IF('計算A'!AJ$117=1,INDEX('計算A'!AJ$10:AJ$54,$B15),0)+IF('計算A'!AK$117=1,INDEX('計算A'!AL$10:AL$54,$B15),0))*500,0)-IF(AND('計算A'!AJ$117=1,VH15&gt;0),300,0)-IF(AND($L15=1,'計算A'!AK$117=1,EJ15=0),300,0))),1000000))</f>
        <v/>
      </c>
      <c r="PN15">
        <f>IF($B15=0,1000000,IF(INDEX('計算A'!$D$60:$EQ$104,$B15,35)*EJ15=1,IF(AND($E15=2,JY15=0),1000000,IF($I15&gt;0,IF(2=$J15,IF(OR(AND(35=$I15+1,OR($K15&lt;&gt;'計算A'!$A$3,'計算A'!$A$4=0)),AND(35=$I15-1,OR(11&lt;&gt;'計算A'!$A$3,'計算A'!$A$4=0))),0,IF(11=$K15,200000,ABS(11-$K15)*100)),100000+ABS(2-$J15)*1000+110)+'計算A'!AL$5*50+IF(AND($E15=1,JY15=0),25,0),INDEX('計算A'!AL$110:AL$114,$F15+1)+IF(AND($E15=1,JY15=0),1000,0)+IF($H15=1,(IF('計算A'!AK$117=1,INDEX('計算A'!AK$10:AK$54,$B15),0)+IF('計算A'!AL$117=1,INDEX('計算A'!AM$10:AM$54,$B15),0))*500,0)-IF(AND('計算A'!AK$117=1,VI15&gt;0),300,0)-IF(AND($L15=1,'計算A'!AL$117=1,EK15=0),300,0))),1000000))</f>
        <v/>
      </c>
      <c r="PO15">
        <f>IF($B15=0,1000000,IF(INDEX('計算A'!$D$60:$EQ$104,$B15,36)*EK15=1,IF(AND($E15=2,JZ15=0),1000000,IF($I15&gt;0,IF(2=$J15,IF(OR(AND(36=$I15+1,OR($K15&lt;&gt;'計算A'!$A$3,'計算A'!$A$4=0)),AND(36=$I15-1,OR(12&lt;&gt;'計算A'!$A$3,'計算A'!$A$4=0))),0,IF(12=$K15,200000,ABS(12-$K15)*100)),100000+ABS(2-$J15)*1000+120)+'計算A'!AM$5*50+IF(AND($E15=1,JZ15=0),25,0),INDEX('計算A'!AM$110:AM$114,$F15+1)+IF(AND($E15=1,JZ15=0),1000,0)+IF($H15=1,(IF('計算A'!AL$117=1,INDEX('計算A'!AL$10:AL$54,$B15),0)+IF('計算A'!AM$117=1,INDEX('計算A'!AN$10:AN$54,$B15),0))*500,0)-IF(AND('計算A'!AL$117=1,VJ15&gt;0),300,0)-IF(AND($L15=1,'計算A'!AM$117=1,EL15=0),300,0))),1000000))</f>
        <v/>
      </c>
      <c r="PP15">
        <f>IF($B15=0,1000000,IF(INDEX('計算A'!$D$60:$EQ$104,$B15,37)*EL15=1,IF(AND($E15=2,KA15=0),1000000,IF($I15&gt;0,IF(2=$J15,IF(OR(AND(37=$I15+1,OR($K15&lt;&gt;'計算A'!$A$3,'計算A'!$A$4=0)),AND(37=$I15-1,OR(13&lt;&gt;'計算A'!$A$3,'計算A'!$A$4=0))),0,IF(13=$K15,200000,ABS(13-$K15)*100)),100000+ABS(2-$J15)*1000+130)+'計算A'!AN$5*50+IF(AND($E15=1,KA15=0),25,0),INDEX('計算A'!AN$110:AN$114,$F15+1)+IF(AND($E15=1,KA15=0),1000,0)+IF($H15=1,(IF('計算A'!AM$117=1,INDEX('計算A'!AM$10:AM$54,$B15),0)+IF('計算A'!AN$117=1,INDEX('計算A'!AO$10:AO$54,$B15),0))*500,0)-IF(AND('計算A'!AM$117=1,VK15&gt;0),300,0)-IF(AND($L15=1,'計算A'!AN$117=1,EM15=0),300,0))),1000000))</f>
        <v/>
      </c>
      <c r="PQ15">
        <f>IF($B15=0,1000000,IF(INDEX('計算A'!$D$60:$EQ$104,$B15,38)*EM15=1,IF(AND($E15=2,KB15=0),1000000,IF($I15&gt;0,IF(2=$J15,IF(OR(AND(38=$I15+1,OR($K15&lt;&gt;'計算A'!$A$3,'計算A'!$A$4=0)),AND(38=$I15-1,OR(14&lt;&gt;'計算A'!$A$3,'計算A'!$A$4=0))),0,IF(14=$K15,200000,ABS(14-$K15)*100)),100000+ABS(2-$J15)*1000+140)+'計算A'!AO$5*50+IF(AND($E15=1,KB15=0),25,0),INDEX('計算A'!AO$110:AO$114,$F15+1)+IF(AND($E15=1,KB15=0),1000,0)+IF($H15=1,(IF('計算A'!AN$117=1,INDEX('計算A'!AN$10:AN$54,$B15),0)+IF('計算A'!AO$117=1,INDEX('計算A'!AP$10:AP$54,$B15),0))*500,0)-IF(AND('計算A'!AN$117=1,VL15&gt;0),300,0)-IF(AND($L15=1,'計算A'!AO$117=1,EN15=0),300,0))),1000000))</f>
        <v/>
      </c>
      <c r="PR15">
        <f>IF($B15=0,1000000,IF(INDEX('計算A'!$D$60:$EQ$104,$B15,39)*EN15=1,IF(AND($E15=2,KC15=0),1000000,IF($I15&gt;0,IF(2=$J15,IF(OR(AND(39=$I15+1,OR($K15&lt;&gt;'計算A'!$A$3,'計算A'!$A$4=0)),AND(39=$I15-1,OR(15&lt;&gt;'計算A'!$A$3,'計算A'!$A$4=0))),0,IF(15=$K15,200000,ABS(15-$K15)*100)),100000+ABS(2-$J15)*1000+150)+'計算A'!AP$5*50+IF(AND($E15=1,KC15=0),25,0),INDEX('計算A'!AP$110:AP$114,$F15+1)+IF(AND($E15=1,KC15=0),1000,0)+IF($H15=1,(IF('計算A'!AO$117=1,INDEX('計算A'!AO$10:AO$54,$B15),0)+IF('計算A'!AP$117=1,INDEX('計算A'!AQ$10:AQ$54,$B15),0))*500,0)-IF(AND('計算A'!AO$117=1,VM15&gt;0),300,0)-IF(AND($L15=1,'計算A'!AP$117=1,EO15=0),300,0))),1000000))</f>
        <v/>
      </c>
      <c r="PS15">
        <f>IF($B15=0,1000000,IF(INDEX('計算A'!$D$60:$EQ$104,$B15,40)*EO15=1,IF(AND($E15=2,KD15=0),1000000,IF($I15&gt;0,IF(2=$J15,IF(OR(AND(40=$I15+1,OR($K15&lt;&gt;'計算A'!$A$3,'計算A'!$A$4=0)),AND(40=$I15-1,OR(16&lt;&gt;'計算A'!$A$3,'計算A'!$A$4=0))),0,IF(16=$K15,200000,ABS(16-$K15)*100)),100000+ABS(2-$J15)*1000+160)+'計算A'!AQ$5*50+IF(AND($E15=1,KD15=0),25,0),INDEX('計算A'!AQ$110:AQ$114,$F15+1)+IF(AND($E15=1,KD15=0),1000,0)+IF($H15=1,(IF('計算A'!AP$117=1,INDEX('計算A'!AP$10:AP$54,$B15),0)+IF('計算A'!AQ$117=1,INDEX('計算A'!AR$10:AR$54,$B15),0))*500,0)-IF(AND('計算A'!AP$117=1,VN15&gt;0),300,0)-IF(AND($L15=1,'計算A'!AQ$117=1,EP15=0),300,0))),1000000))</f>
        <v/>
      </c>
      <c r="PT15">
        <f>IF($B15=0,1000000,IF(INDEX('計算A'!$D$60:$EQ$104,$B15,41)*EP15=1,IF(AND($E15=2,KE15=0),1000000,IF($I15&gt;0,IF(2=$J15,IF(OR(AND(41=$I15+1,OR($K15&lt;&gt;'計算A'!$A$3,'計算A'!$A$4=0)),AND(41=$I15-1,OR(17&lt;&gt;'計算A'!$A$3,'計算A'!$A$4=0))),0,IF(17=$K15,200000,ABS(17-$K15)*100)),100000+ABS(2-$J15)*1000+170)+'計算A'!AR$5*50+IF(AND($E15=1,KE15=0),25,0),INDEX('計算A'!AR$110:AR$114,$F15+1)+IF(AND($E15=1,KE15=0),1000,0)+IF($H15=1,(IF('計算A'!AQ$117=1,INDEX('計算A'!AQ$10:AQ$54,$B15),0)+IF('計算A'!AR$117=1,INDEX('計算A'!AS$10:AS$54,$B15),0))*500,0)-IF(AND('計算A'!AQ$117=1,VO15&gt;0),300,0)-IF(AND($L15=1,'計算A'!AR$117=1,EQ15=0),300,0))),1000000))</f>
        <v/>
      </c>
      <c r="PU15">
        <f>IF($B15=0,1000000,IF(INDEX('計算A'!$D$60:$EQ$104,$B15,42)*EQ15=1,IF(AND($E15=2,KF15=0),1000000,IF($I15&gt;0,IF(2=$J15,IF(OR(AND(42=$I15+1,OR($K15&lt;&gt;'計算A'!$A$3,'計算A'!$A$4=0)),AND(42=$I15-1,OR(18&lt;&gt;'計算A'!$A$3,'計算A'!$A$4=0))),0,IF(18=$K15,200000,ABS(18-$K15)*100)),100000+ABS(2-$J15)*1000+180)+'計算A'!AS$5*50+IF(AND($E15=1,KF15=0),25,0),INDEX('計算A'!AS$110:AS$114,$F15+1)+IF(AND($E15=1,KF15=0),1000,0)+IF($H15=1,(IF('計算A'!AR$117=1,INDEX('計算A'!AR$10:AR$54,$B15),0)+IF('計算A'!AS$117=1,INDEX('計算A'!AT$10:AT$54,$B15),0))*500,0)-IF(AND('計算A'!AR$117=1,VP15&gt;0),300,0)-IF(AND($L15=1,'計算A'!AS$117=1,ER15=0),300,0))),1000000))</f>
        <v/>
      </c>
      <c r="PV15">
        <f>IF($B15=0,1000000,IF(INDEX('計算A'!$D$60:$EQ$104,$B15,43)*ER15=1,IF(AND($E15=2,KG15=0),1000000,IF($I15&gt;0,IF(2=$J15,IF(OR(AND(43=$I15+1,OR($K15&lt;&gt;'計算A'!$A$3,'計算A'!$A$4=0)),AND(43=$I15-1,OR(19&lt;&gt;'計算A'!$A$3,'計算A'!$A$4=0))),0,IF(19=$K15,200000,ABS(19-$K15)*100)),100000+ABS(2-$J15)*1000+190)+'計算A'!AT$5*50+IF(AND($E15=1,KG15=0),25,0),INDEX('計算A'!AT$110:AT$114,$F15+1)+IF(AND($E15=1,KG15=0),1000,0)+IF($H15=1,(IF('計算A'!AS$117=1,INDEX('計算A'!AS$10:AS$54,$B15),0)+IF('計算A'!AT$117=1,INDEX('計算A'!AU$10:AU$54,$B15),0))*500,0)-IF(AND('計算A'!AS$117=1,VQ15&gt;0),300,0)-IF(AND($L15=1,'計算A'!AT$117=1,ES15=0),300,0))),1000000))</f>
        <v/>
      </c>
      <c r="PW15">
        <f>IF($B15=0,1000000,IF(INDEX('計算A'!$D$60:$EQ$104,$B15,44)*ES15=1,IF(AND($E15=2,KH15=0),1000000,IF($I15&gt;0,IF(2=$J15,IF(OR(AND(44=$I15+1,OR($K15&lt;&gt;'計算A'!$A$3,'計算A'!$A$4=0)),AND(44=$I15-1,OR(20&lt;&gt;'計算A'!$A$3,'計算A'!$A$4=0))),0,IF(20=$K15,200000,ABS(20-$K15)*100)),100000+ABS(2-$J15)*1000+200)+'計算A'!AU$5*50+IF(AND($E15=1,KH15=0),25,0),INDEX('計算A'!AU$110:AU$114,$F15+1)+IF(AND($E15=1,KH15=0),1000,0)+IF($H15=1,(IF('計算A'!AT$117=1,INDEX('計算A'!AT$10:AT$54,$B15),0)+IF('計算A'!AU$117=1,INDEX('計算A'!AV$10:AV$54,$B15),0))*500,0)-IF(AND('計算A'!AT$117=1,VR15&gt;0),300,0)-IF(AND($L15=1,'計算A'!AU$117=1,ET15=0),300,0))),1000000))</f>
        <v/>
      </c>
      <c r="PX15">
        <f>IF($B15=0,1000000,IF(INDEX('計算A'!$D$60:$EQ$104,$B15,45)*ET15=1,IF(AND($E15=2,KI15=0),1000000,IF($I15&gt;0,IF(2=$J15,IF(OR(AND(45=$I15+1,OR($K15&lt;&gt;'計算A'!$A$3,'計算A'!$A$4=0)),AND(45=$I15-1,OR(21&lt;&gt;'計算A'!$A$3,'計算A'!$A$4=0))),0,IF(21=$K15,200000,ABS(21-$K15)*100)),100000+ABS(2-$J15)*1000+210)+'計算A'!AV$5*50+IF(AND($E15=1,KI15=0),25,0),INDEX('計算A'!AV$110:AV$114,$F15+1)+IF(AND($E15=1,KI15=0),1000,0)+IF($H15=1,(IF('計算A'!AU$117=1,INDEX('計算A'!AU$10:AU$54,$B15),0)+IF('計算A'!AV$117=1,INDEX('計算A'!AW$10:AW$54,$B15),0))*500,0)-IF(AND('計算A'!AU$117=1,VS15&gt;0),300,0)-IF(AND($L15=1,'計算A'!AV$117=1,EU15=0),300,0))),1000000))</f>
        <v/>
      </c>
      <c r="PY15">
        <f>IF($B15=0,1000000,IF(INDEX('計算A'!$D$60:$EQ$104,$B15,46)*EU15=1,IF(AND($E15=2,KJ15=0),1000000,IF($I15&gt;0,IF(2=$J15,IF(OR(AND(46=$I15+1,OR($K15&lt;&gt;'計算A'!$A$3,'計算A'!$A$4=0)),AND(46=$I15-1,OR(22&lt;&gt;'計算A'!$A$3,'計算A'!$A$4=0))),0,IF(22=$K15,200000,ABS(22-$K15)*100)),100000+ABS(2-$J15)*1000+220)+'計算A'!AW$5*50+IF(AND($E15=1,KJ15=0),25,0),INDEX('計算A'!AW$110:AW$114,$F15+1)+IF(AND($E15=1,KJ15=0),1000,0)+IF($H15=1,(IF('計算A'!AV$117=1,INDEX('計算A'!AV$10:AV$54,$B15),0)+IF('計算A'!AW$117=1,INDEX('計算A'!AX$10:AX$54,$B15),0))*500,0)-IF(AND('計算A'!AV$117=1,VT15&gt;0),300,0)-IF(AND($L15=1,'計算A'!AW$117=1,EV15=0),300,0))),1000000))</f>
        <v/>
      </c>
      <c r="PZ15">
        <f>IF($B15=0,1000000,IF(INDEX('計算A'!$D$60:$EQ$104,$B15,47)*EV15=1,IF(AND($E15=2,KK15=0),1000000,IF($I15&gt;0,IF(2=$J15,IF(OR(AND(47=$I15+1,OR($K15&lt;&gt;'計算A'!$A$3,'計算A'!$A$4=0)),AND(47=$I15-1,OR(23&lt;&gt;'計算A'!$A$3,'計算A'!$A$4=0))),0,IF(23=$K15,200000,ABS(23-$K15)*100)),100000+ABS(2-$J15)*1000+230)+'計算A'!AX$5*50+IF(AND($E15=1,KK15=0),25,0),INDEX('計算A'!AX$110:AX$114,$F15+1)+IF(AND($E15=1,KK15=0),1000,0)+IF($H15=1,(IF('計算A'!AW$117=1,INDEX('計算A'!AW$10:AW$54,$B15),0)+IF('計算A'!AX$117=1,INDEX('計算A'!AY$10:AY$54,$B15),0))*500,0)-IF(AND('計算A'!AW$117=1,VU15&gt;0),300,0)-IF(AND($L15=1,'計算A'!AX$117=1,EW15=0),300,0))),1000000))</f>
        <v/>
      </c>
      <c r="QA15">
        <f>IF($B15=0,1000000,IF(INDEX('計算A'!$D$60:$EQ$104,$B15,48)*EW15=1,IF(AND($E15=2,KL15=0),1000000,IF($I15&gt;0,IF(2=$J15,IF(OR(AND(48=$I15+1,OR($K15&lt;&gt;'計算A'!$A$3,'計算A'!$A$4=0)),AND(48=$I15-1,OR(24&lt;&gt;'計算A'!$A$3,'計算A'!$A$4=0))),0,IF(24=$K15,200000,ABS(24-$K15)*100)),100000+ABS(2-$J15)*1000+240)+'計算A'!AY$5*50+IF(AND($E15=1,KL15=0),25,0),INDEX('計算A'!AY$110:AY$114,$F15+1)+IF(AND($E15=1,KL15=0),1000,0)+IF($H15=1,(IF('計算A'!AX$117=1,INDEX('計算A'!AX$10:AX$54,$B15),0))*500,0)-IF(AND('計算A'!AX$117=1,VV15&gt;0),300,0))),1000000))</f>
        <v/>
      </c>
      <c r="QB15">
        <f>IF($B15=0,1000000,IF(INDEX('計算A'!$D$60:$EQ$104,$B15,49)*EX15=1,IF(AND($E15=2,KM15=0),1000000,IF($I15&gt;0,IF(3=$J15,IF(OR(AND(49=$I15+1,OR($K15&lt;&gt;'計算A'!$A$3,'計算A'!$A$4=0)),AND(49=$I15-1,OR(1&lt;&gt;'計算A'!$A$3,'計算A'!$A$4=0))),0,IF(1=$K15,200000,ABS(1-$K15)*100)),100000+ABS(3-$J15)*1000+10)+'計算A'!AZ$5*50+IF(AND($E15=1,KM15=0),25,0),INDEX('計算A'!AZ$110:AZ$114,$F15+1)+IF(AND($E15=1,KM15=0),1000,0)+IF($H15=1,(IF('計算A'!AZ$117=1,INDEX('計算A'!BA$10:BA$54,$B15),0))*500,0)-IF(AND($L15=1,'計算A'!AZ$117=1,EY15=0),300,0))),1000000))</f>
        <v/>
      </c>
      <c r="QC15">
        <f>IF($B15=0,1000000,IF(INDEX('計算A'!$D$60:$EQ$104,$B15,50)*EY15=1,IF(AND($E15=2,KN15=0),1000000,IF($I15&gt;0,IF(3=$J15,IF(OR(AND(50=$I15+1,OR($K15&lt;&gt;'計算A'!$A$3,'計算A'!$A$4=0)),AND(50=$I15-1,OR(2&lt;&gt;'計算A'!$A$3,'計算A'!$A$4=0))),0,IF(2=$K15,200000,ABS(2-$K15)*100)),100000+ABS(3-$J15)*1000+20)+'計算A'!BA$5*50+IF(AND($E15=1,KN15=0),25,0),INDEX('計算A'!BA$110:BA$114,$F15+1)+IF(AND($E15=1,KN15=0),1000,0)+IF($H15=1,(IF('計算A'!AZ$117=1,INDEX('計算A'!AZ$10:AZ$54,$B15),0)+IF('計算A'!BA$117=1,INDEX('計算A'!BB$10:BB$54,$B15),0))*500,0)-IF(AND('計算A'!AZ$117=1,VX15&gt;0),300,0)-IF(AND($L15=1,'計算A'!BA$117=1,EZ15=0),300,0))),1000000))</f>
        <v/>
      </c>
      <c r="QD15">
        <f>IF($B15=0,1000000,IF(INDEX('計算A'!$D$60:$EQ$104,$B15,51)*EZ15=1,IF(AND($E15=2,KO15=0),1000000,IF($I15&gt;0,IF(3=$J15,IF(OR(AND(51=$I15+1,OR($K15&lt;&gt;'計算A'!$A$3,'計算A'!$A$4=0)),AND(51=$I15-1,OR(3&lt;&gt;'計算A'!$A$3,'計算A'!$A$4=0))),0,IF(3=$K15,200000,ABS(3-$K15)*100)),100000+ABS(3-$J15)*1000+30)+'計算A'!BB$5*50+IF(AND($E15=1,KO15=0),25,0),INDEX('計算A'!BB$110:BB$114,$F15+1)+IF(AND($E15=1,KO15=0),1000,0)+IF($H15=1,(IF('計算A'!BA$117=1,INDEX('計算A'!BA$10:BA$54,$B15),0)+IF('計算A'!BB$117=1,INDEX('計算A'!BC$10:BC$54,$B15),0))*500,0)-IF(AND('計算A'!BA$117=1,VY15&gt;0),300,0)-IF(AND($L15=1,'計算A'!BB$117=1,FA15=0),300,0))),1000000))</f>
        <v/>
      </c>
      <c r="QE15">
        <f>IF($B15=0,1000000,IF(INDEX('計算A'!$D$60:$EQ$104,$B15,52)*FA15=1,IF(AND($E15=2,KP15=0),1000000,IF($I15&gt;0,IF(3=$J15,IF(OR(AND(52=$I15+1,OR($K15&lt;&gt;'計算A'!$A$3,'計算A'!$A$4=0)),AND(52=$I15-1,OR(4&lt;&gt;'計算A'!$A$3,'計算A'!$A$4=0))),0,IF(4=$K15,200000,ABS(4-$K15)*100)),100000+ABS(3-$J15)*1000+40)+'計算A'!BC$5*50+IF(AND($E15=1,KP15=0),25,0),INDEX('計算A'!BC$110:BC$114,$F15+1)+IF(AND($E15=1,KP15=0),1000,0)+IF($H15=1,(IF('計算A'!BB$117=1,INDEX('計算A'!BB$10:BB$54,$B15),0)+IF('計算A'!BC$117=1,INDEX('計算A'!BD$10:BD$54,$B15),0))*500,0)-IF(AND('計算A'!BB$117=1,VZ15&gt;0),300,0)-IF(AND($L15=1,'計算A'!BC$117=1,FB15=0),300,0))),1000000))</f>
        <v/>
      </c>
      <c r="QF15">
        <f>IF($B15=0,1000000,IF(INDEX('計算A'!$D$60:$EQ$104,$B15,53)*FB15=1,IF(AND($E15=2,KQ15=0),1000000,IF($I15&gt;0,IF(3=$J15,IF(OR(AND(53=$I15+1,OR($K15&lt;&gt;'計算A'!$A$3,'計算A'!$A$4=0)),AND(53=$I15-1,OR(5&lt;&gt;'計算A'!$A$3,'計算A'!$A$4=0))),0,IF(5=$K15,200000,ABS(5-$K15)*100)),100000+ABS(3-$J15)*1000+50)+'計算A'!BD$5*50+IF(AND($E15=1,KQ15=0),25,0),INDEX('計算A'!BD$110:BD$114,$F15+1)+IF(AND($E15=1,KQ15=0),1000,0)+IF($H15=1,(IF('計算A'!BC$117=1,INDEX('計算A'!BC$10:BC$54,$B15),0)+IF('計算A'!BD$117=1,INDEX('計算A'!BE$10:BE$54,$B15),0))*500,0)-IF(AND('計算A'!BC$117=1,WA15&gt;0),300,0)-IF(AND($L15=1,'計算A'!BD$117=1,FC15=0),300,0))),1000000))</f>
        <v/>
      </c>
      <c r="QG15">
        <f>IF($B15=0,1000000,IF(INDEX('計算A'!$D$60:$EQ$104,$B15,54)*FC15=1,IF(AND($E15=2,KR15=0),1000000,IF($I15&gt;0,IF(3=$J15,IF(OR(AND(54=$I15+1,OR($K15&lt;&gt;'計算A'!$A$3,'計算A'!$A$4=0)),AND(54=$I15-1,OR(6&lt;&gt;'計算A'!$A$3,'計算A'!$A$4=0))),0,IF(6=$K15,200000,ABS(6-$K15)*100)),100000+ABS(3-$J15)*1000+60)+'計算A'!BE$5*50+IF(AND($E15=1,KR15=0),25,0),INDEX('計算A'!BE$110:BE$114,$F15+1)+IF(AND($E15=1,KR15=0),1000,0)+IF($H15=1,(IF('計算A'!BD$117=1,INDEX('計算A'!BD$10:BD$54,$B15),0)+IF('計算A'!BE$117=1,INDEX('計算A'!BF$10:BF$54,$B15),0))*500,0)-IF(AND('計算A'!BD$117=1,WB15&gt;0),300,0)-IF(AND($L15=1,'計算A'!BE$117=1,FD15=0),300,0))),1000000))</f>
        <v/>
      </c>
      <c r="QH15">
        <f>IF($B15=0,1000000,IF(INDEX('計算A'!$D$60:$EQ$104,$B15,55)*FD15=1,IF(AND($E15=2,KS15=0),1000000,IF($I15&gt;0,IF(3=$J15,IF(OR(AND(55=$I15+1,OR($K15&lt;&gt;'計算A'!$A$3,'計算A'!$A$4=0)),AND(55=$I15-1,OR(7&lt;&gt;'計算A'!$A$3,'計算A'!$A$4=0))),0,IF(7=$K15,200000,ABS(7-$K15)*100)),100000+ABS(3-$J15)*1000+70)+'計算A'!BF$5*50+IF(AND($E15=1,KS15=0),25,0),INDEX('計算A'!BF$110:BF$114,$F15+1)+IF(AND($E15=1,KS15=0),1000,0)+IF($H15=1,(IF('計算A'!BE$117=1,INDEX('計算A'!BE$10:BE$54,$B15),0)+IF('計算A'!BF$117=1,INDEX('計算A'!BG$10:BG$54,$B15),0))*500,0)-IF(AND('計算A'!BE$117=1,WC15&gt;0),300,0)-IF(AND($L15=1,'計算A'!BF$117=1,FE15=0),300,0))),1000000))</f>
        <v/>
      </c>
      <c r="QI15">
        <f>IF($B15=0,1000000,IF(INDEX('計算A'!$D$60:$EQ$104,$B15,56)*FE15=1,IF(AND($E15=2,KT15=0),1000000,IF($I15&gt;0,IF(3=$J15,IF(OR(AND(56=$I15+1,OR($K15&lt;&gt;'計算A'!$A$3,'計算A'!$A$4=0)),AND(56=$I15-1,OR(8&lt;&gt;'計算A'!$A$3,'計算A'!$A$4=0))),0,IF(8=$K15,200000,ABS(8-$K15)*100)),100000+ABS(3-$J15)*1000+80)+'計算A'!BG$5*50+IF(AND($E15=1,KT15=0),25,0),INDEX('計算A'!BG$110:BG$114,$F15+1)+IF(AND($E15=1,KT15=0),1000,0)+IF($H15=1,(IF('計算A'!BF$117=1,INDEX('計算A'!BF$10:BF$54,$B15),0)+IF('計算A'!BG$117=1,INDEX('計算A'!BH$10:BH$54,$B15),0))*500,0)-IF(AND('計算A'!BF$117=1,WD15&gt;0),300,0)-IF(AND($L15=1,'計算A'!BG$117=1,FF15=0),300,0))),1000000))</f>
        <v/>
      </c>
      <c r="QJ15">
        <f>IF($B15=0,1000000,IF(INDEX('計算A'!$D$60:$EQ$104,$B15,57)*FF15=1,IF(AND($E15=2,KU15=0),1000000,IF($I15&gt;0,IF(3=$J15,IF(OR(AND(57=$I15+1,OR($K15&lt;&gt;'計算A'!$A$3,'計算A'!$A$4=0)),AND(57=$I15-1,OR(9&lt;&gt;'計算A'!$A$3,'計算A'!$A$4=0))),0,IF(9=$K15,200000,ABS(9-$K15)*100)),100000+ABS(3-$J15)*1000+90)+'計算A'!BH$5*50+IF(AND($E15=1,KU15=0),25,0),INDEX('計算A'!BH$110:BH$114,$F15+1)+IF(AND($E15=1,KU15=0),1000,0)+IF($H15=1,(IF('計算A'!BG$117=1,INDEX('計算A'!BG$10:BG$54,$B15),0)+IF('計算A'!BH$117=1,INDEX('計算A'!BI$10:BI$54,$B15),0))*500,0)-IF(AND('計算A'!BG$117=1,WE15&gt;0),300,0)-IF(AND($L15=1,'計算A'!BH$117=1,FG15=0),300,0))),1000000))</f>
        <v/>
      </c>
      <c r="QK15">
        <f>IF($B15=0,1000000,IF(INDEX('計算A'!$D$60:$EQ$104,$B15,58)*FG15=1,IF(AND($E15=2,KV15=0),1000000,IF($I15&gt;0,IF(3=$J15,IF(OR(AND(58=$I15+1,OR($K15&lt;&gt;'計算A'!$A$3,'計算A'!$A$4=0)),AND(58=$I15-1,OR(10&lt;&gt;'計算A'!$A$3,'計算A'!$A$4=0))),0,IF(10=$K15,200000,ABS(10-$K15)*100)),100000+ABS(3-$J15)*1000+100)+'計算A'!BI$5*50+IF(AND($E15=1,KV15=0),25,0),INDEX('計算A'!BI$110:BI$114,$F15+1)+IF(AND($E15=1,KV15=0),1000,0)+IF($H15=1,(IF('計算A'!BH$117=1,INDEX('計算A'!BH$10:BH$54,$B15),0)+IF('計算A'!BI$117=1,INDEX('計算A'!BJ$10:BJ$54,$B15),0))*500,0)-IF(AND('計算A'!BH$117=1,WF15&gt;0),300,0)-IF(AND($L15=1,'計算A'!BI$117=1,FH15=0),300,0))),1000000))</f>
        <v/>
      </c>
      <c r="QL15">
        <f>IF($B15=0,1000000,IF(INDEX('計算A'!$D$60:$EQ$104,$B15,59)*FH15=1,IF(AND($E15=2,KW15=0),1000000,IF($I15&gt;0,IF(3=$J15,IF(OR(AND(59=$I15+1,OR($K15&lt;&gt;'計算A'!$A$3,'計算A'!$A$4=0)),AND(59=$I15-1,OR(11&lt;&gt;'計算A'!$A$3,'計算A'!$A$4=0))),0,IF(11=$K15,200000,ABS(11-$K15)*100)),100000+ABS(3-$J15)*1000+110)+'計算A'!BJ$5*50+IF(AND($E15=1,KW15=0),25,0),INDEX('計算A'!BJ$110:BJ$114,$F15+1)+IF(AND($E15=1,KW15=0),1000,0)+IF($H15=1,(IF('計算A'!BI$117=1,INDEX('計算A'!BI$10:BI$54,$B15),0)+IF('計算A'!BJ$117=1,INDEX('計算A'!BK$10:BK$54,$B15),0))*500,0)-IF(AND('計算A'!BI$117=1,WG15&gt;0),300,0)-IF(AND($L15=1,'計算A'!BJ$117=1,FI15=0),300,0))),1000000))</f>
        <v/>
      </c>
      <c r="QM15">
        <f>IF($B15=0,1000000,IF(INDEX('計算A'!$D$60:$EQ$104,$B15,60)*FI15=1,IF(AND($E15=2,KX15=0),1000000,IF($I15&gt;0,IF(3=$J15,IF(OR(AND(60=$I15+1,OR($K15&lt;&gt;'計算A'!$A$3,'計算A'!$A$4=0)),AND(60=$I15-1,OR(12&lt;&gt;'計算A'!$A$3,'計算A'!$A$4=0))),0,IF(12=$K15,200000,ABS(12-$K15)*100)),100000+ABS(3-$J15)*1000+120)+'計算A'!BK$5*50+IF(AND($E15=1,KX15=0),25,0),INDEX('計算A'!BK$110:BK$114,$F15+1)+IF(AND($E15=1,KX15=0),1000,0)+IF($H15=1,(IF('計算A'!BJ$117=1,INDEX('計算A'!BJ$10:BJ$54,$B15),0)+IF('計算A'!BK$117=1,INDEX('計算A'!BL$10:BL$54,$B15),0))*500,0)-IF(AND('計算A'!BJ$117=1,WH15&gt;0),300,0)-IF(AND($L15=1,'計算A'!BK$117=1,FJ15=0),300,0))),1000000))</f>
        <v/>
      </c>
      <c r="QN15">
        <f>IF($B15=0,1000000,IF(INDEX('計算A'!$D$60:$EQ$104,$B15,61)*FJ15=1,IF(AND($E15=2,KY15=0),1000000,IF($I15&gt;0,IF(3=$J15,IF(OR(AND(61=$I15+1,OR($K15&lt;&gt;'計算A'!$A$3,'計算A'!$A$4=0)),AND(61=$I15-1,OR(13&lt;&gt;'計算A'!$A$3,'計算A'!$A$4=0))),0,IF(13=$K15,200000,ABS(13-$K15)*100)),100000+ABS(3-$J15)*1000+130)+'計算A'!BL$5*50+IF(AND($E15=1,KY15=0),25,0),INDEX('計算A'!BL$110:BL$114,$F15+1)+IF(AND($E15=1,KY15=0),1000,0)+IF($H15=1,(IF('計算A'!BK$117=1,INDEX('計算A'!BK$10:BK$54,$B15),0)+IF('計算A'!BL$117=1,INDEX('計算A'!BM$10:BM$54,$B15),0))*500,0)-IF(AND('計算A'!BK$117=1,WI15&gt;0),300,0)-IF(AND($L15=1,'計算A'!BL$117=1,FK15=0),300,0))),1000000))</f>
        <v/>
      </c>
      <c r="QO15">
        <f>IF($B15=0,1000000,IF(INDEX('計算A'!$D$60:$EQ$104,$B15,62)*FK15=1,IF(AND($E15=2,KZ15=0),1000000,IF($I15&gt;0,IF(3=$J15,IF(OR(AND(62=$I15+1,OR($K15&lt;&gt;'計算A'!$A$3,'計算A'!$A$4=0)),AND(62=$I15-1,OR(14&lt;&gt;'計算A'!$A$3,'計算A'!$A$4=0))),0,IF(14=$K15,200000,ABS(14-$K15)*100)),100000+ABS(3-$J15)*1000+140)+'計算A'!BM$5*50+IF(AND($E15=1,KZ15=0),25,0),INDEX('計算A'!BM$110:BM$114,$F15+1)+IF(AND($E15=1,KZ15=0),1000,0)+IF($H15=1,(IF('計算A'!BL$117=1,INDEX('計算A'!BL$10:BL$54,$B15),0)+IF('計算A'!BM$117=1,INDEX('計算A'!BN$10:BN$54,$B15),0))*500,0)-IF(AND('計算A'!BL$117=1,WJ15&gt;0),300,0)-IF(AND($L15=1,'計算A'!BM$117=1,FL15=0),300,0))),1000000))</f>
        <v/>
      </c>
      <c r="QP15">
        <f>IF($B15=0,1000000,IF(INDEX('計算A'!$D$60:$EQ$104,$B15,63)*FL15=1,IF(AND($E15=2,LA15=0),1000000,IF($I15&gt;0,IF(3=$J15,IF(OR(AND(63=$I15+1,OR($K15&lt;&gt;'計算A'!$A$3,'計算A'!$A$4=0)),AND(63=$I15-1,OR(15&lt;&gt;'計算A'!$A$3,'計算A'!$A$4=0))),0,IF(15=$K15,200000,ABS(15-$K15)*100)),100000+ABS(3-$J15)*1000+150)+'計算A'!BN$5*50+IF(AND($E15=1,LA15=0),25,0),INDEX('計算A'!BN$110:BN$114,$F15+1)+IF(AND($E15=1,LA15=0),1000,0)+IF($H15=1,(IF('計算A'!BM$117=1,INDEX('計算A'!BM$10:BM$54,$B15),0)+IF('計算A'!BN$117=1,INDEX('計算A'!BO$10:BO$54,$B15),0))*500,0)-IF(AND('計算A'!BM$117=1,WK15&gt;0),300,0)-IF(AND($L15=1,'計算A'!BN$117=1,FM15=0),300,0))),1000000))</f>
        <v/>
      </c>
      <c r="QQ15">
        <f>IF($B15=0,1000000,IF(INDEX('計算A'!$D$60:$EQ$104,$B15,64)*FM15=1,IF(AND($E15=2,LB15=0),1000000,IF($I15&gt;0,IF(3=$J15,IF(OR(AND(64=$I15+1,OR($K15&lt;&gt;'計算A'!$A$3,'計算A'!$A$4=0)),AND(64=$I15-1,OR(16&lt;&gt;'計算A'!$A$3,'計算A'!$A$4=0))),0,IF(16=$K15,200000,ABS(16-$K15)*100)),100000+ABS(3-$J15)*1000+160)+'計算A'!BO$5*50+IF(AND($E15=1,LB15=0),25,0),INDEX('計算A'!BO$110:BO$114,$F15+1)+IF(AND($E15=1,LB15=0),1000,0)+IF($H15=1,(IF('計算A'!BN$117=1,INDEX('計算A'!BN$10:BN$54,$B15),0)+IF('計算A'!BO$117=1,INDEX('計算A'!BP$10:BP$54,$B15),0))*500,0)-IF(AND('計算A'!BN$117=1,WL15&gt;0),300,0)-IF(AND($L15=1,'計算A'!BO$117=1,FN15=0),300,0))),1000000))</f>
        <v/>
      </c>
      <c r="QR15">
        <f>IF($B15=0,1000000,IF(INDEX('計算A'!$D$60:$EQ$104,$B15,65)*FN15=1,IF(AND($E15=2,LC15=0),1000000,IF($I15&gt;0,IF(3=$J15,IF(OR(AND(65=$I15+1,OR($K15&lt;&gt;'計算A'!$A$3,'計算A'!$A$4=0)),AND(65=$I15-1,OR(17&lt;&gt;'計算A'!$A$3,'計算A'!$A$4=0))),0,IF(17=$K15,200000,ABS(17-$K15)*100)),100000+ABS(3-$J15)*1000+170)+'計算A'!BP$5*50+IF(AND($E15=1,LC15=0),25,0),INDEX('計算A'!BP$110:BP$114,$F15+1)+IF(AND($E15=1,LC15=0),1000,0)+IF($H15=1,(IF('計算A'!BO$117=1,INDEX('計算A'!BO$10:BO$54,$B15),0)+IF('計算A'!BP$117=1,INDEX('計算A'!BQ$10:BQ$54,$B15),0))*500,0)-IF(AND('計算A'!BO$117=1,WM15&gt;0),300,0)-IF(AND($L15=1,'計算A'!BP$117=1,FO15=0),300,0))),1000000))</f>
        <v/>
      </c>
      <c r="QS15">
        <f>IF($B15=0,1000000,IF(INDEX('計算A'!$D$60:$EQ$104,$B15,66)*FO15=1,IF(AND($E15=2,LD15=0),1000000,IF($I15&gt;0,IF(3=$J15,IF(OR(AND(66=$I15+1,OR($K15&lt;&gt;'計算A'!$A$3,'計算A'!$A$4=0)),AND(66=$I15-1,OR(18&lt;&gt;'計算A'!$A$3,'計算A'!$A$4=0))),0,IF(18=$K15,200000,ABS(18-$K15)*100)),100000+ABS(3-$J15)*1000+180)+'計算A'!BQ$5*50+IF(AND($E15=1,LD15=0),25,0),INDEX('計算A'!BQ$110:BQ$114,$F15+1)+IF(AND($E15=1,LD15=0),1000,0)+IF($H15=1,(IF('計算A'!BP$117=1,INDEX('計算A'!BP$10:BP$54,$B15),0)+IF('計算A'!BQ$117=1,INDEX('計算A'!BR$10:BR$54,$B15),0))*500,0)-IF(AND('計算A'!BP$117=1,WN15&gt;0),300,0)-IF(AND($L15=1,'計算A'!BQ$117=1,FP15=0),300,0))),1000000))</f>
        <v/>
      </c>
      <c r="QT15">
        <f>IF($B15=0,1000000,IF(INDEX('計算A'!$D$60:$EQ$104,$B15,67)*FP15=1,IF(AND($E15=2,LE15=0),1000000,IF($I15&gt;0,IF(3=$J15,IF(OR(AND(67=$I15+1,OR($K15&lt;&gt;'計算A'!$A$3,'計算A'!$A$4=0)),AND(67=$I15-1,OR(19&lt;&gt;'計算A'!$A$3,'計算A'!$A$4=0))),0,IF(19=$K15,200000,ABS(19-$K15)*100)),100000+ABS(3-$J15)*1000+190)+'計算A'!BR$5*50+IF(AND($E15=1,LE15=0),25,0),INDEX('計算A'!BR$110:BR$114,$F15+1)+IF(AND($E15=1,LE15=0),1000,0)+IF($H15=1,(IF('計算A'!BQ$117=1,INDEX('計算A'!BQ$10:BQ$54,$B15),0)+IF('計算A'!BR$117=1,INDEX('計算A'!BS$10:BS$54,$B15),0))*500,0)-IF(AND('計算A'!BQ$117=1,WO15&gt;0),300,0)-IF(AND($L15=1,'計算A'!BR$117=1,FQ15=0),300,0))),1000000))</f>
        <v/>
      </c>
      <c r="QU15">
        <f>IF($B15=0,1000000,IF(INDEX('計算A'!$D$60:$EQ$104,$B15,68)*FQ15=1,IF(AND($E15=2,LF15=0),1000000,IF($I15&gt;0,IF(3=$J15,IF(OR(AND(68=$I15+1,OR($K15&lt;&gt;'計算A'!$A$3,'計算A'!$A$4=0)),AND(68=$I15-1,OR(20&lt;&gt;'計算A'!$A$3,'計算A'!$A$4=0))),0,IF(20=$K15,200000,ABS(20-$K15)*100)),100000+ABS(3-$J15)*1000+200)+'計算A'!BS$5*50+IF(AND($E15=1,LF15=0),25,0),INDEX('計算A'!BS$110:BS$114,$F15+1)+IF(AND($E15=1,LF15=0),1000,0)+IF($H15=1,(IF('計算A'!BR$117=1,INDEX('計算A'!BR$10:BR$54,$B15),0)+IF('計算A'!BS$117=1,INDEX('計算A'!BT$10:BT$54,$B15),0))*500,0)-IF(AND('計算A'!BR$117=1,WP15&gt;0),300,0)-IF(AND($L15=1,'計算A'!BS$117=1,FR15=0),300,0))),1000000))</f>
        <v/>
      </c>
      <c r="QV15">
        <f>IF($B15=0,1000000,IF(INDEX('計算A'!$D$60:$EQ$104,$B15,69)*FR15=1,IF(AND($E15=2,LG15=0),1000000,IF($I15&gt;0,IF(3=$J15,IF(OR(AND(69=$I15+1,OR($K15&lt;&gt;'計算A'!$A$3,'計算A'!$A$4=0)),AND(69=$I15-1,OR(21&lt;&gt;'計算A'!$A$3,'計算A'!$A$4=0))),0,IF(21=$K15,200000,ABS(21-$K15)*100)),100000+ABS(3-$J15)*1000+210)+'計算A'!BT$5*50+IF(AND($E15=1,LG15=0),25,0),INDEX('計算A'!BT$110:BT$114,$F15+1)+IF(AND($E15=1,LG15=0),1000,0)+IF($H15=1,(IF('計算A'!BS$117=1,INDEX('計算A'!BS$10:BS$54,$B15),0)+IF('計算A'!BT$117=1,INDEX('計算A'!BU$10:BU$54,$B15),0))*500,0)-IF(AND('計算A'!BS$117=1,WQ15&gt;0),300,0)-IF(AND($L15=1,'計算A'!BT$117=1,FS15=0),300,0))),1000000))</f>
        <v/>
      </c>
      <c r="QW15">
        <f>IF($B15=0,1000000,IF(INDEX('計算A'!$D$60:$EQ$104,$B15,70)*FS15=1,IF(AND($E15=2,LH15=0),1000000,IF($I15&gt;0,IF(3=$J15,IF(OR(AND(70=$I15+1,OR($K15&lt;&gt;'計算A'!$A$3,'計算A'!$A$4=0)),AND(70=$I15-1,OR(22&lt;&gt;'計算A'!$A$3,'計算A'!$A$4=0))),0,IF(22=$K15,200000,ABS(22-$K15)*100)),100000+ABS(3-$J15)*1000+220)+'計算A'!BU$5*50+IF(AND($E15=1,LH15=0),25,0),INDEX('計算A'!BU$110:BU$114,$F15+1)+IF(AND($E15=1,LH15=0),1000,0)+IF($H15=1,(IF('計算A'!BT$117=1,INDEX('計算A'!BT$10:BT$54,$B15),0)+IF('計算A'!BU$117=1,INDEX('計算A'!BV$10:BV$54,$B15),0))*500,0)-IF(AND('計算A'!BT$117=1,WR15&gt;0),300,0)-IF(AND($L15=1,'計算A'!BU$117=1,FT15=0),300,0))),1000000))</f>
        <v/>
      </c>
      <c r="QX15">
        <f>IF($B15=0,1000000,IF(INDEX('計算A'!$D$60:$EQ$104,$B15,71)*FT15=1,IF(AND($E15=2,LI15=0),1000000,IF($I15&gt;0,IF(3=$J15,IF(OR(AND(71=$I15+1,OR($K15&lt;&gt;'計算A'!$A$3,'計算A'!$A$4=0)),AND(71=$I15-1,OR(23&lt;&gt;'計算A'!$A$3,'計算A'!$A$4=0))),0,IF(23=$K15,200000,ABS(23-$K15)*100)),100000+ABS(3-$J15)*1000+230)+'計算A'!BV$5*50+IF(AND($E15=1,LI15=0),25,0),INDEX('計算A'!BV$110:BV$114,$F15+1)+IF(AND($E15=1,LI15=0),1000,0)+IF($H15=1,(IF('計算A'!BU$117=1,INDEX('計算A'!BU$10:BU$54,$B15),0)+IF('計算A'!BV$117=1,INDEX('計算A'!BW$10:BW$54,$B15),0))*500,0)-IF(AND('計算A'!BU$117=1,WS15&gt;0),300,0)-IF(AND($L15=1,'計算A'!BV$117=1,FU15=0),300,0))),1000000))</f>
        <v/>
      </c>
      <c r="QY15">
        <f>IF($B15=0,1000000,IF(INDEX('計算A'!$D$60:$EQ$104,$B15,72)*FU15=1,IF(AND($E15=2,LJ15=0),1000000,IF($I15&gt;0,IF(3=$J15,IF(OR(AND(72=$I15+1,OR($K15&lt;&gt;'計算A'!$A$3,'計算A'!$A$4=0)),AND(72=$I15-1,OR(24&lt;&gt;'計算A'!$A$3,'計算A'!$A$4=0))),0,IF(24=$K15,200000,ABS(24-$K15)*100)),100000+ABS(3-$J15)*1000+240)+'計算A'!BW$5*50+IF(AND($E15=1,LJ15=0),25,0),INDEX('計算A'!BW$110:BW$114,$F15+1)+IF(AND($E15=1,LJ15=0),1000,0)+IF($H15=1,(IF('計算A'!BV$117=1,INDEX('計算A'!BV$10:BV$54,$B15),0))*500,0)-IF(AND('計算A'!BV$117=1,WT15&gt;0),300,0))),1000000))</f>
        <v/>
      </c>
      <c r="QZ15">
        <f>IF($B15=0,1000000,IF(INDEX('計算A'!$D$60:$EQ$104,$B15,73)*FV15=1,IF(AND($E15=2,LK15=0),1000000,IF($I15&gt;0,IF(4=$J15,IF(OR(AND(73=$I15+1,OR($K15&lt;&gt;'計算A'!$A$3,'計算A'!$A$4=0)),AND(73=$I15-1,OR(1&lt;&gt;'計算A'!$A$3,'計算A'!$A$4=0))),0,IF(1=$K15,200000,ABS(1-$K15)*100)),100000+ABS(4-$J15)*1000+10)+'計算A'!BX$5*50+IF(AND($E15=1,LK15=0),25,0),INDEX('計算A'!BX$110:BX$114,$F15+1)+IF(AND($E15=1,LK15=0),1000,0)+IF($H15=1,(IF('計算A'!BX$117=1,INDEX('計算A'!BY$10:BY$54,$B15),0))*500,0)-IF(AND($L15=1,'計算A'!BX$117=1,FW15=0),300,0))),1000000))</f>
        <v/>
      </c>
      <c r="RA15">
        <f>IF($B15=0,1000000,IF(INDEX('計算A'!$D$60:$EQ$104,$B15,74)*FW15=1,IF(AND($E15=2,LL15=0),1000000,IF($I15&gt;0,IF(4=$J15,IF(OR(AND(74=$I15+1,OR($K15&lt;&gt;'計算A'!$A$3,'計算A'!$A$4=0)),AND(74=$I15-1,OR(2&lt;&gt;'計算A'!$A$3,'計算A'!$A$4=0))),0,IF(2=$K15,200000,ABS(2-$K15)*100)),100000+ABS(4-$J15)*1000+20)+'計算A'!BY$5*50+IF(AND($E15=1,LL15=0),25,0),INDEX('計算A'!BY$110:BY$114,$F15+1)+IF(AND($E15=1,LL15=0),1000,0)+IF($H15=1,(IF('計算A'!BX$117=1,INDEX('計算A'!BX$10:BX$54,$B15),0)+IF('計算A'!BY$117=1,INDEX('計算A'!BZ$10:BZ$54,$B15),0))*500,0)-IF(AND('計算A'!BX$117=1,WV15&gt;0),300,0)-IF(AND($L15=1,'計算A'!BY$117=1,FX15=0),300,0))),1000000))</f>
        <v/>
      </c>
      <c r="RB15">
        <f>IF($B15=0,1000000,IF(INDEX('計算A'!$D$60:$EQ$104,$B15,75)*FX15=1,IF(AND($E15=2,LM15=0),1000000,IF($I15&gt;0,IF(4=$J15,IF(OR(AND(75=$I15+1,OR($K15&lt;&gt;'計算A'!$A$3,'計算A'!$A$4=0)),AND(75=$I15-1,OR(3&lt;&gt;'計算A'!$A$3,'計算A'!$A$4=0))),0,IF(3=$K15,200000,ABS(3-$K15)*100)),100000+ABS(4-$J15)*1000+30)+'計算A'!BZ$5*50+IF(AND($E15=1,LM15=0),25,0),INDEX('計算A'!BZ$110:BZ$114,$F15+1)+IF(AND($E15=1,LM15=0),1000,0)+IF($H15=1,(IF('計算A'!BY$117=1,INDEX('計算A'!BY$10:BY$54,$B15),0)+IF('計算A'!BZ$117=1,INDEX('計算A'!CA$10:CA$54,$B15),0))*500,0)-IF(AND('計算A'!BY$117=1,WW15&gt;0),300,0)-IF(AND($L15=1,'計算A'!BZ$117=1,FY15=0),300,0))),1000000))</f>
        <v/>
      </c>
      <c r="RC15">
        <f>IF($B15=0,1000000,IF(INDEX('計算A'!$D$60:$EQ$104,$B15,76)*FY15=1,IF(AND($E15=2,LN15=0),1000000,IF($I15&gt;0,IF(4=$J15,IF(OR(AND(76=$I15+1,OR($K15&lt;&gt;'計算A'!$A$3,'計算A'!$A$4=0)),AND(76=$I15-1,OR(4&lt;&gt;'計算A'!$A$3,'計算A'!$A$4=0))),0,IF(4=$K15,200000,ABS(4-$K15)*100)),100000+ABS(4-$J15)*1000+40)+'計算A'!CA$5*50+IF(AND($E15=1,LN15=0),25,0),INDEX('計算A'!CA$110:CA$114,$F15+1)+IF(AND($E15=1,LN15=0),1000,0)+IF($H15=1,(IF('計算A'!BZ$117=1,INDEX('計算A'!BZ$10:BZ$54,$B15),0)+IF('計算A'!CA$117=1,INDEX('計算A'!CB$10:CB$54,$B15),0))*500,0)-IF(AND('計算A'!BZ$117=1,WX15&gt;0),300,0)-IF(AND($L15=1,'計算A'!CA$117=1,FZ15=0),300,0))),1000000))</f>
        <v/>
      </c>
      <c r="RD15">
        <f>IF($B15=0,1000000,IF(INDEX('計算A'!$D$60:$EQ$104,$B15,77)*FZ15=1,IF(AND($E15=2,LO15=0),1000000,IF($I15&gt;0,IF(4=$J15,IF(OR(AND(77=$I15+1,OR($K15&lt;&gt;'計算A'!$A$3,'計算A'!$A$4=0)),AND(77=$I15-1,OR(5&lt;&gt;'計算A'!$A$3,'計算A'!$A$4=0))),0,IF(5=$K15,200000,ABS(5-$K15)*100)),100000+ABS(4-$J15)*1000+50)+'計算A'!CB$5*50+IF(AND($E15=1,LO15=0),25,0),INDEX('計算A'!CB$110:CB$114,$F15+1)+IF(AND($E15=1,LO15=0),1000,0)+IF($H15=1,(IF('計算A'!CA$117=1,INDEX('計算A'!CA$10:CA$54,$B15),0)+IF('計算A'!CB$117=1,INDEX('計算A'!CC$10:CC$54,$B15),0))*500,0)-IF(AND('計算A'!CA$117=1,WY15&gt;0),300,0)-IF(AND($L15=1,'計算A'!CB$117=1,GA15=0),300,0))),1000000))</f>
        <v/>
      </c>
      <c r="RE15">
        <f>IF($B15=0,1000000,IF(INDEX('計算A'!$D$60:$EQ$104,$B15,78)*GA15=1,IF(AND($E15=2,LP15=0),1000000,IF($I15&gt;0,IF(4=$J15,IF(OR(AND(78=$I15+1,OR($K15&lt;&gt;'計算A'!$A$3,'計算A'!$A$4=0)),AND(78=$I15-1,OR(6&lt;&gt;'計算A'!$A$3,'計算A'!$A$4=0))),0,IF(6=$K15,200000,ABS(6-$K15)*100)),100000+ABS(4-$J15)*1000+60)+'計算A'!CC$5*50+IF(AND($E15=1,LP15=0),25,0),INDEX('計算A'!CC$110:CC$114,$F15+1)+IF(AND($E15=1,LP15=0),1000,0)+IF($H15=1,(IF('計算A'!CB$117=1,INDEX('計算A'!CB$10:CB$54,$B15),0)+IF('計算A'!CC$117=1,INDEX('計算A'!CD$10:CD$54,$B15),0))*500,0)-IF(AND('計算A'!CB$117=1,WZ15&gt;0),300,0)-IF(AND($L15=1,'計算A'!CC$117=1,GB15=0),300,0))),1000000))</f>
        <v/>
      </c>
      <c r="RF15">
        <f>IF($B15=0,1000000,IF(INDEX('計算A'!$D$60:$EQ$104,$B15,79)*GB15=1,IF(AND($E15=2,LQ15=0),1000000,IF($I15&gt;0,IF(4=$J15,IF(OR(AND(79=$I15+1,OR($K15&lt;&gt;'計算A'!$A$3,'計算A'!$A$4=0)),AND(79=$I15-1,OR(7&lt;&gt;'計算A'!$A$3,'計算A'!$A$4=0))),0,IF(7=$K15,200000,ABS(7-$K15)*100)),100000+ABS(4-$J15)*1000+70)+'計算A'!CD$5*50+IF(AND($E15=1,LQ15=0),25,0),INDEX('計算A'!CD$110:CD$114,$F15+1)+IF(AND($E15=1,LQ15=0),1000,0)+IF($H15=1,(IF('計算A'!CC$117=1,INDEX('計算A'!CC$10:CC$54,$B15),0)+IF('計算A'!CD$117=1,INDEX('計算A'!CE$10:CE$54,$B15),0))*500,0)-IF(AND('計算A'!CC$117=1,XA15&gt;0),300,0)-IF(AND($L15=1,'計算A'!CD$117=1,GC15=0),300,0))),1000000))</f>
        <v/>
      </c>
      <c r="RG15">
        <f>IF($B15=0,1000000,IF(INDEX('計算A'!$D$60:$EQ$104,$B15,80)*GC15=1,IF(AND($E15=2,LR15=0),1000000,IF($I15&gt;0,IF(4=$J15,IF(OR(AND(80=$I15+1,OR($K15&lt;&gt;'計算A'!$A$3,'計算A'!$A$4=0)),AND(80=$I15-1,OR(8&lt;&gt;'計算A'!$A$3,'計算A'!$A$4=0))),0,IF(8=$K15,200000,ABS(8-$K15)*100)),100000+ABS(4-$J15)*1000+80)+'計算A'!CE$5*50+IF(AND($E15=1,LR15=0),25,0),INDEX('計算A'!CE$110:CE$114,$F15+1)+IF(AND($E15=1,LR15=0),1000,0)+IF($H15=1,(IF('計算A'!CD$117=1,INDEX('計算A'!CD$10:CD$54,$B15),0)+IF('計算A'!CE$117=1,INDEX('計算A'!CF$10:CF$54,$B15),0))*500,0)-IF(AND('計算A'!CD$117=1,XB15&gt;0),300,0)-IF(AND($L15=1,'計算A'!CE$117=1,GD15=0),300,0))),1000000))</f>
        <v/>
      </c>
      <c r="RH15">
        <f>IF($B15=0,1000000,IF(INDEX('計算A'!$D$60:$EQ$104,$B15,81)*GD15=1,IF(AND($E15=2,LS15=0),1000000,IF($I15&gt;0,IF(4=$J15,IF(OR(AND(81=$I15+1,OR($K15&lt;&gt;'計算A'!$A$3,'計算A'!$A$4=0)),AND(81=$I15-1,OR(9&lt;&gt;'計算A'!$A$3,'計算A'!$A$4=0))),0,IF(9=$K15,200000,ABS(9-$K15)*100)),100000+ABS(4-$J15)*1000+90)+'計算A'!CF$5*50+IF(AND($E15=1,LS15=0),25,0),INDEX('計算A'!CF$110:CF$114,$F15+1)+IF(AND($E15=1,LS15=0),1000,0)+IF($H15=1,(IF('計算A'!CE$117=1,INDEX('計算A'!CE$10:CE$54,$B15),0)+IF('計算A'!CF$117=1,INDEX('計算A'!CG$10:CG$54,$B15),0))*500,0)-IF(AND('計算A'!CE$117=1,XC15&gt;0),300,0)-IF(AND($L15=1,'計算A'!CF$117=1,GE15=0),300,0))),1000000))</f>
        <v/>
      </c>
      <c r="RI15">
        <f>IF($B15=0,1000000,IF(INDEX('計算A'!$D$60:$EQ$104,$B15,82)*GE15=1,IF(AND($E15=2,LT15=0),1000000,IF($I15&gt;0,IF(4=$J15,IF(OR(AND(82=$I15+1,OR($K15&lt;&gt;'計算A'!$A$3,'計算A'!$A$4=0)),AND(82=$I15-1,OR(10&lt;&gt;'計算A'!$A$3,'計算A'!$A$4=0))),0,IF(10=$K15,200000,ABS(10-$K15)*100)),100000+ABS(4-$J15)*1000+100)+'計算A'!CG$5*50+IF(AND($E15=1,LT15=0),25,0),INDEX('計算A'!CG$110:CG$114,$F15+1)+IF(AND($E15=1,LT15=0),1000,0)+IF($H15=1,(IF('計算A'!CF$117=1,INDEX('計算A'!CF$10:CF$54,$B15),0)+IF('計算A'!CG$117=1,INDEX('計算A'!CH$10:CH$54,$B15),0))*500,0)-IF(AND('計算A'!CF$117=1,XD15&gt;0),300,0)-IF(AND($L15=1,'計算A'!CG$117=1,GF15=0),300,0))),1000000))</f>
        <v/>
      </c>
      <c r="RJ15">
        <f>IF($B15=0,1000000,IF(INDEX('計算A'!$D$60:$EQ$104,$B15,83)*GF15=1,IF(AND($E15=2,LU15=0),1000000,IF($I15&gt;0,IF(4=$J15,IF(OR(AND(83=$I15+1,OR($K15&lt;&gt;'計算A'!$A$3,'計算A'!$A$4=0)),AND(83=$I15-1,OR(11&lt;&gt;'計算A'!$A$3,'計算A'!$A$4=0))),0,IF(11=$K15,200000,ABS(11-$K15)*100)),100000+ABS(4-$J15)*1000+110)+'計算A'!CH$5*50+IF(AND($E15=1,LU15=0),25,0),INDEX('計算A'!CH$110:CH$114,$F15+1)+IF(AND($E15=1,LU15=0),1000,0)+IF($H15=1,(IF('計算A'!CG$117=1,INDEX('計算A'!CG$10:CG$54,$B15),0)+IF('計算A'!CH$117=1,INDEX('計算A'!CI$10:CI$54,$B15),0))*500,0)-IF(AND('計算A'!CG$117=1,XE15&gt;0),300,0)-IF(AND($L15=1,'計算A'!CH$117=1,GG15=0),300,0))),1000000))</f>
        <v/>
      </c>
      <c r="RK15">
        <f>IF($B15=0,1000000,IF(INDEX('計算A'!$D$60:$EQ$104,$B15,84)*GG15=1,IF(AND($E15=2,LV15=0),1000000,IF($I15&gt;0,IF(4=$J15,IF(OR(AND(84=$I15+1,OR($K15&lt;&gt;'計算A'!$A$3,'計算A'!$A$4=0)),AND(84=$I15-1,OR(12&lt;&gt;'計算A'!$A$3,'計算A'!$A$4=0))),0,IF(12=$K15,200000,ABS(12-$K15)*100)),100000+ABS(4-$J15)*1000+120)+'計算A'!CI$5*50+IF(AND($E15=1,LV15=0),25,0),INDEX('計算A'!CI$110:CI$114,$F15+1)+IF(AND($E15=1,LV15=0),1000,0)+IF($H15=1,(IF('計算A'!CH$117=1,INDEX('計算A'!CH$10:CH$54,$B15),0)+IF('計算A'!CI$117=1,INDEX('計算A'!CJ$10:CJ$54,$B15),0))*500,0)-IF(AND('計算A'!CH$117=1,XF15&gt;0),300,0)-IF(AND($L15=1,'計算A'!CI$117=1,GH15=0),300,0))),1000000))</f>
        <v/>
      </c>
      <c r="RL15">
        <f>IF($B15=0,1000000,IF(INDEX('計算A'!$D$60:$EQ$104,$B15,85)*GH15=1,IF(AND($E15=2,LW15=0),1000000,IF($I15&gt;0,IF(4=$J15,IF(OR(AND(85=$I15+1,OR($K15&lt;&gt;'計算A'!$A$3,'計算A'!$A$4=0)),AND(85=$I15-1,OR(13&lt;&gt;'計算A'!$A$3,'計算A'!$A$4=0))),0,IF(13=$K15,200000,ABS(13-$K15)*100)),100000+ABS(4-$J15)*1000+130)+'計算A'!CJ$5*50+IF(AND($E15=1,LW15=0),25,0),INDEX('計算A'!CJ$110:CJ$114,$F15+1)+IF(AND($E15=1,LW15=0),1000,0)+IF($H15=1,(IF('計算A'!CI$117=1,INDEX('計算A'!CI$10:CI$54,$B15),0)+IF('計算A'!CJ$117=1,INDEX('計算A'!CK$10:CK$54,$B15),0))*500,0)-IF(AND('計算A'!CI$117=1,XG15&gt;0),300,0)-IF(AND($L15=1,'計算A'!CJ$117=1,GI15=0),300,0))),1000000))</f>
        <v/>
      </c>
      <c r="RM15">
        <f>IF($B15=0,1000000,IF(INDEX('計算A'!$D$60:$EQ$104,$B15,86)*GI15=1,IF(AND($E15=2,LX15=0),1000000,IF($I15&gt;0,IF(4=$J15,IF(OR(AND(86=$I15+1,OR($K15&lt;&gt;'計算A'!$A$3,'計算A'!$A$4=0)),AND(86=$I15-1,OR(14&lt;&gt;'計算A'!$A$3,'計算A'!$A$4=0))),0,IF(14=$K15,200000,ABS(14-$K15)*100)),100000+ABS(4-$J15)*1000+140)+'計算A'!CK$5*50+IF(AND($E15=1,LX15=0),25,0),INDEX('計算A'!CK$110:CK$114,$F15+1)+IF(AND($E15=1,LX15=0),1000,0)+IF($H15=1,(IF('計算A'!CJ$117=1,INDEX('計算A'!CJ$10:CJ$54,$B15),0)+IF('計算A'!CK$117=1,INDEX('計算A'!CL$10:CL$54,$B15),0))*500,0)-IF(AND('計算A'!CJ$117=1,XH15&gt;0),300,0)-IF(AND($L15=1,'計算A'!CK$117=1,GJ15=0),300,0))),1000000))</f>
        <v/>
      </c>
      <c r="RN15">
        <f>IF($B15=0,1000000,IF(INDEX('計算A'!$D$60:$EQ$104,$B15,87)*GJ15=1,IF(AND($E15=2,LY15=0),1000000,IF($I15&gt;0,IF(4=$J15,IF(OR(AND(87=$I15+1,OR($K15&lt;&gt;'計算A'!$A$3,'計算A'!$A$4=0)),AND(87=$I15-1,OR(15&lt;&gt;'計算A'!$A$3,'計算A'!$A$4=0))),0,IF(15=$K15,200000,ABS(15-$K15)*100)),100000+ABS(4-$J15)*1000+150)+'計算A'!CL$5*50+IF(AND($E15=1,LY15=0),25,0),INDEX('計算A'!CL$110:CL$114,$F15+1)+IF(AND($E15=1,LY15=0),1000,0)+IF($H15=1,(IF('計算A'!CK$117=1,INDEX('計算A'!CK$10:CK$54,$B15),0)+IF('計算A'!CL$117=1,INDEX('計算A'!CM$10:CM$54,$B15),0))*500,0)-IF(AND('計算A'!CK$117=1,XI15&gt;0),300,0)-IF(AND($L15=1,'計算A'!CL$117=1,GK15=0),300,0))),1000000))</f>
        <v/>
      </c>
      <c r="RO15">
        <f>IF($B15=0,1000000,IF(INDEX('計算A'!$D$60:$EQ$104,$B15,88)*GK15=1,IF(AND($E15=2,LZ15=0),1000000,IF($I15&gt;0,IF(4=$J15,IF(OR(AND(88=$I15+1,OR($K15&lt;&gt;'計算A'!$A$3,'計算A'!$A$4=0)),AND(88=$I15-1,OR(16&lt;&gt;'計算A'!$A$3,'計算A'!$A$4=0))),0,IF(16=$K15,200000,ABS(16-$K15)*100)),100000+ABS(4-$J15)*1000+160)+'計算A'!CM$5*50+IF(AND($E15=1,LZ15=0),25,0),INDEX('計算A'!CM$110:CM$114,$F15+1)+IF(AND($E15=1,LZ15=0),1000,0)+IF($H15=1,(IF('計算A'!CL$117=1,INDEX('計算A'!CL$10:CL$54,$B15),0)+IF('計算A'!CM$117=1,INDEX('計算A'!CN$10:CN$54,$B15),0))*500,0)-IF(AND('計算A'!CL$117=1,XJ15&gt;0),300,0)-IF(AND($L15=1,'計算A'!CM$117=1,GL15=0),300,0))),1000000))</f>
        <v/>
      </c>
      <c r="RP15">
        <f>IF($B15=0,1000000,IF(INDEX('計算A'!$D$60:$EQ$104,$B15,89)*GL15=1,IF(AND($E15=2,MA15=0),1000000,IF($I15&gt;0,IF(4=$J15,IF(OR(AND(89=$I15+1,OR($K15&lt;&gt;'計算A'!$A$3,'計算A'!$A$4=0)),AND(89=$I15-1,OR(17&lt;&gt;'計算A'!$A$3,'計算A'!$A$4=0))),0,IF(17=$K15,200000,ABS(17-$K15)*100)),100000+ABS(4-$J15)*1000+170)+'計算A'!CN$5*50+IF(AND($E15=1,MA15=0),25,0),INDEX('計算A'!CN$110:CN$114,$F15+1)+IF(AND($E15=1,MA15=0),1000,0)+IF($H15=1,(IF('計算A'!CM$117=1,INDEX('計算A'!CM$10:CM$54,$B15),0)+IF('計算A'!CN$117=1,INDEX('計算A'!CO$10:CO$54,$B15),0))*500,0)-IF(AND('計算A'!CM$117=1,XK15&gt;0),300,0)-IF(AND($L15=1,'計算A'!CN$117=1,GM15=0),300,0))),1000000))</f>
        <v/>
      </c>
      <c r="RQ15">
        <f>IF($B15=0,1000000,IF(INDEX('計算A'!$D$60:$EQ$104,$B15,90)*GM15=1,IF(AND($E15=2,MB15=0),1000000,IF($I15&gt;0,IF(4=$J15,IF(OR(AND(90=$I15+1,OR($K15&lt;&gt;'計算A'!$A$3,'計算A'!$A$4=0)),AND(90=$I15-1,OR(18&lt;&gt;'計算A'!$A$3,'計算A'!$A$4=0))),0,IF(18=$K15,200000,ABS(18-$K15)*100)),100000+ABS(4-$J15)*1000+180)+'計算A'!CO$5*50+IF(AND($E15=1,MB15=0),25,0),INDEX('計算A'!CO$110:CO$114,$F15+1)+IF(AND($E15=1,MB15=0),1000,0)+IF($H15=1,(IF('計算A'!CN$117=1,INDEX('計算A'!CN$10:CN$54,$B15),0)+IF('計算A'!CO$117=1,INDEX('計算A'!CP$10:CP$54,$B15),0))*500,0)-IF(AND('計算A'!CN$117=1,XL15&gt;0),300,0)-IF(AND($L15=1,'計算A'!CO$117=1,GN15=0),300,0))),1000000))</f>
        <v/>
      </c>
      <c r="RR15">
        <f>IF($B15=0,1000000,IF(INDEX('計算A'!$D$60:$EQ$104,$B15,91)*GN15=1,IF(AND($E15=2,MC15=0),1000000,IF($I15&gt;0,IF(4=$J15,IF(OR(AND(91=$I15+1,OR($K15&lt;&gt;'計算A'!$A$3,'計算A'!$A$4=0)),AND(91=$I15-1,OR(19&lt;&gt;'計算A'!$A$3,'計算A'!$A$4=0))),0,IF(19=$K15,200000,ABS(19-$K15)*100)),100000+ABS(4-$J15)*1000+190)+'計算A'!CP$5*50+IF(AND($E15=1,MC15=0),25,0),INDEX('計算A'!CP$110:CP$114,$F15+1)+IF(AND($E15=1,MC15=0),1000,0)+IF($H15=1,(IF('計算A'!CO$117=1,INDEX('計算A'!CO$10:CO$54,$B15),0)+IF('計算A'!CP$117=1,INDEX('計算A'!CQ$10:CQ$54,$B15),0))*500,0)-IF(AND('計算A'!CO$117=1,XM15&gt;0),300,0)-IF(AND($L15=1,'計算A'!CP$117=1,GO15=0),300,0))),1000000))</f>
        <v/>
      </c>
      <c r="RS15">
        <f>IF($B15=0,1000000,IF(INDEX('計算A'!$D$60:$EQ$104,$B15,92)*GO15=1,IF(AND($E15=2,MD15=0),1000000,IF($I15&gt;0,IF(4=$J15,IF(OR(AND(92=$I15+1,OR($K15&lt;&gt;'計算A'!$A$3,'計算A'!$A$4=0)),AND(92=$I15-1,OR(20&lt;&gt;'計算A'!$A$3,'計算A'!$A$4=0))),0,IF(20=$K15,200000,ABS(20-$K15)*100)),100000+ABS(4-$J15)*1000+200)+'計算A'!CQ$5*50+IF(AND($E15=1,MD15=0),25,0),INDEX('計算A'!CQ$110:CQ$114,$F15+1)+IF(AND($E15=1,MD15=0),1000,0)+IF($H15=1,(IF('計算A'!CP$117=1,INDEX('計算A'!CP$10:CP$54,$B15),0)+IF('計算A'!CQ$117=1,INDEX('計算A'!CR$10:CR$54,$B15),0))*500,0)-IF(AND('計算A'!CP$117=1,XN15&gt;0),300,0)-IF(AND($L15=1,'計算A'!CQ$117=1,GP15=0),300,0))),1000000))</f>
        <v/>
      </c>
      <c r="RT15">
        <f>IF($B15=0,1000000,IF(INDEX('計算A'!$D$60:$EQ$104,$B15,93)*GP15=1,IF(AND($E15=2,ME15=0),1000000,IF($I15&gt;0,IF(4=$J15,IF(OR(AND(93=$I15+1,OR($K15&lt;&gt;'計算A'!$A$3,'計算A'!$A$4=0)),AND(93=$I15-1,OR(21&lt;&gt;'計算A'!$A$3,'計算A'!$A$4=0))),0,IF(21=$K15,200000,ABS(21-$K15)*100)),100000+ABS(4-$J15)*1000+210)+'計算A'!CR$5*50+IF(AND($E15=1,ME15=0),25,0),INDEX('計算A'!CR$110:CR$114,$F15+1)+IF(AND($E15=1,ME15=0),1000,0)+IF($H15=1,(IF('計算A'!CQ$117=1,INDEX('計算A'!CQ$10:CQ$54,$B15),0)+IF('計算A'!CR$117=1,INDEX('計算A'!CS$10:CS$54,$B15),0))*500,0)-IF(AND('計算A'!CQ$117=1,XO15&gt;0),300,0)-IF(AND($L15=1,'計算A'!CR$117=1,GQ15=0),300,0))),1000000))</f>
        <v/>
      </c>
      <c r="RU15">
        <f>IF($B15=0,1000000,IF(INDEX('計算A'!$D$60:$EQ$104,$B15,94)*GQ15=1,IF(AND($E15=2,MF15=0),1000000,IF($I15&gt;0,IF(4=$J15,IF(OR(AND(94=$I15+1,OR($K15&lt;&gt;'計算A'!$A$3,'計算A'!$A$4=0)),AND(94=$I15-1,OR(22&lt;&gt;'計算A'!$A$3,'計算A'!$A$4=0))),0,IF(22=$K15,200000,ABS(22-$K15)*100)),100000+ABS(4-$J15)*1000+220)+'計算A'!CS$5*50+IF(AND($E15=1,MF15=0),25,0),INDEX('計算A'!CS$110:CS$114,$F15+1)+IF(AND($E15=1,MF15=0),1000,0)+IF($H15=1,(IF('計算A'!CR$117=1,INDEX('計算A'!CR$10:CR$54,$B15),0)+IF('計算A'!CS$117=1,INDEX('計算A'!CT$10:CT$54,$B15),0))*500,0)-IF(AND('計算A'!CR$117=1,XP15&gt;0),300,0)-IF(AND($L15=1,'計算A'!CS$117=1,GR15=0),300,0))),1000000))</f>
        <v/>
      </c>
      <c r="RV15">
        <f>IF($B15=0,1000000,IF(INDEX('計算A'!$D$60:$EQ$104,$B15,95)*GR15=1,IF(AND($E15=2,MG15=0),1000000,IF($I15&gt;0,IF(4=$J15,IF(OR(AND(95=$I15+1,OR($K15&lt;&gt;'計算A'!$A$3,'計算A'!$A$4=0)),AND(95=$I15-1,OR(23&lt;&gt;'計算A'!$A$3,'計算A'!$A$4=0))),0,IF(23=$K15,200000,ABS(23-$K15)*100)),100000+ABS(4-$J15)*1000+230)+'計算A'!CT$5*50+IF(AND($E15=1,MG15=0),25,0),INDEX('計算A'!CT$110:CT$114,$F15+1)+IF(AND($E15=1,MG15=0),1000,0)+IF($H15=1,(IF('計算A'!CS$117=1,INDEX('計算A'!CS$10:CS$54,$B15),0)+IF('計算A'!CT$117=1,INDEX('計算A'!CU$10:CU$54,$B15),0))*500,0)-IF(AND('計算A'!CS$117=1,XQ15&gt;0),300,0)-IF(AND($L15=1,'計算A'!CT$117=1,GS15=0),300,0))),1000000))</f>
        <v/>
      </c>
      <c r="RW15">
        <f>IF($B15=0,1000000,IF(INDEX('計算A'!$D$60:$EQ$104,$B15,96)*GS15=1,IF(AND($E15=2,MH15=0),1000000,IF($I15&gt;0,IF(4=$J15,IF(OR(AND(96=$I15+1,OR($K15&lt;&gt;'計算A'!$A$3,'計算A'!$A$4=0)),AND(96=$I15-1,OR(24&lt;&gt;'計算A'!$A$3,'計算A'!$A$4=0))),0,IF(24=$K15,200000,ABS(24-$K15)*100)),100000+ABS(4-$J15)*1000+240)+'計算A'!CU$5*50+IF(AND($E15=1,MH15=0),25,0),INDEX('計算A'!CU$110:CU$114,$F15+1)+IF(AND($E15=1,MH15=0),1000,0)+IF($H15=1,(IF('計算A'!CT$117=1,INDEX('計算A'!CT$10:CT$54,$B15),0))*500,0)-IF(AND('計算A'!CT$117=1,XR15&gt;0),300,0))),1000000))</f>
        <v/>
      </c>
      <c r="RX15">
        <f>IF($B15=0,1000000,IF(INDEX('計算A'!$D$60:$EQ$104,$B15,97)*GT15=1,IF(AND($E15=2,MI15=0),1000000,IF($I15&gt;0,IF(5=$J15,IF(OR(AND(97=$I15+1,OR($K15&lt;&gt;'計算A'!$A$3,'計算A'!$A$4=0)),AND(97=$I15-1,OR(1&lt;&gt;'計算A'!$A$3,'計算A'!$A$4=0))),0,IF(1=$K15,200000,ABS(1-$K15)*100)),100000+ABS(5-$J15)*1000+10)+'計算A'!CV$5*50+IF(AND($E15=1,MI15=0),25,0),INDEX('計算A'!CV$110:CV$114,$F15+1)+IF(AND($E15=1,MI15=0),1000,0)+IF($H15=1,(IF('計算A'!CV$117=1,INDEX('計算A'!CW$10:CW$54,$B15),0))*500,0)-IF(AND($L15=1,'計算A'!CV$117=1,GU15=0),300,0))),1000000))</f>
        <v/>
      </c>
      <c r="RY15">
        <f>IF($B15=0,1000000,IF(INDEX('計算A'!$D$60:$EQ$104,$B15,98)*GU15=1,IF(AND($E15=2,MJ15=0),1000000,IF($I15&gt;0,IF(5=$J15,IF(OR(AND(98=$I15+1,OR($K15&lt;&gt;'計算A'!$A$3,'計算A'!$A$4=0)),AND(98=$I15-1,OR(2&lt;&gt;'計算A'!$A$3,'計算A'!$A$4=0))),0,IF(2=$K15,200000,ABS(2-$K15)*100)),100000+ABS(5-$J15)*1000+20)+'計算A'!CW$5*50+IF(AND($E15=1,MJ15=0),25,0),INDEX('計算A'!CW$110:CW$114,$F15+1)+IF(AND($E15=1,MJ15=0),1000,0)+IF($H15=1,(IF('計算A'!CV$117=1,INDEX('計算A'!CV$10:CV$54,$B15),0)+IF('計算A'!CW$117=1,INDEX('計算A'!CX$10:CX$54,$B15),0))*500,0)-IF(AND('計算A'!CV$117=1,XT15&gt;0),300,0)-IF(AND($L15=1,'計算A'!CW$117=1,GV15=0),300,0))),1000000))</f>
        <v/>
      </c>
      <c r="RZ15">
        <f>IF($B15=0,1000000,IF(INDEX('計算A'!$D$60:$EQ$104,$B15,99)*GV15=1,IF(AND($E15=2,MK15=0),1000000,IF($I15&gt;0,IF(5=$J15,IF(OR(AND(99=$I15+1,OR($K15&lt;&gt;'計算A'!$A$3,'計算A'!$A$4=0)),AND(99=$I15-1,OR(3&lt;&gt;'計算A'!$A$3,'計算A'!$A$4=0))),0,IF(3=$K15,200000,ABS(3-$K15)*100)),100000+ABS(5-$J15)*1000+30)+'計算A'!CX$5*50+IF(AND($E15=1,MK15=0),25,0),INDEX('計算A'!CX$110:CX$114,$F15+1)+IF(AND($E15=1,MK15=0),1000,0)+IF($H15=1,(IF('計算A'!CW$117=1,INDEX('計算A'!CW$10:CW$54,$B15),0)+IF('計算A'!CX$117=1,INDEX('計算A'!CY$10:CY$54,$B15),0))*500,0)-IF(AND('計算A'!CW$117=1,XU15&gt;0),300,0)-IF(AND($L15=1,'計算A'!CX$117=1,GW15=0),300,0))),1000000))</f>
        <v/>
      </c>
      <c r="SA15">
        <f>IF($B15=0,1000000,IF(INDEX('計算A'!$D$60:$EQ$104,$B15,100)*GW15=1,IF(AND($E15=2,ML15=0),1000000,IF($I15&gt;0,IF(5=$J15,IF(OR(AND(100=$I15+1,OR($K15&lt;&gt;'計算A'!$A$3,'計算A'!$A$4=0)),AND(100=$I15-1,OR(4&lt;&gt;'計算A'!$A$3,'計算A'!$A$4=0))),0,IF(4=$K15,200000,ABS(4-$K15)*100)),100000+ABS(5-$J15)*1000+40)+'計算A'!CY$5*50+IF(AND($E15=1,ML15=0),25,0),INDEX('計算A'!CY$110:CY$114,$F15+1)+IF(AND($E15=1,ML15=0),1000,0)+IF($H15=1,(IF('計算A'!CX$117=1,INDEX('計算A'!CX$10:CX$54,$B15),0)+IF('計算A'!CY$117=1,INDEX('計算A'!CZ$10:CZ$54,$B15),0))*500,0)-IF(AND('計算A'!CX$117=1,XV15&gt;0),300,0)-IF(AND($L15=1,'計算A'!CY$117=1,GX15=0),300,0))),1000000))</f>
        <v/>
      </c>
      <c r="SB15">
        <f>IF($B15=0,1000000,IF(INDEX('計算A'!$D$60:$EQ$104,$B15,101)*GX15=1,IF(AND($E15=2,MM15=0),1000000,IF($I15&gt;0,IF(5=$J15,IF(OR(AND(101=$I15+1,OR($K15&lt;&gt;'計算A'!$A$3,'計算A'!$A$4=0)),AND(101=$I15-1,OR(5&lt;&gt;'計算A'!$A$3,'計算A'!$A$4=0))),0,IF(5=$K15,200000,ABS(5-$K15)*100)),100000+ABS(5-$J15)*1000+50)+'計算A'!CZ$5*50+IF(AND($E15=1,MM15=0),25,0),INDEX('計算A'!CZ$110:CZ$114,$F15+1)+IF(AND($E15=1,MM15=0),1000,0)+IF($H15=1,(IF('計算A'!CY$117=1,INDEX('計算A'!CY$10:CY$54,$B15),0)+IF('計算A'!CZ$117=1,INDEX('計算A'!DA$10:DA$54,$B15),0))*500,0)-IF(AND('計算A'!CY$117=1,XW15&gt;0),300,0)-IF(AND($L15=1,'計算A'!CZ$117=1,GY15=0),300,0))),1000000))</f>
        <v/>
      </c>
      <c r="SC15">
        <f>IF($B15=0,1000000,IF(INDEX('計算A'!$D$60:$EQ$104,$B15,102)*GY15=1,IF(AND($E15=2,MN15=0),1000000,IF($I15&gt;0,IF(5=$J15,IF(OR(AND(102=$I15+1,OR($K15&lt;&gt;'計算A'!$A$3,'計算A'!$A$4=0)),AND(102=$I15-1,OR(6&lt;&gt;'計算A'!$A$3,'計算A'!$A$4=0))),0,IF(6=$K15,200000,ABS(6-$K15)*100)),100000+ABS(5-$J15)*1000+60)+'計算A'!DA$5*50+IF(AND($E15=1,MN15=0),25,0),INDEX('計算A'!DA$110:DA$114,$F15+1)+IF(AND($E15=1,MN15=0),1000,0)+IF($H15=1,(IF('計算A'!CZ$117=1,INDEX('計算A'!CZ$10:CZ$54,$B15),0)+IF('計算A'!DA$117=1,INDEX('計算A'!DB$10:DB$54,$B15),0))*500,0)-IF(AND('計算A'!CZ$117=1,XX15&gt;0),300,0)-IF(AND($L15=1,'計算A'!DA$117=1,GZ15=0),300,0))),1000000))</f>
        <v/>
      </c>
      <c r="SD15">
        <f>IF($B15=0,1000000,IF(INDEX('計算A'!$D$60:$EQ$104,$B15,103)*GZ15=1,IF(AND($E15=2,MO15=0),1000000,IF($I15&gt;0,IF(5=$J15,IF(OR(AND(103=$I15+1,OR($K15&lt;&gt;'計算A'!$A$3,'計算A'!$A$4=0)),AND(103=$I15-1,OR(7&lt;&gt;'計算A'!$A$3,'計算A'!$A$4=0))),0,IF(7=$K15,200000,ABS(7-$K15)*100)),100000+ABS(5-$J15)*1000+70)+'計算A'!DB$5*50+IF(AND($E15=1,MO15=0),25,0),INDEX('計算A'!DB$110:DB$114,$F15+1)+IF(AND($E15=1,MO15=0),1000,0)+IF($H15=1,(IF('計算A'!DA$117=1,INDEX('計算A'!DA$10:DA$54,$B15),0)+IF('計算A'!DB$117=1,INDEX('計算A'!DC$10:DC$54,$B15),0))*500,0)-IF(AND('計算A'!DA$117=1,XY15&gt;0),300,0)-IF(AND($L15=1,'計算A'!DB$117=1,HA15=0),300,0))),1000000))</f>
        <v/>
      </c>
      <c r="SE15">
        <f>IF($B15=0,1000000,IF(INDEX('計算A'!$D$60:$EQ$104,$B15,104)*HA15=1,IF(AND($E15=2,MP15=0),1000000,IF($I15&gt;0,IF(5=$J15,IF(OR(AND(104=$I15+1,OR($K15&lt;&gt;'計算A'!$A$3,'計算A'!$A$4=0)),AND(104=$I15-1,OR(8&lt;&gt;'計算A'!$A$3,'計算A'!$A$4=0))),0,IF(8=$K15,200000,ABS(8-$K15)*100)),100000+ABS(5-$J15)*1000+80)+'計算A'!DC$5*50+IF(AND($E15=1,MP15=0),25,0),INDEX('計算A'!DC$110:DC$114,$F15+1)+IF(AND($E15=1,MP15=0),1000,0)+IF($H15=1,(IF('計算A'!DB$117=1,INDEX('計算A'!DB$10:DB$54,$B15),0)+IF('計算A'!DC$117=1,INDEX('計算A'!DD$10:DD$54,$B15),0))*500,0)-IF(AND('計算A'!DB$117=1,XZ15&gt;0),300,0)-IF(AND($L15=1,'計算A'!DC$117=1,HB15=0),300,0))),1000000))</f>
        <v/>
      </c>
      <c r="SF15">
        <f>IF($B15=0,1000000,IF(INDEX('計算A'!$D$60:$EQ$104,$B15,105)*HB15=1,IF(AND($E15=2,MQ15=0),1000000,IF($I15&gt;0,IF(5=$J15,IF(OR(AND(105=$I15+1,OR($K15&lt;&gt;'計算A'!$A$3,'計算A'!$A$4=0)),AND(105=$I15-1,OR(9&lt;&gt;'計算A'!$A$3,'計算A'!$A$4=0))),0,IF(9=$K15,200000,ABS(9-$K15)*100)),100000+ABS(5-$J15)*1000+90)+'計算A'!DD$5*50+IF(AND($E15=1,MQ15=0),25,0),INDEX('計算A'!DD$110:DD$114,$F15+1)+IF(AND($E15=1,MQ15=0),1000,0)+IF($H15=1,(IF('計算A'!DC$117=1,INDEX('計算A'!DC$10:DC$54,$B15),0)+IF('計算A'!DD$117=1,INDEX('計算A'!DE$10:DE$54,$B15),0))*500,0)-IF(AND('計算A'!DC$117=1,YA15&gt;0),300,0)-IF(AND($L15=1,'計算A'!DD$117=1,HC15=0),300,0))),1000000))</f>
        <v/>
      </c>
      <c r="SG15">
        <f>IF($B15=0,1000000,IF(INDEX('計算A'!$D$60:$EQ$104,$B15,106)*HC15=1,IF(AND($E15=2,MR15=0),1000000,IF($I15&gt;0,IF(5=$J15,IF(OR(AND(106=$I15+1,OR($K15&lt;&gt;'計算A'!$A$3,'計算A'!$A$4=0)),AND(106=$I15-1,OR(10&lt;&gt;'計算A'!$A$3,'計算A'!$A$4=0))),0,IF(10=$K15,200000,ABS(10-$K15)*100)),100000+ABS(5-$J15)*1000+100)+'計算A'!DE$5*50+IF(AND($E15=1,MR15=0),25,0),INDEX('計算A'!DE$110:DE$114,$F15+1)+IF(AND($E15=1,MR15=0),1000,0)+IF($H15=1,(IF('計算A'!DD$117=1,INDEX('計算A'!DD$10:DD$54,$B15),0)+IF('計算A'!DE$117=1,INDEX('計算A'!DF$10:DF$54,$B15),0))*500,0)-IF(AND('計算A'!DD$117=1,YB15&gt;0),300,0)-IF(AND($L15=1,'計算A'!DE$117=1,HD15=0),300,0))),1000000))</f>
        <v/>
      </c>
      <c r="SH15">
        <f>IF($B15=0,1000000,IF(INDEX('計算A'!$D$60:$EQ$104,$B15,107)*HD15=1,IF(AND($E15=2,MS15=0),1000000,IF($I15&gt;0,IF(5=$J15,IF(OR(AND(107=$I15+1,OR($K15&lt;&gt;'計算A'!$A$3,'計算A'!$A$4=0)),AND(107=$I15-1,OR(11&lt;&gt;'計算A'!$A$3,'計算A'!$A$4=0))),0,IF(11=$K15,200000,ABS(11-$K15)*100)),100000+ABS(5-$J15)*1000+110)+'計算A'!DF$5*50+IF(AND($E15=1,MS15=0),25,0),INDEX('計算A'!DF$110:DF$114,$F15+1)+IF(AND($E15=1,MS15=0),1000,0)+IF($H15=1,(IF('計算A'!DE$117=1,INDEX('計算A'!DE$10:DE$54,$B15),0)+IF('計算A'!DF$117=1,INDEX('計算A'!DG$10:DG$54,$B15),0))*500,0)-IF(AND('計算A'!DE$117=1,YC15&gt;0),300,0)-IF(AND($L15=1,'計算A'!DF$117=1,HE15=0),300,0))),1000000))</f>
        <v/>
      </c>
      <c r="SI15">
        <f>IF($B15=0,1000000,IF(INDEX('計算A'!$D$60:$EQ$104,$B15,108)*HE15=1,IF(AND($E15=2,MT15=0),1000000,IF($I15&gt;0,IF(5=$J15,IF(OR(AND(108=$I15+1,OR($K15&lt;&gt;'計算A'!$A$3,'計算A'!$A$4=0)),AND(108=$I15-1,OR(12&lt;&gt;'計算A'!$A$3,'計算A'!$A$4=0))),0,IF(12=$K15,200000,ABS(12-$K15)*100)),100000+ABS(5-$J15)*1000+120)+'計算A'!DG$5*50+IF(AND($E15=1,MT15=0),25,0),INDEX('計算A'!DG$110:DG$114,$F15+1)+IF(AND($E15=1,MT15=0),1000,0)+IF($H15=1,(IF('計算A'!DF$117=1,INDEX('計算A'!DF$10:DF$54,$B15),0)+IF('計算A'!DG$117=1,INDEX('計算A'!DH$10:DH$54,$B15),0))*500,0)-IF(AND('計算A'!DF$117=1,YD15&gt;0),300,0)-IF(AND($L15=1,'計算A'!DG$117=1,HF15=0),300,0))),1000000))</f>
        <v/>
      </c>
      <c r="SJ15">
        <f>IF($B15=0,1000000,IF(INDEX('計算A'!$D$60:$EQ$104,$B15,109)*HF15=1,IF(AND($E15=2,MU15=0),1000000,IF($I15&gt;0,IF(5=$J15,IF(OR(AND(109=$I15+1,OR($K15&lt;&gt;'計算A'!$A$3,'計算A'!$A$4=0)),AND(109=$I15-1,OR(13&lt;&gt;'計算A'!$A$3,'計算A'!$A$4=0))),0,IF(13=$K15,200000,ABS(13-$K15)*100)),100000+ABS(5-$J15)*1000+130)+'計算A'!DH$5*50+IF(AND($E15=1,MU15=0),25,0),INDEX('計算A'!DH$110:DH$114,$F15+1)+IF(AND($E15=1,MU15=0),1000,0)+IF($H15=1,(IF('計算A'!DG$117=1,INDEX('計算A'!DG$10:DG$54,$B15),0)+IF('計算A'!DH$117=1,INDEX('計算A'!DI$10:DI$54,$B15),0))*500,0)-IF(AND('計算A'!DG$117=1,YE15&gt;0),300,0)-IF(AND($L15=1,'計算A'!DH$117=1,HG15=0),300,0))),1000000))</f>
        <v/>
      </c>
      <c r="SK15">
        <f>IF($B15=0,1000000,IF(INDEX('計算A'!$D$60:$EQ$104,$B15,110)*HG15=1,IF(AND($E15=2,MV15=0),1000000,IF($I15&gt;0,IF(5=$J15,IF(OR(AND(110=$I15+1,OR($K15&lt;&gt;'計算A'!$A$3,'計算A'!$A$4=0)),AND(110=$I15-1,OR(14&lt;&gt;'計算A'!$A$3,'計算A'!$A$4=0))),0,IF(14=$K15,200000,ABS(14-$K15)*100)),100000+ABS(5-$J15)*1000+140)+'計算A'!DI$5*50+IF(AND($E15=1,MV15=0),25,0),INDEX('計算A'!DI$110:DI$114,$F15+1)+IF(AND($E15=1,MV15=0),1000,0)+IF($H15=1,(IF('計算A'!DH$117=1,INDEX('計算A'!DH$10:DH$54,$B15),0)+IF('計算A'!DI$117=1,INDEX('計算A'!DJ$10:DJ$54,$B15),0))*500,0)-IF(AND('計算A'!DH$117=1,YF15&gt;0),300,0)-IF(AND($L15=1,'計算A'!DI$117=1,HH15=0),300,0))),1000000))</f>
        <v/>
      </c>
      <c r="SL15">
        <f>IF($B15=0,1000000,IF(INDEX('計算A'!$D$60:$EQ$104,$B15,111)*HH15=1,IF(AND($E15=2,MW15=0),1000000,IF($I15&gt;0,IF(5=$J15,IF(OR(AND(111=$I15+1,OR($K15&lt;&gt;'計算A'!$A$3,'計算A'!$A$4=0)),AND(111=$I15-1,OR(15&lt;&gt;'計算A'!$A$3,'計算A'!$A$4=0))),0,IF(15=$K15,200000,ABS(15-$K15)*100)),100000+ABS(5-$J15)*1000+150)+'計算A'!DJ$5*50+IF(AND($E15=1,MW15=0),25,0),INDEX('計算A'!DJ$110:DJ$114,$F15+1)+IF(AND($E15=1,MW15=0),1000,0)+IF($H15=1,(IF('計算A'!DI$117=1,INDEX('計算A'!DI$10:DI$54,$B15),0)+IF('計算A'!DJ$117=1,INDEX('計算A'!DK$10:DK$54,$B15),0))*500,0)-IF(AND('計算A'!DI$117=1,YG15&gt;0),300,0)-IF(AND($L15=1,'計算A'!DJ$117=1,HI15=0),300,0))),1000000))</f>
        <v/>
      </c>
      <c r="SM15">
        <f>IF($B15=0,1000000,IF(INDEX('計算A'!$D$60:$EQ$104,$B15,112)*HI15=1,IF(AND($E15=2,MX15=0),1000000,IF($I15&gt;0,IF(5=$J15,IF(OR(AND(112=$I15+1,OR($K15&lt;&gt;'計算A'!$A$3,'計算A'!$A$4=0)),AND(112=$I15-1,OR(16&lt;&gt;'計算A'!$A$3,'計算A'!$A$4=0))),0,IF(16=$K15,200000,ABS(16-$K15)*100)),100000+ABS(5-$J15)*1000+160)+'計算A'!DK$5*50+IF(AND($E15=1,MX15=0),25,0),INDEX('計算A'!DK$110:DK$114,$F15+1)+IF(AND($E15=1,MX15=0),1000,0)+IF($H15=1,(IF('計算A'!DJ$117=1,INDEX('計算A'!DJ$10:DJ$54,$B15),0)+IF('計算A'!DK$117=1,INDEX('計算A'!DL$10:DL$54,$B15),0))*500,0)-IF(AND('計算A'!DJ$117=1,YH15&gt;0),300,0)-IF(AND($L15=1,'計算A'!DK$117=1,HJ15=0),300,0))),1000000))</f>
        <v/>
      </c>
      <c r="SN15">
        <f>IF($B15=0,1000000,IF(INDEX('計算A'!$D$60:$EQ$104,$B15,113)*HJ15=1,IF(AND($E15=2,MY15=0),1000000,IF($I15&gt;0,IF(5=$J15,IF(OR(AND(113=$I15+1,OR($K15&lt;&gt;'計算A'!$A$3,'計算A'!$A$4=0)),AND(113=$I15-1,OR(17&lt;&gt;'計算A'!$A$3,'計算A'!$A$4=0))),0,IF(17=$K15,200000,ABS(17-$K15)*100)),100000+ABS(5-$J15)*1000+170)+'計算A'!DL$5*50+IF(AND($E15=1,MY15=0),25,0),INDEX('計算A'!DL$110:DL$114,$F15+1)+IF(AND($E15=1,MY15=0),1000,0)+IF($H15=1,(IF('計算A'!DK$117=1,INDEX('計算A'!DK$10:DK$54,$B15),0)+IF('計算A'!DL$117=1,INDEX('計算A'!DM$10:DM$54,$B15),0))*500,0)-IF(AND('計算A'!DK$117=1,YI15&gt;0),300,0)-IF(AND($L15=1,'計算A'!DL$117=1,HK15=0),300,0))),1000000))</f>
        <v/>
      </c>
      <c r="SO15">
        <f>IF($B15=0,1000000,IF(INDEX('計算A'!$D$60:$EQ$104,$B15,114)*HK15=1,IF(AND($E15=2,MZ15=0),1000000,IF($I15&gt;0,IF(5=$J15,IF(OR(AND(114=$I15+1,OR($K15&lt;&gt;'計算A'!$A$3,'計算A'!$A$4=0)),AND(114=$I15-1,OR(18&lt;&gt;'計算A'!$A$3,'計算A'!$A$4=0))),0,IF(18=$K15,200000,ABS(18-$K15)*100)),100000+ABS(5-$J15)*1000+180)+'計算A'!DM$5*50+IF(AND($E15=1,MZ15=0),25,0),INDEX('計算A'!DM$110:DM$114,$F15+1)+IF(AND($E15=1,MZ15=0),1000,0)+IF($H15=1,(IF('計算A'!DL$117=1,INDEX('計算A'!DL$10:DL$54,$B15),0)+IF('計算A'!DM$117=1,INDEX('計算A'!DN$10:DN$54,$B15),0))*500,0)-IF(AND('計算A'!DL$117=1,YJ15&gt;0),300,0)-IF(AND($L15=1,'計算A'!DM$117=1,HL15=0),300,0))),1000000))</f>
        <v/>
      </c>
      <c r="SP15">
        <f>IF($B15=0,1000000,IF(INDEX('計算A'!$D$60:$EQ$104,$B15,115)*HL15=1,IF(AND($E15=2,NA15=0),1000000,IF($I15&gt;0,IF(5=$J15,IF(OR(AND(115=$I15+1,OR($K15&lt;&gt;'計算A'!$A$3,'計算A'!$A$4=0)),AND(115=$I15-1,OR(19&lt;&gt;'計算A'!$A$3,'計算A'!$A$4=0))),0,IF(19=$K15,200000,ABS(19-$K15)*100)),100000+ABS(5-$J15)*1000+190)+'計算A'!DN$5*50+IF(AND($E15=1,NA15=0),25,0),INDEX('計算A'!DN$110:DN$114,$F15+1)+IF(AND($E15=1,NA15=0),1000,0)+IF($H15=1,(IF('計算A'!DM$117=1,INDEX('計算A'!DM$10:DM$54,$B15),0)+IF('計算A'!DN$117=1,INDEX('計算A'!DO$10:DO$54,$B15),0))*500,0)-IF(AND('計算A'!DM$117=1,YK15&gt;0),300,0)-IF(AND($L15=1,'計算A'!DN$117=1,HM15=0),300,0))),1000000))</f>
        <v/>
      </c>
      <c r="SQ15">
        <f>IF($B15=0,1000000,IF(INDEX('計算A'!$D$60:$EQ$104,$B15,116)*HM15=1,IF(AND($E15=2,NB15=0),1000000,IF($I15&gt;0,IF(5=$J15,IF(OR(AND(116=$I15+1,OR($K15&lt;&gt;'計算A'!$A$3,'計算A'!$A$4=0)),AND(116=$I15-1,OR(20&lt;&gt;'計算A'!$A$3,'計算A'!$A$4=0))),0,IF(20=$K15,200000,ABS(20-$K15)*100)),100000+ABS(5-$J15)*1000+200)+'計算A'!DO$5*50+IF(AND($E15=1,NB15=0),25,0),INDEX('計算A'!DO$110:DO$114,$F15+1)+IF(AND($E15=1,NB15=0),1000,0)+IF($H15=1,(IF('計算A'!DN$117=1,INDEX('計算A'!DN$10:DN$54,$B15),0)+IF('計算A'!DO$117=1,INDEX('計算A'!DP$10:DP$54,$B15),0))*500,0)-IF(AND('計算A'!DN$117=1,YL15&gt;0),300,0)-IF(AND($L15=1,'計算A'!DO$117=1,HN15=0),300,0))),1000000))</f>
        <v/>
      </c>
      <c r="SR15">
        <f>IF($B15=0,1000000,IF(INDEX('計算A'!$D$60:$EQ$104,$B15,117)*HN15=1,IF(AND($E15=2,NC15=0),1000000,IF($I15&gt;0,IF(5=$J15,IF(OR(AND(117=$I15+1,OR($K15&lt;&gt;'計算A'!$A$3,'計算A'!$A$4=0)),AND(117=$I15-1,OR(21&lt;&gt;'計算A'!$A$3,'計算A'!$A$4=0))),0,IF(21=$K15,200000,ABS(21-$K15)*100)),100000+ABS(5-$J15)*1000+210)+'計算A'!DP$5*50+IF(AND($E15=1,NC15=0),25,0),INDEX('計算A'!DP$110:DP$114,$F15+1)+IF(AND($E15=1,NC15=0),1000,0)+IF($H15=1,(IF('計算A'!DO$117=1,INDEX('計算A'!DO$10:DO$54,$B15),0)+IF('計算A'!DP$117=1,INDEX('計算A'!DQ$10:DQ$54,$B15),0))*500,0)-IF(AND('計算A'!DO$117=1,YM15&gt;0),300,0)-IF(AND($L15=1,'計算A'!DP$117=1,HO15=0),300,0))),1000000))</f>
        <v/>
      </c>
      <c r="SS15">
        <f>IF($B15=0,1000000,IF(INDEX('計算A'!$D$60:$EQ$104,$B15,118)*HO15=1,IF(AND($E15=2,ND15=0),1000000,IF($I15&gt;0,IF(5=$J15,IF(OR(AND(118=$I15+1,OR($K15&lt;&gt;'計算A'!$A$3,'計算A'!$A$4=0)),AND(118=$I15-1,OR(22&lt;&gt;'計算A'!$A$3,'計算A'!$A$4=0))),0,IF(22=$K15,200000,ABS(22-$K15)*100)),100000+ABS(5-$J15)*1000+220)+'計算A'!DQ$5*50+IF(AND($E15=1,ND15=0),25,0),INDEX('計算A'!DQ$110:DQ$114,$F15+1)+IF(AND($E15=1,ND15=0),1000,0)+IF($H15=1,(IF('計算A'!DP$117=1,INDEX('計算A'!DP$10:DP$54,$B15),0)+IF('計算A'!DQ$117=1,INDEX('計算A'!DR$10:DR$54,$B15),0))*500,0)-IF(AND('計算A'!DP$117=1,YN15&gt;0),300,0)-IF(AND($L15=1,'計算A'!DQ$117=1,HP15=0),300,0))),1000000))</f>
        <v/>
      </c>
      <c r="ST15">
        <f>IF($B15=0,1000000,IF(INDEX('計算A'!$D$60:$EQ$104,$B15,119)*HP15=1,IF(AND($E15=2,NE15=0),1000000,IF($I15&gt;0,IF(5=$J15,IF(OR(AND(119=$I15+1,OR($K15&lt;&gt;'計算A'!$A$3,'計算A'!$A$4=0)),AND(119=$I15-1,OR(23&lt;&gt;'計算A'!$A$3,'計算A'!$A$4=0))),0,IF(23=$K15,200000,ABS(23-$K15)*100)),100000+ABS(5-$J15)*1000+230)+'計算A'!DR$5*50+IF(AND($E15=1,NE15=0),25,0),INDEX('計算A'!DR$110:DR$114,$F15+1)+IF(AND($E15=1,NE15=0),1000,0)+IF($H15=1,(IF('計算A'!DQ$117=1,INDEX('計算A'!DQ$10:DQ$54,$B15),0)+IF('計算A'!DR$117=1,INDEX('計算A'!DS$10:DS$54,$B15),0))*500,0)-IF(AND('計算A'!DQ$117=1,YO15&gt;0),300,0)-IF(AND($L15=1,'計算A'!DR$117=1,HQ15=0),300,0))),1000000))</f>
        <v/>
      </c>
      <c r="SU15">
        <f>IF($B15=0,1000000,IF(INDEX('計算A'!$D$60:$EQ$104,$B15,120)*HQ15=1,IF(AND($E15=2,NF15=0),1000000,IF($I15&gt;0,IF(5=$J15,IF(OR(AND(120=$I15+1,OR($K15&lt;&gt;'計算A'!$A$3,'計算A'!$A$4=0)),AND(120=$I15-1,OR(24&lt;&gt;'計算A'!$A$3,'計算A'!$A$4=0))),0,IF(24=$K15,200000,ABS(24-$K15)*100)),100000+ABS(5-$J15)*1000+240)+'計算A'!DS$5*50+IF(AND($E15=1,NF15=0),25,0),INDEX('計算A'!DS$110:DS$114,$F15+1)+IF(AND($E15=1,NF15=0),1000,0)+IF($H15=1,(IF('計算A'!DR$117=1,INDEX('計算A'!DR$10:DR$54,$B15),0))*500,0)-IF(AND('計算A'!DR$117=1,YP15&gt;0),300,0))),1000000))</f>
        <v/>
      </c>
      <c r="SV15">
        <f>IF($B15=0,1000000,IF(INDEX('計算A'!$D$60:$EQ$104,$B15,121)*HR15=1,IF(AND($E15=2,NG15=0),1000000,IF($I15&gt;0,IF(6=$J15,IF(OR(AND(121=$I15+1,OR($K15&lt;&gt;'計算A'!$A$3,'計算A'!$A$4=0)),AND(121=$I15-1,OR(1&lt;&gt;'計算A'!$A$3,'計算A'!$A$4=0))),0,IF(1=$K15,200000,ABS(1-$K15)*100)),100000+ABS(6-$J15)*1000+10)+'計算A'!DT$5*50+IF(AND($E15=1,NG15=0),25,0),INDEX('計算A'!DT$110:DT$114,$F15+1)+IF(AND($E15=1,NG15=0),1000,0)+IF($H15=1,(IF('計算A'!DT$117=1,INDEX('計算A'!DU$10:DU$54,$B15),0))*500,0)-IF(AND($L15=1,'計算A'!DT$117=1,HS15=0),300,0))),1000000))</f>
        <v/>
      </c>
      <c r="SW15">
        <f>IF($B15=0,1000000,IF(INDEX('計算A'!$D$60:$EQ$104,$B15,122)*HS15=1,IF(AND($E15=2,NH15=0),1000000,IF($I15&gt;0,IF(6=$J15,IF(OR(AND(122=$I15+1,OR($K15&lt;&gt;'計算A'!$A$3,'計算A'!$A$4=0)),AND(122=$I15-1,OR(2&lt;&gt;'計算A'!$A$3,'計算A'!$A$4=0))),0,IF(2=$K15,200000,ABS(2-$K15)*100)),100000+ABS(6-$J15)*1000+20)+'計算A'!DU$5*50+IF(AND($E15=1,NH15=0),25,0),INDEX('計算A'!DU$110:DU$114,$F15+1)+IF(AND($E15=1,NH15=0),1000,0)+IF($H15=1,(IF('計算A'!DT$117=1,INDEX('計算A'!DT$10:DT$54,$B15),0)+IF('計算A'!DU$117=1,INDEX('計算A'!DV$10:DV$54,$B15),0))*500,0)-IF(AND('計算A'!DT$117=1,YR15&gt;0),300,0)-IF(AND($L15=1,'計算A'!DU$117=1,HT15=0),300,0))),1000000))</f>
        <v/>
      </c>
      <c r="SX15">
        <f>IF($B15=0,1000000,IF(INDEX('計算A'!$D$60:$EQ$104,$B15,123)*HT15=1,IF(AND($E15=2,NI15=0),1000000,IF($I15&gt;0,IF(6=$J15,IF(OR(AND(123=$I15+1,OR($K15&lt;&gt;'計算A'!$A$3,'計算A'!$A$4=0)),AND(123=$I15-1,OR(3&lt;&gt;'計算A'!$A$3,'計算A'!$A$4=0))),0,IF(3=$K15,200000,ABS(3-$K15)*100)),100000+ABS(6-$J15)*1000+30)+'計算A'!DV$5*50+IF(AND($E15=1,NI15=0),25,0),INDEX('計算A'!DV$110:DV$114,$F15+1)+IF(AND($E15=1,NI15=0),1000,0)+IF($H15=1,(IF('計算A'!DU$117=1,INDEX('計算A'!DU$10:DU$54,$B15),0)+IF('計算A'!DV$117=1,INDEX('計算A'!DW$10:DW$54,$B15),0))*500,0)-IF(AND('計算A'!DU$117=1,YS15&gt;0),300,0)-IF(AND($L15=1,'計算A'!DV$117=1,HU15=0),300,0))),1000000))</f>
        <v/>
      </c>
      <c r="SY15">
        <f>IF($B15=0,1000000,IF(INDEX('計算A'!$D$60:$EQ$104,$B15,124)*HU15=1,IF(AND($E15=2,NJ15=0),1000000,IF($I15&gt;0,IF(6=$J15,IF(OR(AND(124=$I15+1,OR($K15&lt;&gt;'計算A'!$A$3,'計算A'!$A$4=0)),AND(124=$I15-1,OR(4&lt;&gt;'計算A'!$A$3,'計算A'!$A$4=0))),0,IF(4=$K15,200000,ABS(4-$K15)*100)),100000+ABS(6-$J15)*1000+40)+'計算A'!DW$5*50+IF(AND($E15=1,NJ15=0),25,0),INDEX('計算A'!DW$110:DW$114,$F15+1)+IF(AND($E15=1,NJ15=0),1000,0)+IF($H15=1,(IF('計算A'!DV$117=1,INDEX('計算A'!DV$10:DV$54,$B15),0)+IF('計算A'!DW$117=1,INDEX('計算A'!DX$10:DX$54,$B15),0))*500,0)-IF(AND('計算A'!DV$117=1,YT15&gt;0),300,0)-IF(AND($L15=1,'計算A'!DW$117=1,HV15=0),300,0))),1000000))</f>
        <v/>
      </c>
      <c r="SZ15">
        <f>IF($B15=0,1000000,IF(INDEX('計算A'!$D$60:$EQ$104,$B15,125)*HV15=1,IF(AND($E15=2,NK15=0),1000000,IF($I15&gt;0,IF(6=$J15,IF(OR(AND(125=$I15+1,OR($K15&lt;&gt;'計算A'!$A$3,'計算A'!$A$4=0)),AND(125=$I15-1,OR(5&lt;&gt;'計算A'!$A$3,'計算A'!$A$4=0))),0,IF(5=$K15,200000,ABS(5-$K15)*100)),100000+ABS(6-$J15)*1000+50)+'計算A'!DX$5*50+IF(AND($E15=1,NK15=0),25,0),INDEX('計算A'!DX$110:DX$114,$F15+1)+IF(AND($E15=1,NK15=0),1000,0)+IF($H15=1,(IF('計算A'!DW$117=1,INDEX('計算A'!DW$10:DW$54,$B15),0)+IF('計算A'!DX$117=1,INDEX('計算A'!DY$10:DY$54,$B15),0))*500,0)-IF(AND('計算A'!DW$117=1,YU15&gt;0),300,0)-IF(AND($L15=1,'計算A'!DX$117=1,HW15=0),300,0))),1000000))</f>
        <v/>
      </c>
      <c r="TA15">
        <f>IF($B15=0,1000000,IF(INDEX('計算A'!$D$60:$EQ$104,$B15,126)*HW15=1,IF(AND($E15=2,NL15=0),1000000,IF($I15&gt;0,IF(6=$J15,IF(OR(AND(126=$I15+1,OR($K15&lt;&gt;'計算A'!$A$3,'計算A'!$A$4=0)),AND(126=$I15-1,OR(6&lt;&gt;'計算A'!$A$3,'計算A'!$A$4=0))),0,IF(6=$K15,200000,ABS(6-$K15)*100)),100000+ABS(6-$J15)*1000+60)+'計算A'!DY$5*50+IF(AND($E15=1,NL15=0),25,0),INDEX('計算A'!DY$110:DY$114,$F15+1)+IF(AND($E15=1,NL15=0),1000,0)+IF($H15=1,(IF('計算A'!DX$117=1,INDEX('計算A'!DX$10:DX$54,$B15),0)+IF('計算A'!DY$117=1,INDEX('計算A'!DZ$10:DZ$54,$B15),0))*500,0)-IF(AND('計算A'!DX$117=1,YV15&gt;0),300,0)-IF(AND($L15=1,'計算A'!DY$117=1,HX15=0),300,0))),1000000))</f>
        <v/>
      </c>
      <c r="TB15">
        <f>IF($B15=0,1000000,IF(INDEX('計算A'!$D$60:$EQ$104,$B15,127)*HX15=1,IF(AND($E15=2,NM15=0),1000000,IF($I15&gt;0,IF(6=$J15,IF(OR(AND(127=$I15+1,OR($K15&lt;&gt;'計算A'!$A$3,'計算A'!$A$4=0)),AND(127=$I15-1,OR(7&lt;&gt;'計算A'!$A$3,'計算A'!$A$4=0))),0,IF(7=$K15,200000,ABS(7-$K15)*100)),100000+ABS(6-$J15)*1000+70)+'計算A'!DZ$5*50+IF(AND($E15=1,NM15=0),25,0),INDEX('計算A'!DZ$110:DZ$114,$F15+1)+IF(AND($E15=1,NM15=0),1000,0)+IF($H15=1,(IF('計算A'!DY$117=1,INDEX('計算A'!DY$10:DY$54,$B15),0)+IF('計算A'!DZ$117=1,INDEX('計算A'!EA$10:EA$54,$B15),0))*500,0)-IF(AND('計算A'!DY$117=1,YW15&gt;0),300,0)-IF(AND($L15=1,'計算A'!DZ$117=1,HY15=0),300,0))),1000000))</f>
        <v/>
      </c>
      <c r="TC15">
        <f>IF($B15=0,1000000,IF(INDEX('計算A'!$D$60:$EQ$104,$B15,128)*HY15=1,IF(AND($E15=2,NN15=0),1000000,IF($I15&gt;0,IF(6=$J15,IF(OR(AND(128=$I15+1,OR($K15&lt;&gt;'計算A'!$A$3,'計算A'!$A$4=0)),AND(128=$I15-1,OR(8&lt;&gt;'計算A'!$A$3,'計算A'!$A$4=0))),0,IF(8=$K15,200000,ABS(8-$K15)*100)),100000+ABS(6-$J15)*1000+80)+'計算A'!EA$5*50+IF(AND($E15=1,NN15=0),25,0),INDEX('計算A'!EA$110:EA$114,$F15+1)+IF(AND($E15=1,NN15=0),1000,0)+IF($H15=1,(IF('計算A'!DZ$117=1,INDEX('計算A'!DZ$10:DZ$54,$B15),0)+IF('計算A'!EA$117=1,INDEX('計算A'!EB$10:EB$54,$B15),0))*500,0)-IF(AND('計算A'!DZ$117=1,YX15&gt;0),300,0)-IF(AND($L15=1,'計算A'!EA$117=1,HZ15=0),300,0))),1000000))</f>
        <v/>
      </c>
      <c r="TD15">
        <f>IF($B15=0,1000000,IF(INDEX('計算A'!$D$60:$EQ$104,$B15,129)*HZ15=1,IF(AND($E15=2,NO15=0),1000000,IF($I15&gt;0,IF(6=$J15,IF(OR(AND(129=$I15+1,OR($K15&lt;&gt;'計算A'!$A$3,'計算A'!$A$4=0)),AND(129=$I15-1,OR(9&lt;&gt;'計算A'!$A$3,'計算A'!$A$4=0))),0,IF(9=$K15,200000,ABS(9-$K15)*100)),100000+ABS(6-$J15)*1000+90)+'計算A'!EB$5*50+IF(AND($E15=1,NO15=0),25,0),INDEX('計算A'!EB$110:EB$114,$F15+1)+IF(AND($E15=1,NO15=0),1000,0)+IF($H15=1,(IF('計算A'!EA$117=1,INDEX('計算A'!EA$10:EA$54,$B15),0)+IF('計算A'!EB$117=1,INDEX('計算A'!EC$10:EC$54,$B15),0))*500,0)-IF(AND('計算A'!EA$117=1,YY15&gt;0),300,0)-IF(AND($L15=1,'計算A'!EB$117=1,IA15=0),300,0))),1000000))</f>
        <v/>
      </c>
      <c r="TE15">
        <f>IF($B15=0,1000000,IF(INDEX('計算A'!$D$60:$EQ$104,$B15,130)*IA15=1,IF(AND($E15=2,NP15=0),1000000,IF($I15&gt;0,IF(6=$J15,IF(OR(AND(130=$I15+1,OR($K15&lt;&gt;'計算A'!$A$3,'計算A'!$A$4=0)),AND(130=$I15-1,OR(10&lt;&gt;'計算A'!$A$3,'計算A'!$A$4=0))),0,IF(10=$K15,200000,ABS(10-$K15)*100)),100000+ABS(6-$J15)*1000+100)+'計算A'!EC$5*50+IF(AND($E15=1,NP15=0),25,0),INDEX('計算A'!EC$110:EC$114,$F15+1)+IF(AND($E15=1,NP15=0),1000,0)+IF($H15=1,(IF('計算A'!EB$117=1,INDEX('計算A'!EB$10:EB$54,$B15),0)+IF('計算A'!EC$117=1,INDEX('計算A'!ED$10:ED$54,$B15),0))*500,0)-IF(AND('計算A'!EB$117=1,YZ15&gt;0),300,0)-IF(AND($L15=1,'計算A'!EC$117=1,IB15=0),300,0))),1000000))</f>
        <v/>
      </c>
      <c r="TF15">
        <f>IF($B15=0,1000000,IF(INDEX('計算A'!$D$60:$EQ$104,$B15,131)*IB15=1,IF(AND($E15=2,NQ15=0),1000000,IF($I15&gt;0,IF(6=$J15,IF(OR(AND(131=$I15+1,OR($K15&lt;&gt;'計算A'!$A$3,'計算A'!$A$4=0)),AND(131=$I15-1,OR(11&lt;&gt;'計算A'!$A$3,'計算A'!$A$4=0))),0,IF(11=$K15,200000,ABS(11-$K15)*100)),100000+ABS(6-$J15)*1000+110)+'計算A'!ED$5*50+IF(AND($E15=1,NQ15=0),25,0),INDEX('計算A'!ED$110:ED$114,$F15+1)+IF(AND($E15=1,NQ15=0),1000,0)+IF($H15=1,(IF('計算A'!EC$117=1,INDEX('計算A'!EC$10:EC$54,$B15),0)+IF('計算A'!ED$117=1,INDEX('計算A'!EE$10:EE$54,$B15),0))*500,0)-IF(AND('計算A'!EC$117=1,ZA15&gt;0),300,0)-IF(AND($L15=1,'計算A'!ED$117=1,IC15=0),300,0))),1000000))</f>
        <v/>
      </c>
      <c r="TG15">
        <f>IF($B15=0,1000000,IF(INDEX('計算A'!$D$60:$EQ$104,$B15,132)*IC15=1,IF(AND($E15=2,NR15=0),1000000,IF($I15&gt;0,IF(6=$J15,IF(OR(AND(132=$I15+1,OR($K15&lt;&gt;'計算A'!$A$3,'計算A'!$A$4=0)),AND(132=$I15-1,OR(12&lt;&gt;'計算A'!$A$3,'計算A'!$A$4=0))),0,IF(12=$K15,200000,ABS(12-$K15)*100)),100000+ABS(6-$J15)*1000+120)+'計算A'!EE$5*50+IF(AND($E15=1,NR15=0),25,0),INDEX('計算A'!EE$110:EE$114,$F15+1)+IF(AND($E15=1,NR15=0),1000,0)+IF($H15=1,(IF('計算A'!ED$117=1,INDEX('計算A'!ED$10:ED$54,$B15),0)+IF('計算A'!EE$117=1,INDEX('計算A'!EF$10:EF$54,$B15),0))*500,0)-IF(AND('計算A'!ED$117=1,ZB15&gt;0),300,0)-IF(AND($L15=1,'計算A'!EE$117=1,ID15=0),300,0))),1000000))</f>
        <v/>
      </c>
      <c r="TH15">
        <f>IF($B15=0,1000000,IF(INDEX('計算A'!$D$60:$EQ$104,$B15,133)*ID15=1,IF(AND($E15=2,NS15=0),1000000,IF($I15&gt;0,IF(6=$J15,IF(OR(AND(133=$I15+1,OR($K15&lt;&gt;'計算A'!$A$3,'計算A'!$A$4=0)),AND(133=$I15-1,OR(13&lt;&gt;'計算A'!$A$3,'計算A'!$A$4=0))),0,IF(13=$K15,200000,ABS(13-$K15)*100)),100000+ABS(6-$J15)*1000+130)+'計算A'!EF$5*50+IF(AND($E15=1,NS15=0),25,0),INDEX('計算A'!EF$110:EF$114,$F15+1)+IF(AND($E15=1,NS15=0),1000,0)+IF($H15=1,(IF('計算A'!EE$117=1,INDEX('計算A'!EE$10:EE$54,$B15),0)+IF('計算A'!EF$117=1,INDEX('計算A'!EG$10:EG$54,$B15),0))*500,0)-IF(AND('計算A'!EE$117=1,ZC15&gt;0),300,0)-IF(AND($L15=1,'計算A'!EF$117=1,IE15=0),300,0))),1000000))</f>
        <v/>
      </c>
      <c r="TI15">
        <f>IF($B15=0,1000000,IF(INDEX('計算A'!$D$60:$EQ$104,$B15,134)*IE15=1,IF(AND($E15=2,NT15=0),1000000,IF($I15&gt;0,IF(6=$J15,IF(OR(AND(134=$I15+1,OR($K15&lt;&gt;'計算A'!$A$3,'計算A'!$A$4=0)),AND(134=$I15-1,OR(14&lt;&gt;'計算A'!$A$3,'計算A'!$A$4=0))),0,IF(14=$K15,200000,ABS(14-$K15)*100)),100000+ABS(6-$J15)*1000+140)+'計算A'!EG$5*50+IF(AND($E15=1,NT15=0),25,0),INDEX('計算A'!EG$110:EG$114,$F15+1)+IF(AND($E15=1,NT15=0),1000,0)+IF($H15=1,(IF('計算A'!EF$117=1,INDEX('計算A'!EF$10:EF$54,$B15),0)+IF('計算A'!EG$117=1,INDEX('計算A'!EH$10:EH$54,$B15),0))*500,0)-IF(AND('計算A'!EF$117=1,ZD15&gt;0),300,0)-IF(AND($L15=1,'計算A'!EG$117=1,IF15=0),300,0))),1000000))</f>
        <v/>
      </c>
      <c r="TJ15">
        <f>IF($B15=0,1000000,IF(INDEX('計算A'!$D$60:$EQ$104,$B15,135)*IF15=1,IF(AND($E15=2,NU15=0),1000000,IF($I15&gt;0,IF(6=$J15,IF(OR(AND(135=$I15+1,OR($K15&lt;&gt;'計算A'!$A$3,'計算A'!$A$4=0)),AND(135=$I15-1,OR(15&lt;&gt;'計算A'!$A$3,'計算A'!$A$4=0))),0,IF(15=$K15,200000,ABS(15-$K15)*100)),100000+ABS(6-$J15)*1000+150)+'計算A'!EH$5*50+IF(AND($E15=1,NU15=0),25,0),INDEX('計算A'!EH$110:EH$114,$F15+1)+IF(AND($E15=1,NU15=0),1000,0)+IF($H15=1,(IF('計算A'!EG$117=1,INDEX('計算A'!EG$10:EG$54,$B15),0)+IF('計算A'!EH$117=1,INDEX('計算A'!EI$10:EI$54,$B15),0))*500,0)-IF(AND('計算A'!EG$117=1,ZE15&gt;0),300,0)-IF(AND($L15=1,'計算A'!EH$117=1,IG15=0),300,0))),1000000))</f>
        <v/>
      </c>
      <c r="TK15">
        <f>IF($B15=0,1000000,IF(INDEX('計算A'!$D$60:$EQ$104,$B15,136)*IG15=1,IF(AND($E15=2,NV15=0),1000000,IF($I15&gt;0,IF(6=$J15,IF(OR(AND(136=$I15+1,OR($K15&lt;&gt;'計算A'!$A$3,'計算A'!$A$4=0)),AND(136=$I15-1,OR(16&lt;&gt;'計算A'!$A$3,'計算A'!$A$4=0))),0,IF(16=$K15,200000,ABS(16-$K15)*100)),100000+ABS(6-$J15)*1000+160)+'計算A'!EI$5*50+IF(AND($E15=1,NV15=0),25,0),INDEX('計算A'!EI$110:EI$114,$F15+1)+IF(AND($E15=1,NV15=0),1000,0)+IF($H15=1,(IF('計算A'!EH$117=1,INDEX('計算A'!EH$10:EH$54,$B15),0)+IF('計算A'!EI$117=1,INDEX('計算A'!EJ$10:EJ$54,$B15),0))*500,0)-IF(AND('計算A'!EH$117=1,ZF15&gt;0),300,0)-IF(AND($L15=1,'計算A'!EI$117=1,IH15=0),300,0))),1000000))</f>
        <v/>
      </c>
      <c r="TL15">
        <f>IF($B15=0,1000000,IF(INDEX('計算A'!$D$60:$EQ$104,$B15,137)*IH15=1,IF(AND($E15=2,NW15=0),1000000,IF($I15&gt;0,IF(6=$J15,IF(OR(AND(137=$I15+1,OR($K15&lt;&gt;'計算A'!$A$3,'計算A'!$A$4=0)),AND(137=$I15-1,OR(17&lt;&gt;'計算A'!$A$3,'計算A'!$A$4=0))),0,IF(17=$K15,200000,ABS(17-$K15)*100)),100000+ABS(6-$J15)*1000+170)+'計算A'!EJ$5*50+IF(AND($E15=1,NW15=0),25,0),INDEX('計算A'!EJ$110:EJ$114,$F15+1)+IF(AND($E15=1,NW15=0),1000,0)+IF($H15=1,(IF('計算A'!EI$117=1,INDEX('計算A'!EI$10:EI$54,$B15),0)+IF('計算A'!EJ$117=1,INDEX('計算A'!EK$10:EK$54,$B15),0))*500,0)-IF(AND('計算A'!EI$117=1,ZG15&gt;0),300,0)-IF(AND($L15=1,'計算A'!EJ$117=1,II15=0),300,0))),1000000))</f>
        <v/>
      </c>
      <c r="TM15">
        <f>IF($B15=0,1000000,IF(INDEX('計算A'!$D$60:$EQ$104,$B15,138)*II15=1,IF(AND($E15=2,NX15=0),1000000,IF($I15&gt;0,IF(6=$J15,IF(OR(AND(138=$I15+1,OR($K15&lt;&gt;'計算A'!$A$3,'計算A'!$A$4=0)),AND(138=$I15-1,OR(18&lt;&gt;'計算A'!$A$3,'計算A'!$A$4=0))),0,IF(18=$K15,200000,ABS(18-$K15)*100)),100000+ABS(6-$J15)*1000+180)+'計算A'!EK$5*50+IF(AND($E15=1,NX15=0),25,0),INDEX('計算A'!EK$110:EK$114,$F15+1)+IF(AND($E15=1,NX15=0),1000,0)+IF($H15=1,(IF('計算A'!EJ$117=1,INDEX('計算A'!EJ$10:EJ$54,$B15),0)+IF('計算A'!EK$117=1,INDEX('計算A'!EL$10:EL$54,$B15),0))*500,0)-IF(AND('計算A'!EJ$117=1,ZH15&gt;0),300,0)-IF(AND($L15=1,'計算A'!EK$117=1,IJ15=0),300,0))),1000000))</f>
        <v/>
      </c>
      <c r="TN15">
        <f>IF($B15=0,1000000,IF(INDEX('計算A'!$D$60:$EQ$104,$B15,139)*IJ15=1,IF(AND($E15=2,NY15=0),1000000,IF($I15&gt;0,IF(6=$J15,IF(OR(AND(139=$I15+1,OR($K15&lt;&gt;'計算A'!$A$3,'計算A'!$A$4=0)),AND(139=$I15-1,OR(19&lt;&gt;'計算A'!$A$3,'計算A'!$A$4=0))),0,IF(19=$K15,200000,ABS(19-$K15)*100)),100000+ABS(6-$J15)*1000+190)+'計算A'!EL$5*50+IF(AND($E15=1,NY15=0),25,0),INDEX('計算A'!EL$110:EL$114,$F15+1)+IF(AND($E15=1,NY15=0),1000,0)+IF($H15=1,(IF('計算A'!EK$117=1,INDEX('計算A'!EK$10:EK$54,$B15),0)+IF('計算A'!EL$117=1,INDEX('計算A'!EM$10:EM$54,$B15),0))*500,0)-IF(AND('計算A'!EK$117=1,ZI15&gt;0),300,0)-IF(AND($L15=1,'計算A'!EL$117=1,IK15=0),300,0))),1000000))</f>
        <v/>
      </c>
      <c r="TO15">
        <f>IF($B15=0,1000000,IF(INDEX('計算A'!$D$60:$EQ$104,$B15,140)*IK15=1,IF(AND($E15=2,NZ15=0),1000000,IF($I15&gt;0,IF(6=$J15,IF(OR(AND(140=$I15+1,OR($K15&lt;&gt;'計算A'!$A$3,'計算A'!$A$4=0)),AND(140=$I15-1,OR(20&lt;&gt;'計算A'!$A$3,'計算A'!$A$4=0))),0,IF(20=$K15,200000,ABS(20-$K15)*100)),100000+ABS(6-$J15)*1000+200)+'計算A'!EM$5*50+IF(AND($E15=1,NZ15=0),25,0),INDEX('計算A'!EM$110:EM$114,$F15+1)+IF(AND($E15=1,NZ15=0),1000,0)+IF($H15=1,(IF('計算A'!EL$117=1,INDEX('計算A'!EL$10:EL$54,$B15),0)+IF('計算A'!EM$117=1,INDEX('計算A'!EN$10:EN$54,$B15),0))*500,0)-IF(AND('計算A'!EL$117=1,ZJ15&gt;0),300,0)-IF(AND($L15=1,'計算A'!EM$117=1,IL15=0),300,0))),1000000))</f>
        <v/>
      </c>
      <c r="TP15">
        <f>IF($B15=0,1000000,IF(INDEX('計算A'!$D$60:$EQ$104,$B15,141)*IL15=1,IF(AND($E15=2,OA15=0),1000000,IF($I15&gt;0,IF(6=$J15,IF(OR(AND(141=$I15+1,OR($K15&lt;&gt;'計算A'!$A$3,'計算A'!$A$4=0)),AND(141=$I15-1,OR(21&lt;&gt;'計算A'!$A$3,'計算A'!$A$4=0))),0,IF(21=$K15,200000,ABS(21-$K15)*100)),100000+ABS(6-$J15)*1000+210)+'計算A'!EN$5*50+IF(AND($E15=1,OA15=0),25,0),INDEX('計算A'!EN$110:EN$114,$F15+1)+IF(AND($E15=1,OA15=0),1000,0)+IF($H15=1,(IF('計算A'!EM$117=1,INDEX('計算A'!EM$10:EM$54,$B15),0)+IF('計算A'!EN$117=1,INDEX('計算A'!EO$10:EO$54,$B15),0))*500,0)-IF(AND('計算A'!EM$117=1,ZK15&gt;0),300,0)-IF(AND($L15=1,'計算A'!EN$117=1,IM15=0),300,0))),1000000))</f>
        <v/>
      </c>
      <c r="TQ15">
        <f>IF($B15=0,1000000,IF(INDEX('計算A'!$D$60:$EQ$104,$B15,142)*IM15=1,IF(AND($E15=2,OB15=0),1000000,IF($I15&gt;0,IF(6=$J15,IF(OR(AND(142=$I15+1,OR($K15&lt;&gt;'計算A'!$A$3,'計算A'!$A$4=0)),AND(142=$I15-1,OR(22&lt;&gt;'計算A'!$A$3,'計算A'!$A$4=0))),0,IF(22=$K15,200000,ABS(22-$K15)*100)),100000+ABS(6-$J15)*1000+220)+'計算A'!EO$5*50+IF(AND($E15=1,OB15=0),25,0),INDEX('計算A'!EO$110:EO$114,$F15+1)+IF(AND($E15=1,OB15=0),1000,0)+IF($H15=1,(IF('計算A'!EN$117=1,INDEX('計算A'!EN$10:EN$54,$B15),0)+IF('計算A'!EO$117=1,INDEX('計算A'!EP$10:EP$54,$B15),0))*500,0)-IF(AND('計算A'!EN$117=1,ZL15&gt;0),300,0)-IF(AND($L15=1,'計算A'!EO$117=1,IN15=0),300,0))),1000000))</f>
        <v/>
      </c>
      <c r="TR15">
        <f>IF($B15=0,1000000,IF(INDEX('計算A'!$D$60:$EQ$104,$B15,143)*IN15=1,IF(AND($E15=2,OC15=0),1000000,IF($I15&gt;0,IF(6=$J15,IF(OR(AND(143=$I15+1,OR($K15&lt;&gt;'計算A'!$A$3,'計算A'!$A$4=0)),AND(143=$I15-1,OR(23&lt;&gt;'計算A'!$A$3,'計算A'!$A$4=0))),0,IF(23=$K15,200000,ABS(23-$K15)*100)),100000+ABS(6-$J15)*1000+230)+'計算A'!EP$5*50+IF(AND($E15=1,OC15=0),25,0),INDEX('計算A'!EP$110:EP$114,$F15+1)+IF(AND($E15=1,OC15=0),1000,0)+IF($H15=1,(IF('計算A'!EO$117=1,INDEX('計算A'!EO$10:EO$54,$B15),0)+IF('計算A'!EP$117=1,INDEX('計算A'!EQ$10:EQ$54,$B15),0))*500,0)-IF(AND('計算A'!EO$117=1,ZM15&gt;0),300,0)-IF(AND($L15=1,'計算A'!EP$117=1,IO15=0),300,0))),1000000))</f>
        <v/>
      </c>
      <c r="TS15">
        <f>IF($B15=0,1000000,IF(INDEX('計算A'!$D$60:$EQ$104,$B15,144)*IO15=1,IF(AND($E15=2,OD15=0),1000000,IF($I15&gt;0,IF(6=$J15,IF(OR(AND(144=$I15+1,OR($K15&lt;&gt;'計算A'!$A$3,'計算A'!$A$4=0)),AND(144=$I15-1,OR(24&lt;&gt;'計算A'!$A$3,'計算A'!$A$4=0))),0,IF(24=$K15,200000,ABS(24-$K15)*100)),100000+ABS(6-$J15)*1000+240)+'計算A'!EQ$5*50+IF(AND($E15=1,OD15=0),25,0),INDEX('計算A'!EQ$110:EQ$114,$F15+1)+IF(AND($E15=1,OD15=0),1000,0)+IF($H15=1,(IF('計算A'!EP$117=1,INDEX('計算A'!EP$10:EP$54,$B15),0))*500,0)-IF(AND('計算A'!EP$117=1,ZN15&gt;0),300,0))),1000000))</f>
        <v/>
      </c>
      <c r="UB15">
        <f>UB14+IF(AND($C14=1,$L14=1),1,0)</f>
        <v/>
      </c>
      <c r="UC15">
        <f>UC14+IF(AND($C14=2,$L14=1),1,0)</f>
        <v/>
      </c>
      <c r="UD15">
        <f>UD14+IF(AND($C14=3,$L14=1),1,0)</f>
        <v/>
      </c>
      <c r="UE15">
        <f>UE14+IF(AND($C14=4,$L14=1),1,0)</f>
        <v/>
      </c>
      <c r="UF15">
        <f>UF14+IF(AND($C14=5,$L14=1),1,0)</f>
        <v/>
      </c>
      <c r="UG15">
        <f>UG14+IF(AND($C14=6,$L14=1),1,0)</f>
        <v/>
      </c>
      <c r="UH15">
        <f>UH14+IF(AND($C14=7,$L14=1),1,0)</f>
        <v/>
      </c>
      <c r="UI15">
        <f>UI14+IF(AND($C14=8,$L14=1),1,0)</f>
        <v/>
      </c>
      <c r="UJ15">
        <f>UJ14+IF(AND($C14=9,$L14=1),1,0)</f>
        <v/>
      </c>
      <c r="UK15">
        <f>UK14+IF(AND($C14=10,$L14=1),1,0)</f>
        <v/>
      </c>
      <c r="UL15">
        <f>UL14+IF(AND($C14=11,$L14=1),1,0)</f>
        <v/>
      </c>
      <c r="UM15">
        <f>UM14+IF(AND($C14=12,$L14=1),1,0)</f>
        <v/>
      </c>
      <c r="UN15">
        <f>UN14+IF(AND($C14=13,$L14=1),1,0)</f>
        <v/>
      </c>
      <c r="UO15">
        <f>UO14+IF(AND($C14=14,$L14=1),1,0)</f>
        <v/>
      </c>
      <c r="UP15">
        <f>UP14+IF(AND($C14=15,$L14=1),1,0)</f>
        <v/>
      </c>
      <c r="UQ15">
        <f>UQ14+IF(AND($C14=16,$L14=1),1,0)</f>
        <v/>
      </c>
      <c r="UR15">
        <f>UR14+IF(AND($C14=17,$L14=1),1,0)</f>
        <v/>
      </c>
      <c r="US15">
        <f>US14+IF(AND($C14=18,$L14=1),1,0)</f>
        <v/>
      </c>
      <c r="UT15">
        <f>UT14+IF(AND($C14=19,$L14=1),1,0)</f>
        <v/>
      </c>
      <c r="UU15">
        <f>UU14+IF(AND($C14=20,$L14=1),1,0)</f>
        <v/>
      </c>
      <c r="UV15">
        <f>UV14+IF(AND($C14=21,$L14=1),1,0)</f>
        <v/>
      </c>
      <c r="UW15">
        <f>UW14+IF(AND($C14=22,$L14=1),1,0)</f>
        <v/>
      </c>
      <c r="UX15">
        <f>UX14+IF(AND($C14=23,$L14=1),1,0)</f>
        <v/>
      </c>
      <c r="UY15">
        <f>UY14+IF(AND($C14=24,$L14=1),1,0)</f>
        <v/>
      </c>
      <c r="UZ15">
        <f>UZ14+IF(AND($C14=25,$L14=1),1,0)</f>
        <v/>
      </c>
      <c r="VA15">
        <f>VA14+IF(AND($C14=26,$L14=1),1,0)</f>
        <v/>
      </c>
      <c r="VB15">
        <f>VB14+IF(AND($C14=27,$L14=1),1,0)</f>
        <v/>
      </c>
      <c r="VC15">
        <f>VC14+IF(AND($C14=28,$L14=1),1,0)</f>
        <v/>
      </c>
      <c r="VD15">
        <f>VD14+IF(AND($C14=29,$L14=1),1,0)</f>
        <v/>
      </c>
      <c r="VE15">
        <f>VE14+IF(AND($C14=30,$L14=1),1,0)</f>
        <v/>
      </c>
      <c r="VF15">
        <f>VF14+IF(AND($C14=31,$L14=1),1,0)</f>
        <v/>
      </c>
      <c r="VG15">
        <f>VG14+IF(AND($C14=32,$L14=1),1,0)</f>
        <v/>
      </c>
      <c r="VH15">
        <f>VH14+IF(AND($C14=33,$L14=1),1,0)</f>
        <v/>
      </c>
      <c r="VI15">
        <f>VI14+IF(AND($C14=34,$L14=1),1,0)</f>
        <v/>
      </c>
      <c r="VJ15">
        <f>VJ14+IF(AND($C14=35,$L14=1),1,0)</f>
        <v/>
      </c>
      <c r="VK15">
        <f>VK14+IF(AND($C14=36,$L14=1),1,0)</f>
        <v/>
      </c>
      <c r="VL15">
        <f>VL14+IF(AND($C14=37,$L14=1),1,0)</f>
        <v/>
      </c>
      <c r="VM15">
        <f>VM14+IF(AND($C14=38,$L14=1),1,0)</f>
        <v/>
      </c>
      <c r="VN15">
        <f>VN14+IF(AND($C14=39,$L14=1),1,0)</f>
        <v/>
      </c>
      <c r="VO15">
        <f>VO14+IF(AND($C14=40,$L14=1),1,0)</f>
        <v/>
      </c>
      <c r="VP15">
        <f>VP14+IF(AND($C14=41,$L14=1),1,0)</f>
        <v/>
      </c>
      <c r="VQ15">
        <f>VQ14+IF(AND($C14=42,$L14=1),1,0)</f>
        <v/>
      </c>
      <c r="VR15">
        <f>VR14+IF(AND($C14=43,$L14=1),1,0)</f>
        <v/>
      </c>
      <c r="VS15">
        <f>VS14+IF(AND($C14=44,$L14=1),1,0)</f>
        <v/>
      </c>
      <c r="VT15">
        <f>VT14+IF(AND($C14=45,$L14=1),1,0)</f>
        <v/>
      </c>
      <c r="VU15">
        <f>VU14+IF(AND($C14=46,$L14=1),1,0)</f>
        <v/>
      </c>
      <c r="VV15">
        <f>VV14+IF(AND($C14=47,$L14=1),1,0)</f>
        <v/>
      </c>
      <c r="VW15">
        <f>VW14+IF(AND($C14=48,$L14=1),1,0)</f>
        <v/>
      </c>
      <c r="VX15">
        <f>VX14+IF(AND($C14=49,$L14=1),1,0)</f>
        <v/>
      </c>
      <c r="VY15">
        <f>VY14+IF(AND($C14=50,$L14=1),1,0)</f>
        <v/>
      </c>
      <c r="VZ15">
        <f>VZ14+IF(AND($C14=51,$L14=1),1,0)</f>
        <v/>
      </c>
      <c r="WA15">
        <f>WA14+IF(AND($C14=52,$L14=1),1,0)</f>
        <v/>
      </c>
      <c r="WB15">
        <f>WB14+IF(AND($C14=53,$L14=1),1,0)</f>
        <v/>
      </c>
      <c r="WC15">
        <f>WC14+IF(AND($C14=54,$L14=1),1,0)</f>
        <v/>
      </c>
      <c r="WD15">
        <f>WD14+IF(AND($C14=55,$L14=1),1,0)</f>
        <v/>
      </c>
      <c r="WE15">
        <f>WE14+IF(AND($C14=56,$L14=1),1,0)</f>
        <v/>
      </c>
      <c r="WF15">
        <f>WF14+IF(AND($C14=57,$L14=1),1,0)</f>
        <v/>
      </c>
      <c r="WG15">
        <f>WG14+IF(AND($C14=58,$L14=1),1,0)</f>
        <v/>
      </c>
      <c r="WH15">
        <f>WH14+IF(AND($C14=59,$L14=1),1,0)</f>
        <v/>
      </c>
      <c r="WI15">
        <f>WI14+IF(AND($C14=60,$L14=1),1,0)</f>
        <v/>
      </c>
      <c r="WJ15">
        <f>WJ14+IF(AND($C14=61,$L14=1),1,0)</f>
        <v/>
      </c>
      <c r="WK15">
        <f>WK14+IF(AND($C14=62,$L14=1),1,0)</f>
        <v/>
      </c>
      <c r="WL15">
        <f>WL14+IF(AND($C14=63,$L14=1),1,0)</f>
        <v/>
      </c>
      <c r="WM15">
        <f>WM14+IF(AND($C14=64,$L14=1),1,0)</f>
        <v/>
      </c>
      <c r="WN15">
        <f>WN14+IF(AND($C14=65,$L14=1),1,0)</f>
        <v/>
      </c>
      <c r="WO15">
        <f>WO14+IF(AND($C14=66,$L14=1),1,0)</f>
        <v/>
      </c>
      <c r="WP15">
        <f>WP14+IF(AND($C14=67,$L14=1),1,0)</f>
        <v/>
      </c>
      <c r="WQ15">
        <f>WQ14+IF(AND($C14=68,$L14=1),1,0)</f>
        <v/>
      </c>
      <c r="WR15">
        <f>WR14+IF(AND($C14=69,$L14=1),1,0)</f>
        <v/>
      </c>
      <c r="WS15">
        <f>WS14+IF(AND($C14=70,$L14=1),1,0)</f>
        <v/>
      </c>
      <c r="WT15">
        <f>WT14+IF(AND($C14=71,$L14=1),1,0)</f>
        <v/>
      </c>
      <c r="WU15">
        <f>WU14+IF(AND($C14=72,$L14=1),1,0)</f>
        <v/>
      </c>
      <c r="WV15">
        <f>WV14+IF(AND($C14=73,$L14=1),1,0)</f>
        <v/>
      </c>
      <c r="WW15">
        <f>WW14+IF(AND($C14=74,$L14=1),1,0)</f>
        <v/>
      </c>
      <c r="WX15">
        <f>WX14+IF(AND($C14=75,$L14=1),1,0)</f>
        <v/>
      </c>
      <c r="WY15">
        <f>WY14+IF(AND($C14=76,$L14=1),1,0)</f>
        <v/>
      </c>
      <c r="WZ15">
        <f>WZ14+IF(AND($C14=77,$L14=1),1,0)</f>
        <v/>
      </c>
      <c r="XA15">
        <f>XA14+IF(AND($C14=78,$L14=1),1,0)</f>
        <v/>
      </c>
      <c r="XB15">
        <f>XB14+IF(AND($C14=79,$L14=1),1,0)</f>
        <v/>
      </c>
      <c r="XC15">
        <f>XC14+IF(AND($C14=80,$L14=1),1,0)</f>
        <v/>
      </c>
      <c r="XD15">
        <f>XD14+IF(AND($C14=81,$L14=1),1,0)</f>
        <v/>
      </c>
      <c r="XE15">
        <f>XE14+IF(AND($C14=82,$L14=1),1,0)</f>
        <v/>
      </c>
      <c r="XF15">
        <f>XF14+IF(AND($C14=83,$L14=1),1,0)</f>
        <v/>
      </c>
      <c r="XG15">
        <f>XG14+IF(AND($C14=84,$L14=1),1,0)</f>
        <v/>
      </c>
      <c r="XH15">
        <f>XH14+IF(AND($C14=85,$L14=1),1,0)</f>
        <v/>
      </c>
      <c r="XI15">
        <f>XI14+IF(AND($C14=86,$L14=1),1,0)</f>
        <v/>
      </c>
      <c r="XJ15">
        <f>XJ14+IF(AND($C14=87,$L14=1),1,0)</f>
        <v/>
      </c>
      <c r="XK15">
        <f>XK14+IF(AND($C14=88,$L14=1),1,0)</f>
        <v/>
      </c>
      <c r="XL15">
        <f>XL14+IF(AND($C14=89,$L14=1),1,0)</f>
        <v/>
      </c>
      <c r="XM15">
        <f>XM14+IF(AND($C14=90,$L14=1),1,0)</f>
        <v/>
      </c>
      <c r="XN15">
        <f>XN14+IF(AND($C14=91,$L14=1),1,0)</f>
        <v/>
      </c>
      <c r="XO15">
        <f>XO14+IF(AND($C14=92,$L14=1),1,0)</f>
        <v/>
      </c>
      <c r="XP15">
        <f>XP14+IF(AND($C14=93,$L14=1),1,0)</f>
        <v/>
      </c>
      <c r="XQ15">
        <f>XQ14+IF(AND($C14=94,$L14=1),1,0)</f>
        <v/>
      </c>
      <c r="XR15">
        <f>XR14+IF(AND($C14=95,$L14=1),1,0)</f>
        <v/>
      </c>
      <c r="XS15">
        <f>XS14+IF(AND($C14=96,$L14=1),1,0)</f>
        <v/>
      </c>
      <c r="XT15">
        <f>XT14+IF(AND($C14=97,$L14=1),1,0)</f>
        <v/>
      </c>
      <c r="XU15">
        <f>XU14+IF(AND($C14=98,$L14=1),1,0)</f>
        <v/>
      </c>
      <c r="XV15">
        <f>XV14+IF(AND($C14=99,$L14=1),1,0)</f>
        <v/>
      </c>
      <c r="XW15">
        <f>XW14+IF(AND($C14=100,$L14=1),1,0)</f>
        <v/>
      </c>
      <c r="XX15">
        <f>XX14+IF(AND($C14=101,$L14=1),1,0)</f>
        <v/>
      </c>
      <c r="XY15">
        <f>XY14+IF(AND($C14=102,$L14=1),1,0)</f>
        <v/>
      </c>
      <c r="XZ15">
        <f>XZ14+IF(AND($C14=103,$L14=1),1,0)</f>
        <v/>
      </c>
      <c r="YA15">
        <f>YA14+IF(AND($C14=104,$L14=1),1,0)</f>
        <v/>
      </c>
      <c r="YB15">
        <f>YB14+IF(AND($C14=105,$L14=1),1,0)</f>
        <v/>
      </c>
      <c r="YC15">
        <f>YC14+IF(AND($C14=106,$L14=1),1,0)</f>
        <v/>
      </c>
      <c r="YD15">
        <f>YD14+IF(AND($C14=107,$L14=1),1,0)</f>
        <v/>
      </c>
      <c r="YE15">
        <f>YE14+IF(AND($C14=108,$L14=1),1,0)</f>
        <v/>
      </c>
      <c r="YF15">
        <f>YF14+IF(AND($C14=109,$L14=1),1,0)</f>
        <v/>
      </c>
      <c r="YG15">
        <f>YG14+IF(AND($C14=110,$L14=1),1,0)</f>
        <v/>
      </c>
      <c r="YH15">
        <f>YH14+IF(AND($C14=111,$L14=1),1,0)</f>
        <v/>
      </c>
      <c r="YI15">
        <f>YI14+IF(AND($C14=112,$L14=1),1,0)</f>
        <v/>
      </c>
      <c r="YJ15">
        <f>YJ14+IF(AND($C14=113,$L14=1),1,0)</f>
        <v/>
      </c>
      <c r="YK15">
        <f>YK14+IF(AND($C14=114,$L14=1),1,0)</f>
        <v/>
      </c>
      <c r="YL15">
        <f>YL14+IF(AND($C14=115,$L14=1),1,0)</f>
        <v/>
      </c>
      <c r="YM15">
        <f>YM14+IF(AND($C14=116,$L14=1),1,0)</f>
        <v/>
      </c>
      <c r="YN15">
        <f>YN14+IF(AND($C14=117,$L14=1),1,0)</f>
        <v/>
      </c>
      <c r="YO15">
        <f>YO14+IF(AND($C14=118,$L14=1),1,0)</f>
        <v/>
      </c>
      <c r="YP15">
        <f>YP14+IF(AND($C14=119,$L14=1),1,0)</f>
        <v/>
      </c>
      <c r="YQ15">
        <f>YQ14+IF(AND($C14=120,$L14=1),1,0)</f>
        <v/>
      </c>
      <c r="YR15">
        <f>YR14+IF(AND($C14=121,$L14=1),1,0)</f>
        <v/>
      </c>
      <c r="YS15">
        <f>YS14+IF(AND($C14=122,$L14=1),1,0)</f>
        <v/>
      </c>
      <c r="YT15">
        <f>YT14+IF(AND($C14=123,$L14=1),1,0)</f>
        <v/>
      </c>
      <c r="YU15">
        <f>YU14+IF(AND($C14=124,$L14=1),1,0)</f>
        <v/>
      </c>
      <c r="YV15">
        <f>YV14+IF(AND($C14=125,$L14=1),1,0)</f>
        <v/>
      </c>
      <c r="YW15">
        <f>YW14+IF(AND($C14=126,$L14=1),1,0)</f>
        <v/>
      </c>
      <c r="YX15">
        <f>YX14+IF(AND($C14=127,$L14=1),1,0)</f>
        <v/>
      </c>
      <c r="YY15">
        <f>YY14+IF(AND($C14=128,$L14=1),1,0)</f>
        <v/>
      </c>
      <c r="YZ15">
        <f>YZ14+IF(AND($C14=129,$L14=1),1,0)</f>
        <v/>
      </c>
      <c r="ZA15">
        <f>ZA14+IF(AND($C14=130,$L14=1),1,0)</f>
        <v/>
      </c>
      <c r="ZB15">
        <f>ZB14+IF(AND($C14=131,$L14=1),1,0)</f>
        <v/>
      </c>
      <c r="ZC15">
        <f>ZC14+IF(AND($C14=132,$L14=1),1,0)</f>
        <v/>
      </c>
      <c r="ZD15">
        <f>ZD14+IF(AND($C14=133,$L14=1),1,0)</f>
        <v/>
      </c>
      <c r="ZE15">
        <f>ZE14+IF(AND($C14=134,$L14=1),1,0)</f>
        <v/>
      </c>
      <c r="ZF15">
        <f>ZF14+IF(AND($C14=135,$L14=1),1,0)</f>
        <v/>
      </c>
      <c r="ZG15">
        <f>ZG14+IF(AND($C14=136,$L14=1),1,0)</f>
        <v/>
      </c>
      <c r="ZH15">
        <f>ZH14+IF(AND($C14=137,$L14=1),1,0)</f>
        <v/>
      </c>
      <c r="ZI15">
        <f>ZI14+IF(AND($C14=138,$L14=1),1,0)</f>
        <v/>
      </c>
      <c r="ZJ15">
        <f>ZJ14+IF(AND($C14=139,$L14=1),1,0)</f>
        <v/>
      </c>
      <c r="ZK15">
        <f>ZK14+IF(AND($C14=140,$L14=1),1,0)</f>
        <v/>
      </c>
      <c r="ZL15">
        <f>ZL14+IF(AND($C14=141,$L14=1),1,0)</f>
        <v/>
      </c>
      <c r="ZM15">
        <f>ZM14+IF(AND($C14=142,$L14=1),1,0)</f>
        <v/>
      </c>
      <c r="ZN15">
        <f>ZN14+IF(AND($C14=143,$L14=1),1,0)</f>
        <v/>
      </c>
      <c r="ZO15">
        <f>ZO14+IF(AND($C14=144,$L14=1),1,0)</f>
        <v/>
      </c>
    </row>
    <row r="16">
      <c r="A16" t="n">
        <v>14</v>
      </c>
      <c r="B16">
        <f>IF(MIN(BH16:CZ16)&gt;=1000000,0,MATCH(MIN(BH16:CZ16),BH16:CZ16,0))</f>
        <v/>
      </c>
      <c r="C16">
        <f>IF(MIN(OF16:TS16)&gt;=1000000,0,MATCH(MIN(OF16:TS16),OF16:TS16,0))</f>
        <v/>
      </c>
      <c r="D16">
        <f>IF(C16&gt;0,INDEX('計算A'!$D$5:$EQ$5,C16),0)</f>
        <v/>
      </c>
      <c r="E16">
        <f>IF(B16=0,0,INDEX('計算A'!$IQ$10:$IQ$54,B16))</f>
        <v/>
      </c>
      <c r="F16">
        <f>IF(B16=0,0,INDEX('計算A'!$IP$10:$IP$54,B16))</f>
        <v/>
      </c>
      <c r="G16">
        <f>IF(AND(C16&gt;0,E16&gt;0),IF(AND(INDEX('計算A'!$D$106:$EQ$106,C16)=1,INDEX($IQ16:$OD16,C16)=1),C16+1,0),0)</f>
        <v/>
      </c>
      <c r="H16">
        <f>IF(B16=0,0,INDEX('計算A'!$IW$10:$IW$54,B16))</f>
        <v/>
      </c>
      <c r="I16">
        <f>IF(B16=0,0,MAX(0,INDEX('計算A'!$IT$10:$IT$54,B16)))</f>
        <v/>
      </c>
      <c r="J16">
        <f>IF(I16=0,0,INDEX('計算A'!$D$2:$EQ$2,I16))</f>
        <v/>
      </c>
      <c r="K16">
        <f>IF(I16=0,0,INDEX('計算A'!$D$3:$EQ$3,I16))</f>
        <v/>
      </c>
      <c r="L16">
        <f>IF(B16=0,0,INDEX('計算A'!$IX$10:$IX$54,B16))</f>
        <v/>
      </c>
      <c r="N16">
        <f>MAX(N15,IF($B15=1,1,0))</f>
        <v/>
      </c>
      <c r="O16">
        <f>MAX(O15,IF($B15=2,1,0))</f>
        <v/>
      </c>
      <c r="P16">
        <f>MAX(P15,IF($B15=3,1,0))</f>
        <v/>
      </c>
      <c r="Q16">
        <f>MAX(Q15,IF($B15=4,1,0))</f>
        <v/>
      </c>
      <c r="R16">
        <f>MAX(R15,IF($B15=5,1,0))</f>
        <v/>
      </c>
      <c r="S16">
        <f>MAX(S15,IF($B15=6,1,0))</f>
        <v/>
      </c>
      <c r="T16">
        <f>MAX(T15,IF($B15=7,1,0))</f>
        <v/>
      </c>
      <c r="U16">
        <f>MAX(U15,IF($B15=8,1,0))</f>
        <v/>
      </c>
      <c r="V16">
        <f>MAX(V15,IF($B15=9,1,0))</f>
        <v/>
      </c>
      <c r="W16">
        <f>MAX(W15,IF($B15=10,1,0))</f>
        <v/>
      </c>
      <c r="X16">
        <f>MAX(X15,IF($B15=11,1,0))</f>
        <v/>
      </c>
      <c r="Y16">
        <f>MAX(Y15,IF($B15=12,1,0))</f>
        <v/>
      </c>
      <c r="Z16">
        <f>MAX(Z15,IF($B15=13,1,0))</f>
        <v/>
      </c>
      <c r="AA16">
        <f>MAX(AA15,IF($B15=14,1,0))</f>
        <v/>
      </c>
      <c r="AB16">
        <f>MAX(AB15,IF($B15=15,1,0))</f>
        <v/>
      </c>
      <c r="AC16">
        <f>MAX(AC15,IF($B15=16,1,0))</f>
        <v/>
      </c>
      <c r="AD16">
        <f>MAX(AD15,IF($B15=17,1,0))</f>
        <v/>
      </c>
      <c r="AE16">
        <f>MAX(AE15,IF($B15=18,1,0))</f>
        <v/>
      </c>
      <c r="AF16">
        <f>MAX(AF15,IF($B15=19,1,0))</f>
        <v/>
      </c>
      <c r="AG16">
        <f>MAX(AG15,IF($B15=20,1,0))</f>
        <v/>
      </c>
      <c r="AH16">
        <f>MAX(AH15,IF($B15=21,1,0))</f>
        <v/>
      </c>
      <c r="AI16">
        <f>MAX(AI15,IF($B15=22,1,0))</f>
        <v/>
      </c>
      <c r="AJ16">
        <f>MAX(AJ15,IF($B15=23,1,0))</f>
        <v/>
      </c>
      <c r="AK16">
        <f>MAX(AK15,IF($B15=24,1,0))</f>
        <v/>
      </c>
      <c r="AL16">
        <f>MAX(AL15,IF($B15=25,1,0))</f>
        <v/>
      </c>
      <c r="AM16">
        <f>MAX(AM15,IF($B15=26,1,0))</f>
        <v/>
      </c>
      <c r="AN16">
        <f>MAX(AN15,IF($B15=27,1,0))</f>
        <v/>
      </c>
      <c r="AO16">
        <f>MAX(AO15,IF($B15=28,1,0))</f>
        <v/>
      </c>
      <c r="AP16">
        <f>MAX(AP15,IF($B15=29,1,0))</f>
        <v/>
      </c>
      <c r="AQ16">
        <f>MAX(AQ15,IF($B15=30,1,0))</f>
        <v/>
      </c>
      <c r="AR16">
        <f>MAX(AR15,IF($B15=31,1,0))</f>
        <v/>
      </c>
      <c r="AS16">
        <f>MAX(AS15,IF($B15=32,1,0))</f>
        <v/>
      </c>
      <c r="AT16">
        <f>MAX(AT15,IF($B15=33,1,0))</f>
        <v/>
      </c>
      <c r="AU16">
        <f>MAX(AU15,IF($B15=34,1,0))</f>
        <v/>
      </c>
      <c r="AV16">
        <f>MAX(AV15,IF($B15=35,1,0))</f>
        <v/>
      </c>
      <c r="AW16">
        <f>MAX(AW15,IF($B15=36,1,0))</f>
        <v/>
      </c>
      <c r="AX16">
        <f>MAX(AX15,IF($B15=37,1,0))</f>
        <v/>
      </c>
      <c r="AY16">
        <f>MAX(AY15,IF($B15=38,1,0))</f>
        <v/>
      </c>
      <c r="AZ16">
        <f>MAX(AZ15,IF($B15=39,1,0))</f>
        <v/>
      </c>
      <c r="BA16">
        <f>MAX(BA15,IF($B15=40,1,0))</f>
        <v/>
      </c>
      <c r="BB16">
        <f>MAX(BB15,IF($B15=41,1,0))</f>
        <v/>
      </c>
      <c r="BC16">
        <f>MAX(BC15,IF($B15=42,1,0))</f>
        <v/>
      </c>
      <c r="BD16">
        <f>MAX(BD15,IF($B15=43,1,0))</f>
        <v/>
      </c>
      <c r="BE16">
        <f>MAX(BE15,IF($B15=44,1,0))</f>
        <v/>
      </c>
      <c r="BF16">
        <f>MAX(BF15,IF($B15=45,1,0))</f>
        <v/>
      </c>
      <c r="BH16">
        <f>IF(N16=1,1000000,IF('計算A'!$IT$10&gt;0,0,500000)+IF('計算A'!$IQ$10=2,SUMPRODUCT('計算A'!$D$60:$EQ$60,$DB16:$IO16,$IQ16:$OD16),SUMPRODUCT('計算A'!$D$60:$EQ$60,$DB16:$IO16))*1000+1)</f>
        <v/>
      </c>
      <c r="BI16">
        <f>IF(O16=1,1000000,IF('計算A'!$IT$11&gt;0,0,500000)+IF('計算A'!$IQ$11=2,SUMPRODUCT('計算A'!$D$61:$EQ$61,$DB16:$IO16,$IQ16:$OD16),SUMPRODUCT('計算A'!$D$61:$EQ$61,$DB16:$IO16))*1000+2)</f>
        <v/>
      </c>
      <c r="BJ16">
        <f>IF(P16=1,1000000,IF('計算A'!$IT$12&gt;0,0,500000)+IF('計算A'!$IQ$12=2,SUMPRODUCT('計算A'!$D$62:$EQ$62,$DB16:$IO16,$IQ16:$OD16),SUMPRODUCT('計算A'!$D$62:$EQ$62,$DB16:$IO16))*1000+3)</f>
        <v/>
      </c>
      <c r="BK16">
        <f>IF(Q16=1,1000000,IF('計算A'!$IT$13&gt;0,0,500000)+IF('計算A'!$IQ$13=2,SUMPRODUCT('計算A'!$D$63:$EQ$63,$DB16:$IO16,$IQ16:$OD16),SUMPRODUCT('計算A'!$D$63:$EQ$63,$DB16:$IO16))*1000+4)</f>
        <v/>
      </c>
      <c r="BL16">
        <f>IF(R16=1,1000000,IF('計算A'!$IT$14&gt;0,0,500000)+IF('計算A'!$IQ$14=2,SUMPRODUCT('計算A'!$D$64:$EQ$64,$DB16:$IO16,$IQ16:$OD16),SUMPRODUCT('計算A'!$D$64:$EQ$64,$DB16:$IO16))*1000+5)</f>
        <v/>
      </c>
      <c r="BM16">
        <f>IF(S16=1,1000000,IF('計算A'!$IT$15&gt;0,0,500000)+IF('計算A'!$IQ$15=2,SUMPRODUCT('計算A'!$D$65:$EQ$65,$DB16:$IO16,$IQ16:$OD16),SUMPRODUCT('計算A'!$D$65:$EQ$65,$DB16:$IO16))*1000+6)</f>
        <v/>
      </c>
      <c r="BN16">
        <f>IF(T16=1,1000000,IF('計算A'!$IT$16&gt;0,0,500000)+IF('計算A'!$IQ$16=2,SUMPRODUCT('計算A'!$D$66:$EQ$66,$DB16:$IO16,$IQ16:$OD16),SUMPRODUCT('計算A'!$D$66:$EQ$66,$DB16:$IO16))*1000+7)</f>
        <v/>
      </c>
      <c r="BO16">
        <f>IF(U16=1,1000000,IF('計算A'!$IT$17&gt;0,0,500000)+IF('計算A'!$IQ$17=2,SUMPRODUCT('計算A'!$D$67:$EQ$67,$DB16:$IO16,$IQ16:$OD16),SUMPRODUCT('計算A'!$D$67:$EQ$67,$DB16:$IO16))*1000+8)</f>
        <v/>
      </c>
      <c r="BP16">
        <f>IF(V16=1,1000000,IF('計算A'!$IT$18&gt;0,0,500000)+IF('計算A'!$IQ$18=2,SUMPRODUCT('計算A'!$D$68:$EQ$68,$DB16:$IO16,$IQ16:$OD16),SUMPRODUCT('計算A'!$D$68:$EQ$68,$DB16:$IO16))*1000+9)</f>
        <v/>
      </c>
      <c r="BQ16">
        <f>IF(W16=1,1000000,IF('計算A'!$IT$19&gt;0,0,500000)+IF('計算A'!$IQ$19=2,SUMPRODUCT('計算A'!$D$69:$EQ$69,$DB16:$IO16,$IQ16:$OD16),SUMPRODUCT('計算A'!$D$69:$EQ$69,$DB16:$IO16))*1000+10)</f>
        <v/>
      </c>
      <c r="BR16">
        <f>IF(X16=1,1000000,IF('計算A'!$IT$20&gt;0,0,500000)+IF('計算A'!$IQ$20=2,SUMPRODUCT('計算A'!$D$70:$EQ$70,$DB16:$IO16,$IQ16:$OD16),SUMPRODUCT('計算A'!$D$70:$EQ$70,$DB16:$IO16))*1000+11)</f>
        <v/>
      </c>
      <c r="BS16">
        <f>IF(Y16=1,1000000,IF('計算A'!$IT$21&gt;0,0,500000)+IF('計算A'!$IQ$21=2,SUMPRODUCT('計算A'!$D$71:$EQ$71,$DB16:$IO16,$IQ16:$OD16),SUMPRODUCT('計算A'!$D$71:$EQ$71,$DB16:$IO16))*1000+12)</f>
        <v/>
      </c>
      <c r="BT16">
        <f>IF(Z16=1,1000000,IF('計算A'!$IT$22&gt;0,0,500000)+IF('計算A'!$IQ$22=2,SUMPRODUCT('計算A'!$D$72:$EQ$72,$DB16:$IO16,$IQ16:$OD16),SUMPRODUCT('計算A'!$D$72:$EQ$72,$DB16:$IO16))*1000+13)</f>
        <v/>
      </c>
      <c r="BU16">
        <f>IF(AA16=1,1000000,IF('計算A'!$IT$23&gt;0,0,500000)+IF('計算A'!$IQ$23=2,SUMPRODUCT('計算A'!$D$73:$EQ$73,$DB16:$IO16,$IQ16:$OD16),SUMPRODUCT('計算A'!$D$73:$EQ$73,$DB16:$IO16))*1000+14)</f>
        <v/>
      </c>
      <c r="BV16">
        <f>IF(AB16=1,1000000,IF('計算A'!$IT$24&gt;0,0,500000)+IF('計算A'!$IQ$24=2,SUMPRODUCT('計算A'!$D$74:$EQ$74,$DB16:$IO16,$IQ16:$OD16),SUMPRODUCT('計算A'!$D$74:$EQ$74,$DB16:$IO16))*1000+15)</f>
        <v/>
      </c>
      <c r="BW16">
        <f>IF(AC16=1,1000000,IF('計算A'!$IT$25&gt;0,0,500000)+IF('計算A'!$IQ$25=2,SUMPRODUCT('計算A'!$D$75:$EQ$75,$DB16:$IO16,$IQ16:$OD16),SUMPRODUCT('計算A'!$D$75:$EQ$75,$DB16:$IO16))*1000+16)</f>
        <v/>
      </c>
      <c r="BX16">
        <f>IF(AD16=1,1000000,IF('計算A'!$IT$26&gt;0,0,500000)+IF('計算A'!$IQ$26=2,SUMPRODUCT('計算A'!$D$76:$EQ$76,$DB16:$IO16,$IQ16:$OD16),SUMPRODUCT('計算A'!$D$76:$EQ$76,$DB16:$IO16))*1000+17)</f>
        <v/>
      </c>
      <c r="BY16">
        <f>IF(AE16=1,1000000,IF('計算A'!$IT$27&gt;0,0,500000)+IF('計算A'!$IQ$27=2,SUMPRODUCT('計算A'!$D$77:$EQ$77,$DB16:$IO16,$IQ16:$OD16),SUMPRODUCT('計算A'!$D$77:$EQ$77,$DB16:$IO16))*1000+18)</f>
        <v/>
      </c>
      <c r="BZ16">
        <f>IF(AF16=1,1000000,IF('計算A'!$IT$28&gt;0,0,500000)+IF('計算A'!$IQ$28=2,SUMPRODUCT('計算A'!$D$78:$EQ$78,$DB16:$IO16,$IQ16:$OD16),SUMPRODUCT('計算A'!$D$78:$EQ$78,$DB16:$IO16))*1000+19)</f>
        <v/>
      </c>
      <c r="CA16">
        <f>IF(AG16=1,1000000,IF('計算A'!$IT$29&gt;0,0,500000)+IF('計算A'!$IQ$29=2,SUMPRODUCT('計算A'!$D$79:$EQ$79,$DB16:$IO16,$IQ16:$OD16),SUMPRODUCT('計算A'!$D$79:$EQ$79,$DB16:$IO16))*1000+20)</f>
        <v/>
      </c>
      <c r="CB16">
        <f>IF(AH16=1,1000000,IF('計算A'!$IT$30&gt;0,0,500000)+IF('計算A'!$IQ$30=2,SUMPRODUCT('計算A'!$D$80:$EQ$80,$DB16:$IO16,$IQ16:$OD16),SUMPRODUCT('計算A'!$D$80:$EQ$80,$DB16:$IO16))*1000+21)</f>
        <v/>
      </c>
      <c r="CC16">
        <f>IF(AI16=1,1000000,IF('計算A'!$IT$31&gt;0,0,500000)+IF('計算A'!$IQ$31=2,SUMPRODUCT('計算A'!$D$81:$EQ$81,$DB16:$IO16,$IQ16:$OD16),SUMPRODUCT('計算A'!$D$81:$EQ$81,$DB16:$IO16))*1000+22)</f>
        <v/>
      </c>
      <c r="CD16">
        <f>IF(AJ16=1,1000000,IF('計算A'!$IT$32&gt;0,0,500000)+IF('計算A'!$IQ$32=2,SUMPRODUCT('計算A'!$D$82:$EQ$82,$DB16:$IO16,$IQ16:$OD16),SUMPRODUCT('計算A'!$D$82:$EQ$82,$DB16:$IO16))*1000+23)</f>
        <v/>
      </c>
      <c r="CE16">
        <f>IF(AK16=1,1000000,IF('計算A'!$IT$33&gt;0,0,500000)+IF('計算A'!$IQ$33=2,SUMPRODUCT('計算A'!$D$83:$EQ$83,$DB16:$IO16,$IQ16:$OD16),SUMPRODUCT('計算A'!$D$83:$EQ$83,$DB16:$IO16))*1000+24)</f>
        <v/>
      </c>
      <c r="CF16">
        <f>IF(AL16=1,1000000,IF('計算A'!$IT$34&gt;0,0,500000)+IF('計算A'!$IQ$34=2,SUMPRODUCT('計算A'!$D$84:$EQ$84,$DB16:$IO16,$IQ16:$OD16),SUMPRODUCT('計算A'!$D$84:$EQ$84,$DB16:$IO16))*1000+25)</f>
        <v/>
      </c>
      <c r="CG16">
        <f>IF(AM16=1,1000000,IF('計算A'!$IT$35&gt;0,0,500000)+IF('計算A'!$IQ$35=2,SUMPRODUCT('計算A'!$D$85:$EQ$85,$DB16:$IO16,$IQ16:$OD16),SUMPRODUCT('計算A'!$D$85:$EQ$85,$DB16:$IO16))*1000+26)</f>
        <v/>
      </c>
      <c r="CH16">
        <f>IF(AN16=1,1000000,IF('計算A'!$IT$36&gt;0,0,500000)+IF('計算A'!$IQ$36=2,SUMPRODUCT('計算A'!$D$86:$EQ$86,$DB16:$IO16,$IQ16:$OD16),SUMPRODUCT('計算A'!$D$86:$EQ$86,$DB16:$IO16))*1000+27)</f>
        <v/>
      </c>
      <c r="CI16">
        <f>IF(AO16=1,1000000,IF('計算A'!$IT$37&gt;0,0,500000)+IF('計算A'!$IQ$37=2,SUMPRODUCT('計算A'!$D$87:$EQ$87,$DB16:$IO16,$IQ16:$OD16),SUMPRODUCT('計算A'!$D$87:$EQ$87,$DB16:$IO16))*1000+28)</f>
        <v/>
      </c>
      <c r="CJ16">
        <f>IF(AP16=1,1000000,IF('計算A'!$IT$38&gt;0,0,500000)+IF('計算A'!$IQ$38=2,SUMPRODUCT('計算A'!$D$88:$EQ$88,$DB16:$IO16,$IQ16:$OD16),SUMPRODUCT('計算A'!$D$88:$EQ$88,$DB16:$IO16))*1000+29)</f>
        <v/>
      </c>
      <c r="CK16">
        <f>IF(AQ16=1,1000000,IF('計算A'!$IT$39&gt;0,0,500000)+IF('計算A'!$IQ$39=2,SUMPRODUCT('計算A'!$D$89:$EQ$89,$DB16:$IO16,$IQ16:$OD16),SUMPRODUCT('計算A'!$D$89:$EQ$89,$DB16:$IO16))*1000+30)</f>
        <v/>
      </c>
      <c r="CL16">
        <f>IF(AR16=1,1000000,IF('計算A'!$IT$40&gt;0,0,500000)+IF('計算A'!$IQ$40=2,SUMPRODUCT('計算A'!$D$90:$EQ$90,$DB16:$IO16,$IQ16:$OD16),SUMPRODUCT('計算A'!$D$90:$EQ$90,$DB16:$IO16))*1000+31)</f>
        <v/>
      </c>
      <c r="CM16">
        <f>IF(AS16=1,1000000,IF('計算A'!$IT$41&gt;0,0,500000)+IF('計算A'!$IQ$41=2,SUMPRODUCT('計算A'!$D$91:$EQ$91,$DB16:$IO16,$IQ16:$OD16),SUMPRODUCT('計算A'!$D$91:$EQ$91,$DB16:$IO16))*1000+32)</f>
        <v/>
      </c>
      <c r="CN16">
        <f>IF(AT16=1,1000000,IF('計算A'!$IT$42&gt;0,0,500000)+IF('計算A'!$IQ$42=2,SUMPRODUCT('計算A'!$D$92:$EQ$92,$DB16:$IO16,$IQ16:$OD16),SUMPRODUCT('計算A'!$D$92:$EQ$92,$DB16:$IO16))*1000+33)</f>
        <v/>
      </c>
      <c r="CO16">
        <f>IF(AU16=1,1000000,IF('計算A'!$IT$43&gt;0,0,500000)+IF('計算A'!$IQ$43=2,SUMPRODUCT('計算A'!$D$93:$EQ$93,$DB16:$IO16,$IQ16:$OD16),SUMPRODUCT('計算A'!$D$93:$EQ$93,$DB16:$IO16))*1000+34)</f>
        <v/>
      </c>
      <c r="CP16">
        <f>IF(AV16=1,1000000,IF('計算A'!$IT$44&gt;0,0,500000)+IF('計算A'!$IQ$44=2,SUMPRODUCT('計算A'!$D$94:$EQ$94,$DB16:$IO16,$IQ16:$OD16),SUMPRODUCT('計算A'!$D$94:$EQ$94,$DB16:$IO16))*1000+35)</f>
        <v/>
      </c>
      <c r="CQ16">
        <f>IF(AW16=1,1000000,IF('計算A'!$IT$45&gt;0,0,500000)+IF('計算A'!$IQ$45=2,SUMPRODUCT('計算A'!$D$95:$EQ$95,$DB16:$IO16,$IQ16:$OD16),SUMPRODUCT('計算A'!$D$95:$EQ$95,$DB16:$IO16))*1000+36)</f>
        <v/>
      </c>
      <c r="CR16">
        <f>IF(AX16=1,1000000,IF('計算A'!$IT$46&gt;0,0,500000)+IF('計算A'!$IQ$46=2,SUMPRODUCT('計算A'!$D$96:$EQ$96,$DB16:$IO16,$IQ16:$OD16),SUMPRODUCT('計算A'!$D$96:$EQ$96,$DB16:$IO16))*1000+37)</f>
        <v/>
      </c>
      <c r="CS16">
        <f>IF(AY16=1,1000000,IF('計算A'!$IT$47&gt;0,0,500000)+IF('計算A'!$IQ$47=2,SUMPRODUCT('計算A'!$D$97:$EQ$97,$DB16:$IO16,$IQ16:$OD16),SUMPRODUCT('計算A'!$D$97:$EQ$97,$DB16:$IO16))*1000+38)</f>
        <v/>
      </c>
      <c r="CT16">
        <f>IF(AZ16=1,1000000,IF('計算A'!$IT$48&gt;0,0,500000)+IF('計算A'!$IQ$48=2,SUMPRODUCT('計算A'!$D$98:$EQ$98,$DB16:$IO16,$IQ16:$OD16),SUMPRODUCT('計算A'!$D$98:$EQ$98,$DB16:$IO16))*1000+39)</f>
        <v/>
      </c>
      <c r="CU16">
        <f>IF(BA16=1,1000000,IF('計算A'!$IT$49&gt;0,0,500000)+IF('計算A'!$IQ$49=2,SUMPRODUCT('計算A'!$D$99:$EQ$99,$DB16:$IO16,$IQ16:$OD16),SUMPRODUCT('計算A'!$D$99:$EQ$99,$DB16:$IO16))*1000+40)</f>
        <v/>
      </c>
      <c r="CV16">
        <f>IF(BB16=1,1000000,IF('計算A'!$IT$50&gt;0,0,500000)+IF('計算A'!$IQ$50=2,SUMPRODUCT('計算A'!$D$100:$EQ$100,$DB16:$IO16,$IQ16:$OD16),SUMPRODUCT('計算A'!$D$100:$EQ$100,$DB16:$IO16))*1000+41)</f>
        <v/>
      </c>
      <c r="CW16">
        <f>IF(BC16=1,1000000,IF('計算A'!$IT$51&gt;0,0,500000)+IF('計算A'!$IQ$51=2,SUMPRODUCT('計算A'!$D$101:$EQ$101,$DB16:$IO16,$IQ16:$OD16),SUMPRODUCT('計算A'!$D$101:$EQ$101,$DB16:$IO16))*1000+42)</f>
        <v/>
      </c>
      <c r="CX16">
        <f>IF(BD16=1,1000000,IF('計算A'!$IT$52&gt;0,0,500000)+IF('計算A'!$IQ$52=2,SUMPRODUCT('計算A'!$D$102:$EQ$102,$DB16:$IO16,$IQ16:$OD16),SUMPRODUCT('計算A'!$D$102:$EQ$102,$DB16:$IO16))*1000+43)</f>
        <v/>
      </c>
      <c r="CY16">
        <f>IF(BE16=1,1000000,IF('計算A'!$IT$53&gt;0,0,500000)+IF('計算A'!$IQ$53=2,SUMPRODUCT('計算A'!$D$103:$EQ$103,$DB16:$IO16,$IQ16:$OD16),SUMPRODUCT('計算A'!$D$103:$EQ$103,$DB16:$IO16))*1000+44)</f>
        <v/>
      </c>
      <c r="CZ16">
        <f>IF(BF16=1,1000000,IF('計算A'!$IT$54&gt;0,0,500000)+IF('計算A'!$IQ$54=2,SUMPRODUCT('計算A'!$D$104:$EQ$104,$DB16:$IO16,$IQ16:$OD16),SUMPRODUCT('計算A'!$D$104:$EQ$104,$DB16:$IO16))*1000+45)</f>
        <v/>
      </c>
      <c r="DB16">
        <f>DB15*IF(OR($C15=1,$G15=1),0,1)</f>
        <v/>
      </c>
      <c r="DC16">
        <f>DC15*IF(OR($C15=2,$G15=2),0,1)</f>
        <v/>
      </c>
      <c r="DD16">
        <f>DD15*IF(OR($C15=3,$G15=3),0,1)</f>
        <v/>
      </c>
      <c r="DE16">
        <f>DE15*IF(OR($C15=4,$G15=4),0,1)</f>
        <v/>
      </c>
      <c r="DF16">
        <f>DF15*IF(OR($C15=5,$G15=5),0,1)</f>
        <v/>
      </c>
      <c r="DG16">
        <f>DG15*IF(OR($C15=6,$G15=6),0,1)</f>
        <v/>
      </c>
      <c r="DH16">
        <f>DH15*IF(OR($C15=7,$G15=7),0,1)</f>
        <v/>
      </c>
      <c r="DI16">
        <f>DI15*IF(OR($C15=8,$G15=8),0,1)</f>
        <v/>
      </c>
      <c r="DJ16">
        <f>DJ15*IF(OR($C15=9,$G15=9),0,1)</f>
        <v/>
      </c>
      <c r="DK16">
        <f>DK15*IF(OR($C15=10,$G15=10),0,1)</f>
        <v/>
      </c>
      <c r="DL16">
        <f>DL15*IF(OR($C15=11,$G15=11),0,1)</f>
        <v/>
      </c>
      <c r="DM16">
        <f>DM15*IF(OR($C15=12,$G15=12),0,1)</f>
        <v/>
      </c>
      <c r="DN16">
        <f>DN15*IF(OR($C15=13,$G15=13),0,1)</f>
        <v/>
      </c>
      <c r="DO16">
        <f>DO15*IF(OR($C15=14,$G15=14),0,1)</f>
        <v/>
      </c>
      <c r="DP16">
        <f>DP15*IF(OR($C15=15,$G15=15),0,1)</f>
        <v/>
      </c>
      <c r="DQ16">
        <f>DQ15*IF(OR($C15=16,$G15=16),0,1)</f>
        <v/>
      </c>
      <c r="DR16">
        <f>DR15*IF(OR($C15=17,$G15=17),0,1)</f>
        <v/>
      </c>
      <c r="DS16">
        <f>DS15*IF(OR($C15=18,$G15=18),0,1)</f>
        <v/>
      </c>
      <c r="DT16">
        <f>DT15*IF(OR($C15=19,$G15=19),0,1)</f>
        <v/>
      </c>
      <c r="DU16">
        <f>DU15*IF(OR($C15=20,$G15=20),0,1)</f>
        <v/>
      </c>
      <c r="DV16">
        <f>DV15*IF(OR($C15=21,$G15=21),0,1)</f>
        <v/>
      </c>
      <c r="DW16">
        <f>DW15*IF(OR($C15=22,$G15=22),0,1)</f>
        <v/>
      </c>
      <c r="DX16">
        <f>DX15*IF(OR($C15=23,$G15=23),0,1)</f>
        <v/>
      </c>
      <c r="DY16">
        <f>DY15*IF(OR($C15=24,$G15=24),0,1)</f>
        <v/>
      </c>
      <c r="DZ16">
        <f>DZ15*IF(OR($C15=25,$G15=25),0,1)</f>
        <v/>
      </c>
      <c r="EA16">
        <f>EA15*IF(OR($C15=26,$G15=26),0,1)</f>
        <v/>
      </c>
      <c r="EB16">
        <f>EB15*IF(OR($C15=27,$G15=27),0,1)</f>
        <v/>
      </c>
      <c r="EC16">
        <f>EC15*IF(OR($C15=28,$G15=28),0,1)</f>
        <v/>
      </c>
      <c r="ED16">
        <f>ED15*IF(OR($C15=29,$G15=29),0,1)</f>
        <v/>
      </c>
      <c r="EE16">
        <f>EE15*IF(OR($C15=30,$G15=30),0,1)</f>
        <v/>
      </c>
      <c r="EF16">
        <f>EF15*IF(OR($C15=31,$G15=31),0,1)</f>
        <v/>
      </c>
      <c r="EG16">
        <f>EG15*IF(OR($C15=32,$G15=32),0,1)</f>
        <v/>
      </c>
      <c r="EH16">
        <f>EH15*IF(OR($C15=33,$G15=33),0,1)</f>
        <v/>
      </c>
      <c r="EI16">
        <f>EI15*IF(OR($C15=34,$G15=34),0,1)</f>
        <v/>
      </c>
      <c r="EJ16">
        <f>EJ15*IF(OR($C15=35,$G15=35),0,1)</f>
        <v/>
      </c>
      <c r="EK16">
        <f>EK15*IF(OR($C15=36,$G15=36),0,1)</f>
        <v/>
      </c>
      <c r="EL16">
        <f>EL15*IF(OR($C15=37,$G15=37),0,1)</f>
        <v/>
      </c>
      <c r="EM16">
        <f>EM15*IF(OR($C15=38,$G15=38),0,1)</f>
        <v/>
      </c>
      <c r="EN16">
        <f>EN15*IF(OR($C15=39,$G15=39),0,1)</f>
        <v/>
      </c>
      <c r="EO16">
        <f>EO15*IF(OR($C15=40,$G15=40),0,1)</f>
        <v/>
      </c>
      <c r="EP16">
        <f>EP15*IF(OR($C15=41,$G15=41),0,1)</f>
        <v/>
      </c>
      <c r="EQ16">
        <f>EQ15*IF(OR($C15=42,$G15=42),0,1)</f>
        <v/>
      </c>
      <c r="ER16">
        <f>ER15*IF(OR($C15=43,$G15=43),0,1)</f>
        <v/>
      </c>
      <c r="ES16">
        <f>ES15*IF(OR($C15=44,$G15=44),0,1)</f>
        <v/>
      </c>
      <c r="ET16">
        <f>ET15*IF(OR($C15=45,$G15=45),0,1)</f>
        <v/>
      </c>
      <c r="EU16">
        <f>EU15*IF(OR($C15=46,$G15=46),0,1)</f>
        <v/>
      </c>
      <c r="EV16">
        <f>EV15*IF(OR($C15=47,$G15=47),0,1)</f>
        <v/>
      </c>
      <c r="EW16">
        <f>EW15*IF(OR($C15=48,$G15=48),0,1)</f>
        <v/>
      </c>
      <c r="EX16">
        <f>EX15*IF(OR($C15=49,$G15=49),0,1)</f>
        <v/>
      </c>
      <c r="EY16">
        <f>EY15*IF(OR($C15=50,$G15=50),0,1)</f>
        <v/>
      </c>
      <c r="EZ16">
        <f>EZ15*IF(OR($C15=51,$G15=51),0,1)</f>
        <v/>
      </c>
      <c r="FA16">
        <f>FA15*IF(OR($C15=52,$G15=52),0,1)</f>
        <v/>
      </c>
      <c r="FB16">
        <f>FB15*IF(OR($C15=53,$G15=53),0,1)</f>
        <v/>
      </c>
      <c r="FC16">
        <f>FC15*IF(OR($C15=54,$G15=54),0,1)</f>
        <v/>
      </c>
      <c r="FD16">
        <f>FD15*IF(OR($C15=55,$G15=55),0,1)</f>
        <v/>
      </c>
      <c r="FE16">
        <f>FE15*IF(OR($C15=56,$G15=56),0,1)</f>
        <v/>
      </c>
      <c r="FF16">
        <f>FF15*IF(OR($C15=57,$G15=57),0,1)</f>
        <v/>
      </c>
      <c r="FG16">
        <f>FG15*IF(OR($C15=58,$G15=58),0,1)</f>
        <v/>
      </c>
      <c r="FH16">
        <f>FH15*IF(OR($C15=59,$G15=59),0,1)</f>
        <v/>
      </c>
      <c r="FI16">
        <f>FI15*IF(OR($C15=60,$G15=60),0,1)</f>
        <v/>
      </c>
      <c r="FJ16">
        <f>FJ15*IF(OR($C15=61,$G15=61),0,1)</f>
        <v/>
      </c>
      <c r="FK16">
        <f>FK15*IF(OR($C15=62,$G15=62),0,1)</f>
        <v/>
      </c>
      <c r="FL16">
        <f>FL15*IF(OR($C15=63,$G15=63),0,1)</f>
        <v/>
      </c>
      <c r="FM16">
        <f>FM15*IF(OR($C15=64,$G15=64),0,1)</f>
        <v/>
      </c>
      <c r="FN16">
        <f>FN15*IF(OR($C15=65,$G15=65),0,1)</f>
        <v/>
      </c>
      <c r="FO16">
        <f>FO15*IF(OR($C15=66,$G15=66),0,1)</f>
        <v/>
      </c>
      <c r="FP16">
        <f>FP15*IF(OR($C15=67,$G15=67),0,1)</f>
        <v/>
      </c>
      <c r="FQ16">
        <f>FQ15*IF(OR($C15=68,$G15=68),0,1)</f>
        <v/>
      </c>
      <c r="FR16">
        <f>FR15*IF(OR($C15=69,$G15=69),0,1)</f>
        <v/>
      </c>
      <c r="FS16">
        <f>FS15*IF(OR($C15=70,$G15=70),0,1)</f>
        <v/>
      </c>
      <c r="FT16">
        <f>FT15*IF(OR($C15=71,$G15=71),0,1)</f>
        <v/>
      </c>
      <c r="FU16">
        <f>FU15*IF(OR($C15=72,$G15=72),0,1)</f>
        <v/>
      </c>
      <c r="FV16">
        <f>FV15*IF(OR($C15=73,$G15=73),0,1)</f>
        <v/>
      </c>
      <c r="FW16">
        <f>FW15*IF(OR($C15=74,$G15=74),0,1)</f>
        <v/>
      </c>
      <c r="FX16">
        <f>FX15*IF(OR($C15=75,$G15=75),0,1)</f>
        <v/>
      </c>
      <c r="FY16">
        <f>FY15*IF(OR($C15=76,$G15=76),0,1)</f>
        <v/>
      </c>
      <c r="FZ16">
        <f>FZ15*IF(OR($C15=77,$G15=77),0,1)</f>
        <v/>
      </c>
      <c r="GA16">
        <f>GA15*IF(OR($C15=78,$G15=78),0,1)</f>
        <v/>
      </c>
      <c r="GB16">
        <f>GB15*IF(OR($C15=79,$G15=79),0,1)</f>
        <v/>
      </c>
      <c r="GC16">
        <f>GC15*IF(OR($C15=80,$G15=80),0,1)</f>
        <v/>
      </c>
      <c r="GD16">
        <f>GD15*IF(OR($C15=81,$G15=81),0,1)</f>
        <v/>
      </c>
      <c r="GE16">
        <f>GE15*IF(OR($C15=82,$G15=82),0,1)</f>
        <v/>
      </c>
      <c r="GF16">
        <f>GF15*IF(OR($C15=83,$G15=83),0,1)</f>
        <v/>
      </c>
      <c r="GG16">
        <f>GG15*IF(OR($C15=84,$G15=84),0,1)</f>
        <v/>
      </c>
      <c r="GH16">
        <f>GH15*IF(OR($C15=85,$G15=85),0,1)</f>
        <v/>
      </c>
      <c r="GI16">
        <f>GI15*IF(OR($C15=86,$G15=86),0,1)</f>
        <v/>
      </c>
      <c r="GJ16">
        <f>GJ15*IF(OR($C15=87,$G15=87),0,1)</f>
        <v/>
      </c>
      <c r="GK16">
        <f>GK15*IF(OR($C15=88,$G15=88),0,1)</f>
        <v/>
      </c>
      <c r="GL16">
        <f>GL15*IF(OR($C15=89,$G15=89),0,1)</f>
        <v/>
      </c>
      <c r="GM16">
        <f>GM15*IF(OR($C15=90,$G15=90),0,1)</f>
        <v/>
      </c>
      <c r="GN16">
        <f>GN15*IF(OR($C15=91,$G15=91),0,1)</f>
        <v/>
      </c>
      <c r="GO16">
        <f>GO15*IF(OR($C15=92,$G15=92),0,1)</f>
        <v/>
      </c>
      <c r="GP16">
        <f>GP15*IF(OR($C15=93,$G15=93),0,1)</f>
        <v/>
      </c>
      <c r="GQ16">
        <f>GQ15*IF(OR($C15=94,$G15=94),0,1)</f>
        <v/>
      </c>
      <c r="GR16">
        <f>GR15*IF(OR($C15=95,$G15=95),0,1)</f>
        <v/>
      </c>
      <c r="GS16">
        <f>GS15*IF(OR($C15=96,$G15=96),0,1)</f>
        <v/>
      </c>
      <c r="GT16">
        <f>GT15*IF(OR($C15=97,$G15=97),0,1)</f>
        <v/>
      </c>
      <c r="GU16">
        <f>GU15*IF(OR($C15=98,$G15=98),0,1)</f>
        <v/>
      </c>
      <c r="GV16">
        <f>GV15*IF(OR($C15=99,$G15=99),0,1)</f>
        <v/>
      </c>
      <c r="GW16">
        <f>GW15*IF(OR($C15=100,$G15=100),0,1)</f>
        <v/>
      </c>
      <c r="GX16">
        <f>GX15*IF(OR($C15=101,$G15=101),0,1)</f>
        <v/>
      </c>
      <c r="GY16">
        <f>GY15*IF(OR($C15=102,$G15=102),0,1)</f>
        <v/>
      </c>
      <c r="GZ16">
        <f>GZ15*IF(OR($C15=103,$G15=103),0,1)</f>
        <v/>
      </c>
      <c r="HA16">
        <f>HA15*IF(OR($C15=104,$G15=104),0,1)</f>
        <v/>
      </c>
      <c r="HB16">
        <f>HB15*IF(OR($C15=105,$G15=105),0,1)</f>
        <v/>
      </c>
      <c r="HC16">
        <f>HC15*IF(OR($C15=106,$G15=106),0,1)</f>
        <v/>
      </c>
      <c r="HD16">
        <f>HD15*IF(OR($C15=107,$G15=107),0,1)</f>
        <v/>
      </c>
      <c r="HE16">
        <f>HE15*IF(OR($C15=108,$G15=108),0,1)</f>
        <v/>
      </c>
      <c r="HF16">
        <f>HF15*IF(OR($C15=109,$G15=109),0,1)</f>
        <v/>
      </c>
      <c r="HG16">
        <f>HG15*IF(OR($C15=110,$G15=110),0,1)</f>
        <v/>
      </c>
      <c r="HH16">
        <f>HH15*IF(OR($C15=111,$G15=111),0,1)</f>
        <v/>
      </c>
      <c r="HI16">
        <f>HI15*IF(OR($C15=112,$G15=112),0,1)</f>
        <v/>
      </c>
      <c r="HJ16">
        <f>HJ15*IF(OR($C15=113,$G15=113),0,1)</f>
        <v/>
      </c>
      <c r="HK16">
        <f>HK15*IF(OR($C15=114,$G15=114),0,1)</f>
        <v/>
      </c>
      <c r="HL16">
        <f>HL15*IF(OR($C15=115,$G15=115),0,1)</f>
        <v/>
      </c>
      <c r="HM16">
        <f>HM15*IF(OR($C15=116,$G15=116),0,1)</f>
        <v/>
      </c>
      <c r="HN16">
        <f>HN15*IF(OR($C15=117,$G15=117),0,1)</f>
        <v/>
      </c>
      <c r="HO16">
        <f>HO15*IF(OR($C15=118,$G15=118),0,1)</f>
        <v/>
      </c>
      <c r="HP16">
        <f>HP15*IF(OR($C15=119,$G15=119),0,1)</f>
        <v/>
      </c>
      <c r="HQ16">
        <f>HQ15*IF(OR($C15=120,$G15=120),0,1)</f>
        <v/>
      </c>
      <c r="HR16">
        <f>HR15*IF(OR($C15=121,$G15=121),0,1)</f>
        <v/>
      </c>
      <c r="HS16">
        <f>HS15*IF(OR($C15=122,$G15=122),0,1)</f>
        <v/>
      </c>
      <c r="HT16">
        <f>HT15*IF(OR($C15=123,$G15=123),0,1)</f>
        <v/>
      </c>
      <c r="HU16">
        <f>HU15*IF(OR($C15=124,$G15=124),0,1)</f>
        <v/>
      </c>
      <c r="HV16">
        <f>HV15*IF(OR($C15=125,$G15=125),0,1)</f>
        <v/>
      </c>
      <c r="HW16">
        <f>HW15*IF(OR($C15=126,$G15=126),0,1)</f>
        <v/>
      </c>
      <c r="HX16">
        <f>HX15*IF(OR($C15=127,$G15=127),0,1)</f>
        <v/>
      </c>
      <c r="HY16">
        <f>HY15*IF(OR($C15=128,$G15=128),0,1)</f>
        <v/>
      </c>
      <c r="HZ16">
        <f>HZ15*IF(OR($C15=129,$G15=129),0,1)</f>
        <v/>
      </c>
      <c r="IA16">
        <f>IA15*IF(OR($C15=130,$G15=130),0,1)</f>
        <v/>
      </c>
      <c r="IB16">
        <f>IB15*IF(OR($C15=131,$G15=131),0,1)</f>
        <v/>
      </c>
      <c r="IC16">
        <f>IC15*IF(OR($C15=132,$G15=132),0,1)</f>
        <v/>
      </c>
      <c r="ID16">
        <f>ID15*IF(OR($C15=133,$G15=133),0,1)</f>
        <v/>
      </c>
      <c r="IE16">
        <f>IE15*IF(OR($C15=134,$G15=134),0,1)</f>
        <v/>
      </c>
      <c r="IF16">
        <f>IF15*IF(OR($C15=135,$G15=135),0,1)</f>
        <v/>
      </c>
      <c r="IG16">
        <f>IG15*IF(OR($C15=136,$G15=136),0,1)</f>
        <v/>
      </c>
      <c r="IH16">
        <f>IH15*IF(OR($C15=137,$G15=137),0,1)</f>
        <v/>
      </c>
      <c r="II16">
        <f>II15*IF(OR($C15=138,$G15=138),0,1)</f>
        <v/>
      </c>
      <c r="IJ16">
        <f>IJ15*IF(OR($C15=139,$G15=139),0,1)</f>
        <v/>
      </c>
      <c r="IK16">
        <f>IK15*IF(OR($C15=140,$G15=140),0,1)</f>
        <v/>
      </c>
      <c r="IL16">
        <f>IL15*IF(OR($C15=141,$G15=141),0,1)</f>
        <v/>
      </c>
      <c r="IM16">
        <f>IM15*IF(OR($C15=142,$G15=142),0,1)</f>
        <v/>
      </c>
      <c r="IN16">
        <f>IN15*IF(OR($C15=143,$G15=143),0,1)</f>
        <v/>
      </c>
      <c r="IO16">
        <f>IO15*IF(OR($C15=144,$G15=144),0,1)</f>
        <v/>
      </c>
      <c r="IQ16">
        <f>IF('計算A'!D$106=1,DC16,1)</f>
        <v/>
      </c>
      <c r="IR16">
        <f>IF('計算A'!E$106=1,DD16,1)</f>
        <v/>
      </c>
      <c r="IS16">
        <f>IF('計算A'!F$106=1,DE16,1)</f>
        <v/>
      </c>
      <c r="IT16">
        <f>IF('計算A'!G$106=1,DF16,1)</f>
        <v/>
      </c>
      <c r="IU16">
        <f>IF('計算A'!H$106=1,DG16,1)</f>
        <v/>
      </c>
      <c r="IV16">
        <f>IF('計算A'!I$106=1,DH16,1)</f>
        <v/>
      </c>
      <c r="IW16">
        <f>IF('計算A'!J$106=1,DI16,1)</f>
        <v/>
      </c>
      <c r="IX16">
        <f>IF('計算A'!K$106=1,DJ16,1)</f>
        <v/>
      </c>
      <c r="IY16">
        <f>IF('計算A'!L$106=1,DK16,1)</f>
        <v/>
      </c>
      <c r="IZ16">
        <f>IF('計算A'!M$106=1,DL16,1)</f>
        <v/>
      </c>
      <c r="JA16">
        <f>IF('計算A'!N$106=1,DM16,1)</f>
        <v/>
      </c>
      <c r="JB16">
        <f>IF('計算A'!O$106=1,DN16,1)</f>
        <v/>
      </c>
      <c r="JC16">
        <f>IF('計算A'!P$106=1,DO16,1)</f>
        <v/>
      </c>
      <c r="JD16">
        <f>IF('計算A'!Q$106=1,DP16,1)</f>
        <v/>
      </c>
      <c r="JE16">
        <f>IF('計算A'!R$106=1,DQ16,1)</f>
        <v/>
      </c>
      <c r="JF16">
        <f>IF('計算A'!S$106=1,DR16,1)</f>
        <v/>
      </c>
      <c r="JG16">
        <f>IF('計算A'!T$106=1,DS16,1)</f>
        <v/>
      </c>
      <c r="JH16">
        <f>IF('計算A'!U$106=1,DT16,1)</f>
        <v/>
      </c>
      <c r="JI16">
        <f>IF('計算A'!V$106=1,DU16,1)</f>
        <v/>
      </c>
      <c r="JJ16">
        <f>IF('計算A'!W$106=1,DV16,1)</f>
        <v/>
      </c>
      <c r="JK16">
        <f>IF('計算A'!X$106=1,DW16,1)</f>
        <v/>
      </c>
      <c r="JL16">
        <f>IF('計算A'!Y$106=1,DX16,1)</f>
        <v/>
      </c>
      <c r="JM16">
        <f>IF('計算A'!Z$106=1,DY16,1)</f>
        <v/>
      </c>
      <c r="JN16">
        <f>IF('計算A'!AA$106=1,DZ16,1)</f>
        <v/>
      </c>
      <c r="JO16">
        <f>IF('計算A'!AB$106=1,EA16,1)</f>
        <v/>
      </c>
      <c r="JP16">
        <f>IF('計算A'!AC$106=1,EB16,1)</f>
        <v/>
      </c>
      <c r="JQ16">
        <f>IF('計算A'!AD$106=1,EC16,1)</f>
        <v/>
      </c>
      <c r="JR16">
        <f>IF('計算A'!AE$106=1,ED16,1)</f>
        <v/>
      </c>
      <c r="JS16">
        <f>IF('計算A'!AF$106=1,EE16,1)</f>
        <v/>
      </c>
      <c r="JT16">
        <f>IF('計算A'!AG$106=1,EF16,1)</f>
        <v/>
      </c>
      <c r="JU16">
        <f>IF('計算A'!AH$106=1,EG16,1)</f>
        <v/>
      </c>
      <c r="JV16">
        <f>IF('計算A'!AI$106=1,EH16,1)</f>
        <v/>
      </c>
      <c r="JW16">
        <f>IF('計算A'!AJ$106=1,EI16,1)</f>
        <v/>
      </c>
      <c r="JX16">
        <f>IF('計算A'!AK$106=1,EJ16,1)</f>
        <v/>
      </c>
      <c r="JY16">
        <f>IF('計算A'!AL$106=1,EK16,1)</f>
        <v/>
      </c>
      <c r="JZ16">
        <f>IF('計算A'!AM$106=1,EL16,1)</f>
        <v/>
      </c>
      <c r="KA16">
        <f>IF('計算A'!AN$106=1,EM16,1)</f>
        <v/>
      </c>
      <c r="KB16">
        <f>IF('計算A'!AO$106=1,EN16,1)</f>
        <v/>
      </c>
      <c r="KC16">
        <f>IF('計算A'!AP$106=1,EO16,1)</f>
        <v/>
      </c>
      <c r="KD16">
        <f>IF('計算A'!AQ$106=1,EP16,1)</f>
        <v/>
      </c>
      <c r="KE16">
        <f>IF('計算A'!AR$106=1,EQ16,1)</f>
        <v/>
      </c>
      <c r="KF16">
        <f>IF('計算A'!AS$106=1,ER16,1)</f>
        <v/>
      </c>
      <c r="KG16">
        <f>IF('計算A'!AT$106=1,ES16,1)</f>
        <v/>
      </c>
      <c r="KH16">
        <f>IF('計算A'!AU$106=1,ET16,1)</f>
        <v/>
      </c>
      <c r="KI16">
        <f>IF('計算A'!AV$106=1,EU16,1)</f>
        <v/>
      </c>
      <c r="KJ16">
        <f>IF('計算A'!AW$106=1,EV16,1)</f>
        <v/>
      </c>
      <c r="KK16">
        <f>IF('計算A'!AX$106=1,EW16,1)</f>
        <v/>
      </c>
      <c r="KL16">
        <f>IF('計算A'!AY$106=1,EX16,1)</f>
        <v/>
      </c>
      <c r="KM16">
        <f>IF('計算A'!AZ$106=1,EY16,1)</f>
        <v/>
      </c>
      <c r="KN16">
        <f>IF('計算A'!BA$106=1,EZ16,1)</f>
        <v/>
      </c>
      <c r="KO16">
        <f>IF('計算A'!BB$106=1,FA16,1)</f>
        <v/>
      </c>
      <c r="KP16">
        <f>IF('計算A'!BC$106=1,FB16,1)</f>
        <v/>
      </c>
      <c r="KQ16">
        <f>IF('計算A'!BD$106=1,FC16,1)</f>
        <v/>
      </c>
      <c r="KR16">
        <f>IF('計算A'!BE$106=1,FD16,1)</f>
        <v/>
      </c>
      <c r="KS16">
        <f>IF('計算A'!BF$106=1,FE16,1)</f>
        <v/>
      </c>
      <c r="KT16">
        <f>IF('計算A'!BG$106=1,FF16,1)</f>
        <v/>
      </c>
      <c r="KU16">
        <f>IF('計算A'!BH$106=1,FG16,1)</f>
        <v/>
      </c>
      <c r="KV16">
        <f>IF('計算A'!BI$106=1,FH16,1)</f>
        <v/>
      </c>
      <c r="KW16">
        <f>IF('計算A'!BJ$106=1,FI16,1)</f>
        <v/>
      </c>
      <c r="KX16">
        <f>IF('計算A'!BK$106=1,FJ16,1)</f>
        <v/>
      </c>
      <c r="KY16">
        <f>IF('計算A'!BL$106=1,FK16,1)</f>
        <v/>
      </c>
      <c r="KZ16">
        <f>IF('計算A'!BM$106=1,FL16,1)</f>
        <v/>
      </c>
      <c r="LA16">
        <f>IF('計算A'!BN$106=1,FM16,1)</f>
        <v/>
      </c>
      <c r="LB16">
        <f>IF('計算A'!BO$106=1,FN16,1)</f>
        <v/>
      </c>
      <c r="LC16">
        <f>IF('計算A'!BP$106=1,FO16,1)</f>
        <v/>
      </c>
      <c r="LD16">
        <f>IF('計算A'!BQ$106=1,FP16,1)</f>
        <v/>
      </c>
      <c r="LE16">
        <f>IF('計算A'!BR$106=1,FQ16,1)</f>
        <v/>
      </c>
      <c r="LF16">
        <f>IF('計算A'!BS$106=1,FR16,1)</f>
        <v/>
      </c>
      <c r="LG16">
        <f>IF('計算A'!BT$106=1,FS16,1)</f>
        <v/>
      </c>
      <c r="LH16">
        <f>IF('計算A'!BU$106=1,FT16,1)</f>
        <v/>
      </c>
      <c r="LI16">
        <f>IF('計算A'!BV$106=1,FU16,1)</f>
        <v/>
      </c>
      <c r="LJ16">
        <f>IF('計算A'!BW$106=1,FV16,1)</f>
        <v/>
      </c>
      <c r="LK16">
        <f>IF('計算A'!BX$106=1,FW16,1)</f>
        <v/>
      </c>
      <c r="LL16">
        <f>IF('計算A'!BY$106=1,FX16,1)</f>
        <v/>
      </c>
      <c r="LM16">
        <f>IF('計算A'!BZ$106=1,FY16,1)</f>
        <v/>
      </c>
      <c r="LN16">
        <f>IF('計算A'!CA$106=1,FZ16,1)</f>
        <v/>
      </c>
      <c r="LO16">
        <f>IF('計算A'!CB$106=1,GA16,1)</f>
        <v/>
      </c>
      <c r="LP16">
        <f>IF('計算A'!CC$106=1,GB16,1)</f>
        <v/>
      </c>
      <c r="LQ16">
        <f>IF('計算A'!CD$106=1,GC16,1)</f>
        <v/>
      </c>
      <c r="LR16">
        <f>IF('計算A'!CE$106=1,GD16,1)</f>
        <v/>
      </c>
      <c r="LS16">
        <f>IF('計算A'!CF$106=1,GE16,1)</f>
        <v/>
      </c>
      <c r="LT16">
        <f>IF('計算A'!CG$106=1,GF16,1)</f>
        <v/>
      </c>
      <c r="LU16">
        <f>IF('計算A'!CH$106=1,GG16,1)</f>
        <v/>
      </c>
      <c r="LV16">
        <f>IF('計算A'!CI$106=1,GH16,1)</f>
        <v/>
      </c>
      <c r="LW16">
        <f>IF('計算A'!CJ$106=1,GI16,1)</f>
        <v/>
      </c>
      <c r="LX16">
        <f>IF('計算A'!CK$106=1,GJ16,1)</f>
        <v/>
      </c>
      <c r="LY16">
        <f>IF('計算A'!CL$106=1,GK16,1)</f>
        <v/>
      </c>
      <c r="LZ16">
        <f>IF('計算A'!CM$106=1,GL16,1)</f>
        <v/>
      </c>
      <c r="MA16">
        <f>IF('計算A'!CN$106=1,GM16,1)</f>
        <v/>
      </c>
      <c r="MB16">
        <f>IF('計算A'!CO$106=1,GN16,1)</f>
        <v/>
      </c>
      <c r="MC16">
        <f>IF('計算A'!CP$106=1,GO16,1)</f>
        <v/>
      </c>
      <c r="MD16">
        <f>IF('計算A'!CQ$106=1,GP16,1)</f>
        <v/>
      </c>
      <c r="ME16">
        <f>IF('計算A'!CR$106=1,GQ16,1)</f>
        <v/>
      </c>
      <c r="MF16">
        <f>IF('計算A'!CS$106=1,GR16,1)</f>
        <v/>
      </c>
      <c r="MG16">
        <f>IF('計算A'!CT$106=1,GS16,1)</f>
        <v/>
      </c>
      <c r="MH16">
        <f>IF('計算A'!CU$106=1,GT16,1)</f>
        <v/>
      </c>
      <c r="MI16">
        <f>IF('計算A'!CV$106=1,GU16,1)</f>
        <v/>
      </c>
      <c r="MJ16">
        <f>IF('計算A'!CW$106=1,GV16,1)</f>
        <v/>
      </c>
      <c r="MK16">
        <f>IF('計算A'!CX$106=1,GW16,1)</f>
        <v/>
      </c>
      <c r="ML16">
        <f>IF('計算A'!CY$106=1,GX16,1)</f>
        <v/>
      </c>
      <c r="MM16">
        <f>IF('計算A'!CZ$106=1,GY16,1)</f>
        <v/>
      </c>
      <c r="MN16">
        <f>IF('計算A'!DA$106=1,GZ16,1)</f>
        <v/>
      </c>
      <c r="MO16">
        <f>IF('計算A'!DB$106=1,HA16,1)</f>
        <v/>
      </c>
      <c r="MP16">
        <f>IF('計算A'!DC$106=1,HB16,1)</f>
        <v/>
      </c>
      <c r="MQ16">
        <f>IF('計算A'!DD$106=1,HC16,1)</f>
        <v/>
      </c>
      <c r="MR16">
        <f>IF('計算A'!DE$106=1,HD16,1)</f>
        <v/>
      </c>
      <c r="MS16">
        <f>IF('計算A'!DF$106=1,HE16,1)</f>
        <v/>
      </c>
      <c r="MT16">
        <f>IF('計算A'!DG$106=1,HF16,1)</f>
        <v/>
      </c>
      <c r="MU16">
        <f>IF('計算A'!DH$106=1,HG16,1)</f>
        <v/>
      </c>
      <c r="MV16">
        <f>IF('計算A'!DI$106=1,HH16,1)</f>
        <v/>
      </c>
      <c r="MW16">
        <f>IF('計算A'!DJ$106=1,HI16,1)</f>
        <v/>
      </c>
      <c r="MX16">
        <f>IF('計算A'!DK$106=1,HJ16,1)</f>
        <v/>
      </c>
      <c r="MY16">
        <f>IF('計算A'!DL$106=1,HK16,1)</f>
        <v/>
      </c>
      <c r="MZ16">
        <f>IF('計算A'!DM$106=1,HL16,1)</f>
        <v/>
      </c>
      <c r="NA16">
        <f>IF('計算A'!DN$106=1,HM16,1)</f>
        <v/>
      </c>
      <c r="NB16">
        <f>IF('計算A'!DO$106=1,HN16,1)</f>
        <v/>
      </c>
      <c r="NC16">
        <f>IF('計算A'!DP$106=1,HO16,1)</f>
        <v/>
      </c>
      <c r="ND16">
        <f>IF('計算A'!DQ$106=1,HP16,1)</f>
        <v/>
      </c>
      <c r="NE16">
        <f>IF('計算A'!DR$106=1,HQ16,1)</f>
        <v/>
      </c>
      <c r="NF16">
        <f>IF('計算A'!DS$106=1,HR16,1)</f>
        <v/>
      </c>
      <c r="NG16">
        <f>IF('計算A'!DT$106=1,HS16,1)</f>
        <v/>
      </c>
      <c r="NH16">
        <f>IF('計算A'!DU$106=1,HT16,1)</f>
        <v/>
      </c>
      <c r="NI16">
        <f>IF('計算A'!DV$106=1,HU16,1)</f>
        <v/>
      </c>
      <c r="NJ16">
        <f>IF('計算A'!DW$106=1,HV16,1)</f>
        <v/>
      </c>
      <c r="NK16">
        <f>IF('計算A'!DX$106=1,HW16,1)</f>
        <v/>
      </c>
      <c r="NL16">
        <f>IF('計算A'!DY$106=1,HX16,1)</f>
        <v/>
      </c>
      <c r="NM16">
        <f>IF('計算A'!DZ$106=1,HY16,1)</f>
        <v/>
      </c>
      <c r="NN16">
        <f>IF('計算A'!EA$106=1,HZ16,1)</f>
        <v/>
      </c>
      <c r="NO16">
        <f>IF('計算A'!EB$106=1,IA16,1)</f>
        <v/>
      </c>
      <c r="NP16">
        <f>IF('計算A'!EC$106=1,IB16,1)</f>
        <v/>
      </c>
      <c r="NQ16">
        <f>IF('計算A'!ED$106=1,IC16,1)</f>
        <v/>
      </c>
      <c r="NR16">
        <f>IF('計算A'!EE$106=1,ID16,1)</f>
        <v/>
      </c>
      <c r="NS16">
        <f>IF('計算A'!EF$106=1,IE16,1)</f>
        <v/>
      </c>
      <c r="NT16">
        <f>IF('計算A'!EG$106=1,IF16,1)</f>
        <v/>
      </c>
      <c r="NU16">
        <f>IF('計算A'!EH$106=1,IG16,1)</f>
        <v/>
      </c>
      <c r="NV16">
        <f>IF('計算A'!EI$106=1,IH16,1)</f>
        <v/>
      </c>
      <c r="NW16">
        <f>IF('計算A'!EJ$106=1,II16,1)</f>
        <v/>
      </c>
      <c r="NX16">
        <f>IF('計算A'!EK$106=1,IJ16,1)</f>
        <v/>
      </c>
      <c r="NY16">
        <f>IF('計算A'!EL$106=1,IK16,1)</f>
        <v/>
      </c>
      <c r="NZ16">
        <f>IF('計算A'!EM$106=1,IL16,1)</f>
        <v/>
      </c>
      <c r="OA16">
        <f>IF('計算A'!EN$106=1,IM16,1)</f>
        <v/>
      </c>
      <c r="OB16">
        <f>IF('計算A'!EO$106=1,IN16,1)</f>
        <v/>
      </c>
      <c r="OC16">
        <f>IF('計算A'!EP$106=1,IO16,1)</f>
        <v/>
      </c>
      <c r="OD16" t="n">
        <v>1</v>
      </c>
      <c r="OF16">
        <f>IF($B16=0,1000000,IF(INDEX('計算A'!$D$60:$EQ$104,$B16,1)*DB16=1,IF(AND($E16=2,IQ16=0),1000000,IF($I16&gt;0,IF(1=$J16,IF(OR(AND(1=$I16+1,OR($K16&lt;&gt;'計算A'!$A$3,'計算A'!$A$4=0)),AND(1=$I16-1,OR(1&lt;&gt;'計算A'!$A$3,'計算A'!$A$4=0))),0,IF(1=$K16,200000,ABS(1-$K16)*100)),100000+ABS(1-$J16)*1000+10)+'計算A'!D$5*50+IF(AND($E16=1,IQ16=0),25,0),INDEX('計算A'!D$110:D$114,$F16+1)+IF(AND($E16=1,IQ16=0),1000,0)+IF($H16=1,(IF('計算A'!D$117=1,INDEX('計算A'!E$10:E$54,$B16),0))*500,0)-IF(AND($L16=1,'計算A'!D$117=1,DC16=0),300,0))),1000000))</f>
        <v/>
      </c>
      <c r="OG16">
        <f>IF($B16=0,1000000,IF(INDEX('計算A'!$D$60:$EQ$104,$B16,2)*DC16=1,IF(AND($E16=2,IR16=0),1000000,IF($I16&gt;0,IF(1=$J16,IF(OR(AND(2=$I16+1,OR($K16&lt;&gt;'計算A'!$A$3,'計算A'!$A$4=0)),AND(2=$I16-1,OR(2&lt;&gt;'計算A'!$A$3,'計算A'!$A$4=0))),0,IF(2=$K16,200000,ABS(2-$K16)*100)),100000+ABS(1-$J16)*1000+20)+'計算A'!E$5*50+IF(AND($E16=1,IR16=0),25,0),INDEX('計算A'!E$110:E$114,$F16+1)+IF(AND($E16=1,IR16=0),1000,0)+IF($H16=1,(IF('計算A'!D$117=1,INDEX('計算A'!D$10:D$54,$B16),0)+IF('計算A'!E$117=1,INDEX('計算A'!F$10:F$54,$B16),0))*500,0)-IF(AND('計算A'!D$117=1,UB16&gt;0),300,0)-IF(AND($L16=1,'計算A'!E$117=1,DD16=0),300,0))),1000000))</f>
        <v/>
      </c>
      <c r="OH16">
        <f>IF($B16=0,1000000,IF(INDEX('計算A'!$D$60:$EQ$104,$B16,3)*DD16=1,IF(AND($E16=2,IS16=0),1000000,IF($I16&gt;0,IF(1=$J16,IF(OR(AND(3=$I16+1,OR($K16&lt;&gt;'計算A'!$A$3,'計算A'!$A$4=0)),AND(3=$I16-1,OR(3&lt;&gt;'計算A'!$A$3,'計算A'!$A$4=0))),0,IF(3=$K16,200000,ABS(3-$K16)*100)),100000+ABS(1-$J16)*1000+30)+'計算A'!F$5*50+IF(AND($E16=1,IS16=0),25,0),INDEX('計算A'!F$110:F$114,$F16+1)+IF(AND($E16=1,IS16=0),1000,0)+IF($H16=1,(IF('計算A'!E$117=1,INDEX('計算A'!E$10:E$54,$B16),0)+IF('計算A'!F$117=1,INDEX('計算A'!G$10:G$54,$B16),0))*500,0)-IF(AND('計算A'!E$117=1,UC16&gt;0),300,0)-IF(AND($L16=1,'計算A'!F$117=1,DE16=0),300,0))),1000000))</f>
        <v/>
      </c>
      <c r="OI16">
        <f>IF($B16=0,1000000,IF(INDEX('計算A'!$D$60:$EQ$104,$B16,4)*DE16=1,IF(AND($E16=2,IT16=0),1000000,IF($I16&gt;0,IF(1=$J16,IF(OR(AND(4=$I16+1,OR($K16&lt;&gt;'計算A'!$A$3,'計算A'!$A$4=0)),AND(4=$I16-1,OR(4&lt;&gt;'計算A'!$A$3,'計算A'!$A$4=0))),0,IF(4=$K16,200000,ABS(4-$K16)*100)),100000+ABS(1-$J16)*1000+40)+'計算A'!G$5*50+IF(AND($E16=1,IT16=0),25,0),INDEX('計算A'!G$110:G$114,$F16+1)+IF(AND($E16=1,IT16=0),1000,0)+IF($H16=1,(IF('計算A'!F$117=1,INDEX('計算A'!F$10:F$54,$B16),0)+IF('計算A'!G$117=1,INDEX('計算A'!H$10:H$54,$B16),0))*500,0)-IF(AND('計算A'!F$117=1,UD16&gt;0),300,0)-IF(AND($L16=1,'計算A'!G$117=1,DF16=0),300,0))),1000000))</f>
        <v/>
      </c>
      <c r="OJ16">
        <f>IF($B16=0,1000000,IF(INDEX('計算A'!$D$60:$EQ$104,$B16,5)*DF16=1,IF(AND($E16=2,IU16=0),1000000,IF($I16&gt;0,IF(1=$J16,IF(OR(AND(5=$I16+1,OR($K16&lt;&gt;'計算A'!$A$3,'計算A'!$A$4=0)),AND(5=$I16-1,OR(5&lt;&gt;'計算A'!$A$3,'計算A'!$A$4=0))),0,IF(5=$K16,200000,ABS(5-$K16)*100)),100000+ABS(1-$J16)*1000+50)+'計算A'!H$5*50+IF(AND($E16=1,IU16=0),25,0),INDEX('計算A'!H$110:H$114,$F16+1)+IF(AND($E16=1,IU16=0),1000,0)+IF($H16=1,(IF('計算A'!G$117=1,INDEX('計算A'!G$10:G$54,$B16),0)+IF('計算A'!H$117=1,INDEX('計算A'!I$10:I$54,$B16),0))*500,0)-IF(AND('計算A'!G$117=1,UE16&gt;0),300,0)-IF(AND($L16=1,'計算A'!H$117=1,DG16=0),300,0))),1000000))</f>
        <v/>
      </c>
      <c r="OK16">
        <f>IF($B16=0,1000000,IF(INDEX('計算A'!$D$60:$EQ$104,$B16,6)*DG16=1,IF(AND($E16=2,IV16=0),1000000,IF($I16&gt;0,IF(1=$J16,IF(OR(AND(6=$I16+1,OR($K16&lt;&gt;'計算A'!$A$3,'計算A'!$A$4=0)),AND(6=$I16-1,OR(6&lt;&gt;'計算A'!$A$3,'計算A'!$A$4=0))),0,IF(6=$K16,200000,ABS(6-$K16)*100)),100000+ABS(1-$J16)*1000+60)+'計算A'!I$5*50+IF(AND($E16=1,IV16=0),25,0),INDEX('計算A'!I$110:I$114,$F16+1)+IF(AND($E16=1,IV16=0),1000,0)+IF($H16=1,(IF('計算A'!H$117=1,INDEX('計算A'!H$10:H$54,$B16),0)+IF('計算A'!I$117=1,INDEX('計算A'!J$10:J$54,$B16),0))*500,0)-IF(AND('計算A'!H$117=1,UF16&gt;0),300,0)-IF(AND($L16=1,'計算A'!I$117=1,DH16=0),300,0))),1000000))</f>
        <v/>
      </c>
      <c r="OL16">
        <f>IF($B16=0,1000000,IF(INDEX('計算A'!$D$60:$EQ$104,$B16,7)*DH16=1,IF(AND($E16=2,IW16=0),1000000,IF($I16&gt;0,IF(1=$J16,IF(OR(AND(7=$I16+1,OR($K16&lt;&gt;'計算A'!$A$3,'計算A'!$A$4=0)),AND(7=$I16-1,OR(7&lt;&gt;'計算A'!$A$3,'計算A'!$A$4=0))),0,IF(7=$K16,200000,ABS(7-$K16)*100)),100000+ABS(1-$J16)*1000+70)+'計算A'!J$5*50+IF(AND($E16=1,IW16=0),25,0),INDEX('計算A'!J$110:J$114,$F16+1)+IF(AND($E16=1,IW16=0),1000,0)+IF($H16=1,(IF('計算A'!I$117=1,INDEX('計算A'!I$10:I$54,$B16),0)+IF('計算A'!J$117=1,INDEX('計算A'!K$10:K$54,$B16),0))*500,0)-IF(AND('計算A'!I$117=1,UG16&gt;0),300,0)-IF(AND($L16=1,'計算A'!J$117=1,DI16=0),300,0))),1000000))</f>
        <v/>
      </c>
      <c r="OM16">
        <f>IF($B16=0,1000000,IF(INDEX('計算A'!$D$60:$EQ$104,$B16,8)*DI16=1,IF(AND($E16=2,IX16=0),1000000,IF($I16&gt;0,IF(1=$J16,IF(OR(AND(8=$I16+1,OR($K16&lt;&gt;'計算A'!$A$3,'計算A'!$A$4=0)),AND(8=$I16-1,OR(8&lt;&gt;'計算A'!$A$3,'計算A'!$A$4=0))),0,IF(8=$K16,200000,ABS(8-$K16)*100)),100000+ABS(1-$J16)*1000+80)+'計算A'!K$5*50+IF(AND($E16=1,IX16=0),25,0),INDEX('計算A'!K$110:K$114,$F16+1)+IF(AND($E16=1,IX16=0),1000,0)+IF($H16=1,(IF('計算A'!J$117=1,INDEX('計算A'!J$10:J$54,$B16),0)+IF('計算A'!K$117=1,INDEX('計算A'!L$10:L$54,$B16),0))*500,0)-IF(AND('計算A'!J$117=1,UH16&gt;0),300,0)-IF(AND($L16=1,'計算A'!K$117=1,DJ16=0),300,0))),1000000))</f>
        <v/>
      </c>
      <c r="ON16">
        <f>IF($B16=0,1000000,IF(INDEX('計算A'!$D$60:$EQ$104,$B16,9)*DJ16=1,IF(AND($E16=2,IY16=0),1000000,IF($I16&gt;0,IF(1=$J16,IF(OR(AND(9=$I16+1,OR($K16&lt;&gt;'計算A'!$A$3,'計算A'!$A$4=0)),AND(9=$I16-1,OR(9&lt;&gt;'計算A'!$A$3,'計算A'!$A$4=0))),0,IF(9=$K16,200000,ABS(9-$K16)*100)),100000+ABS(1-$J16)*1000+90)+'計算A'!L$5*50+IF(AND($E16=1,IY16=0),25,0),INDEX('計算A'!L$110:L$114,$F16+1)+IF(AND($E16=1,IY16=0),1000,0)+IF($H16=1,(IF('計算A'!K$117=1,INDEX('計算A'!K$10:K$54,$B16),0)+IF('計算A'!L$117=1,INDEX('計算A'!M$10:M$54,$B16),0))*500,0)-IF(AND('計算A'!K$117=1,UI16&gt;0),300,0)-IF(AND($L16=1,'計算A'!L$117=1,DK16=0),300,0))),1000000))</f>
        <v/>
      </c>
      <c r="OO16">
        <f>IF($B16=0,1000000,IF(INDEX('計算A'!$D$60:$EQ$104,$B16,10)*DK16=1,IF(AND($E16=2,IZ16=0),1000000,IF($I16&gt;0,IF(1=$J16,IF(OR(AND(10=$I16+1,OR($K16&lt;&gt;'計算A'!$A$3,'計算A'!$A$4=0)),AND(10=$I16-1,OR(10&lt;&gt;'計算A'!$A$3,'計算A'!$A$4=0))),0,IF(10=$K16,200000,ABS(10-$K16)*100)),100000+ABS(1-$J16)*1000+100)+'計算A'!M$5*50+IF(AND($E16=1,IZ16=0),25,0),INDEX('計算A'!M$110:M$114,$F16+1)+IF(AND($E16=1,IZ16=0),1000,0)+IF($H16=1,(IF('計算A'!L$117=1,INDEX('計算A'!L$10:L$54,$B16),0)+IF('計算A'!M$117=1,INDEX('計算A'!N$10:N$54,$B16),0))*500,0)-IF(AND('計算A'!L$117=1,UJ16&gt;0),300,0)-IF(AND($L16=1,'計算A'!M$117=1,DL16=0),300,0))),1000000))</f>
        <v/>
      </c>
      <c r="OP16">
        <f>IF($B16=0,1000000,IF(INDEX('計算A'!$D$60:$EQ$104,$B16,11)*DL16=1,IF(AND($E16=2,JA16=0),1000000,IF($I16&gt;0,IF(1=$J16,IF(OR(AND(11=$I16+1,OR($K16&lt;&gt;'計算A'!$A$3,'計算A'!$A$4=0)),AND(11=$I16-1,OR(11&lt;&gt;'計算A'!$A$3,'計算A'!$A$4=0))),0,IF(11=$K16,200000,ABS(11-$K16)*100)),100000+ABS(1-$J16)*1000+110)+'計算A'!N$5*50+IF(AND($E16=1,JA16=0),25,0),INDEX('計算A'!N$110:N$114,$F16+1)+IF(AND($E16=1,JA16=0),1000,0)+IF($H16=1,(IF('計算A'!M$117=1,INDEX('計算A'!M$10:M$54,$B16),0)+IF('計算A'!N$117=1,INDEX('計算A'!O$10:O$54,$B16),0))*500,0)-IF(AND('計算A'!M$117=1,UK16&gt;0),300,0)-IF(AND($L16=1,'計算A'!N$117=1,DM16=0),300,0))),1000000))</f>
        <v/>
      </c>
      <c r="OQ16">
        <f>IF($B16=0,1000000,IF(INDEX('計算A'!$D$60:$EQ$104,$B16,12)*DM16=1,IF(AND($E16=2,JB16=0),1000000,IF($I16&gt;0,IF(1=$J16,IF(OR(AND(12=$I16+1,OR($K16&lt;&gt;'計算A'!$A$3,'計算A'!$A$4=0)),AND(12=$I16-1,OR(12&lt;&gt;'計算A'!$A$3,'計算A'!$A$4=0))),0,IF(12=$K16,200000,ABS(12-$K16)*100)),100000+ABS(1-$J16)*1000+120)+'計算A'!O$5*50+IF(AND($E16=1,JB16=0),25,0),INDEX('計算A'!O$110:O$114,$F16+1)+IF(AND($E16=1,JB16=0),1000,0)+IF($H16=1,(IF('計算A'!N$117=1,INDEX('計算A'!N$10:N$54,$B16),0)+IF('計算A'!O$117=1,INDEX('計算A'!P$10:P$54,$B16),0))*500,0)-IF(AND('計算A'!N$117=1,UL16&gt;0),300,0)-IF(AND($L16=1,'計算A'!O$117=1,DN16=0),300,0))),1000000))</f>
        <v/>
      </c>
      <c r="OR16">
        <f>IF($B16=0,1000000,IF(INDEX('計算A'!$D$60:$EQ$104,$B16,13)*DN16=1,IF(AND($E16=2,JC16=0),1000000,IF($I16&gt;0,IF(1=$J16,IF(OR(AND(13=$I16+1,OR($K16&lt;&gt;'計算A'!$A$3,'計算A'!$A$4=0)),AND(13=$I16-1,OR(13&lt;&gt;'計算A'!$A$3,'計算A'!$A$4=0))),0,IF(13=$K16,200000,ABS(13-$K16)*100)),100000+ABS(1-$J16)*1000+130)+'計算A'!P$5*50+IF(AND($E16=1,JC16=0),25,0),INDEX('計算A'!P$110:P$114,$F16+1)+IF(AND($E16=1,JC16=0),1000,0)+IF($H16=1,(IF('計算A'!O$117=1,INDEX('計算A'!O$10:O$54,$B16),0)+IF('計算A'!P$117=1,INDEX('計算A'!Q$10:Q$54,$B16),0))*500,0)-IF(AND('計算A'!O$117=1,UM16&gt;0),300,0)-IF(AND($L16=1,'計算A'!P$117=1,DO16=0),300,0))),1000000))</f>
        <v/>
      </c>
      <c r="OS16">
        <f>IF($B16=0,1000000,IF(INDEX('計算A'!$D$60:$EQ$104,$B16,14)*DO16=1,IF(AND($E16=2,JD16=0),1000000,IF($I16&gt;0,IF(1=$J16,IF(OR(AND(14=$I16+1,OR($K16&lt;&gt;'計算A'!$A$3,'計算A'!$A$4=0)),AND(14=$I16-1,OR(14&lt;&gt;'計算A'!$A$3,'計算A'!$A$4=0))),0,IF(14=$K16,200000,ABS(14-$K16)*100)),100000+ABS(1-$J16)*1000+140)+'計算A'!Q$5*50+IF(AND($E16=1,JD16=0),25,0),INDEX('計算A'!Q$110:Q$114,$F16+1)+IF(AND($E16=1,JD16=0),1000,0)+IF($H16=1,(IF('計算A'!P$117=1,INDEX('計算A'!P$10:P$54,$B16),0)+IF('計算A'!Q$117=1,INDEX('計算A'!R$10:R$54,$B16),0))*500,0)-IF(AND('計算A'!P$117=1,UN16&gt;0),300,0)-IF(AND($L16=1,'計算A'!Q$117=1,DP16=0),300,0))),1000000))</f>
        <v/>
      </c>
      <c r="OT16">
        <f>IF($B16=0,1000000,IF(INDEX('計算A'!$D$60:$EQ$104,$B16,15)*DP16=1,IF(AND($E16=2,JE16=0),1000000,IF($I16&gt;0,IF(1=$J16,IF(OR(AND(15=$I16+1,OR($K16&lt;&gt;'計算A'!$A$3,'計算A'!$A$4=0)),AND(15=$I16-1,OR(15&lt;&gt;'計算A'!$A$3,'計算A'!$A$4=0))),0,IF(15=$K16,200000,ABS(15-$K16)*100)),100000+ABS(1-$J16)*1000+150)+'計算A'!R$5*50+IF(AND($E16=1,JE16=0),25,0),INDEX('計算A'!R$110:R$114,$F16+1)+IF(AND($E16=1,JE16=0),1000,0)+IF($H16=1,(IF('計算A'!Q$117=1,INDEX('計算A'!Q$10:Q$54,$B16),0)+IF('計算A'!R$117=1,INDEX('計算A'!S$10:S$54,$B16),0))*500,0)-IF(AND('計算A'!Q$117=1,UO16&gt;0),300,0)-IF(AND($L16=1,'計算A'!R$117=1,DQ16=0),300,0))),1000000))</f>
        <v/>
      </c>
      <c r="OU16">
        <f>IF($B16=0,1000000,IF(INDEX('計算A'!$D$60:$EQ$104,$B16,16)*DQ16=1,IF(AND($E16=2,JF16=0),1000000,IF($I16&gt;0,IF(1=$J16,IF(OR(AND(16=$I16+1,OR($K16&lt;&gt;'計算A'!$A$3,'計算A'!$A$4=0)),AND(16=$I16-1,OR(16&lt;&gt;'計算A'!$A$3,'計算A'!$A$4=0))),0,IF(16=$K16,200000,ABS(16-$K16)*100)),100000+ABS(1-$J16)*1000+160)+'計算A'!S$5*50+IF(AND($E16=1,JF16=0),25,0),INDEX('計算A'!S$110:S$114,$F16+1)+IF(AND($E16=1,JF16=0),1000,0)+IF($H16=1,(IF('計算A'!R$117=1,INDEX('計算A'!R$10:R$54,$B16),0)+IF('計算A'!S$117=1,INDEX('計算A'!T$10:T$54,$B16),0))*500,0)-IF(AND('計算A'!R$117=1,UP16&gt;0),300,0)-IF(AND($L16=1,'計算A'!S$117=1,DR16=0),300,0))),1000000))</f>
        <v/>
      </c>
      <c r="OV16">
        <f>IF($B16=0,1000000,IF(INDEX('計算A'!$D$60:$EQ$104,$B16,17)*DR16=1,IF(AND($E16=2,JG16=0),1000000,IF($I16&gt;0,IF(1=$J16,IF(OR(AND(17=$I16+1,OR($K16&lt;&gt;'計算A'!$A$3,'計算A'!$A$4=0)),AND(17=$I16-1,OR(17&lt;&gt;'計算A'!$A$3,'計算A'!$A$4=0))),0,IF(17=$K16,200000,ABS(17-$K16)*100)),100000+ABS(1-$J16)*1000+170)+'計算A'!T$5*50+IF(AND($E16=1,JG16=0),25,0),INDEX('計算A'!T$110:T$114,$F16+1)+IF(AND($E16=1,JG16=0),1000,0)+IF($H16=1,(IF('計算A'!S$117=1,INDEX('計算A'!S$10:S$54,$B16),0)+IF('計算A'!T$117=1,INDEX('計算A'!U$10:U$54,$B16),0))*500,0)-IF(AND('計算A'!S$117=1,UQ16&gt;0),300,0)-IF(AND($L16=1,'計算A'!T$117=1,DS16=0),300,0))),1000000))</f>
        <v/>
      </c>
      <c r="OW16">
        <f>IF($B16=0,1000000,IF(INDEX('計算A'!$D$60:$EQ$104,$B16,18)*DS16=1,IF(AND($E16=2,JH16=0),1000000,IF($I16&gt;0,IF(1=$J16,IF(OR(AND(18=$I16+1,OR($K16&lt;&gt;'計算A'!$A$3,'計算A'!$A$4=0)),AND(18=$I16-1,OR(18&lt;&gt;'計算A'!$A$3,'計算A'!$A$4=0))),0,IF(18=$K16,200000,ABS(18-$K16)*100)),100000+ABS(1-$J16)*1000+180)+'計算A'!U$5*50+IF(AND($E16=1,JH16=0),25,0),INDEX('計算A'!U$110:U$114,$F16+1)+IF(AND($E16=1,JH16=0),1000,0)+IF($H16=1,(IF('計算A'!T$117=1,INDEX('計算A'!T$10:T$54,$B16),0)+IF('計算A'!U$117=1,INDEX('計算A'!V$10:V$54,$B16),0))*500,0)-IF(AND('計算A'!T$117=1,UR16&gt;0),300,0)-IF(AND($L16=1,'計算A'!U$117=1,DT16=0),300,0))),1000000))</f>
        <v/>
      </c>
      <c r="OX16">
        <f>IF($B16=0,1000000,IF(INDEX('計算A'!$D$60:$EQ$104,$B16,19)*DT16=1,IF(AND($E16=2,JI16=0),1000000,IF($I16&gt;0,IF(1=$J16,IF(OR(AND(19=$I16+1,OR($K16&lt;&gt;'計算A'!$A$3,'計算A'!$A$4=0)),AND(19=$I16-1,OR(19&lt;&gt;'計算A'!$A$3,'計算A'!$A$4=0))),0,IF(19=$K16,200000,ABS(19-$K16)*100)),100000+ABS(1-$J16)*1000+190)+'計算A'!V$5*50+IF(AND($E16=1,JI16=0),25,0),INDEX('計算A'!V$110:V$114,$F16+1)+IF(AND($E16=1,JI16=0),1000,0)+IF($H16=1,(IF('計算A'!U$117=1,INDEX('計算A'!U$10:U$54,$B16),0)+IF('計算A'!V$117=1,INDEX('計算A'!W$10:W$54,$B16),0))*500,0)-IF(AND('計算A'!U$117=1,US16&gt;0),300,0)-IF(AND($L16=1,'計算A'!V$117=1,DU16=0),300,0))),1000000))</f>
        <v/>
      </c>
      <c r="OY16">
        <f>IF($B16=0,1000000,IF(INDEX('計算A'!$D$60:$EQ$104,$B16,20)*DU16=1,IF(AND($E16=2,JJ16=0),1000000,IF($I16&gt;0,IF(1=$J16,IF(OR(AND(20=$I16+1,OR($K16&lt;&gt;'計算A'!$A$3,'計算A'!$A$4=0)),AND(20=$I16-1,OR(20&lt;&gt;'計算A'!$A$3,'計算A'!$A$4=0))),0,IF(20=$K16,200000,ABS(20-$K16)*100)),100000+ABS(1-$J16)*1000+200)+'計算A'!W$5*50+IF(AND($E16=1,JJ16=0),25,0),INDEX('計算A'!W$110:W$114,$F16+1)+IF(AND($E16=1,JJ16=0),1000,0)+IF($H16=1,(IF('計算A'!V$117=1,INDEX('計算A'!V$10:V$54,$B16),0)+IF('計算A'!W$117=1,INDEX('計算A'!X$10:X$54,$B16),0))*500,0)-IF(AND('計算A'!V$117=1,UT16&gt;0),300,0)-IF(AND($L16=1,'計算A'!W$117=1,DV16=0),300,0))),1000000))</f>
        <v/>
      </c>
      <c r="OZ16">
        <f>IF($B16=0,1000000,IF(INDEX('計算A'!$D$60:$EQ$104,$B16,21)*DV16=1,IF(AND($E16=2,JK16=0),1000000,IF($I16&gt;0,IF(1=$J16,IF(OR(AND(21=$I16+1,OR($K16&lt;&gt;'計算A'!$A$3,'計算A'!$A$4=0)),AND(21=$I16-1,OR(21&lt;&gt;'計算A'!$A$3,'計算A'!$A$4=0))),0,IF(21=$K16,200000,ABS(21-$K16)*100)),100000+ABS(1-$J16)*1000+210)+'計算A'!X$5*50+IF(AND($E16=1,JK16=0),25,0),INDEX('計算A'!X$110:X$114,$F16+1)+IF(AND($E16=1,JK16=0),1000,0)+IF($H16=1,(IF('計算A'!W$117=1,INDEX('計算A'!W$10:W$54,$B16),0)+IF('計算A'!X$117=1,INDEX('計算A'!Y$10:Y$54,$B16),0))*500,0)-IF(AND('計算A'!W$117=1,UU16&gt;0),300,0)-IF(AND($L16=1,'計算A'!X$117=1,DW16=0),300,0))),1000000))</f>
        <v/>
      </c>
      <c r="PA16">
        <f>IF($B16=0,1000000,IF(INDEX('計算A'!$D$60:$EQ$104,$B16,22)*DW16=1,IF(AND($E16=2,JL16=0),1000000,IF($I16&gt;0,IF(1=$J16,IF(OR(AND(22=$I16+1,OR($K16&lt;&gt;'計算A'!$A$3,'計算A'!$A$4=0)),AND(22=$I16-1,OR(22&lt;&gt;'計算A'!$A$3,'計算A'!$A$4=0))),0,IF(22=$K16,200000,ABS(22-$K16)*100)),100000+ABS(1-$J16)*1000+220)+'計算A'!Y$5*50+IF(AND($E16=1,JL16=0),25,0),INDEX('計算A'!Y$110:Y$114,$F16+1)+IF(AND($E16=1,JL16=0),1000,0)+IF($H16=1,(IF('計算A'!X$117=1,INDEX('計算A'!X$10:X$54,$B16),0)+IF('計算A'!Y$117=1,INDEX('計算A'!Z$10:Z$54,$B16),0))*500,0)-IF(AND('計算A'!X$117=1,UV16&gt;0),300,0)-IF(AND($L16=1,'計算A'!Y$117=1,DX16=0),300,0))),1000000))</f>
        <v/>
      </c>
      <c r="PB16">
        <f>IF($B16=0,1000000,IF(INDEX('計算A'!$D$60:$EQ$104,$B16,23)*DX16=1,IF(AND($E16=2,JM16=0),1000000,IF($I16&gt;0,IF(1=$J16,IF(OR(AND(23=$I16+1,OR($K16&lt;&gt;'計算A'!$A$3,'計算A'!$A$4=0)),AND(23=$I16-1,OR(23&lt;&gt;'計算A'!$A$3,'計算A'!$A$4=0))),0,IF(23=$K16,200000,ABS(23-$K16)*100)),100000+ABS(1-$J16)*1000+230)+'計算A'!Z$5*50+IF(AND($E16=1,JM16=0),25,0),INDEX('計算A'!Z$110:Z$114,$F16+1)+IF(AND($E16=1,JM16=0),1000,0)+IF($H16=1,(IF('計算A'!Y$117=1,INDEX('計算A'!Y$10:Y$54,$B16),0)+IF('計算A'!Z$117=1,INDEX('計算A'!AA$10:AA$54,$B16),0))*500,0)-IF(AND('計算A'!Y$117=1,UW16&gt;0),300,0)-IF(AND($L16=1,'計算A'!Z$117=1,DY16=0),300,0))),1000000))</f>
        <v/>
      </c>
      <c r="PC16">
        <f>IF($B16=0,1000000,IF(INDEX('計算A'!$D$60:$EQ$104,$B16,24)*DY16=1,IF(AND($E16=2,JN16=0),1000000,IF($I16&gt;0,IF(1=$J16,IF(OR(AND(24=$I16+1,OR($K16&lt;&gt;'計算A'!$A$3,'計算A'!$A$4=0)),AND(24=$I16-1,OR(24&lt;&gt;'計算A'!$A$3,'計算A'!$A$4=0))),0,IF(24=$K16,200000,ABS(24-$K16)*100)),100000+ABS(1-$J16)*1000+240)+'計算A'!AA$5*50+IF(AND($E16=1,JN16=0),25,0),INDEX('計算A'!AA$110:AA$114,$F16+1)+IF(AND($E16=1,JN16=0),1000,0)+IF($H16=1,(IF('計算A'!Z$117=1,INDEX('計算A'!Z$10:Z$54,$B16),0))*500,0)-IF(AND('計算A'!Z$117=1,UX16&gt;0),300,0))),1000000))</f>
        <v/>
      </c>
      <c r="PD16">
        <f>IF($B16=0,1000000,IF(INDEX('計算A'!$D$60:$EQ$104,$B16,25)*DZ16=1,IF(AND($E16=2,JO16=0),1000000,IF($I16&gt;0,IF(2=$J16,IF(OR(AND(25=$I16+1,OR($K16&lt;&gt;'計算A'!$A$3,'計算A'!$A$4=0)),AND(25=$I16-1,OR(1&lt;&gt;'計算A'!$A$3,'計算A'!$A$4=0))),0,IF(1=$K16,200000,ABS(1-$K16)*100)),100000+ABS(2-$J16)*1000+10)+'計算A'!AB$5*50+IF(AND($E16=1,JO16=0),25,0),INDEX('計算A'!AB$110:AB$114,$F16+1)+IF(AND($E16=1,JO16=0),1000,0)+IF($H16=1,(IF('計算A'!AB$117=1,INDEX('計算A'!AC$10:AC$54,$B16),0))*500,0)-IF(AND($L16=1,'計算A'!AB$117=1,EA16=0),300,0))),1000000))</f>
        <v/>
      </c>
      <c r="PE16">
        <f>IF($B16=0,1000000,IF(INDEX('計算A'!$D$60:$EQ$104,$B16,26)*EA16=1,IF(AND($E16=2,JP16=0),1000000,IF($I16&gt;0,IF(2=$J16,IF(OR(AND(26=$I16+1,OR($K16&lt;&gt;'計算A'!$A$3,'計算A'!$A$4=0)),AND(26=$I16-1,OR(2&lt;&gt;'計算A'!$A$3,'計算A'!$A$4=0))),0,IF(2=$K16,200000,ABS(2-$K16)*100)),100000+ABS(2-$J16)*1000+20)+'計算A'!AC$5*50+IF(AND($E16=1,JP16=0),25,0),INDEX('計算A'!AC$110:AC$114,$F16+1)+IF(AND($E16=1,JP16=0),1000,0)+IF($H16=1,(IF('計算A'!AB$117=1,INDEX('計算A'!AB$10:AB$54,$B16),0)+IF('計算A'!AC$117=1,INDEX('計算A'!AD$10:AD$54,$B16),0))*500,0)-IF(AND('計算A'!AB$117=1,UZ16&gt;0),300,0)-IF(AND($L16=1,'計算A'!AC$117=1,EB16=0),300,0))),1000000))</f>
        <v/>
      </c>
      <c r="PF16">
        <f>IF($B16=0,1000000,IF(INDEX('計算A'!$D$60:$EQ$104,$B16,27)*EB16=1,IF(AND($E16=2,JQ16=0),1000000,IF($I16&gt;0,IF(2=$J16,IF(OR(AND(27=$I16+1,OR($K16&lt;&gt;'計算A'!$A$3,'計算A'!$A$4=0)),AND(27=$I16-1,OR(3&lt;&gt;'計算A'!$A$3,'計算A'!$A$4=0))),0,IF(3=$K16,200000,ABS(3-$K16)*100)),100000+ABS(2-$J16)*1000+30)+'計算A'!AD$5*50+IF(AND($E16=1,JQ16=0),25,0),INDEX('計算A'!AD$110:AD$114,$F16+1)+IF(AND($E16=1,JQ16=0),1000,0)+IF($H16=1,(IF('計算A'!AC$117=1,INDEX('計算A'!AC$10:AC$54,$B16),0)+IF('計算A'!AD$117=1,INDEX('計算A'!AE$10:AE$54,$B16),0))*500,0)-IF(AND('計算A'!AC$117=1,VA16&gt;0),300,0)-IF(AND($L16=1,'計算A'!AD$117=1,EC16=0),300,0))),1000000))</f>
        <v/>
      </c>
      <c r="PG16">
        <f>IF($B16=0,1000000,IF(INDEX('計算A'!$D$60:$EQ$104,$B16,28)*EC16=1,IF(AND($E16=2,JR16=0),1000000,IF($I16&gt;0,IF(2=$J16,IF(OR(AND(28=$I16+1,OR($K16&lt;&gt;'計算A'!$A$3,'計算A'!$A$4=0)),AND(28=$I16-1,OR(4&lt;&gt;'計算A'!$A$3,'計算A'!$A$4=0))),0,IF(4=$K16,200000,ABS(4-$K16)*100)),100000+ABS(2-$J16)*1000+40)+'計算A'!AE$5*50+IF(AND($E16=1,JR16=0),25,0),INDEX('計算A'!AE$110:AE$114,$F16+1)+IF(AND($E16=1,JR16=0),1000,0)+IF($H16=1,(IF('計算A'!AD$117=1,INDEX('計算A'!AD$10:AD$54,$B16),0)+IF('計算A'!AE$117=1,INDEX('計算A'!AF$10:AF$54,$B16),0))*500,0)-IF(AND('計算A'!AD$117=1,VB16&gt;0),300,0)-IF(AND($L16=1,'計算A'!AE$117=1,ED16=0),300,0))),1000000))</f>
        <v/>
      </c>
      <c r="PH16">
        <f>IF($B16=0,1000000,IF(INDEX('計算A'!$D$60:$EQ$104,$B16,29)*ED16=1,IF(AND($E16=2,JS16=0),1000000,IF($I16&gt;0,IF(2=$J16,IF(OR(AND(29=$I16+1,OR($K16&lt;&gt;'計算A'!$A$3,'計算A'!$A$4=0)),AND(29=$I16-1,OR(5&lt;&gt;'計算A'!$A$3,'計算A'!$A$4=0))),0,IF(5=$K16,200000,ABS(5-$K16)*100)),100000+ABS(2-$J16)*1000+50)+'計算A'!AF$5*50+IF(AND($E16=1,JS16=0),25,0),INDEX('計算A'!AF$110:AF$114,$F16+1)+IF(AND($E16=1,JS16=0),1000,0)+IF($H16=1,(IF('計算A'!AE$117=1,INDEX('計算A'!AE$10:AE$54,$B16),0)+IF('計算A'!AF$117=1,INDEX('計算A'!AG$10:AG$54,$B16),0))*500,0)-IF(AND('計算A'!AE$117=1,VC16&gt;0),300,0)-IF(AND($L16=1,'計算A'!AF$117=1,EE16=0),300,0))),1000000))</f>
        <v/>
      </c>
      <c r="PI16">
        <f>IF($B16=0,1000000,IF(INDEX('計算A'!$D$60:$EQ$104,$B16,30)*EE16=1,IF(AND($E16=2,JT16=0),1000000,IF($I16&gt;0,IF(2=$J16,IF(OR(AND(30=$I16+1,OR($K16&lt;&gt;'計算A'!$A$3,'計算A'!$A$4=0)),AND(30=$I16-1,OR(6&lt;&gt;'計算A'!$A$3,'計算A'!$A$4=0))),0,IF(6=$K16,200000,ABS(6-$K16)*100)),100000+ABS(2-$J16)*1000+60)+'計算A'!AG$5*50+IF(AND($E16=1,JT16=0),25,0),INDEX('計算A'!AG$110:AG$114,$F16+1)+IF(AND($E16=1,JT16=0),1000,0)+IF($H16=1,(IF('計算A'!AF$117=1,INDEX('計算A'!AF$10:AF$54,$B16),0)+IF('計算A'!AG$117=1,INDEX('計算A'!AH$10:AH$54,$B16),0))*500,0)-IF(AND('計算A'!AF$117=1,VD16&gt;0),300,0)-IF(AND($L16=1,'計算A'!AG$117=1,EF16=0),300,0))),1000000))</f>
        <v/>
      </c>
      <c r="PJ16">
        <f>IF($B16=0,1000000,IF(INDEX('計算A'!$D$60:$EQ$104,$B16,31)*EF16=1,IF(AND($E16=2,JU16=0),1000000,IF($I16&gt;0,IF(2=$J16,IF(OR(AND(31=$I16+1,OR($K16&lt;&gt;'計算A'!$A$3,'計算A'!$A$4=0)),AND(31=$I16-1,OR(7&lt;&gt;'計算A'!$A$3,'計算A'!$A$4=0))),0,IF(7=$K16,200000,ABS(7-$K16)*100)),100000+ABS(2-$J16)*1000+70)+'計算A'!AH$5*50+IF(AND($E16=1,JU16=0),25,0),INDEX('計算A'!AH$110:AH$114,$F16+1)+IF(AND($E16=1,JU16=0),1000,0)+IF($H16=1,(IF('計算A'!AG$117=1,INDEX('計算A'!AG$10:AG$54,$B16),0)+IF('計算A'!AH$117=1,INDEX('計算A'!AI$10:AI$54,$B16),0))*500,0)-IF(AND('計算A'!AG$117=1,VE16&gt;0),300,0)-IF(AND($L16=1,'計算A'!AH$117=1,EG16=0),300,0))),1000000))</f>
        <v/>
      </c>
      <c r="PK16">
        <f>IF($B16=0,1000000,IF(INDEX('計算A'!$D$60:$EQ$104,$B16,32)*EG16=1,IF(AND($E16=2,JV16=0),1000000,IF($I16&gt;0,IF(2=$J16,IF(OR(AND(32=$I16+1,OR($K16&lt;&gt;'計算A'!$A$3,'計算A'!$A$4=0)),AND(32=$I16-1,OR(8&lt;&gt;'計算A'!$A$3,'計算A'!$A$4=0))),0,IF(8=$K16,200000,ABS(8-$K16)*100)),100000+ABS(2-$J16)*1000+80)+'計算A'!AI$5*50+IF(AND($E16=1,JV16=0),25,0),INDEX('計算A'!AI$110:AI$114,$F16+1)+IF(AND($E16=1,JV16=0),1000,0)+IF($H16=1,(IF('計算A'!AH$117=1,INDEX('計算A'!AH$10:AH$54,$B16),0)+IF('計算A'!AI$117=1,INDEX('計算A'!AJ$10:AJ$54,$B16),0))*500,0)-IF(AND('計算A'!AH$117=1,VF16&gt;0),300,0)-IF(AND($L16=1,'計算A'!AI$117=1,EH16=0),300,0))),1000000))</f>
        <v/>
      </c>
      <c r="PL16">
        <f>IF($B16=0,1000000,IF(INDEX('計算A'!$D$60:$EQ$104,$B16,33)*EH16=1,IF(AND($E16=2,JW16=0),1000000,IF($I16&gt;0,IF(2=$J16,IF(OR(AND(33=$I16+1,OR($K16&lt;&gt;'計算A'!$A$3,'計算A'!$A$4=0)),AND(33=$I16-1,OR(9&lt;&gt;'計算A'!$A$3,'計算A'!$A$4=0))),0,IF(9=$K16,200000,ABS(9-$K16)*100)),100000+ABS(2-$J16)*1000+90)+'計算A'!AJ$5*50+IF(AND($E16=1,JW16=0),25,0),INDEX('計算A'!AJ$110:AJ$114,$F16+1)+IF(AND($E16=1,JW16=0),1000,0)+IF($H16=1,(IF('計算A'!AI$117=1,INDEX('計算A'!AI$10:AI$54,$B16),0)+IF('計算A'!AJ$117=1,INDEX('計算A'!AK$10:AK$54,$B16),0))*500,0)-IF(AND('計算A'!AI$117=1,VG16&gt;0),300,0)-IF(AND($L16=1,'計算A'!AJ$117=1,EI16=0),300,0))),1000000))</f>
        <v/>
      </c>
      <c r="PM16">
        <f>IF($B16=0,1000000,IF(INDEX('計算A'!$D$60:$EQ$104,$B16,34)*EI16=1,IF(AND($E16=2,JX16=0),1000000,IF($I16&gt;0,IF(2=$J16,IF(OR(AND(34=$I16+1,OR($K16&lt;&gt;'計算A'!$A$3,'計算A'!$A$4=0)),AND(34=$I16-1,OR(10&lt;&gt;'計算A'!$A$3,'計算A'!$A$4=0))),0,IF(10=$K16,200000,ABS(10-$K16)*100)),100000+ABS(2-$J16)*1000+100)+'計算A'!AK$5*50+IF(AND($E16=1,JX16=0),25,0),INDEX('計算A'!AK$110:AK$114,$F16+1)+IF(AND($E16=1,JX16=0),1000,0)+IF($H16=1,(IF('計算A'!AJ$117=1,INDEX('計算A'!AJ$10:AJ$54,$B16),0)+IF('計算A'!AK$117=1,INDEX('計算A'!AL$10:AL$54,$B16),0))*500,0)-IF(AND('計算A'!AJ$117=1,VH16&gt;0),300,0)-IF(AND($L16=1,'計算A'!AK$117=1,EJ16=0),300,0))),1000000))</f>
        <v/>
      </c>
      <c r="PN16">
        <f>IF($B16=0,1000000,IF(INDEX('計算A'!$D$60:$EQ$104,$B16,35)*EJ16=1,IF(AND($E16=2,JY16=0),1000000,IF($I16&gt;0,IF(2=$J16,IF(OR(AND(35=$I16+1,OR($K16&lt;&gt;'計算A'!$A$3,'計算A'!$A$4=0)),AND(35=$I16-1,OR(11&lt;&gt;'計算A'!$A$3,'計算A'!$A$4=0))),0,IF(11=$K16,200000,ABS(11-$K16)*100)),100000+ABS(2-$J16)*1000+110)+'計算A'!AL$5*50+IF(AND($E16=1,JY16=0),25,0),INDEX('計算A'!AL$110:AL$114,$F16+1)+IF(AND($E16=1,JY16=0),1000,0)+IF($H16=1,(IF('計算A'!AK$117=1,INDEX('計算A'!AK$10:AK$54,$B16),0)+IF('計算A'!AL$117=1,INDEX('計算A'!AM$10:AM$54,$B16),0))*500,0)-IF(AND('計算A'!AK$117=1,VI16&gt;0),300,0)-IF(AND($L16=1,'計算A'!AL$117=1,EK16=0),300,0))),1000000))</f>
        <v/>
      </c>
      <c r="PO16">
        <f>IF($B16=0,1000000,IF(INDEX('計算A'!$D$60:$EQ$104,$B16,36)*EK16=1,IF(AND($E16=2,JZ16=0),1000000,IF($I16&gt;0,IF(2=$J16,IF(OR(AND(36=$I16+1,OR($K16&lt;&gt;'計算A'!$A$3,'計算A'!$A$4=0)),AND(36=$I16-1,OR(12&lt;&gt;'計算A'!$A$3,'計算A'!$A$4=0))),0,IF(12=$K16,200000,ABS(12-$K16)*100)),100000+ABS(2-$J16)*1000+120)+'計算A'!AM$5*50+IF(AND($E16=1,JZ16=0),25,0),INDEX('計算A'!AM$110:AM$114,$F16+1)+IF(AND($E16=1,JZ16=0),1000,0)+IF($H16=1,(IF('計算A'!AL$117=1,INDEX('計算A'!AL$10:AL$54,$B16),0)+IF('計算A'!AM$117=1,INDEX('計算A'!AN$10:AN$54,$B16),0))*500,0)-IF(AND('計算A'!AL$117=1,VJ16&gt;0),300,0)-IF(AND($L16=1,'計算A'!AM$117=1,EL16=0),300,0))),1000000))</f>
        <v/>
      </c>
      <c r="PP16">
        <f>IF($B16=0,1000000,IF(INDEX('計算A'!$D$60:$EQ$104,$B16,37)*EL16=1,IF(AND($E16=2,KA16=0),1000000,IF($I16&gt;0,IF(2=$J16,IF(OR(AND(37=$I16+1,OR($K16&lt;&gt;'計算A'!$A$3,'計算A'!$A$4=0)),AND(37=$I16-1,OR(13&lt;&gt;'計算A'!$A$3,'計算A'!$A$4=0))),0,IF(13=$K16,200000,ABS(13-$K16)*100)),100000+ABS(2-$J16)*1000+130)+'計算A'!AN$5*50+IF(AND($E16=1,KA16=0),25,0),INDEX('計算A'!AN$110:AN$114,$F16+1)+IF(AND($E16=1,KA16=0),1000,0)+IF($H16=1,(IF('計算A'!AM$117=1,INDEX('計算A'!AM$10:AM$54,$B16),0)+IF('計算A'!AN$117=1,INDEX('計算A'!AO$10:AO$54,$B16),0))*500,0)-IF(AND('計算A'!AM$117=1,VK16&gt;0),300,0)-IF(AND($L16=1,'計算A'!AN$117=1,EM16=0),300,0))),1000000))</f>
        <v/>
      </c>
      <c r="PQ16">
        <f>IF($B16=0,1000000,IF(INDEX('計算A'!$D$60:$EQ$104,$B16,38)*EM16=1,IF(AND($E16=2,KB16=0),1000000,IF($I16&gt;0,IF(2=$J16,IF(OR(AND(38=$I16+1,OR($K16&lt;&gt;'計算A'!$A$3,'計算A'!$A$4=0)),AND(38=$I16-1,OR(14&lt;&gt;'計算A'!$A$3,'計算A'!$A$4=0))),0,IF(14=$K16,200000,ABS(14-$K16)*100)),100000+ABS(2-$J16)*1000+140)+'計算A'!AO$5*50+IF(AND($E16=1,KB16=0),25,0),INDEX('計算A'!AO$110:AO$114,$F16+1)+IF(AND($E16=1,KB16=0),1000,0)+IF($H16=1,(IF('計算A'!AN$117=1,INDEX('計算A'!AN$10:AN$54,$B16),0)+IF('計算A'!AO$117=1,INDEX('計算A'!AP$10:AP$54,$B16),0))*500,0)-IF(AND('計算A'!AN$117=1,VL16&gt;0),300,0)-IF(AND($L16=1,'計算A'!AO$117=1,EN16=0),300,0))),1000000))</f>
        <v/>
      </c>
      <c r="PR16">
        <f>IF($B16=0,1000000,IF(INDEX('計算A'!$D$60:$EQ$104,$B16,39)*EN16=1,IF(AND($E16=2,KC16=0),1000000,IF($I16&gt;0,IF(2=$J16,IF(OR(AND(39=$I16+1,OR($K16&lt;&gt;'計算A'!$A$3,'計算A'!$A$4=0)),AND(39=$I16-1,OR(15&lt;&gt;'計算A'!$A$3,'計算A'!$A$4=0))),0,IF(15=$K16,200000,ABS(15-$K16)*100)),100000+ABS(2-$J16)*1000+150)+'計算A'!AP$5*50+IF(AND($E16=1,KC16=0),25,0),INDEX('計算A'!AP$110:AP$114,$F16+1)+IF(AND($E16=1,KC16=0),1000,0)+IF($H16=1,(IF('計算A'!AO$117=1,INDEX('計算A'!AO$10:AO$54,$B16),0)+IF('計算A'!AP$117=1,INDEX('計算A'!AQ$10:AQ$54,$B16),0))*500,0)-IF(AND('計算A'!AO$117=1,VM16&gt;0),300,0)-IF(AND($L16=1,'計算A'!AP$117=1,EO16=0),300,0))),1000000))</f>
        <v/>
      </c>
      <c r="PS16">
        <f>IF($B16=0,1000000,IF(INDEX('計算A'!$D$60:$EQ$104,$B16,40)*EO16=1,IF(AND($E16=2,KD16=0),1000000,IF($I16&gt;0,IF(2=$J16,IF(OR(AND(40=$I16+1,OR($K16&lt;&gt;'計算A'!$A$3,'計算A'!$A$4=0)),AND(40=$I16-1,OR(16&lt;&gt;'計算A'!$A$3,'計算A'!$A$4=0))),0,IF(16=$K16,200000,ABS(16-$K16)*100)),100000+ABS(2-$J16)*1000+160)+'計算A'!AQ$5*50+IF(AND($E16=1,KD16=0),25,0),INDEX('計算A'!AQ$110:AQ$114,$F16+1)+IF(AND($E16=1,KD16=0),1000,0)+IF($H16=1,(IF('計算A'!AP$117=1,INDEX('計算A'!AP$10:AP$54,$B16),0)+IF('計算A'!AQ$117=1,INDEX('計算A'!AR$10:AR$54,$B16),0))*500,0)-IF(AND('計算A'!AP$117=1,VN16&gt;0),300,0)-IF(AND($L16=1,'計算A'!AQ$117=1,EP16=0),300,0))),1000000))</f>
        <v/>
      </c>
      <c r="PT16">
        <f>IF($B16=0,1000000,IF(INDEX('計算A'!$D$60:$EQ$104,$B16,41)*EP16=1,IF(AND($E16=2,KE16=0),1000000,IF($I16&gt;0,IF(2=$J16,IF(OR(AND(41=$I16+1,OR($K16&lt;&gt;'計算A'!$A$3,'計算A'!$A$4=0)),AND(41=$I16-1,OR(17&lt;&gt;'計算A'!$A$3,'計算A'!$A$4=0))),0,IF(17=$K16,200000,ABS(17-$K16)*100)),100000+ABS(2-$J16)*1000+170)+'計算A'!AR$5*50+IF(AND($E16=1,KE16=0),25,0),INDEX('計算A'!AR$110:AR$114,$F16+1)+IF(AND($E16=1,KE16=0),1000,0)+IF($H16=1,(IF('計算A'!AQ$117=1,INDEX('計算A'!AQ$10:AQ$54,$B16),0)+IF('計算A'!AR$117=1,INDEX('計算A'!AS$10:AS$54,$B16),0))*500,0)-IF(AND('計算A'!AQ$117=1,VO16&gt;0),300,0)-IF(AND($L16=1,'計算A'!AR$117=1,EQ16=0),300,0))),1000000))</f>
        <v/>
      </c>
      <c r="PU16">
        <f>IF($B16=0,1000000,IF(INDEX('計算A'!$D$60:$EQ$104,$B16,42)*EQ16=1,IF(AND($E16=2,KF16=0),1000000,IF($I16&gt;0,IF(2=$J16,IF(OR(AND(42=$I16+1,OR($K16&lt;&gt;'計算A'!$A$3,'計算A'!$A$4=0)),AND(42=$I16-1,OR(18&lt;&gt;'計算A'!$A$3,'計算A'!$A$4=0))),0,IF(18=$K16,200000,ABS(18-$K16)*100)),100000+ABS(2-$J16)*1000+180)+'計算A'!AS$5*50+IF(AND($E16=1,KF16=0),25,0),INDEX('計算A'!AS$110:AS$114,$F16+1)+IF(AND($E16=1,KF16=0),1000,0)+IF($H16=1,(IF('計算A'!AR$117=1,INDEX('計算A'!AR$10:AR$54,$B16),0)+IF('計算A'!AS$117=1,INDEX('計算A'!AT$10:AT$54,$B16),0))*500,0)-IF(AND('計算A'!AR$117=1,VP16&gt;0),300,0)-IF(AND($L16=1,'計算A'!AS$117=1,ER16=0),300,0))),1000000))</f>
        <v/>
      </c>
      <c r="PV16">
        <f>IF($B16=0,1000000,IF(INDEX('計算A'!$D$60:$EQ$104,$B16,43)*ER16=1,IF(AND($E16=2,KG16=0),1000000,IF($I16&gt;0,IF(2=$J16,IF(OR(AND(43=$I16+1,OR($K16&lt;&gt;'計算A'!$A$3,'計算A'!$A$4=0)),AND(43=$I16-1,OR(19&lt;&gt;'計算A'!$A$3,'計算A'!$A$4=0))),0,IF(19=$K16,200000,ABS(19-$K16)*100)),100000+ABS(2-$J16)*1000+190)+'計算A'!AT$5*50+IF(AND($E16=1,KG16=0),25,0),INDEX('計算A'!AT$110:AT$114,$F16+1)+IF(AND($E16=1,KG16=0),1000,0)+IF($H16=1,(IF('計算A'!AS$117=1,INDEX('計算A'!AS$10:AS$54,$B16),0)+IF('計算A'!AT$117=1,INDEX('計算A'!AU$10:AU$54,$B16),0))*500,0)-IF(AND('計算A'!AS$117=1,VQ16&gt;0),300,0)-IF(AND($L16=1,'計算A'!AT$117=1,ES16=0),300,0))),1000000))</f>
        <v/>
      </c>
      <c r="PW16">
        <f>IF($B16=0,1000000,IF(INDEX('計算A'!$D$60:$EQ$104,$B16,44)*ES16=1,IF(AND($E16=2,KH16=0),1000000,IF($I16&gt;0,IF(2=$J16,IF(OR(AND(44=$I16+1,OR($K16&lt;&gt;'計算A'!$A$3,'計算A'!$A$4=0)),AND(44=$I16-1,OR(20&lt;&gt;'計算A'!$A$3,'計算A'!$A$4=0))),0,IF(20=$K16,200000,ABS(20-$K16)*100)),100000+ABS(2-$J16)*1000+200)+'計算A'!AU$5*50+IF(AND($E16=1,KH16=0),25,0),INDEX('計算A'!AU$110:AU$114,$F16+1)+IF(AND($E16=1,KH16=0),1000,0)+IF($H16=1,(IF('計算A'!AT$117=1,INDEX('計算A'!AT$10:AT$54,$B16),0)+IF('計算A'!AU$117=1,INDEX('計算A'!AV$10:AV$54,$B16),0))*500,0)-IF(AND('計算A'!AT$117=1,VR16&gt;0),300,0)-IF(AND($L16=1,'計算A'!AU$117=1,ET16=0),300,0))),1000000))</f>
        <v/>
      </c>
      <c r="PX16">
        <f>IF($B16=0,1000000,IF(INDEX('計算A'!$D$60:$EQ$104,$B16,45)*ET16=1,IF(AND($E16=2,KI16=0),1000000,IF($I16&gt;0,IF(2=$J16,IF(OR(AND(45=$I16+1,OR($K16&lt;&gt;'計算A'!$A$3,'計算A'!$A$4=0)),AND(45=$I16-1,OR(21&lt;&gt;'計算A'!$A$3,'計算A'!$A$4=0))),0,IF(21=$K16,200000,ABS(21-$K16)*100)),100000+ABS(2-$J16)*1000+210)+'計算A'!AV$5*50+IF(AND($E16=1,KI16=0),25,0),INDEX('計算A'!AV$110:AV$114,$F16+1)+IF(AND($E16=1,KI16=0),1000,0)+IF($H16=1,(IF('計算A'!AU$117=1,INDEX('計算A'!AU$10:AU$54,$B16),0)+IF('計算A'!AV$117=1,INDEX('計算A'!AW$10:AW$54,$B16),0))*500,0)-IF(AND('計算A'!AU$117=1,VS16&gt;0),300,0)-IF(AND($L16=1,'計算A'!AV$117=1,EU16=0),300,0))),1000000))</f>
        <v/>
      </c>
      <c r="PY16">
        <f>IF($B16=0,1000000,IF(INDEX('計算A'!$D$60:$EQ$104,$B16,46)*EU16=1,IF(AND($E16=2,KJ16=0),1000000,IF($I16&gt;0,IF(2=$J16,IF(OR(AND(46=$I16+1,OR($K16&lt;&gt;'計算A'!$A$3,'計算A'!$A$4=0)),AND(46=$I16-1,OR(22&lt;&gt;'計算A'!$A$3,'計算A'!$A$4=0))),0,IF(22=$K16,200000,ABS(22-$K16)*100)),100000+ABS(2-$J16)*1000+220)+'計算A'!AW$5*50+IF(AND($E16=1,KJ16=0),25,0),INDEX('計算A'!AW$110:AW$114,$F16+1)+IF(AND($E16=1,KJ16=0),1000,0)+IF($H16=1,(IF('計算A'!AV$117=1,INDEX('計算A'!AV$10:AV$54,$B16),0)+IF('計算A'!AW$117=1,INDEX('計算A'!AX$10:AX$54,$B16),0))*500,0)-IF(AND('計算A'!AV$117=1,VT16&gt;0),300,0)-IF(AND($L16=1,'計算A'!AW$117=1,EV16=0),300,0))),1000000))</f>
        <v/>
      </c>
      <c r="PZ16">
        <f>IF($B16=0,1000000,IF(INDEX('計算A'!$D$60:$EQ$104,$B16,47)*EV16=1,IF(AND($E16=2,KK16=0),1000000,IF($I16&gt;0,IF(2=$J16,IF(OR(AND(47=$I16+1,OR($K16&lt;&gt;'計算A'!$A$3,'計算A'!$A$4=0)),AND(47=$I16-1,OR(23&lt;&gt;'計算A'!$A$3,'計算A'!$A$4=0))),0,IF(23=$K16,200000,ABS(23-$K16)*100)),100000+ABS(2-$J16)*1000+230)+'計算A'!AX$5*50+IF(AND($E16=1,KK16=0),25,0),INDEX('計算A'!AX$110:AX$114,$F16+1)+IF(AND($E16=1,KK16=0),1000,0)+IF($H16=1,(IF('計算A'!AW$117=1,INDEX('計算A'!AW$10:AW$54,$B16),0)+IF('計算A'!AX$117=1,INDEX('計算A'!AY$10:AY$54,$B16),0))*500,0)-IF(AND('計算A'!AW$117=1,VU16&gt;0),300,0)-IF(AND($L16=1,'計算A'!AX$117=1,EW16=0),300,0))),1000000))</f>
        <v/>
      </c>
      <c r="QA16">
        <f>IF($B16=0,1000000,IF(INDEX('計算A'!$D$60:$EQ$104,$B16,48)*EW16=1,IF(AND($E16=2,KL16=0),1000000,IF($I16&gt;0,IF(2=$J16,IF(OR(AND(48=$I16+1,OR($K16&lt;&gt;'計算A'!$A$3,'計算A'!$A$4=0)),AND(48=$I16-1,OR(24&lt;&gt;'計算A'!$A$3,'計算A'!$A$4=0))),0,IF(24=$K16,200000,ABS(24-$K16)*100)),100000+ABS(2-$J16)*1000+240)+'計算A'!AY$5*50+IF(AND($E16=1,KL16=0),25,0),INDEX('計算A'!AY$110:AY$114,$F16+1)+IF(AND($E16=1,KL16=0),1000,0)+IF($H16=1,(IF('計算A'!AX$117=1,INDEX('計算A'!AX$10:AX$54,$B16),0))*500,0)-IF(AND('計算A'!AX$117=1,VV16&gt;0),300,0))),1000000))</f>
        <v/>
      </c>
      <c r="QB16">
        <f>IF($B16=0,1000000,IF(INDEX('計算A'!$D$60:$EQ$104,$B16,49)*EX16=1,IF(AND($E16=2,KM16=0),1000000,IF($I16&gt;0,IF(3=$J16,IF(OR(AND(49=$I16+1,OR($K16&lt;&gt;'計算A'!$A$3,'計算A'!$A$4=0)),AND(49=$I16-1,OR(1&lt;&gt;'計算A'!$A$3,'計算A'!$A$4=0))),0,IF(1=$K16,200000,ABS(1-$K16)*100)),100000+ABS(3-$J16)*1000+10)+'計算A'!AZ$5*50+IF(AND($E16=1,KM16=0),25,0),INDEX('計算A'!AZ$110:AZ$114,$F16+1)+IF(AND($E16=1,KM16=0),1000,0)+IF($H16=1,(IF('計算A'!AZ$117=1,INDEX('計算A'!BA$10:BA$54,$B16),0))*500,0)-IF(AND($L16=1,'計算A'!AZ$117=1,EY16=0),300,0))),1000000))</f>
        <v/>
      </c>
      <c r="QC16">
        <f>IF($B16=0,1000000,IF(INDEX('計算A'!$D$60:$EQ$104,$B16,50)*EY16=1,IF(AND($E16=2,KN16=0),1000000,IF($I16&gt;0,IF(3=$J16,IF(OR(AND(50=$I16+1,OR($K16&lt;&gt;'計算A'!$A$3,'計算A'!$A$4=0)),AND(50=$I16-1,OR(2&lt;&gt;'計算A'!$A$3,'計算A'!$A$4=0))),0,IF(2=$K16,200000,ABS(2-$K16)*100)),100000+ABS(3-$J16)*1000+20)+'計算A'!BA$5*50+IF(AND($E16=1,KN16=0),25,0),INDEX('計算A'!BA$110:BA$114,$F16+1)+IF(AND($E16=1,KN16=0),1000,0)+IF($H16=1,(IF('計算A'!AZ$117=1,INDEX('計算A'!AZ$10:AZ$54,$B16),0)+IF('計算A'!BA$117=1,INDEX('計算A'!BB$10:BB$54,$B16),0))*500,0)-IF(AND('計算A'!AZ$117=1,VX16&gt;0),300,0)-IF(AND($L16=1,'計算A'!BA$117=1,EZ16=0),300,0))),1000000))</f>
        <v/>
      </c>
      <c r="QD16">
        <f>IF($B16=0,1000000,IF(INDEX('計算A'!$D$60:$EQ$104,$B16,51)*EZ16=1,IF(AND($E16=2,KO16=0),1000000,IF($I16&gt;0,IF(3=$J16,IF(OR(AND(51=$I16+1,OR($K16&lt;&gt;'計算A'!$A$3,'計算A'!$A$4=0)),AND(51=$I16-1,OR(3&lt;&gt;'計算A'!$A$3,'計算A'!$A$4=0))),0,IF(3=$K16,200000,ABS(3-$K16)*100)),100000+ABS(3-$J16)*1000+30)+'計算A'!BB$5*50+IF(AND($E16=1,KO16=0),25,0),INDEX('計算A'!BB$110:BB$114,$F16+1)+IF(AND($E16=1,KO16=0),1000,0)+IF($H16=1,(IF('計算A'!BA$117=1,INDEX('計算A'!BA$10:BA$54,$B16),0)+IF('計算A'!BB$117=1,INDEX('計算A'!BC$10:BC$54,$B16),0))*500,0)-IF(AND('計算A'!BA$117=1,VY16&gt;0),300,0)-IF(AND($L16=1,'計算A'!BB$117=1,FA16=0),300,0))),1000000))</f>
        <v/>
      </c>
      <c r="QE16">
        <f>IF($B16=0,1000000,IF(INDEX('計算A'!$D$60:$EQ$104,$B16,52)*FA16=1,IF(AND($E16=2,KP16=0),1000000,IF($I16&gt;0,IF(3=$J16,IF(OR(AND(52=$I16+1,OR($K16&lt;&gt;'計算A'!$A$3,'計算A'!$A$4=0)),AND(52=$I16-1,OR(4&lt;&gt;'計算A'!$A$3,'計算A'!$A$4=0))),0,IF(4=$K16,200000,ABS(4-$K16)*100)),100000+ABS(3-$J16)*1000+40)+'計算A'!BC$5*50+IF(AND($E16=1,KP16=0),25,0),INDEX('計算A'!BC$110:BC$114,$F16+1)+IF(AND($E16=1,KP16=0),1000,0)+IF($H16=1,(IF('計算A'!BB$117=1,INDEX('計算A'!BB$10:BB$54,$B16),0)+IF('計算A'!BC$117=1,INDEX('計算A'!BD$10:BD$54,$B16),0))*500,0)-IF(AND('計算A'!BB$117=1,VZ16&gt;0),300,0)-IF(AND($L16=1,'計算A'!BC$117=1,FB16=0),300,0))),1000000))</f>
        <v/>
      </c>
      <c r="QF16">
        <f>IF($B16=0,1000000,IF(INDEX('計算A'!$D$60:$EQ$104,$B16,53)*FB16=1,IF(AND($E16=2,KQ16=0),1000000,IF($I16&gt;0,IF(3=$J16,IF(OR(AND(53=$I16+1,OR($K16&lt;&gt;'計算A'!$A$3,'計算A'!$A$4=0)),AND(53=$I16-1,OR(5&lt;&gt;'計算A'!$A$3,'計算A'!$A$4=0))),0,IF(5=$K16,200000,ABS(5-$K16)*100)),100000+ABS(3-$J16)*1000+50)+'計算A'!BD$5*50+IF(AND($E16=1,KQ16=0),25,0),INDEX('計算A'!BD$110:BD$114,$F16+1)+IF(AND($E16=1,KQ16=0),1000,0)+IF($H16=1,(IF('計算A'!BC$117=1,INDEX('計算A'!BC$10:BC$54,$B16),0)+IF('計算A'!BD$117=1,INDEX('計算A'!BE$10:BE$54,$B16),0))*500,0)-IF(AND('計算A'!BC$117=1,WA16&gt;0),300,0)-IF(AND($L16=1,'計算A'!BD$117=1,FC16=0),300,0))),1000000))</f>
        <v/>
      </c>
      <c r="QG16">
        <f>IF($B16=0,1000000,IF(INDEX('計算A'!$D$60:$EQ$104,$B16,54)*FC16=1,IF(AND($E16=2,KR16=0),1000000,IF($I16&gt;0,IF(3=$J16,IF(OR(AND(54=$I16+1,OR($K16&lt;&gt;'計算A'!$A$3,'計算A'!$A$4=0)),AND(54=$I16-1,OR(6&lt;&gt;'計算A'!$A$3,'計算A'!$A$4=0))),0,IF(6=$K16,200000,ABS(6-$K16)*100)),100000+ABS(3-$J16)*1000+60)+'計算A'!BE$5*50+IF(AND($E16=1,KR16=0),25,0),INDEX('計算A'!BE$110:BE$114,$F16+1)+IF(AND($E16=1,KR16=0),1000,0)+IF($H16=1,(IF('計算A'!BD$117=1,INDEX('計算A'!BD$10:BD$54,$B16),0)+IF('計算A'!BE$117=1,INDEX('計算A'!BF$10:BF$54,$B16),0))*500,0)-IF(AND('計算A'!BD$117=1,WB16&gt;0),300,0)-IF(AND($L16=1,'計算A'!BE$117=1,FD16=0),300,0))),1000000))</f>
        <v/>
      </c>
      <c r="QH16">
        <f>IF($B16=0,1000000,IF(INDEX('計算A'!$D$60:$EQ$104,$B16,55)*FD16=1,IF(AND($E16=2,KS16=0),1000000,IF($I16&gt;0,IF(3=$J16,IF(OR(AND(55=$I16+1,OR($K16&lt;&gt;'計算A'!$A$3,'計算A'!$A$4=0)),AND(55=$I16-1,OR(7&lt;&gt;'計算A'!$A$3,'計算A'!$A$4=0))),0,IF(7=$K16,200000,ABS(7-$K16)*100)),100000+ABS(3-$J16)*1000+70)+'計算A'!BF$5*50+IF(AND($E16=1,KS16=0),25,0),INDEX('計算A'!BF$110:BF$114,$F16+1)+IF(AND($E16=1,KS16=0),1000,0)+IF($H16=1,(IF('計算A'!BE$117=1,INDEX('計算A'!BE$10:BE$54,$B16),0)+IF('計算A'!BF$117=1,INDEX('計算A'!BG$10:BG$54,$B16),0))*500,0)-IF(AND('計算A'!BE$117=1,WC16&gt;0),300,0)-IF(AND($L16=1,'計算A'!BF$117=1,FE16=0),300,0))),1000000))</f>
        <v/>
      </c>
      <c r="QI16">
        <f>IF($B16=0,1000000,IF(INDEX('計算A'!$D$60:$EQ$104,$B16,56)*FE16=1,IF(AND($E16=2,KT16=0),1000000,IF($I16&gt;0,IF(3=$J16,IF(OR(AND(56=$I16+1,OR($K16&lt;&gt;'計算A'!$A$3,'計算A'!$A$4=0)),AND(56=$I16-1,OR(8&lt;&gt;'計算A'!$A$3,'計算A'!$A$4=0))),0,IF(8=$K16,200000,ABS(8-$K16)*100)),100000+ABS(3-$J16)*1000+80)+'計算A'!BG$5*50+IF(AND($E16=1,KT16=0),25,0),INDEX('計算A'!BG$110:BG$114,$F16+1)+IF(AND($E16=1,KT16=0),1000,0)+IF($H16=1,(IF('計算A'!BF$117=1,INDEX('計算A'!BF$10:BF$54,$B16),0)+IF('計算A'!BG$117=1,INDEX('計算A'!BH$10:BH$54,$B16),0))*500,0)-IF(AND('計算A'!BF$117=1,WD16&gt;0),300,0)-IF(AND($L16=1,'計算A'!BG$117=1,FF16=0),300,0))),1000000))</f>
        <v/>
      </c>
      <c r="QJ16">
        <f>IF($B16=0,1000000,IF(INDEX('計算A'!$D$60:$EQ$104,$B16,57)*FF16=1,IF(AND($E16=2,KU16=0),1000000,IF($I16&gt;0,IF(3=$J16,IF(OR(AND(57=$I16+1,OR($K16&lt;&gt;'計算A'!$A$3,'計算A'!$A$4=0)),AND(57=$I16-1,OR(9&lt;&gt;'計算A'!$A$3,'計算A'!$A$4=0))),0,IF(9=$K16,200000,ABS(9-$K16)*100)),100000+ABS(3-$J16)*1000+90)+'計算A'!BH$5*50+IF(AND($E16=1,KU16=0),25,0),INDEX('計算A'!BH$110:BH$114,$F16+1)+IF(AND($E16=1,KU16=0),1000,0)+IF($H16=1,(IF('計算A'!BG$117=1,INDEX('計算A'!BG$10:BG$54,$B16),0)+IF('計算A'!BH$117=1,INDEX('計算A'!BI$10:BI$54,$B16),0))*500,0)-IF(AND('計算A'!BG$117=1,WE16&gt;0),300,0)-IF(AND($L16=1,'計算A'!BH$117=1,FG16=0),300,0))),1000000))</f>
        <v/>
      </c>
      <c r="QK16">
        <f>IF($B16=0,1000000,IF(INDEX('計算A'!$D$60:$EQ$104,$B16,58)*FG16=1,IF(AND($E16=2,KV16=0),1000000,IF($I16&gt;0,IF(3=$J16,IF(OR(AND(58=$I16+1,OR($K16&lt;&gt;'計算A'!$A$3,'計算A'!$A$4=0)),AND(58=$I16-1,OR(10&lt;&gt;'計算A'!$A$3,'計算A'!$A$4=0))),0,IF(10=$K16,200000,ABS(10-$K16)*100)),100000+ABS(3-$J16)*1000+100)+'計算A'!BI$5*50+IF(AND($E16=1,KV16=0),25,0),INDEX('計算A'!BI$110:BI$114,$F16+1)+IF(AND($E16=1,KV16=0),1000,0)+IF($H16=1,(IF('計算A'!BH$117=1,INDEX('計算A'!BH$10:BH$54,$B16),0)+IF('計算A'!BI$117=1,INDEX('計算A'!BJ$10:BJ$54,$B16),0))*500,0)-IF(AND('計算A'!BH$117=1,WF16&gt;0),300,0)-IF(AND($L16=1,'計算A'!BI$117=1,FH16=0),300,0))),1000000))</f>
        <v/>
      </c>
      <c r="QL16">
        <f>IF($B16=0,1000000,IF(INDEX('計算A'!$D$60:$EQ$104,$B16,59)*FH16=1,IF(AND($E16=2,KW16=0),1000000,IF($I16&gt;0,IF(3=$J16,IF(OR(AND(59=$I16+1,OR($K16&lt;&gt;'計算A'!$A$3,'計算A'!$A$4=0)),AND(59=$I16-1,OR(11&lt;&gt;'計算A'!$A$3,'計算A'!$A$4=0))),0,IF(11=$K16,200000,ABS(11-$K16)*100)),100000+ABS(3-$J16)*1000+110)+'計算A'!BJ$5*50+IF(AND($E16=1,KW16=0),25,0),INDEX('計算A'!BJ$110:BJ$114,$F16+1)+IF(AND($E16=1,KW16=0),1000,0)+IF($H16=1,(IF('計算A'!BI$117=1,INDEX('計算A'!BI$10:BI$54,$B16),0)+IF('計算A'!BJ$117=1,INDEX('計算A'!BK$10:BK$54,$B16),0))*500,0)-IF(AND('計算A'!BI$117=1,WG16&gt;0),300,0)-IF(AND($L16=1,'計算A'!BJ$117=1,FI16=0),300,0))),1000000))</f>
        <v/>
      </c>
      <c r="QM16">
        <f>IF($B16=0,1000000,IF(INDEX('計算A'!$D$60:$EQ$104,$B16,60)*FI16=1,IF(AND($E16=2,KX16=0),1000000,IF($I16&gt;0,IF(3=$J16,IF(OR(AND(60=$I16+1,OR($K16&lt;&gt;'計算A'!$A$3,'計算A'!$A$4=0)),AND(60=$I16-1,OR(12&lt;&gt;'計算A'!$A$3,'計算A'!$A$4=0))),0,IF(12=$K16,200000,ABS(12-$K16)*100)),100000+ABS(3-$J16)*1000+120)+'計算A'!BK$5*50+IF(AND($E16=1,KX16=0),25,0),INDEX('計算A'!BK$110:BK$114,$F16+1)+IF(AND($E16=1,KX16=0),1000,0)+IF($H16=1,(IF('計算A'!BJ$117=1,INDEX('計算A'!BJ$10:BJ$54,$B16),0)+IF('計算A'!BK$117=1,INDEX('計算A'!BL$10:BL$54,$B16),0))*500,0)-IF(AND('計算A'!BJ$117=1,WH16&gt;0),300,0)-IF(AND($L16=1,'計算A'!BK$117=1,FJ16=0),300,0))),1000000))</f>
        <v/>
      </c>
      <c r="QN16">
        <f>IF($B16=0,1000000,IF(INDEX('計算A'!$D$60:$EQ$104,$B16,61)*FJ16=1,IF(AND($E16=2,KY16=0),1000000,IF($I16&gt;0,IF(3=$J16,IF(OR(AND(61=$I16+1,OR($K16&lt;&gt;'計算A'!$A$3,'計算A'!$A$4=0)),AND(61=$I16-1,OR(13&lt;&gt;'計算A'!$A$3,'計算A'!$A$4=0))),0,IF(13=$K16,200000,ABS(13-$K16)*100)),100000+ABS(3-$J16)*1000+130)+'計算A'!BL$5*50+IF(AND($E16=1,KY16=0),25,0),INDEX('計算A'!BL$110:BL$114,$F16+1)+IF(AND($E16=1,KY16=0),1000,0)+IF($H16=1,(IF('計算A'!BK$117=1,INDEX('計算A'!BK$10:BK$54,$B16),0)+IF('計算A'!BL$117=1,INDEX('計算A'!BM$10:BM$54,$B16),0))*500,0)-IF(AND('計算A'!BK$117=1,WI16&gt;0),300,0)-IF(AND($L16=1,'計算A'!BL$117=1,FK16=0),300,0))),1000000))</f>
        <v/>
      </c>
      <c r="QO16">
        <f>IF($B16=0,1000000,IF(INDEX('計算A'!$D$60:$EQ$104,$B16,62)*FK16=1,IF(AND($E16=2,KZ16=0),1000000,IF($I16&gt;0,IF(3=$J16,IF(OR(AND(62=$I16+1,OR($K16&lt;&gt;'計算A'!$A$3,'計算A'!$A$4=0)),AND(62=$I16-1,OR(14&lt;&gt;'計算A'!$A$3,'計算A'!$A$4=0))),0,IF(14=$K16,200000,ABS(14-$K16)*100)),100000+ABS(3-$J16)*1000+140)+'計算A'!BM$5*50+IF(AND($E16=1,KZ16=0),25,0),INDEX('計算A'!BM$110:BM$114,$F16+1)+IF(AND($E16=1,KZ16=0),1000,0)+IF($H16=1,(IF('計算A'!BL$117=1,INDEX('計算A'!BL$10:BL$54,$B16),0)+IF('計算A'!BM$117=1,INDEX('計算A'!BN$10:BN$54,$B16),0))*500,0)-IF(AND('計算A'!BL$117=1,WJ16&gt;0),300,0)-IF(AND($L16=1,'計算A'!BM$117=1,FL16=0),300,0))),1000000))</f>
        <v/>
      </c>
      <c r="QP16">
        <f>IF($B16=0,1000000,IF(INDEX('計算A'!$D$60:$EQ$104,$B16,63)*FL16=1,IF(AND($E16=2,LA16=0),1000000,IF($I16&gt;0,IF(3=$J16,IF(OR(AND(63=$I16+1,OR($K16&lt;&gt;'計算A'!$A$3,'計算A'!$A$4=0)),AND(63=$I16-1,OR(15&lt;&gt;'計算A'!$A$3,'計算A'!$A$4=0))),0,IF(15=$K16,200000,ABS(15-$K16)*100)),100000+ABS(3-$J16)*1000+150)+'計算A'!BN$5*50+IF(AND($E16=1,LA16=0),25,0),INDEX('計算A'!BN$110:BN$114,$F16+1)+IF(AND($E16=1,LA16=0),1000,0)+IF($H16=1,(IF('計算A'!BM$117=1,INDEX('計算A'!BM$10:BM$54,$B16),0)+IF('計算A'!BN$117=1,INDEX('計算A'!BO$10:BO$54,$B16),0))*500,0)-IF(AND('計算A'!BM$117=1,WK16&gt;0),300,0)-IF(AND($L16=1,'計算A'!BN$117=1,FM16=0),300,0))),1000000))</f>
        <v/>
      </c>
      <c r="QQ16">
        <f>IF($B16=0,1000000,IF(INDEX('計算A'!$D$60:$EQ$104,$B16,64)*FM16=1,IF(AND($E16=2,LB16=0),1000000,IF($I16&gt;0,IF(3=$J16,IF(OR(AND(64=$I16+1,OR($K16&lt;&gt;'計算A'!$A$3,'計算A'!$A$4=0)),AND(64=$I16-1,OR(16&lt;&gt;'計算A'!$A$3,'計算A'!$A$4=0))),0,IF(16=$K16,200000,ABS(16-$K16)*100)),100000+ABS(3-$J16)*1000+160)+'計算A'!BO$5*50+IF(AND($E16=1,LB16=0),25,0),INDEX('計算A'!BO$110:BO$114,$F16+1)+IF(AND($E16=1,LB16=0),1000,0)+IF($H16=1,(IF('計算A'!BN$117=1,INDEX('計算A'!BN$10:BN$54,$B16),0)+IF('計算A'!BO$117=1,INDEX('計算A'!BP$10:BP$54,$B16),0))*500,0)-IF(AND('計算A'!BN$117=1,WL16&gt;0),300,0)-IF(AND($L16=1,'計算A'!BO$117=1,FN16=0),300,0))),1000000))</f>
        <v/>
      </c>
      <c r="QR16">
        <f>IF($B16=0,1000000,IF(INDEX('計算A'!$D$60:$EQ$104,$B16,65)*FN16=1,IF(AND($E16=2,LC16=0),1000000,IF($I16&gt;0,IF(3=$J16,IF(OR(AND(65=$I16+1,OR($K16&lt;&gt;'計算A'!$A$3,'計算A'!$A$4=0)),AND(65=$I16-1,OR(17&lt;&gt;'計算A'!$A$3,'計算A'!$A$4=0))),0,IF(17=$K16,200000,ABS(17-$K16)*100)),100000+ABS(3-$J16)*1000+170)+'計算A'!BP$5*50+IF(AND($E16=1,LC16=0),25,0),INDEX('計算A'!BP$110:BP$114,$F16+1)+IF(AND($E16=1,LC16=0),1000,0)+IF($H16=1,(IF('計算A'!BO$117=1,INDEX('計算A'!BO$10:BO$54,$B16),0)+IF('計算A'!BP$117=1,INDEX('計算A'!BQ$10:BQ$54,$B16),0))*500,0)-IF(AND('計算A'!BO$117=1,WM16&gt;0),300,0)-IF(AND($L16=1,'計算A'!BP$117=1,FO16=0),300,0))),1000000))</f>
        <v/>
      </c>
      <c r="QS16">
        <f>IF($B16=0,1000000,IF(INDEX('計算A'!$D$60:$EQ$104,$B16,66)*FO16=1,IF(AND($E16=2,LD16=0),1000000,IF($I16&gt;0,IF(3=$J16,IF(OR(AND(66=$I16+1,OR($K16&lt;&gt;'計算A'!$A$3,'計算A'!$A$4=0)),AND(66=$I16-1,OR(18&lt;&gt;'計算A'!$A$3,'計算A'!$A$4=0))),0,IF(18=$K16,200000,ABS(18-$K16)*100)),100000+ABS(3-$J16)*1000+180)+'計算A'!BQ$5*50+IF(AND($E16=1,LD16=0),25,0),INDEX('計算A'!BQ$110:BQ$114,$F16+1)+IF(AND($E16=1,LD16=0),1000,0)+IF($H16=1,(IF('計算A'!BP$117=1,INDEX('計算A'!BP$10:BP$54,$B16),0)+IF('計算A'!BQ$117=1,INDEX('計算A'!BR$10:BR$54,$B16),0))*500,0)-IF(AND('計算A'!BP$117=1,WN16&gt;0),300,0)-IF(AND($L16=1,'計算A'!BQ$117=1,FP16=0),300,0))),1000000))</f>
        <v/>
      </c>
      <c r="QT16">
        <f>IF($B16=0,1000000,IF(INDEX('計算A'!$D$60:$EQ$104,$B16,67)*FP16=1,IF(AND($E16=2,LE16=0),1000000,IF($I16&gt;0,IF(3=$J16,IF(OR(AND(67=$I16+1,OR($K16&lt;&gt;'計算A'!$A$3,'計算A'!$A$4=0)),AND(67=$I16-1,OR(19&lt;&gt;'計算A'!$A$3,'計算A'!$A$4=0))),0,IF(19=$K16,200000,ABS(19-$K16)*100)),100000+ABS(3-$J16)*1000+190)+'計算A'!BR$5*50+IF(AND($E16=1,LE16=0),25,0),INDEX('計算A'!BR$110:BR$114,$F16+1)+IF(AND($E16=1,LE16=0),1000,0)+IF($H16=1,(IF('計算A'!BQ$117=1,INDEX('計算A'!BQ$10:BQ$54,$B16),0)+IF('計算A'!BR$117=1,INDEX('計算A'!BS$10:BS$54,$B16),0))*500,0)-IF(AND('計算A'!BQ$117=1,WO16&gt;0),300,0)-IF(AND($L16=1,'計算A'!BR$117=1,FQ16=0),300,0))),1000000))</f>
        <v/>
      </c>
      <c r="QU16">
        <f>IF($B16=0,1000000,IF(INDEX('計算A'!$D$60:$EQ$104,$B16,68)*FQ16=1,IF(AND($E16=2,LF16=0),1000000,IF($I16&gt;0,IF(3=$J16,IF(OR(AND(68=$I16+1,OR($K16&lt;&gt;'計算A'!$A$3,'計算A'!$A$4=0)),AND(68=$I16-1,OR(20&lt;&gt;'計算A'!$A$3,'計算A'!$A$4=0))),0,IF(20=$K16,200000,ABS(20-$K16)*100)),100000+ABS(3-$J16)*1000+200)+'計算A'!BS$5*50+IF(AND($E16=1,LF16=0),25,0),INDEX('計算A'!BS$110:BS$114,$F16+1)+IF(AND($E16=1,LF16=0),1000,0)+IF($H16=1,(IF('計算A'!BR$117=1,INDEX('計算A'!BR$10:BR$54,$B16),0)+IF('計算A'!BS$117=1,INDEX('計算A'!BT$10:BT$54,$B16),0))*500,0)-IF(AND('計算A'!BR$117=1,WP16&gt;0),300,0)-IF(AND($L16=1,'計算A'!BS$117=1,FR16=0),300,0))),1000000))</f>
        <v/>
      </c>
      <c r="QV16">
        <f>IF($B16=0,1000000,IF(INDEX('計算A'!$D$60:$EQ$104,$B16,69)*FR16=1,IF(AND($E16=2,LG16=0),1000000,IF($I16&gt;0,IF(3=$J16,IF(OR(AND(69=$I16+1,OR($K16&lt;&gt;'計算A'!$A$3,'計算A'!$A$4=0)),AND(69=$I16-1,OR(21&lt;&gt;'計算A'!$A$3,'計算A'!$A$4=0))),0,IF(21=$K16,200000,ABS(21-$K16)*100)),100000+ABS(3-$J16)*1000+210)+'計算A'!BT$5*50+IF(AND($E16=1,LG16=0),25,0),INDEX('計算A'!BT$110:BT$114,$F16+1)+IF(AND($E16=1,LG16=0),1000,0)+IF($H16=1,(IF('計算A'!BS$117=1,INDEX('計算A'!BS$10:BS$54,$B16),0)+IF('計算A'!BT$117=1,INDEX('計算A'!BU$10:BU$54,$B16),0))*500,0)-IF(AND('計算A'!BS$117=1,WQ16&gt;0),300,0)-IF(AND($L16=1,'計算A'!BT$117=1,FS16=0),300,0))),1000000))</f>
        <v/>
      </c>
      <c r="QW16">
        <f>IF($B16=0,1000000,IF(INDEX('計算A'!$D$60:$EQ$104,$B16,70)*FS16=1,IF(AND($E16=2,LH16=0),1000000,IF($I16&gt;0,IF(3=$J16,IF(OR(AND(70=$I16+1,OR($K16&lt;&gt;'計算A'!$A$3,'計算A'!$A$4=0)),AND(70=$I16-1,OR(22&lt;&gt;'計算A'!$A$3,'計算A'!$A$4=0))),0,IF(22=$K16,200000,ABS(22-$K16)*100)),100000+ABS(3-$J16)*1000+220)+'計算A'!BU$5*50+IF(AND($E16=1,LH16=0),25,0),INDEX('計算A'!BU$110:BU$114,$F16+1)+IF(AND($E16=1,LH16=0),1000,0)+IF($H16=1,(IF('計算A'!BT$117=1,INDEX('計算A'!BT$10:BT$54,$B16),0)+IF('計算A'!BU$117=1,INDEX('計算A'!BV$10:BV$54,$B16),0))*500,0)-IF(AND('計算A'!BT$117=1,WR16&gt;0),300,0)-IF(AND($L16=1,'計算A'!BU$117=1,FT16=0),300,0))),1000000))</f>
        <v/>
      </c>
      <c r="QX16">
        <f>IF($B16=0,1000000,IF(INDEX('計算A'!$D$60:$EQ$104,$B16,71)*FT16=1,IF(AND($E16=2,LI16=0),1000000,IF($I16&gt;0,IF(3=$J16,IF(OR(AND(71=$I16+1,OR($K16&lt;&gt;'計算A'!$A$3,'計算A'!$A$4=0)),AND(71=$I16-1,OR(23&lt;&gt;'計算A'!$A$3,'計算A'!$A$4=0))),0,IF(23=$K16,200000,ABS(23-$K16)*100)),100000+ABS(3-$J16)*1000+230)+'計算A'!BV$5*50+IF(AND($E16=1,LI16=0),25,0),INDEX('計算A'!BV$110:BV$114,$F16+1)+IF(AND($E16=1,LI16=0),1000,0)+IF($H16=1,(IF('計算A'!BU$117=1,INDEX('計算A'!BU$10:BU$54,$B16),0)+IF('計算A'!BV$117=1,INDEX('計算A'!BW$10:BW$54,$B16),0))*500,0)-IF(AND('計算A'!BU$117=1,WS16&gt;0),300,0)-IF(AND($L16=1,'計算A'!BV$117=1,FU16=0),300,0))),1000000))</f>
        <v/>
      </c>
      <c r="QY16">
        <f>IF($B16=0,1000000,IF(INDEX('計算A'!$D$60:$EQ$104,$B16,72)*FU16=1,IF(AND($E16=2,LJ16=0),1000000,IF($I16&gt;0,IF(3=$J16,IF(OR(AND(72=$I16+1,OR($K16&lt;&gt;'計算A'!$A$3,'計算A'!$A$4=0)),AND(72=$I16-1,OR(24&lt;&gt;'計算A'!$A$3,'計算A'!$A$4=0))),0,IF(24=$K16,200000,ABS(24-$K16)*100)),100000+ABS(3-$J16)*1000+240)+'計算A'!BW$5*50+IF(AND($E16=1,LJ16=0),25,0),INDEX('計算A'!BW$110:BW$114,$F16+1)+IF(AND($E16=1,LJ16=0),1000,0)+IF($H16=1,(IF('計算A'!BV$117=1,INDEX('計算A'!BV$10:BV$54,$B16),0))*500,0)-IF(AND('計算A'!BV$117=1,WT16&gt;0),300,0))),1000000))</f>
        <v/>
      </c>
      <c r="QZ16">
        <f>IF($B16=0,1000000,IF(INDEX('計算A'!$D$60:$EQ$104,$B16,73)*FV16=1,IF(AND($E16=2,LK16=0),1000000,IF($I16&gt;0,IF(4=$J16,IF(OR(AND(73=$I16+1,OR($K16&lt;&gt;'計算A'!$A$3,'計算A'!$A$4=0)),AND(73=$I16-1,OR(1&lt;&gt;'計算A'!$A$3,'計算A'!$A$4=0))),0,IF(1=$K16,200000,ABS(1-$K16)*100)),100000+ABS(4-$J16)*1000+10)+'計算A'!BX$5*50+IF(AND($E16=1,LK16=0),25,0),INDEX('計算A'!BX$110:BX$114,$F16+1)+IF(AND($E16=1,LK16=0),1000,0)+IF($H16=1,(IF('計算A'!BX$117=1,INDEX('計算A'!BY$10:BY$54,$B16),0))*500,0)-IF(AND($L16=1,'計算A'!BX$117=1,FW16=0),300,0))),1000000))</f>
        <v/>
      </c>
      <c r="RA16">
        <f>IF($B16=0,1000000,IF(INDEX('計算A'!$D$60:$EQ$104,$B16,74)*FW16=1,IF(AND($E16=2,LL16=0),1000000,IF($I16&gt;0,IF(4=$J16,IF(OR(AND(74=$I16+1,OR($K16&lt;&gt;'計算A'!$A$3,'計算A'!$A$4=0)),AND(74=$I16-1,OR(2&lt;&gt;'計算A'!$A$3,'計算A'!$A$4=0))),0,IF(2=$K16,200000,ABS(2-$K16)*100)),100000+ABS(4-$J16)*1000+20)+'計算A'!BY$5*50+IF(AND($E16=1,LL16=0),25,0),INDEX('計算A'!BY$110:BY$114,$F16+1)+IF(AND($E16=1,LL16=0),1000,0)+IF($H16=1,(IF('計算A'!BX$117=1,INDEX('計算A'!BX$10:BX$54,$B16),0)+IF('計算A'!BY$117=1,INDEX('計算A'!BZ$10:BZ$54,$B16),0))*500,0)-IF(AND('計算A'!BX$117=1,WV16&gt;0),300,0)-IF(AND($L16=1,'計算A'!BY$117=1,FX16=0),300,0))),1000000))</f>
        <v/>
      </c>
      <c r="RB16">
        <f>IF($B16=0,1000000,IF(INDEX('計算A'!$D$60:$EQ$104,$B16,75)*FX16=1,IF(AND($E16=2,LM16=0),1000000,IF($I16&gt;0,IF(4=$J16,IF(OR(AND(75=$I16+1,OR($K16&lt;&gt;'計算A'!$A$3,'計算A'!$A$4=0)),AND(75=$I16-1,OR(3&lt;&gt;'計算A'!$A$3,'計算A'!$A$4=0))),0,IF(3=$K16,200000,ABS(3-$K16)*100)),100000+ABS(4-$J16)*1000+30)+'計算A'!BZ$5*50+IF(AND($E16=1,LM16=0),25,0),INDEX('計算A'!BZ$110:BZ$114,$F16+1)+IF(AND($E16=1,LM16=0),1000,0)+IF($H16=1,(IF('計算A'!BY$117=1,INDEX('計算A'!BY$10:BY$54,$B16),0)+IF('計算A'!BZ$117=1,INDEX('計算A'!CA$10:CA$54,$B16),0))*500,0)-IF(AND('計算A'!BY$117=1,WW16&gt;0),300,0)-IF(AND($L16=1,'計算A'!BZ$117=1,FY16=0),300,0))),1000000))</f>
        <v/>
      </c>
      <c r="RC16">
        <f>IF($B16=0,1000000,IF(INDEX('計算A'!$D$60:$EQ$104,$B16,76)*FY16=1,IF(AND($E16=2,LN16=0),1000000,IF($I16&gt;0,IF(4=$J16,IF(OR(AND(76=$I16+1,OR($K16&lt;&gt;'計算A'!$A$3,'計算A'!$A$4=0)),AND(76=$I16-1,OR(4&lt;&gt;'計算A'!$A$3,'計算A'!$A$4=0))),0,IF(4=$K16,200000,ABS(4-$K16)*100)),100000+ABS(4-$J16)*1000+40)+'計算A'!CA$5*50+IF(AND($E16=1,LN16=0),25,0),INDEX('計算A'!CA$110:CA$114,$F16+1)+IF(AND($E16=1,LN16=0),1000,0)+IF($H16=1,(IF('計算A'!BZ$117=1,INDEX('計算A'!BZ$10:BZ$54,$B16),0)+IF('計算A'!CA$117=1,INDEX('計算A'!CB$10:CB$54,$B16),0))*500,0)-IF(AND('計算A'!BZ$117=1,WX16&gt;0),300,0)-IF(AND($L16=1,'計算A'!CA$117=1,FZ16=0),300,0))),1000000))</f>
        <v/>
      </c>
      <c r="RD16">
        <f>IF($B16=0,1000000,IF(INDEX('計算A'!$D$60:$EQ$104,$B16,77)*FZ16=1,IF(AND($E16=2,LO16=0),1000000,IF($I16&gt;0,IF(4=$J16,IF(OR(AND(77=$I16+1,OR($K16&lt;&gt;'計算A'!$A$3,'計算A'!$A$4=0)),AND(77=$I16-1,OR(5&lt;&gt;'計算A'!$A$3,'計算A'!$A$4=0))),0,IF(5=$K16,200000,ABS(5-$K16)*100)),100000+ABS(4-$J16)*1000+50)+'計算A'!CB$5*50+IF(AND($E16=1,LO16=0),25,0),INDEX('計算A'!CB$110:CB$114,$F16+1)+IF(AND($E16=1,LO16=0),1000,0)+IF($H16=1,(IF('計算A'!CA$117=1,INDEX('計算A'!CA$10:CA$54,$B16),0)+IF('計算A'!CB$117=1,INDEX('計算A'!CC$10:CC$54,$B16),0))*500,0)-IF(AND('計算A'!CA$117=1,WY16&gt;0),300,0)-IF(AND($L16=1,'計算A'!CB$117=1,GA16=0),300,0))),1000000))</f>
        <v/>
      </c>
      <c r="RE16">
        <f>IF($B16=0,1000000,IF(INDEX('計算A'!$D$60:$EQ$104,$B16,78)*GA16=1,IF(AND($E16=2,LP16=0),1000000,IF($I16&gt;0,IF(4=$J16,IF(OR(AND(78=$I16+1,OR($K16&lt;&gt;'計算A'!$A$3,'計算A'!$A$4=0)),AND(78=$I16-1,OR(6&lt;&gt;'計算A'!$A$3,'計算A'!$A$4=0))),0,IF(6=$K16,200000,ABS(6-$K16)*100)),100000+ABS(4-$J16)*1000+60)+'計算A'!CC$5*50+IF(AND($E16=1,LP16=0),25,0),INDEX('計算A'!CC$110:CC$114,$F16+1)+IF(AND($E16=1,LP16=0),1000,0)+IF($H16=1,(IF('計算A'!CB$117=1,INDEX('計算A'!CB$10:CB$54,$B16),0)+IF('計算A'!CC$117=1,INDEX('計算A'!CD$10:CD$54,$B16),0))*500,0)-IF(AND('計算A'!CB$117=1,WZ16&gt;0),300,0)-IF(AND($L16=1,'計算A'!CC$117=1,GB16=0),300,0))),1000000))</f>
        <v/>
      </c>
      <c r="RF16">
        <f>IF($B16=0,1000000,IF(INDEX('計算A'!$D$60:$EQ$104,$B16,79)*GB16=1,IF(AND($E16=2,LQ16=0),1000000,IF($I16&gt;0,IF(4=$J16,IF(OR(AND(79=$I16+1,OR($K16&lt;&gt;'計算A'!$A$3,'計算A'!$A$4=0)),AND(79=$I16-1,OR(7&lt;&gt;'計算A'!$A$3,'計算A'!$A$4=0))),0,IF(7=$K16,200000,ABS(7-$K16)*100)),100000+ABS(4-$J16)*1000+70)+'計算A'!CD$5*50+IF(AND($E16=1,LQ16=0),25,0),INDEX('計算A'!CD$110:CD$114,$F16+1)+IF(AND($E16=1,LQ16=0),1000,0)+IF($H16=1,(IF('計算A'!CC$117=1,INDEX('計算A'!CC$10:CC$54,$B16),0)+IF('計算A'!CD$117=1,INDEX('計算A'!CE$10:CE$54,$B16),0))*500,0)-IF(AND('計算A'!CC$117=1,XA16&gt;0),300,0)-IF(AND($L16=1,'計算A'!CD$117=1,GC16=0),300,0))),1000000))</f>
        <v/>
      </c>
      <c r="RG16">
        <f>IF($B16=0,1000000,IF(INDEX('計算A'!$D$60:$EQ$104,$B16,80)*GC16=1,IF(AND($E16=2,LR16=0),1000000,IF($I16&gt;0,IF(4=$J16,IF(OR(AND(80=$I16+1,OR($K16&lt;&gt;'計算A'!$A$3,'計算A'!$A$4=0)),AND(80=$I16-1,OR(8&lt;&gt;'計算A'!$A$3,'計算A'!$A$4=0))),0,IF(8=$K16,200000,ABS(8-$K16)*100)),100000+ABS(4-$J16)*1000+80)+'計算A'!CE$5*50+IF(AND($E16=1,LR16=0),25,0),INDEX('計算A'!CE$110:CE$114,$F16+1)+IF(AND($E16=1,LR16=0),1000,0)+IF($H16=1,(IF('計算A'!CD$117=1,INDEX('計算A'!CD$10:CD$54,$B16),0)+IF('計算A'!CE$117=1,INDEX('計算A'!CF$10:CF$54,$B16),0))*500,0)-IF(AND('計算A'!CD$117=1,XB16&gt;0),300,0)-IF(AND($L16=1,'計算A'!CE$117=1,GD16=0),300,0))),1000000))</f>
        <v/>
      </c>
      <c r="RH16">
        <f>IF($B16=0,1000000,IF(INDEX('計算A'!$D$60:$EQ$104,$B16,81)*GD16=1,IF(AND($E16=2,LS16=0),1000000,IF($I16&gt;0,IF(4=$J16,IF(OR(AND(81=$I16+1,OR($K16&lt;&gt;'計算A'!$A$3,'計算A'!$A$4=0)),AND(81=$I16-1,OR(9&lt;&gt;'計算A'!$A$3,'計算A'!$A$4=0))),0,IF(9=$K16,200000,ABS(9-$K16)*100)),100000+ABS(4-$J16)*1000+90)+'計算A'!CF$5*50+IF(AND($E16=1,LS16=0),25,0),INDEX('計算A'!CF$110:CF$114,$F16+1)+IF(AND($E16=1,LS16=0),1000,0)+IF($H16=1,(IF('計算A'!CE$117=1,INDEX('計算A'!CE$10:CE$54,$B16),0)+IF('計算A'!CF$117=1,INDEX('計算A'!CG$10:CG$54,$B16),0))*500,0)-IF(AND('計算A'!CE$117=1,XC16&gt;0),300,0)-IF(AND($L16=1,'計算A'!CF$117=1,GE16=0),300,0))),1000000))</f>
        <v/>
      </c>
      <c r="RI16">
        <f>IF($B16=0,1000000,IF(INDEX('計算A'!$D$60:$EQ$104,$B16,82)*GE16=1,IF(AND($E16=2,LT16=0),1000000,IF($I16&gt;0,IF(4=$J16,IF(OR(AND(82=$I16+1,OR($K16&lt;&gt;'計算A'!$A$3,'計算A'!$A$4=0)),AND(82=$I16-1,OR(10&lt;&gt;'計算A'!$A$3,'計算A'!$A$4=0))),0,IF(10=$K16,200000,ABS(10-$K16)*100)),100000+ABS(4-$J16)*1000+100)+'計算A'!CG$5*50+IF(AND($E16=1,LT16=0),25,0),INDEX('計算A'!CG$110:CG$114,$F16+1)+IF(AND($E16=1,LT16=0),1000,0)+IF($H16=1,(IF('計算A'!CF$117=1,INDEX('計算A'!CF$10:CF$54,$B16),0)+IF('計算A'!CG$117=1,INDEX('計算A'!CH$10:CH$54,$B16),0))*500,0)-IF(AND('計算A'!CF$117=1,XD16&gt;0),300,0)-IF(AND($L16=1,'計算A'!CG$117=1,GF16=0),300,0))),1000000))</f>
        <v/>
      </c>
      <c r="RJ16">
        <f>IF($B16=0,1000000,IF(INDEX('計算A'!$D$60:$EQ$104,$B16,83)*GF16=1,IF(AND($E16=2,LU16=0),1000000,IF($I16&gt;0,IF(4=$J16,IF(OR(AND(83=$I16+1,OR($K16&lt;&gt;'計算A'!$A$3,'計算A'!$A$4=0)),AND(83=$I16-1,OR(11&lt;&gt;'計算A'!$A$3,'計算A'!$A$4=0))),0,IF(11=$K16,200000,ABS(11-$K16)*100)),100000+ABS(4-$J16)*1000+110)+'計算A'!CH$5*50+IF(AND($E16=1,LU16=0),25,0),INDEX('計算A'!CH$110:CH$114,$F16+1)+IF(AND($E16=1,LU16=0),1000,0)+IF($H16=1,(IF('計算A'!CG$117=1,INDEX('計算A'!CG$10:CG$54,$B16),0)+IF('計算A'!CH$117=1,INDEX('計算A'!CI$10:CI$54,$B16),0))*500,0)-IF(AND('計算A'!CG$117=1,XE16&gt;0),300,0)-IF(AND($L16=1,'計算A'!CH$117=1,GG16=0),300,0))),1000000))</f>
        <v/>
      </c>
      <c r="RK16">
        <f>IF($B16=0,1000000,IF(INDEX('計算A'!$D$60:$EQ$104,$B16,84)*GG16=1,IF(AND($E16=2,LV16=0),1000000,IF($I16&gt;0,IF(4=$J16,IF(OR(AND(84=$I16+1,OR($K16&lt;&gt;'計算A'!$A$3,'計算A'!$A$4=0)),AND(84=$I16-1,OR(12&lt;&gt;'計算A'!$A$3,'計算A'!$A$4=0))),0,IF(12=$K16,200000,ABS(12-$K16)*100)),100000+ABS(4-$J16)*1000+120)+'計算A'!CI$5*50+IF(AND($E16=1,LV16=0),25,0),INDEX('計算A'!CI$110:CI$114,$F16+1)+IF(AND($E16=1,LV16=0),1000,0)+IF($H16=1,(IF('計算A'!CH$117=1,INDEX('計算A'!CH$10:CH$54,$B16),0)+IF('計算A'!CI$117=1,INDEX('計算A'!CJ$10:CJ$54,$B16),0))*500,0)-IF(AND('計算A'!CH$117=1,XF16&gt;0),300,0)-IF(AND($L16=1,'計算A'!CI$117=1,GH16=0),300,0))),1000000))</f>
        <v/>
      </c>
      <c r="RL16">
        <f>IF($B16=0,1000000,IF(INDEX('計算A'!$D$60:$EQ$104,$B16,85)*GH16=1,IF(AND($E16=2,LW16=0),1000000,IF($I16&gt;0,IF(4=$J16,IF(OR(AND(85=$I16+1,OR($K16&lt;&gt;'計算A'!$A$3,'計算A'!$A$4=0)),AND(85=$I16-1,OR(13&lt;&gt;'計算A'!$A$3,'計算A'!$A$4=0))),0,IF(13=$K16,200000,ABS(13-$K16)*100)),100000+ABS(4-$J16)*1000+130)+'計算A'!CJ$5*50+IF(AND($E16=1,LW16=0),25,0),INDEX('計算A'!CJ$110:CJ$114,$F16+1)+IF(AND($E16=1,LW16=0),1000,0)+IF($H16=1,(IF('計算A'!CI$117=1,INDEX('計算A'!CI$10:CI$54,$B16),0)+IF('計算A'!CJ$117=1,INDEX('計算A'!CK$10:CK$54,$B16),0))*500,0)-IF(AND('計算A'!CI$117=1,XG16&gt;0),300,0)-IF(AND($L16=1,'計算A'!CJ$117=1,GI16=0),300,0))),1000000))</f>
        <v/>
      </c>
      <c r="RM16">
        <f>IF($B16=0,1000000,IF(INDEX('計算A'!$D$60:$EQ$104,$B16,86)*GI16=1,IF(AND($E16=2,LX16=0),1000000,IF($I16&gt;0,IF(4=$J16,IF(OR(AND(86=$I16+1,OR($K16&lt;&gt;'計算A'!$A$3,'計算A'!$A$4=0)),AND(86=$I16-1,OR(14&lt;&gt;'計算A'!$A$3,'計算A'!$A$4=0))),0,IF(14=$K16,200000,ABS(14-$K16)*100)),100000+ABS(4-$J16)*1000+140)+'計算A'!CK$5*50+IF(AND($E16=1,LX16=0),25,0),INDEX('計算A'!CK$110:CK$114,$F16+1)+IF(AND($E16=1,LX16=0),1000,0)+IF($H16=1,(IF('計算A'!CJ$117=1,INDEX('計算A'!CJ$10:CJ$54,$B16),0)+IF('計算A'!CK$117=1,INDEX('計算A'!CL$10:CL$54,$B16),0))*500,0)-IF(AND('計算A'!CJ$117=1,XH16&gt;0),300,0)-IF(AND($L16=1,'計算A'!CK$117=1,GJ16=0),300,0))),1000000))</f>
        <v/>
      </c>
      <c r="RN16">
        <f>IF($B16=0,1000000,IF(INDEX('計算A'!$D$60:$EQ$104,$B16,87)*GJ16=1,IF(AND($E16=2,LY16=0),1000000,IF($I16&gt;0,IF(4=$J16,IF(OR(AND(87=$I16+1,OR($K16&lt;&gt;'計算A'!$A$3,'計算A'!$A$4=0)),AND(87=$I16-1,OR(15&lt;&gt;'計算A'!$A$3,'計算A'!$A$4=0))),0,IF(15=$K16,200000,ABS(15-$K16)*100)),100000+ABS(4-$J16)*1000+150)+'計算A'!CL$5*50+IF(AND($E16=1,LY16=0),25,0),INDEX('計算A'!CL$110:CL$114,$F16+1)+IF(AND($E16=1,LY16=0),1000,0)+IF($H16=1,(IF('計算A'!CK$117=1,INDEX('計算A'!CK$10:CK$54,$B16),0)+IF('計算A'!CL$117=1,INDEX('計算A'!CM$10:CM$54,$B16),0))*500,0)-IF(AND('計算A'!CK$117=1,XI16&gt;0),300,0)-IF(AND($L16=1,'計算A'!CL$117=1,GK16=0),300,0))),1000000))</f>
        <v/>
      </c>
      <c r="RO16">
        <f>IF($B16=0,1000000,IF(INDEX('計算A'!$D$60:$EQ$104,$B16,88)*GK16=1,IF(AND($E16=2,LZ16=0),1000000,IF($I16&gt;0,IF(4=$J16,IF(OR(AND(88=$I16+1,OR($K16&lt;&gt;'計算A'!$A$3,'計算A'!$A$4=0)),AND(88=$I16-1,OR(16&lt;&gt;'計算A'!$A$3,'計算A'!$A$4=0))),0,IF(16=$K16,200000,ABS(16-$K16)*100)),100000+ABS(4-$J16)*1000+160)+'計算A'!CM$5*50+IF(AND($E16=1,LZ16=0),25,0),INDEX('計算A'!CM$110:CM$114,$F16+1)+IF(AND($E16=1,LZ16=0),1000,0)+IF($H16=1,(IF('計算A'!CL$117=1,INDEX('計算A'!CL$10:CL$54,$B16),0)+IF('計算A'!CM$117=1,INDEX('計算A'!CN$10:CN$54,$B16),0))*500,0)-IF(AND('計算A'!CL$117=1,XJ16&gt;0),300,0)-IF(AND($L16=1,'計算A'!CM$117=1,GL16=0),300,0))),1000000))</f>
        <v/>
      </c>
      <c r="RP16">
        <f>IF($B16=0,1000000,IF(INDEX('計算A'!$D$60:$EQ$104,$B16,89)*GL16=1,IF(AND($E16=2,MA16=0),1000000,IF($I16&gt;0,IF(4=$J16,IF(OR(AND(89=$I16+1,OR($K16&lt;&gt;'計算A'!$A$3,'計算A'!$A$4=0)),AND(89=$I16-1,OR(17&lt;&gt;'計算A'!$A$3,'計算A'!$A$4=0))),0,IF(17=$K16,200000,ABS(17-$K16)*100)),100000+ABS(4-$J16)*1000+170)+'計算A'!CN$5*50+IF(AND($E16=1,MA16=0),25,0),INDEX('計算A'!CN$110:CN$114,$F16+1)+IF(AND($E16=1,MA16=0),1000,0)+IF($H16=1,(IF('計算A'!CM$117=1,INDEX('計算A'!CM$10:CM$54,$B16),0)+IF('計算A'!CN$117=1,INDEX('計算A'!CO$10:CO$54,$B16),0))*500,0)-IF(AND('計算A'!CM$117=1,XK16&gt;0),300,0)-IF(AND($L16=1,'計算A'!CN$117=1,GM16=0),300,0))),1000000))</f>
        <v/>
      </c>
      <c r="RQ16">
        <f>IF($B16=0,1000000,IF(INDEX('計算A'!$D$60:$EQ$104,$B16,90)*GM16=1,IF(AND($E16=2,MB16=0),1000000,IF($I16&gt;0,IF(4=$J16,IF(OR(AND(90=$I16+1,OR($K16&lt;&gt;'計算A'!$A$3,'計算A'!$A$4=0)),AND(90=$I16-1,OR(18&lt;&gt;'計算A'!$A$3,'計算A'!$A$4=0))),0,IF(18=$K16,200000,ABS(18-$K16)*100)),100000+ABS(4-$J16)*1000+180)+'計算A'!CO$5*50+IF(AND($E16=1,MB16=0),25,0),INDEX('計算A'!CO$110:CO$114,$F16+1)+IF(AND($E16=1,MB16=0),1000,0)+IF($H16=1,(IF('計算A'!CN$117=1,INDEX('計算A'!CN$10:CN$54,$B16),0)+IF('計算A'!CO$117=1,INDEX('計算A'!CP$10:CP$54,$B16),0))*500,0)-IF(AND('計算A'!CN$117=1,XL16&gt;0),300,0)-IF(AND($L16=1,'計算A'!CO$117=1,GN16=0),300,0))),1000000))</f>
        <v/>
      </c>
      <c r="RR16">
        <f>IF($B16=0,1000000,IF(INDEX('計算A'!$D$60:$EQ$104,$B16,91)*GN16=1,IF(AND($E16=2,MC16=0),1000000,IF($I16&gt;0,IF(4=$J16,IF(OR(AND(91=$I16+1,OR($K16&lt;&gt;'計算A'!$A$3,'計算A'!$A$4=0)),AND(91=$I16-1,OR(19&lt;&gt;'計算A'!$A$3,'計算A'!$A$4=0))),0,IF(19=$K16,200000,ABS(19-$K16)*100)),100000+ABS(4-$J16)*1000+190)+'計算A'!CP$5*50+IF(AND($E16=1,MC16=0),25,0),INDEX('計算A'!CP$110:CP$114,$F16+1)+IF(AND($E16=1,MC16=0),1000,0)+IF($H16=1,(IF('計算A'!CO$117=1,INDEX('計算A'!CO$10:CO$54,$B16),0)+IF('計算A'!CP$117=1,INDEX('計算A'!CQ$10:CQ$54,$B16),0))*500,0)-IF(AND('計算A'!CO$117=1,XM16&gt;0),300,0)-IF(AND($L16=1,'計算A'!CP$117=1,GO16=0),300,0))),1000000))</f>
        <v/>
      </c>
      <c r="RS16">
        <f>IF($B16=0,1000000,IF(INDEX('計算A'!$D$60:$EQ$104,$B16,92)*GO16=1,IF(AND($E16=2,MD16=0),1000000,IF($I16&gt;0,IF(4=$J16,IF(OR(AND(92=$I16+1,OR($K16&lt;&gt;'計算A'!$A$3,'計算A'!$A$4=0)),AND(92=$I16-1,OR(20&lt;&gt;'計算A'!$A$3,'計算A'!$A$4=0))),0,IF(20=$K16,200000,ABS(20-$K16)*100)),100000+ABS(4-$J16)*1000+200)+'計算A'!CQ$5*50+IF(AND($E16=1,MD16=0),25,0),INDEX('計算A'!CQ$110:CQ$114,$F16+1)+IF(AND($E16=1,MD16=0),1000,0)+IF($H16=1,(IF('計算A'!CP$117=1,INDEX('計算A'!CP$10:CP$54,$B16),0)+IF('計算A'!CQ$117=1,INDEX('計算A'!CR$10:CR$54,$B16),0))*500,0)-IF(AND('計算A'!CP$117=1,XN16&gt;0),300,0)-IF(AND($L16=1,'計算A'!CQ$117=1,GP16=0),300,0))),1000000))</f>
        <v/>
      </c>
      <c r="RT16">
        <f>IF($B16=0,1000000,IF(INDEX('計算A'!$D$60:$EQ$104,$B16,93)*GP16=1,IF(AND($E16=2,ME16=0),1000000,IF($I16&gt;0,IF(4=$J16,IF(OR(AND(93=$I16+1,OR($K16&lt;&gt;'計算A'!$A$3,'計算A'!$A$4=0)),AND(93=$I16-1,OR(21&lt;&gt;'計算A'!$A$3,'計算A'!$A$4=0))),0,IF(21=$K16,200000,ABS(21-$K16)*100)),100000+ABS(4-$J16)*1000+210)+'計算A'!CR$5*50+IF(AND($E16=1,ME16=0),25,0),INDEX('計算A'!CR$110:CR$114,$F16+1)+IF(AND($E16=1,ME16=0),1000,0)+IF($H16=1,(IF('計算A'!CQ$117=1,INDEX('計算A'!CQ$10:CQ$54,$B16),0)+IF('計算A'!CR$117=1,INDEX('計算A'!CS$10:CS$54,$B16),0))*500,0)-IF(AND('計算A'!CQ$117=1,XO16&gt;0),300,0)-IF(AND($L16=1,'計算A'!CR$117=1,GQ16=0),300,0))),1000000))</f>
        <v/>
      </c>
      <c r="RU16">
        <f>IF($B16=0,1000000,IF(INDEX('計算A'!$D$60:$EQ$104,$B16,94)*GQ16=1,IF(AND($E16=2,MF16=0),1000000,IF($I16&gt;0,IF(4=$J16,IF(OR(AND(94=$I16+1,OR($K16&lt;&gt;'計算A'!$A$3,'計算A'!$A$4=0)),AND(94=$I16-1,OR(22&lt;&gt;'計算A'!$A$3,'計算A'!$A$4=0))),0,IF(22=$K16,200000,ABS(22-$K16)*100)),100000+ABS(4-$J16)*1000+220)+'計算A'!CS$5*50+IF(AND($E16=1,MF16=0),25,0),INDEX('計算A'!CS$110:CS$114,$F16+1)+IF(AND($E16=1,MF16=0),1000,0)+IF($H16=1,(IF('計算A'!CR$117=1,INDEX('計算A'!CR$10:CR$54,$B16),0)+IF('計算A'!CS$117=1,INDEX('計算A'!CT$10:CT$54,$B16),0))*500,0)-IF(AND('計算A'!CR$117=1,XP16&gt;0),300,0)-IF(AND($L16=1,'計算A'!CS$117=1,GR16=0),300,0))),1000000))</f>
        <v/>
      </c>
      <c r="RV16">
        <f>IF($B16=0,1000000,IF(INDEX('計算A'!$D$60:$EQ$104,$B16,95)*GR16=1,IF(AND($E16=2,MG16=0),1000000,IF($I16&gt;0,IF(4=$J16,IF(OR(AND(95=$I16+1,OR($K16&lt;&gt;'計算A'!$A$3,'計算A'!$A$4=0)),AND(95=$I16-1,OR(23&lt;&gt;'計算A'!$A$3,'計算A'!$A$4=0))),0,IF(23=$K16,200000,ABS(23-$K16)*100)),100000+ABS(4-$J16)*1000+230)+'計算A'!CT$5*50+IF(AND($E16=1,MG16=0),25,0),INDEX('計算A'!CT$110:CT$114,$F16+1)+IF(AND($E16=1,MG16=0),1000,0)+IF($H16=1,(IF('計算A'!CS$117=1,INDEX('計算A'!CS$10:CS$54,$B16),0)+IF('計算A'!CT$117=1,INDEX('計算A'!CU$10:CU$54,$B16),0))*500,0)-IF(AND('計算A'!CS$117=1,XQ16&gt;0),300,0)-IF(AND($L16=1,'計算A'!CT$117=1,GS16=0),300,0))),1000000))</f>
        <v/>
      </c>
      <c r="RW16">
        <f>IF($B16=0,1000000,IF(INDEX('計算A'!$D$60:$EQ$104,$B16,96)*GS16=1,IF(AND($E16=2,MH16=0),1000000,IF($I16&gt;0,IF(4=$J16,IF(OR(AND(96=$I16+1,OR($K16&lt;&gt;'計算A'!$A$3,'計算A'!$A$4=0)),AND(96=$I16-1,OR(24&lt;&gt;'計算A'!$A$3,'計算A'!$A$4=0))),0,IF(24=$K16,200000,ABS(24-$K16)*100)),100000+ABS(4-$J16)*1000+240)+'計算A'!CU$5*50+IF(AND($E16=1,MH16=0),25,0),INDEX('計算A'!CU$110:CU$114,$F16+1)+IF(AND($E16=1,MH16=0),1000,0)+IF($H16=1,(IF('計算A'!CT$117=1,INDEX('計算A'!CT$10:CT$54,$B16),0))*500,0)-IF(AND('計算A'!CT$117=1,XR16&gt;0),300,0))),1000000))</f>
        <v/>
      </c>
      <c r="RX16">
        <f>IF($B16=0,1000000,IF(INDEX('計算A'!$D$60:$EQ$104,$B16,97)*GT16=1,IF(AND($E16=2,MI16=0),1000000,IF($I16&gt;0,IF(5=$J16,IF(OR(AND(97=$I16+1,OR($K16&lt;&gt;'計算A'!$A$3,'計算A'!$A$4=0)),AND(97=$I16-1,OR(1&lt;&gt;'計算A'!$A$3,'計算A'!$A$4=0))),0,IF(1=$K16,200000,ABS(1-$K16)*100)),100000+ABS(5-$J16)*1000+10)+'計算A'!CV$5*50+IF(AND($E16=1,MI16=0),25,0),INDEX('計算A'!CV$110:CV$114,$F16+1)+IF(AND($E16=1,MI16=0),1000,0)+IF($H16=1,(IF('計算A'!CV$117=1,INDEX('計算A'!CW$10:CW$54,$B16),0))*500,0)-IF(AND($L16=1,'計算A'!CV$117=1,GU16=0),300,0))),1000000))</f>
        <v/>
      </c>
      <c r="RY16">
        <f>IF($B16=0,1000000,IF(INDEX('計算A'!$D$60:$EQ$104,$B16,98)*GU16=1,IF(AND($E16=2,MJ16=0),1000000,IF($I16&gt;0,IF(5=$J16,IF(OR(AND(98=$I16+1,OR($K16&lt;&gt;'計算A'!$A$3,'計算A'!$A$4=0)),AND(98=$I16-1,OR(2&lt;&gt;'計算A'!$A$3,'計算A'!$A$4=0))),0,IF(2=$K16,200000,ABS(2-$K16)*100)),100000+ABS(5-$J16)*1000+20)+'計算A'!CW$5*50+IF(AND($E16=1,MJ16=0),25,0),INDEX('計算A'!CW$110:CW$114,$F16+1)+IF(AND($E16=1,MJ16=0),1000,0)+IF($H16=1,(IF('計算A'!CV$117=1,INDEX('計算A'!CV$10:CV$54,$B16),0)+IF('計算A'!CW$117=1,INDEX('計算A'!CX$10:CX$54,$B16),0))*500,0)-IF(AND('計算A'!CV$117=1,XT16&gt;0),300,0)-IF(AND($L16=1,'計算A'!CW$117=1,GV16=0),300,0))),1000000))</f>
        <v/>
      </c>
      <c r="RZ16">
        <f>IF($B16=0,1000000,IF(INDEX('計算A'!$D$60:$EQ$104,$B16,99)*GV16=1,IF(AND($E16=2,MK16=0),1000000,IF($I16&gt;0,IF(5=$J16,IF(OR(AND(99=$I16+1,OR($K16&lt;&gt;'計算A'!$A$3,'計算A'!$A$4=0)),AND(99=$I16-1,OR(3&lt;&gt;'計算A'!$A$3,'計算A'!$A$4=0))),0,IF(3=$K16,200000,ABS(3-$K16)*100)),100000+ABS(5-$J16)*1000+30)+'計算A'!CX$5*50+IF(AND($E16=1,MK16=0),25,0),INDEX('計算A'!CX$110:CX$114,$F16+1)+IF(AND($E16=1,MK16=0),1000,0)+IF($H16=1,(IF('計算A'!CW$117=1,INDEX('計算A'!CW$10:CW$54,$B16),0)+IF('計算A'!CX$117=1,INDEX('計算A'!CY$10:CY$54,$B16),0))*500,0)-IF(AND('計算A'!CW$117=1,XU16&gt;0),300,0)-IF(AND($L16=1,'計算A'!CX$117=1,GW16=0),300,0))),1000000))</f>
        <v/>
      </c>
      <c r="SA16">
        <f>IF($B16=0,1000000,IF(INDEX('計算A'!$D$60:$EQ$104,$B16,100)*GW16=1,IF(AND($E16=2,ML16=0),1000000,IF($I16&gt;0,IF(5=$J16,IF(OR(AND(100=$I16+1,OR($K16&lt;&gt;'計算A'!$A$3,'計算A'!$A$4=0)),AND(100=$I16-1,OR(4&lt;&gt;'計算A'!$A$3,'計算A'!$A$4=0))),0,IF(4=$K16,200000,ABS(4-$K16)*100)),100000+ABS(5-$J16)*1000+40)+'計算A'!CY$5*50+IF(AND($E16=1,ML16=0),25,0),INDEX('計算A'!CY$110:CY$114,$F16+1)+IF(AND($E16=1,ML16=0),1000,0)+IF($H16=1,(IF('計算A'!CX$117=1,INDEX('計算A'!CX$10:CX$54,$B16),0)+IF('計算A'!CY$117=1,INDEX('計算A'!CZ$10:CZ$54,$B16),0))*500,0)-IF(AND('計算A'!CX$117=1,XV16&gt;0),300,0)-IF(AND($L16=1,'計算A'!CY$117=1,GX16=0),300,0))),1000000))</f>
        <v/>
      </c>
      <c r="SB16">
        <f>IF($B16=0,1000000,IF(INDEX('計算A'!$D$60:$EQ$104,$B16,101)*GX16=1,IF(AND($E16=2,MM16=0),1000000,IF($I16&gt;0,IF(5=$J16,IF(OR(AND(101=$I16+1,OR($K16&lt;&gt;'計算A'!$A$3,'計算A'!$A$4=0)),AND(101=$I16-1,OR(5&lt;&gt;'計算A'!$A$3,'計算A'!$A$4=0))),0,IF(5=$K16,200000,ABS(5-$K16)*100)),100000+ABS(5-$J16)*1000+50)+'計算A'!CZ$5*50+IF(AND($E16=1,MM16=0),25,0),INDEX('計算A'!CZ$110:CZ$114,$F16+1)+IF(AND($E16=1,MM16=0),1000,0)+IF($H16=1,(IF('計算A'!CY$117=1,INDEX('計算A'!CY$10:CY$54,$B16),0)+IF('計算A'!CZ$117=1,INDEX('計算A'!DA$10:DA$54,$B16),0))*500,0)-IF(AND('計算A'!CY$117=1,XW16&gt;0),300,0)-IF(AND($L16=1,'計算A'!CZ$117=1,GY16=0),300,0))),1000000))</f>
        <v/>
      </c>
      <c r="SC16">
        <f>IF($B16=0,1000000,IF(INDEX('計算A'!$D$60:$EQ$104,$B16,102)*GY16=1,IF(AND($E16=2,MN16=0),1000000,IF($I16&gt;0,IF(5=$J16,IF(OR(AND(102=$I16+1,OR($K16&lt;&gt;'計算A'!$A$3,'計算A'!$A$4=0)),AND(102=$I16-1,OR(6&lt;&gt;'計算A'!$A$3,'計算A'!$A$4=0))),0,IF(6=$K16,200000,ABS(6-$K16)*100)),100000+ABS(5-$J16)*1000+60)+'計算A'!DA$5*50+IF(AND($E16=1,MN16=0),25,0),INDEX('計算A'!DA$110:DA$114,$F16+1)+IF(AND($E16=1,MN16=0),1000,0)+IF($H16=1,(IF('計算A'!CZ$117=1,INDEX('計算A'!CZ$10:CZ$54,$B16),0)+IF('計算A'!DA$117=1,INDEX('計算A'!DB$10:DB$54,$B16),0))*500,0)-IF(AND('計算A'!CZ$117=1,XX16&gt;0),300,0)-IF(AND($L16=1,'計算A'!DA$117=1,GZ16=0),300,0))),1000000))</f>
        <v/>
      </c>
      <c r="SD16">
        <f>IF($B16=0,1000000,IF(INDEX('計算A'!$D$60:$EQ$104,$B16,103)*GZ16=1,IF(AND($E16=2,MO16=0),1000000,IF($I16&gt;0,IF(5=$J16,IF(OR(AND(103=$I16+1,OR($K16&lt;&gt;'計算A'!$A$3,'計算A'!$A$4=0)),AND(103=$I16-1,OR(7&lt;&gt;'計算A'!$A$3,'計算A'!$A$4=0))),0,IF(7=$K16,200000,ABS(7-$K16)*100)),100000+ABS(5-$J16)*1000+70)+'計算A'!DB$5*50+IF(AND($E16=1,MO16=0),25,0),INDEX('計算A'!DB$110:DB$114,$F16+1)+IF(AND($E16=1,MO16=0),1000,0)+IF($H16=1,(IF('計算A'!DA$117=1,INDEX('計算A'!DA$10:DA$54,$B16),0)+IF('計算A'!DB$117=1,INDEX('計算A'!DC$10:DC$54,$B16),0))*500,0)-IF(AND('計算A'!DA$117=1,XY16&gt;0),300,0)-IF(AND($L16=1,'計算A'!DB$117=1,HA16=0),300,0))),1000000))</f>
        <v/>
      </c>
      <c r="SE16">
        <f>IF($B16=0,1000000,IF(INDEX('計算A'!$D$60:$EQ$104,$B16,104)*HA16=1,IF(AND($E16=2,MP16=0),1000000,IF($I16&gt;0,IF(5=$J16,IF(OR(AND(104=$I16+1,OR($K16&lt;&gt;'計算A'!$A$3,'計算A'!$A$4=0)),AND(104=$I16-1,OR(8&lt;&gt;'計算A'!$A$3,'計算A'!$A$4=0))),0,IF(8=$K16,200000,ABS(8-$K16)*100)),100000+ABS(5-$J16)*1000+80)+'計算A'!DC$5*50+IF(AND($E16=1,MP16=0),25,0),INDEX('計算A'!DC$110:DC$114,$F16+1)+IF(AND($E16=1,MP16=0),1000,0)+IF($H16=1,(IF('計算A'!DB$117=1,INDEX('計算A'!DB$10:DB$54,$B16),0)+IF('計算A'!DC$117=1,INDEX('計算A'!DD$10:DD$54,$B16),0))*500,0)-IF(AND('計算A'!DB$117=1,XZ16&gt;0),300,0)-IF(AND($L16=1,'計算A'!DC$117=1,HB16=0),300,0))),1000000))</f>
        <v/>
      </c>
      <c r="SF16">
        <f>IF($B16=0,1000000,IF(INDEX('計算A'!$D$60:$EQ$104,$B16,105)*HB16=1,IF(AND($E16=2,MQ16=0),1000000,IF($I16&gt;0,IF(5=$J16,IF(OR(AND(105=$I16+1,OR($K16&lt;&gt;'計算A'!$A$3,'計算A'!$A$4=0)),AND(105=$I16-1,OR(9&lt;&gt;'計算A'!$A$3,'計算A'!$A$4=0))),0,IF(9=$K16,200000,ABS(9-$K16)*100)),100000+ABS(5-$J16)*1000+90)+'計算A'!DD$5*50+IF(AND($E16=1,MQ16=0),25,0),INDEX('計算A'!DD$110:DD$114,$F16+1)+IF(AND($E16=1,MQ16=0),1000,0)+IF($H16=1,(IF('計算A'!DC$117=1,INDEX('計算A'!DC$10:DC$54,$B16),0)+IF('計算A'!DD$117=1,INDEX('計算A'!DE$10:DE$54,$B16),0))*500,0)-IF(AND('計算A'!DC$117=1,YA16&gt;0),300,0)-IF(AND($L16=1,'計算A'!DD$117=1,HC16=0),300,0))),1000000))</f>
        <v/>
      </c>
      <c r="SG16">
        <f>IF($B16=0,1000000,IF(INDEX('計算A'!$D$60:$EQ$104,$B16,106)*HC16=1,IF(AND($E16=2,MR16=0),1000000,IF($I16&gt;0,IF(5=$J16,IF(OR(AND(106=$I16+1,OR($K16&lt;&gt;'計算A'!$A$3,'計算A'!$A$4=0)),AND(106=$I16-1,OR(10&lt;&gt;'計算A'!$A$3,'計算A'!$A$4=0))),0,IF(10=$K16,200000,ABS(10-$K16)*100)),100000+ABS(5-$J16)*1000+100)+'計算A'!DE$5*50+IF(AND($E16=1,MR16=0),25,0),INDEX('計算A'!DE$110:DE$114,$F16+1)+IF(AND($E16=1,MR16=0),1000,0)+IF($H16=1,(IF('計算A'!DD$117=1,INDEX('計算A'!DD$10:DD$54,$B16),0)+IF('計算A'!DE$117=1,INDEX('計算A'!DF$10:DF$54,$B16),0))*500,0)-IF(AND('計算A'!DD$117=1,YB16&gt;0),300,0)-IF(AND($L16=1,'計算A'!DE$117=1,HD16=0),300,0))),1000000))</f>
        <v/>
      </c>
      <c r="SH16">
        <f>IF($B16=0,1000000,IF(INDEX('計算A'!$D$60:$EQ$104,$B16,107)*HD16=1,IF(AND($E16=2,MS16=0),1000000,IF($I16&gt;0,IF(5=$J16,IF(OR(AND(107=$I16+1,OR($K16&lt;&gt;'計算A'!$A$3,'計算A'!$A$4=0)),AND(107=$I16-1,OR(11&lt;&gt;'計算A'!$A$3,'計算A'!$A$4=0))),0,IF(11=$K16,200000,ABS(11-$K16)*100)),100000+ABS(5-$J16)*1000+110)+'計算A'!DF$5*50+IF(AND($E16=1,MS16=0),25,0),INDEX('計算A'!DF$110:DF$114,$F16+1)+IF(AND($E16=1,MS16=0),1000,0)+IF($H16=1,(IF('計算A'!DE$117=1,INDEX('計算A'!DE$10:DE$54,$B16),0)+IF('計算A'!DF$117=1,INDEX('計算A'!DG$10:DG$54,$B16),0))*500,0)-IF(AND('計算A'!DE$117=1,YC16&gt;0),300,0)-IF(AND($L16=1,'計算A'!DF$117=1,HE16=0),300,0))),1000000))</f>
        <v/>
      </c>
      <c r="SI16">
        <f>IF($B16=0,1000000,IF(INDEX('計算A'!$D$60:$EQ$104,$B16,108)*HE16=1,IF(AND($E16=2,MT16=0),1000000,IF($I16&gt;0,IF(5=$J16,IF(OR(AND(108=$I16+1,OR($K16&lt;&gt;'計算A'!$A$3,'計算A'!$A$4=0)),AND(108=$I16-1,OR(12&lt;&gt;'計算A'!$A$3,'計算A'!$A$4=0))),0,IF(12=$K16,200000,ABS(12-$K16)*100)),100000+ABS(5-$J16)*1000+120)+'計算A'!DG$5*50+IF(AND($E16=1,MT16=0),25,0),INDEX('計算A'!DG$110:DG$114,$F16+1)+IF(AND($E16=1,MT16=0),1000,0)+IF($H16=1,(IF('計算A'!DF$117=1,INDEX('計算A'!DF$10:DF$54,$B16),0)+IF('計算A'!DG$117=1,INDEX('計算A'!DH$10:DH$54,$B16),0))*500,0)-IF(AND('計算A'!DF$117=1,YD16&gt;0),300,0)-IF(AND($L16=1,'計算A'!DG$117=1,HF16=0),300,0))),1000000))</f>
        <v/>
      </c>
      <c r="SJ16">
        <f>IF($B16=0,1000000,IF(INDEX('計算A'!$D$60:$EQ$104,$B16,109)*HF16=1,IF(AND($E16=2,MU16=0),1000000,IF($I16&gt;0,IF(5=$J16,IF(OR(AND(109=$I16+1,OR($K16&lt;&gt;'計算A'!$A$3,'計算A'!$A$4=0)),AND(109=$I16-1,OR(13&lt;&gt;'計算A'!$A$3,'計算A'!$A$4=0))),0,IF(13=$K16,200000,ABS(13-$K16)*100)),100000+ABS(5-$J16)*1000+130)+'計算A'!DH$5*50+IF(AND($E16=1,MU16=0),25,0),INDEX('計算A'!DH$110:DH$114,$F16+1)+IF(AND($E16=1,MU16=0),1000,0)+IF($H16=1,(IF('計算A'!DG$117=1,INDEX('計算A'!DG$10:DG$54,$B16),0)+IF('計算A'!DH$117=1,INDEX('計算A'!DI$10:DI$54,$B16),0))*500,0)-IF(AND('計算A'!DG$117=1,YE16&gt;0),300,0)-IF(AND($L16=1,'計算A'!DH$117=1,HG16=0),300,0))),1000000))</f>
        <v/>
      </c>
      <c r="SK16">
        <f>IF($B16=0,1000000,IF(INDEX('計算A'!$D$60:$EQ$104,$B16,110)*HG16=1,IF(AND($E16=2,MV16=0),1000000,IF($I16&gt;0,IF(5=$J16,IF(OR(AND(110=$I16+1,OR($K16&lt;&gt;'計算A'!$A$3,'計算A'!$A$4=0)),AND(110=$I16-1,OR(14&lt;&gt;'計算A'!$A$3,'計算A'!$A$4=0))),0,IF(14=$K16,200000,ABS(14-$K16)*100)),100000+ABS(5-$J16)*1000+140)+'計算A'!DI$5*50+IF(AND($E16=1,MV16=0),25,0),INDEX('計算A'!DI$110:DI$114,$F16+1)+IF(AND($E16=1,MV16=0),1000,0)+IF($H16=1,(IF('計算A'!DH$117=1,INDEX('計算A'!DH$10:DH$54,$B16),0)+IF('計算A'!DI$117=1,INDEX('計算A'!DJ$10:DJ$54,$B16),0))*500,0)-IF(AND('計算A'!DH$117=1,YF16&gt;0),300,0)-IF(AND($L16=1,'計算A'!DI$117=1,HH16=0),300,0))),1000000))</f>
        <v/>
      </c>
      <c r="SL16">
        <f>IF($B16=0,1000000,IF(INDEX('計算A'!$D$60:$EQ$104,$B16,111)*HH16=1,IF(AND($E16=2,MW16=0),1000000,IF($I16&gt;0,IF(5=$J16,IF(OR(AND(111=$I16+1,OR($K16&lt;&gt;'計算A'!$A$3,'計算A'!$A$4=0)),AND(111=$I16-1,OR(15&lt;&gt;'計算A'!$A$3,'計算A'!$A$4=0))),0,IF(15=$K16,200000,ABS(15-$K16)*100)),100000+ABS(5-$J16)*1000+150)+'計算A'!DJ$5*50+IF(AND($E16=1,MW16=0),25,0),INDEX('計算A'!DJ$110:DJ$114,$F16+1)+IF(AND($E16=1,MW16=0),1000,0)+IF($H16=1,(IF('計算A'!DI$117=1,INDEX('計算A'!DI$10:DI$54,$B16),0)+IF('計算A'!DJ$117=1,INDEX('計算A'!DK$10:DK$54,$B16),0))*500,0)-IF(AND('計算A'!DI$117=1,YG16&gt;0),300,0)-IF(AND($L16=1,'計算A'!DJ$117=1,HI16=0),300,0))),1000000))</f>
        <v/>
      </c>
      <c r="SM16">
        <f>IF($B16=0,1000000,IF(INDEX('計算A'!$D$60:$EQ$104,$B16,112)*HI16=1,IF(AND($E16=2,MX16=0),1000000,IF($I16&gt;0,IF(5=$J16,IF(OR(AND(112=$I16+1,OR($K16&lt;&gt;'計算A'!$A$3,'計算A'!$A$4=0)),AND(112=$I16-1,OR(16&lt;&gt;'計算A'!$A$3,'計算A'!$A$4=0))),0,IF(16=$K16,200000,ABS(16-$K16)*100)),100000+ABS(5-$J16)*1000+160)+'計算A'!DK$5*50+IF(AND($E16=1,MX16=0),25,0),INDEX('計算A'!DK$110:DK$114,$F16+1)+IF(AND($E16=1,MX16=0),1000,0)+IF($H16=1,(IF('計算A'!DJ$117=1,INDEX('計算A'!DJ$10:DJ$54,$B16),0)+IF('計算A'!DK$117=1,INDEX('計算A'!DL$10:DL$54,$B16),0))*500,0)-IF(AND('計算A'!DJ$117=1,YH16&gt;0),300,0)-IF(AND($L16=1,'計算A'!DK$117=1,HJ16=0),300,0))),1000000))</f>
        <v/>
      </c>
      <c r="SN16">
        <f>IF($B16=0,1000000,IF(INDEX('計算A'!$D$60:$EQ$104,$B16,113)*HJ16=1,IF(AND($E16=2,MY16=0),1000000,IF($I16&gt;0,IF(5=$J16,IF(OR(AND(113=$I16+1,OR($K16&lt;&gt;'計算A'!$A$3,'計算A'!$A$4=0)),AND(113=$I16-1,OR(17&lt;&gt;'計算A'!$A$3,'計算A'!$A$4=0))),0,IF(17=$K16,200000,ABS(17-$K16)*100)),100000+ABS(5-$J16)*1000+170)+'計算A'!DL$5*50+IF(AND($E16=1,MY16=0),25,0),INDEX('計算A'!DL$110:DL$114,$F16+1)+IF(AND($E16=1,MY16=0),1000,0)+IF($H16=1,(IF('計算A'!DK$117=1,INDEX('計算A'!DK$10:DK$54,$B16),0)+IF('計算A'!DL$117=1,INDEX('計算A'!DM$10:DM$54,$B16),0))*500,0)-IF(AND('計算A'!DK$117=1,YI16&gt;0),300,0)-IF(AND($L16=1,'計算A'!DL$117=1,HK16=0),300,0))),1000000))</f>
        <v/>
      </c>
      <c r="SO16">
        <f>IF($B16=0,1000000,IF(INDEX('計算A'!$D$60:$EQ$104,$B16,114)*HK16=1,IF(AND($E16=2,MZ16=0),1000000,IF($I16&gt;0,IF(5=$J16,IF(OR(AND(114=$I16+1,OR($K16&lt;&gt;'計算A'!$A$3,'計算A'!$A$4=0)),AND(114=$I16-1,OR(18&lt;&gt;'計算A'!$A$3,'計算A'!$A$4=0))),0,IF(18=$K16,200000,ABS(18-$K16)*100)),100000+ABS(5-$J16)*1000+180)+'計算A'!DM$5*50+IF(AND($E16=1,MZ16=0),25,0),INDEX('計算A'!DM$110:DM$114,$F16+1)+IF(AND($E16=1,MZ16=0),1000,0)+IF($H16=1,(IF('計算A'!DL$117=1,INDEX('計算A'!DL$10:DL$54,$B16),0)+IF('計算A'!DM$117=1,INDEX('計算A'!DN$10:DN$54,$B16),0))*500,0)-IF(AND('計算A'!DL$117=1,YJ16&gt;0),300,0)-IF(AND($L16=1,'計算A'!DM$117=1,HL16=0),300,0))),1000000))</f>
        <v/>
      </c>
      <c r="SP16">
        <f>IF($B16=0,1000000,IF(INDEX('計算A'!$D$60:$EQ$104,$B16,115)*HL16=1,IF(AND($E16=2,NA16=0),1000000,IF($I16&gt;0,IF(5=$J16,IF(OR(AND(115=$I16+1,OR($K16&lt;&gt;'計算A'!$A$3,'計算A'!$A$4=0)),AND(115=$I16-1,OR(19&lt;&gt;'計算A'!$A$3,'計算A'!$A$4=0))),0,IF(19=$K16,200000,ABS(19-$K16)*100)),100000+ABS(5-$J16)*1000+190)+'計算A'!DN$5*50+IF(AND($E16=1,NA16=0),25,0),INDEX('計算A'!DN$110:DN$114,$F16+1)+IF(AND($E16=1,NA16=0),1000,0)+IF($H16=1,(IF('計算A'!DM$117=1,INDEX('計算A'!DM$10:DM$54,$B16),0)+IF('計算A'!DN$117=1,INDEX('計算A'!DO$10:DO$54,$B16),0))*500,0)-IF(AND('計算A'!DM$117=1,YK16&gt;0),300,0)-IF(AND($L16=1,'計算A'!DN$117=1,HM16=0),300,0))),1000000))</f>
        <v/>
      </c>
      <c r="SQ16">
        <f>IF($B16=0,1000000,IF(INDEX('計算A'!$D$60:$EQ$104,$B16,116)*HM16=1,IF(AND($E16=2,NB16=0),1000000,IF($I16&gt;0,IF(5=$J16,IF(OR(AND(116=$I16+1,OR($K16&lt;&gt;'計算A'!$A$3,'計算A'!$A$4=0)),AND(116=$I16-1,OR(20&lt;&gt;'計算A'!$A$3,'計算A'!$A$4=0))),0,IF(20=$K16,200000,ABS(20-$K16)*100)),100000+ABS(5-$J16)*1000+200)+'計算A'!DO$5*50+IF(AND($E16=1,NB16=0),25,0),INDEX('計算A'!DO$110:DO$114,$F16+1)+IF(AND($E16=1,NB16=0),1000,0)+IF($H16=1,(IF('計算A'!DN$117=1,INDEX('計算A'!DN$10:DN$54,$B16),0)+IF('計算A'!DO$117=1,INDEX('計算A'!DP$10:DP$54,$B16),0))*500,0)-IF(AND('計算A'!DN$117=1,YL16&gt;0),300,0)-IF(AND($L16=1,'計算A'!DO$117=1,HN16=0),300,0))),1000000))</f>
        <v/>
      </c>
      <c r="SR16">
        <f>IF($B16=0,1000000,IF(INDEX('計算A'!$D$60:$EQ$104,$B16,117)*HN16=1,IF(AND($E16=2,NC16=0),1000000,IF($I16&gt;0,IF(5=$J16,IF(OR(AND(117=$I16+1,OR($K16&lt;&gt;'計算A'!$A$3,'計算A'!$A$4=0)),AND(117=$I16-1,OR(21&lt;&gt;'計算A'!$A$3,'計算A'!$A$4=0))),0,IF(21=$K16,200000,ABS(21-$K16)*100)),100000+ABS(5-$J16)*1000+210)+'計算A'!DP$5*50+IF(AND($E16=1,NC16=0),25,0),INDEX('計算A'!DP$110:DP$114,$F16+1)+IF(AND($E16=1,NC16=0),1000,0)+IF($H16=1,(IF('計算A'!DO$117=1,INDEX('計算A'!DO$10:DO$54,$B16),0)+IF('計算A'!DP$117=1,INDEX('計算A'!DQ$10:DQ$54,$B16),0))*500,0)-IF(AND('計算A'!DO$117=1,YM16&gt;0),300,0)-IF(AND($L16=1,'計算A'!DP$117=1,HO16=0),300,0))),1000000))</f>
        <v/>
      </c>
      <c r="SS16">
        <f>IF($B16=0,1000000,IF(INDEX('計算A'!$D$60:$EQ$104,$B16,118)*HO16=1,IF(AND($E16=2,ND16=0),1000000,IF($I16&gt;0,IF(5=$J16,IF(OR(AND(118=$I16+1,OR($K16&lt;&gt;'計算A'!$A$3,'計算A'!$A$4=0)),AND(118=$I16-1,OR(22&lt;&gt;'計算A'!$A$3,'計算A'!$A$4=0))),0,IF(22=$K16,200000,ABS(22-$K16)*100)),100000+ABS(5-$J16)*1000+220)+'計算A'!DQ$5*50+IF(AND($E16=1,ND16=0),25,0),INDEX('計算A'!DQ$110:DQ$114,$F16+1)+IF(AND($E16=1,ND16=0),1000,0)+IF($H16=1,(IF('計算A'!DP$117=1,INDEX('計算A'!DP$10:DP$54,$B16),0)+IF('計算A'!DQ$117=1,INDEX('計算A'!DR$10:DR$54,$B16),0))*500,0)-IF(AND('計算A'!DP$117=1,YN16&gt;0),300,0)-IF(AND($L16=1,'計算A'!DQ$117=1,HP16=0),300,0))),1000000))</f>
        <v/>
      </c>
      <c r="ST16">
        <f>IF($B16=0,1000000,IF(INDEX('計算A'!$D$60:$EQ$104,$B16,119)*HP16=1,IF(AND($E16=2,NE16=0),1000000,IF($I16&gt;0,IF(5=$J16,IF(OR(AND(119=$I16+1,OR($K16&lt;&gt;'計算A'!$A$3,'計算A'!$A$4=0)),AND(119=$I16-1,OR(23&lt;&gt;'計算A'!$A$3,'計算A'!$A$4=0))),0,IF(23=$K16,200000,ABS(23-$K16)*100)),100000+ABS(5-$J16)*1000+230)+'計算A'!DR$5*50+IF(AND($E16=1,NE16=0),25,0),INDEX('計算A'!DR$110:DR$114,$F16+1)+IF(AND($E16=1,NE16=0),1000,0)+IF($H16=1,(IF('計算A'!DQ$117=1,INDEX('計算A'!DQ$10:DQ$54,$B16),0)+IF('計算A'!DR$117=1,INDEX('計算A'!DS$10:DS$54,$B16),0))*500,0)-IF(AND('計算A'!DQ$117=1,YO16&gt;0),300,0)-IF(AND($L16=1,'計算A'!DR$117=1,HQ16=0),300,0))),1000000))</f>
        <v/>
      </c>
      <c r="SU16">
        <f>IF($B16=0,1000000,IF(INDEX('計算A'!$D$60:$EQ$104,$B16,120)*HQ16=1,IF(AND($E16=2,NF16=0),1000000,IF($I16&gt;0,IF(5=$J16,IF(OR(AND(120=$I16+1,OR($K16&lt;&gt;'計算A'!$A$3,'計算A'!$A$4=0)),AND(120=$I16-1,OR(24&lt;&gt;'計算A'!$A$3,'計算A'!$A$4=0))),0,IF(24=$K16,200000,ABS(24-$K16)*100)),100000+ABS(5-$J16)*1000+240)+'計算A'!DS$5*50+IF(AND($E16=1,NF16=0),25,0),INDEX('計算A'!DS$110:DS$114,$F16+1)+IF(AND($E16=1,NF16=0),1000,0)+IF($H16=1,(IF('計算A'!DR$117=1,INDEX('計算A'!DR$10:DR$54,$B16),0))*500,0)-IF(AND('計算A'!DR$117=1,YP16&gt;0),300,0))),1000000))</f>
        <v/>
      </c>
      <c r="SV16">
        <f>IF($B16=0,1000000,IF(INDEX('計算A'!$D$60:$EQ$104,$B16,121)*HR16=1,IF(AND($E16=2,NG16=0),1000000,IF($I16&gt;0,IF(6=$J16,IF(OR(AND(121=$I16+1,OR($K16&lt;&gt;'計算A'!$A$3,'計算A'!$A$4=0)),AND(121=$I16-1,OR(1&lt;&gt;'計算A'!$A$3,'計算A'!$A$4=0))),0,IF(1=$K16,200000,ABS(1-$K16)*100)),100000+ABS(6-$J16)*1000+10)+'計算A'!DT$5*50+IF(AND($E16=1,NG16=0),25,0),INDEX('計算A'!DT$110:DT$114,$F16+1)+IF(AND($E16=1,NG16=0),1000,0)+IF($H16=1,(IF('計算A'!DT$117=1,INDEX('計算A'!DU$10:DU$54,$B16),0))*500,0)-IF(AND($L16=1,'計算A'!DT$117=1,HS16=0),300,0))),1000000))</f>
        <v/>
      </c>
      <c r="SW16">
        <f>IF($B16=0,1000000,IF(INDEX('計算A'!$D$60:$EQ$104,$B16,122)*HS16=1,IF(AND($E16=2,NH16=0),1000000,IF($I16&gt;0,IF(6=$J16,IF(OR(AND(122=$I16+1,OR($K16&lt;&gt;'計算A'!$A$3,'計算A'!$A$4=0)),AND(122=$I16-1,OR(2&lt;&gt;'計算A'!$A$3,'計算A'!$A$4=0))),0,IF(2=$K16,200000,ABS(2-$K16)*100)),100000+ABS(6-$J16)*1000+20)+'計算A'!DU$5*50+IF(AND($E16=1,NH16=0),25,0),INDEX('計算A'!DU$110:DU$114,$F16+1)+IF(AND($E16=1,NH16=0),1000,0)+IF($H16=1,(IF('計算A'!DT$117=1,INDEX('計算A'!DT$10:DT$54,$B16),0)+IF('計算A'!DU$117=1,INDEX('計算A'!DV$10:DV$54,$B16),0))*500,0)-IF(AND('計算A'!DT$117=1,YR16&gt;0),300,0)-IF(AND($L16=1,'計算A'!DU$117=1,HT16=0),300,0))),1000000))</f>
        <v/>
      </c>
      <c r="SX16">
        <f>IF($B16=0,1000000,IF(INDEX('計算A'!$D$60:$EQ$104,$B16,123)*HT16=1,IF(AND($E16=2,NI16=0),1000000,IF($I16&gt;0,IF(6=$J16,IF(OR(AND(123=$I16+1,OR($K16&lt;&gt;'計算A'!$A$3,'計算A'!$A$4=0)),AND(123=$I16-1,OR(3&lt;&gt;'計算A'!$A$3,'計算A'!$A$4=0))),0,IF(3=$K16,200000,ABS(3-$K16)*100)),100000+ABS(6-$J16)*1000+30)+'計算A'!DV$5*50+IF(AND($E16=1,NI16=0),25,0),INDEX('計算A'!DV$110:DV$114,$F16+1)+IF(AND($E16=1,NI16=0),1000,0)+IF($H16=1,(IF('計算A'!DU$117=1,INDEX('計算A'!DU$10:DU$54,$B16),0)+IF('計算A'!DV$117=1,INDEX('計算A'!DW$10:DW$54,$B16),0))*500,0)-IF(AND('計算A'!DU$117=1,YS16&gt;0),300,0)-IF(AND($L16=1,'計算A'!DV$117=1,HU16=0),300,0))),1000000))</f>
        <v/>
      </c>
      <c r="SY16">
        <f>IF($B16=0,1000000,IF(INDEX('計算A'!$D$60:$EQ$104,$B16,124)*HU16=1,IF(AND($E16=2,NJ16=0),1000000,IF($I16&gt;0,IF(6=$J16,IF(OR(AND(124=$I16+1,OR($K16&lt;&gt;'計算A'!$A$3,'計算A'!$A$4=0)),AND(124=$I16-1,OR(4&lt;&gt;'計算A'!$A$3,'計算A'!$A$4=0))),0,IF(4=$K16,200000,ABS(4-$K16)*100)),100000+ABS(6-$J16)*1000+40)+'計算A'!DW$5*50+IF(AND($E16=1,NJ16=0),25,0),INDEX('計算A'!DW$110:DW$114,$F16+1)+IF(AND($E16=1,NJ16=0),1000,0)+IF($H16=1,(IF('計算A'!DV$117=1,INDEX('計算A'!DV$10:DV$54,$B16),0)+IF('計算A'!DW$117=1,INDEX('計算A'!DX$10:DX$54,$B16),0))*500,0)-IF(AND('計算A'!DV$117=1,YT16&gt;0),300,0)-IF(AND($L16=1,'計算A'!DW$117=1,HV16=0),300,0))),1000000))</f>
        <v/>
      </c>
      <c r="SZ16">
        <f>IF($B16=0,1000000,IF(INDEX('計算A'!$D$60:$EQ$104,$B16,125)*HV16=1,IF(AND($E16=2,NK16=0),1000000,IF($I16&gt;0,IF(6=$J16,IF(OR(AND(125=$I16+1,OR($K16&lt;&gt;'計算A'!$A$3,'計算A'!$A$4=0)),AND(125=$I16-1,OR(5&lt;&gt;'計算A'!$A$3,'計算A'!$A$4=0))),0,IF(5=$K16,200000,ABS(5-$K16)*100)),100000+ABS(6-$J16)*1000+50)+'計算A'!DX$5*50+IF(AND($E16=1,NK16=0),25,0),INDEX('計算A'!DX$110:DX$114,$F16+1)+IF(AND($E16=1,NK16=0),1000,0)+IF($H16=1,(IF('計算A'!DW$117=1,INDEX('計算A'!DW$10:DW$54,$B16),0)+IF('計算A'!DX$117=1,INDEX('計算A'!DY$10:DY$54,$B16),0))*500,0)-IF(AND('計算A'!DW$117=1,YU16&gt;0),300,0)-IF(AND($L16=1,'計算A'!DX$117=1,HW16=0),300,0))),1000000))</f>
        <v/>
      </c>
      <c r="TA16">
        <f>IF($B16=0,1000000,IF(INDEX('計算A'!$D$60:$EQ$104,$B16,126)*HW16=1,IF(AND($E16=2,NL16=0),1000000,IF($I16&gt;0,IF(6=$J16,IF(OR(AND(126=$I16+1,OR($K16&lt;&gt;'計算A'!$A$3,'計算A'!$A$4=0)),AND(126=$I16-1,OR(6&lt;&gt;'計算A'!$A$3,'計算A'!$A$4=0))),0,IF(6=$K16,200000,ABS(6-$K16)*100)),100000+ABS(6-$J16)*1000+60)+'計算A'!DY$5*50+IF(AND($E16=1,NL16=0),25,0),INDEX('計算A'!DY$110:DY$114,$F16+1)+IF(AND($E16=1,NL16=0),1000,0)+IF($H16=1,(IF('計算A'!DX$117=1,INDEX('計算A'!DX$10:DX$54,$B16),0)+IF('計算A'!DY$117=1,INDEX('計算A'!DZ$10:DZ$54,$B16),0))*500,0)-IF(AND('計算A'!DX$117=1,YV16&gt;0),300,0)-IF(AND($L16=1,'計算A'!DY$117=1,HX16=0),300,0))),1000000))</f>
        <v/>
      </c>
      <c r="TB16">
        <f>IF($B16=0,1000000,IF(INDEX('計算A'!$D$60:$EQ$104,$B16,127)*HX16=1,IF(AND($E16=2,NM16=0),1000000,IF($I16&gt;0,IF(6=$J16,IF(OR(AND(127=$I16+1,OR($K16&lt;&gt;'計算A'!$A$3,'計算A'!$A$4=0)),AND(127=$I16-1,OR(7&lt;&gt;'計算A'!$A$3,'計算A'!$A$4=0))),0,IF(7=$K16,200000,ABS(7-$K16)*100)),100000+ABS(6-$J16)*1000+70)+'計算A'!DZ$5*50+IF(AND($E16=1,NM16=0),25,0),INDEX('計算A'!DZ$110:DZ$114,$F16+1)+IF(AND($E16=1,NM16=0),1000,0)+IF($H16=1,(IF('計算A'!DY$117=1,INDEX('計算A'!DY$10:DY$54,$B16),0)+IF('計算A'!DZ$117=1,INDEX('計算A'!EA$10:EA$54,$B16),0))*500,0)-IF(AND('計算A'!DY$117=1,YW16&gt;0),300,0)-IF(AND($L16=1,'計算A'!DZ$117=1,HY16=0),300,0))),1000000))</f>
        <v/>
      </c>
      <c r="TC16">
        <f>IF($B16=0,1000000,IF(INDEX('計算A'!$D$60:$EQ$104,$B16,128)*HY16=1,IF(AND($E16=2,NN16=0),1000000,IF($I16&gt;0,IF(6=$J16,IF(OR(AND(128=$I16+1,OR($K16&lt;&gt;'計算A'!$A$3,'計算A'!$A$4=0)),AND(128=$I16-1,OR(8&lt;&gt;'計算A'!$A$3,'計算A'!$A$4=0))),0,IF(8=$K16,200000,ABS(8-$K16)*100)),100000+ABS(6-$J16)*1000+80)+'計算A'!EA$5*50+IF(AND($E16=1,NN16=0),25,0),INDEX('計算A'!EA$110:EA$114,$F16+1)+IF(AND($E16=1,NN16=0),1000,0)+IF($H16=1,(IF('計算A'!DZ$117=1,INDEX('計算A'!DZ$10:DZ$54,$B16),0)+IF('計算A'!EA$117=1,INDEX('計算A'!EB$10:EB$54,$B16),0))*500,0)-IF(AND('計算A'!DZ$117=1,YX16&gt;0),300,0)-IF(AND($L16=1,'計算A'!EA$117=1,HZ16=0),300,0))),1000000))</f>
        <v/>
      </c>
      <c r="TD16">
        <f>IF($B16=0,1000000,IF(INDEX('計算A'!$D$60:$EQ$104,$B16,129)*HZ16=1,IF(AND($E16=2,NO16=0),1000000,IF($I16&gt;0,IF(6=$J16,IF(OR(AND(129=$I16+1,OR($K16&lt;&gt;'計算A'!$A$3,'計算A'!$A$4=0)),AND(129=$I16-1,OR(9&lt;&gt;'計算A'!$A$3,'計算A'!$A$4=0))),0,IF(9=$K16,200000,ABS(9-$K16)*100)),100000+ABS(6-$J16)*1000+90)+'計算A'!EB$5*50+IF(AND($E16=1,NO16=0),25,0),INDEX('計算A'!EB$110:EB$114,$F16+1)+IF(AND($E16=1,NO16=0),1000,0)+IF($H16=1,(IF('計算A'!EA$117=1,INDEX('計算A'!EA$10:EA$54,$B16),0)+IF('計算A'!EB$117=1,INDEX('計算A'!EC$10:EC$54,$B16),0))*500,0)-IF(AND('計算A'!EA$117=1,YY16&gt;0),300,0)-IF(AND($L16=1,'計算A'!EB$117=1,IA16=0),300,0))),1000000))</f>
        <v/>
      </c>
      <c r="TE16">
        <f>IF($B16=0,1000000,IF(INDEX('計算A'!$D$60:$EQ$104,$B16,130)*IA16=1,IF(AND($E16=2,NP16=0),1000000,IF($I16&gt;0,IF(6=$J16,IF(OR(AND(130=$I16+1,OR($K16&lt;&gt;'計算A'!$A$3,'計算A'!$A$4=0)),AND(130=$I16-1,OR(10&lt;&gt;'計算A'!$A$3,'計算A'!$A$4=0))),0,IF(10=$K16,200000,ABS(10-$K16)*100)),100000+ABS(6-$J16)*1000+100)+'計算A'!EC$5*50+IF(AND($E16=1,NP16=0),25,0),INDEX('計算A'!EC$110:EC$114,$F16+1)+IF(AND($E16=1,NP16=0),1000,0)+IF($H16=1,(IF('計算A'!EB$117=1,INDEX('計算A'!EB$10:EB$54,$B16),0)+IF('計算A'!EC$117=1,INDEX('計算A'!ED$10:ED$54,$B16),0))*500,0)-IF(AND('計算A'!EB$117=1,YZ16&gt;0),300,0)-IF(AND($L16=1,'計算A'!EC$117=1,IB16=0),300,0))),1000000))</f>
        <v/>
      </c>
      <c r="TF16">
        <f>IF($B16=0,1000000,IF(INDEX('計算A'!$D$60:$EQ$104,$B16,131)*IB16=1,IF(AND($E16=2,NQ16=0),1000000,IF($I16&gt;0,IF(6=$J16,IF(OR(AND(131=$I16+1,OR($K16&lt;&gt;'計算A'!$A$3,'計算A'!$A$4=0)),AND(131=$I16-1,OR(11&lt;&gt;'計算A'!$A$3,'計算A'!$A$4=0))),0,IF(11=$K16,200000,ABS(11-$K16)*100)),100000+ABS(6-$J16)*1000+110)+'計算A'!ED$5*50+IF(AND($E16=1,NQ16=0),25,0),INDEX('計算A'!ED$110:ED$114,$F16+1)+IF(AND($E16=1,NQ16=0),1000,0)+IF($H16=1,(IF('計算A'!EC$117=1,INDEX('計算A'!EC$10:EC$54,$B16),0)+IF('計算A'!ED$117=1,INDEX('計算A'!EE$10:EE$54,$B16),0))*500,0)-IF(AND('計算A'!EC$117=1,ZA16&gt;0),300,0)-IF(AND($L16=1,'計算A'!ED$117=1,IC16=0),300,0))),1000000))</f>
        <v/>
      </c>
      <c r="TG16">
        <f>IF($B16=0,1000000,IF(INDEX('計算A'!$D$60:$EQ$104,$B16,132)*IC16=1,IF(AND($E16=2,NR16=0),1000000,IF($I16&gt;0,IF(6=$J16,IF(OR(AND(132=$I16+1,OR($K16&lt;&gt;'計算A'!$A$3,'計算A'!$A$4=0)),AND(132=$I16-1,OR(12&lt;&gt;'計算A'!$A$3,'計算A'!$A$4=0))),0,IF(12=$K16,200000,ABS(12-$K16)*100)),100000+ABS(6-$J16)*1000+120)+'計算A'!EE$5*50+IF(AND($E16=1,NR16=0),25,0),INDEX('計算A'!EE$110:EE$114,$F16+1)+IF(AND($E16=1,NR16=0),1000,0)+IF($H16=1,(IF('計算A'!ED$117=1,INDEX('計算A'!ED$10:ED$54,$B16),0)+IF('計算A'!EE$117=1,INDEX('計算A'!EF$10:EF$54,$B16),0))*500,0)-IF(AND('計算A'!ED$117=1,ZB16&gt;0),300,0)-IF(AND($L16=1,'計算A'!EE$117=1,ID16=0),300,0))),1000000))</f>
        <v/>
      </c>
      <c r="TH16">
        <f>IF($B16=0,1000000,IF(INDEX('計算A'!$D$60:$EQ$104,$B16,133)*ID16=1,IF(AND($E16=2,NS16=0),1000000,IF($I16&gt;0,IF(6=$J16,IF(OR(AND(133=$I16+1,OR($K16&lt;&gt;'計算A'!$A$3,'計算A'!$A$4=0)),AND(133=$I16-1,OR(13&lt;&gt;'計算A'!$A$3,'計算A'!$A$4=0))),0,IF(13=$K16,200000,ABS(13-$K16)*100)),100000+ABS(6-$J16)*1000+130)+'計算A'!EF$5*50+IF(AND($E16=1,NS16=0),25,0),INDEX('計算A'!EF$110:EF$114,$F16+1)+IF(AND($E16=1,NS16=0),1000,0)+IF($H16=1,(IF('計算A'!EE$117=1,INDEX('計算A'!EE$10:EE$54,$B16),0)+IF('計算A'!EF$117=1,INDEX('計算A'!EG$10:EG$54,$B16),0))*500,0)-IF(AND('計算A'!EE$117=1,ZC16&gt;0),300,0)-IF(AND($L16=1,'計算A'!EF$117=1,IE16=0),300,0))),1000000))</f>
        <v/>
      </c>
      <c r="TI16">
        <f>IF($B16=0,1000000,IF(INDEX('計算A'!$D$60:$EQ$104,$B16,134)*IE16=1,IF(AND($E16=2,NT16=0),1000000,IF($I16&gt;0,IF(6=$J16,IF(OR(AND(134=$I16+1,OR($K16&lt;&gt;'計算A'!$A$3,'計算A'!$A$4=0)),AND(134=$I16-1,OR(14&lt;&gt;'計算A'!$A$3,'計算A'!$A$4=0))),0,IF(14=$K16,200000,ABS(14-$K16)*100)),100000+ABS(6-$J16)*1000+140)+'計算A'!EG$5*50+IF(AND($E16=1,NT16=0),25,0),INDEX('計算A'!EG$110:EG$114,$F16+1)+IF(AND($E16=1,NT16=0),1000,0)+IF($H16=1,(IF('計算A'!EF$117=1,INDEX('計算A'!EF$10:EF$54,$B16),0)+IF('計算A'!EG$117=1,INDEX('計算A'!EH$10:EH$54,$B16),0))*500,0)-IF(AND('計算A'!EF$117=1,ZD16&gt;0),300,0)-IF(AND($L16=1,'計算A'!EG$117=1,IF16=0),300,0))),1000000))</f>
        <v/>
      </c>
      <c r="TJ16">
        <f>IF($B16=0,1000000,IF(INDEX('計算A'!$D$60:$EQ$104,$B16,135)*IF16=1,IF(AND($E16=2,NU16=0),1000000,IF($I16&gt;0,IF(6=$J16,IF(OR(AND(135=$I16+1,OR($K16&lt;&gt;'計算A'!$A$3,'計算A'!$A$4=0)),AND(135=$I16-1,OR(15&lt;&gt;'計算A'!$A$3,'計算A'!$A$4=0))),0,IF(15=$K16,200000,ABS(15-$K16)*100)),100000+ABS(6-$J16)*1000+150)+'計算A'!EH$5*50+IF(AND($E16=1,NU16=0),25,0),INDEX('計算A'!EH$110:EH$114,$F16+1)+IF(AND($E16=1,NU16=0),1000,0)+IF($H16=1,(IF('計算A'!EG$117=1,INDEX('計算A'!EG$10:EG$54,$B16),0)+IF('計算A'!EH$117=1,INDEX('計算A'!EI$10:EI$54,$B16),0))*500,0)-IF(AND('計算A'!EG$117=1,ZE16&gt;0),300,0)-IF(AND($L16=1,'計算A'!EH$117=1,IG16=0),300,0))),1000000))</f>
        <v/>
      </c>
      <c r="TK16">
        <f>IF($B16=0,1000000,IF(INDEX('計算A'!$D$60:$EQ$104,$B16,136)*IG16=1,IF(AND($E16=2,NV16=0),1000000,IF($I16&gt;0,IF(6=$J16,IF(OR(AND(136=$I16+1,OR($K16&lt;&gt;'計算A'!$A$3,'計算A'!$A$4=0)),AND(136=$I16-1,OR(16&lt;&gt;'計算A'!$A$3,'計算A'!$A$4=0))),0,IF(16=$K16,200000,ABS(16-$K16)*100)),100000+ABS(6-$J16)*1000+160)+'計算A'!EI$5*50+IF(AND($E16=1,NV16=0),25,0),INDEX('計算A'!EI$110:EI$114,$F16+1)+IF(AND($E16=1,NV16=0),1000,0)+IF($H16=1,(IF('計算A'!EH$117=1,INDEX('計算A'!EH$10:EH$54,$B16),0)+IF('計算A'!EI$117=1,INDEX('計算A'!EJ$10:EJ$54,$B16),0))*500,0)-IF(AND('計算A'!EH$117=1,ZF16&gt;0),300,0)-IF(AND($L16=1,'計算A'!EI$117=1,IH16=0),300,0))),1000000))</f>
        <v/>
      </c>
      <c r="TL16">
        <f>IF($B16=0,1000000,IF(INDEX('計算A'!$D$60:$EQ$104,$B16,137)*IH16=1,IF(AND($E16=2,NW16=0),1000000,IF($I16&gt;0,IF(6=$J16,IF(OR(AND(137=$I16+1,OR($K16&lt;&gt;'計算A'!$A$3,'計算A'!$A$4=0)),AND(137=$I16-1,OR(17&lt;&gt;'計算A'!$A$3,'計算A'!$A$4=0))),0,IF(17=$K16,200000,ABS(17-$K16)*100)),100000+ABS(6-$J16)*1000+170)+'計算A'!EJ$5*50+IF(AND($E16=1,NW16=0),25,0),INDEX('計算A'!EJ$110:EJ$114,$F16+1)+IF(AND($E16=1,NW16=0),1000,0)+IF($H16=1,(IF('計算A'!EI$117=1,INDEX('計算A'!EI$10:EI$54,$B16),0)+IF('計算A'!EJ$117=1,INDEX('計算A'!EK$10:EK$54,$B16),0))*500,0)-IF(AND('計算A'!EI$117=1,ZG16&gt;0),300,0)-IF(AND($L16=1,'計算A'!EJ$117=1,II16=0),300,0))),1000000))</f>
        <v/>
      </c>
      <c r="TM16">
        <f>IF($B16=0,1000000,IF(INDEX('計算A'!$D$60:$EQ$104,$B16,138)*II16=1,IF(AND($E16=2,NX16=0),1000000,IF($I16&gt;0,IF(6=$J16,IF(OR(AND(138=$I16+1,OR($K16&lt;&gt;'計算A'!$A$3,'計算A'!$A$4=0)),AND(138=$I16-1,OR(18&lt;&gt;'計算A'!$A$3,'計算A'!$A$4=0))),0,IF(18=$K16,200000,ABS(18-$K16)*100)),100000+ABS(6-$J16)*1000+180)+'計算A'!EK$5*50+IF(AND($E16=1,NX16=0),25,0),INDEX('計算A'!EK$110:EK$114,$F16+1)+IF(AND($E16=1,NX16=0),1000,0)+IF($H16=1,(IF('計算A'!EJ$117=1,INDEX('計算A'!EJ$10:EJ$54,$B16),0)+IF('計算A'!EK$117=1,INDEX('計算A'!EL$10:EL$54,$B16),0))*500,0)-IF(AND('計算A'!EJ$117=1,ZH16&gt;0),300,0)-IF(AND($L16=1,'計算A'!EK$117=1,IJ16=0),300,0))),1000000))</f>
        <v/>
      </c>
      <c r="TN16">
        <f>IF($B16=0,1000000,IF(INDEX('計算A'!$D$60:$EQ$104,$B16,139)*IJ16=1,IF(AND($E16=2,NY16=0),1000000,IF($I16&gt;0,IF(6=$J16,IF(OR(AND(139=$I16+1,OR($K16&lt;&gt;'計算A'!$A$3,'計算A'!$A$4=0)),AND(139=$I16-1,OR(19&lt;&gt;'計算A'!$A$3,'計算A'!$A$4=0))),0,IF(19=$K16,200000,ABS(19-$K16)*100)),100000+ABS(6-$J16)*1000+190)+'計算A'!EL$5*50+IF(AND($E16=1,NY16=0),25,0),INDEX('計算A'!EL$110:EL$114,$F16+1)+IF(AND($E16=1,NY16=0),1000,0)+IF($H16=1,(IF('計算A'!EK$117=1,INDEX('計算A'!EK$10:EK$54,$B16),0)+IF('計算A'!EL$117=1,INDEX('計算A'!EM$10:EM$54,$B16),0))*500,0)-IF(AND('計算A'!EK$117=1,ZI16&gt;0),300,0)-IF(AND($L16=1,'計算A'!EL$117=1,IK16=0),300,0))),1000000))</f>
        <v/>
      </c>
      <c r="TO16">
        <f>IF($B16=0,1000000,IF(INDEX('計算A'!$D$60:$EQ$104,$B16,140)*IK16=1,IF(AND($E16=2,NZ16=0),1000000,IF($I16&gt;0,IF(6=$J16,IF(OR(AND(140=$I16+1,OR($K16&lt;&gt;'計算A'!$A$3,'計算A'!$A$4=0)),AND(140=$I16-1,OR(20&lt;&gt;'計算A'!$A$3,'計算A'!$A$4=0))),0,IF(20=$K16,200000,ABS(20-$K16)*100)),100000+ABS(6-$J16)*1000+200)+'計算A'!EM$5*50+IF(AND($E16=1,NZ16=0),25,0),INDEX('計算A'!EM$110:EM$114,$F16+1)+IF(AND($E16=1,NZ16=0),1000,0)+IF($H16=1,(IF('計算A'!EL$117=1,INDEX('計算A'!EL$10:EL$54,$B16),0)+IF('計算A'!EM$117=1,INDEX('計算A'!EN$10:EN$54,$B16),0))*500,0)-IF(AND('計算A'!EL$117=1,ZJ16&gt;0),300,0)-IF(AND($L16=1,'計算A'!EM$117=1,IL16=0),300,0))),1000000))</f>
        <v/>
      </c>
      <c r="TP16">
        <f>IF($B16=0,1000000,IF(INDEX('計算A'!$D$60:$EQ$104,$B16,141)*IL16=1,IF(AND($E16=2,OA16=0),1000000,IF($I16&gt;0,IF(6=$J16,IF(OR(AND(141=$I16+1,OR($K16&lt;&gt;'計算A'!$A$3,'計算A'!$A$4=0)),AND(141=$I16-1,OR(21&lt;&gt;'計算A'!$A$3,'計算A'!$A$4=0))),0,IF(21=$K16,200000,ABS(21-$K16)*100)),100000+ABS(6-$J16)*1000+210)+'計算A'!EN$5*50+IF(AND($E16=1,OA16=0),25,0),INDEX('計算A'!EN$110:EN$114,$F16+1)+IF(AND($E16=1,OA16=0),1000,0)+IF($H16=1,(IF('計算A'!EM$117=1,INDEX('計算A'!EM$10:EM$54,$B16),0)+IF('計算A'!EN$117=1,INDEX('計算A'!EO$10:EO$54,$B16),0))*500,0)-IF(AND('計算A'!EM$117=1,ZK16&gt;0),300,0)-IF(AND($L16=1,'計算A'!EN$117=1,IM16=0),300,0))),1000000))</f>
        <v/>
      </c>
      <c r="TQ16">
        <f>IF($B16=0,1000000,IF(INDEX('計算A'!$D$60:$EQ$104,$B16,142)*IM16=1,IF(AND($E16=2,OB16=0),1000000,IF($I16&gt;0,IF(6=$J16,IF(OR(AND(142=$I16+1,OR($K16&lt;&gt;'計算A'!$A$3,'計算A'!$A$4=0)),AND(142=$I16-1,OR(22&lt;&gt;'計算A'!$A$3,'計算A'!$A$4=0))),0,IF(22=$K16,200000,ABS(22-$K16)*100)),100000+ABS(6-$J16)*1000+220)+'計算A'!EO$5*50+IF(AND($E16=1,OB16=0),25,0),INDEX('計算A'!EO$110:EO$114,$F16+1)+IF(AND($E16=1,OB16=0),1000,0)+IF($H16=1,(IF('計算A'!EN$117=1,INDEX('計算A'!EN$10:EN$54,$B16),0)+IF('計算A'!EO$117=1,INDEX('計算A'!EP$10:EP$54,$B16),0))*500,0)-IF(AND('計算A'!EN$117=1,ZL16&gt;0),300,0)-IF(AND($L16=1,'計算A'!EO$117=1,IN16=0),300,0))),1000000))</f>
        <v/>
      </c>
      <c r="TR16">
        <f>IF($B16=0,1000000,IF(INDEX('計算A'!$D$60:$EQ$104,$B16,143)*IN16=1,IF(AND($E16=2,OC16=0),1000000,IF($I16&gt;0,IF(6=$J16,IF(OR(AND(143=$I16+1,OR($K16&lt;&gt;'計算A'!$A$3,'計算A'!$A$4=0)),AND(143=$I16-1,OR(23&lt;&gt;'計算A'!$A$3,'計算A'!$A$4=0))),0,IF(23=$K16,200000,ABS(23-$K16)*100)),100000+ABS(6-$J16)*1000+230)+'計算A'!EP$5*50+IF(AND($E16=1,OC16=0),25,0),INDEX('計算A'!EP$110:EP$114,$F16+1)+IF(AND($E16=1,OC16=0),1000,0)+IF($H16=1,(IF('計算A'!EO$117=1,INDEX('計算A'!EO$10:EO$54,$B16),0)+IF('計算A'!EP$117=1,INDEX('計算A'!EQ$10:EQ$54,$B16),0))*500,0)-IF(AND('計算A'!EO$117=1,ZM16&gt;0),300,0)-IF(AND($L16=1,'計算A'!EP$117=1,IO16=0),300,0))),1000000))</f>
        <v/>
      </c>
      <c r="TS16">
        <f>IF($B16=0,1000000,IF(INDEX('計算A'!$D$60:$EQ$104,$B16,144)*IO16=1,IF(AND($E16=2,OD16=0),1000000,IF($I16&gt;0,IF(6=$J16,IF(OR(AND(144=$I16+1,OR($K16&lt;&gt;'計算A'!$A$3,'計算A'!$A$4=0)),AND(144=$I16-1,OR(24&lt;&gt;'計算A'!$A$3,'計算A'!$A$4=0))),0,IF(24=$K16,200000,ABS(24-$K16)*100)),100000+ABS(6-$J16)*1000+240)+'計算A'!EQ$5*50+IF(AND($E16=1,OD16=0),25,0),INDEX('計算A'!EQ$110:EQ$114,$F16+1)+IF(AND($E16=1,OD16=0),1000,0)+IF($H16=1,(IF('計算A'!EP$117=1,INDEX('計算A'!EP$10:EP$54,$B16),0))*500,0)-IF(AND('計算A'!EP$117=1,ZN16&gt;0),300,0))),1000000))</f>
        <v/>
      </c>
      <c r="UB16">
        <f>UB15+IF(AND($C15=1,$L15=1),1,0)</f>
        <v/>
      </c>
      <c r="UC16">
        <f>UC15+IF(AND($C15=2,$L15=1),1,0)</f>
        <v/>
      </c>
      <c r="UD16">
        <f>UD15+IF(AND($C15=3,$L15=1),1,0)</f>
        <v/>
      </c>
      <c r="UE16">
        <f>UE15+IF(AND($C15=4,$L15=1),1,0)</f>
        <v/>
      </c>
      <c r="UF16">
        <f>UF15+IF(AND($C15=5,$L15=1),1,0)</f>
        <v/>
      </c>
      <c r="UG16">
        <f>UG15+IF(AND($C15=6,$L15=1),1,0)</f>
        <v/>
      </c>
      <c r="UH16">
        <f>UH15+IF(AND($C15=7,$L15=1),1,0)</f>
        <v/>
      </c>
      <c r="UI16">
        <f>UI15+IF(AND($C15=8,$L15=1),1,0)</f>
        <v/>
      </c>
      <c r="UJ16">
        <f>UJ15+IF(AND($C15=9,$L15=1),1,0)</f>
        <v/>
      </c>
      <c r="UK16">
        <f>UK15+IF(AND($C15=10,$L15=1),1,0)</f>
        <v/>
      </c>
      <c r="UL16">
        <f>UL15+IF(AND($C15=11,$L15=1),1,0)</f>
        <v/>
      </c>
      <c r="UM16">
        <f>UM15+IF(AND($C15=12,$L15=1),1,0)</f>
        <v/>
      </c>
      <c r="UN16">
        <f>UN15+IF(AND($C15=13,$L15=1),1,0)</f>
        <v/>
      </c>
      <c r="UO16">
        <f>UO15+IF(AND($C15=14,$L15=1),1,0)</f>
        <v/>
      </c>
      <c r="UP16">
        <f>UP15+IF(AND($C15=15,$L15=1),1,0)</f>
        <v/>
      </c>
      <c r="UQ16">
        <f>UQ15+IF(AND($C15=16,$L15=1),1,0)</f>
        <v/>
      </c>
      <c r="UR16">
        <f>UR15+IF(AND($C15=17,$L15=1),1,0)</f>
        <v/>
      </c>
      <c r="US16">
        <f>US15+IF(AND($C15=18,$L15=1),1,0)</f>
        <v/>
      </c>
      <c r="UT16">
        <f>UT15+IF(AND($C15=19,$L15=1),1,0)</f>
        <v/>
      </c>
      <c r="UU16">
        <f>UU15+IF(AND($C15=20,$L15=1),1,0)</f>
        <v/>
      </c>
      <c r="UV16">
        <f>UV15+IF(AND($C15=21,$L15=1),1,0)</f>
        <v/>
      </c>
      <c r="UW16">
        <f>UW15+IF(AND($C15=22,$L15=1),1,0)</f>
        <v/>
      </c>
      <c r="UX16">
        <f>UX15+IF(AND($C15=23,$L15=1),1,0)</f>
        <v/>
      </c>
      <c r="UY16">
        <f>UY15+IF(AND($C15=24,$L15=1),1,0)</f>
        <v/>
      </c>
      <c r="UZ16">
        <f>UZ15+IF(AND($C15=25,$L15=1),1,0)</f>
        <v/>
      </c>
      <c r="VA16">
        <f>VA15+IF(AND($C15=26,$L15=1),1,0)</f>
        <v/>
      </c>
      <c r="VB16">
        <f>VB15+IF(AND($C15=27,$L15=1),1,0)</f>
        <v/>
      </c>
      <c r="VC16">
        <f>VC15+IF(AND($C15=28,$L15=1),1,0)</f>
        <v/>
      </c>
      <c r="VD16">
        <f>VD15+IF(AND($C15=29,$L15=1),1,0)</f>
        <v/>
      </c>
      <c r="VE16">
        <f>VE15+IF(AND($C15=30,$L15=1),1,0)</f>
        <v/>
      </c>
      <c r="VF16">
        <f>VF15+IF(AND($C15=31,$L15=1),1,0)</f>
        <v/>
      </c>
      <c r="VG16">
        <f>VG15+IF(AND($C15=32,$L15=1),1,0)</f>
        <v/>
      </c>
      <c r="VH16">
        <f>VH15+IF(AND($C15=33,$L15=1),1,0)</f>
        <v/>
      </c>
      <c r="VI16">
        <f>VI15+IF(AND($C15=34,$L15=1),1,0)</f>
        <v/>
      </c>
      <c r="VJ16">
        <f>VJ15+IF(AND($C15=35,$L15=1),1,0)</f>
        <v/>
      </c>
      <c r="VK16">
        <f>VK15+IF(AND($C15=36,$L15=1),1,0)</f>
        <v/>
      </c>
      <c r="VL16">
        <f>VL15+IF(AND($C15=37,$L15=1),1,0)</f>
        <v/>
      </c>
      <c r="VM16">
        <f>VM15+IF(AND($C15=38,$L15=1),1,0)</f>
        <v/>
      </c>
      <c r="VN16">
        <f>VN15+IF(AND($C15=39,$L15=1),1,0)</f>
        <v/>
      </c>
      <c r="VO16">
        <f>VO15+IF(AND($C15=40,$L15=1),1,0)</f>
        <v/>
      </c>
      <c r="VP16">
        <f>VP15+IF(AND($C15=41,$L15=1),1,0)</f>
        <v/>
      </c>
      <c r="VQ16">
        <f>VQ15+IF(AND($C15=42,$L15=1),1,0)</f>
        <v/>
      </c>
      <c r="VR16">
        <f>VR15+IF(AND($C15=43,$L15=1),1,0)</f>
        <v/>
      </c>
      <c r="VS16">
        <f>VS15+IF(AND($C15=44,$L15=1),1,0)</f>
        <v/>
      </c>
      <c r="VT16">
        <f>VT15+IF(AND($C15=45,$L15=1),1,0)</f>
        <v/>
      </c>
      <c r="VU16">
        <f>VU15+IF(AND($C15=46,$L15=1),1,0)</f>
        <v/>
      </c>
      <c r="VV16">
        <f>VV15+IF(AND($C15=47,$L15=1),1,0)</f>
        <v/>
      </c>
      <c r="VW16">
        <f>VW15+IF(AND($C15=48,$L15=1),1,0)</f>
        <v/>
      </c>
      <c r="VX16">
        <f>VX15+IF(AND($C15=49,$L15=1),1,0)</f>
        <v/>
      </c>
      <c r="VY16">
        <f>VY15+IF(AND($C15=50,$L15=1),1,0)</f>
        <v/>
      </c>
      <c r="VZ16">
        <f>VZ15+IF(AND($C15=51,$L15=1),1,0)</f>
        <v/>
      </c>
      <c r="WA16">
        <f>WA15+IF(AND($C15=52,$L15=1),1,0)</f>
        <v/>
      </c>
      <c r="WB16">
        <f>WB15+IF(AND($C15=53,$L15=1),1,0)</f>
        <v/>
      </c>
      <c r="WC16">
        <f>WC15+IF(AND($C15=54,$L15=1),1,0)</f>
        <v/>
      </c>
      <c r="WD16">
        <f>WD15+IF(AND($C15=55,$L15=1),1,0)</f>
        <v/>
      </c>
      <c r="WE16">
        <f>WE15+IF(AND($C15=56,$L15=1),1,0)</f>
        <v/>
      </c>
      <c r="WF16">
        <f>WF15+IF(AND($C15=57,$L15=1),1,0)</f>
        <v/>
      </c>
      <c r="WG16">
        <f>WG15+IF(AND($C15=58,$L15=1),1,0)</f>
        <v/>
      </c>
      <c r="WH16">
        <f>WH15+IF(AND($C15=59,$L15=1),1,0)</f>
        <v/>
      </c>
      <c r="WI16">
        <f>WI15+IF(AND($C15=60,$L15=1),1,0)</f>
        <v/>
      </c>
      <c r="WJ16">
        <f>WJ15+IF(AND($C15=61,$L15=1),1,0)</f>
        <v/>
      </c>
      <c r="WK16">
        <f>WK15+IF(AND($C15=62,$L15=1),1,0)</f>
        <v/>
      </c>
      <c r="WL16">
        <f>WL15+IF(AND($C15=63,$L15=1),1,0)</f>
        <v/>
      </c>
      <c r="WM16">
        <f>WM15+IF(AND($C15=64,$L15=1),1,0)</f>
        <v/>
      </c>
      <c r="WN16">
        <f>WN15+IF(AND($C15=65,$L15=1),1,0)</f>
        <v/>
      </c>
      <c r="WO16">
        <f>WO15+IF(AND($C15=66,$L15=1),1,0)</f>
        <v/>
      </c>
      <c r="WP16">
        <f>WP15+IF(AND($C15=67,$L15=1),1,0)</f>
        <v/>
      </c>
      <c r="WQ16">
        <f>WQ15+IF(AND($C15=68,$L15=1),1,0)</f>
        <v/>
      </c>
      <c r="WR16">
        <f>WR15+IF(AND($C15=69,$L15=1),1,0)</f>
        <v/>
      </c>
      <c r="WS16">
        <f>WS15+IF(AND($C15=70,$L15=1),1,0)</f>
        <v/>
      </c>
      <c r="WT16">
        <f>WT15+IF(AND($C15=71,$L15=1),1,0)</f>
        <v/>
      </c>
      <c r="WU16">
        <f>WU15+IF(AND($C15=72,$L15=1),1,0)</f>
        <v/>
      </c>
      <c r="WV16">
        <f>WV15+IF(AND($C15=73,$L15=1),1,0)</f>
        <v/>
      </c>
      <c r="WW16">
        <f>WW15+IF(AND($C15=74,$L15=1),1,0)</f>
        <v/>
      </c>
      <c r="WX16">
        <f>WX15+IF(AND($C15=75,$L15=1),1,0)</f>
        <v/>
      </c>
      <c r="WY16">
        <f>WY15+IF(AND($C15=76,$L15=1),1,0)</f>
        <v/>
      </c>
      <c r="WZ16">
        <f>WZ15+IF(AND($C15=77,$L15=1),1,0)</f>
        <v/>
      </c>
      <c r="XA16">
        <f>XA15+IF(AND($C15=78,$L15=1),1,0)</f>
        <v/>
      </c>
      <c r="XB16">
        <f>XB15+IF(AND($C15=79,$L15=1),1,0)</f>
        <v/>
      </c>
      <c r="XC16">
        <f>XC15+IF(AND($C15=80,$L15=1),1,0)</f>
        <v/>
      </c>
      <c r="XD16">
        <f>XD15+IF(AND($C15=81,$L15=1),1,0)</f>
        <v/>
      </c>
      <c r="XE16">
        <f>XE15+IF(AND($C15=82,$L15=1),1,0)</f>
        <v/>
      </c>
      <c r="XF16">
        <f>XF15+IF(AND($C15=83,$L15=1),1,0)</f>
        <v/>
      </c>
      <c r="XG16">
        <f>XG15+IF(AND($C15=84,$L15=1),1,0)</f>
        <v/>
      </c>
      <c r="XH16">
        <f>XH15+IF(AND($C15=85,$L15=1),1,0)</f>
        <v/>
      </c>
      <c r="XI16">
        <f>XI15+IF(AND($C15=86,$L15=1),1,0)</f>
        <v/>
      </c>
      <c r="XJ16">
        <f>XJ15+IF(AND($C15=87,$L15=1),1,0)</f>
        <v/>
      </c>
      <c r="XK16">
        <f>XK15+IF(AND($C15=88,$L15=1),1,0)</f>
        <v/>
      </c>
      <c r="XL16">
        <f>XL15+IF(AND($C15=89,$L15=1),1,0)</f>
        <v/>
      </c>
      <c r="XM16">
        <f>XM15+IF(AND($C15=90,$L15=1),1,0)</f>
        <v/>
      </c>
      <c r="XN16">
        <f>XN15+IF(AND($C15=91,$L15=1),1,0)</f>
        <v/>
      </c>
      <c r="XO16">
        <f>XO15+IF(AND($C15=92,$L15=1),1,0)</f>
        <v/>
      </c>
      <c r="XP16">
        <f>XP15+IF(AND($C15=93,$L15=1),1,0)</f>
        <v/>
      </c>
      <c r="XQ16">
        <f>XQ15+IF(AND($C15=94,$L15=1),1,0)</f>
        <v/>
      </c>
      <c r="XR16">
        <f>XR15+IF(AND($C15=95,$L15=1),1,0)</f>
        <v/>
      </c>
      <c r="XS16">
        <f>XS15+IF(AND($C15=96,$L15=1),1,0)</f>
        <v/>
      </c>
      <c r="XT16">
        <f>XT15+IF(AND($C15=97,$L15=1),1,0)</f>
        <v/>
      </c>
      <c r="XU16">
        <f>XU15+IF(AND($C15=98,$L15=1),1,0)</f>
        <v/>
      </c>
      <c r="XV16">
        <f>XV15+IF(AND($C15=99,$L15=1),1,0)</f>
        <v/>
      </c>
      <c r="XW16">
        <f>XW15+IF(AND($C15=100,$L15=1),1,0)</f>
        <v/>
      </c>
      <c r="XX16">
        <f>XX15+IF(AND($C15=101,$L15=1),1,0)</f>
        <v/>
      </c>
      <c r="XY16">
        <f>XY15+IF(AND($C15=102,$L15=1),1,0)</f>
        <v/>
      </c>
      <c r="XZ16">
        <f>XZ15+IF(AND($C15=103,$L15=1),1,0)</f>
        <v/>
      </c>
      <c r="YA16">
        <f>YA15+IF(AND($C15=104,$L15=1),1,0)</f>
        <v/>
      </c>
      <c r="YB16">
        <f>YB15+IF(AND($C15=105,$L15=1),1,0)</f>
        <v/>
      </c>
      <c r="YC16">
        <f>YC15+IF(AND($C15=106,$L15=1),1,0)</f>
        <v/>
      </c>
      <c r="YD16">
        <f>YD15+IF(AND($C15=107,$L15=1),1,0)</f>
        <v/>
      </c>
      <c r="YE16">
        <f>YE15+IF(AND($C15=108,$L15=1),1,0)</f>
        <v/>
      </c>
      <c r="YF16">
        <f>YF15+IF(AND($C15=109,$L15=1),1,0)</f>
        <v/>
      </c>
      <c r="YG16">
        <f>YG15+IF(AND($C15=110,$L15=1),1,0)</f>
        <v/>
      </c>
      <c r="YH16">
        <f>YH15+IF(AND($C15=111,$L15=1),1,0)</f>
        <v/>
      </c>
      <c r="YI16">
        <f>YI15+IF(AND($C15=112,$L15=1),1,0)</f>
        <v/>
      </c>
      <c r="YJ16">
        <f>YJ15+IF(AND($C15=113,$L15=1),1,0)</f>
        <v/>
      </c>
      <c r="YK16">
        <f>YK15+IF(AND($C15=114,$L15=1),1,0)</f>
        <v/>
      </c>
      <c r="YL16">
        <f>YL15+IF(AND($C15=115,$L15=1),1,0)</f>
        <v/>
      </c>
      <c r="YM16">
        <f>YM15+IF(AND($C15=116,$L15=1),1,0)</f>
        <v/>
      </c>
      <c r="YN16">
        <f>YN15+IF(AND($C15=117,$L15=1),1,0)</f>
        <v/>
      </c>
      <c r="YO16">
        <f>YO15+IF(AND($C15=118,$L15=1),1,0)</f>
        <v/>
      </c>
      <c r="YP16">
        <f>YP15+IF(AND($C15=119,$L15=1),1,0)</f>
        <v/>
      </c>
      <c r="YQ16">
        <f>YQ15+IF(AND($C15=120,$L15=1),1,0)</f>
        <v/>
      </c>
      <c r="YR16">
        <f>YR15+IF(AND($C15=121,$L15=1),1,0)</f>
        <v/>
      </c>
      <c r="YS16">
        <f>YS15+IF(AND($C15=122,$L15=1),1,0)</f>
        <v/>
      </c>
      <c r="YT16">
        <f>YT15+IF(AND($C15=123,$L15=1),1,0)</f>
        <v/>
      </c>
      <c r="YU16">
        <f>YU15+IF(AND($C15=124,$L15=1),1,0)</f>
        <v/>
      </c>
      <c r="YV16">
        <f>YV15+IF(AND($C15=125,$L15=1),1,0)</f>
        <v/>
      </c>
      <c r="YW16">
        <f>YW15+IF(AND($C15=126,$L15=1),1,0)</f>
        <v/>
      </c>
      <c r="YX16">
        <f>YX15+IF(AND($C15=127,$L15=1),1,0)</f>
        <v/>
      </c>
      <c r="YY16">
        <f>YY15+IF(AND($C15=128,$L15=1),1,0)</f>
        <v/>
      </c>
      <c r="YZ16">
        <f>YZ15+IF(AND($C15=129,$L15=1),1,0)</f>
        <v/>
      </c>
      <c r="ZA16">
        <f>ZA15+IF(AND($C15=130,$L15=1),1,0)</f>
        <v/>
      </c>
      <c r="ZB16">
        <f>ZB15+IF(AND($C15=131,$L15=1),1,0)</f>
        <v/>
      </c>
      <c r="ZC16">
        <f>ZC15+IF(AND($C15=132,$L15=1),1,0)</f>
        <v/>
      </c>
      <c r="ZD16">
        <f>ZD15+IF(AND($C15=133,$L15=1),1,0)</f>
        <v/>
      </c>
      <c r="ZE16">
        <f>ZE15+IF(AND($C15=134,$L15=1),1,0)</f>
        <v/>
      </c>
      <c r="ZF16">
        <f>ZF15+IF(AND($C15=135,$L15=1),1,0)</f>
        <v/>
      </c>
      <c r="ZG16">
        <f>ZG15+IF(AND($C15=136,$L15=1),1,0)</f>
        <v/>
      </c>
      <c r="ZH16">
        <f>ZH15+IF(AND($C15=137,$L15=1),1,0)</f>
        <v/>
      </c>
      <c r="ZI16">
        <f>ZI15+IF(AND($C15=138,$L15=1),1,0)</f>
        <v/>
      </c>
      <c r="ZJ16">
        <f>ZJ15+IF(AND($C15=139,$L15=1),1,0)</f>
        <v/>
      </c>
      <c r="ZK16">
        <f>ZK15+IF(AND($C15=140,$L15=1),1,0)</f>
        <v/>
      </c>
      <c r="ZL16">
        <f>ZL15+IF(AND($C15=141,$L15=1),1,0)</f>
        <v/>
      </c>
      <c r="ZM16">
        <f>ZM15+IF(AND($C15=142,$L15=1),1,0)</f>
        <v/>
      </c>
      <c r="ZN16">
        <f>ZN15+IF(AND($C15=143,$L15=1),1,0)</f>
        <v/>
      </c>
      <c r="ZO16">
        <f>ZO15+IF(AND($C15=144,$L15=1),1,0)</f>
        <v/>
      </c>
    </row>
    <row r="17">
      <c r="A17" t="n">
        <v>15</v>
      </c>
      <c r="B17">
        <f>IF(MIN(BH17:CZ17)&gt;=1000000,0,MATCH(MIN(BH17:CZ17),BH17:CZ17,0))</f>
        <v/>
      </c>
      <c r="C17">
        <f>IF(MIN(OF17:TS17)&gt;=1000000,0,MATCH(MIN(OF17:TS17),OF17:TS17,0))</f>
        <v/>
      </c>
      <c r="D17">
        <f>IF(C17&gt;0,INDEX('計算A'!$D$5:$EQ$5,C17),0)</f>
        <v/>
      </c>
      <c r="E17">
        <f>IF(B17=0,0,INDEX('計算A'!$IQ$10:$IQ$54,B17))</f>
        <v/>
      </c>
      <c r="F17">
        <f>IF(B17=0,0,INDEX('計算A'!$IP$10:$IP$54,B17))</f>
        <v/>
      </c>
      <c r="G17">
        <f>IF(AND(C17&gt;0,E17&gt;0),IF(AND(INDEX('計算A'!$D$106:$EQ$106,C17)=1,INDEX($IQ17:$OD17,C17)=1),C17+1,0),0)</f>
        <v/>
      </c>
      <c r="H17">
        <f>IF(B17=0,0,INDEX('計算A'!$IW$10:$IW$54,B17))</f>
        <v/>
      </c>
      <c r="I17">
        <f>IF(B17=0,0,MAX(0,INDEX('計算A'!$IT$10:$IT$54,B17)))</f>
        <v/>
      </c>
      <c r="J17">
        <f>IF(I17=0,0,INDEX('計算A'!$D$2:$EQ$2,I17))</f>
        <v/>
      </c>
      <c r="K17">
        <f>IF(I17=0,0,INDEX('計算A'!$D$3:$EQ$3,I17))</f>
        <v/>
      </c>
      <c r="L17">
        <f>IF(B17=0,0,INDEX('計算A'!$IX$10:$IX$54,B17))</f>
        <v/>
      </c>
      <c r="N17">
        <f>MAX(N16,IF($B16=1,1,0))</f>
        <v/>
      </c>
      <c r="O17">
        <f>MAX(O16,IF($B16=2,1,0))</f>
        <v/>
      </c>
      <c r="P17">
        <f>MAX(P16,IF($B16=3,1,0))</f>
        <v/>
      </c>
      <c r="Q17">
        <f>MAX(Q16,IF($B16=4,1,0))</f>
        <v/>
      </c>
      <c r="R17">
        <f>MAX(R16,IF($B16=5,1,0))</f>
        <v/>
      </c>
      <c r="S17">
        <f>MAX(S16,IF($B16=6,1,0))</f>
        <v/>
      </c>
      <c r="T17">
        <f>MAX(T16,IF($B16=7,1,0))</f>
        <v/>
      </c>
      <c r="U17">
        <f>MAX(U16,IF($B16=8,1,0))</f>
        <v/>
      </c>
      <c r="V17">
        <f>MAX(V16,IF($B16=9,1,0))</f>
        <v/>
      </c>
      <c r="W17">
        <f>MAX(W16,IF($B16=10,1,0))</f>
        <v/>
      </c>
      <c r="X17">
        <f>MAX(X16,IF($B16=11,1,0))</f>
        <v/>
      </c>
      <c r="Y17">
        <f>MAX(Y16,IF($B16=12,1,0))</f>
        <v/>
      </c>
      <c r="Z17">
        <f>MAX(Z16,IF($B16=13,1,0))</f>
        <v/>
      </c>
      <c r="AA17">
        <f>MAX(AA16,IF($B16=14,1,0))</f>
        <v/>
      </c>
      <c r="AB17">
        <f>MAX(AB16,IF($B16=15,1,0))</f>
        <v/>
      </c>
      <c r="AC17">
        <f>MAX(AC16,IF($B16=16,1,0))</f>
        <v/>
      </c>
      <c r="AD17">
        <f>MAX(AD16,IF($B16=17,1,0))</f>
        <v/>
      </c>
      <c r="AE17">
        <f>MAX(AE16,IF($B16=18,1,0))</f>
        <v/>
      </c>
      <c r="AF17">
        <f>MAX(AF16,IF($B16=19,1,0))</f>
        <v/>
      </c>
      <c r="AG17">
        <f>MAX(AG16,IF($B16=20,1,0))</f>
        <v/>
      </c>
      <c r="AH17">
        <f>MAX(AH16,IF($B16=21,1,0))</f>
        <v/>
      </c>
      <c r="AI17">
        <f>MAX(AI16,IF($B16=22,1,0))</f>
        <v/>
      </c>
      <c r="AJ17">
        <f>MAX(AJ16,IF($B16=23,1,0))</f>
        <v/>
      </c>
      <c r="AK17">
        <f>MAX(AK16,IF($B16=24,1,0))</f>
        <v/>
      </c>
      <c r="AL17">
        <f>MAX(AL16,IF($B16=25,1,0))</f>
        <v/>
      </c>
      <c r="AM17">
        <f>MAX(AM16,IF($B16=26,1,0))</f>
        <v/>
      </c>
      <c r="AN17">
        <f>MAX(AN16,IF($B16=27,1,0))</f>
        <v/>
      </c>
      <c r="AO17">
        <f>MAX(AO16,IF($B16=28,1,0))</f>
        <v/>
      </c>
      <c r="AP17">
        <f>MAX(AP16,IF($B16=29,1,0))</f>
        <v/>
      </c>
      <c r="AQ17">
        <f>MAX(AQ16,IF($B16=30,1,0))</f>
        <v/>
      </c>
      <c r="AR17">
        <f>MAX(AR16,IF($B16=31,1,0))</f>
        <v/>
      </c>
      <c r="AS17">
        <f>MAX(AS16,IF($B16=32,1,0))</f>
        <v/>
      </c>
      <c r="AT17">
        <f>MAX(AT16,IF($B16=33,1,0))</f>
        <v/>
      </c>
      <c r="AU17">
        <f>MAX(AU16,IF($B16=34,1,0))</f>
        <v/>
      </c>
      <c r="AV17">
        <f>MAX(AV16,IF($B16=35,1,0))</f>
        <v/>
      </c>
      <c r="AW17">
        <f>MAX(AW16,IF($B16=36,1,0))</f>
        <v/>
      </c>
      <c r="AX17">
        <f>MAX(AX16,IF($B16=37,1,0))</f>
        <v/>
      </c>
      <c r="AY17">
        <f>MAX(AY16,IF($B16=38,1,0))</f>
        <v/>
      </c>
      <c r="AZ17">
        <f>MAX(AZ16,IF($B16=39,1,0))</f>
        <v/>
      </c>
      <c r="BA17">
        <f>MAX(BA16,IF($B16=40,1,0))</f>
        <v/>
      </c>
      <c r="BB17">
        <f>MAX(BB16,IF($B16=41,1,0))</f>
        <v/>
      </c>
      <c r="BC17">
        <f>MAX(BC16,IF($B16=42,1,0))</f>
        <v/>
      </c>
      <c r="BD17">
        <f>MAX(BD16,IF($B16=43,1,0))</f>
        <v/>
      </c>
      <c r="BE17">
        <f>MAX(BE16,IF($B16=44,1,0))</f>
        <v/>
      </c>
      <c r="BF17">
        <f>MAX(BF16,IF($B16=45,1,0))</f>
        <v/>
      </c>
      <c r="BH17">
        <f>IF(N17=1,1000000,IF('計算A'!$IT$10&gt;0,0,500000)+IF('計算A'!$IQ$10=2,SUMPRODUCT('計算A'!$D$60:$EQ$60,$DB17:$IO17,$IQ17:$OD17),SUMPRODUCT('計算A'!$D$60:$EQ$60,$DB17:$IO17))*1000+1)</f>
        <v/>
      </c>
      <c r="BI17">
        <f>IF(O17=1,1000000,IF('計算A'!$IT$11&gt;0,0,500000)+IF('計算A'!$IQ$11=2,SUMPRODUCT('計算A'!$D$61:$EQ$61,$DB17:$IO17,$IQ17:$OD17),SUMPRODUCT('計算A'!$D$61:$EQ$61,$DB17:$IO17))*1000+2)</f>
        <v/>
      </c>
      <c r="BJ17">
        <f>IF(P17=1,1000000,IF('計算A'!$IT$12&gt;0,0,500000)+IF('計算A'!$IQ$12=2,SUMPRODUCT('計算A'!$D$62:$EQ$62,$DB17:$IO17,$IQ17:$OD17),SUMPRODUCT('計算A'!$D$62:$EQ$62,$DB17:$IO17))*1000+3)</f>
        <v/>
      </c>
      <c r="BK17">
        <f>IF(Q17=1,1000000,IF('計算A'!$IT$13&gt;0,0,500000)+IF('計算A'!$IQ$13=2,SUMPRODUCT('計算A'!$D$63:$EQ$63,$DB17:$IO17,$IQ17:$OD17),SUMPRODUCT('計算A'!$D$63:$EQ$63,$DB17:$IO17))*1000+4)</f>
        <v/>
      </c>
      <c r="BL17">
        <f>IF(R17=1,1000000,IF('計算A'!$IT$14&gt;0,0,500000)+IF('計算A'!$IQ$14=2,SUMPRODUCT('計算A'!$D$64:$EQ$64,$DB17:$IO17,$IQ17:$OD17),SUMPRODUCT('計算A'!$D$64:$EQ$64,$DB17:$IO17))*1000+5)</f>
        <v/>
      </c>
      <c r="BM17">
        <f>IF(S17=1,1000000,IF('計算A'!$IT$15&gt;0,0,500000)+IF('計算A'!$IQ$15=2,SUMPRODUCT('計算A'!$D$65:$EQ$65,$DB17:$IO17,$IQ17:$OD17),SUMPRODUCT('計算A'!$D$65:$EQ$65,$DB17:$IO17))*1000+6)</f>
        <v/>
      </c>
      <c r="BN17">
        <f>IF(T17=1,1000000,IF('計算A'!$IT$16&gt;0,0,500000)+IF('計算A'!$IQ$16=2,SUMPRODUCT('計算A'!$D$66:$EQ$66,$DB17:$IO17,$IQ17:$OD17),SUMPRODUCT('計算A'!$D$66:$EQ$66,$DB17:$IO17))*1000+7)</f>
        <v/>
      </c>
      <c r="BO17">
        <f>IF(U17=1,1000000,IF('計算A'!$IT$17&gt;0,0,500000)+IF('計算A'!$IQ$17=2,SUMPRODUCT('計算A'!$D$67:$EQ$67,$DB17:$IO17,$IQ17:$OD17),SUMPRODUCT('計算A'!$D$67:$EQ$67,$DB17:$IO17))*1000+8)</f>
        <v/>
      </c>
      <c r="BP17">
        <f>IF(V17=1,1000000,IF('計算A'!$IT$18&gt;0,0,500000)+IF('計算A'!$IQ$18=2,SUMPRODUCT('計算A'!$D$68:$EQ$68,$DB17:$IO17,$IQ17:$OD17),SUMPRODUCT('計算A'!$D$68:$EQ$68,$DB17:$IO17))*1000+9)</f>
        <v/>
      </c>
      <c r="BQ17">
        <f>IF(W17=1,1000000,IF('計算A'!$IT$19&gt;0,0,500000)+IF('計算A'!$IQ$19=2,SUMPRODUCT('計算A'!$D$69:$EQ$69,$DB17:$IO17,$IQ17:$OD17),SUMPRODUCT('計算A'!$D$69:$EQ$69,$DB17:$IO17))*1000+10)</f>
        <v/>
      </c>
      <c r="BR17">
        <f>IF(X17=1,1000000,IF('計算A'!$IT$20&gt;0,0,500000)+IF('計算A'!$IQ$20=2,SUMPRODUCT('計算A'!$D$70:$EQ$70,$DB17:$IO17,$IQ17:$OD17),SUMPRODUCT('計算A'!$D$70:$EQ$70,$DB17:$IO17))*1000+11)</f>
        <v/>
      </c>
      <c r="BS17">
        <f>IF(Y17=1,1000000,IF('計算A'!$IT$21&gt;0,0,500000)+IF('計算A'!$IQ$21=2,SUMPRODUCT('計算A'!$D$71:$EQ$71,$DB17:$IO17,$IQ17:$OD17),SUMPRODUCT('計算A'!$D$71:$EQ$71,$DB17:$IO17))*1000+12)</f>
        <v/>
      </c>
      <c r="BT17">
        <f>IF(Z17=1,1000000,IF('計算A'!$IT$22&gt;0,0,500000)+IF('計算A'!$IQ$22=2,SUMPRODUCT('計算A'!$D$72:$EQ$72,$DB17:$IO17,$IQ17:$OD17),SUMPRODUCT('計算A'!$D$72:$EQ$72,$DB17:$IO17))*1000+13)</f>
        <v/>
      </c>
      <c r="BU17">
        <f>IF(AA17=1,1000000,IF('計算A'!$IT$23&gt;0,0,500000)+IF('計算A'!$IQ$23=2,SUMPRODUCT('計算A'!$D$73:$EQ$73,$DB17:$IO17,$IQ17:$OD17),SUMPRODUCT('計算A'!$D$73:$EQ$73,$DB17:$IO17))*1000+14)</f>
        <v/>
      </c>
      <c r="BV17">
        <f>IF(AB17=1,1000000,IF('計算A'!$IT$24&gt;0,0,500000)+IF('計算A'!$IQ$24=2,SUMPRODUCT('計算A'!$D$74:$EQ$74,$DB17:$IO17,$IQ17:$OD17),SUMPRODUCT('計算A'!$D$74:$EQ$74,$DB17:$IO17))*1000+15)</f>
        <v/>
      </c>
      <c r="BW17">
        <f>IF(AC17=1,1000000,IF('計算A'!$IT$25&gt;0,0,500000)+IF('計算A'!$IQ$25=2,SUMPRODUCT('計算A'!$D$75:$EQ$75,$DB17:$IO17,$IQ17:$OD17),SUMPRODUCT('計算A'!$D$75:$EQ$75,$DB17:$IO17))*1000+16)</f>
        <v/>
      </c>
      <c r="BX17">
        <f>IF(AD17=1,1000000,IF('計算A'!$IT$26&gt;0,0,500000)+IF('計算A'!$IQ$26=2,SUMPRODUCT('計算A'!$D$76:$EQ$76,$DB17:$IO17,$IQ17:$OD17),SUMPRODUCT('計算A'!$D$76:$EQ$76,$DB17:$IO17))*1000+17)</f>
        <v/>
      </c>
      <c r="BY17">
        <f>IF(AE17=1,1000000,IF('計算A'!$IT$27&gt;0,0,500000)+IF('計算A'!$IQ$27=2,SUMPRODUCT('計算A'!$D$77:$EQ$77,$DB17:$IO17,$IQ17:$OD17),SUMPRODUCT('計算A'!$D$77:$EQ$77,$DB17:$IO17))*1000+18)</f>
        <v/>
      </c>
      <c r="BZ17">
        <f>IF(AF17=1,1000000,IF('計算A'!$IT$28&gt;0,0,500000)+IF('計算A'!$IQ$28=2,SUMPRODUCT('計算A'!$D$78:$EQ$78,$DB17:$IO17,$IQ17:$OD17),SUMPRODUCT('計算A'!$D$78:$EQ$78,$DB17:$IO17))*1000+19)</f>
        <v/>
      </c>
      <c r="CA17">
        <f>IF(AG17=1,1000000,IF('計算A'!$IT$29&gt;0,0,500000)+IF('計算A'!$IQ$29=2,SUMPRODUCT('計算A'!$D$79:$EQ$79,$DB17:$IO17,$IQ17:$OD17),SUMPRODUCT('計算A'!$D$79:$EQ$79,$DB17:$IO17))*1000+20)</f>
        <v/>
      </c>
      <c r="CB17">
        <f>IF(AH17=1,1000000,IF('計算A'!$IT$30&gt;0,0,500000)+IF('計算A'!$IQ$30=2,SUMPRODUCT('計算A'!$D$80:$EQ$80,$DB17:$IO17,$IQ17:$OD17),SUMPRODUCT('計算A'!$D$80:$EQ$80,$DB17:$IO17))*1000+21)</f>
        <v/>
      </c>
      <c r="CC17">
        <f>IF(AI17=1,1000000,IF('計算A'!$IT$31&gt;0,0,500000)+IF('計算A'!$IQ$31=2,SUMPRODUCT('計算A'!$D$81:$EQ$81,$DB17:$IO17,$IQ17:$OD17),SUMPRODUCT('計算A'!$D$81:$EQ$81,$DB17:$IO17))*1000+22)</f>
        <v/>
      </c>
      <c r="CD17">
        <f>IF(AJ17=1,1000000,IF('計算A'!$IT$32&gt;0,0,500000)+IF('計算A'!$IQ$32=2,SUMPRODUCT('計算A'!$D$82:$EQ$82,$DB17:$IO17,$IQ17:$OD17),SUMPRODUCT('計算A'!$D$82:$EQ$82,$DB17:$IO17))*1000+23)</f>
        <v/>
      </c>
      <c r="CE17">
        <f>IF(AK17=1,1000000,IF('計算A'!$IT$33&gt;0,0,500000)+IF('計算A'!$IQ$33=2,SUMPRODUCT('計算A'!$D$83:$EQ$83,$DB17:$IO17,$IQ17:$OD17),SUMPRODUCT('計算A'!$D$83:$EQ$83,$DB17:$IO17))*1000+24)</f>
        <v/>
      </c>
      <c r="CF17">
        <f>IF(AL17=1,1000000,IF('計算A'!$IT$34&gt;0,0,500000)+IF('計算A'!$IQ$34=2,SUMPRODUCT('計算A'!$D$84:$EQ$84,$DB17:$IO17,$IQ17:$OD17),SUMPRODUCT('計算A'!$D$84:$EQ$84,$DB17:$IO17))*1000+25)</f>
        <v/>
      </c>
      <c r="CG17">
        <f>IF(AM17=1,1000000,IF('計算A'!$IT$35&gt;0,0,500000)+IF('計算A'!$IQ$35=2,SUMPRODUCT('計算A'!$D$85:$EQ$85,$DB17:$IO17,$IQ17:$OD17),SUMPRODUCT('計算A'!$D$85:$EQ$85,$DB17:$IO17))*1000+26)</f>
        <v/>
      </c>
      <c r="CH17">
        <f>IF(AN17=1,1000000,IF('計算A'!$IT$36&gt;0,0,500000)+IF('計算A'!$IQ$36=2,SUMPRODUCT('計算A'!$D$86:$EQ$86,$DB17:$IO17,$IQ17:$OD17),SUMPRODUCT('計算A'!$D$86:$EQ$86,$DB17:$IO17))*1000+27)</f>
        <v/>
      </c>
      <c r="CI17">
        <f>IF(AO17=1,1000000,IF('計算A'!$IT$37&gt;0,0,500000)+IF('計算A'!$IQ$37=2,SUMPRODUCT('計算A'!$D$87:$EQ$87,$DB17:$IO17,$IQ17:$OD17),SUMPRODUCT('計算A'!$D$87:$EQ$87,$DB17:$IO17))*1000+28)</f>
        <v/>
      </c>
      <c r="CJ17">
        <f>IF(AP17=1,1000000,IF('計算A'!$IT$38&gt;0,0,500000)+IF('計算A'!$IQ$38=2,SUMPRODUCT('計算A'!$D$88:$EQ$88,$DB17:$IO17,$IQ17:$OD17),SUMPRODUCT('計算A'!$D$88:$EQ$88,$DB17:$IO17))*1000+29)</f>
        <v/>
      </c>
      <c r="CK17">
        <f>IF(AQ17=1,1000000,IF('計算A'!$IT$39&gt;0,0,500000)+IF('計算A'!$IQ$39=2,SUMPRODUCT('計算A'!$D$89:$EQ$89,$DB17:$IO17,$IQ17:$OD17),SUMPRODUCT('計算A'!$D$89:$EQ$89,$DB17:$IO17))*1000+30)</f>
        <v/>
      </c>
      <c r="CL17">
        <f>IF(AR17=1,1000000,IF('計算A'!$IT$40&gt;0,0,500000)+IF('計算A'!$IQ$40=2,SUMPRODUCT('計算A'!$D$90:$EQ$90,$DB17:$IO17,$IQ17:$OD17),SUMPRODUCT('計算A'!$D$90:$EQ$90,$DB17:$IO17))*1000+31)</f>
        <v/>
      </c>
      <c r="CM17">
        <f>IF(AS17=1,1000000,IF('計算A'!$IT$41&gt;0,0,500000)+IF('計算A'!$IQ$41=2,SUMPRODUCT('計算A'!$D$91:$EQ$91,$DB17:$IO17,$IQ17:$OD17),SUMPRODUCT('計算A'!$D$91:$EQ$91,$DB17:$IO17))*1000+32)</f>
        <v/>
      </c>
      <c r="CN17">
        <f>IF(AT17=1,1000000,IF('計算A'!$IT$42&gt;0,0,500000)+IF('計算A'!$IQ$42=2,SUMPRODUCT('計算A'!$D$92:$EQ$92,$DB17:$IO17,$IQ17:$OD17),SUMPRODUCT('計算A'!$D$92:$EQ$92,$DB17:$IO17))*1000+33)</f>
        <v/>
      </c>
      <c r="CO17">
        <f>IF(AU17=1,1000000,IF('計算A'!$IT$43&gt;0,0,500000)+IF('計算A'!$IQ$43=2,SUMPRODUCT('計算A'!$D$93:$EQ$93,$DB17:$IO17,$IQ17:$OD17),SUMPRODUCT('計算A'!$D$93:$EQ$93,$DB17:$IO17))*1000+34)</f>
        <v/>
      </c>
      <c r="CP17">
        <f>IF(AV17=1,1000000,IF('計算A'!$IT$44&gt;0,0,500000)+IF('計算A'!$IQ$44=2,SUMPRODUCT('計算A'!$D$94:$EQ$94,$DB17:$IO17,$IQ17:$OD17),SUMPRODUCT('計算A'!$D$94:$EQ$94,$DB17:$IO17))*1000+35)</f>
        <v/>
      </c>
      <c r="CQ17">
        <f>IF(AW17=1,1000000,IF('計算A'!$IT$45&gt;0,0,500000)+IF('計算A'!$IQ$45=2,SUMPRODUCT('計算A'!$D$95:$EQ$95,$DB17:$IO17,$IQ17:$OD17),SUMPRODUCT('計算A'!$D$95:$EQ$95,$DB17:$IO17))*1000+36)</f>
        <v/>
      </c>
      <c r="CR17">
        <f>IF(AX17=1,1000000,IF('計算A'!$IT$46&gt;0,0,500000)+IF('計算A'!$IQ$46=2,SUMPRODUCT('計算A'!$D$96:$EQ$96,$DB17:$IO17,$IQ17:$OD17),SUMPRODUCT('計算A'!$D$96:$EQ$96,$DB17:$IO17))*1000+37)</f>
        <v/>
      </c>
      <c r="CS17">
        <f>IF(AY17=1,1000000,IF('計算A'!$IT$47&gt;0,0,500000)+IF('計算A'!$IQ$47=2,SUMPRODUCT('計算A'!$D$97:$EQ$97,$DB17:$IO17,$IQ17:$OD17),SUMPRODUCT('計算A'!$D$97:$EQ$97,$DB17:$IO17))*1000+38)</f>
        <v/>
      </c>
      <c r="CT17">
        <f>IF(AZ17=1,1000000,IF('計算A'!$IT$48&gt;0,0,500000)+IF('計算A'!$IQ$48=2,SUMPRODUCT('計算A'!$D$98:$EQ$98,$DB17:$IO17,$IQ17:$OD17),SUMPRODUCT('計算A'!$D$98:$EQ$98,$DB17:$IO17))*1000+39)</f>
        <v/>
      </c>
      <c r="CU17">
        <f>IF(BA17=1,1000000,IF('計算A'!$IT$49&gt;0,0,500000)+IF('計算A'!$IQ$49=2,SUMPRODUCT('計算A'!$D$99:$EQ$99,$DB17:$IO17,$IQ17:$OD17),SUMPRODUCT('計算A'!$D$99:$EQ$99,$DB17:$IO17))*1000+40)</f>
        <v/>
      </c>
      <c r="CV17">
        <f>IF(BB17=1,1000000,IF('計算A'!$IT$50&gt;0,0,500000)+IF('計算A'!$IQ$50=2,SUMPRODUCT('計算A'!$D$100:$EQ$100,$DB17:$IO17,$IQ17:$OD17),SUMPRODUCT('計算A'!$D$100:$EQ$100,$DB17:$IO17))*1000+41)</f>
        <v/>
      </c>
      <c r="CW17">
        <f>IF(BC17=1,1000000,IF('計算A'!$IT$51&gt;0,0,500000)+IF('計算A'!$IQ$51=2,SUMPRODUCT('計算A'!$D$101:$EQ$101,$DB17:$IO17,$IQ17:$OD17),SUMPRODUCT('計算A'!$D$101:$EQ$101,$DB17:$IO17))*1000+42)</f>
        <v/>
      </c>
      <c r="CX17">
        <f>IF(BD17=1,1000000,IF('計算A'!$IT$52&gt;0,0,500000)+IF('計算A'!$IQ$52=2,SUMPRODUCT('計算A'!$D$102:$EQ$102,$DB17:$IO17,$IQ17:$OD17),SUMPRODUCT('計算A'!$D$102:$EQ$102,$DB17:$IO17))*1000+43)</f>
        <v/>
      </c>
      <c r="CY17">
        <f>IF(BE17=1,1000000,IF('計算A'!$IT$53&gt;0,0,500000)+IF('計算A'!$IQ$53=2,SUMPRODUCT('計算A'!$D$103:$EQ$103,$DB17:$IO17,$IQ17:$OD17),SUMPRODUCT('計算A'!$D$103:$EQ$103,$DB17:$IO17))*1000+44)</f>
        <v/>
      </c>
      <c r="CZ17">
        <f>IF(BF17=1,1000000,IF('計算A'!$IT$54&gt;0,0,500000)+IF('計算A'!$IQ$54=2,SUMPRODUCT('計算A'!$D$104:$EQ$104,$DB17:$IO17,$IQ17:$OD17),SUMPRODUCT('計算A'!$D$104:$EQ$104,$DB17:$IO17))*1000+45)</f>
        <v/>
      </c>
      <c r="DB17">
        <f>DB16*IF(OR($C16=1,$G16=1),0,1)</f>
        <v/>
      </c>
      <c r="DC17">
        <f>DC16*IF(OR($C16=2,$G16=2),0,1)</f>
        <v/>
      </c>
      <c r="DD17">
        <f>DD16*IF(OR($C16=3,$G16=3),0,1)</f>
        <v/>
      </c>
      <c r="DE17">
        <f>DE16*IF(OR($C16=4,$G16=4),0,1)</f>
        <v/>
      </c>
      <c r="DF17">
        <f>DF16*IF(OR($C16=5,$G16=5),0,1)</f>
        <v/>
      </c>
      <c r="DG17">
        <f>DG16*IF(OR($C16=6,$G16=6),0,1)</f>
        <v/>
      </c>
      <c r="DH17">
        <f>DH16*IF(OR($C16=7,$G16=7),0,1)</f>
        <v/>
      </c>
      <c r="DI17">
        <f>DI16*IF(OR($C16=8,$G16=8),0,1)</f>
        <v/>
      </c>
      <c r="DJ17">
        <f>DJ16*IF(OR($C16=9,$G16=9),0,1)</f>
        <v/>
      </c>
      <c r="DK17">
        <f>DK16*IF(OR($C16=10,$G16=10),0,1)</f>
        <v/>
      </c>
      <c r="DL17">
        <f>DL16*IF(OR($C16=11,$G16=11),0,1)</f>
        <v/>
      </c>
      <c r="DM17">
        <f>DM16*IF(OR($C16=12,$G16=12),0,1)</f>
        <v/>
      </c>
      <c r="DN17">
        <f>DN16*IF(OR($C16=13,$G16=13),0,1)</f>
        <v/>
      </c>
      <c r="DO17">
        <f>DO16*IF(OR($C16=14,$G16=14),0,1)</f>
        <v/>
      </c>
      <c r="DP17">
        <f>DP16*IF(OR($C16=15,$G16=15),0,1)</f>
        <v/>
      </c>
      <c r="DQ17">
        <f>DQ16*IF(OR($C16=16,$G16=16),0,1)</f>
        <v/>
      </c>
      <c r="DR17">
        <f>DR16*IF(OR($C16=17,$G16=17),0,1)</f>
        <v/>
      </c>
      <c r="DS17">
        <f>DS16*IF(OR($C16=18,$G16=18),0,1)</f>
        <v/>
      </c>
      <c r="DT17">
        <f>DT16*IF(OR($C16=19,$G16=19),0,1)</f>
        <v/>
      </c>
      <c r="DU17">
        <f>DU16*IF(OR($C16=20,$G16=20),0,1)</f>
        <v/>
      </c>
      <c r="DV17">
        <f>DV16*IF(OR($C16=21,$G16=21),0,1)</f>
        <v/>
      </c>
      <c r="DW17">
        <f>DW16*IF(OR($C16=22,$G16=22),0,1)</f>
        <v/>
      </c>
      <c r="DX17">
        <f>DX16*IF(OR($C16=23,$G16=23),0,1)</f>
        <v/>
      </c>
      <c r="DY17">
        <f>DY16*IF(OR($C16=24,$G16=24),0,1)</f>
        <v/>
      </c>
      <c r="DZ17">
        <f>DZ16*IF(OR($C16=25,$G16=25),0,1)</f>
        <v/>
      </c>
      <c r="EA17">
        <f>EA16*IF(OR($C16=26,$G16=26),0,1)</f>
        <v/>
      </c>
      <c r="EB17">
        <f>EB16*IF(OR($C16=27,$G16=27),0,1)</f>
        <v/>
      </c>
      <c r="EC17">
        <f>EC16*IF(OR($C16=28,$G16=28),0,1)</f>
        <v/>
      </c>
      <c r="ED17">
        <f>ED16*IF(OR($C16=29,$G16=29),0,1)</f>
        <v/>
      </c>
      <c r="EE17">
        <f>EE16*IF(OR($C16=30,$G16=30),0,1)</f>
        <v/>
      </c>
      <c r="EF17">
        <f>EF16*IF(OR($C16=31,$G16=31),0,1)</f>
        <v/>
      </c>
      <c r="EG17">
        <f>EG16*IF(OR($C16=32,$G16=32),0,1)</f>
        <v/>
      </c>
      <c r="EH17">
        <f>EH16*IF(OR($C16=33,$G16=33),0,1)</f>
        <v/>
      </c>
      <c r="EI17">
        <f>EI16*IF(OR($C16=34,$G16=34),0,1)</f>
        <v/>
      </c>
      <c r="EJ17">
        <f>EJ16*IF(OR($C16=35,$G16=35),0,1)</f>
        <v/>
      </c>
      <c r="EK17">
        <f>EK16*IF(OR($C16=36,$G16=36),0,1)</f>
        <v/>
      </c>
      <c r="EL17">
        <f>EL16*IF(OR($C16=37,$G16=37),0,1)</f>
        <v/>
      </c>
      <c r="EM17">
        <f>EM16*IF(OR($C16=38,$G16=38),0,1)</f>
        <v/>
      </c>
      <c r="EN17">
        <f>EN16*IF(OR($C16=39,$G16=39),0,1)</f>
        <v/>
      </c>
      <c r="EO17">
        <f>EO16*IF(OR($C16=40,$G16=40),0,1)</f>
        <v/>
      </c>
      <c r="EP17">
        <f>EP16*IF(OR($C16=41,$G16=41),0,1)</f>
        <v/>
      </c>
      <c r="EQ17">
        <f>EQ16*IF(OR($C16=42,$G16=42),0,1)</f>
        <v/>
      </c>
      <c r="ER17">
        <f>ER16*IF(OR($C16=43,$G16=43),0,1)</f>
        <v/>
      </c>
      <c r="ES17">
        <f>ES16*IF(OR($C16=44,$G16=44),0,1)</f>
        <v/>
      </c>
      <c r="ET17">
        <f>ET16*IF(OR($C16=45,$G16=45),0,1)</f>
        <v/>
      </c>
      <c r="EU17">
        <f>EU16*IF(OR($C16=46,$G16=46),0,1)</f>
        <v/>
      </c>
      <c r="EV17">
        <f>EV16*IF(OR($C16=47,$G16=47),0,1)</f>
        <v/>
      </c>
      <c r="EW17">
        <f>EW16*IF(OR($C16=48,$G16=48),0,1)</f>
        <v/>
      </c>
      <c r="EX17">
        <f>EX16*IF(OR($C16=49,$G16=49),0,1)</f>
        <v/>
      </c>
      <c r="EY17">
        <f>EY16*IF(OR($C16=50,$G16=50),0,1)</f>
        <v/>
      </c>
      <c r="EZ17">
        <f>EZ16*IF(OR($C16=51,$G16=51),0,1)</f>
        <v/>
      </c>
      <c r="FA17">
        <f>FA16*IF(OR($C16=52,$G16=52),0,1)</f>
        <v/>
      </c>
      <c r="FB17">
        <f>FB16*IF(OR($C16=53,$G16=53),0,1)</f>
        <v/>
      </c>
      <c r="FC17">
        <f>FC16*IF(OR($C16=54,$G16=54),0,1)</f>
        <v/>
      </c>
      <c r="FD17">
        <f>FD16*IF(OR($C16=55,$G16=55),0,1)</f>
        <v/>
      </c>
      <c r="FE17">
        <f>FE16*IF(OR($C16=56,$G16=56),0,1)</f>
        <v/>
      </c>
      <c r="FF17">
        <f>FF16*IF(OR($C16=57,$G16=57),0,1)</f>
        <v/>
      </c>
      <c r="FG17">
        <f>FG16*IF(OR($C16=58,$G16=58),0,1)</f>
        <v/>
      </c>
      <c r="FH17">
        <f>FH16*IF(OR($C16=59,$G16=59),0,1)</f>
        <v/>
      </c>
      <c r="FI17">
        <f>FI16*IF(OR($C16=60,$G16=60),0,1)</f>
        <v/>
      </c>
      <c r="FJ17">
        <f>FJ16*IF(OR($C16=61,$G16=61),0,1)</f>
        <v/>
      </c>
      <c r="FK17">
        <f>FK16*IF(OR($C16=62,$G16=62),0,1)</f>
        <v/>
      </c>
      <c r="FL17">
        <f>FL16*IF(OR($C16=63,$G16=63),0,1)</f>
        <v/>
      </c>
      <c r="FM17">
        <f>FM16*IF(OR($C16=64,$G16=64),0,1)</f>
        <v/>
      </c>
      <c r="FN17">
        <f>FN16*IF(OR($C16=65,$G16=65),0,1)</f>
        <v/>
      </c>
      <c r="FO17">
        <f>FO16*IF(OR($C16=66,$G16=66),0,1)</f>
        <v/>
      </c>
      <c r="FP17">
        <f>FP16*IF(OR($C16=67,$G16=67),0,1)</f>
        <v/>
      </c>
      <c r="FQ17">
        <f>FQ16*IF(OR($C16=68,$G16=68),0,1)</f>
        <v/>
      </c>
      <c r="FR17">
        <f>FR16*IF(OR($C16=69,$G16=69),0,1)</f>
        <v/>
      </c>
      <c r="FS17">
        <f>FS16*IF(OR($C16=70,$G16=70),0,1)</f>
        <v/>
      </c>
      <c r="FT17">
        <f>FT16*IF(OR($C16=71,$G16=71),0,1)</f>
        <v/>
      </c>
      <c r="FU17">
        <f>FU16*IF(OR($C16=72,$G16=72),0,1)</f>
        <v/>
      </c>
      <c r="FV17">
        <f>FV16*IF(OR($C16=73,$G16=73),0,1)</f>
        <v/>
      </c>
      <c r="FW17">
        <f>FW16*IF(OR($C16=74,$G16=74),0,1)</f>
        <v/>
      </c>
      <c r="FX17">
        <f>FX16*IF(OR($C16=75,$G16=75),0,1)</f>
        <v/>
      </c>
      <c r="FY17">
        <f>FY16*IF(OR($C16=76,$G16=76),0,1)</f>
        <v/>
      </c>
      <c r="FZ17">
        <f>FZ16*IF(OR($C16=77,$G16=77),0,1)</f>
        <v/>
      </c>
      <c r="GA17">
        <f>GA16*IF(OR($C16=78,$G16=78),0,1)</f>
        <v/>
      </c>
      <c r="GB17">
        <f>GB16*IF(OR($C16=79,$G16=79),0,1)</f>
        <v/>
      </c>
      <c r="GC17">
        <f>GC16*IF(OR($C16=80,$G16=80),0,1)</f>
        <v/>
      </c>
      <c r="GD17">
        <f>GD16*IF(OR($C16=81,$G16=81),0,1)</f>
        <v/>
      </c>
      <c r="GE17">
        <f>GE16*IF(OR($C16=82,$G16=82),0,1)</f>
        <v/>
      </c>
      <c r="GF17">
        <f>GF16*IF(OR($C16=83,$G16=83),0,1)</f>
        <v/>
      </c>
      <c r="GG17">
        <f>GG16*IF(OR($C16=84,$G16=84),0,1)</f>
        <v/>
      </c>
      <c r="GH17">
        <f>GH16*IF(OR($C16=85,$G16=85),0,1)</f>
        <v/>
      </c>
      <c r="GI17">
        <f>GI16*IF(OR($C16=86,$G16=86),0,1)</f>
        <v/>
      </c>
      <c r="GJ17">
        <f>GJ16*IF(OR($C16=87,$G16=87),0,1)</f>
        <v/>
      </c>
      <c r="GK17">
        <f>GK16*IF(OR($C16=88,$G16=88),0,1)</f>
        <v/>
      </c>
      <c r="GL17">
        <f>GL16*IF(OR($C16=89,$G16=89),0,1)</f>
        <v/>
      </c>
      <c r="GM17">
        <f>GM16*IF(OR($C16=90,$G16=90),0,1)</f>
        <v/>
      </c>
      <c r="GN17">
        <f>GN16*IF(OR($C16=91,$G16=91),0,1)</f>
        <v/>
      </c>
      <c r="GO17">
        <f>GO16*IF(OR($C16=92,$G16=92),0,1)</f>
        <v/>
      </c>
      <c r="GP17">
        <f>GP16*IF(OR($C16=93,$G16=93),0,1)</f>
        <v/>
      </c>
      <c r="GQ17">
        <f>GQ16*IF(OR($C16=94,$G16=94),0,1)</f>
        <v/>
      </c>
      <c r="GR17">
        <f>GR16*IF(OR($C16=95,$G16=95),0,1)</f>
        <v/>
      </c>
      <c r="GS17">
        <f>GS16*IF(OR($C16=96,$G16=96),0,1)</f>
        <v/>
      </c>
      <c r="GT17">
        <f>GT16*IF(OR($C16=97,$G16=97),0,1)</f>
        <v/>
      </c>
      <c r="GU17">
        <f>GU16*IF(OR($C16=98,$G16=98),0,1)</f>
        <v/>
      </c>
      <c r="GV17">
        <f>GV16*IF(OR($C16=99,$G16=99),0,1)</f>
        <v/>
      </c>
      <c r="GW17">
        <f>GW16*IF(OR($C16=100,$G16=100),0,1)</f>
        <v/>
      </c>
      <c r="GX17">
        <f>GX16*IF(OR($C16=101,$G16=101),0,1)</f>
        <v/>
      </c>
      <c r="GY17">
        <f>GY16*IF(OR($C16=102,$G16=102),0,1)</f>
        <v/>
      </c>
      <c r="GZ17">
        <f>GZ16*IF(OR($C16=103,$G16=103),0,1)</f>
        <v/>
      </c>
      <c r="HA17">
        <f>HA16*IF(OR($C16=104,$G16=104),0,1)</f>
        <v/>
      </c>
      <c r="HB17">
        <f>HB16*IF(OR($C16=105,$G16=105),0,1)</f>
        <v/>
      </c>
      <c r="HC17">
        <f>HC16*IF(OR($C16=106,$G16=106),0,1)</f>
        <v/>
      </c>
      <c r="HD17">
        <f>HD16*IF(OR($C16=107,$G16=107),0,1)</f>
        <v/>
      </c>
      <c r="HE17">
        <f>HE16*IF(OR($C16=108,$G16=108),0,1)</f>
        <v/>
      </c>
      <c r="HF17">
        <f>HF16*IF(OR($C16=109,$G16=109),0,1)</f>
        <v/>
      </c>
      <c r="HG17">
        <f>HG16*IF(OR($C16=110,$G16=110),0,1)</f>
        <v/>
      </c>
      <c r="HH17">
        <f>HH16*IF(OR($C16=111,$G16=111),0,1)</f>
        <v/>
      </c>
      <c r="HI17">
        <f>HI16*IF(OR($C16=112,$G16=112),0,1)</f>
        <v/>
      </c>
      <c r="HJ17">
        <f>HJ16*IF(OR($C16=113,$G16=113),0,1)</f>
        <v/>
      </c>
      <c r="HK17">
        <f>HK16*IF(OR($C16=114,$G16=114),0,1)</f>
        <v/>
      </c>
      <c r="HL17">
        <f>HL16*IF(OR($C16=115,$G16=115),0,1)</f>
        <v/>
      </c>
      <c r="HM17">
        <f>HM16*IF(OR($C16=116,$G16=116),0,1)</f>
        <v/>
      </c>
      <c r="HN17">
        <f>HN16*IF(OR($C16=117,$G16=117),0,1)</f>
        <v/>
      </c>
      <c r="HO17">
        <f>HO16*IF(OR($C16=118,$G16=118),0,1)</f>
        <v/>
      </c>
      <c r="HP17">
        <f>HP16*IF(OR($C16=119,$G16=119),0,1)</f>
        <v/>
      </c>
      <c r="HQ17">
        <f>HQ16*IF(OR($C16=120,$G16=120),0,1)</f>
        <v/>
      </c>
      <c r="HR17">
        <f>HR16*IF(OR($C16=121,$G16=121),0,1)</f>
        <v/>
      </c>
      <c r="HS17">
        <f>HS16*IF(OR($C16=122,$G16=122),0,1)</f>
        <v/>
      </c>
      <c r="HT17">
        <f>HT16*IF(OR($C16=123,$G16=123),0,1)</f>
        <v/>
      </c>
      <c r="HU17">
        <f>HU16*IF(OR($C16=124,$G16=124),0,1)</f>
        <v/>
      </c>
      <c r="HV17">
        <f>HV16*IF(OR($C16=125,$G16=125),0,1)</f>
        <v/>
      </c>
      <c r="HW17">
        <f>HW16*IF(OR($C16=126,$G16=126),0,1)</f>
        <v/>
      </c>
      <c r="HX17">
        <f>HX16*IF(OR($C16=127,$G16=127),0,1)</f>
        <v/>
      </c>
      <c r="HY17">
        <f>HY16*IF(OR($C16=128,$G16=128),0,1)</f>
        <v/>
      </c>
      <c r="HZ17">
        <f>HZ16*IF(OR($C16=129,$G16=129),0,1)</f>
        <v/>
      </c>
      <c r="IA17">
        <f>IA16*IF(OR($C16=130,$G16=130),0,1)</f>
        <v/>
      </c>
      <c r="IB17">
        <f>IB16*IF(OR($C16=131,$G16=131),0,1)</f>
        <v/>
      </c>
      <c r="IC17">
        <f>IC16*IF(OR($C16=132,$G16=132),0,1)</f>
        <v/>
      </c>
      <c r="ID17">
        <f>ID16*IF(OR($C16=133,$G16=133),0,1)</f>
        <v/>
      </c>
      <c r="IE17">
        <f>IE16*IF(OR($C16=134,$G16=134),0,1)</f>
        <v/>
      </c>
      <c r="IF17">
        <f>IF16*IF(OR($C16=135,$G16=135),0,1)</f>
        <v/>
      </c>
      <c r="IG17">
        <f>IG16*IF(OR($C16=136,$G16=136),0,1)</f>
        <v/>
      </c>
      <c r="IH17">
        <f>IH16*IF(OR($C16=137,$G16=137),0,1)</f>
        <v/>
      </c>
      <c r="II17">
        <f>II16*IF(OR($C16=138,$G16=138),0,1)</f>
        <v/>
      </c>
      <c r="IJ17">
        <f>IJ16*IF(OR($C16=139,$G16=139),0,1)</f>
        <v/>
      </c>
      <c r="IK17">
        <f>IK16*IF(OR($C16=140,$G16=140),0,1)</f>
        <v/>
      </c>
      <c r="IL17">
        <f>IL16*IF(OR($C16=141,$G16=141),0,1)</f>
        <v/>
      </c>
      <c r="IM17">
        <f>IM16*IF(OR($C16=142,$G16=142),0,1)</f>
        <v/>
      </c>
      <c r="IN17">
        <f>IN16*IF(OR($C16=143,$G16=143),0,1)</f>
        <v/>
      </c>
      <c r="IO17">
        <f>IO16*IF(OR($C16=144,$G16=144),0,1)</f>
        <v/>
      </c>
      <c r="IQ17">
        <f>IF('計算A'!D$106=1,DC17,1)</f>
        <v/>
      </c>
      <c r="IR17">
        <f>IF('計算A'!E$106=1,DD17,1)</f>
        <v/>
      </c>
      <c r="IS17">
        <f>IF('計算A'!F$106=1,DE17,1)</f>
        <v/>
      </c>
      <c r="IT17">
        <f>IF('計算A'!G$106=1,DF17,1)</f>
        <v/>
      </c>
      <c r="IU17">
        <f>IF('計算A'!H$106=1,DG17,1)</f>
        <v/>
      </c>
      <c r="IV17">
        <f>IF('計算A'!I$106=1,DH17,1)</f>
        <v/>
      </c>
      <c r="IW17">
        <f>IF('計算A'!J$106=1,DI17,1)</f>
        <v/>
      </c>
      <c r="IX17">
        <f>IF('計算A'!K$106=1,DJ17,1)</f>
        <v/>
      </c>
      <c r="IY17">
        <f>IF('計算A'!L$106=1,DK17,1)</f>
        <v/>
      </c>
      <c r="IZ17">
        <f>IF('計算A'!M$106=1,DL17,1)</f>
        <v/>
      </c>
      <c r="JA17">
        <f>IF('計算A'!N$106=1,DM17,1)</f>
        <v/>
      </c>
      <c r="JB17">
        <f>IF('計算A'!O$106=1,DN17,1)</f>
        <v/>
      </c>
      <c r="JC17">
        <f>IF('計算A'!P$106=1,DO17,1)</f>
        <v/>
      </c>
      <c r="JD17">
        <f>IF('計算A'!Q$106=1,DP17,1)</f>
        <v/>
      </c>
      <c r="JE17">
        <f>IF('計算A'!R$106=1,DQ17,1)</f>
        <v/>
      </c>
      <c r="JF17">
        <f>IF('計算A'!S$106=1,DR17,1)</f>
        <v/>
      </c>
      <c r="JG17">
        <f>IF('計算A'!T$106=1,DS17,1)</f>
        <v/>
      </c>
      <c r="JH17">
        <f>IF('計算A'!U$106=1,DT17,1)</f>
        <v/>
      </c>
      <c r="JI17">
        <f>IF('計算A'!V$106=1,DU17,1)</f>
        <v/>
      </c>
      <c r="JJ17">
        <f>IF('計算A'!W$106=1,DV17,1)</f>
        <v/>
      </c>
      <c r="JK17">
        <f>IF('計算A'!X$106=1,DW17,1)</f>
        <v/>
      </c>
      <c r="JL17">
        <f>IF('計算A'!Y$106=1,DX17,1)</f>
        <v/>
      </c>
      <c r="JM17">
        <f>IF('計算A'!Z$106=1,DY17,1)</f>
        <v/>
      </c>
      <c r="JN17">
        <f>IF('計算A'!AA$106=1,DZ17,1)</f>
        <v/>
      </c>
      <c r="JO17">
        <f>IF('計算A'!AB$106=1,EA17,1)</f>
        <v/>
      </c>
      <c r="JP17">
        <f>IF('計算A'!AC$106=1,EB17,1)</f>
        <v/>
      </c>
      <c r="JQ17">
        <f>IF('計算A'!AD$106=1,EC17,1)</f>
        <v/>
      </c>
      <c r="JR17">
        <f>IF('計算A'!AE$106=1,ED17,1)</f>
        <v/>
      </c>
      <c r="JS17">
        <f>IF('計算A'!AF$106=1,EE17,1)</f>
        <v/>
      </c>
      <c r="JT17">
        <f>IF('計算A'!AG$106=1,EF17,1)</f>
        <v/>
      </c>
      <c r="JU17">
        <f>IF('計算A'!AH$106=1,EG17,1)</f>
        <v/>
      </c>
      <c r="JV17">
        <f>IF('計算A'!AI$106=1,EH17,1)</f>
        <v/>
      </c>
      <c r="JW17">
        <f>IF('計算A'!AJ$106=1,EI17,1)</f>
        <v/>
      </c>
      <c r="JX17">
        <f>IF('計算A'!AK$106=1,EJ17,1)</f>
        <v/>
      </c>
      <c r="JY17">
        <f>IF('計算A'!AL$106=1,EK17,1)</f>
        <v/>
      </c>
      <c r="JZ17">
        <f>IF('計算A'!AM$106=1,EL17,1)</f>
        <v/>
      </c>
      <c r="KA17">
        <f>IF('計算A'!AN$106=1,EM17,1)</f>
        <v/>
      </c>
      <c r="KB17">
        <f>IF('計算A'!AO$106=1,EN17,1)</f>
        <v/>
      </c>
      <c r="KC17">
        <f>IF('計算A'!AP$106=1,EO17,1)</f>
        <v/>
      </c>
      <c r="KD17">
        <f>IF('計算A'!AQ$106=1,EP17,1)</f>
        <v/>
      </c>
      <c r="KE17">
        <f>IF('計算A'!AR$106=1,EQ17,1)</f>
        <v/>
      </c>
      <c r="KF17">
        <f>IF('計算A'!AS$106=1,ER17,1)</f>
        <v/>
      </c>
      <c r="KG17">
        <f>IF('計算A'!AT$106=1,ES17,1)</f>
        <v/>
      </c>
      <c r="KH17">
        <f>IF('計算A'!AU$106=1,ET17,1)</f>
        <v/>
      </c>
      <c r="KI17">
        <f>IF('計算A'!AV$106=1,EU17,1)</f>
        <v/>
      </c>
      <c r="KJ17">
        <f>IF('計算A'!AW$106=1,EV17,1)</f>
        <v/>
      </c>
      <c r="KK17">
        <f>IF('計算A'!AX$106=1,EW17,1)</f>
        <v/>
      </c>
      <c r="KL17">
        <f>IF('計算A'!AY$106=1,EX17,1)</f>
        <v/>
      </c>
      <c r="KM17">
        <f>IF('計算A'!AZ$106=1,EY17,1)</f>
        <v/>
      </c>
      <c r="KN17">
        <f>IF('計算A'!BA$106=1,EZ17,1)</f>
        <v/>
      </c>
      <c r="KO17">
        <f>IF('計算A'!BB$106=1,FA17,1)</f>
        <v/>
      </c>
      <c r="KP17">
        <f>IF('計算A'!BC$106=1,FB17,1)</f>
        <v/>
      </c>
      <c r="KQ17">
        <f>IF('計算A'!BD$106=1,FC17,1)</f>
        <v/>
      </c>
      <c r="KR17">
        <f>IF('計算A'!BE$106=1,FD17,1)</f>
        <v/>
      </c>
      <c r="KS17">
        <f>IF('計算A'!BF$106=1,FE17,1)</f>
        <v/>
      </c>
      <c r="KT17">
        <f>IF('計算A'!BG$106=1,FF17,1)</f>
        <v/>
      </c>
      <c r="KU17">
        <f>IF('計算A'!BH$106=1,FG17,1)</f>
        <v/>
      </c>
      <c r="KV17">
        <f>IF('計算A'!BI$106=1,FH17,1)</f>
        <v/>
      </c>
      <c r="KW17">
        <f>IF('計算A'!BJ$106=1,FI17,1)</f>
        <v/>
      </c>
      <c r="KX17">
        <f>IF('計算A'!BK$106=1,FJ17,1)</f>
        <v/>
      </c>
      <c r="KY17">
        <f>IF('計算A'!BL$106=1,FK17,1)</f>
        <v/>
      </c>
      <c r="KZ17">
        <f>IF('計算A'!BM$106=1,FL17,1)</f>
        <v/>
      </c>
      <c r="LA17">
        <f>IF('計算A'!BN$106=1,FM17,1)</f>
        <v/>
      </c>
      <c r="LB17">
        <f>IF('計算A'!BO$106=1,FN17,1)</f>
        <v/>
      </c>
      <c r="LC17">
        <f>IF('計算A'!BP$106=1,FO17,1)</f>
        <v/>
      </c>
      <c r="LD17">
        <f>IF('計算A'!BQ$106=1,FP17,1)</f>
        <v/>
      </c>
      <c r="LE17">
        <f>IF('計算A'!BR$106=1,FQ17,1)</f>
        <v/>
      </c>
      <c r="LF17">
        <f>IF('計算A'!BS$106=1,FR17,1)</f>
        <v/>
      </c>
      <c r="LG17">
        <f>IF('計算A'!BT$106=1,FS17,1)</f>
        <v/>
      </c>
      <c r="LH17">
        <f>IF('計算A'!BU$106=1,FT17,1)</f>
        <v/>
      </c>
      <c r="LI17">
        <f>IF('計算A'!BV$106=1,FU17,1)</f>
        <v/>
      </c>
      <c r="LJ17">
        <f>IF('計算A'!BW$106=1,FV17,1)</f>
        <v/>
      </c>
      <c r="LK17">
        <f>IF('計算A'!BX$106=1,FW17,1)</f>
        <v/>
      </c>
      <c r="LL17">
        <f>IF('計算A'!BY$106=1,FX17,1)</f>
        <v/>
      </c>
      <c r="LM17">
        <f>IF('計算A'!BZ$106=1,FY17,1)</f>
        <v/>
      </c>
      <c r="LN17">
        <f>IF('計算A'!CA$106=1,FZ17,1)</f>
        <v/>
      </c>
      <c r="LO17">
        <f>IF('計算A'!CB$106=1,GA17,1)</f>
        <v/>
      </c>
      <c r="LP17">
        <f>IF('計算A'!CC$106=1,GB17,1)</f>
        <v/>
      </c>
      <c r="LQ17">
        <f>IF('計算A'!CD$106=1,GC17,1)</f>
        <v/>
      </c>
      <c r="LR17">
        <f>IF('計算A'!CE$106=1,GD17,1)</f>
        <v/>
      </c>
      <c r="LS17">
        <f>IF('計算A'!CF$106=1,GE17,1)</f>
        <v/>
      </c>
      <c r="LT17">
        <f>IF('計算A'!CG$106=1,GF17,1)</f>
        <v/>
      </c>
      <c r="LU17">
        <f>IF('計算A'!CH$106=1,GG17,1)</f>
        <v/>
      </c>
      <c r="LV17">
        <f>IF('計算A'!CI$106=1,GH17,1)</f>
        <v/>
      </c>
      <c r="LW17">
        <f>IF('計算A'!CJ$106=1,GI17,1)</f>
        <v/>
      </c>
      <c r="LX17">
        <f>IF('計算A'!CK$106=1,GJ17,1)</f>
        <v/>
      </c>
      <c r="LY17">
        <f>IF('計算A'!CL$106=1,GK17,1)</f>
        <v/>
      </c>
      <c r="LZ17">
        <f>IF('計算A'!CM$106=1,GL17,1)</f>
        <v/>
      </c>
      <c r="MA17">
        <f>IF('計算A'!CN$106=1,GM17,1)</f>
        <v/>
      </c>
      <c r="MB17">
        <f>IF('計算A'!CO$106=1,GN17,1)</f>
        <v/>
      </c>
      <c r="MC17">
        <f>IF('計算A'!CP$106=1,GO17,1)</f>
        <v/>
      </c>
      <c r="MD17">
        <f>IF('計算A'!CQ$106=1,GP17,1)</f>
        <v/>
      </c>
      <c r="ME17">
        <f>IF('計算A'!CR$106=1,GQ17,1)</f>
        <v/>
      </c>
      <c r="MF17">
        <f>IF('計算A'!CS$106=1,GR17,1)</f>
        <v/>
      </c>
      <c r="MG17">
        <f>IF('計算A'!CT$106=1,GS17,1)</f>
        <v/>
      </c>
      <c r="MH17">
        <f>IF('計算A'!CU$106=1,GT17,1)</f>
        <v/>
      </c>
      <c r="MI17">
        <f>IF('計算A'!CV$106=1,GU17,1)</f>
        <v/>
      </c>
      <c r="MJ17">
        <f>IF('計算A'!CW$106=1,GV17,1)</f>
        <v/>
      </c>
      <c r="MK17">
        <f>IF('計算A'!CX$106=1,GW17,1)</f>
        <v/>
      </c>
      <c r="ML17">
        <f>IF('計算A'!CY$106=1,GX17,1)</f>
        <v/>
      </c>
      <c r="MM17">
        <f>IF('計算A'!CZ$106=1,GY17,1)</f>
        <v/>
      </c>
      <c r="MN17">
        <f>IF('計算A'!DA$106=1,GZ17,1)</f>
        <v/>
      </c>
      <c r="MO17">
        <f>IF('計算A'!DB$106=1,HA17,1)</f>
        <v/>
      </c>
      <c r="MP17">
        <f>IF('計算A'!DC$106=1,HB17,1)</f>
        <v/>
      </c>
      <c r="MQ17">
        <f>IF('計算A'!DD$106=1,HC17,1)</f>
        <v/>
      </c>
      <c r="MR17">
        <f>IF('計算A'!DE$106=1,HD17,1)</f>
        <v/>
      </c>
      <c r="MS17">
        <f>IF('計算A'!DF$106=1,HE17,1)</f>
        <v/>
      </c>
      <c r="MT17">
        <f>IF('計算A'!DG$106=1,HF17,1)</f>
        <v/>
      </c>
      <c r="MU17">
        <f>IF('計算A'!DH$106=1,HG17,1)</f>
        <v/>
      </c>
      <c r="MV17">
        <f>IF('計算A'!DI$106=1,HH17,1)</f>
        <v/>
      </c>
      <c r="MW17">
        <f>IF('計算A'!DJ$106=1,HI17,1)</f>
        <v/>
      </c>
      <c r="MX17">
        <f>IF('計算A'!DK$106=1,HJ17,1)</f>
        <v/>
      </c>
      <c r="MY17">
        <f>IF('計算A'!DL$106=1,HK17,1)</f>
        <v/>
      </c>
      <c r="MZ17">
        <f>IF('計算A'!DM$106=1,HL17,1)</f>
        <v/>
      </c>
      <c r="NA17">
        <f>IF('計算A'!DN$106=1,HM17,1)</f>
        <v/>
      </c>
      <c r="NB17">
        <f>IF('計算A'!DO$106=1,HN17,1)</f>
        <v/>
      </c>
      <c r="NC17">
        <f>IF('計算A'!DP$106=1,HO17,1)</f>
        <v/>
      </c>
      <c r="ND17">
        <f>IF('計算A'!DQ$106=1,HP17,1)</f>
        <v/>
      </c>
      <c r="NE17">
        <f>IF('計算A'!DR$106=1,HQ17,1)</f>
        <v/>
      </c>
      <c r="NF17">
        <f>IF('計算A'!DS$106=1,HR17,1)</f>
        <v/>
      </c>
      <c r="NG17">
        <f>IF('計算A'!DT$106=1,HS17,1)</f>
        <v/>
      </c>
      <c r="NH17">
        <f>IF('計算A'!DU$106=1,HT17,1)</f>
        <v/>
      </c>
      <c r="NI17">
        <f>IF('計算A'!DV$106=1,HU17,1)</f>
        <v/>
      </c>
      <c r="NJ17">
        <f>IF('計算A'!DW$106=1,HV17,1)</f>
        <v/>
      </c>
      <c r="NK17">
        <f>IF('計算A'!DX$106=1,HW17,1)</f>
        <v/>
      </c>
      <c r="NL17">
        <f>IF('計算A'!DY$106=1,HX17,1)</f>
        <v/>
      </c>
      <c r="NM17">
        <f>IF('計算A'!DZ$106=1,HY17,1)</f>
        <v/>
      </c>
      <c r="NN17">
        <f>IF('計算A'!EA$106=1,HZ17,1)</f>
        <v/>
      </c>
      <c r="NO17">
        <f>IF('計算A'!EB$106=1,IA17,1)</f>
        <v/>
      </c>
      <c r="NP17">
        <f>IF('計算A'!EC$106=1,IB17,1)</f>
        <v/>
      </c>
      <c r="NQ17">
        <f>IF('計算A'!ED$106=1,IC17,1)</f>
        <v/>
      </c>
      <c r="NR17">
        <f>IF('計算A'!EE$106=1,ID17,1)</f>
        <v/>
      </c>
      <c r="NS17">
        <f>IF('計算A'!EF$106=1,IE17,1)</f>
        <v/>
      </c>
      <c r="NT17">
        <f>IF('計算A'!EG$106=1,IF17,1)</f>
        <v/>
      </c>
      <c r="NU17">
        <f>IF('計算A'!EH$106=1,IG17,1)</f>
        <v/>
      </c>
      <c r="NV17">
        <f>IF('計算A'!EI$106=1,IH17,1)</f>
        <v/>
      </c>
      <c r="NW17">
        <f>IF('計算A'!EJ$106=1,II17,1)</f>
        <v/>
      </c>
      <c r="NX17">
        <f>IF('計算A'!EK$106=1,IJ17,1)</f>
        <v/>
      </c>
      <c r="NY17">
        <f>IF('計算A'!EL$106=1,IK17,1)</f>
        <v/>
      </c>
      <c r="NZ17">
        <f>IF('計算A'!EM$106=1,IL17,1)</f>
        <v/>
      </c>
      <c r="OA17">
        <f>IF('計算A'!EN$106=1,IM17,1)</f>
        <v/>
      </c>
      <c r="OB17">
        <f>IF('計算A'!EO$106=1,IN17,1)</f>
        <v/>
      </c>
      <c r="OC17">
        <f>IF('計算A'!EP$106=1,IO17,1)</f>
        <v/>
      </c>
      <c r="OD17" t="n">
        <v>1</v>
      </c>
      <c r="OF17">
        <f>IF($B17=0,1000000,IF(INDEX('計算A'!$D$60:$EQ$104,$B17,1)*DB17=1,IF(AND($E17=2,IQ17=0),1000000,IF($I17&gt;0,IF(1=$J17,IF(OR(AND(1=$I17+1,OR($K17&lt;&gt;'計算A'!$A$3,'計算A'!$A$4=0)),AND(1=$I17-1,OR(1&lt;&gt;'計算A'!$A$3,'計算A'!$A$4=0))),0,IF(1=$K17,200000,ABS(1-$K17)*100)),100000+ABS(1-$J17)*1000+10)+'計算A'!D$5*50+IF(AND($E17=1,IQ17=0),25,0),INDEX('計算A'!D$110:D$114,$F17+1)+IF(AND($E17=1,IQ17=0),1000,0)+IF($H17=1,(IF('計算A'!D$117=1,INDEX('計算A'!E$10:E$54,$B17),0))*500,0)-IF(AND($L17=1,'計算A'!D$117=1,DC17=0),300,0))),1000000))</f>
        <v/>
      </c>
      <c r="OG17">
        <f>IF($B17=0,1000000,IF(INDEX('計算A'!$D$60:$EQ$104,$B17,2)*DC17=1,IF(AND($E17=2,IR17=0),1000000,IF($I17&gt;0,IF(1=$J17,IF(OR(AND(2=$I17+1,OR($K17&lt;&gt;'計算A'!$A$3,'計算A'!$A$4=0)),AND(2=$I17-1,OR(2&lt;&gt;'計算A'!$A$3,'計算A'!$A$4=0))),0,IF(2=$K17,200000,ABS(2-$K17)*100)),100000+ABS(1-$J17)*1000+20)+'計算A'!E$5*50+IF(AND($E17=1,IR17=0),25,0),INDEX('計算A'!E$110:E$114,$F17+1)+IF(AND($E17=1,IR17=0),1000,0)+IF($H17=1,(IF('計算A'!D$117=1,INDEX('計算A'!D$10:D$54,$B17),0)+IF('計算A'!E$117=1,INDEX('計算A'!F$10:F$54,$B17),0))*500,0)-IF(AND('計算A'!D$117=1,UB17&gt;0),300,0)-IF(AND($L17=1,'計算A'!E$117=1,DD17=0),300,0))),1000000))</f>
        <v/>
      </c>
      <c r="OH17">
        <f>IF($B17=0,1000000,IF(INDEX('計算A'!$D$60:$EQ$104,$B17,3)*DD17=1,IF(AND($E17=2,IS17=0),1000000,IF($I17&gt;0,IF(1=$J17,IF(OR(AND(3=$I17+1,OR($K17&lt;&gt;'計算A'!$A$3,'計算A'!$A$4=0)),AND(3=$I17-1,OR(3&lt;&gt;'計算A'!$A$3,'計算A'!$A$4=0))),0,IF(3=$K17,200000,ABS(3-$K17)*100)),100000+ABS(1-$J17)*1000+30)+'計算A'!F$5*50+IF(AND($E17=1,IS17=0),25,0),INDEX('計算A'!F$110:F$114,$F17+1)+IF(AND($E17=1,IS17=0),1000,0)+IF($H17=1,(IF('計算A'!E$117=1,INDEX('計算A'!E$10:E$54,$B17),0)+IF('計算A'!F$117=1,INDEX('計算A'!G$10:G$54,$B17),0))*500,0)-IF(AND('計算A'!E$117=1,UC17&gt;0),300,0)-IF(AND($L17=1,'計算A'!F$117=1,DE17=0),300,0))),1000000))</f>
        <v/>
      </c>
      <c r="OI17">
        <f>IF($B17=0,1000000,IF(INDEX('計算A'!$D$60:$EQ$104,$B17,4)*DE17=1,IF(AND($E17=2,IT17=0),1000000,IF($I17&gt;0,IF(1=$J17,IF(OR(AND(4=$I17+1,OR($K17&lt;&gt;'計算A'!$A$3,'計算A'!$A$4=0)),AND(4=$I17-1,OR(4&lt;&gt;'計算A'!$A$3,'計算A'!$A$4=0))),0,IF(4=$K17,200000,ABS(4-$K17)*100)),100000+ABS(1-$J17)*1000+40)+'計算A'!G$5*50+IF(AND($E17=1,IT17=0),25,0),INDEX('計算A'!G$110:G$114,$F17+1)+IF(AND($E17=1,IT17=0),1000,0)+IF($H17=1,(IF('計算A'!F$117=1,INDEX('計算A'!F$10:F$54,$B17),0)+IF('計算A'!G$117=1,INDEX('計算A'!H$10:H$54,$B17),0))*500,0)-IF(AND('計算A'!F$117=1,UD17&gt;0),300,0)-IF(AND($L17=1,'計算A'!G$117=1,DF17=0),300,0))),1000000))</f>
        <v/>
      </c>
      <c r="OJ17">
        <f>IF($B17=0,1000000,IF(INDEX('計算A'!$D$60:$EQ$104,$B17,5)*DF17=1,IF(AND($E17=2,IU17=0),1000000,IF($I17&gt;0,IF(1=$J17,IF(OR(AND(5=$I17+1,OR($K17&lt;&gt;'計算A'!$A$3,'計算A'!$A$4=0)),AND(5=$I17-1,OR(5&lt;&gt;'計算A'!$A$3,'計算A'!$A$4=0))),0,IF(5=$K17,200000,ABS(5-$K17)*100)),100000+ABS(1-$J17)*1000+50)+'計算A'!H$5*50+IF(AND($E17=1,IU17=0),25,0),INDEX('計算A'!H$110:H$114,$F17+1)+IF(AND($E17=1,IU17=0),1000,0)+IF($H17=1,(IF('計算A'!G$117=1,INDEX('計算A'!G$10:G$54,$B17),0)+IF('計算A'!H$117=1,INDEX('計算A'!I$10:I$54,$B17),0))*500,0)-IF(AND('計算A'!G$117=1,UE17&gt;0),300,0)-IF(AND($L17=1,'計算A'!H$117=1,DG17=0),300,0))),1000000))</f>
        <v/>
      </c>
      <c r="OK17">
        <f>IF($B17=0,1000000,IF(INDEX('計算A'!$D$60:$EQ$104,$B17,6)*DG17=1,IF(AND($E17=2,IV17=0),1000000,IF($I17&gt;0,IF(1=$J17,IF(OR(AND(6=$I17+1,OR($K17&lt;&gt;'計算A'!$A$3,'計算A'!$A$4=0)),AND(6=$I17-1,OR(6&lt;&gt;'計算A'!$A$3,'計算A'!$A$4=0))),0,IF(6=$K17,200000,ABS(6-$K17)*100)),100000+ABS(1-$J17)*1000+60)+'計算A'!I$5*50+IF(AND($E17=1,IV17=0),25,0),INDEX('計算A'!I$110:I$114,$F17+1)+IF(AND($E17=1,IV17=0),1000,0)+IF($H17=1,(IF('計算A'!H$117=1,INDEX('計算A'!H$10:H$54,$B17),0)+IF('計算A'!I$117=1,INDEX('計算A'!J$10:J$54,$B17),0))*500,0)-IF(AND('計算A'!H$117=1,UF17&gt;0),300,0)-IF(AND($L17=1,'計算A'!I$117=1,DH17=0),300,0))),1000000))</f>
        <v/>
      </c>
      <c r="OL17">
        <f>IF($B17=0,1000000,IF(INDEX('計算A'!$D$60:$EQ$104,$B17,7)*DH17=1,IF(AND($E17=2,IW17=0),1000000,IF($I17&gt;0,IF(1=$J17,IF(OR(AND(7=$I17+1,OR($K17&lt;&gt;'計算A'!$A$3,'計算A'!$A$4=0)),AND(7=$I17-1,OR(7&lt;&gt;'計算A'!$A$3,'計算A'!$A$4=0))),0,IF(7=$K17,200000,ABS(7-$K17)*100)),100000+ABS(1-$J17)*1000+70)+'計算A'!J$5*50+IF(AND($E17=1,IW17=0),25,0),INDEX('計算A'!J$110:J$114,$F17+1)+IF(AND($E17=1,IW17=0),1000,0)+IF($H17=1,(IF('計算A'!I$117=1,INDEX('計算A'!I$10:I$54,$B17),0)+IF('計算A'!J$117=1,INDEX('計算A'!K$10:K$54,$B17),0))*500,0)-IF(AND('計算A'!I$117=1,UG17&gt;0),300,0)-IF(AND($L17=1,'計算A'!J$117=1,DI17=0),300,0))),1000000))</f>
        <v/>
      </c>
      <c r="OM17">
        <f>IF($B17=0,1000000,IF(INDEX('計算A'!$D$60:$EQ$104,$B17,8)*DI17=1,IF(AND($E17=2,IX17=0),1000000,IF($I17&gt;0,IF(1=$J17,IF(OR(AND(8=$I17+1,OR($K17&lt;&gt;'計算A'!$A$3,'計算A'!$A$4=0)),AND(8=$I17-1,OR(8&lt;&gt;'計算A'!$A$3,'計算A'!$A$4=0))),0,IF(8=$K17,200000,ABS(8-$K17)*100)),100000+ABS(1-$J17)*1000+80)+'計算A'!K$5*50+IF(AND($E17=1,IX17=0),25,0),INDEX('計算A'!K$110:K$114,$F17+1)+IF(AND($E17=1,IX17=0),1000,0)+IF($H17=1,(IF('計算A'!J$117=1,INDEX('計算A'!J$10:J$54,$B17),0)+IF('計算A'!K$117=1,INDEX('計算A'!L$10:L$54,$B17),0))*500,0)-IF(AND('計算A'!J$117=1,UH17&gt;0),300,0)-IF(AND($L17=1,'計算A'!K$117=1,DJ17=0),300,0))),1000000))</f>
        <v/>
      </c>
      <c r="ON17">
        <f>IF($B17=0,1000000,IF(INDEX('計算A'!$D$60:$EQ$104,$B17,9)*DJ17=1,IF(AND($E17=2,IY17=0),1000000,IF($I17&gt;0,IF(1=$J17,IF(OR(AND(9=$I17+1,OR($K17&lt;&gt;'計算A'!$A$3,'計算A'!$A$4=0)),AND(9=$I17-1,OR(9&lt;&gt;'計算A'!$A$3,'計算A'!$A$4=0))),0,IF(9=$K17,200000,ABS(9-$K17)*100)),100000+ABS(1-$J17)*1000+90)+'計算A'!L$5*50+IF(AND($E17=1,IY17=0),25,0),INDEX('計算A'!L$110:L$114,$F17+1)+IF(AND($E17=1,IY17=0),1000,0)+IF($H17=1,(IF('計算A'!K$117=1,INDEX('計算A'!K$10:K$54,$B17),0)+IF('計算A'!L$117=1,INDEX('計算A'!M$10:M$54,$B17),0))*500,0)-IF(AND('計算A'!K$117=1,UI17&gt;0),300,0)-IF(AND($L17=1,'計算A'!L$117=1,DK17=0),300,0))),1000000))</f>
        <v/>
      </c>
      <c r="OO17">
        <f>IF($B17=0,1000000,IF(INDEX('計算A'!$D$60:$EQ$104,$B17,10)*DK17=1,IF(AND($E17=2,IZ17=0),1000000,IF($I17&gt;0,IF(1=$J17,IF(OR(AND(10=$I17+1,OR($K17&lt;&gt;'計算A'!$A$3,'計算A'!$A$4=0)),AND(10=$I17-1,OR(10&lt;&gt;'計算A'!$A$3,'計算A'!$A$4=0))),0,IF(10=$K17,200000,ABS(10-$K17)*100)),100000+ABS(1-$J17)*1000+100)+'計算A'!M$5*50+IF(AND($E17=1,IZ17=0),25,0),INDEX('計算A'!M$110:M$114,$F17+1)+IF(AND($E17=1,IZ17=0),1000,0)+IF($H17=1,(IF('計算A'!L$117=1,INDEX('計算A'!L$10:L$54,$B17),0)+IF('計算A'!M$117=1,INDEX('計算A'!N$10:N$54,$B17),0))*500,0)-IF(AND('計算A'!L$117=1,UJ17&gt;0),300,0)-IF(AND($L17=1,'計算A'!M$117=1,DL17=0),300,0))),1000000))</f>
        <v/>
      </c>
      <c r="OP17">
        <f>IF($B17=0,1000000,IF(INDEX('計算A'!$D$60:$EQ$104,$B17,11)*DL17=1,IF(AND($E17=2,JA17=0),1000000,IF($I17&gt;0,IF(1=$J17,IF(OR(AND(11=$I17+1,OR($K17&lt;&gt;'計算A'!$A$3,'計算A'!$A$4=0)),AND(11=$I17-1,OR(11&lt;&gt;'計算A'!$A$3,'計算A'!$A$4=0))),0,IF(11=$K17,200000,ABS(11-$K17)*100)),100000+ABS(1-$J17)*1000+110)+'計算A'!N$5*50+IF(AND($E17=1,JA17=0),25,0),INDEX('計算A'!N$110:N$114,$F17+1)+IF(AND($E17=1,JA17=0),1000,0)+IF($H17=1,(IF('計算A'!M$117=1,INDEX('計算A'!M$10:M$54,$B17),0)+IF('計算A'!N$117=1,INDEX('計算A'!O$10:O$54,$B17),0))*500,0)-IF(AND('計算A'!M$117=1,UK17&gt;0),300,0)-IF(AND($L17=1,'計算A'!N$117=1,DM17=0),300,0))),1000000))</f>
        <v/>
      </c>
      <c r="OQ17">
        <f>IF($B17=0,1000000,IF(INDEX('計算A'!$D$60:$EQ$104,$B17,12)*DM17=1,IF(AND($E17=2,JB17=0),1000000,IF($I17&gt;0,IF(1=$J17,IF(OR(AND(12=$I17+1,OR($K17&lt;&gt;'計算A'!$A$3,'計算A'!$A$4=0)),AND(12=$I17-1,OR(12&lt;&gt;'計算A'!$A$3,'計算A'!$A$4=0))),0,IF(12=$K17,200000,ABS(12-$K17)*100)),100000+ABS(1-$J17)*1000+120)+'計算A'!O$5*50+IF(AND($E17=1,JB17=0),25,0),INDEX('計算A'!O$110:O$114,$F17+1)+IF(AND($E17=1,JB17=0),1000,0)+IF($H17=1,(IF('計算A'!N$117=1,INDEX('計算A'!N$10:N$54,$B17),0)+IF('計算A'!O$117=1,INDEX('計算A'!P$10:P$54,$B17),0))*500,0)-IF(AND('計算A'!N$117=1,UL17&gt;0),300,0)-IF(AND($L17=1,'計算A'!O$117=1,DN17=0),300,0))),1000000))</f>
        <v/>
      </c>
      <c r="OR17">
        <f>IF($B17=0,1000000,IF(INDEX('計算A'!$D$60:$EQ$104,$B17,13)*DN17=1,IF(AND($E17=2,JC17=0),1000000,IF($I17&gt;0,IF(1=$J17,IF(OR(AND(13=$I17+1,OR($K17&lt;&gt;'計算A'!$A$3,'計算A'!$A$4=0)),AND(13=$I17-1,OR(13&lt;&gt;'計算A'!$A$3,'計算A'!$A$4=0))),0,IF(13=$K17,200000,ABS(13-$K17)*100)),100000+ABS(1-$J17)*1000+130)+'計算A'!P$5*50+IF(AND($E17=1,JC17=0),25,0),INDEX('計算A'!P$110:P$114,$F17+1)+IF(AND($E17=1,JC17=0),1000,0)+IF($H17=1,(IF('計算A'!O$117=1,INDEX('計算A'!O$10:O$54,$B17),0)+IF('計算A'!P$117=1,INDEX('計算A'!Q$10:Q$54,$B17),0))*500,0)-IF(AND('計算A'!O$117=1,UM17&gt;0),300,0)-IF(AND($L17=1,'計算A'!P$117=1,DO17=0),300,0))),1000000))</f>
        <v/>
      </c>
      <c r="OS17">
        <f>IF($B17=0,1000000,IF(INDEX('計算A'!$D$60:$EQ$104,$B17,14)*DO17=1,IF(AND($E17=2,JD17=0),1000000,IF($I17&gt;0,IF(1=$J17,IF(OR(AND(14=$I17+1,OR($K17&lt;&gt;'計算A'!$A$3,'計算A'!$A$4=0)),AND(14=$I17-1,OR(14&lt;&gt;'計算A'!$A$3,'計算A'!$A$4=0))),0,IF(14=$K17,200000,ABS(14-$K17)*100)),100000+ABS(1-$J17)*1000+140)+'計算A'!Q$5*50+IF(AND($E17=1,JD17=0),25,0),INDEX('計算A'!Q$110:Q$114,$F17+1)+IF(AND($E17=1,JD17=0),1000,0)+IF($H17=1,(IF('計算A'!P$117=1,INDEX('計算A'!P$10:P$54,$B17),0)+IF('計算A'!Q$117=1,INDEX('計算A'!R$10:R$54,$B17),0))*500,0)-IF(AND('計算A'!P$117=1,UN17&gt;0),300,0)-IF(AND($L17=1,'計算A'!Q$117=1,DP17=0),300,0))),1000000))</f>
        <v/>
      </c>
      <c r="OT17">
        <f>IF($B17=0,1000000,IF(INDEX('計算A'!$D$60:$EQ$104,$B17,15)*DP17=1,IF(AND($E17=2,JE17=0),1000000,IF($I17&gt;0,IF(1=$J17,IF(OR(AND(15=$I17+1,OR($K17&lt;&gt;'計算A'!$A$3,'計算A'!$A$4=0)),AND(15=$I17-1,OR(15&lt;&gt;'計算A'!$A$3,'計算A'!$A$4=0))),0,IF(15=$K17,200000,ABS(15-$K17)*100)),100000+ABS(1-$J17)*1000+150)+'計算A'!R$5*50+IF(AND($E17=1,JE17=0),25,0),INDEX('計算A'!R$110:R$114,$F17+1)+IF(AND($E17=1,JE17=0),1000,0)+IF($H17=1,(IF('計算A'!Q$117=1,INDEX('計算A'!Q$10:Q$54,$B17),0)+IF('計算A'!R$117=1,INDEX('計算A'!S$10:S$54,$B17),0))*500,0)-IF(AND('計算A'!Q$117=1,UO17&gt;0),300,0)-IF(AND($L17=1,'計算A'!R$117=1,DQ17=0),300,0))),1000000))</f>
        <v/>
      </c>
      <c r="OU17">
        <f>IF($B17=0,1000000,IF(INDEX('計算A'!$D$60:$EQ$104,$B17,16)*DQ17=1,IF(AND($E17=2,JF17=0),1000000,IF($I17&gt;0,IF(1=$J17,IF(OR(AND(16=$I17+1,OR($K17&lt;&gt;'計算A'!$A$3,'計算A'!$A$4=0)),AND(16=$I17-1,OR(16&lt;&gt;'計算A'!$A$3,'計算A'!$A$4=0))),0,IF(16=$K17,200000,ABS(16-$K17)*100)),100000+ABS(1-$J17)*1000+160)+'計算A'!S$5*50+IF(AND($E17=1,JF17=0),25,0),INDEX('計算A'!S$110:S$114,$F17+1)+IF(AND($E17=1,JF17=0),1000,0)+IF($H17=1,(IF('計算A'!R$117=1,INDEX('計算A'!R$10:R$54,$B17),0)+IF('計算A'!S$117=1,INDEX('計算A'!T$10:T$54,$B17),0))*500,0)-IF(AND('計算A'!R$117=1,UP17&gt;0),300,0)-IF(AND($L17=1,'計算A'!S$117=1,DR17=0),300,0))),1000000))</f>
        <v/>
      </c>
      <c r="OV17">
        <f>IF($B17=0,1000000,IF(INDEX('計算A'!$D$60:$EQ$104,$B17,17)*DR17=1,IF(AND($E17=2,JG17=0),1000000,IF($I17&gt;0,IF(1=$J17,IF(OR(AND(17=$I17+1,OR($K17&lt;&gt;'計算A'!$A$3,'計算A'!$A$4=0)),AND(17=$I17-1,OR(17&lt;&gt;'計算A'!$A$3,'計算A'!$A$4=0))),0,IF(17=$K17,200000,ABS(17-$K17)*100)),100000+ABS(1-$J17)*1000+170)+'計算A'!T$5*50+IF(AND($E17=1,JG17=0),25,0),INDEX('計算A'!T$110:T$114,$F17+1)+IF(AND($E17=1,JG17=0),1000,0)+IF($H17=1,(IF('計算A'!S$117=1,INDEX('計算A'!S$10:S$54,$B17),0)+IF('計算A'!T$117=1,INDEX('計算A'!U$10:U$54,$B17),0))*500,0)-IF(AND('計算A'!S$117=1,UQ17&gt;0),300,0)-IF(AND($L17=1,'計算A'!T$117=1,DS17=0),300,0))),1000000))</f>
        <v/>
      </c>
      <c r="OW17">
        <f>IF($B17=0,1000000,IF(INDEX('計算A'!$D$60:$EQ$104,$B17,18)*DS17=1,IF(AND($E17=2,JH17=0),1000000,IF($I17&gt;0,IF(1=$J17,IF(OR(AND(18=$I17+1,OR($K17&lt;&gt;'計算A'!$A$3,'計算A'!$A$4=0)),AND(18=$I17-1,OR(18&lt;&gt;'計算A'!$A$3,'計算A'!$A$4=0))),0,IF(18=$K17,200000,ABS(18-$K17)*100)),100000+ABS(1-$J17)*1000+180)+'計算A'!U$5*50+IF(AND($E17=1,JH17=0),25,0),INDEX('計算A'!U$110:U$114,$F17+1)+IF(AND($E17=1,JH17=0),1000,0)+IF($H17=1,(IF('計算A'!T$117=1,INDEX('計算A'!T$10:T$54,$B17),0)+IF('計算A'!U$117=1,INDEX('計算A'!V$10:V$54,$B17),0))*500,0)-IF(AND('計算A'!T$117=1,UR17&gt;0),300,0)-IF(AND($L17=1,'計算A'!U$117=1,DT17=0),300,0))),1000000))</f>
        <v/>
      </c>
      <c r="OX17">
        <f>IF($B17=0,1000000,IF(INDEX('計算A'!$D$60:$EQ$104,$B17,19)*DT17=1,IF(AND($E17=2,JI17=0),1000000,IF($I17&gt;0,IF(1=$J17,IF(OR(AND(19=$I17+1,OR($K17&lt;&gt;'計算A'!$A$3,'計算A'!$A$4=0)),AND(19=$I17-1,OR(19&lt;&gt;'計算A'!$A$3,'計算A'!$A$4=0))),0,IF(19=$K17,200000,ABS(19-$K17)*100)),100000+ABS(1-$J17)*1000+190)+'計算A'!V$5*50+IF(AND($E17=1,JI17=0),25,0),INDEX('計算A'!V$110:V$114,$F17+1)+IF(AND($E17=1,JI17=0),1000,0)+IF($H17=1,(IF('計算A'!U$117=1,INDEX('計算A'!U$10:U$54,$B17),0)+IF('計算A'!V$117=1,INDEX('計算A'!W$10:W$54,$B17),0))*500,0)-IF(AND('計算A'!U$117=1,US17&gt;0),300,0)-IF(AND($L17=1,'計算A'!V$117=1,DU17=0),300,0))),1000000))</f>
        <v/>
      </c>
      <c r="OY17">
        <f>IF($B17=0,1000000,IF(INDEX('計算A'!$D$60:$EQ$104,$B17,20)*DU17=1,IF(AND($E17=2,JJ17=0),1000000,IF($I17&gt;0,IF(1=$J17,IF(OR(AND(20=$I17+1,OR($K17&lt;&gt;'計算A'!$A$3,'計算A'!$A$4=0)),AND(20=$I17-1,OR(20&lt;&gt;'計算A'!$A$3,'計算A'!$A$4=0))),0,IF(20=$K17,200000,ABS(20-$K17)*100)),100000+ABS(1-$J17)*1000+200)+'計算A'!W$5*50+IF(AND($E17=1,JJ17=0),25,0),INDEX('計算A'!W$110:W$114,$F17+1)+IF(AND($E17=1,JJ17=0),1000,0)+IF($H17=1,(IF('計算A'!V$117=1,INDEX('計算A'!V$10:V$54,$B17),0)+IF('計算A'!W$117=1,INDEX('計算A'!X$10:X$54,$B17),0))*500,0)-IF(AND('計算A'!V$117=1,UT17&gt;0),300,0)-IF(AND($L17=1,'計算A'!W$117=1,DV17=0),300,0))),1000000))</f>
        <v/>
      </c>
      <c r="OZ17">
        <f>IF($B17=0,1000000,IF(INDEX('計算A'!$D$60:$EQ$104,$B17,21)*DV17=1,IF(AND($E17=2,JK17=0),1000000,IF($I17&gt;0,IF(1=$J17,IF(OR(AND(21=$I17+1,OR($K17&lt;&gt;'計算A'!$A$3,'計算A'!$A$4=0)),AND(21=$I17-1,OR(21&lt;&gt;'計算A'!$A$3,'計算A'!$A$4=0))),0,IF(21=$K17,200000,ABS(21-$K17)*100)),100000+ABS(1-$J17)*1000+210)+'計算A'!X$5*50+IF(AND($E17=1,JK17=0),25,0),INDEX('計算A'!X$110:X$114,$F17+1)+IF(AND($E17=1,JK17=0),1000,0)+IF($H17=1,(IF('計算A'!W$117=1,INDEX('計算A'!W$10:W$54,$B17),0)+IF('計算A'!X$117=1,INDEX('計算A'!Y$10:Y$54,$B17),0))*500,0)-IF(AND('計算A'!W$117=1,UU17&gt;0),300,0)-IF(AND($L17=1,'計算A'!X$117=1,DW17=0),300,0))),1000000))</f>
        <v/>
      </c>
      <c r="PA17">
        <f>IF($B17=0,1000000,IF(INDEX('計算A'!$D$60:$EQ$104,$B17,22)*DW17=1,IF(AND($E17=2,JL17=0),1000000,IF($I17&gt;0,IF(1=$J17,IF(OR(AND(22=$I17+1,OR($K17&lt;&gt;'計算A'!$A$3,'計算A'!$A$4=0)),AND(22=$I17-1,OR(22&lt;&gt;'計算A'!$A$3,'計算A'!$A$4=0))),0,IF(22=$K17,200000,ABS(22-$K17)*100)),100000+ABS(1-$J17)*1000+220)+'計算A'!Y$5*50+IF(AND($E17=1,JL17=0),25,0),INDEX('計算A'!Y$110:Y$114,$F17+1)+IF(AND($E17=1,JL17=0),1000,0)+IF($H17=1,(IF('計算A'!X$117=1,INDEX('計算A'!X$10:X$54,$B17),0)+IF('計算A'!Y$117=1,INDEX('計算A'!Z$10:Z$54,$B17),0))*500,0)-IF(AND('計算A'!X$117=1,UV17&gt;0),300,0)-IF(AND($L17=1,'計算A'!Y$117=1,DX17=0),300,0))),1000000))</f>
        <v/>
      </c>
      <c r="PB17">
        <f>IF($B17=0,1000000,IF(INDEX('計算A'!$D$60:$EQ$104,$B17,23)*DX17=1,IF(AND($E17=2,JM17=0),1000000,IF($I17&gt;0,IF(1=$J17,IF(OR(AND(23=$I17+1,OR($K17&lt;&gt;'計算A'!$A$3,'計算A'!$A$4=0)),AND(23=$I17-1,OR(23&lt;&gt;'計算A'!$A$3,'計算A'!$A$4=0))),0,IF(23=$K17,200000,ABS(23-$K17)*100)),100000+ABS(1-$J17)*1000+230)+'計算A'!Z$5*50+IF(AND($E17=1,JM17=0),25,0),INDEX('計算A'!Z$110:Z$114,$F17+1)+IF(AND($E17=1,JM17=0),1000,0)+IF($H17=1,(IF('計算A'!Y$117=1,INDEX('計算A'!Y$10:Y$54,$B17),0)+IF('計算A'!Z$117=1,INDEX('計算A'!AA$10:AA$54,$B17),0))*500,0)-IF(AND('計算A'!Y$117=1,UW17&gt;0),300,0)-IF(AND($L17=1,'計算A'!Z$117=1,DY17=0),300,0))),1000000))</f>
        <v/>
      </c>
      <c r="PC17">
        <f>IF($B17=0,1000000,IF(INDEX('計算A'!$D$60:$EQ$104,$B17,24)*DY17=1,IF(AND($E17=2,JN17=0),1000000,IF($I17&gt;0,IF(1=$J17,IF(OR(AND(24=$I17+1,OR($K17&lt;&gt;'計算A'!$A$3,'計算A'!$A$4=0)),AND(24=$I17-1,OR(24&lt;&gt;'計算A'!$A$3,'計算A'!$A$4=0))),0,IF(24=$K17,200000,ABS(24-$K17)*100)),100000+ABS(1-$J17)*1000+240)+'計算A'!AA$5*50+IF(AND($E17=1,JN17=0),25,0),INDEX('計算A'!AA$110:AA$114,$F17+1)+IF(AND($E17=1,JN17=0),1000,0)+IF($H17=1,(IF('計算A'!Z$117=1,INDEX('計算A'!Z$10:Z$54,$B17),0))*500,0)-IF(AND('計算A'!Z$117=1,UX17&gt;0),300,0))),1000000))</f>
        <v/>
      </c>
      <c r="PD17">
        <f>IF($B17=0,1000000,IF(INDEX('計算A'!$D$60:$EQ$104,$B17,25)*DZ17=1,IF(AND($E17=2,JO17=0),1000000,IF($I17&gt;0,IF(2=$J17,IF(OR(AND(25=$I17+1,OR($K17&lt;&gt;'計算A'!$A$3,'計算A'!$A$4=0)),AND(25=$I17-1,OR(1&lt;&gt;'計算A'!$A$3,'計算A'!$A$4=0))),0,IF(1=$K17,200000,ABS(1-$K17)*100)),100000+ABS(2-$J17)*1000+10)+'計算A'!AB$5*50+IF(AND($E17=1,JO17=0),25,0),INDEX('計算A'!AB$110:AB$114,$F17+1)+IF(AND($E17=1,JO17=0),1000,0)+IF($H17=1,(IF('計算A'!AB$117=1,INDEX('計算A'!AC$10:AC$54,$B17),0))*500,0)-IF(AND($L17=1,'計算A'!AB$117=1,EA17=0),300,0))),1000000))</f>
        <v/>
      </c>
      <c r="PE17">
        <f>IF($B17=0,1000000,IF(INDEX('計算A'!$D$60:$EQ$104,$B17,26)*EA17=1,IF(AND($E17=2,JP17=0),1000000,IF($I17&gt;0,IF(2=$J17,IF(OR(AND(26=$I17+1,OR($K17&lt;&gt;'計算A'!$A$3,'計算A'!$A$4=0)),AND(26=$I17-1,OR(2&lt;&gt;'計算A'!$A$3,'計算A'!$A$4=0))),0,IF(2=$K17,200000,ABS(2-$K17)*100)),100000+ABS(2-$J17)*1000+20)+'計算A'!AC$5*50+IF(AND($E17=1,JP17=0),25,0),INDEX('計算A'!AC$110:AC$114,$F17+1)+IF(AND($E17=1,JP17=0),1000,0)+IF($H17=1,(IF('計算A'!AB$117=1,INDEX('計算A'!AB$10:AB$54,$B17),0)+IF('計算A'!AC$117=1,INDEX('計算A'!AD$10:AD$54,$B17),0))*500,0)-IF(AND('計算A'!AB$117=1,UZ17&gt;0),300,0)-IF(AND($L17=1,'計算A'!AC$117=1,EB17=0),300,0))),1000000))</f>
        <v/>
      </c>
      <c r="PF17">
        <f>IF($B17=0,1000000,IF(INDEX('計算A'!$D$60:$EQ$104,$B17,27)*EB17=1,IF(AND($E17=2,JQ17=0),1000000,IF($I17&gt;0,IF(2=$J17,IF(OR(AND(27=$I17+1,OR($K17&lt;&gt;'計算A'!$A$3,'計算A'!$A$4=0)),AND(27=$I17-1,OR(3&lt;&gt;'計算A'!$A$3,'計算A'!$A$4=0))),0,IF(3=$K17,200000,ABS(3-$K17)*100)),100000+ABS(2-$J17)*1000+30)+'計算A'!AD$5*50+IF(AND($E17=1,JQ17=0),25,0),INDEX('計算A'!AD$110:AD$114,$F17+1)+IF(AND($E17=1,JQ17=0),1000,0)+IF($H17=1,(IF('計算A'!AC$117=1,INDEX('計算A'!AC$10:AC$54,$B17),0)+IF('計算A'!AD$117=1,INDEX('計算A'!AE$10:AE$54,$B17),0))*500,0)-IF(AND('計算A'!AC$117=1,VA17&gt;0),300,0)-IF(AND($L17=1,'計算A'!AD$117=1,EC17=0),300,0))),1000000))</f>
        <v/>
      </c>
      <c r="PG17">
        <f>IF($B17=0,1000000,IF(INDEX('計算A'!$D$60:$EQ$104,$B17,28)*EC17=1,IF(AND($E17=2,JR17=0),1000000,IF($I17&gt;0,IF(2=$J17,IF(OR(AND(28=$I17+1,OR($K17&lt;&gt;'計算A'!$A$3,'計算A'!$A$4=0)),AND(28=$I17-1,OR(4&lt;&gt;'計算A'!$A$3,'計算A'!$A$4=0))),0,IF(4=$K17,200000,ABS(4-$K17)*100)),100000+ABS(2-$J17)*1000+40)+'計算A'!AE$5*50+IF(AND($E17=1,JR17=0),25,0),INDEX('計算A'!AE$110:AE$114,$F17+1)+IF(AND($E17=1,JR17=0),1000,0)+IF($H17=1,(IF('計算A'!AD$117=1,INDEX('計算A'!AD$10:AD$54,$B17),0)+IF('計算A'!AE$117=1,INDEX('計算A'!AF$10:AF$54,$B17),0))*500,0)-IF(AND('計算A'!AD$117=1,VB17&gt;0),300,0)-IF(AND($L17=1,'計算A'!AE$117=1,ED17=0),300,0))),1000000))</f>
        <v/>
      </c>
      <c r="PH17">
        <f>IF($B17=0,1000000,IF(INDEX('計算A'!$D$60:$EQ$104,$B17,29)*ED17=1,IF(AND($E17=2,JS17=0),1000000,IF($I17&gt;0,IF(2=$J17,IF(OR(AND(29=$I17+1,OR($K17&lt;&gt;'計算A'!$A$3,'計算A'!$A$4=0)),AND(29=$I17-1,OR(5&lt;&gt;'計算A'!$A$3,'計算A'!$A$4=0))),0,IF(5=$K17,200000,ABS(5-$K17)*100)),100000+ABS(2-$J17)*1000+50)+'計算A'!AF$5*50+IF(AND($E17=1,JS17=0),25,0),INDEX('計算A'!AF$110:AF$114,$F17+1)+IF(AND($E17=1,JS17=0),1000,0)+IF($H17=1,(IF('計算A'!AE$117=1,INDEX('計算A'!AE$10:AE$54,$B17),0)+IF('計算A'!AF$117=1,INDEX('計算A'!AG$10:AG$54,$B17),0))*500,0)-IF(AND('計算A'!AE$117=1,VC17&gt;0),300,0)-IF(AND($L17=1,'計算A'!AF$117=1,EE17=0),300,0))),1000000))</f>
        <v/>
      </c>
      <c r="PI17">
        <f>IF($B17=0,1000000,IF(INDEX('計算A'!$D$60:$EQ$104,$B17,30)*EE17=1,IF(AND($E17=2,JT17=0),1000000,IF($I17&gt;0,IF(2=$J17,IF(OR(AND(30=$I17+1,OR($K17&lt;&gt;'計算A'!$A$3,'計算A'!$A$4=0)),AND(30=$I17-1,OR(6&lt;&gt;'計算A'!$A$3,'計算A'!$A$4=0))),0,IF(6=$K17,200000,ABS(6-$K17)*100)),100000+ABS(2-$J17)*1000+60)+'計算A'!AG$5*50+IF(AND($E17=1,JT17=0),25,0),INDEX('計算A'!AG$110:AG$114,$F17+1)+IF(AND($E17=1,JT17=0),1000,0)+IF($H17=1,(IF('計算A'!AF$117=1,INDEX('計算A'!AF$10:AF$54,$B17),0)+IF('計算A'!AG$117=1,INDEX('計算A'!AH$10:AH$54,$B17),0))*500,0)-IF(AND('計算A'!AF$117=1,VD17&gt;0),300,0)-IF(AND($L17=1,'計算A'!AG$117=1,EF17=0),300,0))),1000000))</f>
        <v/>
      </c>
      <c r="PJ17">
        <f>IF($B17=0,1000000,IF(INDEX('計算A'!$D$60:$EQ$104,$B17,31)*EF17=1,IF(AND($E17=2,JU17=0),1000000,IF($I17&gt;0,IF(2=$J17,IF(OR(AND(31=$I17+1,OR($K17&lt;&gt;'計算A'!$A$3,'計算A'!$A$4=0)),AND(31=$I17-1,OR(7&lt;&gt;'計算A'!$A$3,'計算A'!$A$4=0))),0,IF(7=$K17,200000,ABS(7-$K17)*100)),100000+ABS(2-$J17)*1000+70)+'計算A'!AH$5*50+IF(AND($E17=1,JU17=0),25,0),INDEX('計算A'!AH$110:AH$114,$F17+1)+IF(AND($E17=1,JU17=0),1000,0)+IF($H17=1,(IF('計算A'!AG$117=1,INDEX('計算A'!AG$10:AG$54,$B17),0)+IF('計算A'!AH$117=1,INDEX('計算A'!AI$10:AI$54,$B17),0))*500,0)-IF(AND('計算A'!AG$117=1,VE17&gt;0),300,0)-IF(AND($L17=1,'計算A'!AH$117=1,EG17=0),300,0))),1000000))</f>
        <v/>
      </c>
      <c r="PK17">
        <f>IF($B17=0,1000000,IF(INDEX('計算A'!$D$60:$EQ$104,$B17,32)*EG17=1,IF(AND($E17=2,JV17=0),1000000,IF($I17&gt;0,IF(2=$J17,IF(OR(AND(32=$I17+1,OR($K17&lt;&gt;'計算A'!$A$3,'計算A'!$A$4=0)),AND(32=$I17-1,OR(8&lt;&gt;'計算A'!$A$3,'計算A'!$A$4=0))),0,IF(8=$K17,200000,ABS(8-$K17)*100)),100000+ABS(2-$J17)*1000+80)+'計算A'!AI$5*50+IF(AND($E17=1,JV17=0),25,0),INDEX('計算A'!AI$110:AI$114,$F17+1)+IF(AND($E17=1,JV17=0),1000,0)+IF($H17=1,(IF('計算A'!AH$117=1,INDEX('計算A'!AH$10:AH$54,$B17),0)+IF('計算A'!AI$117=1,INDEX('計算A'!AJ$10:AJ$54,$B17),0))*500,0)-IF(AND('計算A'!AH$117=1,VF17&gt;0),300,0)-IF(AND($L17=1,'計算A'!AI$117=1,EH17=0),300,0))),1000000))</f>
        <v/>
      </c>
      <c r="PL17">
        <f>IF($B17=0,1000000,IF(INDEX('計算A'!$D$60:$EQ$104,$B17,33)*EH17=1,IF(AND($E17=2,JW17=0),1000000,IF($I17&gt;0,IF(2=$J17,IF(OR(AND(33=$I17+1,OR($K17&lt;&gt;'計算A'!$A$3,'計算A'!$A$4=0)),AND(33=$I17-1,OR(9&lt;&gt;'計算A'!$A$3,'計算A'!$A$4=0))),0,IF(9=$K17,200000,ABS(9-$K17)*100)),100000+ABS(2-$J17)*1000+90)+'計算A'!AJ$5*50+IF(AND($E17=1,JW17=0),25,0),INDEX('計算A'!AJ$110:AJ$114,$F17+1)+IF(AND($E17=1,JW17=0),1000,0)+IF($H17=1,(IF('計算A'!AI$117=1,INDEX('計算A'!AI$10:AI$54,$B17),0)+IF('計算A'!AJ$117=1,INDEX('計算A'!AK$10:AK$54,$B17),0))*500,0)-IF(AND('計算A'!AI$117=1,VG17&gt;0),300,0)-IF(AND($L17=1,'計算A'!AJ$117=1,EI17=0),300,0))),1000000))</f>
        <v/>
      </c>
      <c r="PM17">
        <f>IF($B17=0,1000000,IF(INDEX('計算A'!$D$60:$EQ$104,$B17,34)*EI17=1,IF(AND($E17=2,JX17=0),1000000,IF($I17&gt;0,IF(2=$J17,IF(OR(AND(34=$I17+1,OR($K17&lt;&gt;'計算A'!$A$3,'計算A'!$A$4=0)),AND(34=$I17-1,OR(10&lt;&gt;'計算A'!$A$3,'計算A'!$A$4=0))),0,IF(10=$K17,200000,ABS(10-$K17)*100)),100000+ABS(2-$J17)*1000+100)+'計算A'!AK$5*50+IF(AND($E17=1,JX17=0),25,0),INDEX('計算A'!AK$110:AK$114,$F17+1)+IF(AND($E17=1,JX17=0),1000,0)+IF($H17=1,(IF('計算A'!AJ$117=1,INDEX('計算A'!AJ$10:AJ$54,$B17),0)+IF('計算A'!AK$117=1,INDEX('計算A'!AL$10:AL$54,$B17),0))*500,0)-IF(AND('計算A'!AJ$117=1,VH17&gt;0),300,0)-IF(AND($L17=1,'計算A'!AK$117=1,EJ17=0),300,0))),1000000))</f>
        <v/>
      </c>
      <c r="PN17">
        <f>IF($B17=0,1000000,IF(INDEX('計算A'!$D$60:$EQ$104,$B17,35)*EJ17=1,IF(AND($E17=2,JY17=0),1000000,IF($I17&gt;0,IF(2=$J17,IF(OR(AND(35=$I17+1,OR($K17&lt;&gt;'計算A'!$A$3,'計算A'!$A$4=0)),AND(35=$I17-1,OR(11&lt;&gt;'計算A'!$A$3,'計算A'!$A$4=0))),0,IF(11=$K17,200000,ABS(11-$K17)*100)),100000+ABS(2-$J17)*1000+110)+'計算A'!AL$5*50+IF(AND($E17=1,JY17=0),25,0),INDEX('計算A'!AL$110:AL$114,$F17+1)+IF(AND($E17=1,JY17=0),1000,0)+IF($H17=1,(IF('計算A'!AK$117=1,INDEX('計算A'!AK$10:AK$54,$B17),0)+IF('計算A'!AL$117=1,INDEX('計算A'!AM$10:AM$54,$B17),0))*500,0)-IF(AND('計算A'!AK$117=1,VI17&gt;0),300,0)-IF(AND($L17=1,'計算A'!AL$117=1,EK17=0),300,0))),1000000))</f>
        <v/>
      </c>
      <c r="PO17">
        <f>IF($B17=0,1000000,IF(INDEX('計算A'!$D$60:$EQ$104,$B17,36)*EK17=1,IF(AND($E17=2,JZ17=0),1000000,IF($I17&gt;0,IF(2=$J17,IF(OR(AND(36=$I17+1,OR($K17&lt;&gt;'計算A'!$A$3,'計算A'!$A$4=0)),AND(36=$I17-1,OR(12&lt;&gt;'計算A'!$A$3,'計算A'!$A$4=0))),0,IF(12=$K17,200000,ABS(12-$K17)*100)),100000+ABS(2-$J17)*1000+120)+'計算A'!AM$5*50+IF(AND($E17=1,JZ17=0),25,0),INDEX('計算A'!AM$110:AM$114,$F17+1)+IF(AND($E17=1,JZ17=0),1000,0)+IF($H17=1,(IF('計算A'!AL$117=1,INDEX('計算A'!AL$10:AL$54,$B17),0)+IF('計算A'!AM$117=1,INDEX('計算A'!AN$10:AN$54,$B17),0))*500,0)-IF(AND('計算A'!AL$117=1,VJ17&gt;0),300,0)-IF(AND($L17=1,'計算A'!AM$117=1,EL17=0),300,0))),1000000))</f>
        <v/>
      </c>
      <c r="PP17">
        <f>IF($B17=0,1000000,IF(INDEX('計算A'!$D$60:$EQ$104,$B17,37)*EL17=1,IF(AND($E17=2,KA17=0),1000000,IF($I17&gt;0,IF(2=$J17,IF(OR(AND(37=$I17+1,OR($K17&lt;&gt;'計算A'!$A$3,'計算A'!$A$4=0)),AND(37=$I17-1,OR(13&lt;&gt;'計算A'!$A$3,'計算A'!$A$4=0))),0,IF(13=$K17,200000,ABS(13-$K17)*100)),100000+ABS(2-$J17)*1000+130)+'計算A'!AN$5*50+IF(AND($E17=1,KA17=0),25,0),INDEX('計算A'!AN$110:AN$114,$F17+1)+IF(AND($E17=1,KA17=0),1000,0)+IF($H17=1,(IF('計算A'!AM$117=1,INDEX('計算A'!AM$10:AM$54,$B17),0)+IF('計算A'!AN$117=1,INDEX('計算A'!AO$10:AO$54,$B17),0))*500,0)-IF(AND('計算A'!AM$117=1,VK17&gt;0),300,0)-IF(AND($L17=1,'計算A'!AN$117=1,EM17=0),300,0))),1000000))</f>
        <v/>
      </c>
      <c r="PQ17">
        <f>IF($B17=0,1000000,IF(INDEX('計算A'!$D$60:$EQ$104,$B17,38)*EM17=1,IF(AND($E17=2,KB17=0),1000000,IF($I17&gt;0,IF(2=$J17,IF(OR(AND(38=$I17+1,OR($K17&lt;&gt;'計算A'!$A$3,'計算A'!$A$4=0)),AND(38=$I17-1,OR(14&lt;&gt;'計算A'!$A$3,'計算A'!$A$4=0))),0,IF(14=$K17,200000,ABS(14-$K17)*100)),100000+ABS(2-$J17)*1000+140)+'計算A'!AO$5*50+IF(AND($E17=1,KB17=0),25,0),INDEX('計算A'!AO$110:AO$114,$F17+1)+IF(AND($E17=1,KB17=0),1000,0)+IF($H17=1,(IF('計算A'!AN$117=1,INDEX('計算A'!AN$10:AN$54,$B17),0)+IF('計算A'!AO$117=1,INDEX('計算A'!AP$10:AP$54,$B17),0))*500,0)-IF(AND('計算A'!AN$117=1,VL17&gt;0),300,0)-IF(AND($L17=1,'計算A'!AO$117=1,EN17=0),300,0))),1000000))</f>
        <v/>
      </c>
      <c r="PR17">
        <f>IF($B17=0,1000000,IF(INDEX('計算A'!$D$60:$EQ$104,$B17,39)*EN17=1,IF(AND($E17=2,KC17=0),1000000,IF($I17&gt;0,IF(2=$J17,IF(OR(AND(39=$I17+1,OR($K17&lt;&gt;'計算A'!$A$3,'計算A'!$A$4=0)),AND(39=$I17-1,OR(15&lt;&gt;'計算A'!$A$3,'計算A'!$A$4=0))),0,IF(15=$K17,200000,ABS(15-$K17)*100)),100000+ABS(2-$J17)*1000+150)+'計算A'!AP$5*50+IF(AND($E17=1,KC17=0),25,0),INDEX('計算A'!AP$110:AP$114,$F17+1)+IF(AND($E17=1,KC17=0),1000,0)+IF($H17=1,(IF('計算A'!AO$117=1,INDEX('計算A'!AO$10:AO$54,$B17),0)+IF('計算A'!AP$117=1,INDEX('計算A'!AQ$10:AQ$54,$B17),0))*500,0)-IF(AND('計算A'!AO$117=1,VM17&gt;0),300,0)-IF(AND($L17=1,'計算A'!AP$117=1,EO17=0),300,0))),1000000))</f>
        <v/>
      </c>
      <c r="PS17">
        <f>IF($B17=0,1000000,IF(INDEX('計算A'!$D$60:$EQ$104,$B17,40)*EO17=1,IF(AND($E17=2,KD17=0),1000000,IF($I17&gt;0,IF(2=$J17,IF(OR(AND(40=$I17+1,OR($K17&lt;&gt;'計算A'!$A$3,'計算A'!$A$4=0)),AND(40=$I17-1,OR(16&lt;&gt;'計算A'!$A$3,'計算A'!$A$4=0))),0,IF(16=$K17,200000,ABS(16-$K17)*100)),100000+ABS(2-$J17)*1000+160)+'計算A'!AQ$5*50+IF(AND($E17=1,KD17=0),25,0),INDEX('計算A'!AQ$110:AQ$114,$F17+1)+IF(AND($E17=1,KD17=0),1000,0)+IF($H17=1,(IF('計算A'!AP$117=1,INDEX('計算A'!AP$10:AP$54,$B17),0)+IF('計算A'!AQ$117=1,INDEX('計算A'!AR$10:AR$54,$B17),0))*500,0)-IF(AND('計算A'!AP$117=1,VN17&gt;0),300,0)-IF(AND($L17=1,'計算A'!AQ$117=1,EP17=0),300,0))),1000000))</f>
        <v/>
      </c>
      <c r="PT17">
        <f>IF($B17=0,1000000,IF(INDEX('計算A'!$D$60:$EQ$104,$B17,41)*EP17=1,IF(AND($E17=2,KE17=0),1000000,IF($I17&gt;0,IF(2=$J17,IF(OR(AND(41=$I17+1,OR($K17&lt;&gt;'計算A'!$A$3,'計算A'!$A$4=0)),AND(41=$I17-1,OR(17&lt;&gt;'計算A'!$A$3,'計算A'!$A$4=0))),0,IF(17=$K17,200000,ABS(17-$K17)*100)),100000+ABS(2-$J17)*1000+170)+'計算A'!AR$5*50+IF(AND($E17=1,KE17=0),25,0),INDEX('計算A'!AR$110:AR$114,$F17+1)+IF(AND($E17=1,KE17=0),1000,0)+IF($H17=1,(IF('計算A'!AQ$117=1,INDEX('計算A'!AQ$10:AQ$54,$B17),0)+IF('計算A'!AR$117=1,INDEX('計算A'!AS$10:AS$54,$B17),0))*500,0)-IF(AND('計算A'!AQ$117=1,VO17&gt;0),300,0)-IF(AND($L17=1,'計算A'!AR$117=1,EQ17=0),300,0))),1000000))</f>
        <v/>
      </c>
      <c r="PU17">
        <f>IF($B17=0,1000000,IF(INDEX('計算A'!$D$60:$EQ$104,$B17,42)*EQ17=1,IF(AND($E17=2,KF17=0),1000000,IF($I17&gt;0,IF(2=$J17,IF(OR(AND(42=$I17+1,OR($K17&lt;&gt;'計算A'!$A$3,'計算A'!$A$4=0)),AND(42=$I17-1,OR(18&lt;&gt;'計算A'!$A$3,'計算A'!$A$4=0))),0,IF(18=$K17,200000,ABS(18-$K17)*100)),100000+ABS(2-$J17)*1000+180)+'計算A'!AS$5*50+IF(AND($E17=1,KF17=0),25,0),INDEX('計算A'!AS$110:AS$114,$F17+1)+IF(AND($E17=1,KF17=0),1000,0)+IF($H17=1,(IF('計算A'!AR$117=1,INDEX('計算A'!AR$10:AR$54,$B17),0)+IF('計算A'!AS$117=1,INDEX('計算A'!AT$10:AT$54,$B17),0))*500,0)-IF(AND('計算A'!AR$117=1,VP17&gt;0),300,0)-IF(AND($L17=1,'計算A'!AS$117=1,ER17=0),300,0))),1000000))</f>
        <v/>
      </c>
      <c r="PV17">
        <f>IF($B17=0,1000000,IF(INDEX('計算A'!$D$60:$EQ$104,$B17,43)*ER17=1,IF(AND($E17=2,KG17=0),1000000,IF($I17&gt;0,IF(2=$J17,IF(OR(AND(43=$I17+1,OR($K17&lt;&gt;'計算A'!$A$3,'計算A'!$A$4=0)),AND(43=$I17-1,OR(19&lt;&gt;'計算A'!$A$3,'計算A'!$A$4=0))),0,IF(19=$K17,200000,ABS(19-$K17)*100)),100000+ABS(2-$J17)*1000+190)+'計算A'!AT$5*50+IF(AND($E17=1,KG17=0),25,0),INDEX('計算A'!AT$110:AT$114,$F17+1)+IF(AND($E17=1,KG17=0),1000,0)+IF($H17=1,(IF('計算A'!AS$117=1,INDEX('計算A'!AS$10:AS$54,$B17),0)+IF('計算A'!AT$117=1,INDEX('計算A'!AU$10:AU$54,$B17),0))*500,0)-IF(AND('計算A'!AS$117=1,VQ17&gt;0),300,0)-IF(AND($L17=1,'計算A'!AT$117=1,ES17=0),300,0))),1000000))</f>
        <v/>
      </c>
      <c r="PW17">
        <f>IF($B17=0,1000000,IF(INDEX('計算A'!$D$60:$EQ$104,$B17,44)*ES17=1,IF(AND($E17=2,KH17=0),1000000,IF($I17&gt;0,IF(2=$J17,IF(OR(AND(44=$I17+1,OR($K17&lt;&gt;'計算A'!$A$3,'計算A'!$A$4=0)),AND(44=$I17-1,OR(20&lt;&gt;'計算A'!$A$3,'計算A'!$A$4=0))),0,IF(20=$K17,200000,ABS(20-$K17)*100)),100000+ABS(2-$J17)*1000+200)+'計算A'!AU$5*50+IF(AND($E17=1,KH17=0),25,0),INDEX('計算A'!AU$110:AU$114,$F17+1)+IF(AND($E17=1,KH17=0),1000,0)+IF($H17=1,(IF('計算A'!AT$117=1,INDEX('計算A'!AT$10:AT$54,$B17),0)+IF('計算A'!AU$117=1,INDEX('計算A'!AV$10:AV$54,$B17),0))*500,0)-IF(AND('計算A'!AT$117=1,VR17&gt;0),300,0)-IF(AND($L17=1,'計算A'!AU$117=1,ET17=0),300,0))),1000000))</f>
        <v/>
      </c>
      <c r="PX17">
        <f>IF($B17=0,1000000,IF(INDEX('計算A'!$D$60:$EQ$104,$B17,45)*ET17=1,IF(AND($E17=2,KI17=0),1000000,IF($I17&gt;0,IF(2=$J17,IF(OR(AND(45=$I17+1,OR($K17&lt;&gt;'計算A'!$A$3,'計算A'!$A$4=0)),AND(45=$I17-1,OR(21&lt;&gt;'計算A'!$A$3,'計算A'!$A$4=0))),0,IF(21=$K17,200000,ABS(21-$K17)*100)),100000+ABS(2-$J17)*1000+210)+'計算A'!AV$5*50+IF(AND($E17=1,KI17=0),25,0),INDEX('計算A'!AV$110:AV$114,$F17+1)+IF(AND($E17=1,KI17=0),1000,0)+IF($H17=1,(IF('計算A'!AU$117=1,INDEX('計算A'!AU$10:AU$54,$B17),0)+IF('計算A'!AV$117=1,INDEX('計算A'!AW$10:AW$54,$B17),0))*500,0)-IF(AND('計算A'!AU$117=1,VS17&gt;0),300,0)-IF(AND($L17=1,'計算A'!AV$117=1,EU17=0),300,0))),1000000))</f>
        <v/>
      </c>
      <c r="PY17">
        <f>IF($B17=0,1000000,IF(INDEX('計算A'!$D$60:$EQ$104,$B17,46)*EU17=1,IF(AND($E17=2,KJ17=0),1000000,IF($I17&gt;0,IF(2=$J17,IF(OR(AND(46=$I17+1,OR($K17&lt;&gt;'計算A'!$A$3,'計算A'!$A$4=0)),AND(46=$I17-1,OR(22&lt;&gt;'計算A'!$A$3,'計算A'!$A$4=0))),0,IF(22=$K17,200000,ABS(22-$K17)*100)),100000+ABS(2-$J17)*1000+220)+'計算A'!AW$5*50+IF(AND($E17=1,KJ17=0),25,0),INDEX('計算A'!AW$110:AW$114,$F17+1)+IF(AND($E17=1,KJ17=0),1000,0)+IF($H17=1,(IF('計算A'!AV$117=1,INDEX('計算A'!AV$10:AV$54,$B17),0)+IF('計算A'!AW$117=1,INDEX('計算A'!AX$10:AX$54,$B17),0))*500,0)-IF(AND('計算A'!AV$117=1,VT17&gt;0),300,0)-IF(AND($L17=1,'計算A'!AW$117=1,EV17=0),300,0))),1000000))</f>
        <v/>
      </c>
      <c r="PZ17">
        <f>IF($B17=0,1000000,IF(INDEX('計算A'!$D$60:$EQ$104,$B17,47)*EV17=1,IF(AND($E17=2,KK17=0),1000000,IF($I17&gt;0,IF(2=$J17,IF(OR(AND(47=$I17+1,OR($K17&lt;&gt;'計算A'!$A$3,'計算A'!$A$4=0)),AND(47=$I17-1,OR(23&lt;&gt;'計算A'!$A$3,'計算A'!$A$4=0))),0,IF(23=$K17,200000,ABS(23-$K17)*100)),100000+ABS(2-$J17)*1000+230)+'計算A'!AX$5*50+IF(AND($E17=1,KK17=0),25,0),INDEX('計算A'!AX$110:AX$114,$F17+1)+IF(AND($E17=1,KK17=0),1000,0)+IF($H17=1,(IF('計算A'!AW$117=1,INDEX('計算A'!AW$10:AW$54,$B17),0)+IF('計算A'!AX$117=1,INDEX('計算A'!AY$10:AY$54,$B17),0))*500,0)-IF(AND('計算A'!AW$117=1,VU17&gt;0),300,0)-IF(AND($L17=1,'計算A'!AX$117=1,EW17=0),300,0))),1000000))</f>
        <v/>
      </c>
      <c r="QA17">
        <f>IF($B17=0,1000000,IF(INDEX('計算A'!$D$60:$EQ$104,$B17,48)*EW17=1,IF(AND($E17=2,KL17=0),1000000,IF($I17&gt;0,IF(2=$J17,IF(OR(AND(48=$I17+1,OR($K17&lt;&gt;'計算A'!$A$3,'計算A'!$A$4=0)),AND(48=$I17-1,OR(24&lt;&gt;'計算A'!$A$3,'計算A'!$A$4=0))),0,IF(24=$K17,200000,ABS(24-$K17)*100)),100000+ABS(2-$J17)*1000+240)+'計算A'!AY$5*50+IF(AND($E17=1,KL17=0),25,0),INDEX('計算A'!AY$110:AY$114,$F17+1)+IF(AND($E17=1,KL17=0),1000,0)+IF($H17=1,(IF('計算A'!AX$117=1,INDEX('計算A'!AX$10:AX$54,$B17),0))*500,0)-IF(AND('計算A'!AX$117=1,VV17&gt;0),300,0))),1000000))</f>
        <v/>
      </c>
      <c r="QB17">
        <f>IF($B17=0,1000000,IF(INDEX('計算A'!$D$60:$EQ$104,$B17,49)*EX17=1,IF(AND($E17=2,KM17=0),1000000,IF($I17&gt;0,IF(3=$J17,IF(OR(AND(49=$I17+1,OR($K17&lt;&gt;'計算A'!$A$3,'計算A'!$A$4=0)),AND(49=$I17-1,OR(1&lt;&gt;'計算A'!$A$3,'計算A'!$A$4=0))),0,IF(1=$K17,200000,ABS(1-$K17)*100)),100000+ABS(3-$J17)*1000+10)+'計算A'!AZ$5*50+IF(AND($E17=1,KM17=0),25,0),INDEX('計算A'!AZ$110:AZ$114,$F17+1)+IF(AND($E17=1,KM17=0),1000,0)+IF($H17=1,(IF('計算A'!AZ$117=1,INDEX('計算A'!BA$10:BA$54,$B17),0))*500,0)-IF(AND($L17=1,'計算A'!AZ$117=1,EY17=0),300,0))),1000000))</f>
        <v/>
      </c>
      <c r="QC17">
        <f>IF($B17=0,1000000,IF(INDEX('計算A'!$D$60:$EQ$104,$B17,50)*EY17=1,IF(AND($E17=2,KN17=0),1000000,IF($I17&gt;0,IF(3=$J17,IF(OR(AND(50=$I17+1,OR($K17&lt;&gt;'計算A'!$A$3,'計算A'!$A$4=0)),AND(50=$I17-1,OR(2&lt;&gt;'計算A'!$A$3,'計算A'!$A$4=0))),0,IF(2=$K17,200000,ABS(2-$K17)*100)),100000+ABS(3-$J17)*1000+20)+'計算A'!BA$5*50+IF(AND($E17=1,KN17=0),25,0),INDEX('計算A'!BA$110:BA$114,$F17+1)+IF(AND($E17=1,KN17=0),1000,0)+IF($H17=1,(IF('計算A'!AZ$117=1,INDEX('計算A'!AZ$10:AZ$54,$B17),0)+IF('計算A'!BA$117=1,INDEX('計算A'!BB$10:BB$54,$B17),0))*500,0)-IF(AND('計算A'!AZ$117=1,VX17&gt;0),300,0)-IF(AND($L17=1,'計算A'!BA$117=1,EZ17=0),300,0))),1000000))</f>
        <v/>
      </c>
      <c r="QD17">
        <f>IF($B17=0,1000000,IF(INDEX('計算A'!$D$60:$EQ$104,$B17,51)*EZ17=1,IF(AND($E17=2,KO17=0),1000000,IF($I17&gt;0,IF(3=$J17,IF(OR(AND(51=$I17+1,OR($K17&lt;&gt;'計算A'!$A$3,'計算A'!$A$4=0)),AND(51=$I17-1,OR(3&lt;&gt;'計算A'!$A$3,'計算A'!$A$4=0))),0,IF(3=$K17,200000,ABS(3-$K17)*100)),100000+ABS(3-$J17)*1000+30)+'計算A'!BB$5*50+IF(AND($E17=1,KO17=0),25,0),INDEX('計算A'!BB$110:BB$114,$F17+1)+IF(AND($E17=1,KO17=0),1000,0)+IF($H17=1,(IF('計算A'!BA$117=1,INDEX('計算A'!BA$10:BA$54,$B17),0)+IF('計算A'!BB$117=1,INDEX('計算A'!BC$10:BC$54,$B17),0))*500,0)-IF(AND('計算A'!BA$117=1,VY17&gt;0),300,0)-IF(AND($L17=1,'計算A'!BB$117=1,FA17=0),300,0))),1000000))</f>
        <v/>
      </c>
      <c r="QE17">
        <f>IF($B17=0,1000000,IF(INDEX('計算A'!$D$60:$EQ$104,$B17,52)*FA17=1,IF(AND($E17=2,KP17=0),1000000,IF($I17&gt;0,IF(3=$J17,IF(OR(AND(52=$I17+1,OR($K17&lt;&gt;'計算A'!$A$3,'計算A'!$A$4=0)),AND(52=$I17-1,OR(4&lt;&gt;'計算A'!$A$3,'計算A'!$A$4=0))),0,IF(4=$K17,200000,ABS(4-$K17)*100)),100000+ABS(3-$J17)*1000+40)+'計算A'!BC$5*50+IF(AND($E17=1,KP17=0),25,0),INDEX('計算A'!BC$110:BC$114,$F17+1)+IF(AND($E17=1,KP17=0),1000,0)+IF($H17=1,(IF('計算A'!BB$117=1,INDEX('計算A'!BB$10:BB$54,$B17),0)+IF('計算A'!BC$117=1,INDEX('計算A'!BD$10:BD$54,$B17),0))*500,0)-IF(AND('計算A'!BB$117=1,VZ17&gt;0),300,0)-IF(AND($L17=1,'計算A'!BC$117=1,FB17=0),300,0))),1000000))</f>
        <v/>
      </c>
      <c r="QF17">
        <f>IF($B17=0,1000000,IF(INDEX('計算A'!$D$60:$EQ$104,$B17,53)*FB17=1,IF(AND($E17=2,KQ17=0),1000000,IF($I17&gt;0,IF(3=$J17,IF(OR(AND(53=$I17+1,OR($K17&lt;&gt;'計算A'!$A$3,'計算A'!$A$4=0)),AND(53=$I17-1,OR(5&lt;&gt;'計算A'!$A$3,'計算A'!$A$4=0))),0,IF(5=$K17,200000,ABS(5-$K17)*100)),100000+ABS(3-$J17)*1000+50)+'計算A'!BD$5*50+IF(AND($E17=1,KQ17=0),25,0),INDEX('計算A'!BD$110:BD$114,$F17+1)+IF(AND($E17=1,KQ17=0),1000,0)+IF($H17=1,(IF('計算A'!BC$117=1,INDEX('計算A'!BC$10:BC$54,$B17),0)+IF('計算A'!BD$117=1,INDEX('計算A'!BE$10:BE$54,$B17),0))*500,0)-IF(AND('計算A'!BC$117=1,WA17&gt;0),300,0)-IF(AND($L17=1,'計算A'!BD$117=1,FC17=0),300,0))),1000000))</f>
        <v/>
      </c>
      <c r="QG17">
        <f>IF($B17=0,1000000,IF(INDEX('計算A'!$D$60:$EQ$104,$B17,54)*FC17=1,IF(AND($E17=2,KR17=0),1000000,IF($I17&gt;0,IF(3=$J17,IF(OR(AND(54=$I17+1,OR($K17&lt;&gt;'計算A'!$A$3,'計算A'!$A$4=0)),AND(54=$I17-1,OR(6&lt;&gt;'計算A'!$A$3,'計算A'!$A$4=0))),0,IF(6=$K17,200000,ABS(6-$K17)*100)),100000+ABS(3-$J17)*1000+60)+'計算A'!BE$5*50+IF(AND($E17=1,KR17=0),25,0),INDEX('計算A'!BE$110:BE$114,$F17+1)+IF(AND($E17=1,KR17=0),1000,0)+IF($H17=1,(IF('計算A'!BD$117=1,INDEX('計算A'!BD$10:BD$54,$B17),0)+IF('計算A'!BE$117=1,INDEX('計算A'!BF$10:BF$54,$B17),0))*500,0)-IF(AND('計算A'!BD$117=1,WB17&gt;0),300,0)-IF(AND($L17=1,'計算A'!BE$117=1,FD17=0),300,0))),1000000))</f>
        <v/>
      </c>
      <c r="QH17">
        <f>IF($B17=0,1000000,IF(INDEX('計算A'!$D$60:$EQ$104,$B17,55)*FD17=1,IF(AND($E17=2,KS17=0),1000000,IF($I17&gt;0,IF(3=$J17,IF(OR(AND(55=$I17+1,OR($K17&lt;&gt;'計算A'!$A$3,'計算A'!$A$4=0)),AND(55=$I17-1,OR(7&lt;&gt;'計算A'!$A$3,'計算A'!$A$4=0))),0,IF(7=$K17,200000,ABS(7-$K17)*100)),100000+ABS(3-$J17)*1000+70)+'計算A'!BF$5*50+IF(AND($E17=1,KS17=0),25,0),INDEX('計算A'!BF$110:BF$114,$F17+1)+IF(AND($E17=1,KS17=0),1000,0)+IF($H17=1,(IF('計算A'!BE$117=1,INDEX('計算A'!BE$10:BE$54,$B17),0)+IF('計算A'!BF$117=1,INDEX('計算A'!BG$10:BG$54,$B17),0))*500,0)-IF(AND('計算A'!BE$117=1,WC17&gt;0),300,0)-IF(AND($L17=1,'計算A'!BF$117=1,FE17=0),300,0))),1000000))</f>
        <v/>
      </c>
      <c r="QI17">
        <f>IF($B17=0,1000000,IF(INDEX('計算A'!$D$60:$EQ$104,$B17,56)*FE17=1,IF(AND($E17=2,KT17=0),1000000,IF($I17&gt;0,IF(3=$J17,IF(OR(AND(56=$I17+1,OR($K17&lt;&gt;'計算A'!$A$3,'計算A'!$A$4=0)),AND(56=$I17-1,OR(8&lt;&gt;'計算A'!$A$3,'計算A'!$A$4=0))),0,IF(8=$K17,200000,ABS(8-$K17)*100)),100000+ABS(3-$J17)*1000+80)+'計算A'!BG$5*50+IF(AND($E17=1,KT17=0),25,0),INDEX('計算A'!BG$110:BG$114,$F17+1)+IF(AND($E17=1,KT17=0),1000,0)+IF($H17=1,(IF('計算A'!BF$117=1,INDEX('計算A'!BF$10:BF$54,$B17),0)+IF('計算A'!BG$117=1,INDEX('計算A'!BH$10:BH$54,$B17),0))*500,0)-IF(AND('計算A'!BF$117=1,WD17&gt;0),300,0)-IF(AND($L17=1,'計算A'!BG$117=1,FF17=0),300,0))),1000000))</f>
        <v/>
      </c>
      <c r="QJ17">
        <f>IF($B17=0,1000000,IF(INDEX('計算A'!$D$60:$EQ$104,$B17,57)*FF17=1,IF(AND($E17=2,KU17=0),1000000,IF($I17&gt;0,IF(3=$J17,IF(OR(AND(57=$I17+1,OR($K17&lt;&gt;'計算A'!$A$3,'計算A'!$A$4=0)),AND(57=$I17-1,OR(9&lt;&gt;'計算A'!$A$3,'計算A'!$A$4=0))),0,IF(9=$K17,200000,ABS(9-$K17)*100)),100000+ABS(3-$J17)*1000+90)+'計算A'!BH$5*50+IF(AND($E17=1,KU17=0),25,0),INDEX('計算A'!BH$110:BH$114,$F17+1)+IF(AND($E17=1,KU17=0),1000,0)+IF($H17=1,(IF('計算A'!BG$117=1,INDEX('計算A'!BG$10:BG$54,$B17),0)+IF('計算A'!BH$117=1,INDEX('計算A'!BI$10:BI$54,$B17),0))*500,0)-IF(AND('計算A'!BG$117=1,WE17&gt;0),300,0)-IF(AND($L17=1,'計算A'!BH$117=1,FG17=0),300,0))),1000000))</f>
        <v/>
      </c>
      <c r="QK17">
        <f>IF($B17=0,1000000,IF(INDEX('計算A'!$D$60:$EQ$104,$B17,58)*FG17=1,IF(AND($E17=2,KV17=0),1000000,IF($I17&gt;0,IF(3=$J17,IF(OR(AND(58=$I17+1,OR($K17&lt;&gt;'計算A'!$A$3,'計算A'!$A$4=0)),AND(58=$I17-1,OR(10&lt;&gt;'計算A'!$A$3,'計算A'!$A$4=0))),0,IF(10=$K17,200000,ABS(10-$K17)*100)),100000+ABS(3-$J17)*1000+100)+'計算A'!BI$5*50+IF(AND($E17=1,KV17=0),25,0),INDEX('計算A'!BI$110:BI$114,$F17+1)+IF(AND($E17=1,KV17=0),1000,0)+IF($H17=1,(IF('計算A'!BH$117=1,INDEX('計算A'!BH$10:BH$54,$B17),0)+IF('計算A'!BI$117=1,INDEX('計算A'!BJ$10:BJ$54,$B17),0))*500,0)-IF(AND('計算A'!BH$117=1,WF17&gt;0),300,0)-IF(AND($L17=1,'計算A'!BI$117=1,FH17=0),300,0))),1000000))</f>
        <v/>
      </c>
      <c r="QL17">
        <f>IF($B17=0,1000000,IF(INDEX('計算A'!$D$60:$EQ$104,$B17,59)*FH17=1,IF(AND($E17=2,KW17=0),1000000,IF($I17&gt;0,IF(3=$J17,IF(OR(AND(59=$I17+1,OR($K17&lt;&gt;'計算A'!$A$3,'計算A'!$A$4=0)),AND(59=$I17-1,OR(11&lt;&gt;'計算A'!$A$3,'計算A'!$A$4=0))),0,IF(11=$K17,200000,ABS(11-$K17)*100)),100000+ABS(3-$J17)*1000+110)+'計算A'!BJ$5*50+IF(AND($E17=1,KW17=0),25,0),INDEX('計算A'!BJ$110:BJ$114,$F17+1)+IF(AND($E17=1,KW17=0),1000,0)+IF($H17=1,(IF('計算A'!BI$117=1,INDEX('計算A'!BI$10:BI$54,$B17),0)+IF('計算A'!BJ$117=1,INDEX('計算A'!BK$10:BK$54,$B17),0))*500,0)-IF(AND('計算A'!BI$117=1,WG17&gt;0),300,0)-IF(AND($L17=1,'計算A'!BJ$117=1,FI17=0),300,0))),1000000))</f>
        <v/>
      </c>
      <c r="QM17">
        <f>IF($B17=0,1000000,IF(INDEX('計算A'!$D$60:$EQ$104,$B17,60)*FI17=1,IF(AND($E17=2,KX17=0),1000000,IF($I17&gt;0,IF(3=$J17,IF(OR(AND(60=$I17+1,OR($K17&lt;&gt;'計算A'!$A$3,'計算A'!$A$4=0)),AND(60=$I17-1,OR(12&lt;&gt;'計算A'!$A$3,'計算A'!$A$4=0))),0,IF(12=$K17,200000,ABS(12-$K17)*100)),100000+ABS(3-$J17)*1000+120)+'計算A'!BK$5*50+IF(AND($E17=1,KX17=0),25,0),INDEX('計算A'!BK$110:BK$114,$F17+1)+IF(AND($E17=1,KX17=0),1000,0)+IF($H17=1,(IF('計算A'!BJ$117=1,INDEX('計算A'!BJ$10:BJ$54,$B17),0)+IF('計算A'!BK$117=1,INDEX('計算A'!BL$10:BL$54,$B17),0))*500,0)-IF(AND('計算A'!BJ$117=1,WH17&gt;0),300,0)-IF(AND($L17=1,'計算A'!BK$117=1,FJ17=0),300,0))),1000000))</f>
        <v/>
      </c>
      <c r="QN17">
        <f>IF($B17=0,1000000,IF(INDEX('計算A'!$D$60:$EQ$104,$B17,61)*FJ17=1,IF(AND($E17=2,KY17=0),1000000,IF($I17&gt;0,IF(3=$J17,IF(OR(AND(61=$I17+1,OR($K17&lt;&gt;'計算A'!$A$3,'計算A'!$A$4=0)),AND(61=$I17-1,OR(13&lt;&gt;'計算A'!$A$3,'計算A'!$A$4=0))),0,IF(13=$K17,200000,ABS(13-$K17)*100)),100000+ABS(3-$J17)*1000+130)+'計算A'!BL$5*50+IF(AND($E17=1,KY17=0),25,0),INDEX('計算A'!BL$110:BL$114,$F17+1)+IF(AND($E17=1,KY17=0),1000,0)+IF($H17=1,(IF('計算A'!BK$117=1,INDEX('計算A'!BK$10:BK$54,$B17),0)+IF('計算A'!BL$117=1,INDEX('計算A'!BM$10:BM$54,$B17),0))*500,0)-IF(AND('計算A'!BK$117=1,WI17&gt;0),300,0)-IF(AND($L17=1,'計算A'!BL$117=1,FK17=0),300,0))),1000000))</f>
        <v/>
      </c>
      <c r="QO17">
        <f>IF($B17=0,1000000,IF(INDEX('計算A'!$D$60:$EQ$104,$B17,62)*FK17=1,IF(AND($E17=2,KZ17=0),1000000,IF($I17&gt;0,IF(3=$J17,IF(OR(AND(62=$I17+1,OR($K17&lt;&gt;'計算A'!$A$3,'計算A'!$A$4=0)),AND(62=$I17-1,OR(14&lt;&gt;'計算A'!$A$3,'計算A'!$A$4=0))),0,IF(14=$K17,200000,ABS(14-$K17)*100)),100000+ABS(3-$J17)*1000+140)+'計算A'!BM$5*50+IF(AND($E17=1,KZ17=0),25,0),INDEX('計算A'!BM$110:BM$114,$F17+1)+IF(AND($E17=1,KZ17=0),1000,0)+IF($H17=1,(IF('計算A'!BL$117=1,INDEX('計算A'!BL$10:BL$54,$B17),0)+IF('計算A'!BM$117=1,INDEX('計算A'!BN$10:BN$54,$B17),0))*500,0)-IF(AND('計算A'!BL$117=1,WJ17&gt;0),300,0)-IF(AND($L17=1,'計算A'!BM$117=1,FL17=0),300,0))),1000000))</f>
        <v/>
      </c>
      <c r="QP17">
        <f>IF($B17=0,1000000,IF(INDEX('計算A'!$D$60:$EQ$104,$B17,63)*FL17=1,IF(AND($E17=2,LA17=0),1000000,IF($I17&gt;0,IF(3=$J17,IF(OR(AND(63=$I17+1,OR($K17&lt;&gt;'計算A'!$A$3,'計算A'!$A$4=0)),AND(63=$I17-1,OR(15&lt;&gt;'計算A'!$A$3,'計算A'!$A$4=0))),0,IF(15=$K17,200000,ABS(15-$K17)*100)),100000+ABS(3-$J17)*1000+150)+'計算A'!BN$5*50+IF(AND($E17=1,LA17=0),25,0),INDEX('計算A'!BN$110:BN$114,$F17+1)+IF(AND($E17=1,LA17=0),1000,0)+IF($H17=1,(IF('計算A'!BM$117=1,INDEX('計算A'!BM$10:BM$54,$B17),0)+IF('計算A'!BN$117=1,INDEX('計算A'!BO$10:BO$54,$B17),0))*500,0)-IF(AND('計算A'!BM$117=1,WK17&gt;0),300,0)-IF(AND($L17=1,'計算A'!BN$117=1,FM17=0),300,0))),1000000))</f>
        <v/>
      </c>
      <c r="QQ17">
        <f>IF($B17=0,1000000,IF(INDEX('計算A'!$D$60:$EQ$104,$B17,64)*FM17=1,IF(AND($E17=2,LB17=0),1000000,IF($I17&gt;0,IF(3=$J17,IF(OR(AND(64=$I17+1,OR($K17&lt;&gt;'計算A'!$A$3,'計算A'!$A$4=0)),AND(64=$I17-1,OR(16&lt;&gt;'計算A'!$A$3,'計算A'!$A$4=0))),0,IF(16=$K17,200000,ABS(16-$K17)*100)),100000+ABS(3-$J17)*1000+160)+'計算A'!BO$5*50+IF(AND($E17=1,LB17=0),25,0),INDEX('計算A'!BO$110:BO$114,$F17+1)+IF(AND($E17=1,LB17=0),1000,0)+IF($H17=1,(IF('計算A'!BN$117=1,INDEX('計算A'!BN$10:BN$54,$B17),0)+IF('計算A'!BO$117=1,INDEX('計算A'!BP$10:BP$54,$B17),0))*500,0)-IF(AND('計算A'!BN$117=1,WL17&gt;0),300,0)-IF(AND($L17=1,'計算A'!BO$117=1,FN17=0),300,0))),1000000))</f>
        <v/>
      </c>
      <c r="QR17">
        <f>IF($B17=0,1000000,IF(INDEX('計算A'!$D$60:$EQ$104,$B17,65)*FN17=1,IF(AND($E17=2,LC17=0),1000000,IF($I17&gt;0,IF(3=$J17,IF(OR(AND(65=$I17+1,OR($K17&lt;&gt;'計算A'!$A$3,'計算A'!$A$4=0)),AND(65=$I17-1,OR(17&lt;&gt;'計算A'!$A$3,'計算A'!$A$4=0))),0,IF(17=$K17,200000,ABS(17-$K17)*100)),100000+ABS(3-$J17)*1000+170)+'計算A'!BP$5*50+IF(AND($E17=1,LC17=0),25,0),INDEX('計算A'!BP$110:BP$114,$F17+1)+IF(AND($E17=1,LC17=0),1000,0)+IF($H17=1,(IF('計算A'!BO$117=1,INDEX('計算A'!BO$10:BO$54,$B17),0)+IF('計算A'!BP$117=1,INDEX('計算A'!BQ$10:BQ$54,$B17),0))*500,0)-IF(AND('計算A'!BO$117=1,WM17&gt;0),300,0)-IF(AND($L17=1,'計算A'!BP$117=1,FO17=0),300,0))),1000000))</f>
        <v/>
      </c>
      <c r="QS17">
        <f>IF($B17=0,1000000,IF(INDEX('計算A'!$D$60:$EQ$104,$B17,66)*FO17=1,IF(AND($E17=2,LD17=0),1000000,IF($I17&gt;0,IF(3=$J17,IF(OR(AND(66=$I17+1,OR($K17&lt;&gt;'計算A'!$A$3,'計算A'!$A$4=0)),AND(66=$I17-1,OR(18&lt;&gt;'計算A'!$A$3,'計算A'!$A$4=0))),0,IF(18=$K17,200000,ABS(18-$K17)*100)),100000+ABS(3-$J17)*1000+180)+'計算A'!BQ$5*50+IF(AND($E17=1,LD17=0),25,0),INDEX('計算A'!BQ$110:BQ$114,$F17+1)+IF(AND($E17=1,LD17=0),1000,0)+IF($H17=1,(IF('計算A'!BP$117=1,INDEX('計算A'!BP$10:BP$54,$B17),0)+IF('計算A'!BQ$117=1,INDEX('計算A'!BR$10:BR$54,$B17),0))*500,0)-IF(AND('計算A'!BP$117=1,WN17&gt;0),300,0)-IF(AND($L17=1,'計算A'!BQ$117=1,FP17=0),300,0))),1000000))</f>
        <v/>
      </c>
      <c r="QT17">
        <f>IF($B17=0,1000000,IF(INDEX('計算A'!$D$60:$EQ$104,$B17,67)*FP17=1,IF(AND($E17=2,LE17=0),1000000,IF($I17&gt;0,IF(3=$J17,IF(OR(AND(67=$I17+1,OR($K17&lt;&gt;'計算A'!$A$3,'計算A'!$A$4=0)),AND(67=$I17-1,OR(19&lt;&gt;'計算A'!$A$3,'計算A'!$A$4=0))),0,IF(19=$K17,200000,ABS(19-$K17)*100)),100000+ABS(3-$J17)*1000+190)+'計算A'!BR$5*50+IF(AND($E17=1,LE17=0),25,0),INDEX('計算A'!BR$110:BR$114,$F17+1)+IF(AND($E17=1,LE17=0),1000,0)+IF($H17=1,(IF('計算A'!BQ$117=1,INDEX('計算A'!BQ$10:BQ$54,$B17),0)+IF('計算A'!BR$117=1,INDEX('計算A'!BS$10:BS$54,$B17),0))*500,0)-IF(AND('計算A'!BQ$117=1,WO17&gt;0),300,0)-IF(AND($L17=1,'計算A'!BR$117=1,FQ17=0),300,0))),1000000))</f>
        <v/>
      </c>
      <c r="QU17">
        <f>IF($B17=0,1000000,IF(INDEX('計算A'!$D$60:$EQ$104,$B17,68)*FQ17=1,IF(AND($E17=2,LF17=0),1000000,IF($I17&gt;0,IF(3=$J17,IF(OR(AND(68=$I17+1,OR($K17&lt;&gt;'計算A'!$A$3,'計算A'!$A$4=0)),AND(68=$I17-1,OR(20&lt;&gt;'計算A'!$A$3,'計算A'!$A$4=0))),0,IF(20=$K17,200000,ABS(20-$K17)*100)),100000+ABS(3-$J17)*1000+200)+'計算A'!BS$5*50+IF(AND($E17=1,LF17=0),25,0),INDEX('計算A'!BS$110:BS$114,$F17+1)+IF(AND($E17=1,LF17=0),1000,0)+IF($H17=1,(IF('計算A'!BR$117=1,INDEX('計算A'!BR$10:BR$54,$B17),0)+IF('計算A'!BS$117=1,INDEX('計算A'!BT$10:BT$54,$B17),0))*500,0)-IF(AND('計算A'!BR$117=1,WP17&gt;0),300,0)-IF(AND($L17=1,'計算A'!BS$117=1,FR17=0),300,0))),1000000))</f>
        <v/>
      </c>
      <c r="QV17">
        <f>IF($B17=0,1000000,IF(INDEX('計算A'!$D$60:$EQ$104,$B17,69)*FR17=1,IF(AND($E17=2,LG17=0),1000000,IF($I17&gt;0,IF(3=$J17,IF(OR(AND(69=$I17+1,OR($K17&lt;&gt;'計算A'!$A$3,'計算A'!$A$4=0)),AND(69=$I17-1,OR(21&lt;&gt;'計算A'!$A$3,'計算A'!$A$4=0))),0,IF(21=$K17,200000,ABS(21-$K17)*100)),100000+ABS(3-$J17)*1000+210)+'計算A'!BT$5*50+IF(AND($E17=1,LG17=0),25,0),INDEX('計算A'!BT$110:BT$114,$F17+1)+IF(AND($E17=1,LG17=0),1000,0)+IF($H17=1,(IF('計算A'!BS$117=1,INDEX('計算A'!BS$10:BS$54,$B17),0)+IF('計算A'!BT$117=1,INDEX('計算A'!BU$10:BU$54,$B17),0))*500,0)-IF(AND('計算A'!BS$117=1,WQ17&gt;0),300,0)-IF(AND($L17=1,'計算A'!BT$117=1,FS17=0),300,0))),1000000))</f>
        <v/>
      </c>
      <c r="QW17">
        <f>IF($B17=0,1000000,IF(INDEX('計算A'!$D$60:$EQ$104,$B17,70)*FS17=1,IF(AND($E17=2,LH17=0),1000000,IF($I17&gt;0,IF(3=$J17,IF(OR(AND(70=$I17+1,OR($K17&lt;&gt;'計算A'!$A$3,'計算A'!$A$4=0)),AND(70=$I17-1,OR(22&lt;&gt;'計算A'!$A$3,'計算A'!$A$4=0))),0,IF(22=$K17,200000,ABS(22-$K17)*100)),100000+ABS(3-$J17)*1000+220)+'計算A'!BU$5*50+IF(AND($E17=1,LH17=0),25,0),INDEX('計算A'!BU$110:BU$114,$F17+1)+IF(AND($E17=1,LH17=0),1000,0)+IF($H17=1,(IF('計算A'!BT$117=1,INDEX('計算A'!BT$10:BT$54,$B17),0)+IF('計算A'!BU$117=1,INDEX('計算A'!BV$10:BV$54,$B17),0))*500,0)-IF(AND('計算A'!BT$117=1,WR17&gt;0),300,0)-IF(AND($L17=1,'計算A'!BU$117=1,FT17=0),300,0))),1000000))</f>
        <v/>
      </c>
      <c r="QX17">
        <f>IF($B17=0,1000000,IF(INDEX('計算A'!$D$60:$EQ$104,$B17,71)*FT17=1,IF(AND($E17=2,LI17=0),1000000,IF($I17&gt;0,IF(3=$J17,IF(OR(AND(71=$I17+1,OR($K17&lt;&gt;'計算A'!$A$3,'計算A'!$A$4=0)),AND(71=$I17-1,OR(23&lt;&gt;'計算A'!$A$3,'計算A'!$A$4=0))),0,IF(23=$K17,200000,ABS(23-$K17)*100)),100000+ABS(3-$J17)*1000+230)+'計算A'!BV$5*50+IF(AND($E17=1,LI17=0),25,0),INDEX('計算A'!BV$110:BV$114,$F17+1)+IF(AND($E17=1,LI17=0),1000,0)+IF($H17=1,(IF('計算A'!BU$117=1,INDEX('計算A'!BU$10:BU$54,$B17),0)+IF('計算A'!BV$117=1,INDEX('計算A'!BW$10:BW$54,$B17),0))*500,0)-IF(AND('計算A'!BU$117=1,WS17&gt;0),300,0)-IF(AND($L17=1,'計算A'!BV$117=1,FU17=0),300,0))),1000000))</f>
        <v/>
      </c>
      <c r="QY17">
        <f>IF($B17=0,1000000,IF(INDEX('計算A'!$D$60:$EQ$104,$B17,72)*FU17=1,IF(AND($E17=2,LJ17=0),1000000,IF($I17&gt;0,IF(3=$J17,IF(OR(AND(72=$I17+1,OR($K17&lt;&gt;'計算A'!$A$3,'計算A'!$A$4=0)),AND(72=$I17-1,OR(24&lt;&gt;'計算A'!$A$3,'計算A'!$A$4=0))),0,IF(24=$K17,200000,ABS(24-$K17)*100)),100000+ABS(3-$J17)*1000+240)+'計算A'!BW$5*50+IF(AND($E17=1,LJ17=0),25,0),INDEX('計算A'!BW$110:BW$114,$F17+1)+IF(AND($E17=1,LJ17=0),1000,0)+IF($H17=1,(IF('計算A'!BV$117=1,INDEX('計算A'!BV$10:BV$54,$B17),0))*500,0)-IF(AND('計算A'!BV$117=1,WT17&gt;0),300,0))),1000000))</f>
        <v/>
      </c>
      <c r="QZ17">
        <f>IF($B17=0,1000000,IF(INDEX('計算A'!$D$60:$EQ$104,$B17,73)*FV17=1,IF(AND($E17=2,LK17=0),1000000,IF($I17&gt;0,IF(4=$J17,IF(OR(AND(73=$I17+1,OR($K17&lt;&gt;'計算A'!$A$3,'計算A'!$A$4=0)),AND(73=$I17-1,OR(1&lt;&gt;'計算A'!$A$3,'計算A'!$A$4=0))),0,IF(1=$K17,200000,ABS(1-$K17)*100)),100000+ABS(4-$J17)*1000+10)+'計算A'!BX$5*50+IF(AND($E17=1,LK17=0),25,0),INDEX('計算A'!BX$110:BX$114,$F17+1)+IF(AND($E17=1,LK17=0),1000,0)+IF($H17=1,(IF('計算A'!BX$117=1,INDEX('計算A'!BY$10:BY$54,$B17),0))*500,0)-IF(AND($L17=1,'計算A'!BX$117=1,FW17=0),300,0))),1000000))</f>
        <v/>
      </c>
      <c r="RA17">
        <f>IF($B17=0,1000000,IF(INDEX('計算A'!$D$60:$EQ$104,$B17,74)*FW17=1,IF(AND($E17=2,LL17=0),1000000,IF($I17&gt;0,IF(4=$J17,IF(OR(AND(74=$I17+1,OR($K17&lt;&gt;'計算A'!$A$3,'計算A'!$A$4=0)),AND(74=$I17-1,OR(2&lt;&gt;'計算A'!$A$3,'計算A'!$A$4=0))),0,IF(2=$K17,200000,ABS(2-$K17)*100)),100000+ABS(4-$J17)*1000+20)+'計算A'!BY$5*50+IF(AND($E17=1,LL17=0),25,0),INDEX('計算A'!BY$110:BY$114,$F17+1)+IF(AND($E17=1,LL17=0),1000,0)+IF($H17=1,(IF('計算A'!BX$117=1,INDEX('計算A'!BX$10:BX$54,$B17),0)+IF('計算A'!BY$117=1,INDEX('計算A'!BZ$10:BZ$54,$B17),0))*500,0)-IF(AND('計算A'!BX$117=1,WV17&gt;0),300,0)-IF(AND($L17=1,'計算A'!BY$117=1,FX17=0),300,0))),1000000))</f>
        <v/>
      </c>
      <c r="RB17">
        <f>IF($B17=0,1000000,IF(INDEX('計算A'!$D$60:$EQ$104,$B17,75)*FX17=1,IF(AND($E17=2,LM17=0),1000000,IF($I17&gt;0,IF(4=$J17,IF(OR(AND(75=$I17+1,OR($K17&lt;&gt;'計算A'!$A$3,'計算A'!$A$4=0)),AND(75=$I17-1,OR(3&lt;&gt;'計算A'!$A$3,'計算A'!$A$4=0))),0,IF(3=$K17,200000,ABS(3-$K17)*100)),100000+ABS(4-$J17)*1000+30)+'計算A'!BZ$5*50+IF(AND($E17=1,LM17=0),25,0),INDEX('計算A'!BZ$110:BZ$114,$F17+1)+IF(AND($E17=1,LM17=0),1000,0)+IF($H17=1,(IF('計算A'!BY$117=1,INDEX('計算A'!BY$10:BY$54,$B17),0)+IF('計算A'!BZ$117=1,INDEX('計算A'!CA$10:CA$54,$B17),0))*500,0)-IF(AND('計算A'!BY$117=1,WW17&gt;0),300,0)-IF(AND($L17=1,'計算A'!BZ$117=1,FY17=0),300,0))),1000000))</f>
        <v/>
      </c>
      <c r="RC17">
        <f>IF($B17=0,1000000,IF(INDEX('計算A'!$D$60:$EQ$104,$B17,76)*FY17=1,IF(AND($E17=2,LN17=0),1000000,IF($I17&gt;0,IF(4=$J17,IF(OR(AND(76=$I17+1,OR($K17&lt;&gt;'計算A'!$A$3,'計算A'!$A$4=0)),AND(76=$I17-1,OR(4&lt;&gt;'計算A'!$A$3,'計算A'!$A$4=0))),0,IF(4=$K17,200000,ABS(4-$K17)*100)),100000+ABS(4-$J17)*1000+40)+'計算A'!CA$5*50+IF(AND($E17=1,LN17=0),25,0),INDEX('計算A'!CA$110:CA$114,$F17+1)+IF(AND($E17=1,LN17=0),1000,0)+IF($H17=1,(IF('計算A'!BZ$117=1,INDEX('計算A'!BZ$10:BZ$54,$B17),0)+IF('計算A'!CA$117=1,INDEX('計算A'!CB$10:CB$54,$B17),0))*500,0)-IF(AND('計算A'!BZ$117=1,WX17&gt;0),300,0)-IF(AND($L17=1,'計算A'!CA$117=1,FZ17=0),300,0))),1000000))</f>
        <v/>
      </c>
      <c r="RD17">
        <f>IF($B17=0,1000000,IF(INDEX('計算A'!$D$60:$EQ$104,$B17,77)*FZ17=1,IF(AND($E17=2,LO17=0),1000000,IF($I17&gt;0,IF(4=$J17,IF(OR(AND(77=$I17+1,OR($K17&lt;&gt;'計算A'!$A$3,'計算A'!$A$4=0)),AND(77=$I17-1,OR(5&lt;&gt;'計算A'!$A$3,'計算A'!$A$4=0))),0,IF(5=$K17,200000,ABS(5-$K17)*100)),100000+ABS(4-$J17)*1000+50)+'計算A'!CB$5*50+IF(AND($E17=1,LO17=0),25,0),INDEX('計算A'!CB$110:CB$114,$F17+1)+IF(AND($E17=1,LO17=0),1000,0)+IF($H17=1,(IF('計算A'!CA$117=1,INDEX('計算A'!CA$10:CA$54,$B17),0)+IF('計算A'!CB$117=1,INDEX('計算A'!CC$10:CC$54,$B17),0))*500,0)-IF(AND('計算A'!CA$117=1,WY17&gt;0),300,0)-IF(AND($L17=1,'計算A'!CB$117=1,GA17=0),300,0))),1000000))</f>
        <v/>
      </c>
      <c r="RE17">
        <f>IF($B17=0,1000000,IF(INDEX('計算A'!$D$60:$EQ$104,$B17,78)*GA17=1,IF(AND($E17=2,LP17=0),1000000,IF($I17&gt;0,IF(4=$J17,IF(OR(AND(78=$I17+1,OR($K17&lt;&gt;'計算A'!$A$3,'計算A'!$A$4=0)),AND(78=$I17-1,OR(6&lt;&gt;'計算A'!$A$3,'計算A'!$A$4=0))),0,IF(6=$K17,200000,ABS(6-$K17)*100)),100000+ABS(4-$J17)*1000+60)+'計算A'!CC$5*50+IF(AND($E17=1,LP17=0),25,0),INDEX('計算A'!CC$110:CC$114,$F17+1)+IF(AND($E17=1,LP17=0),1000,0)+IF($H17=1,(IF('計算A'!CB$117=1,INDEX('計算A'!CB$10:CB$54,$B17),0)+IF('計算A'!CC$117=1,INDEX('計算A'!CD$10:CD$54,$B17),0))*500,0)-IF(AND('計算A'!CB$117=1,WZ17&gt;0),300,0)-IF(AND($L17=1,'計算A'!CC$117=1,GB17=0),300,0))),1000000))</f>
        <v/>
      </c>
      <c r="RF17">
        <f>IF($B17=0,1000000,IF(INDEX('計算A'!$D$60:$EQ$104,$B17,79)*GB17=1,IF(AND($E17=2,LQ17=0),1000000,IF($I17&gt;0,IF(4=$J17,IF(OR(AND(79=$I17+1,OR($K17&lt;&gt;'計算A'!$A$3,'計算A'!$A$4=0)),AND(79=$I17-1,OR(7&lt;&gt;'計算A'!$A$3,'計算A'!$A$4=0))),0,IF(7=$K17,200000,ABS(7-$K17)*100)),100000+ABS(4-$J17)*1000+70)+'計算A'!CD$5*50+IF(AND($E17=1,LQ17=0),25,0),INDEX('計算A'!CD$110:CD$114,$F17+1)+IF(AND($E17=1,LQ17=0),1000,0)+IF($H17=1,(IF('計算A'!CC$117=1,INDEX('計算A'!CC$10:CC$54,$B17),0)+IF('計算A'!CD$117=1,INDEX('計算A'!CE$10:CE$54,$B17),0))*500,0)-IF(AND('計算A'!CC$117=1,XA17&gt;0),300,0)-IF(AND($L17=1,'計算A'!CD$117=1,GC17=0),300,0))),1000000))</f>
        <v/>
      </c>
      <c r="RG17">
        <f>IF($B17=0,1000000,IF(INDEX('計算A'!$D$60:$EQ$104,$B17,80)*GC17=1,IF(AND($E17=2,LR17=0),1000000,IF($I17&gt;0,IF(4=$J17,IF(OR(AND(80=$I17+1,OR($K17&lt;&gt;'計算A'!$A$3,'計算A'!$A$4=0)),AND(80=$I17-1,OR(8&lt;&gt;'計算A'!$A$3,'計算A'!$A$4=0))),0,IF(8=$K17,200000,ABS(8-$K17)*100)),100000+ABS(4-$J17)*1000+80)+'計算A'!CE$5*50+IF(AND($E17=1,LR17=0),25,0),INDEX('計算A'!CE$110:CE$114,$F17+1)+IF(AND($E17=1,LR17=0),1000,0)+IF($H17=1,(IF('計算A'!CD$117=1,INDEX('計算A'!CD$10:CD$54,$B17),0)+IF('計算A'!CE$117=1,INDEX('計算A'!CF$10:CF$54,$B17),0))*500,0)-IF(AND('計算A'!CD$117=1,XB17&gt;0),300,0)-IF(AND($L17=1,'計算A'!CE$117=1,GD17=0),300,0))),1000000))</f>
        <v/>
      </c>
      <c r="RH17">
        <f>IF($B17=0,1000000,IF(INDEX('計算A'!$D$60:$EQ$104,$B17,81)*GD17=1,IF(AND($E17=2,LS17=0),1000000,IF($I17&gt;0,IF(4=$J17,IF(OR(AND(81=$I17+1,OR($K17&lt;&gt;'計算A'!$A$3,'計算A'!$A$4=0)),AND(81=$I17-1,OR(9&lt;&gt;'計算A'!$A$3,'計算A'!$A$4=0))),0,IF(9=$K17,200000,ABS(9-$K17)*100)),100000+ABS(4-$J17)*1000+90)+'計算A'!CF$5*50+IF(AND($E17=1,LS17=0),25,0),INDEX('計算A'!CF$110:CF$114,$F17+1)+IF(AND($E17=1,LS17=0),1000,0)+IF($H17=1,(IF('計算A'!CE$117=1,INDEX('計算A'!CE$10:CE$54,$B17),0)+IF('計算A'!CF$117=1,INDEX('計算A'!CG$10:CG$54,$B17),0))*500,0)-IF(AND('計算A'!CE$117=1,XC17&gt;0),300,0)-IF(AND($L17=1,'計算A'!CF$117=1,GE17=0),300,0))),1000000))</f>
        <v/>
      </c>
      <c r="RI17">
        <f>IF($B17=0,1000000,IF(INDEX('計算A'!$D$60:$EQ$104,$B17,82)*GE17=1,IF(AND($E17=2,LT17=0),1000000,IF($I17&gt;0,IF(4=$J17,IF(OR(AND(82=$I17+1,OR($K17&lt;&gt;'計算A'!$A$3,'計算A'!$A$4=0)),AND(82=$I17-1,OR(10&lt;&gt;'計算A'!$A$3,'計算A'!$A$4=0))),0,IF(10=$K17,200000,ABS(10-$K17)*100)),100000+ABS(4-$J17)*1000+100)+'計算A'!CG$5*50+IF(AND($E17=1,LT17=0),25,0),INDEX('計算A'!CG$110:CG$114,$F17+1)+IF(AND($E17=1,LT17=0),1000,0)+IF($H17=1,(IF('計算A'!CF$117=1,INDEX('計算A'!CF$10:CF$54,$B17),0)+IF('計算A'!CG$117=1,INDEX('計算A'!CH$10:CH$54,$B17),0))*500,0)-IF(AND('計算A'!CF$117=1,XD17&gt;0),300,0)-IF(AND($L17=1,'計算A'!CG$117=1,GF17=0),300,0))),1000000))</f>
        <v/>
      </c>
      <c r="RJ17">
        <f>IF($B17=0,1000000,IF(INDEX('計算A'!$D$60:$EQ$104,$B17,83)*GF17=1,IF(AND($E17=2,LU17=0),1000000,IF($I17&gt;0,IF(4=$J17,IF(OR(AND(83=$I17+1,OR($K17&lt;&gt;'計算A'!$A$3,'計算A'!$A$4=0)),AND(83=$I17-1,OR(11&lt;&gt;'計算A'!$A$3,'計算A'!$A$4=0))),0,IF(11=$K17,200000,ABS(11-$K17)*100)),100000+ABS(4-$J17)*1000+110)+'計算A'!CH$5*50+IF(AND($E17=1,LU17=0),25,0),INDEX('計算A'!CH$110:CH$114,$F17+1)+IF(AND($E17=1,LU17=0),1000,0)+IF($H17=1,(IF('計算A'!CG$117=1,INDEX('計算A'!CG$10:CG$54,$B17),0)+IF('計算A'!CH$117=1,INDEX('計算A'!CI$10:CI$54,$B17),0))*500,0)-IF(AND('計算A'!CG$117=1,XE17&gt;0),300,0)-IF(AND($L17=1,'計算A'!CH$117=1,GG17=0),300,0))),1000000))</f>
        <v/>
      </c>
      <c r="RK17">
        <f>IF($B17=0,1000000,IF(INDEX('計算A'!$D$60:$EQ$104,$B17,84)*GG17=1,IF(AND($E17=2,LV17=0),1000000,IF($I17&gt;0,IF(4=$J17,IF(OR(AND(84=$I17+1,OR($K17&lt;&gt;'計算A'!$A$3,'計算A'!$A$4=0)),AND(84=$I17-1,OR(12&lt;&gt;'計算A'!$A$3,'計算A'!$A$4=0))),0,IF(12=$K17,200000,ABS(12-$K17)*100)),100000+ABS(4-$J17)*1000+120)+'計算A'!CI$5*50+IF(AND($E17=1,LV17=0),25,0),INDEX('計算A'!CI$110:CI$114,$F17+1)+IF(AND($E17=1,LV17=0),1000,0)+IF($H17=1,(IF('計算A'!CH$117=1,INDEX('計算A'!CH$10:CH$54,$B17),0)+IF('計算A'!CI$117=1,INDEX('計算A'!CJ$10:CJ$54,$B17),0))*500,0)-IF(AND('計算A'!CH$117=1,XF17&gt;0),300,0)-IF(AND($L17=1,'計算A'!CI$117=1,GH17=0),300,0))),1000000))</f>
        <v/>
      </c>
      <c r="RL17">
        <f>IF($B17=0,1000000,IF(INDEX('計算A'!$D$60:$EQ$104,$B17,85)*GH17=1,IF(AND($E17=2,LW17=0),1000000,IF($I17&gt;0,IF(4=$J17,IF(OR(AND(85=$I17+1,OR($K17&lt;&gt;'計算A'!$A$3,'計算A'!$A$4=0)),AND(85=$I17-1,OR(13&lt;&gt;'計算A'!$A$3,'計算A'!$A$4=0))),0,IF(13=$K17,200000,ABS(13-$K17)*100)),100000+ABS(4-$J17)*1000+130)+'計算A'!CJ$5*50+IF(AND($E17=1,LW17=0),25,0),INDEX('計算A'!CJ$110:CJ$114,$F17+1)+IF(AND($E17=1,LW17=0),1000,0)+IF($H17=1,(IF('計算A'!CI$117=1,INDEX('計算A'!CI$10:CI$54,$B17),0)+IF('計算A'!CJ$117=1,INDEX('計算A'!CK$10:CK$54,$B17),0))*500,0)-IF(AND('計算A'!CI$117=1,XG17&gt;0),300,0)-IF(AND($L17=1,'計算A'!CJ$117=1,GI17=0),300,0))),1000000))</f>
        <v/>
      </c>
      <c r="RM17">
        <f>IF($B17=0,1000000,IF(INDEX('計算A'!$D$60:$EQ$104,$B17,86)*GI17=1,IF(AND($E17=2,LX17=0),1000000,IF($I17&gt;0,IF(4=$J17,IF(OR(AND(86=$I17+1,OR($K17&lt;&gt;'計算A'!$A$3,'計算A'!$A$4=0)),AND(86=$I17-1,OR(14&lt;&gt;'計算A'!$A$3,'計算A'!$A$4=0))),0,IF(14=$K17,200000,ABS(14-$K17)*100)),100000+ABS(4-$J17)*1000+140)+'計算A'!CK$5*50+IF(AND($E17=1,LX17=0),25,0),INDEX('計算A'!CK$110:CK$114,$F17+1)+IF(AND($E17=1,LX17=0),1000,0)+IF($H17=1,(IF('計算A'!CJ$117=1,INDEX('計算A'!CJ$10:CJ$54,$B17),0)+IF('計算A'!CK$117=1,INDEX('計算A'!CL$10:CL$54,$B17),0))*500,0)-IF(AND('計算A'!CJ$117=1,XH17&gt;0),300,0)-IF(AND($L17=1,'計算A'!CK$117=1,GJ17=0),300,0))),1000000))</f>
        <v/>
      </c>
      <c r="RN17">
        <f>IF($B17=0,1000000,IF(INDEX('計算A'!$D$60:$EQ$104,$B17,87)*GJ17=1,IF(AND($E17=2,LY17=0),1000000,IF($I17&gt;0,IF(4=$J17,IF(OR(AND(87=$I17+1,OR($K17&lt;&gt;'計算A'!$A$3,'計算A'!$A$4=0)),AND(87=$I17-1,OR(15&lt;&gt;'計算A'!$A$3,'計算A'!$A$4=0))),0,IF(15=$K17,200000,ABS(15-$K17)*100)),100000+ABS(4-$J17)*1000+150)+'計算A'!CL$5*50+IF(AND($E17=1,LY17=0),25,0),INDEX('計算A'!CL$110:CL$114,$F17+1)+IF(AND($E17=1,LY17=0),1000,0)+IF($H17=1,(IF('計算A'!CK$117=1,INDEX('計算A'!CK$10:CK$54,$B17),0)+IF('計算A'!CL$117=1,INDEX('計算A'!CM$10:CM$54,$B17),0))*500,0)-IF(AND('計算A'!CK$117=1,XI17&gt;0),300,0)-IF(AND($L17=1,'計算A'!CL$117=1,GK17=0),300,0))),1000000))</f>
        <v/>
      </c>
      <c r="RO17">
        <f>IF($B17=0,1000000,IF(INDEX('計算A'!$D$60:$EQ$104,$B17,88)*GK17=1,IF(AND($E17=2,LZ17=0),1000000,IF($I17&gt;0,IF(4=$J17,IF(OR(AND(88=$I17+1,OR($K17&lt;&gt;'計算A'!$A$3,'計算A'!$A$4=0)),AND(88=$I17-1,OR(16&lt;&gt;'計算A'!$A$3,'計算A'!$A$4=0))),0,IF(16=$K17,200000,ABS(16-$K17)*100)),100000+ABS(4-$J17)*1000+160)+'計算A'!CM$5*50+IF(AND($E17=1,LZ17=0),25,0),INDEX('計算A'!CM$110:CM$114,$F17+1)+IF(AND($E17=1,LZ17=0),1000,0)+IF($H17=1,(IF('計算A'!CL$117=1,INDEX('計算A'!CL$10:CL$54,$B17),0)+IF('計算A'!CM$117=1,INDEX('計算A'!CN$10:CN$54,$B17),0))*500,0)-IF(AND('計算A'!CL$117=1,XJ17&gt;0),300,0)-IF(AND($L17=1,'計算A'!CM$117=1,GL17=0),300,0))),1000000))</f>
        <v/>
      </c>
      <c r="RP17">
        <f>IF($B17=0,1000000,IF(INDEX('計算A'!$D$60:$EQ$104,$B17,89)*GL17=1,IF(AND($E17=2,MA17=0),1000000,IF($I17&gt;0,IF(4=$J17,IF(OR(AND(89=$I17+1,OR($K17&lt;&gt;'計算A'!$A$3,'計算A'!$A$4=0)),AND(89=$I17-1,OR(17&lt;&gt;'計算A'!$A$3,'計算A'!$A$4=0))),0,IF(17=$K17,200000,ABS(17-$K17)*100)),100000+ABS(4-$J17)*1000+170)+'計算A'!CN$5*50+IF(AND($E17=1,MA17=0),25,0),INDEX('計算A'!CN$110:CN$114,$F17+1)+IF(AND($E17=1,MA17=0),1000,0)+IF($H17=1,(IF('計算A'!CM$117=1,INDEX('計算A'!CM$10:CM$54,$B17),0)+IF('計算A'!CN$117=1,INDEX('計算A'!CO$10:CO$54,$B17),0))*500,0)-IF(AND('計算A'!CM$117=1,XK17&gt;0),300,0)-IF(AND($L17=1,'計算A'!CN$117=1,GM17=0),300,0))),1000000))</f>
        <v/>
      </c>
      <c r="RQ17">
        <f>IF($B17=0,1000000,IF(INDEX('計算A'!$D$60:$EQ$104,$B17,90)*GM17=1,IF(AND($E17=2,MB17=0),1000000,IF($I17&gt;0,IF(4=$J17,IF(OR(AND(90=$I17+1,OR($K17&lt;&gt;'計算A'!$A$3,'計算A'!$A$4=0)),AND(90=$I17-1,OR(18&lt;&gt;'計算A'!$A$3,'計算A'!$A$4=0))),0,IF(18=$K17,200000,ABS(18-$K17)*100)),100000+ABS(4-$J17)*1000+180)+'計算A'!CO$5*50+IF(AND($E17=1,MB17=0),25,0),INDEX('計算A'!CO$110:CO$114,$F17+1)+IF(AND($E17=1,MB17=0),1000,0)+IF($H17=1,(IF('計算A'!CN$117=1,INDEX('計算A'!CN$10:CN$54,$B17),0)+IF('計算A'!CO$117=1,INDEX('計算A'!CP$10:CP$54,$B17),0))*500,0)-IF(AND('計算A'!CN$117=1,XL17&gt;0),300,0)-IF(AND($L17=1,'計算A'!CO$117=1,GN17=0),300,0))),1000000))</f>
        <v/>
      </c>
      <c r="RR17">
        <f>IF($B17=0,1000000,IF(INDEX('計算A'!$D$60:$EQ$104,$B17,91)*GN17=1,IF(AND($E17=2,MC17=0),1000000,IF($I17&gt;0,IF(4=$J17,IF(OR(AND(91=$I17+1,OR($K17&lt;&gt;'計算A'!$A$3,'計算A'!$A$4=0)),AND(91=$I17-1,OR(19&lt;&gt;'計算A'!$A$3,'計算A'!$A$4=0))),0,IF(19=$K17,200000,ABS(19-$K17)*100)),100000+ABS(4-$J17)*1000+190)+'計算A'!CP$5*50+IF(AND($E17=1,MC17=0),25,0),INDEX('計算A'!CP$110:CP$114,$F17+1)+IF(AND($E17=1,MC17=0),1000,0)+IF($H17=1,(IF('計算A'!CO$117=1,INDEX('計算A'!CO$10:CO$54,$B17),0)+IF('計算A'!CP$117=1,INDEX('計算A'!CQ$10:CQ$54,$B17),0))*500,0)-IF(AND('計算A'!CO$117=1,XM17&gt;0),300,0)-IF(AND($L17=1,'計算A'!CP$117=1,GO17=0),300,0))),1000000))</f>
        <v/>
      </c>
      <c r="RS17">
        <f>IF($B17=0,1000000,IF(INDEX('計算A'!$D$60:$EQ$104,$B17,92)*GO17=1,IF(AND($E17=2,MD17=0),1000000,IF($I17&gt;0,IF(4=$J17,IF(OR(AND(92=$I17+1,OR($K17&lt;&gt;'計算A'!$A$3,'計算A'!$A$4=0)),AND(92=$I17-1,OR(20&lt;&gt;'計算A'!$A$3,'計算A'!$A$4=0))),0,IF(20=$K17,200000,ABS(20-$K17)*100)),100000+ABS(4-$J17)*1000+200)+'計算A'!CQ$5*50+IF(AND($E17=1,MD17=0),25,0),INDEX('計算A'!CQ$110:CQ$114,$F17+1)+IF(AND($E17=1,MD17=0),1000,0)+IF($H17=1,(IF('計算A'!CP$117=1,INDEX('計算A'!CP$10:CP$54,$B17),0)+IF('計算A'!CQ$117=1,INDEX('計算A'!CR$10:CR$54,$B17),0))*500,0)-IF(AND('計算A'!CP$117=1,XN17&gt;0),300,0)-IF(AND($L17=1,'計算A'!CQ$117=1,GP17=0),300,0))),1000000))</f>
        <v/>
      </c>
      <c r="RT17">
        <f>IF($B17=0,1000000,IF(INDEX('計算A'!$D$60:$EQ$104,$B17,93)*GP17=1,IF(AND($E17=2,ME17=0),1000000,IF($I17&gt;0,IF(4=$J17,IF(OR(AND(93=$I17+1,OR($K17&lt;&gt;'計算A'!$A$3,'計算A'!$A$4=0)),AND(93=$I17-1,OR(21&lt;&gt;'計算A'!$A$3,'計算A'!$A$4=0))),0,IF(21=$K17,200000,ABS(21-$K17)*100)),100000+ABS(4-$J17)*1000+210)+'計算A'!CR$5*50+IF(AND($E17=1,ME17=0),25,0),INDEX('計算A'!CR$110:CR$114,$F17+1)+IF(AND($E17=1,ME17=0),1000,0)+IF($H17=1,(IF('計算A'!CQ$117=1,INDEX('計算A'!CQ$10:CQ$54,$B17),0)+IF('計算A'!CR$117=1,INDEX('計算A'!CS$10:CS$54,$B17),0))*500,0)-IF(AND('計算A'!CQ$117=1,XO17&gt;0),300,0)-IF(AND($L17=1,'計算A'!CR$117=1,GQ17=0),300,0))),1000000))</f>
        <v/>
      </c>
      <c r="RU17">
        <f>IF($B17=0,1000000,IF(INDEX('計算A'!$D$60:$EQ$104,$B17,94)*GQ17=1,IF(AND($E17=2,MF17=0),1000000,IF($I17&gt;0,IF(4=$J17,IF(OR(AND(94=$I17+1,OR($K17&lt;&gt;'計算A'!$A$3,'計算A'!$A$4=0)),AND(94=$I17-1,OR(22&lt;&gt;'計算A'!$A$3,'計算A'!$A$4=0))),0,IF(22=$K17,200000,ABS(22-$K17)*100)),100000+ABS(4-$J17)*1000+220)+'計算A'!CS$5*50+IF(AND($E17=1,MF17=0),25,0),INDEX('計算A'!CS$110:CS$114,$F17+1)+IF(AND($E17=1,MF17=0),1000,0)+IF($H17=1,(IF('計算A'!CR$117=1,INDEX('計算A'!CR$10:CR$54,$B17),0)+IF('計算A'!CS$117=1,INDEX('計算A'!CT$10:CT$54,$B17),0))*500,0)-IF(AND('計算A'!CR$117=1,XP17&gt;0),300,0)-IF(AND($L17=1,'計算A'!CS$117=1,GR17=0),300,0))),1000000))</f>
        <v/>
      </c>
      <c r="RV17">
        <f>IF($B17=0,1000000,IF(INDEX('計算A'!$D$60:$EQ$104,$B17,95)*GR17=1,IF(AND($E17=2,MG17=0),1000000,IF($I17&gt;0,IF(4=$J17,IF(OR(AND(95=$I17+1,OR($K17&lt;&gt;'計算A'!$A$3,'計算A'!$A$4=0)),AND(95=$I17-1,OR(23&lt;&gt;'計算A'!$A$3,'計算A'!$A$4=0))),0,IF(23=$K17,200000,ABS(23-$K17)*100)),100000+ABS(4-$J17)*1000+230)+'計算A'!CT$5*50+IF(AND($E17=1,MG17=0),25,0),INDEX('計算A'!CT$110:CT$114,$F17+1)+IF(AND($E17=1,MG17=0),1000,0)+IF($H17=1,(IF('計算A'!CS$117=1,INDEX('計算A'!CS$10:CS$54,$B17),0)+IF('計算A'!CT$117=1,INDEX('計算A'!CU$10:CU$54,$B17),0))*500,0)-IF(AND('計算A'!CS$117=1,XQ17&gt;0),300,0)-IF(AND($L17=1,'計算A'!CT$117=1,GS17=0),300,0))),1000000))</f>
        <v/>
      </c>
      <c r="RW17">
        <f>IF($B17=0,1000000,IF(INDEX('計算A'!$D$60:$EQ$104,$B17,96)*GS17=1,IF(AND($E17=2,MH17=0),1000000,IF($I17&gt;0,IF(4=$J17,IF(OR(AND(96=$I17+1,OR($K17&lt;&gt;'計算A'!$A$3,'計算A'!$A$4=0)),AND(96=$I17-1,OR(24&lt;&gt;'計算A'!$A$3,'計算A'!$A$4=0))),0,IF(24=$K17,200000,ABS(24-$K17)*100)),100000+ABS(4-$J17)*1000+240)+'計算A'!CU$5*50+IF(AND($E17=1,MH17=0),25,0),INDEX('計算A'!CU$110:CU$114,$F17+1)+IF(AND($E17=1,MH17=0),1000,0)+IF($H17=1,(IF('計算A'!CT$117=1,INDEX('計算A'!CT$10:CT$54,$B17),0))*500,0)-IF(AND('計算A'!CT$117=1,XR17&gt;0),300,0))),1000000))</f>
        <v/>
      </c>
      <c r="RX17">
        <f>IF($B17=0,1000000,IF(INDEX('計算A'!$D$60:$EQ$104,$B17,97)*GT17=1,IF(AND($E17=2,MI17=0),1000000,IF($I17&gt;0,IF(5=$J17,IF(OR(AND(97=$I17+1,OR($K17&lt;&gt;'計算A'!$A$3,'計算A'!$A$4=0)),AND(97=$I17-1,OR(1&lt;&gt;'計算A'!$A$3,'計算A'!$A$4=0))),0,IF(1=$K17,200000,ABS(1-$K17)*100)),100000+ABS(5-$J17)*1000+10)+'計算A'!CV$5*50+IF(AND($E17=1,MI17=0),25,0),INDEX('計算A'!CV$110:CV$114,$F17+1)+IF(AND($E17=1,MI17=0),1000,0)+IF($H17=1,(IF('計算A'!CV$117=1,INDEX('計算A'!CW$10:CW$54,$B17),0))*500,0)-IF(AND($L17=1,'計算A'!CV$117=1,GU17=0),300,0))),1000000))</f>
        <v/>
      </c>
      <c r="RY17">
        <f>IF($B17=0,1000000,IF(INDEX('計算A'!$D$60:$EQ$104,$B17,98)*GU17=1,IF(AND($E17=2,MJ17=0),1000000,IF($I17&gt;0,IF(5=$J17,IF(OR(AND(98=$I17+1,OR($K17&lt;&gt;'計算A'!$A$3,'計算A'!$A$4=0)),AND(98=$I17-1,OR(2&lt;&gt;'計算A'!$A$3,'計算A'!$A$4=0))),0,IF(2=$K17,200000,ABS(2-$K17)*100)),100000+ABS(5-$J17)*1000+20)+'計算A'!CW$5*50+IF(AND($E17=1,MJ17=0),25,0),INDEX('計算A'!CW$110:CW$114,$F17+1)+IF(AND($E17=1,MJ17=0),1000,0)+IF($H17=1,(IF('計算A'!CV$117=1,INDEX('計算A'!CV$10:CV$54,$B17),0)+IF('計算A'!CW$117=1,INDEX('計算A'!CX$10:CX$54,$B17),0))*500,0)-IF(AND('計算A'!CV$117=1,XT17&gt;0),300,0)-IF(AND($L17=1,'計算A'!CW$117=1,GV17=0),300,0))),1000000))</f>
        <v/>
      </c>
      <c r="RZ17">
        <f>IF($B17=0,1000000,IF(INDEX('計算A'!$D$60:$EQ$104,$B17,99)*GV17=1,IF(AND($E17=2,MK17=0),1000000,IF($I17&gt;0,IF(5=$J17,IF(OR(AND(99=$I17+1,OR($K17&lt;&gt;'計算A'!$A$3,'計算A'!$A$4=0)),AND(99=$I17-1,OR(3&lt;&gt;'計算A'!$A$3,'計算A'!$A$4=0))),0,IF(3=$K17,200000,ABS(3-$K17)*100)),100000+ABS(5-$J17)*1000+30)+'計算A'!CX$5*50+IF(AND($E17=1,MK17=0),25,0),INDEX('計算A'!CX$110:CX$114,$F17+1)+IF(AND($E17=1,MK17=0),1000,0)+IF($H17=1,(IF('計算A'!CW$117=1,INDEX('計算A'!CW$10:CW$54,$B17),0)+IF('計算A'!CX$117=1,INDEX('計算A'!CY$10:CY$54,$B17),0))*500,0)-IF(AND('計算A'!CW$117=1,XU17&gt;0),300,0)-IF(AND($L17=1,'計算A'!CX$117=1,GW17=0),300,0))),1000000))</f>
        <v/>
      </c>
      <c r="SA17">
        <f>IF($B17=0,1000000,IF(INDEX('計算A'!$D$60:$EQ$104,$B17,100)*GW17=1,IF(AND($E17=2,ML17=0),1000000,IF($I17&gt;0,IF(5=$J17,IF(OR(AND(100=$I17+1,OR($K17&lt;&gt;'計算A'!$A$3,'計算A'!$A$4=0)),AND(100=$I17-1,OR(4&lt;&gt;'計算A'!$A$3,'計算A'!$A$4=0))),0,IF(4=$K17,200000,ABS(4-$K17)*100)),100000+ABS(5-$J17)*1000+40)+'計算A'!CY$5*50+IF(AND($E17=1,ML17=0),25,0),INDEX('計算A'!CY$110:CY$114,$F17+1)+IF(AND($E17=1,ML17=0),1000,0)+IF($H17=1,(IF('計算A'!CX$117=1,INDEX('計算A'!CX$10:CX$54,$B17),0)+IF('計算A'!CY$117=1,INDEX('計算A'!CZ$10:CZ$54,$B17),0))*500,0)-IF(AND('計算A'!CX$117=1,XV17&gt;0),300,0)-IF(AND($L17=1,'計算A'!CY$117=1,GX17=0),300,0))),1000000))</f>
        <v/>
      </c>
      <c r="SB17">
        <f>IF($B17=0,1000000,IF(INDEX('計算A'!$D$60:$EQ$104,$B17,101)*GX17=1,IF(AND($E17=2,MM17=0),1000000,IF($I17&gt;0,IF(5=$J17,IF(OR(AND(101=$I17+1,OR($K17&lt;&gt;'計算A'!$A$3,'計算A'!$A$4=0)),AND(101=$I17-1,OR(5&lt;&gt;'計算A'!$A$3,'計算A'!$A$4=0))),0,IF(5=$K17,200000,ABS(5-$K17)*100)),100000+ABS(5-$J17)*1000+50)+'計算A'!CZ$5*50+IF(AND($E17=1,MM17=0),25,0),INDEX('計算A'!CZ$110:CZ$114,$F17+1)+IF(AND($E17=1,MM17=0),1000,0)+IF($H17=1,(IF('計算A'!CY$117=1,INDEX('計算A'!CY$10:CY$54,$B17),0)+IF('計算A'!CZ$117=1,INDEX('計算A'!DA$10:DA$54,$B17),0))*500,0)-IF(AND('計算A'!CY$117=1,XW17&gt;0),300,0)-IF(AND($L17=1,'計算A'!CZ$117=1,GY17=0),300,0))),1000000))</f>
        <v/>
      </c>
      <c r="SC17">
        <f>IF($B17=0,1000000,IF(INDEX('計算A'!$D$60:$EQ$104,$B17,102)*GY17=1,IF(AND($E17=2,MN17=0),1000000,IF($I17&gt;0,IF(5=$J17,IF(OR(AND(102=$I17+1,OR($K17&lt;&gt;'計算A'!$A$3,'計算A'!$A$4=0)),AND(102=$I17-1,OR(6&lt;&gt;'計算A'!$A$3,'計算A'!$A$4=0))),0,IF(6=$K17,200000,ABS(6-$K17)*100)),100000+ABS(5-$J17)*1000+60)+'計算A'!DA$5*50+IF(AND($E17=1,MN17=0),25,0),INDEX('計算A'!DA$110:DA$114,$F17+1)+IF(AND($E17=1,MN17=0),1000,0)+IF($H17=1,(IF('計算A'!CZ$117=1,INDEX('計算A'!CZ$10:CZ$54,$B17),0)+IF('計算A'!DA$117=1,INDEX('計算A'!DB$10:DB$54,$B17),0))*500,0)-IF(AND('計算A'!CZ$117=1,XX17&gt;0),300,0)-IF(AND($L17=1,'計算A'!DA$117=1,GZ17=0),300,0))),1000000))</f>
        <v/>
      </c>
      <c r="SD17">
        <f>IF($B17=0,1000000,IF(INDEX('計算A'!$D$60:$EQ$104,$B17,103)*GZ17=1,IF(AND($E17=2,MO17=0),1000000,IF($I17&gt;0,IF(5=$J17,IF(OR(AND(103=$I17+1,OR($K17&lt;&gt;'計算A'!$A$3,'計算A'!$A$4=0)),AND(103=$I17-1,OR(7&lt;&gt;'計算A'!$A$3,'計算A'!$A$4=0))),0,IF(7=$K17,200000,ABS(7-$K17)*100)),100000+ABS(5-$J17)*1000+70)+'計算A'!DB$5*50+IF(AND($E17=1,MO17=0),25,0),INDEX('計算A'!DB$110:DB$114,$F17+1)+IF(AND($E17=1,MO17=0),1000,0)+IF($H17=1,(IF('計算A'!DA$117=1,INDEX('計算A'!DA$10:DA$54,$B17),0)+IF('計算A'!DB$117=1,INDEX('計算A'!DC$10:DC$54,$B17),0))*500,0)-IF(AND('計算A'!DA$117=1,XY17&gt;0),300,0)-IF(AND($L17=1,'計算A'!DB$117=1,HA17=0),300,0))),1000000))</f>
        <v/>
      </c>
      <c r="SE17">
        <f>IF($B17=0,1000000,IF(INDEX('計算A'!$D$60:$EQ$104,$B17,104)*HA17=1,IF(AND($E17=2,MP17=0),1000000,IF($I17&gt;0,IF(5=$J17,IF(OR(AND(104=$I17+1,OR($K17&lt;&gt;'計算A'!$A$3,'計算A'!$A$4=0)),AND(104=$I17-1,OR(8&lt;&gt;'計算A'!$A$3,'計算A'!$A$4=0))),0,IF(8=$K17,200000,ABS(8-$K17)*100)),100000+ABS(5-$J17)*1000+80)+'計算A'!DC$5*50+IF(AND($E17=1,MP17=0),25,0),INDEX('計算A'!DC$110:DC$114,$F17+1)+IF(AND($E17=1,MP17=0),1000,0)+IF($H17=1,(IF('計算A'!DB$117=1,INDEX('計算A'!DB$10:DB$54,$B17),0)+IF('計算A'!DC$117=1,INDEX('計算A'!DD$10:DD$54,$B17),0))*500,0)-IF(AND('計算A'!DB$117=1,XZ17&gt;0),300,0)-IF(AND($L17=1,'計算A'!DC$117=1,HB17=0),300,0))),1000000))</f>
        <v/>
      </c>
      <c r="SF17">
        <f>IF($B17=0,1000000,IF(INDEX('計算A'!$D$60:$EQ$104,$B17,105)*HB17=1,IF(AND($E17=2,MQ17=0),1000000,IF($I17&gt;0,IF(5=$J17,IF(OR(AND(105=$I17+1,OR($K17&lt;&gt;'計算A'!$A$3,'計算A'!$A$4=0)),AND(105=$I17-1,OR(9&lt;&gt;'計算A'!$A$3,'計算A'!$A$4=0))),0,IF(9=$K17,200000,ABS(9-$K17)*100)),100000+ABS(5-$J17)*1000+90)+'計算A'!DD$5*50+IF(AND($E17=1,MQ17=0),25,0),INDEX('計算A'!DD$110:DD$114,$F17+1)+IF(AND($E17=1,MQ17=0),1000,0)+IF($H17=1,(IF('計算A'!DC$117=1,INDEX('計算A'!DC$10:DC$54,$B17),0)+IF('計算A'!DD$117=1,INDEX('計算A'!DE$10:DE$54,$B17),0))*500,0)-IF(AND('計算A'!DC$117=1,YA17&gt;0),300,0)-IF(AND($L17=1,'計算A'!DD$117=1,HC17=0),300,0))),1000000))</f>
        <v/>
      </c>
      <c r="SG17">
        <f>IF($B17=0,1000000,IF(INDEX('計算A'!$D$60:$EQ$104,$B17,106)*HC17=1,IF(AND($E17=2,MR17=0),1000000,IF($I17&gt;0,IF(5=$J17,IF(OR(AND(106=$I17+1,OR($K17&lt;&gt;'計算A'!$A$3,'計算A'!$A$4=0)),AND(106=$I17-1,OR(10&lt;&gt;'計算A'!$A$3,'計算A'!$A$4=0))),0,IF(10=$K17,200000,ABS(10-$K17)*100)),100000+ABS(5-$J17)*1000+100)+'計算A'!DE$5*50+IF(AND($E17=1,MR17=0),25,0),INDEX('計算A'!DE$110:DE$114,$F17+1)+IF(AND($E17=1,MR17=0),1000,0)+IF($H17=1,(IF('計算A'!DD$117=1,INDEX('計算A'!DD$10:DD$54,$B17),0)+IF('計算A'!DE$117=1,INDEX('計算A'!DF$10:DF$54,$B17),0))*500,0)-IF(AND('計算A'!DD$117=1,YB17&gt;0),300,0)-IF(AND($L17=1,'計算A'!DE$117=1,HD17=0),300,0))),1000000))</f>
        <v/>
      </c>
      <c r="SH17">
        <f>IF($B17=0,1000000,IF(INDEX('計算A'!$D$60:$EQ$104,$B17,107)*HD17=1,IF(AND($E17=2,MS17=0),1000000,IF($I17&gt;0,IF(5=$J17,IF(OR(AND(107=$I17+1,OR($K17&lt;&gt;'計算A'!$A$3,'計算A'!$A$4=0)),AND(107=$I17-1,OR(11&lt;&gt;'計算A'!$A$3,'計算A'!$A$4=0))),0,IF(11=$K17,200000,ABS(11-$K17)*100)),100000+ABS(5-$J17)*1000+110)+'計算A'!DF$5*50+IF(AND($E17=1,MS17=0),25,0),INDEX('計算A'!DF$110:DF$114,$F17+1)+IF(AND($E17=1,MS17=0),1000,0)+IF($H17=1,(IF('計算A'!DE$117=1,INDEX('計算A'!DE$10:DE$54,$B17),0)+IF('計算A'!DF$117=1,INDEX('計算A'!DG$10:DG$54,$B17),0))*500,0)-IF(AND('計算A'!DE$117=1,YC17&gt;0),300,0)-IF(AND($L17=1,'計算A'!DF$117=1,HE17=0),300,0))),1000000))</f>
        <v/>
      </c>
      <c r="SI17">
        <f>IF($B17=0,1000000,IF(INDEX('計算A'!$D$60:$EQ$104,$B17,108)*HE17=1,IF(AND($E17=2,MT17=0),1000000,IF($I17&gt;0,IF(5=$J17,IF(OR(AND(108=$I17+1,OR($K17&lt;&gt;'計算A'!$A$3,'計算A'!$A$4=0)),AND(108=$I17-1,OR(12&lt;&gt;'計算A'!$A$3,'計算A'!$A$4=0))),0,IF(12=$K17,200000,ABS(12-$K17)*100)),100000+ABS(5-$J17)*1000+120)+'計算A'!DG$5*50+IF(AND($E17=1,MT17=0),25,0),INDEX('計算A'!DG$110:DG$114,$F17+1)+IF(AND($E17=1,MT17=0),1000,0)+IF($H17=1,(IF('計算A'!DF$117=1,INDEX('計算A'!DF$10:DF$54,$B17),0)+IF('計算A'!DG$117=1,INDEX('計算A'!DH$10:DH$54,$B17),0))*500,0)-IF(AND('計算A'!DF$117=1,YD17&gt;0),300,0)-IF(AND($L17=1,'計算A'!DG$117=1,HF17=0),300,0))),1000000))</f>
        <v/>
      </c>
      <c r="SJ17">
        <f>IF($B17=0,1000000,IF(INDEX('計算A'!$D$60:$EQ$104,$B17,109)*HF17=1,IF(AND($E17=2,MU17=0),1000000,IF($I17&gt;0,IF(5=$J17,IF(OR(AND(109=$I17+1,OR($K17&lt;&gt;'計算A'!$A$3,'計算A'!$A$4=0)),AND(109=$I17-1,OR(13&lt;&gt;'計算A'!$A$3,'計算A'!$A$4=0))),0,IF(13=$K17,200000,ABS(13-$K17)*100)),100000+ABS(5-$J17)*1000+130)+'計算A'!DH$5*50+IF(AND($E17=1,MU17=0),25,0),INDEX('計算A'!DH$110:DH$114,$F17+1)+IF(AND($E17=1,MU17=0),1000,0)+IF($H17=1,(IF('計算A'!DG$117=1,INDEX('計算A'!DG$10:DG$54,$B17),0)+IF('計算A'!DH$117=1,INDEX('計算A'!DI$10:DI$54,$B17),0))*500,0)-IF(AND('計算A'!DG$117=1,YE17&gt;0),300,0)-IF(AND($L17=1,'計算A'!DH$117=1,HG17=0),300,0))),1000000))</f>
        <v/>
      </c>
      <c r="SK17">
        <f>IF($B17=0,1000000,IF(INDEX('計算A'!$D$60:$EQ$104,$B17,110)*HG17=1,IF(AND($E17=2,MV17=0),1000000,IF($I17&gt;0,IF(5=$J17,IF(OR(AND(110=$I17+1,OR($K17&lt;&gt;'計算A'!$A$3,'計算A'!$A$4=0)),AND(110=$I17-1,OR(14&lt;&gt;'計算A'!$A$3,'計算A'!$A$4=0))),0,IF(14=$K17,200000,ABS(14-$K17)*100)),100000+ABS(5-$J17)*1000+140)+'計算A'!DI$5*50+IF(AND($E17=1,MV17=0),25,0),INDEX('計算A'!DI$110:DI$114,$F17+1)+IF(AND($E17=1,MV17=0),1000,0)+IF($H17=1,(IF('計算A'!DH$117=1,INDEX('計算A'!DH$10:DH$54,$B17),0)+IF('計算A'!DI$117=1,INDEX('計算A'!DJ$10:DJ$54,$B17),0))*500,0)-IF(AND('計算A'!DH$117=1,YF17&gt;0),300,0)-IF(AND($L17=1,'計算A'!DI$117=1,HH17=0),300,0))),1000000))</f>
        <v/>
      </c>
      <c r="SL17">
        <f>IF($B17=0,1000000,IF(INDEX('計算A'!$D$60:$EQ$104,$B17,111)*HH17=1,IF(AND($E17=2,MW17=0),1000000,IF($I17&gt;0,IF(5=$J17,IF(OR(AND(111=$I17+1,OR($K17&lt;&gt;'計算A'!$A$3,'計算A'!$A$4=0)),AND(111=$I17-1,OR(15&lt;&gt;'計算A'!$A$3,'計算A'!$A$4=0))),0,IF(15=$K17,200000,ABS(15-$K17)*100)),100000+ABS(5-$J17)*1000+150)+'計算A'!DJ$5*50+IF(AND($E17=1,MW17=0),25,0),INDEX('計算A'!DJ$110:DJ$114,$F17+1)+IF(AND($E17=1,MW17=0),1000,0)+IF($H17=1,(IF('計算A'!DI$117=1,INDEX('計算A'!DI$10:DI$54,$B17),0)+IF('計算A'!DJ$117=1,INDEX('計算A'!DK$10:DK$54,$B17),0))*500,0)-IF(AND('計算A'!DI$117=1,YG17&gt;0),300,0)-IF(AND($L17=1,'計算A'!DJ$117=1,HI17=0),300,0))),1000000))</f>
        <v/>
      </c>
      <c r="SM17">
        <f>IF($B17=0,1000000,IF(INDEX('計算A'!$D$60:$EQ$104,$B17,112)*HI17=1,IF(AND($E17=2,MX17=0),1000000,IF($I17&gt;0,IF(5=$J17,IF(OR(AND(112=$I17+1,OR($K17&lt;&gt;'計算A'!$A$3,'計算A'!$A$4=0)),AND(112=$I17-1,OR(16&lt;&gt;'計算A'!$A$3,'計算A'!$A$4=0))),0,IF(16=$K17,200000,ABS(16-$K17)*100)),100000+ABS(5-$J17)*1000+160)+'計算A'!DK$5*50+IF(AND($E17=1,MX17=0),25,0),INDEX('計算A'!DK$110:DK$114,$F17+1)+IF(AND($E17=1,MX17=0),1000,0)+IF($H17=1,(IF('計算A'!DJ$117=1,INDEX('計算A'!DJ$10:DJ$54,$B17),0)+IF('計算A'!DK$117=1,INDEX('計算A'!DL$10:DL$54,$B17),0))*500,0)-IF(AND('計算A'!DJ$117=1,YH17&gt;0),300,0)-IF(AND($L17=1,'計算A'!DK$117=1,HJ17=0),300,0))),1000000))</f>
        <v/>
      </c>
      <c r="SN17">
        <f>IF($B17=0,1000000,IF(INDEX('計算A'!$D$60:$EQ$104,$B17,113)*HJ17=1,IF(AND($E17=2,MY17=0),1000000,IF($I17&gt;0,IF(5=$J17,IF(OR(AND(113=$I17+1,OR($K17&lt;&gt;'計算A'!$A$3,'計算A'!$A$4=0)),AND(113=$I17-1,OR(17&lt;&gt;'計算A'!$A$3,'計算A'!$A$4=0))),0,IF(17=$K17,200000,ABS(17-$K17)*100)),100000+ABS(5-$J17)*1000+170)+'計算A'!DL$5*50+IF(AND($E17=1,MY17=0),25,0),INDEX('計算A'!DL$110:DL$114,$F17+1)+IF(AND($E17=1,MY17=0),1000,0)+IF($H17=1,(IF('計算A'!DK$117=1,INDEX('計算A'!DK$10:DK$54,$B17),0)+IF('計算A'!DL$117=1,INDEX('計算A'!DM$10:DM$54,$B17),0))*500,0)-IF(AND('計算A'!DK$117=1,YI17&gt;0),300,0)-IF(AND($L17=1,'計算A'!DL$117=1,HK17=0),300,0))),1000000))</f>
        <v/>
      </c>
      <c r="SO17">
        <f>IF($B17=0,1000000,IF(INDEX('計算A'!$D$60:$EQ$104,$B17,114)*HK17=1,IF(AND($E17=2,MZ17=0),1000000,IF($I17&gt;0,IF(5=$J17,IF(OR(AND(114=$I17+1,OR($K17&lt;&gt;'計算A'!$A$3,'計算A'!$A$4=0)),AND(114=$I17-1,OR(18&lt;&gt;'計算A'!$A$3,'計算A'!$A$4=0))),0,IF(18=$K17,200000,ABS(18-$K17)*100)),100000+ABS(5-$J17)*1000+180)+'計算A'!DM$5*50+IF(AND($E17=1,MZ17=0),25,0),INDEX('計算A'!DM$110:DM$114,$F17+1)+IF(AND($E17=1,MZ17=0),1000,0)+IF($H17=1,(IF('計算A'!DL$117=1,INDEX('計算A'!DL$10:DL$54,$B17),0)+IF('計算A'!DM$117=1,INDEX('計算A'!DN$10:DN$54,$B17),0))*500,0)-IF(AND('計算A'!DL$117=1,YJ17&gt;0),300,0)-IF(AND($L17=1,'計算A'!DM$117=1,HL17=0),300,0))),1000000))</f>
        <v/>
      </c>
      <c r="SP17">
        <f>IF($B17=0,1000000,IF(INDEX('計算A'!$D$60:$EQ$104,$B17,115)*HL17=1,IF(AND($E17=2,NA17=0),1000000,IF($I17&gt;0,IF(5=$J17,IF(OR(AND(115=$I17+1,OR($K17&lt;&gt;'計算A'!$A$3,'計算A'!$A$4=0)),AND(115=$I17-1,OR(19&lt;&gt;'計算A'!$A$3,'計算A'!$A$4=0))),0,IF(19=$K17,200000,ABS(19-$K17)*100)),100000+ABS(5-$J17)*1000+190)+'計算A'!DN$5*50+IF(AND($E17=1,NA17=0),25,0),INDEX('計算A'!DN$110:DN$114,$F17+1)+IF(AND($E17=1,NA17=0),1000,0)+IF($H17=1,(IF('計算A'!DM$117=1,INDEX('計算A'!DM$10:DM$54,$B17),0)+IF('計算A'!DN$117=1,INDEX('計算A'!DO$10:DO$54,$B17),0))*500,0)-IF(AND('計算A'!DM$117=1,YK17&gt;0),300,0)-IF(AND($L17=1,'計算A'!DN$117=1,HM17=0),300,0))),1000000))</f>
        <v/>
      </c>
      <c r="SQ17">
        <f>IF($B17=0,1000000,IF(INDEX('計算A'!$D$60:$EQ$104,$B17,116)*HM17=1,IF(AND($E17=2,NB17=0),1000000,IF($I17&gt;0,IF(5=$J17,IF(OR(AND(116=$I17+1,OR($K17&lt;&gt;'計算A'!$A$3,'計算A'!$A$4=0)),AND(116=$I17-1,OR(20&lt;&gt;'計算A'!$A$3,'計算A'!$A$4=0))),0,IF(20=$K17,200000,ABS(20-$K17)*100)),100000+ABS(5-$J17)*1000+200)+'計算A'!DO$5*50+IF(AND($E17=1,NB17=0),25,0),INDEX('計算A'!DO$110:DO$114,$F17+1)+IF(AND($E17=1,NB17=0),1000,0)+IF($H17=1,(IF('計算A'!DN$117=1,INDEX('計算A'!DN$10:DN$54,$B17),0)+IF('計算A'!DO$117=1,INDEX('計算A'!DP$10:DP$54,$B17),0))*500,0)-IF(AND('計算A'!DN$117=1,YL17&gt;0),300,0)-IF(AND($L17=1,'計算A'!DO$117=1,HN17=0),300,0))),1000000))</f>
        <v/>
      </c>
      <c r="SR17">
        <f>IF($B17=0,1000000,IF(INDEX('計算A'!$D$60:$EQ$104,$B17,117)*HN17=1,IF(AND($E17=2,NC17=0),1000000,IF($I17&gt;0,IF(5=$J17,IF(OR(AND(117=$I17+1,OR($K17&lt;&gt;'計算A'!$A$3,'計算A'!$A$4=0)),AND(117=$I17-1,OR(21&lt;&gt;'計算A'!$A$3,'計算A'!$A$4=0))),0,IF(21=$K17,200000,ABS(21-$K17)*100)),100000+ABS(5-$J17)*1000+210)+'計算A'!DP$5*50+IF(AND($E17=1,NC17=0),25,0),INDEX('計算A'!DP$110:DP$114,$F17+1)+IF(AND($E17=1,NC17=0),1000,0)+IF($H17=1,(IF('計算A'!DO$117=1,INDEX('計算A'!DO$10:DO$54,$B17),0)+IF('計算A'!DP$117=1,INDEX('計算A'!DQ$10:DQ$54,$B17),0))*500,0)-IF(AND('計算A'!DO$117=1,YM17&gt;0),300,0)-IF(AND($L17=1,'計算A'!DP$117=1,HO17=0),300,0))),1000000))</f>
        <v/>
      </c>
      <c r="SS17">
        <f>IF($B17=0,1000000,IF(INDEX('計算A'!$D$60:$EQ$104,$B17,118)*HO17=1,IF(AND($E17=2,ND17=0),1000000,IF($I17&gt;0,IF(5=$J17,IF(OR(AND(118=$I17+1,OR($K17&lt;&gt;'計算A'!$A$3,'計算A'!$A$4=0)),AND(118=$I17-1,OR(22&lt;&gt;'計算A'!$A$3,'計算A'!$A$4=0))),0,IF(22=$K17,200000,ABS(22-$K17)*100)),100000+ABS(5-$J17)*1000+220)+'計算A'!DQ$5*50+IF(AND($E17=1,ND17=0),25,0),INDEX('計算A'!DQ$110:DQ$114,$F17+1)+IF(AND($E17=1,ND17=0),1000,0)+IF($H17=1,(IF('計算A'!DP$117=1,INDEX('計算A'!DP$10:DP$54,$B17),0)+IF('計算A'!DQ$117=1,INDEX('計算A'!DR$10:DR$54,$B17),0))*500,0)-IF(AND('計算A'!DP$117=1,YN17&gt;0),300,0)-IF(AND($L17=1,'計算A'!DQ$117=1,HP17=0),300,0))),1000000))</f>
        <v/>
      </c>
      <c r="ST17">
        <f>IF($B17=0,1000000,IF(INDEX('計算A'!$D$60:$EQ$104,$B17,119)*HP17=1,IF(AND($E17=2,NE17=0),1000000,IF($I17&gt;0,IF(5=$J17,IF(OR(AND(119=$I17+1,OR($K17&lt;&gt;'計算A'!$A$3,'計算A'!$A$4=0)),AND(119=$I17-1,OR(23&lt;&gt;'計算A'!$A$3,'計算A'!$A$4=0))),0,IF(23=$K17,200000,ABS(23-$K17)*100)),100000+ABS(5-$J17)*1000+230)+'計算A'!DR$5*50+IF(AND($E17=1,NE17=0),25,0),INDEX('計算A'!DR$110:DR$114,$F17+1)+IF(AND($E17=1,NE17=0),1000,0)+IF($H17=1,(IF('計算A'!DQ$117=1,INDEX('計算A'!DQ$10:DQ$54,$B17),0)+IF('計算A'!DR$117=1,INDEX('計算A'!DS$10:DS$54,$B17),0))*500,0)-IF(AND('計算A'!DQ$117=1,YO17&gt;0),300,0)-IF(AND($L17=1,'計算A'!DR$117=1,HQ17=0),300,0))),1000000))</f>
        <v/>
      </c>
      <c r="SU17">
        <f>IF($B17=0,1000000,IF(INDEX('計算A'!$D$60:$EQ$104,$B17,120)*HQ17=1,IF(AND($E17=2,NF17=0),1000000,IF($I17&gt;0,IF(5=$J17,IF(OR(AND(120=$I17+1,OR($K17&lt;&gt;'計算A'!$A$3,'計算A'!$A$4=0)),AND(120=$I17-1,OR(24&lt;&gt;'計算A'!$A$3,'計算A'!$A$4=0))),0,IF(24=$K17,200000,ABS(24-$K17)*100)),100000+ABS(5-$J17)*1000+240)+'計算A'!DS$5*50+IF(AND($E17=1,NF17=0),25,0),INDEX('計算A'!DS$110:DS$114,$F17+1)+IF(AND($E17=1,NF17=0),1000,0)+IF($H17=1,(IF('計算A'!DR$117=1,INDEX('計算A'!DR$10:DR$54,$B17),0))*500,0)-IF(AND('計算A'!DR$117=1,YP17&gt;0),300,0))),1000000))</f>
        <v/>
      </c>
      <c r="SV17">
        <f>IF($B17=0,1000000,IF(INDEX('計算A'!$D$60:$EQ$104,$B17,121)*HR17=1,IF(AND($E17=2,NG17=0),1000000,IF($I17&gt;0,IF(6=$J17,IF(OR(AND(121=$I17+1,OR($K17&lt;&gt;'計算A'!$A$3,'計算A'!$A$4=0)),AND(121=$I17-1,OR(1&lt;&gt;'計算A'!$A$3,'計算A'!$A$4=0))),0,IF(1=$K17,200000,ABS(1-$K17)*100)),100000+ABS(6-$J17)*1000+10)+'計算A'!DT$5*50+IF(AND($E17=1,NG17=0),25,0),INDEX('計算A'!DT$110:DT$114,$F17+1)+IF(AND($E17=1,NG17=0),1000,0)+IF($H17=1,(IF('計算A'!DT$117=1,INDEX('計算A'!DU$10:DU$54,$B17),0))*500,0)-IF(AND($L17=1,'計算A'!DT$117=1,HS17=0),300,0))),1000000))</f>
        <v/>
      </c>
      <c r="SW17">
        <f>IF($B17=0,1000000,IF(INDEX('計算A'!$D$60:$EQ$104,$B17,122)*HS17=1,IF(AND($E17=2,NH17=0),1000000,IF($I17&gt;0,IF(6=$J17,IF(OR(AND(122=$I17+1,OR($K17&lt;&gt;'計算A'!$A$3,'計算A'!$A$4=0)),AND(122=$I17-1,OR(2&lt;&gt;'計算A'!$A$3,'計算A'!$A$4=0))),0,IF(2=$K17,200000,ABS(2-$K17)*100)),100000+ABS(6-$J17)*1000+20)+'計算A'!DU$5*50+IF(AND($E17=1,NH17=0),25,0),INDEX('計算A'!DU$110:DU$114,$F17+1)+IF(AND($E17=1,NH17=0),1000,0)+IF($H17=1,(IF('計算A'!DT$117=1,INDEX('計算A'!DT$10:DT$54,$B17),0)+IF('計算A'!DU$117=1,INDEX('計算A'!DV$10:DV$54,$B17),0))*500,0)-IF(AND('計算A'!DT$117=1,YR17&gt;0),300,0)-IF(AND($L17=1,'計算A'!DU$117=1,HT17=0),300,0))),1000000))</f>
        <v/>
      </c>
      <c r="SX17">
        <f>IF($B17=0,1000000,IF(INDEX('計算A'!$D$60:$EQ$104,$B17,123)*HT17=1,IF(AND($E17=2,NI17=0),1000000,IF($I17&gt;0,IF(6=$J17,IF(OR(AND(123=$I17+1,OR($K17&lt;&gt;'計算A'!$A$3,'計算A'!$A$4=0)),AND(123=$I17-1,OR(3&lt;&gt;'計算A'!$A$3,'計算A'!$A$4=0))),0,IF(3=$K17,200000,ABS(3-$K17)*100)),100000+ABS(6-$J17)*1000+30)+'計算A'!DV$5*50+IF(AND($E17=1,NI17=0),25,0),INDEX('計算A'!DV$110:DV$114,$F17+1)+IF(AND($E17=1,NI17=0),1000,0)+IF($H17=1,(IF('計算A'!DU$117=1,INDEX('計算A'!DU$10:DU$54,$B17),0)+IF('計算A'!DV$117=1,INDEX('計算A'!DW$10:DW$54,$B17),0))*500,0)-IF(AND('計算A'!DU$117=1,YS17&gt;0),300,0)-IF(AND($L17=1,'計算A'!DV$117=1,HU17=0),300,0))),1000000))</f>
        <v/>
      </c>
      <c r="SY17">
        <f>IF($B17=0,1000000,IF(INDEX('計算A'!$D$60:$EQ$104,$B17,124)*HU17=1,IF(AND($E17=2,NJ17=0),1000000,IF($I17&gt;0,IF(6=$J17,IF(OR(AND(124=$I17+1,OR($K17&lt;&gt;'計算A'!$A$3,'計算A'!$A$4=0)),AND(124=$I17-1,OR(4&lt;&gt;'計算A'!$A$3,'計算A'!$A$4=0))),0,IF(4=$K17,200000,ABS(4-$K17)*100)),100000+ABS(6-$J17)*1000+40)+'計算A'!DW$5*50+IF(AND($E17=1,NJ17=0),25,0),INDEX('計算A'!DW$110:DW$114,$F17+1)+IF(AND($E17=1,NJ17=0),1000,0)+IF($H17=1,(IF('計算A'!DV$117=1,INDEX('計算A'!DV$10:DV$54,$B17),0)+IF('計算A'!DW$117=1,INDEX('計算A'!DX$10:DX$54,$B17),0))*500,0)-IF(AND('計算A'!DV$117=1,YT17&gt;0),300,0)-IF(AND($L17=1,'計算A'!DW$117=1,HV17=0),300,0))),1000000))</f>
        <v/>
      </c>
      <c r="SZ17">
        <f>IF($B17=0,1000000,IF(INDEX('計算A'!$D$60:$EQ$104,$B17,125)*HV17=1,IF(AND($E17=2,NK17=0),1000000,IF($I17&gt;0,IF(6=$J17,IF(OR(AND(125=$I17+1,OR($K17&lt;&gt;'計算A'!$A$3,'計算A'!$A$4=0)),AND(125=$I17-1,OR(5&lt;&gt;'計算A'!$A$3,'計算A'!$A$4=0))),0,IF(5=$K17,200000,ABS(5-$K17)*100)),100000+ABS(6-$J17)*1000+50)+'計算A'!DX$5*50+IF(AND($E17=1,NK17=0),25,0),INDEX('計算A'!DX$110:DX$114,$F17+1)+IF(AND($E17=1,NK17=0),1000,0)+IF($H17=1,(IF('計算A'!DW$117=1,INDEX('計算A'!DW$10:DW$54,$B17),0)+IF('計算A'!DX$117=1,INDEX('計算A'!DY$10:DY$54,$B17),0))*500,0)-IF(AND('計算A'!DW$117=1,YU17&gt;0),300,0)-IF(AND($L17=1,'計算A'!DX$117=1,HW17=0),300,0))),1000000))</f>
        <v/>
      </c>
      <c r="TA17">
        <f>IF($B17=0,1000000,IF(INDEX('計算A'!$D$60:$EQ$104,$B17,126)*HW17=1,IF(AND($E17=2,NL17=0),1000000,IF($I17&gt;0,IF(6=$J17,IF(OR(AND(126=$I17+1,OR($K17&lt;&gt;'計算A'!$A$3,'計算A'!$A$4=0)),AND(126=$I17-1,OR(6&lt;&gt;'計算A'!$A$3,'計算A'!$A$4=0))),0,IF(6=$K17,200000,ABS(6-$K17)*100)),100000+ABS(6-$J17)*1000+60)+'計算A'!DY$5*50+IF(AND($E17=1,NL17=0),25,0),INDEX('計算A'!DY$110:DY$114,$F17+1)+IF(AND($E17=1,NL17=0),1000,0)+IF($H17=1,(IF('計算A'!DX$117=1,INDEX('計算A'!DX$10:DX$54,$B17),0)+IF('計算A'!DY$117=1,INDEX('計算A'!DZ$10:DZ$54,$B17),0))*500,0)-IF(AND('計算A'!DX$117=1,YV17&gt;0),300,0)-IF(AND($L17=1,'計算A'!DY$117=1,HX17=0),300,0))),1000000))</f>
        <v/>
      </c>
      <c r="TB17">
        <f>IF($B17=0,1000000,IF(INDEX('計算A'!$D$60:$EQ$104,$B17,127)*HX17=1,IF(AND($E17=2,NM17=0),1000000,IF($I17&gt;0,IF(6=$J17,IF(OR(AND(127=$I17+1,OR($K17&lt;&gt;'計算A'!$A$3,'計算A'!$A$4=0)),AND(127=$I17-1,OR(7&lt;&gt;'計算A'!$A$3,'計算A'!$A$4=0))),0,IF(7=$K17,200000,ABS(7-$K17)*100)),100000+ABS(6-$J17)*1000+70)+'計算A'!DZ$5*50+IF(AND($E17=1,NM17=0),25,0),INDEX('計算A'!DZ$110:DZ$114,$F17+1)+IF(AND($E17=1,NM17=0),1000,0)+IF($H17=1,(IF('計算A'!DY$117=1,INDEX('計算A'!DY$10:DY$54,$B17),0)+IF('計算A'!DZ$117=1,INDEX('計算A'!EA$10:EA$54,$B17),0))*500,0)-IF(AND('計算A'!DY$117=1,YW17&gt;0),300,0)-IF(AND($L17=1,'計算A'!DZ$117=1,HY17=0),300,0))),1000000))</f>
        <v/>
      </c>
      <c r="TC17">
        <f>IF($B17=0,1000000,IF(INDEX('計算A'!$D$60:$EQ$104,$B17,128)*HY17=1,IF(AND($E17=2,NN17=0),1000000,IF($I17&gt;0,IF(6=$J17,IF(OR(AND(128=$I17+1,OR($K17&lt;&gt;'計算A'!$A$3,'計算A'!$A$4=0)),AND(128=$I17-1,OR(8&lt;&gt;'計算A'!$A$3,'計算A'!$A$4=0))),0,IF(8=$K17,200000,ABS(8-$K17)*100)),100000+ABS(6-$J17)*1000+80)+'計算A'!EA$5*50+IF(AND($E17=1,NN17=0),25,0),INDEX('計算A'!EA$110:EA$114,$F17+1)+IF(AND($E17=1,NN17=0),1000,0)+IF($H17=1,(IF('計算A'!DZ$117=1,INDEX('計算A'!DZ$10:DZ$54,$B17),0)+IF('計算A'!EA$117=1,INDEX('計算A'!EB$10:EB$54,$B17),0))*500,0)-IF(AND('計算A'!DZ$117=1,YX17&gt;0),300,0)-IF(AND($L17=1,'計算A'!EA$117=1,HZ17=0),300,0))),1000000))</f>
        <v/>
      </c>
      <c r="TD17">
        <f>IF($B17=0,1000000,IF(INDEX('計算A'!$D$60:$EQ$104,$B17,129)*HZ17=1,IF(AND($E17=2,NO17=0),1000000,IF($I17&gt;0,IF(6=$J17,IF(OR(AND(129=$I17+1,OR($K17&lt;&gt;'計算A'!$A$3,'計算A'!$A$4=0)),AND(129=$I17-1,OR(9&lt;&gt;'計算A'!$A$3,'計算A'!$A$4=0))),0,IF(9=$K17,200000,ABS(9-$K17)*100)),100000+ABS(6-$J17)*1000+90)+'計算A'!EB$5*50+IF(AND($E17=1,NO17=0),25,0),INDEX('計算A'!EB$110:EB$114,$F17+1)+IF(AND($E17=1,NO17=0),1000,0)+IF($H17=1,(IF('計算A'!EA$117=1,INDEX('計算A'!EA$10:EA$54,$B17),0)+IF('計算A'!EB$117=1,INDEX('計算A'!EC$10:EC$54,$B17),0))*500,0)-IF(AND('計算A'!EA$117=1,YY17&gt;0),300,0)-IF(AND($L17=1,'計算A'!EB$117=1,IA17=0),300,0))),1000000))</f>
        <v/>
      </c>
      <c r="TE17">
        <f>IF($B17=0,1000000,IF(INDEX('計算A'!$D$60:$EQ$104,$B17,130)*IA17=1,IF(AND($E17=2,NP17=0),1000000,IF($I17&gt;0,IF(6=$J17,IF(OR(AND(130=$I17+1,OR($K17&lt;&gt;'計算A'!$A$3,'計算A'!$A$4=0)),AND(130=$I17-1,OR(10&lt;&gt;'計算A'!$A$3,'計算A'!$A$4=0))),0,IF(10=$K17,200000,ABS(10-$K17)*100)),100000+ABS(6-$J17)*1000+100)+'計算A'!EC$5*50+IF(AND($E17=1,NP17=0),25,0),INDEX('計算A'!EC$110:EC$114,$F17+1)+IF(AND($E17=1,NP17=0),1000,0)+IF($H17=1,(IF('計算A'!EB$117=1,INDEX('計算A'!EB$10:EB$54,$B17),0)+IF('計算A'!EC$117=1,INDEX('計算A'!ED$10:ED$54,$B17),0))*500,0)-IF(AND('計算A'!EB$117=1,YZ17&gt;0),300,0)-IF(AND($L17=1,'計算A'!EC$117=1,IB17=0),300,0))),1000000))</f>
        <v/>
      </c>
      <c r="TF17">
        <f>IF($B17=0,1000000,IF(INDEX('計算A'!$D$60:$EQ$104,$B17,131)*IB17=1,IF(AND($E17=2,NQ17=0),1000000,IF($I17&gt;0,IF(6=$J17,IF(OR(AND(131=$I17+1,OR($K17&lt;&gt;'計算A'!$A$3,'計算A'!$A$4=0)),AND(131=$I17-1,OR(11&lt;&gt;'計算A'!$A$3,'計算A'!$A$4=0))),0,IF(11=$K17,200000,ABS(11-$K17)*100)),100000+ABS(6-$J17)*1000+110)+'計算A'!ED$5*50+IF(AND($E17=1,NQ17=0),25,0),INDEX('計算A'!ED$110:ED$114,$F17+1)+IF(AND($E17=1,NQ17=0),1000,0)+IF($H17=1,(IF('計算A'!EC$117=1,INDEX('計算A'!EC$10:EC$54,$B17),0)+IF('計算A'!ED$117=1,INDEX('計算A'!EE$10:EE$54,$B17),0))*500,0)-IF(AND('計算A'!EC$117=1,ZA17&gt;0),300,0)-IF(AND($L17=1,'計算A'!ED$117=1,IC17=0),300,0))),1000000))</f>
        <v/>
      </c>
      <c r="TG17">
        <f>IF($B17=0,1000000,IF(INDEX('計算A'!$D$60:$EQ$104,$B17,132)*IC17=1,IF(AND($E17=2,NR17=0),1000000,IF($I17&gt;0,IF(6=$J17,IF(OR(AND(132=$I17+1,OR($K17&lt;&gt;'計算A'!$A$3,'計算A'!$A$4=0)),AND(132=$I17-1,OR(12&lt;&gt;'計算A'!$A$3,'計算A'!$A$4=0))),0,IF(12=$K17,200000,ABS(12-$K17)*100)),100000+ABS(6-$J17)*1000+120)+'計算A'!EE$5*50+IF(AND($E17=1,NR17=0),25,0),INDEX('計算A'!EE$110:EE$114,$F17+1)+IF(AND($E17=1,NR17=0),1000,0)+IF($H17=1,(IF('計算A'!ED$117=1,INDEX('計算A'!ED$10:ED$54,$B17),0)+IF('計算A'!EE$117=1,INDEX('計算A'!EF$10:EF$54,$B17),0))*500,0)-IF(AND('計算A'!ED$117=1,ZB17&gt;0),300,0)-IF(AND($L17=1,'計算A'!EE$117=1,ID17=0),300,0))),1000000))</f>
        <v/>
      </c>
      <c r="TH17">
        <f>IF($B17=0,1000000,IF(INDEX('計算A'!$D$60:$EQ$104,$B17,133)*ID17=1,IF(AND($E17=2,NS17=0),1000000,IF($I17&gt;0,IF(6=$J17,IF(OR(AND(133=$I17+1,OR($K17&lt;&gt;'計算A'!$A$3,'計算A'!$A$4=0)),AND(133=$I17-1,OR(13&lt;&gt;'計算A'!$A$3,'計算A'!$A$4=0))),0,IF(13=$K17,200000,ABS(13-$K17)*100)),100000+ABS(6-$J17)*1000+130)+'計算A'!EF$5*50+IF(AND($E17=1,NS17=0),25,0),INDEX('計算A'!EF$110:EF$114,$F17+1)+IF(AND($E17=1,NS17=0),1000,0)+IF($H17=1,(IF('計算A'!EE$117=1,INDEX('計算A'!EE$10:EE$54,$B17),0)+IF('計算A'!EF$117=1,INDEX('計算A'!EG$10:EG$54,$B17),0))*500,0)-IF(AND('計算A'!EE$117=1,ZC17&gt;0),300,0)-IF(AND($L17=1,'計算A'!EF$117=1,IE17=0),300,0))),1000000))</f>
        <v/>
      </c>
      <c r="TI17">
        <f>IF($B17=0,1000000,IF(INDEX('計算A'!$D$60:$EQ$104,$B17,134)*IE17=1,IF(AND($E17=2,NT17=0),1000000,IF($I17&gt;0,IF(6=$J17,IF(OR(AND(134=$I17+1,OR($K17&lt;&gt;'計算A'!$A$3,'計算A'!$A$4=0)),AND(134=$I17-1,OR(14&lt;&gt;'計算A'!$A$3,'計算A'!$A$4=0))),0,IF(14=$K17,200000,ABS(14-$K17)*100)),100000+ABS(6-$J17)*1000+140)+'計算A'!EG$5*50+IF(AND($E17=1,NT17=0),25,0),INDEX('計算A'!EG$110:EG$114,$F17+1)+IF(AND($E17=1,NT17=0),1000,0)+IF($H17=1,(IF('計算A'!EF$117=1,INDEX('計算A'!EF$10:EF$54,$B17),0)+IF('計算A'!EG$117=1,INDEX('計算A'!EH$10:EH$54,$B17),0))*500,0)-IF(AND('計算A'!EF$117=1,ZD17&gt;0),300,0)-IF(AND($L17=1,'計算A'!EG$117=1,IF17=0),300,0))),1000000))</f>
        <v/>
      </c>
      <c r="TJ17">
        <f>IF($B17=0,1000000,IF(INDEX('計算A'!$D$60:$EQ$104,$B17,135)*IF17=1,IF(AND($E17=2,NU17=0),1000000,IF($I17&gt;0,IF(6=$J17,IF(OR(AND(135=$I17+1,OR($K17&lt;&gt;'計算A'!$A$3,'計算A'!$A$4=0)),AND(135=$I17-1,OR(15&lt;&gt;'計算A'!$A$3,'計算A'!$A$4=0))),0,IF(15=$K17,200000,ABS(15-$K17)*100)),100000+ABS(6-$J17)*1000+150)+'計算A'!EH$5*50+IF(AND($E17=1,NU17=0),25,0),INDEX('計算A'!EH$110:EH$114,$F17+1)+IF(AND($E17=1,NU17=0),1000,0)+IF($H17=1,(IF('計算A'!EG$117=1,INDEX('計算A'!EG$10:EG$54,$B17),0)+IF('計算A'!EH$117=1,INDEX('計算A'!EI$10:EI$54,$B17),0))*500,0)-IF(AND('計算A'!EG$117=1,ZE17&gt;0),300,0)-IF(AND($L17=1,'計算A'!EH$117=1,IG17=0),300,0))),1000000))</f>
        <v/>
      </c>
      <c r="TK17">
        <f>IF($B17=0,1000000,IF(INDEX('計算A'!$D$60:$EQ$104,$B17,136)*IG17=1,IF(AND($E17=2,NV17=0),1000000,IF($I17&gt;0,IF(6=$J17,IF(OR(AND(136=$I17+1,OR($K17&lt;&gt;'計算A'!$A$3,'計算A'!$A$4=0)),AND(136=$I17-1,OR(16&lt;&gt;'計算A'!$A$3,'計算A'!$A$4=0))),0,IF(16=$K17,200000,ABS(16-$K17)*100)),100000+ABS(6-$J17)*1000+160)+'計算A'!EI$5*50+IF(AND($E17=1,NV17=0),25,0),INDEX('計算A'!EI$110:EI$114,$F17+1)+IF(AND($E17=1,NV17=0),1000,0)+IF($H17=1,(IF('計算A'!EH$117=1,INDEX('計算A'!EH$10:EH$54,$B17),0)+IF('計算A'!EI$117=1,INDEX('計算A'!EJ$10:EJ$54,$B17),0))*500,0)-IF(AND('計算A'!EH$117=1,ZF17&gt;0),300,0)-IF(AND($L17=1,'計算A'!EI$117=1,IH17=0),300,0))),1000000))</f>
        <v/>
      </c>
      <c r="TL17">
        <f>IF($B17=0,1000000,IF(INDEX('計算A'!$D$60:$EQ$104,$B17,137)*IH17=1,IF(AND($E17=2,NW17=0),1000000,IF($I17&gt;0,IF(6=$J17,IF(OR(AND(137=$I17+1,OR($K17&lt;&gt;'計算A'!$A$3,'計算A'!$A$4=0)),AND(137=$I17-1,OR(17&lt;&gt;'計算A'!$A$3,'計算A'!$A$4=0))),0,IF(17=$K17,200000,ABS(17-$K17)*100)),100000+ABS(6-$J17)*1000+170)+'計算A'!EJ$5*50+IF(AND($E17=1,NW17=0),25,0),INDEX('計算A'!EJ$110:EJ$114,$F17+1)+IF(AND($E17=1,NW17=0),1000,0)+IF($H17=1,(IF('計算A'!EI$117=1,INDEX('計算A'!EI$10:EI$54,$B17),0)+IF('計算A'!EJ$117=1,INDEX('計算A'!EK$10:EK$54,$B17),0))*500,0)-IF(AND('計算A'!EI$117=1,ZG17&gt;0),300,0)-IF(AND($L17=1,'計算A'!EJ$117=1,II17=0),300,0))),1000000))</f>
        <v/>
      </c>
      <c r="TM17">
        <f>IF($B17=0,1000000,IF(INDEX('計算A'!$D$60:$EQ$104,$B17,138)*II17=1,IF(AND($E17=2,NX17=0),1000000,IF($I17&gt;0,IF(6=$J17,IF(OR(AND(138=$I17+1,OR($K17&lt;&gt;'計算A'!$A$3,'計算A'!$A$4=0)),AND(138=$I17-1,OR(18&lt;&gt;'計算A'!$A$3,'計算A'!$A$4=0))),0,IF(18=$K17,200000,ABS(18-$K17)*100)),100000+ABS(6-$J17)*1000+180)+'計算A'!EK$5*50+IF(AND($E17=1,NX17=0),25,0),INDEX('計算A'!EK$110:EK$114,$F17+1)+IF(AND($E17=1,NX17=0),1000,0)+IF($H17=1,(IF('計算A'!EJ$117=1,INDEX('計算A'!EJ$10:EJ$54,$B17),0)+IF('計算A'!EK$117=1,INDEX('計算A'!EL$10:EL$54,$B17),0))*500,0)-IF(AND('計算A'!EJ$117=1,ZH17&gt;0),300,0)-IF(AND($L17=1,'計算A'!EK$117=1,IJ17=0),300,0))),1000000))</f>
        <v/>
      </c>
      <c r="TN17">
        <f>IF($B17=0,1000000,IF(INDEX('計算A'!$D$60:$EQ$104,$B17,139)*IJ17=1,IF(AND($E17=2,NY17=0),1000000,IF($I17&gt;0,IF(6=$J17,IF(OR(AND(139=$I17+1,OR($K17&lt;&gt;'計算A'!$A$3,'計算A'!$A$4=0)),AND(139=$I17-1,OR(19&lt;&gt;'計算A'!$A$3,'計算A'!$A$4=0))),0,IF(19=$K17,200000,ABS(19-$K17)*100)),100000+ABS(6-$J17)*1000+190)+'計算A'!EL$5*50+IF(AND($E17=1,NY17=0),25,0),INDEX('計算A'!EL$110:EL$114,$F17+1)+IF(AND($E17=1,NY17=0),1000,0)+IF($H17=1,(IF('計算A'!EK$117=1,INDEX('計算A'!EK$10:EK$54,$B17),0)+IF('計算A'!EL$117=1,INDEX('計算A'!EM$10:EM$54,$B17),0))*500,0)-IF(AND('計算A'!EK$117=1,ZI17&gt;0),300,0)-IF(AND($L17=1,'計算A'!EL$117=1,IK17=0),300,0))),1000000))</f>
        <v/>
      </c>
      <c r="TO17">
        <f>IF($B17=0,1000000,IF(INDEX('計算A'!$D$60:$EQ$104,$B17,140)*IK17=1,IF(AND($E17=2,NZ17=0),1000000,IF($I17&gt;0,IF(6=$J17,IF(OR(AND(140=$I17+1,OR($K17&lt;&gt;'計算A'!$A$3,'計算A'!$A$4=0)),AND(140=$I17-1,OR(20&lt;&gt;'計算A'!$A$3,'計算A'!$A$4=0))),0,IF(20=$K17,200000,ABS(20-$K17)*100)),100000+ABS(6-$J17)*1000+200)+'計算A'!EM$5*50+IF(AND($E17=1,NZ17=0),25,0),INDEX('計算A'!EM$110:EM$114,$F17+1)+IF(AND($E17=1,NZ17=0),1000,0)+IF($H17=1,(IF('計算A'!EL$117=1,INDEX('計算A'!EL$10:EL$54,$B17),0)+IF('計算A'!EM$117=1,INDEX('計算A'!EN$10:EN$54,$B17),0))*500,0)-IF(AND('計算A'!EL$117=1,ZJ17&gt;0),300,0)-IF(AND($L17=1,'計算A'!EM$117=1,IL17=0),300,0))),1000000))</f>
        <v/>
      </c>
      <c r="TP17">
        <f>IF($B17=0,1000000,IF(INDEX('計算A'!$D$60:$EQ$104,$B17,141)*IL17=1,IF(AND($E17=2,OA17=0),1000000,IF($I17&gt;0,IF(6=$J17,IF(OR(AND(141=$I17+1,OR($K17&lt;&gt;'計算A'!$A$3,'計算A'!$A$4=0)),AND(141=$I17-1,OR(21&lt;&gt;'計算A'!$A$3,'計算A'!$A$4=0))),0,IF(21=$K17,200000,ABS(21-$K17)*100)),100000+ABS(6-$J17)*1000+210)+'計算A'!EN$5*50+IF(AND($E17=1,OA17=0),25,0),INDEX('計算A'!EN$110:EN$114,$F17+1)+IF(AND($E17=1,OA17=0),1000,0)+IF($H17=1,(IF('計算A'!EM$117=1,INDEX('計算A'!EM$10:EM$54,$B17),0)+IF('計算A'!EN$117=1,INDEX('計算A'!EO$10:EO$54,$B17),0))*500,0)-IF(AND('計算A'!EM$117=1,ZK17&gt;0),300,0)-IF(AND($L17=1,'計算A'!EN$117=1,IM17=0),300,0))),1000000))</f>
        <v/>
      </c>
      <c r="TQ17">
        <f>IF($B17=0,1000000,IF(INDEX('計算A'!$D$60:$EQ$104,$B17,142)*IM17=1,IF(AND($E17=2,OB17=0),1000000,IF($I17&gt;0,IF(6=$J17,IF(OR(AND(142=$I17+1,OR($K17&lt;&gt;'計算A'!$A$3,'計算A'!$A$4=0)),AND(142=$I17-1,OR(22&lt;&gt;'計算A'!$A$3,'計算A'!$A$4=0))),0,IF(22=$K17,200000,ABS(22-$K17)*100)),100000+ABS(6-$J17)*1000+220)+'計算A'!EO$5*50+IF(AND($E17=1,OB17=0),25,0),INDEX('計算A'!EO$110:EO$114,$F17+1)+IF(AND($E17=1,OB17=0),1000,0)+IF($H17=1,(IF('計算A'!EN$117=1,INDEX('計算A'!EN$10:EN$54,$B17),0)+IF('計算A'!EO$117=1,INDEX('計算A'!EP$10:EP$54,$B17),0))*500,0)-IF(AND('計算A'!EN$117=1,ZL17&gt;0),300,0)-IF(AND($L17=1,'計算A'!EO$117=1,IN17=0),300,0))),1000000))</f>
        <v/>
      </c>
      <c r="TR17">
        <f>IF($B17=0,1000000,IF(INDEX('計算A'!$D$60:$EQ$104,$B17,143)*IN17=1,IF(AND($E17=2,OC17=0),1000000,IF($I17&gt;0,IF(6=$J17,IF(OR(AND(143=$I17+1,OR($K17&lt;&gt;'計算A'!$A$3,'計算A'!$A$4=0)),AND(143=$I17-1,OR(23&lt;&gt;'計算A'!$A$3,'計算A'!$A$4=0))),0,IF(23=$K17,200000,ABS(23-$K17)*100)),100000+ABS(6-$J17)*1000+230)+'計算A'!EP$5*50+IF(AND($E17=1,OC17=0),25,0),INDEX('計算A'!EP$110:EP$114,$F17+1)+IF(AND($E17=1,OC17=0),1000,0)+IF($H17=1,(IF('計算A'!EO$117=1,INDEX('計算A'!EO$10:EO$54,$B17),0)+IF('計算A'!EP$117=1,INDEX('計算A'!EQ$10:EQ$54,$B17),0))*500,0)-IF(AND('計算A'!EO$117=1,ZM17&gt;0),300,0)-IF(AND($L17=1,'計算A'!EP$117=1,IO17=0),300,0))),1000000))</f>
        <v/>
      </c>
      <c r="TS17">
        <f>IF($B17=0,1000000,IF(INDEX('計算A'!$D$60:$EQ$104,$B17,144)*IO17=1,IF(AND($E17=2,OD17=0),1000000,IF($I17&gt;0,IF(6=$J17,IF(OR(AND(144=$I17+1,OR($K17&lt;&gt;'計算A'!$A$3,'計算A'!$A$4=0)),AND(144=$I17-1,OR(24&lt;&gt;'計算A'!$A$3,'計算A'!$A$4=0))),0,IF(24=$K17,200000,ABS(24-$K17)*100)),100000+ABS(6-$J17)*1000+240)+'計算A'!EQ$5*50+IF(AND($E17=1,OD17=0),25,0),INDEX('計算A'!EQ$110:EQ$114,$F17+1)+IF(AND($E17=1,OD17=0),1000,0)+IF($H17=1,(IF('計算A'!EP$117=1,INDEX('計算A'!EP$10:EP$54,$B17),0))*500,0)-IF(AND('計算A'!EP$117=1,ZN17&gt;0),300,0))),1000000))</f>
        <v/>
      </c>
      <c r="UB17">
        <f>UB16+IF(AND($C16=1,$L16=1),1,0)</f>
        <v/>
      </c>
      <c r="UC17">
        <f>UC16+IF(AND($C16=2,$L16=1),1,0)</f>
        <v/>
      </c>
      <c r="UD17">
        <f>UD16+IF(AND($C16=3,$L16=1),1,0)</f>
        <v/>
      </c>
      <c r="UE17">
        <f>UE16+IF(AND($C16=4,$L16=1),1,0)</f>
        <v/>
      </c>
      <c r="UF17">
        <f>UF16+IF(AND($C16=5,$L16=1),1,0)</f>
        <v/>
      </c>
      <c r="UG17">
        <f>UG16+IF(AND($C16=6,$L16=1),1,0)</f>
        <v/>
      </c>
      <c r="UH17">
        <f>UH16+IF(AND($C16=7,$L16=1),1,0)</f>
        <v/>
      </c>
      <c r="UI17">
        <f>UI16+IF(AND($C16=8,$L16=1),1,0)</f>
        <v/>
      </c>
      <c r="UJ17">
        <f>UJ16+IF(AND($C16=9,$L16=1),1,0)</f>
        <v/>
      </c>
      <c r="UK17">
        <f>UK16+IF(AND($C16=10,$L16=1),1,0)</f>
        <v/>
      </c>
      <c r="UL17">
        <f>UL16+IF(AND($C16=11,$L16=1),1,0)</f>
        <v/>
      </c>
      <c r="UM17">
        <f>UM16+IF(AND($C16=12,$L16=1),1,0)</f>
        <v/>
      </c>
      <c r="UN17">
        <f>UN16+IF(AND($C16=13,$L16=1),1,0)</f>
        <v/>
      </c>
      <c r="UO17">
        <f>UO16+IF(AND($C16=14,$L16=1),1,0)</f>
        <v/>
      </c>
      <c r="UP17">
        <f>UP16+IF(AND($C16=15,$L16=1),1,0)</f>
        <v/>
      </c>
      <c r="UQ17">
        <f>UQ16+IF(AND($C16=16,$L16=1),1,0)</f>
        <v/>
      </c>
      <c r="UR17">
        <f>UR16+IF(AND($C16=17,$L16=1),1,0)</f>
        <v/>
      </c>
      <c r="US17">
        <f>US16+IF(AND($C16=18,$L16=1),1,0)</f>
        <v/>
      </c>
      <c r="UT17">
        <f>UT16+IF(AND($C16=19,$L16=1),1,0)</f>
        <v/>
      </c>
      <c r="UU17">
        <f>UU16+IF(AND($C16=20,$L16=1),1,0)</f>
        <v/>
      </c>
      <c r="UV17">
        <f>UV16+IF(AND($C16=21,$L16=1),1,0)</f>
        <v/>
      </c>
      <c r="UW17">
        <f>UW16+IF(AND($C16=22,$L16=1),1,0)</f>
        <v/>
      </c>
      <c r="UX17">
        <f>UX16+IF(AND($C16=23,$L16=1),1,0)</f>
        <v/>
      </c>
      <c r="UY17">
        <f>UY16+IF(AND($C16=24,$L16=1),1,0)</f>
        <v/>
      </c>
      <c r="UZ17">
        <f>UZ16+IF(AND($C16=25,$L16=1),1,0)</f>
        <v/>
      </c>
      <c r="VA17">
        <f>VA16+IF(AND($C16=26,$L16=1),1,0)</f>
        <v/>
      </c>
      <c r="VB17">
        <f>VB16+IF(AND($C16=27,$L16=1),1,0)</f>
        <v/>
      </c>
      <c r="VC17">
        <f>VC16+IF(AND($C16=28,$L16=1),1,0)</f>
        <v/>
      </c>
      <c r="VD17">
        <f>VD16+IF(AND($C16=29,$L16=1),1,0)</f>
        <v/>
      </c>
      <c r="VE17">
        <f>VE16+IF(AND($C16=30,$L16=1),1,0)</f>
        <v/>
      </c>
      <c r="VF17">
        <f>VF16+IF(AND($C16=31,$L16=1),1,0)</f>
        <v/>
      </c>
      <c r="VG17">
        <f>VG16+IF(AND($C16=32,$L16=1),1,0)</f>
        <v/>
      </c>
      <c r="VH17">
        <f>VH16+IF(AND($C16=33,$L16=1),1,0)</f>
        <v/>
      </c>
      <c r="VI17">
        <f>VI16+IF(AND($C16=34,$L16=1),1,0)</f>
        <v/>
      </c>
      <c r="VJ17">
        <f>VJ16+IF(AND($C16=35,$L16=1),1,0)</f>
        <v/>
      </c>
      <c r="VK17">
        <f>VK16+IF(AND($C16=36,$L16=1),1,0)</f>
        <v/>
      </c>
      <c r="VL17">
        <f>VL16+IF(AND($C16=37,$L16=1),1,0)</f>
        <v/>
      </c>
      <c r="VM17">
        <f>VM16+IF(AND($C16=38,$L16=1),1,0)</f>
        <v/>
      </c>
      <c r="VN17">
        <f>VN16+IF(AND($C16=39,$L16=1),1,0)</f>
        <v/>
      </c>
      <c r="VO17">
        <f>VO16+IF(AND($C16=40,$L16=1),1,0)</f>
        <v/>
      </c>
      <c r="VP17">
        <f>VP16+IF(AND($C16=41,$L16=1),1,0)</f>
        <v/>
      </c>
      <c r="VQ17">
        <f>VQ16+IF(AND($C16=42,$L16=1),1,0)</f>
        <v/>
      </c>
      <c r="VR17">
        <f>VR16+IF(AND($C16=43,$L16=1),1,0)</f>
        <v/>
      </c>
      <c r="VS17">
        <f>VS16+IF(AND($C16=44,$L16=1),1,0)</f>
        <v/>
      </c>
      <c r="VT17">
        <f>VT16+IF(AND($C16=45,$L16=1),1,0)</f>
        <v/>
      </c>
      <c r="VU17">
        <f>VU16+IF(AND($C16=46,$L16=1),1,0)</f>
        <v/>
      </c>
      <c r="VV17">
        <f>VV16+IF(AND($C16=47,$L16=1),1,0)</f>
        <v/>
      </c>
      <c r="VW17">
        <f>VW16+IF(AND($C16=48,$L16=1),1,0)</f>
        <v/>
      </c>
      <c r="VX17">
        <f>VX16+IF(AND($C16=49,$L16=1),1,0)</f>
        <v/>
      </c>
      <c r="VY17">
        <f>VY16+IF(AND($C16=50,$L16=1),1,0)</f>
        <v/>
      </c>
      <c r="VZ17">
        <f>VZ16+IF(AND($C16=51,$L16=1),1,0)</f>
        <v/>
      </c>
      <c r="WA17">
        <f>WA16+IF(AND($C16=52,$L16=1),1,0)</f>
        <v/>
      </c>
      <c r="WB17">
        <f>WB16+IF(AND($C16=53,$L16=1),1,0)</f>
        <v/>
      </c>
      <c r="WC17">
        <f>WC16+IF(AND($C16=54,$L16=1),1,0)</f>
        <v/>
      </c>
      <c r="WD17">
        <f>WD16+IF(AND($C16=55,$L16=1),1,0)</f>
        <v/>
      </c>
      <c r="WE17">
        <f>WE16+IF(AND($C16=56,$L16=1),1,0)</f>
        <v/>
      </c>
      <c r="WF17">
        <f>WF16+IF(AND($C16=57,$L16=1),1,0)</f>
        <v/>
      </c>
      <c r="WG17">
        <f>WG16+IF(AND($C16=58,$L16=1),1,0)</f>
        <v/>
      </c>
      <c r="WH17">
        <f>WH16+IF(AND($C16=59,$L16=1),1,0)</f>
        <v/>
      </c>
      <c r="WI17">
        <f>WI16+IF(AND($C16=60,$L16=1),1,0)</f>
        <v/>
      </c>
      <c r="WJ17">
        <f>WJ16+IF(AND($C16=61,$L16=1),1,0)</f>
        <v/>
      </c>
      <c r="WK17">
        <f>WK16+IF(AND($C16=62,$L16=1),1,0)</f>
        <v/>
      </c>
      <c r="WL17">
        <f>WL16+IF(AND($C16=63,$L16=1),1,0)</f>
        <v/>
      </c>
      <c r="WM17">
        <f>WM16+IF(AND($C16=64,$L16=1),1,0)</f>
        <v/>
      </c>
      <c r="WN17">
        <f>WN16+IF(AND($C16=65,$L16=1),1,0)</f>
        <v/>
      </c>
      <c r="WO17">
        <f>WO16+IF(AND($C16=66,$L16=1),1,0)</f>
        <v/>
      </c>
      <c r="WP17">
        <f>WP16+IF(AND($C16=67,$L16=1),1,0)</f>
        <v/>
      </c>
      <c r="WQ17">
        <f>WQ16+IF(AND($C16=68,$L16=1),1,0)</f>
        <v/>
      </c>
      <c r="WR17">
        <f>WR16+IF(AND($C16=69,$L16=1),1,0)</f>
        <v/>
      </c>
      <c r="WS17">
        <f>WS16+IF(AND($C16=70,$L16=1),1,0)</f>
        <v/>
      </c>
      <c r="WT17">
        <f>WT16+IF(AND($C16=71,$L16=1),1,0)</f>
        <v/>
      </c>
      <c r="WU17">
        <f>WU16+IF(AND($C16=72,$L16=1),1,0)</f>
        <v/>
      </c>
      <c r="WV17">
        <f>WV16+IF(AND($C16=73,$L16=1),1,0)</f>
        <v/>
      </c>
      <c r="WW17">
        <f>WW16+IF(AND($C16=74,$L16=1),1,0)</f>
        <v/>
      </c>
      <c r="WX17">
        <f>WX16+IF(AND($C16=75,$L16=1),1,0)</f>
        <v/>
      </c>
      <c r="WY17">
        <f>WY16+IF(AND($C16=76,$L16=1),1,0)</f>
        <v/>
      </c>
      <c r="WZ17">
        <f>WZ16+IF(AND($C16=77,$L16=1),1,0)</f>
        <v/>
      </c>
      <c r="XA17">
        <f>XA16+IF(AND($C16=78,$L16=1),1,0)</f>
        <v/>
      </c>
      <c r="XB17">
        <f>XB16+IF(AND($C16=79,$L16=1),1,0)</f>
        <v/>
      </c>
      <c r="XC17">
        <f>XC16+IF(AND($C16=80,$L16=1),1,0)</f>
        <v/>
      </c>
      <c r="XD17">
        <f>XD16+IF(AND($C16=81,$L16=1),1,0)</f>
        <v/>
      </c>
      <c r="XE17">
        <f>XE16+IF(AND($C16=82,$L16=1),1,0)</f>
        <v/>
      </c>
      <c r="XF17">
        <f>XF16+IF(AND($C16=83,$L16=1),1,0)</f>
        <v/>
      </c>
      <c r="XG17">
        <f>XG16+IF(AND($C16=84,$L16=1),1,0)</f>
        <v/>
      </c>
      <c r="XH17">
        <f>XH16+IF(AND($C16=85,$L16=1),1,0)</f>
        <v/>
      </c>
      <c r="XI17">
        <f>XI16+IF(AND($C16=86,$L16=1),1,0)</f>
        <v/>
      </c>
      <c r="XJ17">
        <f>XJ16+IF(AND($C16=87,$L16=1),1,0)</f>
        <v/>
      </c>
      <c r="XK17">
        <f>XK16+IF(AND($C16=88,$L16=1),1,0)</f>
        <v/>
      </c>
      <c r="XL17">
        <f>XL16+IF(AND($C16=89,$L16=1),1,0)</f>
        <v/>
      </c>
      <c r="XM17">
        <f>XM16+IF(AND($C16=90,$L16=1),1,0)</f>
        <v/>
      </c>
      <c r="XN17">
        <f>XN16+IF(AND($C16=91,$L16=1),1,0)</f>
        <v/>
      </c>
      <c r="XO17">
        <f>XO16+IF(AND($C16=92,$L16=1),1,0)</f>
        <v/>
      </c>
      <c r="XP17">
        <f>XP16+IF(AND($C16=93,$L16=1),1,0)</f>
        <v/>
      </c>
      <c r="XQ17">
        <f>XQ16+IF(AND($C16=94,$L16=1),1,0)</f>
        <v/>
      </c>
      <c r="XR17">
        <f>XR16+IF(AND($C16=95,$L16=1),1,0)</f>
        <v/>
      </c>
      <c r="XS17">
        <f>XS16+IF(AND($C16=96,$L16=1),1,0)</f>
        <v/>
      </c>
      <c r="XT17">
        <f>XT16+IF(AND($C16=97,$L16=1),1,0)</f>
        <v/>
      </c>
      <c r="XU17">
        <f>XU16+IF(AND($C16=98,$L16=1),1,0)</f>
        <v/>
      </c>
      <c r="XV17">
        <f>XV16+IF(AND($C16=99,$L16=1),1,0)</f>
        <v/>
      </c>
      <c r="XW17">
        <f>XW16+IF(AND($C16=100,$L16=1),1,0)</f>
        <v/>
      </c>
      <c r="XX17">
        <f>XX16+IF(AND($C16=101,$L16=1),1,0)</f>
        <v/>
      </c>
      <c r="XY17">
        <f>XY16+IF(AND($C16=102,$L16=1),1,0)</f>
        <v/>
      </c>
      <c r="XZ17">
        <f>XZ16+IF(AND($C16=103,$L16=1),1,0)</f>
        <v/>
      </c>
      <c r="YA17">
        <f>YA16+IF(AND($C16=104,$L16=1),1,0)</f>
        <v/>
      </c>
      <c r="YB17">
        <f>YB16+IF(AND($C16=105,$L16=1),1,0)</f>
        <v/>
      </c>
      <c r="YC17">
        <f>YC16+IF(AND($C16=106,$L16=1),1,0)</f>
        <v/>
      </c>
      <c r="YD17">
        <f>YD16+IF(AND($C16=107,$L16=1),1,0)</f>
        <v/>
      </c>
      <c r="YE17">
        <f>YE16+IF(AND($C16=108,$L16=1),1,0)</f>
        <v/>
      </c>
      <c r="YF17">
        <f>YF16+IF(AND($C16=109,$L16=1),1,0)</f>
        <v/>
      </c>
      <c r="YG17">
        <f>YG16+IF(AND($C16=110,$L16=1),1,0)</f>
        <v/>
      </c>
      <c r="YH17">
        <f>YH16+IF(AND($C16=111,$L16=1),1,0)</f>
        <v/>
      </c>
      <c r="YI17">
        <f>YI16+IF(AND($C16=112,$L16=1),1,0)</f>
        <v/>
      </c>
      <c r="YJ17">
        <f>YJ16+IF(AND($C16=113,$L16=1),1,0)</f>
        <v/>
      </c>
      <c r="YK17">
        <f>YK16+IF(AND($C16=114,$L16=1),1,0)</f>
        <v/>
      </c>
      <c r="YL17">
        <f>YL16+IF(AND($C16=115,$L16=1),1,0)</f>
        <v/>
      </c>
      <c r="YM17">
        <f>YM16+IF(AND($C16=116,$L16=1),1,0)</f>
        <v/>
      </c>
      <c r="YN17">
        <f>YN16+IF(AND($C16=117,$L16=1),1,0)</f>
        <v/>
      </c>
      <c r="YO17">
        <f>YO16+IF(AND($C16=118,$L16=1),1,0)</f>
        <v/>
      </c>
      <c r="YP17">
        <f>YP16+IF(AND($C16=119,$L16=1),1,0)</f>
        <v/>
      </c>
      <c r="YQ17">
        <f>YQ16+IF(AND($C16=120,$L16=1),1,0)</f>
        <v/>
      </c>
      <c r="YR17">
        <f>YR16+IF(AND($C16=121,$L16=1),1,0)</f>
        <v/>
      </c>
      <c r="YS17">
        <f>YS16+IF(AND($C16=122,$L16=1),1,0)</f>
        <v/>
      </c>
      <c r="YT17">
        <f>YT16+IF(AND($C16=123,$L16=1),1,0)</f>
        <v/>
      </c>
      <c r="YU17">
        <f>YU16+IF(AND($C16=124,$L16=1),1,0)</f>
        <v/>
      </c>
      <c r="YV17">
        <f>YV16+IF(AND($C16=125,$L16=1),1,0)</f>
        <v/>
      </c>
      <c r="YW17">
        <f>YW16+IF(AND($C16=126,$L16=1),1,0)</f>
        <v/>
      </c>
      <c r="YX17">
        <f>YX16+IF(AND($C16=127,$L16=1),1,0)</f>
        <v/>
      </c>
      <c r="YY17">
        <f>YY16+IF(AND($C16=128,$L16=1),1,0)</f>
        <v/>
      </c>
      <c r="YZ17">
        <f>YZ16+IF(AND($C16=129,$L16=1),1,0)</f>
        <v/>
      </c>
      <c r="ZA17">
        <f>ZA16+IF(AND($C16=130,$L16=1),1,0)</f>
        <v/>
      </c>
      <c r="ZB17">
        <f>ZB16+IF(AND($C16=131,$L16=1),1,0)</f>
        <v/>
      </c>
      <c r="ZC17">
        <f>ZC16+IF(AND($C16=132,$L16=1),1,0)</f>
        <v/>
      </c>
      <c r="ZD17">
        <f>ZD16+IF(AND($C16=133,$L16=1),1,0)</f>
        <v/>
      </c>
      <c r="ZE17">
        <f>ZE16+IF(AND($C16=134,$L16=1),1,0)</f>
        <v/>
      </c>
      <c r="ZF17">
        <f>ZF16+IF(AND($C16=135,$L16=1),1,0)</f>
        <v/>
      </c>
      <c r="ZG17">
        <f>ZG16+IF(AND($C16=136,$L16=1),1,0)</f>
        <v/>
      </c>
      <c r="ZH17">
        <f>ZH16+IF(AND($C16=137,$L16=1),1,0)</f>
        <v/>
      </c>
      <c r="ZI17">
        <f>ZI16+IF(AND($C16=138,$L16=1),1,0)</f>
        <v/>
      </c>
      <c r="ZJ17">
        <f>ZJ16+IF(AND($C16=139,$L16=1),1,0)</f>
        <v/>
      </c>
      <c r="ZK17">
        <f>ZK16+IF(AND($C16=140,$L16=1),1,0)</f>
        <v/>
      </c>
      <c r="ZL17">
        <f>ZL16+IF(AND($C16=141,$L16=1),1,0)</f>
        <v/>
      </c>
      <c r="ZM17">
        <f>ZM16+IF(AND($C16=142,$L16=1),1,0)</f>
        <v/>
      </c>
      <c r="ZN17">
        <f>ZN16+IF(AND($C16=143,$L16=1),1,0)</f>
        <v/>
      </c>
      <c r="ZO17">
        <f>ZO16+IF(AND($C16=144,$L16=1),1,0)</f>
        <v/>
      </c>
    </row>
    <row r="18">
      <c r="A18" t="n">
        <v>16</v>
      </c>
      <c r="B18">
        <f>IF(MIN(BH18:CZ18)&gt;=1000000,0,MATCH(MIN(BH18:CZ18),BH18:CZ18,0))</f>
        <v/>
      </c>
      <c r="C18">
        <f>IF(MIN(OF18:TS18)&gt;=1000000,0,MATCH(MIN(OF18:TS18),OF18:TS18,0))</f>
        <v/>
      </c>
      <c r="D18">
        <f>IF(C18&gt;0,INDEX('計算A'!$D$5:$EQ$5,C18),0)</f>
        <v/>
      </c>
      <c r="E18">
        <f>IF(B18=0,0,INDEX('計算A'!$IQ$10:$IQ$54,B18))</f>
        <v/>
      </c>
      <c r="F18">
        <f>IF(B18=0,0,INDEX('計算A'!$IP$10:$IP$54,B18))</f>
        <v/>
      </c>
      <c r="G18">
        <f>IF(AND(C18&gt;0,E18&gt;0),IF(AND(INDEX('計算A'!$D$106:$EQ$106,C18)=1,INDEX($IQ18:$OD18,C18)=1),C18+1,0),0)</f>
        <v/>
      </c>
      <c r="H18">
        <f>IF(B18=0,0,INDEX('計算A'!$IW$10:$IW$54,B18))</f>
        <v/>
      </c>
      <c r="I18">
        <f>IF(B18=0,0,MAX(0,INDEX('計算A'!$IT$10:$IT$54,B18)))</f>
        <v/>
      </c>
      <c r="J18">
        <f>IF(I18=0,0,INDEX('計算A'!$D$2:$EQ$2,I18))</f>
        <v/>
      </c>
      <c r="K18">
        <f>IF(I18=0,0,INDEX('計算A'!$D$3:$EQ$3,I18))</f>
        <v/>
      </c>
      <c r="L18">
        <f>IF(B18=0,0,INDEX('計算A'!$IX$10:$IX$54,B18))</f>
        <v/>
      </c>
      <c r="N18">
        <f>MAX(N17,IF($B17=1,1,0))</f>
        <v/>
      </c>
      <c r="O18">
        <f>MAX(O17,IF($B17=2,1,0))</f>
        <v/>
      </c>
      <c r="P18">
        <f>MAX(P17,IF($B17=3,1,0))</f>
        <v/>
      </c>
      <c r="Q18">
        <f>MAX(Q17,IF($B17=4,1,0))</f>
        <v/>
      </c>
      <c r="R18">
        <f>MAX(R17,IF($B17=5,1,0))</f>
        <v/>
      </c>
      <c r="S18">
        <f>MAX(S17,IF($B17=6,1,0))</f>
        <v/>
      </c>
      <c r="T18">
        <f>MAX(T17,IF($B17=7,1,0))</f>
        <v/>
      </c>
      <c r="U18">
        <f>MAX(U17,IF($B17=8,1,0))</f>
        <v/>
      </c>
      <c r="V18">
        <f>MAX(V17,IF($B17=9,1,0))</f>
        <v/>
      </c>
      <c r="W18">
        <f>MAX(W17,IF($B17=10,1,0))</f>
        <v/>
      </c>
      <c r="X18">
        <f>MAX(X17,IF($B17=11,1,0))</f>
        <v/>
      </c>
      <c r="Y18">
        <f>MAX(Y17,IF($B17=12,1,0))</f>
        <v/>
      </c>
      <c r="Z18">
        <f>MAX(Z17,IF($B17=13,1,0))</f>
        <v/>
      </c>
      <c r="AA18">
        <f>MAX(AA17,IF($B17=14,1,0))</f>
        <v/>
      </c>
      <c r="AB18">
        <f>MAX(AB17,IF($B17=15,1,0))</f>
        <v/>
      </c>
      <c r="AC18">
        <f>MAX(AC17,IF($B17=16,1,0))</f>
        <v/>
      </c>
      <c r="AD18">
        <f>MAX(AD17,IF($B17=17,1,0))</f>
        <v/>
      </c>
      <c r="AE18">
        <f>MAX(AE17,IF($B17=18,1,0))</f>
        <v/>
      </c>
      <c r="AF18">
        <f>MAX(AF17,IF($B17=19,1,0))</f>
        <v/>
      </c>
      <c r="AG18">
        <f>MAX(AG17,IF($B17=20,1,0))</f>
        <v/>
      </c>
      <c r="AH18">
        <f>MAX(AH17,IF($B17=21,1,0))</f>
        <v/>
      </c>
      <c r="AI18">
        <f>MAX(AI17,IF($B17=22,1,0))</f>
        <v/>
      </c>
      <c r="AJ18">
        <f>MAX(AJ17,IF($B17=23,1,0))</f>
        <v/>
      </c>
      <c r="AK18">
        <f>MAX(AK17,IF($B17=24,1,0))</f>
        <v/>
      </c>
      <c r="AL18">
        <f>MAX(AL17,IF($B17=25,1,0))</f>
        <v/>
      </c>
      <c r="AM18">
        <f>MAX(AM17,IF($B17=26,1,0))</f>
        <v/>
      </c>
      <c r="AN18">
        <f>MAX(AN17,IF($B17=27,1,0))</f>
        <v/>
      </c>
      <c r="AO18">
        <f>MAX(AO17,IF($B17=28,1,0))</f>
        <v/>
      </c>
      <c r="AP18">
        <f>MAX(AP17,IF($B17=29,1,0))</f>
        <v/>
      </c>
      <c r="AQ18">
        <f>MAX(AQ17,IF($B17=30,1,0))</f>
        <v/>
      </c>
      <c r="AR18">
        <f>MAX(AR17,IF($B17=31,1,0))</f>
        <v/>
      </c>
      <c r="AS18">
        <f>MAX(AS17,IF($B17=32,1,0))</f>
        <v/>
      </c>
      <c r="AT18">
        <f>MAX(AT17,IF($B17=33,1,0))</f>
        <v/>
      </c>
      <c r="AU18">
        <f>MAX(AU17,IF($B17=34,1,0))</f>
        <v/>
      </c>
      <c r="AV18">
        <f>MAX(AV17,IF($B17=35,1,0))</f>
        <v/>
      </c>
      <c r="AW18">
        <f>MAX(AW17,IF($B17=36,1,0))</f>
        <v/>
      </c>
      <c r="AX18">
        <f>MAX(AX17,IF($B17=37,1,0))</f>
        <v/>
      </c>
      <c r="AY18">
        <f>MAX(AY17,IF($B17=38,1,0))</f>
        <v/>
      </c>
      <c r="AZ18">
        <f>MAX(AZ17,IF($B17=39,1,0))</f>
        <v/>
      </c>
      <c r="BA18">
        <f>MAX(BA17,IF($B17=40,1,0))</f>
        <v/>
      </c>
      <c r="BB18">
        <f>MAX(BB17,IF($B17=41,1,0))</f>
        <v/>
      </c>
      <c r="BC18">
        <f>MAX(BC17,IF($B17=42,1,0))</f>
        <v/>
      </c>
      <c r="BD18">
        <f>MAX(BD17,IF($B17=43,1,0))</f>
        <v/>
      </c>
      <c r="BE18">
        <f>MAX(BE17,IF($B17=44,1,0))</f>
        <v/>
      </c>
      <c r="BF18">
        <f>MAX(BF17,IF($B17=45,1,0))</f>
        <v/>
      </c>
      <c r="BH18">
        <f>IF(N18=1,1000000,IF('計算A'!$IT$10&gt;0,0,500000)+IF('計算A'!$IQ$10=2,SUMPRODUCT('計算A'!$D$60:$EQ$60,$DB18:$IO18,$IQ18:$OD18),SUMPRODUCT('計算A'!$D$60:$EQ$60,$DB18:$IO18))*1000+1)</f>
        <v/>
      </c>
      <c r="BI18">
        <f>IF(O18=1,1000000,IF('計算A'!$IT$11&gt;0,0,500000)+IF('計算A'!$IQ$11=2,SUMPRODUCT('計算A'!$D$61:$EQ$61,$DB18:$IO18,$IQ18:$OD18),SUMPRODUCT('計算A'!$D$61:$EQ$61,$DB18:$IO18))*1000+2)</f>
        <v/>
      </c>
      <c r="BJ18">
        <f>IF(P18=1,1000000,IF('計算A'!$IT$12&gt;0,0,500000)+IF('計算A'!$IQ$12=2,SUMPRODUCT('計算A'!$D$62:$EQ$62,$DB18:$IO18,$IQ18:$OD18),SUMPRODUCT('計算A'!$D$62:$EQ$62,$DB18:$IO18))*1000+3)</f>
        <v/>
      </c>
      <c r="BK18">
        <f>IF(Q18=1,1000000,IF('計算A'!$IT$13&gt;0,0,500000)+IF('計算A'!$IQ$13=2,SUMPRODUCT('計算A'!$D$63:$EQ$63,$DB18:$IO18,$IQ18:$OD18),SUMPRODUCT('計算A'!$D$63:$EQ$63,$DB18:$IO18))*1000+4)</f>
        <v/>
      </c>
      <c r="BL18">
        <f>IF(R18=1,1000000,IF('計算A'!$IT$14&gt;0,0,500000)+IF('計算A'!$IQ$14=2,SUMPRODUCT('計算A'!$D$64:$EQ$64,$DB18:$IO18,$IQ18:$OD18),SUMPRODUCT('計算A'!$D$64:$EQ$64,$DB18:$IO18))*1000+5)</f>
        <v/>
      </c>
      <c r="BM18">
        <f>IF(S18=1,1000000,IF('計算A'!$IT$15&gt;0,0,500000)+IF('計算A'!$IQ$15=2,SUMPRODUCT('計算A'!$D$65:$EQ$65,$DB18:$IO18,$IQ18:$OD18),SUMPRODUCT('計算A'!$D$65:$EQ$65,$DB18:$IO18))*1000+6)</f>
        <v/>
      </c>
      <c r="BN18">
        <f>IF(T18=1,1000000,IF('計算A'!$IT$16&gt;0,0,500000)+IF('計算A'!$IQ$16=2,SUMPRODUCT('計算A'!$D$66:$EQ$66,$DB18:$IO18,$IQ18:$OD18),SUMPRODUCT('計算A'!$D$66:$EQ$66,$DB18:$IO18))*1000+7)</f>
        <v/>
      </c>
      <c r="BO18">
        <f>IF(U18=1,1000000,IF('計算A'!$IT$17&gt;0,0,500000)+IF('計算A'!$IQ$17=2,SUMPRODUCT('計算A'!$D$67:$EQ$67,$DB18:$IO18,$IQ18:$OD18),SUMPRODUCT('計算A'!$D$67:$EQ$67,$DB18:$IO18))*1000+8)</f>
        <v/>
      </c>
      <c r="BP18">
        <f>IF(V18=1,1000000,IF('計算A'!$IT$18&gt;0,0,500000)+IF('計算A'!$IQ$18=2,SUMPRODUCT('計算A'!$D$68:$EQ$68,$DB18:$IO18,$IQ18:$OD18),SUMPRODUCT('計算A'!$D$68:$EQ$68,$DB18:$IO18))*1000+9)</f>
        <v/>
      </c>
      <c r="BQ18">
        <f>IF(W18=1,1000000,IF('計算A'!$IT$19&gt;0,0,500000)+IF('計算A'!$IQ$19=2,SUMPRODUCT('計算A'!$D$69:$EQ$69,$DB18:$IO18,$IQ18:$OD18),SUMPRODUCT('計算A'!$D$69:$EQ$69,$DB18:$IO18))*1000+10)</f>
        <v/>
      </c>
      <c r="BR18">
        <f>IF(X18=1,1000000,IF('計算A'!$IT$20&gt;0,0,500000)+IF('計算A'!$IQ$20=2,SUMPRODUCT('計算A'!$D$70:$EQ$70,$DB18:$IO18,$IQ18:$OD18),SUMPRODUCT('計算A'!$D$70:$EQ$70,$DB18:$IO18))*1000+11)</f>
        <v/>
      </c>
      <c r="BS18">
        <f>IF(Y18=1,1000000,IF('計算A'!$IT$21&gt;0,0,500000)+IF('計算A'!$IQ$21=2,SUMPRODUCT('計算A'!$D$71:$EQ$71,$DB18:$IO18,$IQ18:$OD18),SUMPRODUCT('計算A'!$D$71:$EQ$71,$DB18:$IO18))*1000+12)</f>
        <v/>
      </c>
      <c r="BT18">
        <f>IF(Z18=1,1000000,IF('計算A'!$IT$22&gt;0,0,500000)+IF('計算A'!$IQ$22=2,SUMPRODUCT('計算A'!$D$72:$EQ$72,$DB18:$IO18,$IQ18:$OD18),SUMPRODUCT('計算A'!$D$72:$EQ$72,$DB18:$IO18))*1000+13)</f>
        <v/>
      </c>
      <c r="BU18">
        <f>IF(AA18=1,1000000,IF('計算A'!$IT$23&gt;0,0,500000)+IF('計算A'!$IQ$23=2,SUMPRODUCT('計算A'!$D$73:$EQ$73,$DB18:$IO18,$IQ18:$OD18),SUMPRODUCT('計算A'!$D$73:$EQ$73,$DB18:$IO18))*1000+14)</f>
        <v/>
      </c>
      <c r="BV18">
        <f>IF(AB18=1,1000000,IF('計算A'!$IT$24&gt;0,0,500000)+IF('計算A'!$IQ$24=2,SUMPRODUCT('計算A'!$D$74:$EQ$74,$DB18:$IO18,$IQ18:$OD18),SUMPRODUCT('計算A'!$D$74:$EQ$74,$DB18:$IO18))*1000+15)</f>
        <v/>
      </c>
      <c r="BW18">
        <f>IF(AC18=1,1000000,IF('計算A'!$IT$25&gt;0,0,500000)+IF('計算A'!$IQ$25=2,SUMPRODUCT('計算A'!$D$75:$EQ$75,$DB18:$IO18,$IQ18:$OD18),SUMPRODUCT('計算A'!$D$75:$EQ$75,$DB18:$IO18))*1000+16)</f>
        <v/>
      </c>
      <c r="BX18">
        <f>IF(AD18=1,1000000,IF('計算A'!$IT$26&gt;0,0,500000)+IF('計算A'!$IQ$26=2,SUMPRODUCT('計算A'!$D$76:$EQ$76,$DB18:$IO18,$IQ18:$OD18),SUMPRODUCT('計算A'!$D$76:$EQ$76,$DB18:$IO18))*1000+17)</f>
        <v/>
      </c>
      <c r="BY18">
        <f>IF(AE18=1,1000000,IF('計算A'!$IT$27&gt;0,0,500000)+IF('計算A'!$IQ$27=2,SUMPRODUCT('計算A'!$D$77:$EQ$77,$DB18:$IO18,$IQ18:$OD18),SUMPRODUCT('計算A'!$D$77:$EQ$77,$DB18:$IO18))*1000+18)</f>
        <v/>
      </c>
      <c r="BZ18">
        <f>IF(AF18=1,1000000,IF('計算A'!$IT$28&gt;0,0,500000)+IF('計算A'!$IQ$28=2,SUMPRODUCT('計算A'!$D$78:$EQ$78,$DB18:$IO18,$IQ18:$OD18),SUMPRODUCT('計算A'!$D$78:$EQ$78,$DB18:$IO18))*1000+19)</f>
        <v/>
      </c>
      <c r="CA18">
        <f>IF(AG18=1,1000000,IF('計算A'!$IT$29&gt;0,0,500000)+IF('計算A'!$IQ$29=2,SUMPRODUCT('計算A'!$D$79:$EQ$79,$DB18:$IO18,$IQ18:$OD18),SUMPRODUCT('計算A'!$D$79:$EQ$79,$DB18:$IO18))*1000+20)</f>
        <v/>
      </c>
      <c r="CB18">
        <f>IF(AH18=1,1000000,IF('計算A'!$IT$30&gt;0,0,500000)+IF('計算A'!$IQ$30=2,SUMPRODUCT('計算A'!$D$80:$EQ$80,$DB18:$IO18,$IQ18:$OD18),SUMPRODUCT('計算A'!$D$80:$EQ$80,$DB18:$IO18))*1000+21)</f>
        <v/>
      </c>
      <c r="CC18">
        <f>IF(AI18=1,1000000,IF('計算A'!$IT$31&gt;0,0,500000)+IF('計算A'!$IQ$31=2,SUMPRODUCT('計算A'!$D$81:$EQ$81,$DB18:$IO18,$IQ18:$OD18),SUMPRODUCT('計算A'!$D$81:$EQ$81,$DB18:$IO18))*1000+22)</f>
        <v/>
      </c>
      <c r="CD18">
        <f>IF(AJ18=1,1000000,IF('計算A'!$IT$32&gt;0,0,500000)+IF('計算A'!$IQ$32=2,SUMPRODUCT('計算A'!$D$82:$EQ$82,$DB18:$IO18,$IQ18:$OD18),SUMPRODUCT('計算A'!$D$82:$EQ$82,$DB18:$IO18))*1000+23)</f>
        <v/>
      </c>
      <c r="CE18">
        <f>IF(AK18=1,1000000,IF('計算A'!$IT$33&gt;0,0,500000)+IF('計算A'!$IQ$33=2,SUMPRODUCT('計算A'!$D$83:$EQ$83,$DB18:$IO18,$IQ18:$OD18),SUMPRODUCT('計算A'!$D$83:$EQ$83,$DB18:$IO18))*1000+24)</f>
        <v/>
      </c>
      <c r="CF18">
        <f>IF(AL18=1,1000000,IF('計算A'!$IT$34&gt;0,0,500000)+IF('計算A'!$IQ$34=2,SUMPRODUCT('計算A'!$D$84:$EQ$84,$DB18:$IO18,$IQ18:$OD18),SUMPRODUCT('計算A'!$D$84:$EQ$84,$DB18:$IO18))*1000+25)</f>
        <v/>
      </c>
      <c r="CG18">
        <f>IF(AM18=1,1000000,IF('計算A'!$IT$35&gt;0,0,500000)+IF('計算A'!$IQ$35=2,SUMPRODUCT('計算A'!$D$85:$EQ$85,$DB18:$IO18,$IQ18:$OD18),SUMPRODUCT('計算A'!$D$85:$EQ$85,$DB18:$IO18))*1000+26)</f>
        <v/>
      </c>
      <c r="CH18">
        <f>IF(AN18=1,1000000,IF('計算A'!$IT$36&gt;0,0,500000)+IF('計算A'!$IQ$36=2,SUMPRODUCT('計算A'!$D$86:$EQ$86,$DB18:$IO18,$IQ18:$OD18),SUMPRODUCT('計算A'!$D$86:$EQ$86,$DB18:$IO18))*1000+27)</f>
        <v/>
      </c>
      <c r="CI18">
        <f>IF(AO18=1,1000000,IF('計算A'!$IT$37&gt;0,0,500000)+IF('計算A'!$IQ$37=2,SUMPRODUCT('計算A'!$D$87:$EQ$87,$DB18:$IO18,$IQ18:$OD18),SUMPRODUCT('計算A'!$D$87:$EQ$87,$DB18:$IO18))*1000+28)</f>
        <v/>
      </c>
      <c r="CJ18">
        <f>IF(AP18=1,1000000,IF('計算A'!$IT$38&gt;0,0,500000)+IF('計算A'!$IQ$38=2,SUMPRODUCT('計算A'!$D$88:$EQ$88,$DB18:$IO18,$IQ18:$OD18),SUMPRODUCT('計算A'!$D$88:$EQ$88,$DB18:$IO18))*1000+29)</f>
        <v/>
      </c>
      <c r="CK18">
        <f>IF(AQ18=1,1000000,IF('計算A'!$IT$39&gt;0,0,500000)+IF('計算A'!$IQ$39=2,SUMPRODUCT('計算A'!$D$89:$EQ$89,$DB18:$IO18,$IQ18:$OD18),SUMPRODUCT('計算A'!$D$89:$EQ$89,$DB18:$IO18))*1000+30)</f>
        <v/>
      </c>
      <c r="CL18">
        <f>IF(AR18=1,1000000,IF('計算A'!$IT$40&gt;0,0,500000)+IF('計算A'!$IQ$40=2,SUMPRODUCT('計算A'!$D$90:$EQ$90,$DB18:$IO18,$IQ18:$OD18),SUMPRODUCT('計算A'!$D$90:$EQ$90,$DB18:$IO18))*1000+31)</f>
        <v/>
      </c>
      <c r="CM18">
        <f>IF(AS18=1,1000000,IF('計算A'!$IT$41&gt;0,0,500000)+IF('計算A'!$IQ$41=2,SUMPRODUCT('計算A'!$D$91:$EQ$91,$DB18:$IO18,$IQ18:$OD18),SUMPRODUCT('計算A'!$D$91:$EQ$91,$DB18:$IO18))*1000+32)</f>
        <v/>
      </c>
      <c r="CN18">
        <f>IF(AT18=1,1000000,IF('計算A'!$IT$42&gt;0,0,500000)+IF('計算A'!$IQ$42=2,SUMPRODUCT('計算A'!$D$92:$EQ$92,$DB18:$IO18,$IQ18:$OD18),SUMPRODUCT('計算A'!$D$92:$EQ$92,$DB18:$IO18))*1000+33)</f>
        <v/>
      </c>
      <c r="CO18">
        <f>IF(AU18=1,1000000,IF('計算A'!$IT$43&gt;0,0,500000)+IF('計算A'!$IQ$43=2,SUMPRODUCT('計算A'!$D$93:$EQ$93,$DB18:$IO18,$IQ18:$OD18),SUMPRODUCT('計算A'!$D$93:$EQ$93,$DB18:$IO18))*1000+34)</f>
        <v/>
      </c>
      <c r="CP18">
        <f>IF(AV18=1,1000000,IF('計算A'!$IT$44&gt;0,0,500000)+IF('計算A'!$IQ$44=2,SUMPRODUCT('計算A'!$D$94:$EQ$94,$DB18:$IO18,$IQ18:$OD18),SUMPRODUCT('計算A'!$D$94:$EQ$94,$DB18:$IO18))*1000+35)</f>
        <v/>
      </c>
      <c r="CQ18">
        <f>IF(AW18=1,1000000,IF('計算A'!$IT$45&gt;0,0,500000)+IF('計算A'!$IQ$45=2,SUMPRODUCT('計算A'!$D$95:$EQ$95,$DB18:$IO18,$IQ18:$OD18),SUMPRODUCT('計算A'!$D$95:$EQ$95,$DB18:$IO18))*1000+36)</f>
        <v/>
      </c>
      <c r="CR18">
        <f>IF(AX18=1,1000000,IF('計算A'!$IT$46&gt;0,0,500000)+IF('計算A'!$IQ$46=2,SUMPRODUCT('計算A'!$D$96:$EQ$96,$DB18:$IO18,$IQ18:$OD18),SUMPRODUCT('計算A'!$D$96:$EQ$96,$DB18:$IO18))*1000+37)</f>
        <v/>
      </c>
      <c r="CS18">
        <f>IF(AY18=1,1000000,IF('計算A'!$IT$47&gt;0,0,500000)+IF('計算A'!$IQ$47=2,SUMPRODUCT('計算A'!$D$97:$EQ$97,$DB18:$IO18,$IQ18:$OD18),SUMPRODUCT('計算A'!$D$97:$EQ$97,$DB18:$IO18))*1000+38)</f>
        <v/>
      </c>
      <c r="CT18">
        <f>IF(AZ18=1,1000000,IF('計算A'!$IT$48&gt;0,0,500000)+IF('計算A'!$IQ$48=2,SUMPRODUCT('計算A'!$D$98:$EQ$98,$DB18:$IO18,$IQ18:$OD18),SUMPRODUCT('計算A'!$D$98:$EQ$98,$DB18:$IO18))*1000+39)</f>
        <v/>
      </c>
      <c r="CU18">
        <f>IF(BA18=1,1000000,IF('計算A'!$IT$49&gt;0,0,500000)+IF('計算A'!$IQ$49=2,SUMPRODUCT('計算A'!$D$99:$EQ$99,$DB18:$IO18,$IQ18:$OD18),SUMPRODUCT('計算A'!$D$99:$EQ$99,$DB18:$IO18))*1000+40)</f>
        <v/>
      </c>
      <c r="CV18">
        <f>IF(BB18=1,1000000,IF('計算A'!$IT$50&gt;0,0,500000)+IF('計算A'!$IQ$50=2,SUMPRODUCT('計算A'!$D$100:$EQ$100,$DB18:$IO18,$IQ18:$OD18),SUMPRODUCT('計算A'!$D$100:$EQ$100,$DB18:$IO18))*1000+41)</f>
        <v/>
      </c>
      <c r="CW18">
        <f>IF(BC18=1,1000000,IF('計算A'!$IT$51&gt;0,0,500000)+IF('計算A'!$IQ$51=2,SUMPRODUCT('計算A'!$D$101:$EQ$101,$DB18:$IO18,$IQ18:$OD18),SUMPRODUCT('計算A'!$D$101:$EQ$101,$DB18:$IO18))*1000+42)</f>
        <v/>
      </c>
      <c r="CX18">
        <f>IF(BD18=1,1000000,IF('計算A'!$IT$52&gt;0,0,500000)+IF('計算A'!$IQ$52=2,SUMPRODUCT('計算A'!$D$102:$EQ$102,$DB18:$IO18,$IQ18:$OD18),SUMPRODUCT('計算A'!$D$102:$EQ$102,$DB18:$IO18))*1000+43)</f>
        <v/>
      </c>
      <c r="CY18">
        <f>IF(BE18=1,1000000,IF('計算A'!$IT$53&gt;0,0,500000)+IF('計算A'!$IQ$53=2,SUMPRODUCT('計算A'!$D$103:$EQ$103,$DB18:$IO18,$IQ18:$OD18),SUMPRODUCT('計算A'!$D$103:$EQ$103,$DB18:$IO18))*1000+44)</f>
        <v/>
      </c>
      <c r="CZ18">
        <f>IF(BF18=1,1000000,IF('計算A'!$IT$54&gt;0,0,500000)+IF('計算A'!$IQ$54=2,SUMPRODUCT('計算A'!$D$104:$EQ$104,$DB18:$IO18,$IQ18:$OD18),SUMPRODUCT('計算A'!$D$104:$EQ$104,$DB18:$IO18))*1000+45)</f>
        <v/>
      </c>
      <c r="DB18">
        <f>DB17*IF(OR($C17=1,$G17=1),0,1)</f>
        <v/>
      </c>
      <c r="DC18">
        <f>DC17*IF(OR($C17=2,$G17=2),0,1)</f>
        <v/>
      </c>
      <c r="DD18">
        <f>DD17*IF(OR($C17=3,$G17=3),0,1)</f>
        <v/>
      </c>
      <c r="DE18">
        <f>DE17*IF(OR($C17=4,$G17=4),0,1)</f>
        <v/>
      </c>
      <c r="DF18">
        <f>DF17*IF(OR($C17=5,$G17=5),0,1)</f>
        <v/>
      </c>
      <c r="DG18">
        <f>DG17*IF(OR($C17=6,$G17=6),0,1)</f>
        <v/>
      </c>
      <c r="DH18">
        <f>DH17*IF(OR($C17=7,$G17=7),0,1)</f>
        <v/>
      </c>
      <c r="DI18">
        <f>DI17*IF(OR($C17=8,$G17=8),0,1)</f>
        <v/>
      </c>
      <c r="DJ18">
        <f>DJ17*IF(OR($C17=9,$G17=9),0,1)</f>
        <v/>
      </c>
      <c r="DK18">
        <f>DK17*IF(OR($C17=10,$G17=10),0,1)</f>
        <v/>
      </c>
      <c r="DL18">
        <f>DL17*IF(OR($C17=11,$G17=11),0,1)</f>
        <v/>
      </c>
      <c r="DM18">
        <f>DM17*IF(OR($C17=12,$G17=12),0,1)</f>
        <v/>
      </c>
      <c r="DN18">
        <f>DN17*IF(OR($C17=13,$G17=13),0,1)</f>
        <v/>
      </c>
      <c r="DO18">
        <f>DO17*IF(OR($C17=14,$G17=14),0,1)</f>
        <v/>
      </c>
      <c r="DP18">
        <f>DP17*IF(OR($C17=15,$G17=15),0,1)</f>
        <v/>
      </c>
      <c r="DQ18">
        <f>DQ17*IF(OR($C17=16,$G17=16),0,1)</f>
        <v/>
      </c>
      <c r="DR18">
        <f>DR17*IF(OR($C17=17,$G17=17),0,1)</f>
        <v/>
      </c>
      <c r="DS18">
        <f>DS17*IF(OR($C17=18,$G17=18),0,1)</f>
        <v/>
      </c>
      <c r="DT18">
        <f>DT17*IF(OR($C17=19,$G17=19),0,1)</f>
        <v/>
      </c>
      <c r="DU18">
        <f>DU17*IF(OR($C17=20,$G17=20),0,1)</f>
        <v/>
      </c>
      <c r="DV18">
        <f>DV17*IF(OR($C17=21,$G17=21),0,1)</f>
        <v/>
      </c>
      <c r="DW18">
        <f>DW17*IF(OR($C17=22,$G17=22),0,1)</f>
        <v/>
      </c>
      <c r="DX18">
        <f>DX17*IF(OR($C17=23,$G17=23),0,1)</f>
        <v/>
      </c>
      <c r="DY18">
        <f>DY17*IF(OR($C17=24,$G17=24),0,1)</f>
        <v/>
      </c>
      <c r="DZ18">
        <f>DZ17*IF(OR($C17=25,$G17=25),0,1)</f>
        <v/>
      </c>
      <c r="EA18">
        <f>EA17*IF(OR($C17=26,$G17=26),0,1)</f>
        <v/>
      </c>
      <c r="EB18">
        <f>EB17*IF(OR($C17=27,$G17=27),0,1)</f>
        <v/>
      </c>
      <c r="EC18">
        <f>EC17*IF(OR($C17=28,$G17=28),0,1)</f>
        <v/>
      </c>
      <c r="ED18">
        <f>ED17*IF(OR($C17=29,$G17=29),0,1)</f>
        <v/>
      </c>
      <c r="EE18">
        <f>EE17*IF(OR($C17=30,$G17=30),0,1)</f>
        <v/>
      </c>
      <c r="EF18">
        <f>EF17*IF(OR($C17=31,$G17=31),0,1)</f>
        <v/>
      </c>
      <c r="EG18">
        <f>EG17*IF(OR($C17=32,$G17=32),0,1)</f>
        <v/>
      </c>
      <c r="EH18">
        <f>EH17*IF(OR($C17=33,$G17=33),0,1)</f>
        <v/>
      </c>
      <c r="EI18">
        <f>EI17*IF(OR($C17=34,$G17=34),0,1)</f>
        <v/>
      </c>
      <c r="EJ18">
        <f>EJ17*IF(OR($C17=35,$G17=35),0,1)</f>
        <v/>
      </c>
      <c r="EK18">
        <f>EK17*IF(OR($C17=36,$G17=36),0,1)</f>
        <v/>
      </c>
      <c r="EL18">
        <f>EL17*IF(OR($C17=37,$G17=37),0,1)</f>
        <v/>
      </c>
      <c r="EM18">
        <f>EM17*IF(OR($C17=38,$G17=38),0,1)</f>
        <v/>
      </c>
      <c r="EN18">
        <f>EN17*IF(OR($C17=39,$G17=39),0,1)</f>
        <v/>
      </c>
      <c r="EO18">
        <f>EO17*IF(OR($C17=40,$G17=40),0,1)</f>
        <v/>
      </c>
      <c r="EP18">
        <f>EP17*IF(OR($C17=41,$G17=41),0,1)</f>
        <v/>
      </c>
      <c r="EQ18">
        <f>EQ17*IF(OR($C17=42,$G17=42),0,1)</f>
        <v/>
      </c>
      <c r="ER18">
        <f>ER17*IF(OR($C17=43,$G17=43),0,1)</f>
        <v/>
      </c>
      <c r="ES18">
        <f>ES17*IF(OR($C17=44,$G17=44),0,1)</f>
        <v/>
      </c>
      <c r="ET18">
        <f>ET17*IF(OR($C17=45,$G17=45),0,1)</f>
        <v/>
      </c>
      <c r="EU18">
        <f>EU17*IF(OR($C17=46,$G17=46),0,1)</f>
        <v/>
      </c>
      <c r="EV18">
        <f>EV17*IF(OR($C17=47,$G17=47),0,1)</f>
        <v/>
      </c>
      <c r="EW18">
        <f>EW17*IF(OR($C17=48,$G17=48),0,1)</f>
        <v/>
      </c>
      <c r="EX18">
        <f>EX17*IF(OR($C17=49,$G17=49),0,1)</f>
        <v/>
      </c>
      <c r="EY18">
        <f>EY17*IF(OR($C17=50,$G17=50),0,1)</f>
        <v/>
      </c>
      <c r="EZ18">
        <f>EZ17*IF(OR($C17=51,$G17=51),0,1)</f>
        <v/>
      </c>
      <c r="FA18">
        <f>FA17*IF(OR($C17=52,$G17=52),0,1)</f>
        <v/>
      </c>
      <c r="FB18">
        <f>FB17*IF(OR($C17=53,$G17=53),0,1)</f>
        <v/>
      </c>
      <c r="FC18">
        <f>FC17*IF(OR($C17=54,$G17=54),0,1)</f>
        <v/>
      </c>
      <c r="FD18">
        <f>FD17*IF(OR($C17=55,$G17=55),0,1)</f>
        <v/>
      </c>
      <c r="FE18">
        <f>FE17*IF(OR($C17=56,$G17=56),0,1)</f>
        <v/>
      </c>
      <c r="FF18">
        <f>FF17*IF(OR($C17=57,$G17=57),0,1)</f>
        <v/>
      </c>
      <c r="FG18">
        <f>FG17*IF(OR($C17=58,$G17=58),0,1)</f>
        <v/>
      </c>
      <c r="FH18">
        <f>FH17*IF(OR($C17=59,$G17=59),0,1)</f>
        <v/>
      </c>
      <c r="FI18">
        <f>FI17*IF(OR($C17=60,$G17=60),0,1)</f>
        <v/>
      </c>
      <c r="FJ18">
        <f>FJ17*IF(OR($C17=61,$G17=61),0,1)</f>
        <v/>
      </c>
      <c r="FK18">
        <f>FK17*IF(OR($C17=62,$G17=62),0,1)</f>
        <v/>
      </c>
      <c r="FL18">
        <f>FL17*IF(OR($C17=63,$G17=63),0,1)</f>
        <v/>
      </c>
      <c r="FM18">
        <f>FM17*IF(OR($C17=64,$G17=64),0,1)</f>
        <v/>
      </c>
      <c r="FN18">
        <f>FN17*IF(OR($C17=65,$G17=65),0,1)</f>
        <v/>
      </c>
      <c r="FO18">
        <f>FO17*IF(OR($C17=66,$G17=66),0,1)</f>
        <v/>
      </c>
      <c r="FP18">
        <f>FP17*IF(OR($C17=67,$G17=67),0,1)</f>
        <v/>
      </c>
      <c r="FQ18">
        <f>FQ17*IF(OR($C17=68,$G17=68),0,1)</f>
        <v/>
      </c>
      <c r="FR18">
        <f>FR17*IF(OR($C17=69,$G17=69),0,1)</f>
        <v/>
      </c>
      <c r="FS18">
        <f>FS17*IF(OR($C17=70,$G17=70),0,1)</f>
        <v/>
      </c>
      <c r="FT18">
        <f>FT17*IF(OR($C17=71,$G17=71),0,1)</f>
        <v/>
      </c>
      <c r="FU18">
        <f>FU17*IF(OR($C17=72,$G17=72),0,1)</f>
        <v/>
      </c>
      <c r="FV18">
        <f>FV17*IF(OR($C17=73,$G17=73),0,1)</f>
        <v/>
      </c>
      <c r="FW18">
        <f>FW17*IF(OR($C17=74,$G17=74),0,1)</f>
        <v/>
      </c>
      <c r="FX18">
        <f>FX17*IF(OR($C17=75,$G17=75),0,1)</f>
        <v/>
      </c>
      <c r="FY18">
        <f>FY17*IF(OR($C17=76,$G17=76),0,1)</f>
        <v/>
      </c>
      <c r="FZ18">
        <f>FZ17*IF(OR($C17=77,$G17=77),0,1)</f>
        <v/>
      </c>
      <c r="GA18">
        <f>GA17*IF(OR($C17=78,$G17=78),0,1)</f>
        <v/>
      </c>
      <c r="GB18">
        <f>GB17*IF(OR($C17=79,$G17=79),0,1)</f>
        <v/>
      </c>
      <c r="GC18">
        <f>GC17*IF(OR($C17=80,$G17=80),0,1)</f>
        <v/>
      </c>
      <c r="GD18">
        <f>GD17*IF(OR($C17=81,$G17=81),0,1)</f>
        <v/>
      </c>
      <c r="GE18">
        <f>GE17*IF(OR($C17=82,$G17=82),0,1)</f>
        <v/>
      </c>
      <c r="GF18">
        <f>GF17*IF(OR($C17=83,$G17=83),0,1)</f>
        <v/>
      </c>
      <c r="GG18">
        <f>GG17*IF(OR($C17=84,$G17=84),0,1)</f>
        <v/>
      </c>
      <c r="GH18">
        <f>GH17*IF(OR($C17=85,$G17=85),0,1)</f>
        <v/>
      </c>
      <c r="GI18">
        <f>GI17*IF(OR($C17=86,$G17=86),0,1)</f>
        <v/>
      </c>
      <c r="GJ18">
        <f>GJ17*IF(OR($C17=87,$G17=87),0,1)</f>
        <v/>
      </c>
      <c r="GK18">
        <f>GK17*IF(OR($C17=88,$G17=88),0,1)</f>
        <v/>
      </c>
      <c r="GL18">
        <f>GL17*IF(OR($C17=89,$G17=89),0,1)</f>
        <v/>
      </c>
      <c r="GM18">
        <f>GM17*IF(OR($C17=90,$G17=90),0,1)</f>
        <v/>
      </c>
      <c r="GN18">
        <f>GN17*IF(OR($C17=91,$G17=91),0,1)</f>
        <v/>
      </c>
      <c r="GO18">
        <f>GO17*IF(OR($C17=92,$G17=92),0,1)</f>
        <v/>
      </c>
      <c r="GP18">
        <f>GP17*IF(OR($C17=93,$G17=93),0,1)</f>
        <v/>
      </c>
      <c r="GQ18">
        <f>GQ17*IF(OR($C17=94,$G17=94),0,1)</f>
        <v/>
      </c>
      <c r="GR18">
        <f>GR17*IF(OR($C17=95,$G17=95),0,1)</f>
        <v/>
      </c>
      <c r="GS18">
        <f>GS17*IF(OR($C17=96,$G17=96),0,1)</f>
        <v/>
      </c>
      <c r="GT18">
        <f>GT17*IF(OR($C17=97,$G17=97),0,1)</f>
        <v/>
      </c>
      <c r="GU18">
        <f>GU17*IF(OR($C17=98,$G17=98),0,1)</f>
        <v/>
      </c>
      <c r="GV18">
        <f>GV17*IF(OR($C17=99,$G17=99),0,1)</f>
        <v/>
      </c>
      <c r="GW18">
        <f>GW17*IF(OR($C17=100,$G17=100),0,1)</f>
        <v/>
      </c>
      <c r="GX18">
        <f>GX17*IF(OR($C17=101,$G17=101),0,1)</f>
        <v/>
      </c>
      <c r="GY18">
        <f>GY17*IF(OR($C17=102,$G17=102),0,1)</f>
        <v/>
      </c>
      <c r="GZ18">
        <f>GZ17*IF(OR($C17=103,$G17=103),0,1)</f>
        <v/>
      </c>
      <c r="HA18">
        <f>HA17*IF(OR($C17=104,$G17=104),0,1)</f>
        <v/>
      </c>
      <c r="HB18">
        <f>HB17*IF(OR($C17=105,$G17=105),0,1)</f>
        <v/>
      </c>
      <c r="HC18">
        <f>HC17*IF(OR($C17=106,$G17=106),0,1)</f>
        <v/>
      </c>
      <c r="HD18">
        <f>HD17*IF(OR($C17=107,$G17=107),0,1)</f>
        <v/>
      </c>
      <c r="HE18">
        <f>HE17*IF(OR($C17=108,$G17=108),0,1)</f>
        <v/>
      </c>
      <c r="HF18">
        <f>HF17*IF(OR($C17=109,$G17=109),0,1)</f>
        <v/>
      </c>
      <c r="HG18">
        <f>HG17*IF(OR($C17=110,$G17=110),0,1)</f>
        <v/>
      </c>
      <c r="HH18">
        <f>HH17*IF(OR($C17=111,$G17=111),0,1)</f>
        <v/>
      </c>
      <c r="HI18">
        <f>HI17*IF(OR($C17=112,$G17=112),0,1)</f>
        <v/>
      </c>
      <c r="HJ18">
        <f>HJ17*IF(OR($C17=113,$G17=113),0,1)</f>
        <v/>
      </c>
      <c r="HK18">
        <f>HK17*IF(OR($C17=114,$G17=114),0,1)</f>
        <v/>
      </c>
      <c r="HL18">
        <f>HL17*IF(OR($C17=115,$G17=115),0,1)</f>
        <v/>
      </c>
      <c r="HM18">
        <f>HM17*IF(OR($C17=116,$G17=116),0,1)</f>
        <v/>
      </c>
      <c r="HN18">
        <f>HN17*IF(OR($C17=117,$G17=117),0,1)</f>
        <v/>
      </c>
      <c r="HO18">
        <f>HO17*IF(OR($C17=118,$G17=118),0,1)</f>
        <v/>
      </c>
      <c r="HP18">
        <f>HP17*IF(OR($C17=119,$G17=119),0,1)</f>
        <v/>
      </c>
      <c r="HQ18">
        <f>HQ17*IF(OR($C17=120,$G17=120),0,1)</f>
        <v/>
      </c>
      <c r="HR18">
        <f>HR17*IF(OR($C17=121,$G17=121),0,1)</f>
        <v/>
      </c>
      <c r="HS18">
        <f>HS17*IF(OR($C17=122,$G17=122),0,1)</f>
        <v/>
      </c>
      <c r="HT18">
        <f>HT17*IF(OR($C17=123,$G17=123),0,1)</f>
        <v/>
      </c>
      <c r="HU18">
        <f>HU17*IF(OR($C17=124,$G17=124),0,1)</f>
        <v/>
      </c>
      <c r="HV18">
        <f>HV17*IF(OR($C17=125,$G17=125),0,1)</f>
        <v/>
      </c>
      <c r="HW18">
        <f>HW17*IF(OR($C17=126,$G17=126),0,1)</f>
        <v/>
      </c>
      <c r="HX18">
        <f>HX17*IF(OR($C17=127,$G17=127),0,1)</f>
        <v/>
      </c>
      <c r="HY18">
        <f>HY17*IF(OR($C17=128,$G17=128),0,1)</f>
        <v/>
      </c>
      <c r="HZ18">
        <f>HZ17*IF(OR($C17=129,$G17=129),0,1)</f>
        <v/>
      </c>
      <c r="IA18">
        <f>IA17*IF(OR($C17=130,$G17=130),0,1)</f>
        <v/>
      </c>
      <c r="IB18">
        <f>IB17*IF(OR($C17=131,$G17=131),0,1)</f>
        <v/>
      </c>
      <c r="IC18">
        <f>IC17*IF(OR($C17=132,$G17=132),0,1)</f>
        <v/>
      </c>
      <c r="ID18">
        <f>ID17*IF(OR($C17=133,$G17=133),0,1)</f>
        <v/>
      </c>
      <c r="IE18">
        <f>IE17*IF(OR($C17=134,$G17=134),0,1)</f>
        <v/>
      </c>
      <c r="IF18">
        <f>IF17*IF(OR($C17=135,$G17=135),0,1)</f>
        <v/>
      </c>
      <c r="IG18">
        <f>IG17*IF(OR($C17=136,$G17=136),0,1)</f>
        <v/>
      </c>
      <c r="IH18">
        <f>IH17*IF(OR($C17=137,$G17=137),0,1)</f>
        <v/>
      </c>
      <c r="II18">
        <f>II17*IF(OR($C17=138,$G17=138),0,1)</f>
        <v/>
      </c>
      <c r="IJ18">
        <f>IJ17*IF(OR($C17=139,$G17=139),0,1)</f>
        <v/>
      </c>
      <c r="IK18">
        <f>IK17*IF(OR($C17=140,$G17=140),0,1)</f>
        <v/>
      </c>
      <c r="IL18">
        <f>IL17*IF(OR($C17=141,$G17=141),0,1)</f>
        <v/>
      </c>
      <c r="IM18">
        <f>IM17*IF(OR($C17=142,$G17=142),0,1)</f>
        <v/>
      </c>
      <c r="IN18">
        <f>IN17*IF(OR($C17=143,$G17=143),0,1)</f>
        <v/>
      </c>
      <c r="IO18">
        <f>IO17*IF(OR($C17=144,$G17=144),0,1)</f>
        <v/>
      </c>
      <c r="IQ18">
        <f>IF('計算A'!D$106=1,DC18,1)</f>
        <v/>
      </c>
      <c r="IR18">
        <f>IF('計算A'!E$106=1,DD18,1)</f>
        <v/>
      </c>
      <c r="IS18">
        <f>IF('計算A'!F$106=1,DE18,1)</f>
        <v/>
      </c>
      <c r="IT18">
        <f>IF('計算A'!G$106=1,DF18,1)</f>
        <v/>
      </c>
      <c r="IU18">
        <f>IF('計算A'!H$106=1,DG18,1)</f>
        <v/>
      </c>
      <c r="IV18">
        <f>IF('計算A'!I$106=1,DH18,1)</f>
        <v/>
      </c>
      <c r="IW18">
        <f>IF('計算A'!J$106=1,DI18,1)</f>
        <v/>
      </c>
      <c r="IX18">
        <f>IF('計算A'!K$106=1,DJ18,1)</f>
        <v/>
      </c>
      <c r="IY18">
        <f>IF('計算A'!L$106=1,DK18,1)</f>
        <v/>
      </c>
      <c r="IZ18">
        <f>IF('計算A'!M$106=1,DL18,1)</f>
        <v/>
      </c>
      <c r="JA18">
        <f>IF('計算A'!N$106=1,DM18,1)</f>
        <v/>
      </c>
      <c r="JB18">
        <f>IF('計算A'!O$106=1,DN18,1)</f>
        <v/>
      </c>
      <c r="JC18">
        <f>IF('計算A'!P$106=1,DO18,1)</f>
        <v/>
      </c>
      <c r="JD18">
        <f>IF('計算A'!Q$106=1,DP18,1)</f>
        <v/>
      </c>
      <c r="JE18">
        <f>IF('計算A'!R$106=1,DQ18,1)</f>
        <v/>
      </c>
      <c r="JF18">
        <f>IF('計算A'!S$106=1,DR18,1)</f>
        <v/>
      </c>
      <c r="JG18">
        <f>IF('計算A'!T$106=1,DS18,1)</f>
        <v/>
      </c>
      <c r="JH18">
        <f>IF('計算A'!U$106=1,DT18,1)</f>
        <v/>
      </c>
      <c r="JI18">
        <f>IF('計算A'!V$106=1,DU18,1)</f>
        <v/>
      </c>
      <c r="JJ18">
        <f>IF('計算A'!W$106=1,DV18,1)</f>
        <v/>
      </c>
      <c r="JK18">
        <f>IF('計算A'!X$106=1,DW18,1)</f>
        <v/>
      </c>
      <c r="JL18">
        <f>IF('計算A'!Y$106=1,DX18,1)</f>
        <v/>
      </c>
      <c r="JM18">
        <f>IF('計算A'!Z$106=1,DY18,1)</f>
        <v/>
      </c>
      <c r="JN18">
        <f>IF('計算A'!AA$106=1,DZ18,1)</f>
        <v/>
      </c>
      <c r="JO18">
        <f>IF('計算A'!AB$106=1,EA18,1)</f>
        <v/>
      </c>
      <c r="JP18">
        <f>IF('計算A'!AC$106=1,EB18,1)</f>
        <v/>
      </c>
      <c r="JQ18">
        <f>IF('計算A'!AD$106=1,EC18,1)</f>
        <v/>
      </c>
      <c r="JR18">
        <f>IF('計算A'!AE$106=1,ED18,1)</f>
        <v/>
      </c>
      <c r="JS18">
        <f>IF('計算A'!AF$106=1,EE18,1)</f>
        <v/>
      </c>
      <c r="JT18">
        <f>IF('計算A'!AG$106=1,EF18,1)</f>
        <v/>
      </c>
      <c r="JU18">
        <f>IF('計算A'!AH$106=1,EG18,1)</f>
        <v/>
      </c>
      <c r="JV18">
        <f>IF('計算A'!AI$106=1,EH18,1)</f>
        <v/>
      </c>
      <c r="JW18">
        <f>IF('計算A'!AJ$106=1,EI18,1)</f>
        <v/>
      </c>
      <c r="JX18">
        <f>IF('計算A'!AK$106=1,EJ18,1)</f>
        <v/>
      </c>
      <c r="JY18">
        <f>IF('計算A'!AL$106=1,EK18,1)</f>
        <v/>
      </c>
      <c r="JZ18">
        <f>IF('計算A'!AM$106=1,EL18,1)</f>
        <v/>
      </c>
      <c r="KA18">
        <f>IF('計算A'!AN$106=1,EM18,1)</f>
        <v/>
      </c>
      <c r="KB18">
        <f>IF('計算A'!AO$106=1,EN18,1)</f>
        <v/>
      </c>
      <c r="KC18">
        <f>IF('計算A'!AP$106=1,EO18,1)</f>
        <v/>
      </c>
      <c r="KD18">
        <f>IF('計算A'!AQ$106=1,EP18,1)</f>
        <v/>
      </c>
      <c r="KE18">
        <f>IF('計算A'!AR$106=1,EQ18,1)</f>
        <v/>
      </c>
      <c r="KF18">
        <f>IF('計算A'!AS$106=1,ER18,1)</f>
        <v/>
      </c>
      <c r="KG18">
        <f>IF('計算A'!AT$106=1,ES18,1)</f>
        <v/>
      </c>
      <c r="KH18">
        <f>IF('計算A'!AU$106=1,ET18,1)</f>
        <v/>
      </c>
      <c r="KI18">
        <f>IF('計算A'!AV$106=1,EU18,1)</f>
        <v/>
      </c>
      <c r="KJ18">
        <f>IF('計算A'!AW$106=1,EV18,1)</f>
        <v/>
      </c>
      <c r="KK18">
        <f>IF('計算A'!AX$106=1,EW18,1)</f>
        <v/>
      </c>
      <c r="KL18">
        <f>IF('計算A'!AY$106=1,EX18,1)</f>
        <v/>
      </c>
      <c r="KM18">
        <f>IF('計算A'!AZ$106=1,EY18,1)</f>
        <v/>
      </c>
      <c r="KN18">
        <f>IF('計算A'!BA$106=1,EZ18,1)</f>
        <v/>
      </c>
      <c r="KO18">
        <f>IF('計算A'!BB$106=1,FA18,1)</f>
        <v/>
      </c>
      <c r="KP18">
        <f>IF('計算A'!BC$106=1,FB18,1)</f>
        <v/>
      </c>
      <c r="KQ18">
        <f>IF('計算A'!BD$106=1,FC18,1)</f>
        <v/>
      </c>
      <c r="KR18">
        <f>IF('計算A'!BE$106=1,FD18,1)</f>
        <v/>
      </c>
      <c r="KS18">
        <f>IF('計算A'!BF$106=1,FE18,1)</f>
        <v/>
      </c>
      <c r="KT18">
        <f>IF('計算A'!BG$106=1,FF18,1)</f>
        <v/>
      </c>
      <c r="KU18">
        <f>IF('計算A'!BH$106=1,FG18,1)</f>
        <v/>
      </c>
      <c r="KV18">
        <f>IF('計算A'!BI$106=1,FH18,1)</f>
        <v/>
      </c>
      <c r="KW18">
        <f>IF('計算A'!BJ$106=1,FI18,1)</f>
        <v/>
      </c>
      <c r="KX18">
        <f>IF('計算A'!BK$106=1,FJ18,1)</f>
        <v/>
      </c>
      <c r="KY18">
        <f>IF('計算A'!BL$106=1,FK18,1)</f>
        <v/>
      </c>
      <c r="KZ18">
        <f>IF('計算A'!BM$106=1,FL18,1)</f>
        <v/>
      </c>
      <c r="LA18">
        <f>IF('計算A'!BN$106=1,FM18,1)</f>
        <v/>
      </c>
      <c r="LB18">
        <f>IF('計算A'!BO$106=1,FN18,1)</f>
        <v/>
      </c>
      <c r="LC18">
        <f>IF('計算A'!BP$106=1,FO18,1)</f>
        <v/>
      </c>
      <c r="LD18">
        <f>IF('計算A'!BQ$106=1,FP18,1)</f>
        <v/>
      </c>
      <c r="LE18">
        <f>IF('計算A'!BR$106=1,FQ18,1)</f>
        <v/>
      </c>
      <c r="LF18">
        <f>IF('計算A'!BS$106=1,FR18,1)</f>
        <v/>
      </c>
      <c r="LG18">
        <f>IF('計算A'!BT$106=1,FS18,1)</f>
        <v/>
      </c>
      <c r="LH18">
        <f>IF('計算A'!BU$106=1,FT18,1)</f>
        <v/>
      </c>
      <c r="LI18">
        <f>IF('計算A'!BV$106=1,FU18,1)</f>
        <v/>
      </c>
      <c r="LJ18">
        <f>IF('計算A'!BW$106=1,FV18,1)</f>
        <v/>
      </c>
      <c r="LK18">
        <f>IF('計算A'!BX$106=1,FW18,1)</f>
        <v/>
      </c>
      <c r="LL18">
        <f>IF('計算A'!BY$106=1,FX18,1)</f>
        <v/>
      </c>
      <c r="LM18">
        <f>IF('計算A'!BZ$106=1,FY18,1)</f>
        <v/>
      </c>
      <c r="LN18">
        <f>IF('計算A'!CA$106=1,FZ18,1)</f>
        <v/>
      </c>
      <c r="LO18">
        <f>IF('計算A'!CB$106=1,GA18,1)</f>
        <v/>
      </c>
      <c r="LP18">
        <f>IF('計算A'!CC$106=1,GB18,1)</f>
        <v/>
      </c>
      <c r="LQ18">
        <f>IF('計算A'!CD$106=1,GC18,1)</f>
        <v/>
      </c>
      <c r="LR18">
        <f>IF('計算A'!CE$106=1,GD18,1)</f>
        <v/>
      </c>
      <c r="LS18">
        <f>IF('計算A'!CF$106=1,GE18,1)</f>
        <v/>
      </c>
      <c r="LT18">
        <f>IF('計算A'!CG$106=1,GF18,1)</f>
        <v/>
      </c>
      <c r="LU18">
        <f>IF('計算A'!CH$106=1,GG18,1)</f>
        <v/>
      </c>
      <c r="LV18">
        <f>IF('計算A'!CI$106=1,GH18,1)</f>
        <v/>
      </c>
      <c r="LW18">
        <f>IF('計算A'!CJ$106=1,GI18,1)</f>
        <v/>
      </c>
      <c r="LX18">
        <f>IF('計算A'!CK$106=1,GJ18,1)</f>
        <v/>
      </c>
      <c r="LY18">
        <f>IF('計算A'!CL$106=1,GK18,1)</f>
        <v/>
      </c>
      <c r="LZ18">
        <f>IF('計算A'!CM$106=1,GL18,1)</f>
        <v/>
      </c>
      <c r="MA18">
        <f>IF('計算A'!CN$106=1,GM18,1)</f>
        <v/>
      </c>
      <c r="MB18">
        <f>IF('計算A'!CO$106=1,GN18,1)</f>
        <v/>
      </c>
      <c r="MC18">
        <f>IF('計算A'!CP$106=1,GO18,1)</f>
        <v/>
      </c>
      <c r="MD18">
        <f>IF('計算A'!CQ$106=1,GP18,1)</f>
        <v/>
      </c>
      <c r="ME18">
        <f>IF('計算A'!CR$106=1,GQ18,1)</f>
        <v/>
      </c>
      <c r="MF18">
        <f>IF('計算A'!CS$106=1,GR18,1)</f>
        <v/>
      </c>
      <c r="MG18">
        <f>IF('計算A'!CT$106=1,GS18,1)</f>
        <v/>
      </c>
      <c r="MH18">
        <f>IF('計算A'!CU$106=1,GT18,1)</f>
        <v/>
      </c>
      <c r="MI18">
        <f>IF('計算A'!CV$106=1,GU18,1)</f>
        <v/>
      </c>
      <c r="MJ18">
        <f>IF('計算A'!CW$106=1,GV18,1)</f>
        <v/>
      </c>
      <c r="MK18">
        <f>IF('計算A'!CX$106=1,GW18,1)</f>
        <v/>
      </c>
      <c r="ML18">
        <f>IF('計算A'!CY$106=1,GX18,1)</f>
        <v/>
      </c>
      <c r="MM18">
        <f>IF('計算A'!CZ$106=1,GY18,1)</f>
        <v/>
      </c>
      <c r="MN18">
        <f>IF('計算A'!DA$106=1,GZ18,1)</f>
        <v/>
      </c>
      <c r="MO18">
        <f>IF('計算A'!DB$106=1,HA18,1)</f>
        <v/>
      </c>
      <c r="MP18">
        <f>IF('計算A'!DC$106=1,HB18,1)</f>
        <v/>
      </c>
      <c r="MQ18">
        <f>IF('計算A'!DD$106=1,HC18,1)</f>
        <v/>
      </c>
      <c r="MR18">
        <f>IF('計算A'!DE$106=1,HD18,1)</f>
        <v/>
      </c>
      <c r="MS18">
        <f>IF('計算A'!DF$106=1,HE18,1)</f>
        <v/>
      </c>
      <c r="MT18">
        <f>IF('計算A'!DG$106=1,HF18,1)</f>
        <v/>
      </c>
      <c r="MU18">
        <f>IF('計算A'!DH$106=1,HG18,1)</f>
        <v/>
      </c>
      <c r="MV18">
        <f>IF('計算A'!DI$106=1,HH18,1)</f>
        <v/>
      </c>
      <c r="MW18">
        <f>IF('計算A'!DJ$106=1,HI18,1)</f>
        <v/>
      </c>
      <c r="MX18">
        <f>IF('計算A'!DK$106=1,HJ18,1)</f>
        <v/>
      </c>
      <c r="MY18">
        <f>IF('計算A'!DL$106=1,HK18,1)</f>
        <v/>
      </c>
      <c r="MZ18">
        <f>IF('計算A'!DM$106=1,HL18,1)</f>
        <v/>
      </c>
      <c r="NA18">
        <f>IF('計算A'!DN$106=1,HM18,1)</f>
        <v/>
      </c>
      <c r="NB18">
        <f>IF('計算A'!DO$106=1,HN18,1)</f>
        <v/>
      </c>
      <c r="NC18">
        <f>IF('計算A'!DP$106=1,HO18,1)</f>
        <v/>
      </c>
      <c r="ND18">
        <f>IF('計算A'!DQ$106=1,HP18,1)</f>
        <v/>
      </c>
      <c r="NE18">
        <f>IF('計算A'!DR$106=1,HQ18,1)</f>
        <v/>
      </c>
      <c r="NF18">
        <f>IF('計算A'!DS$106=1,HR18,1)</f>
        <v/>
      </c>
      <c r="NG18">
        <f>IF('計算A'!DT$106=1,HS18,1)</f>
        <v/>
      </c>
      <c r="NH18">
        <f>IF('計算A'!DU$106=1,HT18,1)</f>
        <v/>
      </c>
      <c r="NI18">
        <f>IF('計算A'!DV$106=1,HU18,1)</f>
        <v/>
      </c>
      <c r="NJ18">
        <f>IF('計算A'!DW$106=1,HV18,1)</f>
        <v/>
      </c>
      <c r="NK18">
        <f>IF('計算A'!DX$106=1,HW18,1)</f>
        <v/>
      </c>
      <c r="NL18">
        <f>IF('計算A'!DY$106=1,HX18,1)</f>
        <v/>
      </c>
      <c r="NM18">
        <f>IF('計算A'!DZ$106=1,HY18,1)</f>
        <v/>
      </c>
      <c r="NN18">
        <f>IF('計算A'!EA$106=1,HZ18,1)</f>
        <v/>
      </c>
      <c r="NO18">
        <f>IF('計算A'!EB$106=1,IA18,1)</f>
        <v/>
      </c>
      <c r="NP18">
        <f>IF('計算A'!EC$106=1,IB18,1)</f>
        <v/>
      </c>
      <c r="NQ18">
        <f>IF('計算A'!ED$106=1,IC18,1)</f>
        <v/>
      </c>
      <c r="NR18">
        <f>IF('計算A'!EE$106=1,ID18,1)</f>
        <v/>
      </c>
      <c r="NS18">
        <f>IF('計算A'!EF$106=1,IE18,1)</f>
        <v/>
      </c>
      <c r="NT18">
        <f>IF('計算A'!EG$106=1,IF18,1)</f>
        <v/>
      </c>
      <c r="NU18">
        <f>IF('計算A'!EH$106=1,IG18,1)</f>
        <v/>
      </c>
      <c r="NV18">
        <f>IF('計算A'!EI$106=1,IH18,1)</f>
        <v/>
      </c>
      <c r="NW18">
        <f>IF('計算A'!EJ$106=1,II18,1)</f>
        <v/>
      </c>
      <c r="NX18">
        <f>IF('計算A'!EK$106=1,IJ18,1)</f>
        <v/>
      </c>
      <c r="NY18">
        <f>IF('計算A'!EL$106=1,IK18,1)</f>
        <v/>
      </c>
      <c r="NZ18">
        <f>IF('計算A'!EM$106=1,IL18,1)</f>
        <v/>
      </c>
      <c r="OA18">
        <f>IF('計算A'!EN$106=1,IM18,1)</f>
        <v/>
      </c>
      <c r="OB18">
        <f>IF('計算A'!EO$106=1,IN18,1)</f>
        <v/>
      </c>
      <c r="OC18">
        <f>IF('計算A'!EP$106=1,IO18,1)</f>
        <v/>
      </c>
      <c r="OD18" t="n">
        <v>1</v>
      </c>
      <c r="OF18">
        <f>IF($B18=0,1000000,IF(INDEX('計算A'!$D$60:$EQ$104,$B18,1)*DB18=1,IF(AND($E18=2,IQ18=0),1000000,IF($I18&gt;0,IF(1=$J18,IF(OR(AND(1=$I18+1,OR($K18&lt;&gt;'計算A'!$A$3,'計算A'!$A$4=0)),AND(1=$I18-1,OR(1&lt;&gt;'計算A'!$A$3,'計算A'!$A$4=0))),0,IF(1=$K18,200000,ABS(1-$K18)*100)),100000+ABS(1-$J18)*1000+10)+'計算A'!D$5*50+IF(AND($E18=1,IQ18=0),25,0),INDEX('計算A'!D$110:D$114,$F18+1)+IF(AND($E18=1,IQ18=0),1000,0)+IF($H18=1,(IF('計算A'!D$117=1,INDEX('計算A'!E$10:E$54,$B18),0))*500,0)-IF(AND($L18=1,'計算A'!D$117=1,DC18=0),300,0))),1000000))</f>
        <v/>
      </c>
      <c r="OG18">
        <f>IF($B18=0,1000000,IF(INDEX('計算A'!$D$60:$EQ$104,$B18,2)*DC18=1,IF(AND($E18=2,IR18=0),1000000,IF($I18&gt;0,IF(1=$J18,IF(OR(AND(2=$I18+1,OR($K18&lt;&gt;'計算A'!$A$3,'計算A'!$A$4=0)),AND(2=$I18-1,OR(2&lt;&gt;'計算A'!$A$3,'計算A'!$A$4=0))),0,IF(2=$K18,200000,ABS(2-$K18)*100)),100000+ABS(1-$J18)*1000+20)+'計算A'!E$5*50+IF(AND($E18=1,IR18=0),25,0),INDEX('計算A'!E$110:E$114,$F18+1)+IF(AND($E18=1,IR18=0),1000,0)+IF($H18=1,(IF('計算A'!D$117=1,INDEX('計算A'!D$10:D$54,$B18),0)+IF('計算A'!E$117=1,INDEX('計算A'!F$10:F$54,$B18),0))*500,0)-IF(AND('計算A'!D$117=1,UB18&gt;0),300,0)-IF(AND($L18=1,'計算A'!E$117=1,DD18=0),300,0))),1000000))</f>
        <v/>
      </c>
      <c r="OH18">
        <f>IF($B18=0,1000000,IF(INDEX('計算A'!$D$60:$EQ$104,$B18,3)*DD18=1,IF(AND($E18=2,IS18=0),1000000,IF($I18&gt;0,IF(1=$J18,IF(OR(AND(3=$I18+1,OR($K18&lt;&gt;'計算A'!$A$3,'計算A'!$A$4=0)),AND(3=$I18-1,OR(3&lt;&gt;'計算A'!$A$3,'計算A'!$A$4=0))),0,IF(3=$K18,200000,ABS(3-$K18)*100)),100000+ABS(1-$J18)*1000+30)+'計算A'!F$5*50+IF(AND($E18=1,IS18=0),25,0),INDEX('計算A'!F$110:F$114,$F18+1)+IF(AND($E18=1,IS18=0),1000,0)+IF($H18=1,(IF('計算A'!E$117=1,INDEX('計算A'!E$10:E$54,$B18),0)+IF('計算A'!F$117=1,INDEX('計算A'!G$10:G$54,$B18),0))*500,0)-IF(AND('計算A'!E$117=1,UC18&gt;0),300,0)-IF(AND($L18=1,'計算A'!F$117=1,DE18=0),300,0))),1000000))</f>
        <v/>
      </c>
      <c r="OI18">
        <f>IF($B18=0,1000000,IF(INDEX('計算A'!$D$60:$EQ$104,$B18,4)*DE18=1,IF(AND($E18=2,IT18=0),1000000,IF($I18&gt;0,IF(1=$J18,IF(OR(AND(4=$I18+1,OR($K18&lt;&gt;'計算A'!$A$3,'計算A'!$A$4=0)),AND(4=$I18-1,OR(4&lt;&gt;'計算A'!$A$3,'計算A'!$A$4=0))),0,IF(4=$K18,200000,ABS(4-$K18)*100)),100000+ABS(1-$J18)*1000+40)+'計算A'!G$5*50+IF(AND($E18=1,IT18=0),25,0),INDEX('計算A'!G$110:G$114,$F18+1)+IF(AND($E18=1,IT18=0),1000,0)+IF($H18=1,(IF('計算A'!F$117=1,INDEX('計算A'!F$10:F$54,$B18),0)+IF('計算A'!G$117=1,INDEX('計算A'!H$10:H$54,$B18),0))*500,0)-IF(AND('計算A'!F$117=1,UD18&gt;0),300,0)-IF(AND($L18=1,'計算A'!G$117=1,DF18=0),300,0))),1000000))</f>
        <v/>
      </c>
      <c r="OJ18">
        <f>IF($B18=0,1000000,IF(INDEX('計算A'!$D$60:$EQ$104,$B18,5)*DF18=1,IF(AND($E18=2,IU18=0),1000000,IF($I18&gt;0,IF(1=$J18,IF(OR(AND(5=$I18+1,OR($K18&lt;&gt;'計算A'!$A$3,'計算A'!$A$4=0)),AND(5=$I18-1,OR(5&lt;&gt;'計算A'!$A$3,'計算A'!$A$4=0))),0,IF(5=$K18,200000,ABS(5-$K18)*100)),100000+ABS(1-$J18)*1000+50)+'計算A'!H$5*50+IF(AND($E18=1,IU18=0),25,0),INDEX('計算A'!H$110:H$114,$F18+1)+IF(AND($E18=1,IU18=0),1000,0)+IF($H18=1,(IF('計算A'!G$117=1,INDEX('計算A'!G$10:G$54,$B18),0)+IF('計算A'!H$117=1,INDEX('計算A'!I$10:I$54,$B18),0))*500,0)-IF(AND('計算A'!G$117=1,UE18&gt;0),300,0)-IF(AND($L18=1,'計算A'!H$117=1,DG18=0),300,0))),1000000))</f>
        <v/>
      </c>
      <c r="OK18">
        <f>IF($B18=0,1000000,IF(INDEX('計算A'!$D$60:$EQ$104,$B18,6)*DG18=1,IF(AND($E18=2,IV18=0),1000000,IF($I18&gt;0,IF(1=$J18,IF(OR(AND(6=$I18+1,OR($K18&lt;&gt;'計算A'!$A$3,'計算A'!$A$4=0)),AND(6=$I18-1,OR(6&lt;&gt;'計算A'!$A$3,'計算A'!$A$4=0))),0,IF(6=$K18,200000,ABS(6-$K18)*100)),100000+ABS(1-$J18)*1000+60)+'計算A'!I$5*50+IF(AND($E18=1,IV18=0),25,0),INDEX('計算A'!I$110:I$114,$F18+1)+IF(AND($E18=1,IV18=0),1000,0)+IF($H18=1,(IF('計算A'!H$117=1,INDEX('計算A'!H$10:H$54,$B18),0)+IF('計算A'!I$117=1,INDEX('計算A'!J$10:J$54,$B18),0))*500,0)-IF(AND('計算A'!H$117=1,UF18&gt;0),300,0)-IF(AND($L18=1,'計算A'!I$117=1,DH18=0),300,0))),1000000))</f>
        <v/>
      </c>
      <c r="OL18">
        <f>IF($B18=0,1000000,IF(INDEX('計算A'!$D$60:$EQ$104,$B18,7)*DH18=1,IF(AND($E18=2,IW18=0),1000000,IF($I18&gt;0,IF(1=$J18,IF(OR(AND(7=$I18+1,OR($K18&lt;&gt;'計算A'!$A$3,'計算A'!$A$4=0)),AND(7=$I18-1,OR(7&lt;&gt;'計算A'!$A$3,'計算A'!$A$4=0))),0,IF(7=$K18,200000,ABS(7-$K18)*100)),100000+ABS(1-$J18)*1000+70)+'計算A'!J$5*50+IF(AND($E18=1,IW18=0),25,0),INDEX('計算A'!J$110:J$114,$F18+1)+IF(AND($E18=1,IW18=0),1000,0)+IF($H18=1,(IF('計算A'!I$117=1,INDEX('計算A'!I$10:I$54,$B18),0)+IF('計算A'!J$117=1,INDEX('計算A'!K$10:K$54,$B18),0))*500,0)-IF(AND('計算A'!I$117=1,UG18&gt;0),300,0)-IF(AND($L18=1,'計算A'!J$117=1,DI18=0),300,0))),1000000))</f>
        <v/>
      </c>
      <c r="OM18">
        <f>IF($B18=0,1000000,IF(INDEX('計算A'!$D$60:$EQ$104,$B18,8)*DI18=1,IF(AND($E18=2,IX18=0),1000000,IF($I18&gt;0,IF(1=$J18,IF(OR(AND(8=$I18+1,OR($K18&lt;&gt;'計算A'!$A$3,'計算A'!$A$4=0)),AND(8=$I18-1,OR(8&lt;&gt;'計算A'!$A$3,'計算A'!$A$4=0))),0,IF(8=$K18,200000,ABS(8-$K18)*100)),100000+ABS(1-$J18)*1000+80)+'計算A'!K$5*50+IF(AND($E18=1,IX18=0),25,0),INDEX('計算A'!K$110:K$114,$F18+1)+IF(AND($E18=1,IX18=0),1000,0)+IF($H18=1,(IF('計算A'!J$117=1,INDEX('計算A'!J$10:J$54,$B18),0)+IF('計算A'!K$117=1,INDEX('計算A'!L$10:L$54,$B18),0))*500,0)-IF(AND('計算A'!J$117=1,UH18&gt;0),300,0)-IF(AND($L18=1,'計算A'!K$117=1,DJ18=0),300,0))),1000000))</f>
        <v/>
      </c>
      <c r="ON18">
        <f>IF($B18=0,1000000,IF(INDEX('計算A'!$D$60:$EQ$104,$B18,9)*DJ18=1,IF(AND($E18=2,IY18=0),1000000,IF($I18&gt;0,IF(1=$J18,IF(OR(AND(9=$I18+1,OR($K18&lt;&gt;'計算A'!$A$3,'計算A'!$A$4=0)),AND(9=$I18-1,OR(9&lt;&gt;'計算A'!$A$3,'計算A'!$A$4=0))),0,IF(9=$K18,200000,ABS(9-$K18)*100)),100000+ABS(1-$J18)*1000+90)+'計算A'!L$5*50+IF(AND($E18=1,IY18=0),25,0),INDEX('計算A'!L$110:L$114,$F18+1)+IF(AND($E18=1,IY18=0),1000,0)+IF($H18=1,(IF('計算A'!K$117=1,INDEX('計算A'!K$10:K$54,$B18),0)+IF('計算A'!L$117=1,INDEX('計算A'!M$10:M$54,$B18),0))*500,0)-IF(AND('計算A'!K$117=1,UI18&gt;0),300,0)-IF(AND($L18=1,'計算A'!L$117=1,DK18=0),300,0))),1000000))</f>
        <v/>
      </c>
      <c r="OO18">
        <f>IF($B18=0,1000000,IF(INDEX('計算A'!$D$60:$EQ$104,$B18,10)*DK18=1,IF(AND($E18=2,IZ18=0),1000000,IF($I18&gt;0,IF(1=$J18,IF(OR(AND(10=$I18+1,OR($K18&lt;&gt;'計算A'!$A$3,'計算A'!$A$4=0)),AND(10=$I18-1,OR(10&lt;&gt;'計算A'!$A$3,'計算A'!$A$4=0))),0,IF(10=$K18,200000,ABS(10-$K18)*100)),100000+ABS(1-$J18)*1000+100)+'計算A'!M$5*50+IF(AND($E18=1,IZ18=0),25,0),INDEX('計算A'!M$110:M$114,$F18+1)+IF(AND($E18=1,IZ18=0),1000,0)+IF($H18=1,(IF('計算A'!L$117=1,INDEX('計算A'!L$10:L$54,$B18),0)+IF('計算A'!M$117=1,INDEX('計算A'!N$10:N$54,$B18),0))*500,0)-IF(AND('計算A'!L$117=1,UJ18&gt;0),300,0)-IF(AND($L18=1,'計算A'!M$117=1,DL18=0),300,0))),1000000))</f>
        <v/>
      </c>
      <c r="OP18">
        <f>IF($B18=0,1000000,IF(INDEX('計算A'!$D$60:$EQ$104,$B18,11)*DL18=1,IF(AND($E18=2,JA18=0),1000000,IF($I18&gt;0,IF(1=$J18,IF(OR(AND(11=$I18+1,OR($K18&lt;&gt;'計算A'!$A$3,'計算A'!$A$4=0)),AND(11=$I18-1,OR(11&lt;&gt;'計算A'!$A$3,'計算A'!$A$4=0))),0,IF(11=$K18,200000,ABS(11-$K18)*100)),100000+ABS(1-$J18)*1000+110)+'計算A'!N$5*50+IF(AND($E18=1,JA18=0),25,0),INDEX('計算A'!N$110:N$114,$F18+1)+IF(AND($E18=1,JA18=0),1000,0)+IF($H18=1,(IF('計算A'!M$117=1,INDEX('計算A'!M$10:M$54,$B18),0)+IF('計算A'!N$117=1,INDEX('計算A'!O$10:O$54,$B18),0))*500,0)-IF(AND('計算A'!M$117=1,UK18&gt;0),300,0)-IF(AND($L18=1,'計算A'!N$117=1,DM18=0),300,0))),1000000))</f>
        <v/>
      </c>
      <c r="OQ18">
        <f>IF($B18=0,1000000,IF(INDEX('計算A'!$D$60:$EQ$104,$B18,12)*DM18=1,IF(AND($E18=2,JB18=0),1000000,IF($I18&gt;0,IF(1=$J18,IF(OR(AND(12=$I18+1,OR($K18&lt;&gt;'計算A'!$A$3,'計算A'!$A$4=0)),AND(12=$I18-1,OR(12&lt;&gt;'計算A'!$A$3,'計算A'!$A$4=0))),0,IF(12=$K18,200000,ABS(12-$K18)*100)),100000+ABS(1-$J18)*1000+120)+'計算A'!O$5*50+IF(AND($E18=1,JB18=0),25,0),INDEX('計算A'!O$110:O$114,$F18+1)+IF(AND($E18=1,JB18=0),1000,0)+IF($H18=1,(IF('計算A'!N$117=1,INDEX('計算A'!N$10:N$54,$B18),0)+IF('計算A'!O$117=1,INDEX('計算A'!P$10:P$54,$B18),0))*500,0)-IF(AND('計算A'!N$117=1,UL18&gt;0),300,0)-IF(AND($L18=1,'計算A'!O$117=1,DN18=0),300,0))),1000000))</f>
        <v/>
      </c>
      <c r="OR18">
        <f>IF($B18=0,1000000,IF(INDEX('計算A'!$D$60:$EQ$104,$B18,13)*DN18=1,IF(AND($E18=2,JC18=0),1000000,IF($I18&gt;0,IF(1=$J18,IF(OR(AND(13=$I18+1,OR($K18&lt;&gt;'計算A'!$A$3,'計算A'!$A$4=0)),AND(13=$I18-1,OR(13&lt;&gt;'計算A'!$A$3,'計算A'!$A$4=0))),0,IF(13=$K18,200000,ABS(13-$K18)*100)),100000+ABS(1-$J18)*1000+130)+'計算A'!P$5*50+IF(AND($E18=1,JC18=0),25,0),INDEX('計算A'!P$110:P$114,$F18+1)+IF(AND($E18=1,JC18=0),1000,0)+IF($H18=1,(IF('計算A'!O$117=1,INDEX('計算A'!O$10:O$54,$B18),0)+IF('計算A'!P$117=1,INDEX('計算A'!Q$10:Q$54,$B18),0))*500,0)-IF(AND('計算A'!O$117=1,UM18&gt;0),300,0)-IF(AND($L18=1,'計算A'!P$117=1,DO18=0),300,0))),1000000))</f>
        <v/>
      </c>
      <c r="OS18">
        <f>IF($B18=0,1000000,IF(INDEX('計算A'!$D$60:$EQ$104,$B18,14)*DO18=1,IF(AND($E18=2,JD18=0),1000000,IF($I18&gt;0,IF(1=$J18,IF(OR(AND(14=$I18+1,OR($K18&lt;&gt;'計算A'!$A$3,'計算A'!$A$4=0)),AND(14=$I18-1,OR(14&lt;&gt;'計算A'!$A$3,'計算A'!$A$4=0))),0,IF(14=$K18,200000,ABS(14-$K18)*100)),100000+ABS(1-$J18)*1000+140)+'計算A'!Q$5*50+IF(AND($E18=1,JD18=0),25,0),INDEX('計算A'!Q$110:Q$114,$F18+1)+IF(AND($E18=1,JD18=0),1000,0)+IF($H18=1,(IF('計算A'!P$117=1,INDEX('計算A'!P$10:P$54,$B18),0)+IF('計算A'!Q$117=1,INDEX('計算A'!R$10:R$54,$B18),0))*500,0)-IF(AND('計算A'!P$117=1,UN18&gt;0),300,0)-IF(AND($L18=1,'計算A'!Q$117=1,DP18=0),300,0))),1000000))</f>
        <v/>
      </c>
      <c r="OT18">
        <f>IF($B18=0,1000000,IF(INDEX('計算A'!$D$60:$EQ$104,$B18,15)*DP18=1,IF(AND($E18=2,JE18=0),1000000,IF($I18&gt;0,IF(1=$J18,IF(OR(AND(15=$I18+1,OR($K18&lt;&gt;'計算A'!$A$3,'計算A'!$A$4=0)),AND(15=$I18-1,OR(15&lt;&gt;'計算A'!$A$3,'計算A'!$A$4=0))),0,IF(15=$K18,200000,ABS(15-$K18)*100)),100000+ABS(1-$J18)*1000+150)+'計算A'!R$5*50+IF(AND($E18=1,JE18=0),25,0),INDEX('計算A'!R$110:R$114,$F18+1)+IF(AND($E18=1,JE18=0),1000,0)+IF($H18=1,(IF('計算A'!Q$117=1,INDEX('計算A'!Q$10:Q$54,$B18),0)+IF('計算A'!R$117=1,INDEX('計算A'!S$10:S$54,$B18),0))*500,0)-IF(AND('計算A'!Q$117=1,UO18&gt;0),300,0)-IF(AND($L18=1,'計算A'!R$117=1,DQ18=0),300,0))),1000000))</f>
        <v/>
      </c>
      <c r="OU18">
        <f>IF($B18=0,1000000,IF(INDEX('計算A'!$D$60:$EQ$104,$B18,16)*DQ18=1,IF(AND($E18=2,JF18=0),1000000,IF($I18&gt;0,IF(1=$J18,IF(OR(AND(16=$I18+1,OR($K18&lt;&gt;'計算A'!$A$3,'計算A'!$A$4=0)),AND(16=$I18-1,OR(16&lt;&gt;'計算A'!$A$3,'計算A'!$A$4=0))),0,IF(16=$K18,200000,ABS(16-$K18)*100)),100000+ABS(1-$J18)*1000+160)+'計算A'!S$5*50+IF(AND($E18=1,JF18=0),25,0),INDEX('計算A'!S$110:S$114,$F18+1)+IF(AND($E18=1,JF18=0),1000,0)+IF($H18=1,(IF('計算A'!R$117=1,INDEX('計算A'!R$10:R$54,$B18),0)+IF('計算A'!S$117=1,INDEX('計算A'!T$10:T$54,$B18),0))*500,0)-IF(AND('計算A'!R$117=1,UP18&gt;0),300,0)-IF(AND($L18=1,'計算A'!S$117=1,DR18=0),300,0))),1000000))</f>
        <v/>
      </c>
      <c r="OV18">
        <f>IF($B18=0,1000000,IF(INDEX('計算A'!$D$60:$EQ$104,$B18,17)*DR18=1,IF(AND($E18=2,JG18=0),1000000,IF($I18&gt;0,IF(1=$J18,IF(OR(AND(17=$I18+1,OR($K18&lt;&gt;'計算A'!$A$3,'計算A'!$A$4=0)),AND(17=$I18-1,OR(17&lt;&gt;'計算A'!$A$3,'計算A'!$A$4=0))),0,IF(17=$K18,200000,ABS(17-$K18)*100)),100000+ABS(1-$J18)*1000+170)+'計算A'!T$5*50+IF(AND($E18=1,JG18=0),25,0),INDEX('計算A'!T$110:T$114,$F18+1)+IF(AND($E18=1,JG18=0),1000,0)+IF($H18=1,(IF('計算A'!S$117=1,INDEX('計算A'!S$10:S$54,$B18),0)+IF('計算A'!T$117=1,INDEX('計算A'!U$10:U$54,$B18),0))*500,0)-IF(AND('計算A'!S$117=1,UQ18&gt;0),300,0)-IF(AND($L18=1,'計算A'!T$117=1,DS18=0),300,0))),1000000))</f>
        <v/>
      </c>
      <c r="OW18">
        <f>IF($B18=0,1000000,IF(INDEX('計算A'!$D$60:$EQ$104,$B18,18)*DS18=1,IF(AND($E18=2,JH18=0),1000000,IF($I18&gt;0,IF(1=$J18,IF(OR(AND(18=$I18+1,OR($K18&lt;&gt;'計算A'!$A$3,'計算A'!$A$4=0)),AND(18=$I18-1,OR(18&lt;&gt;'計算A'!$A$3,'計算A'!$A$4=0))),0,IF(18=$K18,200000,ABS(18-$K18)*100)),100000+ABS(1-$J18)*1000+180)+'計算A'!U$5*50+IF(AND($E18=1,JH18=0),25,0),INDEX('計算A'!U$110:U$114,$F18+1)+IF(AND($E18=1,JH18=0),1000,0)+IF($H18=1,(IF('計算A'!T$117=1,INDEX('計算A'!T$10:T$54,$B18),0)+IF('計算A'!U$117=1,INDEX('計算A'!V$10:V$54,$B18),0))*500,0)-IF(AND('計算A'!T$117=1,UR18&gt;0),300,0)-IF(AND($L18=1,'計算A'!U$117=1,DT18=0),300,0))),1000000))</f>
        <v/>
      </c>
      <c r="OX18">
        <f>IF($B18=0,1000000,IF(INDEX('計算A'!$D$60:$EQ$104,$B18,19)*DT18=1,IF(AND($E18=2,JI18=0),1000000,IF($I18&gt;0,IF(1=$J18,IF(OR(AND(19=$I18+1,OR($K18&lt;&gt;'計算A'!$A$3,'計算A'!$A$4=0)),AND(19=$I18-1,OR(19&lt;&gt;'計算A'!$A$3,'計算A'!$A$4=0))),0,IF(19=$K18,200000,ABS(19-$K18)*100)),100000+ABS(1-$J18)*1000+190)+'計算A'!V$5*50+IF(AND($E18=1,JI18=0),25,0),INDEX('計算A'!V$110:V$114,$F18+1)+IF(AND($E18=1,JI18=0),1000,0)+IF($H18=1,(IF('計算A'!U$117=1,INDEX('計算A'!U$10:U$54,$B18),0)+IF('計算A'!V$117=1,INDEX('計算A'!W$10:W$54,$B18),0))*500,0)-IF(AND('計算A'!U$117=1,US18&gt;0),300,0)-IF(AND($L18=1,'計算A'!V$117=1,DU18=0),300,0))),1000000))</f>
        <v/>
      </c>
      <c r="OY18">
        <f>IF($B18=0,1000000,IF(INDEX('計算A'!$D$60:$EQ$104,$B18,20)*DU18=1,IF(AND($E18=2,JJ18=0),1000000,IF($I18&gt;0,IF(1=$J18,IF(OR(AND(20=$I18+1,OR($K18&lt;&gt;'計算A'!$A$3,'計算A'!$A$4=0)),AND(20=$I18-1,OR(20&lt;&gt;'計算A'!$A$3,'計算A'!$A$4=0))),0,IF(20=$K18,200000,ABS(20-$K18)*100)),100000+ABS(1-$J18)*1000+200)+'計算A'!W$5*50+IF(AND($E18=1,JJ18=0),25,0),INDEX('計算A'!W$110:W$114,$F18+1)+IF(AND($E18=1,JJ18=0),1000,0)+IF($H18=1,(IF('計算A'!V$117=1,INDEX('計算A'!V$10:V$54,$B18),0)+IF('計算A'!W$117=1,INDEX('計算A'!X$10:X$54,$B18),0))*500,0)-IF(AND('計算A'!V$117=1,UT18&gt;0),300,0)-IF(AND($L18=1,'計算A'!W$117=1,DV18=0),300,0))),1000000))</f>
        <v/>
      </c>
      <c r="OZ18">
        <f>IF($B18=0,1000000,IF(INDEX('計算A'!$D$60:$EQ$104,$B18,21)*DV18=1,IF(AND($E18=2,JK18=0),1000000,IF($I18&gt;0,IF(1=$J18,IF(OR(AND(21=$I18+1,OR($K18&lt;&gt;'計算A'!$A$3,'計算A'!$A$4=0)),AND(21=$I18-1,OR(21&lt;&gt;'計算A'!$A$3,'計算A'!$A$4=0))),0,IF(21=$K18,200000,ABS(21-$K18)*100)),100000+ABS(1-$J18)*1000+210)+'計算A'!X$5*50+IF(AND($E18=1,JK18=0),25,0),INDEX('計算A'!X$110:X$114,$F18+1)+IF(AND($E18=1,JK18=0),1000,0)+IF($H18=1,(IF('計算A'!W$117=1,INDEX('計算A'!W$10:W$54,$B18),0)+IF('計算A'!X$117=1,INDEX('計算A'!Y$10:Y$54,$B18),0))*500,0)-IF(AND('計算A'!W$117=1,UU18&gt;0),300,0)-IF(AND($L18=1,'計算A'!X$117=1,DW18=0),300,0))),1000000))</f>
        <v/>
      </c>
      <c r="PA18">
        <f>IF($B18=0,1000000,IF(INDEX('計算A'!$D$60:$EQ$104,$B18,22)*DW18=1,IF(AND($E18=2,JL18=0),1000000,IF($I18&gt;0,IF(1=$J18,IF(OR(AND(22=$I18+1,OR($K18&lt;&gt;'計算A'!$A$3,'計算A'!$A$4=0)),AND(22=$I18-1,OR(22&lt;&gt;'計算A'!$A$3,'計算A'!$A$4=0))),0,IF(22=$K18,200000,ABS(22-$K18)*100)),100000+ABS(1-$J18)*1000+220)+'計算A'!Y$5*50+IF(AND($E18=1,JL18=0),25,0),INDEX('計算A'!Y$110:Y$114,$F18+1)+IF(AND($E18=1,JL18=0),1000,0)+IF($H18=1,(IF('計算A'!X$117=1,INDEX('計算A'!X$10:X$54,$B18),0)+IF('計算A'!Y$117=1,INDEX('計算A'!Z$10:Z$54,$B18),0))*500,0)-IF(AND('計算A'!X$117=1,UV18&gt;0),300,0)-IF(AND($L18=1,'計算A'!Y$117=1,DX18=0),300,0))),1000000))</f>
        <v/>
      </c>
      <c r="PB18">
        <f>IF($B18=0,1000000,IF(INDEX('計算A'!$D$60:$EQ$104,$B18,23)*DX18=1,IF(AND($E18=2,JM18=0),1000000,IF($I18&gt;0,IF(1=$J18,IF(OR(AND(23=$I18+1,OR($K18&lt;&gt;'計算A'!$A$3,'計算A'!$A$4=0)),AND(23=$I18-1,OR(23&lt;&gt;'計算A'!$A$3,'計算A'!$A$4=0))),0,IF(23=$K18,200000,ABS(23-$K18)*100)),100000+ABS(1-$J18)*1000+230)+'計算A'!Z$5*50+IF(AND($E18=1,JM18=0),25,0),INDEX('計算A'!Z$110:Z$114,$F18+1)+IF(AND($E18=1,JM18=0),1000,0)+IF($H18=1,(IF('計算A'!Y$117=1,INDEX('計算A'!Y$10:Y$54,$B18),0)+IF('計算A'!Z$117=1,INDEX('計算A'!AA$10:AA$54,$B18),0))*500,0)-IF(AND('計算A'!Y$117=1,UW18&gt;0),300,0)-IF(AND($L18=1,'計算A'!Z$117=1,DY18=0),300,0))),1000000))</f>
        <v/>
      </c>
      <c r="PC18">
        <f>IF($B18=0,1000000,IF(INDEX('計算A'!$D$60:$EQ$104,$B18,24)*DY18=1,IF(AND($E18=2,JN18=0),1000000,IF($I18&gt;0,IF(1=$J18,IF(OR(AND(24=$I18+1,OR($K18&lt;&gt;'計算A'!$A$3,'計算A'!$A$4=0)),AND(24=$I18-1,OR(24&lt;&gt;'計算A'!$A$3,'計算A'!$A$4=0))),0,IF(24=$K18,200000,ABS(24-$K18)*100)),100000+ABS(1-$J18)*1000+240)+'計算A'!AA$5*50+IF(AND($E18=1,JN18=0),25,0),INDEX('計算A'!AA$110:AA$114,$F18+1)+IF(AND($E18=1,JN18=0),1000,0)+IF($H18=1,(IF('計算A'!Z$117=1,INDEX('計算A'!Z$10:Z$54,$B18),0))*500,0)-IF(AND('計算A'!Z$117=1,UX18&gt;0),300,0))),1000000))</f>
        <v/>
      </c>
      <c r="PD18">
        <f>IF($B18=0,1000000,IF(INDEX('計算A'!$D$60:$EQ$104,$B18,25)*DZ18=1,IF(AND($E18=2,JO18=0),1000000,IF($I18&gt;0,IF(2=$J18,IF(OR(AND(25=$I18+1,OR($K18&lt;&gt;'計算A'!$A$3,'計算A'!$A$4=0)),AND(25=$I18-1,OR(1&lt;&gt;'計算A'!$A$3,'計算A'!$A$4=0))),0,IF(1=$K18,200000,ABS(1-$K18)*100)),100000+ABS(2-$J18)*1000+10)+'計算A'!AB$5*50+IF(AND($E18=1,JO18=0),25,0),INDEX('計算A'!AB$110:AB$114,$F18+1)+IF(AND($E18=1,JO18=0),1000,0)+IF($H18=1,(IF('計算A'!AB$117=1,INDEX('計算A'!AC$10:AC$54,$B18),0))*500,0)-IF(AND($L18=1,'計算A'!AB$117=1,EA18=0),300,0))),1000000))</f>
        <v/>
      </c>
      <c r="PE18">
        <f>IF($B18=0,1000000,IF(INDEX('計算A'!$D$60:$EQ$104,$B18,26)*EA18=1,IF(AND($E18=2,JP18=0),1000000,IF($I18&gt;0,IF(2=$J18,IF(OR(AND(26=$I18+1,OR($K18&lt;&gt;'計算A'!$A$3,'計算A'!$A$4=0)),AND(26=$I18-1,OR(2&lt;&gt;'計算A'!$A$3,'計算A'!$A$4=0))),0,IF(2=$K18,200000,ABS(2-$K18)*100)),100000+ABS(2-$J18)*1000+20)+'計算A'!AC$5*50+IF(AND($E18=1,JP18=0),25,0),INDEX('計算A'!AC$110:AC$114,$F18+1)+IF(AND($E18=1,JP18=0),1000,0)+IF($H18=1,(IF('計算A'!AB$117=1,INDEX('計算A'!AB$10:AB$54,$B18),0)+IF('計算A'!AC$117=1,INDEX('計算A'!AD$10:AD$54,$B18),0))*500,0)-IF(AND('計算A'!AB$117=1,UZ18&gt;0),300,0)-IF(AND($L18=1,'計算A'!AC$117=1,EB18=0),300,0))),1000000))</f>
        <v/>
      </c>
      <c r="PF18">
        <f>IF($B18=0,1000000,IF(INDEX('計算A'!$D$60:$EQ$104,$B18,27)*EB18=1,IF(AND($E18=2,JQ18=0),1000000,IF($I18&gt;0,IF(2=$J18,IF(OR(AND(27=$I18+1,OR($K18&lt;&gt;'計算A'!$A$3,'計算A'!$A$4=0)),AND(27=$I18-1,OR(3&lt;&gt;'計算A'!$A$3,'計算A'!$A$4=0))),0,IF(3=$K18,200000,ABS(3-$K18)*100)),100000+ABS(2-$J18)*1000+30)+'計算A'!AD$5*50+IF(AND($E18=1,JQ18=0),25,0),INDEX('計算A'!AD$110:AD$114,$F18+1)+IF(AND($E18=1,JQ18=0),1000,0)+IF($H18=1,(IF('計算A'!AC$117=1,INDEX('計算A'!AC$10:AC$54,$B18),0)+IF('計算A'!AD$117=1,INDEX('計算A'!AE$10:AE$54,$B18),0))*500,0)-IF(AND('計算A'!AC$117=1,VA18&gt;0),300,0)-IF(AND($L18=1,'計算A'!AD$117=1,EC18=0),300,0))),1000000))</f>
        <v/>
      </c>
      <c r="PG18">
        <f>IF($B18=0,1000000,IF(INDEX('計算A'!$D$60:$EQ$104,$B18,28)*EC18=1,IF(AND($E18=2,JR18=0),1000000,IF($I18&gt;0,IF(2=$J18,IF(OR(AND(28=$I18+1,OR($K18&lt;&gt;'計算A'!$A$3,'計算A'!$A$4=0)),AND(28=$I18-1,OR(4&lt;&gt;'計算A'!$A$3,'計算A'!$A$4=0))),0,IF(4=$K18,200000,ABS(4-$K18)*100)),100000+ABS(2-$J18)*1000+40)+'計算A'!AE$5*50+IF(AND($E18=1,JR18=0),25,0),INDEX('計算A'!AE$110:AE$114,$F18+1)+IF(AND($E18=1,JR18=0),1000,0)+IF($H18=1,(IF('計算A'!AD$117=1,INDEX('計算A'!AD$10:AD$54,$B18),0)+IF('計算A'!AE$117=1,INDEX('計算A'!AF$10:AF$54,$B18),0))*500,0)-IF(AND('計算A'!AD$117=1,VB18&gt;0),300,0)-IF(AND($L18=1,'計算A'!AE$117=1,ED18=0),300,0))),1000000))</f>
        <v/>
      </c>
      <c r="PH18">
        <f>IF($B18=0,1000000,IF(INDEX('計算A'!$D$60:$EQ$104,$B18,29)*ED18=1,IF(AND($E18=2,JS18=0),1000000,IF($I18&gt;0,IF(2=$J18,IF(OR(AND(29=$I18+1,OR($K18&lt;&gt;'計算A'!$A$3,'計算A'!$A$4=0)),AND(29=$I18-1,OR(5&lt;&gt;'計算A'!$A$3,'計算A'!$A$4=0))),0,IF(5=$K18,200000,ABS(5-$K18)*100)),100000+ABS(2-$J18)*1000+50)+'計算A'!AF$5*50+IF(AND($E18=1,JS18=0),25,0),INDEX('計算A'!AF$110:AF$114,$F18+1)+IF(AND($E18=1,JS18=0),1000,0)+IF($H18=1,(IF('計算A'!AE$117=1,INDEX('計算A'!AE$10:AE$54,$B18),0)+IF('計算A'!AF$117=1,INDEX('計算A'!AG$10:AG$54,$B18),0))*500,0)-IF(AND('計算A'!AE$117=1,VC18&gt;0),300,0)-IF(AND($L18=1,'計算A'!AF$117=1,EE18=0),300,0))),1000000))</f>
        <v/>
      </c>
      <c r="PI18">
        <f>IF($B18=0,1000000,IF(INDEX('計算A'!$D$60:$EQ$104,$B18,30)*EE18=1,IF(AND($E18=2,JT18=0),1000000,IF($I18&gt;0,IF(2=$J18,IF(OR(AND(30=$I18+1,OR($K18&lt;&gt;'計算A'!$A$3,'計算A'!$A$4=0)),AND(30=$I18-1,OR(6&lt;&gt;'計算A'!$A$3,'計算A'!$A$4=0))),0,IF(6=$K18,200000,ABS(6-$K18)*100)),100000+ABS(2-$J18)*1000+60)+'計算A'!AG$5*50+IF(AND($E18=1,JT18=0),25,0),INDEX('計算A'!AG$110:AG$114,$F18+1)+IF(AND($E18=1,JT18=0),1000,0)+IF($H18=1,(IF('計算A'!AF$117=1,INDEX('計算A'!AF$10:AF$54,$B18),0)+IF('計算A'!AG$117=1,INDEX('計算A'!AH$10:AH$54,$B18),0))*500,0)-IF(AND('計算A'!AF$117=1,VD18&gt;0),300,0)-IF(AND($L18=1,'計算A'!AG$117=1,EF18=0),300,0))),1000000))</f>
        <v/>
      </c>
      <c r="PJ18">
        <f>IF($B18=0,1000000,IF(INDEX('計算A'!$D$60:$EQ$104,$B18,31)*EF18=1,IF(AND($E18=2,JU18=0),1000000,IF($I18&gt;0,IF(2=$J18,IF(OR(AND(31=$I18+1,OR($K18&lt;&gt;'計算A'!$A$3,'計算A'!$A$4=0)),AND(31=$I18-1,OR(7&lt;&gt;'計算A'!$A$3,'計算A'!$A$4=0))),0,IF(7=$K18,200000,ABS(7-$K18)*100)),100000+ABS(2-$J18)*1000+70)+'計算A'!AH$5*50+IF(AND($E18=1,JU18=0),25,0),INDEX('計算A'!AH$110:AH$114,$F18+1)+IF(AND($E18=1,JU18=0),1000,0)+IF($H18=1,(IF('計算A'!AG$117=1,INDEX('計算A'!AG$10:AG$54,$B18),0)+IF('計算A'!AH$117=1,INDEX('計算A'!AI$10:AI$54,$B18),0))*500,0)-IF(AND('計算A'!AG$117=1,VE18&gt;0),300,0)-IF(AND($L18=1,'計算A'!AH$117=1,EG18=0),300,0))),1000000))</f>
        <v/>
      </c>
      <c r="PK18">
        <f>IF($B18=0,1000000,IF(INDEX('計算A'!$D$60:$EQ$104,$B18,32)*EG18=1,IF(AND($E18=2,JV18=0),1000000,IF($I18&gt;0,IF(2=$J18,IF(OR(AND(32=$I18+1,OR($K18&lt;&gt;'計算A'!$A$3,'計算A'!$A$4=0)),AND(32=$I18-1,OR(8&lt;&gt;'計算A'!$A$3,'計算A'!$A$4=0))),0,IF(8=$K18,200000,ABS(8-$K18)*100)),100000+ABS(2-$J18)*1000+80)+'計算A'!AI$5*50+IF(AND($E18=1,JV18=0),25,0),INDEX('計算A'!AI$110:AI$114,$F18+1)+IF(AND($E18=1,JV18=0),1000,0)+IF($H18=1,(IF('計算A'!AH$117=1,INDEX('計算A'!AH$10:AH$54,$B18),0)+IF('計算A'!AI$117=1,INDEX('計算A'!AJ$10:AJ$54,$B18),0))*500,0)-IF(AND('計算A'!AH$117=1,VF18&gt;0),300,0)-IF(AND($L18=1,'計算A'!AI$117=1,EH18=0),300,0))),1000000))</f>
        <v/>
      </c>
      <c r="PL18">
        <f>IF($B18=0,1000000,IF(INDEX('計算A'!$D$60:$EQ$104,$B18,33)*EH18=1,IF(AND($E18=2,JW18=0),1000000,IF($I18&gt;0,IF(2=$J18,IF(OR(AND(33=$I18+1,OR($K18&lt;&gt;'計算A'!$A$3,'計算A'!$A$4=0)),AND(33=$I18-1,OR(9&lt;&gt;'計算A'!$A$3,'計算A'!$A$4=0))),0,IF(9=$K18,200000,ABS(9-$K18)*100)),100000+ABS(2-$J18)*1000+90)+'計算A'!AJ$5*50+IF(AND($E18=1,JW18=0),25,0),INDEX('計算A'!AJ$110:AJ$114,$F18+1)+IF(AND($E18=1,JW18=0),1000,0)+IF($H18=1,(IF('計算A'!AI$117=1,INDEX('計算A'!AI$10:AI$54,$B18),0)+IF('計算A'!AJ$117=1,INDEX('計算A'!AK$10:AK$54,$B18),0))*500,0)-IF(AND('計算A'!AI$117=1,VG18&gt;0),300,0)-IF(AND($L18=1,'計算A'!AJ$117=1,EI18=0),300,0))),1000000))</f>
        <v/>
      </c>
      <c r="PM18">
        <f>IF($B18=0,1000000,IF(INDEX('計算A'!$D$60:$EQ$104,$B18,34)*EI18=1,IF(AND($E18=2,JX18=0),1000000,IF($I18&gt;0,IF(2=$J18,IF(OR(AND(34=$I18+1,OR($K18&lt;&gt;'計算A'!$A$3,'計算A'!$A$4=0)),AND(34=$I18-1,OR(10&lt;&gt;'計算A'!$A$3,'計算A'!$A$4=0))),0,IF(10=$K18,200000,ABS(10-$K18)*100)),100000+ABS(2-$J18)*1000+100)+'計算A'!AK$5*50+IF(AND($E18=1,JX18=0),25,0),INDEX('計算A'!AK$110:AK$114,$F18+1)+IF(AND($E18=1,JX18=0),1000,0)+IF($H18=1,(IF('計算A'!AJ$117=1,INDEX('計算A'!AJ$10:AJ$54,$B18),0)+IF('計算A'!AK$117=1,INDEX('計算A'!AL$10:AL$54,$B18),0))*500,0)-IF(AND('計算A'!AJ$117=1,VH18&gt;0),300,0)-IF(AND($L18=1,'計算A'!AK$117=1,EJ18=0),300,0))),1000000))</f>
        <v/>
      </c>
      <c r="PN18">
        <f>IF($B18=0,1000000,IF(INDEX('計算A'!$D$60:$EQ$104,$B18,35)*EJ18=1,IF(AND($E18=2,JY18=0),1000000,IF($I18&gt;0,IF(2=$J18,IF(OR(AND(35=$I18+1,OR($K18&lt;&gt;'計算A'!$A$3,'計算A'!$A$4=0)),AND(35=$I18-1,OR(11&lt;&gt;'計算A'!$A$3,'計算A'!$A$4=0))),0,IF(11=$K18,200000,ABS(11-$K18)*100)),100000+ABS(2-$J18)*1000+110)+'計算A'!AL$5*50+IF(AND($E18=1,JY18=0),25,0),INDEX('計算A'!AL$110:AL$114,$F18+1)+IF(AND($E18=1,JY18=0),1000,0)+IF($H18=1,(IF('計算A'!AK$117=1,INDEX('計算A'!AK$10:AK$54,$B18),0)+IF('計算A'!AL$117=1,INDEX('計算A'!AM$10:AM$54,$B18),0))*500,0)-IF(AND('計算A'!AK$117=1,VI18&gt;0),300,0)-IF(AND($L18=1,'計算A'!AL$117=1,EK18=0),300,0))),1000000))</f>
        <v/>
      </c>
      <c r="PO18">
        <f>IF($B18=0,1000000,IF(INDEX('計算A'!$D$60:$EQ$104,$B18,36)*EK18=1,IF(AND($E18=2,JZ18=0),1000000,IF($I18&gt;0,IF(2=$J18,IF(OR(AND(36=$I18+1,OR($K18&lt;&gt;'計算A'!$A$3,'計算A'!$A$4=0)),AND(36=$I18-1,OR(12&lt;&gt;'計算A'!$A$3,'計算A'!$A$4=0))),0,IF(12=$K18,200000,ABS(12-$K18)*100)),100000+ABS(2-$J18)*1000+120)+'計算A'!AM$5*50+IF(AND($E18=1,JZ18=0),25,0),INDEX('計算A'!AM$110:AM$114,$F18+1)+IF(AND($E18=1,JZ18=0),1000,0)+IF($H18=1,(IF('計算A'!AL$117=1,INDEX('計算A'!AL$10:AL$54,$B18),0)+IF('計算A'!AM$117=1,INDEX('計算A'!AN$10:AN$54,$B18),0))*500,0)-IF(AND('計算A'!AL$117=1,VJ18&gt;0),300,0)-IF(AND($L18=1,'計算A'!AM$117=1,EL18=0),300,0))),1000000))</f>
        <v/>
      </c>
      <c r="PP18">
        <f>IF($B18=0,1000000,IF(INDEX('計算A'!$D$60:$EQ$104,$B18,37)*EL18=1,IF(AND($E18=2,KA18=0),1000000,IF($I18&gt;0,IF(2=$J18,IF(OR(AND(37=$I18+1,OR($K18&lt;&gt;'計算A'!$A$3,'計算A'!$A$4=0)),AND(37=$I18-1,OR(13&lt;&gt;'計算A'!$A$3,'計算A'!$A$4=0))),0,IF(13=$K18,200000,ABS(13-$K18)*100)),100000+ABS(2-$J18)*1000+130)+'計算A'!AN$5*50+IF(AND($E18=1,KA18=0),25,0),INDEX('計算A'!AN$110:AN$114,$F18+1)+IF(AND($E18=1,KA18=0),1000,0)+IF($H18=1,(IF('計算A'!AM$117=1,INDEX('計算A'!AM$10:AM$54,$B18),0)+IF('計算A'!AN$117=1,INDEX('計算A'!AO$10:AO$54,$B18),0))*500,0)-IF(AND('計算A'!AM$117=1,VK18&gt;0),300,0)-IF(AND($L18=1,'計算A'!AN$117=1,EM18=0),300,0))),1000000))</f>
        <v/>
      </c>
      <c r="PQ18">
        <f>IF($B18=0,1000000,IF(INDEX('計算A'!$D$60:$EQ$104,$B18,38)*EM18=1,IF(AND($E18=2,KB18=0),1000000,IF($I18&gt;0,IF(2=$J18,IF(OR(AND(38=$I18+1,OR($K18&lt;&gt;'計算A'!$A$3,'計算A'!$A$4=0)),AND(38=$I18-1,OR(14&lt;&gt;'計算A'!$A$3,'計算A'!$A$4=0))),0,IF(14=$K18,200000,ABS(14-$K18)*100)),100000+ABS(2-$J18)*1000+140)+'計算A'!AO$5*50+IF(AND($E18=1,KB18=0),25,0),INDEX('計算A'!AO$110:AO$114,$F18+1)+IF(AND($E18=1,KB18=0),1000,0)+IF($H18=1,(IF('計算A'!AN$117=1,INDEX('計算A'!AN$10:AN$54,$B18),0)+IF('計算A'!AO$117=1,INDEX('計算A'!AP$10:AP$54,$B18),0))*500,0)-IF(AND('計算A'!AN$117=1,VL18&gt;0),300,0)-IF(AND($L18=1,'計算A'!AO$117=1,EN18=0),300,0))),1000000))</f>
        <v/>
      </c>
      <c r="PR18">
        <f>IF($B18=0,1000000,IF(INDEX('計算A'!$D$60:$EQ$104,$B18,39)*EN18=1,IF(AND($E18=2,KC18=0),1000000,IF($I18&gt;0,IF(2=$J18,IF(OR(AND(39=$I18+1,OR($K18&lt;&gt;'計算A'!$A$3,'計算A'!$A$4=0)),AND(39=$I18-1,OR(15&lt;&gt;'計算A'!$A$3,'計算A'!$A$4=0))),0,IF(15=$K18,200000,ABS(15-$K18)*100)),100000+ABS(2-$J18)*1000+150)+'計算A'!AP$5*50+IF(AND($E18=1,KC18=0),25,0),INDEX('計算A'!AP$110:AP$114,$F18+1)+IF(AND($E18=1,KC18=0),1000,0)+IF($H18=1,(IF('計算A'!AO$117=1,INDEX('計算A'!AO$10:AO$54,$B18),0)+IF('計算A'!AP$117=1,INDEX('計算A'!AQ$10:AQ$54,$B18),0))*500,0)-IF(AND('計算A'!AO$117=1,VM18&gt;0),300,0)-IF(AND($L18=1,'計算A'!AP$117=1,EO18=0),300,0))),1000000))</f>
        <v/>
      </c>
      <c r="PS18">
        <f>IF($B18=0,1000000,IF(INDEX('計算A'!$D$60:$EQ$104,$B18,40)*EO18=1,IF(AND($E18=2,KD18=0),1000000,IF($I18&gt;0,IF(2=$J18,IF(OR(AND(40=$I18+1,OR($K18&lt;&gt;'計算A'!$A$3,'計算A'!$A$4=0)),AND(40=$I18-1,OR(16&lt;&gt;'計算A'!$A$3,'計算A'!$A$4=0))),0,IF(16=$K18,200000,ABS(16-$K18)*100)),100000+ABS(2-$J18)*1000+160)+'計算A'!AQ$5*50+IF(AND($E18=1,KD18=0),25,0),INDEX('計算A'!AQ$110:AQ$114,$F18+1)+IF(AND($E18=1,KD18=0),1000,0)+IF($H18=1,(IF('計算A'!AP$117=1,INDEX('計算A'!AP$10:AP$54,$B18),0)+IF('計算A'!AQ$117=1,INDEX('計算A'!AR$10:AR$54,$B18),0))*500,0)-IF(AND('計算A'!AP$117=1,VN18&gt;0),300,0)-IF(AND($L18=1,'計算A'!AQ$117=1,EP18=0),300,0))),1000000))</f>
        <v/>
      </c>
      <c r="PT18">
        <f>IF($B18=0,1000000,IF(INDEX('計算A'!$D$60:$EQ$104,$B18,41)*EP18=1,IF(AND($E18=2,KE18=0),1000000,IF($I18&gt;0,IF(2=$J18,IF(OR(AND(41=$I18+1,OR($K18&lt;&gt;'計算A'!$A$3,'計算A'!$A$4=0)),AND(41=$I18-1,OR(17&lt;&gt;'計算A'!$A$3,'計算A'!$A$4=0))),0,IF(17=$K18,200000,ABS(17-$K18)*100)),100000+ABS(2-$J18)*1000+170)+'計算A'!AR$5*50+IF(AND($E18=1,KE18=0),25,0),INDEX('計算A'!AR$110:AR$114,$F18+1)+IF(AND($E18=1,KE18=0),1000,0)+IF($H18=1,(IF('計算A'!AQ$117=1,INDEX('計算A'!AQ$10:AQ$54,$B18),0)+IF('計算A'!AR$117=1,INDEX('計算A'!AS$10:AS$54,$B18),0))*500,0)-IF(AND('計算A'!AQ$117=1,VO18&gt;0),300,0)-IF(AND($L18=1,'計算A'!AR$117=1,EQ18=0),300,0))),1000000))</f>
        <v/>
      </c>
      <c r="PU18">
        <f>IF($B18=0,1000000,IF(INDEX('計算A'!$D$60:$EQ$104,$B18,42)*EQ18=1,IF(AND($E18=2,KF18=0),1000000,IF($I18&gt;0,IF(2=$J18,IF(OR(AND(42=$I18+1,OR($K18&lt;&gt;'計算A'!$A$3,'計算A'!$A$4=0)),AND(42=$I18-1,OR(18&lt;&gt;'計算A'!$A$3,'計算A'!$A$4=0))),0,IF(18=$K18,200000,ABS(18-$K18)*100)),100000+ABS(2-$J18)*1000+180)+'計算A'!AS$5*50+IF(AND($E18=1,KF18=0),25,0),INDEX('計算A'!AS$110:AS$114,$F18+1)+IF(AND($E18=1,KF18=0),1000,0)+IF($H18=1,(IF('計算A'!AR$117=1,INDEX('計算A'!AR$10:AR$54,$B18),0)+IF('計算A'!AS$117=1,INDEX('計算A'!AT$10:AT$54,$B18),0))*500,0)-IF(AND('計算A'!AR$117=1,VP18&gt;0),300,0)-IF(AND($L18=1,'計算A'!AS$117=1,ER18=0),300,0))),1000000))</f>
        <v/>
      </c>
      <c r="PV18">
        <f>IF($B18=0,1000000,IF(INDEX('計算A'!$D$60:$EQ$104,$B18,43)*ER18=1,IF(AND($E18=2,KG18=0),1000000,IF($I18&gt;0,IF(2=$J18,IF(OR(AND(43=$I18+1,OR($K18&lt;&gt;'計算A'!$A$3,'計算A'!$A$4=0)),AND(43=$I18-1,OR(19&lt;&gt;'計算A'!$A$3,'計算A'!$A$4=0))),0,IF(19=$K18,200000,ABS(19-$K18)*100)),100000+ABS(2-$J18)*1000+190)+'計算A'!AT$5*50+IF(AND($E18=1,KG18=0),25,0),INDEX('計算A'!AT$110:AT$114,$F18+1)+IF(AND($E18=1,KG18=0),1000,0)+IF($H18=1,(IF('計算A'!AS$117=1,INDEX('計算A'!AS$10:AS$54,$B18),0)+IF('計算A'!AT$117=1,INDEX('計算A'!AU$10:AU$54,$B18),0))*500,0)-IF(AND('計算A'!AS$117=1,VQ18&gt;0),300,0)-IF(AND($L18=1,'計算A'!AT$117=1,ES18=0),300,0))),1000000))</f>
        <v/>
      </c>
      <c r="PW18">
        <f>IF($B18=0,1000000,IF(INDEX('計算A'!$D$60:$EQ$104,$B18,44)*ES18=1,IF(AND($E18=2,KH18=0),1000000,IF($I18&gt;0,IF(2=$J18,IF(OR(AND(44=$I18+1,OR($K18&lt;&gt;'計算A'!$A$3,'計算A'!$A$4=0)),AND(44=$I18-1,OR(20&lt;&gt;'計算A'!$A$3,'計算A'!$A$4=0))),0,IF(20=$K18,200000,ABS(20-$K18)*100)),100000+ABS(2-$J18)*1000+200)+'計算A'!AU$5*50+IF(AND($E18=1,KH18=0),25,0),INDEX('計算A'!AU$110:AU$114,$F18+1)+IF(AND($E18=1,KH18=0),1000,0)+IF($H18=1,(IF('計算A'!AT$117=1,INDEX('計算A'!AT$10:AT$54,$B18),0)+IF('計算A'!AU$117=1,INDEX('計算A'!AV$10:AV$54,$B18),0))*500,0)-IF(AND('計算A'!AT$117=1,VR18&gt;0),300,0)-IF(AND($L18=1,'計算A'!AU$117=1,ET18=0),300,0))),1000000))</f>
        <v/>
      </c>
      <c r="PX18">
        <f>IF($B18=0,1000000,IF(INDEX('計算A'!$D$60:$EQ$104,$B18,45)*ET18=1,IF(AND($E18=2,KI18=0),1000000,IF($I18&gt;0,IF(2=$J18,IF(OR(AND(45=$I18+1,OR($K18&lt;&gt;'計算A'!$A$3,'計算A'!$A$4=0)),AND(45=$I18-1,OR(21&lt;&gt;'計算A'!$A$3,'計算A'!$A$4=0))),0,IF(21=$K18,200000,ABS(21-$K18)*100)),100000+ABS(2-$J18)*1000+210)+'計算A'!AV$5*50+IF(AND($E18=1,KI18=0),25,0),INDEX('計算A'!AV$110:AV$114,$F18+1)+IF(AND($E18=1,KI18=0),1000,0)+IF($H18=1,(IF('計算A'!AU$117=1,INDEX('計算A'!AU$10:AU$54,$B18),0)+IF('計算A'!AV$117=1,INDEX('計算A'!AW$10:AW$54,$B18),0))*500,0)-IF(AND('計算A'!AU$117=1,VS18&gt;0),300,0)-IF(AND($L18=1,'計算A'!AV$117=1,EU18=0),300,0))),1000000))</f>
        <v/>
      </c>
      <c r="PY18">
        <f>IF($B18=0,1000000,IF(INDEX('計算A'!$D$60:$EQ$104,$B18,46)*EU18=1,IF(AND($E18=2,KJ18=0),1000000,IF($I18&gt;0,IF(2=$J18,IF(OR(AND(46=$I18+1,OR($K18&lt;&gt;'計算A'!$A$3,'計算A'!$A$4=0)),AND(46=$I18-1,OR(22&lt;&gt;'計算A'!$A$3,'計算A'!$A$4=0))),0,IF(22=$K18,200000,ABS(22-$K18)*100)),100000+ABS(2-$J18)*1000+220)+'計算A'!AW$5*50+IF(AND($E18=1,KJ18=0),25,0),INDEX('計算A'!AW$110:AW$114,$F18+1)+IF(AND($E18=1,KJ18=0),1000,0)+IF($H18=1,(IF('計算A'!AV$117=1,INDEX('計算A'!AV$10:AV$54,$B18),0)+IF('計算A'!AW$117=1,INDEX('計算A'!AX$10:AX$54,$B18),0))*500,0)-IF(AND('計算A'!AV$117=1,VT18&gt;0),300,0)-IF(AND($L18=1,'計算A'!AW$117=1,EV18=0),300,0))),1000000))</f>
        <v/>
      </c>
      <c r="PZ18">
        <f>IF($B18=0,1000000,IF(INDEX('計算A'!$D$60:$EQ$104,$B18,47)*EV18=1,IF(AND($E18=2,KK18=0),1000000,IF($I18&gt;0,IF(2=$J18,IF(OR(AND(47=$I18+1,OR($K18&lt;&gt;'計算A'!$A$3,'計算A'!$A$4=0)),AND(47=$I18-1,OR(23&lt;&gt;'計算A'!$A$3,'計算A'!$A$4=0))),0,IF(23=$K18,200000,ABS(23-$K18)*100)),100000+ABS(2-$J18)*1000+230)+'計算A'!AX$5*50+IF(AND($E18=1,KK18=0),25,0),INDEX('計算A'!AX$110:AX$114,$F18+1)+IF(AND($E18=1,KK18=0),1000,0)+IF($H18=1,(IF('計算A'!AW$117=1,INDEX('計算A'!AW$10:AW$54,$B18),0)+IF('計算A'!AX$117=1,INDEX('計算A'!AY$10:AY$54,$B18),0))*500,0)-IF(AND('計算A'!AW$117=1,VU18&gt;0),300,0)-IF(AND($L18=1,'計算A'!AX$117=1,EW18=0),300,0))),1000000))</f>
        <v/>
      </c>
      <c r="QA18">
        <f>IF($B18=0,1000000,IF(INDEX('計算A'!$D$60:$EQ$104,$B18,48)*EW18=1,IF(AND($E18=2,KL18=0),1000000,IF($I18&gt;0,IF(2=$J18,IF(OR(AND(48=$I18+1,OR($K18&lt;&gt;'計算A'!$A$3,'計算A'!$A$4=0)),AND(48=$I18-1,OR(24&lt;&gt;'計算A'!$A$3,'計算A'!$A$4=0))),0,IF(24=$K18,200000,ABS(24-$K18)*100)),100000+ABS(2-$J18)*1000+240)+'計算A'!AY$5*50+IF(AND($E18=1,KL18=0),25,0),INDEX('計算A'!AY$110:AY$114,$F18+1)+IF(AND($E18=1,KL18=0),1000,0)+IF($H18=1,(IF('計算A'!AX$117=1,INDEX('計算A'!AX$10:AX$54,$B18),0))*500,0)-IF(AND('計算A'!AX$117=1,VV18&gt;0),300,0))),1000000))</f>
        <v/>
      </c>
      <c r="QB18">
        <f>IF($B18=0,1000000,IF(INDEX('計算A'!$D$60:$EQ$104,$B18,49)*EX18=1,IF(AND($E18=2,KM18=0),1000000,IF($I18&gt;0,IF(3=$J18,IF(OR(AND(49=$I18+1,OR($K18&lt;&gt;'計算A'!$A$3,'計算A'!$A$4=0)),AND(49=$I18-1,OR(1&lt;&gt;'計算A'!$A$3,'計算A'!$A$4=0))),0,IF(1=$K18,200000,ABS(1-$K18)*100)),100000+ABS(3-$J18)*1000+10)+'計算A'!AZ$5*50+IF(AND($E18=1,KM18=0),25,0),INDEX('計算A'!AZ$110:AZ$114,$F18+1)+IF(AND($E18=1,KM18=0),1000,0)+IF($H18=1,(IF('計算A'!AZ$117=1,INDEX('計算A'!BA$10:BA$54,$B18),0))*500,0)-IF(AND($L18=1,'計算A'!AZ$117=1,EY18=0),300,0))),1000000))</f>
        <v/>
      </c>
      <c r="QC18">
        <f>IF($B18=0,1000000,IF(INDEX('計算A'!$D$60:$EQ$104,$B18,50)*EY18=1,IF(AND($E18=2,KN18=0),1000000,IF($I18&gt;0,IF(3=$J18,IF(OR(AND(50=$I18+1,OR($K18&lt;&gt;'計算A'!$A$3,'計算A'!$A$4=0)),AND(50=$I18-1,OR(2&lt;&gt;'計算A'!$A$3,'計算A'!$A$4=0))),0,IF(2=$K18,200000,ABS(2-$K18)*100)),100000+ABS(3-$J18)*1000+20)+'計算A'!BA$5*50+IF(AND($E18=1,KN18=0),25,0),INDEX('計算A'!BA$110:BA$114,$F18+1)+IF(AND($E18=1,KN18=0),1000,0)+IF($H18=1,(IF('計算A'!AZ$117=1,INDEX('計算A'!AZ$10:AZ$54,$B18),0)+IF('計算A'!BA$117=1,INDEX('計算A'!BB$10:BB$54,$B18),0))*500,0)-IF(AND('計算A'!AZ$117=1,VX18&gt;0),300,0)-IF(AND($L18=1,'計算A'!BA$117=1,EZ18=0),300,0))),1000000))</f>
        <v/>
      </c>
      <c r="QD18">
        <f>IF($B18=0,1000000,IF(INDEX('計算A'!$D$60:$EQ$104,$B18,51)*EZ18=1,IF(AND($E18=2,KO18=0),1000000,IF($I18&gt;0,IF(3=$J18,IF(OR(AND(51=$I18+1,OR($K18&lt;&gt;'計算A'!$A$3,'計算A'!$A$4=0)),AND(51=$I18-1,OR(3&lt;&gt;'計算A'!$A$3,'計算A'!$A$4=0))),0,IF(3=$K18,200000,ABS(3-$K18)*100)),100000+ABS(3-$J18)*1000+30)+'計算A'!BB$5*50+IF(AND($E18=1,KO18=0),25,0),INDEX('計算A'!BB$110:BB$114,$F18+1)+IF(AND($E18=1,KO18=0),1000,0)+IF($H18=1,(IF('計算A'!BA$117=1,INDEX('計算A'!BA$10:BA$54,$B18),0)+IF('計算A'!BB$117=1,INDEX('計算A'!BC$10:BC$54,$B18),0))*500,0)-IF(AND('計算A'!BA$117=1,VY18&gt;0),300,0)-IF(AND($L18=1,'計算A'!BB$117=1,FA18=0),300,0))),1000000))</f>
        <v/>
      </c>
      <c r="QE18">
        <f>IF($B18=0,1000000,IF(INDEX('計算A'!$D$60:$EQ$104,$B18,52)*FA18=1,IF(AND($E18=2,KP18=0),1000000,IF($I18&gt;0,IF(3=$J18,IF(OR(AND(52=$I18+1,OR($K18&lt;&gt;'計算A'!$A$3,'計算A'!$A$4=0)),AND(52=$I18-1,OR(4&lt;&gt;'計算A'!$A$3,'計算A'!$A$4=0))),0,IF(4=$K18,200000,ABS(4-$K18)*100)),100000+ABS(3-$J18)*1000+40)+'計算A'!BC$5*50+IF(AND($E18=1,KP18=0),25,0),INDEX('計算A'!BC$110:BC$114,$F18+1)+IF(AND($E18=1,KP18=0),1000,0)+IF($H18=1,(IF('計算A'!BB$117=1,INDEX('計算A'!BB$10:BB$54,$B18),0)+IF('計算A'!BC$117=1,INDEX('計算A'!BD$10:BD$54,$B18),0))*500,0)-IF(AND('計算A'!BB$117=1,VZ18&gt;0),300,0)-IF(AND($L18=1,'計算A'!BC$117=1,FB18=0),300,0))),1000000))</f>
        <v/>
      </c>
      <c r="QF18">
        <f>IF($B18=0,1000000,IF(INDEX('計算A'!$D$60:$EQ$104,$B18,53)*FB18=1,IF(AND($E18=2,KQ18=0),1000000,IF($I18&gt;0,IF(3=$J18,IF(OR(AND(53=$I18+1,OR($K18&lt;&gt;'計算A'!$A$3,'計算A'!$A$4=0)),AND(53=$I18-1,OR(5&lt;&gt;'計算A'!$A$3,'計算A'!$A$4=0))),0,IF(5=$K18,200000,ABS(5-$K18)*100)),100000+ABS(3-$J18)*1000+50)+'計算A'!BD$5*50+IF(AND($E18=1,KQ18=0),25,0),INDEX('計算A'!BD$110:BD$114,$F18+1)+IF(AND($E18=1,KQ18=0),1000,0)+IF($H18=1,(IF('計算A'!BC$117=1,INDEX('計算A'!BC$10:BC$54,$B18),0)+IF('計算A'!BD$117=1,INDEX('計算A'!BE$10:BE$54,$B18),0))*500,0)-IF(AND('計算A'!BC$117=1,WA18&gt;0),300,0)-IF(AND($L18=1,'計算A'!BD$117=1,FC18=0),300,0))),1000000))</f>
        <v/>
      </c>
      <c r="QG18">
        <f>IF($B18=0,1000000,IF(INDEX('計算A'!$D$60:$EQ$104,$B18,54)*FC18=1,IF(AND($E18=2,KR18=0),1000000,IF($I18&gt;0,IF(3=$J18,IF(OR(AND(54=$I18+1,OR($K18&lt;&gt;'計算A'!$A$3,'計算A'!$A$4=0)),AND(54=$I18-1,OR(6&lt;&gt;'計算A'!$A$3,'計算A'!$A$4=0))),0,IF(6=$K18,200000,ABS(6-$K18)*100)),100000+ABS(3-$J18)*1000+60)+'計算A'!BE$5*50+IF(AND($E18=1,KR18=0),25,0),INDEX('計算A'!BE$110:BE$114,$F18+1)+IF(AND($E18=1,KR18=0),1000,0)+IF($H18=1,(IF('計算A'!BD$117=1,INDEX('計算A'!BD$10:BD$54,$B18),0)+IF('計算A'!BE$117=1,INDEX('計算A'!BF$10:BF$54,$B18),0))*500,0)-IF(AND('計算A'!BD$117=1,WB18&gt;0),300,0)-IF(AND($L18=1,'計算A'!BE$117=1,FD18=0),300,0))),1000000))</f>
        <v/>
      </c>
      <c r="QH18">
        <f>IF($B18=0,1000000,IF(INDEX('計算A'!$D$60:$EQ$104,$B18,55)*FD18=1,IF(AND($E18=2,KS18=0),1000000,IF($I18&gt;0,IF(3=$J18,IF(OR(AND(55=$I18+1,OR($K18&lt;&gt;'計算A'!$A$3,'計算A'!$A$4=0)),AND(55=$I18-1,OR(7&lt;&gt;'計算A'!$A$3,'計算A'!$A$4=0))),0,IF(7=$K18,200000,ABS(7-$K18)*100)),100000+ABS(3-$J18)*1000+70)+'計算A'!BF$5*50+IF(AND($E18=1,KS18=0),25,0),INDEX('計算A'!BF$110:BF$114,$F18+1)+IF(AND($E18=1,KS18=0),1000,0)+IF($H18=1,(IF('計算A'!BE$117=1,INDEX('計算A'!BE$10:BE$54,$B18),0)+IF('計算A'!BF$117=1,INDEX('計算A'!BG$10:BG$54,$B18),0))*500,0)-IF(AND('計算A'!BE$117=1,WC18&gt;0),300,0)-IF(AND($L18=1,'計算A'!BF$117=1,FE18=0),300,0))),1000000))</f>
        <v/>
      </c>
      <c r="QI18">
        <f>IF($B18=0,1000000,IF(INDEX('計算A'!$D$60:$EQ$104,$B18,56)*FE18=1,IF(AND($E18=2,KT18=0),1000000,IF($I18&gt;0,IF(3=$J18,IF(OR(AND(56=$I18+1,OR($K18&lt;&gt;'計算A'!$A$3,'計算A'!$A$4=0)),AND(56=$I18-1,OR(8&lt;&gt;'計算A'!$A$3,'計算A'!$A$4=0))),0,IF(8=$K18,200000,ABS(8-$K18)*100)),100000+ABS(3-$J18)*1000+80)+'計算A'!BG$5*50+IF(AND($E18=1,KT18=0),25,0),INDEX('計算A'!BG$110:BG$114,$F18+1)+IF(AND($E18=1,KT18=0),1000,0)+IF($H18=1,(IF('計算A'!BF$117=1,INDEX('計算A'!BF$10:BF$54,$B18),0)+IF('計算A'!BG$117=1,INDEX('計算A'!BH$10:BH$54,$B18),0))*500,0)-IF(AND('計算A'!BF$117=1,WD18&gt;0),300,0)-IF(AND($L18=1,'計算A'!BG$117=1,FF18=0),300,0))),1000000))</f>
        <v/>
      </c>
      <c r="QJ18">
        <f>IF($B18=0,1000000,IF(INDEX('計算A'!$D$60:$EQ$104,$B18,57)*FF18=1,IF(AND($E18=2,KU18=0),1000000,IF($I18&gt;0,IF(3=$J18,IF(OR(AND(57=$I18+1,OR($K18&lt;&gt;'計算A'!$A$3,'計算A'!$A$4=0)),AND(57=$I18-1,OR(9&lt;&gt;'計算A'!$A$3,'計算A'!$A$4=0))),0,IF(9=$K18,200000,ABS(9-$K18)*100)),100000+ABS(3-$J18)*1000+90)+'計算A'!BH$5*50+IF(AND($E18=1,KU18=0),25,0),INDEX('計算A'!BH$110:BH$114,$F18+1)+IF(AND($E18=1,KU18=0),1000,0)+IF($H18=1,(IF('計算A'!BG$117=1,INDEX('計算A'!BG$10:BG$54,$B18),0)+IF('計算A'!BH$117=1,INDEX('計算A'!BI$10:BI$54,$B18),0))*500,0)-IF(AND('計算A'!BG$117=1,WE18&gt;0),300,0)-IF(AND($L18=1,'計算A'!BH$117=1,FG18=0),300,0))),1000000))</f>
        <v/>
      </c>
      <c r="QK18">
        <f>IF($B18=0,1000000,IF(INDEX('計算A'!$D$60:$EQ$104,$B18,58)*FG18=1,IF(AND($E18=2,KV18=0),1000000,IF($I18&gt;0,IF(3=$J18,IF(OR(AND(58=$I18+1,OR($K18&lt;&gt;'計算A'!$A$3,'計算A'!$A$4=0)),AND(58=$I18-1,OR(10&lt;&gt;'計算A'!$A$3,'計算A'!$A$4=0))),0,IF(10=$K18,200000,ABS(10-$K18)*100)),100000+ABS(3-$J18)*1000+100)+'計算A'!BI$5*50+IF(AND($E18=1,KV18=0),25,0),INDEX('計算A'!BI$110:BI$114,$F18+1)+IF(AND($E18=1,KV18=0),1000,0)+IF($H18=1,(IF('計算A'!BH$117=1,INDEX('計算A'!BH$10:BH$54,$B18),0)+IF('計算A'!BI$117=1,INDEX('計算A'!BJ$10:BJ$54,$B18),0))*500,0)-IF(AND('計算A'!BH$117=1,WF18&gt;0),300,0)-IF(AND($L18=1,'計算A'!BI$117=1,FH18=0),300,0))),1000000))</f>
        <v/>
      </c>
      <c r="QL18">
        <f>IF($B18=0,1000000,IF(INDEX('計算A'!$D$60:$EQ$104,$B18,59)*FH18=1,IF(AND($E18=2,KW18=0),1000000,IF($I18&gt;0,IF(3=$J18,IF(OR(AND(59=$I18+1,OR($K18&lt;&gt;'計算A'!$A$3,'計算A'!$A$4=0)),AND(59=$I18-1,OR(11&lt;&gt;'計算A'!$A$3,'計算A'!$A$4=0))),0,IF(11=$K18,200000,ABS(11-$K18)*100)),100000+ABS(3-$J18)*1000+110)+'計算A'!BJ$5*50+IF(AND($E18=1,KW18=0),25,0),INDEX('計算A'!BJ$110:BJ$114,$F18+1)+IF(AND($E18=1,KW18=0),1000,0)+IF($H18=1,(IF('計算A'!BI$117=1,INDEX('計算A'!BI$10:BI$54,$B18),0)+IF('計算A'!BJ$117=1,INDEX('計算A'!BK$10:BK$54,$B18),0))*500,0)-IF(AND('計算A'!BI$117=1,WG18&gt;0),300,0)-IF(AND($L18=1,'計算A'!BJ$117=1,FI18=0),300,0))),1000000))</f>
        <v/>
      </c>
      <c r="QM18">
        <f>IF($B18=0,1000000,IF(INDEX('計算A'!$D$60:$EQ$104,$B18,60)*FI18=1,IF(AND($E18=2,KX18=0),1000000,IF($I18&gt;0,IF(3=$J18,IF(OR(AND(60=$I18+1,OR($K18&lt;&gt;'計算A'!$A$3,'計算A'!$A$4=0)),AND(60=$I18-1,OR(12&lt;&gt;'計算A'!$A$3,'計算A'!$A$4=0))),0,IF(12=$K18,200000,ABS(12-$K18)*100)),100000+ABS(3-$J18)*1000+120)+'計算A'!BK$5*50+IF(AND($E18=1,KX18=0),25,0),INDEX('計算A'!BK$110:BK$114,$F18+1)+IF(AND($E18=1,KX18=0),1000,0)+IF($H18=1,(IF('計算A'!BJ$117=1,INDEX('計算A'!BJ$10:BJ$54,$B18),0)+IF('計算A'!BK$117=1,INDEX('計算A'!BL$10:BL$54,$B18),0))*500,0)-IF(AND('計算A'!BJ$117=1,WH18&gt;0),300,0)-IF(AND($L18=1,'計算A'!BK$117=1,FJ18=0),300,0))),1000000))</f>
        <v/>
      </c>
      <c r="QN18">
        <f>IF($B18=0,1000000,IF(INDEX('計算A'!$D$60:$EQ$104,$B18,61)*FJ18=1,IF(AND($E18=2,KY18=0),1000000,IF($I18&gt;0,IF(3=$J18,IF(OR(AND(61=$I18+1,OR($K18&lt;&gt;'計算A'!$A$3,'計算A'!$A$4=0)),AND(61=$I18-1,OR(13&lt;&gt;'計算A'!$A$3,'計算A'!$A$4=0))),0,IF(13=$K18,200000,ABS(13-$K18)*100)),100000+ABS(3-$J18)*1000+130)+'計算A'!BL$5*50+IF(AND($E18=1,KY18=0),25,0),INDEX('計算A'!BL$110:BL$114,$F18+1)+IF(AND($E18=1,KY18=0),1000,0)+IF($H18=1,(IF('計算A'!BK$117=1,INDEX('計算A'!BK$10:BK$54,$B18),0)+IF('計算A'!BL$117=1,INDEX('計算A'!BM$10:BM$54,$B18),0))*500,0)-IF(AND('計算A'!BK$117=1,WI18&gt;0),300,0)-IF(AND($L18=1,'計算A'!BL$117=1,FK18=0),300,0))),1000000))</f>
        <v/>
      </c>
      <c r="QO18">
        <f>IF($B18=0,1000000,IF(INDEX('計算A'!$D$60:$EQ$104,$B18,62)*FK18=1,IF(AND($E18=2,KZ18=0),1000000,IF($I18&gt;0,IF(3=$J18,IF(OR(AND(62=$I18+1,OR($K18&lt;&gt;'計算A'!$A$3,'計算A'!$A$4=0)),AND(62=$I18-1,OR(14&lt;&gt;'計算A'!$A$3,'計算A'!$A$4=0))),0,IF(14=$K18,200000,ABS(14-$K18)*100)),100000+ABS(3-$J18)*1000+140)+'計算A'!BM$5*50+IF(AND($E18=1,KZ18=0),25,0),INDEX('計算A'!BM$110:BM$114,$F18+1)+IF(AND($E18=1,KZ18=0),1000,0)+IF($H18=1,(IF('計算A'!BL$117=1,INDEX('計算A'!BL$10:BL$54,$B18),0)+IF('計算A'!BM$117=1,INDEX('計算A'!BN$10:BN$54,$B18),0))*500,0)-IF(AND('計算A'!BL$117=1,WJ18&gt;0),300,0)-IF(AND($L18=1,'計算A'!BM$117=1,FL18=0),300,0))),1000000))</f>
        <v/>
      </c>
      <c r="QP18">
        <f>IF($B18=0,1000000,IF(INDEX('計算A'!$D$60:$EQ$104,$B18,63)*FL18=1,IF(AND($E18=2,LA18=0),1000000,IF($I18&gt;0,IF(3=$J18,IF(OR(AND(63=$I18+1,OR($K18&lt;&gt;'計算A'!$A$3,'計算A'!$A$4=0)),AND(63=$I18-1,OR(15&lt;&gt;'計算A'!$A$3,'計算A'!$A$4=0))),0,IF(15=$K18,200000,ABS(15-$K18)*100)),100000+ABS(3-$J18)*1000+150)+'計算A'!BN$5*50+IF(AND($E18=1,LA18=0),25,0),INDEX('計算A'!BN$110:BN$114,$F18+1)+IF(AND($E18=1,LA18=0),1000,0)+IF($H18=1,(IF('計算A'!BM$117=1,INDEX('計算A'!BM$10:BM$54,$B18),0)+IF('計算A'!BN$117=1,INDEX('計算A'!BO$10:BO$54,$B18),0))*500,0)-IF(AND('計算A'!BM$117=1,WK18&gt;0),300,0)-IF(AND($L18=1,'計算A'!BN$117=1,FM18=0),300,0))),1000000))</f>
        <v/>
      </c>
      <c r="QQ18">
        <f>IF($B18=0,1000000,IF(INDEX('計算A'!$D$60:$EQ$104,$B18,64)*FM18=1,IF(AND($E18=2,LB18=0),1000000,IF($I18&gt;0,IF(3=$J18,IF(OR(AND(64=$I18+1,OR($K18&lt;&gt;'計算A'!$A$3,'計算A'!$A$4=0)),AND(64=$I18-1,OR(16&lt;&gt;'計算A'!$A$3,'計算A'!$A$4=0))),0,IF(16=$K18,200000,ABS(16-$K18)*100)),100000+ABS(3-$J18)*1000+160)+'計算A'!BO$5*50+IF(AND($E18=1,LB18=0),25,0),INDEX('計算A'!BO$110:BO$114,$F18+1)+IF(AND($E18=1,LB18=0),1000,0)+IF($H18=1,(IF('計算A'!BN$117=1,INDEX('計算A'!BN$10:BN$54,$B18),0)+IF('計算A'!BO$117=1,INDEX('計算A'!BP$10:BP$54,$B18),0))*500,0)-IF(AND('計算A'!BN$117=1,WL18&gt;0),300,0)-IF(AND($L18=1,'計算A'!BO$117=1,FN18=0),300,0))),1000000))</f>
        <v/>
      </c>
      <c r="QR18">
        <f>IF($B18=0,1000000,IF(INDEX('計算A'!$D$60:$EQ$104,$B18,65)*FN18=1,IF(AND($E18=2,LC18=0),1000000,IF($I18&gt;0,IF(3=$J18,IF(OR(AND(65=$I18+1,OR($K18&lt;&gt;'計算A'!$A$3,'計算A'!$A$4=0)),AND(65=$I18-1,OR(17&lt;&gt;'計算A'!$A$3,'計算A'!$A$4=0))),0,IF(17=$K18,200000,ABS(17-$K18)*100)),100000+ABS(3-$J18)*1000+170)+'計算A'!BP$5*50+IF(AND($E18=1,LC18=0),25,0),INDEX('計算A'!BP$110:BP$114,$F18+1)+IF(AND($E18=1,LC18=0),1000,0)+IF($H18=1,(IF('計算A'!BO$117=1,INDEX('計算A'!BO$10:BO$54,$B18),0)+IF('計算A'!BP$117=1,INDEX('計算A'!BQ$10:BQ$54,$B18),0))*500,0)-IF(AND('計算A'!BO$117=1,WM18&gt;0),300,0)-IF(AND($L18=1,'計算A'!BP$117=1,FO18=0),300,0))),1000000))</f>
        <v/>
      </c>
      <c r="QS18">
        <f>IF($B18=0,1000000,IF(INDEX('計算A'!$D$60:$EQ$104,$B18,66)*FO18=1,IF(AND($E18=2,LD18=0),1000000,IF($I18&gt;0,IF(3=$J18,IF(OR(AND(66=$I18+1,OR($K18&lt;&gt;'計算A'!$A$3,'計算A'!$A$4=0)),AND(66=$I18-1,OR(18&lt;&gt;'計算A'!$A$3,'計算A'!$A$4=0))),0,IF(18=$K18,200000,ABS(18-$K18)*100)),100000+ABS(3-$J18)*1000+180)+'計算A'!BQ$5*50+IF(AND($E18=1,LD18=0),25,0),INDEX('計算A'!BQ$110:BQ$114,$F18+1)+IF(AND($E18=1,LD18=0),1000,0)+IF($H18=1,(IF('計算A'!BP$117=1,INDEX('計算A'!BP$10:BP$54,$B18),0)+IF('計算A'!BQ$117=1,INDEX('計算A'!BR$10:BR$54,$B18),0))*500,0)-IF(AND('計算A'!BP$117=1,WN18&gt;0),300,0)-IF(AND($L18=1,'計算A'!BQ$117=1,FP18=0),300,0))),1000000))</f>
        <v/>
      </c>
      <c r="QT18">
        <f>IF($B18=0,1000000,IF(INDEX('計算A'!$D$60:$EQ$104,$B18,67)*FP18=1,IF(AND($E18=2,LE18=0),1000000,IF($I18&gt;0,IF(3=$J18,IF(OR(AND(67=$I18+1,OR($K18&lt;&gt;'計算A'!$A$3,'計算A'!$A$4=0)),AND(67=$I18-1,OR(19&lt;&gt;'計算A'!$A$3,'計算A'!$A$4=0))),0,IF(19=$K18,200000,ABS(19-$K18)*100)),100000+ABS(3-$J18)*1000+190)+'計算A'!BR$5*50+IF(AND($E18=1,LE18=0),25,0),INDEX('計算A'!BR$110:BR$114,$F18+1)+IF(AND($E18=1,LE18=0),1000,0)+IF($H18=1,(IF('計算A'!BQ$117=1,INDEX('計算A'!BQ$10:BQ$54,$B18),0)+IF('計算A'!BR$117=1,INDEX('計算A'!BS$10:BS$54,$B18),0))*500,0)-IF(AND('計算A'!BQ$117=1,WO18&gt;0),300,0)-IF(AND($L18=1,'計算A'!BR$117=1,FQ18=0),300,0))),1000000))</f>
        <v/>
      </c>
      <c r="QU18">
        <f>IF($B18=0,1000000,IF(INDEX('計算A'!$D$60:$EQ$104,$B18,68)*FQ18=1,IF(AND($E18=2,LF18=0),1000000,IF($I18&gt;0,IF(3=$J18,IF(OR(AND(68=$I18+1,OR($K18&lt;&gt;'計算A'!$A$3,'計算A'!$A$4=0)),AND(68=$I18-1,OR(20&lt;&gt;'計算A'!$A$3,'計算A'!$A$4=0))),0,IF(20=$K18,200000,ABS(20-$K18)*100)),100000+ABS(3-$J18)*1000+200)+'計算A'!BS$5*50+IF(AND($E18=1,LF18=0),25,0),INDEX('計算A'!BS$110:BS$114,$F18+1)+IF(AND($E18=1,LF18=0),1000,0)+IF($H18=1,(IF('計算A'!BR$117=1,INDEX('計算A'!BR$10:BR$54,$B18),0)+IF('計算A'!BS$117=1,INDEX('計算A'!BT$10:BT$54,$B18),0))*500,0)-IF(AND('計算A'!BR$117=1,WP18&gt;0),300,0)-IF(AND($L18=1,'計算A'!BS$117=1,FR18=0),300,0))),1000000))</f>
        <v/>
      </c>
      <c r="QV18">
        <f>IF($B18=0,1000000,IF(INDEX('計算A'!$D$60:$EQ$104,$B18,69)*FR18=1,IF(AND($E18=2,LG18=0),1000000,IF($I18&gt;0,IF(3=$J18,IF(OR(AND(69=$I18+1,OR($K18&lt;&gt;'計算A'!$A$3,'計算A'!$A$4=0)),AND(69=$I18-1,OR(21&lt;&gt;'計算A'!$A$3,'計算A'!$A$4=0))),0,IF(21=$K18,200000,ABS(21-$K18)*100)),100000+ABS(3-$J18)*1000+210)+'計算A'!BT$5*50+IF(AND($E18=1,LG18=0),25,0),INDEX('計算A'!BT$110:BT$114,$F18+1)+IF(AND($E18=1,LG18=0),1000,0)+IF($H18=1,(IF('計算A'!BS$117=1,INDEX('計算A'!BS$10:BS$54,$B18),0)+IF('計算A'!BT$117=1,INDEX('計算A'!BU$10:BU$54,$B18),0))*500,0)-IF(AND('計算A'!BS$117=1,WQ18&gt;0),300,0)-IF(AND($L18=1,'計算A'!BT$117=1,FS18=0),300,0))),1000000))</f>
        <v/>
      </c>
      <c r="QW18">
        <f>IF($B18=0,1000000,IF(INDEX('計算A'!$D$60:$EQ$104,$B18,70)*FS18=1,IF(AND($E18=2,LH18=0),1000000,IF($I18&gt;0,IF(3=$J18,IF(OR(AND(70=$I18+1,OR($K18&lt;&gt;'計算A'!$A$3,'計算A'!$A$4=0)),AND(70=$I18-1,OR(22&lt;&gt;'計算A'!$A$3,'計算A'!$A$4=0))),0,IF(22=$K18,200000,ABS(22-$K18)*100)),100000+ABS(3-$J18)*1000+220)+'計算A'!BU$5*50+IF(AND($E18=1,LH18=0),25,0),INDEX('計算A'!BU$110:BU$114,$F18+1)+IF(AND($E18=1,LH18=0),1000,0)+IF($H18=1,(IF('計算A'!BT$117=1,INDEX('計算A'!BT$10:BT$54,$B18),0)+IF('計算A'!BU$117=1,INDEX('計算A'!BV$10:BV$54,$B18),0))*500,0)-IF(AND('計算A'!BT$117=1,WR18&gt;0),300,0)-IF(AND($L18=1,'計算A'!BU$117=1,FT18=0),300,0))),1000000))</f>
        <v/>
      </c>
      <c r="QX18">
        <f>IF($B18=0,1000000,IF(INDEX('計算A'!$D$60:$EQ$104,$B18,71)*FT18=1,IF(AND($E18=2,LI18=0),1000000,IF($I18&gt;0,IF(3=$J18,IF(OR(AND(71=$I18+1,OR($K18&lt;&gt;'計算A'!$A$3,'計算A'!$A$4=0)),AND(71=$I18-1,OR(23&lt;&gt;'計算A'!$A$3,'計算A'!$A$4=0))),0,IF(23=$K18,200000,ABS(23-$K18)*100)),100000+ABS(3-$J18)*1000+230)+'計算A'!BV$5*50+IF(AND($E18=1,LI18=0),25,0),INDEX('計算A'!BV$110:BV$114,$F18+1)+IF(AND($E18=1,LI18=0),1000,0)+IF($H18=1,(IF('計算A'!BU$117=1,INDEX('計算A'!BU$10:BU$54,$B18),0)+IF('計算A'!BV$117=1,INDEX('計算A'!BW$10:BW$54,$B18),0))*500,0)-IF(AND('計算A'!BU$117=1,WS18&gt;0),300,0)-IF(AND($L18=1,'計算A'!BV$117=1,FU18=0),300,0))),1000000))</f>
        <v/>
      </c>
      <c r="QY18">
        <f>IF($B18=0,1000000,IF(INDEX('計算A'!$D$60:$EQ$104,$B18,72)*FU18=1,IF(AND($E18=2,LJ18=0),1000000,IF($I18&gt;0,IF(3=$J18,IF(OR(AND(72=$I18+1,OR($K18&lt;&gt;'計算A'!$A$3,'計算A'!$A$4=0)),AND(72=$I18-1,OR(24&lt;&gt;'計算A'!$A$3,'計算A'!$A$4=0))),0,IF(24=$K18,200000,ABS(24-$K18)*100)),100000+ABS(3-$J18)*1000+240)+'計算A'!BW$5*50+IF(AND($E18=1,LJ18=0),25,0),INDEX('計算A'!BW$110:BW$114,$F18+1)+IF(AND($E18=1,LJ18=0),1000,0)+IF($H18=1,(IF('計算A'!BV$117=1,INDEX('計算A'!BV$10:BV$54,$B18),0))*500,0)-IF(AND('計算A'!BV$117=1,WT18&gt;0),300,0))),1000000))</f>
        <v/>
      </c>
      <c r="QZ18">
        <f>IF($B18=0,1000000,IF(INDEX('計算A'!$D$60:$EQ$104,$B18,73)*FV18=1,IF(AND($E18=2,LK18=0),1000000,IF($I18&gt;0,IF(4=$J18,IF(OR(AND(73=$I18+1,OR($K18&lt;&gt;'計算A'!$A$3,'計算A'!$A$4=0)),AND(73=$I18-1,OR(1&lt;&gt;'計算A'!$A$3,'計算A'!$A$4=0))),0,IF(1=$K18,200000,ABS(1-$K18)*100)),100000+ABS(4-$J18)*1000+10)+'計算A'!BX$5*50+IF(AND($E18=1,LK18=0),25,0),INDEX('計算A'!BX$110:BX$114,$F18+1)+IF(AND($E18=1,LK18=0),1000,0)+IF($H18=1,(IF('計算A'!BX$117=1,INDEX('計算A'!BY$10:BY$54,$B18),0))*500,0)-IF(AND($L18=1,'計算A'!BX$117=1,FW18=0),300,0))),1000000))</f>
        <v/>
      </c>
      <c r="RA18">
        <f>IF($B18=0,1000000,IF(INDEX('計算A'!$D$60:$EQ$104,$B18,74)*FW18=1,IF(AND($E18=2,LL18=0),1000000,IF($I18&gt;0,IF(4=$J18,IF(OR(AND(74=$I18+1,OR($K18&lt;&gt;'計算A'!$A$3,'計算A'!$A$4=0)),AND(74=$I18-1,OR(2&lt;&gt;'計算A'!$A$3,'計算A'!$A$4=0))),0,IF(2=$K18,200000,ABS(2-$K18)*100)),100000+ABS(4-$J18)*1000+20)+'計算A'!BY$5*50+IF(AND($E18=1,LL18=0),25,0),INDEX('計算A'!BY$110:BY$114,$F18+1)+IF(AND($E18=1,LL18=0),1000,0)+IF($H18=1,(IF('計算A'!BX$117=1,INDEX('計算A'!BX$10:BX$54,$B18),0)+IF('計算A'!BY$117=1,INDEX('計算A'!BZ$10:BZ$54,$B18),0))*500,0)-IF(AND('計算A'!BX$117=1,WV18&gt;0),300,0)-IF(AND($L18=1,'計算A'!BY$117=1,FX18=0),300,0))),1000000))</f>
        <v/>
      </c>
      <c r="RB18">
        <f>IF($B18=0,1000000,IF(INDEX('計算A'!$D$60:$EQ$104,$B18,75)*FX18=1,IF(AND($E18=2,LM18=0),1000000,IF($I18&gt;0,IF(4=$J18,IF(OR(AND(75=$I18+1,OR($K18&lt;&gt;'計算A'!$A$3,'計算A'!$A$4=0)),AND(75=$I18-1,OR(3&lt;&gt;'計算A'!$A$3,'計算A'!$A$4=0))),0,IF(3=$K18,200000,ABS(3-$K18)*100)),100000+ABS(4-$J18)*1000+30)+'計算A'!BZ$5*50+IF(AND($E18=1,LM18=0),25,0),INDEX('計算A'!BZ$110:BZ$114,$F18+1)+IF(AND($E18=1,LM18=0),1000,0)+IF($H18=1,(IF('計算A'!BY$117=1,INDEX('計算A'!BY$10:BY$54,$B18),0)+IF('計算A'!BZ$117=1,INDEX('計算A'!CA$10:CA$54,$B18),0))*500,0)-IF(AND('計算A'!BY$117=1,WW18&gt;0),300,0)-IF(AND($L18=1,'計算A'!BZ$117=1,FY18=0),300,0))),1000000))</f>
        <v/>
      </c>
      <c r="RC18">
        <f>IF($B18=0,1000000,IF(INDEX('計算A'!$D$60:$EQ$104,$B18,76)*FY18=1,IF(AND($E18=2,LN18=0),1000000,IF($I18&gt;0,IF(4=$J18,IF(OR(AND(76=$I18+1,OR($K18&lt;&gt;'計算A'!$A$3,'計算A'!$A$4=0)),AND(76=$I18-1,OR(4&lt;&gt;'計算A'!$A$3,'計算A'!$A$4=0))),0,IF(4=$K18,200000,ABS(4-$K18)*100)),100000+ABS(4-$J18)*1000+40)+'計算A'!CA$5*50+IF(AND($E18=1,LN18=0),25,0),INDEX('計算A'!CA$110:CA$114,$F18+1)+IF(AND($E18=1,LN18=0),1000,0)+IF($H18=1,(IF('計算A'!BZ$117=1,INDEX('計算A'!BZ$10:BZ$54,$B18),0)+IF('計算A'!CA$117=1,INDEX('計算A'!CB$10:CB$54,$B18),0))*500,0)-IF(AND('計算A'!BZ$117=1,WX18&gt;0),300,0)-IF(AND($L18=1,'計算A'!CA$117=1,FZ18=0),300,0))),1000000))</f>
        <v/>
      </c>
      <c r="RD18">
        <f>IF($B18=0,1000000,IF(INDEX('計算A'!$D$60:$EQ$104,$B18,77)*FZ18=1,IF(AND($E18=2,LO18=0),1000000,IF($I18&gt;0,IF(4=$J18,IF(OR(AND(77=$I18+1,OR($K18&lt;&gt;'計算A'!$A$3,'計算A'!$A$4=0)),AND(77=$I18-1,OR(5&lt;&gt;'計算A'!$A$3,'計算A'!$A$4=0))),0,IF(5=$K18,200000,ABS(5-$K18)*100)),100000+ABS(4-$J18)*1000+50)+'計算A'!CB$5*50+IF(AND($E18=1,LO18=0),25,0),INDEX('計算A'!CB$110:CB$114,$F18+1)+IF(AND($E18=1,LO18=0),1000,0)+IF($H18=1,(IF('計算A'!CA$117=1,INDEX('計算A'!CA$10:CA$54,$B18),0)+IF('計算A'!CB$117=1,INDEX('計算A'!CC$10:CC$54,$B18),0))*500,0)-IF(AND('計算A'!CA$117=1,WY18&gt;0),300,0)-IF(AND($L18=1,'計算A'!CB$117=1,GA18=0),300,0))),1000000))</f>
        <v/>
      </c>
      <c r="RE18">
        <f>IF($B18=0,1000000,IF(INDEX('計算A'!$D$60:$EQ$104,$B18,78)*GA18=1,IF(AND($E18=2,LP18=0),1000000,IF($I18&gt;0,IF(4=$J18,IF(OR(AND(78=$I18+1,OR($K18&lt;&gt;'計算A'!$A$3,'計算A'!$A$4=0)),AND(78=$I18-1,OR(6&lt;&gt;'計算A'!$A$3,'計算A'!$A$4=0))),0,IF(6=$K18,200000,ABS(6-$K18)*100)),100000+ABS(4-$J18)*1000+60)+'計算A'!CC$5*50+IF(AND($E18=1,LP18=0),25,0),INDEX('計算A'!CC$110:CC$114,$F18+1)+IF(AND($E18=1,LP18=0),1000,0)+IF($H18=1,(IF('計算A'!CB$117=1,INDEX('計算A'!CB$10:CB$54,$B18),0)+IF('計算A'!CC$117=1,INDEX('計算A'!CD$10:CD$54,$B18),0))*500,0)-IF(AND('計算A'!CB$117=1,WZ18&gt;0),300,0)-IF(AND($L18=1,'計算A'!CC$117=1,GB18=0),300,0))),1000000))</f>
        <v/>
      </c>
      <c r="RF18">
        <f>IF($B18=0,1000000,IF(INDEX('計算A'!$D$60:$EQ$104,$B18,79)*GB18=1,IF(AND($E18=2,LQ18=0),1000000,IF($I18&gt;0,IF(4=$J18,IF(OR(AND(79=$I18+1,OR($K18&lt;&gt;'計算A'!$A$3,'計算A'!$A$4=0)),AND(79=$I18-1,OR(7&lt;&gt;'計算A'!$A$3,'計算A'!$A$4=0))),0,IF(7=$K18,200000,ABS(7-$K18)*100)),100000+ABS(4-$J18)*1000+70)+'計算A'!CD$5*50+IF(AND($E18=1,LQ18=0),25,0),INDEX('計算A'!CD$110:CD$114,$F18+1)+IF(AND($E18=1,LQ18=0),1000,0)+IF($H18=1,(IF('計算A'!CC$117=1,INDEX('計算A'!CC$10:CC$54,$B18),0)+IF('計算A'!CD$117=1,INDEX('計算A'!CE$10:CE$54,$B18),0))*500,0)-IF(AND('計算A'!CC$117=1,XA18&gt;0),300,0)-IF(AND($L18=1,'計算A'!CD$117=1,GC18=0),300,0))),1000000))</f>
        <v/>
      </c>
      <c r="RG18">
        <f>IF($B18=0,1000000,IF(INDEX('計算A'!$D$60:$EQ$104,$B18,80)*GC18=1,IF(AND($E18=2,LR18=0),1000000,IF($I18&gt;0,IF(4=$J18,IF(OR(AND(80=$I18+1,OR($K18&lt;&gt;'計算A'!$A$3,'計算A'!$A$4=0)),AND(80=$I18-1,OR(8&lt;&gt;'計算A'!$A$3,'計算A'!$A$4=0))),0,IF(8=$K18,200000,ABS(8-$K18)*100)),100000+ABS(4-$J18)*1000+80)+'計算A'!CE$5*50+IF(AND($E18=1,LR18=0),25,0),INDEX('計算A'!CE$110:CE$114,$F18+1)+IF(AND($E18=1,LR18=0),1000,0)+IF($H18=1,(IF('計算A'!CD$117=1,INDEX('計算A'!CD$10:CD$54,$B18),0)+IF('計算A'!CE$117=1,INDEX('計算A'!CF$10:CF$54,$B18),0))*500,0)-IF(AND('計算A'!CD$117=1,XB18&gt;0),300,0)-IF(AND($L18=1,'計算A'!CE$117=1,GD18=0),300,0))),1000000))</f>
        <v/>
      </c>
      <c r="RH18">
        <f>IF($B18=0,1000000,IF(INDEX('計算A'!$D$60:$EQ$104,$B18,81)*GD18=1,IF(AND($E18=2,LS18=0),1000000,IF($I18&gt;0,IF(4=$J18,IF(OR(AND(81=$I18+1,OR($K18&lt;&gt;'計算A'!$A$3,'計算A'!$A$4=0)),AND(81=$I18-1,OR(9&lt;&gt;'計算A'!$A$3,'計算A'!$A$4=0))),0,IF(9=$K18,200000,ABS(9-$K18)*100)),100000+ABS(4-$J18)*1000+90)+'計算A'!CF$5*50+IF(AND($E18=1,LS18=0),25,0),INDEX('計算A'!CF$110:CF$114,$F18+1)+IF(AND($E18=1,LS18=0),1000,0)+IF($H18=1,(IF('計算A'!CE$117=1,INDEX('計算A'!CE$10:CE$54,$B18),0)+IF('計算A'!CF$117=1,INDEX('計算A'!CG$10:CG$54,$B18),0))*500,0)-IF(AND('計算A'!CE$117=1,XC18&gt;0),300,0)-IF(AND($L18=1,'計算A'!CF$117=1,GE18=0),300,0))),1000000))</f>
        <v/>
      </c>
      <c r="RI18">
        <f>IF($B18=0,1000000,IF(INDEX('計算A'!$D$60:$EQ$104,$B18,82)*GE18=1,IF(AND($E18=2,LT18=0),1000000,IF($I18&gt;0,IF(4=$J18,IF(OR(AND(82=$I18+1,OR($K18&lt;&gt;'計算A'!$A$3,'計算A'!$A$4=0)),AND(82=$I18-1,OR(10&lt;&gt;'計算A'!$A$3,'計算A'!$A$4=0))),0,IF(10=$K18,200000,ABS(10-$K18)*100)),100000+ABS(4-$J18)*1000+100)+'計算A'!CG$5*50+IF(AND($E18=1,LT18=0),25,0),INDEX('計算A'!CG$110:CG$114,$F18+1)+IF(AND($E18=1,LT18=0),1000,0)+IF($H18=1,(IF('計算A'!CF$117=1,INDEX('計算A'!CF$10:CF$54,$B18),0)+IF('計算A'!CG$117=1,INDEX('計算A'!CH$10:CH$54,$B18),0))*500,0)-IF(AND('計算A'!CF$117=1,XD18&gt;0),300,0)-IF(AND($L18=1,'計算A'!CG$117=1,GF18=0),300,0))),1000000))</f>
        <v/>
      </c>
      <c r="RJ18">
        <f>IF($B18=0,1000000,IF(INDEX('計算A'!$D$60:$EQ$104,$B18,83)*GF18=1,IF(AND($E18=2,LU18=0),1000000,IF($I18&gt;0,IF(4=$J18,IF(OR(AND(83=$I18+1,OR($K18&lt;&gt;'計算A'!$A$3,'計算A'!$A$4=0)),AND(83=$I18-1,OR(11&lt;&gt;'計算A'!$A$3,'計算A'!$A$4=0))),0,IF(11=$K18,200000,ABS(11-$K18)*100)),100000+ABS(4-$J18)*1000+110)+'計算A'!CH$5*50+IF(AND($E18=1,LU18=0),25,0),INDEX('計算A'!CH$110:CH$114,$F18+1)+IF(AND($E18=1,LU18=0),1000,0)+IF($H18=1,(IF('計算A'!CG$117=1,INDEX('計算A'!CG$10:CG$54,$B18),0)+IF('計算A'!CH$117=1,INDEX('計算A'!CI$10:CI$54,$B18),0))*500,0)-IF(AND('計算A'!CG$117=1,XE18&gt;0),300,0)-IF(AND($L18=1,'計算A'!CH$117=1,GG18=0),300,0))),1000000))</f>
        <v/>
      </c>
      <c r="RK18">
        <f>IF($B18=0,1000000,IF(INDEX('計算A'!$D$60:$EQ$104,$B18,84)*GG18=1,IF(AND($E18=2,LV18=0),1000000,IF($I18&gt;0,IF(4=$J18,IF(OR(AND(84=$I18+1,OR($K18&lt;&gt;'計算A'!$A$3,'計算A'!$A$4=0)),AND(84=$I18-1,OR(12&lt;&gt;'計算A'!$A$3,'計算A'!$A$4=0))),0,IF(12=$K18,200000,ABS(12-$K18)*100)),100000+ABS(4-$J18)*1000+120)+'計算A'!CI$5*50+IF(AND($E18=1,LV18=0),25,0),INDEX('計算A'!CI$110:CI$114,$F18+1)+IF(AND($E18=1,LV18=0),1000,0)+IF($H18=1,(IF('計算A'!CH$117=1,INDEX('計算A'!CH$10:CH$54,$B18),0)+IF('計算A'!CI$117=1,INDEX('計算A'!CJ$10:CJ$54,$B18),0))*500,0)-IF(AND('計算A'!CH$117=1,XF18&gt;0),300,0)-IF(AND($L18=1,'計算A'!CI$117=1,GH18=0),300,0))),1000000))</f>
        <v/>
      </c>
      <c r="RL18">
        <f>IF($B18=0,1000000,IF(INDEX('計算A'!$D$60:$EQ$104,$B18,85)*GH18=1,IF(AND($E18=2,LW18=0),1000000,IF($I18&gt;0,IF(4=$J18,IF(OR(AND(85=$I18+1,OR($K18&lt;&gt;'計算A'!$A$3,'計算A'!$A$4=0)),AND(85=$I18-1,OR(13&lt;&gt;'計算A'!$A$3,'計算A'!$A$4=0))),0,IF(13=$K18,200000,ABS(13-$K18)*100)),100000+ABS(4-$J18)*1000+130)+'計算A'!CJ$5*50+IF(AND($E18=1,LW18=0),25,0),INDEX('計算A'!CJ$110:CJ$114,$F18+1)+IF(AND($E18=1,LW18=0),1000,0)+IF($H18=1,(IF('計算A'!CI$117=1,INDEX('計算A'!CI$10:CI$54,$B18),0)+IF('計算A'!CJ$117=1,INDEX('計算A'!CK$10:CK$54,$B18),0))*500,0)-IF(AND('計算A'!CI$117=1,XG18&gt;0),300,0)-IF(AND($L18=1,'計算A'!CJ$117=1,GI18=0),300,0))),1000000))</f>
        <v/>
      </c>
      <c r="RM18">
        <f>IF($B18=0,1000000,IF(INDEX('計算A'!$D$60:$EQ$104,$B18,86)*GI18=1,IF(AND($E18=2,LX18=0),1000000,IF($I18&gt;0,IF(4=$J18,IF(OR(AND(86=$I18+1,OR($K18&lt;&gt;'計算A'!$A$3,'計算A'!$A$4=0)),AND(86=$I18-1,OR(14&lt;&gt;'計算A'!$A$3,'計算A'!$A$4=0))),0,IF(14=$K18,200000,ABS(14-$K18)*100)),100000+ABS(4-$J18)*1000+140)+'計算A'!CK$5*50+IF(AND($E18=1,LX18=0),25,0),INDEX('計算A'!CK$110:CK$114,$F18+1)+IF(AND($E18=1,LX18=0),1000,0)+IF($H18=1,(IF('計算A'!CJ$117=1,INDEX('計算A'!CJ$10:CJ$54,$B18),0)+IF('計算A'!CK$117=1,INDEX('計算A'!CL$10:CL$54,$B18),0))*500,0)-IF(AND('計算A'!CJ$117=1,XH18&gt;0),300,0)-IF(AND($L18=1,'計算A'!CK$117=1,GJ18=0),300,0))),1000000))</f>
        <v/>
      </c>
      <c r="RN18">
        <f>IF($B18=0,1000000,IF(INDEX('計算A'!$D$60:$EQ$104,$B18,87)*GJ18=1,IF(AND($E18=2,LY18=0),1000000,IF($I18&gt;0,IF(4=$J18,IF(OR(AND(87=$I18+1,OR($K18&lt;&gt;'計算A'!$A$3,'計算A'!$A$4=0)),AND(87=$I18-1,OR(15&lt;&gt;'計算A'!$A$3,'計算A'!$A$4=0))),0,IF(15=$K18,200000,ABS(15-$K18)*100)),100000+ABS(4-$J18)*1000+150)+'計算A'!CL$5*50+IF(AND($E18=1,LY18=0),25,0),INDEX('計算A'!CL$110:CL$114,$F18+1)+IF(AND($E18=1,LY18=0),1000,0)+IF($H18=1,(IF('計算A'!CK$117=1,INDEX('計算A'!CK$10:CK$54,$B18),0)+IF('計算A'!CL$117=1,INDEX('計算A'!CM$10:CM$54,$B18),0))*500,0)-IF(AND('計算A'!CK$117=1,XI18&gt;0),300,0)-IF(AND($L18=1,'計算A'!CL$117=1,GK18=0),300,0))),1000000))</f>
        <v/>
      </c>
      <c r="RO18">
        <f>IF($B18=0,1000000,IF(INDEX('計算A'!$D$60:$EQ$104,$B18,88)*GK18=1,IF(AND($E18=2,LZ18=0),1000000,IF($I18&gt;0,IF(4=$J18,IF(OR(AND(88=$I18+1,OR($K18&lt;&gt;'計算A'!$A$3,'計算A'!$A$4=0)),AND(88=$I18-1,OR(16&lt;&gt;'計算A'!$A$3,'計算A'!$A$4=0))),0,IF(16=$K18,200000,ABS(16-$K18)*100)),100000+ABS(4-$J18)*1000+160)+'計算A'!CM$5*50+IF(AND($E18=1,LZ18=0),25,0),INDEX('計算A'!CM$110:CM$114,$F18+1)+IF(AND($E18=1,LZ18=0),1000,0)+IF($H18=1,(IF('計算A'!CL$117=1,INDEX('計算A'!CL$10:CL$54,$B18),0)+IF('計算A'!CM$117=1,INDEX('計算A'!CN$10:CN$54,$B18),0))*500,0)-IF(AND('計算A'!CL$117=1,XJ18&gt;0),300,0)-IF(AND($L18=1,'計算A'!CM$117=1,GL18=0),300,0))),1000000))</f>
        <v/>
      </c>
      <c r="RP18">
        <f>IF($B18=0,1000000,IF(INDEX('計算A'!$D$60:$EQ$104,$B18,89)*GL18=1,IF(AND($E18=2,MA18=0),1000000,IF($I18&gt;0,IF(4=$J18,IF(OR(AND(89=$I18+1,OR($K18&lt;&gt;'計算A'!$A$3,'計算A'!$A$4=0)),AND(89=$I18-1,OR(17&lt;&gt;'計算A'!$A$3,'計算A'!$A$4=0))),0,IF(17=$K18,200000,ABS(17-$K18)*100)),100000+ABS(4-$J18)*1000+170)+'計算A'!CN$5*50+IF(AND($E18=1,MA18=0),25,0),INDEX('計算A'!CN$110:CN$114,$F18+1)+IF(AND($E18=1,MA18=0),1000,0)+IF($H18=1,(IF('計算A'!CM$117=1,INDEX('計算A'!CM$10:CM$54,$B18),0)+IF('計算A'!CN$117=1,INDEX('計算A'!CO$10:CO$54,$B18),0))*500,0)-IF(AND('計算A'!CM$117=1,XK18&gt;0),300,0)-IF(AND($L18=1,'計算A'!CN$117=1,GM18=0),300,0))),1000000))</f>
        <v/>
      </c>
      <c r="RQ18">
        <f>IF($B18=0,1000000,IF(INDEX('計算A'!$D$60:$EQ$104,$B18,90)*GM18=1,IF(AND($E18=2,MB18=0),1000000,IF($I18&gt;0,IF(4=$J18,IF(OR(AND(90=$I18+1,OR($K18&lt;&gt;'計算A'!$A$3,'計算A'!$A$4=0)),AND(90=$I18-1,OR(18&lt;&gt;'計算A'!$A$3,'計算A'!$A$4=0))),0,IF(18=$K18,200000,ABS(18-$K18)*100)),100000+ABS(4-$J18)*1000+180)+'計算A'!CO$5*50+IF(AND($E18=1,MB18=0),25,0),INDEX('計算A'!CO$110:CO$114,$F18+1)+IF(AND($E18=1,MB18=0),1000,0)+IF($H18=1,(IF('計算A'!CN$117=1,INDEX('計算A'!CN$10:CN$54,$B18),0)+IF('計算A'!CO$117=1,INDEX('計算A'!CP$10:CP$54,$B18),0))*500,0)-IF(AND('計算A'!CN$117=1,XL18&gt;0),300,0)-IF(AND($L18=1,'計算A'!CO$117=1,GN18=0),300,0))),1000000))</f>
        <v/>
      </c>
      <c r="RR18">
        <f>IF($B18=0,1000000,IF(INDEX('計算A'!$D$60:$EQ$104,$B18,91)*GN18=1,IF(AND($E18=2,MC18=0),1000000,IF($I18&gt;0,IF(4=$J18,IF(OR(AND(91=$I18+1,OR($K18&lt;&gt;'計算A'!$A$3,'計算A'!$A$4=0)),AND(91=$I18-1,OR(19&lt;&gt;'計算A'!$A$3,'計算A'!$A$4=0))),0,IF(19=$K18,200000,ABS(19-$K18)*100)),100000+ABS(4-$J18)*1000+190)+'計算A'!CP$5*50+IF(AND($E18=1,MC18=0),25,0),INDEX('計算A'!CP$110:CP$114,$F18+1)+IF(AND($E18=1,MC18=0),1000,0)+IF($H18=1,(IF('計算A'!CO$117=1,INDEX('計算A'!CO$10:CO$54,$B18),0)+IF('計算A'!CP$117=1,INDEX('計算A'!CQ$10:CQ$54,$B18),0))*500,0)-IF(AND('計算A'!CO$117=1,XM18&gt;0),300,0)-IF(AND($L18=1,'計算A'!CP$117=1,GO18=0),300,0))),1000000))</f>
        <v/>
      </c>
      <c r="RS18">
        <f>IF($B18=0,1000000,IF(INDEX('計算A'!$D$60:$EQ$104,$B18,92)*GO18=1,IF(AND($E18=2,MD18=0),1000000,IF($I18&gt;0,IF(4=$J18,IF(OR(AND(92=$I18+1,OR($K18&lt;&gt;'計算A'!$A$3,'計算A'!$A$4=0)),AND(92=$I18-1,OR(20&lt;&gt;'計算A'!$A$3,'計算A'!$A$4=0))),0,IF(20=$K18,200000,ABS(20-$K18)*100)),100000+ABS(4-$J18)*1000+200)+'計算A'!CQ$5*50+IF(AND($E18=1,MD18=0),25,0),INDEX('計算A'!CQ$110:CQ$114,$F18+1)+IF(AND($E18=1,MD18=0),1000,0)+IF($H18=1,(IF('計算A'!CP$117=1,INDEX('計算A'!CP$10:CP$54,$B18),0)+IF('計算A'!CQ$117=1,INDEX('計算A'!CR$10:CR$54,$B18),0))*500,0)-IF(AND('計算A'!CP$117=1,XN18&gt;0),300,0)-IF(AND($L18=1,'計算A'!CQ$117=1,GP18=0),300,0))),1000000))</f>
        <v/>
      </c>
      <c r="RT18">
        <f>IF($B18=0,1000000,IF(INDEX('計算A'!$D$60:$EQ$104,$B18,93)*GP18=1,IF(AND($E18=2,ME18=0),1000000,IF($I18&gt;0,IF(4=$J18,IF(OR(AND(93=$I18+1,OR($K18&lt;&gt;'計算A'!$A$3,'計算A'!$A$4=0)),AND(93=$I18-1,OR(21&lt;&gt;'計算A'!$A$3,'計算A'!$A$4=0))),0,IF(21=$K18,200000,ABS(21-$K18)*100)),100000+ABS(4-$J18)*1000+210)+'計算A'!CR$5*50+IF(AND($E18=1,ME18=0),25,0),INDEX('計算A'!CR$110:CR$114,$F18+1)+IF(AND($E18=1,ME18=0),1000,0)+IF($H18=1,(IF('計算A'!CQ$117=1,INDEX('計算A'!CQ$10:CQ$54,$B18),0)+IF('計算A'!CR$117=1,INDEX('計算A'!CS$10:CS$54,$B18),0))*500,0)-IF(AND('計算A'!CQ$117=1,XO18&gt;0),300,0)-IF(AND($L18=1,'計算A'!CR$117=1,GQ18=0),300,0))),1000000))</f>
        <v/>
      </c>
      <c r="RU18">
        <f>IF($B18=0,1000000,IF(INDEX('計算A'!$D$60:$EQ$104,$B18,94)*GQ18=1,IF(AND($E18=2,MF18=0),1000000,IF($I18&gt;0,IF(4=$J18,IF(OR(AND(94=$I18+1,OR($K18&lt;&gt;'計算A'!$A$3,'計算A'!$A$4=0)),AND(94=$I18-1,OR(22&lt;&gt;'計算A'!$A$3,'計算A'!$A$4=0))),0,IF(22=$K18,200000,ABS(22-$K18)*100)),100000+ABS(4-$J18)*1000+220)+'計算A'!CS$5*50+IF(AND($E18=1,MF18=0),25,0),INDEX('計算A'!CS$110:CS$114,$F18+1)+IF(AND($E18=1,MF18=0),1000,0)+IF($H18=1,(IF('計算A'!CR$117=1,INDEX('計算A'!CR$10:CR$54,$B18),0)+IF('計算A'!CS$117=1,INDEX('計算A'!CT$10:CT$54,$B18),0))*500,0)-IF(AND('計算A'!CR$117=1,XP18&gt;0),300,0)-IF(AND($L18=1,'計算A'!CS$117=1,GR18=0),300,0))),1000000))</f>
        <v/>
      </c>
      <c r="RV18">
        <f>IF($B18=0,1000000,IF(INDEX('計算A'!$D$60:$EQ$104,$B18,95)*GR18=1,IF(AND($E18=2,MG18=0),1000000,IF($I18&gt;0,IF(4=$J18,IF(OR(AND(95=$I18+1,OR($K18&lt;&gt;'計算A'!$A$3,'計算A'!$A$4=0)),AND(95=$I18-1,OR(23&lt;&gt;'計算A'!$A$3,'計算A'!$A$4=0))),0,IF(23=$K18,200000,ABS(23-$K18)*100)),100000+ABS(4-$J18)*1000+230)+'計算A'!CT$5*50+IF(AND($E18=1,MG18=0),25,0),INDEX('計算A'!CT$110:CT$114,$F18+1)+IF(AND($E18=1,MG18=0),1000,0)+IF($H18=1,(IF('計算A'!CS$117=1,INDEX('計算A'!CS$10:CS$54,$B18),0)+IF('計算A'!CT$117=1,INDEX('計算A'!CU$10:CU$54,$B18),0))*500,0)-IF(AND('計算A'!CS$117=1,XQ18&gt;0),300,0)-IF(AND($L18=1,'計算A'!CT$117=1,GS18=0),300,0))),1000000))</f>
        <v/>
      </c>
      <c r="RW18">
        <f>IF($B18=0,1000000,IF(INDEX('計算A'!$D$60:$EQ$104,$B18,96)*GS18=1,IF(AND($E18=2,MH18=0),1000000,IF($I18&gt;0,IF(4=$J18,IF(OR(AND(96=$I18+1,OR($K18&lt;&gt;'計算A'!$A$3,'計算A'!$A$4=0)),AND(96=$I18-1,OR(24&lt;&gt;'計算A'!$A$3,'計算A'!$A$4=0))),0,IF(24=$K18,200000,ABS(24-$K18)*100)),100000+ABS(4-$J18)*1000+240)+'計算A'!CU$5*50+IF(AND($E18=1,MH18=0),25,0),INDEX('計算A'!CU$110:CU$114,$F18+1)+IF(AND($E18=1,MH18=0),1000,0)+IF($H18=1,(IF('計算A'!CT$117=1,INDEX('計算A'!CT$10:CT$54,$B18),0))*500,0)-IF(AND('計算A'!CT$117=1,XR18&gt;0),300,0))),1000000))</f>
        <v/>
      </c>
      <c r="RX18">
        <f>IF($B18=0,1000000,IF(INDEX('計算A'!$D$60:$EQ$104,$B18,97)*GT18=1,IF(AND($E18=2,MI18=0),1000000,IF($I18&gt;0,IF(5=$J18,IF(OR(AND(97=$I18+1,OR($K18&lt;&gt;'計算A'!$A$3,'計算A'!$A$4=0)),AND(97=$I18-1,OR(1&lt;&gt;'計算A'!$A$3,'計算A'!$A$4=0))),0,IF(1=$K18,200000,ABS(1-$K18)*100)),100000+ABS(5-$J18)*1000+10)+'計算A'!CV$5*50+IF(AND($E18=1,MI18=0),25,0),INDEX('計算A'!CV$110:CV$114,$F18+1)+IF(AND($E18=1,MI18=0),1000,0)+IF($H18=1,(IF('計算A'!CV$117=1,INDEX('計算A'!CW$10:CW$54,$B18),0))*500,0)-IF(AND($L18=1,'計算A'!CV$117=1,GU18=0),300,0))),1000000))</f>
        <v/>
      </c>
      <c r="RY18">
        <f>IF($B18=0,1000000,IF(INDEX('計算A'!$D$60:$EQ$104,$B18,98)*GU18=1,IF(AND($E18=2,MJ18=0),1000000,IF($I18&gt;0,IF(5=$J18,IF(OR(AND(98=$I18+1,OR($K18&lt;&gt;'計算A'!$A$3,'計算A'!$A$4=0)),AND(98=$I18-1,OR(2&lt;&gt;'計算A'!$A$3,'計算A'!$A$4=0))),0,IF(2=$K18,200000,ABS(2-$K18)*100)),100000+ABS(5-$J18)*1000+20)+'計算A'!CW$5*50+IF(AND($E18=1,MJ18=0),25,0),INDEX('計算A'!CW$110:CW$114,$F18+1)+IF(AND($E18=1,MJ18=0),1000,0)+IF($H18=1,(IF('計算A'!CV$117=1,INDEX('計算A'!CV$10:CV$54,$B18),0)+IF('計算A'!CW$117=1,INDEX('計算A'!CX$10:CX$54,$B18),0))*500,0)-IF(AND('計算A'!CV$117=1,XT18&gt;0),300,0)-IF(AND($L18=1,'計算A'!CW$117=1,GV18=0),300,0))),1000000))</f>
        <v/>
      </c>
      <c r="RZ18">
        <f>IF($B18=0,1000000,IF(INDEX('計算A'!$D$60:$EQ$104,$B18,99)*GV18=1,IF(AND($E18=2,MK18=0),1000000,IF($I18&gt;0,IF(5=$J18,IF(OR(AND(99=$I18+1,OR($K18&lt;&gt;'計算A'!$A$3,'計算A'!$A$4=0)),AND(99=$I18-1,OR(3&lt;&gt;'計算A'!$A$3,'計算A'!$A$4=0))),0,IF(3=$K18,200000,ABS(3-$K18)*100)),100000+ABS(5-$J18)*1000+30)+'計算A'!CX$5*50+IF(AND($E18=1,MK18=0),25,0),INDEX('計算A'!CX$110:CX$114,$F18+1)+IF(AND($E18=1,MK18=0),1000,0)+IF($H18=1,(IF('計算A'!CW$117=1,INDEX('計算A'!CW$10:CW$54,$B18),0)+IF('計算A'!CX$117=1,INDEX('計算A'!CY$10:CY$54,$B18),0))*500,0)-IF(AND('計算A'!CW$117=1,XU18&gt;0),300,0)-IF(AND($L18=1,'計算A'!CX$117=1,GW18=0),300,0))),1000000))</f>
        <v/>
      </c>
      <c r="SA18">
        <f>IF($B18=0,1000000,IF(INDEX('計算A'!$D$60:$EQ$104,$B18,100)*GW18=1,IF(AND($E18=2,ML18=0),1000000,IF($I18&gt;0,IF(5=$J18,IF(OR(AND(100=$I18+1,OR($K18&lt;&gt;'計算A'!$A$3,'計算A'!$A$4=0)),AND(100=$I18-1,OR(4&lt;&gt;'計算A'!$A$3,'計算A'!$A$4=0))),0,IF(4=$K18,200000,ABS(4-$K18)*100)),100000+ABS(5-$J18)*1000+40)+'計算A'!CY$5*50+IF(AND($E18=1,ML18=0),25,0),INDEX('計算A'!CY$110:CY$114,$F18+1)+IF(AND($E18=1,ML18=0),1000,0)+IF($H18=1,(IF('計算A'!CX$117=1,INDEX('計算A'!CX$10:CX$54,$B18),0)+IF('計算A'!CY$117=1,INDEX('計算A'!CZ$10:CZ$54,$B18),0))*500,0)-IF(AND('計算A'!CX$117=1,XV18&gt;0),300,0)-IF(AND($L18=1,'計算A'!CY$117=1,GX18=0),300,0))),1000000))</f>
        <v/>
      </c>
      <c r="SB18">
        <f>IF($B18=0,1000000,IF(INDEX('計算A'!$D$60:$EQ$104,$B18,101)*GX18=1,IF(AND($E18=2,MM18=0),1000000,IF($I18&gt;0,IF(5=$J18,IF(OR(AND(101=$I18+1,OR($K18&lt;&gt;'計算A'!$A$3,'計算A'!$A$4=0)),AND(101=$I18-1,OR(5&lt;&gt;'計算A'!$A$3,'計算A'!$A$4=0))),0,IF(5=$K18,200000,ABS(5-$K18)*100)),100000+ABS(5-$J18)*1000+50)+'計算A'!CZ$5*50+IF(AND($E18=1,MM18=0),25,0),INDEX('計算A'!CZ$110:CZ$114,$F18+1)+IF(AND($E18=1,MM18=0),1000,0)+IF($H18=1,(IF('計算A'!CY$117=1,INDEX('計算A'!CY$10:CY$54,$B18),0)+IF('計算A'!CZ$117=1,INDEX('計算A'!DA$10:DA$54,$B18),0))*500,0)-IF(AND('計算A'!CY$117=1,XW18&gt;0),300,0)-IF(AND($L18=1,'計算A'!CZ$117=1,GY18=0),300,0))),1000000))</f>
        <v/>
      </c>
      <c r="SC18">
        <f>IF($B18=0,1000000,IF(INDEX('計算A'!$D$60:$EQ$104,$B18,102)*GY18=1,IF(AND($E18=2,MN18=0),1000000,IF($I18&gt;0,IF(5=$J18,IF(OR(AND(102=$I18+1,OR($K18&lt;&gt;'計算A'!$A$3,'計算A'!$A$4=0)),AND(102=$I18-1,OR(6&lt;&gt;'計算A'!$A$3,'計算A'!$A$4=0))),0,IF(6=$K18,200000,ABS(6-$K18)*100)),100000+ABS(5-$J18)*1000+60)+'計算A'!DA$5*50+IF(AND($E18=1,MN18=0),25,0),INDEX('計算A'!DA$110:DA$114,$F18+1)+IF(AND($E18=1,MN18=0),1000,0)+IF($H18=1,(IF('計算A'!CZ$117=1,INDEX('計算A'!CZ$10:CZ$54,$B18),0)+IF('計算A'!DA$117=1,INDEX('計算A'!DB$10:DB$54,$B18),0))*500,0)-IF(AND('計算A'!CZ$117=1,XX18&gt;0),300,0)-IF(AND($L18=1,'計算A'!DA$117=1,GZ18=0),300,0))),1000000))</f>
        <v/>
      </c>
      <c r="SD18">
        <f>IF($B18=0,1000000,IF(INDEX('計算A'!$D$60:$EQ$104,$B18,103)*GZ18=1,IF(AND($E18=2,MO18=0),1000000,IF($I18&gt;0,IF(5=$J18,IF(OR(AND(103=$I18+1,OR($K18&lt;&gt;'計算A'!$A$3,'計算A'!$A$4=0)),AND(103=$I18-1,OR(7&lt;&gt;'計算A'!$A$3,'計算A'!$A$4=0))),0,IF(7=$K18,200000,ABS(7-$K18)*100)),100000+ABS(5-$J18)*1000+70)+'計算A'!DB$5*50+IF(AND($E18=1,MO18=0),25,0),INDEX('計算A'!DB$110:DB$114,$F18+1)+IF(AND($E18=1,MO18=0),1000,0)+IF($H18=1,(IF('計算A'!DA$117=1,INDEX('計算A'!DA$10:DA$54,$B18),0)+IF('計算A'!DB$117=1,INDEX('計算A'!DC$10:DC$54,$B18),0))*500,0)-IF(AND('計算A'!DA$117=1,XY18&gt;0),300,0)-IF(AND($L18=1,'計算A'!DB$117=1,HA18=0),300,0))),1000000))</f>
        <v/>
      </c>
      <c r="SE18">
        <f>IF($B18=0,1000000,IF(INDEX('計算A'!$D$60:$EQ$104,$B18,104)*HA18=1,IF(AND($E18=2,MP18=0),1000000,IF($I18&gt;0,IF(5=$J18,IF(OR(AND(104=$I18+1,OR($K18&lt;&gt;'計算A'!$A$3,'計算A'!$A$4=0)),AND(104=$I18-1,OR(8&lt;&gt;'計算A'!$A$3,'計算A'!$A$4=0))),0,IF(8=$K18,200000,ABS(8-$K18)*100)),100000+ABS(5-$J18)*1000+80)+'計算A'!DC$5*50+IF(AND($E18=1,MP18=0),25,0),INDEX('計算A'!DC$110:DC$114,$F18+1)+IF(AND($E18=1,MP18=0),1000,0)+IF($H18=1,(IF('計算A'!DB$117=1,INDEX('計算A'!DB$10:DB$54,$B18),0)+IF('計算A'!DC$117=1,INDEX('計算A'!DD$10:DD$54,$B18),0))*500,0)-IF(AND('計算A'!DB$117=1,XZ18&gt;0),300,0)-IF(AND($L18=1,'計算A'!DC$117=1,HB18=0),300,0))),1000000))</f>
        <v/>
      </c>
      <c r="SF18">
        <f>IF($B18=0,1000000,IF(INDEX('計算A'!$D$60:$EQ$104,$B18,105)*HB18=1,IF(AND($E18=2,MQ18=0),1000000,IF($I18&gt;0,IF(5=$J18,IF(OR(AND(105=$I18+1,OR($K18&lt;&gt;'計算A'!$A$3,'計算A'!$A$4=0)),AND(105=$I18-1,OR(9&lt;&gt;'計算A'!$A$3,'計算A'!$A$4=0))),0,IF(9=$K18,200000,ABS(9-$K18)*100)),100000+ABS(5-$J18)*1000+90)+'計算A'!DD$5*50+IF(AND($E18=1,MQ18=0),25,0),INDEX('計算A'!DD$110:DD$114,$F18+1)+IF(AND($E18=1,MQ18=0),1000,0)+IF($H18=1,(IF('計算A'!DC$117=1,INDEX('計算A'!DC$10:DC$54,$B18),0)+IF('計算A'!DD$117=1,INDEX('計算A'!DE$10:DE$54,$B18),0))*500,0)-IF(AND('計算A'!DC$117=1,YA18&gt;0),300,0)-IF(AND($L18=1,'計算A'!DD$117=1,HC18=0),300,0))),1000000))</f>
        <v/>
      </c>
      <c r="SG18">
        <f>IF($B18=0,1000000,IF(INDEX('計算A'!$D$60:$EQ$104,$B18,106)*HC18=1,IF(AND($E18=2,MR18=0),1000000,IF($I18&gt;0,IF(5=$J18,IF(OR(AND(106=$I18+1,OR($K18&lt;&gt;'計算A'!$A$3,'計算A'!$A$4=0)),AND(106=$I18-1,OR(10&lt;&gt;'計算A'!$A$3,'計算A'!$A$4=0))),0,IF(10=$K18,200000,ABS(10-$K18)*100)),100000+ABS(5-$J18)*1000+100)+'計算A'!DE$5*50+IF(AND($E18=1,MR18=0),25,0),INDEX('計算A'!DE$110:DE$114,$F18+1)+IF(AND($E18=1,MR18=0),1000,0)+IF($H18=1,(IF('計算A'!DD$117=1,INDEX('計算A'!DD$10:DD$54,$B18),0)+IF('計算A'!DE$117=1,INDEX('計算A'!DF$10:DF$54,$B18),0))*500,0)-IF(AND('計算A'!DD$117=1,YB18&gt;0),300,0)-IF(AND($L18=1,'計算A'!DE$117=1,HD18=0),300,0))),1000000))</f>
        <v/>
      </c>
      <c r="SH18">
        <f>IF($B18=0,1000000,IF(INDEX('計算A'!$D$60:$EQ$104,$B18,107)*HD18=1,IF(AND($E18=2,MS18=0),1000000,IF($I18&gt;0,IF(5=$J18,IF(OR(AND(107=$I18+1,OR($K18&lt;&gt;'計算A'!$A$3,'計算A'!$A$4=0)),AND(107=$I18-1,OR(11&lt;&gt;'計算A'!$A$3,'計算A'!$A$4=0))),0,IF(11=$K18,200000,ABS(11-$K18)*100)),100000+ABS(5-$J18)*1000+110)+'計算A'!DF$5*50+IF(AND($E18=1,MS18=0),25,0),INDEX('計算A'!DF$110:DF$114,$F18+1)+IF(AND($E18=1,MS18=0),1000,0)+IF($H18=1,(IF('計算A'!DE$117=1,INDEX('計算A'!DE$10:DE$54,$B18),0)+IF('計算A'!DF$117=1,INDEX('計算A'!DG$10:DG$54,$B18),0))*500,0)-IF(AND('計算A'!DE$117=1,YC18&gt;0),300,0)-IF(AND($L18=1,'計算A'!DF$117=1,HE18=0),300,0))),1000000))</f>
        <v/>
      </c>
      <c r="SI18">
        <f>IF($B18=0,1000000,IF(INDEX('計算A'!$D$60:$EQ$104,$B18,108)*HE18=1,IF(AND($E18=2,MT18=0),1000000,IF($I18&gt;0,IF(5=$J18,IF(OR(AND(108=$I18+1,OR($K18&lt;&gt;'計算A'!$A$3,'計算A'!$A$4=0)),AND(108=$I18-1,OR(12&lt;&gt;'計算A'!$A$3,'計算A'!$A$4=0))),0,IF(12=$K18,200000,ABS(12-$K18)*100)),100000+ABS(5-$J18)*1000+120)+'計算A'!DG$5*50+IF(AND($E18=1,MT18=0),25,0),INDEX('計算A'!DG$110:DG$114,$F18+1)+IF(AND($E18=1,MT18=0),1000,0)+IF($H18=1,(IF('計算A'!DF$117=1,INDEX('計算A'!DF$10:DF$54,$B18),0)+IF('計算A'!DG$117=1,INDEX('計算A'!DH$10:DH$54,$B18),0))*500,0)-IF(AND('計算A'!DF$117=1,YD18&gt;0),300,0)-IF(AND($L18=1,'計算A'!DG$117=1,HF18=0),300,0))),1000000))</f>
        <v/>
      </c>
      <c r="SJ18">
        <f>IF($B18=0,1000000,IF(INDEX('計算A'!$D$60:$EQ$104,$B18,109)*HF18=1,IF(AND($E18=2,MU18=0),1000000,IF($I18&gt;0,IF(5=$J18,IF(OR(AND(109=$I18+1,OR($K18&lt;&gt;'計算A'!$A$3,'計算A'!$A$4=0)),AND(109=$I18-1,OR(13&lt;&gt;'計算A'!$A$3,'計算A'!$A$4=0))),0,IF(13=$K18,200000,ABS(13-$K18)*100)),100000+ABS(5-$J18)*1000+130)+'計算A'!DH$5*50+IF(AND($E18=1,MU18=0),25,0),INDEX('計算A'!DH$110:DH$114,$F18+1)+IF(AND($E18=1,MU18=0),1000,0)+IF($H18=1,(IF('計算A'!DG$117=1,INDEX('計算A'!DG$10:DG$54,$B18),0)+IF('計算A'!DH$117=1,INDEX('計算A'!DI$10:DI$54,$B18),0))*500,0)-IF(AND('計算A'!DG$117=1,YE18&gt;0),300,0)-IF(AND($L18=1,'計算A'!DH$117=1,HG18=0),300,0))),1000000))</f>
        <v/>
      </c>
      <c r="SK18">
        <f>IF($B18=0,1000000,IF(INDEX('計算A'!$D$60:$EQ$104,$B18,110)*HG18=1,IF(AND($E18=2,MV18=0),1000000,IF($I18&gt;0,IF(5=$J18,IF(OR(AND(110=$I18+1,OR($K18&lt;&gt;'計算A'!$A$3,'計算A'!$A$4=0)),AND(110=$I18-1,OR(14&lt;&gt;'計算A'!$A$3,'計算A'!$A$4=0))),0,IF(14=$K18,200000,ABS(14-$K18)*100)),100000+ABS(5-$J18)*1000+140)+'計算A'!DI$5*50+IF(AND($E18=1,MV18=0),25,0),INDEX('計算A'!DI$110:DI$114,$F18+1)+IF(AND($E18=1,MV18=0),1000,0)+IF($H18=1,(IF('計算A'!DH$117=1,INDEX('計算A'!DH$10:DH$54,$B18),0)+IF('計算A'!DI$117=1,INDEX('計算A'!DJ$10:DJ$54,$B18),0))*500,0)-IF(AND('計算A'!DH$117=1,YF18&gt;0),300,0)-IF(AND($L18=1,'計算A'!DI$117=1,HH18=0),300,0))),1000000))</f>
        <v/>
      </c>
      <c r="SL18">
        <f>IF($B18=0,1000000,IF(INDEX('計算A'!$D$60:$EQ$104,$B18,111)*HH18=1,IF(AND($E18=2,MW18=0),1000000,IF($I18&gt;0,IF(5=$J18,IF(OR(AND(111=$I18+1,OR($K18&lt;&gt;'計算A'!$A$3,'計算A'!$A$4=0)),AND(111=$I18-1,OR(15&lt;&gt;'計算A'!$A$3,'計算A'!$A$4=0))),0,IF(15=$K18,200000,ABS(15-$K18)*100)),100000+ABS(5-$J18)*1000+150)+'計算A'!DJ$5*50+IF(AND($E18=1,MW18=0),25,0),INDEX('計算A'!DJ$110:DJ$114,$F18+1)+IF(AND($E18=1,MW18=0),1000,0)+IF($H18=1,(IF('計算A'!DI$117=1,INDEX('計算A'!DI$10:DI$54,$B18),0)+IF('計算A'!DJ$117=1,INDEX('計算A'!DK$10:DK$54,$B18),0))*500,0)-IF(AND('計算A'!DI$117=1,YG18&gt;0),300,0)-IF(AND($L18=1,'計算A'!DJ$117=1,HI18=0),300,0))),1000000))</f>
        <v/>
      </c>
      <c r="SM18">
        <f>IF($B18=0,1000000,IF(INDEX('計算A'!$D$60:$EQ$104,$B18,112)*HI18=1,IF(AND($E18=2,MX18=0),1000000,IF($I18&gt;0,IF(5=$J18,IF(OR(AND(112=$I18+1,OR($K18&lt;&gt;'計算A'!$A$3,'計算A'!$A$4=0)),AND(112=$I18-1,OR(16&lt;&gt;'計算A'!$A$3,'計算A'!$A$4=0))),0,IF(16=$K18,200000,ABS(16-$K18)*100)),100000+ABS(5-$J18)*1000+160)+'計算A'!DK$5*50+IF(AND($E18=1,MX18=0),25,0),INDEX('計算A'!DK$110:DK$114,$F18+1)+IF(AND($E18=1,MX18=0),1000,0)+IF($H18=1,(IF('計算A'!DJ$117=1,INDEX('計算A'!DJ$10:DJ$54,$B18),0)+IF('計算A'!DK$117=1,INDEX('計算A'!DL$10:DL$54,$B18),0))*500,0)-IF(AND('計算A'!DJ$117=1,YH18&gt;0),300,0)-IF(AND($L18=1,'計算A'!DK$117=1,HJ18=0),300,0))),1000000))</f>
        <v/>
      </c>
      <c r="SN18">
        <f>IF($B18=0,1000000,IF(INDEX('計算A'!$D$60:$EQ$104,$B18,113)*HJ18=1,IF(AND($E18=2,MY18=0),1000000,IF($I18&gt;0,IF(5=$J18,IF(OR(AND(113=$I18+1,OR($K18&lt;&gt;'計算A'!$A$3,'計算A'!$A$4=0)),AND(113=$I18-1,OR(17&lt;&gt;'計算A'!$A$3,'計算A'!$A$4=0))),0,IF(17=$K18,200000,ABS(17-$K18)*100)),100000+ABS(5-$J18)*1000+170)+'計算A'!DL$5*50+IF(AND($E18=1,MY18=0),25,0),INDEX('計算A'!DL$110:DL$114,$F18+1)+IF(AND($E18=1,MY18=0),1000,0)+IF($H18=1,(IF('計算A'!DK$117=1,INDEX('計算A'!DK$10:DK$54,$B18),0)+IF('計算A'!DL$117=1,INDEX('計算A'!DM$10:DM$54,$B18),0))*500,0)-IF(AND('計算A'!DK$117=1,YI18&gt;0),300,0)-IF(AND($L18=1,'計算A'!DL$117=1,HK18=0),300,0))),1000000))</f>
        <v/>
      </c>
      <c r="SO18">
        <f>IF($B18=0,1000000,IF(INDEX('計算A'!$D$60:$EQ$104,$B18,114)*HK18=1,IF(AND($E18=2,MZ18=0),1000000,IF($I18&gt;0,IF(5=$J18,IF(OR(AND(114=$I18+1,OR($K18&lt;&gt;'計算A'!$A$3,'計算A'!$A$4=0)),AND(114=$I18-1,OR(18&lt;&gt;'計算A'!$A$3,'計算A'!$A$4=0))),0,IF(18=$K18,200000,ABS(18-$K18)*100)),100000+ABS(5-$J18)*1000+180)+'計算A'!DM$5*50+IF(AND($E18=1,MZ18=0),25,0),INDEX('計算A'!DM$110:DM$114,$F18+1)+IF(AND($E18=1,MZ18=0),1000,0)+IF($H18=1,(IF('計算A'!DL$117=1,INDEX('計算A'!DL$10:DL$54,$B18),0)+IF('計算A'!DM$117=1,INDEX('計算A'!DN$10:DN$54,$B18),0))*500,0)-IF(AND('計算A'!DL$117=1,YJ18&gt;0),300,0)-IF(AND($L18=1,'計算A'!DM$117=1,HL18=0),300,0))),1000000))</f>
        <v/>
      </c>
      <c r="SP18">
        <f>IF($B18=0,1000000,IF(INDEX('計算A'!$D$60:$EQ$104,$B18,115)*HL18=1,IF(AND($E18=2,NA18=0),1000000,IF($I18&gt;0,IF(5=$J18,IF(OR(AND(115=$I18+1,OR($K18&lt;&gt;'計算A'!$A$3,'計算A'!$A$4=0)),AND(115=$I18-1,OR(19&lt;&gt;'計算A'!$A$3,'計算A'!$A$4=0))),0,IF(19=$K18,200000,ABS(19-$K18)*100)),100000+ABS(5-$J18)*1000+190)+'計算A'!DN$5*50+IF(AND($E18=1,NA18=0),25,0),INDEX('計算A'!DN$110:DN$114,$F18+1)+IF(AND($E18=1,NA18=0),1000,0)+IF($H18=1,(IF('計算A'!DM$117=1,INDEX('計算A'!DM$10:DM$54,$B18),0)+IF('計算A'!DN$117=1,INDEX('計算A'!DO$10:DO$54,$B18),0))*500,0)-IF(AND('計算A'!DM$117=1,YK18&gt;0),300,0)-IF(AND($L18=1,'計算A'!DN$117=1,HM18=0),300,0))),1000000))</f>
        <v/>
      </c>
      <c r="SQ18">
        <f>IF($B18=0,1000000,IF(INDEX('計算A'!$D$60:$EQ$104,$B18,116)*HM18=1,IF(AND($E18=2,NB18=0),1000000,IF($I18&gt;0,IF(5=$J18,IF(OR(AND(116=$I18+1,OR($K18&lt;&gt;'計算A'!$A$3,'計算A'!$A$4=0)),AND(116=$I18-1,OR(20&lt;&gt;'計算A'!$A$3,'計算A'!$A$4=0))),0,IF(20=$K18,200000,ABS(20-$K18)*100)),100000+ABS(5-$J18)*1000+200)+'計算A'!DO$5*50+IF(AND($E18=1,NB18=0),25,0),INDEX('計算A'!DO$110:DO$114,$F18+1)+IF(AND($E18=1,NB18=0),1000,0)+IF($H18=1,(IF('計算A'!DN$117=1,INDEX('計算A'!DN$10:DN$54,$B18),0)+IF('計算A'!DO$117=1,INDEX('計算A'!DP$10:DP$54,$B18),0))*500,0)-IF(AND('計算A'!DN$117=1,YL18&gt;0),300,0)-IF(AND($L18=1,'計算A'!DO$117=1,HN18=0),300,0))),1000000))</f>
        <v/>
      </c>
      <c r="SR18">
        <f>IF($B18=0,1000000,IF(INDEX('計算A'!$D$60:$EQ$104,$B18,117)*HN18=1,IF(AND($E18=2,NC18=0),1000000,IF($I18&gt;0,IF(5=$J18,IF(OR(AND(117=$I18+1,OR($K18&lt;&gt;'計算A'!$A$3,'計算A'!$A$4=0)),AND(117=$I18-1,OR(21&lt;&gt;'計算A'!$A$3,'計算A'!$A$4=0))),0,IF(21=$K18,200000,ABS(21-$K18)*100)),100000+ABS(5-$J18)*1000+210)+'計算A'!DP$5*50+IF(AND($E18=1,NC18=0),25,0),INDEX('計算A'!DP$110:DP$114,$F18+1)+IF(AND($E18=1,NC18=0),1000,0)+IF($H18=1,(IF('計算A'!DO$117=1,INDEX('計算A'!DO$10:DO$54,$B18),0)+IF('計算A'!DP$117=1,INDEX('計算A'!DQ$10:DQ$54,$B18),0))*500,0)-IF(AND('計算A'!DO$117=1,YM18&gt;0),300,0)-IF(AND($L18=1,'計算A'!DP$117=1,HO18=0),300,0))),1000000))</f>
        <v/>
      </c>
      <c r="SS18">
        <f>IF($B18=0,1000000,IF(INDEX('計算A'!$D$60:$EQ$104,$B18,118)*HO18=1,IF(AND($E18=2,ND18=0),1000000,IF($I18&gt;0,IF(5=$J18,IF(OR(AND(118=$I18+1,OR($K18&lt;&gt;'計算A'!$A$3,'計算A'!$A$4=0)),AND(118=$I18-1,OR(22&lt;&gt;'計算A'!$A$3,'計算A'!$A$4=0))),0,IF(22=$K18,200000,ABS(22-$K18)*100)),100000+ABS(5-$J18)*1000+220)+'計算A'!DQ$5*50+IF(AND($E18=1,ND18=0),25,0),INDEX('計算A'!DQ$110:DQ$114,$F18+1)+IF(AND($E18=1,ND18=0),1000,0)+IF($H18=1,(IF('計算A'!DP$117=1,INDEX('計算A'!DP$10:DP$54,$B18),0)+IF('計算A'!DQ$117=1,INDEX('計算A'!DR$10:DR$54,$B18),0))*500,0)-IF(AND('計算A'!DP$117=1,YN18&gt;0),300,0)-IF(AND($L18=1,'計算A'!DQ$117=1,HP18=0),300,0))),1000000))</f>
        <v/>
      </c>
      <c r="ST18">
        <f>IF($B18=0,1000000,IF(INDEX('計算A'!$D$60:$EQ$104,$B18,119)*HP18=1,IF(AND($E18=2,NE18=0),1000000,IF($I18&gt;0,IF(5=$J18,IF(OR(AND(119=$I18+1,OR($K18&lt;&gt;'計算A'!$A$3,'計算A'!$A$4=0)),AND(119=$I18-1,OR(23&lt;&gt;'計算A'!$A$3,'計算A'!$A$4=0))),0,IF(23=$K18,200000,ABS(23-$K18)*100)),100000+ABS(5-$J18)*1000+230)+'計算A'!DR$5*50+IF(AND($E18=1,NE18=0),25,0),INDEX('計算A'!DR$110:DR$114,$F18+1)+IF(AND($E18=1,NE18=0),1000,0)+IF($H18=1,(IF('計算A'!DQ$117=1,INDEX('計算A'!DQ$10:DQ$54,$B18),0)+IF('計算A'!DR$117=1,INDEX('計算A'!DS$10:DS$54,$B18),0))*500,0)-IF(AND('計算A'!DQ$117=1,YO18&gt;0),300,0)-IF(AND($L18=1,'計算A'!DR$117=1,HQ18=0),300,0))),1000000))</f>
        <v/>
      </c>
      <c r="SU18">
        <f>IF($B18=0,1000000,IF(INDEX('計算A'!$D$60:$EQ$104,$B18,120)*HQ18=1,IF(AND($E18=2,NF18=0),1000000,IF($I18&gt;0,IF(5=$J18,IF(OR(AND(120=$I18+1,OR($K18&lt;&gt;'計算A'!$A$3,'計算A'!$A$4=0)),AND(120=$I18-1,OR(24&lt;&gt;'計算A'!$A$3,'計算A'!$A$4=0))),0,IF(24=$K18,200000,ABS(24-$K18)*100)),100000+ABS(5-$J18)*1000+240)+'計算A'!DS$5*50+IF(AND($E18=1,NF18=0),25,0),INDEX('計算A'!DS$110:DS$114,$F18+1)+IF(AND($E18=1,NF18=0),1000,0)+IF($H18=1,(IF('計算A'!DR$117=1,INDEX('計算A'!DR$10:DR$54,$B18),0))*500,0)-IF(AND('計算A'!DR$117=1,YP18&gt;0),300,0))),1000000))</f>
        <v/>
      </c>
      <c r="SV18">
        <f>IF($B18=0,1000000,IF(INDEX('計算A'!$D$60:$EQ$104,$B18,121)*HR18=1,IF(AND($E18=2,NG18=0),1000000,IF($I18&gt;0,IF(6=$J18,IF(OR(AND(121=$I18+1,OR($K18&lt;&gt;'計算A'!$A$3,'計算A'!$A$4=0)),AND(121=$I18-1,OR(1&lt;&gt;'計算A'!$A$3,'計算A'!$A$4=0))),0,IF(1=$K18,200000,ABS(1-$K18)*100)),100000+ABS(6-$J18)*1000+10)+'計算A'!DT$5*50+IF(AND($E18=1,NG18=0),25,0),INDEX('計算A'!DT$110:DT$114,$F18+1)+IF(AND($E18=1,NG18=0),1000,0)+IF($H18=1,(IF('計算A'!DT$117=1,INDEX('計算A'!DU$10:DU$54,$B18),0))*500,0)-IF(AND($L18=1,'計算A'!DT$117=1,HS18=0),300,0))),1000000))</f>
        <v/>
      </c>
      <c r="SW18">
        <f>IF($B18=0,1000000,IF(INDEX('計算A'!$D$60:$EQ$104,$B18,122)*HS18=1,IF(AND($E18=2,NH18=0),1000000,IF($I18&gt;0,IF(6=$J18,IF(OR(AND(122=$I18+1,OR($K18&lt;&gt;'計算A'!$A$3,'計算A'!$A$4=0)),AND(122=$I18-1,OR(2&lt;&gt;'計算A'!$A$3,'計算A'!$A$4=0))),0,IF(2=$K18,200000,ABS(2-$K18)*100)),100000+ABS(6-$J18)*1000+20)+'計算A'!DU$5*50+IF(AND($E18=1,NH18=0),25,0),INDEX('計算A'!DU$110:DU$114,$F18+1)+IF(AND($E18=1,NH18=0),1000,0)+IF($H18=1,(IF('計算A'!DT$117=1,INDEX('計算A'!DT$10:DT$54,$B18),0)+IF('計算A'!DU$117=1,INDEX('計算A'!DV$10:DV$54,$B18),0))*500,0)-IF(AND('計算A'!DT$117=1,YR18&gt;0),300,0)-IF(AND($L18=1,'計算A'!DU$117=1,HT18=0),300,0))),1000000))</f>
        <v/>
      </c>
      <c r="SX18">
        <f>IF($B18=0,1000000,IF(INDEX('計算A'!$D$60:$EQ$104,$B18,123)*HT18=1,IF(AND($E18=2,NI18=0),1000000,IF($I18&gt;0,IF(6=$J18,IF(OR(AND(123=$I18+1,OR($K18&lt;&gt;'計算A'!$A$3,'計算A'!$A$4=0)),AND(123=$I18-1,OR(3&lt;&gt;'計算A'!$A$3,'計算A'!$A$4=0))),0,IF(3=$K18,200000,ABS(3-$K18)*100)),100000+ABS(6-$J18)*1000+30)+'計算A'!DV$5*50+IF(AND($E18=1,NI18=0),25,0),INDEX('計算A'!DV$110:DV$114,$F18+1)+IF(AND($E18=1,NI18=0),1000,0)+IF($H18=1,(IF('計算A'!DU$117=1,INDEX('計算A'!DU$10:DU$54,$B18),0)+IF('計算A'!DV$117=1,INDEX('計算A'!DW$10:DW$54,$B18),0))*500,0)-IF(AND('計算A'!DU$117=1,YS18&gt;0),300,0)-IF(AND($L18=1,'計算A'!DV$117=1,HU18=0),300,0))),1000000))</f>
        <v/>
      </c>
      <c r="SY18">
        <f>IF($B18=0,1000000,IF(INDEX('計算A'!$D$60:$EQ$104,$B18,124)*HU18=1,IF(AND($E18=2,NJ18=0),1000000,IF($I18&gt;0,IF(6=$J18,IF(OR(AND(124=$I18+1,OR($K18&lt;&gt;'計算A'!$A$3,'計算A'!$A$4=0)),AND(124=$I18-1,OR(4&lt;&gt;'計算A'!$A$3,'計算A'!$A$4=0))),0,IF(4=$K18,200000,ABS(4-$K18)*100)),100000+ABS(6-$J18)*1000+40)+'計算A'!DW$5*50+IF(AND($E18=1,NJ18=0),25,0),INDEX('計算A'!DW$110:DW$114,$F18+1)+IF(AND($E18=1,NJ18=0),1000,0)+IF($H18=1,(IF('計算A'!DV$117=1,INDEX('計算A'!DV$10:DV$54,$B18),0)+IF('計算A'!DW$117=1,INDEX('計算A'!DX$10:DX$54,$B18),0))*500,0)-IF(AND('計算A'!DV$117=1,YT18&gt;0),300,0)-IF(AND($L18=1,'計算A'!DW$117=1,HV18=0),300,0))),1000000))</f>
        <v/>
      </c>
      <c r="SZ18">
        <f>IF($B18=0,1000000,IF(INDEX('計算A'!$D$60:$EQ$104,$B18,125)*HV18=1,IF(AND($E18=2,NK18=0),1000000,IF($I18&gt;0,IF(6=$J18,IF(OR(AND(125=$I18+1,OR($K18&lt;&gt;'計算A'!$A$3,'計算A'!$A$4=0)),AND(125=$I18-1,OR(5&lt;&gt;'計算A'!$A$3,'計算A'!$A$4=0))),0,IF(5=$K18,200000,ABS(5-$K18)*100)),100000+ABS(6-$J18)*1000+50)+'計算A'!DX$5*50+IF(AND($E18=1,NK18=0),25,0),INDEX('計算A'!DX$110:DX$114,$F18+1)+IF(AND($E18=1,NK18=0),1000,0)+IF($H18=1,(IF('計算A'!DW$117=1,INDEX('計算A'!DW$10:DW$54,$B18),0)+IF('計算A'!DX$117=1,INDEX('計算A'!DY$10:DY$54,$B18),0))*500,0)-IF(AND('計算A'!DW$117=1,YU18&gt;0),300,0)-IF(AND($L18=1,'計算A'!DX$117=1,HW18=0),300,0))),1000000))</f>
        <v/>
      </c>
      <c r="TA18">
        <f>IF($B18=0,1000000,IF(INDEX('計算A'!$D$60:$EQ$104,$B18,126)*HW18=1,IF(AND($E18=2,NL18=0),1000000,IF($I18&gt;0,IF(6=$J18,IF(OR(AND(126=$I18+1,OR($K18&lt;&gt;'計算A'!$A$3,'計算A'!$A$4=0)),AND(126=$I18-1,OR(6&lt;&gt;'計算A'!$A$3,'計算A'!$A$4=0))),0,IF(6=$K18,200000,ABS(6-$K18)*100)),100000+ABS(6-$J18)*1000+60)+'計算A'!DY$5*50+IF(AND($E18=1,NL18=0),25,0),INDEX('計算A'!DY$110:DY$114,$F18+1)+IF(AND($E18=1,NL18=0),1000,0)+IF($H18=1,(IF('計算A'!DX$117=1,INDEX('計算A'!DX$10:DX$54,$B18),0)+IF('計算A'!DY$117=1,INDEX('計算A'!DZ$10:DZ$54,$B18),0))*500,0)-IF(AND('計算A'!DX$117=1,YV18&gt;0),300,0)-IF(AND($L18=1,'計算A'!DY$117=1,HX18=0),300,0))),1000000))</f>
        <v/>
      </c>
      <c r="TB18">
        <f>IF($B18=0,1000000,IF(INDEX('計算A'!$D$60:$EQ$104,$B18,127)*HX18=1,IF(AND($E18=2,NM18=0),1000000,IF($I18&gt;0,IF(6=$J18,IF(OR(AND(127=$I18+1,OR($K18&lt;&gt;'計算A'!$A$3,'計算A'!$A$4=0)),AND(127=$I18-1,OR(7&lt;&gt;'計算A'!$A$3,'計算A'!$A$4=0))),0,IF(7=$K18,200000,ABS(7-$K18)*100)),100000+ABS(6-$J18)*1000+70)+'計算A'!DZ$5*50+IF(AND($E18=1,NM18=0),25,0),INDEX('計算A'!DZ$110:DZ$114,$F18+1)+IF(AND($E18=1,NM18=0),1000,0)+IF($H18=1,(IF('計算A'!DY$117=1,INDEX('計算A'!DY$10:DY$54,$B18),0)+IF('計算A'!DZ$117=1,INDEX('計算A'!EA$10:EA$54,$B18),0))*500,0)-IF(AND('計算A'!DY$117=1,YW18&gt;0),300,0)-IF(AND($L18=1,'計算A'!DZ$117=1,HY18=0),300,0))),1000000))</f>
        <v/>
      </c>
      <c r="TC18">
        <f>IF($B18=0,1000000,IF(INDEX('計算A'!$D$60:$EQ$104,$B18,128)*HY18=1,IF(AND($E18=2,NN18=0),1000000,IF($I18&gt;0,IF(6=$J18,IF(OR(AND(128=$I18+1,OR($K18&lt;&gt;'計算A'!$A$3,'計算A'!$A$4=0)),AND(128=$I18-1,OR(8&lt;&gt;'計算A'!$A$3,'計算A'!$A$4=0))),0,IF(8=$K18,200000,ABS(8-$K18)*100)),100000+ABS(6-$J18)*1000+80)+'計算A'!EA$5*50+IF(AND($E18=1,NN18=0),25,0),INDEX('計算A'!EA$110:EA$114,$F18+1)+IF(AND($E18=1,NN18=0),1000,0)+IF($H18=1,(IF('計算A'!DZ$117=1,INDEX('計算A'!DZ$10:DZ$54,$B18),0)+IF('計算A'!EA$117=1,INDEX('計算A'!EB$10:EB$54,$B18),0))*500,0)-IF(AND('計算A'!DZ$117=1,YX18&gt;0),300,0)-IF(AND($L18=1,'計算A'!EA$117=1,HZ18=0),300,0))),1000000))</f>
        <v/>
      </c>
      <c r="TD18">
        <f>IF($B18=0,1000000,IF(INDEX('計算A'!$D$60:$EQ$104,$B18,129)*HZ18=1,IF(AND($E18=2,NO18=0),1000000,IF($I18&gt;0,IF(6=$J18,IF(OR(AND(129=$I18+1,OR($K18&lt;&gt;'計算A'!$A$3,'計算A'!$A$4=0)),AND(129=$I18-1,OR(9&lt;&gt;'計算A'!$A$3,'計算A'!$A$4=0))),0,IF(9=$K18,200000,ABS(9-$K18)*100)),100000+ABS(6-$J18)*1000+90)+'計算A'!EB$5*50+IF(AND($E18=1,NO18=0),25,0),INDEX('計算A'!EB$110:EB$114,$F18+1)+IF(AND($E18=1,NO18=0),1000,0)+IF($H18=1,(IF('計算A'!EA$117=1,INDEX('計算A'!EA$10:EA$54,$B18),0)+IF('計算A'!EB$117=1,INDEX('計算A'!EC$10:EC$54,$B18),0))*500,0)-IF(AND('計算A'!EA$117=1,YY18&gt;0),300,0)-IF(AND($L18=1,'計算A'!EB$117=1,IA18=0),300,0))),1000000))</f>
        <v/>
      </c>
      <c r="TE18">
        <f>IF($B18=0,1000000,IF(INDEX('計算A'!$D$60:$EQ$104,$B18,130)*IA18=1,IF(AND($E18=2,NP18=0),1000000,IF($I18&gt;0,IF(6=$J18,IF(OR(AND(130=$I18+1,OR($K18&lt;&gt;'計算A'!$A$3,'計算A'!$A$4=0)),AND(130=$I18-1,OR(10&lt;&gt;'計算A'!$A$3,'計算A'!$A$4=0))),0,IF(10=$K18,200000,ABS(10-$K18)*100)),100000+ABS(6-$J18)*1000+100)+'計算A'!EC$5*50+IF(AND($E18=1,NP18=0),25,0),INDEX('計算A'!EC$110:EC$114,$F18+1)+IF(AND($E18=1,NP18=0),1000,0)+IF($H18=1,(IF('計算A'!EB$117=1,INDEX('計算A'!EB$10:EB$54,$B18),0)+IF('計算A'!EC$117=1,INDEX('計算A'!ED$10:ED$54,$B18),0))*500,0)-IF(AND('計算A'!EB$117=1,YZ18&gt;0),300,0)-IF(AND($L18=1,'計算A'!EC$117=1,IB18=0),300,0))),1000000))</f>
        <v/>
      </c>
      <c r="TF18">
        <f>IF($B18=0,1000000,IF(INDEX('計算A'!$D$60:$EQ$104,$B18,131)*IB18=1,IF(AND($E18=2,NQ18=0),1000000,IF($I18&gt;0,IF(6=$J18,IF(OR(AND(131=$I18+1,OR($K18&lt;&gt;'計算A'!$A$3,'計算A'!$A$4=0)),AND(131=$I18-1,OR(11&lt;&gt;'計算A'!$A$3,'計算A'!$A$4=0))),0,IF(11=$K18,200000,ABS(11-$K18)*100)),100000+ABS(6-$J18)*1000+110)+'計算A'!ED$5*50+IF(AND($E18=1,NQ18=0),25,0),INDEX('計算A'!ED$110:ED$114,$F18+1)+IF(AND($E18=1,NQ18=0),1000,0)+IF($H18=1,(IF('計算A'!EC$117=1,INDEX('計算A'!EC$10:EC$54,$B18),0)+IF('計算A'!ED$117=1,INDEX('計算A'!EE$10:EE$54,$B18),0))*500,0)-IF(AND('計算A'!EC$117=1,ZA18&gt;0),300,0)-IF(AND($L18=1,'計算A'!ED$117=1,IC18=0),300,0))),1000000))</f>
        <v/>
      </c>
      <c r="TG18">
        <f>IF($B18=0,1000000,IF(INDEX('計算A'!$D$60:$EQ$104,$B18,132)*IC18=1,IF(AND($E18=2,NR18=0),1000000,IF($I18&gt;0,IF(6=$J18,IF(OR(AND(132=$I18+1,OR($K18&lt;&gt;'計算A'!$A$3,'計算A'!$A$4=0)),AND(132=$I18-1,OR(12&lt;&gt;'計算A'!$A$3,'計算A'!$A$4=0))),0,IF(12=$K18,200000,ABS(12-$K18)*100)),100000+ABS(6-$J18)*1000+120)+'計算A'!EE$5*50+IF(AND($E18=1,NR18=0),25,0),INDEX('計算A'!EE$110:EE$114,$F18+1)+IF(AND($E18=1,NR18=0),1000,0)+IF($H18=1,(IF('計算A'!ED$117=1,INDEX('計算A'!ED$10:ED$54,$B18),0)+IF('計算A'!EE$117=1,INDEX('計算A'!EF$10:EF$54,$B18),0))*500,0)-IF(AND('計算A'!ED$117=1,ZB18&gt;0),300,0)-IF(AND($L18=1,'計算A'!EE$117=1,ID18=0),300,0))),1000000))</f>
        <v/>
      </c>
      <c r="TH18">
        <f>IF($B18=0,1000000,IF(INDEX('計算A'!$D$60:$EQ$104,$B18,133)*ID18=1,IF(AND($E18=2,NS18=0),1000000,IF($I18&gt;0,IF(6=$J18,IF(OR(AND(133=$I18+1,OR($K18&lt;&gt;'計算A'!$A$3,'計算A'!$A$4=0)),AND(133=$I18-1,OR(13&lt;&gt;'計算A'!$A$3,'計算A'!$A$4=0))),0,IF(13=$K18,200000,ABS(13-$K18)*100)),100000+ABS(6-$J18)*1000+130)+'計算A'!EF$5*50+IF(AND($E18=1,NS18=0),25,0),INDEX('計算A'!EF$110:EF$114,$F18+1)+IF(AND($E18=1,NS18=0),1000,0)+IF($H18=1,(IF('計算A'!EE$117=1,INDEX('計算A'!EE$10:EE$54,$B18),0)+IF('計算A'!EF$117=1,INDEX('計算A'!EG$10:EG$54,$B18),0))*500,0)-IF(AND('計算A'!EE$117=1,ZC18&gt;0),300,0)-IF(AND($L18=1,'計算A'!EF$117=1,IE18=0),300,0))),1000000))</f>
        <v/>
      </c>
      <c r="TI18">
        <f>IF($B18=0,1000000,IF(INDEX('計算A'!$D$60:$EQ$104,$B18,134)*IE18=1,IF(AND($E18=2,NT18=0),1000000,IF($I18&gt;0,IF(6=$J18,IF(OR(AND(134=$I18+1,OR($K18&lt;&gt;'計算A'!$A$3,'計算A'!$A$4=0)),AND(134=$I18-1,OR(14&lt;&gt;'計算A'!$A$3,'計算A'!$A$4=0))),0,IF(14=$K18,200000,ABS(14-$K18)*100)),100000+ABS(6-$J18)*1000+140)+'計算A'!EG$5*50+IF(AND($E18=1,NT18=0),25,0),INDEX('計算A'!EG$110:EG$114,$F18+1)+IF(AND($E18=1,NT18=0),1000,0)+IF($H18=1,(IF('計算A'!EF$117=1,INDEX('計算A'!EF$10:EF$54,$B18),0)+IF('計算A'!EG$117=1,INDEX('計算A'!EH$10:EH$54,$B18),0))*500,0)-IF(AND('計算A'!EF$117=1,ZD18&gt;0),300,0)-IF(AND($L18=1,'計算A'!EG$117=1,IF18=0),300,0))),1000000))</f>
        <v/>
      </c>
      <c r="TJ18">
        <f>IF($B18=0,1000000,IF(INDEX('計算A'!$D$60:$EQ$104,$B18,135)*IF18=1,IF(AND($E18=2,NU18=0),1000000,IF($I18&gt;0,IF(6=$J18,IF(OR(AND(135=$I18+1,OR($K18&lt;&gt;'計算A'!$A$3,'計算A'!$A$4=0)),AND(135=$I18-1,OR(15&lt;&gt;'計算A'!$A$3,'計算A'!$A$4=0))),0,IF(15=$K18,200000,ABS(15-$K18)*100)),100000+ABS(6-$J18)*1000+150)+'計算A'!EH$5*50+IF(AND($E18=1,NU18=0),25,0),INDEX('計算A'!EH$110:EH$114,$F18+1)+IF(AND($E18=1,NU18=0),1000,0)+IF($H18=1,(IF('計算A'!EG$117=1,INDEX('計算A'!EG$10:EG$54,$B18),0)+IF('計算A'!EH$117=1,INDEX('計算A'!EI$10:EI$54,$B18),0))*500,0)-IF(AND('計算A'!EG$117=1,ZE18&gt;0),300,0)-IF(AND($L18=1,'計算A'!EH$117=1,IG18=0),300,0))),1000000))</f>
        <v/>
      </c>
      <c r="TK18">
        <f>IF($B18=0,1000000,IF(INDEX('計算A'!$D$60:$EQ$104,$B18,136)*IG18=1,IF(AND($E18=2,NV18=0),1000000,IF($I18&gt;0,IF(6=$J18,IF(OR(AND(136=$I18+1,OR($K18&lt;&gt;'計算A'!$A$3,'計算A'!$A$4=0)),AND(136=$I18-1,OR(16&lt;&gt;'計算A'!$A$3,'計算A'!$A$4=0))),0,IF(16=$K18,200000,ABS(16-$K18)*100)),100000+ABS(6-$J18)*1000+160)+'計算A'!EI$5*50+IF(AND($E18=1,NV18=0),25,0),INDEX('計算A'!EI$110:EI$114,$F18+1)+IF(AND($E18=1,NV18=0),1000,0)+IF($H18=1,(IF('計算A'!EH$117=1,INDEX('計算A'!EH$10:EH$54,$B18),0)+IF('計算A'!EI$117=1,INDEX('計算A'!EJ$10:EJ$54,$B18),0))*500,0)-IF(AND('計算A'!EH$117=1,ZF18&gt;0),300,0)-IF(AND($L18=1,'計算A'!EI$117=1,IH18=0),300,0))),1000000))</f>
        <v/>
      </c>
      <c r="TL18">
        <f>IF($B18=0,1000000,IF(INDEX('計算A'!$D$60:$EQ$104,$B18,137)*IH18=1,IF(AND($E18=2,NW18=0),1000000,IF($I18&gt;0,IF(6=$J18,IF(OR(AND(137=$I18+1,OR($K18&lt;&gt;'計算A'!$A$3,'計算A'!$A$4=0)),AND(137=$I18-1,OR(17&lt;&gt;'計算A'!$A$3,'計算A'!$A$4=0))),0,IF(17=$K18,200000,ABS(17-$K18)*100)),100000+ABS(6-$J18)*1000+170)+'計算A'!EJ$5*50+IF(AND($E18=1,NW18=0),25,0),INDEX('計算A'!EJ$110:EJ$114,$F18+1)+IF(AND($E18=1,NW18=0),1000,0)+IF($H18=1,(IF('計算A'!EI$117=1,INDEX('計算A'!EI$10:EI$54,$B18),0)+IF('計算A'!EJ$117=1,INDEX('計算A'!EK$10:EK$54,$B18),0))*500,0)-IF(AND('計算A'!EI$117=1,ZG18&gt;0),300,0)-IF(AND($L18=1,'計算A'!EJ$117=1,II18=0),300,0))),1000000))</f>
        <v/>
      </c>
      <c r="TM18">
        <f>IF($B18=0,1000000,IF(INDEX('計算A'!$D$60:$EQ$104,$B18,138)*II18=1,IF(AND($E18=2,NX18=0),1000000,IF($I18&gt;0,IF(6=$J18,IF(OR(AND(138=$I18+1,OR($K18&lt;&gt;'計算A'!$A$3,'計算A'!$A$4=0)),AND(138=$I18-1,OR(18&lt;&gt;'計算A'!$A$3,'計算A'!$A$4=0))),0,IF(18=$K18,200000,ABS(18-$K18)*100)),100000+ABS(6-$J18)*1000+180)+'計算A'!EK$5*50+IF(AND($E18=1,NX18=0),25,0),INDEX('計算A'!EK$110:EK$114,$F18+1)+IF(AND($E18=1,NX18=0),1000,0)+IF($H18=1,(IF('計算A'!EJ$117=1,INDEX('計算A'!EJ$10:EJ$54,$B18),0)+IF('計算A'!EK$117=1,INDEX('計算A'!EL$10:EL$54,$B18),0))*500,0)-IF(AND('計算A'!EJ$117=1,ZH18&gt;0),300,0)-IF(AND($L18=1,'計算A'!EK$117=1,IJ18=0),300,0))),1000000))</f>
        <v/>
      </c>
      <c r="TN18">
        <f>IF($B18=0,1000000,IF(INDEX('計算A'!$D$60:$EQ$104,$B18,139)*IJ18=1,IF(AND($E18=2,NY18=0),1000000,IF($I18&gt;0,IF(6=$J18,IF(OR(AND(139=$I18+1,OR($K18&lt;&gt;'計算A'!$A$3,'計算A'!$A$4=0)),AND(139=$I18-1,OR(19&lt;&gt;'計算A'!$A$3,'計算A'!$A$4=0))),0,IF(19=$K18,200000,ABS(19-$K18)*100)),100000+ABS(6-$J18)*1000+190)+'計算A'!EL$5*50+IF(AND($E18=1,NY18=0),25,0),INDEX('計算A'!EL$110:EL$114,$F18+1)+IF(AND($E18=1,NY18=0),1000,0)+IF($H18=1,(IF('計算A'!EK$117=1,INDEX('計算A'!EK$10:EK$54,$B18),0)+IF('計算A'!EL$117=1,INDEX('計算A'!EM$10:EM$54,$B18),0))*500,0)-IF(AND('計算A'!EK$117=1,ZI18&gt;0),300,0)-IF(AND($L18=1,'計算A'!EL$117=1,IK18=0),300,0))),1000000))</f>
        <v/>
      </c>
      <c r="TO18">
        <f>IF($B18=0,1000000,IF(INDEX('計算A'!$D$60:$EQ$104,$B18,140)*IK18=1,IF(AND($E18=2,NZ18=0),1000000,IF($I18&gt;0,IF(6=$J18,IF(OR(AND(140=$I18+1,OR($K18&lt;&gt;'計算A'!$A$3,'計算A'!$A$4=0)),AND(140=$I18-1,OR(20&lt;&gt;'計算A'!$A$3,'計算A'!$A$4=0))),0,IF(20=$K18,200000,ABS(20-$K18)*100)),100000+ABS(6-$J18)*1000+200)+'計算A'!EM$5*50+IF(AND($E18=1,NZ18=0),25,0),INDEX('計算A'!EM$110:EM$114,$F18+1)+IF(AND($E18=1,NZ18=0),1000,0)+IF($H18=1,(IF('計算A'!EL$117=1,INDEX('計算A'!EL$10:EL$54,$B18),0)+IF('計算A'!EM$117=1,INDEX('計算A'!EN$10:EN$54,$B18),0))*500,0)-IF(AND('計算A'!EL$117=1,ZJ18&gt;0),300,0)-IF(AND($L18=1,'計算A'!EM$117=1,IL18=0),300,0))),1000000))</f>
        <v/>
      </c>
      <c r="TP18">
        <f>IF($B18=0,1000000,IF(INDEX('計算A'!$D$60:$EQ$104,$B18,141)*IL18=1,IF(AND($E18=2,OA18=0),1000000,IF($I18&gt;0,IF(6=$J18,IF(OR(AND(141=$I18+1,OR($K18&lt;&gt;'計算A'!$A$3,'計算A'!$A$4=0)),AND(141=$I18-1,OR(21&lt;&gt;'計算A'!$A$3,'計算A'!$A$4=0))),0,IF(21=$K18,200000,ABS(21-$K18)*100)),100000+ABS(6-$J18)*1000+210)+'計算A'!EN$5*50+IF(AND($E18=1,OA18=0),25,0),INDEX('計算A'!EN$110:EN$114,$F18+1)+IF(AND($E18=1,OA18=0),1000,0)+IF($H18=1,(IF('計算A'!EM$117=1,INDEX('計算A'!EM$10:EM$54,$B18),0)+IF('計算A'!EN$117=1,INDEX('計算A'!EO$10:EO$54,$B18),0))*500,0)-IF(AND('計算A'!EM$117=1,ZK18&gt;0),300,0)-IF(AND($L18=1,'計算A'!EN$117=1,IM18=0),300,0))),1000000))</f>
        <v/>
      </c>
      <c r="TQ18">
        <f>IF($B18=0,1000000,IF(INDEX('計算A'!$D$60:$EQ$104,$B18,142)*IM18=1,IF(AND($E18=2,OB18=0),1000000,IF($I18&gt;0,IF(6=$J18,IF(OR(AND(142=$I18+1,OR($K18&lt;&gt;'計算A'!$A$3,'計算A'!$A$4=0)),AND(142=$I18-1,OR(22&lt;&gt;'計算A'!$A$3,'計算A'!$A$4=0))),0,IF(22=$K18,200000,ABS(22-$K18)*100)),100000+ABS(6-$J18)*1000+220)+'計算A'!EO$5*50+IF(AND($E18=1,OB18=0),25,0),INDEX('計算A'!EO$110:EO$114,$F18+1)+IF(AND($E18=1,OB18=0),1000,0)+IF($H18=1,(IF('計算A'!EN$117=1,INDEX('計算A'!EN$10:EN$54,$B18),0)+IF('計算A'!EO$117=1,INDEX('計算A'!EP$10:EP$54,$B18),0))*500,0)-IF(AND('計算A'!EN$117=1,ZL18&gt;0),300,0)-IF(AND($L18=1,'計算A'!EO$117=1,IN18=0),300,0))),1000000))</f>
        <v/>
      </c>
      <c r="TR18">
        <f>IF($B18=0,1000000,IF(INDEX('計算A'!$D$60:$EQ$104,$B18,143)*IN18=1,IF(AND($E18=2,OC18=0),1000000,IF($I18&gt;0,IF(6=$J18,IF(OR(AND(143=$I18+1,OR($K18&lt;&gt;'計算A'!$A$3,'計算A'!$A$4=0)),AND(143=$I18-1,OR(23&lt;&gt;'計算A'!$A$3,'計算A'!$A$4=0))),0,IF(23=$K18,200000,ABS(23-$K18)*100)),100000+ABS(6-$J18)*1000+230)+'計算A'!EP$5*50+IF(AND($E18=1,OC18=0),25,0),INDEX('計算A'!EP$110:EP$114,$F18+1)+IF(AND($E18=1,OC18=0),1000,0)+IF($H18=1,(IF('計算A'!EO$117=1,INDEX('計算A'!EO$10:EO$54,$B18),0)+IF('計算A'!EP$117=1,INDEX('計算A'!EQ$10:EQ$54,$B18),0))*500,0)-IF(AND('計算A'!EO$117=1,ZM18&gt;0),300,0)-IF(AND($L18=1,'計算A'!EP$117=1,IO18=0),300,0))),1000000))</f>
        <v/>
      </c>
      <c r="TS18">
        <f>IF($B18=0,1000000,IF(INDEX('計算A'!$D$60:$EQ$104,$B18,144)*IO18=1,IF(AND($E18=2,OD18=0),1000000,IF($I18&gt;0,IF(6=$J18,IF(OR(AND(144=$I18+1,OR($K18&lt;&gt;'計算A'!$A$3,'計算A'!$A$4=0)),AND(144=$I18-1,OR(24&lt;&gt;'計算A'!$A$3,'計算A'!$A$4=0))),0,IF(24=$K18,200000,ABS(24-$K18)*100)),100000+ABS(6-$J18)*1000+240)+'計算A'!EQ$5*50+IF(AND($E18=1,OD18=0),25,0),INDEX('計算A'!EQ$110:EQ$114,$F18+1)+IF(AND($E18=1,OD18=0),1000,0)+IF($H18=1,(IF('計算A'!EP$117=1,INDEX('計算A'!EP$10:EP$54,$B18),0))*500,0)-IF(AND('計算A'!EP$117=1,ZN18&gt;0),300,0))),1000000))</f>
        <v/>
      </c>
      <c r="UB18">
        <f>UB17+IF(AND($C17=1,$L17=1),1,0)</f>
        <v/>
      </c>
      <c r="UC18">
        <f>UC17+IF(AND($C17=2,$L17=1),1,0)</f>
        <v/>
      </c>
      <c r="UD18">
        <f>UD17+IF(AND($C17=3,$L17=1),1,0)</f>
        <v/>
      </c>
      <c r="UE18">
        <f>UE17+IF(AND($C17=4,$L17=1),1,0)</f>
        <v/>
      </c>
      <c r="UF18">
        <f>UF17+IF(AND($C17=5,$L17=1),1,0)</f>
        <v/>
      </c>
      <c r="UG18">
        <f>UG17+IF(AND($C17=6,$L17=1),1,0)</f>
        <v/>
      </c>
      <c r="UH18">
        <f>UH17+IF(AND($C17=7,$L17=1),1,0)</f>
        <v/>
      </c>
      <c r="UI18">
        <f>UI17+IF(AND($C17=8,$L17=1),1,0)</f>
        <v/>
      </c>
      <c r="UJ18">
        <f>UJ17+IF(AND($C17=9,$L17=1),1,0)</f>
        <v/>
      </c>
      <c r="UK18">
        <f>UK17+IF(AND($C17=10,$L17=1),1,0)</f>
        <v/>
      </c>
      <c r="UL18">
        <f>UL17+IF(AND($C17=11,$L17=1),1,0)</f>
        <v/>
      </c>
      <c r="UM18">
        <f>UM17+IF(AND($C17=12,$L17=1),1,0)</f>
        <v/>
      </c>
      <c r="UN18">
        <f>UN17+IF(AND($C17=13,$L17=1),1,0)</f>
        <v/>
      </c>
      <c r="UO18">
        <f>UO17+IF(AND($C17=14,$L17=1),1,0)</f>
        <v/>
      </c>
      <c r="UP18">
        <f>UP17+IF(AND($C17=15,$L17=1),1,0)</f>
        <v/>
      </c>
      <c r="UQ18">
        <f>UQ17+IF(AND($C17=16,$L17=1),1,0)</f>
        <v/>
      </c>
      <c r="UR18">
        <f>UR17+IF(AND($C17=17,$L17=1),1,0)</f>
        <v/>
      </c>
      <c r="US18">
        <f>US17+IF(AND($C17=18,$L17=1),1,0)</f>
        <v/>
      </c>
      <c r="UT18">
        <f>UT17+IF(AND($C17=19,$L17=1),1,0)</f>
        <v/>
      </c>
      <c r="UU18">
        <f>UU17+IF(AND($C17=20,$L17=1),1,0)</f>
        <v/>
      </c>
      <c r="UV18">
        <f>UV17+IF(AND($C17=21,$L17=1),1,0)</f>
        <v/>
      </c>
      <c r="UW18">
        <f>UW17+IF(AND($C17=22,$L17=1),1,0)</f>
        <v/>
      </c>
      <c r="UX18">
        <f>UX17+IF(AND($C17=23,$L17=1),1,0)</f>
        <v/>
      </c>
      <c r="UY18">
        <f>UY17+IF(AND($C17=24,$L17=1),1,0)</f>
        <v/>
      </c>
      <c r="UZ18">
        <f>UZ17+IF(AND($C17=25,$L17=1),1,0)</f>
        <v/>
      </c>
      <c r="VA18">
        <f>VA17+IF(AND($C17=26,$L17=1),1,0)</f>
        <v/>
      </c>
      <c r="VB18">
        <f>VB17+IF(AND($C17=27,$L17=1),1,0)</f>
        <v/>
      </c>
      <c r="VC18">
        <f>VC17+IF(AND($C17=28,$L17=1),1,0)</f>
        <v/>
      </c>
      <c r="VD18">
        <f>VD17+IF(AND($C17=29,$L17=1),1,0)</f>
        <v/>
      </c>
      <c r="VE18">
        <f>VE17+IF(AND($C17=30,$L17=1),1,0)</f>
        <v/>
      </c>
      <c r="VF18">
        <f>VF17+IF(AND($C17=31,$L17=1),1,0)</f>
        <v/>
      </c>
      <c r="VG18">
        <f>VG17+IF(AND($C17=32,$L17=1),1,0)</f>
        <v/>
      </c>
      <c r="VH18">
        <f>VH17+IF(AND($C17=33,$L17=1),1,0)</f>
        <v/>
      </c>
      <c r="VI18">
        <f>VI17+IF(AND($C17=34,$L17=1),1,0)</f>
        <v/>
      </c>
      <c r="VJ18">
        <f>VJ17+IF(AND($C17=35,$L17=1),1,0)</f>
        <v/>
      </c>
      <c r="VK18">
        <f>VK17+IF(AND($C17=36,$L17=1),1,0)</f>
        <v/>
      </c>
      <c r="VL18">
        <f>VL17+IF(AND($C17=37,$L17=1),1,0)</f>
        <v/>
      </c>
      <c r="VM18">
        <f>VM17+IF(AND($C17=38,$L17=1),1,0)</f>
        <v/>
      </c>
      <c r="VN18">
        <f>VN17+IF(AND($C17=39,$L17=1),1,0)</f>
        <v/>
      </c>
      <c r="VO18">
        <f>VO17+IF(AND($C17=40,$L17=1),1,0)</f>
        <v/>
      </c>
      <c r="VP18">
        <f>VP17+IF(AND($C17=41,$L17=1),1,0)</f>
        <v/>
      </c>
      <c r="VQ18">
        <f>VQ17+IF(AND($C17=42,$L17=1),1,0)</f>
        <v/>
      </c>
      <c r="VR18">
        <f>VR17+IF(AND($C17=43,$L17=1),1,0)</f>
        <v/>
      </c>
      <c r="VS18">
        <f>VS17+IF(AND($C17=44,$L17=1),1,0)</f>
        <v/>
      </c>
      <c r="VT18">
        <f>VT17+IF(AND($C17=45,$L17=1),1,0)</f>
        <v/>
      </c>
      <c r="VU18">
        <f>VU17+IF(AND($C17=46,$L17=1),1,0)</f>
        <v/>
      </c>
      <c r="VV18">
        <f>VV17+IF(AND($C17=47,$L17=1),1,0)</f>
        <v/>
      </c>
      <c r="VW18">
        <f>VW17+IF(AND($C17=48,$L17=1),1,0)</f>
        <v/>
      </c>
      <c r="VX18">
        <f>VX17+IF(AND($C17=49,$L17=1),1,0)</f>
        <v/>
      </c>
      <c r="VY18">
        <f>VY17+IF(AND($C17=50,$L17=1),1,0)</f>
        <v/>
      </c>
      <c r="VZ18">
        <f>VZ17+IF(AND($C17=51,$L17=1),1,0)</f>
        <v/>
      </c>
      <c r="WA18">
        <f>WA17+IF(AND($C17=52,$L17=1),1,0)</f>
        <v/>
      </c>
      <c r="WB18">
        <f>WB17+IF(AND($C17=53,$L17=1),1,0)</f>
        <v/>
      </c>
      <c r="WC18">
        <f>WC17+IF(AND($C17=54,$L17=1),1,0)</f>
        <v/>
      </c>
      <c r="WD18">
        <f>WD17+IF(AND($C17=55,$L17=1),1,0)</f>
        <v/>
      </c>
      <c r="WE18">
        <f>WE17+IF(AND($C17=56,$L17=1),1,0)</f>
        <v/>
      </c>
      <c r="WF18">
        <f>WF17+IF(AND($C17=57,$L17=1),1,0)</f>
        <v/>
      </c>
      <c r="WG18">
        <f>WG17+IF(AND($C17=58,$L17=1),1,0)</f>
        <v/>
      </c>
      <c r="WH18">
        <f>WH17+IF(AND($C17=59,$L17=1),1,0)</f>
        <v/>
      </c>
      <c r="WI18">
        <f>WI17+IF(AND($C17=60,$L17=1),1,0)</f>
        <v/>
      </c>
      <c r="WJ18">
        <f>WJ17+IF(AND($C17=61,$L17=1),1,0)</f>
        <v/>
      </c>
      <c r="WK18">
        <f>WK17+IF(AND($C17=62,$L17=1),1,0)</f>
        <v/>
      </c>
      <c r="WL18">
        <f>WL17+IF(AND($C17=63,$L17=1),1,0)</f>
        <v/>
      </c>
      <c r="WM18">
        <f>WM17+IF(AND($C17=64,$L17=1),1,0)</f>
        <v/>
      </c>
      <c r="WN18">
        <f>WN17+IF(AND($C17=65,$L17=1),1,0)</f>
        <v/>
      </c>
      <c r="WO18">
        <f>WO17+IF(AND($C17=66,$L17=1),1,0)</f>
        <v/>
      </c>
      <c r="WP18">
        <f>WP17+IF(AND($C17=67,$L17=1),1,0)</f>
        <v/>
      </c>
      <c r="WQ18">
        <f>WQ17+IF(AND($C17=68,$L17=1),1,0)</f>
        <v/>
      </c>
      <c r="WR18">
        <f>WR17+IF(AND($C17=69,$L17=1),1,0)</f>
        <v/>
      </c>
      <c r="WS18">
        <f>WS17+IF(AND($C17=70,$L17=1),1,0)</f>
        <v/>
      </c>
      <c r="WT18">
        <f>WT17+IF(AND($C17=71,$L17=1),1,0)</f>
        <v/>
      </c>
      <c r="WU18">
        <f>WU17+IF(AND($C17=72,$L17=1),1,0)</f>
        <v/>
      </c>
      <c r="WV18">
        <f>WV17+IF(AND($C17=73,$L17=1),1,0)</f>
        <v/>
      </c>
      <c r="WW18">
        <f>WW17+IF(AND($C17=74,$L17=1),1,0)</f>
        <v/>
      </c>
      <c r="WX18">
        <f>WX17+IF(AND($C17=75,$L17=1),1,0)</f>
        <v/>
      </c>
      <c r="WY18">
        <f>WY17+IF(AND($C17=76,$L17=1),1,0)</f>
        <v/>
      </c>
      <c r="WZ18">
        <f>WZ17+IF(AND($C17=77,$L17=1),1,0)</f>
        <v/>
      </c>
      <c r="XA18">
        <f>XA17+IF(AND($C17=78,$L17=1),1,0)</f>
        <v/>
      </c>
      <c r="XB18">
        <f>XB17+IF(AND($C17=79,$L17=1),1,0)</f>
        <v/>
      </c>
      <c r="XC18">
        <f>XC17+IF(AND($C17=80,$L17=1),1,0)</f>
        <v/>
      </c>
      <c r="XD18">
        <f>XD17+IF(AND($C17=81,$L17=1),1,0)</f>
        <v/>
      </c>
      <c r="XE18">
        <f>XE17+IF(AND($C17=82,$L17=1),1,0)</f>
        <v/>
      </c>
      <c r="XF18">
        <f>XF17+IF(AND($C17=83,$L17=1),1,0)</f>
        <v/>
      </c>
      <c r="XG18">
        <f>XG17+IF(AND($C17=84,$L17=1),1,0)</f>
        <v/>
      </c>
      <c r="XH18">
        <f>XH17+IF(AND($C17=85,$L17=1),1,0)</f>
        <v/>
      </c>
      <c r="XI18">
        <f>XI17+IF(AND($C17=86,$L17=1),1,0)</f>
        <v/>
      </c>
      <c r="XJ18">
        <f>XJ17+IF(AND($C17=87,$L17=1),1,0)</f>
        <v/>
      </c>
      <c r="XK18">
        <f>XK17+IF(AND($C17=88,$L17=1),1,0)</f>
        <v/>
      </c>
      <c r="XL18">
        <f>XL17+IF(AND($C17=89,$L17=1),1,0)</f>
        <v/>
      </c>
      <c r="XM18">
        <f>XM17+IF(AND($C17=90,$L17=1),1,0)</f>
        <v/>
      </c>
      <c r="XN18">
        <f>XN17+IF(AND($C17=91,$L17=1),1,0)</f>
        <v/>
      </c>
      <c r="XO18">
        <f>XO17+IF(AND($C17=92,$L17=1),1,0)</f>
        <v/>
      </c>
      <c r="XP18">
        <f>XP17+IF(AND($C17=93,$L17=1),1,0)</f>
        <v/>
      </c>
      <c r="XQ18">
        <f>XQ17+IF(AND($C17=94,$L17=1),1,0)</f>
        <v/>
      </c>
      <c r="XR18">
        <f>XR17+IF(AND($C17=95,$L17=1),1,0)</f>
        <v/>
      </c>
      <c r="XS18">
        <f>XS17+IF(AND($C17=96,$L17=1),1,0)</f>
        <v/>
      </c>
      <c r="XT18">
        <f>XT17+IF(AND($C17=97,$L17=1),1,0)</f>
        <v/>
      </c>
      <c r="XU18">
        <f>XU17+IF(AND($C17=98,$L17=1),1,0)</f>
        <v/>
      </c>
      <c r="XV18">
        <f>XV17+IF(AND($C17=99,$L17=1),1,0)</f>
        <v/>
      </c>
      <c r="XW18">
        <f>XW17+IF(AND($C17=100,$L17=1),1,0)</f>
        <v/>
      </c>
      <c r="XX18">
        <f>XX17+IF(AND($C17=101,$L17=1),1,0)</f>
        <v/>
      </c>
      <c r="XY18">
        <f>XY17+IF(AND($C17=102,$L17=1),1,0)</f>
        <v/>
      </c>
      <c r="XZ18">
        <f>XZ17+IF(AND($C17=103,$L17=1),1,0)</f>
        <v/>
      </c>
      <c r="YA18">
        <f>YA17+IF(AND($C17=104,$L17=1),1,0)</f>
        <v/>
      </c>
      <c r="YB18">
        <f>YB17+IF(AND($C17=105,$L17=1),1,0)</f>
        <v/>
      </c>
      <c r="YC18">
        <f>YC17+IF(AND($C17=106,$L17=1),1,0)</f>
        <v/>
      </c>
      <c r="YD18">
        <f>YD17+IF(AND($C17=107,$L17=1),1,0)</f>
        <v/>
      </c>
      <c r="YE18">
        <f>YE17+IF(AND($C17=108,$L17=1),1,0)</f>
        <v/>
      </c>
      <c r="YF18">
        <f>YF17+IF(AND($C17=109,$L17=1),1,0)</f>
        <v/>
      </c>
      <c r="YG18">
        <f>YG17+IF(AND($C17=110,$L17=1),1,0)</f>
        <v/>
      </c>
      <c r="YH18">
        <f>YH17+IF(AND($C17=111,$L17=1),1,0)</f>
        <v/>
      </c>
      <c r="YI18">
        <f>YI17+IF(AND($C17=112,$L17=1),1,0)</f>
        <v/>
      </c>
      <c r="YJ18">
        <f>YJ17+IF(AND($C17=113,$L17=1),1,0)</f>
        <v/>
      </c>
      <c r="YK18">
        <f>YK17+IF(AND($C17=114,$L17=1),1,0)</f>
        <v/>
      </c>
      <c r="YL18">
        <f>YL17+IF(AND($C17=115,$L17=1),1,0)</f>
        <v/>
      </c>
      <c r="YM18">
        <f>YM17+IF(AND($C17=116,$L17=1),1,0)</f>
        <v/>
      </c>
      <c r="YN18">
        <f>YN17+IF(AND($C17=117,$L17=1),1,0)</f>
        <v/>
      </c>
      <c r="YO18">
        <f>YO17+IF(AND($C17=118,$L17=1),1,0)</f>
        <v/>
      </c>
      <c r="YP18">
        <f>YP17+IF(AND($C17=119,$L17=1),1,0)</f>
        <v/>
      </c>
      <c r="YQ18">
        <f>YQ17+IF(AND($C17=120,$L17=1),1,0)</f>
        <v/>
      </c>
      <c r="YR18">
        <f>YR17+IF(AND($C17=121,$L17=1),1,0)</f>
        <v/>
      </c>
      <c r="YS18">
        <f>YS17+IF(AND($C17=122,$L17=1),1,0)</f>
        <v/>
      </c>
      <c r="YT18">
        <f>YT17+IF(AND($C17=123,$L17=1),1,0)</f>
        <v/>
      </c>
      <c r="YU18">
        <f>YU17+IF(AND($C17=124,$L17=1),1,0)</f>
        <v/>
      </c>
      <c r="YV18">
        <f>YV17+IF(AND($C17=125,$L17=1),1,0)</f>
        <v/>
      </c>
      <c r="YW18">
        <f>YW17+IF(AND($C17=126,$L17=1),1,0)</f>
        <v/>
      </c>
      <c r="YX18">
        <f>YX17+IF(AND($C17=127,$L17=1),1,0)</f>
        <v/>
      </c>
      <c r="YY18">
        <f>YY17+IF(AND($C17=128,$L17=1),1,0)</f>
        <v/>
      </c>
      <c r="YZ18">
        <f>YZ17+IF(AND($C17=129,$L17=1),1,0)</f>
        <v/>
      </c>
      <c r="ZA18">
        <f>ZA17+IF(AND($C17=130,$L17=1),1,0)</f>
        <v/>
      </c>
      <c r="ZB18">
        <f>ZB17+IF(AND($C17=131,$L17=1),1,0)</f>
        <v/>
      </c>
      <c r="ZC18">
        <f>ZC17+IF(AND($C17=132,$L17=1),1,0)</f>
        <v/>
      </c>
      <c r="ZD18">
        <f>ZD17+IF(AND($C17=133,$L17=1),1,0)</f>
        <v/>
      </c>
      <c r="ZE18">
        <f>ZE17+IF(AND($C17=134,$L17=1),1,0)</f>
        <v/>
      </c>
      <c r="ZF18">
        <f>ZF17+IF(AND($C17=135,$L17=1),1,0)</f>
        <v/>
      </c>
      <c r="ZG18">
        <f>ZG17+IF(AND($C17=136,$L17=1),1,0)</f>
        <v/>
      </c>
      <c r="ZH18">
        <f>ZH17+IF(AND($C17=137,$L17=1),1,0)</f>
        <v/>
      </c>
      <c r="ZI18">
        <f>ZI17+IF(AND($C17=138,$L17=1),1,0)</f>
        <v/>
      </c>
      <c r="ZJ18">
        <f>ZJ17+IF(AND($C17=139,$L17=1),1,0)</f>
        <v/>
      </c>
      <c r="ZK18">
        <f>ZK17+IF(AND($C17=140,$L17=1),1,0)</f>
        <v/>
      </c>
      <c r="ZL18">
        <f>ZL17+IF(AND($C17=141,$L17=1),1,0)</f>
        <v/>
      </c>
      <c r="ZM18">
        <f>ZM17+IF(AND($C17=142,$L17=1),1,0)</f>
        <v/>
      </c>
      <c r="ZN18">
        <f>ZN17+IF(AND($C17=143,$L17=1),1,0)</f>
        <v/>
      </c>
      <c r="ZO18">
        <f>ZO17+IF(AND($C17=144,$L17=1),1,0)</f>
        <v/>
      </c>
    </row>
    <row r="19">
      <c r="A19" t="n">
        <v>17</v>
      </c>
      <c r="B19">
        <f>IF(MIN(BH19:CZ19)&gt;=1000000,0,MATCH(MIN(BH19:CZ19),BH19:CZ19,0))</f>
        <v/>
      </c>
      <c r="C19">
        <f>IF(MIN(OF19:TS19)&gt;=1000000,0,MATCH(MIN(OF19:TS19),OF19:TS19,0))</f>
        <v/>
      </c>
      <c r="D19">
        <f>IF(C19&gt;0,INDEX('計算A'!$D$5:$EQ$5,C19),0)</f>
        <v/>
      </c>
      <c r="E19">
        <f>IF(B19=0,0,INDEX('計算A'!$IQ$10:$IQ$54,B19))</f>
        <v/>
      </c>
      <c r="F19">
        <f>IF(B19=0,0,INDEX('計算A'!$IP$10:$IP$54,B19))</f>
        <v/>
      </c>
      <c r="G19">
        <f>IF(AND(C19&gt;0,E19&gt;0),IF(AND(INDEX('計算A'!$D$106:$EQ$106,C19)=1,INDEX($IQ19:$OD19,C19)=1),C19+1,0),0)</f>
        <v/>
      </c>
      <c r="H19">
        <f>IF(B19=0,0,INDEX('計算A'!$IW$10:$IW$54,B19))</f>
        <v/>
      </c>
      <c r="I19">
        <f>IF(B19=0,0,MAX(0,INDEX('計算A'!$IT$10:$IT$54,B19)))</f>
        <v/>
      </c>
      <c r="J19">
        <f>IF(I19=0,0,INDEX('計算A'!$D$2:$EQ$2,I19))</f>
        <v/>
      </c>
      <c r="K19">
        <f>IF(I19=0,0,INDEX('計算A'!$D$3:$EQ$3,I19))</f>
        <v/>
      </c>
      <c r="L19">
        <f>IF(B19=0,0,INDEX('計算A'!$IX$10:$IX$54,B19))</f>
        <v/>
      </c>
      <c r="N19">
        <f>MAX(N18,IF($B18=1,1,0))</f>
        <v/>
      </c>
      <c r="O19">
        <f>MAX(O18,IF($B18=2,1,0))</f>
        <v/>
      </c>
      <c r="P19">
        <f>MAX(P18,IF($B18=3,1,0))</f>
        <v/>
      </c>
      <c r="Q19">
        <f>MAX(Q18,IF($B18=4,1,0))</f>
        <v/>
      </c>
      <c r="R19">
        <f>MAX(R18,IF($B18=5,1,0))</f>
        <v/>
      </c>
      <c r="S19">
        <f>MAX(S18,IF($B18=6,1,0))</f>
        <v/>
      </c>
      <c r="T19">
        <f>MAX(T18,IF($B18=7,1,0))</f>
        <v/>
      </c>
      <c r="U19">
        <f>MAX(U18,IF($B18=8,1,0))</f>
        <v/>
      </c>
      <c r="V19">
        <f>MAX(V18,IF($B18=9,1,0))</f>
        <v/>
      </c>
      <c r="W19">
        <f>MAX(W18,IF($B18=10,1,0))</f>
        <v/>
      </c>
      <c r="X19">
        <f>MAX(X18,IF($B18=11,1,0))</f>
        <v/>
      </c>
      <c r="Y19">
        <f>MAX(Y18,IF($B18=12,1,0))</f>
        <v/>
      </c>
      <c r="Z19">
        <f>MAX(Z18,IF($B18=13,1,0))</f>
        <v/>
      </c>
      <c r="AA19">
        <f>MAX(AA18,IF($B18=14,1,0))</f>
        <v/>
      </c>
      <c r="AB19">
        <f>MAX(AB18,IF($B18=15,1,0))</f>
        <v/>
      </c>
      <c r="AC19">
        <f>MAX(AC18,IF($B18=16,1,0))</f>
        <v/>
      </c>
      <c r="AD19">
        <f>MAX(AD18,IF($B18=17,1,0))</f>
        <v/>
      </c>
      <c r="AE19">
        <f>MAX(AE18,IF($B18=18,1,0))</f>
        <v/>
      </c>
      <c r="AF19">
        <f>MAX(AF18,IF($B18=19,1,0))</f>
        <v/>
      </c>
      <c r="AG19">
        <f>MAX(AG18,IF($B18=20,1,0))</f>
        <v/>
      </c>
      <c r="AH19">
        <f>MAX(AH18,IF($B18=21,1,0))</f>
        <v/>
      </c>
      <c r="AI19">
        <f>MAX(AI18,IF($B18=22,1,0))</f>
        <v/>
      </c>
      <c r="AJ19">
        <f>MAX(AJ18,IF($B18=23,1,0))</f>
        <v/>
      </c>
      <c r="AK19">
        <f>MAX(AK18,IF($B18=24,1,0))</f>
        <v/>
      </c>
      <c r="AL19">
        <f>MAX(AL18,IF($B18=25,1,0))</f>
        <v/>
      </c>
      <c r="AM19">
        <f>MAX(AM18,IF($B18=26,1,0))</f>
        <v/>
      </c>
      <c r="AN19">
        <f>MAX(AN18,IF($B18=27,1,0))</f>
        <v/>
      </c>
      <c r="AO19">
        <f>MAX(AO18,IF($B18=28,1,0))</f>
        <v/>
      </c>
      <c r="AP19">
        <f>MAX(AP18,IF($B18=29,1,0))</f>
        <v/>
      </c>
      <c r="AQ19">
        <f>MAX(AQ18,IF($B18=30,1,0))</f>
        <v/>
      </c>
      <c r="AR19">
        <f>MAX(AR18,IF($B18=31,1,0))</f>
        <v/>
      </c>
      <c r="AS19">
        <f>MAX(AS18,IF($B18=32,1,0))</f>
        <v/>
      </c>
      <c r="AT19">
        <f>MAX(AT18,IF($B18=33,1,0))</f>
        <v/>
      </c>
      <c r="AU19">
        <f>MAX(AU18,IF($B18=34,1,0))</f>
        <v/>
      </c>
      <c r="AV19">
        <f>MAX(AV18,IF($B18=35,1,0))</f>
        <v/>
      </c>
      <c r="AW19">
        <f>MAX(AW18,IF($B18=36,1,0))</f>
        <v/>
      </c>
      <c r="AX19">
        <f>MAX(AX18,IF($B18=37,1,0))</f>
        <v/>
      </c>
      <c r="AY19">
        <f>MAX(AY18,IF($B18=38,1,0))</f>
        <v/>
      </c>
      <c r="AZ19">
        <f>MAX(AZ18,IF($B18=39,1,0))</f>
        <v/>
      </c>
      <c r="BA19">
        <f>MAX(BA18,IF($B18=40,1,0))</f>
        <v/>
      </c>
      <c r="BB19">
        <f>MAX(BB18,IF($B18=41,1,0))</f>
        <v/>
      </c>
      <c r="BC19">
        <f>MAX(BC18,IF($B18=42,1,0))</f>
        <v/>
      </c>
      <c r="BD19">
        <f>MAX(BD18,IF($B18=43,1,0))</f>
        <v/>
      </c>
      <c r="BE19">
        <f>MAX(BE18,IF($B18=44,1,0))</f>
        <v/>
      </c>
      <c r="BF19">
        <f>MAX(BF18,IF($B18=45,1,0))</f>
        <v/>
      </c>
      <c r="BH19">
        <f>IF(N19=1,1000000,IF('計算A'!$IT$10&gt;0,0,500000)+IF('計算A'!$IQ$10=2,SUMPRODUCT('計算A'!$D$60:$EQ$60,$DB19:$IO19,$IQ19:$OD19),SUMPRODUCT('計算A'!$D$60:$EQ$60,$DB19:$IO19))*1000+1)</f>
        <v/>
      </c>
      <c r="BI19">
        <f>IF(O19=1,1000000,IF('計算A'!$IT$11&gt;0,0,500000)+IF('計算A'!$IQ$11=2,SUMPRODUCT('計算A'!$D$61:$EQ$61,$DB19:$IO19,$IQ19:$OD19),SUMPRODUCT('計算A'!$D$61:$EQ$61,$DB19:$IO19))*1000+2)</f>
        <v/>
      </c>
      <c r="BJ19">
        <f>IF(P19=1,1000000,IF('計算A'!$IT$12&gt;0,0,500000)+IF('計算A'!$IQ$12=2,SUMPRODUCT('計算A'!$D$62:$EQ$62,$DB19:$IO19,$IQ19:$OD19),SUMPRODUCT('計算A'!$D$62:$EQ$62,$DB19:$IO19))*1000+3)</f>
        <v/>
      </c>
      <c r="BK19">
        <f>IF(Q19=1,1000000,IF('計算A'!$IT$13&gt;0,0,500000)+IF('計算A'!$IQ$13=2,SUMPRODUCT('計算A'!$D$63:$EQ$63,$DB19:$IO19,$IQ19:$OD19),SUMPRODUCT('計算A'!$D$63:$EQ$63,$DB19:$IO19))*1000+4)</f>
        <v/>
      </c>
      <c r="BL19">
        <f>IF(R19=1,1000000,IF('計算A'!$IT$14&gt;0,0,500000)+IF('計算A'!$IQ$14=2,SUMPRODUCT('計算A'!$D$64:$EQ$64,$DB19:$IO19,$IQ19:$OD19),SUMPRODUCT('計算A'!$D$64:$EQ$64,$DB19:$IO19))*1000+5)</f>
        <v/>
      </c>
      <c r="BM19">
        <f>IF(S19=1,1000000,IF('計算A'!$IT$15&gt;0,0,500000)+IF('計算A'!$IQ$15=2,SUMPRODUCT('計算A'!$D$65:$EQ$65,$DB19:$IO19,$IQ19:$OD19),SUMPRODUCT('計算A'!$D$65:$EQ$65,$DB19:$IO19))*1000+6)</f>
        <v/>
      </c>
      <c r="BN19">
        <f>IF(T19=1,1000000,IF('計算A'!$IT$16&gt;0,0,500000)+IF('計算A'!$IQ$16=2,SUMPRODUCT('計算A'!$D$66:$EQ$66,$DB19:$IO19,$IQ19:$OD19),SUMPRODUCT('計算A'!$D$66:$EQ$66,$DB19:$IO19))*1000+7)</f>
        <v/>
      </c>
      <c r="BO19">
        <f>IF(U19=1,1000000,IF('計算A'!$IT$17&gt;0,0,500000)+IF('計算A'!$IQ$17=2,SUMPRODUCT('計算A'!$D$67:$EQ$67,$DB19:$IO19,$IQ19:$OD19),SUMPRODUCT('計算A'!$D$67:$EQ$67,$DB19:$IO19))*1000+8)</f>
        <v/>
      </c>
      <c r="BP19">
        <f>IF(V19=1,1000000,IF('計算A'!$IT$18&gt;0,0,500000)+IF('計算A'!$IQ$18=2,SUMPRODUCT('計算A'!$D$68:$EQ$68,$DB19:$IO19,$IQ19:$OD19),SUMPRODUCT('計算A'!$D$68:$EQ$68,$DB19:$IO19))*1000+9)</f>
        <v/>
      </c>
      <c r="BQ19">
        <f>IF(W19=1,1000000,IF('計算A'!$IT$19&gt;0,0,500000)+IF('計算A'!$IQ$19=2,SUMPRODUCT('計算A'!$D$69:$EQ$69,$DB19:$IO19,$IQ19:$OD19),SUMPRODUCT('計算A'!$D$69:$EQ$69,$DB19:$IO19))*1000+10)</f>
        <v/>
      </c>
      <c r="BR19">
        <f>IF(X19=1,1000000,IF('計算A'!$IT$20&gt;0,0,500000)+IF('計算A'!$IQ$20=2,SUMPRODUCT('計算A'!$D$70:$EQ$70,$DB19:$IO19,$IQ19:$OD19),SUMPRODUCT('計算A'!$D$70:$EQ$70,$DB19:$IO19))*1000+11)</f>
        <v/>
      </c>
      <c r="BS19">
        <f>IF(Y19=1,1000000,IF('計算A'!$IT$21&gt;0,0,500000)+IF('計算A'!$IQ$21=2,SUMPRODUCT('計算A'!$D$71:$EQ$71,$DB19:$IO19,$IQ19:$OD19),SUMPRODUCT('計算A'!$D$71:$EQ$71,$DB19:$IO19))*1000+12)</f>
        <v/>
      </c>
      <c r="BT19">
        <f>IF(Z19=1,1000000,IF('計算A'!$IT$22&gt;0,0,500000)+IF('計算A'!$IQ$22=2,SUMPRODUCT('計算A'!$D$72:$EQ$72,$DB19:$IO19,$IQ19:$OD19),SUMPRODUCT('計算A'!$D$72:$EQ$72,$DB19:$IO19))*1000+13)</f>
        <v/>
      </c>
      <c r="BU19">
        <f>IF(AA19=1,1000000,IF('計算A'!$IT$23&gt;0,0,500000)+IF('計算A'!$IQ$23=2,SUMPRODUCT('計算A'!$D$73:$EQ$73,$DB19:$IO19,$IQ19:$OD19),SUMPRODUCT('計算A'!$D$73:$EQ$73,$DB19:$IO19))*1000+14)</f>
        <v/>
      </c>
      <c r="BV19">
        <f>IF(AB19=1,1000000,IF('計算A'!$IT$24&gt;0,0,500000)+IF('計算A'!$IQ$24=2,SUMPRODUCT('計算A'!$D$74:$EQ$74,$DB19:$IO19,$IQ19:$OD19),SUMPRODUCT('計算A'!$D$74:$EQ$74,$DB19:$IO19))*1000+15)</f>
        <v/>
      </c>
      <c r="BW19">
        <f>IF(AC19=1,1000000,IF('計算A'!$IT$25&gt;0,0,500000)+IF('計算A'!$IQ$25=2,SUMPRODUCT('計算A'!$D$75:$EQ$75,$DB19:$IO19,$IQ19:$OD19),SUMPRODUCT('計算A'!$D$75:$EQ$75,$DB19:$IO19))*1000+16)</f>
        <v/>
      </c>
      <c r="BX19">
        <f>IF(AD19=1,1000000,IF('計算A'!$IT$26&gt;0,0,500000)+IF('計算A'!$IQ$26=2,SUMPRODUCT('計算A'!$D$76:$EQ$76,$DB19:$IO19,$IQ19:$OD19),SUMPRODUCT('計算A'!$D$76:$EQ$76,$DB19:$IO19))*1000+17)</f>
        <v/>
      </c>
      <c r="BY19">
        <f>IF(AE19=1,1000000,IF('計算A'!$IT$27&gt;0,0,500000)+IF('計算A'!$IQ$27=2,SUMPRODUCT('計算A'!$D$77:$EQ$77,$DB19:$IO19,$IQ19:$OD19),SUMPRODUCT('計算A'!$D$77:$EQ$77,$DB19:$IO19))*1000+18)</f>
        <v/>
      </c>
      <c r="BZ19">
        <f>IF(AF19=1,1000000,IF('計算A'!$IT$28&gt;0,0,500000)+IF('計算A'!$IQ$28=2,SUMPRODUCT('計算A'!$D$78:$EQ$78,$DB19:$IO19,$IQ19:$OD19),SUMPRODUCT('計算A'!$D$78:$EQ$78,$DB19:$IO19))*1000+19)</f>
        <v/>
      </c>
      <c r="CA19">
        <f>IF(AG19=1,1000000,IF('計算A'!$IT$29&gt;0,0,500000)+IF('計算A'!$IQ$29=2,SUMPRODUCT('計算A'!$D$79:$EQ$79,$DB19:$IO19,$IQ19:$OD19),SUMPRODUCT('計算A'!$D$79:$EQ$79,$DB19:$IO19))*1000+20)</f>
        <v/>
      </c>
      <c r="CB19">
        <f>IF(AH19=1,1000000,IF('計算A'!$IT$30&gt;0,0,500000)+IF('計算A'!$IQ$30=2,SUMPRODUCT('計算A'!$D$80:$EQ$80,$DB19:$IO19,$IQ19:$OD19),SUMPRODUCT('計算A'!$D$80:$EQ$80,$DB19:$IO19))*1000+21)</f>
        <v/>
      </c>
      <c r="CC19">
        <f>IF(AI19=1,1000000,IF('計算A'!$IT$31&gt;0,0,500000)+IF('計算A'!$IQ$31=2,SUMPRODUCT('計算A'!$D$81:$EQ$81,$DB19:$IO19,$IQ19:$OD19),SUMPRODUCT('計算A'!$D$81:$EQ$81,$DB19:$IO19))*1000+22)</f>
        <v/>
      </c>
      <c r="CD19">
        <f>IF(AJ19=1,1000000,IF('計算A'!$IT$32&gt;0,0,500000)+IF('計算A'!$IQ$32=2,SUMPRODUCT('計算A'!$D$82:$EQ$82,$DB19:$IO19,$IQ19:$OD19),SUMPRODUCT('計算A'!$D$82:$EQ$82,$DB19:$IO19))*1000+23)</f>
        <v/>
      </c>
      <c r="CE19">
        <f>IF(AK19=1,1000000,IF('計算A'!$IT$33&gt;0,0,500000)+IF('計算A'!$IQ$33=2,SUMPRODUCT('計算A'!$D$83:$EQ$83,$DB19:$IO19,$IQ19:$OD19),SUMPRODUCT('計算A'!$D$83:$EQ$83,$DB19:$IO19))*1000+24)</f>
        <v/>
      </c>
      <c r="CF19">
        <f>IF(AL19=1,1000000,IF('計算A'!$IT$34&gt;0,0,500000)+IF('計算A'!$IQ$34=2,SUMPRODUCT('計算A'!$D$84:$EQ$84,$DB19:$IO19,$IQ19:$OD19),SUMPRODUCT('計算A'!$D$84:$EQ$84,$DB19:$IO19))*1000+25)</f>
        <v/>
      </c>
      <c r="CG19">
        <f>IF(AM19=1,1000000,IF('計算A'!$IT$35&gt;0,0,500000)+IF('計算A'!$IQ$35=2,SUMPRODUCT('計算A'!$D$85:$EQ$85,$DB19:$IO19,$IQ19:$OD19),SUMPRODUCT('計算A'!$D$85:$EQ$85,$DB19:$IO19))*1000+26)</f>
        <v/>
      </c>
      <c r="CH19">
        <f>IF(AN19=1,1000000,IF('計算A'!$IT$36&gt;0,0,500000)+IF('計算A'!$IQ$36=2,SUMPRODUCT('計算A'!$D$86:$EQ$86,$DB19:$IO19,$IQ19:$OD19),SUMPRODUCT('計算A'!$D$86:$EQ$86,$DB19:$IO19))*1000+27)</f>
        <v/>
      </c>
      <c r="CI19">
        <f>IF(AO19=1,1000000,IF('計算A'!$IT$37&gt;0,0,500000)+IF('計算A'!$IQ$37=2,SUMPRODUCT('計算A'!$D$87:$EQ$87,$DB19:$IO19,$IQ19:$OD19),SUMPRODUCT('計算A'!$D$87:$EQ$87,$DB19:$IO19))*1000+28)</f>
        <v/>
      </c>
      <c r="CJ19">
        <f>IF(AP19=1,1000000,IF('計算A'!$IT$38&gt;0,0,500000)+IF('計算A'!$IQ$38=2,SUMPRODUCT('計算A'!$D$88:$EQ$88,$DB19:$IO19,$IQ19:$OD19),SUMPRODUCT('計算A'!$D$88:$EQ$88,$DB19:$IO19))*1000+29)</f>
        <v/>
      </c>
      <c r="CK19">
        <f>IF(AQ19=1,1000000,IF('計算A'!$IT$39&gt;0,0,500000)+IF('計算A'!$IQ$39=2,SUMPRODUCT('計算A'!$D$89:$EQ$89,$DB19:$IO19,$IQ19:$OD19),SUMPRODUCT('計算A'!$D$89:$EQ$89,$DB19:$IO19))*1000+30)</f>
        <v/>
      </c>
      <c r="CL19">
        <f>IF(AR19=1,1000000,IF('計算A'!$IT$40&gt;0,0,500000)+IF('計算A'!$IQ$40=2,SUMPRODUCT('計算A'!$D$90:$EQ$90,$DB19:$IO19,$IQ19:$OD19),SUMPRODUCT('計算A'!$D$90:$EQ$90,$DB19:$IO19))*1000+31)</f>
        <v/>
      </c>
      <c r="CM19">
        <f>IF(AS19=1,1000000,IF('計算A'!$IT$41&gt;0,0,500000)+IF('計算A'!$IQ$41=2,SUMPRODUCT('計算A'!$D$91:$EQ$91,$DB19:$IO19,$IQ19:$OD19),SUMPRODUCT('計算A'!$D$91:$EQ$91,$DB19:$IO19))*1000+32)</f>
        <v/>
      </c>
      <c r="CN19">
        <f>IF(AT19=1,1000000,IF('計算A'!$IT$42&gt;0,0,500000)+IF('計算A'!$IQ$42=2,SUMPRODUCT('計算A'!$D$92:$EQ$92,$DB19:$IO19,$IQ19:$OD19),SUMPRODUCT('計算A'!$D$92:$EQ$92,$DB19:$IO19))*1000+33)</f>
        <v/>
      </c>
      <c r="CO19">
        <f>IF(AU19=1,1000000,IF('計算A'!$IT$43&gt;0,0,500000)+IF('計算A'!$IQ$43=2,SUMPRODUCT('計算A'!$D$93:$EQ$93,$DB19:$IO19,$IQ19:$OD19),SUMPRODUCT('計算A'!$D$93:$EQ$93,$DB19:$IO19))*1000+34)</f>
        <v/>
      </c>
      <c r="CP19">
        <f>IF(AV19=1,1000000,IF('計算A'!$IT$44&gt;0,0,500000)+IF('計算A'!$IQ$44=2,SUMPRODUCT('計算A'!$D$94:$EQ$94,$DB19:$IO19,$IQ19:$OD19),SUMPRODUCT('計算A'!$D$94:$EQ$94,$DB19:$IO19))*1000+35)</f>
        <v/>
      </c>
      <c r="CQ19">
        <f>IF(AW19=1,1000000,IF('計算A'!$IT$45&gt;0,0,500000)+IF('計算A'!$IQ$45=2,SUMPRODUCT('計算A'!$D$95:$EQ$95,$DB19:$IO19,$IQ19:$OD19),SUMPRODUCT('計算A'!$D$95:$EQ$95,$DB19:$IO19))*1000+36)</f>
        <v/>
      </c>
      <c r="CR19">
        <f>IF(AX19=1,1000000,IF('計算A'!$IT$46&gt;0,0,500000)+IF('計算A'!$IQ$46=2,SUMPRODUCT('計算A'!$D$96:$EQ$96,$DB19:$IO19,$IQ19:$OD19),SUMPRODUCT('計算A'!$D$96:$EQ$96,$DB19:$IO19))*1000+37)</f>
        <v/>
      </c>
      <c r="CS19">
        <f>IF(AY19=1,1000000,IF('計算A'!$IT$47&gt;0,0,500000)+IF('計算A'!$IQ$47=2,SUMPRODUCT('計算A'!$D$97:$EQ$97,$DB19:$IO19,$IQ19:$OD19),SUMPRODUCT('計算A'!$D$97:$EQ$97,$DB19:$IO19))*1000+38)</f>
        <v/>
      </c>
      <c r="CT19">
        <f>IF(AZ19=1,1000000,IF('計算A'!$IT$48&gt;0,0,500000)+IF('計算A'!$IQ$48=2,SUMPRODUCT('計算A'!$D$98:$EQ$98,$DB19:$IO19,$IQ19:$OD19),SUMPRODUCT('計算A'!$D$98:$EQ$98,$DB19:$IO19))*1000+39)</f>
        <v/>
      </c>
      <c r="CU19">
        <f>IF(BA19=1,1000000,IF('計算A'!$IT$49&gt;0,0,500000)+IF('計算A'!$IQ$49=2,SUMPRODUCT('計算A'!$D$99:$EQ$99,$DB19:$IO19,$IQ19:$OD19),SUMPRODUCT('計算A'!$D$99:$EQ$99,$DB19:$IO19))*1000+40)</f>
        <v/>
      </c>
      <c r="CV19">
        <f>IF(BB19=1,1000000,IF('計算A'!$IT$50&gt;0,0,500000)+IF('計算A'!$IQ$50=2,SUMPRODUCT('計算A'!$D$100:$EQ$100,$DB19:$IO19,$IQ19:$OD19),SUMPRODUCT('計算A'!$D$100:$EQ$100,$DB19:$IO19))*1000+41)</f>
        <v/>
      </c>
      <c r="CW19">
        <f>IF(BC19=1,1000000,IF('計算A'!$IT$51&gt;0,0,500000)+IF('計算A'!$IQ$51=2,SUMPRODUCT('計算A'!$D$101:$EQ$101,$DB19:$IO19,$IQ19:$OD19),SUMPRODUCT('計算A'!$D$101:$EQ$101,$DB19:$IO19))*1000+42)</f>
        <v/>
      </c>
      <c r="CX19">
        <f>IF(BD19=1,1000000,IF('計算A'!$IT$52&gt;0,0,500000)+IF('計算A'!$IQ$52=2,SUMPRODUCT('計算A'!$D$102:$EQ$102,$DB19:$IO19,$IQ19:$OD19),SUMPRODUCT('計算A'!$D$102:$EQ$102,$DB19:$IO19))*1000+43)</f>
        <v/>
      </c>
      <c r="CY19">
        <f>IF(BE19=1,1000000,IF('計算A'!$IT$53&gt;0,0,500000)+IF('計算A'!$IQ$53=2,SUMPRODUCT('計算A'!$D$103:$EQ$103,$DB19:$IO19,$IQ19:$OD19),SUMPRODUCT('計算A'!$D$103:$EQ$103,$DB19:$IO19))*1000+44)</f>
        <v/>
      </c>
      <c r="CZ19">
        <f>IF(BF19=1,1000000,IF('計算A'!$IT$54&gt;0,0,500000)+IF('計算A'!$IQ$54=2,SUMPRODUCT('計算A'!$D$104:$EQ$104,$DB19:$IO19,$IQ19:$OD19),SUMPRODUCT('計算A'!$D$104:$EQ$104,$DB19:$IO19))*1000+45)</f>
        <v/>
      </c>
      <c r="DB19">
        <f>DB18*IF(OR($C18=1,$G18=1),0,1)</f>
        <v/>
      </c>
      <c r="DC19">
        <f>DC18*IF(OR($C18=2,$G18=2),0,1)</f>
        <v/>
      </c>
      <c r="DD19">
        <f>DD18*IF(OR($C18=3,$G18=3),0,1)</f>
        <v/>
      </c>
      <c r="DE19">
        <f>DE18*IF(OR($C18=4,$G18=4),0,1)</f>
        <v/>
      </c>
      <c r="DF19">
        <f>DF18*IF(OR($C18=5,$G18=5),0,1)</f>
        <v/>
      </c>
      <c r="DG19">
        <f>DG18*IF(OR($C18=6,$G18=6),0,1)</f>
        <v/>
      </c>
      <c r="DH19">
        <f>DH18*IF(OR($C18=7,$G18=7),0,1)</f>
        <v/>
      </c>
      <c r="DI19">
        <f>DI18*IF(OR($C18=8,$G18=8),0,1)</f>
        <v/>
      </c>
      <c r="DJ19">
        <f>DJ18*IF(OR($C18=9,$G18=9),0,1)</f>
        <v/>
      </c>
      <c r="DK19">
        <f>DK18*IF(OR($C18=10,$G18=10),0,1)</f>
        <v/>
      </c>
      <c r="DL19">
        <f>DL18*IF(OR($C18=11,$G18=11),0,1)</f>
        <v/>
      </c>
      <c r="DM19">
        <f>DM18*IF(OR($C18=12,$G18=12),0,1)</f>
        <v/>
      </c>
      <c r="DN19">
        <f>DN18*IF(OR($C18=13,$G18=13),0,1)</f>
        <v/>
      </c>
      <c r="DO19">
        <f>DO18*IF(OR($C18=14,$G18=14),0,1)</f>
        <v/>
      </c>
      <c r="DP19">
        <f>DP18*IF(OR($C18=15,$G18=15),0,1)</f>
        <v/>
      </c>
      <c r="DQ19">
        <f>DQ18*IF(OR($C18=16,$G18=16),0,1)</f>
        <v/>
      </c>
      <c r="DR19">
        <f>DR18*IF(OR($C18=17,$G18=17),0,1)</f>
        <v/>
      </c>
      <c r="DS19">
        <f>DS18*IF(OR($C18=18,$G18=18),0,1)</f>
        <v/>
      </c>
      <c r="DT19">
        <f>DT18*IF(OR($C18=19,$G18=19),0,1)</f>
        <v/>
      </c>
      <c r="DU19">
        <f>DU18*IF(OR($C18=20,$G18=20),0,1)</f>
        <v/>
      </c>
      <c r="DV19">
        <f>DV18*IF(OR($C18=21,$G18=21),0,1)</f>
        <v/>
      </c>
      <c r="DW19">
        <f>DW18*IF(OR($C18=22,$G18=22),0,1)</f>
        <v/>
      </c>
      <c r="DX19">
        <f>DX18*IF(OR($C18=23,$G18=23),0,1)</f>
        <v/>
      </c>
      <c r="DY19">
        <f>DY18*IF(OR($C18=24,$G18=24),0,1)</f>
        <v/>
      </c>
      <c r="DZ19">
        <f>DZ18*IF(OR($C18=25,$G18=25),0,1)</f>
        <v/>
      </c>
      <c r="EA19">
        <f>EA18*IF(OR($C18=26,$G18=26),0,1)</f>
        <v/>
      </c>
      <c r="EB19">
        <f>EB18*IF(OR($C18=27,$G18=27),0,1)</f>
        <v/>
      </c>
      <c r="EC19">
        <f>EC18*IF(OR($C18=28,$G18=28),0,1)</f>
        <v/>
      </c>
      <c r="ED19">
        <f>ED18*IF(OR($C18=29,$G18=29),0,1)</f>
        <v/>
      </c>
      <c r="EE19">
        <f>EE18*IF(OR($C18=30,$G18=30),0,1)</f>
        <v/>
      </c>
      <c r="EF19">
        <f>EF18*IF(OR($C18=31,$G18=31),0,1)</f>
        <v/>
      </c>
      <c r="EG19">
        <f>EG18*IF(OR($C18=32,$G18=32),0,1)</f>
        <v/>
      </c>
      <c r="EH19">
        <f>EH18*IF(OR($C18=33,$G18=33),0,1)</f>
        <v/>
      </c>
      <c r="EI19">
        <f>EI18*IF(OR($C18=34,$G18=34),0,1)</f>
        <v/>
      </c>
      <c r="EJ19">
        <f>EJ18*IF(OR($C18=35,$G18=35),0,1)</f>
        <v/>
      </c>
      <c r="EK19">
        <f>EK18*IF(OR($C18=36,$G18=36),0,1)</f>
        <v/>
      </c>
      <c r="EL19">
        <f>EL18*IF(OR($C18=37,$G18=37),0,1)</f>
        <v/>
      </c>
      <c r="EM19">
        <f>EM18*IF(OR($C18=38,$G18=38),0,1)</f>
        <v/>
      </c>
      <c r="EN19">
        <f>EN18*IF(OR($C18=39,$G18=39),0,1)</f>
        <v/>
      </c>
      <c r="EO19">
        <f>EO18*IF(OR($C18=40,$G18=40),0,1)</f>
        <v/>
      </c>
      <c r="EP19">
        <f>EP18*IF(OR($C18=41,$G18=41),0,1)</f>
        <v/>
      </c>
      <c r="EQ19">
        <f>EQ18*IF(OR($C18=42,$G18=42),0,1)</f>
        <v/>
      </c>
      <c r="ER19">
        <f>ER18*IF(OR($C18=43,$G18=43),0,1)</f>
        <v/>
      </c>
      <c r="ES19">
        <f>ES18*IF(OR($C18=44,$G18=44),0,1)</f>
        <v/>
      </c>
      <c r="ET19">
        <f>ET18*IF(OR($C18=45,$G18=45),0,1)</f>
        <v/>
      </c>
      <c r="EU19">
        <f>EU18*IF(OR($C18=46,$G18=46),0,1)</f>
        <v/>
      </c>
      <c r="EV19">
        <f>EV18*IF(OR($C18=47,$G18=47),0,1)</f>
        <v/>
      </c>
      <c r="EW19">
        <f>EW18*IF(OR($C18=48,$G18=48),0,1)</f>
        <v/>
      </c>
      <c r="EX19">
        <f>EX18*IF(OR($C18=49,$G18=49),0,1)</f>
        <v/>
      </c>
      <c r="EY19">
        <f>EY18*IF(OR($C18=50,$G18=50),0,1)</f>
        <v/>
      </c>
      <c r="EZ19">
        <f>EZ18*IF(OR($C18=51,$G18=51),0,1)</f>
        <v/>
      </c>
      <c r="FA19">
        <f>FA18*IF(OR($C18=52,$G18=52),0,1)</f>
        <v/>
      </c>
      <c r="FB19">
        <f>FB18*IF(OR($C18=53,$G18=53),0,1)</f>
        <v/>
      </c>
      <c r="FC19">
        <f>FC18*IF(OR($C18=54,$G18=54),0,1)</f>
        <v/>
      </c>
      <c r="FD19">
        <f>FD18*IF(OR($C18=55,$G18=55),0,1)</f>
        <v/>
      </c>
      <c r="FE19">
        <f>FE18*IF(OR($C18=56,$G18=56),0,1)</f>
        <v/>
      </c>
      <c r="FF19">
        <f>FF18*IF(OR($C18=57,$G18=57),0,1)</f>
        <v/>
      </c>
      <c r="FG19">
        <f>FG18*IF(OR($C18=58,$G18=58),0,1)</f>
        <v/>
      </c>
      <c r="FH19">
        <f>FH18*IF(OR($C18=59,$G18=59),0,1)</f>
        <v/>
      </c>
      <c r="FI19">
        <f>FI18*IF(OR($C18=60,$G18=60),0,1)</f>
        <v/>
      </c>
      <c r="FJ19">
        <f>FJ18*IF(OR($C18=61,$G18=61),0,1)</f>
        <v/>
      </c>
      <c r="FK19">
        <f>FK18*IF(OR($C18=62,$G18=62),0,1)</f>
        <v/>
      </c>
      <c r="FL19">
        <f>FL18*IF(OR($C18=63,$G18=63),0,1)</f>
        <v/>
      </c>
      <c r="FM19">
        <f>FM18*IF(OR($C18=64,$G18=64),0,1)</f>
        <v/>
      </c>
      <c r="FN19">
        <f>FN18*IF(OR($C18=65,$G18=65),0,1)</f>
        <v/>
      </c>
      <c r="FO19">
        <f>FO18*IF(OR($C18=66,$G18=66),0,1)</f>
        <v/>
      </c>
      <c r="FP19">
        <f>FP18*IF(OR($C18=67,$G18=67),0,1)</f>
        <v/>
      </c>
      <c r="FQ19">
        <f>FQ18*IF(OR($C18=68,$G18=68),0,1)</f>
        <v/>
      </c>
      <c r="FR19">
        <f>FR18*IF(OR($C18=69,$G18=69),0,1)</f>
        <v/>
      </c>
      <c r="FS19">
        <f>FS18*IF(OR($C18=70,$G18=70),0,1)</f>
        <v/>
      </c>
      <c r="FT19">
        <f>FT18*IF(OR($C18=71,$G18=71),0,1)</f>
        <v/>
      </c>
      <c r="FU19">
        <f>FU18*IF(OR($C18=72,$G18=72),0,1)</f>
        <v/>
      </c>
      <c r="FV19">
        <f>FV18*IF(OR($C18=73,$G18=73),0,1)</f>
        <v/>
      </c>
      <c r="FW19">
        <f>FW18*IF(OR($C18=74,$G18=74),0,1)</f>
        <v/>
      </c>
      <c r="FX19">
        <f>FX18*IF(OR($C18=75,$G18=75),0,1)</f>
        <v/>
      </c>
      <c r="FY19">
        <f>FY18*IF(OR($C18=76,$G18=76),0,1)</f>
        <v/>
      </c>
      <c r="FZ19">
        <f>FZ18*IF(OR($C18=77,$G18=77),0,1)</f>
        <v/>
      </c>
      <c r="GA19">
        <f>GA18*IF(OR($C18=78,$G18=78),0,1)</f>
        <v/>
      </c>
      <c r="GB19">
        <f>GB18*IF(OR($C18=79,$G18=79),0,1)</f>
        <v/>
      </c>
      <c r="GC19">
        <f>GC18*IF(OR($C18=80,$G18=80),0,1)</f>
        <v/>
      </c>
      <c r="GD19">
        <f>GD18*IF(OR($C18=81,$G18=81),0,1)</f>
        <v/>
      </c>
      <c r="GE19">
        <f>GE18*IF(OR($C18=82,$G18=82),0,1)</f>
        <v/>
      </c>
      <c r="GF19">
        <f>GF18*IF(OR($C18=83,$G18=83),0,1)</f>
        <v/>
      </c>
      <c r="GG19">
        <f>GG18*IF(OR($C18=84,$G18=84),0,1)</f>
        <v/>
      </c>
      <c r="GH19">
        <f>GH18*IF(OR($C18=85,$G18=85),0,1)</f>
        <v/>
      </c>
      <c r="GI19">
        <f>GI18*IF(OR($C18=86,$G18=86),0,1)</f>
        <v/>
      </c>
      <c r="GJ19">
        <f>GJ18*IF(OR($C18=87,$G18=87),0,1)</f>
        <v/>
      </c>
      <c r="GK19">
        <f>GK18*IF(OR($C18=88,$G18=88),0,1)</f>
        <v/>
      </c>
      <c r="GL19">
        <f>GL18*IF(OR($C18=89,$G18=89),0,1)</f>
        <v/>
      </c>
      <c r="GM19">
        <f>GM18*IF(OR($C18=90,$G18=90),0,1)</f>
        <v/>
      </c>
      <c r="GN19">
        <f>GN18*IF(OR($C18=91,$G18=91),0,1)</f>
        <v/>
      </c>
      <c r="GO19">
        <f>GO18*IF(OR($C18=92,$G18=92),0,1)</f>
        <v/>
      </c>
      <c r="GP19">
        <f>GP18*IF(OR($C18=93,$G18=93),0,1)</f>
        <v/>
      </c>
      <c r="GQ19">
        <f>GQ18*IF(OR($C18=94,$G18=94),0,1)</f>
        <v/>
      </c>
      <c r="GR19">
        <f>GR18*IF(OR($C18=95,$G18=95),0,1)</f>
        <v/>
      </c>
      <c r="GS19">
        <f>GS18*IF(OR($C18=96,$G18=96),0,1)</f>
        <v/>
      </c>
      <c r="GT19">
        <f>GT18*IF(OR($C18=97,$G18=97),0,1)</f>
        <v/>
      </c>
      <c r="GU19">
        <f>GU18*IF(OR($C18=98,$G18=98),0,1)</f>
        <v/>
      </c>
      <c r="GV19">
        <f>GV18*IF(OR($C18=99,$G18=99),0,1)</f>
        <v/>
      </c>
      <c r="GW19">
        <f>GW18*IF(OR($C18=100,$G18=100),0,1)</f>
        <v/>
      </c>
      <c r="GX19">
        <f>GX18*IF(OR($C18=101,$G18=101),0,1)</f>
        <v/>
      </c>
      <c r="GY19">
        <f>GY18*IF(OR($C18=102,$G18=102),0,1)</f>
        <v/>
      </c>
      <c r="GZ19">
        <f>GZ18*IF(OR($C18=103,$G18=103),0,1)</f>
        <v/>
      </c>
      <c r="HA19">
        <f>HA18*IF(OR($C18=104,$G18=104),0,1)</f>
        <v/>
      </c>
      <c r="HB19">
        <f>HB18*IF(OR($C18=105,$G18=105),0,1)</f>
        <v/>
      </c>
      <c r="HC19">
        <f>HC18*IF(OR($C18=106,$G18=106),0,1)</f>
        <v/>
      </c>
      <c r="HD19">
        <f>HD18*IF(OR($C18=107,$G18=107),0,1)</f>
        <v/>
      </c>
      <c r="HE19">
        <f>HE18*IF(OR($C18=108,$G18=108),0,1)</f>
        <v/>
      </c>
      <c r="HF19">
        <f>HF18*IF(OR($C18=109,$G18=109),0,1)</f>
        <v/>
      </c>
      <c r="HG19">
        <f>HG18*IF(OR($C18=110,$G18=110),0,1)</f>
        <v/>
      </c>
      <c r="HH19">
        <f>HH18*IF(OR($C18=111,$G18=111),0,1)</f>
        <v/>
      </c>
      <c r="HI19">
        <f>HI18*IF(OR($C18=112,$G18=112),0,1)</f>
        <v/>
      </c>
      <c r="HJ19">
        <f>HJ18*IF(OR($C18=113,$G18=113),0,1)</f>
        <v/>
      </c>
      <c r="HK19">
        <f>HK18*IF(OR($C18=114,$G18=114),0,1)</f>
        <v/>
      </c>
      <c r="HL19">
        <f>HL18*IF(OR($C18=115,$G18=115),0,1)</f>
        <v/>
      </c>
      <c r="HM19">
        <f>HM18*IF(OR($C18=116,$G18=116),0,1)</f>
        <v/>
      </c>
      <c r="HN19">
        <f>HN18*IF(OR($C18=117,$G18=117),0,1)</f>
        <v/>
      </c>
      <c r="HO19">
        <f>HO18*IF(OR($C18=118,$G18=118),0,1)</f>
        <v/>
      </c>
      <c r="HP19">
        <f>HP18*IF(OR($C18=119,$G18=119),0,1)</f>
        <v/>
      </c>
      <c r="HQ19">
        <f>HQ18*IF(OR($C18=120,$G18=120),0,1)</f>
        <v/>
      </c>
      <c r="HR19">
        <f>HR18*IF(OR($C18=121,$G18=121),0,1)</f>
        <v/>
      </c>
      <c r="HS19">
        <f>HS18*IF(OR($C18=122,$G18=122),0,1)</f>
        <v/>
      </c>
      <c r="HT19">
        <f>HT18*IF(OR($C18=123,$G18=123),0,1)</f>
        <v/>
      </c>
      <c r="HU19">
        <f>HU18*IF(OR($C18=124,$G18=124),0,1)</f>
        <v/>
      </c>
      <c r="HV19">
        <f>HV18*IF(OR($C18=125,$G18=125),0,1)</f>
        <v/>
      </c>
      <c r="HW19">
        <f>HW18*IF(OR($C18=126,$G18=126),0,1)</f>
        <v/>
      </c>
      <c r="HX19">
        <f>HX18*IF(OR($C18=127,$G18=127),0,1)</f>
        <v/>
      </c>
      <c r="HY19">
        <f>HY18*IF(OR($C18=128,$G18=128),0,1)</f>
        <v/>
      </c>
      <c r="HZ19">
        <f>HZ18*IF(OR($C18=129,$G18=129),0,1)</f>
        <v/>
      </c>
      <c r="IA19">
        <f>IA18*IF(OR($C18=130,$G18=130),0,1)</f>
        <v/>
      </c>
      <c r="IB19">
        <f>IB18*IF(OR($C18=131,$G18=131),0,1)</f>
        <v/>
      </c>
      <c r="IC19">
        <f>IC18*IF(OR($C18=132,$G18=132),0,1)</f>
        <v/>
      </c>
      <c r="ID19">
        <f>ID18*IF(OR($C18=133,$G18=133),0,1)</f>
        <v/>
      </c>
      <c r="IE19">
        <f>IE18*IF(OR($C18=134,$G18=134),0,1)</f>
        <v/>
      </c>
      <c r="IF19">
        <f>IF18*IF(OR($C18=135,$G18=135),0,1)</f>
        <v/>
      </c>
      <c r="IG19">
        <f>IG18*IF(OR($C18=136,$G18=136),0,1)</f>
        <v/>
      </c>
      <c r="IH19">
        <f>IH18*IF(OR($C18=137,$G18=137),0,1)</f>
        <v/>
      </c>
      <c r="II19">
        <f>II18*IF(OR($C18=138,$G18=138),0,1)</f>
        <v/>
      </c>
      <c r="IJ19">
        <f>IJ18*IF(OR($C18=139,$G18=139),0,1)</f>
        <v/>
      </c>
      <c r="IK19">
        <f>IK18*IF(OR($C18=140,$G18=140),0,1)</f>
        <v/>
      </c>
      <c r="IL19">
        <f>IL18*IF(OR($C18=141,$G18=141),0,1)</f>
        <v/>
      </c>
      <c r="IM19">
        <f>IM18*IF(OR($C18=142,$G18=142),0,1)</f>
        <v/>
      </c>
      <c r="IN19">
        <f>IN18*IF(OR($C18=143,$G18=143),0,1)</f>
        <v/>
      </c>
      <c r="IO19">
        <f>IO18*IF(OR($C18=144,$G18=144),0,1)</f>
        <v/>
      </c>
      <c r="IQ19">
        <f>IF('計算A'!D$106=1,DC19,1)</f>
        <v/>
      </c>
      <c r="IR19">
        <f>IF('計算A'!E$106=1,DD19,1)</f>
        <v/>
      </c>
      <c r="IS19">
        <f>IF('計算A'!F$106=1,DE19,1)</f>
        <v/>
      </c>
      <c r="IT19">
        <f>IF('計算A'!G$106=1,DF19,1)</f>
        <v/>
      </c>
      <c r="IU19">
        <f>IF('計算A'!H$106=1,DG19,1)</f>
        <v/>
      </c>
      <c r="IV19">
        <f>IF('計算A'!I$106=1,DH19,1)</f>
        <v/>
      </c>
      <c r="IW19">
        <f>IF('計算A'!J$106=1,DI19,1)</f>
        <v/>
      </c>
      <c r="IX19">
        <f>IF('計算A'!K$106=1,DJ19,1)</f>
        <v/>
      </c>
      <c r="IY19">
        <f>IF('計算A'!L$106=1,DK19,1)</f>
        <v/>
      </c>
      <c r="IZ19">
        <f>IF('計算A'!M$106=1,DL19,1)</f>
        <v/>
      </c>
      <c r="JA19">
        <f>IF('計算A'!N$106=1,DM19,1)</f>
        <v/>
      </c>
      <c r="JB19">
        <f>IF('計算A'!O$106=1,DN19,1)</f>
        <v/>
      </c>
      <c r="JC19">
        <f>IF('計算A'!P$106=1,DO19,1)</f>
        <v/>
      </c>
      <c r="JD19">
        <f>IF('計算A'!Q$106=1,DP19,1)</f>
        <v/>
      </c>
      <c r="JE19">
        <f>IF('計算A'!R$106=1,DQ19,1)</f>
        <v/>
      </c>
      <c r="JF19">
        <f>IF('計算A'!S$106=1,DR19,1)</f>
        <v/>
      </c>
      <c r="JG19">
        <f>IF('計算A'!T$106=1,DS19,1)</f>
        <v/>
      </c>
      <c r="JH19">
        <f>IF('計算A'!U$106=1,DT19,1)</f>
        <v/>
      </c>
      <c r="JI19">
        <f>IF('計算A'!V$106=1,DU19,1)</f>
        <v/>
      </c>
      <c r="JJ19">
        <f>IF('計算A'!W$106=1,DV19,1)</f>
        <v/>
      </c>
      <c r="JK19">
        <f>IF('計算A'!X$106=1,DW19,1)</f>
        <v/>
      </c>
      <c r="JL19">
        <f>IF('計算A'!Y$106=1,DX19,1)</f>
        <v/>
      </c>
      <c r="JM19">
        <f>IF('計算A'!Z$106=1,DY19,1)</f>
        <v/>
      </c>
      <c r="JN19">
        <f>IF('計算A'!AA$106=1,DZ19,1)</f>
        <v/>
      </c>
      <c r="JO19">
        <f>IF('計算A'!AB$106=1,EA19,1)</f>
        <v/>
      </c>
      <c r="JP19">
        <f>IF('計算A'!AC$106=1,EB19,1)</f>
        <v/>
      </c>
      <c r="JQ19">
        <f>IF('計算A'!AD$106=1,EC19,1)</f>
        <v/>
      </c>
      <c r="JR19">
        <f>IF('計算A'!AE$106=1,ED19,1)</f>
        <v/>
      </c>
      <c r="JS19">
        <f>IF('計算A'!AF$106=1,EE19,1)</f>
        <v/>
      </c>
      <c r="JT19">
        <f>IF('計算A'!AG$106=1,EF19,1)</f>
        <v/>
      </c>
      <c r="JU19">
        <f>IF('計算A'!AH$106=1,EG19,1)</f>
        <v/>
      </c>
      <c r="JV19">
        <f>IF('計算A'!AI$106=1,EH19,1)</f>
        <v/>
      </c>
      <c r="JW19">
        <f>IF('計算A'!AJ$106=1,EI19,1)</f>
        <v/>
      </c>
      <c r="JX19">
        <f>IF('計算A'!AK$106=1,EJ19,1)</f>
        <v/>
      </c>
      <c r="JY19">
        <f>IF('計算A'!AL$106=1,EK19,1)</f>
        <v/>
      </c>
      <c r="JZ19">
        <f>IF('計算A'!AM$106=1,EL19,1)</f>
        <v/>
      </c>
      <c r="KA19">
        <f>IF('計算A'!AN$106=1,EM19,1)</f>
        <v/>
      </c>
      <c r="KB19">
        <f>IF('計算A'!AO$106=1,EN19,1)</f>
        <v/>
      </c>
      <c r="KC19">
        <f>IF('計算A'!AP$106=1,EO19,1)</f>
        <v/>
      </c>
      <c r="KD19">
        <f>IF('計算A'!AQ$106=1,EP19,1)</f>
        <v/>
      </c>
      <c r="KE19">
        <f>IF('計算A'!AR$106=1,EQ19,1)</f>
        <v/>
      </c>
      <c r="KF19">
        <f>IF('計算A'!AS$106=1,ER19,1)</f>
        <v/>
      </c>
      <c r="KG19">
        <f>IF('計算A'!AT$106=1,ES19,1)</f>
        <v/>
      </c>
      <c r="KH19">
        <f>IF('計算A'!AU$106=1,ET19,1)</f>
        <v/>
      </c>
      <c r="KI19">
        <f>IF('計算A'!AV$106=1,EU19,1)</f>
        <v/>
      </c>
      <c r="KJ19">
        <f>IF('計算A'!AW$106=1,EV19,1)</f>
        <v/>
      </c>
      <c r="KK19">
        <f>IF('計算A'!AX$106=1,EW19,1)</f>
        <v/>
      </c>
      <c r="KL19">
        <f>IF('計算A'!AY$106=1,EX19,1)</f>
        <v/>
      </c>
      <c r="KM19">
        <f>IF('計算A'!AZ$106=1,EY19,1)</f>
        <v/>
      </c>
      <c r="KN19">
        <f>IF('計算A'!BA$106=1,EZ19,1)</f>
        <v/>
      </c>
      <c r="KO19">
        <f>IF('計算A'!BB$106=1,FA19,1)</f>
        <v/>
      </c>
      <c r="KP19">
        <f>IF('計算A'!BC$106=1,FB19,1)</f>
        <v/>
      </c>
      <c r="KQ19">
        <f>IF('計算A'!BD$106=1,FC19,1)</f>
        <v/>
      </c>
      <c r="KR19">
        <f>IF('計算A'!BE$106=1,FD19,1)</f>
        <v/>
      </c>
      <c r="KS19">
        <f>IF('計算A'!BF$106=1,FE19,1)</f>
        <v/>
      </c>
      <c r="KT19">
        <f>IF('計算A'!BG$106=1,FF19,1)</f>
        <v/>
      </c>
      <c r="KU19">
        <f>IF('計算A'!BH$106=1,FG19,1)</f>
        <v/>
      </c>
      <c r="KV19">
        <f>IF('計算A'!BI$106=1,FH19,1)</f>
        <v/>
      </c>
      <c r="KW19">
        <f>IF('計算A'!BJ$106=1,FI19,1)</f>
        <v/>
      </c>
      <c r="KX19">
        <f>IF('計算A'!BK$106=1,FJ19,1)</f>
        <v/>
      </c>
      <c r="KY19">
        <f>IF('計算A'!BL$106=1,FK19,1)</f>
        <v/>
      </c>
      <c r="KZ19">
        <f>IF('計算A'!BM$106=1,FL19,1)</f>
        <v/>
      </c>
      <c r="LA19">
        <f>IF('計算A'!BN$106=1,FM19,1)</f>
        <v/>
      </c>
      <c r="LB19">
        <f>IF('計算A'!BO$106=1,FN19,1)</f>
        <v/>
      </c>
      <c r="LC19">
        <f>IF('計算A'!BP$106=1,FO19,1)</f>
        <v/>
      </c>
      <c r="LD19">
        <f>IF('計算A'!BQ$106=1,FP19,1)</f>
        <v/>
      </c>
      <c r="LE19">
        <f>IF('計算A'!BR$106=1,FQ19,1)</f>
        <v/>
      </c>
      <c r="LF19">
        <f>IF('計算A'!BS$106=1,FR19,1)</f>
        <v/>
      </c>
      <c r="LG19">
        <f>IF('計算A'!BT$106=1,FS19,1)</f>
        <v/>
      </c>
      <c r="LH19">
        <f>IF('計算A'!BU$106=1,FT19,1)</f>
        <v/>
      </c>
      <c r="LI19">
        <f>IF('計算A'!BV$106=1,FU19,1)</f>
        <v/>
      </c>
      <c r="LJ19">
        <f>IF('計算A'!BW$106=1,FV19,1)</f>
        <v/>
      </c>
      <c r="LK19">
        <f>IF('計算A'!BX$106=1,FW19,1)</f>
        <v/>
      </c>
      <c r="LL19">
        <f>IF('計算A'!BY$106=1,FX19,1)</f>
        <v/>
      </c>
      <c r="LM19">
        <f>IF('計算A'!BZ$106=1,FY19,1)</f>
        <v/>
      </c>
      <c r="LN19">
        <f>IF('計算A'!CA$106=1,FZ19,1)</f>
        <v/>
      </c>
      <c r="LO19">
        <f>IF('計算A'!CB$106=1,GA19,1)</f>
        <v/>
      </c>
      <c r="LP19">
        <f>IF('計算A'!CC$106=1,GB19,1)</f>
        <v/>
      </c>
      <c r="LQ19">
        <f>IF('計算A'!CD$106=1,GC19,1)</f>
        <v/>
      </c>
      <c r="LR19">
        <f>IF('計算A'!CE$106=1,GD19,1)</f>
        <v/>
      </c>
      <c r="LS19">
        <f>IF('計算A'!CF$106=1,GE19,1)</f>
        <v/>
      </c>
      <c r="LT19">
        <f>IF('計算A'!CG$106=1,GF19,1)</f>
        <v/>
      </c>
      <c r="LU19">
        <f>IF('計算A'!CH$106=1,GG19,1)</f>
        <v/>
      </c>
      <c r="LV19">
        <f>IF('計算A'!CI$106=1,GH19,1)</f>
        <v/>
      </c>
      <c r="LW19">
        <f>IF('計算A'!CJ$106=1,GI19,1)</f>
        <v/>
      </c>
      <c r="LX19">
        <f>IF('計算A'!CK$106=1,GJ19,1)</f>
        <v/>
      </c>
      <c r="LY19">
        <f>IF('計算A'!CL$106=1,GK19,1)</f>
        <v/>
      </c>
      <c r="LZ19">
        <f>IF('計算A'!CM$106=1,GL19,1)</f>
        <v/>
      </c>
      <c r="MA19">
        <f>IF('計算A'!CN$106=1,GM19,1)</f>
        <v/>
      </c>
      <c r="MB19">
        <f>IF('計算A'!CO$106=1,GN19,1)</f>
        <v/>
      </c>
      <c r="MC19">
        <f>IF('計算A'!CP$106=1,GO19,1)</f>
        <v/>
      </c>
      <c r="MD19">
        <f>IF('計算A'!CQ$106=1,GP19,1)</f>
        <v/>
      </c>
      <c r="ME19">
        <f>IF('計算A'!CR$106=1,GQ19,1)</f>
        <v/>
      </c>
      <c r="MF19">
        <f>IF('計算A'!CS$106=1,GR19,1)</f>
        <v/>
      </c>
      <c r="MG19">
        <f>IF('計算A'!CT$106=1,GS19,1)</f>
        <v/>
      </c>
      <c r="MH19">
        <f>IF('計算A'!CU$106=1,GT19,1)</f>
        <v/>
      </c>
      <c r="MI19">
        <f>IF('計算A'!CV$106=1,GU19,1)</f>
        <v/>
      </c>
      <c r="MJ19">
        <f>IF('計算A'!CW$106=1,GV19,1)</f>
        <v/>
      </c>
      <c r="MK19">
        <f>IF('計算A'!CX$106=1,GW19,1)</f>
        <v/>
      </c>
      <c r="ML19">
        <f>IF('計算A'!CY$106=1,GX19,1)</f>
        <v/>
      </c>
      <c r="MM19">
        <f>IF('計算A'!CZ$106=1,GY19,1)</f>
        <v/>
      </c>
      <c r="MN19">
        <f>IF('計算A'!DA$106=1,GZ19,1)</f>
        <v/>
      </c>
      <c r="MO19">
        <f>IF('計算A'!DB$106=1,HA19,1)</f>
        <v/>
      </c>
      <c r="MP19">
        <f>IF('計算A'!DC$106=1,HB19,1)</f>
        <v/>
      </c>
      <c r="MQ19">
        <f>IF('計算A'!DD$106=1,HC19,1)</f>
        <v/>
      </c>
      <c r="MR19">
        <f>IF('計算A'!DE$106=1,HD19,1)</f>
        <v/>
      </c>
      <c r="MS19">
        <f>IF('計算A'!DF$106=1,HE19,1)</f>
        <v/>
      </c>
      <c r="MT19">
        <f>IF('計算A'!DG$106=1,HF19,1)</f>
        <v/>
      </c>
      <c r="MU19">
        <f>IF('計算A'!DH$106=1,HG19,1)</f>
        <v/>
      </c>
      <c r="MV19">
        <f>IF('計算A'!DI$106=1,HH19,1)</f>
        <v/>
      </c>
      <c r="MW19">
        <f>IF('計算A'!DJ$106=1,HI19,1)</f>
        <v/>
      </c>
      <c r="MX19">
        <f>IF('計算A'!DK$106=1,HJ19,1)</f>
        <v/>
      </c>
      <c r="MY19">
        <f>IF('計算A'!DL$106=1,HK19,1)</f>
        <v/>
      </c>
      <c r="MZ19">
        <f>IF('計算A'!DM$106=1,HL19,1)</f>
        <v/>
      </c>
      <c r="NA19">
        <f>IF('計算A'!DN$106=1,HM19,1)</f>
        <v/>
      </c>
      <c r="NB19">
        <f>IF('計算A'!DO$106=1,HN19,1)</f>
        <v/>
      </c>
      <c r="NC19">
        <f>IF('計算A'!DP$106=1,HO19,1)</f>
        <v/>
      </c>
      <c r="ND19">
        <f>IF('計算A'!DQ$106=1,HP19,1)</f>
        <v/>
      </c>
      <c r="NE19">
        <f>IF('計算A'!DR$106=1,HQ19,1)</f>
        <v/>
      </c>
      <c r="NF19">
        <f>IF('計算A'!DS$106=1,HR19,1)</f>
        <v/>
      </c>
      <c r="NG19">
        <f>IF('計算A'!DT$106=1,HS19,1)</f>
        <v/>
      </c>
      <c r="NH19">
        <f>IF('計算A'!DU$106=1,HT19,1)</f>
        <v/>
      </c>
      <c r="NI19">
        <f>IF('計算A'!DV$106=1,HU19,1)</f>
        <v/>
      </c>
      <c r="NJ19">
        <f>IF('計算A'!DW$106=1,HV19,1)</f>
        <v/>
      </c>
      <c r="NK19">
        <f>IF('計算A'!DX$106=1,HW19,1)</f>
        <v/>
      </c>
      <c r="NL19">
        <f>IF('計算A'!DY$106=1,HX19,1)</f>
        <v/>
      </c>
      <c r="NM19">
        <f>IF('計算A'!DZ$106=1,HY19,1)</f>
        <v/>
      </c>
      <c r="NN19">
        <f>IF('計算A'!EA$106=1,HZ19,1)</f>
        <v/>
      </c>
      <c r="NO19">
        <f>IF('計算A'!EB$106=1,IA19,1)</f>
        <v/>
      </c>
      <c r="NP19">
        <f>IF('計算A'!EC$106=1,IB19,1)</f>
        <v/>
      </c>
      <c r="NQ19">
        <f>IF('計算A'!ED$106=1,IC19,1)</f>
        <v/>
      </c>
      <c r="NR19">
        <f>IF('計算A'!EE$106=1,ID19,1)</f>
        <v/>
      </c>
      <c r="NS19">
        <f>IF('計算A'!EF$106=1,IE19,1)</f>
        <v/>
      </c>
      <c r="NT19">
        <f>IF('計算A'!EG$106=1,IF19,1)</f>
        <v/>
      </c>
      <c r="NU19">
        <f>IF('計算A'!EH$106=1,IG19,1)</f>
        <v/>
      </c>
      <c r="NV19">
        <f>IF('計算A'!EI$106=1,IH19,1)</f>
        <v/>
      </c>
      <c r="NW19">
        <f>IF('計算A'!EJ$106=1,II19,1)</f>
        <v/>
      </c>
      <c r="NX19">
        <f>IF('計算A'!EK$106=1,IJ19,1)</f>
        <v/>
      </c>
      <c r="NY19">
        <f>IF('計算A'!EL$106=1,IK19,1)</f>
        <v/>
      </c>
      <c r="NZ19">
        <f>IF('計算A'!EM$106=1,IL19,1)</f>
        <v/>
      </c>
      <c r="OA19">
        <f>IF('計算A'!EN$106=1,IM19,1)</f>
        <v/>
      </c>
      <c r="OB19">
        <f>IF('計算A'!EO$106=1,IN19,1)</f>
        <v/>
      </c>
      <c r="OC19">
        <f>IF('計算A'!EP$106=1,IO19,1)</f>
        <v/>
      </c>
      <c r="OD19" t="n">
        <v>1</v>
      </c>
      <c r="OF19">
        <f>IF($B19=0,1000000,IF(INDEX('計算A'!$D$60:$EQ$104,$B19,1)*DB19=1,IF(AND($E19=2,IQ19=0),1000000,IF($I19&gt;0,IF(1=$J19,IF(OR(AND(1=$I19+1,OR($K19&lt;&gt;'計算A'!$A$3,'計算A'!$A$4=0)),AND(1=$I19-1,OR(1&lt;&gt;'計算A'!$A$3,'計算A'!$A$4=0))),0,IF(1=$K19,200000,ABS(1-$K19)*100)),100000+ABS(1-$J19)*1000+10)+'計算A'!D$5*50+IF(AND($E19=1,IQ19=0),25,0),INDEX('計算A'!D$110:D$114,$F19+1)+IF(AND($E19=1,IQ19=0),1000,0)+IF($H19=1,(IF('計算A'!D$117=1,INDEX('計算A'!E$10:E$54,$B19),0))*500,0)-IF(AND($L19=1,'計算A'!D$117=1,DC19=0),300,0))),1000000))</f>
        <v/>
      </c>
      <c r="OG19">
        <f>IF($B19=0,1000000,IF(INDEX('計算A'!$D$60:$EQ$104,$B19,2)*DC19=1,IF(AND($E19=2,IR19=0),1000000,IF($I19&gt;0,IF(1=$J19,IF(OR(AND(2=$I19+1,OR($K19&lt;&gt;'計算A'!$A$3,'計算A'!$A$4=0)),AND(2=$I19-1,OR(2&lt;&gt;'計算A'!$A$3,'計算A'!$A$4=0))),0,IF(2=$K19,200000,ABS(2-$K19)*100)),100000+ABS(1-$J19)*1000+20)+'計算A'!E$5*50+IF(AND($E19=1,IR19=0),25,0),INDEX('計算A'!E$110:E$114,$F19+1)+IF(AND($E19=1,IR19=0),1000,0)+IF($H19=1,(IF('計算A'!D$117=1,INDEX('計算A'!D$10:D$54,$B19),0)+IF('計算A'!E$117=1,INDEX('計算A'!F$10:F$54,$B19),0))*500,0)-IF(AND('計算A'!D$117=1,UB19&gt;0),300,0)-IF(AND($L19=1,'計算A'!E$117=1,DD19=0),300,0))),1000000))</f>
        <v/>
      </c>
      <c r="OH19">
        <f>IF($B19=0,1000000,IF(INDEX('計算A'!$D$60:$EQ$104,$B19,3)*DD19=1,IF(AND($E19=2,IS19=0),1000000,IF($I19&gt;0,IF(1=$J19,IF(OR(AND(3=$I19+1,OR($K19&lt;&gt;'計算A'!$A$3,'計算A'!$A$4=0)),AND(3=$I19-1,OR(3&lt;&gt;'計算A'!$A$3,'計算A'!$A$4=0))),0,IF(3=$K19,200000,ABS(3-$K19)*100)),100000+ABS(1-$J19)*1000+30)+'計算A'!F$5*50+IF(AND($E19=1,IS19=0),25,0),INDEX('計算A'!F$110:F$114,$F19+1)+IF(AND($E19=1,IS19=0),1000,0)+IF($H19=1,(IF('計算A'!E$117=1,INDEX('計算A'!E$10:E$54,$B19),0)+IF('計算A'!F$117=1,INDEX('計算A'!G$10:G$54,$B19),0))*500,0)-IF(AND('計算A'!E$117=1,UC19&gt;0),300,0)-IF(AND($L19=1,'計算A'!F$117=1,DE19=0),300,0))),1000000))</f>
        <v/>
      </c>
      <c r="OI19">
        <f>IF($B19=0,1000000,IF(INDEX('計算A'!$D$60:$EQ$104,$B19,4)*DE19=1,IF(AND($E19=2,IT19=0),1000000,IF($I19&gt;0,IF(1=$J19,IF(OR(AND(4=$I19+1,OR($K19&lt;&gt;'計算A'!$A$3,'計算A'!$A$4=0)),AND(4=$I19-1,OR(4&lt;&gt;'計算A'!$A$3,'計算A'!$A$4=0))),0,IF(4=$K19,200000,ABS(4-$K19)*100)),100000+ABS(1-$J19)*1000+40)+'計算A'!G$5*50+IF(AND($E19=1,IT19=0),25,0),INDEX('計算A'!G$110:G$114,$F19+1)+IF(AND($E19=1,IT19=0),1000,0)+IF($H19=1,(IF('計算A'!F$117=1,INDEX('計算A'!F$10:F$54,$B19),0)+IF('計算A'!G$117=1,INDEX('計算A'!H$10:H$54,$B19),0))*500,0)-IF(AND('計算A'!F$117=1,UD19&gt;0),300,0)-IF(AND($L19=1,'計算A'!G$117=1,DF19=0),300,0))),1000000))</f>
        <v/>
      </c>
      <c r="OJ19">
        <f>IF($B19=0,1000000,IF(INDEX('計算A'!$D$60:$EQ$104,$B19,5)*DF19=1,IF(AND($E19=2,IU19=0),1000000,IF($I19&gt;0,IF(1=$J19,IF(OR(AND(5=$I19+1,OR($K19&lt;&gt;'計算A'!$A$3,'計算A'!$A$4=0)),AND(5=$I19-1,OR(5&lt;&gt;'計算A'!$A$3,'計算A'!$A$4=0))),0,IF(5=$K19,200000,ABS(5-$K19)*100)),100000+ABS(1-$J19)*1000+50)+'計算A'!H$5*50+IF(AND($E19=1,IU19=0),25,0),INDEX('計算A'!H$110:H$114,$F19+1)+IF(AND($E19=1,IU19=0),1000,0)+IF($H19=1,(IF('計算A'!G$117=1,INDEX('計算A'!G$10:G$54,$B19),0)+IF('計算A'!H$117=1,INDEX('計算A'!I$10:I$54,$B19),0))*500,0)-IF(AND('計算A'!G$117=1,UE19&gt;0),300,0)-IF(AND($L19=1,'計算A'!H$117=1,DG19=0),300,0))),1000000))</f>
        <v/>
      </c>
      <c r="OK19">
        <f>IF($B19=0,1000000,IF(INDEX('計算A'!$D$60:$EQ$104,$B19,6)*DG19=1,IF(AND($E19=2,IV19=0),1000000,IF($I19&gt;0,IF(1=$J19,IF(OR(AND(6=$I19+1,OR($K19&lt;&gt;'計算A'!$A$3,'計算A'!$A$4=0)),AND(6=$I19-1,OR(6&lt;&gt;'計算A'!$A$3,'計算A'!$A$4=0))),0,IF(6=$K19,200000,ABS(6-$K19)*100)),100000+ABS(1-$J19)*1000+60)+'計算A'!I$5*50+IF(AND($E19=1,IV19=0),25,0),INDEX('計算A'!I$110:I$114,$F19+1)+IF(AND($E19=1,IV19=0),1000,0)+IF($H19=1,(IF('計算A'!H$117=1,INDEX('計算A'!H$10:H$54,$B19),0)+IF('計算A'!I$117=1,INDEX('計算A'!J$10:J$54,$B19),0))*500,0)-IF(AND('計算A'!H$117=1,UF19&gt;0),300,0)-IF(AND($L19=1,'計算A'!I$117=1,DH19=0),300,0))),1000000))</f>
        <v/>
      </c>
      <c r="OL19">
        <f>IF($B19=0,1000000,IF(INDEX('計算A'!$D$60:$EQ$104,$B19,7)*DH19=1,IF(AND($E19=2,IW19=0),1000000,IF($I19&gt;0,IF(1=$J19,IF(OR(AND(7=$I19+1,OR($K19&lt;&gt;'計算A'!$A$3,'計算A'!$A$4=0)),AND(7=$I19-1,OR(7&lt;&gt;'計算A'!$A$3,'計算A'!$A$4=0))),0,IF(7=$K19,200000,ABS(7-$K19)*100)),100000+ABS(1-$J19)*1000+70)+'計算A'!J$5*50+IF(AND($E19=1,IW19=0),25,0),INDEX('計算A'!J$110:J$114,$F19+1)+IF(AND($E19=1,IW19=0),1000,0)+IF($H19=1,(IF('計算A'!I$117=1,INDEX('計算A'!I$10:I$54,$B19),0)+IF('計算A'!J$117=1,INDEX('計算A'!K$10:K$54,$B19),0))*500,0)-IF(AND('計算A'!I$117=1,UG19&gt;0),300,0)-IF(AND($L19=1,'計算A'!J$117=1,DI19=0),300,0))),1000000))</f>
        <v/>
      </c>
      <c r="OM19">
        <f>IF($B19=0,1000000,IF(INDEX('計算A'!$D$60:$EQ$104,$B19,8)*DI19=1,IF(AND($E19=2,IX19=0),1000000,IF($I19&gt;0,IF(1=$J19,IF(OR(AND(8=$I19+1,OR($K19&lt;&gt;'計算A'!$A$3,'計算A'!$A$4=0)),AND(8=$I19-1,OR(8&lt;&gt;'計算A'!$A$3,'計算A'!$A$4=0))),0,IF(8=$K19,200000,ABS(8-$K19)*100)),100000+ABS(1-$J19)*1000+80)+'計算A'!K$5*50+IF(AND($E19=1,IX19=0),25,0),INDEX('計算A'!K$110:K$114,$F19+1)+IF(AND($E19=1,IX19=0),1000,0)+IF($H19=1,(IF('計算A'!J$117=1,INDEX('計算A'!J$10:J$54,$B19),0)+IF('計算A'!K$117=1,INDEX('計算A'!L$10:L$54,$B19),0))*500,0)-IF(AND('計算A'!J$117=1,UH19&gt;0),300,0)-IF(AND($L19=1,'計算A'!K$117=1,DJ19=0),300,0))),1000000))</f>
        <v/>
      </c>
      <c r="ON19">
        <f>IF($B19=0,1000000,IF(INDEX('計算A'!$D$60:$EQ$104,$B19,9)*DJ19=1,IF(AND($E19=2,IY19=0),1000000,IF($I19&gt;0,IF(1=$J19,IF(OR(AND(9=$I19+1,OR($K19&lt;&gt;'計算A'!$A$3,'計算A'!$A$4=0)),AND(9=$I19-1,OR(9&lt;&gt;'計算A'!$A$3,'計算A'!$A$4=0))),0,IF(9=$K19,200000,ABS(9-$K19)*100)),100000+ABS(1-$J19)*1000+90)+'計算A'!L$5*50+IF(AND($E19=1,IY19=0),25,0),INDEX('計算A'!L$110:L$114,$F19+1)+IF(AND($E19=1,IY19=0),1000,0)+IF($H19=1,(IF('計算A'!K$117=1,INDEX('計算A'!K$10:K$54,$B19),0)+IF('計算A'!L$117=1,INDEX('計算A'!M$10:M$54,$B19),0))*500,0)-IF(AND('計算A'!K$117=1,UI19&gt;0),300,0)-IF(AND($L19=1,'計算A'!L$117=1,DK19=0),300,0))),1000000))</f>
        <v/>
      </c>
      <c r="OO19">
        <f>IF($B19=0,1000000,IF(INDEX('計算A'!$D$60:$EQ$104,$B19,10)*DK19=1,IF(AND($E19=2,IZ19=0),1000000,IF($I19&gt;0,IF(1=$J19,IF(OR(AND(10=$I19+1,OR($K19&lt;&gt;'計算A'!$A$3,'計算A'!$A$4=0)),AND(10=$I19-1,OR(10&lt;&gt;'計算A'!$A$3,'計算A'!$A$4=0))),0,IF(10=$K19,200000,ABS(10-$K19)*100)),100000+ABS(1-$J19)*1000+100)+'計算A'!M$5*50+IF(AND($E19=1,IZ19=0),25,0),INDEX('計算A'!M$110:M$114,$F19+1)+IF(AND($E19=1,IZ19=0),1000,0)+IF($H19=1,(IF('計算A'!L$117=1,INDEX('計算A'!L$10:L$54,$B19),0)+IF('計算A'!M$117=1,INDEX('計算A'!N$10:N$54,$B19),0))*500,0)-IF(AND('計算A'!L$117=1,UJ19&gt;0),300,0)-IF(AND($L19=1,'計算A'!M$117=1,DL19=0),300,0))),1000000))</f>
        <v/>
      </c>
      <c r="OP19">
        <f>IF($B19=0,1000000,IF(INDEX('計算A'!$D$60:$EQ$104,$B19,11)*DL19=1,IF(AND($E19=2,JA19=0),1000000,IF($I19&gt;0,IF(1=$J19,IF(OR(AND(11=$I19+1,OR($K19&lt;&gt;'計算A'!$A$3,'計算A'!$A$4=0)),AND(11=$I19-1,OR(11&lt;&gt;'計算A'!$A$3,'計算A'!$A$4=0))),0,IF(11=$K19,200000,ABS(11-$K19)*100)),100000+ABS(1-$J19)*1000+110)+'計算A'!N$5*50+IF(AND($E19=1,JA19=0),25,0),INDEX('計算A'!N$110:N$114,$F19+1)+IF(AND($E19=1,JA19=0),1000,0)+IF($H19=1,(IF('計算A'!M$117=1,INDEX('計算A'!M$10:M$54,$B19),0)+IF('計算A'!N$117=1,INDEX('計算A'!O$10:O$54,$B19),0))*500,0)-IF(AND('計算A'!M$117=1,UK19&gt;0),300,0)-IF(AND($L19=1,'計算A'!N$117=1,DM19=0),300,0))),1000000))</f>
        <v/>
      </c>
      <c r="OQ19">
        <f>IF($B19=0,1000000,IF(INDEX('計算A'!$D$60:$EQ$104,$B19,12)*DM19=1,IF(AND($E19=2,JB19=0),1000000,IF($I19&gt;0,IF(1=$J19,IF(OR(AND(12=$I19+1,OR($K19&lt;&gt;'計算A'!$A$3,'計算A'!$A$4=0)),AND(12=$I19-1,OR(12&lt;&gt;'計算A'!$A$3,'計算A'!$A$4=0))),0,IF(12=$K19,200000,ABS(12-$K19)*100)),100000+ABS(1-$J19)*1000+120)+'計算A'!O$5*50+IF(AND($E19=1,JB19=0),25,0),INDEX('計算A'!O$110:O$114,$F19+1)+IF(AND($E19=1,JB19=0),1000,0)+IF($H19=1,(IF('計算A'!N$117=1,INDEX('計算A'!N$10:N$54,$B19),0)+IF('計算A'!O$117=1,INDEX('計算A'!P$10:P$54,$B19),0))*500,0)-IF(AND('計算A'!N$117=1,UL19&gt;0),300,0)-IF(AND($L19=1,'計算A'!O$117=1,DN19=0),300,0))),1000000))</f>
        <v/>
      </c>
      <c r="OR19">
        <f>IF($B19=0,1000000,IF(INDEX('計算A'!$D$60:$EQ$104,$B19,13)*DN19=1,IF(AND($E19=2,JC19=0),1000000,IF($I19&gt;0,IF(1=$J19,IF(OR(AND(13=$I19+1,OR($K19&lt;&gt;'計算A'!$A$3,'計算A'!$A$4=0)),AND(13=$I19-1,OR(13&lt;&gt;'計算A'!$A$3,'計算A'!$A$4=0))),0,IF(13=$K19,200000,ABS(13-$K19)*100)),100000+ABS(1-$J19)*1000+130)+'計算A'!P$5*50+IF(AND($E19=1,JC19=0),25,0),INDEX('計算A'!P$110:P$114,$F19+1)+IF(AND($E19=1,JC19=0),1000,0)+IF($H19=1,(IF('計算A'!O$117=1,INDEX('計算A'!O$10:O$54,$B19),0)+IF('計算A'!P$117=1,INDEX('計算A'!Q$10:Q$54,$B19),0))*500,0)-IF(AND('計算A'!O$117=1,UM19&gt;0),300,0)-IF(AND($L19=1,'計算A'!P$117=1,DO19=0),300,0))),1000000))</f>
        <v/>
      </c>
      <c r="OS19">
        <f>IF($B19=0,1000000,IF(INDEX('計算A'!$D$60:$EQ$104,$B19,14)*DO19=1,IF(AND($E19=2,JD19=0),1000000,IF($I19&gt;0,IF(1=$J19,IF(OR(AND(14=$I19+1,OR($K19&lt;&gt;'計算A'!$A$3,'計算A'!$A$4=0)),AND(14=$I19-1,OR(14&lt;&gt;'計算A'!$A$3,'計算A'!$A$4=0))),0,IF(14=$K19,200000,ABS(14-$K19)*100)),100000+ABS(1-$J19)*1000+140)+'計算A'!Q$5*50+IF(AND($E19=1,JD19=0),25,0),INDEX('計算A'!Q$110:Q$114,$F19+1)+IF(AND($E19=1,JD19=0),1000,0)+IF($H19=1,(IF('計算A'!P$117=1,INDEX('計算A'!P$10:P$54,$B19),0)+IF('計算A'!Q$117=1,INDEX('計算A'!R$10:R$54,$B19),0))*500,0)-IF(AND('計算A'!P$117=1,UN19&gt;0),300,0)-IF(AND($L19=1,'計算A'!Q$117=1,DP19=0),300,0))),1000000))</f>
        <v/>
      </c>
      <c r="OT19">
        <f>IF($B19=0,1000000,IF(INDEX('計算A'!$D$60:$EQ$104,$B19,15)*DP19=1,IF(AND($E19=2,JE19=0),1000000,IF($I19&gt;0,IF(1=$J19,IF(OR(AND(15=$I19+1,OR($K19&lt;&gt;'計算A'!$A$3,'計算A'!$A$4=0)),AND(15=$I19-1,OR(15&lt;&gt;'計算A'!$A$3,'計算A'!$A$4=0))),0,IF(15=$K19,200000,ABS(15-$K19)*100)),100000+ABS(1-$J19)*1000+150)+'計算A'!R$5*50+IF(AND($E19=1,JE19=0),25,0),INDEX('計算A'!R$110:R$114,$F19+1)+IF(AND($E19=1,JE19=0),1000,0)+IF($H19=1,(IF('計算A'!Q$117=1,INDEX('計算A'!Q$10:Q$54,$B19),0)+IF('計算A'!R$117=1,INDEX('計算A'!S$10:S$54,$B19),0))*500,0)-IF(AND('計算A'!Q$117=1,UO19&gt;0),300,0)-IF(AND($L19=1,'計算A'!R$117=1,DQ19=0),300,0))),1000000))</f>
        <v/>
      </c>
      <c r="OU19">
        <f>IF($B19=0,1000000,IF(INDEX('計算A'!$D$60:$EQ$104,$B19,16)*DQ19=1,IF(AND($E19=2,JF19=0),1000000,IF($I19&gt;0,IF(1=$J19,IF(OR(AND(16=$I19+1,OR($K19&lt;&gt;'計算A'!$A$3,'計算A'!$A$4=0)),AND(16=$I19-1,OR(16&lt;&gt;'計算A'!$A$3,'計算A'!$A$4=0))),0,IF(16=$K19,200000,ABS(16-$K19)*100)),100000+ABS(1-$J19)*1000+160)+'計算A'!S$5*50+IF(AND($E19=1,JF19=0),25,0),INDEX('計算A'!S$110:S$114,$F19+1)+IF(AND($E19=1,JF19=0),1000,0)+IF($H19=1,(IF('計算A'!R$117=1,INDEX('計算A'!R$10:R$54,$B19),0)+IF('計算A'!S$117=1,INDEX('計算A'!T$10:T$54,$B19),0))*500,0)-IF(AND('計算A'!R$117=1,UP19&gt;0),300,0)-IF(AND($L19=1,'計算A'!S$117=1,DR19=0),300,0))),1000000))</f>
        <v/>
      </c>
      <c r="OV19">
        <f>IF($B19=0,1000000,IF(INDEX('計算A'!$D$60:$EQ$104,$B19,17)*DR19=1,IF(AND($E19=2,JG19=0),1000000,IF($I19&gt;0,IF(1=$J19,IF(OR(AND(17=$I19+1,OR($K19&lt;&gt;'計算A'!$A$3,'計算A'!$A$4=0)),AND(17=$I19-1,OR(17&lt;&gt;'計算A'!$A$3,'計算A'!$A$4=0))),0,IF(17=$K19,200000,ABS(17-$K19)*100)),100000+ABS(1-$J19)*1000+170)+'計算A'!T$5*50+IF(AND($E19=1,JG19=0),25,0),INDEX('計算A'!T$110:T$114,$F19+1)+IF(AND($E19=1,JG19=0),1000,0)+IF($H19=1,(IF('計算A'!S$117=1,INDEX('計算A'!S$10:S$54,$B19),0)+IF('計算A'!T$117=1,INDEX('計算A'!U$10:U$54,$B19),0))*500,0)-IF(AND('計算A'!S$117=1,UQ19&gt;0),300,0)-IF(AND($L19=1,'計算A'!T$117=1,DS19=0),300,0))),1000000))</f>
        <v/>
      </c>
      <c r="OW19">
        <f>IF($B19=0,1000000,IF(INDEX('計算A'!$D$60:$EQ$104,$B19,18)*DS19=1,IF(AND($E19=2,JH19=0),1000000,IF($I19&gt;0,IF(1=$J19,IF(OR(AND(18=$I19+1,OR($K19&lt;&gt;'計算A'!$A$3,'計算A'!$A$4=0)),AND(18=$I19-1,OR(18&lt;&gt;'計算A'!$A$3,'計算A'!$A$4=0))),0,IF(18=$K19,200000,ABS(18-$K19)*100)),100000+ABS(1-$J19)*1000+180)+'計算A'!U$5*50+IF(AND($E19=1,JH19=0),25,0),INDEX('計算A'!U$110:U$114,$F19+1)+IF(AND($E19=1,JH19=0),1000,0)+IF($H19=1,(IF('計算A'!T$117=1,INDEX('計算A'!T$10:T$54,$B19),0)+IF('計算A'!U$117=1,INDEX('計算A'!V$10:V$54,$B19),0))*500,0)-IF(AND('計算A'!T$117=1,UR19&gt;0),300,0)-IF(AND($L19=1,'計算A'!U$117=1,DT19=0),300,0))),1000000))</f>
        <v/>
      </c>
      <c r="OX19">
        <f>IF($B19=0,1000000,IF(INDEX('計算A'!$D$60:$EQ$104,$B19,19)*DT19=1,IF(AND($E19=2,JI19=0),1000000,IF($I19&gt;0,IF(1=$J19,IF(OR(AND(19=$I19+1,OR($K19&lt;&gt;'計算A'!$A$3,'計算A'!$A$4=0)),AND(19=$I19-1,OR(19&lt;&gt;'計算A'!$A$3,'計算A'!$A$4=0))),0,IF(19=$K19,200000,ABS(19-$K19)*100)),100000+ABS(1-$J19)*1000+190)+'計算A'!V$5*50+IF(AND($E19=1,JI19=0),25,0),INDEX('計算A'!V$110:V$114,$F19+1)+IF(AND($E19=1,JI19=0),1000,0)+IF($H19=1,(IF('計算A'!U$117=1,INDEX('計算A'!U$10:U$54,$B19),0)+IF('計算A'!V$117=1,INDEX('計算A'!W$10:W$54,$B19),0))*500,0)-IF(AND('計算A'!U$117=1,US19&gt;0),300,0)-IF(AND($L19=1,'計算A'!V$117=1,DU19=0),300,0))),1000000))</f>
        <v/>
      </c>
      <c r="OY19">
        <f>IF($B19=0,1000000,IF(INDEX('計算A'!$D$60:$EQ$104,$B19,20)*DU19=1,IF(AND($E19=2,JJ19=0),1000000,IF($I19&gt;0,IF(1=$J19,IF(OR(AND(20=$I19+1,OR($K19&lt;&gt;'計算A'!$A$3,'計算A'!$A$4=0)),AND(20=$I19-1,OR(20&lt;&gt;'計算A'!$A$3,'計算A'!$A$4=0))),0,IF(20=$K19,200000,ABS(20-$K19)*100)),100000+ABS(1-$J19)*1000+200)+'計算A'!W$5*50+IF(AND($E19=1,JJ19=0),25,0),INDEX('計算A'!W$110:W$114,$F19+1)+IF(AND($E19=1,JJ19=0),1000,0)+IF($H19=1,(IF('計算A'!V$117=1,INDEX('計算A'!V$10:V$54,$B19),0)+IF('計算A'!W$117=1,INDEX('計算A'!X$10:X$54,$B19),0))*500,0)-IF(AND('計算A'!V$117=1,UT19&gt;0),300,0)-IF(AND($L19=1,'計算A'!W$117=1,DV19=0),300,0))),1000000))</f>
        <v/>
      </c>
      <c r="OZ19">
        <f>IF($B19=0,1000000,IF(INDEX('計算A'!$D$60:$EQ$104,$B19,21)*DV19=1,IF(AND($E19=2,JK19=0),1000000,IF($I19&gt;0,IF(1=$J19,IF(OR(AND(21=$I19+1,OR($K19&lt;&gt;'計算A'!$A$3,'計算A'!$A$4=0)),AND(21=$I19-1,OR(21&lt;&gt;'計算A'!$A$3,'計算A'!$A$4=0))),0,IF(21=$K19,200000,ABS(21-$K19)*100)),100000+ABS(1-$J19)*1000+210)+'計算A'!X$5*50+IF(AND($E19=1,JK19=0),25,0),INDEX('計算A'!X$110:X$114,$F19+1)+IF(AND($E19=1,JK19=0),1000,0)+IF($H19=1,(IF('計算A'!W$117=1,INDEX('計算A'!W$10:W$54,$B19),0)+IF('計算A'!X$117=1,INDEX('計算A'!Y$10:Y$54,$B19),0))*500,0)-IF(AND('計算A'!W$117=1,UU19&gt;0),300,0)-IF(AND($L19=1,'計算A'!X$117=1,DW19=0),300,0))),1000000))</f>
        <v/>
      </c>
      <c r="PA19">
        <f>IF($B19=0,1000000,IF(INDEX('計算A'!$D$60:$EQ$104,$B19,22)*DW19=1,IF(AND($E19=2,JL19=0),1000000,IF($I19&gt;0,IF(1=$J19,IF(OR(AND(22=$I19+1,OR($K19&lt;&gt;'計算A'!$A$3,'計算A'!$A$4=0)),AND(22=$I19-1,OR(22&lt;&gt;'計算A'!$A$3,'計算A'!$A$4=0))),0,IF(22=$K19,200000,ABS(22-$K19)*100)),100000+ABS(1-$J19)*1000+220)+'計算A'!Y$5*50+IF(AND($E19=1,JL19=0),25,0),INDEX('計算A'!Y$110:Y$114,$F19+1)+IF(AND($E19=1,JL19=0),1000,0)+IF($H19=1,(IF('計算A'!X$117=1,INDEX('計算A'!X$10:X$54,$B19),0)+IF('計算A'!Y$117=1,INDEX('計算A'!Z$10:Z$54,$B19),0))*500,0)-IF(AND('計算A'!X$117=1,UV19&gt;0),300,0)-IF(AND($L19=1,'計算A'!Y$117=1,DX19=0),300,0))),1000000))</f>
        <v/>
      </c>
      <c r="PB19">
        <f>IF($B19=0,1000000,IF(INDEX('計算A'!$D$60:$EQ$104,$B19,23)*DX19=1,IF(AND($E19=2,JM19=0),1000000,IF($I19&gt;0,IF(1=$J19,IF(OR(AND(23=$I19+1,OR($K19&lt;&gt;'計算A'!$A$3,'計算A'!$A$4=0)),AND(23=$I19-1,OR(23&lt;&gt;'計算A'!$A$3,'計算A'!$A$4=0))),0,IF(23=$K19,200000,ABS(23-$K19)*100)),100000+ABS(1-$J19)*1000+230)+'計算A'!Z$5*50+IF(AND($E19=1,JM19=0),25,0),INDEX('計算A'!Z$110:Z$114,$F19+1)+IF(AND($E19=1,JM19=0),1000,0)+IF($H19=1,(IF('計算A'!Y$117=1,INDEX('計算A'!Y$10:Y$54,$B19),0)+IF('計算A'!Z$117=1,INDEX('計算A'!AA$10:AA$54,$B19),0))*500,0)-IF(AND('計算A'!Y$117=1,UW19&gt;0),300,0)-IF(AND($L19=1,'計算A'!Z$117=1,DY19=0),300,0))),1000000))</f>
        <v/>
      </c>
      <c r="PC19">
        <f>IF($B19=0,1000000,IF(INDEX('計算A'!$D$60:$EQ$104,$B19,24)*DY19=1,IF(AND($E19=2,JN19=0),1000000,IF($I19&gt;0,IF(1=$J19,IF(OR(AND(24=$I19+1,OR($K19&lt;&gt;'計算A'!$A$3,'計算A'!$A$4=0)),AND(24=$I19-1,OR(24&lt;&gt;'計算A'!$A$3,'計算A'!$A$4=0))),0,IF(24=$K19,200000,ABS(24-$K19)*100)),100000+ABS(1-$J19)*1000+240)+'計算A'!AA$5*50+IF(AND($E19=1,JN19=0),25,0),INDEX('計算A'!AA$110:AA$114,$F19+1)+IF(AND($E19=1,JN19=0),1000,0)+IF($H19=1,(IF('計算A'!Z$117=1,INDEX('計算A'!Z$10:Z$54,$B19),0))*500,0)-IF(AND('計算A'!Z$117=1,UX19&gt;0),300,0))),1000000))</f>
        <v/>
      </c>
      <c r="PD19">
        <f>IF($B19=0,1000000,IF(INDEX('計算A'!$D$60:$EQ$104,$B19,25)*DZ19=1,IF(AND($E19=2,JO19=0),1000000,IF($I19&gt;0,IF(2=$J19,IF(OR(AND(25=$I19+1,OR($K19&lt;&gt;'計算A'!$A$3,'計算A'!$A$4=0)),AND(25=$I19-1,OR(1&lt;&gt;'計算A'!$A$3,'計算A'!$A$4=0))),0,IF(1=$K19,200000,ABS(1-$K19)*100)),100000+ABS(2-$J19)*1000+10)+'計算A'!AB$5*50+IF(AND($E19=1,JO19=0),25,0),INDEX('計算A'!AB$110:AB$114,$F19+1)+IF(AND($E19=1,JO19=0),1000,0)+IF($H19=1,(IF('計算A'!AB$117=1,INDEX('計算A'!AC$10:AC$54,$B19),0))*500,0)-IF(AND($L19=1,'計算A'!AB$117=1,EA19=0),300,0))),1000000))</f>
        <v/>
      </c>
      <c r="PE19">
        <f>IF($B19=0,1000000,IF(INDEX('計算A'!$D$60:$EQ$104,$B19,26)*EA19=1,IF(AND($E19=2,JP19=0),1000000,IF($I19&gt;0,IF(2=$J19,IF(OR(AND(26=$I19+1,OR($K19&lt;&gt;'計算A'!$A$3,'計算A'!$A$4=0)),AND(26=$I19-1,OR(2&lt;&gt;'計算A'!$A$3,'計算A'!$A$4=0))),0,IF(2=$K19,200000,ABS(2-$K19)*100)),100000+ABS(2-$J19)*1000+20)+'計算A'!AC$5*50+IF(AND($E19=1,JP19=0),25,0),INDEX('計算A'!AC$110:AC$114,$F19+1)+IF(AND($E19=1,JP19=0),1000,0)+IF($H19=1,(IF('計算A'!AB$117=1,INDEX('計算A'!AB$10:AB$54,$B19),0)+IF('計算A'!AC$117=1,INDEX('計算A'!AD$10:AD$54,$B19),0))*500,0)-IF(AND('計算A'!AB$117=1,UZ19&gt;0),300,0)-IF(AND($L19=1,'計算A'!AC$117=1,EB19=0),300,0))),1000000))</f>
        <v/>
      </c>
      <c r="PF19">
        <f>IF($B19=0,1000000,IF(INDEX('計算A'!$D$60:$EQ$104,$B19,27)*EB19=1,IF(AND($E19=2,JQ19=0),1000000,IF($I19&gt;0,IF(2=$J19,IF(OR(AND(27=$I19+1,OR($K19&lt;&gt;'計算A'!$A$3,'計算A'!$A$4=0)),AND(27=$I19-1,OR(3&lt;&gt;'計算A'!$A$3,'計算A'!$A$4=0))),0,IF(3=$K19,200000,ABS(3-$K19)*100)),100000+ABS(2-$J19)*1000+30)+'計算A'!AD$5*50+IF(AND($E19=1,JQ19=0),25,0),INDEX('計算A'!AD$110:AD$114,$F19+1)+IF(AND($E19=1,JQ19=0),1000,0)+IF($H19=1,(IF('計算A'!AC$117=1,INDEX('計算A'!AC$10:AC$54,$B19),0)+IF('計算A'!AD$117=1,INDEX('計算A'!AE$10:AE$54,$B19),0))*500,0)-IF(AND('計算A'!AC$117=1,VA19&gt;0),300,0)-IF(AND($L19=1,'計算A'!AD$117=1,EC19=0),300,0))),1000000))</f>
        <v/>
      </c>
      <c r="PG19">
        <f>IF($B19=0,1000000,IF(INDEX('計算A'!$D$60:$EQ$104,$B19,28)*EC19=1,IF(AND($E19=2,JR19=0),1000000,IF($I19&gt;0,IF(2=$J19,IF(OR(AND(28=$I19+1,OR($K19&lt;&gt;'計算A'!$A$3,'計算A'!$A$4=0)),AND(28=$I19-1,OR(4&lt;&gt;'計算A'!$A$3,'計算A'!$A$4=0))),0,IF(4=$K19,200000,ABS(4-$K19)*100)),100000+ABS(2-$J19)*1000+40)+'計算A'!AE$5*50+IF(AND($E19=1,JR19=0),25,0),INDEX('計算A'!AE$110:AE$114,$F19+1)+IF(AND($E19=1,JR19=0),1000,0)+IF($H19=1,(IF('計算A'!AD$117=1,INDEX('計算A'!AD$10:AD$54,$B19),0)+IF('計算A'!AE$117=1,INDEX('計算A'!AF$10:AF$54,$B19),0))*500,0)-IF(AND('計算A'!AD$117=1,VB19&gt;0),300,0)-IF(AND($L19=1,'計算A'!AE$117=1,ED19=0),300,0))),1000000))</f>
        <v/>
      </c>
      <c r="PH19">
        <f>IF($B19=0,1000000,IF(INDEX('計算A'!$D$60:$EQ$104,$B19,29)*ED19=1,IF(AND($E19=2,JS19=0),1000000,IF($I19&gt;0,IF(2=$J19,IF(OR(AND(29=$I19+1,OR($K19&lt;&gt;'計算A'!$A$3,'計算A'!$A$4=0)),AND(29=$I19-1,OR(5&lt;&gt;'計算A'!$A$3,'計算A'!$A$4=0))),0,IF(5=$K19,200000,ABS(5-$K19)*100)),100000+ABS(2-$J19)*1000+50)+'計算A'!AF$5*50+IF(AND($E19=1,JS19=0),25,0),INDEX('計算A'!AF$110:AF$114,$F19+1)+IF(AND($E19=1,JS19=0),1000,0)+IF($H19=1,(IF('計算A'!AE$117=1,INDEX('計算A'!AE$10:AE$54,$B19),0)+IF('計算A'!AF$117=1,INDEX('計算A'!AG$10:AG$54,$B19),0))*500,0)-IF(AND('計算A'!AE$117=1,VC19&gt;0),300,0)-IF(AND($L19=1,'計算A'!AF$117=1,EE19=0),300,0))),1000000))</f>
        <v/>
      </c>
      <c r="PI19">
        <f>IF($B19=0,1000000,IF(INDEX('計算A'!$D$60:$EQ$104,$B19,30)*EE19=1,IF(AND($E19=2,JT19=0),1000000,IF($I19&gt;0,IF(2=$J19,IF(OR(AND(30=$I19+1,OR($K19&lt;&gt;'計算A'!$A$3,'計算A'!$A$4=0)),AND(30=$I19-1,OR(6&lt;&gt;'計算A'!$A$3,'計算A'!$A$4=0))),0,IF(6=$K19,200000,ABS(6-$K19)*100)),100000+ABS(2-$J19)*1000+60)+'計算A'!AG$5*50+IF(AND($E19=1,JT19=0),25,0),INDEX('計算A'!AG$110:AG$114,$F19+1)+IF(AND($E19=1,JT19=0),1000,0)+IF($H19=1,(IF('計算A'!AF$117=1,INDEX('計算A'!AF$10:AF$54,$B19),0)+IF('計算A'!AG$117=1,INDEX('計算A'!AH$10:AH$54,$B19),0))*500,0)-IF(AND('計算A'!AF$117=1,VD19&gt;0),300,0)-IF(AND($L19=1,'計算A'!AG$117=1,EF19=0),300,0))),1000000))</f>
        <v/>
      </c>
      <c r="PJ19">
        <f>IF($B19=0,1000000,IF(INDEX('計算A'!$D$60:$EQ$104,$B19,31)*EF19=1,IF(AND($E19=2,JU19=0),1000000,IF($I19&gt;0,IF(2=$J19,IF(OR(AND(31=$I19+1,OR($K19&lt;&gt;'計算A'!$A$3,'計算A'!$A$4=0)),AND(31=$I19-1,OR(7&lt;&gt;'計算A'!$A$3,'計算A'!$A$4=0))),0,IF(7=$K19,200000,ABS(7-$K19)*100)),100000+ABS(2-$J19)*1000+70)+'計算A'!AH$5*50+IF(AND($E19=1,JU19=0),25,0),INDEX('計算A'!AH$110:AH$114,$F19+1)+IF(AND($E19=1,JU19=0),1000,0)+IF($H19=1,(IF('計算A'!AG$117=1,INDEX('計算A'!AG$10:AG$54,$B19),0)+IF('計算A'!AH$117=1,INDEX('計算A'!AI$10:AI$54,$B19),0))*500,0)-IF(AND('計算A'!AG$117=1,VE19&gt;0),300,0)-IF(AND($L19=1,'計算A'!AH$117=1,EG19=0),300,0))),1000000))</f>
        <v/>
      </c>
      <c r="PK19">
        <f>IF($B19=0,1000000,IF(INDEX('計算A'!$D$60:$EQ$104,$B19,32)*EG19=1,IF(AND($E19=2,JV19=0),1000000,IF($I19&gt;0,IF(2=$J19,IF(OR(AND(32=$I19+1,OR($K19&lt;&gt;'計算A'!$A$3,'計算A'!$A$4=0)),AND(32=$I19-1,OR(8&lt;&gt;'計算A'!$A$3,'計算A'!$A$4=0))),0,IF(8=$K19,200000,ABS(8-$K19)*100)),100000+ABS(2-$J19)*1000+80)+'計算A'!AI$5*50+IF(AND($E19=1,JV19=0),25,0),INDEX('計算A'!AI$110:AI$114,$F19+1)+IF(AND($E19=1,JV19=0),1000,0)+IF($H19=1,(IF('計算A'!AH$117=1,INDEX('計算A'!AH$10:AH$54,$B19),0)+IF('計算A'!AI$117=1,INDEX('計算A'!AJ$10:AJ$54,$B19),0))*500,0)-IF(AND('計算A'!AH$117=1,VF19&gt;0),300,0)-IF(AND($L19=1,'計算A'!AI$117=1,EH19=0),300,0))),1000000))</f>
        <v/>
      </c>
      <c r="PL19">
        <f>IF($B19=0,1000000,IF(INDEX('計算A'!$D$60:$EQ$104,$B19,33)*EH19=1,IF(AND($E19=2,JW19=0),1000000,IF($I19&gt;0,IF(2=$J19,IF(OR(AND(33=$I19+1,OR($K19&lt;&gt;'計算A'!$A$3,'計算A'!$A$4=0)),AND(33=$I19-1,OR(9&lt;&gt;'計算A'!$A$3,'計算A'!$A$4=0))),0,IF(9=$K19,200000,ABS(9-$K19)*100)),100000+ABS(2-$J19)*1000+90)+'計算A'!AJ$5*50+IF(AND($E19=1,JW19=0),25,0),INDEX('計算A'!AJ$110:AJ$114,$F19+1)+IF(AND($E19=1,JW19=0),1000,0)+IF($H19=1,(IF('計算A'!AI$117=1,INDEX('計算A'!AI$10:AI$54,$B19),0)+IF('計算A'!AJ$117=1,INDEX('計算A'!AK$10:AK$54,$B19),0))*500,0)-IF(AND('計算A'!AI$117=1,VG19&gt;0),300,0)-IF(AND($L19=1,'計算A'!AJ$117=1,EI19=0),300,0))),1000000))</f>
        <v/>
      </c>
      <c r="PM19">
        <f>IF($B19=0,1000000,IF(INDEX('計算A'!$D$60:$EQ$104,$B19,34)*EI19=1,IF(AND($E19=2,JX19=0),1000000,IF($I19&gt;0,IF(2=$J19,IF(OR(AND(34=$I19+1,OR($K19&lt;&gt;'計算A'!$A$3,'計算A'!$A$4=0)),AND(34=$I19-1,OR(10&lt;&gt;'計算A'!$A$3,'計算A'!$A$4=0))),0,IF(10=$K19,200000,ABS(10-$K19)*100)),100000+ABS(2-$J19)*1000+100)+'計算A'!AK$5*50+IF(AND($E19=1,JX19=0),25,0),INDEX('計算A'!AK$110:AK$114,$F19+1)+IF(AND($E19=1,JX19=0),1000,0)+IF($H19=1,(IF('計算A'!AJ$117=1,INDEX('計算A'!AJ$10:AJ$54,$B19),0)+IF('計算A'!AK$117=1,INDEX('計算A'!AL$10:AL$54,$B19),0))*500,0)-IF(AND('計算A'!AJ$117=1,VH19&gt;0),300,0)-IF(AND($L19=1,'計算A'!AK$117=1,EJ19=0),300,0))),1000000))</f>
        <v/>
      </c>
      <c r="PN19">
        <f>IF($B19=0,1000000,IF(INDEX('計算A'!$D$60:$EQ$104,$B19,35)*EJ19=1,IF(AND($E19=2,JY19=0),1000000,IF($I19&gt;0,IF(2=$J19,IF(OR(AND(35=$I19+1,OR($K19&lt;&gt;'計算A'!$A$3,'計算A'!$A$4=0)),AND(35=$I19-1,OR(11&lt;&gt;'計算A'!$A$3,'計算A'!$A$4=0))),0,IF(11=$K19,200000,ABS(11-$K19)*100)),100000+ABS(2-$J19)*1000+110)+'計算A'!AL$5*50+IF(AND($E19=1,JY19=0),25,0),INDEX('計算A'!AL$110:AL$114,$F19+1)+IF(AND($E19=1,JY19=0),1000,0)+IF($H19=1,(IF('計算A'!AK$117=1,INDEX('計算A'!AK$10:AK$54,$B19),0)+IF('計算A'!AL$117=1,INDEX('計算A'!AM$10:AM$54,$B19),0))*500,0)-IF(AND('計算A'!AK$117=1,VI19&gt;0),300,0)-IF(AND($L19=1,'計算A'!AL$117=1,EK19=0),300,0))),1000000))</f>
        <v/>
      </c>
      <c r="PO19">
        <f>IF($B19=0,1000000,IF(INDEX('計算A'!$D$60:$EQ$104,$B19,36)*EK19=1,IF(AND($E19=2,JZ19=0),1000000,IF($I19&gt;0,IF(2=$J19,IF(OR(AND(36=$I19+1,OR($K19&lt;&gt;'計算A'!$A$3,'計算A'!$A$4=0)),AND(36=$I19-1,OR(12&lt;&gt;'計算A'!$A$3,'計算A'!$A$4=0))),0,IF(12=$K19,200000,ABS(12-$K19)*100)),100000+ABS(2-$J19)*1000+120)+'計算A'!AM$5*50+IF(AND($E19=1,JZ19=0),25,0),INDEX('計算A'!AM$110:AM$114,$F19+1)+IF(AND($E19=1,JZ19=0),1000,0)+IF($H19=1,(IF('計算A'!AL$117=1,INDEX('計算A'!AL$10:AL$54,$B19),0)+IF('計算A'!AM$117=1,INDEX('計算A'!AN$10:AN$54,$B19),0))*500,0)-IF(AND('計算A'!AL$117=1,VJ19&gt;0),300,0)-IF(AND($L19=1,'計算A'!AM$117=1,EL19=0),300,0))),1000000))</f>
        <v/>
      </c>
      <c r="PP19">
        <f>IF($B19=0,1000000,IF(INDEX('計算A'!$D$60:$EQ$104,$B19,37)*EL19=1,IF(AND($E19=2,KA19=0),1000000,IF($I19&gt;0,IF(2=$J19,IF(OR(AND(37=$I19+1,OR($K19&lt;&gt;'計算A'!$A$3,'計算A'!$A$4=0)),AND(37=$I19-1,OR(13&lt;&gt;'計算A'!$A$3,'計算A'!$A$4=0))),0,IF(13=$K19,200000,ABS(13-$K19)*100)),100000+ABS(2-$J19)*1000+130)+'計算A'!AN$5*50+IF(AND($E19=1,KA19=0),25,0),INDEX('計算A'!AN$110:AN$114,$F19+1)+IF(AND($E19=1,KA19=0),1000,0)+IF($H19=1,(IF('計算A'!AM$117=1,INDEX('計算A'!AM$10:AM$54,$B19),0)+IF('計算A'!AN$117=1,INDEX('計算A'!AO$10:AO$54,$B19),0))*500,0)-IF(AND('計算A'!AM$117=1,VK19&gt;0),300,0)-IF(AND($L19=1,'計算A'!AN$117=1,EM19=0),300,0))),1000000))</f>
        <v/>
      </c>
      <c r="PQ19">
        <f>IF($B19=0,1000000,IF(INDEX('計算A'!$D$60:$EQ$104,$B19,38)*EM19=1,IF(AND($E19=2,KB19=0),1000000,IF($I19&gt;0,IF(2=$J19,IF(OR(AND(38=$I19+1,OR($K19&lt;&gt;'計算A'!$A$3,'計算A'!$A$4=0)),AND(38=$I19-1,OR(14&lt;&gt;'計算A'!$A$3,'計算A'!$A$4=0))),0,IF(14=$K19,200000,ABS(14-$K19)*100)),100000+ABS(2-$J19)*1000+140)+'計算A'!AO$5*50+IF(AND($E19=1,KB19=0),25,0),INDEX('計算A'!AO$110:AO$114,$F19+1)+IF(AND($E19=1,KB19=0),1000,0)+IF($H19=1,(IF('計算A'!AN$117=1,INDEX('計算A'!AN$10:AN$54,$B19),0)+IF('計算A'!AO$117=1,INDEX('計算A'!AP$10:AP$54,$B19),0))*500,0)-IF(AND('計算A'!AN$117=1,VL19&gt;0),300,0)-IF(AND($L19=1,'計算A'!AO$117=1,EN19=0),300,0))),1000000))</f>
        <v/>
      </c>
      <c r="PR19">
        <f>IF($B19=0,1000000,IF(INDEX('計算A'!$D$60:$EQ$104,$B19,39)*EN19=1,IF(AND($E19=2,KC19=0),1000000,IF($I19&gt;0,IF(2=$J19,IF(OR(AND(39=$I19+1,OR($K19&lt;&gt;'計算A'!$A$3,'計算A'!$A$4=0)),AND(39=$I19-1,OR(15&lt;&gt;'計算A'!$A$3,'計算A'!$A$4=0))),0,IF(15=$K19,200000,ABS(15-$K19)*100)),100000+ABS(2-$J19)*1000+150)+'計算A'!AP$5*50+IF(AND($E19=1,KC19=0),25,0),INDEX('計算A'!AP$110:AP$114,$F19+1)+IF(AND($E19=1,KC19=0),1000,0)+IF($H19=1,(IF('計算A'!AO$117=1,INDEX('計算A'!AO$10:AO$54,$B19),0)+IF('計算A'!AP$117=1,INDEX('計算A'!AQ$10:AQ$54,$B19),0))*500,0)-IF(AND('計算A'!AO$117=1,VM19&gt;0),300,0)-IF(AND($L19=1,'計算A'!AP$117=1,EO19=0),300,0))),1000000))</f>
        <v/>
      </c>
      <c r="PS19">
        <f>IF($B19=0,1000000,IF(INDEX('計算A'!$D$60:$EQ$104,$B19,40)*EO19=1,IF(AND($E19=2,KD19=0),1000000,IF($I19&gt;0,IF(2=$J19,IF(OR(AND(40=$I19+1,OR($K19&lt;&gt;'計算A'!$A$3,'計算A'!$A$4=0)),AND(40=$I19-1,OR(16&lt;&gt;'計算A'!$A$3,'計算A'!$A$4=0))),0,IF(16=$K19,200000,ABS(16-$K19)*100)),100000+ABS(2-$J19)*1000+160)+'計算A'!AQ$5*50+IF(AND($E19=1,KD19=0),25,0),INDEX('計算A'!AQ$110:AQ$114,$F19+1)+IF(AND($E19=1,KD19=0),1000,0)+IF($H19=1,(IF('計算A'!AP$117=1,INDEX('計算A'!AP$10:AP$54,$B19),0)+IF('計算A'!AQ$117=1,INDEX('計算A'!AR$10:AR$54,$B19),0))*500,0)-IF(AND('計算A'!AP$117=1,VN19&gt;0),300,0)-IF(AND($L19=1,'計算A'!AQ$117=1,EP19=0),300,0))),1000000))</f>
        <v/>
      </c>
      <c r="PT19">
        <f>IF($B19=0,1000000,IF(INDEX('計算A'!$D$60:$EQ$104,$B19,41)*EP19=1,IF(AND($E19=2,KE19=0),1000000,IF($I19&gt;0,IF(2=$J19,IF(OR(AND(41=$I19+1,OR($K19&lt;&gt;'計算A'!$A$3,'計算A'!$A$4=0)),AND(41=$I19-1,OR(17&lt;&gt;'計算A'!$A$3,'計算A'!$A$4=0))),0,IF(17=$K19,200000,ABS(17-$K19)*100)),100000+ABS(2-$J19)*1000+170)+'計算A'!AR$5*50+IF(AND($E19=1,KE19=0),25,0),INDEX('計算A'!AR$110:AR$114,$F19+1)+IF(AND($E19=1,KE19=0),1000,0)+IF($H19=1,(IF('計算A'!AQ$117=1,INDEX('計算A'!AQ$10:AQ$54,$B19),0)+IF('計算A'!AR$117=1,INDEX('計算A'!AS$10:AS$54,$B19),0))*500,0)-IF(AND('計算A'!AQ$117=1,VO19&gt;0),300,0)-IF(AND($L19=1,'計算A'!AR$117=1,EQ19=0),300,0))),1000000))</f>
        <v/>
      </c>
      <c r="PU19">
        <f>IF($B19=0,1000000,IF(INDEX('計算A'!$D$60:$EQ$104,$B19,42)*EQ19=1,IF(AND($E19=2,KF19=0),1000000,IF($I19&gt;0,IF(2=$J19,IF(OR(AND(42=$I19+1,OR($K19&lt;&gt;'計算A'!$A$3,'計算A'!$A$4=0)),AND(42=$I19-1,OR(18&lt;&gt;'計算A'!$A$3,'計算A'!$A$4=0))),0,IF(18=$K19,200000,ABS(18-$K19)*100)),100000+ABS(2-$J19)*1000+180)+'計算A'!AS$5*50+IF(AND($E19=1,KF19=0),25,0),INDEX('計算A'!AS$110:AS$114,$F19+1)+IF(AND($E19=1,KF19=0),1000,0)+IF($H19=1,(IF('計算A'!AR$117=1,INDEX('計算A'!AR$10:AR$54,$B19),0)+IF('計算A'!AS$117=1,INDEX('計算A'!AT$10:AT$54,$B19),0))*500,0)-IF(AND('計算A'!AR$117=1,VP19&gt;0),300,0)-IF(AND($L19=1,'計算A'!AS$117=1,ER19=0),300,0))),1000000))</f>
        <v/>
      </c>
      <c r="PV19">
        <f>IF($B19=0,1000000,IF(INDEX('計算A'!$D$60:$EQ$104,$B19,43)*ER19=1,IF(AND($E19=2,KG19=0),1000000,IF($I19&gt;0,IF(2=$J19,IF(OR(AND(43=$I19+1,OR($K19&lt;&gt;'計算A'!$A$3,'計算A'!$A$4=0)),AND(43=$I19-1,OR(19&lt;&gt;'計算A'!$A$3,'計算A'!$A$4=0))),0,IF(19=$K19,200000,ABS(19-$K19)*100)),100000+ABS(2-$J19)*1000+190)+'計算A'!AT$5*50+IF(AND($E19=1,KG19=0),25,0),INDEX('計算A'!AT$110:AT$114,$F19+1)+IF(AND($E19=1,KG19=0),1000,0)+IF($H19=1,(IF('計算A'!AS$117=1,INDEX('計算A'!AS$10:AS$54,$B19),0)+IF('計算A'!AT$117=1,INDEX('計算A'!AU$10:AU$54,$B19),0))*500,0)-IF(AND('計算A'!AS$117=1,VQ19&gt;0),300,0)-IF(AND($L19=1,'計算A'!AT$117=1,ES19=0),300,0))),1000000))</f>
        <v/>
      </c>
      <c r="PW19">
        <f>IF($B19=0,1000000,IF(INDEX('計算A'!$D$60:$EQ$104,$B19,44)*ES19=1,IF(AND($E19=2,KH19=0),1000000,IF($I19&gt;0,IF(2=$J19,IF(OR(AND(44=$I19+1,OR($K19&lt;&gt;'計算A'!$A$3,'計算A'!$A$4=0)),AND(44=$I19-1,OR(20&lt;&gt;'計算A'!$A$3,'計算A'!$A$4=0))),0,IF(20=$K19,200000,ABS(20-$K19)*100)),100000+ABS(2-$J19)*1000+200)+'計算A'!AU$5*50+IF(AND($E19=1,KH19=0),25,0),INDEX('計算A'!AU$110:AU$114,$F19+1)+IF(AND($E19=1,KH19=0),1000,0)+IF($H19=1,(IF('計算A'!AT$117=1,INDEX('計算A'!AT$10:AT$54,$B19),0)+IF('計算A'!AU$117=1,INDEX('計算A'!AV$10:AV$54,$B19),0))*500,0)-IF(AND('計算A'!AT$117=1,VR19&gt;0),300,0)-IF(AND($L19=1,'計算A'!AU$117=1,ET19=0),300,0))),1000000))</f>
        <v/>
      </c>
      <c r="PX19">
        <f>IF($B19=0,1000000,IF(INDEX('計算A'!$D$60:$EQ$104,$B19,45)*ET19=1,IF(AND($E19=2,KI19=0),1000000,IF($I19&gt;0,IF(2=$J19,IF(OR(AND(45=$I19+1,OR($K19&lt;&gt;'計算A'!$A$3,'計算A'!$A$4=0)),AND(45=$I19-1,OR(21&lt;&gt;'計算A'!$A$3,'計算A'!$A$4=0))),0,IF(21=$K19,200000,ABS(21-$K19)*100)),100000+ABS(2-$J19)*1000+210)+'計算A'!AV$5*50+IF(AND($E19=1,KI19=0),25,0),INDEX('計算A'!AV$110:AV$114,$F19+1)+IF(AND($E19=1,KI19=0),1000,0)+IF($H19=1,(IF('計算A'!AU$117=1,INDEX('計算A'!AU$10:AU$54,$B19),0)+IF('計算A'!AV$117=1,INDEX('計算A'!AW$10:AW$54,$B19),0))*500,0)-IF(AND('計算A'!AU$117=1,VS19&gt;0),300,0)-IF(AND($L19=1,'計算A'!AV$117=1,EU19=0),300,0))),1000000))</f>
        <v/>
      </c>
      <c r="PY19">
        <f>IF($B19=0,1000000,IF(INDEX('計算A'!$D$60:$EQ$104,$B19,46)*EU19=1,IF(AND($E19=2,KJ19=0),1000000,IF($I19&gt;0,IF(2=$J19,IF(OR(AND(46=$I19+1,OR($K19&lt;&gt;'計算A'!$A$3,'計算A'!$A$4=0)),AND(46=$I19-1,OR(22&lt;&gt;'計算A'!$A$3,'計算A'!$A$4=0))),0,IF(22=$K19,200000,ABS(22-$K19)*100)),100000+ABS(2-$J19)*1000+220)+'計算A'!AW$5*50+IF(AND($E19=1,KJ19=0),25,0),INDEX('計算A'!AW$110:AW$114,$F19+1)+IF(AND($E19=1,KJ19=0),1000,0)+IF($H19=1,(IF('計算A'!AV$117=1,INDEX('計算A'!AV$10:AV$54,$B19),0)+IF('計算A'!AW$117=1,INDEX('計算A'!AX$10:AX$54,$B19),0))*500,0)-IF(AND('計算A'!AV$117=1,VT19&gt;0),300,0)-IF(AND($L19=1,'計算A'!AW$117=1,EV19=0),300,0))),1000000))</f>
        <v/>
      </c>
      <c r="PZ19">
        <f>IF($B19=0,1000000,IF(INDEX('計算A'!$D$60:$EQ$104,$B19,47)*EV19=1,IF(AND($E19=2,KK19=0),1000000,IF($I19&gt;0,IF(2=$J19,IF(OR(AND(47=$I19+1,OR($K19&lt;&gt;'計算A'!$A$3,'計算A'!$A$4=0)),AND(47=$I19-1,OR(23&lt;&gt;'計算A'!$A$3,'計算A'!$A$4=0))),0,IF(23=$K19,200000,ABS(23-$K19)*100)),100000+ABS(2-$J19)*1000+230)+'計算A'!AX$5*50+IF(AND($E19=1,KK19=0),25,0),INDEX('計算A'!AX$110:AX$114,$F19+1)+IF(AND($E19=1,KK19=0),1000,0)+IF($H19=1,(IF('計算A'!AW$117=1,INDEX('計算A'!AW$10:AW$54,$B19),0)+IF('計算A'!AX$117=1,INDEX('計算A'!AY$10:AY$54,$B19),0))*500,0)-IF(AND('計算A'!AW$117=1,VU19&gt;0),300,0)-IF(AND($L19=1,'計算A'!AX$117=1,EW19=0),300,0))),1000000))</f>
        <v/>
      </c>
      <c r="QA19">
        <f>IF($B19=0,1000000,IF(INDEX('計算A'!$D$60:$EQ$104,$B19,48)*EW19=1,IF(AND($E19=2,KL19=0),1000000,IF($I19&gt;0,IF(2=$J19,IF(OR(AND(48=$I19+1,OR($K19&lt;&gt;'計算A'!$A$3,'計算A'!$A$4=0)),AND(48=$I19-1,OR(24&lt;&gt;'計算A'!$A$3,'計算A'!$A$4=0))),0,IF(24=$K19,200000,ABS(24-$K19)*100)),100000+ABS(2-$J19)*1000+240)+'計算A'!AY$5*50+IF(AND($E19=1,KL19=0),25,0),INDEX('計算A'!AY$110:AY$114,$F19+1)+IF(AND($E19=1,KL19=0),1000,0)+IF($H19=1,(IF('計算A'!AX$117=1,INDEX('計算A'!AX$10:AX$54,$B19),0))*500,0)-IF(AND('計算A'!AX$117=1,VV19&gt;0),300,0))),1000000))</f>
        <v/>
      </c>
      <c r="QB19">
        <f>IF($B19=0,1000000,IF(INDEX('計算A'!$D$60:$EQ$104,$B19,49)*EX19=1,IF(AND($E19=2,KM19=0),1000000,IF($I19&gt;0,IF(3=$J19,IF(OR(AND(49=$I19+1,OR($K19&lt;&gt;'計算A'!$A$3,'計算A'!$A$4=0)),AND(49=$I19-1,OR(1&lt;&gt;'計算A'!$A$3,'計算A'!$A$4=0))),0,IF(1=$K19,200000,ABS(1-$K19)*100)),100000+ABS(3-$J19)*1000+10)+'計算A'!AZ$5*50+IF(AND($E19=1,KM19=0),25,0),INDEX('計算A'!AZ$110:AZ$114,$F19+1)+IF(AND($E19=1,KM19=0),1000,0)+IF($H19=1,(IF('計算A'!AZ$117=1,INDEX('計算A'!BA$10:BA$54,$B19),0))*500,0)-IF(AND($L19=1,'計算A'!AZ$117=1,EY19=0),300,0))),1000000))</f>
        <v/>
      </c>
      <c r="QC19">
        <f>IF($B19=0,1000000,IF(INDEX('計算A'!$D$60:$EQ$104,$B19,50)*EY19=1,IF(AND($E19=2,KN19=0),1000000,IF($I19&gt;0,IF(3=$J19,IF(OR(AND(50=$I19+1,OR($K19&lt;&gt;'計算A'!$A$3,'計算A'!$A$4=0)),AND(50=$I19-1,OR(2&lt;&gt;'計算A'!$A$3,'計算A'!$A$4=0))),0,IF(2=$K19,200000,ABS(2-$K19)*100)),100000+ABS(3-$J19)*1000+20)+'計算A'!BA$5*50+IF(AND($E19=1,KN19=0),25,0),INDEX('計算A'!BA$110:BA$114,$F19+1)+IF(AND($E19=1,KN19=0),1000,0)+IF($H19=1,(IF('計算A'!AZ$117=1,INDEX('計算A'!AZ$10:AZ$54,$B19),0)+IF('計算A'!BA$117=1,INDEX('計算A'!BB$10:BB$54,$B19),0))*500,0)-IF(AND('計算A'!AZ$117=1,VX19&gt;0),300,0)-IF(AND($L19=1,'計算A'!BA$117=1,EZ19=0),300,0))),1000000))</f>
        <v/>
      </c>
      <c r="QD19">
        <f>IF($B19=0,1000000,IF(INDEX('計算A'!$D$60:$EQ$104,$B19,51)*EZ19=1,IF(AND($E19=2,KO19=0),1000000,IF($I19&gt;0,IF(3=$J19,IF(OR(AND(51=$I19+1,OR($K19&lt;&gt;'計算A'!$A$3,'計算A'!$A$4=0)),AND(51=$I19-1,OR(3&lt;&gt;'計算A'!$A$3,'計算A'!$A$4=0))),0,IF(3=$K19,200000,ABS(3-$K19)*100)),100000+ABS(3-$J19)*1000+30)+'計算A'!BB$5*50+IF(AND($E19=1,KO19=0),25,0),INDEX('計算A'!BB$110:BB$114,$F19+1)+IF(AND($E19=1,KO19=0),1000,0)+IF($H19=1,(IF('計算A'!BA$117=1,INDEX('計算A'!BA$10:BA$54,$B19),0)+IF('計算A'!BB$117=1,INDEX('計算A'!BC$10:BC$54,$B19),0))*500,0)-IF(AND('計算A'!BA$117=1,VY19&gt;0),300,0)-IF(AND($L19=1,'計算A'!BB$117=1,FA19=0),300,0))),1000000))</f>
        <v/>
      </c>
      <c r="QE19">
        <f>IF($B19=0,1000000,IF(INDEX('計算A'!$D$60:$EQ$104,$B19,52)*FA19=1,IF(AND($E19=2,KP19=0),1000000,IF($I19&gt;0,IF(3=$J19,IF(OR(AND(52=$I19+1,OR($K19&lt;&gt;'計算A'!$A$3,'計算A'!$A$4=0)),AND(52=$I19-1,OR(4&lt;&gt;'計算A'!$A$3,'計算A'!$A$4=0))),0,IF(4=$K19,200000,ABS(4-$K19)*100)),100000+ABS(3-$J19)*1000+40)+'計算A'!BC$5*50+IF(AND($E19=1,KP19=0),25,0),INDEX('計算A'!BC$110:BC$114,$F19+1)+IF(AND($E19=1,KP19=0),1000,0)+IF($H19=1,(IF('計算A'!BB$117=1,INDEX('計算A'!BB$10:BB$54,$B19),0)+IF('計算A'!BC$117=1,INDEX('計算A'!BD$10:BD$54,$B19),0))*500,0)-IF(AND('計算A'!BB$117=1,VZ19&gt;0),300,0)-IF(AND($L19=1,'計算A'!BC$117=1,FB19=0),300,0))),1000000))</f>
        <v/>
      </c>
      <c r="QF19">
        <f>IF($B19=0,1000000,IF(INDEX('計算A'!$D$60:$EQ$104,$B19,53)*FB19=1,IF(AND($E19=2,KQ19=0),1000000,IF($I19&gt;0,IF(3=$J19,IF(OR(AND(53=$I19+1,OR($K19&lt;&gt;'計算A'!$A$3,'計算A'!$A$4=0)),AND(53=$I19-1,OR(5&lt;&gt;'計算A'!$A$3,'計算A'!$A$4=0))),0,IF(5=$K19,200000,ABS(5-$K19)*100)),100000+ABS(3-$J19)*1000+50)+'計算A'!BD$5*50+IF(AND($E19=1,KQ19=0),25,0),INDEX('計算A'!BD$110:BD$114,$F19+1)+IF(AND($E19=1,KQ19=0),1000,0)+IF($H19=1,(IF('計算A'!BC$117=1,INDEX('計算A'!BC$10:BC$54,$B19),0)+IF('計算A'!BD$117=1,INDEX('計算A'!BE$10:BE$54,$B19),0))*500,0)-IF(AND('計算A'!BC$117=1,WA19&gt;0),300,0)-IF(AND($L19=1,'計算A'!BD$117=1,FC19=0),300,0))),1000000))</f>
        <v/>
      </c>
      <c r="QG19">
        <f>IF($B19=0,1000000,IF(INDEX('計算A'!$D$60:$EQ$104,$B19,54)*FC19=1,IF(AND($E19=2,KR19=0),1000000,IF($I19&gt;0,IF(3=$J19,IF(OR(AND(54=$I19+1,OR($K19&lt;&gt;'計算A'!$A$3,'計算A'!$A$4=0)),AND(54=$I19-1,OR(6&lt;&gt;'計算A'!$A$3,'計算A'!$A$4=0))),0,IF(6=$K19,200000,ABS(6-$K19)*100)),100000+ABS(3-$J19)*1000+60)+'計算A'!BE$5*50+IF(AND($E19=1,KR19=0),25,0),INDEX('計算A'!BE$110:BE$114,$F19+1)+IF(AND($E19=1,KR19=0),1000,0)+IF($H19=1,(IF('計算A'!BD$117=1,INDEX('計算A'!BD$10:BD$54,$B19),0)+IF('計算A'!BE$117=1,INDEX('計算A'!BF$10:BF$54,$B19),0))*500,0)-IF(AND('計算A'!BD$117=1,WB19&gt;0),300,0)-IF(AND($L19=1,'計算A'!BE$117=1,FD19=0),300,0))),1000000))</f>
        <v/>
      </c>
      <c r="QH19">
        <f>IF($B19=0,1000000,IF(INDEX('計算A'!$D$60:$EQ$104,$B19,55)*FD19=1,IF(AND($E19=2,KS19=0),1000000,IF($I19&gt;0,IF(3=$J19,IF(OR(AND(55=$I19+1,OR($K19&lt;&gt;'計算A'!$A$3,'計算A'!$A$4=0)),AND(55=$I19-1,OR(7&lt;&gt;'計算A'!$A$3,'計算A'!$A$4=0))),0,IF(7=$K19,200000,ABS(7-$K19)*100)),100000+ABS(3-$J19)*1000+70)+'計算A'!BF$5*50+IF(AND($E19=1,KS19=0),25,0),INDEX('計算A'!BF$110:BF$114,$F19+1)+IF(AND($E19=1,KS19=0),1000,0)+IF($H19=1,(IF('計算A'!BE$117=1,INDEX('計算A'!BE$10:BE$54,$B19),0)+IF('計算A'!BF$117=1,INDEX('計算A'!BG$10:BG$54,$B19),0))*500,0)-IF(AND('計算A'!BE$117=1,WC19&gt;0),300,0)-IF(AND($L19=1,'計算A'!BF$117=1,FE19=0),300,0))),1000000))</f>
        <v/>
      </c>
      <c r="QI19">
        <f>IF($B19=0,1000000,IF(INDEX('計算A'!$D$60:$EQ$104,$B19,56)*FE19=1,IF(AND($E19=2,KT19=0),1000000,IF($I19&gt;0,IF(3=$J19,IF(OR(AND(56=$I19+1,OR($K19&lt;&gt;'計算A'!$A$3,'計算A'!$A$4=0)),AND(56=$I19-1,OR(8&lt;&gt;'計算A'!$A$3,'計算A'!$A$4=0))),0,IF(8=$K19,200000,ABS(8-$K19)*100)),100000+ABS(3-$J19)*1000+80)+'計算A'!BG$5*50+IF(AND($E19=1,KT19=0),25,0),INDEX('計算A'!BG$110:BG$114,$F19+1)+IF(AND($E19=1,KT19=0),1000,0)+IF($H19=1,(IF('計算A'!BF$117=1,INDEX('計算A'!BF$10:BF$54,$B19),0)+IF('計算A'!BG$117=1,INDEX('計算A'!BH$10:BH$54,$B19),0))*500,0)-IF(AND('計算A'!BF$117=1,WD19&gt;0),300,0)-IF(AND($L19=1,'計算A'!BG$117=1,FF19=0),300,0))),1000000))</f>
        <v/>
      </c>
      <c r="QJ19">
        <f>IF($B19=0,1000000,IF(INDEX('計算A'!$D$60:$EQ$104,$B19,57)*FF19=1,IF(AND($E19=2,KU19=0),1000000,IF($I19&gt;0,IF(3=$J19,IF(OR(AND(57=$I19+1,OR($K19&lt;&gt;'計算A'!$A$3,'計算A'!$A$4=0)),AND(57=$I19-1,OR(9&lt;&gt;'計算A'!$A$3,'計算A'!$A$4=0))),0,IF(9=$K19,200000,ABS(9-$K19)*100)),100000+ABS(3-$J19)*1000+90)+'計算A'!BH$5*50+IF(AND($E19=1,KU19=0),25,0),INDEX('計算A'!BH$110:BH$114,$F19+1)+IF(AND($E19=1,KU19=0),1000,0)+IF($H19=1,(IF('計算A'!BG$117=1,INDEX('計算A'!BG$10:BG$54,$B19),0)+IF('計算A'!BH$117=1,INDEX('計算A'!BI$10:BI$54,$B19),0))*500,0)-IF(AND('計算A'!BG$117=1,WE19&gt;0),300,0)-IF(AND($L19=1,'計算A'!BH$117=1,FG19=0),300,0))),1000000))</f>
        <v/>
      </c>
      <c r="QK19">
        <f>IF($B19=0,1000000,IF(INDEX('計算A'!$D$60:$EQ$104,$B19,58)*FG19=1,IF(AND($E19=2,KV19=0),1000000,IF($I19&gt;0,IF(3=$J19,IF(OR(AND(58=$I19+1,OR($K19&lt;&gt;'計算A'!$A$3,'計算A'!$A$4=0)),AND(58=$I19-1,OR(10&lt;&gt;'計算A'!$A$3,'計算A'!$A$4=0))),0,IF(10=$K19,200000,ABS(10-$K19)*100)),100000+ABS(3-$J19)*1000+100)+'計算A'!BI$5*50+IF(AND($E19=1,KV19=0),25,0),INDEX('計算A'!BI$110:BI$114,$F19+1)+IF(AND($E19=1,KV19=0),1000,0)+IF($H19=1,(IF('計算A'!BH$117=1,INDEX('計算A'!BH$10:BH$54,$B19),0)+IF('計算A'!BI$117=1,INDEX('計算A'!BJ$10:BJ$54,$B19),0))*500,0)-IF(AND('計算A'!BH$117=1,WF19&gt;0),300,0)-IF(AND($L19=1,'計算A'!BI$117=1,FH19=0),300,0))),1000000))</f>
        <v/>
      </c>
      <c r="QL19">
        <f>IF($B19=0,1000000,IF(INDEX('計算A'!$D$60:$EQ$104,$B19,59)*FH19=1,IF(AND($E19=2,KW19=0),1000000,IF($I19&gt;0,IF(3=$J19,IF(OR(AND(59=$I19+1,OR($K19&lt;&gt;'計算A'!$A$3,'計算A'!$A$4=0)),AND(59=$I19-1,OR(11&lt;&gt;'計算A'!$A$3,'計算A'!$A$4=0))),0,IF(11=$K19,200000,ABS(11-$K19)*100)),100000+ABS(3-$J19)*1000+110)+'計算A'!BJ$5*50+IF(AND($E19=1,KW19=0),25,0),INDEX('計算A'!BJ$110:BJ$114,$F19+1)+IF(AND($E19=1,KW19=0),1000,0)+IF($H19=1,(IF('計算A'!BI$117=1,INDEX('計算A'!BI$10:BI$54,$B19),0)+IF('計算A'!BJ$117=1,INDEX('計算A'!BK$10:BK$54,$B19),0))*500,0)-IF(AND('計算A'!BI$117=1,WG19&gt;0),300,0)-IF(AND($L19=1,'計算A'!BJ$117=1,FI19=0),300,0))),1000000))</f>
        <v/>
      </c>
      <c r="QM19">
        <f>IF($B19=0,1000000,IF(INDEX('計算A'!$D$60:$EQ$104,$B19,60)*FI19=1,IF(AND($E19=2,KX19=0),1000000,IF($I19&gt;0,IF(3=$J19,IF(OR(AND(60=$I19+1,OR($K19&lt;&gt;'計算A'!$A$3,'計算A'!$A$4=0)),AND(60=$I19-1,OR(12&lt;&gt;'計算A'!$A$3,'計算A'!$A$4=0))),0,IF(12=$K19,200000,ABS(12-$K19)*100)),100000+ABS(3-$J19)*1000+120)+'計算A'!BK$5*50+IF(AND($E19=1,KX19=0),25,0),INDEX('計算A'!BK$110:BK$114,$F19+1)+IF(AND($E19=1,KX19=0),1000,0)+IF($H19=1,(IF('計算A'!BJ$117=1,INDEX('計算A'!BJ$10:BJ$54,$B19),0)+IF('計算A'!BK$117=1,INDEX('計算A'!BL$10:BL$54,$B19),0))*500,0)-IF(AND('計算A'!BJ$117=1,WH19&gt;0),300,0)-IF(AND($L19=1,'計算A'!BK$117=1,FJ19=0),300,0))),1000000))</f>
        <v/>
      </c>
      <c r="QN19">
        <f>IF($B19=0,1000000,IF(INDEX('計算A'!$D$60:$EQ$104,$B19,61)*FJ19=1,IF(AND($E19=2,KY19=0),1000000,IF($I19&gt;0,IF(3=$J19,IF(OR(AND(61=$I19+1,OR($K19&lt;&gt;'計算A'!$A$3,'計算A'!$A$4=0)),AND(61=$I19-1,OR(13&lt;&gt;'計算A'!$A$3,'計算A'!$A$4=0))),0,IF(13=$K19,200000,ABS(13-$K19)*100)),100000+ABS(3-$J19)*1000+130)+'計算A'!BL$5*50+IF(AND($E19=1,KY19=0),25,0),INDEX('計算A'!BL$110:BL$114,$F19+1)+IF(AND($E19=1,KY19=0),1000,0)+IF($H19=1,(IF('計算A'!BK$117=1,INDEX('計算A'!BK$10:BK$54,$B19),0)+IF('計算A'!BL$117=1,INDEX('計算A'!BM$10:BM$54,$B19),0))*500,0)-IF(AND('計算A'!BK$117=1,WI19&gt;0),300,0)-IF(AND($L19=1,'計算A'!BL$117=1,FK19=0),300,0))),1000000))</f>
        <v/>
      </c>
      <c r="QO19">
        <f>IF($B19=0,1000000,IF(INDEX('計算A'!$D$60:$EQ$104,$B19,62)*FK19=1,IF(AND($E19=2,KZ19=0),1000000,IF($I19&gt;0,IF(3=$J19,IF(OR(AND(62=$I19+1,OR($K19&lt;&gt;'計算A'!$A$3,'計算A'!$A$4=0)),AND(62=$I19-1,OR(14&lt;&gt;'計算A'!$A$3,'計算A'!$A$4=0))),0,IF(14=$K19,200000,ABS(14-$K19)*100)),100000+ABS(3-$J19)*1000+140)+'計算A'!BM$5*50+IF(AND($E19=1,KZ19=0),25,0),INDEX('計算A'!BM$110:BM$114,$F19+1)+IF(AND($E19=1,KZ19=0),1000,0)+IF($H19=1,(IF('計算A'!BL$117=1,INDEX('計算A'!BL$10:BL$54,$B19),0)+IF('計算A'!BM$117=1,INDEX('計算A'!BN$10:BN$54,$B19),0))*500,0)-IF(AND('計算A'!BL$117=1,WJ19&gt;0),300,0)-IF(AND($L19=1,'計算A'!BM$117=1,FL19=0),300,0))),1000000))</f>
        <v/>
      </c>
      <c r="QP19">
        <f>IF($B19=0,1000000,IF(INDEX('計算A'!$D$60:$EQ$104,$B19,63)*FL19=1,IF(AND($E19=2,LA19=0),1000000,IF($I19&gt;0,IF(3=$J19,IF(OR(AND(63=$I19+1,OR($K19&lt;&gt;'計算A'!$A$3,'計算A'!$A$4=0)),AND(63=$I19-1,OR(15&lt;&gt;'計算A'!$A$3,'計算A'!$A$4=0))),0,IF(15=$K19,200000,ABS(15-$K19)*100)),100000+ABS(3-$J19)*1000+150)+'計算A'!BN$5*50+IF(AND($E19=1,LA19=0),25,0),INDEX('計算A'!BN$110:BN$114,$F19+1)+IF(AND($E19=1,LA19=0),1000,0)+IF($H19=1,(IF('計算A'!BM$117=1,INDEX('計算A'!BM$10:BM$54,$B19),0)+IF('計算A'!BN$117=1,INDEX('計算A'!BO$10:BO$54,$B19),0))*500,0)-IF(AND('計算A'!BM$117=1,WK19&gt;0),300,0)-IF(AND($L19=1,'計算A'!BN$117=1,FM19=0),300,0))),1000000))</f>
        <v/>
      </c>
      <c r="QQ19">
        <f>IF($B19=0,1000000,IF(INDEX('計算A'!$D$60:$EQ$104,$B19,64)*FM19=1,IF(AND($E19=2,LB19=0),1000000,IF($I19&gt;0,IF(3=$J19,IF(OR(AND(64=$I19+1,OR($K19&lt;&gt;'計算A'!$A$3,'計算A'!$A$4=0)),AND(64=$I19-1,OR(16&lt;&gt;'計算A'!$A$3,'計算A'!$A$4=0))),0,IF(16=$K19,200000,ABS(16-$K19)*100)),100000+ABS(3-$J19)*1000+160)+'計算A'!BO$5*50+IF(AND($E19=1,LB19=0),25,0),INDEX('計算A'!BO$110:BO$114,$F19+1)+IF(AND($E19=1,LB19=0),1000,0)+IF($H19=1,(IF('計算A'!BN$117=1,INDEX('計算A'!BN$10:BN$54,$B19),0)+IF('計算A'!BO$117=1,INDEX('計算A'!BP$10:BP$54,$B19),0))*500,0)-IF(AND('計算A'!BN$117=1,WL19&gt;0),300,0)-IF(AND($L19=1,'計算A'!BO$117=1,FN19=0),300,0))),1000000))</f>
        <v/>
      </c>
      <c r="QR19">
        <f>IF($B19=0,1000000,IF(INDEX('計算A'!$D$60:$EQ$104,$B19,65)*FN19=1,IF(AND($E19=2,LC19=0),1000000,IF($I19&gt;0,IF(3=$J19,IF(OR(AND(65=$I19+1,OR($K19&lt;&gt;'計算A'!$A$3,'計算A'!$A$4=0)),AND(65=$I19-1,OR(17&lt;&gt;'計算A'!$A$3,'計算A'!$A$4=0))),0,IF(17=$K19,200000,ABS(17-$K19)*100)),100000+ABS(3-$J19)*1000+170)+'計算A'!BP$5*50+IF(AND($E19=1,LC19=0),25,0),INDEX('計算A'!BP$110:BP$114,$F19+1)+IF(AND($E19=1,LC19=0),1000,0)+IF($H19=1,(IF('計算A'!BO$117=1,INDEX('計算A'!BO$10:BO$54,$B19),0)+IF('計算A'!BP$117=1,INDEX('計算A'!BQ$10:BQ$54,$B19),0))*500,0)-IF(AND('計算A'!BO$117=1,WM19&gt;0),300,0)-IF(AND($L19=1,'計算A'!BP$117=1,FO19=0),300,0))),1000000))</f>
        <v/>
      </c>
      <c r="QS19">
        <f>IF($B19=0,1000000,IF(INDEX('計算A'!$D$60:$EQ$104,$B19,66)*FO19=1,IF(AND($E19=2,LD19=0),1000000,IF($I19&gt;0,IF(3=$J19,IF(OR(AND(66=$I19+1,OR($K19&lt;&gt;'計算A'!$A$3,'計算A'!$A$4=0)),AND(66=$I19-1,OR(18&lt;&gt;'計算A'!$A$3,'計算A'!$A$4=0))),0,IF(18=$K19,200000,ABS(18-$K19)*100)),100000+ABS(3-$J19)*1000+180)+'計算A'!BQ$5*50+IF(AND($E19=1,LD19=0),25,0),INDEX('計算A'!BQ$110:BQ$114,$F19+1)+IF(AND($E19=1,LD19=0),1000,0)+IF($H19=1,(IF('計算A'!BP$117=1,INDEX('計算A'!BP$10:BP$54,$B19),0)+IF('計算A'!BQ$117=1,INDEX('計算A'!BR$10:BR$54,$B19),0))*500,0)-IF(AND('計算A'!BP$117=1,WN19&gt;0),300,0)-IF(AND($L19=1,'計算A'!BQ$117=1,FP19=0),300,0))),1000000))</f>
        <v/>
      </c>
      <c r="QT19">
        <f>IF($B19=0,1000000,IF(INDEX('計算A'!$D$60:$EQ$104,$B19,67)*FP19=1,IF(AND($E19=2,LE19=0),1000000,IF($I19&gt;0,IF(3=$J19,IF(OR(AND(67=$I19+1,OR($K19&lt;&gt;'計算A'!$A$3,'計算A'!$A$4=0)),AND(67=$I19-1,OR(19&lt;&gt;'計算A'!$A$3,'計算A'!$A$4=0))),0,IF(19=$K19,200000,ABS(19-$K19)*100)),100000+ABS(3-$J19)*1000+190)+'計算A'!BR$5*50+IF(AND($E19=1,LE19=0),25,0),INDEX('計算A'!BR$110:BR$114,$F19+1)+IF(AND($E19=1,LE19=0),1000,0)+IF($H19=1,(IF('計算A'!BQ$117=1,INDEX('計算A'!BQ$10:BQ$54,$B19),0)+IF('計算A'!BR$117=1,INDEX('計算A'!BS$10:BS$54,$B19),0))*500,0)-IF(AND('計算A'!BQ$117=1,WO19&gt;0),300,0)-IF(AND($L19=1,'計算A'!BR$117=1,FQ19=0),300,0))),1000000))</f>
        <v/>
      </c>
      <c r="QU19">
        <f>IF($B19=0,1000000,IF(INDEX('計算A'!$D$60:$EQ$104,$B19,68)*FQ19=1,IF(AND($E19=2,LF19=0),1000000,IF($I19&gt;0,IF(3=$J19,IF(OR(AND(68=$I19+1,OR($K19&lt;&gt;'計算A'!$A$3,'計算A'!$A$4=0)),AND(68=$I19-1,OR(20&lt;&gt;'計算A'!$A$3,'計算A'!$A$4=0))),0,IF(20=$K19,200000,ABS(20-$K19)*100)),100000+ABS(3-$J19)*1000+200)+'計算A'!BS$5*50+IF(AND($E19=1,LF19=0),25,0),INDEX('計算A'!BS$110:BS$114,$F19+1)+IF(AND($E19=1,LF19=0),1000,0)+IF($H19=1,(IF('計算A'!BR$117=1,INDEX('計算A'!BR$10:BR$54,$B19),0)+IF('計算A'!BS$117=1,INDEX('計算A'!BT$10:BT$54,$B19),0))*500,0)-IF(AND('計算A'!BR$117=1,WP19&gt;0),300,0)-IF(AND($L19=1,'計算A'!BS$117=1,FR19=0),300,0))),1000000))</f>
        <v/>
      </c>
      <c r="QV19">
        <f>IF($B19=0,1000000,IF(INDEX('計算A'!$D$60:$EQ$104,$B19,69)*FR19=1,IF(AND($E19=2,LG19=0),1000000,IF($I19&gt;0,IF(3=$J19,IF(OR(AND(69=$I19+1,OR($K19&lt;&gt;'計算A'!$A$3,'計算A'!$A$4=0)),AND(69=$I19-1,OR(21&lt;&gt;'計算A'!$A$3,'計算A'!$A$4=0))),0,IF(21=$K19,200000,ABS(21-$K19)*100)),100000+ABS(3-$J19)*1000+210)+'計算A'!BT$5*50+IF(AND($E19=1,LG19=0),25,0),INDEX('計算A'!BT$110:BT$114,$F19+1)+IF(AND($E19=1,LG19=0),1000,0)+IF($H19=1,(IF('計算A'!BS$117=1,INDEX('計算A'!BS$10:BS$54,$B19),0)+IF('計算A'!BT$117=1,INDEX('計算A'!BU$10:BU$54,$B19),0))*500,0)-IF(AND('計算A'!BS$117=1,WQ19&gt;0),300,0)-IF(AND($L19=1,'計算A'!BT$117=1,FS19=0),300,0))),1000000))</f>
        <v/>
      </c>
      <c r="QW19">
        <f>IF($B19=0,1000000,IF(INDEX('計算A'!$D$60:$EQ$104,$B19,70)*FS19=1,IF(AND($E19=2,LH19=0),1000000,IF($I19&gt;0,IF(3=$J19,IF(OR(AND(70=$I19+1,OR($K19&lt;&gt;'計算A'!$A$3,'計算A'!$A$4=0)),AND(70=$I19-1,OR(22&lt;&gt;'計算A'!$A$3,'計算A'!$A$4=0))),0,IF(22=$K19,200000,ABS(22-$K19)*100)),100000+ABS(3-$J19)*1000+220)+'計算A'!BU$5*50+IF(AND($E19=1,LH19=0),25,0),INDEX('計算A'!BU$110:BU$114,$F19+1)+IF(AND($E19=1,LH19=0),1000,0)+IF($H19=1,(IF('計算A'!BT$117=1,INDEX('計算A'!BT$10:BT$54,$B19),0)+IF('計算A'!BU$117=1,INDEX('計算A'!BV$10:BV$54,$B19),0))*500,0)-IF(AND('計算A'!BT$117=1,WR19&gt;0),300,0)-IF(AND($L19=1,'計算A'!BU$117=1,FT19=0),300,0))),1000000))</f>
        <v/>
      </c>
      <c r="QX19">
        <f>IF($B19=0,1000000,IF(INDEX('計算A'!$D$60:$EQ$104,$B19,71)*FT19=1,IF(AND($E19=2,LI19=0),1000000,IF($I19&gt;0,IF(3=$J19,IF(OR(AND(71=$I19+1,OR($K19&lt;&gt;'計算A'!$A$3,'計算A'!$A$4=0)),AND(71=$I19-1,OR(23&lt;&gt;'計算A'!$A$3,'計算A'!$A$4=0))),0,IF(23=$K19,200000,ABS(23-$K19)*100)),100000+ABS(3-$J19)*1000+230)+'計算A'!BV$5*50+IF(AND($E19=1,LI19=0),25,0),INDEX('計算A'!BV$110:BV$114,$F19+1)+IF(AND($E19=1,LI19=0),1000,0)+IF($H19=1,(IF('計算A'!BU$117=1,INDEX('計算A'!BU$10:BU$54,$B19),0)+IF('計算A'!BV$117=1,INDEX('計算A'!BW$10:BW$54,$B19),0))*500,0)-IF(AND('計算A'!BU$117=1,WS19&gt;0),300,0)-IF(AND($L19=1,'計算A'!BV$117=1,FU19=0),300,0))),1000000))</f>
        <v/>
      </c>
      <c r="QY19">
        <f>IF($B19=0,1000000,IF(INDEX('計算A'!$D$60:$EQ$104,$B19,72)*FU19=1,IF(AND($E19=2,LJ19=0),1000000,IF($I19&gt;0,IF(3=$J19,IF(OR(AND(72=$I19+1,OR($K19&lt;&gt;'計算A'!$A$3,'計算A'!$A$4=0)),AND(72=$I19-1,OR(24&lt;&gt;'計算A'!$A$3,'計算A'!$A$4=0))),0,IF(24=$K19,200000,ABS(24-$K19)*100)),100000+ABS(3-$J19)*1000+240)+'計算A'!BW$5*50+IF(AND($E19=1,LJ19=0),25,0),INDEX('計算A'!BW$110:BW$114,$F19+1)+IF(AND($E19=1,LJ19=0),1000,0)+IF($H19=1,(IF('計算A'!BV$117=1,INDEX('計算A'!BV$10:BV$54,$B19),0))*500,0)-IF(AND('計算A'!BV$117=1,WT19&gt;0),300,0))),1000000))</f>
        <v/>
      </c>
      <c r="QZ19">
        <f>IF($B19=0,1000000,IF(INDEX('計算A'!$D$60:$EQ$104,$B19,73)*FV19=1,IF(AND($E19=2,LK19=0),1000000,IF($I19&gt;0,IF(4=$J19,IF(OR(AND(73=$I19+1,OR($K19&lt;&gt;'計算A'!$A$3,'計算A'!$A$4=0)),AND(73=$I19-1,OR(1&lt;&gt;'計算A'!$A$3,'計算A'!$A$4=0))),0,IF(1=$K19,200000,ABS(1-$K19)*100)),100000+ABS(4-$J19)*1000+10)+'計算A'!BX$5*50+IF(AND($E19=1,LK19=0),25,0),INDEX('計算A'!BX$110:BX$114,$F19+1)+IF(AND($E19=1,LK19=0),1000,0)+IF($H19=1,(IF('計算A'!BX$117=1,INDEX('計算A'!BY$10:BY$54,$B19),0))*500,0)-IF(AND($L19=1,'計算A'!BX$117=1,FW19=0),300,0))),1000000))</f>
        <v/>
      </c>
      <c r="RA19">
        <f>IF($B19=0,1000000,IF(INDEX('計算A'!$D$60:$EQ$104,$B19,74)*FW19=1,IF(AND($E19=2,LL19=0),1000000,IF($I19&gt;0,IF(4=$J19,IF(OR(AND(74=$I19+1,OR($K19&lt;&gt;'計算A'!$A$3,'計算A'!$A$4=0)),AND(74=$I19-1,OR(2&lt;&gt;'計算A'!$A$3,'計算A'!$A$4=0))),0,IF(2=$K19,200000,ABS(2-$K19)*100)),100000+ABS(4-$J19)*1000+20)+'計算A'!BY$5*50+IF(AND($E19=1,LL19=0),25,0),INDEX('計算A'!BY$110:BY$114,$F19+1)+IF(AND($E19=1,LL19=0),1000,0)+IF($H19=1,(IF('計算A'!BX$117=1,INDEX('計算A'!BX$10:BX$54,$B19),0)+IF('計算A'!BY$117=1,INDEX('計算A'!BZ$10:BZ$54,$B19),0))*500,0)-IF(AND('計算A'!BX$117=1,WV19&gt;0),300,0)-IF(AND($L19=1,'計算A'!BY$117=1,FX19=0),300,0))),1000000))</f>
        <v/>
      </c>
      <c r="RB19">
        <f>IF($B19=0,1000000,IF(INDEX('計算A'!$D$60:$EQ$104,$B19,75)*FX19=1,IF(AND($E19=2,LM19=0),1000000,IF($I19&gt;0,IF(4=$J19,IF(OR(AND(75=$I19+1,OR($K19&lt;&gt;'計算A'!$A$3,'計算A'!$A$4=0)),AND(75=$I19-1,OR(3&lt;&gt;'計算A'!$A$3,'計算A'!$A$4=0))),0,IF(3=$K19,200000,ABS(3-$K19)*100)),100000+ABS(4-$J19)*1000+30)+'計算A'!BZ$5*50+IF(AND($E19=1,LM19=0),25,0),INDEX('計算A'!BZ$110:BZ$114,$F19+1)+IF(AND($E19=1,LM19=0),1000,0)+IF($H19=1,(IF('計算A'!BY$117=1,INDEX('計算A'!BY$10:BY$54,$B19),0)+IF('計算A'!BZ$117=1,INDEX('計算A'!CA$10:CA$54,$B19),0))*500,0)-IF(AND('計算A'!BY$117=1,WW19&gt;0),300,0)-IF(AND($L19=1,'計算A'!BZ$117=1,FY19=0),300,0))),1000000))</f>
        <v/>
      </c>
      <c r="RC19">
        <f>IF($B19=0,1000000,IF(INDEX('計算A'!$D$60:$EQ$104,$B19,76)*FY19=1,IF(AND($E19=2,LN19=0),1000000,IF($I19&gt;0,IF(4=$J19,IF(OR(AND(76=$I19+1,OR($K19&lt;&gt;'計算A'!$A$3,'計算A'!$A$4=0)),AND(76=$I19-1,OR(4&lt;&gt;'計算A'!$A$3,'計算A'!$A$4=0))),0,IF(4=$K19,200000,ABS(4-$K19)*100)),100000+ABS(4-$J19)*1000+40)+'計算A'!CA$5*50+IF(AND($E19=1,LN19=0),25,0),INDEX('計算A'!CA$110:CA$114,$F19+1)+IF(AND($E19=1,LN19=0),1000,0)+IF($H19=1,(IF('計算A'!BZ$117=1,INDEX('計算A'!BZ$10:BZ$54,$B19),0)+IF('計算A'!CA$117=1,INDEX('計算A'!CB$10:CB$54,$B19),0))*500,0)-IF(AND('計算A'!BZ$117=1,WX19&gt;0),300,0)-IF(AND($L19=1,'計算A'!CA$117=1,FZ19=0),300,0))),1000000))</f>
        <v/>
      </c>
      <c r="RD19">
        <f>IF($B19=0,1000000,IF(INDEX('計算A'!$D$60:$EQ$104,$B19,77)*FZ19=1,IF(AND($E19=2,LO19=0),1000000,IF($I19&gt;0,IF(4=$J19,IF(OR(AND(77=$I19+1,OR($K19&lt;&gt;'計算A'!$A$3,'計算A'!$A$4=0)),AND(77=$I19-1,OR(5&lt;&gt;'計算A'!$A$3,'計算A'!$A$4=0))),0,IF(5=$K19,200000,ABS(5-$K19)*100)),100000+ABS(4-$J19)*1000+50)+'計算A'!CB$5*50+IF(AND($E19=1,LO19=0),25,0),INDEX('計算A'!CB$110:CB$114,$F19+1)+IF(AND($E19=1,LO19=0),1000,0)+IF($H19=1,(IF('計算A'!CA$117=1,INDEX('計算A'!CA$10:CA$54,$B19),0)+IF('計算A'!CB$117=1,INDEX('計算A'!CC$10:CC$54,$B19),0))*500,0)-IF(AND('計算A'!CA$117=1,WY19&gt;0),300,0)-IF(AND($L19=1,'計算A'!CB$117=1,GA19=0),300,0))),1000000))</f>
        <v/>
      </c>
      <c r="RE19">
        <f>IF($B19=0,1000000,IF(INDEX('計算A'!$D$60:$EQ$104,$B19,78)*GA19=1,IF(AND($E19=2,LP19=0),1000000,IF($I19&gt;0,IF(4=$J19,IF(OR(AND(78=$I19+1,OR($K19&lt;&gt;'計算A'!$A$3,'計算A'!$A$4=0)),AND(78=$I19-1,OR(6&lt;&gt;'計算A'!$A$3,'計算A'!$A$4=0))),0,IF(6=$K19,200000,ABS(6-$K19)*100)),100000+ABS(4-$J19)*1000+60)+'計算A'!CC$5*50+IF(AND($E19=1,LP19=0),25,0),INDEX('計算A'!CC$110:CC$114,$F19+1)+IF(AND($E19=1,LP19=0),1000,0)+IF($H19=1,(IF('計算A'!CB$117=1,INDEX('計算A'!CB$10:CB$54,$B19),0)+IF('計算A'!CC$117=1,INDEX('計算A'!CD$10:CD$54,$B19),0))*500,0)-IF(AND('計算A'!CB$117=1,WZ19&gt;0),300,0)-IF(AND($L19=1,'計算A'!CC$117=1,GB19=0),300,0))),1000000))</f>
        <v/>
      </c>
      <c r="RF19">
        <f>IF($B19=0,1000000,IF(INDEX('計算A'!$D$60:$EQ$104,$B19,79)*GB19=1,IF(AND($E19=2,LQ19=0),1000000,IF($I19&gt;0,IF(4=$J19,IF(OR(AND(79=$I19+1,OR($K19&lt;&gt;'計算A'!$A$3,'計算A'!$A$4=0)),AND(79=$I19-1,OR(7&lt;&gt;'計算A'!$A$3,'計算A'!$A$4=0))),0,IF(7=$K19,200000,ABS(7-$K19)*100)),100000+ABS(4-$J19)*1000+70)+'計算A'!CD$5*50+IF(AND($E19=1,LQ19=0),25,0),INDEX('計算A'!CD$110:CD$114,$F19+1)+IF(AND($E19=1,LQ19=0),1000,0)+IF($H19=1,(IF('計算A'!CC$117=1,INDEX('計算A'!CC$10:CC$54,$B19),0)+IF('計算A'!CD$117=1,INDEX('計算A'!CE$10:CE$54,$B19),0))*500,0)-IF(AND('計算A'!CC$117=1,XA19&gt;0),300,0)-IF(AND($L19=1,'計算A'!CD$117=1,GC19=0),300,0))),1000000))</f>
        <v/>
      </c>
      <c r="RG19">
        <f>IF($B19=0,1000000,IF(INDEX('計算A'!$D$60:$EQ$104,$B19,80)*GC19=1,IF(AND($E19=2,LR19=0),1000000,IF($I19&gt;0,IF(4=$J19,IF(OR(AND(80=$I19+1,OR($K19&lt;&gt;'計算A'!$A$3,'計算A'!$A$4=0)),AND(80=$I19-1,OR(8&lt;&gt;'計算A'!$A$3,'計算A'!$A$4=0))),0,IF(8=$K19,200000,ABS(8-$K19)*100)),100000+ABS(4-$J19)*1000+80)+'計算A'!CE$5*50+IF(AND($E19=1,LR19=0),25,0),INDEX('計算A'!CE$110:CE$114,$F19+1)+IF(AND($E19=1,LR19=0),1000,0)+IF($H19=1,(IF('計算A'!CD$117=1,INDEX('計算A'!CD$10:CD$54,$B19),0)+IF('計算A'!CE$117=1,INDEX('計算A'!CF$10:CF$54,$B19),0))*500,0)-IF(AND('計算A'!CD$117=1,XB19&gt;0),300,0)-IF(AND($L19=1,'計算A'!CE$117=1,GD19=0),300,0))),1000000))</f>
        <v/>
      </c>
      <c r="RH19">
        <f>IF($B19=0,1000000,IF(INDEX('計算A'!$D$60:$EQ$104,$B19,81)*GD19=1,IF(AND($E19=2,LS19=0),1000000,IF($I19&gt;0,IF(4=$J19,IF(OR(AND(81=$I19+1,OR($K19&lt;&gt;'計算A'!$A$3,'計算A'!$A$4=0)),AND(81=$I19-1,OR(9&lt;&gt;'計算A'!$A$3,'計算A'!$A$4=0))),0,IF(9=$K19,200000,ABS(9-$K19)*100)),100000+ABS(4-$J19)*1000+90)+'計算A'!CF$5*50+IF(AND($E19=1,LS19=0),25,0),INDEX('計算A'!CF$110:CF$114,$F19+1)+IF(AND($E19=1,LS19=0),1000,0)+IF($H19=1,(IF('計算A'!CE$117=1,INDEX('計算A'!CE$10:CE$54,$B19),0)+IF('計算A'!CF$117=1,INDEX('計算A'!CG$10:CG$54,$B19),0))*500,0)-IF(AND('計算A'!CE$117=1,XC19&gt;0),300,0)-IF(AND($L19=1,'計算A'!CF$117=1,GE19=0),300,0))),1000000))</f>
        <v/>
      </c>
      <c r="RI19">
        <f>IF($B19=0,1000000,IF(INDEX('計算A'!$D$60:$EQ$104,$B19,82)*GE19=1,IF(AND($E19=2,LT19=0),1000000,IF($I19&gt;0,IF(4=$J19,IF(OR(AND(82=$I19+1,OR($K19&lt;&gt;'計算A'!$A$3,'計算A'!$A$4=0)),AND(82=$I19-1,OR(10&lt;&gt;'計算A'!$A$3,'計算A'!$A$4=0))),0,IF(10=$K19,200000,ABS(10-$K19)*100)),100000+ABS(4-$J19)*1000+100)+'計算A'!CG$5*50+IF(AND($E19=1,LT19=0),25,0),INDEX('計算A'!CG$110:CG$114,$F19+1)+IF(AND($E19=1,LT19=0),1000,0)+IF($H19=1,(IF('計算A'!CF$117=1,INDEX('計算A'!CF$10:CF$54,$B19),0)+IF('計算A'!CG$117=1,INDEX('計算A'!CH$10:CH$54,$B19),0))*500,0)-IF(AND('計算A'!CF$117=1,XD19&gt;0),300,0)-IF(AND($L19=1,'計算A'!CG$117=1,GF19=0),300,0))),1000000))</f>
        <v/>
      </c>
      <c r="RJ19">
        <f>IF($B19=0,1000000,IF(INDEX('計算A'!$D$60:$EQ$104,$B19,83)*GF19=1,IF(AND($E19=2,LU19=0),1000000,IF($I19&gt;0,IF(4=$J19,IF(OR(AND(83=$I19+1,OR($K19&lt;&gt;'計算A'!$A$3,'計算A'!$A$4=0)),AND(83=$I19-1,OR(11&lt;&gt;'計算A'!$A$3,'計算A'!$A$4=0))),0,IF(11=$K19,200000,ABS(11-$K19)*100)),100000+ABS(4-$J19)*1000+110)+'計算A'!CH$5*50+IF(AND($E19=1,LU19=0),25,0),INDEX('計算A'!CH$110:CH$114,$F19+1)+IF(AND($E19=1,LU19=0),1000,0)+IF($H19=1,(IF('計算A'!CG$117=1,INDEX('計算A'!CG$10:CG$54,$B19),0)+IF('計算A'!CH$117=1,INDEX('計算A'!CI$10:CI$54,$B19),0))*500,0)-IF(AND('計算A'!CG$117=1,XE19&gt;0),300,0)-IF(AND($L19=1,'計算A'!CH$117=1,GG19=0),300,0))),1000000))</f>
        <v/>
      </c>
      <c r="RK19">
        <f>IF($B19=0,1000000,IF(INDEX('計算A'!$D$60:$EQ$104,$B19,84)*GG19=1,IF(AND($E19=2,LV19=0),1000000,IF($I19&gt;0,IF(4=$J19,IF(OR(AND(84=$I19+1,OR($K19&lt;&gt;'計算A'!$A$3,'計算A'!$A$4=0)),AND(84=$I19-1,OR(12&lt;&gt;'計算A'!$A$3,'計算A'!$A$4=0))),0,IF(12=$K19,200000,ABS(12-$K19)*100)),100000+ABS(4-$J19)*1000+120)+'計算A'!CI$5*50+IF(AND($E19=1,LV19=0),25,0),INDEX('計算A'!CI$110:CI$114,$F19+1)+IF(AND($E19=1,LV19=0),1000,0)+IF($H19=1,(IF('計算A'!CH$117=1,INDEX('計算A'!CH$10:CH$54,$B19),0)+IF('計算A'!CI$117=1,INDEX('計算A'!CJ$10:CJ$54,$B19),0))*500,0)-IF(AND('計算A'!CH$117=1,XF19&gt;0),300,0)-IF(AND($L19=1,'計算A'!CI$117=1,GH19=0),300,0))),1000000))</f>
        <v/>
      </c>
      <c r="RL19">
        <f>IF($B19=0,1000000,IF(INDEX('計算A'!$D$60:$EQ$104,$B19,85)*GH19=1,IF(AND($E19=2,LW19=0),1000000,IF($I19&gt;0,IF(4=$J19,IF(OR(AND(85=$I19+1,OR($K19&lt;&gt;'計算A'!$A$3,'計算A'!$A$4=0)),AND(85=$I19-1,OR(13&lt;&gt;'計算A'!$A$3,'計算A'!$A$4=0))),0,IF(13=$K19,200000,ABS(13-$K19)*100)),100000+ABS(4-$J19)*1000+130)+'計算A'!CJ$5*50+IF(AND($E19=1,LW19=0),25,0),INDEX('計算A'!CJ$110:CJ$114,$F19+1)+IF(AND($E19=1,LW19=0),1000,0)+IF($H19=1,(IF('計算A'!CI$117=1,INDEX('計算A'!CI$10:CI$54,$B19),0)+IF('計算A'!CJ$117=1,INDEX('計算A'!CK$10:CK$54,$B19),0))*500,0)-IF(AND('計算A'!CI$117=1,XG19&gt;0),300,0)-IF(AND($L19=1,'計算A'!CJ$117=1,GI19=0),300,0))),1000000))</f>
        <v/>
      </c>
      <c r="RM19">
        <f>IF($B19=0,1000000,IF(INDEX('計算A'!$D$60:$EQ$104,$B19,86)*GI19=1,IF(AND($E19=2,LX19=0),1000000,IF($I19&gt;0,IF(4=$J19,IF(OR(AND(86=$I19+1,OR($K19&lt;&gt;'計算A'!$A$3,'計算A'!$A$4=0)),AND(86=$I19-1,OR(14&lt;&gt;'計算A'!$A$3,'計算A'!$A$4=0))),0,IF(14=$K19,200000,ABS(14-$K19)*100)),100000+ABS(4-$J19)*1000+140)+'計算A'!CK$5*50+IF(AND($E19=1,LX19=0),25,0),INDEX('計算A'!CK$110:CK$114,$F19+1)+IF(AND($E19=1,LX19=0),1000,0)+IF($H19=1,(IF('計算A'!CJ$117=1,INDEX('計算A'!CJ$10:CJ$54,$B19),0)+IF('計算A'!CK$117=1,INDEX('計算A'!CL$10:CL$54,$B19),0))*500,0)-IF(AND('計算A'!CJ$117=1,XH19&gt;0),300,0)-IF(AND($L19=1,'計算A'!CK$117=1,GJ19=0),300,0))),1000000))</f>
        <v/>
      </c>
      <c r="RN19">
        <f>IF($B19=0,1000000,IF(INDEX('計算A'!$D$60:$EQ$104,$B19,87)*GJ19=1,IF(AND($E19=2,LY19=0),1000000,IF($I19&gt;0,IF(4=$J19,IF(OR(AND(87=$I19+1,OR($K19&lt;&gt;'計算A'!$A$3,'計算A'!$A$4=0)),AND(87=$I19-1,OR(15&lt;&gt;'計算A'!$A$3,'計算A'!$A$4=0))),0,IF(15=$K19,200000,ABS(15-$K19)*100)),100000+ABS(4-$J19)*1000+150)+'計算A'!CL$5*50+IF(AND($E19=1,LY19=0),25,0),INDEX('計算A'!CL$110:CL$114,$F19+1)+IF(AND($E19=1,LY19=0),1000,0)+IF($H19=1,(IF('計算A'!CK$117=1,INDEX('計算A'!CK$10:CK$54,$B19),0)+IF('計算A'!CL$117=1,INDEX('計算A'!CM$10:CM$54,$B19),0))*500,0)-IF(AND('計算A'!CK$117=1,XI19&gt;0),300,0)-IF(AND($L19=1,'計算A'!CL$117=1,GK19=0),300,0))),1000000))</f>
        <v/>
      </c>
      <c r="RO19">
        <f>IF($B19=0,1000000,IF(INDEX('計算A'!$D$60:$EQ$104,$B19,88)*GK19=1,IF(AND($E19=2,LZ19=0),1000000,IF($I19&gt;0,IF(4=$J19,IF(OR(AND(88=$I19+1,OR($K19&lt;&gt;'計算A'!$A$3,'計算A'!$A$4=0)),AND(88=$I19-1,OR(16&lt;&gt;'計算A'!$A$3,'計算A'!$A$4=0))),0,IF(16=$K19,200000,ABS(16-$K19)*100)),100000+ABS(4-$J19)*1000+160)+'計算A'!CM$5*50+IF(AND($E19=1,LZ19=0),25,0),INDEX('計算A'!CM$110:CM$114,$F19+1)+IF(AND($E19=1,LZ19=0),1000,0)+IF($H19=1,(IF('計算A'!CL$117=1,INDEX('計算A'!CL$10:CL$54,$B19),0)+IF('計算A'!CM$117=1,INDEX('計算A'!CN$10:CN$54,$B19),0))*500,0)-IF(AND('計算A'!CL$117=1,XJ19&gt;0),300,0)-IF(AND($L19=1,'計算A'!CM$117=1,GL19=0),300,0))),1000000))</f>
        <v/>
      </c>
      <c r="RP19">
        <f>IF($B19=0,1000000,IF(INDEX('計算A'!$D$60:$EQ$104,$B19,89)*GL19=1,IF(AND($E19=2,MA19=0),1000000,IF($I19&gt;0,IF(4=$J19,IF(OR(AND(89=$I19+1,OR($K19&lt;&gt;'計算A'!$A$3,'計算A'!$A$4=0)),AND(89=$I19-1,OR(17&lt;&gt;'計算A'!$A$3,'計算A'!$A$4=0))),0,IF(17=$K19,200000,ABS(17-$K19)*100)),100000+ABS(4-$J19)*1000+170)+'計算A'!CN$5*50+IF(AND($E19=1,MA19=0),25,0),INDEX('計算A'!CN$110:CN$114,$F19+1)+IF(AND($E19=1,MA19=0),1000,0)+IF($H19=1,(IF('計算A'!CM$117=1,INDEX('計算A'!CM$10:CM$54,$B19),0)+IF('計算A'!CN$117=1,INDEX('計算A'!CO$10:CO$54,$B19),0))*500,0)-IF(AND('計算A'!CM$117=1,XK19&gt;0),300,0)-IF(AND($L19=1,'計算A'!CN$117=1,GM19=0),300,0))),1000000))</f>
        <v/>
      </c>
      <c r="RQ19">
        <f>IF($B19=0,1000000,IF(INDEX('計算A'!$D$60:$EQ$104,$B19,90)*GM19=1,IF(AND($E19=2,MB19=0),1000000,IF($I19&gt;0,IF(4=$J19,IF(OR(AND(90=$I19+1,OR($K19&lt;&gt;'計算A'!$A$3,'計算A'!$A$4=0)),AND(90=$I19-1,OR(18&lt;&gt;'計算A'!$A$3,'計算A'!$A$4=0))),0,IF(18=$K19,200000,ABS(18-$K19)*100)),100000+ABS(4-$J19)*1000+180)+'計算A'!CO$5*50+IF(AND($E19=1,MB19=0),25,0),INDEX('計算A'!CO$110:CO$114,$F19+1)+IF(AND($E19=1,MB19=0),1000,0)+IF($H19=1,(IF('計算A'!CN$117=1,INDEX('計算A'!CN$10:CN$54,$B19),0)+IF('計算A'!CO$117=1,INDEX('計算A'!CP$10:CP$54,$B19),0))*500,0)-IF(AND('計算A'!CN$117=1,XL19&gt;0),300,0)-IF(AND($L19=1,'計算A'!CO$117=1,GN19=0),300,0))),1000000))</f>
        <v/>
      </c>
      <c r="RR19">
        <f>IF($B19=0,1000000,IF(INDEX('計算A'!$D$60:$EQ$104,$B19,91)*GN19=1,IF(AND($E19=2,MC19=0),1000000,IF($I19&gt;0,IF(4=$J19,IF(OR(AND(91=$I19+1,OR($K19&lt;&gt;'計算A'!$A$3,'計算A'!$A$4=0)),AND(91=$I19-1,OR(19&lt;&gt;'計算A'!$A$3,'計算A'!$A$4=0))),0,IF(19=$K19,200000,ABS(19-$K19)*100)),100000+ABS(4-$J19)*1000+190)+'計算A'!CP$5*50+IF(AND($E19=1,MC19=0),25,0),INDEX('計算A'!CP$110:CP$114,$F19+1)+IF(AND($E19=1,MC19=0),1000,0)+IF($H19=1,(IF('計算A'!CO$117=1,INDEX('計算A'!CO$10:CO$54,$B19),0)+IF('計算A'!CP$117=1,INDEX('計算A'!CQ$10:CQ$54,$B19),0))*500,0)-IF(AND('計算A'!CO$117=1,XM19&gt;0),300,0)-IF(AND($L19=1,'計算A'!CP$117=1,GO19=0),300,0))),1000000))</f>
        <v/>
      </c>
      <c r="RS19">
        <f>IF($B19=0,1000000,IF(INDEX('計算A'!$D$60:$EQ$104,$B19,92)*GO19=1,IF(AND($E19=2,MD19=0),1000000,IF($I19&gt;0,IF(4=$J19,IF(OR(AND(92=$I19+1,OR($K19&lt;&gt;'計算A'!$A$3,'計算A'!$A$4=0)),AND(92=$I19-1,OR(20&lt;&gt;'計算A'!$A$3,'計算A'!$A$4=0))),0,IF(20=$K19,200000,ABS(20-$K19)*100)),100000+ABS(4-$J19)*1000+200)+'計算A'!CQ$5*50+IF(AND($E19=1,MD19=0),25,0),INDEX('計算A'!CQ$110:CQ$114,$F19+1)+IF(AND($E19=1,MD19=0),1000,0)+IF($H19=1,(IF('計算A'!CP$117=1,INDEX('計算A'!CP$10:CP$54,$B19),0)+IF('計算A'!CQ$117=1,INDEX('計算A'!CR$10:CR$54,$B19),0))*500,0)-IF(AND('計算A'!CP$117=1,XN19&gt;0),300,0)-IF(AND($L19=1,'計算A'!CQ$117=1,GP19=0),300,0))),1000000))</f>
        <v/>
      </c>
      <c r="RT19">
        <f>IF($B19=0,1000000,IF(INDEX('計算A'!$D$60:$EQ$104,$B19,93)*GP19=1,IF(AND($E19=2,ME19=0),1000000,IF($I19&gt;0,IF(4=$J19,IF(OR(AND(93=$I19+1,OR($K19&lt;&gt;'計算A'!$A$3,'計算A'!$A$4=0)),AND(93=$I19-1,OR(21&lt;&gt;'計算A'!$A$3,'計算A'!$A$4=0))),0,IF(21=$K19,200000,ABS(21-$K19)*100)),100000+ABS(4-$J19)*1000+210)+'計算A'!CR$5*50+IF(AND($E19=1,ME19=0),25,0),INDEX('計算A'!CR$110:CR$114,$F19+1)+IF(AND($E19=1,ME19=0),1000,0)+IF($H19=1,(IF('計算A'!CQ$117=1,INDEX('計算A'!CQ$10:CQ$54,$B19),0)+IF('計算A'!CR$117=1,INDEX('計算A'!CS$10:CS$54,$B19),0))*500,0)-IF(AND('計算A'!CQ$117=1,XO19&gt;0),300,0)-IF(AND($L19=1,'計算A'!CR$117=1,GQ19=0),300,0))),1000000))</f>
        <v/>
      </c>
      <c r="RU19">
        <f>IF($B19=0,1000000,IF(INDEX('計算A'!$D$60:$EQ$104,$B19,94)*GQ19=1,IF(AND($E19=2,MF19=0),1000000,IF($I19&gt;0,IF(4=$J19,IF(OR(AND(94=$I19+1,OR($K19&lt;&gt;'計算A'!$A$3,'計算A'!$A$4=0)),AND(94=$I19-1,OR(22&lt;&gt;'計算A'!$A$3,'計算A'!$A$4=0))),0,IF(22=$K19,200000,ABS(22-$K19)*100)),100000+ABS(4-$J19)*1000+220)+'計算A'!CS$5*50+IF(AND($E19=1,MF19=0),25,0),INDEX('計算A'!CS$110:CS$114,$F19+1)+IF(AND($E19=1,MF19=0),1000,0)+IF($H19=1,(IF('計算A'!CR$117=1,INDEX('計算A'!CR$10:CR$54,$B19),0)+IF('計算A'!CS$117=1,INDEX('計算A'!CT$10:CT$54,$B19),0))*500,0)-IF(AND('計算A'!CR$117=1,XP19&gt;0),300,0)-IF(AND($L19=1,'計算A'!CS$117=1,GR19=0),300,0))),1000000))</f>
        <v/>
      </c>
      <c r="RV19">
        <f>IF($B19=0,1000000,IF(INDEX('計算A'!$D$60:$EQ$104,$B19,95)*GR19=1,IF(AND($E19=2,MG19=0),1000000,IF($I19&gt;0,IF(4=$J19,IF(OR(AND(95=$I19+1,OR($K19&lt;&gt;'計算A'!$A$3,'計算A'!$A$4=0)),AND(95=$I19-1,OR(23&lt;&gt;'計算A'!$A$3,'計算A'!$A$4=0))),0,IF(23=$K19,200000,ABS(23-$K19)*100)),100000+ABS(4-$J19)*1000+230)+'計算A'!CT$5*50+IF(AND($E19=1,MG19=0),25,0),INDEX('計算A'!CT$110:CT$114,$F19+1)+IF(AND($E19=1,MG19=0),1000,0)+IF($H19=1,(IF('計算A'!CS$117=1,INDEX('計算A'!CS$10:CS$54,$B19),0)+IF('計算A'!CT$117=1,INDEX('計算A'!CU$10:CU$54,$B19),0))*500,0)-IF(AND('計算A'!CS$117=1,XQ19&gt;0),300,0)-IF(AND($L19=1,'計算A'!CT$117=1,GS19=0),300,0))),1000000))</f>
        <v/>
      </c>
      <c r="RW19">
        <f>IF($B19=0,1000000,IF(INDEX('計算A'!$D$60:$EQ$104,$B19,96)*GS19=1,IF(AND($E19=2,MH19=0),1000000,IF($I19&gt;0,IF(4=$J19,IF(OR(AND(96=$I19+1,OR($K19&lt;&gt;'計算A'!$A$3,'計算A'!$A$4=0)),AND(96=$I19-1,OR(24&lt;&gt;'計算A'!$A$3,'計算A'!$A$4=0))),0,IF(24=$K19,200000,ABS(24-$K19)*100)),100000+ABS(4-$J19)*1000+240)+'計算A'!CU$5*50+IF(AND($E19=1,MH19=0),25,0),INDEX('計算A'!CU$110:CU$114,$F19+1)+IF(AND($E19=1,MH19=0),1000,0)+IF($H19=1,(IF('計算A'!CT$117=1,INDEX('計算A'!CT$10:CT$54,$B19),0))*500,0)-IF(AND('計算A'!CT$117=1,XR19&gt;0),300,0))),1000000))</f>
        <v/>
      </c>
      <c r="RX19">
        <f>IF($B19=0,1000000,IF(INDEX('計算A'!$D$60:$EQ$104,$B19,97)*GT19=1,IF(AND($E19=2,MI19=0),1000000,IF($I19&gt;0,IF(5=$J19,IF(OR(AND(97=$I19+1,OR($K19&lt;&gt;'計算A'!$A$3,'計算A'!$A$4=0)),AND(97=$I19-1,OR(1&lt;&gt;'計算A'!$A$3,'計算A'!$A$4=0))),0,IF(1=$K19,200000,ABS(1-$K19)*100)),100000+ABS(5-$J19)*1000+10)+'計算A'!CV$5*50+IF(AND($E19=1,MI19=0),25,0),INDEX('計算A'!CV$110:CV$114,$F19+1)+IF(AND($E19=1,MI19=0),1000,0)+IF($H19=1,(IF('計算A'!CV$117=1,INDEX('計算A'!CW$10:CW$54,$B19),0))*500,0)-IF(AND($L19=1,'計算A'!CV$117=1,GU19=0),300,0))),1000000))</f>
        <v/>
      </c>
      <c r="RY19">
        <f>IF($B19=0,1000000,IF(INDEX('計算A'!$D$60:$EQ$104,$B19,98)*GU19=1,IF(AND($E19=2,MJ19=0),1000000,IF($I19&gt;0,IF(5=$J19,IF(OR(AND(98=$I19+1,OR($K19&lt;&gt;'計算A'!$A$3,'計算A'!$A$4=0)),AND(98=$I19-1,OR(2&lt;&gt;'計算A'!$A$3,'計算A'!$A$4=0))),0,IF(2=$K19,200000,ABS(2-$K19)*100)),100000+ABS(5-$J19)*1000+20)+'計算A'!CW$5*50+IF(AND($E19=1,MJ19=0),25,0),INDEX('計算A'!CW$110:CW$114,$F19+1)+IF(AND($E19=1,MJ19=0),1000,0)+IF($H19=1,(IF('計算A'!CV$117=1,INDEX('計算A'!CV$10:CV$54,$B19),0)+IF('計算A'!CW$117=1,INDEX('計算A'!CX$10:CX$54,$B19),0))*500,0)-IF(AND('計算A'!CV$117=1,XT19&gt;0),300,0)-IF(AND($L19=1,'計算A'!CW$117=1,GV19=0),300,0))),1000000))</f>
        <v/>
      </c>
      <c r="RZ19">
        <f>IF($B19=0,1000000,IF(INDEX('計算A'!$D$60:$EQ$104,$B19,99)*GV19=1,IF(AND($E19=2,MK19=0),1000000,IF($I19&gt;0,IF(5=$J19,IF(OR(AND(99=$I19+1,OR($K19&lt;&gt;'計算A'!$A$3,'計算A'!$A$4=0)),AND(99=$I19-1,OR(3&lt;&gt;'計算A'!$A$3,'計算A'!$A$4=0))),0,IF(3=$K19,200000,ABS(3-$K19)*100)),100000+ABS(5-$J19)*1000+30)+'計算A'!CX$5*50+IF(AND($E19=1,MK19=0),25,0),INDEX('計算A'!CX$110:CX$114,$F19+1)+IF(AND($E19=1,MK19=0),1000,0)+IF($H19=1,(IF('計算A'!CW$117=1,INDEX('計算A'!CW$10:CW$54,$B19),0)+IF('計算A'!CX$117=1,INDEX('計算A'!CY$10:CY$54,$B19),0))*500,0)-IF(AND('計算A'!CW$117=1,XU19&gt;0),300,0)-IF(AND($L19=1,'計算A'!CX$117=1,GW19=0),300,0))),1000000))</f>
        <v/>
      </c>
      <c r="SA19">
        <f>IF($B19=0,1000000,IF(INDEX('計算A'!$D$60:$EQ$104,$B19,100)*GW19=1,IF(AND($E19=2,ML19=0),1000000,IF($I19&gt;0,IF(5=$J19,IF(OR(AND(100=$I19+1,OR($K19&lt;&gt;'計算A'!$A$3,'計算A'!$A$4=0)),AND(100=$I19-1,OR(4&lt;&gt;'計算A'!$A$3,'計算A'!$A$4=0))),0,IF(4=$K19,200000,ABS(4-$K19)*100)),100000+ABS(5-$J19)*1000+40)+'計算A'!CY$5*50+IF(AND($E19=1,ML19=0),25,0),INDEX('計算A'!CY$110:CY$114,$F19+1)+IF(AND($E19=1,ML19=0),1000,0)+IF($H19=1,(IF('計算A'!CX$117=1,INDEX('計算A'!CX$10:CX$54,$B19),0)+IF('計算A'!CY$117=1,INDEX('計算A'!CZ$10:CZ$54,$B19),0))*500,0)-IF(AND('計算A'!CX$117=1,XV19&gt;0),300,0)-IF(AND($L19=1,'計算A'!CY$117=1,GX19=0),300,0))),1000000))</f>
        <v/>
      </c>
      <c r="SB19">
        <f>IF($B19=0,1000000,IF(INDEX('計算A'!$D$60:$EQ$104,$B19,101)*GX19=1,IF(AND($E19=2,MM19=0),1000000,IF($I19&gt;0,IF(5=$J19,IF(OR(AND(101=$I19+1,OR($K19&lt;&gt;'計算A'!$A$3,'計算A'!$A$4=0)),AND(101=$I19-1,OR(5&lt;&gt;'計算A'!$A$3,'計算A'!$A$4=0))),0,IF(5=$K19,200000,ABS(5-$K19)*100)),100000+ABS(5-$J19)*1000+50)+'計算A'!CZ$5*50+IF(AND($E19=1,MM19=0),25,0),INDEX('計算A'!CZ$110:CZ$114,$F19+1)+IF(AND($E19=1,MM19=0),1000,0)+IF($H19=1,(IF('計算A'!CY$117=1,INDEX('計算A'!CY$10:CY$54,$B19),0)+IF('計算A'!CZ$117=1,INDEX('計算A'!DA$10:DA$54,$B19),0))*500,0)-IF(AND('計算A'!CY$117=1,XW19&gt;0),300,0)-IF(AND($L19=1,'計算A'!CZ$117=1,GY19=0),300,0))),1000000))</f>
        <v/>
      </c>
      <c r="SC19">
        <f>IF($B19=0,1000000,IF(INDEX('計算A'!$D$60:$EQ$104,$B19,102)*GY19=1,IF(AND($E19=2,MN19=0),1000000,IF($I19&gt;0,IF(5=$J19,IF(OR(AND(102=$I19+1,OR($K19&lt;&gt;'計算A'!$A$3,'計算A'!$A$4=0)),AND(102=$I19-1,OR(6&lt;&gt;'計算A'!$A$3,'計算A'!$A$4=0))),0,IF(6=$K19,200000,ABS(6-$K19)*100)),100000+ABS(5-$J19)*1000+60)+'計算A'!DA$5*50+IF(AND($E19=1,MN19=0),25,0),INDEX('計算A'!DA$110:DA$114,$F19+1)+IF(AND($E19=1,MN19=0),1000,0)+IF($H19=1,(IF('計算A'!CZ$117=1,INDEX('計算A'!CZ$10:CZ$54,$B19),0)+IF('計算A'!DA$117=1,INDEX('計算A'!DB$10:DB$54,$B19),0))*500,0)-IF(AND('計算A'!CZ$117=1,XX19&gt;0),300,0)-IF(AND($L19=1,'計算A'!DA$117=1,GZ19=0),300,0))),1000000))</f>
        <v/>
      </c>
      <c r="SD19">
        <f>IF($B19=0,1000000,IF(INDEX('計算A'!$D$60:$EQ$104,$B19,103)*GZ19=1,IF(AND($E19=2,MO19=0),1000000,IF($I19&gt;0,IF(5=$J19,IF(OR(AND(103=$I19+1,OR($K19&lt;&gt;'計算A'!$A$3,'計算A'!$A$4=0)),AND(103=$I19-1,OR(7&lt;&gt;'計算A'!$A$3,'計算A'!$A$4=0))),0,IF(7=$K19,200000,ABS(7-$K19)*100)),100000+ABS(5-$J19)*1000+70)+'計算A'!DB$5*50+IF(AND($E19=1,MO19=0),25,0),INDEX('計算A'!DB$110:DB$114,$F19+1)+IF(AND($E19=1,MO19=0),1000,0)+IF($H19=1,(IF('計算A'!DA$117=1,INDEX('計算A'!DA$10:DA$54,$B19),0)+IF('計算A'!DB$117=1,INDEX('計算A'!DC$10:DC$54,$B19),0))*500,0)-IF(AND('計算A'!DA$117=1,XY19&gt;0),300,0)-IF(AND($L19=1,'計算A'!DB$117=1,HA19=0),300,0))),1000000))</f>
        <v/>
      </c>
      <c r="SE19">
        <f>IF($B19=0,1000000,IF(INDEX('計算A'!$D$60:$EQ$104,$B19,104)*HA19=1,IF(AND($E19=2,MP19=0),1000000,IF($I19&gt;0,IF(5=$J19,IF(OR(AND(104=$I19+1,OR($K19&lt;&gt;'計算A'!$A$3,'計算A'!$A$4=0)),AND(104=$I19-1,OR(8&lt;&gt;'計算A'!$A$3,'計算A'!$A$4=0))),0,IF(8=$K19,200000,ABS(8-$K19)*100)),100000+ABS(5-$J19)*1000+80)+'計算A'!DC$5*50+IF(AND($E19=1,MP19=0),25,0),INDEX('計算A'!DC$110:DC$114,$F19+1)+IF(AND($E19=1,MP19=0),1000,0)+IF($H19=1,(IF('計算A'!DB$117=1,INDEX('計算A'!DB$10:DB$54,$B19),0)+IF('計算A'!DC$117=1,INDEX('計算A'!DD$10:DD$54,$B19),0))*500,0)-IF(AND('計算A'!DB$117=1,XZ19&gt;0),300,0)-IF(AND($L19=1,'計算A'!DC$117=1,HB19=0),300,0))),1000000))</f>
        <v/>
      </c>
      <c r="SF19">
        <f>IF($B19=0,1000000,IF(INDEX('計算A'!$D$60:$EQ$104,$B19,105)*HB19=1,IF(AND($E19=2,MQ19=0),1000000,IF($I19&gt;0,IF(5=$J19,IF(OR(AND(105=$I19+1,OR($K19&lt;&gt;'計算A'!$A$3,'計算A'!$A$4=0)),AND(105=$I19-1,OR(9&lt;&gt;'計算A'!$A$3,'計算A'!$A$4=0))),0,IF(9=$K19,200000,ABS(9-$K19)*100)),100000+ABS(5-$J19)*1000+90)+'計算A'!DD$5*50+IF(AND($E19=1,MQ19=0),25,0),INDEX('計算A'!DD$110:DD$114,$F19+1)+IF(AND($E19=1,MQ19=0),1000,0)+IF($H19=1,(IF('計算A'!DC$117=1,INDEX('計算A'!DC$10:DC$54,$B19),0)+IF('計算A'!DD$117=1,INDEX('計算A'!DE$10:DE$54,$B19),0))*500,0)-IF(AND('計算A'!DC$117=1,YA19&gt;0),300,0)-IF(AND($L19=1,'計算A'!DD$117=1,HC19=0),300,0))),1000000))</f>
        <v/>
      </c>
      <c r="SG19">
        <f>IF($B19=0,1000000,IF(INDEX('計算A'!$D$60:$EQ$104,$B19,106)*HC19=1,IF(AND($E19=2,MR19=0),1000000,IF($I19&gt;0,IF(5=$J19,IF(OR(AND(106=$I19+1,OR($K19&lt;&gt;'計算A'!$A$3,'計算A'!$A$4=0)),AND(106=$I19-1,OR(10&lt;&gt;'計算A'!$A$3,'計算A'!$A$4=0))),0,IF(10=$K19,200000,ABS(10-$K19)*100)),100000+ABS(5-$J19)*1000+100)+'計算A'!DE$5*50+IF(AND($E19=1,MR19=0),25,0),INDEX('計算A'!DE$110:DE$114,$F19+1)+IF(AND($E19=1,MR19=0),1000,0)+IF($H19=1,(IF('計算A'!DD$117=1,INDEX('計算A'!DD$10:DD$54,$B19),0)+IF('計算A'!DE$117=1,INDEX('計算A'!DF$10:DF$54,$B19),0))*500,0)-IF(AND('計算A'!DD$117=1,YB19&gt;0),300,0)-IF(AND($L19=1,'計算A'!DE$117=1,HD19=0),300,0))),1000000))</f>
        <v/>
      </c>
      <c r="SH19">
        <f>IF($B19=0,1000000,IF(INDEX('計算A'!$D$60:$EQ$104,$B19,107)*HD19=1,IF(AND($E19=2,MS19=0),1000000,IF($I19&gt;0,IF(5=$J19,IF(OR(AND(107=$I19+1,OR($K19&lt;&gt;'計算A'!$A$3,'計算A'!$A$4=0)),AND(107=$I19-1,OR(11&lt;&gt;'計算A'!$A$3,'計算A'!$A$4=0))),0,IF(11=$K19,200000,ABS(11-$K19)*100)),100000+ABS(5-$J19)*1000+110)+'計算A'!DF$5*50+IF(AND($E19=1,MS19=0),25,0),INDEX('計算A'!DF$110:DF$114,$F19+1)+IF(AND($E19=1,MS19=0),1000,0)+IF($H19=1,(IF('計算A'!DE$117=1,INDEX('計算A'!DE$10:DE$54,$B19),0)+IF('計算A'!DF$117=1,INDEX('計算A'!DG$10:DG$54,$B19),0))*500,0)-IF(AND('計算A'!DE$117=1,YC19&gt;0),300,0)-IF(AND($L19=1,'計算A'!DF$117=1,HE19=0),300,0))),1000000))</f>
        <v/>
      </c>
      <c r="SI19">
        <f>IF($B19=0,1000000,IF(INDEX('計算A'!$D$60:$EQ$104,$B19,108)*HE19=1,IF(AND($E19=2,MT19=0),1000000,IF($I19&gt;0,IF(5=$J19,IF(OR(AND(108=$I19+1,OR($K19&lt;&gt;'計算A'!$A$3,'計算A'!$A$4=0)),AND(108=$I19-1,OR(12&lt;&gt;'計算A'!$A$3,'計算A'!$A$4=0))),0,IF(12=$K19,200000,ABS(12-$K19)*100)),100000+ABS(5-$J19)*1000+120)+'計算A'!DG$5*50+IF(AND($E19=1,MT19=0),25,0),INDEX('計算A'!DG$110:DG$114,$F19+1)+IF(AND($E19=1,MT19=0),1000,0)+IF($H19=1,(IF('計算A'!DF$117=1,INDEX('計算A'!DF$10:DF$54,$B19),0)+IF('計算A'!DG$117=1,INDEX('計算A'!DH$10:DH$54,$B19),0))*500,0)-IF(AND('計算A'!DF$117=1,YD19&gt;0),300,0)-IF(AND($L19=1,'計算A'!DG$117=1,HF19=0),300,0))),1000000))</f>
        <v/>
      </c>
      <c r="SJ19">
        <f>IF($B19=0,1000000,IF(INDEX('計算A'!$D$60:$EQ$104,$B19,109)*HF19=1,IF(AND($E19=2,MU19=0),1000000,IF($I19&gt;0,IF(5=$J19,IF(OR(AND(109=$I19+1,OR($K19&lt;&gt;'計算A'!$A$3,'計算A'!$A$4=0)),AND(109=$I19-1,OR(13&lt;&gt;'計算A'!$A$3,'計算A'!$A$4=0))),0,IF(13=$K19,200000,ABS(13-$K19)*100)),100000+ABS(5-$J19)*1000+130)+'計算A'!DH$5*50+IF(AND($E19=1,MU19=0),25,0),INDEX('計算A'!DH$110:DH$114,$F19+1)+IF(AND($E19=1,MU19=0),1000,0)+IF($H19=1,(IF('計算A'!DG$117=1,INDEX('計算A'!DG$10:DG$54,$B19),0)+IF('計算A'!DH$117=1,INDEX('計算A'!DI$10:DI$54,$B19),0))*500,0)-IF(AND('計算A'!DG$117=1,YE19&gt;0),300,0)-IF(AND($L19=1,'計算A'!DH$117=1,HG19=0),300,0))),1000000))</f>
        <v/>
      </c>
      <c r="SK19">
        <f>IF($B19=0,1000000,IF(INDEX('計算A'!$D$60:$EQ$104,$B19,110)*HG19=1,IF(AND($E19=2,MV19=0),1000000,IF($I19&gt;0,IF(5=$J19,IF(OR(AND(110=$I19+1,OR($K19&lt;&gt;'計算A'!$A$3,'計算A'!$A$4=0)),AND(110=$I19-1,OR(14&lt;&gt;'計算A'!$A$3,'計算A'!$A$4=0))),0,IF(14=$K19,200000,ABS(14-$K19)*100)),100000+ABS(5-$J19)*1000+140)+'計算A'!DI$5*50+IF(AND($E19=1,MV19=0),25,0),INDEX('計算A'!DI$110:DI$114,$F19+1)+IF(AND($E19=1,MV19=0),1000,0)+IF($H19=1,(IF('計算A'!DH$117=1,INDEX('計算A'!DH$10:DH$54,$B19),0)+IF('計算A'!DI$117=1,INDEX('計算A'!DJ$10:DJ$54,$B19),0))*500,0)-IF(AND('計算A'!DH$117=1,YF19&gt;0),300,0)-IF(AND($L19=1,'計算A'!DI$117=1,HH19=0),300,0))),1000000))</f>
        <v/>
      </c>
      <c r="SL19">
        <f>IF($B19=0,1000000,IF(INDEX('計算A'!$D$60:$EQ$104,$B19,111)*HH19=1,IF(AND($E19=2,MW19=0),1000000,IF($I19&gt;0,IF(5=$J19,IF(OR(AND(111=$I19+1,OR($K19&lt;&gt;'計算A'!$A$3,'計算A'!$A$4=0)),AND(111=$I19-1,OR(15&lt;&gt;'計算A'!$A$3,'計算A'!$A$4=0))),0,IF(15=$K19,200000,ABS(15-$K19)*100)),100000+ABS(5-$J19)*1000+150)+'計算A'!DJ$5*50+IF(AND($E19=1,MW19=0),25,0),INDEX('計算A'!DJ$110:DJ$114,$F19+1)+IF(AND($E19=1,MW19=0),1000,0)+IF($H19=1,(IF('計算A'!DI$117=1,INDEX('計算A'!DI$10:DI$54,$B19),0)+IF('計算A'!DJ$117=1,INDEX('計算A'!DK$10:DK$54,$B19),0))*500,0)-IF(AND('計算A'!DI$117=1,YG19&gt;0),300,0)-IF(AND($L19=1,'計算A'!DJ$117=1,HI19=0),300,0))),1000000))</f>
        <v/>
      </c>
      <c r="SM19">
        <f>IF($B19=0,1000000,IF(INDEX('計算A'!$D$60:$EQ$104,$B19,112)*HI19=1,IF(AND($E19=2,MX19=0),1000000,IF($I19&gt;0,IF(5=$J19,IF(OR(AND(112=$I19+1,OR($K19&lt;&gt;'計算A'!$A$3,'計算A'!$A$4=0)),AND(112=$I19-1,OR(16&lt;&gt;'計算A'!$A$3,'計算A'!$A$4=0))),0,IF(16=$K19,200000,ABS(16-$K19)*100)),100000+ABS(5-$J19)*1000+160)+'計算A'!DK$5*50+IF(AND($E19=1,MX19=0),25,0),INDEX('計算A'!DK$110:DK$114,$F19+1)+IF(AND($E19=1,MX19=0),1000,0)+IF($H19=1,(IF('計算A'!DJ$117=1,INDEX('計算A'!DJ$10:DJ$54,$B19),0)+IF('計算A'!DK$117=1,INDEX('計算A'!DL$10:DL$54,$B19),0))*500,0)-IF(AND('計算A'!DJ$117=1,YH19&gt;0),300,0)-IF(AND($L19=1,'計算A'!DK$117=1,HJ19=0),300,0))),1000000))</f>
        <v/>
      </c>
      <c r="SN19">
        <f>IF($B19=0,1000000,IF(INDEX('計算A'!$D$60:$EQ$104,$B19,113)*HJ19=1,IF(AND($E19=2,MY19=0),1000000,IF($I19&gt;0,IF(5=$J19,IF(OR(AND(113=$I19+1,OR($K19&lt;&gt;'計算A'!$A$3,'計算A'!$A$4=0)),AND(113=$I19-1,OR(17&lt;&gt;'計算A'!$A$3,'計算A'!$A$4=0))),0,IF(17=$K19,200000,ABS(17-$K19)*100)),100000+ABS(5-$J19)*1000+170)+'計算A'!DL$5*50+IF(AND($E19=1,MY19=0),25,0),INDEX('計算A'!DL$110:DL$114,$F19+1)+IF(AND($E19=1,MY19=0),1000,0)+IF($H19=1,(IF('計算A'!DK$117=1,INDEX('計算A'!DK$10:DK$54,$B19),0)+IF('計算A'!DL$117=1,INDEX('計算A'!DM$10:DM$54,$B19),0))*500,0)-IF(AND('計算A'!DK$117=1,YI19&gt;0),300,0)-IF(AND($L19=1,'計算A'!DL$117=1,HK19=0),300,0))),1000000))</f>
        <v/>
      </c>
      <c r="SO19">
        <f>IF($B19=0,1000000,IF(INDEX('計算A'!$D$60:$EQ$104,$B19,114)*HK19=1,IF(AND($E19=2,MZ19=0),1000000,IF($I19&gt;0,IF(5=$J19,IF(OR(AND(114=$I19+1,OR($K19&lt;&gt;'計算A'!$A$3,'計算A'!$A$4=0)),AND(114=$I19-1,OR(18&lt;&gt;'計算A'!$A$3,'計算A'!$A$4=0))),0,IF(18=$K19,200000,ABS(18-$K19)*100)),100000+ABS(5-$J19)*1000+180)+'計算A'!DM$5*50+IF(AND($E19=1,MZ19=0),25,0),INDEX('計算A'!DM$110:DM$114,$F19+1)+IF(AND($E19=1,MZ19=0),1000,0)+IF($H19=1,(IF('計算A'!DL$117=1,INDEX('計算A'!DL$10:DL$54,$B19),0)+IF('計算A'!DM$117=1,INDEX('計算A'!DN$10:DN$54,$B19),0))*500,0)-IF(AND('計算A'!DL$117=1,YJ19&gt;0),300,0)-IF(AND($L19=1,'計算A'!DM$117=1,HL19=0),300,0))),1000000))</f>
        <v/>
      </c>
      <c r="SP19">
        <f>IF($B19=0,1000000,IF(INDEX('計算A'!$D$60:$EQ$104,$B19,115)*HL19=1,IF(AND($E19=2,NA19=0),1000000,IF($I19&gt;0,IF(5=$J19,IF(OR(AND(115=$I19+1,OR($K19&lt;&gt;'計算A'!$A$3,'計算A'!$A$4=0)),AND(115=$I19-1,OR(19&lt;&gt;'計算A'!$A$3,'計算A'!$A$4=0))),0,IF(19=$K19,200000,ABS(19-$K19)*100)),100000+ABS(5-$J19)*1000+190)+'計算A'!DN$5*50+IF(AND($E19=1,NA19=0),25,0),INDEX('計算A'!DN$110:DN$114,$F19+1)+IF(AND($E19=1,NA19=0),1000,0)+IF($H19=1,(IF('計算A'!DM$117=1,INDEX('計算A'!DM$10:DM$54,$B19),0)+IF('計算A'!DN$117=1,INDEX('計算A'!DO$10:DO$54,$B19),0))*500,0)-IF(AND('計算A'!DM$117=1,YK19&gt;0),300,0)-IF(AND($L19=1,'計算A'!DN$117=1,HM19=0),300,0))),1000000))</f>
        <v/>
      </c>
      <c r="SQ19">
        <f>IF($B19=0,1000000,IF(INDEX('計算A'!$D$60:$EQ$104,$B19,116)*HM19=1,IF(AND($E19=2,NB19=0),1000000,IF($I19&gt;0,IF(5=$J19,IF(OR(AND(116=$I19+1,OR($K19&lt;&gt;'計算A'!$A$3,'計算A'!$A$4=0)),AND(116=$I19-1,OR(20&lt;&gt;'計算A'!$A$3,'計算A'!$A$4=0))),0,IF(20=$K19,200000,ABS(20-$K19)*100)),100000+ABS(5-$J19)*1000+200)+'計算A'!DO$5*50+IF(AND($E19=1,NB19=0),25,0),INDEX('計算A'!DO$110:DO$114,$F19+1)+IF(AND($E19=1,NB19=0),1000,0)+IF($H19=1,(IF('計算A'!DN$117=1,INDEX('計算A'!DN$10:DN$54,$B19),0)+IF('計算A'!DO$117=1,INDEX('計算A'!DP$10:DP$54,$B19),0))*500,0)-IF(AND('計算A'!DN$117=1,YL19&gt;0),300,0)-IF(AND($L19=1,'計算A'!DO$117=1,HN19=0),300,0))),1000000))</f>
        <v/>
      </c>
      <c r="SR19">
        <f>IF($B19=0,1000000,IF(INDEX('計算A'!$D$60:$EQ$104,$B19,117)*HN19=1,IF(AND($E19=2,NC19=0),1000000,IF($I19&gt;0,IF(5=$J19,IF(OR(AND(117=$I19+1,OR($K19&lt;&gt;'計算A'!$A$3,'計算A'!$A$4=0)),AND(117=$I19-1,OR(21&lt;&gt;'計算A'!$A$3,'計算A'!$A$4=0))),0,IF(21=$K19,200000,ABS(21-$K19)*100)),100000+ABS(5-$J19)*1000+210)+'計算A'!DP$5*50+IF(AND($E19=1,NC19=0),25,0),INDEX('計算A'!DP$110:DP$114,$F19+1)+IF(AND($E19=1,NC19=0),1000,0)+IF($H19=1,(IF('計算A'!DO$117=1,INDEX('計算A'!DO$10:DO$54,$B19),0)+IF('計算A'!DP$117=1,INDEX('計算A'!DQ$10:DQ$54,$B19),0))*500,0)-IF(AND('計算A'!DO$117=1,YM19&gt;0),300,0)-IF(AND($L19=1,'計算A'!DP$117=1,HO19=0),300,0))),1000000))</f>
        <v/>
      </c>
      <c r="SS19">
        <f>IF($B19=0,1000000,IF(INDEX('計算A'!$D$60:$EQ$104,$B19,118)*HO19=1,IF(AND($E19=2,ND19=0),1000000,IF($I19&gt;0,IF(5=$J19,IF(OR(AND(118=$I19+1,OR($K19&lt;&gt;'計算A'!$A$3,'計算A'!$A$4=0)),AND(118=$I19-1,OR(22&lt;&gt;'計算A'!$A$3,'計算A'!$A$4=0))),0,IF(22=$K19,200000,ABS(22-$K19)*100)),100000+ABS(5-$J19)*1000+220)+'計算A'!DQ$5*50+IF(AND($E19=1,ND19=0),25,0),INDEX('計算A'!DQ$110:DQ$114,$F19+1)+IF(AND($E19=1,ND19=0),1000,0)+IF($H19=1,(IF('計算A'!DP$117=1,INDEX('計算A'!DP$10:DP$54,$B19),0)+IF('計算A'!DQ$117=1,INDEX('計算A'!DR$10:DR$54,$B19),0))*500,0)-IF(AND('計算A'!DP$117=1,YN19&gt;0),300,0)-IF(AND($L19=1,'計算A'!DQ$117=1,HP19=0),300,0))),1000000))</f>
        <v/>
      </c>
      <c r="ST19">
        <f>IF($B19=0,1000000,IF(INDEX('計算A'!$D$60:$EQ$104,$B19,119)*HP19=1,IF(AND($E19=2,NE19=0),1000000,IF($I19&gt;0,IF(5=$J19,IF(OR(AND(119=$I19+1,OR($K19&lt;&gt;'計算A'!$A$3,'計算A'!$A$4=0)),AND(119=$I19-1,OR(23&lt;&gt;'計算A'!$A$3,'計算A'!$A$4=0))),0,IF(23=$K19,200000,ABS(23-$K19)*100)),100000+ABS(5-$J19)*1000+230)+'計算A'!DR$5*50+IF(AND($E19=1,NE19=0),25,0),INDEX('計算A'!DR$110:DR$114,$F19+1)+IF(AND($E19=1,NE19=0),1000,0)+IF($H19=1,(IF('計算A'!DQ$117=1,INDEX('計算A'!DQ$10:DQ$54,$B19),0)+IF('計算A'!DR$117=1,INDEX('計算A'!DS$10:DS$54,$B19),0))*500,0)-IF(AND('計算A'!DQ$117=1,YO19&gt;0),300,0)-IF(AND($L19=1,'計算A'!DR$117=1,HQ19=0),300,0))),1000000))</f>
        <v/>
      </c>
      <c r="SU19">
        <f>IF($B19=0,1000000,IF(INDEX('計算A'!$D$60:$EQ$104,$B19,120)*HQ19=1,IF(AND($E19=2,NF19=0),1000000,IF($I19&gt;0,IF(5=$J19,IF(OR(AND(120=$I19+1,OR($K19&lt;&gt;'計算A'!$A$3,'計算A'!$A$4=0)),AND(120=$I19-1,OR(24&lt;&gt;'計算A'!$A$3,'計算A'!$A$4=0))),0,IF(24=$K19,200000,ABS(24-$K19)*100)),100000+ABS(5-$J19)*1000+240)+'計算A'!DS$5*50+IF(AND($E19=1,NF19=0),25,0),INDEX('計算A'!DS$110:DS$114,$F19+1)+IF(AND($E19=1,NF19=0),1000,0)+IF($H19=1,(IF('計算A'!DR$117=1,INDEX('計算A'!DR$10:DR$54,$B19),0))*500,0)-IF(AND('計算A'!DR$117=1,YP19&gt;0),300,0))),1000000))</f>
        <v/>
      </c>
      <c r="SV19">
        <f>IF($B19=0,1000000,IF(INDEX('計算A'!$D$60:$EQ$104,$B19,121)*HR19=1,IF(AND($E19=2,NG19=0),1000000,IF($I19&gt;0,IF(6=$J19,IF(OR(AND(121=$I19+1,OR($K19&lt;&gt;'計算A'!$A$3,'計算A'!$A$4=0)),AND(121=$I19-1,OR(1&lt;&gt;'計算A'!$A$3,'計算A'!$A$4=0))),0,IF(1=$K19,200000,ABS(1-$K19)*100)),100000+ABS(6-$J19)*1000+10)+'計算A'!DT$5*50+IF(AND($E19=1,NG19=0),25,0),INDEX('計算A'!DT$110:DT$114,$F19+1)+IF(AND($E19=1,NG19=0),1000,0)+IF($H19=1,(IF('計算A'!DT$117=1,INDEX('計算A'!DU$10:DU$54,$B19),0))*500,0)-IF(AND($L19=1,'計算A'!DT$117=1,HS19=0),300,0))),1000000))</f>
        <v/>
      </c>
      <c r="SW19">
        <f>IF($B19=0,1000000,IF(INDEX('計算A'!$D$60:$EQ$104,$B19,122)*HS19=1,IF(AND($E19=2,NH19=0),1000000,IF($I19&gt;0,IF(6=$J19,IF(OR(AND(122=$I19+1,OR($K19&lt;&gt;'計算A'!$A$3,'計算A'!$A$4=0)),AND(122=$I19-1,OR(2&lt;&gt;'計算A'!$A$3,'計算A'!$A$4=0))),0,IF(2=$K19,200000,ABS(2-$K19)*100)),100000+ABS(6-$J19)*1000+20)+'計算A'!DU$5*50+IF(AND($E19=1,NH19=0),25,0),INDEX('計算A'!DU$110:DU$114,$F19+1)+IF(AND($E19=1,NH19=0),1000,0)+IF($H19=1,(IF('計算A'!DT$117=1,INDEX('計算A'!DT$10:DT$54,$B19),0)+IF('計算A'!DU$117=1,INDEX('計算A'!DV$10:DV$54,$B19),0))*500,0)-IF(AND('計算A'!DT$117=1,YR19&gt;0),300,0)-IF(AND($L19=1,'計算A'!DU$117=1,HT19=0),300,0))),1000000))</f>
        <v/>
      </c>
      <c r="SX19">
        <f>IF($B19=0,1000000,IF(INDEX('計算A'!$D$60:$EQ$104,$B19,123)*HT19=1,IF(AND($E19=2,NI19=0),1000000,IF($I19&gt;0,IF(6=$J19,IF(OR(AND(123=$I19+1,OR($K19&lt;&gt;'計算A'!$A$3,'計算A'!$A$4=0)),AND(123=$I19-1,OR(3&lt;&gt;'計算A'!$A$3,'計算A'!$A$4=0))),0,IF(3=$K19,200000,ABS(3-$K19)*100)),100000+ABS(6-$J19)*1000+30)+'計算A'!DV$5*50+IF(AND($E19=1,NI19=0),25,0),INDEX('計算A'!DV$110:DV$114,$F19+1)+IF(AND($E19=1,NI19=0),1000,0)+IF($H19=1,(IF('計算A'!DU$117=1,INDEX('計算A'!DU$10:DU$54,$B19),0)+IF('計算A'!DV$117=1,INDEX('計算A'!DW$10:DW$54,$B19),0))*500,0)-IF(AND('計算A'!DU$117=1,YS19&gt;0),300,0)-IF(AND($L19=1,'計算A'!DV$117=1,HU19=0),300,0))),1000000))</f>
        <v/>
      </c>
      <c r="SY19">
        <f>IF($B19=0,1000000,IF(INDEX('計算A'!$D$60:$EQ$104,$B19,124)*HU19=1,IF(AND($E19=2,NJ19=0),1000000,IF($I19&gt;0,IF(6=$J19,IF(OR(AND(124=$I19+1,OR($K19&lt;&gt;'計算A'!$A$3,'計算A'!$A$4=0)),AND(124=$I19-1,OR(4&lt;&gt;'計算A'!$A$3,'計算A'!$A$4=0))),0,IF(4=$K19,200000,ABS(4-$K19)*100)),100000+ABS(6-$J19)*1000+40)+'計算A'!DW$5*50+IF(AND($E19=1,NJ19=0),25,0),INDEX('計算A'!DW$110:DW$114,$F19+1)+IF(AND($E19=1,NJ19=0),1000,0)+IF($H19=1,(IF('計算A'!DV$117=1,INDEX('計算A'!DV$10:DV$54,$B19),0)+IF('計算A'!DW$117=1,INDEX('計算A'!DX$10:DX$54,$B19),0))*500,0)-IF(AND('計算A'!DV$117=1,YT19&gt;0),300,0)-IF(AND($L19=1,'計算A'!DW$117=1,HV19=0),300,0))),1000000))</f>
        <v/>
      </c>
      <c r="SZ19">
        <f>IF($B19=0,1000000,IF(INDEX('計算A'!$D$60:$EQ$104,$B19,125)*HV19=1,IF(AND($E19=2,NK19=0),1000000,IF($I19&gt;0,IF(6=$J19,IF(OR(AND(125=$I19+1,OR($K19&lt;&gt;'計算A'!$A$3,'計算A'!$A$4=0)),AND(125=$I19-1,OR(5&lt;&gt;'計算A'!$A$3,'計算A'!$A$4=0))),0,IF(5=$K19,200000,ABS(5-$K19)*100)),100000+ABS(6-$J19)*1000+50)+'計算A'!DX$5*50+IF(AND($E19=1,NK19=0),25,0),INDEX('計算A'!DX$110:DX$114,$F19+1)+IF(AND($E19=1,NK19=0),1000,0)+IF($H19=1,(IF('計算A'!DW$117=1,INDEX('計算A'!DW$10:DW$54,$B19),0)+IF('計算A'!DX$117=1,INDEX('計算A'!DY$10:DY$54,$B19),0))*500,0)-IF(AND('計算A'!DW$117=1,YU19&gt;0),300,0)-IF(AND($L19=1,'計算A'!DX$117=1,HW19=0),300,0))),1000000))</f>
        <v/>
      </c>
      <c r="TA19">
        <f>IF($B19=0,1000000,IF(INDEX('計算A'!$D$60:$EQ$104,$B19,126)*HW19=1,IF(AND($E19=2,NL19=0),1000000,IF($I19&gt;0,IF(6=$J19,IF(OR(AND(126=$I19+1,OR($K19&lt;&gt;'計算A'!$A$3,'計算A'!$A$4=0)),AND(126=$I19-1,OR(6&lt;&gt;'計算A'!$A$3,'計算A'!$A$4=0))),0,IF(6=$K19,200000,ABS(6-$K19)*100)),100000+ABS(6-$J19)*1000+60)+'計算A'!DY$5*50+IF(AND($E19=1,NL19=0),25,0),INDEX('計算A'!DY$110:DY$114,$F19+1)+IF(AND($E19=1,NL19=0),1000,0)+IF($H19=1,(IF('計算A'!DX$117=1,INDEX('計算A'!DX$10:DX$54,$B19),0)+IF('計算A'!DY$117=1,INDEX('計算A'!DZ$10:DZ$54,$B19),0))*500,0)-IF(AND('計算A'!DX$117=1,YV19&gt;0),300,0)-IF(AND($L19=1,'計算A'!DY$117=1,HX19=0),300,0))),1000000))</f>
        <v/>
      </c>
      <c r="TB19">
        <f>IF($B19=0,1000000,IF(INDEX('計算A'!$D$60:$EQ$104,$B19,127)*HX19=1,IF(AND($E19=2,NM19=0),1000000,IF($I19&gt;0,IF(6=$J19,IF(OR(AND(127=$I19+1,OR($K19&lt;&gt;'計算A'!$A$3,'計算A'!$A$4=0)),AND(127=$I19-1,OR(7&lt;&gt;'計算A'!$A$3,'計算A'!$A$4=0))),0,IF(7=$K19,200000,ABS(7-$K19)*100)),100000+ABS(6-$J19)*1000+70)+'計算A'!DZ$5*50+IF(AND($E19=1,NM19=0),25,0),INDEX('計算A'!DZ$110:DZ$114,$F19+1)+IF(AND($E19=1,NM19=0),1000,0)+IF($H19=1,(IF('計算A'!DY$117=1,INDEX('計算A'!DY$10:DY$54,$B19),0)+IF('計算A'!DZ$117=1,INDEX('計算A'!EA$10:EA$54,$B19),0))*500,0)-IF(AND('計算A'!DY$117=1,YW19&gt;0),300,0)-IF(AND($L19=1,'計算A'!DZ$117=1,HY19=0),300,0))),1000000))</f>
        <v/>
      </c>
      <c r="TC19">
        <f>IF($B19=0,1000000,IF(INDEX('計算A'!$D$60:$EQ$104,$B19,128)*HY19=1,IF(AND($E19=2,NN19=0),1000000,IF($I19&gt;0,IF(6=$J19,IF(OR(AND(128=$I19+1,OR($K19&lt;&gt;'計算A'!$A$3,'計算A'!$A$4=0)),AND(128=$I19-1,OR(8&lt;&gt;'計算A'!$A$3,'計算A'!$A$4=0))),0,IF(8=$K19,200000,ABS(8-$K19)*100)),100000+ABS(6-$J19)*1000+80)+'計算A'!EA$5*50+IF(AND($E19=1,NN19=0),25,0),INDEX('計算A'!EA$110:EA$114,$F19+1)+IF(AND($E19=1,NN19=0),1000,0)+IF($H19=1,(IF('計算A'!DZ$117=1,INDEX('計算A'!DZ$10:DZ$54,$B19),0)+IF('計算A'!EA$117=1,INDEX('計算A'!EB$10:EB$54,$B19),0))*500,0)-IF(AND('計算A'!DZ$117=1,YX19&gt;0),300,0)-IF(AND($L19=1,'計算A'!EA$117=1,HZ19=0),300,0))),1000000))</f>
        <v/>
      </c>
      <c r="TD19">
        <f>IF($B19=0,1000000,IF(INDEX('計算A'!$D$60:$EQ$104,$B19,129)*HZ19=1,IF(AND($E19=2,NO19=0),1000000,IF($I19&gt;0,IF(6=$J19,IF(OR(AND(129=$I19+1,OR($K19&lt;&gt;'計算A'!$A$3,'計算A'!$A$4=0)),AND(129=$I19-1,OR(9&lt;&gt;'計算A'!$A$3,'計算A'!$A$4=0))),0,IF(9=$K19,200000,ABS(9-$K19)*100)),100000+ABS(6-$J19)*1000+90)+'計算A'!EB$5*50+IF(AND($E19=1,NO19=0),25,0),INDEX('計算A'!EB$110:EB$114,$F19+1)+IF(AND($E19=1,NO19=0),1000,0)+IF($H19=1,(IF('計算A'!EA$117=1,INDEX('計算A'!EA$10:EA$54,$B19),0)+IF('計算A'!EB$117=1,INDEX('計算A'!EC$10:EC$54,$B19),0))*500,0)-IF(AND('計算A'!EA$117=1,YY19&gt;0),300,0)-IF(AND($L19=1,'計算A'!EB$117=1,IA19=0),300,0))),1000000))</f>
        <v/>
      </c>
      <c r="TE19">
        <f>IF($B19=0,1000000,IF(INDEX('計算A'!$D$60:$EQ$104,$B19,130)*IA19=1,IF(AND($E19=2,NP19=0),1000000,IF($I19&gt;0,IF(6=$J19,IF(OR(AND(130=$I19+1,OR($K19&lt;&gt;'計算A'!$A$3,'計算A'!$A$4=0)),AND(130=$I19-1,OR(10&lt;&gt;'計算A'!$A$3,'計算A'!$A$4=0))),0,IF(10=$K19,200000,ABS(10-$K19)*100)),100000+ABS(6-$J19)*1000+100)+'計算A'!EC$5*50+IF(AND($E19=1,NP19=0),25,0),INDEX('計算A'!EC$110:EC$114,$F19+1)+IF(AND($E19=1,NP19=0),1000,0)+IF($H19=1,(IF('計算A'!EB$117=1,INDEX('計算A'!EB$10:EB$54,$B19),0)+IF('計算A'!EC$117=1,INDEX('計算A'!ED$10:ED$54,$B19),0))*500,0)-IF(AND('計算A'!EB$117=1,YZ19&gt;0),300,0)-IF(AND($L19=1,'計算A'!EC$117=1,IB19=0),300,0))),1000000))</f>
        <v/>
      </c>
      <c r="TF19">
        <f>IF($B19=0,1000000,IF(INDEX('計算A'!$D$60:$EQ$104,$B19,131)*IB19=1,IF(AND($E19=2,NQ19=0),1000000,IF($I19&gt;0,IF(6=$J19,IF(OR(AND(131=$I19+1,OR($K19&lt;&gt;'計算A'!$A$3,'計算A'!$A$4=0)),AND(131=$I19-1,OR(11&lt;&gt;'計算A'!$A$3,'計算A'!$A$4=0))),0,IF(11=$K19,200000,ABS(11-$K19)*100)),100000+ABS(6-$J19)*1000+110)+'計算A'!ED$5*50+IF(AND($E19=1,NQ19=0),25,0),INDEX('計算A'!ED$110:ED$114,$F19+1)+IF(AND($E19=1,NQ19=0),1000,0)+IF($H19=1,(IF('計算A'!EC$117=1,INDEX('計算A'!EC$10:EC$54,$B19),0)+IF('計算A'!ED$117=1,INDEX('計算A'!EE$10:EE$54,$B19),0))*500,0)-IF(AND('計算A'!EC$117=1,ZA19&gt;0),300,0)-IF(AND($L19=1,'計算A'!ED$117=1,IC19=0),300,0))),1000000))</f>
        <v/>
      </c>
      <c r="TG19">
        <f>IF($B19=0,1000000,IF(INDEX('計算A'!$D$60:$EQ$104,$B19,132)*IC19=1,IF(AND($E19=2,NR19=0),1000000,IF($I19&gt;0,IF(6=$J19,IF(OR(AND(132=$I19+1,OR($K19&lt;&gt;'計算A'!$A$3,'計算A'!$A$4=0)),AND(132=$I19-1,OR(12&lt;&gt;'計算A'!$A$3,'計算A'!$A$4=0))),0,IF(12=$K19,200000,ABS(12-$K19)*100)),100000+ABS(6-$J19)*1000+120)+'計算A'!EE$5*50+IF(AND($E19=1,NR19=0),25,0),INDEX('計算A'!EE$110:EE$114,$F19+1)+IF(AND($E19=1,NR19=0),1000,0)+IF($H19=1,(IF('計算A'!ED$117=1,INDEX('計算A'!ED$10:ED$54,$B19),0)+IF('計算A'!EE$117=1,INDEX('計算A'!EF$10:EF$54,$B19),0))*500,0)-IF(AND('計算A'!ED$117=1,ZB19&gt;0),300,0)-IF(AND($L19=1,'計算A'!EE$117=1,ID19=0),300,0))),1000000))</f>
        <v/>
      </c>
      <c r="TH19">
        <f>IF($B19=0,1000000,IF(INDEX('計算A'!$D$60:$EQ$104,$B19,133)*ID19=1,IF(AND($E19=2,NS19=0),1000000,IF($I19&gt;0,IF(6=$J19,IF(OR(AND(133=$I19+1,OR($K19&lt;&gt;'計算A'!$A$3,'計算A'!$A$4=0)),AND(133=$I19-1,OR(13&lt;&gt;'計算A'!$A$3,'計算A'!$A$4=0))),0,IF(13=$K19,200000,ABS(13-$K19)*100)),100000+ABS(6-$J19)*1000+130)+'計算A'!EF$5*50+IF(AND($E19=1,NS19=0),25,0),INDEX('計算A'!EF$110:EF$114,$F19+1)+IF(AND($E19=1,NS19=0),1000,0)+IF($H19=1,(IF('計算A'!EE$117=1,INDEX('計算A'!EE$10:EE$54,$B19),0)+IF('計算A'!EF$117=1,INDEX('計算A'!EG$10:EG$54,$B19),0))*500,0)-IF(AND('計算A'!EE$117=1,ZC19&gt;0),300,0)-IF(AND($L19=1,'計算A'!EF$117=1,IE19=0),300,0))),1000000))</f>
        <v/>
      </c>
      <c r="TI19">
        <f>IF($B19=0,1000000,IF(INDEX('計算A'!$D$60:$EQ$104,$B19,134)*IE19=1,IF(AND($E19=2,NT19=0),1000000,IF($I19&gt;0,IF(6=$J19,IF(OR(AND(134=$I19+1,OR($K19&lt;&gt;'計算A'!$A$3,'計算A'!$A$4=0)),AND(134=$I19-1,OR(14&lt;&gt;'計算A'!$A$3,'計算A'!$A$4=0))),0,IF(14=$K19,200000,ABS(14-$K19)*100)),100000+ABS(6-$J19)*1000+140)+'計算A'!EG$5*50+IF(AND($E19=1,NT19=0),25,0),INDEX('計算A'!EG$110:EG$114,$F19+1)+IF(AND($E19=1,NT19=0),1000,0)+IF($H19=1,(IF('計算A'!EF$117=1,INDEX('計算A'!EF$10:EF$54,$B19),0)+IF('計算A'!EG$117=1,INDEX('計算A'!EH$10:EH$54,$B19),0))*500,0)-IF(AND('計算A'!EF$117=1,ZD19&gt;0),300,0)-IF(AND($L19=1,'計算A'!EG$117=1,IF19=0),300,0))),1000000))</f>
        <v/>
      </c>
      <c r="TJ19">
        <f>IF($B19=0,1000000,IF(INDEX('計算A'!$D$60:$EQ$104,$B19,135)*IF19=1,IF(AND($E19=2,NU19=0),1000000,IF($I19&gt;0,IF(6=$J19,IF(OR(AND(135=$I19+1,OR($K19&lt;&gt;'計算A'!$A$3,'計算A'!$A$4=0)),AND(135=$I19-1,OR(15&lt;&gt;'計算A'!$A$3,'計算A'!$A$4=0))),0,IF(15=$K19,200000,ABS(15-$K19)*100)),100000+ABS(6-$J19)*1000+150)+'計算A'!EH$5*50+IF(AND($E19=1,NU19=0),25,0),INDEX('計算A'!EH$110:EH$114,$F19+1)+IF(AND($E19=1,NU19=0),1000,0)+IF($H19=1,(IF('計算A'!EG$117=1,INDEX('計算A'!EG$10:EG$54,$B19),0)+IF('計算A'!EH$117=1,INDEX('計算A'!EI$10:EI$54,$B19),0))*500,0)-IF(AND('計算A'!EG$117=1,ZE19&gt;0),300,0)-IF(AND($L19=1,'計算A'!EH$117=1,IG19=0),300,0))),1000000))</f>
        <v/>
      </c>
      <c r="TK19">
        <f>IF($B19=0,1000000,IF(INDEX('計算A'!$D$60:$EQ$104,$B19,136)*IG19=1,IF(AND($E19=2,NV19=0),1000000,IF($I19&gt;0,IF(6=$J19,IF(OR(AND(136=$I19+1,OR($K19&lt;&gt;'計算A'!$A$3,'計算A'!$A$4=0)),AND(136=$I19-1,OR(16&lt;&gt;'計算A'!$A$3,'計算A'!$A$4=0))),0,IF(16=$K19,200000,ABS(16-$K19)*100)),100000+ABS(6-$J19)*1000+160)+'計算A'!EI$5*50+IF(AND($E19=1,NV19=0),25,0),INDEX('計算A'!EI$110:EI$114,$F19+1)+IF(AND($E19=1,NV19=0),1000,0)+IF($H19=1,(IF('計算A'!EH$117=1,INDEX('計算A'!EH$10:EH$54,$B19),0)+IF('計算A'!EI$117=1,INDEX('計算A'!EJ$10:EJ$54,$B19),0))*500,0)-IF(AND('計算A'!EH$117=1,ZF19&gt;0),300,0)-IF(AND($L19=1,'計算A'!EI$117=1,IH19=0),300,0))),1000000))</f>
        <v/>
      </c>
      <c r="TL19">
        <f>IF($B19=0,1000000,IF(INDEX('計算A'!$D$60:$EQ$104,$B19,137)*IH19=1,IF(AND($E19=2,NW19=0),1000000,IF($I19&gt;0,IF(6=$J19,IF(OR(AND(137=$I19+1,OR($K19&lt;&gt;'計算A'!$A$3,'計算A'!$A$4=0)),AND(137=$I19-1,OR(17&lt;&gt;'計算A'!$A$3,'計算A'!$A$4=0))),0,IF(17=$K19,200000,ABS(17-$K19)*100)),100000+ABS(6-$J19)*1000+170)+'計算A'!EJ$5*50+IF(AND($E19=1,NW19=0),25,0),INDEX('計算A'!EJ$110:EJ$114,$F19+1)+IF(AND($E19=1,NW19=0),1000,0)+IF($H19=1,(IF('計算A'!EI$117=1,INDEX('計算A'!EI$10:EI$54,$B19),0)+IF('計算A'!EJ$117=1,INDEX('計算A'!EK$10:EK$54,$B19),0))*500,0)-IF(AND('計算A'!EI$117=1,ZG19&gt;0),300,0)-IF(AND($L19=1,'計算A'!EJ$117=1,II19=0),300,0))),1000000))</f>
        <v/>
      </c>
      <c r="TM19">
        <f>IF($B19=0,1000000,IF(INDEX('計算A'!$D$60:$EQ$104,$B19,138)*II19=1,IF(AND($E19=2,NX19=0),1000000,IF($I19&gt;0,IF(6=$J19,IF(OR(AND(138=$I19+1,OR($K19&lt;&gt;'計算A'!$A$3,'計算A'!$A$4=0)),AND(138=$I19-1,OR(18&lt;&gt;'計算A'!$A$3,'計算A'!$A$4=0))),0,IF(18=$K19,200000,ABS(18-$K19)*100)),100000+ABS(6-$J19)*1000+180)+'計算A'!EK$5*50+IF(AND($E19=1,NX19=0),25,0),INDEX('計算A'!EK$110:EK$114,$F19+1)+IF(AND($E19=1,NX19=0),1000,0)+IF($H19=1,(IF('計算A'!EJ$117=1,INDEX('計算A'!EJ$10:EJ$54,$B19),0)+IF('計算A'!EK$117=1,INDEX('計算A'!EL$10:EL$54,$B19),0))*500,0)-IF(AND('計算A'!EJ$117=1,ZH19&gt;0),300,0)-IF(AND($L19=1,'計算A'!EK$117=1,IJ19=0),300,0))),1000000))</f>
        <v/>
      </c>
      <c r="TN19">
        <f>IF($B19=0,1000000,IF(INDEX('計算A'!$D$60:$EQ$104,$B19,139)*IJ19=1,IF(AND($E19=2,NY19=0),1000000,IF($I19&gt;0,IF(6=$J19,IF(OR(AND(139=$I19+1,OR($K19&lt;&gt;'計算A'!$A$3,'計算A'!$A$4=0)),AND(139=$I19-1,OR(19&lt;&gt;'計算A'!$A$3,'計算A'!$A$4=0))),0,IF(19=$K19,200000,ABS(19-$K19)*100)),100000+ABS(6-$J19)*1000+190)+'計算A'!EL$5*50+IF(AND($E19=1,NY19=0),25,0),INDEX('計算A'!EL$110:EL$114,$F19+1)+IF(AND($E19=1,NY19=0),1000,0)+IF($H19=1,(IF('計算A'!EK$117=1,INDEX('計算A'!EK$10:EK$54,$B19),0)+IF('計算A'!EL$117=1,INDEX('計算A'!EM$10:EM$54,$B19),0))*500,0)-IF(AND('計算A'!EK$117=1,ZI19&gt;0),300,0)-IF(AND($L19=1,'計算A'!EL$117=1,IK19=0),300,0))),1000000))</f>
        <v/>
      </c>
      <c r="TO19">
        <f>IF($B19=0,1000000,IF(INDEX('計算A'!$D$60:$EQ$104,$B19,140)*IK19=1,IF(AND($E19=2,NZ19=0),1000000,IF($I19&gt;0,IF(6=$J19,IF(OR(AND(140=$I19+1,OR($K19&lt;&gt;'計算A'!$A$3,'計算A'!$A$4=0)),AND(140=$I19-1,OR(20&lt;&gt;'計算A'!$A$3,'計算A'!$A$4=0))),0,IF(20=$K19,200000,ABS(20-$K19)*100)),100000+ABS(6-$J19)*1000+200)+'計算A'!EM$5*50+IF(AND($E19=1,NZ19=0),25,0),INDEX('計算A'!EM$110:EM$114,$F19+1)+IF(AND($E19=1,NZ19=0),1000,0)+IF($H19=1,(IF('計算A'!EL$117=1,INDEX('計算A'!EL$10:EL$54,$B19),0)+IF('計算A'!EM$117=1,INDEX('計算A'!EN$10:EN$54,$B19),0))*500,0)-IF(AND('計算A'!EL$117=1,ZJ19&gt;0),300,0)-IF(AND($L19=1,'計算A'!EM$117=1,IL19=0),300,0))),1000000))</f>
        <v/>
      </c>
      <c r="TP19">
        <f>IF($B19=0,1000000,IF(INDEX('計算A'!$D$60:$EQ$104,$B19,141)*IL19=1,IF(AND($E19=2,OA19=0),1000000,IF($I19&gt;0,IF(6=$J19,IF(OR(AND(141=$I19+1,OR($K19&lt;&gt;'計算A'!$A$3,'計算A'!$A$4=0)),AND(141=$I19-1,OR(21&lt;&gt;'計算A'!$A$3,'計算A'!$A$4=0))),0,IF(21=$K19,200000,ABS(21-$K19)*100)),100000+ABS(6-$J19)*1000+210)+'計算A'!EN$5*50+IF(AND($E19=1,OA19=0),25,0),INDEX('計算A'!EN$110:EN$114,$F19+1)+IF(AND($E19=1,OA19=0),1000,0)+IF($H19=1,(IF('計算A'!EM$117=1,INDEX('計算A'!EM$10:EM$54,$B19),0)+IF('計算A'!EN$117=1,INDEX('計算A'!EO$10:EO$54,$B19),0))*500,0)-IF(AND('計算A'!EM$117=1,ZK19&gt;0),300,0)-IF(AND($L19=1,'計算A'!EN$117=1,IM19=0),300,0))),1000000))</f>
        <v/>
      </c>
      <c r="TQ19">
        <f>IF($B19=0,1000000,IF(INDEX('計算A'!$D$60:$EQ$104,$B19,142)*IM19=1,IF(AND($E19=2,OB19=0),1000000,IF($I19&gt;0,IF(6=$J19,IF(OR(AND(142=$I19+1,OR($K19&lt;&gt;'計算A'!$A$3,'計算A'!$A$4=0)),AND(142=$I19-1,OR(22&lt;&gt;'計算A'!$A$3,'計算A'!$A$4=0))),0,IF(22=$K19,200000,ABS(22-$K19)*100)),100000+ABS(6-$J19)*1000+220)+'計算A'!EO$5*50+IF(AND($E19=1,OB19=0),25,0),INDEX('計算A'!EO$110:EO$114,$F19+1)+IF(AND($E19=1,OB19=0),1000,0)+IF($H19=1,(IF('計算A'!EN$117=1,INDEX('計算A'!EN$10:EN$54,$B19),0)+IF('計算A'!EO$117=1,INDEX('計算A'!EP$10:EP$54,$B19),0))*500,0)-IF(AND('計算A'!EN$117=1,ZL19&gt;0),300,0)-IF(AND($L19=1,'計算A'!EO$117=1,IN19=0),300,0))),1000000))</f>
        <v/>
      </c>
      <c r="TR19">
        <f>IF($B19=0,1000000,IF(INDEX('計算A'!$D$60:$EQ$104,$B19,143)*IN19=1,IF(AND($E19=2,OC19=0),1000000,IF($I19&gt;0,IF(6=$J19,IF(OR(AND(143=$I19+1,OR($K19&lt;&gt;'計算A'!$A$3,'計算A'!$A$4=0)),AND(143=$I19-1,OR(23&lt;&gt;'計算A'!$A$3,'計算A'!$A$4=0))),0,IF(23=$K19,200000,ABS(23-$K19)*100)),100000+ABS(6-$J19)*1000+230)+'計算A'!EP$5*50+IF(AND($E19=1,OC19=0),25,0),INDEX('計算A'!EP$110:EP$114,$F19+1)+IF(AND($E19=1,OC19=0),1000,0)+IF($H19=1,(IF('計算A'!EO$117=1,INDEX('計算A'!EO$10:EO$54,$B19),0)+IF('計算A'!EP$117=1,INDEX('計算A'!EQ$10:EQ$54,$B19),0))*500,0)-IF(AND('計算A'!EO$117=1,ZM19&gt;0),300,0)-IF(AND($L19=1,'計算A'!EP$117=1,IO19=0),300,0))),1000000))</f>
        <v/>
      </c>
      <c r="TS19">
        <f>IF($B19=0,1000000,IF(INDEX('計算A'!$D$60:$EQ$104,$B19,144)*IO19=1,IF(AND($E19=2,OD19=0),1000000,IF($I19&gt;0,IF(6=$J19,IF(OR(AND(144=$I19+1,OR($K19&lt;&gt;'計算A'!$A$3,'計算A'!$A$4=0)),AND(144=$I19-1,OR(24&lt;&gt;'計算A'!$A$3,'計算A'!$A$4=0))),0,IF(24=$K19,200000,ABS(24-$K19)*100)),100000+ABS(6-$J19)*1000+240)+'計算A'!EQ$5*50+IF(AND($E19=1,OD19=0),25,0),INDEX('計算A'!EQ$110:EQ$114,$F19+1)+IF(AND($E19=1,OD19=0),1000,0)+IF($H19=1,(IF('計算A'!EP$117=1,INDEX('計算A'!EP$10:EP$54,$B19),0))*500,0)-IF(AND('計算A'!EP$117=1,ZN19&gt;0),300,0))),1000000))</f>
        <v/>
      </c>
      <c r="UB19">
        <f>UB18+IF(AND($C18=1,$L18=1),1,0)</f>
        <v/>
      </c>
      <c r="UC19">
        <f>UC18+IF(AND($C18=2,$L18=1),1,0)</f>
        <v/>
      </c>
      <c r="UD19">
        <f>UD18+IF(AND($C18=3,$L18=1),1,0)</f>
        <v/>
      </c>
      <c r="UE19">
        <f>UE18+IF(AND($C18=4,$L18=1),1,0)</f>
        <v/>
      </c>
      <c r="UF19">
        <f>UF18+IF(AND($C18=5,$L18=1),1,0)</f>
        <v/>
      </c>
      <c r="UG19">
        <f>UG18+IF(AND($C18=6,$L18=1),1,0)</f>
        <v/>
      </c>
      <c r="UH19">
        <f>UH18+IF(AND($C18=7,$L18=1),1,0)</f>
        <v/>
      </c>
      <c r="UI19">
        <f>UI18+IF(AND($C18=8,$L18=1),1,0)</f>
        <v/>
      </c>
      <c r="UJ19">
        <f>UJ18+IF(AND($C18=9,$L18=1),1,0)</f>
        <v/>
      </c>
      <c r="UK19">
        <f>UK18+IF(AND($C18=10,$L18=1),1,0)</f>
        <v/>
      </c>
      <c r="UL19">
        <f>UL18+IF(AND($C18=11,$L18=1),1,0)</f>
        <v/>
      </c>
      <c r="UM19">
        <f>UM18+IF(AND($C18=12,$L18=1),1,0)</f>
        <v/>
      </c>
      <c r="UN19">
        <f>UN18+IF(AND($C18=13,$L18=1),1,0)</f>
        <v/>
      </c>
      <c r="UO19">
        <f>UO18+IF(AND($C18=14,$L18=1),1,0)</f>
        <v/>
      </c>
      <c r="UP19">
        <f>UP18+IF(AND($C18=15,$L18=1),1,0)</f>
        <v/>
      </c>
      <c r="UQ19">
        <f>UQ18+IF(AND($C18=16,$L18=1),1,0)</f>
        <v/>
      </c>
      <c r="UR19">
        <f>UR18+IF(AND($C18=17,$L18=1),1,0)</f>
        <v/>
      </c>
      <c r="US19">
        <f>US18+IF(AND($C18=18,$L18=1),1,0)</f>
        <v/>
      </c>
      <c r="UT19">
        <f>UT18+IF(AND($C18=19,$L18=1),1,0)</f>
        <v/>
      </c>
      <c r="UU19">
        <f>UU18+IF(AND($C18=20,$L18=1),1,0)</f>
        <v/>
      </c>
      <c r="UV19">
        <f>UV18+IF(AND($C18=21,$L18=1),1,0)</f>
        <v/>
      </c>
      <c r="UW19">
        <f>UW18+IF(AND($C18=22,$L18=1),1,0)</f>
        <v/>
      </c>
      <c r="UX19">
        <f>UX18+IF(AND($C18=23,$L18=1),1,0)</f>
        <v/>
      </c>
      <c r="UY19">
        <f>UY18+IF(AND($C18=24,$L18=1),1,0)</f>
        <v/>
      </c>
      <c r="UZ19">
        <f>UZ18+IF(AND($C18=25,$L18=1),1,0)</f>
        <v/>
      </c>
      <c r="VA19">
        <f>VA18+IF(AND($C18=26,$L18=1),1,0)</f>
        <v/>
      </c>
      <c r="VB19">
        <f>VB18+IF(AND($C18=27,$L18=1),1,0)</f>
        <v/>
      </c>
      <c r="VC19">
        <f>VC18+IF(AND($C18=28,$L18=1),1,0)</f>
        <v/>
      </c>
      <c r="VD19">
        <f>VD18+IF(AND($C18=29,$L18=1),1,0)</f>
        <v/>
      </c>
      <c r="VE19">
        <f>VE18+IF(AND($C18=30,$L18=1),1,0)</f>
        <v/>
      </c>
      <c r="VF19">
        <f>VF18+IF(AND($C18=31,$L18=1),1,0)</f>
        <v/>
      </c>
      <c r="VG19">
        <f>VG18+IF(AND($C18=32,$L18=1),1,0)</f>
        <v/>
      </c>
      <c r="VH19">
        <f>VH18+IF(AND($C18=33,$L18=1),1,0)</f>
        <v/>
      </c>
      <c r="VI19">
        <f>VI18+IF(AND($C18=34,$L18=1),1,0)</f>
        <v/>
      </c>
      <c r="VJ19">
        <f>VJ18+IF(AND($C18=35,$L18=1),1,0)</f>
        <v/>
      </c>
      <c r="VK19">
        <f>VK18+IF(AND($C18=36,$L18=1),1,0)</f>
        <v/>
      </c>
      <c r="VL19">
        <f>VL18+IF(AND($C18=37,$L18=1),1,0)</f>
        <v/>
      </c>
      <c r="VM19">
        <f>VM18+IF(AND($C18=38,$L18=1),1,0)</f>
        <v/>
      </c>
      <c r="VN19">
        <f>VN18+IF(AND($C18=39,$L18=1),1,0)</f>
        <v/>
      </c>
      <c r="VO19">
        <f>VO18+IF(AND($C18=40,$L18=1),1,0)</f>
        <v/>
      </c>
      <c r="VP19">
        <f>VP18+IF(AND($C18=41,$L18=1),1,0)</f>
        <v/>
      </c>
      <c r="VQ19">
        <f>VQ18+IF(AND($C18=42,$L18=1),1,0)</f>
        <v/>
      </c>
      <c r="VR19">
        <f>VR18+IF(AND($C18=43,$L18=1),1,0)</f>
        <v/>
      </c>
      <c r="VS19">
        <f>VS18+IF(AND($C18=44,$L18=1),1,0)</f>
        <v/>
      </c>
      <c r="VT19">
        <f>VT18+IF(AND($C18=45,$L18=1),1,0)</f>
        <v/>
      </c>
      <c r="VU19">
        <f>VU18+IF(AND($C18=46,$L18=1),1,0)</f>
        <v/>
      </c>
      <c r="VV19">
        <f>VV18+IF(AND($C18=47,$L18=1),1,0)</f>
        <v/>
      </c>
      <c r="VW19">
        <f>VW18+IF(AND($C18=48,$L18=1),1,0)</f>
        <v/>
      </c>
      <c r="VX19">
        <f>VX18+IF(AND($C18=49,$L18=1),1,0)</f>
        <v/>
      </c>
      <c r="VY19">
        <f>VY18+IF(AND($C18=50,$L18=1),1,0)</f>
        <v/>
      </c>
      <c r="VZ19">
        <f>VZ18+IF(AND($C18=51,$L18=1),1,0)</f>
        <v/>
      </c>
      <c r="WA19">
        <f>WA18+IF(AND($C18=52,$L18=1),1,0)</f>
        <v/>
      </c>
      <c r="WB19">
        <f>WB18+IF(AND($C18=53,$L18=1),1,0)</f>
        <v/>
      </c>
      <c r="WC19">
        <f>WC18+IF(AND($C18=54,$L18=1),1,0)</f>
        <v/>
      </c>
      <c r="WD19">
        <f>WD18+IF(AND($C18=55,$L18=1),1,0)</f>
        <v/>
      </c>
      <c r="WE19">
        <f>WE18+IF(AND($C18=56,$L18=1),1,0)</f>
        <v/>
      </c>
      <c r="WF19">
        <f>WF18+IF(AND($C18=57,$L18=1),1,0)</f>
        <v/>
      </c>
      <c r="WG19">
        <f>WG18+IF(AND($C18=58,$L18=1),1,0)</f>
        <v/>
      </c>
      <c r="WH19">
        <f>WH18+IF(AND($C18=59,$L18=1),1,0)</f>
        <v/>
      </c>
      <c r="WI19">
        <f>WI18+IF(AND($C18=60,$L18=1),1,0)</f>
        <v/>
      </c>
      <c r="WJ19">
        <f>WJ18+IF(AND($C18=61,$L18=1),1,0)</f>
        <v/>
      </c>
      <c r="WK19">
        <f>WK18+IF(AND($C18=62,$L18=1),1,0)</f>
        <v/>
      </c>
      <c r="WL19">
        <f>WL18+IF(AND($C18=63,$L18=1),1,0)</f>
        <v/>
      </c>
      <c r="WM19">
        <f>WM18+IF(AND($C18=64,$L18=1),1,0)</f>
        <v/>
      </c>
      <c r="WN19">
        <f>WN18+IF(AND($C18=65,$L18=1),1,0)</f>
        <v/>
      </c>
      <c r="WO19">
        <f>WO18+IF(AND($C18=66,$L18=1),1,0)</f>
        <v/>
      </c>
      <c r="WP19">
        <f>WP18+IF(AND($C18=67,$L18=1),1,0)</f>
        <v/>
      </c>
      <c r="WQ19">
        <f>WQ18+IF(AND($C18=68,$L18=1),1,0)</f>
        <v/>
      </c>
      <c r="WR19">
        <f>WR18+IF(AND($C18=69,$L18=1),1,0)</f>
        <v/>
      </c>
      <c r="WS19">
        <f>WS18+IF(AND($C18=70,$L18=1),1,0)</f>
        <v/>
      </c>
      <c r="WT19">
        <f>WT18+IF(AND($C18=71,$L18=1),1,0)</f>
        <v/>
      </c>
      <c r="WU19">
        <f>WU18+IF(AND($C18=72,$L18=1),1,0)</f>
        <v/>
      </c>
      <c r="WV19">
        <f>WV18+IF(AND($C18=73,$L18=1),1,0)</f>
        <v/>
      </c>
      <c r="WW19">
        <f>WW18+IF(AND($C18=74,$L18=1),1,0)</f>
        <v/>
      </c>
      <c r="WX19">
        <f>WX18+IF(AND($C18=75,$L18=1),1,0)</f>
        <v/>
      </c>
      <c r="WY19">
        <f>WY18+IF(AND($C18=76,$L18=1),1,0)</f>
        <v/>
      </c>
      <c r="WZ19">
        <f>WZ18+IF(AND($C18=77,$L18=1),1,0)</f>
        <v/>
      </c>
      <c r="XA19">
        <f>XA18+IF(AND($C18=78,$L18=1),1,0)</f>
        <v/>
      </c>
      <c r="XB19">
        <f>XB18+IF(AND($C18=79,$L18=1),1,0)</f>
        <v/>
      </c>
      <c r="XC19">
        <f>XC18+IF(AND($C18=80,$L18=1),1,0)</f>
        <v/>
      </c>
      <c r="XD19">
        <f>XD18+IF(AND($C18=81,$L18=1),1,0)</f>
        <v/>
      </c>
      <c r="XE19">
        <f>XE18+IF(AND($C18=82,$L18=1),1,0)</f>
        <v/>
      </c>
      <c r="XF19">
        <f>XF18+IF(AND($C18=83,$L18=1),1,0)</f>
        <v/>
      </c>
      <c r="XG19">
        <f>XG18+IF(AND($C18=84,$L18=1),1,0)</f>
        <v/>
      </c>
      <c r="XH19">
        <f>XH18+IF(AND($C18=85,$L18=1),1,0)</f>
        <v/>
      </c>
      <c r="XI19">
        <f>XI18+IF(AND($C18=86,$L18=1),1,0)</f>
        <v/>
      </c>
      <c r="XJ19">
        <f>XJ18+IF(AND($C18=87,$L18=1),1,0)</f>
        <v/>
      </c>
      <c r="XK19">
        <f>XK18+IF(AND($C18=88,$L18=1),1,0)</f>
        <v/>
      </c>
      <c r="XL19">
        <f>XL18+IF(AND($C18=89,$L18=1),1,0)</f>
        <v/>
      </c>
      <c r="XM19">
        <f>XM18+IF(AND($C18=90,$L18=1),1,0)</f>
        <v/>
      </c>
      <c r="XN19">
        <f>XN18+IF(AND($C18=91,$L18=1),1,0)</f>
        <v/>
      </c>
      <c r="XO19">
        <f>XO18+IF(AND($C18=92,$L18=1),1,0)</f>
        <v/>
      </c>
      <c r="XP19">
        <f>XP18+IF(AND($C18=93,$L18=1),1,0)</f>
        <v/>
      </c>
      <c r="XQ19">
        <f>XQ18+IF(AND($C18=94,$L18=1),1,0)</f>
        <v/>
      </c>
      <c r="XR19">
        <f>XR18+IF(AND($C18=95,$L18=1),1,0)</f>
        <v/>
      </c>
      <c r="XS19">
        <f>XS18+IF(AND($C18=96,$L18=1),1,0)</f>
        <v/>
      </c>
      <c r="XT19">
        <f>XT18+IF(AND($C18=97,$L18=1),1,0)</f>
        <v/>
      </c>
      <c r="XU19">
        <f>XU18+IF(AND($C18=98,$L18=1),1,0)</f>
        <v/>
      </c>
      <c r="XV19">
        <f>XV18+IF(AND($C18=99,$L18=1),1,0)</f>
        <v/>
      </c>
      <c r="XW19">
        <f>XW18+IF(AND($C18=100,$L18=1),1,0)</f>
        <v/>
      </c>
      <c r="XX19">
        <f>XX18+IF(AND($C18=101,$L18=1),1,0)</f>
        <v/>
      </c>
      <c r="XY19">
        <f>XY18+IF(AND($C18=102,$L18=1),1,0)</f>
        <v/>
      </c>
      <c r="XZ19">
        <f>XZ18+IF(AND($C18=103,$L18=1),1,0)</f>
        <v/>
      </c>
      <c r="YA19">
        <f>YA18+IF(AND($C18=104,$L18=1),1,0)</f>
        <v/>
      </c>
      <c r="YB19">
        <f>YB18+IF(AND($C18=105,$L18=1),1,0)</f>
        <v/>
      </c>
      <c r="YC19">
        <f>YC18+IF(AND($C18=106,$L18=1),1,0)</f>
        <v/>
      </c>
      <c r="YD19">
        <f>YD18+IF(AND($C18=107,$L18=1),1,0)</f>
        <v/>
      </c>
      <c r="YE19">
        <f>YE18+IF(AND($C18=108,$L18=1),1,0)</f>
        <v/>
      </c>
      <c r="YF19">
        <f>YF18+IF(AND($C18=109,$L18=1),1,0)</f>
        <v/>
      </c>
      <c r="YG19">
        <f>YG18+IF(AND($C18=110,$L18=1),1,0)</f>
        <v/>
      </c>
      <c r="YH19">
        <f>YH18+IF(AND($C18=111,$L18=1),1,0)</f>
        <v/>
      </c>
      <c r="YI19">
        <f>YI18+IF(AND($C18=112,$L18=1),1,0)</f>
        <v/>
      </c>
      <c r="YJ19">
        <f>YJ18+IF(AND($C18=113,$L18=1),1,0)</f>
        <v/>
      </c>
      <c r="YK19">
        <f>YK18+IF(AND($C18=114,$L18=1),1,0)</f>
        <v/>
      </c>
      <c r="YL19">
        <f>YL18+IF(AND($C18=115,$L18=1),1,0)</f>
        <v/>
      </c>
      <c r="YM19">
        <f>YM18+IF(AND($C18=116,$L18=1),1,0)</f>
        <v/>
      </c>
      <c r="YN19">
        <f>YN18+IF(AND($C18=117,$L18=1),1,0)</f>
        <v/>
      </c>
      <c r="YO19">
        <f>YO18+IF(AND($C18=118,$L18=1),1,0)</f>
        <v/>
      </c>
      <c r="YP19">
        <f>YP18+IF(AND($C18=119,$L18=1),1,0)</f>
        <v/>
      </c>
      <c r="YQ19">
        <f>YQ18+IF(AND($C18=120,$L18=1),1,0)</f>
        <v/>
      </c>
      <c r="YR19">
        <f>YR18+IF(AND($C18=121,$L18=1),1,0)</f>
        <v/>
      </c>
      <c r="YS19">
        <f>YS18+IF(AND($C18=122,$L18=1),1,0)</f>
        <v/>
      </c>
      <c r="YT19">
        <f>YT18+IF(AND($C18=123,$L18=1),1,0)</f>
        <v/>
      </c>
      <c r="YU19">
        <f>YU18+IF(AND($C18=124,$L18=1),1,0)</f>
        <v/>
      </c>
      <c r="YV19">
        <f>YV18+IF(AND($C18=125,$L18=1),1,0)</f>
        <v/>
      </c>
      <c r="YW19">
        <f>YW18+IF(AND($C18=126,$L18=1),1,0)</f>
        <v/>
      </c>
      <c r="YX19">
        <f>YX18+IF(AND($C18=127,$L18=1),1,0)</f>
        <v/>
      </c>
      <c r="YY19">
        <f>YY18+IF(AND($C18=128,$L18=1),1,0)</f>
        <v/>
      </c>
      <c r="YZ19">
        <f>YZ18+IF(AND($C18=129,$L18=1),1,0)</f>
        <v/>
      </c>
      <c r="ZA19">
        <f>ZA18+IF(AND($C18=130,$L18=1),1,0)</f>
        <v/>
      </c>
      <c r="ZB19">
        <f>ZB18+IF(AND($C18=131,$L18=1),1,0)</f>
        <v/>
      </c>
      <c r="ZC19">
        <f>ZC18+IF(AND($C18=132,$L18=1),1,0)</f>
        <v/>
      </c>
      <c r="ZD19">
        <f>ZD18+IF(AND($C18=133,$L18=1),1,0)</f>
        <v/>
      </c>
      <c r="ZE19">
        <f>ZE18+IF(AND($C18=134,$L18=1),1,0)</f>
        <v/>
      </c>
      <c r="ZF19">
        <f>ZF18+IF(AND($C18=135,$L18=1),1,0)</f>
        <v/>
      </c>
      <c r="ZG19">
        <f>ZG18+IF(AND($C18=136,$L18=1),1,0)</f>
        <v/>
      </c>
      <c r="ZH19">
        <f>ZH18+IF(AND($C18=137,$L18=1),1,0)</f>
        <v/>
      </c>
      <c r="ZI19">
        <f>ZI18+IF(AND($C18=138,$L18=1),1,0)</f>
        <v/>
      </c>
      <c r="ZJ19">
        <f>ZJ18+IF(AND($C18=139,$L18=1),1,0)</f>
        <v/>
      </c>
      <c r="ZK19">
        <f>ZK18+IF(AND($C18=140,$L18=1),1,0)</f>
        <v/>
      </c>
      <c r="ZL19">
        <f>ZL18+IF(AND($C18=141,$L18=1),1,0)</f>
        <v/>
      </c>
      <c r="ZM19">
        <f>ZM18+IF(AND($C18=142,$L18=1),1,0)</f>
        <v/>
      </c>
      <c r="ZN19">
        <f>ZN18+IF(AND($C18=143,$L18=1),1,0)</f>
        <v/>
      </c>
      <c r="ZO19">
        <f>ZO18+IF(AND($C18=144,$L18=1),1,0)</f>
        <v/>
      </c>
    </row>
    <row r="20">
      <c r="A20" t="n">
        <v>18</v>
      </c>
      <c r="B20">
        <f>IF(MIN(BH20:CZ20)&gt;=1000000,0,MATCH(MIN(BH20:CZ20),BH20:CZ20,0))</f>
        <v/>
      </c>
      <c r="C20">
        <f>IF(MIN(OF20:TS20)&gt;=1000000,0,MATCH(MIN(OF20:TS20),OF20:TS20,0))</f>
        <v/>
      </c>
      <c r="D20">
        <f>IF(C20&gt;0,INDEX('計算A'!$D$5:$EQ$5,C20),0)</f>
        <v/>
      </c>
      <c r="E20">
        <f>IF(B20=0,0,INDEX('計算A'!$IQ$10:$IQ$54,B20))</f>
        <v/>
      </c>
      <c r="F20">
        <f>IF(B20=0,0,INDEX('計算A'!$IP$10:$IP$54,B20))</f>
        <v/>
      </c>
      <c r="G20">
        <f>IF(AND(C20&gt;0,E20&gt;0),IF(AND(INDEX('計算A'!$D$106:$EQ$106,C20)=1,INDEX($IQ20:$OD20,C20)=1),C20+1,0),0)</f>
        <v/>
      </c>
      <c r="H20">
        <f>IF(B20=0,0,INDEX('計算A'!$IW$10:$IW$54,B20))</f>
        <v/>
      </c>
      <c r="I20">
        <f>IF(B20=0,0,MAX(0,INDEX('計算A'!$IT$10:$IT$54,B20)))</f>
        <v/>
      </c>
      <c r="J20">
        <f>IF(I20=0,0,INDEX('計算A'!$D$2:$EQ$2,I20))</f>
        <v/>
      </c>
      <c r="K20">
        <f>IF(I20=0,0,INDEX('計算A'!$D$3:$EQ$3,I20))</f>
        <v/>
      </c>
      <c r="L20">
        <f>IF(B20=0,0,INDEX('計算A'!$IX$10:$IX$54,B20))</f>
        <v/>
      </c>
      <c r="N20">
        <f>MAX(N19,IF($B19=1,1,0))</f>
        <v/>
      </c>
      <c r="O20">
        <f>MAX(O19,IF($B19=2,1,0))</f>
        <v/>
      </c>
      <c r="P20">
        <f>MAX(P19,IF($B19=3,1,0))</f>
        <v/>
      </c>
      <c r="Q20">
        <f>MAX(Q19,IF($B19=4,1,0))</f>
        <v/>
      </c>
      <c r="R20">
        <f>MAX(R19,IF($B19=5,1,0))</f>
        <v/>
      </c>
      <c r="S20">
        <f>MAX(S19,IF($B19=6,1,0))</f>
        <v/>
      </c>
      <c r="T20">
        <f>MAX(T19,IF($B19=7,1,0))</f>
        <v/>
      </c>
      <c r="U20">
        <f>MAX(U19,IF($B19=8,1,0))</f>
        <v/>
      </c>
      <c r="V20">
        <f>MAX(V19,IF($B19=9,1,0))</f>
        <v/>
      </c>
      <c r="W20">
        <f>MAX(W19,IF($B19=10,1,0))</f>
        <v/>
      </c>
      <c r="X20">
        <f>MAX(X19,IF($B19=11,1,0))</f>
        <v/>
      </c>
      <c r="Y20">
        <f>MAX(Y19,IF($B19=12,1,0))</f>
        <v/>
      </c>
      <c r="Z20">
        <f>MAX(Z19,IF($B19=13,1,0))</f>
        <v/>
      </c>
      <c r="AA20">
        <f>MAX(AA19,IF($B19=14,1,0))</f>
        <v/>
      </c>
      <c r="AB20">
        <f>MAX(AB19,IF($B19=15,1,0))</f>
        <v/>
      </c>
      <c r="AC20">
        <f>MAX(AC19,IF($B19=16,1,0))</f>
        <v/>
      </c>
      <c r="AD20">
        <f>MAX(AD19,IF($B19=17,1,0))</f>
        <v/>
      </c>
      <c r="AE20">
        <f>MAX(AE19,IF($B19=18,1,0))</f>
        <v/>
      </c>
      <c r="AF20">
        <f>MAX(AF19,IF($B19=19,1,0))</f>
        <v/>
      </c>
      <c r="AG20">
        <f>MAX(AG19,IF($B19=20,1,0))</f>
        <v/>
      </c>
      <c r="AH20">
        <f>MAX(AH19,IF($B19=21,1,0))</f>
        <v/>
      </c>
      <c r="AI20">
        <f>MAX(AI19,IF($B19=22,1,0))</f>
        <v/>
      </c>
      <c r="AJ20">
        <f>MAX(AJ19,IF($B19=23,1,0))</f>
        <v/>
      </c>
      <c r="AK20">
        <f>MAX(AK19,IF($B19=24,1,0))</f>
        <v/>
      </c>
      <c r="AL20">
        <f>MAX(AL19,IF($B19=25,1,0))</f>
        <v/>
      </c>
      <c r="AM20">
        <f>MAX(AM19,IF($B19=26,1,0))</f>
        <v/>
      </c>
      <c r="AN20">
        <f>MAX(AN19,IF($B19=27,1,0))</f>
        <v/>
      </c>
      <c r="AO20">
        <f>MAX(AO19,IF($B19=28,1,0))</f>
        <v/>
      </c>
      <c r="AP20">
        <f>MAX(AP19,IF($B19=29,1,0))</f>
        <v/>
      </c>
      <c r="AQ20">
        <f>MAX(AQ19,IF($B19=30,1,0))</f>
        <v/>
      </c>
      <c r="AR20">
        <f>MAX(AR19,IF($B19=31,1,0))</f>
        <v/>
      </c>
      <c r="AS20">
        <f>MAX(AS19,IF($B19=32,1,0))</f>
        <v/>
      </c>
      <c r="AT20">
        <f>MAX(AT19,IF($B19=33,1,0))</f>
        <v/>
      </c>
      <c r="AU20">
        <f>MAX(AU19,IF($B19=34,1,0))</f>
        <v/>
      </c>
      <c r="AV20">
        <f>MAX(AV19,IF($B19=35,1,0))</f>
        <v/>
      </c>
      <c r="AW20">
        <f>MAX(AW19,IF($B19=36,1,0))</f>
        <v/>
      </c>
      <c r="AX20">
        <f>MAX(AX19,IF($B19=37,1,0))</f>
        <v/>
      </c>
      <c r="AY20">
        <f>MAX(AY19,IF($B19=38,1,0))</f>
        <v/>
      </c>
      <c r="AZ20">
        <f>MAX(AZ19,IF($B19=39,1,0))</f>
        <v/>
      </c>
      <c r="BA20">
        <f>MAX(BA19,IF($B19=40,1,0))</f>
        <v/>
      </c>
      <c r="BB20">
        <f>MAX(BB19,IF($B19=41,1,0))</f>
        <v/>
      </c>
      <c r="BC20">
        <f>MAX(BC19,IF($B19=42,1,0))</f>
        <v/>
      </c>
      <c r="BD20">
        <f>MAX(BD19,IF($B19=43,1,0))</f>
        <v/>
      </c>
      <c r="BE20">
        <f>MAX(BE19,IF($B19=44,1,0))</f>
        <v/>
      </c>
      <c r="BF20">
        <f>MAX(BF19,IF($B19=45,1,0))</f>
        <v/>
      </c>
      <c r="BH20">
        <f>IF(N20=1,1000000,IF('計算A'!$IT$10&gt;0,0,500000)+IF('計算A'!$IQ$10=2,SUMPRODUCT('計算A'!$D$60:$EQ$60,$DB20:$IO20,$IQ20:$OD20),SUMPRODUCT('計算A'!$D$60:$EQ$60,$DB20:$IO20))*1000+1)</f>
        <v/>
      </c>
      <c r="BI20">
        <f>IF(O20=1,1000000,IF('計算A'!$IT$11&gt;0,0,500000)+IF('計算A'!$IQ$11=2,SUMPRODUCT('計算A'!$D$61:$EQ$61,$DB20:$IO20,$IQ20:$OD20),SUMPRODUCT('計算A'!$D$61:$EQ$61,$DB20:$IO20))*1000+2)</f>
        <v/>
      </c>
      <c r="BJ20">
        <f>IF(P20=1,1000000,IF('計算A'!$IT$12&gt;0,0,500000)+IF('計算A'!$IQ$12=2,SUMPRODUCT('計算A'!$D$62:$EQ$62,$DB20:$IO20,$IQ20:$OD20),SUMPRODUCT('計算A'!$D$62:$EQ$62,$DB20:$IO20))*1000+3)</f>
        <v/>
      </c>
      <c r="BK20">
        <f>IF(Q20=1,1000000,IF('計算A'!$IT$13&gt;0,0,500000)+IF('計算A'!$IQ$13=2,SUMPRODUCT('計算A'!$D$63:$EQ$63,$DB20:$IO20,$IQ20:$OD20),SUMPRODUCT('計算A'!$D$63:$EQ$63,$DB20:$IO20))*1000+4)</f>
        <v/>
      </c>
      <c r="BL20">
        <f>IF(R20=1,1000000,IF('計算A'!$IT$14&gt;0,0,500000)+IF('計算A'!$IQ$14=2,SUMPRODUCT('計算A'!$D$64:$EQ$64,$DB20:$IO20,$IQ20:$OD20),SUMPRODUCT('計算A'!$D$64:$EQ$64,$DB20:$IO20))*1000+5)</f>
        <v/>
      </c>
      <c r="BM20">
        <f>IF(S20=1,1000000,IF('計算A'!$IT$15&gt;0,0,500000)+IF('計算A'!$IQ$15=2,SUMPRODUCT('計算A'!$D$65:$EQ$65,$DB20:$IO20,$IQ20:$OD20),SUMPRODUCT('計算A'!$D$65:$EQ$65,$DB20:$IO20))*1000+6)</f>
        <v/>
      </c>
      <c r="BN20">
        <f>IF(T20=1,1000000,IF('計算A'!$IT$16&gt;0,0,500000)+IF('計算A'!$IQ$16=2,SUMPRODUCT('計算A'!$D$66:$EQ$66,$DB20:$IO20,$IQ20:$OD20),SUMPRODUCT('計算A'!$D$66:$EQ$66,$DB20:$IO20))*1000+7)</f>
        <v/>
      </c>
      <c r="BO20">
        <f>IF(U20=1,1000000,IF('計算A'!$IT$17&gt;0,0,500000)+IF('計算A'!$IQ$17=2,SUMPRODUCT('計算A'!$D$67:$EQ$67,$DB20:$IO20,$IQ20:$OD20),SUMPRODUCT('計算A'!$D$67:$EQ$67,$DB20:$IO20))*1000+8)</f>
        <v/>
      </c>
      <c r="BP20">
        <f>IF(V20=1,1000000,IF('計算A'!$IT$18&gt;0,0,500000)+IF('計算A'!$IQ$18=2,SUMPRODUCT('計算A'!$D$68:$EQ$68,$DB20:$IO20,$IQ20:$OD20),SUMPRODUCT('計算A'!$D$68:$EQ$68,$DB20:$IO20))*1000+9)</f>
        <v/>
      </c>
      <c r="BQ20">
        <f>IF(W20=1,1000000,IF('計算A'!$IT$19&gt;0,0,500000)+IF('計算A'!$IQ$19=2,SUMPRODUCT('計算A'!$D$69:$EQ$69,$DB20:$IO20,$IQ20:$OD20),SUMPRODUCT('計算A'!$D$69:$EQ$69,$DB20:$IO20))*1000+10)</f>
        <v/>
      </c>
      <c r="BR20">
        <f>IF(X20=1,1000000,IF('計算A'!$IT$20&gt;0,0,500000)+IF('計算A'!$IQ$20=2,SUMPRODUCT('計算A'!$D$70:$EQ$70,$DB20:$IO20,$IQ20:$OD20),SUMPRODUCT('計算A'!$D$70:$EQ$70,$DB20:$IO20))*1000+11)</f>
        <v/>
      </c>
      <c r="BS20">
        <f>IF(Y20=1,1000000,IF('計算A'!$IT$21&gt;0,0,500000)+IF('計算A'!$IQ$21=2,SUMPRODUCT('計算A'!$D$71:$EQ$71,$DB20:$IO20,$IQ20:$OD20),SUMPRODUCT('計算A'!$D$71:$EQ$71,$DB20:$IO20))*1000+12)</f>
        <v/>
      </c>
      <c r="BT20">
        <f>IF(Z20=1,1000000,IF('計算A'!$IT$22&gt;0,0,500000)+IF('計算A'!$IQ$22=2,SUMPRODUCT('計算A'!$D$72:$EQ$72,$DB20:$IO20,$IQ20:$OD20),SUMPRODUCT('計算A'!$D$72:$EQ$72,$DB20:$IO20))*1000+13)</f>
        <v/>
      </c>
      <c r="BU20">
        <f>IF(AA20=1,1000000,IF('計算A'!$IT$23&gt;0,0,500000)+IF('計算A'!$IQ$23=2,SUMPRODUCT('計算A'!$D$73:$EQ$73,$DB20:$IO20,$IQ20:$OD20),SUMPRODUCT('計算A'!$D$73:$EQ$73,$DB20:$IO20))*1000+14)</f>
        <v/>
      </c>
      <c r="BV20">
        <f>IF(AB20=1,1000000,IF('計算A'!$IT$24&gt;0,0,500000)+IF('計算A'!$IQ$24=2,SUMPRODUCT('計算A'!$D$74:$EQ$74,$DB20:$IO20,$IQ20:$OD20),SUMPRODUCT('計算A'!$D$74:$EQ$74,$DB20:$IO20))*1000+15)</f>
        <v/>
      </c>
      <c r="BW20">
        <f>IF(AC20=1,1000000,IF('計算A'!$IT$25&gt;0,0,500000)+IF('計算A'!$IQ$25=2,SUMPRODUCT('計算A'!$D$75:$EQ$75,$DB20:$IO20,$IQ20:$OD20),SUMPRODUCT('計算A'!$D$75:$EQ$75,$DB20:$IO20))*1000+16)</f>
        <v/>
      </c>
      <c r="BX20">
        <f>IF(AD20=1,1000000,IF('計算A'!$IT$26&gt;0,0,500000)+IF('計算A'!$IQ$26=2,SUMPRODUCT('計算A'!$D$76:$EQ$76,$DB20:$IO20,$IQ20:$OD20),SUMPRODUCT('計算A'!$D$76:$EQ$76,$DB20:$IO20))*1000+17)</f>
        <v/>
      </c>
      <c r="BY20">
        <f>IF(AE20=1,1000000,IF('計算A'!$IT$27&gt;0,0,500000)+IF('計算A'!$IQ$27=2,SUMPRODUCT('計算A'!$D$77:$EQ$77,$DB20:$IO20,$IQ20:$OD20),SUMPRODUCT('計算A'!$D$77:$EQ$77,$DB20:$IO20))*1000+18)</f>
        <v/>
      </c>
      <c r="BZ20">
        <f>IF(AF20=1,1000000,IF('計算A'!$IT$28&gt;0,0,500000)+IF('計算A'!$IQ$28=2,SUMPRODUCT('計算A'!$D$78:$EQ$78,$DB20:$IO20,$IQ20:$OD20),SUMPRODUCT('計算A'!$D$78:$EQ$78,$DB20:$IO20))*1000+19)</f>
        <v/>
      </c>
      <c r="CA20">
        <f>IF(AG20=1,1000000,IF('計算A'!$IT$29&gt;0,0,500000)+IF('計算A'!$IQ$29=2,SUMPRODUCT('計算A'!$D$79:$EQ$79,$DB20:$IO20,$IQ20:$OD20),SUMPRODUCT('計算A'!$D$79:$EQ$79,$DB20:$IO20))*1000+20)</f>
        <v/>
      </c>
      <c r="CB20">
        <f>IF(AH20=1,1000000,IF('計算A'!$IT$30&gt;0,0,500000)+IF('計算A'!$IQ$30=2,SUMPRODUCT('計算A'!$D$80:$EQ$80,$DB20:$IO20,$IQ20:$OD20),SUMPRODUCT('計算A'!$D$80:$EQ$80,$DB20:$IO20))*1000+21)</f>
        <v/>
      </c>
      <c r="CC20">
        <f>IF(AI20=1,1000000,IF('計算A'!$IT$31&gt;0,0,500000)+IF('計算A'!$IQ$31=2,SUMPRODUCT('計算A'!$D$81:$EQ$81,$DB20:$IO20,$IQ20:$OD20),SUMPRODUCT('計算A'!$D$81:$EQ$81,$DB20:$IO20))*1000+22)</f>
        <v/>
      </c>
      <c r="CD20">
        <f>IF(AJ20=1,1000000,IF('計算A'!$IT$32&gt;0,0,500000)+IF('計算A'!$IQ$32=2,SUMPRODUCT('計算A'!$D$82:$EQ$82,$DB20:$IO20,$IQ20:$OD20),SUMPRODUCT('計算A'!$D$82:$EQ$82,$DB20:$IO20))*1000+23)</f>
        <v/>
      </c>
      <c r="CE20">
        <f>IF(AK20=1,1000000,IF('計算A'!$IT$33&gt;0,0,500000)+IF('計算A'!$IQ$33=2,SUMPRODUCT('計算A'!$D$83:$EQ$83,$DB20:$IO20,$IQ20:$OD20),SUMPRODUCT('計算A'!$D$83:$EQ$83,$DB20:$IO20))*1000+24)</f>
        <v/>
      </c>
      <c r="CF20">
        <f>IF(AL20=1,1000000,IF('計算A'!$IT$34&gt;0,0,500000)+IF('計算A'!$IQ$34=2,SUMPRODUCT('計算A'!$D$84:$EQ$84,$DB20:$IO20,$IQ20:$OD20),SUMPRODUCT('計算A'!$D$84:$EQ$84,$DB20:$IO20))*1000+25)</f>
        <v/>
      </c>
      <c r="CG20">
        <f>IF(AM20=1,1000000,IF('計算A'!$IT$35&gt;0,0,500000)+IF('計算A'!$IQ$35=2,SUMPRODUCT('計算A'!$D$85:$EQ$85,$DB20:$IO20,$IQ20:$OD20),SUMPRODUCT('計算A'!$D$85:$EQ$85,$DB20:$IO20))*1000+26)</f>
        <v/>
      </c>
      <c r="CH20">
        <f>IF(AN20=1,1000000,IF('計算A'!$IT$36&gt;0,0,500000)+IF('計算A'!$IQ$36=2,SUMPRODUCT('計算A'!$D$86:$EQ$86,$DB20:$IO20,$IQ20:$OD20),SUMPRODUCT('計算A'!$D$86:$EQ$86,$DB20:$IO20))*1000+27)</f>
        <v/>
      </c>
      <c r="CI20">
        <f>IF(AO20=1,1000000,IF('計算A'!$IT$37&gt;0,0,500000)+IF('計算A'!$IQ$37=2,SUMPRODUCT('計算A'!$D$87:$EQ$87,$DB20:$IO20,$IQ20:$OD20),SUMPRODUCT('計算A'!$D$87:$EQ$87,$DB20:$IO20))*1000+28)</f>
        <v/>
      </c>
      <c r="CJ20">
        <f>IF(AP20=1,1000000,IF('計算A'!$IT$38&gt;0,0,500000)+IF('計算A'!$IQ$38=2,SUMPRODUCT('計算A'!$D$88:$EQ$88,$DB20:$IO20,$IQ20:$OD20),SUMPRODUCT('計算A'!$D$88:$EQ$88,$DB20:$IO20))*1000+29)</f>
        <v/>
      </c>
      <c r="CK20">
        <f>IF(AQ20=1,1000000,IF('計算A'!$IT$39&gt;0,0,500000)+IF('計算A'!$IQ$39=2,SUMPRODUCT('計算A'!$D$89:$EQ$89,$DB20:$IO20,$IQ20:$OD20),SUMPRODUCT('計算A'!$D$89:$EQ$89,$DB20:$IO20))*1000+30)</f>
        <v/>
      </c>
      <c r="CL20">
        <f>IF(AR20=1,1000000,IF('計算A'!$IT$40&gt;0,0,500000)+IF('計算A'!$IQ$40=2,SUMPRODUCT('計算A'!$D$90:$EQ$90,$DB20:$IO20,$IQ20:$OD20),SUMPRODUCT('計算A'!$D$90:$EQ$90,$DB20:$IO20))*1000+31)</f>
        <v/>
      </c>
      <c r="CM20">
        <f>IF(AS20=1,1000000,IF('計算A'!$IT$41&gt;0,0,500000)+IF('計算A'!$IQ$41=2,SUMPRODUCT('計算A'!$D$91:$EQ$91,$DB20:$IO20,$IQ20:$OD20),SUMPRODUCT('計算A'!$D$91:$EQ$91,$DB20:$IO20))*1000+32)</f>
        <v/>
      </c>
      <c r="CN20">
        <f>IF(AT20=1,1000000,IF('計算A'!$IT$42&gt;0,0,500000)+IF('計算A'!$IQ$42=2,SUMPRODUCT('計算A'!$D$92:$EQ$92,$DB20:$IO20,$IQ20:$OD20),SUMPRODUCT('計算A'!$D$92:$EQ$92,$DB20:$IO20))*1000+33)</f>
        <v/>
      </c>
      <c r="CO20">
        <f>IF(AU20=1,1000000,IF('計算A'!$IT$43&gt;0,0,500000)+IF('計算A'!$IQ$43=2,SUMPRODUCT('計算A'!$D$93:$EQ$93,$DB20:$IO20,$IQ20:$OD20),SUMPRODUCT('計算A'!$D$93:$EQ$93,$DB20:$IO20))*1000+34)</f>
        <v/>
      </c>
      <c r="CP20">
        <f>IF(AV20=1,1000000,IF('計算A'!$IT$44&gt;0,0,500000)+IF('計算A'!$IQ$44=2,SUMPRODUCT('計算A'!$D$94:$EQ$94,$DB20:$IO20,$IQ20:$OD20),SUMPRODUCT('計算A'!$D$94:$EQ$94,$DB20:$IO20))*1000+35)</f>
        <v/>
      </c>
      <c r="CQ20">
        <f>IF(AW20=1,1000000,IF('計算A'!$IT$45&gt;0,0,500000)+IF('計算A'!$IQ$45=2,SUMPRODUCT('計算A'!$D$95:$EQ$95,$DB20:$IO20,$IQ20:$OD20),SUMPRODUCT('計算A'!$D$95:$EQ$95,$DB20:$IO20))*1000+36)</f>
        <v/>
      </c>
      <c r="CR20">
        <f>IF(AX20=1,1000000,IF('計算A'!$IT$46&gt;0,0,500000)+IF('計算A'!$IQ$46=2,SUMPRODUCT('計算A'!$D$96:$EQ$96,$DB20:$IO20,$IQ20:$OD20),SUMPRODUCT('計算A'!$D$96:$EQ$96,$DB20:$IO20))*1000+37)</f>
        <v/>
      </c>
      <c r="CS20">
        <f>IF(AY20=1,1000000,IF('計算A'!$IT$47&gt;0,0,500000)+IF('計算A'!$IQ$47=2,SUMPRODUCT('計算A'!$D$97:$EQ$97,$DB20:$IO20,$IQ20:$OD20),SUMPRODUCT('計算A'!$D$97:$EQ$97,$DB20:$IO20))*1000+38)</f>
        <v/>
      </c>
      <c r="CT20">
        <f>IF(AZ20=1,1000000,IF('計算A'!$IT$48&gt;0,0,500000)+IF('計算A'!$IQ$48=2,SUMPRODUCT('計算A'!$D$98:$EQ$98,$DB20:$IO20,$IQ20:$OD20),SUMPRODUCT('計算A'!$D$98:$EQ$98,$DB20:$IO20))*1000+39)</f>
        <v/>
      </c>
      <c r="CU20">
        <f>IF(BA20=1,1000000,IF('計算A'!$IT$49&gt;0,0,500000)+IF('計算A'!$IQ$49=2,SUMPRODUCT('計算A'!$D$99:$EQ$99,$DB20:$IO20,$IQ20:$OD20),SUMPRODUCT('計算A'!$D$99:$EQ$99,$DB20:$IO20))*1000+40)</f>
        <v/>
      </c>
      <c r="CV20">
        <f>IF(BB20=1,1000000,IF('計算A'!$IT$50&gt;0,0,500000)+IF('計算A'!$IQ$50=2,SUMPRODUCT('計算A'!$D$100:$EQ$100,$DB20:$IO20,$IQ20:$OD20),SUMPRODUCT('計算A'!$D$100:$EQ$100,$DB20:$IO20))*1000+41)</f>
        <v/>
      </c>
      <c r="CW20">
        <f>IF(BC20=1,1000000,IF('計算A'!$IT$51&gt;0,0,500000)+IF('計算A'!$IQ$51=2,SUMPRODUCT('計算A'!$D$101:$EQ$101,$DB20:$IO20,$IQ20:$OD20),SUMPRODUCT('計算A'!$D$101:$EQ$101,$DB20:$IO20))*1000+42)</f>
        <v/>
      </c>
      <c r="CX20">
        <f>IF(BD20=1,1000000,IF('計算A'!$IT$52&gt;0,0,500000)+IF('計算A'!$IQ$52=2,SUMPRODUCT('計算A'!$D$102:$EQ$102,$DB20:$IO20,$IQ20:$OD20),SUMPRODUCT('計算A'!$D$102:$EQ$102,$DB20:$IO20))*1000+43)</f>
        <v/>
      </c>
      <c r="CY20">
        <f>IF(BE20=1,1000000,IF('計算A'!$IT$53&gt;0,0,500000)+IF('計算A'!$IQ$53=2,SUMPRODUCT('計算A'!$D$103:$EQ$103,$DB20:$IO20,$IQ20:$OD20),SUMPRODUCT('計算A'!$D$103:$EQ$103,$DB20:$IO20))*1000+44)</f>
        <v/>
      </c>
      <c r="CZ20">
        <f>IF(BF20=1,1000000,IF('計算A'!$IT$54&gt;0,0,500000)+IF('計算A'!$IQ$54=2,SUMPRODUCT('計算A'!$D$104:$EQ$104,$DB20:$IO20,$IQ20:$OD20),SUMPRODUCT('計算A'!$D$104:$EQ$104,$DB20:$IO20))*1000+45)</f>
        <v/>
      </c>
      <c r="DB20">
        <f>DB19*IF(OR($C19=1,$G19=1),0,1)</f>
        <v/>
      </c>
      <c r="DC20">
        <f>DC19*IF(OR($C19=2,$G19=2),0,1)</f>
        <v/>
      </c>
      <c r="DD20">
        <f>DD19*IF(OR($C19=3,$G19=3),0,1)</f>
        <v/>
      </c>
      <c r="DE20">
        <f>DE19*IF(OR($C19=4,$G19=4),0,1)</f>
        <v/>
      </c>
      <c r="DF20">
        <f>DF19*IF(OR($C19=5,$G19=5),0,1)</f>
        <v/>
      </c>
      <c r="DG20">
        <f>DG19*IF(OR($C19=6,$G19=6),0,1)</f>
        <v/>
      </c>
      <c r="DH20">
        <f>DH19*IF(OR($C19=7,$G19=7),0,1)</f>
        <v/>
      </c>
      <c r="DI20">
        <f>DI19*IF(OR($C19=8,$G19=8),0,1)</f>
        <v/>
      </c>
      <c r="DJ20">
        <f>DJ19*IF(OR($C19=9,$G19=9),0,1)</f>
        <v/>
      </c>
      <c r="DK20">
        <f>DK19*IF(OR($C19=10,$G19=10),0,1)</f>
        <v/>
      </c>
      <c r="DL20">
        <f>DL19*IF(OR($C19=11,$G19=11),0,1)</f>
        <v/>
      </c>
      <c r="DM20">
        <f>DM19*IF(OR($C19=12,$G19=12),0,1)</f>
        <v/>
      </c>
      <c r="DN20">
        <f>DN19*IF(OR($C19=13,$G19=13),0,1)</f>
        <v/>
      </c>
      <c r="DO20">
        <f>DO19*IF(OR($C19=14,$G19=14),0,1)</f>
        <v/>
      </c>
      <c r="DP20">
        <f>DP19*IF(OR($C19=15,$G19=15),0,1)</f>
        <v/>
      </c>
      <c r="DQ20">
        <f>DQ19*IF(OR($C19=16,$G19=16),0,1)</f>
        <v/>
      </c>
      <c r="DR20">
        <f>DR19*IF(OR($C19=17,$G19=17),0,1)</f>
        <v/>
      </c>
      <c r="DS20">
        <f>DS19*IF(OR($C19=18,$G19=18),0,1)</f>
        <v/>
      </c>
      <c r="DT20">
        <f>DT19*IF(OR($C19=19,$G19=19),0,1)</f>
        <v/>
      </c>
      <c r="DU20">
        <f>DU19*IF(OR($C19=20,$G19=20),0,1)</f>
        <v/>
      </c>
      <c r="DV20">
        <f>DV19*IF(OR($C19=21,$G19=21),0,1)</f>
        <v/>
      </c>
      <c r="DW20">
        <f>DW19*IF(OR($C19=22,$G19=22),0,1)</f>
        <v/>
      </c>
      <c r="DX20">
        <f>DX19*IF(OR($C19=23,$G19=23),0,1)</f>
        <v/>
      </c>
      <c r="DY20">
        <f>DY19*IF(OR($C19=24,$G19=24),0,1)</f>
        <v/>
      </c>
      <c r="DZ20">
        <f>DZ19*IF(OR($C19=25,$G19=25),0,1)</f>
        <v/>
      </c>
      <c r="EA20">
        <f>EA19*IF(OR($C19=26,$G19=26),0,1)</f>
        <v/>
      </c>
      <c r="EB20">
        <f>EB19*IF(OR($C19=27,$G19=27),0,1)</f>
        <v/>
      </c>
      <c r="EC20">
        <f>EC19*IF(OR($C19=28,$G19=28),0,1)</f>
        <v/>
      </c>
      <c r="ED20">
        <f>ED19*IF(OR($C19=29,$G19=29),0,1)</f>
        <v/>
      </c>
      <c r="EE20">
        <f>EE19*IF(OR($C19=30,$G19=30),0,1)</f>
        <v/>
      </c>
      <c r="EF20">
        <f>EF19*IF(OR($C19=31,$G19=31),0,1)</f>
        <v/>
      </c>
      <c r="EG20">
        <f>EG19*IF(OR($C19=32,$G19=32),0,1)</f>
        <v/>
      </c>
      <c r="EH20">
        <f>EH19*IF(OR($C19=33,$G19=33),0,1)</f>
        <v/>
      </c>
      <c r="EI20">
        <f>EI19*IF(OR($C19=34,$G19=34),0,1)</f>
        <v/>
      </c>
      <c r="EJ20">
        <f>EJ19*IF(OR($C19=35,$G19=35),0,1)</f>
        <v/>
      </c>
      <c r="EK20">
        <f>EK19*IF(OR($C19=36,$G19=36),0,1)</f>
        <v/>
      </c>
      <c r="EL20">
        <f>EL19*IF(OR($C19=37,$G19=37),0,1)</f>
        <v/>
      </c>
      <c r="EM20">
        <f>EM19*IF(OR($C19=38,$G19=38),0,1)</f>
        <v/>
      </c>
      <c r="EN20">
        <f>EN19*IF(OR($C19=39,$G19=39),0,1)</f>
        <v/>
      </c>
      <c r="EO20">
        <f>EO19*IF(OR($C19=40,$G19=40),0,1)</f>
        <v/>
      </c>
      <c r="EP20">
        <f>EP19*IF(OR($C19=41,$G19=41),0,1)</f>
        <v/>
      </c>
      <c r="EQ20">
        <f>EQ19*IF(OR($C19=42,$G19=42),0,1)</f>
        <v/>
      </c>
      <c r="ER20">
        <f>ER19*IF(OR($C19=43,$G19=43),0,1)</f>
        <v/>
      </c>
      <c r="ES20">
        <f>ES19*IF(OR($C19=44,$G19=44),0,1)</f>
        <v/>
      </c>
      <c r="ET20">
        <f>ET19*IF(OR($C19=45,$G19=45),0,1)</f>
        <v/>
      </c>
      <c r="EU20">
        <f>EU19*IF(OR($C19=46,$G19=46),0,1)</f>
        <v/>
      </c>
      <c r="EV20">
        <f>EV19*IF(OR($C19=47,$G19=47),0,1)</f>
        <v/>
      </c>
      <c r="EW20">
        <f>EW19*IF(OR($C19=48,$G19=48),0,1)</f>
        <v/>
      </c>
      <c r="EX20">
        <f>EX19*IF(OR($C19=49,$G19=49),0,1)</f>
        <v/>
      </c>
      <c r="EY20">
        <f>EY19*IF(OR($C19=50,$G19=50),0,1)</f>
        <v/>
      </c>
      <c r="EZ20">
        <f>EZ19*IF(OR($C19=51,$G19=51),0,1)</f>
        <v/>
      </c>
      <c r="FA20">
        <f>FA19*IF(OR($C19=52,$G19=52),0,1)</f>
        <v/>
      </c>
      <c r="FB20">
        <f>FB19*IF(OR($C19=53,$G19=53),0,1)</f>
        <v/>
      </c>
      <c r="FC20">
        <f>FC19*IF(OR($C19=54,$G19=54),0,1)</f>
        <v/>
      </c>
      <c r="FD20">
        <f>FD19*IF(OR($C19=55,$G19=55),0,1)</f>
        <v/>
      </c>
      <c r="FE20">
        <f>FE19*IF(OR($C19=56,$G19=56),0,1)</f>
        <v/>
      </c>
      <c r="FF20">
        <f>FF19*IF(OR($C19=57,$G19=57),0,1)</f>
        <v/>
      </c>
      <c r="FG20">
        <f>FG19*IF(OR($C19=58,$G19=58),0,1)</f>
        <v/>
      </c>
      <c r="FH20">
        <f>FH19*IF(OR($C19=59,$G19=59),0,1)</f>
        <v/>
      </c>
      <c r="FI20">
        <f>FI19*IF(OR($C19=60,$G19=60),0,1)</f>
        <v/>
      </c>
      <c r="FJ20">
        <f>FJ19*IF(OR($C19=61,$G19=61),0,1)</f>
        <v/>
      </c>
      <c r="FK20">
        <f>FK19*IF(OR($C19=62,$G19=62),0,1)</f>
        <v/>
      </c>
      <c r="FL20">
        <f>FL19*IF(OR($C19=63,$G19=63),0,1)</f>
        <v/>
      </c>
      <c r="FM20">
        <f>FM19*IF(OR($C19=64,$G19=64),0,1)</f>
        <v/>
      </c>
      <c r="FN20">
        <f>FN19*IF(OR($C19=65,$G19=65),0,1)</f>
        <v/>
      </c>
      <c r="FO20">
        <f>FO19*IF(OR($C19=66,$G19=66),0,1)</f>
        <v/>
      </c>
      <c r="FP20">
        <f>FP19*IF(OR($C19=67,$G19=67),0,1)</f>
        <v/>
      </c>
      <c r="FQ20">
        <f>FQ19*IF(OR($C19=68,$G19=68),0,1)</f>
        <v/>
      </c>
      <c r="FR20">
        <f>FR19*IF(OR($C19=69,$G19=69),0,1)</f>
        <v/>
      </c>
      <c r="FS20">
        <f>FS19*IF(OR($C19=70,$G19=70),0,1)</f>
        <v/>
      </c>
      <c r="FT20">
        <f>FT19*IF(OR($C19=71,$G19=71),0,1)</f>
        <v/>
      </c>
      <c r="FU20">
        <f>FU19*IF(OR($C19=72,$G19=72),0,1)</f>
        <v/>
      </c>
      <c r="FV20">
        <f>FV19*IF(OR($C19=73,$G19=73),0,1)</f>
        <v/>
      </c>
      <c r="FW20">
        <f>FW19*IF(OR($C19=74,$G19=74),0,1)</f>
        <v/>
      </c>
      <c r="FX20">
        <f>FX19*IF(OR($C19=75,$G19=75),0,1)</f>
        <v/>
      </c>
      <c r="FY20">
        <f>FY19*IF(OR($C19=76,$G19=76),0,1)</f>
        <v/>
      </c>
      <c r="FZ20">
        <f>FZ19*IF(OR($C19=77,$G19=77),0,1)</f>
        <v/>
      </c>
      <c r="GA20">
        <f>GA19*IF(OR($C19=78,$G19=78),0,1)</f>
        <v/>
      </c>
      <c r="GB20">
        <f>GB19*IF(OR($C19=79,$G19=79),0,1)</f>
        <v/>
      </c>
      <c r="GC20">
        <f>GC19*IF(OR($C19=80,$G19=80),0,1)</f>
        <v/>
      </c>
      <c r="GD20">
        <f>GD19*IF(OR($C19=81,$G19=81),0,1)</f>
        <v/>
      </c>
      <c r="GE20">
        <f>GE19*IF(OR($C19=82,$G19=82),0,1)</f>
        <v/>
      </c>
      <c r="GF20">
        <f>GF19*IF(OR($C19=83,$G19=83),0,1)</f>
        <v/>
      </c>
      <c r="GG20">
        <f>GG19*IF(OR($C19=84,$G19=84),0,1)</f>
        <v/>
      </c>
      <c r="GH20">
        <f>GH19*IF(OR($C19=85,$G19=85),0,1)</f>
        <v/>
      </c>
      <c r="GI20">
        <f>GI19*IF(OR($C19=86,$G19=86),0,1)</f>
        <v/>
      </c>
      <c r="GJ20">
        <f>GJ19*IF(OR($C19=87,$G19=87),0,1)</f>
        <v/>
      </c>
      <c r="GK20">
        <f>GK19*IF(OR($C19=88,$G19=88),0,1)</f>
        <v/>
      </c>
      <c r="GL20">
        <f>GL19*IF(OR($C19=89,$G19=89),0,1)</f>
        <v/>
      </c>
      <c r="GM20">
        <f>GM19*IF(OR($C19=90,$G19=90),0,1)</f>
        <v/>
      </c>
      <c r="GN20">
        <f>GN19*IF(OR($C19=91,$G19=91),0,1)</f>
        <v/>
      </c>
      <c r="GO20">
        <f>GO19*IF(OR($C19=92,$G19=92),0,1)</f>
        <v/>
      </c>
      <c r="GP20">
        <f>GP19*IF(OR($C19=93,$G19=93),0,1)</f>
        <v/>
      </c>
      <c r="GQ20">
        <f>GQ19*IF(OR($C19=94,$G19=94),0,1)</f>
        <v/>
      </c>
      <c r="GR20">
        <f>GR19*IF(OR($C19=95,$G19=95),0,1)</f>
        <v/>
      </c>
      <c r="GS20">
        <f>GS19*IF(OR($C19=96,$G19=96),0,1)</f>
        <v/>
      </c>
      <c r="GT20">
        <f>GT19*IF(OR($C19=97,$G19=97),0,1)</f>
        <v/>
      </c>
      <c r="GU20">
        <f>GU19*IF(OR($C19=98,$G19=98),0,1)</f>
        <v/>
      </c>
      <c r="GV20">
        <f>GV19*IF(OR($C19=99,$G19=99),0,1)</f>
        <v/>
      </c>
      <c r="GW20">
        <f>GW19*IF(OR($C19=100,$G19=100),0,1)</f>
        <v/>
      </c>
      <c r="GX20">
        <f>GX19*IF(OR($C19=101,$G19=101),0,1)</f>
        <v/>
      </c>
      <c r="GY20">
        <f>GY19*IF(OR($C19=102,$G19=102),0,1)</f>
        <v/>
      </c>
      <c r="GZ20">
        <f>GZ19*IF(OR($C19=103,$G19=103),0,1)</f>
        <v/>
      </c>
      <c r="HA20">
        <f>HA19*IF(OR($C19=104,$G19=104),0,1)</f>
        <v/>
      </c>
      <c r="HB20">
        <f>HB19*IF(OR($C19=105,$G19=105),0,1)</f>
        <v/>
      </c>
      <c r="HC20">
        <f>HC19*IF(OR($C19=106,$G19=106),0,1)</f>
        <v/>
      </c>
      <c r="HD20">
        <f>HD19*IF(OR($C19=107,$G19=107),0,1)</f>
        <v/>
      </c>
      <c r="HE20">
        <f>HE19*IF(OR($C19=108,$G19=108),0,1)</f>
        <v/>
      </c>
      <c r="HF20">
        <f>HF19*IF(OR($C19=109,$G19=109),0,1)</f>
        <v/>
      </c>
      <c r="HG20">
        <f>HG19*IF(OR($C19=110,$G19=110),0,1)</f>
        <v/>
      </c>
      <c r="HH20">
        <f>HH19*IF(OR($C19=111,$G19=111),0,1)</f>
        <v/>
      </c>
      <c r="HI20">
        <f>HI19*IF(OR($C19=112,$G19=112),0,1)</f>
        <v/>
      </c>
      <c r="HJ20">
        <f>HJ19*IF(OR($C19=113,$G19=113),0,1)</f>
        <v/>
      </c>
      <c r="HK20">
        <f>HK19*IF(OR($C19=114,$G19=114),0,1)</f>
        <v/>
      </c>
      <c r="HL20">
        <f>HL19*IF(OR($C19=115,$G19=115),0,1)</f>
        <v/>
      </c>
      <c r="HM20">
        <f>HM19*IF(OR($C19=116,$G19=116),0,1)</f>
        <v/>
      </c>
      <c r="HN20">
        <f>HN19*IF(OR($C19=117,$G19=117),0,1)</f>
        <v/>
      </c>
      <c r="HO20">
        <f>HO19*IF(OR($C19=118,$G19=118),0,1)</f>
        <v/>
      </c>
      <c r="HP20">
        <f>HP19*IF(OR($C19=119,$G19=119),0,1)</f>
        <v/>
      </c>
      <c r="HQ20">
        <f>HQ19*IF(OR($C19=120,$G19=120),0,1)</f>
        <v/>
      </c>
      <c r="HR20">
        <f>HR19*IF(OR($C19=121,$G19=121),0,1)</f>
        <v/>
      </c>
      <c r="HS20">
        <f>HS19*IF(OR($C19=122,$G19=122),0,1)</f>
        <v/>
      </c>
      <c r="HT20">
        <f>HT19*IF(OR($C19=123,$G19=123),0,1)</f>
        <v/>
      </c>
      <c r="HU20">
        <f>HU19*IF(OR($C19=124,$G19=124),0,1)</f>
        <v/>
      </c>
      <c r="HV20">
        <f>HV19*IF(OR($C19=125,$G19=125),0,1)</f>
        <v/>
      </c>
      <c r="HW20">
        <f>HW19*IF(OR($C19=126,$G19=126),0,1)</f>
        <v/>
      </c>
      <c r="HX20">
        <f>HX19*IF(OR($C19=127,$G19=127),0,1)</f>
        <v/>
      </c>
      <c r="HY20">
        <f>HY19*IF(OR($C19=128,$G19=128),0,1)</f>
        <v/>
      </c>
      <c r="HZ20">
        <f>HZ19*IF(OR($C19=129,$G19=129),0,1)</f>
        <v/>
      </c>
      <c r="IA20">
        <f>IA19*IF(OR($C19=130,$G19=130),0,1)</f>
        <v/>
      </c>
      <c r="IB20">
        <f>IB19*IF(OR($C19=131,$G19=131),0,1)</f>
        <v/>
      </c>
      <c r="IC20">
        <f>IC19*IF(OR($C19=132,$G19=132),0,1)</f>
        <v/>
      </c>
      <c r="ID20">
        <f>ID19*IF(OR($C19=133,$G19=133),0,1)</f>
        <v/>
      </c>
      <c r="IE20">
        <f>IE19*IF(OR($C19=134,$G19=134),0,1)</f>
        <v/>
      </c>
      <c r="IF20">
        <f>IF19*IF(OR($C19=135,$G19=135),0,1)</f>
        <v/>
      </c>
      <c r="IG20">
        <f>IG19*IF(OR($C19=136,$G19=136),0,1)</f>
        <v/>
      </c>
      <c r="IH20">
        <f>IH19*IF(OR($C19=137,$G19=137),0,1)</f>
        <v/>
      </c>
      <c r="II20">
        <f>II19*IF(OR($C19=138,$G19=138),0,1)</f>
        <v/>
      </c>
      <c r="IJ20">
        <f>IJ19*IF(OR($C19=139,$G19=139),0,1)</f>
        <v/>
      </c>
      <c r="IK20">
        <f>IK19*IF(OR($C19=140,$G19=140),0,1)</f>
        <v/>
      </c>
      <c r="IL20">
        <f>IL19*IF(OR($C19=141,$G19=141),0,1)</f>
        <v/>
      </c>
      <c r="IM20">
        <f>IM19*IF(OR($C19=142,$G19=142),0,1)</f>
        <v/>
      </c>
      <c r="IN20">
        <f>IN19*IF(OR($C19=143,$G19=143),0,1)</f>
        <v/>
      </c>
      <c r="IO20">
        <f>IO19*IF(OR($C19=144,$G19=144),0,1)</f>
        <v/>
      </c>
      <c r="IQ20">
        <f>IF('計算A'!D$106=1,DC20,1)</f>
        <v/>
      </c>
      <c r="IR20">
        <f>IF('計算A'!E$106=1,DD20,1)</f>
        <v/>
      </c>
      <c r="IS20">
        <f>IF('計算A'!F$106=1,DE20,1)</f>
        <v/>
      </c>
      <c r="IT20">
        <f>IF('計算A'!G$106=1,DF20,1)</f>
        <v/>
      </c>
      <c r="IU20">
        <f>IF('計算A'!H$106=1,DG20,1)</f>
        <v/>
      </c>
      <c r="IV20">
        <f>IF('計算A'!I$106=1,DH20,1)</f>
        <v/>
      </c>
      <c r="IW20">
        <f>IF('計算A'!J$106=1,DI20,1)</f>
        <v/>
      </c>
      <c r="IX20">
        <f>IF('計算A'!K$106=1,DJ20,1)</f>
        <v/>
      </c>
      <c r="IY20">
        <f>IF('計算A'!L$106=1,DK20,1)</f>
        <v/>
      </c>
      <c r="IZ20">
        <f>IF('計算A'!M$106=1,DL20,1)</f>
        <v/>
      </c>
      <c r="JA20">
        <f>IF('計算A'!N$106=1,DM20,1)</f>
        <v/>
      </c>
      <c r="JB20">
        <f>IF('計算A'!O$106=1,DN20,1)</f>
        <v/>
      </c>
      <c r="JC20">
        <f>IF('計算A'!P$106=1,DO20,1)</f>
        <v/>
      </c>
      <c r="JD20">
        <f>IF('計算A'!Q$106=1,DP20,1)</f>
        <v/>
      </c>
      <c r="JE20">
        <f>IF('計算A'!R$106=1,DQ20,1)</f>
        <v/>
      </c>
      <c r="JF20">
        <f>IF('計算A'!S$106=1,DR20,1)</f>
        <v/>
      </c>
      <c r="JG20">
        <f>IF('計算A'!T$106=1,DS20,1)</f>
        <v/>
      </c>
      <c r="JH20">
        <f>IF('計算A'!U$106=1,DT20,1)</f>
        <v/>
      </c>
      <c r="JI20">
        <f>IF('計算A'!V$106=1,DU20,1)</f>
        <v/>
      </c>
      <c r="JJ20">
        <f>IF('計算A'!W$106=1,DV20,1)</f>
        <v/>
      </c>
      <c r="JK20">
        <f>IF('計算A'!X$106=1,DW20,1)</f>
        <v/>
      </c>
      <c r="JL20">
        <f>IF('計算A'!Y$106=1,DX20,1)</f>
        <v/>
      </c>
      <c r="JM20">
        <f>IF('計算A'!Z$106=1,DY20,1)</f>
        <v/>
      </c>
      <c r="JN20">
        <f>IF('計算A'!AA$106=1,DZ20,1)</f>
        <v/>
      </c>
      <c r="JO20">
        <f>IF('計算A'!AB$106=1,EA20,1)</f>
        <v/>
      </c>
      <c r="JP20">
        <f>IF('計算A'!AC$106=1,EB20,1)</f>
        <v/>
      </c>
      <c r="JQ20">
        <f>IF('計算A'!AD$106=1,EC20,1)</f>
        <v/>
      </c>
      <c r="JR20">
        <f>IF('計算A'!AE$106=1,ED20,1)</f>
        <v/>
      </c>
      <c r="JS20">
        <f>IF('計算A'!AF$106=1,EE20,1)</f>
        <v/>
      </c>
      <c r="JT20">
        <f>IF('計算A'!AG$106=1,EF20,1)</f>
        <v/>
      </c>
      <c r="JU20">
        <f>IF('計算A'!AH$106=1,EG20,1)</f>
        <v/>
      </c>
      <c r="JV20">
        <f>IF('計算A'!AI$106=1,EH20,1)</f>
        <v/>
      </c>
      <c r="JW20">
        <f>IF('計算A'!AJ$106=1,EI20,1)</f>
        <v/>
      </c>
      <c r="JX20">
        <f>IF('計算A'!AK$106=1,EJ20,1)</f>
        <v/>
      </c>
      <c r="JY20">
        <f>IF('計算A'!AL$106=1,EK20,1)</f>
        <v/>
      </c>
      <c r="JZ20">
        <f>IF('計算A'!AM$106=1,EL20,1)</f>
        <v/>
      </c>
      <c r="KA20">
        <f>IF('計算A'!AN$106=1,EM20,1)</f>
        <v/>
      </c>
      <c r="KB20">
        <f>IF('計算A'!AO$106=1,EN20,1)</f>
        <v/>
      </c>
      <c r="KC20">
        <f>IF('計算A'!AP$106=1,EO20,1)</f>
        <v/>
      </c>
      <c r="KD20">
        <f>IF('計算A'!AQ$106=1,EP20,1)</f>
        <v/>
      </c>
      <c r="KE20">
        <f>IF('計算A'!AR$106=1,EQ20,1)</f>
        <v/>
      </c>
      <c r="KF20">
        <f>IF('計算A'!AS$106=1,ER20,1)</f>
        <v/>
      </c>
      <c r="KG20">
        <f>IF('計算A'!AT$106=1,ES20,1)</f>
        <v/>
      </c>
      <c r="KH20">
        <f>IF('計算A'!AU$106=1,ET20,1)</f>
        <v/>
      </c>
      <c r="KI20">
        <f>IF('計算A'!AV$106=1,EU20,1)</f>
        <v/>
      </c>
      <c r="KJ20">
        <f>IF('計算A'!AW$106=1,EV20,1)</f>
        <v/>
      </c>
      <c r="KK20">
        <f>IF('計算A'!AX$106=1,EW20,1)</f>
        <v/>
      </c>
      <c r="KL20">
        <f>IF('計算A'!AY$106=1,EX20,1)</f>
        <v/>
      </c>
      <c r="KM20">
        <f>IF('計算A'!AZ$106=1,EY20,1)</f>
        <v/>
      </c>
      <c r="KN20">
        <f>IF('計算A'!BA$106=1,EZ20,1)</f>
        <v/>
      </c>
      <c r="KO20">
        <f>IF('計算A'!BB$106=1,FA20,1)</f>
        <v/>
      </c>
      <c r="KP20">
        <f>IF('計算A'!BC$106=1,FB20,1)</f>
        <v/>
      </c>
      <c r="KQ20">
        <f>IF('計算A'!BD$106=1,FC20,1)</f>
        <v/>
      </c>
      <c r="KR20">
        <f>IF('計算A'!BE$106=1,FD20,1)</f>
        <v/>
      </c>
      <c r="KS20">
        <f>IF('計算A'!BF$106=1,FE20,1)</f>
        <v/>
      </c>
      <c r="KT20">
        <f>IF('計算A'!BG$106=1,FF20,1)</f>
        <v/>
      </c>
      <c r="KU20">
        <f>IF('計算A'!BH$106=1,FG20,1)</f>
        <v/>
      </c>
      <c r="KV20">
        <f>IF('計算A'!BI$106=1,FH20,1)</f>
        <v/>
      </c>
      <c r="KW20">
        <f>IF('計算A'!BJ$106=1,FI20,1)</f>
        <v/>
      </c>
      <c r="KX20">
        <f>IF('計算A'!BK$106=1,FJ20,1)</f>
        <v/>
      </c>
      <c r="KY20">
        <f>IF('計算A'!BL$106=1,FK20,1)</f>
        <v/>
      </c>
      <c r="KZ20">
        <f>IF('計算A'!BM$106=1,FL20,1)</f>
        <v/>
      </c>
      <c r="LA20">
        <f>IF('計算A'!BN$106=1,FM20,1)</f>
        <v/>
      </c>
      <c r="LB20">
        <f>IF('計算A'!BO$106=1,FN20,1)</f>
        <v/>
      </c>
      <c r="LC20">
        <f>IF('計算A'!BP$106=1,FO20,1)</f>
        <v/>
      </c>
      <c r="LD20">
        <f>IF('計算A'!BQ$106=1,FP20,1)</f>
        <v/>
      </c>
      <c r="LE20">
        <f>IF('計算A'!BR$106=1,FQ20,1)</f>
        <v/>
      </c>
      <c r="LF20">
        <f>IF('計算A'!BS$106=1,FR20,1)</f>
        <v/>
      </c>
      <c r="LG20">
        <f>IF('計算A'!BT$106=1,FS20,1)</f>
        <v/>
      </c>
      <c r="LH20">
        <f>IF('計算A'!BU$106=1,FT20,1)</f>
        <v/>
      </c>
      <c r="LI20">
        <f>IF('計算A'!BV$106=1,FU20,1)</f>
        <v/>
      </c>
      <c r="LJ20">
        <f>IF('計算A'!BW$106=1,FV20,1)</f>
        <v/>
      </c>
      <c r="LK20">
        <f>IF('計算A'!BX$106=1,FW20,1)</f>
        <v/>
      </c>
      <c r="LL20">
        <f>IF('計算A'!BY$106=1,FX20,1)</f>
        <v/>
      </c>
      <c r="LM20">
        <f>IF('計算A'!BZ$106=1,FY20,1)</f>
        <v/>
      </c>
      <c r="LN20">
        <f>IF('計算A'!CA$106=1,FZ20,1)</f>
        <v/>
      </c>
      <c r="LO20">
        <f>IF('計算A'!CB$106=1,GA20,1)</f>
        <v/>
      </c>
      <c r="LP20">
        <f>IF('計算A'!CC$106=1,GB20,1)</f>
        <v/>
      </c>
      <c r="LQ20">
        <f>IF('計算A'!CD$106=1,GC20,1)</f>
        <v/>
      </c>
      <c r="LR20">
        <f>IF('計算A'!CE$106=1,GD20,1)</f>
        <v/>
      </c>
      <c r="LS20">
        <f>IF('計算A'!CF$106=1,GE20,1)</f>
        <v/>
      </c>
      <c r="LT20">
        <f>IF('計算A'!CG$106=1,GF20,1)</f>
        <v/>
      </c>
      <c r="LU20">
        <f>IF('計算A'!CH$106=1,GG20,1)</f>
        <v/>
      </c>
      <c r="LV20">
        <f>IF('計算A'!CI$106=1,GH20,1)</f>
        <v/>
      </c>
      <c r="LW20">
        <f>IF('計算A'!CJ$106=1,GI20,1)</f>
        <v/>
      </c>
      <c r="LX20">
        <f>IF('計算A'!CK$106=1,GJ20,1)</f>
        <v/>
      </c>
      <c r="LY20">
        <f>IF('計算A'!CL$106=1,GK20,1)</f>
        <v/>
      </c>
      <c r="LZ20">
        <f>IF('計算A'!CM$106=1,GL20,1)</f>
        <v/>
      </c>
      <c r="MA20">
        <f>IF('計算A'!CN$106=1,GM20,1)</f>
        <v/>
      </c>
      <c r="MB20">
        <f>IF('計算A'!CO$106=1,GN20,1)</f>
        <v/>
      </c>
      <c r="MC20">
        <f>IF('計算A'!CP$106=1,GO20,1)</f>
        <v/>
      </c>
      <c r="MD20">
        <f>IF('計算A'!CQ$106=1,GP20,1)</f>
        <v/>
      </c>
      <c r="ME20">
        <f>IF('計算A'!CR$106=1,GQ20,1)</f>
        <v/>
      </c>
      <c r="MF20">
        <f>IF('計算A'!CS$106=1,GR20,1)</f>
        <v/>
      </c>
      <c r="MG20">
        <f>IF('計算A'!CT$106=1,GS20,1)</f>
        <v/>
      </c>
      <c r="MH20">
        <f>IF('計算A'!CU$106=1,GT20,1)</f>
        <v/>
      </c>
      <c r="MI20">
        <f>IF('計算A'!CV$106=1,GU20,1)</f>
        <v/>
      </c>
      <c r="MJ20">
        <f>IF('計算A'!CW$106=1,GV20,1)</f>
        <v/>
      </c>
      <c r="MK20">
        <f>IF('計算A'!CX$106=1,GW20,1)</f>
        <v/>
      </c>
      <c r="ML20">
        <f>IF('計算A'!CY$106=1,GX20,1)</f>
        <v/>
      </c>
      <c r="MM20">
        <f>IF('計算A'!CZ$106=1,GY20,1)</f>
        <v/>
      </c>
      <c r="MN20">
        <f>IF('計算A'!DA$106=1,GZ20,1)</f>
        <v/>
      </c>
      <c r="MO20">
        <f>IF('計算A'!DB$106=1,HA20,1)</f>
        <v/>
      </c>
      <c r="MP20">
        <f>IF('計算A'!DC$106=1,HB20,1)</f>
        <v/>
      </c>
      <c r="MQ20">
        <f>IF('計算A'!DD$106=1,HC20,1)</f>
        <v/>
      </c>
      <c r="MR20">
        <f>IF('計算A'!DE$106=1,HD20,1)</f>
        <v/>
      </c>
      <c r="MS20">
        <f>IF('計算A'!DF$106=1,HE20,1)</f>
        <v/>
      </c>
      <c r="MT20">
        <f>IF('計算A'!DG$106=1,HF20,1)</f>
        <v/>
      </c>
      <c r="MU20">
        <f>IF('計算A'!DH$106=1,HG20,1)</f>
        <v/>
      </c>
      <c r="MV20">
        <f>IF('計算A'!DI$106=1,HH20,1)</f>
        <v/>
      </c>
      <c r="MW20">
        <f>IF('計算A'!DJ$106=1,HI20,1)</f>
        <v/>
      </c>
      <c r="MX20">
        <f>IF('計算A'!DK$106=1,HJ20,1)</f>
        <v/>
      </c>
      <c r="MY20">
        <f>IF('計算A'!DL$106=1,HK20,1)</f>
        <v/>
      </c>
      <c r="MZ20">
        <f>IF('計算A'!DM$106=1,HL20,1)</f>
        <v/>
      </c>
      <c r="NA20">
        <f>IF('計算A'!DN$106=1,HM20,1)</f>
        <v/>
      </c>
      <c r="NB20">
        <f>IF('計算A'!DO$106=1,HN20,1)</f>
        <v/>
      </c>
      <c r="NC20">
        <f>IF('計算A'!DP$106=1,HO20,1)</f>
        <v/>
      </c>
      <c r="ND20">
        <f>IF('計算A'!DQ$106=1,HP20,1)</f>
        <v/>
      </c>
      <c r="NE20">
        <f>IF('計算A'!DR$106=1,HQ20,1)</f>
        <v/>
      </c>
      <c r="NF20">
        <f>IF('計算A'!DS$106=1,HR20,1)</f>
        <v/>
      </c>
      <c r="NG20">
        <f>IF('計算A'!DT$106=1,HS20,1)</f>
        <v/>
      </c>
      <c r="NH20">
        <f>IF('計算A'!DU$106=1,HT20,1)</f>
        <v/>
      </c>
      <c r="NI20">
        <f>IF('計算A'!DV$106=1,HU20,1)</f>
        <v/>
      </c>
      <c r="NJ20">
        <f>IF('計算A'!DW$106=1,HV20,1)</f>
        <v/>
      </c>
      <c r="NK20">
        <f>IF('計算A'!DX$106=1,HW20,1)</f>
        <v/>
      </c>
      <c r="NL20">
        <f>IF('計算A'!DY$106=1,HX20,1)</f>
        <v/>
      </c>
      <c r="NM20">
        <f>IF('計算A'!DZ$106=1,HY20,1)</f>
        <v/>
      </c>
      <c r="NN20">
        <f>IF('計算A'!EA$106=1,HZ20,1)</f>
        <v/>
      </c>
      <c r="NO20">
        <f>IF('計算A'!EB$106=1,IA20,1)</f>
        <v/>
      </c>
      <c r="NP20">
        <f>IF('計算A'!EC$106=1,IB20,1)</f>
        <v/>
      </c>
      <c r="NQ20">
        <f>IF('計算A'!ED$106=1,IC20,1)</f>
        <v/>
      </c>
      <c r="NR20">
        <f>IF('計算A'!EE$106=1,ID20,1)</f>
        <v/>
      </c>
      <c r="NS20">
        <f>IF('計算A'!EF$106=1,IE20,1)</f>
        <v/>
      </c>
      <c r="NT20">
        <f>IF('計算A'!EG$106=1,IF20,1)</f>
        <v/>
      </c>
      <c r="NU20">
        <f>IF('計算A'!EH$106=1,IG20,1)</f>
        <v/>
      </c>
      <c r="NV20">
        <f>IF('計算A'!EI$106=1,IH20,1)</f>
        <v/>
      </c>
      <c r="NW20">
        <f>IF('計算A'!EJ$106=1,II20,1)</f>
        <v/>
      </c>
      <c r="NX20">
        <f>IF('計算A'!EK$106=1,IJ20,1)</f>
        <v/>
      </c>
      <c r="NY20">
        <f>IF('計算A'!EL$106=1,IK20,1)</f>
        <v/>
      </c>
      <c r="NZ20">
        <f>IF('計算A'!EM$106=1,IL20,1)</f>
        <v/>
      </c>
      <c r="OA20">
        <f>IF('計算A'!EN$106=1,IM20,1)</f>
        <v/>
      </c>
      <c r="OB20">
        <f>IF('計算A'!EO$106=1,IN20,1)</f>
        <v/>
      </c>
      <c r="OC20">
        <f>IF('計算A'!EP$106=1,IO20,1)</f>
        <v/>
      </c>
      <c r="OD20" t="n">
        <v>1</v>
      </c>
      <c r="OF20">
        <f>IF($B20=0,1000000,IF(INDEX('計算A'!$D$60:$EQ$104,$B20,1)*DB20=1,IF(AND($E20=2,IQ20=0),1000000,IF($I20&gt;0,IF(1=$J20,IF(OR(AND(1=$I20+1,OR($K20&lt;&gt;'計算A'!$A$3,'計算A'!$A$4=0)),AND(1=$I20-1,OR(1&lt;&gt;'計算A'!$A$3,'計算A'!$A$4=0))),0,IF(1=$K20,200000,ABS(1-$K20)*100)),100000+ABS(1-$J20)*1000+10)+'計算A'!D$5*50+IF(AND($E20=1,IQ20=0),25,0),INDEX('計算A'!D$110:D$114,$F20+1)+IF(AND($E20=1,IQ20=0),1000,0)+IF($H20=1,(IF('計算A'!D$117=1,INDEX('計算A'!E$10:E$54,$B20),0))*500,0)-IF(AND($L20=1,'計算A'!D$117=1,DC20=0),300,0))),1000000))</f>
        <v/>
      </c>
      <c r="OG20">
        <f>IF($B20=0,1000000,IF(INDEX('計算A'!$D$60:$EQ$104,$B20,2)*DC20=1,IF(AND($E20=2,IR20=0),1000000,IF($I20&gt;0,IF(1=$J20,IF(OR(AND(2=$I20+1,OR($K20&lt;&gt;'計算A'!$A$3,'計算A'!$A$4=0)),AND(2=$I20-1,OR(2&lt;&gt;'計算A'!$A$3,'計算A'!$A$4=0))),0,IF(2=$K20,200000,ABS(2-$K20)*100)),100000+ABS(1-$J20)*1000+20)+'計算A'!E$5*50+IF(AND($E20=1,IR20=0),25,0),INDEX('計算A'!E$110:E$114,$F20+1)+IF(AND($E20=1,IR20=0),1000,0)+IF($H20=1,(IF('計算A'!D$117=1,INDEX('計算A'!D$10:D$54,$B20),0)+IF('計算A'!E$117=1,INDEX('計算A'!F$10:F$54,$B20),0))*500,0)-IF(AND('計算A'!D$117=1,UB20&gt;0),300,0)-IF(AND($L20=1,'計算A'!E$117=1,DD20=0),300,0))),1000000))</f>
        <v/>
      </c>
      <c r="OH20">
        <f>IF($B20=0,1000000,IF(INDEX('計算A'!$D$60:$EQ$104,$B20,3)*DD20=1,IF(AND($E20=2,IS20=0),1000000,IF($I20&gt;0,IF(1=$J20,IF(OR(AND(3=$I20+1,OR($K20&lt;&gt;'計算A'!$A$3,'計算A'!$A$4=0)),AND(3=$I20-1,OR(3&lt;&gt;'計算A'!$A$3,'計算A'!$A$4=0))),0,IF(3=$K20,200000,ABS(3-$K20)*100)),100000+ABS(1-$J20)*1000+30)+'計算A'!F$5*50+IF(AND($E20=1,IS20=0),25,0),INDEX('計算A'!F$110:F$114,$F20+1)+IF(AND($E20=1,IS20=0),1000,0)+IF($H20=1,(IF('計算A'!E$117=1,INDEX('計算A'!E$10:E$54,$B20),0)+IF('計算A'!F$117=1,INDEX('計算A'!G$10:G$54,$B20),0))*500,0)-IF(AND('計算A'!E$117=1,UC20&gt;0),300,0)-IF(AND($L20=1,'計算A'!F$117=1,DE20=0),300,0))),1000000))</f>
        <v/>
      </c>
      <c r="OI20">
        <f>IF($B20=0,1000000,IF(INDEX('計算A'!$D$60:$EQ$104,$B20,4)*DE20=1,IF(AND($E20=2,IT20=0),1000000,IF($I20&gt;0,IF(1=$J20,IF(OR(AND(4=$I20+1,OR($K20&lt;&gt;'計算A'!$A$3,'計算A'!$A$4=0)),AND(4=$I20-1,OR(4&lt;&gt;'計算A'!$A$3,'計算A'!$A$4=0))),0,IF(4=$K20,200000,ABS(4-$K20)*100)),100000+ABS(1-$J20)*1000+40)+'計算A'!G$5*50+IF(AND($E20=1,IT20=0),25,0),INDEX('計算A'!G$110:G$114,$F20+1)+IF(AND($E20=1,IT20=0),1000,0)+IF($H20=1,(IF('計算A'!F$117=1,INDEX('計算A'!F$10:F$54,$B20),0)+IF('計算A'!G$117=1,INDEX('計算A'!H$10:H$54,$B20),0))*500,0)-IF(AND('計算A'!F$117=1,UD20&gt;0),300,0)-IF(AND($L20=1,'計算A'!G$117=1,DF20=0),300,0))),1000000))</f>
        <v/>
      </c>
      <c r="OJ20">
        <f>IF($B20=0,1000000,IF(INDEX('計算A'!$D$60:$EQ$104,$B20,5)*DF20=1,IF(AND($E20=2,IU20=0),1000000,IF($I20&gt;0,IF(1=$J20,IF(OR(AND(5=$I20+1,OR($K20&lt;&gt;'計算A'!$A$3,'計算A'!$A$4=0)),AND(5=$I20-1,OR(5&lt;&gt;'計算A'!$A$3,'計算A'!$A$4=0))),0,IF(5=$K20,200000,ABS(5-$K20)*100)),100000+ABS(1-$J20)*1000+50)+'計算A'!H$5*50+IF(AND($E20=1,IU20=0),25,0),INDEX('計算A'!H$110:H$114,$F20+1)+IF(AND($E20=1,IU20=0),1000,0)+IF($H20=1,(IF('計算A'!G$117=1,INDEX('計算A'!G$10:G$54,$B20),0)+IF('計算A'!H$117=1,INDEX('計算A'!I$10:I$54,$B20),0))*500,0)-IF(AND('計算A'!G$117=1,UE20&gt;0),300,0)-IF(AND($L20=1,'計算A'!H$117=1,DG20=0),300,0))),1000000))</f>
        <v/>
      </c>
      <c r="OK20">
        <f>IF($B20=0,1000000,IF(INDEX('計算A'!$D$60:$EQ$104,$B20,6)*DG20=1,IF(AND($E20=2,IV20=0),1000000,IF($I20&gt;0,IF(1=$J20,IF(OR(AND(6=$I20+1,OR($K20&lt;&gt;'計算A'!$A$3,'計算A'!$A$4=0)),AND(6=$I20-1,OR(6&lt;&gt;'計算A'!$A$3,'計算A'!$A$4=0))),0,IF(6=$K20,200000,ABS(6-$K20)*100)),100000+ABS(1-$J20)*1000+60)+'計算A'!I$5*50+IF(AND($E20=1,IV20=0),25,0),INDEX('計算A'!I$110:I$114,$F20+1)+IF(AND($E20=1,IV20=0),1000,0)+IF($H20=1,(IF('計算A'!H$117=1,INDEX('計算A'!H$10:H$54,$B20),0)+IF('計算A'!I$117=1,INDEX('計算A'!J$10:J$54,$B20),0))*500,0)-IF(AND('計算A'!H$117=1,UF20&gt;0),300,0)-IF(AND($L20=1,'計算A'!I$117=1,DH20=0),300,0))),1000000))</f>
        <v/>
      </c>
      <c r="OL20">
        <f>IF($B20=0,1000000,IF(INDEX('計算A'!$D$60:$EQ$104,$B20,7)*DH20=1,IF(AND($E20=2,IW20=0),1000000,IF($I20&gt;0,IF(1=$J20,IF(OR(AND(7=$I20+1,OR($K20&lt;&gt;'計算A'!$A$3,'計算A'!$A$4=0)),AND(7=$I20-1,OR(7&lt;&gt;'計算A'!$A$3,'計算A'!$A$4=0))),0,IF(7=$K20,200000,ABS(7-$K20)*100)),100000+ABS(1-$J20)*1000+70)+'計算A'!J$5*50+IF(AND($E20=1,IW20=0),25,0),INDEX('計算A'!J$110:J$114,$F20+1)+IF(AND($E20=1,IW20=0),1000,0)+IF($H20=1,(IF('計算A'!I$117=1,INDEX('計算A'!I$10:I$54,$B20),0)+IF('計算A'!J$117=1,INDEX('計算A'!K$10:K$54,$B20),0))*500,0)-IF(AND('計算A'!I$117=1,UG20&gt;0),300,0)-IF(AND($L20=1,'計算A'!J$117=1,DI20=0),300,0))),1000000))</f>
        <v/>
      </c>
      <c r="OM20">
        <f>IF($B20=0,1000000,IF(INDEX('計算A'!$D$60:$EQ$104,$B20,8)*DI20=1,IF(AND($E20=2,IX20=0),1000000,IF($I20&gt;0,IF(1=$J20,IF(OR(AND(8=$I20+1,OR($K20&lt;&gt;'計算A'!$A$3,'計算A'!$A$4=0)),AND(8=$I20-1,OR(8&lt;&gt;'計算A'!$A$3,'計算A'!$A$4=0))),0,IF(8=$K20,200000,ABS(8-$K20)*100)),100000+ABS(1-$J20)*1000+80)+'計算A'!K$5*50+IF(AND($E20=1,IX20=0),25,0),INDEX('計算A'!K$110:K$114,$F20+1)+IF(AND($E20=1,IX20=0),1000,0)+IF($H20=1,(IF('計算A'!J$117=1,INDEX('計算A'!J$10:J$54,$B20),0)+IF('計算A'!K$117=1,INDEX('計算A'!L$10:L$54,$B20),0))*500,0)-IF(AND('計算A'!J$117=1,UH20&gt;0),300,0)-IF(AND($L20=1,'計算A'!K$117=1,DJ20=0),300,0))),1000000))</f>
        <v/>
      </c>
      <c r="ON20">
        <f>IF($B20=0,1000000,IF(INDEX('計算A'!$D$60:$EQ$104,$B20,9)*DJ20=1,IF(AND($E20=2,IY20=0),1000000,IF($I20&gt;0,IF(1=$J20,IF(OR(AND(9=$I20+1,OR($K20&lt;&gt;'計算A'!$A$3,'計算A'!$A$4=0)),AND(9=$I20-1,OR(9&lt;&gt;'計算A'!$A$3,'計算A'!$A$4=0))),0,IF(9=$K20,200000,ABS(9-$K20)*100)),100000+ABS(1-$J20)*1000+90)+'計算A'!L$5*50+IF(AND($E20=1,IY20=0),25,0),INDEX('計算A'!L$110:L$114,$F20+1)+IF(AND($E20=1,IY20=0),1000,0)+IF($H20=1,(IF('計算A'!K$117=1,INDEX('計算A'!K$10:K$54,$B20),0)+IF('計算A'!L$117=1,INDEX('計算A'!M$10:M$54,$B20),0))*500,0)-IF(AND('計算A'!K$117=1,UI20&gt;0),300,0)-IF(AND($L20=1,'計算A'!L$117=1,DK20=0),300,0))),1000000))</f>
        <v/>
      </c>
      <c r="OO20">
        <f>IF($B20=0,1000000,IF(INDEX('計算A'!$D$60:$EQ$104,$B20,10)*DK20=1,IF(AND($E20=2,IZ20=0),1000000,IF($I20&gt;0,IF(1=$J20,IF(OR(AND(10=$I20+1,OR($K20&lt;&gt;'計算A'!$A$3,'計算A'!$A$4=0)),AND(10=$I20-1,OR(10&lt;&gt;'計算A'!$A$3,'計算A'!$A$4=0))),0,IF(10=$K20,200000,ABS(10-$K20)*100)),100000+ABS(1-$J20)*1000+100)+'計算A'!M$5*50+IF(AND($E20=1,IZ20=0),25,0),INDEX('計算A'!M$110:M$114,$F20+1)+IF(AND($E20=1,IZ20=0),1000,0)+IF($H20=1,(IF('計算A'!L$117=1,INDEX('計算A'!L$10:L$54,$B20),0)+IF('計算A'!M$117=1,INDEX('計算A'!N$10:N$54,$B20),0))*500,0)-IF(AND('計算A'!L$117=1,UJ20&gt;0),300,0)-IF(AND($L20=1,'計算A'!M$117=1,DL20=0),300,0))),1000000))</f>
        <v/>
      </c>
      <c r="OP20">
        <f>IF($B20=0,1000000,IF(INDEX('計算A'!$D$60:$EQ$104,$B20,11)*DL20=1,IF(AND($E20=2,JA20=0),1000000,IF($I20&gt;0,IF(1=$J20,IF(OR(AND(11=$I20+1,OR($K20&lt;&gt;'計算A'!$A$3,'計算A'!$A$4=0)),AND(11=$I20-1,OR(11&lt;&gt;'計算A'!$A$3,'計算A'!$A$4=0))),0,IF(11=$K20,200000,ABS(11-$K20)*100)),100000+ABS(1-$J20)*1000+110)+'計算A'!N$5*50+IF(AND($E20=1,JA20=0),25,0),INDEX('計算A'!N$110:N$114,$F20+1)+IF(AND($E20=1,JA20=0),1000,0)+IF($H20=1,(IF('計算A'!M$117=1,INDEX('計算A'!M$10:M$54,$B20),0)+IF('計算A'!N$117=1,INDEX('計算A'!O$10:O$54,$B20),0))*500,0)-IF(AND('計算A'!M$117=1,UK20&gt;0),300,0)-IF(AND($L20=1,'計算A'!N$117=1,DM20=0),300,0))),1000000))</f>
        <v/>
      </c>
      <c r="OQ20">
        <f>IF($B20=0,1000000,IF(INDEX('計算A'!$D$60:$EQ$104,$B20,12)*DM20=1,IF(AND($E20=2,JB20=0),1000000,IF($I20&gt;0,IF(1=$J20,IF(OR(AND(12=$I20+1,OR($K20&lt;&gt;'計算A'!$A$3,'計算A'!$A$4=0)),AND(12=$I20-1,OR(12&lt;&gt;'計算A'!$A$3,'計算A'!$A$4=0))),0,IF(12=$K20,200000,ABS(12-$K20)*100)),100000+ABS(1-$J20)*1000+120)+'計算A'!O$5*50+IF(AND($E20=1,JB20=0),25,0),INDEX('計算A'!O$110:O$114,$F20+1)+IF(AND($E20=1,JB20=0),1000,0)+IF($H20=1,(IF('計算A'!N$117=1,INDEX('計算A'!N$10:N$54,$B20),0)+IF('計算A'!O$117=1,INDEX('計算A'!P$10:P$54,$B20),0))*500,0)-IF(AND('計算A'!N$117=1,UL20&gt;0),300,0)-IF(AND($L20=1,'計算A'!O$117=1,DN20=0),300,0))),1000000))</f>
        <v/>
      </c>
      <c r="OR20">
        <f>IF($B20=0,1000000,IF(INDEX('計算A'!$D$60:$EQ$104,$B20,13)*DN20=1,IF(AND($E20=2,JC20=0),1000000,IF($I20&gt;0,IF(1=$J20,IF(OR(AND(13=$I20+1,OR($K20&lt;&gt;'計算A'!$A$3,'計算A'!$A$4=0)),AND(13=$I20-1,OR(13&lt;&gt;'計算A'!$A$3,'計算A'!$A$4=0))),0,IF(13=$K20,200000,ABS(13-$K20)*100)),100000+ABS(1-$J20)*1000+130)+'計算A'!P$5*50+IF(AND($E20=1,JC20=0),25,0),INDEX('計算A'!P$110:P$114,$F20+1)+IF(AND($E20=1,JC20=0),1000,0)+IF($H20=1,(IF('計算A'!O$117=1,INDEX('計算A'!O$10:O$54,$B20),0)+IF('計算A'!P$117=1,INDEX('計算A'!Q$10:Q$54,$B20),0))*500,0)-IF(AND('計算A'!O$117=1,UM20&gt;0),300,0)-IF(AND($L20=1,'計算A'!P$117=1,DO20=0),300,0))),1000000))</f>
        <v/>
      </c>
      <c r="OS20">
        <f>IF($B20=0,1000000,IF(INDEX('計算A'!$D$60:$EQ$104,$B20,14)*DO20=1,IF(AND($E20=2,JD20=0),1000000,IF($I20&gt;0,IF(1=$J20,IF(OR(AND(14=$I20+1,OR($K20&lt;&gt;'計算A'!$A$3,'計算A'!$A$4=0)),AND(14=$I20-1,OR(14&lt;&gt;'計算A'!$A$3,'計算A'!$A$4=0))),0,IF(14=$K20,200000,ABS(14-$K20)*100)),100000+ABS(1-$J20)*1000+140)+'計算A'!Q$5*50+IF(AND($E20=1,JD20=0),25,0),INDEX('計算A'!Q$110:Q$114,$F20+1)+IF(AND($E20=1,JD20=0),1000,0)+IF($H20=1,(IF('計算A'!P$117=1,INDEX('計算A'!P$10:P$54,$B20),0)+IF('計算A'!Q$117=1,INDEX('計算A'!R$10:R$54,$B20),0))*500,0)-IF(AND('計算A'!P$117=1,UN20&gt;0),300,0)-IF(AND($L20=1,'計算A'!Q$117=1,DP20=0),300,0))),1000000))</f>
        <v/>
      </c>
      <c r="OT20">
        <f>IF($B20=0,1000000,IF(INDEX('計算A'!$D$60:$EQ$104,$B20,15)*DP20=1,IF(AND($E20=2,JE20=0),1000000,IF($I20&gt;0,IF(1=$J20,IF(OR(AND(15=$I20+1,OR($K20&lt;&gt;'計算A'!$A$3,'計算A'!$A$4=0)),AND(15=$I20-1,OR(15&lt;&gt;'計算A'!$A$3,'計算A'!$A$4=0))),0,IF(15=$K20,200000,ABS(15-$K20)*100)),100000+ABS(1-$J20)*1000+150)+'計算A'!R$5*50+IF(AND($E20=1,JE20=0),25,0),INDEX('計算A'!R$110:R$114,$F20+1)+IF(AND($E20=1,JE20=0),1000,0)+IF($H20=1,(IF('計算A'!Q$117=1,INDEX('計算A'!Q$10:Q$54,$B20),0)+IF('計算A'!R$117=1,INDEX('計算A'!S$10:S$54,$B20),0))*500,0)-IF(AND('計算A'!Q$117=1,UO20&gt;0),300,0)-IF(AND($L20=1,'計算A'!R$117=1,DQ20=0),300,0))),1000000))</f>
        <v/>
      </c>
      <c r="OU20">
        <f>IF($B20=0,1000000,IF(INDEX('計算A'!$D$60:$EQ$104,$B20,16)*DQ20=1,IF(AND($E20=2,JF20=0),1000000,IF($I20&gt;0,IF(1=$J20,IF(OR(AND(16=$I20+1,OR($K20&lt;&gt;'計算A'!$A$3,'計算A'!$A$4=0)),AND(16=$I20-1,OR(16&lt;&gt;'計算A'!$A$3,'計算A'!$A$4=0))),0,IF(16=$K20,200000,ABS(16-$K20)*100)),100000+ABS(1-$J20)*1000+160)+'計算A'!S$5*50+IF(AND($E20=1,JF20=0),25,0),INDEX('計算A'!S$110:S$114,$F20+1)+IF(AND($E20=1,JF20=0),1000,0)+IF($H20=1,(IF('計算A'!R$117=1,INDEX('計算A'!R$10:R$54,$B20),0)+IF('計算A'!S$117=1,INDEX('計算A'!T$10:T$54,$B20),0))*500,0)-IF(AND('計算A'!R$117=1,UP20&gt;0),300,0)-IF(AND($L20=1,'計算A'!S$117=1,DR20=0),300,0))),1000000))</f>
        <v/>
      </c>
      <c r="OV20">
        <f>IF($B20=0,1000000,IF(INDEX('計算A'!$D$60:$EQ$104,$B20,17)*DR20=1,IF(AND($E20=2,JG20=0),1000000,IF($I20&gt;0,IF(1=$J20,IF(OR(AND(17=$I20+1,OR($K20&lt;&gt;'計算A'!$A$3,'計算A'!$A$4=0)),AND(17=$I20-1,OR(17&lt;&gt;'計算A'!$A$3,'計算A'!$A$4=0))),0,IF(17=$K20,200000,ABS(17-$K20)*100)),100000+ABS(1-$J20)*1000+170)+'計算A'!T$5*50+IF(AND($E20=1,JG20=0),25,0),INDEX('計算A'!T$110:T$114,$F20+1)+IF(AND($E20=1,JG20=0),1000,0)+IF($H20=1,(IF('計算A'!S$117=1,INDEX('計算A'!S$10:S$54,$B20),0)+IF('計算A'!T$117=1,INDEX('計算A'!U$10:U$54,$B20),0))*500,0)-IF(AND('計算A'!S$117=1,UQ20&gt;0),300,0)-IF(AND($L20=1,'計算A'!T$117=1,DS20=0),300,0))),1000000))</f>
        <v/>
      </c>
      <c r="OW20">
        <f>IF($B20=0,1000000,IF(INDEX('計算A'!$D$60:$EQ$104,$B20,18)*DS20=1,IF(AND($E20=2,JH20=0),1000000,IF($I20&gt;0,IF(1=$J20,IF(OR(AND(18=$I20+1,OR($K20&lt;&gt;'計算A'!$A$3,'計算A'!$A$4=0)),AND(18=$I20-1,OR(18&lt;&gt;'計算A'!$A$3,'計算A'!$A$4=0))),0,IF(18=$K20,200000,ABS(18-$K20)*100)),100000+ABS(1-$J20)*1000+180)+'計算A'!U$5*50+IF(AND($E20=1,JH20=0),25,0),INDEX('計算A'!U$110:U$114,$F20+1)+IF(AND($E20=1,JH20=0),1000,0)+IF($H20=1,(IF('計算A'!T$117=1,INDEX('計算A'!T$10:T$54,$B20),0)+IF('計算A'!U$117=1,INDEX('計算A'!V$10:V$54,$B20),0))*500,0)-IF(AND('計算A'!T$117=1,UR20&gt;0),300,0)-IF(AND($L20=1,'計算A'!U$117=1,DT20=0),300,0))),1000000))</f>
        <v/>
      </c>
      <c r="OX20">
        <f>IF($B20=0,1000000,IF(INDEX('計算A'!$D$60:$EQ$104,$B20,19)*DT20=1,IF(AND($E20=2,JI20=0),1000000,IF($I20&gt;0,IF(1=$J20,IF(OR(AND(19=$I20+1,OR($K20&lt;&gt;'計算A'!$A$3,'計算A'!$A$4=0)),AND(19=$I20-1,OR(19&lt;&gt;'計算A'!$A$3,'計算A'!$A$4=0))),0,IF(19=$K20,200000,ABS(19-$K20)*100)),100000+ABS(1-$J20)*1000+190)+'計算A'!V$5*50+IF(AND($E20=1,JI20=0),25,0),INDEX('計算A'!V$110:V$114,$F20+1)+IF(AND($E20=1,JI20=0),1000,0)+IF($H20=1,(IF('計算A'!U$117=1,INDEX('計算A'!U$10:U$54,$B20),0)+IF('計算A'!V$117=1,INDEX('計算A'!W$10:W$54,$B20),0))*500,0)-IF(AND('計算A'!U$117=1,US20&gt;0),300,0)-IF(AND($L20=1,'計算A'!V$117=1,DU20=0),300,0))),1000000))</f>
        <v/>
      </c>
      <c r="OY20">
        <f>IF($B20=0,1000000,IF(INDEX('計算A'!$D$60:$EQ$104,$B20,20)*DU20=1,IF(AND($E20=2,JJ20=0),1000000,IF($I20&gt;0,IF(1=$J20,IF(OR(AND(20=$I20+1,OR($K20&lt;&gt;'計算A'!$A$3,'計算A'!$A$4=0)),AND(20=$I20-1,OR(20&lt;&gt;'計算A'!$A$3,'計算A'!$A$4=0))),0,IF(20=$K20,200000,ABS(20-$K20)*100)),100000+ABS(1-$J20)*1000+200)+'計算A'!W$5*50+IF(AND($E20=1,JJ20=0),25,0),INDEX('計算A'!W$110:W$114,$F20+1)+IF(AND($E20=1,JJ20=0),1000,0)+IF($H20=1,(IF('計算A'!V$117=1,INDEX('計算A'!V$10:V$54,$B20),0)+IF('計算A'!W$117=1,INDEX('計算A'!X$10:X$54,$B20),0))*500,0)-IF(AND('計算A'!V$117=1,UT20&gt;0),300,0)-IF(AND($L20=1,'計算A'!W$117=1,DV20=0),300,0))),1000000))</f>
        <v/>
      </c>
      <c r="OZ20">
        <f>IF($B20=0,1000000,IF(INDEX('計算A'!$D$60:$EQ$104,$B20,21)*DV20=1,IF(AND($E20=2,JK20=0),1000000,IF($I20&gt;0,IF(1=$J20,IF(OR(AND(21=$I20+1,OR($K20&lt;&gt;'計算A'!$A$3,'計算A'!$A$4=0)),AND(21=$I20-1,OR(21&lt;&gt;'計算A'!$A$3,'計算A'!$A$4=0))),0,IF(21=$K20,200000,ABS(21-$K20)*100)),100000+ABS(1-$J20)*1000+210)+'計算A'!X$5*50+IF(AND($E20=1,JK20=0),25,0),INDEX('計算A'!X$110:X$114,$F20+1)+IF(AND($E20=1,JK20=0),1000,0)+IF($H20=1,(IF('計算A'!W$117=1,INDEX('計算A'!W$10:W$54,$B20),0)+IF('計算A'!X$117=1,INDEX('計算A'!Y$10:Y$54,$B20),0))*500,0)-IF(AND('計算A'!W$117=1,UU20&gt;0),300,0)-IF(AND($L20=1,'計算A'!X$117=1,DW20=0),300,0))),1000000))</f>
        <v/>
      </c>
      <c r="PA20">
        <f>IF($B20=0,1000000,IF(INDEX('計算A'!$D$60:$EQ$104,$B20,22)*DW20=1,IF(AND($E20=2,JL20=0),1000000,IF($I20&gt;0,IF(1=$J20,IF(OR(AND(22=$I20+1,OR($K20&lt;&gt;'計算A'!$A$3,'計算A'!$A$4=0)),AND(22=$I20-1,OR(22&lt;&gt;'計算A'!$A$3,'計算A'!$A$4=0))),0,IF(22=$K20,200000,ABS(22-$K20)*100)),100000+ABS(1-$J20)*1000+220)+'計算A'!Y$5*50+IF(AND($E20=1,JL20=0),25,0),INDEX('計算A'!Y$110:Y$114,$F20+1)+IF(AND($E20=1,JL20=0),1000,0)+IF($H20=1,(IF('計算A'!X$117=1,INDEX('計算A'!X$10:X$54,$B20),0)+IF('計算A'!Y$117=1,INDEX('計算A'!Z$10:Z$54,$B20),0))*500,0)-IF(AND('計算A'!X$117=1,UV20&gt;0),300,0)-IF(AND($L20=1,'計算A'!Y$117=1,DX20=0),300,0))),1000000))</f>
        <v/>
      </c>
      <c r="PB20">
        <f>IF($B20=0,1000000,IF(INDEX('計算A'!$D$60:$EQ$104,$B20,23)*DX20=1,IF(AND($E20=2,JM20=0),1000000,IF($I20&gt;0,IF(1=$J20,IF(OR(AND(23=$I20+1,OR($K20&lt;&gt;'計算A'!$A$3,'計算A'!$A$4=0)),AND(23=$I20-1,OR(23&lt;&gt;'計算A'!$A$3,'計算A'!$A$4=0))),0,IF(23=$K20,200000,ABS(23-$K20)*100)),100000+ABS(1-$J20)*1000+230)+'計算A'!Z$5*50+IF(AND($E20=1,JM20=0),25,0),INDEX('計算A'!Z$110:Z$114,$F20+1)+IF(AND($E20=1,JM20=0),1000,0)+IF($H20=1,(IF('計算A'!Y$117=1,INDEX('計算A'!Y$10:Y$54,$B20),0)+IF('計算A'!Z$117=1,INDEX('計算A'!AA$10:AA$54,$B20),0))*500,0)-IF(AND('計算A'!Y$117=1,UW20&gt;0),300,0)-IF(AND($L20=1,'計算A'!Z$117=1,DY20=0),300,0))),1000000))</f>
        <v/>
      </c>
      <c r="PC20">
        <f>IF($B20=0,1000000,IF(INDEX('計算A'!$D$60:$EQ$104,$B20,24)*DY20=1,IF(AND($E20=2,JN20=0),1000000,IF($I20&gt;0,IF(1=$J20,IF(OR(AND(24=$I20+1,OR($K20&lt;&gt;'計算A'!$A$3,'計算A'!$A$4=0)),AND(24=$I20-1,OR(24&lt;&gt;'計算A'!$A$3,'計算A'!$A$4=0))),0,IF(24=$K20,200000,ABS(24-$K20)*100)),100000+ABS(1-$J20)*1000+240)+'計算A'!AA$5*50+IF(AND($E20=1,JN20=0),25,0),INDEX('計算A'!AA$110:AA$114,$F20+1)+IF(AND($E20=1,JN20=0),1000,0)+IF($H20=1,(IF('計算A'!Z$117=1,INDEX('計算A'!Z$10:Z$54,$B20),0))*500,0)-IF(AND('計算A'!Z$117=1,UX20&gt;0),300,0))),1000000))</f>
        <v/>
      </c>
      <c r="PD20">
        <f>IF($B20=0,1000000,IF(INDEX('計算A'!$D$60:$EQ$104,$B20,25)*DZ20=1,IF(AND($E20=2,JO20=0),1000000,IF($I20&gt;0,IF(2=$J20,IF(OR(AND(25=$I20+1,OR($K20&lt;&gt;'計算A'!$A$3,'計算A'!$A$4=0)),AND(25=$I20-1,OR(1&lt;&gt;'計算A'!$A$3,'計算A'!$A$4=0))),0,IF(1=$K20,200000,ABS(1-$K20)*100)),100000+ABS(2-$J20)*1000+10)+'計算A'!AB$5*50+IF(AND($E20=1,JO20=0),25,0),INDEX('計算A'!AB$110:AB$114,$F20+1)+IF(AND($E20=1,JO20=0),1000,0)+IF($H20=1,(IF('計算A'!AB$117=1,INDEX('計算A'!AC$10:AC$54,$B20),0))*500,0)-IF(AND($L20=1,'計算A'!AB$117=1,EA20=0),300,0))),1000000))</f>
        <v/>
      </c>
      <c r="PE20">
        <f>IF($B20=0,1000000,IF(INDEX('計算A'!$D$60:$EQ$104,$B20,26)*EA20=1,IF(AND($E20=2,JP20=0),1000000,IF($I20&gt;0,IF(2=$J20,IF(OR(AND(26=$I20+1,OR($K20&lt;&gt;'計算A'!$A$3,'計算A'!$A$4=0)),AND(26=$I20-1,OR(2&lt;&gt;'計算A'!$A$3,'計算A'!$A$4=0))),0,IF(2=$K20,200000,ABS(2-$K20)*100)),100000+ABS(2-$J20)*1000+20)+'計算A'!AC$5*50+IF(AND($E20=1,JP20=0),25,0),INDEX('計算A'!AC$110:AC$114,$F20+1)+IF(AND($E20=1,JP20=0),1000,0)+IF($H20=1,(IF('計算A'!AB$117=1,INDEX('計算A'!AB$10:AB$54,$B20),0)+IF('計算A'!AC$117=1,INDEX('計算A'!AD$10:AD$54,$B20),0))*500,0)-IF(AND('計算A'!AB$117=1,UZ20&gt;0),300,0)-IF(AND($L20=1,'計算A'!AC$117=1,EB20=0),300,0))),1000000))</f>
        <v/>
      </c>
      <c r="PF20">
        <f>IF($B20=0,1000000,IF(INDEX('計算A'!$D$60:$EQ$104,$B20,27)*EB20=1,IF(AND($E20=2,JQ20=0),1000000,IF($I20&gt;0,IF(2=$J20,IF(OR(AND(27=$I20+1,OR($K20&lt;&gt;'計算A'!$A$3,'計算A'!$A$4=0)),AND(27=$I20-1,OR(3&lt;&gt;'計算A'!$A$3,'計算A'!$A$4=0))),0,IF(3=$K20,200000,ABS(3-$K20)*100)),100000+ABS(2-$J20)*1000+30)+'計算A'!AD$5*50+IF(AND($E20=1,JQ20=0),25,0),INDEX('計算A'!AD$110:AD$114,$F20+1)+IF(AND($E20=1,JQ20=0),1000,0)+IF($H20=1,(IF('計算A'!AC$117=1,INDEX('計算A'!AC$10:AC$54,$B20),0)+IF('計算A'!AD$117=1,INDEX('計算A'!AE$10:AE$54,$B20),0))*500,0)-IF(AND('計算A'!AC$117=1,VA20&gt;0),300,0)-IF(AND($L20=1,'計算A'!AD$117=1,EC20=0),300,0))),1000000))</f>
        <v/>
      </c>
      <c r="PG20">
        <f>IF($B20=0,1000000,IF(INDEX('計算A'!$D$60:$EQ$104,$B20,28)*EC20=1,IF(AND($E20=2,JR20=0),1000000,IF($I20&gt;0,IF(2=$J20,IF(OR(AND(28=$I20+1,OR($K20&lt;&gt;'計算A'!$A$3,'計算A'!$A$4=0)),AND(28=$I20-1,OR(4&lt;&gt;'計算A'!$A$3,'計算A'!$A$4=0))),0,IF(4=$K20,200000,ABS(4-$K20)*100)),100000+ABS(2-$J20)*1000+40)+'計算A'!AE$5*50+IF(AND($E20=1,JR20=0),25,0),INDEX('計算A'!AE$110:AE$114,$F20+1)+IF(AND($E20=1,JR20=0),1000,0)+IF($H20=1,(IF('計算A'!AD$117=1,INDEX('計算A'!AD$10:AD$54,$B20),0)+IF('計算A'!AE$117=1,INDEX('計算A'!AF$10:AF$54,$B20),0))*500,0)-IF(AND('計算A'!AD$117=1,VB20&gt;0),300,0)-IF(AND($L20=1,'計算A'!AE$117=1,ED20=0),300,0))),1000000))</f>
        <v/>
      </c>
      <c r="PH20">
        <f>IF($B20=0,1000000,IF(INDEX('計算A'!$D$60:$EQ$104,$B20,29)*ED20=1,IF(AND($E20=2,JS20=0),1000000,IF($I20&gt;0,IF(2=$J20,IF(OR(AND(29=$I20+1,OR($K20&lt;&gt;'計算A'!$A$3,'計算A'!$A$4=0)),AND(29=$I20-1,OR(5&lt;&gt;'計算A'!$A$3,'計算A'!$A$4=0))),0,IF(5=$K20,200000,ABS(5-$K20)*100)),100000+ABS(2-$J20)*1000+50)+'計算A'!AF$5*50+IF(AND($E20=1,JS20=0),25,0),INDEX('計算A'!AF$110:AF$114,$F20+1)+IF(AND($E20=1,JS20=0),1000,0)+IF($H20=1,(IF('計算A'!AE$117=1,INDEX('計算A'!AE$10:AE$54,$B20),0)+IF('計算A'!AF$117=1,INDEX('計算A'!AG$10:AG$54,$B20),0))*500,0)-IF(AND('計算A'!AE$117=1,VC20&gt;0),300,0)-IF(AND($L20=1,'計算A'!AF$117=1,EE20=0),300,0))),1000000))</f>
        <v/>
      </c>
      <c r="PI20">
        <f>IF($B20=0,1000000,IF(INDEX('計算A'!$D$60:$EQ$104,$B20,30)*EE20=1,IF(AND($E20=2,JT20=0),1000000,IF($I20&gt;0,IF(2=$J20,IF(OR(AND(30=$I20+1,OR($K20&lt;&gt;'計算A'!$A$3,'計算A'!$A$4=0)),AND(30=$I20-1,OR(6&lt;&gt;'計算A'!$A$3,'計算A'!$A$4=0))),0,IF(6=$K20,200000,ABS(6-$K20)*100)),100000+ABS(2-$J20)*1000+60)+'計算A'!AG$5*50+IF(AND($E20=1,JT20=0),25,0),INDEX('計算A'!AG$110:AG$114,$F20+1)+IF(AND($E20=1,JT20=0),1000,0)+IF($H20=1,(IF('計算A'!AF$117=1,INDEX('計算A'!AF$10:AF$54,$B20),0)+IF('計算A'!AG$117=1,INDEX('計算A'!AH$10:AH$54,$B20),0))*500,0)-IF(AND('計算A'!AF$117=1,VD20&gt;0),300,0)-IF(AND($L20=1,'計算A'!AG$117=1,EF20=0),300,0))),1000000))</f>
        <v/>
      </c>
      <c r="PJ20">
        <f>IF($B20=0,1000000,IF(INDEX('計算A'!$D$60:$EQ$104,$B20,31)*EF20=1,IF(AND($E20=2,JU20=0),1000000,IF($I20&gt;0,IF(2=$J20,IF(OR(AND(31=$I20+1,OR($K20&lt;&gt;'計算A'!$A$3,'計算A'!$A$4=0)),AND(31=$I20-1,OR(7&lt;&gt;'計算A'!$A$3,'計算A'!$A$4=0))),0,IF(7=$K20,200000,ABS(7-$K20)*100)),100000+ABS(2-$J20)*1000+70)+'計算A'!AH$5*50+IF(AND($E20=1,JU20=0),25,0),INDEX('計算A'!AH$110:AH$114,$F20+1)+IF(AND($E20=1,JU20=0),1000,0)+IF($H20=1,(IF('計算A'!AG$117=1,INDEX('計算A'!AG$10:AG$54,$B20),0)+IF('計算A'!AH$117=1,INDEX('計算A'!AI$10:AI$54,$B20),0))*500,0)-IF(AND('計算A'!AG$117=1,VE20&gt;0),300,0)-IF(AND($L20=1,'計算A'!AH$117=1,EG20=0),300,0))),1000000))</f>
        <v/>
      </c>
      <c r="PK20">
        <f>IF($B20=0,1000000,IF(INDEX('計算A'!$D$60:$EQ$104,$B20,32)*EG20=1,IF(AND($E20=2,JV20=0),1000000,IF($I20&gt;0,IF(2=$J20,IF(OR(AND(32=$I20+1,OR($K20&lt;&gt;'計算A'!$A$3,'計算A'!$A$4=0)),AND(32=$I20-1,OR(8&lt;&gt;'計算A'!$A$3,'計算A'!$A$4=0))),0,IF(8=$K20,200000,ABS(8-$K20)*100)),100000+ABS(2-$J20)*1000+80)+'計算A'!AI$5*50+IF(AND($E20=1,JV20=0),25,0),INDEX('計算A'!AI$110:AI$114,$F20+1)+IF(AND($E20=1,JV20=0),1000,0)+IF($H20=1,(IF('計算A'!AH$117=1,INDEX('計算A'!AH$10:AH$54,$B20),0)+IF('計算A'!AI$117=1,INDEX('計算A'!AJ$10:AJ$54,$B20),0))*500,0)-IF(AND('計算A'!AH$117=1,VF20&gt;0),300,0)-IF(AND($L20=1,'計算A'!AI$117=1,EH20=0),300,0))),1000000))</f>
        <v/>
      </c>
      <c r="PL20">
        <f>IF($B20=0,1000000,IF(INDEX('計算A'!$D$60:$EQ$104,$B20,33)*EH20=1,IF(AND($E20=2,JW20=0),1000000,IF($I20&gt;0,IF(2=$J20,IF(OR(AND(33=$I20+1,OR($K20&lt;&gt;'計算A'!$A$3,'計算A'!$A$4=0)),AND(33=$I20-1,OR(9&lt;&gt;'計算A'!$A$3,'計算A'!$A$4=0))),0,IF(9=$K20,200000,ABS(9-$K20)*100)),100000+ABS(2-$J20)*1000+90)+'計算A'!AJ$5*50+IF(AND($E20=1,JW20=0),25,0),INDEX('計算A'!AJ$110:AJ$114,$F20+1)+IF(AND($E20=1,JW20=0),1000,0)+IF($H20=1,(IF('計算A'!AI$117=1,INDEX('計算A'!AI$10:AI$54,$B20),0)+IF('計算A'!AJ$117=1,INDEX('計算A'!AK$10:AK$54,$B20),0))*500,0)-IF(AND('計算A'!AI$117=1,VG20&gt;0),300,0)-IF(AND($L20=1,'計算A'!AJ$117=1,EI20=0),300,0))),1000000))</f>
        <v/>
      </c>
      <c r="PM20">
        <f>IF($B20=0,1000000,IF(INDEX('計算A'!$D$60:$EQ$104,$B20,34)*EI20=1,IF(AND($E20=2,JX20=0),1000000,IF($I20&gt;0,IF(2=$J20,IF(OR(AND(34=$I20+1,OR($K20&lt;&gt;'計算A'!$A$3,'計算A'!$A$4=0)),AND(34=$I20-1,OR(10&lt;&gt;'計算A'!$A$3,'計算A'!$A$4=0))),0,IF(10=$K20,200000,ABS(10-$K20)*100)),100000+ABS(2-$J20)*1000+100)+'計算A'!AK$5*50+IF(AND($E20=1,JX20=0),25,0),INDEX('計算A'!AK$110:AK$114,$F20+1)+IF(AND($E20=1,JX20=0),1000,0)+IF($H20=1,(IF('計算A'!AJ$117=1,INDEX('計算A'!AJ$10:AJ$54,$B20),0)+IF('計算A'!AK$117=1,INDEX('計算A'!AL$10:AL$54,$B20),0))*500,0)-IF(AND('計算A'!AJ$117=1,VH20&gt;0),300,0)-IF(AND($L20=1,'計算A'!AK$117=1,EJ20=0),300,0))),1000000))</f>
        <v/>
      </c>
      <c r="PN20">
        <f>IF($B20=0,1000000,IF(INDEX('計算A'!$D$60:$EQ$104,$B20,35)*EJ20=1,IF(AND($E20=2,JY20=0),1000000,IF($I20&gt;0,IF(2=$J20,IF(OR(AND(35=$I20+1,OR($K20&lt;&gt;'計算A'!$A$3,'計算A'!$A$4=0)),AND(35=$I20-1,OR(11&lt;&gt;'計算A'!$A$3,'計算A'!$A$4=0))),0,IF(11=$K20,200000,ABS(11-$K20)*100)),100000+ABS(2-$J20)*1000+110)+'計算A'!AL$5*50+IF(AND($E20=1,JY20=0),25,0),INDEX('計算A'!AL$110:AL$114,$F20+1)+IF(AND($E20=1,JY20=0),1000,0)+IF($H20=1,(IF('計算A'!AK$117=1,INDEX('計算A'!AK$10:AK$54,$B20),0)+IF('計算A'!AL$117=1,INDEX('計算A'!AM$10:AM$54,$B20),0))*500,0)-IF(AND('計算A'!AK$117=1,VI20&gt;0),300,0)-IF(AND($L20=1,'計算A'!AL$117=1,EK20=0),300,0))),1000000))</f>
        <v/>
      </c>
      <c r="PO20">
        <f>IF($B20=0,1000000,IF(INDEX('計算A'!$D$60:$EQ$104,$B20,36)*EK20=1,IF(AND($E20=2,JZ20=0),1000000,IF($I20&gt;0,IF(2=$J20,IF(OR(AND(36=$I20+1,OR($K20&lt;&gt;'計算A'!$A$3,'計算A'!$A$4=0)),AND(36=$I20-1,OR(12&lt;&gt;'計算A'!$A$3,'計算A'!$A$4=0))),0,IF(12=$K20,200000,ABS(12-$K20)*100)),100000+ABS(2-$J20)*1000+120)+'計算A'!AM$5*50+IF(AND($E20=1,JZ20=0),25,0),INDEX('計算A'!AM$110:AM$114,$F20+1)+IF(AND($E20=1,JZ20=0),1000,0)+IF($H20=1,(IF('計算A'!AL$117=1,INDEX('計算A'!AL$10:AL$54,$B20),0)+IF('計算A'!AM$117=1,INDEX('計算A'!AN$10:AN$54,$B20),0))*500,0)-IF(AND('計算A'!AL$117=1,VJ20&gt;0),300,0)-IF(AND($L20=1,'計算A'!AM$117=1,EL20=0),300,0))),1000000))</f>
        <v/>
      </c>
      <c r="PP20">
        <f>IF($B20=0,1000000,IF(INDEX('計算A'!$D$60:$EQ$104,$B20,37)*EL20=1,IF(AND($E20=2,KA20=0),1000000,IF($I20&gt;0,IF(2=$J20,IF(OR(AND(37=$I20+1,OR($K20&lt;&gt;'計算A'!$A$3,'計算A'!$A$4=0)),AND(37=$I20-1,OR(13&lt;&gt;'計算A'!$A$3,'計算A'!$A$4=0))),0,IF(13=$K20,200000,ABS(13-$K20)*100)),100000+ABS(2-$J20)*1000+130)+'計算A'!AN$5*50+IF(AND($E20=1,KA20=0),25,0),INDEX('計算A'!AN$110:AN$114,$F20+1)+IF(AND($E20=1,KA20=0),1000,0)+IF($H20=1,(IF('計算A'!AM$117=1,INDEX('計算A'!AM$10:AM$54,$B20),0)+IF('計算A'!AN$117=1,INDEX('計算A'!AO$10:AO$54,$B20),0))*500,0)-IF(AND('計算A'!AM$117=1,VK20&gt;0),300,0)-IF(AND($L20=1,'計算A'!AN$117=1,EM20=0),300,0))),1000000))</f>
        <v/>
      </c>
      <c r="PQ20">
        <f>IF($B20=0,1000000,IF(INDEX('計算A'!$D$60:$EQ$104,$B20,38)*EM20=1,IF(AND($E20=2,KB20=0),1000000,IF($I20&gt;0,IF(2=$J20,IF(OR(AND(38=$I20+1,OR($K20&lt;&gt;'計算A'!$A$3,'計算A'!$A$4=0)),AND(38=$I20-1,OR(14&lt;&gt;'計算A'!$A$3,'計算A'!$A$4=0))),0,IF(14=$K20,200000,ABS(14-$K20)*100)),100000+ABS(2-$J20)*1000+140)+'計算A'!AO$5*50+IF(AND($E20=1,KB20=0),25,0),INDEX('計算A'!AO$110:AO$114,$F20+1)+IF(AND($E20=1,KB20=0),1000,0)+IF($H20=1,(IF('計算A'!AN$117=1,INDEX('計算A'!AN$10:AN$54,$B20),0)+IF('計算A'!AO$117=1,INDEX('計算A'!AP$10:AP$54,$B20),0))*500,0)-IF(AND('計算A'!AN$117=1,VL20&gt;0),300,0)-IF(AND($L20=1,'計算A'!AO$117=1,EN20=0),300,0))),1000000))</f>
        <v/>
      </c>
      <c r="PR20">
        <f>IF($B20=0,1000000,IF(INDEX('計算A'!$D$60:$EQ$104,$B20,39)*EN20=1,IF(AND($E20=2,KC20=0),1000000,IF($I20&gt;0,IF(2=$J20,IF(OR(AND(39=$I20+1,OR($K20&lt;&gt;'計算A'!$A$3,'計算A'!$A$4=0)),AND(39=$I20-1,OR(15&lt;&gt;'計算A'!$A$3,'計算A'!$A$4=0))),0,IF(15=$K20,200000,ABS(15-$K20)*100)),100000+ABS(2-$J20)*1000+150)+'計算A'!AP$5*50+IF(AND($E20=1,KC20=0),25,0),INDEX('計算A'!AP$110:AP$114,$F20+1)+IF(AND($E20=1,KC20=0),1000,0)+IF($H20=1,(IF('計算A'!AO$117=1,INDEX('計算A'!AO$10:AO$54,$B20),0)+IF('計算A'!AP$117=1,INDEX('計算A'!AQ$10:AQ$54,$B20),0))*500,0)-IF(AND('計算A'!AO$117=1,VM20&gt;0),300,0)-IF(AND($L20=1,'計算A'!AP$117=1,EO20=0),300,0))),1000000))</f>
        <v/>
      </c>
      <c r="PS20">
        <f>IF($B20=0,1000000,IF(INDEX('計算A'!$D$60:$EQ$104,$B20,40)*EO20=1,IF(AND($E20=2,KD20=0),1000000,IF($I20&gt;0,IF(2=$J20,IF(OR(AND(40=$I20+1,OR($K20&lt;&gt;'計算A'!$A$3,'計算A'!$A$4=0)),AND(40=$I20-1,OR(16&lt;&gt;'計算A'!$A$3,'計算A'!$A$4=0))),0,IF(16=$K20,200000,ABS(16-$K20)*100)),100000+ABS(2-$J20)*1000+160)+'計算A'!AQ$5*50+IF(AND($E20=1,KD20=0),25,0),INDEX('計算A'!AQ$110:AQ$114,$F20+1)+IF(AND($E20=1,KD20=0),1000,0)+IF($H20=1,(IF('計算A'!AP$117=1,INDEX('計算A'!AP$10:AP$54,$B20),0)+IF('計算A'!AQ$117=1,INDEX('計算A'!AR$10:AR$54,$B20),0))*500,0)-IF(AND('計算A'!AP$117=1,VN20&gt;0),300,0)-IF(AND($L20=1,'計算A'!AQ$117=1,EP20=0),300,0))),1000000))</f>
        <v/>
      </c>
      <c r="PT20">
        <f>IF($B20=0,1000000,IF(INDEX('計算A'!$D$60:$EQ$104,$B20,41)*EP20=1,IF(AND($E20=2,KE20=0),1000000,IF($I20&gt;0,IF(2=$J20,IF(OR(AND(41=$I20+1,OR($K20&lt;&gt;'計算A'!$A$3,'計算A'!$A$4=0)),AND(41=$I20-1,OR(17&lt;&gt;'計算A'!$A$3,'計算A'!$A$4=0))),0,IF(17=$K20,200000,ABS(17-$K20)*100)),100000+ABS(2-$J20)*1000+170)+'計算A'!AR$5*50+IF(AND($E20=1,KE20=0),25,0),INDEX('計算A'!AR$110:AR$114,$F20+1)+IF(AND($E20=1,KE20=0),1000,0)+IF($H20=1,(IF('計算A'!AQ$117=1,INDEX('計算A'!AQ$10:AQ$54,$B20),0)+IF('計算A'!AR$117=1,INDEX('計算A'!AS$10:AS$54,$B20),0))*500,0)-IF(AND('計算A'!AQ$117=1,VO20&gt;0),300,0)-IF(AND($L20=1,'計算A'!AR$117=1,EQ20=0),300,0))),1000000))</f>
        <v/>
      </c>
      <c r="PU20">
        <f>IF($B20=0,1000000,IF(INDEX('計算A'!$D$60:$EQ$104,$B20,42)*EQ20=1,IF(AND($E20=2,KF20=0),1000000,IF($I20&gt;0,IF(2=$J20,IF(OR(AND(42=$I20+1,OR($K20&lt;&gt;'計算A'!$A$3,'計算A'!$A$4=0)),AND(42=$I20-1,OR(18&lt;&gt;'計算A'!$A$3,'計算A'!$A$4=0))),0,IF(18=$K20,200000,ABS(18-$K20)*100)),100000+ABS(2-$J20)*1000+180)+'計算A'!AS$5*50+IF(AND($E20=1,KF20=0),25,0),INDEX('計算A'!AS$110:AS$114,$F20+1)+IF(AND($E20=1,KF20=0),1000,0)+IF($H20=1,(IF('計算A'!AR$117=1,INDEX('計算A'!AR$10:AR$54,$B20),0)+IF('計算A'!AS$117=1,INDEX('計算A'!AT$10:AT$54,$B20),0))*500,0)-IF(AND('計算A'!AR$117=1,VP20&gt;0),300,0)-IF(AND($L20=1,'計算A'!AS$117=1,ER20=0),300,0))),1000000))</f>
        <v/>
      </c>
      <c r="PV20">
        <f>IF($B20=0,1000000,IF(INDEX('計算A'!$D$60:$EQ$104,$B20,43)*ER20=1,IF(AND($E20=2,KG20=0),1000000,IF($I20&gt;0,IF(2=$J20,IF(OR(AND(43=$I20+1,OR($K20&lt;&gt;'計算A'!$A$3,'計算A'!$A$4=0)),AND(43=$I20-1,OR(19&lt;&gt;'計算A'!$A$3,'計算A'!$A$4=0))),0,IF(19=$K20,200000,ABS(19-$K20)*100)),100000+ABS(2-$J20)*1000+190)+'計算A'!AT$5*50+IF(AND($E20=1,KG20=0),25,0),INDEX('計算A'!AT$110:AT$114,$F20+1)+IF(AND($E20=1,KG20=0),1000,0)+IF($H20=1,(IF('計算A'!AS$117=1,INDEX('計算A'!AS$10:AS$54,$B20),0)+IF('計算A'!AT$117=1,INDEX('計算A'!AU$10:AU$54,$B20),0))*500,0)-IF(AND('計算A'!AS$117=1,VQ20&gt;0),300,0)-IF(AND($L20=1,'計算A'!AT$117=1,ES20=0),300,0))),1000000))</f>
        <v/>
      </c>
      <c r="PW20">
        <f>IF($B20=0,1000000,IF(INDEX('計算A'!$D$60:$EQ$104,$B20,44)*ES20=1,IF(AND($E20=2,KH20=0),1000000,IF($I20&gt;0,IF(2=$J20,IF(OR(AND(44=$I20+1,OR($K20&lt;&gt;'計算A'!$A$3,'計算A'!$A$4=0)),AND(44=$I20-1,OR(20&lt;&gt;'計算A'!$A$3,'計算A'!$A$4=0))),0,IF(20=$K20,200000,ABS(20-$K20)*100)),100000+ABS(2-$J20)*1000+200)+'計算A'!AU$5*50+IF(AND($E20=1,KH20=0),25,0),INDEX('計算A'!AU$110:AU$114,$F20+1)+IF(AND($E20=1,KH20=0),1000,0)+IF($H20=1,(IF('計算A'!AT$117=1,INDEX('計算A'!AT$10:AT$54,$B20),0)+IF('計算A'!AU$117=1,INDEX('計算A'!AV$10:AV$54,$B20),0))*500,0)-IF(AND('計算A'!AT$117=1,VR20&gt;0),300,0)-IF(AND($L20=1,'計算A'!AU$117=1,ET20=0),300,0))),1000000))</f>
        <v/>
      </c>
      <c r="PX20">
        <f>IF($B20=0,1000000,IF(INDEX('計算A'!$D$60:$EQ$104,$B20,45)*ET20=1,IF(AND($E20=2,KI20=0),1000000,IF($I20&gt;0,IF(2=$J20,IF(OR(AND(45=$I20+1,OR($K20&lt;&gt;'計算A'!$A$3,'計算A'!$A$4=0)),AND(45=$I20-1,OR(21&lt;&gt;'計算A'!$A$3,'計算A'!$A$4=0))),0,IF(21=$K20,200000,ABS(21-$K20)*100)),100000+ABS(2-$J20)*1000+210)+'計算A'!AV$5*50+IF(AND($E20=1,KI20=0),25,0),INDEX('計算A'!AV$110:AV$114,$F20+1)+IF(AND($E20=1,KI20=0),1000,0)+IF($H20=1,(IF('計算A'!AU$117=1,INDEX('計算A'!AU$10:AU$54,$B20),0)+IF('計算A'!AV$117=1,INDEX('計算A'!AW$10:AW$54,$B20),0))*500,0)-IF(AND('計算A'!AU$117=1,VS20&gt;0),300,0)-IF(AND($L20=1,'計算A'!AV$117=1,EU20=0),300,0))),1000000))</f>
        <v/>
      </c>
      <c r="PY20">
        <f>IF($B20=0,1000000,IF(INDEX('計算A'!$D$60:$EQ$104,$B20,46)*EU20=1,IF(AND($E20=2,KJ20=0),1000000,IF($I20&gt;0,IF(2=$J20,IF(OR(AND(46=$I20+1,OR($K20&lt;&gt;'計算A'!$A$3,'計算A'!$A$4=0)),AND(46=$I20-1,OR(22&lt;&gt;'計算A'!$A$3,'計算A'!$A$4=0))),0,IF(22=$K20,200000,ABS(22-$K20)*100)),100000+ABS(2-$J20)*1000+220)+'計算A'!AW$5*50+IF(AND($E20=1,KJ20=0),25,0),INDEX('計算A'!AW$110:AW$114,$F20+1)+IF(AND($E20=1,KJ20=0),1000,0)+IF($H20=1,(IF('計算A'!AV$117=1,INDEX('計算A'!AV$10:AV$54,$B20),0)+IF('計算A'!AW$117=1,INDEX('計算A'!AX$10:AX$54,$B20),0))*500,0)-IF(AND('計算A'!AV$117=1,VT20&gt;0),300,0)-IF(AND($L20=1,'計算A'!AW$117=1,EV20=0),300,0))),1000000))</f>
        <v/>
      </c>
      <c r="PZ20">
        <f>IF($B20=0,1000000,IF(INDEX('計算A'!$D$60:$EQ$104,$B20,47)*EV20=1,IF(AND($E20=2,KK20=0),1000000,IF($I20&gt;0,IF(2=$J20,IF(OR(AND(47=$I20+1,OR($K20&lt;&gt;'計算A'!$A$3,'計算A'!$A$4=0)),AND(47=$I20-1,OR(23&lt;&gt;'計算A'!$A$3,'計算A'!$A$4=0))),0,IF(23=$K20,200000,ABS(23-$K20)*100)),100000+ABS(2-$J20)*1000+230)+'計算A'!AX$5*50+IF(AND($E20=1,KK20=0),25,0),INDEX('計算A'!AX$110:AX$114,$F20+1)+IF(AND($E20=1,KK20=0),1000,0)+IF($H20=1,(IF('計算A'!AW$117=1,INDEX('計算A'!AW$10:AW$54,$B20),0)+IF('計算A'!AX$117=1,INDEX('計算A'!AY$10:AY$54,$B20),0))*500,0)-IF(AND('計算A'!AW$117=1,VU20&gt;0),300,0)-IF(AND($L20=1,'計算A'!AX$117=1,EW20=0),300,0))),1000000))</f>
        <v/>
      </c>
      <c r="QA20">
        <f>IF($B20=0,1000000,IF(INDEX('計算A'!$D$60:$EQ$104,$B20,48)*EW20=1,IF(AND($E20=2,KL20=0),1000000,IF($I20&gt;0,IF(2=$J20,IF(OR(AND(48=$I20+1,OR($K20&lt;&gt;'計算A'!$A$3,'計算A'!$A$4=0)),AND(48=$I20-1,OR(24&lt;&gt;'計算A'!$A$3,'計算A'!$A$4=0))),0,IF(24=$K20,200000,ABS(24-$K20)*100)),100000+ABS(2-$J20)*1000+240)+'計算A'!AY$5*50+IF(AND($E20=1,KL20=0),25,0),INDEX('計算A'!AY$110:AY$114,$F20+1)+IF(AND($E20=1,KL20=0),1000,0)+IF($H20=1,(IF('計算A'!AX$117=1,INDEX('計算A'!AX$10:AX$54,$B20),0))*500,0)-IF(AND('計算A'!AX$117=1,VV20&gt;0),300,0))),1000000))</f>
        <v/>
      </c>
      <c r="QB20">
        <f>IF($B20=0,1000000,IF(INDEX('計算A'!$D$60:$EQ$104,$B20,49)*EX20=1,IF(AND($E20=2,KM20=0),1000000,IF($I20&gt;0,IF(3=$J20,IF(OR(AND(49=$I20+1,OR($K20&lt;&gt;'計算A'!$A$3,'計算A'!$A$4=0)),AND(49=$I20-1,OR(1&lt;&gt;'計算A'!$A$3,'計算A'!$A$4=0))),0,IF(1=$K20,200000,ABS(1-$K20)*100)),100000+ABS(3-$J20)*1000+10)+'計算A'!AZ$5*50+IF(AND($E20=1,KM20=0),25,0),INDEX('計算A'!AZ$110:AZ$114,$F20+1)+IF(AND($E20=1,KM20=0),1000,0)+IF($H20=1,(IF('計算A'!AZ$117=1,INDEX('計算A'!BA$10:BA$54,$B20),0))*500,0)-IF(AND($L20=1,'計算A'!AZ$117=1,EY20=0),300,0))),1000000))</f>
        <v/>
      </c>
      <c r="QC20">
        <f>IF($B20=0,1000000,IF(INDEX('計算A'!$D$60:$EQ$104,$B20,50)*EY20=1,IF(AND($E20=2,KN20=0),1000000,IF($I20&gt;0,IF(3=$J20,IF(OR(AND(50=$I20+1,OR($K20&lt;&gt;'計算A'!$A$3,'計算A'!$A$4=0)),AND(50=$I20-1,OR(2&lt;&gt;'計算A'!$A$3,'計算A'!$A$4=0))),0,IF(2=$K20,200000,ABS(2-$K20)*100)),100000+ABS(3-$J20)*1000+20)+'計算A'!BA$5*50+IF(AND($E20=1,KN20=0),25,0),INDEX('計算A'!BA$110:BA$114,$F20+1)+IF(AND($E20=1,KN20=0),1000,0)+IF($H20=1,(IF('計算A'!AZ$117=1,INDEX('計算A'!AZ$10:AZ$54,$B20),0)+IF('計算A'!BA$117=1,INDEX('計算A'!BB$10:BB$54,$B20),0))*500,0)-IF(AND('計算A'!AZ$117=1,VX20&gt;0),300,0)-IF(AND($L20=1,'計算A'!BA$117=1,EZ20=0),300,0))),1000000))</f>
        <v/>
      </c>
      <c r="QD20">
        <f>IF($B20=0,1000000,IF(INDEX('計算A'!$D$60:$EQ$104,$B20,51)*EZ20=1,IF(AND($E20=2,KO20=0),1000000,IF($I20&gt;0,IF(3=$J20,IF(OR(AND(51=$I20+1,OR($K20&lt;&gt;'計算A'!$A$3,'計算A'!$A$4=0)),AND(51=$I20-1,OR(3&lt;&gt;'計算A'!$A$3,'計算A'!$A$4=0))),0,IF(3=$K20,200000,ABS(3-$K20)*100)),100000+ABS(3-$J20)*1000+30)+'計算A'!BB$5*50+IF(AND($E20=1,KO20=0),25,0),INDEX('計算A'!BB$110:BB$114,$F20+1)+IF(AND($E20=1,KO20=0),1000,0)+IF($H20=1,(IF('計算A'!BA$117=1,INDEX('計算A'!BA$10:BA$54,$B20),0)+IF('計算A'!BB$117=1,INDEX('計算A'!BC$10:BC$54,$B20),0))*500,0)-IF(AND('計算A'!BA$117=1,VY20&gt;0),300,0)-IF(AND($L20=1,'計算A'!BB$117=1,FA20=0),300,0))),1000000))</f>
        <v/>
      </c>
      <c r="QE20">
        <f>IF($B20=0,1000000,IF(INDEX('計算A'!$D$60:$EQ$104,$B20,52)*FA20=1,IF(AND($E20=2,KP20=0),1000000,IF($I20&gt;0,IF(3=$J20,IF(OR(AND(52=$I20+1,OR($K20&lt;&gt;'計算A'!$A$3,'計算A'!$A$4=0)),AND(52=$I20-1,OR(4&lt;&gt;'計算A'!$A$3,'計算A'!$A$4=0))),0,IF(4=$K20,200000,ABS(4-$K20)*100)),100000+ABS(3-$J20)*1000+40)+'計算A'!BC$5*50+IF(AND($E20=1,KP20=0),25,0),INDEX('計算A'!BC$110:BC$114,$F20+1)+IF(AND($E20=1,KP20=0),1000,0)+IF($H20=1,(IF('計算A'!BB$117=1,INDEX('計算A'!BB$10:BB$54,$B20),0)+IF('計算A'!BC$117=1,INDEX('計算A'!BD$10:BD$54,$B20),0))*500,0)-IF(AND('計算A'!BB$117=1,VZ20&gt;0),300,0)-IF(AND($L20=1,'計算A'!BC$117=1,FB20=0),300,0))),1000000))</f>
        <v/>
      </c>
      <c r="QF20">
        <f>IF($B20=0,1000000,IF(INDEX('計算A'!$D$60:$EQ$104,$B20,53)*FB20=1,IF(AND($E20=2,KQ20=0),1000000,IF($I20&gt;0,IF(3=$J20,IF(OR(AND(53=$I20+1,OR($K20&lt;&gt;'計算A'!$A$3,'計算A'!$A$4=0)),AND(53=$I20-1,OR(5&lt;&gt;'計算A'!$A$3,'計算A'!$A$4=0))),0,IF(5=$K20,200000,ABS(5-$K20)*100)),100000+ABS(3-$J20)*1000+50)+'計算A'!BD$5*50+IF(AND($E20=1,KQ20=0),25,0),INDEX('計算A'!BD$110:BD$114,$F20+1)+IF(AND($E20=1,KQ20=0),1000,0)+IF($H20=1,(IF('計算A'!BC$117=1,INDEX('計算A'!BC$10:BC$54,$B20),0)+IF('計算A'!BD$117=1,INDEX('計算A'!BE$10:BE$54,$B20),0))*500,0)-IF(AND('計算A'!BC$117=1,WA20&gt;0),300,0)-IF(AND($L20=1,'計算A'!BD$117=1,FC20=0),300,0))),1000000))</f>
        <v/>
      </c>
      <c r="QG20">
        <f>IF($B20=0,1000000,IF(INDEX('計算A'!$D$60:$EQ$104,$B20,54)*FC20=1,IF(AND($E20=2,KR20=0),1000000,IF($I20&gt;0,IF(3=$J20,IF(OR(AND(54=$I20+1,OR($K20&lt;&gt;'計算A'!$A$3,'計算A'!$A$4=0)),AND(54=$I20-1,OR(6&lt;&gt;'計算A'!$A$3,'計算A'!$A$4=0))),0,IF(6=$K20,200000,ABS(6-$K20)*100)),100000+ABS(3-$J20)*1000+60)+'計算A'!BE$5*50+IF(AND($E20=1,KR20=0),25,0),INDEX('計算A'!BE$110:BE$114,$F20+1)+IF(AND($E20=1,KR20=0),1000,0)+IF($H20=1,(IF('計算A'!BD$117=1,INDEX('計算A'!BD$10:BD$54,$B20),0)+IF('計算A'!BE$117=1,INDEX('計算A'!BF$10:BF$54,$B20),0))*500,0)-IF(AND('計算A'!BD$117=1,WB20&gt;0),300,0)-IF(AND($L20=1,'計算A'!BE$117=1,FD20=0),300,0))),1000000))</f>
        <v/>
      </c>
      <c r="QH20">
        <f>IF($B20=0,1000000,IF(INDEX('計算A'!$D$60:$EQ$104,$B20,55)*FD20=1,IF(AND($E20=2,KS20=0),1000000,IF($I20&gt;0,IF(3=$J20,IF(OR(AND(55=$I20+1,OR($K20&lt;&gt;'計算A'!$A$3,'計算A'!$A$4=0)),AND(55=$I20-1,OR(7&lt;&gt;'計算A'!$A$3,'計算A'!$A$4=0))),0,IF(7=$K20,200000,ABS(7-$K20)*100)),100000+ABS(3-$J20)*1000+70)+'計算A'!BF$5*50+IF(AND($E20=1,KS20=0),25,0),INDEX('計算A'!BF$110:BF$114,$F20+1)+IF(AND($E20=1,KS20=0),1000,0)+IF($H20=1,(IF('計算A'!BE$117=1,INDEX('計算A'!BE$10:BE$54,$B20),0)+IF('計算A'!BF$117=1,INDEX('計算A'!BG$10:BG$54,$B20),0))*500,0)-IF(AND('計算A'!BE$117=1,WC20&gt;0),300,0)-IF(AND($L20=1,'計算A'!BF$117=1,FE20=0),300,0))),1000000))</f>
        <v/>
      </c>
      <c r="QI20">
        <f>IF($B20=0,1000000,IF(INDEX('計算A'!$D$60:$EQ$104,$B20,56)*FE20=1,IF(AND($E20=2,KT20=0),1000000,IF($I20&gt;0,IF(3=$J20,IF(OR(AND(56=$I20+1,OR($K20&lt;&gt;'計算A'!$A$3,'計算A'!$A$4=0)),AND(56=$I20-1,OR(8&lt;&gt;'計算A'!$A$3,'計算A'!$A$4=0))),0,IF(8=$K20,200000,ABS(8-$K20)*100)),100000+ABS(3-$J20)*1000+80)+'計算A'!BG$5*50+IF(AND($E20=1,KT20=0),25,0),INDEX('計算A'!BG$110:BG$114,$F20+1)+IF(AND($E20=1,KT20=0),1000,0)+IF($H20=1,(IF('計算A'!BF$117=1,INDEX('計算A'!BF$10:BF$54,$B20),0)+IF('計算A'!BG$117=1,INDEX('計算A'!BH$10:BH$54,$B20),0))*500,0)-IF(AND('計算A'!BF$117=1,WD20&gt;0),300,0)-IF(AND($L20=1,'計算A'!BG$117=1,FF20=0),300,0))),1000000))</f>
        <v/>
      </c>
      <c r="QJ20">
        <f>IF($B20=0,1000000,IF(INDEX('計算A'!$D$60:$EQ$104,$B20,57)*FF20=1,IF(AND($E20=2,KU20=0),1000000,IF($I20&gt;0,IF(3=$J20,IF(OR(AND(57=$I20+1,OR($K20&lt;&gt;'計算A'!$A$3,'計算A'!$A$4=0)),AND(57=$I20-1,OR(9&lt;&gt;'計算A'!$A$3,'計算A'!$A$4=0))),0,IF(9=$K20,200000,ABS(9-$K20)*100)),100000+ABS(3-$J20)*1000+90)+'計算A'!BH$5*50+IF(AND($E20=1,KU20=0),25,0),INDEX('計算A'!BH$110:BH$114,$F20+1)+IF(AND($E20=1,KU20=0),1000,0)+IF($H20=1,(IF('計算A'!BG$117=1,INDEX('計算A'!BG$10:BG$54,$B20),0)+IF('計算A'!BH$117=1,INDEX('計算A'!BI$10:BI$54,$B20),0))*500,0)-IF(AND('計算A'!BG$117=1,WE20&gt;0),300,0)-IF(AND($L20=1,'計算A'!BH$117=1,FG20=0),300,0))),1000000))</f>
        <v/>
      </c>
      <c r="QK20">
        <f>IF($B20=0,1000000,IF(INDEX('計算A'!$D$60:$EQ$104,$B20,58)*FG20=1,IF(AND($E20=2,KV20=0),1000000,IF($I20&gt;0,IF(3=$J20,IF(OR(AND(58=$I20+1,OR($K20&lt;&gt;'計算A'!$A$3,'計算A'!$A$4=0)),AND(58=$I20-1,OR(10&lt;&gt;'計算A'!$A$3,'計算A'!$A$4=0))),0,IF(10=$K20,200000,ABS(10-$K20)*100)),100000+ABS(3-$J20)*1000+100)+'計算A'!BI$5*50+IF(AND($E20=1,KV20=0),25,0),INDEX('計算A'!BI$110:BI$114,$F20+1)+IF(AND($E20=1,KV20=0),1000,0)+IF($H20=1,(IF('計算A'!BH$117=1,INDEX('計算A'!BH$10:BH$54,$B20),0)+IF('計算A'!BI$117=1,INDEX('計算A'!BJ$10:BJ$54,$B20),0))*500,0)-IF(AND('計算A'!BH$117=1,WF20&gt;0),300,0)-IF(AND($L20=1,'計算A'!BI$117=1,FH20=0),300,0))),1000000))</f>
        <v/>
      </c>
      <c r="QL20">
        <f>IF($B20=0,1000000,IF(INDEX('計算A'!$D$60:$EQ$104,$B20,59)*FH20=1,IF(AND($E20=2,KW20=0),1000000,IF($I20&gt;0,IF(3=$J20,IF(OR(AND(59=$I20+1,OR($K20&lt;&gt;'計算A'!$A$3,'計算A'!$A$4=0)),AND(59=$I20-1,OR(11&lt;&gt;'計算A'!$A$3,'計算A'!$A$4=0))),0,IF(11=$K20,200000,ABS(11-$K20)*100)),100000+ABS(3-$J20)*1000+110)+'計算A'!BJ$5*50+IF(AND($E20=1,KW20=0),25,0),INDEX('計算A'!BJ$110:BJ$114,$F20+1)+IF(AND($E20=1,KW20=0),1000,0)+IF($H20=1,(IF('計算A'!BI$117=1,INDEX('計算A'!BI$10:BI$54,$B20),0)+IF('計算A'!BJ$117=1,INDEX('計算A'!BK$10:BK$54,$B20),0))*500,0)-IF(AND('計算A'!BI$117=1,WG20&gt;0),300,0)-IF(AND($L20=1,'計算A'!BJ$117=1,FI20=0),300,0))),1000000))</f>
        <v/>
      </c>
      <c r="QM20">
        <f>IF($B20=0,1000000,IF(INDEX('計算A'!$D$60:$EQ$104,$B20,60)*FI20=1,IF(AND($E20=2,KX20=0),1000000,IF($I20&gt;0,IF(3=$J20,IF(OR(AND(60=$I20+1,OR($K20&lt;&gt;'計算A'!$A$3,'計算A'!$A$4=0)),AND(60=$I20-1,OR(12&lt;&gt;'計算A'!$A$3,'計算A'!$A$4=0))),0,IF(12=$K20,200000,ABS(12-$K20)*100)),100000+ABS(3-$J20)*1000+120)+'計算A'!BK$5*50+IF(AND($E20=1,KX20=0),25,0),INDEX('計算A'!BK$110:BK$114,$F20+1)+IF(AND($E20=1,KX20=0),1000,0)+IF($H20=1,(IF('計算A'!BJ$117=1,INDEX('計算A'!BJ$10:BJ$54,$B20),0)+IF('計算A'!BK$117=1,INDEX('計算A'!BL$10:BL$54,$B20),0))*500,0)-IF(AND('計算A'!BJ$117=1,WH20&gt;0),300,0)-IF(AND($L20=1,'計算A'!BK$117=1,FJ20=0),300,0))),1000000))</f>
        <v/>
      </c>
      <c r="QN20">
        <f>IF($B20=0,1000000,IF(INDEX('計算A'!$D$60:$EQ$104,$B20,61)*FJ20=1,IF(AND($E20=2,KY20=0),1000000,IF($I20&gt;0,IF(3=$J20,IF(OR(AND(61=$I20+1,OR($K20&lt;&gt;'計算A'!$A$3,'計算A'!$A$4=0)),AND(61=$I20-1,OR(13&lt;&gt;'計算A'!$A$3,'計算A'!$A$4=0))),0,IF(13=$K20,200000,ABS(13-$K20)*100)),100000+ABS(3-$J20)*1000+130)+'計算A'!BL$5*50+IF(AND($E20=1,KY20=0),25,0),INDEX('計算A'!BL$110:BL$114,$F20+1)+IF(AND($E20=1,KY20=0),1000,0)+IF($H20=1,(IF('計算A'!BK$117=1,INDEX('計算A'!BK$10:BK$54,$B20),0)+IF('計算A'!BL$117=1,INDEX('計算A'!BM$10:BM$54,$B20),0))*500,0)-IF(AND('計算A'!BK$117=1,WI20&gt;0),300,0)-IF(AND($L20=1,'計算A'!BL$117=1,FK20=0),300,0))),1000000))</f>
        <v/>
      </c>
      <c r="QO20">
        <f>IF($B20=0,1000000,IF(INDEX('計算A'!$D$60:$EQ$104,$B20,62)*FK20=1,IF(AND($E20=2,KZ20=0),1000000,IF($I20&gt;0,IF(3=$J20,IF(OR(AND(62=$I20+1,OR($K20&lt;&gt;'計算A'!$A$3,'計算A'!$A$4=0)),AND(62=$I20-1,OR(14&lt;&gt;'計算A'!$A$3,'計算A'!$A$4=0))),0,IF(14=$K20,200000,ABS(14-$K20)*100)),100000+ABS(3-$J20)*1000+140)+'計算A'!BM$5*50+IF(AND($E20=1,KZ20=0),25,0),INDEX('計算A'!BM$110:BM$114,$F20+1)+IF(AND($E20=1,KZ20=0),1000,0)+IF($H20=1,(IF('計算A'!BL$117=1,INDEX('計算A'!BL$10:BL$54,$B20),0)+IF('計算A'!BM$117=1,INDEX('計算A'!BN$10:BN$54,$B20),0))*500,0)-IF(AND('計算A'!BL$117=1,WJ20&gt;0),300,0)-IF(AND($L20=1,'計算A'!BM$117=1,FL20=0),300,0))),1000000))</f>
        <v/>
      </c>
      <c r="QP20">
        <f>IF($B20=0,1000000,IF(INDEX('計算A'!$D$60:$EQ$104,$B20,63)*FL20=1,IF(AND($E20=2,LA20=0),1000000,IF($I20&gt;0,IF(3=$J20,IF(OR(AND(63=$I20+1,OR($K20&lt;&gt;'計算A'!$A$3,'計算A'!$A$4=0)),AND(63=$I20-1,OR(15&lt;&gt;'計算A'!$A$3,'計算A'!$A$4=0))),0,IF(15=$K20,200000,ABS(15-$K20)*100)),100000+ABS(3-$J20)*1000+150)+'計算A'!BN$5*50+IF(AND($E20=1,LA20=0),25,0),INDEX('計算A'!BN$110:BN$114,$F20+1)+IF(AND($E20=1,LA20=0),1000,0)+IF($H20=1,(IF('計算A'!BM$117=1,INDEX('計算A'!BM$10:BM$54,$B20),0)+IF('計算A'!BN$117=1,INDEX('計算A'!BO$10:BO$54,$B20),0))*500,0)-IF(AND('計算A'!BM$117=1,WK20&gt;0),300,0)-IF(AND($L20=1,'計算A'!BN$117=1,FM20=0),300,0))),1000000))</f>
        <v/>
      </c>
      <c r="QQ20">
        <f>IF($B20=0,1000000,IF(INDEX('計算A'!$D$60:$EQ$104,$B20,64)*FM20=1,IF(AND($E20=2,LB20=0),1000000,IF($I20&gt;0,IF(3=$J20,IF(OR(AND(64=$I20+1,OR($K20&lt;&gt;'計算A'!$A$3,'計算A'!$A$4=0)),AND(64=$I20-1,OR(16&lt;&gt;'計算A'!$A$3,'計算A'!$A$4=0))),0,IF(16=$K20,200000,ABS(16-$K20)*100)),100000+ABS(3-$J20)*1000+160)+'計算A'!BO$5*50+IF(AND($E20=1,LB20=0),25,0),INDEX('計算A'!BO$110:BO$114,$F20+1)+IF(AND($E20=1,LB20=0),1000,0)+IF($H20=1,(IF('計算A'!BN$117=1,INDEX('計算A'!BN$10:BN$54,$B20),0)+IF('計算A'!BO$117=1,INDEX('計算A'!BP$10:BP$54,$B20),0))*500,0)-IF(AND('計算A'!BN$117=1,WL20&gt;0),300,0)-IF(AND($L20=1,'計算A'!BO$117=1,FN20=0),300,0))),1000000))</f>
        <v/>
      </c>
      <c r="QR20">
        <f>IF($B20=0,1000000,IF(INDEX('計算A'!$D$60:$EQ$104,$B20,65)*FN20=1,IF(AND($E20=2,LC20=0),1000000,IF($I20&gt;0,IF(3=$J20,IF(OR(AND(65=$I20+1,OR($K20&lt;&gt;'計算A'!$A$3,'計算A'!$A$4=0)),AND(65=$I20-1,OR(17&lt;&gt;'計算A'!$A$3,'計算A'!$A$4=0))),0,IF(17=$K20,200000,ABS(17-$K20)*100)),100000+ABS(3-$J20)*1000+170)+'計算A'!BP$5*50+IF(AND($E20=1,LC20=0),25,0),INDEX('計算A'!BP$110:BP$114,$F20+1)+IF(AND($E20=1,LC20=0),1000,0)+IF($H20=1,(IF('計算A'!BO$117=1,INDEX('計算A'!BO$10:BO$54,$B20),0)+IF('計算A'!BP$117=1,INDEX('計算A'!BQ$10:BQ$54,$B20),0))*500,0)-IF(AND('計算A'!BO$117=1,WM20&gt;0),300,0)-IF(AND($L20=1,'計算A'!BP$117=1,FO20=0),300,0))),1000000))</f>
        <v/>
      </c>
      <c r="QS20">
        <f>IF($B20=0,1000000,IF(INDEX('計算A'!$D$60:$EQ$104,$B20,66)*FO20=1,IF(AND($E20=2,LD20=0),1000000,IF($I20&gt;0,IF(3=$J20,IF(OR(AND(66=$I20+1,OR($K20&lt;&gt;'計算A'!$A$3,'計算A'!$A$4=0)),AND(66=$I20-1,OR(18&lt;&gt;'計算A'!$A$3,'計算A'!$A$4=0))),0,IF(18=$K20,200000,ABS(18-$K20)*100)),100000+ABS(3-$J20)*1000+180)+'計算A'!BQ$5*50+IF(AND($E20=1,LD20=0),25,0),INDEX('計算A'!BQ$110:BQ$114,$F20+1)+IF(AND($E20=1,LD20=0),1000,0)+IF($H20=1,(IF('計算A'!BP$117=1,INDEX('計算A'!BP$10:BP$54,$B20),0)+IF('計算A'!BQ$117=1,INDEX('計算A'!BR$10:BR$54,$B20),0))*500,0)-IF(AND('計算A'!BP$117=1,WN20&gt;0),300,0)-IF(AND($L20=1,'計算A'!BQ$117=1,FP20=0),300,0))),1000000))</f>
        <v/>
      </c>
      <c r="QT20">
        <f>IF($B20=0,1000000,IF(INDEX('計算A'!$D$60:$EQ$104,$B20,67)*FP20=1,IF(AND($E20=2,LE20=0),1000000,IF($I20&gt;0,IF(3=$J20,IF(OR(AND(67=$I20+1,OR($K20&lt;&gt;'計算A'!$A$3,'計算A'!$A$4=0)),AND(67=$I20-1,OR(19&lt;&gt;'計算A'!$A$3,'計算A'!$A$4=0))),0,IF(19=$K20,200000,ABS(19-$K20)*100)),100000+ABS(3-$J20)*1000+190)+'計算A'!BR$5*50+IF(AND($E20=1,LE20=0),25,0),INDEX('計算A'!BR$110:BR$114,$F20+1)+IF(AND($E20=1,LE20=0),1000,0)+IF($H20=1,(IF('計算A'!BQ$117=1,INDEX('計算A'!BQ$10:BQ$54,$B20),0)+IF('計算A'!BR$117=1,INDEX('計算A'!BS$10:BS$54,$B20),0))*500,0)-IF(AND('計算A'!BQ$117=1,WO20&gt;0),300,0)-IF(AND($L20=1,'計算A'!BR$117=1,FQ20=0),300,0))),1000000))</f>
        <v/>
      </c>
      <c r="QU20">
        <f>IF($B20=0,1000000,IF(INDEX('計算A'!$D$60:$EQ$104,$B20,68)*FQ20=1,IF(AND($E20=2,LF20=0),1000000,IF($I20&gt;0,IF(3=$J20,IF(OR(AND(68=$I20+1,OR($K20&lt;&gt;'計算A'!$A$3,'計算A'!$A$4=0)),AND(68=$I20-1,OR(20&lt;&gt;'計算A'!$A$3,'計算A'!$A$4=0))),0,IF(20=$K20,200000,ABS(20-$K20)*100)),100000+ABS(3-$J20)*1000+200)+'計算A'!BS$5*50+IF(AND($E20=1,LF20=0),25,0),INDEX('計算A'!BS$110:BS$114,$F20+1)+IF(AND($E20=1,LF20=0),1000,0)+IF($H20=1,(IF('計算A'!BR$117=1,INDEX('計算A'!BR$10:BR$54,$B20),0)+IF('計算A'!BS$117=1,INDEX('計算A'!BT$10:BT$54,$B20),0))*500,0)-IF(AND('計算A'!BR$117=1,WP20&gt;0),300,0)-IF(AND($L20=1,'計算A'!BS$117=1,FR20=0),300,0))),1000000))</f>
        <v/>
      </c>
      <c r="QV20">
        <f>IF($B20=0,1000000,IF(INDEX('計算A'!$D$60:$EQ$104,$B20,69)*FR20=1,IF(AND($E20=2,LG20=0),1000000,IF($I20&gt;0,IF(3=$J20,IF(OR(AND(69=$I20+1,OR($K20&lt;&gt;'計算A'!$A$3,'計算A'!$A$4=0)),AND(69=$I20-1,OR(21&lt;&gt;'計算A'!$A$3,'計算A'!$A$4=0))),0,IF(21=$K20,200000,ABS(21-$K20)*100)),100000+ABS(3-$J20)*1000+210)+'計算A'!BT$5*50+IF(AND($E20=1,LG20=0),25,0),INDEX('計算A'!BT$110:BT$114,$F20+1)+IF(AND($E20=1,LG20=0),1000,0)+IF($H20=1,(IF('計算A'!BS$117=1,INDEX('計算A'!BS$10:BS$54,$B20),0)+IF('計算A'!BT$117=1,INDEX('計算A'!BU$10:BU$54,$B20),0))*500,0)-IF(AND('計算A'!BS$117=1,WQ20&gt;0),300,0)-IF(AND($L20=1,'計算A'!BT$117=1,FS20=0),300,0))),1000000))</f>
        <v/>
      </c>
      <c r="QW20">
        <f>IF($B20=0,1000000,IF(INDEX('計算A'!$D$60:$EQ$104,$B20,70)*FS20=1,IF(AND($E20=2,LH20=0),1000000,IF($I20&gt;0,IF(3=$J20,IF(OR(AND(70=$I20+1,OR($K20&lt;&gt;'計算A'!$A$3,'計算A'!$A$4=0)),AND(70=$I20-1,OR(22&lt;&gt;'計算A'!$A$3,'計算A'!$A$4=0))),0,IF(22=$K20,200000,ABS(22-$K20)*100)),100000+ABS(3-$J20)*1000+220)+'計算A'!BU$5*50+IF(AND($E20=1,LH20=0),25,0),INDEX('計算A'!BU$110:BU$114,$F20+1)+IF(AND($E20=1,LH20=0),1000,0)+IF($H20=1,(IF('計算A'!BT$117=1,INDEX('計算A'!BT$10:BT$54,$B20),0)+IF('計算A'!BU$117=1,INDEX('計算A'!BV$10:BV$54,$B20),0))*500,0)-IF(AND('計算A'!BT$117=1,WR20&gt;0),300,0)-IF(AND($L20=1,'計算A'!BU$117=1,FT20=0),300,0))),1000000))</f>
        <v/>
      </c>
      <c r="QX20">
        <f>IF($B20=0,1000000,IF(INDEX('計算A'!$D$60:$EQ$104,$B20,71)*FT20=1,IF(AND($E20=2,LI20=0),1000000,IF($I20&gt;0,IF(3=$J20,IF(OR(AND(71=$I20+1,OR($K20&lt;&gt;'計算A'!$A$3,'計算A'!$A$4=0)),AND(71=$I20-1,OR(23&lt;&gt;'計算A'!$A$3,'計算A'!$A$4=0))),0,IF(23=$K20,200000,ABS(23-$K20)*100)),100000+ABS(3-$J20)*1000+230)+'計算A'!BV$5*50+IF(AND($E20=1,LI20=0),25,0),INDEX('計算A'!BV$110:BV$114,$F20+1)+IF(AND($E20=1,LI20=0),1000,0)+IF($H20=1,(IF('計算A'!BU$117=1,INDEX('計算A'!BU$10:BU$54,$B20),0)+IF('計算A'!BV$117=1,INDEX('計算A'!BW$10:BW$54,$B20),0))*500,0)-IF(AND('計算A'!BU$117=1,WS20&gt;0),300,0)-IF(AND($L20=1,'計算A'!BV$117=1,FU20=0),300,0))),1000000))</f>
        <v/>
      </c>
      <c r="QY20">
        <f>IF($B20=0,1000000,IF(INDEX('計算A'!$D$60:$EQ$104,$B20,72)*FU20=1,IF(AND($E20=2,LJ20=0),1000000,IF($I20&gt;0,IF(3=$J20,IF(OR(AND(72=$I20+1,OR($K20&lt;&gt;'計算A'!$A$3,'計算A'!$A$4=0)),AND(72=$I20-1,OR(24&lt;&gt;'計算A'!$A$3,'計算A'!$A$4=0))),0,IF(24=$K20,200000,ABS(24-$K20)*100)),100000+ABS(3-$J20)*1000+240)+'計算A'!BW$5*50+IF(AND($E20=1,LJ20=0),25,0),INDEX('計算A'!BW$110:BW$114,$F20+1)+IF(AND($E20=1,LJ20=0),1000,0)+IF($H20=1,(IF('計算A'!BV$117=1,INDEX('計算A'!BV$10:BV$54,$B20),0))*500,0)-IF(AND('計算A'!BV$117=1,WT20&gt;0),300,0))),1000000))</f>
        <v/>
      </c>
      <c r="QZ20">
        <f>IF($B20=0,1000000,IF(INDEX('計算A'!$D$60:$EQ$104,$B20,73)*FV20=1,IF(AND($E20=2,LK20=0),1000000,IF($I20&gt;0,IF(4=$J20,IF(OR(AND(73=$I20+1,OR($K20&lt;&gt;'計算A'!$A$3,'計算A'!$A$4=0)),AND(73=$I20-1,OR(1&lt;&gt;'計算A'!$A$3,'計算A'!$A$4=0))),0,IF(1=$K20,200000,ABS(1-$K20)*100)),100000+ABS(4-$J20)*1000+10)+'計算A'!BX$5*50+IF(AND($E20=1,LK20=0),25,0),INDEX('計算A'!BX$110:BX$114,$F20+1)+IF(AND($E20=1,LK20=0),1000,0)+IF($H20=1,(IF('計算A'!BX$117=1,INDEX('計算A'!BY$10:BY$54,$B20),0))*500,0)-IF(AND($L20=1,'計算A'!BX$117=1,FW20=0),300,0))),1000000))</f>
        <v/>
      </c>
      <c r="RA20">
        <f>IF($B20=0,1000000,IF(INDEX('計算A'!$D$60:$EQ$104,$B20,74)*FW20=1,IF(AND($E20=2,LL20=0),1000000,IF($I20&gt;0,IF(4=$J20,IF(OR(AND(74=$I20+1,OR($K20&lt;&gt;'計算A'!$A$3,'計算A'!$A$4=0)),AND(74=$I20-1,OR(2&lt;&gt;'計算A'!$A$3,'計算A'!$A$4=0))),0,IF(2=$K20,200000,ABS(2-$K20)*100)),100000+ABS(4-$J20)*1000+20)+'計算A'!BY$5*50+IF(AND($E20=1,LL20=0),25,0),INDEX('計算A'!BY$110:BY$114,$F20+1)+IF(AND($E20=1,LL20=0),1000,0)+IF($H20=1,(IF('計算A'!BX$117=1,INDEX('計算A'!BX$10:BX$54,$B20),0)+IF('計算A'!BY$117=1,INDEX('計算A'!BZ$10:BZ$54,$B20),0))*500,0)-IF(AND('計算A'!BX$117=1,WV20&gt;0),300,0)-IF(AND($L20=1,'計算A'!BY$117=1,FX20=0),300,0))),1000000))</f>
        <v/>
      </c>
      <c r="RB20">
        <f>IF($B20=0,1000000,IF(INDEX('計算A'!$D$60:$EQ$104,$B20,75)*FX20=1,IF(AND($E20=2,LM20=0),1000000,IF($I20&gt;0,IF(4=$J20,IF(OR(AND(75=$I20+1,OR($K20&lt;&gt;'計算A'!$A$3,'計算A'!$A$4=0)),AND(75=$I20-1,OR(3&lt;&gt;'計算A'!$A$3,'計算A'!$A$4=0))),0,IF(3=$K20,200000,ABS(3-$K20)*100)),100000+ABS(4-$J20)*1000+30)+'計算A'!BZ$5*50+IF(AND($E20=1,LM20=0),25,0),INDEX('計算A'!BZ$110:BZ$114,$F20+1)+IF(AND($E20=1,LM20=0),1000,0)+IF($H20=1,(IF('計算A'!BY$117=1,INDEX('計算A'!BY$10:BY$54,$B20),0)+IF('計算A'!BZ$117=1,INDEX('計算A'!CA$10:CA$54,$B20),0))*500,0)-IF(AND('計算A'!BY$117=1,WW20&gt;0),300,0)-IF(AND($L20=1,'計算A'!BZ$117=1,FY20=0),300,0))),1000000))</f>
        <v/>
      </c>
      <c r="RC20">
        <f>IF($B20=0,1000000,IF(INDEX('計算A'!$D$60:$EQ$104,$B20,76)*FY20=1,IF(AND($E20=2,LN20=0),1000000,IF($I20&gt;0,IF(4=$J20,IF(OR(AND(76=$I20+1,OR($K20&lt;&gt;'計算A'!$A$3,'計算A'!$A$4=0)),AND(76=$I20-1,OR(4&lt;&gt;'計算A'!$A$3,'計算A'!$A$4=0))),0,IF(4=$K20,200000,ABS(4-$K20)*100)),100000+ABS(4-$J20)*1000+40)+'計算A'!CA$5*50+IF(AND($E20=1,LN20=0),25,0),INDEX('計算A'!CA$110:CA$114,$F20+1)+IF(AND($E20=1,LN20=0),1000,0)+IF($H20=1,(IF('計算A'!BZ$117=1,INDEX('計算A'!BZ$10:BZ$54,$B20),0)+IF('計算A'!CA$117=1,INDEX('計算A'!CB$10:CB$54,$B20),0))*500,0)-IF(AND('計算A'!BZ$117=1,WX20&gt;0),300,0)-IF(AND($L20=1,'計算A'!CA$117=1,FZ20=0),300,0))),1000000))</f>
        <v/>
      </c>
      <c r="RD20">
        <f>IF($B20=0,1000000,IF(INDEX('計算A'!$D$60:$EQ$104,$B20,77)*FZ20=1,IF(AND($E20=2,LO20=0),1000000,IF($I20&gt;0,IF(4=$J20,IF(OR(AND(77=$I20+1,OR($K20&lt;&gt;'計算A'!$A$3,'計算A'!$A$4=0)),AND(77=$I20-1,OR(5&lt;&gt;'計算A'!$A$3,'計算A'!$A$4=0))),0,IF(5=$K20,200000,ABS(5-$K20)*100)),100000+ABS(4-$J20)*1000+50)+'計算A'!CB$5*50+IF(AND($E20=1,LO20=0),25,0),INDEX('計算A'!CB$110:CB$114,$F20+1)+IF(AND($E20=1,LO20=0),1000,0)+IF($H20=1,(IF('計算A'!CA$117=1,INDEX('計算A'!CA$10:CA$54,$B20),0)+IF('計算A'!CB$117=1,INDEX('計算A'!CC$10:CC$54,$B20),0))*500,0)-IF(AND('計算A'!CA$117=1,WY20&gt;0),300,0)-IF(AND($L20=1,'計算A'!CB$117=1,GA20=0),300,0))),1000000))</f>
        <v/>
      </c>
      <c r="RE20">
        <f>IF($B20=0,1000000,IF(INDEX('計算A'!$D$60:$EQ$104,$B20,78)*GA20=1,IF(AND($E20=2,LP20=0),1000000,IF($I20&gt;0,IF(4=$J20,IF(OR(AND(78=$I20+1,OR($K20&lt;&gt;'計算A'!$A$3,'計算A'!$A$4=0)),AND(78=$I20-1,OR(6&lt;&gt;'計算A'!$A$3,'計算A'!$A$4=0))),0,IF(6=$K20,200000,ABS(6-$K20)*100)),100000+ABS(4-$J20)*1000+60)+'計算A'!CC$5*50+IF(AND($E20=1,LP20=0),25,0),INDEX('計算A'!CC$110:CC$114,$F20+1)+IF(AND($E20=1,LP20=0),1000,0)+IF($H20=1,(IF('計算A'!CB$117=1,INDEX('計算A'!CB$10:CB$54,$B20),0)+IF('計算A'!CC$117=1,INDEX('計算A'!CD$10:CD$54,$B20),0))*500,0)-IF(AND('計算A'!CB$117=1,WZ20&gt;0),300,0)-IF(AND($L20=1,'計算A'!CC$117=1,GB20=0),300,0))),1000000))</f>
        <v/>
      </c>
      <c r="RF20">
        <f>IF($B20=0,1000000,IF(INDEX('計算A'!$D$60:$EQ$104,$B20,79)*GB20=1,IF(AND($E20=2,LQ20=0),1000000,IF($I20&gt;0,IF(4=$J20,IF(OR(AND(79=$I20+1,OR($K20&lt;&gt;'計算A'!$A$3,'計算A'!$A$4=0)),AND(79=$I20-1,OR(7&lt;&gt;'計算A'!$A$3,'計算A'!$A$4=0))),0,IF(7=$K20,200000,ABS(7-$K20)*100)),100000+ABS(4-$J20)*1000+70)+'計算A'!CD$5*50+IF(AND($E20=1,LQ20=0),25,0),INDEX('計算A'!CD$110:CD$114,$F20+1)+IF(AND($E20=1,LQ20=0),1000,0)+IF($H20=1,(IF('計算A'!CC$117=1,INDEX('計算A'!CC$10:CC$54,$B20),0)+IF('計算A'!CD$117=1,INDEX('計算A'!CE$10:CE$54,$B20),0))*500,0)-IF(AND('計算A'!CC$117=1,XA20&gt;0),300,0)-IF(AND($L20=1,'計算A'!CD$117=1,GC20=0),300,0))),1000000))</f>
        <v/>
      </c>
      <c r="RG20">
        <f>IF($B20=0,1000000,IF(INDEX('計算A'!$D$60:$EQ$104,$B20,80)*GC20=1,IF(AND($E20=2,LR20=0),1000000,IF($I20&gt;0,IF(4=$J20,IF(OR(AND(80=$I20+1,OR($K20&lt;&gt;'計算A'!$A$3,'計算A'!$A$4=0)),AND(80=$I20-1,OR(8&lt;&gt;'計算A'!$A$3,'計算A'!$A$4=0))),0,IF(8=$K20,200000,ABS(8-$K20)*100)),100000+ABS(4-$J20)*1000+80)+'計算A'!CE$5*50+IF(AND($E20=1,LR20=0),25,0),INDEX('計算A'!CE$110:CE$114,$F20+1)+IF(AND($E20=1,LR20=0),1000,0)+IF($H20=1,(IF('計算A'!CD$117=1,INDEX('計算A'!CD$10:CD$54,$B20),0)+IF('計算A'!CE$117=1,INDEX('計算A'!CF$10:CF$54,$B20),0))*500,0)-IF(AND('計算A'!CD$117=1,XB20&gt;0),300,0)-IF(AND($L20=1,'計算A'!CE$117=1,GD20=0),300,0))),1000000))</f>
        <v/>
      </c>
      <c r="RH20">
        <f>IF($B20=0,1000000,IF(INDEX('計算A'!$D$60:$EQ$104,$B20,81)*GD20=1,IF(AND($E20=2,LS20=0),1000000,IF($I20&gt;0,IF(4=$J20,IF(OR(AND(81=$I20+1,OR($K20&lt;&gt;'計算A'!$A$3,'計算A'!$A$4=0)),AND(81=$I20-1,OR(9&lt;&gt;'計算A'!$A$3,'計算A'!$A$4=0))),0,IF(9=$K20,200000,ABS(9-$K20)*100)),100000+ABS(4-$J20)*1000+90)+'計算A'!CF$5*50+IF(AND($E20=1,LS20=0),25,0),INDEX('計算A'!CF$110:CF$114,$F20+1)+IF(AND($E20=1,LS20=0),1000,0)+IF($H20=1,(IF('計算A'!CE$117=1,INDEX('計算A'!CE$10:CE$54,$B20),0)+IF('計算A'!CF$117=1,INDEX('計算A'!CG$10:CG$54,$B20),0))*500,0)-IF(AND('計算A'!CE$117=1,XC20&gt;0),300,0)-IF(AND($L20=1,'計算A'!CF$117=1,GE20=0),300,0))),1000000))</f>
        <v/>
      </c>
      <c r="RI20">
        <f>IF($B20=0,1000000,IF(INDEX('計算A'!$D$60:$EQ$104,$B20,82)*GE20=1,IF(AND($E20=2,LT20=0),1000000,IF($I20&gt;0,IF(4=$J20,IF(OR(AND(82=$I20+1,OR($K20&lt;&gt;'計算A'!$A$3,'計算A'!$A$4=0)),AND(82=$I20-1,OR(10&lt;&gt;'計算A'!$A$3,'計算A'!$A$4=0))),0,IF(10=$K20,200000,ABS(10-$K20)*100)),100000+ABS(4-$J20)*1000+100)+'計算A'!CG$5*50+IF(AND($E20=1,LT20=0),25,0),INDEX('計算A'!CG$110:CG$114,$F20+1)+IF(AND($E20=1,LT20=0),1000,0)+IF($H20=1,(IF('計算A'!CF$117=1,INDEX('計算A'!CF$10:CF$54,$B20),0)+IF('計算A'!CG$117=1,INDEX('計算A'!CH$10:CH$54,$B20),0))*500,0)-IF(AND('計算A'!CF$117=1,XD20&gt;0),300,0)-IF(AND($L20=1,'計算A'!CG$117=1,GF20=0),300,0))),1000000))</f>
        <v/>
      </c>
      <c r="RJ20">
        <f>IF($B20=0,1000000,IF(INDEX('計算A'!$D$60:$EQ$104,$B20,83)*GF20=1,IF(AND($E20=2,LU20=0),1000000,IF($I20&gt;0,IF(4=$J20,IF(OR(AND(83=$I20+1,OR($K20&lt;&gt;'計算A'!$A$3,'計算A'!$A$4=0)),AND(83=$I20-1,OR(11&lt;&gt;'計算A'!$A$3,'計算A'!$A$4=0))),0,IF(11=$K20,200000,ABS(11-$K20)*100)),100000+ABS(4-$J20)*1000+110)+'計算A'!CH$5*50+IF(AND($E20=1,LU20=0),25,0),INDEX('計算A'!CH$110:CH$114,$F20+1)+IF(AND($E20=1,LU20=0),1000,0)+IF($H20=1,(IF('計算A'!CG$117=1,INDEX('計算A'!CG$10:CG$54,$B20),0)+IF('計算A'!CH$117=1,INDEX('計算A'!CI$10:CI$54,$B20),0))*500,0)-IF(AND('計算A'!CG$117=1,XE20&gt;0),300,0)-IF(AND($L20=1,'計算A'!CH$117=1,GG20=0),300,0))),1000000))</f>
        <v/>
      </c>
      <c r="RK20">
        <f>IF($B20=0,1000000,IF(INDEX('計算A'!$D$60:$EQ$104,$B20,84)*GG20=1,IF(AND($E20=2,LV20=0),1000000,IF($I20&gt;0,IF(4=$J20,IF(OR(AND(84=$I20+1,OR($K20&lt;&gt;'計算A'!$A$3,'計算A'!$A$4=0)),AND(84=$I20-1,OR(12&lt;&gt;'計算A'!$A$3,'計算A'!$A$4=0))),0,IF(12=$K20,200000,ABS(12-$K20)*100)),100000+ABS(4-$J20)*1000+120)+'計算A'!CI$5*50+IF(AND($E20=1,LV20=0),25,0),INDEX('計算A'!CI$110:CI$114,$F20+1)+IF(AND($E20=1,LV20=0),1000,0)+IF($H20=1,(IF('計算A'!CH$117=1,INDEX('計算A'!CH$10:CH$54,$B20),0)+IF('計算A'!CI$117=1,INDEX('計算A'!CJ$10:CJ$54,$B20),0))*500,0)-IF(AND('計算A'!CH$117=1,XF20&gt;0),300,0)-IF(AND($L20=1,'計算A'!CI$117=1,GH20=0),300,0))),1000000))</f>
        <v/>
      </c>
      <c r="RL20">
        <f>IF($B20=0,1000000,IF(INDEX('計算A'!$D$60:$EQ$104,$B20,85)*GH20=1,IF(AND($E20=2,LW20=0),1000000,IF($I20&gt;0,IF(4=$J20,IF(OR(AND(85=$I20+1,OR($K20&lt;&gt;'計算A'!$A$3,'計算A'!$A$4=0)),AND(85=$I20-1,OR(13&lt;&gt;'計算A'!$A$3,'計算A'!$A$4=0))),0,IF(13=$K20,200000,ABS(13-$K20)*100)),100000+ABS(4-$J20)*1000+130)+'計算A'!CJ$5*50+IF(AND($E20=1,LW20=0),25,0),INDEX('計算A'!CJ$110:CJ$114,$F20+1)+IF(AND($E20=1,LW20=0),1000,0)+IF($H20=1,(IF('計算A'!CI$117=1,INDEX('計算A'!CI$10:CI$54,$B20),0)+IF('計算A'!CJ$117=1,INDEX('計算A'!CK$10:CK$54,$B20),0))*500,0)-IF(AND('計算A'!CI$117=1,XG20&gt;0),300,0)-IF(AND($L20=1,'計算A'!CJ$117=1,GI20=0),300,0))),1000000))</f>
        <v/>
      </c>
      <c r="RM20">
        <f>IF($B20=0,1000000,IF(INDEX('計算A'!$D$60:$EQ$104,$B20,86)*GI20=1,IF(AND($E20=2,LX20=0),1000000,IF($I20&gt;0,IF(4=$J20,IF(OR(AND(86=$I20+1,OR($K20&lt;&gt;'計算A'!$A$3,'計算A'!$A$4=0)),AND(86=$I20-1,OR(14&lt;&gt;'計算A'!$A$3,'計算A'!$A$4=0))),0,IF(14=$K20,200000,ABS(14-$K20)*100)),100000+ABS(4-$J20)*1000+140)+'計算A'!CK$5*50+IF(AND($E20=1,LX20=0),25,0),INDEX('計算A'!CK$110:CK$114,$F20+1)+IF(AND($E20=1,LX20=0),1000,0)+IF($H20=1,(IF('計算A'!CJ$117=1,INDEX('計算A'!CJ$10:CJ$54,$B20),0)+IF('計算A'!CK$117=1,INDEX('計算A'!CL$10:CL$54,$B20),0))*500,0)-IF(AND('計算A'!CJ$117=1,XH20&gt;0),300,0)-IF(AND($L20=1,'計算A'!CK$117=1,GJ20=0),300,0))),1000000))</f>
        <v/>
      </c>
      <c r="RN20">
        <f>IF($B20=0,1000000,IF(INDEX('計算A'!$D$60:$EQ$104,$B20,87)*GJ20=1,IF(AND($E20=2,LY20=0),1000000,IF($I20&gt;0,IF(4=$J20,IF(OR(AND(87=$I20+1,OR($K20&lt;&gt;'計算A'!$A$3,'計算A'!$A$4=0)),AND(87=$I20-1,OR(15&lt;&gt;'計算A'!$A$3,'計算A'!$A$4=0))),0,IF(15=$K20,200000,ABS(15-$K20)*100)),100000+ABS(4-$J20)*1000+150)+'計算A'!CL$5*50+IF(AND($E20=1,LY20=0),25,0),INDEX('計算A'!CL$110:CL$114,$F20+1)+IF(AND($E20=1,LY20=0),1000,0)+IF($H20=1,(IF('計算A'!CK$117=1,INDEX('計算A'!CK$10:CK$54,$B20),0)+IF('計算A'!CL$117=1,INDEX('計算A'!CM$10:CM$54,$B20),0))*500,0)-IF(AND('計算A'!CK$117=1,XI20&gt;0),300,0)-IF(AND($L20=1,'計算A'!CL$117=1,GK20=0),300,0))),1000000))</f>
        <v/>
      </c>
      <c r="RO20">
        <f>IF($B20=0,1000000,IF(INDEX('計算A'!$D$60:$EQ$104,$B20,88)*GK20=1,IF(AND($E20=2,LZ20=0),1000000,IF($I20&gt;0,IF(4=$J20,IF(OR(AND(88=$I20+1,OR($K20&lt;&gt;'計算A'!$A$3,'計算A'!$A$4=0)),AND(88=$I20-1,OR(16&lt;&gt;'計算A'!$A$3,'計算A'!$A$4=0))),0,IF(16=$K20,200000,ABS(16-$K20)*100)),100000+ABS(4-$J20)*1000+160)+'計算A'!CM$5*50+IF(AND($E20=1,LZ20=0),25,0),INDEX('計算A'!CM$110:CM$114,$F20+1)+IF(AND($E20=1,LZ20=0),1000,0)+IF($H20=1,(IF('計算A'!CL$117=1,INDEX('計算A'!CL$10:CL$54,$B20),0)+IF('計算A'!CM$117=1,INDEX('計算A'!CN$10:CN$54,$B20),0))*500,0)-IF(AND('計算A'!CL$117=1,XJ20&gt;0),300,0)-IF(AND($L20=1,'計算A'!CM$117=1,GL20=0),300,0))),1000000))</f>
        <v/>
      </c>
      <c r="RP20">
        <f>IF($B20=0,1000000,IF(INDEX('計算A'!$D$60:$EQ$104,$B20,89)*GL20=1,IF(AND($E20=2,MA20=0),1000000,IF($I20&gt;0,IF(4=$J20,IF(OR(AND(89=$I20+1,OR($K20&lt;&gt;'計算A'!$A$3,'計算A'!$A$4=0)),AND(89=$I20-1,OR(17&lt;&gt;'計算A'!$A$3,'計算A'!$A$4=0))),0,IF(17=$K20,200000,ABS(17-$K20)*100)),100000+ABS(4-$J20)*1000+170)+'計算A'!CN$5*50+IF(AND($E20=1,MA20=0),25,0),INDEX('計算A'!CN$110:CN$114,$F20+1)+IF(AND($E20=1,MA20=0),1000,0)+IF($H20=1,(IF('計算A'!CM$117=1,INDEX('計算A'!CM$10:CM$54,$B20),0)+IF('計算A'!CN$117=1,INDEX('計算A'!CO$10:CO$54,$B20),0))*500,0)-IF(AND('計算A'!CM$117=1,XK20&gt;0),300,0)-IF(AND($L20=1,'計算A'!CN$117=1,GM20=0),300,0))),1000000))</f>
        <v/>
      </c>
      <c r="RQ20">
        <f>IF($B20=0,1000000,IF(INDEX('計算A'!$D$60:$EQ$104,$B20,90)*GM20=1,IF(AND($E20=2,MB20=0),1000000,IF($I20&gt;0,IF(4=$J20,IF(OR(AND(90=$I20+1,OR($K20&lt;&gt;'計算A'!$A$3,'計算A'!$A$4=0)),AND(90=$I20-1,OR(18&lt;&gt;'計算A'!$A$3,'計算A'!$A$4=0))),0,IF(18=$K20,200000,ABS(18-$K20)*100)),100000+ABS(4-$J20)*1000+180)+'計算A'!CO$5*50+IF(AND($E20=1,MB20=0),25,0),INDEX('計算A'!CO$110:CO$114,$F20+1)+IF(AND($E20=1,MB20=0),1000,0)+IF($H20=1,(IF('計算A'!CN$117=1,INDEX('計算A'!CN$10:CN$54,$B20),0)+IF('計算A'!CO$117=1,INDEX('計算A'!CP$10:CP$54,$B20),0))*500,0)-IF(AND('計算A'!CN$117=1,XL20&gt;0),300,0)-IF(AND($L20=1,'計算A'!CO$117=1,GN20=0),300,0))),1000000))</f>
        <v/>
      </c>
      <c r="RR20">
        <f>IF($B20=0,1000000,IF(INDEX('計算A'!$D$60:$EQ$104,$B20,91)*GN20=1,IF(AND($E20=2,MC20=0),1000000,IF($I20&gt;0,IF(4=$J20,IF(OR(AND(91=$I20+1,OR($K20&lt;&gt;'計算A'!$A$3,'計算A'!$A$4=0)),AND(91=$I20-1,OR(19&lt;&gt;'計算A'!$A$3,'計算A'!$A$4=0))),0,IF(19=$K20,200000,ABS(19-$K20)*100)),100000+ABS(4-$J20)*1000+190)+'計算A'!CP$5*50+IF(AND($E20=1,MC20=0),25,0),INDEX('計算A'!CP$110:CP$114,$F20+1)+IF(AND($E20=1,MC20=0),1000,0)+IF($H20=1,(IF('計算A'!CO$117=1,INDEX('計算A'!CO$10:CO$54,$B20),0)+IF('計算A'!CP$117=1,INDEX('計算A'!CQ$10:CQ$54,$B20),0))*500,0)-IF(AND('計算A'!CO$117=1,XM20&gt;0),300,0)-IF(AND($L20=1,'計算A'!CP$117=1,GO20=0),300,0))),1000000))</f>
        <v/>
      </c>
      <c r="RS20">
        <f>IF($B20=0,1000000,IF(INDEX('計算A'!$D$60:$EQ$104,$B20,92)*GO20=1,IF(AND($E20=2,MD20=0),1000000,IF($I20&gt;0,IF(4=$J20,IF(OR(AND(92=$I20+1,OR($K20&lt;&gt;'計算A'!$A$3,'計算A'!$A$4=0)),AND(92=$I20-1,OR(20&lt;&gt;'計算A'!$A$3,'計算A'!$A$4=0))),0,IF(20=$K20,200000,ABS(20-$K20)*100)),100000+ABS(4-$J20)*1000+200)+'計算A'!CQ$5*50+IF(AND($E20=1,MD20=0),25,0),INDEX('計算A'!CQ$110:CQ$114,$F20+1)+IF(AND($E20=1,MD20=0),1000,0)+IF($H20=1,(IF('計算A'!CP$117=1,INDEX('計算A'!CP$10:CP$54,$B20),0)+IF('計算A'!CQ$117=1,INDEX('計算A'!CR$10:CR$54,$B20),0))*500,0)-IF(AND('計算A'!CP$117=1,XN20&gt;0),300,0)-IF(AND($L20=1,'計算A'!CQ$117=1,GP20=0),300,0))),1000000))</f>
        <v/>
      </c>
      <c r="RT20">
        <f>IF($B20=0,1000000,IF(INDEX('計算A'!$D$60:$EQ$104,$B20,93)*GP20=1,IF(AND($E20=2,ME20=0),1000000,IF($I20&gt;0,IF(4=$J20,IF(OR(AND(93=$I20+1,OR($K20&lt;&gt;'計算A'!$A$3,'計算A'!$A$4=0)),AND(93=$I20-1,OR(21&lt;&gt;'計算A'!$A$3,'計算A'!$A$4=0))),0,IF(21=$K20,200000,ABS(21-$K20)*100)),100000+ABS(4-$J20)*1000+210)+'計算A'!CR$5*50+IF(AND($E20=1,ME20=0),25,0),INDEX('計算A'!CR$110:CR$114,$F20+1)+IF(AND($E20=1,ME20=0),1000,0)+IF($H20=1,(IF('計算A'!CQ$117=1,INDEX('計算A'!CQ$10:CQ$54,$B20),0)+IF('計算A'!CR$117=1,INDEX('計算A'!CS$10:CS$54,$B20),0))*500,0)-IF(AND('計算A'!CQ$117=1,XO20&gt;0),300,0)-IF(AND($L20=1,'計算A'!CR$117=1,GQ20=0),300,0))),1000000))</f>
        <v/>
      </c>
      <c r="RU20">
        <f>IF($B20=0,1000000,IF(INDEX('計算A'!$D$60:$EQ$104,$B20,94)*GQ20=1,IF(AND($E20=2,MF20=0),1000000,IF($I20&gt;0,IF(4=$J20,IF(OR(AND(94=$I20+1,OR($K20&lt;&gt;'計算A'!$A$3,'計算A'!$A$4=0)),AND(94=$I20-1,OR(22&lt;&gt;'計算A'!$A$3,'計算A'!$A$4=0))),0,IF(22=$K20,200000,ABS(22-$K20)*100)),100000+ABS(4-$J20)*1000+220)+'計算A'!CS$5*50+IF(AND($E20=1,MF20=0),25,0),INDEX('計算A'!CS$110:CS$114,$F20+1)+IF(AND($E20=1,MF20=0),1000,0)+IF($H20=1,(IF('計算A'!CR$117=1,INDEX('計算A'!CR$10:CR$54,$B20),0)+IF('計算A'!CS$117=1,INDEX('計算A'!CT$10:CT$54,$B20),0))*500,0)-IF(AND('計算A'!CR$117=1,XP20&gt;0),300,0)-IF(AND($L20=1,'計算A'!CS$117=1,GR20=0),300,0))),1000000))</f>
        <v/>
      </c>
      <c r="RV20">
        <f>IF($B20=0,1000000,IF(INDEX('計算A'!$D$60:$EQ$104,$B20,95)*GR20=1,IF(AND($E20=2,MG20=0),1000000,IF($I20&gt;0,IF(4=$J20,IF(OR(AND(95=$I20+1,OR($K20&lt;&gt;'計算A'!$A$3,'計算A'!$A$4=0)),AND(95=$I20-1,OR(23&lt;&gt;'計算A'!$A$3,'計算A'!$A$4=0))),0,IF(23=$K20,200000,ABS(23-$K20)*100)),100000+ABS(4-$J20)*1000+230)+'計算A'!CT$5*50+IF(AND($E20=1,MG20=0),25,0),INDEX('計算A'!CT$110:CT$114,$F20+1)+IF(AND($E20=1,MG20=0),1000,0)+IF($H20=1,(IF('計算A'!CS$117=1,INDEX('計算A'!CS$10:CS$54,$B20),0)+IF('計算A'!CT$117=1,INDEX('計算A'!CU$10:CU$54,$B20),0))*500,0)-IF(AND('計算A'!CS$117=1,XQ20&gt;0),300,0)-IF(AND($L20=1,'計算A'!CT$117=1,GS20=0),300,0))),1000000))</f>
        <v/>
      </c>
      <c r="RW20">
        <f>IF($B20=0,1000000,IF(INDEX('計算A'!$D$60:$EQ$104,$B20,96)*GS20=1,IF(AND($E20=2,MH20=0),1000000,IF($I20&gt;0,IF(4=$J20,IF(OR(AND(96=$I20+1,OR($K20&lt;&gt;'計算A'!$A$3,'計算A'!$A$4=0)),AND(96=$I20-1,OR(24&lt;&gt;'計算A'!$A$3,'計算A'!$A$4=0))),0,IF(24=$K20,200000,ABS(24-$K20)*100)),100000+ABS(4-$J20)*1000+240)+'計算A'!CU$5*50+IF(AND($E20=1,MH20=0),25,0),INDEX('計算A'!CU$110:CU$114,$F20+1)+IF(AND($E20=1,MH20=0),1000,0)+IF($H20=1,(IF('計算A'!CT$117=1,INDEX('計算A'!CT$10:CT$54,$B20),0))*500,0)-IF(AND('計算A'!CT$117=1,XR20&gt;0),300,0))),1000000))</f>
        <v/>
      </c>
      <c r="RX20">
        <f>IF($B20=0,1000000,IF(INDEX('計算A'!$D$60:$EQ$104,$B20,97)*GT20=1,IF(AND($E20=2,MI20=0),1000000,IF($I20&gt;0,IF(5=$J20,IF(OR(AND(97=$I20+1,OR($K20&lt;&gt;'計算A'!$A$3,'計算A'!$A$4=0)),AND(97=$I20-1,OR(1&lt;&gt;'計算A'!$A$3,'計算A'!$A$4=0))),0,IF(1=$K20,200000,ABS(1-$K20)*100)),100000+ABS(5-$J20)*1000+10)+'計算A'!CV$5*50+IF(AND($E20=1,MI20=0),25,0),INDEX('計算A'!CV$110:CV$114,$F20+1)+IF(AND($E20=1,MI20=0),1000,0)+IF($H20=1,(IF('計算A'!CV$117=1,INDEX('計算A'!CW$10:CW$54,$B20),0))*500,0)-IF(AND($L20=1,'計算A'!CV$117=1,GU20=0),300,0))),1000000))</f>
        <v/>
      </c>
      <c r="RY20">
        <f>IF($B20=0,1000000,IF(INDEX('計算A'!$D$60:$EQ$104,$B20,98)*GU20=1,IF(AND($E20=2,MJ20=0),1000000,IF($I20&gt;0,IF(5=$J20,IF(OR(AND(98=$I20+1,OR($K20&lt;&gt;'計算A'!$A$3,'計算A'!$A$4=0)),AND(98=$I20-1,OR(2&lt;&gt;'計算A'!$A$3,'計算A'!$A$4=0))),0,IF(2=$K20,200000,ABS(2-$K20)*100)),100000+ABS(5-$J20)*1000+20)+'計算A'!CW$5*50+IF(AND($E20=1,MJ20=0),25,0),INDEX('計算A'!CW$110:CW$114,$F20+1)+IF(AND($E20=1,MJ20=0),1000,0)+IF($H20=1,(IF('計算A'!CV$117=1,INDEX('計算A'!CV$10:CV$54,$B20),0)+IF('計算A'!CW$117=1,INDEX('計算A'!CX$10:CX$54,$B20),0))*500,0)-IF(AND('計算A'!CV$117=1,XT20&gt;0),300,0)-IF(AND($L20=1,'計算A'!CW$117=1,GV20=0),300,0))),1000000))</f>
        <v/>
      </c>
      <c r="RZ20">
        <f>IF($B20=0,1000000,IF(INDEX('計算A'!$D$60:$EQ$104,$B20,99)*GV20=1,IF(AND($E20=2,MK20=0),1000000,IF($I20&gt;0,IF(5=$J20,IF(OR(AND(99=$I20+1,OR($K20&lt;&gt;'計算A'!$A$3,'計算A'!$A$4=0)),AND(99=$I20-1,OR(3&lt;&gt;'計算A'!$A$3,'計算A'!$A$4=0))),0,IF(3=$K20,200000,ABS(3-$K20)*100)),100000+ABS(5-$J20)*1000+30)+'計算A'!CX$5*50+IF(AND($E20=1,MK20=0),25,0),INDEX('計算A'!CX$110:CX$114,$F20+1)+IF(AND($E20=1,MK20=0),1000,0)+IF($H20=1,(IF('計算A'!CW$117=1,INDEX('計算A'!CW$10:CW$54,$B20),0)+IF('計算A'!CX$117=1,INDEX('計算A'!CY$10:CY$54,$B20),0))*500,0)-IF(AND('計算A'!CW$117=1,XU20&gt;0),300,0)-IF(AND($L20=1,'計算A'!CX$117=1,GW20=0),300,0))),1000000))</f>
        <v/>
      </c>
      <c r="SA20">
        <f>IF($B20=0,1000000,IF(INDEX('計算A'!$D$60:$EQ$104,$B20,100)*GW20=1,IF(AND($E20=2,ML20=0),1000000,IF($I20&gt;0,IF(5=$J20,IF(OR(AND(100=$I20+1,OR($K20&lt;&gt;'計算A'!$A$3,'計算A'!$A$4=0)),AND(100=$I20-1,OR(4&lt;&gt;'計算A'!$A$3,'計算A'!$A$4=0))),0,IF(4=$K20,200000,ABS(4-$K20)*100)),100000+ABS(5-$J20)*1000+40)+'計算A'!CY$5*50+IF(AND($E20=1,ML20=0),25,0),INDEX('計算A'!CY$110:CY$114,$F20+1)+IF(AND($E20=1,ML20=0),1000,0)+IF($H20=1,(IF('計算A'!CX$117=1,INDEX('計算A'!CX$10:CX$54,$B20),0)+IF('計算A'!CY$117=1,INDEX('計算A'!CZ$10:CZ$54,$B20),0))*500,0)-IF(AND('計算A'!CX$117=1,XV20&gt;0),300,0)-IF(AND($L20=1,'計算A'!CY$117=1,GX20=0),300,0))),1000000))</f>
        <v/>
      </c>
      <c r="SB20">
        <f>IF($B20=0,1000000,IF(INDEX('計算A'!$D$60:$EQ$104,$B20,101)*GX20=1,IF(AND($E20=2,MM20=0),1000000,IF($I20&gt;0,IF(5=$J20,IF(OR(AND(101=$I20+1,OR($K20&lt;&gt;'計算A'!$A$3,'計算A'!$A$4=0)),AND(101=$I20-1,OR(5&lt;&gt;'計算A'!$A$3,'計算A'!$A$4=0))),0,IF(5=$K20,200000,ABS(5-$K20)*100)),100000+ABS(5-$J20)*1000+50)+'計算A'!CZ$5*50+IF(AND($E20=1,MM20=0),25,0),INDEX('計算A'!CZ$110:CZ$114,$F20+1)+IF(AND($E20=1,MM20=0),1000,0)+IF($H20=1,(IF('計算A'!CY$117=1,INDEX('計算A'!CY$10:CY$54,$B20),0)+IF('計算A'!CZ$117=1,INDEX('計算A'!DA$10:DA$54,$B20),0))*500,0)-IF(AND('計算A'!CY$117=1,XW20&gt;0),300,0)-IF(AND($L20=1,'計算A'!CZ$117=1,GY20=0),300,0))),1000000))</f>
        <v/>
      </c>
      <c r="SC20">
        <f>IF($B20=0,1000000,IF(INDEX('計算A'!$D$60:$EQ$104,$B20,102)*GY20=1,IF(AND($E20=2,MN20=0),1000000,IF($I20&gt;0,IF(5=$J20,IF(OR(AND(102=$I20+1,OR($K20&lt;&gt;'計算A'!$A$3,'計算A'!$A$4=0)),AND(102=$I20-1,OR(6&lt;&gt;'計算A'!$A$3,'計算A'!$A$4=0))),0,IF(6=$K20,200000,ABS(6-$K20)*100)),100000+ABS(5-$J20)*1000+60)+'計算A'!DA$5*50+IF(AND($E20=1,MN20=0),25,0),INDEX('計算A'!DA$110:DA$114,$F20+1)+IF(AND($E20=1,MN20=0),1000,0)+IF($H20=1,(IF('計算A'!CZ$117=1,INDEX('計算A'!CZ$10:CZ$54,$B20),0)+IF('計算A'!DA$117=1,INDEX('計算A'!DB$10:DB$54,$B20),0))*500,0)-IF(AND('計算A'!CZ$117=1,XX20&gt;0),300,0)-IF(AND($L20=1,'計算A'!DA$117=1,GZ20=0),300,0))),1000000))</f>
        <v/>
      </c>
      <c r="SD20">
        <f>IF($B20=0,1000000,IF(INDEX('計算A'!$D$60:$EQ$104,$B20,103)*GZ20=1,IF(AND($E20=2,MO20=0),1000000,IF($I20&gt;0,IF(5=$J20,IF(OR(AND(103=$I20+1,OR($K20&lt;&gt;'計算A'!$A$3,'計算A'!$A$4=0)),AND(103=$I20-1,OR(7&lt;&gt;'計算A'!$A$3,'計算A'!$A$4=0))),0,IF(7=$K20,200000,ABS(7-$K20)*100)),100000+ABS(5-$J20)*1000+70)+'計算A'!DB$5*50+IF(AND($E20=1,MO20=0),25,0),INDEX('計算A'!DB$110:DB$114,$F20+1)+IF(AND($E20=1,MO20=0),1000,0)+IF($H20=1,(IF('計算A'!DA$117=1,INDEX('計算A'!DA$10:DA$54,$B20),0)+IF('計算A'!DB$117=1,INDEX('計算A'!DC$10:DC$54,$B20),0))*500,0)-IF(AND('計算A'!DA$117=1,XY20&gt;0),300,0)-IF(AND($L20=1,'計算A'!DB$117=1,HA20=0),300,0))),1000000))</f>
        <v/>
      </c>
      <c r="SE20">
        <f>IF($B20=0,1000000,IF(INDEX('計算A'!$D$60:$EQ$104,$B20,104)*HA20=1,IF(AND($E20=2,MP20=0),1000000,IF($I20&gt;0,IF(5=$J20,IF(OR(AND(104=$I20+1,OR($K20&lt;&gt;'計算A'!$A$3,'計算A'!$A$4=0)),AND(104=$I20-1,OR(8&lt;&gt;'計算A'!$A$3,'計算A'!$A$4=0))),0,IF(8=$K20,200000,ABS(8-$K20)*100)),100000+ABS(5-$J20)*1000+80)+'計算A'!DC$5*50+IF(AND($E20=1,MP20=0),25,0),INDEX('計算A'!DC$110:DC$114,$F20+1)+IF(AND($E20=1,MP20=0),1000,0)+IF($H20=1,(IF('計算A'!DB$117=1,INDEX('計算A'!DB$10:DB$54,$B20),0)+IF('計算A'!DC$117=1,INDEX('計算A'!DD$10:DD$54,$B20),0))*500,0)-IF(AND('計算A'!DB$117=1,XZ20&gt;0),300,0)-IF(AND($L20=1,'計算A'!DC$117=1,HB20=0),300,0))),1000000))</f>
        <v/>
      </c>
      <c r="SF20">
        <f>IF($B20=0,1000000,IF(INDEX('計算A'!$D$60:$EQ$104,$B20,105)*HB20=1,IF(AND($E20=2,MQ20=0),1000000,IF($I20&gt;0,IF(5=$J20,IF(OR(AND(105=$I20+1,OR($K20&lt;&gt;'計算A'!$A$3,'計算A'!$A$4=0)),AND(105=$I20-1,OR(9&lt;&gt;'計算A'!$A$3,'計算A'!$A$4=0))),0,IF(9=$K20,200000,ABS(9-$K20)*100)),100000+ABS(5-$J20)*1000+90)+'計算A'!DD$5*50+IF(AND($E20=1,MQ20=0),25,0),INDEX('計算A'!DD$110:DD$114,$F20+1)+IF(AND($E20=1,MQ20=0),1000,0)+IF($H20=1,(IF('計算A'!DC$117=1,INDEX('計算A'!DC$10:DC$54,$B20),0)+IF('計算A'!DD$117=1,INDEX('計算A'!DE$10:DE$54,$B20),0))*500,0)-IF(AND('計算A'!DC$117=1,YA20&gt;0),300,0)-IF(AND($L20=1,'計算A'!DD$117=1,HC20=0),300,0))),1000000))</f>
        <v/>
      </c>
      <c r="SG20">
        <f>IF($B20=0,1000000,IF(INDEX('計算A'!$D$60:$EQ$104,$B20,106)*HC20=1,IF(AND($E20=2,MR20=0),1000000,IF($I20&gt;0,IF(5=$J20,IF(OR(AND(106=$I20+1,OR($K20&lt;&gt;'計算A'!$A$3,'計算A'!$A$4=0)),AND(106=$I20-1,OR(10&lt;&gt;'計算A'!$A$3,'計算A'!$A$4=0))),0,IF(10=$K20,200000,ABS(10-$K20)*100)),100000+ABS(5-$J20)*1000+100)+'計算A'!DE$5*50+IF(AND($E20=1,MR20=0),25,0),INDEX('計算A'!DE$110:DE$114,$F20+1)+IF(AND($E20=1,MR20=0),1000,0)+IF($H20=1,(IF('計算A'!DD$117=1,INDEX('計算A'!DD$10:DD$54,$B20),0)+IF('計算A'!DE$117=1,INDEX('計算A'!DF$10:DF$54,$B20),0))*500,0)-IF(AND('計算A'!DD$117=1,YB20&gt;0),300,0)-IF(AND($L20=1,'計算A'!DE$117=1,HD20=0),300,0))),1000000))</f>
        <v/>
      </c>
      <c r="SH20">
        <f>IF($B20=0,1000000,IF(INDEX('計算A'!$D$60:$EQ$104,$B20,107)*HD20=1,IF(AND($E20=2,MS20=0),1000000,IF($I20&gt;0,IF(5=$J20,IF(OR(AND(107=$I20+1,OR($K20&lt;&gt;'計算A'!$A$3,'計算A'!$A$4=0)),AND(107=$I20-1,OR(11&lt;&gt;'計算A'!$A$3,'計算A'!$A$4=0))),0,IF(11=$K20,200000,ABS(11-$K20)*100)),100000+ABS(5-$J20)*1000+110)+'計算A'!DF$5*50+IF(AND($E20=1,MS20=0),25,0),INDEX('計算A'!DF$110:DF$114,$F20+1)+IF(AND($E20=1,MS20=0),1000,0)+IF($H20=1,(IF('計算A'!DE$117=1,INDEX('計算A'!DE$10:DE$54,$B20),0)+IF('計算A'!DF$117=1,INDEX('計算A'!DG$10:DG$54,$B20),0))*500,0)-IF(AND('計算A'!DE$117=1,YC20&gt;0),300,0)-IF(AND($L20=1,'計算A'!DF$117=1,HE20=0),300,0))),1000000))</f>
        <v/>
      </c>
      <c r="SI20">
        <f>IF($B20=0,1000000,IF(INDEX('計算A'!$D$60:$EQ$104,$B20,108)*HE20=1,IF(AND($E20=2,MT20=0),1000000,IF($I20&gt;0,IF(5=$J20,IF(OR(AND(108=$I20+1,OR($K20&lt;&gt;'計算A'!$A$3,'計算A'!$A$4=0)),AND(108=$I20-1,OR(12&lt;&gt;'計算A'!$A$3,'計算A'!$A$4=0))),0,IF(12=$K20,200000,ABS(12-$K20)*100)),100000+ABS(5-$J20)*1000+120)+'計算A'!DG$5*50+IF(AND($E20=1,MT20=0),25,0),INDEX('計算A'!DG$110:DG$114,$F20+1)+IF(AND($E20=1,MT20=0),1000,0)+IF($H20=1,(IF('計算A'!DF$117=1,INDEX('計算A'!DF$10:DF$54,$B20),0)+IF('計算A'!DG$117=1,INDEX('計算A'!DH$10:DH$54,$B20),0))*500,0)-IF(AND('計算A'!DF$117=1,YD20&gt;0),300,0)-IF(AND($L20=1,'計算A'!DG$117=1,HF20=0),300,0))),1000000))</f>
        <v/>
      </c>
      <c r="SJ20">
        <f>IF($B20=0,1000000,IF(INDEX('計算A'!$D$60:$EQ$104,$B20,109)*HF20=1,IF(AND($E20=2,MU20=0),1000000,IF($I20&gt;0,IF(5=$J20,IF(OR(AND(109=$I20+1,OR($K20&lt;&gt;'計算A'!$A$3,'計算A'!$A$4=0)),AND(109=$I20-1,OR(13&lt;&gt;'計算A'!$A$3,'計算A'!$A$4=0))),0,IF(13=$K20,200000,ABS(13-$K20)*100)),100000+ABS(5-$J20)*1000+130)+'計算A'!DH$5*50+IF(AND($E20=1,MU20=0),25,0),INDEX('計算A'!DH$110:DH$114,$F20+1)+IF(AND($E20=1,MU20=0),1000,0)+IF($H20=1,(IF('計算A'!DG$117=1,INDEX('計算A'!DG$10:DG$54,$B20),0)+IF('計算A'!DH$117=1,INDEX('計算A'!DI$10:DI$54,$B20),0))*500,0)-IF(AND('計算A'!DG$117=1,YE20&gt;0),300,0)-IF(AND($L20=1,'計算A'!DH$117=1,HG20=0),300,0))),1000000))</f>
        <v/>
      </c>
      <c r="SK20">
        <f>IF($B20=0,1000000,IF(INDEX('計算A'!$D$60:$EQ$104,$B20,110)*HG20=1,IF(AND($E20=2,MV20=0),1000000,IF($I20&gt;0,IF(5=$J20,IF(OR(AND(110=$I20+1,OR($K20&lt;&gt;'計算A'!$A$3,'計算A'!$A$4=0)),AND(110=$I20-1,OR(14&lt;&gt;'計算A'!$A$3,'計算A'!$A$4=0))),0,IF(14=$K20,200000,ABS(14-$K20)*100)),100000+ABS(5-$J20)*1000+140)+'計算A'!DI$5*50+IF(AND($E20=1,MV20=0),25,0),INDEX('計算A'!DI$110:DI$114,$F20+1)+IF(AND($E20=1,MV20=0),1000,0)+IF($H20=1,(IF('計算A'!DH$117=1,INDEX('計算A'!DH$10:DH$54,$B20),0)+IF('計算A'!DI$117=1,INDEX('計算A'!DJ$10:DJ$54,$B20),0))*500,0)-IF(AND('計算A'!DH$117=1,YF20&gt;0),300,0)-IF(AND($L20=1,'計算A'!DI$117=1,HH20=0),300,0))),1000000))</f>
        <v/>
      </c>
      <c r="SL20">
        <f>IF($B20=0,1000000,IF(INDEX('計算A'!$D$60:$EQ$104,$B20,111)*HH20=1,IF(AND($E20=2,MW20=0),1000000,IF($I20&gt;0,IF(5=$J20,IF(OR(AND(111=$I20+1,OR($K20&lt;&gt;'計算A'!$A$3,'計算A'!$A$4=0)),AND(111=$I20-1,OR(15&lt;&gt;'計算A'!$A$3,'計算A'!$A$4=0))),0,IF(15=$K20,200000,ABS(15-$K20)*100)),100000+ABS(5-$J20)*1000+150)+'計算A'!DJ$5*50+IF(AND($E20=1,MW20=0),25,0),INDEX('計算A'!DJ$110:DJ$114,$F20+1)+IF(AND($E20=1,MW20=0),1000,0)+IF($H20=1,(IF('計算A'!DI$117=1,INDEX('計算A'!DI$10:DI$54,$B20),0)+IF('計算A'!DJ$117=1,INDEX('計算A'!DK$10:DK$54,$B20),0))*500,0)-IF(AND('計算A'!DI$117=1,YG20&gt;0),300,0)-IF(AND($L20=1,'計算A'!DJ$117=1,HI20=0),300,0))),1000000))</f>
        <v/>
      </c>
      <c r="SM20">
        <f>IF($B20=0,1000000,IF(INDEX('計算A'!$D$60:$EQ$104,$B20,112)*HI20=1,IF(AND($E20=2,MX20=0),1000000,IF($I20&gt;0,IF(5=$J20,IF(OR(AND(112=$I20+1,OR($K20&lt;&gt;'計算A'!$A$3,'計算A'!$A$4=0)),AND(112=$I20-1,OR(16&lt;&gt;'計算A'!$A$3,'計算A'!$A$4=0))),0,IF(16=$K20,200000,ABS(16-$K20)*100)),100000+ABS(5-$J20)*1000+160)+'計算A'!DK$5*50+IF(AND($E20=1,MX20=0),25,0),INDEX('計算A'!DK$110:DK$114,$F20+1)+IF(AND($E20=1,MX20=0),1000,0)+IF($H20=1,(IF('計算A'!DJ$117=1,INDEX('計算A'!DJ$10:DJ$54,$B20),0)+IF('計算A'!DK$117=1,INDEX('計算A'!DL$10:DL$54,$B20),0))*500,0)-IF(AND('計算A'!DJ$117=1,YH20&gt;0),300,0)-IF(AND($L20=1,'計算A'!DK$117=1,HJ20=0),300,0))),1000000))</f>
        <v/>
      </c>
      <c r="SN20">
        <f>IF($B20=0,1000000,IF(INDEX('計算A'!$D$60:$EQ$104,$B20,113)*HJ20=1,IF(AND($E20=2,MY20=0),1000000,IF($I20&gt;0,IF(5=$J20,IF(OR(AND(113=$I20+1,OR($K20&lt;&gt;'計算A'!$A$3,'計算A'!$A$4=0)),AND(113=$I20-1,OR(17&lt;&gt;'計算A'!$A$3,'計算A'!$A$4=0))),0,IF(17=$K20,200000,ABS(17-$K20)*100)),100000+ABS(5-$J20)*1000+170)+'計算A'!DL$5*50+IF(AND($E20=1,MY20=0),25,0),INDEX('計算A'!DL$110:DL$114,$F20+1)+IF(AND($E20=1,MY20=0),1000,0)+IF($H20=1,(IF('計算A'!DK$117=1,INDEX('計算A'!DK$10:DK$54,$B20),0)+IF('計算A'!DL$117=1,INDEX('計算A'!DM$10:DM$54,$B20),0))*500,0)-IF(AND('計算A'!DK$117=1,YI20&gt;0),300,0)-IF(AND($L20=1,'計算A'!DL$117=1,HK20=0),300,0))),1000000))</f>
        <v/>
      </c>
      <c r="SO20">
        <f>IF($B20=0,1000000,IF(INDEX('計算A'!$D$60:$EQ$104,$B20,114)*HK20=1,IF(AND($E20=2,MZ20=0),1000000,IF($I20&gt;0,IF(5=$J20,IF(OR(AND(114=$I20+1,OR($K20&lt;&gt;'計算A'!$A$3,'計算A'!$A$4=0)),AND(114=$I20-1,OR(18&lt;&gt;'計算A'!$A$3,'計算A'!$A$4=0))),0,IF(18=$K20,200000,ABS(18-$K20)*100)),100000+ABS(5-$J20)*1000+180)+'計算A'!DM$5*50+IF(AND($E20=1,MZ20=0),25,0),INDEX('計算A'!DM$110:DM$114,$F20+1)+IF(AND($E20=1,MZ20=0),1000,0)+IF($H20=1,(IF('計算A'!DL$117=1,INDEX('計算A'!DL$10:DL$54,$B20),0)+IF('計算A'!DM$117=1,INDEX('計算A'!DN$10:DN$54,$B20),0))*500,0)-IF(AND('計算A'!DL$117=1,YJ20&gt;0),300,0)-IF(AND($L20=1,'計算A'!DM$117=1,HL20=0),300,0))),1000000))</f>
        <v/>
      </c>
      <c r="SP20">
        <f>IF($B20=0,1000000,IF(INDEX('計算A'!$D$60:$EQ$104,$B20,115)*HL20=1,IF(AND($E20=2,NA20=0),1000000,IF($I20&gt;0,IF(5=$J20,IF(OR(AND(115=$I20+1,OR($K20&lt;&gt;'計算A'!$A$3,'計算A'!$A$4=0)),AND(115=$I20-1,OR(19&lt;&gt;'計算A'!$A$3,'計算A'!$A$4=0))),0,IF(19=$K20,200000,ABS(19-$K20)*100)),100000+ABS(5-$J20)*1000+190)+'計算A'!DN$5*50+IF(AND($E20=1,NA20=0),25,0),INDEX('計算A'!DN$110:DN$114,$F20+1)+IF(AND($E20=1,NA20=0),1000,0)+IF($H20=1,(IF('計算A'!DM$117=1,INDEX('計算A'!DM$10:DM$54,$B20),0)+IF('計算A'!DN$117=1,INDEX('計算A'!DO$10:DO$54,$B20),0))*500,0)-IF(AND('計算A'!DM$117=1,YK20&gt;0),300,0)-IF(AND($L20=1,'計算A'!DN$117=1,HM20=0),300,0))),1000000))</f>
        <v/>
      </c>
      <c r="SQ20">
        <f>IF($B20=0,1000000,IF(INDEX('計算A'!$D$60:$EQ$104,$B20,116)*HM20=1,IF(AND($E20=2,NB20=0),1000000,IF($I20&gt;0,IF(5=$J20,IF(OR(AND(116=$I20+1,OR($K20&lt;&gt;'計算A'!$A$3,'計算A'!$A$4=0)),AND(116=$I20-1,OR(20&lt;&gt;'計算A'!$A$3,'計算A'!$A$4=0))),0,IF(20=$K20,200000,ABS(20-$K20)*100)),100000+ABS(5-$J20)*1000+200)+'計算A'!DO$5*50+IF(AND($E20=1,NB20=0),25,0),INDEX('計算A'!DO$110:DO$114,$F20+1)+IF(AND($E20=1,NB20=0),1000,0)+IF($H20=1,(IF('計算A'!DN$117=1,INDEX('計算A'!DN$10:DN$54,$B20),0)+IF('計算A'!DO$117=1,INDEX('計算A'!DP$10:DP$54,$B20),0))*500,0)-IF(AND('計算A'!DN$117=1,YL20&gt;0),300,0)-IF(AND($L20=1,'計算A'!DO$117=1,HN20=0),300,0))),1000000))</f>
        <v/>
      </c>
      <c r="SR20">
        <f>IF($B20=0,1000000,IF(INDEX('計算A'!$D$60:$EQ$104,$B20,117)*HN20=1,IF(AND($E20=2,NC20=0),1000000,IF($I20&gt;0,IF(5=$J20,IF(OR(AND(117=$I20+1,OR($K20&lt;&gt;'計算A'!$A$3,'計算A'!$A$4=0)),AND(117=$I20-1,OR(21&lt;&gt;'計算A'!$A$3,'計算A'!$A$4=0))),0,IF(21=$K20,200000,ABS(21-$K20)*100)),100000+ABS(5-$J20)*1000+210)+'計算A'!DP$5*50+IF(AND($E20=1,NC20=0),25,0),INDEX('計算A'!DP$110:DP$114,$F20+1)+IF(AND($E20=1,NC20=0),1000,0)+IF($H20=1,(IF('計算A'!DO$117=1,INDEX('計算A'!DO$10:DO$54,$B20),0)+IF('計算A'!DP$117=1,INDEX('計算A'!DQ$10:DQ$54,$B20),0))*500,0)-IF(AND('計算A'!DO$117=1,YM20&gt;0),300,0)-IF(AND($L20=1,'計算A'!DP$117=1,HO20=0),300,0))),1000000))</f>
        <v/>
      </c>
      <c r="SS20">
        <f>IF($B20=0,1000000,IF(INDEX('計算A'!$D$60:$EQ$104,$B20,118)*HO20=1,IF(AND($E20=2,ND20=0),1000000,IF($I20&gt;0,IF(5=$J20,IF(OR(AND(118=$I20+1,OR($K20&lt;&gt;'計算A'!$A$3,'計算A'!$A$4=0)),AND(118=$I20-1,OR(22&lt;&gt;'計算A'!$A$3,'計算A'!$A$4=0))),0,IF(22=$K20,200000,ABS(22-$K20)*100)),100000+ABS(5-$J20)*1000+220)+'計算A'!DQ$5*50+IF(AND($E20=1,ND20=0),25,0),INDEX('計算A'!DQ$110:DQ$114,$F20+1)+IF(AND($E20=1,ND20=0),1000,0)+IF($H20=1,(IF('計算A'!DP$117=1,INDEX('計算A'!DP$10:DP$54,$B20),0)+IF('計算A'!DQ$117=1,INDEX('計算A'!DR$10:DR$54,$B20),0))*500,0)-IF(AND('計算A'!DP$117=1,YN20&gt;0),300,0)-IF(AND($L20=1,'計算A'!DQ$117=1,HP20=0),300,0))),1000000))</f>
        <v/>
      </c>
      <c r="ST20">
        <f>IF($B20=0,1000000,IF(INDEX('計算A'!$D$60:$EQ$104,$B20,119)*HP20=1,IF(AND($E20=2,NE20=0),1000000,IF($I20&gt;0,IF(5=$J20,IF(OR(AND(119=$I20+1,OR($K20&lt;&gt;'計算A'!$A$3,'計算A'!$A$4=0)),AND(119=$I20-1,OR(23&lt;&gt;'計算A'!$A$3,'計算A'!$A$4=0))),0,IF(23=$K20,200000,ABS(23-$K20)*100)),100000+ABS(5-$J20)*1000+230)+'計算A'!DR$5*50+IF(AND($E20=1,NE20=0),25,0),INDEX('計算A'!DR$110:DR$114,$F20+1)+IF(AND($E20=1,NE20=0),1000,0)+IF($H20=1,(IF('計算A'!DQ$117=1,INDEX('計算A'!DQ$10:DQ$54,$B20),0)+IF('計算A'!DR$117=1,INDEX('計算A'!DS$10:DS$54,$B20),0))*500,0)-IF(AND('計算A'!DQ$117=1,YO20&gt;0),300,0)-IF(AND($L20=1,'計算A'!DR$117=1,HQ20=0),300,0))),1000000))</f>
        <v/>
      </c>
      <c r="SU20">
        <f>IF($B20=0,1000000,IF(INDEX('計算A'!$D$60:$EQ$104,$B20,120)*HQ20=1,IF(AND($E20=2,NF20=0),1000000,IF($I20&gt;0,IF(5=$J20,IF(OR(AND(120=$I20+1,OR($K20&lt;&gt;'計算A'!$A$3,'計算A'!$A$4=0)),AND(120=$I20-1,OR(24&lt;&gt;'計算A'!$A$3,'計算A'!$A$4=0))),0,IF(24=$K20,200000,ABS(24-$K20)*100)),100000+ABS(5-$J20)*1000+240)+'計算A'!DS$5*50+IF(AND($E20=1,NF20=0),25,0),INDEX('計算A'!DS$110:DS$114,$F20+1)+IF(AND($E20=1,NF20=0),1000,0)+IF($H20=1,(IF('計算A'!DR$117=1,INDEX('計算A'!DR$10:DR$54,$B20),0))*500,0)-IF(AND('計算A'!DR$117=1,YP20&gt;0),300,0))),1000000))</f>
        <v/>
      </c>
      <c r="SV20">
        <f>IF($B20=0,1000000,IF(INDEX('計算A'!$D$60:$EQ$104,$B20,121)*HR20=1,IF(AND($E20=2,NG20=0),1000000,IF($I20&gt;0,IF(6=$J20,IF(OR(AND(121=$I20+1,OR($K20&lt;&gt;'計算A'!$A$3,'計算A'!$A$4=0)),AND(121=$I20-1,OR(1&lt;&gt;'計算A'!$A$3,'計算A'!$A$4=0))),0,IF(1=$K20,200000,ABS(1-$K20)*100)),100000+ABS(6-$J20)*1000+10)+'計算A'!DT$5*50+IF(AND($E20=1,NG20=0),25,0),INDEX('計算A'!DT$110:DT$114,$F20+1)+IF(AND($E20=1,NG20=0),1000,0)+IF($H20=1,(IF('計算A'!DT$117=1,INDEX('計算A'!DU$10:DU$54,$B20),0))*500,0)-IF(AND($L20=1,'計算A'!DT$117=1,HS20=0),300,0))),1000000))</f>
        <v/>
      </c>
      <c r="SW20">
        <f>IF($B20=0,1000000,IF(INDEX('計算A'!$D$60:$EQ$104,$B20,122)*HS20=1,IF(AND($E20=2,NH20=0),1000000,IF($I20&gt;0,IF(6=$J20,IF(OR(AND(122=$I20+1,OR($K20&lt;&gt;'計算A'!$A$3,'計算A'!$A$4=0)),AND(122=$I20-1,OR(2&lt;&gt;'計算A'!$A$3,'計算A'!$A$4=0))),0,IF(2=$K20,200000,ABS(2-$K20)*100)),100000+ABS(6-$J20)*1000+20)+'計算A'!DU$5*50+IF(AND($E20=1,NH20=0),25,0),INDEX('計算A'!DU$110:DU$114,$F20+1)+IF(AND($E20=1,NH20=0),1000,0)+IF($H20=1,(IF('計算A'!DT$117=1,INDEX('計算A'!DT$10:DT$54,$B20),0)+IF('計算A'!DU$117=1,INDEX('計算A'!DV$10:DV$54,$B20),0))*500,0)-IF(AND('計算A'!DT$117=1,YR20&gt;0),300,0)-IF(AND($L20=1,'計算A'!DU$117=1,HT20=0),300,0))),1000000))</f>
        <v/>
      </c>
      <c r="SX20">
        <f>IF($B20=0,1000000,IF(INDEX('計算A'!$D$60:$EQ$104,$B20,123)*HT20=1,IF(AND($E20=2,NI20=0),1000000,IF($I20&gt;0,IF(6=$J20,IF(OR(AND(123=$I20+1,OR($K20&lt;&gt;'計算A'!$A$3,'計算A'!$A$4=0)),AND(123=$I20-1,OR(3&lt;&gt;'計算A'!$A$3,'計算A'!$A$4=0))),0,IF(3=$K20,200000,ABS(3-$K20)*100)),100000+ABS(6-$J20)*1000+30)+'計算A'!DV$5*50+IF(AND($E20=1,NI20=0),25,0),INDEX('計算A'!DV$110:DV$114,$F20+1)+IF(AND($E20=1,NI20=0),1000,0)+IF($H20=1,(IF('計算A'!DU$117=1,INDEX('計算A'!DU$10:DU$54,$B20),0)+IF('計算A'!DV$117=1,INDEX('計算A'!DW$10:DW$54,$B20),0))*500,0)-IF(AND('計算A'!DU$117=1,YS20&gt;0),300,0)-IF(AND($L20=1,'計算A'!DV$117=1,HU20=0),300,0))),1000000))</f>
        <v/>
      </c>
      <c r="SY20">
        <f>IF($B20=0,1000000,IF(INDEX('計算A'!$D$60:$EQ$104,$B20,124)*HU20=1,IF(AND($E20=2,NJ20=0),1000000,IF($I20&gt;0,IF(6=$J20,IF(OR(AND(124=$I20+1,OR($K20&lt;&gt;'計算A'!$A$3,'計算A'!$A$4=0)),AND(124=$I20-1,OR(4&lt;&gt;'計算A'!$A$3,'計算A'!$A$4=0))),0,IF(4=$K20,200000,ABS(4-$K20)*100)),100000+ABS(6-$J20)*1000+40)+'計算A'!DW$5*50+IF(AND($E20=1,NJ20=0),25,0),INDEX('計算A'!DW$110:DW$114,$F20+1)+IF(AND($E20=1,NJ20=0),1000,0)+IF($H20=1,(IF('計算A'!DV$117=1,INDEX('計算A'!DV$10:DV$54,$B20),0)+IF('計算A'!DW$117=1,INDEX('計算A'!DX$10:DX$54,$B20),0))*500,0)-IF(AND('計算A'!DV$117=1,YT20&gt;0),300,0)-IF(AND($L20=1,'計算A'!DW$117=1,HV20=0),300,0))),1000000))</f>
        <v/>
      </c>
      <c r="SZ20">
        <f>IF($B20=0,1000000,IF(INDEX('計算A'!$D$60:$EQ$104,$B20,125)*HV20=1,IF(AND($E20=2,NK20=0),1000000,IF($I20&gt;0,IF(6=$J20,IF(OR(AND(125=$I20+1,OR($K20&lt;&gt;'計算A'!$A$3,'計算A'!$A$4=0)),AND(125=$I20-1,OR(5&lt;&gt;'計算A'!$A$3,'計算A'!$A$4=0))),0,IF(5=$K20,200000,ABS(5-$K20)*100)),100000+ABS(6-$J20)*1000+50)+'計算A'!DX$5*50+IF(AND($E20=1,NK20=0),25,0),INDEX('計算A'!DX$110:DX$114,$F20+1)+IF(AND($E20=1,NK20=0),1000,0)+IF($H20=1,(IF('計算A'!DW$117=1,INDEX('計算A'!DW$10:DW$54,$B20),0)+IF('計算A'!DX$117=1,INDEX('計算A'!DY$10:DY$54,$B20),0))*500,0)-IF(AND('計算A'!DW$117=1,YU20&gt;0),300,0)-IF(AND($L20=1,'計算A'!DX$117=1,HW20=0),300,0))),1000000))</f>
        <v/>
      </c>
      <c r="TA20">
        <f>IF($B20=0,1000000,IF(INDEX('計算A'!$D$60:$EQ$104,$B20,126)*HW20=1,IF(AND($E20=2,NL20=0),1000000,IF($I20&gt;0,IF(6=$J20,IF(OR(AND(126=$I20+1,OR($K20&lt;&gt;'計算A'!$A$3,'計算A'!$A$4=0)),AND(126=$I20-1,OR(6&lt;&gt;'計算A'!$A$3,'計算A'!$A$4=0))),0,IF(6=$K20,200000,ABS(6-$K20)*100)),100000+ABS(6-$J20)*1000+60)+'計算A'!DY$5*50+IF(AND($E20=1,NL20=0),25,0),INDEX('計算A'!DY$110:DY$114,$F20+1)+IF(AND($E20=1,NL20=0),1000,0)+IF($H20=1,(IF('計算A'!DX$117=1,INDEX('計算A'!DX$10:DX$54,$B20),0)+IF('計算A'!DY$117=1,INDEX('計算A'!DZ$10:DZ$54,$B20),0))*500,0)-IF(AND('計算A'!DX$117=1,YV20&gt;0),300,0)-IF(AND($L20=1,'計算A'!DY$117=1,HX20=0),300,0))),1000000))</f>
        <v/>
      </c>
      <c r="TB20">
        <f>IF($B20=0,1000000,IF(INDEX('計算A'!$D$60:$EQ$104,$B20,127)*HX20=1,IF(AND($E20=2,NM20=0),1000000,IF($I20&gt;0,IF(6=$J20,IF(OR(AND(127=$I20+1,OR($K20&lt;&gt;'計算A'!$A$3,'計算A'!$A$4=0)),AND(127=$I20-1,OR(7&lt;&gt;'計算A'!$A$3,'計算A'!$A$4=0))),0,IF(7=$K20,200000,ABS(7-$K20)*100)),100000+ABS(6-$J20)*1000+70)+'計算A'!DZ$5*50+IF(AND($E20=1,NM20=0),25,0),INDEX('計算A'!DZ$110:DZ$114,$F20+1)+IF(AND($E20=1,NM20=0),1000,0)+IF($H20=1,(IF('計算A'!DY$117=1,INDEX('計算A'!DY$10:DY$54,$B20),0)+IF('計算A'!DZ$117=1,INDEX('計算A'!EA$10:EA$54,$B20),0))*500,0)-IF(AND('計算A'!DY$117=1,YW20&gt;0),300,0)-IF(AND($L20=1,'計算A'!DZ$117=1,HY20=0),300,0))),1000000))</f>
        <v/>
      </c>
      <c r="TC20">
        <f>IF($B20=0,1000000,IF(INDEX('計算A'!$D$60:$EQ$104,$B20,128)*HY20=1,IF(AND($E20=2,NN20=0),1000000,IF($I20&gt;0,IF(6=$J20,IF(OR(AND(128=$I20+1,OR($K20&lt;&gt;'計算A'!$A$3,'計算A'!$A$4=0)),AND(128=$I20-1,OR(8&lt;&gt;'計算A'!$A$3,'計算A'!$A$4=0))),0,IF(8=$K20,200000,ABS(8-$K20)*100)),100000+ABS(6-$J20)*1000+80)+'計算A'!EA$5*50+IF(AND($E20=1,NN20=0),25,0),INDEX('計算A'!EA$110:EA$114,$F20+1)+IF(AND($E20=1,NN20=0),1000,0)+IF($H20=1,(IF('計算A'!DZ$117=1,INDEX('計算A'!DZ$10:DZ$54,$B20),0)+IF('計算A'!EA$117=1,INDEX('計算A'!EB$10:EB$54,$B20),0))*500,0)-IF(AND('計算A'!DZ$117=1,YX20&gt;0),300,0)-IF(AND($L20=1,'計算A'!EA$117=1,HZ20=0),300,0))),1000000))</f>
        <v/>
      </c>
      <c r="TD20">
        <f>IF($B20=0,1000000,IF(INDEX('計算A'!$D$60:$EQ$104,$B20,129)*HZ20=1,IF(AND($E20=2,NO20=0),1000000,IF($I20&gt;0,IF(6=$J20,IF(OR(AND(129=$I20+1,OR($K20&lt;&gt;'計算A'!$A$3,'計算A'!$A$4=0)),AND(129=$I20-1,OR(9&lt;&gt;'計算A'!$A$3,'計算A'!$A$4=0))),0,IF(9=$K20,200000,ABS(9-$K20)*100)),100000+ABS(6-$J20)*1000+90)+'計算A'!EB$5*50+IF(AND($E20=1,NO20=0),25,0),INDEX('計算A'!EB$110:EB$114,$F20+1)+IF(AND($E20=1,NO20=0),1000,0)+IF($H20=1,(IF('計算A'!EA$117=1,INDEX('計算A'!EA$10:EA$54,$B20),0)+IF('計算A'!EB$117=1,INDEX('計算A'!EC$10:EC$54,$B20),0))*500,0)-IF(AND('計算A'!EA$117=1,YY20&gt;0),300,0)-IF(AND($L20=1,'計算A'!EB$117=1,IA20=0),300,0))),1000000))</f>
        <v/>
      </c>
      <c r="TE20">
        <f>IF($B20=0,1000000,IF(INDEX('計算A'!$D$60:$EQ$104,$B20,130)*IA20=1,IF(AND($E20=2,NP20=0),1000000,IF($I20&gt;0,IF(6=$J20,IF(OR(AND(130=$I20+1,OR($K20&lt;&gt;'計算A'!$A$3,'計算A'!$A$4=0)),AND(130=$I20-1,OR(10&lt;&gt;'計算A'!$A$3,'計算A'!$A$4=0))),0,IF(10=$K20,200000,ABS(10-$K20)*100)),100000+ABS(6-$J20)*1000+100)+'計算A'!EC$5*50+IF(AND($E20=1,NP20=0),25,0),INDEX('計算A'!EC$110:EC$114,$F20+1)+IF(AND($E20=1,NP20=0),1000,0)+IF($H20=1,(IF('計算A'!EB$117=1,INDEX('計算A'!EB$10:EB$54,$B20),0)+IF('計算A'!EC$117=1,INDEX('計算A'!ED$10:ED$54,$B20),0))*500,0)-IF(AND('計算A'!EB$117=1,YZ20&gt;0),300,0)-IF(AND($L20=1,'計算A'!EC$117=1,IB20=0),300,0))),1000000))</f>
        <v/>
      </c>
      <c r="TF20">
        <f>IF($B20=0,1000000,IF(INDEX('計算A'!$D$60:$EQ$104,$B20,131)*IB20=1,IF(AND($E20=2,NQ20=0),1000000,IF($I20&gt;0,IF(6=$J20,IF(OR(AND(131=$I20+1,OR($K20&lt;&gt;'計算A'!$A$3,'計算A'!$A$4=0)),AND(131=$I20-1,OR(11&lt;&gt;'計算A'!$A$3,'計算A'!$A$4=0))),0,IF(11=$K20,200000,ABS(11-$K20)*100)),100000+ABS(6-$J20)*1000+110)+'計算A'!ED$5*50+IF(AND($E20=1,NQ20=0),25,0),INDEX('計算A'!ED$110:ED$114,$F20+1)+IF(AND($E20=1,NQ20=0),1000,0)+IF($H20=1,(IF('計算A'!EC$117=1,INDEX('計算A'!EC$10:EC$54,$B20),0)+IF('計算A'!ED$117=1,INDEX('計算A'!EE$10:EE$54,$B20),0))*500,0)-IF(AND('計算A'!EC$117=1,ZA20&gt;0),300,0)-IF(AND($L20=1,'計算A'!ED$117=1,IC20=0),300,0))),1000000))</f>
        <v/>
      </c>
      <c r="TG20">
        <f>IF($B20=0,1000000,IF(INDEX('計算A'!$D$60:$EQ$104,$B20,132)*IC20=1,IF(AND($E20=2,NR20=0),1000000,IF($I20&gt;0,IF(6=$J20,IF(OR(AND(132=$I20+1,OR($K20&lt;&gt;'計算A'!$A$3,'計算A'!$A$4=0)),AND(132=$I20-1,OR(12&lt;&gt;'計算A'!$A$3,'計算A'!$A$4=0))),0,IF(12=$K20,200000,ABS(12-$K20)*100)),100000+ABS(6-$J20)*1000+120)+'計算A'!EE$5*50+IF(AND($E20=1,NR20=0),25,0),INDEX('計算A'!EE$110:EE$114,$F20+1)+IF(AND($E20=1,NR20=0),1000,0)+IF($H20=1,(IF('計算A'!ED$117=1,INDEX('計算A'!ED$10:ED$54,$B20),0)+IF('計算A'!EE$117=1,INDEX('計算A'!EF$10:EF$54,$B20),0))*500,0)-IF(AND('計算A'!ED$117=1,ZB20&gt;0),300,0)-IF(AND($L20=1,'計算A'!EE$117=1,ID20=0),300,0))),1000000))</f>
        <v/>
      </c>
      <c r="TH20">
        <f>IF($B20=0,1000000,IF(INDEX('計算A'!$D$60:$EQ$104,$B20,133)*ID20=1,IF(AND($E20=2,NS20=0),1000000,IF($I20&gt;0,IF(6=$J20,IF(OR(AND(133=$I20+1,OR($K20&lt;&gt;'計算A'!$A$3,'計算A'!$A$4=0)),AND(133=$I20-1,OR(13&lt;&gt;'計算A'!$A$3,'計算A'!$A$4=0))),0,IF(13=$K20,200000,ABS(13-$K20)*100)),100000+ABS(6-$J20)*1000+130)+'計算A'!EF$5*50+IF(AND($E20=1,NS20=0),25,0),INDEX('計算A'!EF$110:EF$114,$F20+1)+IF(AND($E20=1,NS20=0),1000,0)+IF($H20=1,(IF('計算A'!EE$117=1,INDEX('計算A'!EE$10:EE$54,$B20),0)+IF('計算A'!EF$117=1,INDEX('計算A'!EG$10:EG$54,$B20),0))*500,0)-IF(AND('計算A'!EE$117=1,ZC20&gt;0),300,0)-IF(AND($L20=1,'計算A'!EF$117=1,IE20=0),300,0))),1000000))</f>
        <v/>
      </c>
      <c r="TI20">
        <f>IF($B20=0,1000000,IF(INDEX('計算A'!$D$60:$EQ$104,$B20,134)*IE20=1,IF(AND($E20=2,NT20=0),1000000,IF($I20&gt;0,IF(6=$J20,IF(OR(AND(134=$I20+1,OR($K20&lt;&gt;'計算A'!$A$3,'計算A'!$A$4=0)),AND(134=$I20-1,OR(14&lt;&gt;'計算A'!$A$3,'計算A'!$A$4=0))),0,IF(14=$K20,200000,ABS(14-$K20)*100)),100000+ABS(6-$J20)*1000+140)+'計算A'!EG$5*50+IF(AND($E20=1,NT20=0),25,0),INDEX('計算A'!EG$110:EG$114,$F20+1)+IF(AND($E20=1,NT20=0),1000,0)+IF($H20=1,(IF('計算A'!EF$117=1,INDEX('計算A'!EF$10:EF$54,$B20),0)+IF('計算A'!EG$117=1,INDEX('計算A'!EH$10:EH$54,$B20),0))*500,0)-IF(AND('計算A'!EF$117=1,ZD20&gt;0),300,0)-IF(AND($L20=1,'計算A'!EG$117=1,IF20=0),300,0))),1000000))</f>
        <v/>
      </c>
      <c r="TJ20">
        <f>IF($B20=0,1000000,IF(INDEX('計算A'!$D$60:$EQ$104,$B20,135)*IF20=1,IF(AND($E20=2,NU20=0),1000000,IF($I20&gt;0,IF(6=$J20,IF(OR(AND(135=$I20+1,OR($K20&lt;&gt;'計算A'!$A$3,'計算A'!$A$4=0)),AND(135=$I20-1,OR(15&lt;&gt;'計算A'!$A$3,'計算A'!$A$4=0))),0,IF(15=$K20,200000,ABS(15-$K20)*100)),100000+ABS(6-$J20)*1000+150)+'計算A'!EH$5*50+IF(AND($E20=1,NU20=0),25,0),INDEX('計算A'!EH$110:EH$114,$F20+1)+IF(AND($E20=1,NU20=0),1000,0)+IF($H20=1,(IF('計算A'!EG$117=1,INDEX('計算A'!EG$10:EG$54,$B20),0)+IF('計算A'!EH$117=1,INDEX('計算A'!EI$10:EI$54,$B20),0))*500,0)-IF(AND('計算A'!EG$117=1,ZE20&gt;0),300,0)-IF(AND($L20=1,'計算A'!EH$117=1,IG20=0),300,0))),1000000))</f>
        <v/>
      </c>
      <c r="TK20">
        <f>IF($B20=0,1000000,IF(INDEX('計算A'!$D$60:$EQ$104,$B20,136)*IG20=1,IF(AND($E20=2,NV20=0),1000000,IF($I20&gt;0,IF(6=$J20,IF(OR(AND(136=$I20+1,OR($K20&lt;&gt;'計算A'!$A$3,'計算A'!$A$4=0)),AND(136=$I20-1,OR(16&lt;&gt;'計算A'!$A$3,'計算A'!$A$4=0))),0,IF(16=$K20,200000,ABS(16-$K20)*100)),100000+ABS(6-$J20)*1000+160)+'計算A'!EI$5*50+IF(AND($E20=1,NV20=0),25,0),INDEX('計算A'!EI$110:EI$114,$F20+1)+IF(AND($E20=1,NV20=0),1000,0)+IF($H20=1,(IF('計算A'!EH$117=1,INDEX('計算A'!EH$10:EH$54,$B20),0)+IF('計算A'!EI$117=1,INDEX('計算A'!EJ$10:EJ$54,$B20),0))*500,0)-IF(AND('計算A'!EH$117=1,ZF20&gt;0),300,0)-IF(AND($L20=1,'計算A'!EI$117=1,IH20=0),300,0))),1000000))</f>
        <v/>
      </c>
      <c r="TL20">
        <f>IF($B20=0,1000000,IF(INDEX('計算A'!$D$60:$EQ$104,$B20,137)*IH20=1,IF(AND($E20=2,NW20=0),1000000,IF($I20&gt;0,IF(6=$J20,IF(OR(AND(137=$I20+1,OR($K20&lt;&gt;'計算A'!$A$3,'計算A'!$A$4=0)),AND(137=$I20-1,OR(17&lt;&gt;'計算A'!$A$3,'計算A'!$A$4=0))),0,IF(17=$K20,200000,ABS(17-$K20)*100)),100000+ABS(6-$J20)*1000+170)+'計算A'!EJ$5*50+IF(AND($E20=1,NW20=0),25,0),INDEX('計算A'!EJ$110:EJ$114,$F20+1)+IF(AND($E20=1,NW20=0),1000,0)+IF($H20=1,(IF('計算A'!EI$117=1,INDEX('計算A'!EI$10:EI$54,$B20),0)+IF('計算A'!EJ$117=1,INDEX('計算A'!EK$10:EK$54,$B20),0))*500,0)-IF(AND('計算A'!EI$117=1,ZG20&gt;0),300,0)-IF(AND($L20=1,'計算A'!EJ$117=1,II20=0),300,0))),1000000))</f>
        <v/>
      </c>
      <c r="TM20">
        <f>IF($B20=0,1000000,IF(INDEX('計算A'!$D$60:$EQ$104,$B20,138)*II20=1,IF(AND($E20=2,NX20=0),1000000,IF($I20&gt;0,IF(6=$J20,IF(OR(AND(138=$I20+1,OR($K20&lt;&gt;'計算A'!$A$3,'計算A'!$A$4=0)),AND(138=$I20-1,OR(18&lt;&gt;'計算A'!$A$3,'計算A'!$A$4=0))),0,IF(18=$K20,200000,ABS(18-$K20)*100)),100000+ABS(6-$J20)*1000+180)+'計算A'!EK$5*50+IF(AND($E20=1,NX20=0),25,0),INDEX('計算A'!EK$110:EK$114,$F20+1)+IF(AND($E20=1,NX20=0),1000,0)+IF($H20=1,(IF('計算A'!EJ$117=1,INDEX('計算A'!EJ$10:EJ$54,$B20),0)+IF('計算A'!EK$117=1,INDEX('計算A'!EL$10:EL$54,$B20),0))*500,0)-IF(AND('計算A'!EJ$117=1,ZH20&gt;0),300,0)-IF(AND($L20=1,'計算A'!EK$117=1,IJ20=0),300,0))),1000000))</f>
        <v/>
      </c>
      <c r="TN20">
        <f>IF($B20=0,1000000,IF(INDEX('計算A'!$D$60:$EQ$104,$B20,139)*IJ20=1,IF(AND($E20=2,NY20=0),1000000,IF($I20&gt;0,IF(6=$J20,IF(OR(AND(139=$I20+1,OR($K20&lt;&gt;'計算A'!$A$3,'計算A'!$A$4=0)),AND(139=$I20-1,OR(19&lt;&gt;'計算A'!$A$3,'計算A'!$A$4=0))),0,IF(19=$K20,200000,ABS(19-$K20)*100)),100000+ABS(6-$J20)*1000+190)+'計算A'!EL$5*50+IF(AND($E20=1,NY20=0),25,0),INDEX('計算A'!EL$110:EL$114,$F20+1)+IF(AND($E20=1,NY20=0),1000,0)+IF($H20=1,(IF('計算A'!EK$117=1,INDEX('計算A'!EK$10:EK$54,$B20),0)+IF('計算A'!EL$117=1,INDEX('計算A'!EM$10:EM$54,$B20),0))*500,0)-IF(AND('計算A'!EK$117=1,ZI20&gt;0),300,0)-IF(AND($L20=1,'計算A'!EL$117=1,IK20=0),300,0))),1000000))</f>
        <v/>
      </c>
      <c r="TO20">
        <f>IF($B20=0,1000000,IF(INDEX('計算A'!$D$60:$EQ$104,$B20,140)*IK20=1,IF(AND($E20=2,NZ20=0),1000000,IF($I20&gt;0,IF(6=$J20,IF(OR(AND(140=$I20+1,OR($K20&lt;&gt;'計算A'!$A$3,'計算A'!$A$4=0)),AND(140=$I20-1,OR(20&lt;&gt;'計算A'!$A$3,'計算A'!$A$4=0))),0,IF(20=$K20,200000,ABS(20-$K20)*100)),100000+ABS(6-$J20)*1000+200)+'計算A'!EM$5*50+IF(AND($E20=1,NZ20=0),25,0),INDEX('計算A'!EM$110:EM$114,$F20+1)+IF(AND($E20=1,NZ20=0),1000,0)+IF($H20=1,(IF('計算A'!EL$117=1,INDEX('計算A'!EL$10:EL$54,$B20),0)+IF('計算A'!EM$117=1,INDEX('計算A'!EN$10:EN$54,$B20),0))*500,0)-IF(AND('計算A'!EL$117=1,ZJ20&gt;0),300,0)-IF(AND($L20=1,'計算A'!EM$117=1,IL20=0),300,0))),1000000))</f>
        <v/>
      </c>
      <c r="TP20">
        <f>IF($B20=0,1000000,IF(INDEX('計算A'!$D$60:$EQ$104,$B20,141)*IL20=1,IF(AND($E20=2,OA20=0),1000000,IF($I20&gt;0,IF(6=$J20,IF(OR(AND(141=$I20+1,OR($K20&lt;&gt;'計算A'!$A$3,'計算A'!$A$4=0)),AND(141=$I20-1,OR(21&lt;&gt;'計算A'!$A$3,'計算A'!$A$4=0))),0,IF(21=$K20,200000,ABS(21-$K20)*100)),100000+ABS(6-$J20)*1000+210)+'計算A'!EN$5*50+IF(AND($E20=1,OA20=0),25,0),INDEX('計算A'!EN$110:EN$114,$F20+1)+IF(AND($E20=1,OA20=0),1000,0)+IF($H20=1,(IF('計算A'!EM$117=1,INDEX('計算A'!EM$10:EM$54,$B20),0)+IF('計算A'!EN$117=1,INDEX('計算A'!EO$10:EO$54,$B20),0))*500,0)-IF(AND('計算A'!EM$117=1,ZK20&gt;0),300,0)-IF(AND($L20=1,'計算A'!EN$117=1,IM20=0),300,0))),1000000))</f>
        <v/>
      </c>
      <c r="TQ20">
        <f>IF($B20=0,1000000,IF(INDEX('計算A'!$D$60:$EQ$104,$B20,142)*IM20=1,IF(AND($E20=2,OB20=0),1000000,IF($I20&gt;0,IF(6=$J20,IF(OR(AND(142=$I20+1,OR($K20&lt;&gt;'計算A'!$A$3,'計算A'!$A$4=0)),AND(142=$I20-1,OR(22&lt;&gt;'計算A'!$A$3,'計算A'!$A$4=0))),0,IF(22=$K20,200000,ABS(22-$K20)*100)),100000+ABS(6-$J20)*1000+220)+'計算A'!EO$5*50+IF(AND($E20=1,OB20=0),25,0),INDEX('計算A'!EO$110:EO$114,$F20+1)+IF(AND($E20=1,OB20=0),1000,0)+IF($H20=1,(IF('計算A'!EN$117=1,INDEX('計算A'!EN$10:EN$54,$B20),0)+IF('計算A'!EO$117=1,INDEX('計算A'!EP$10:EP$54,$B20),0))*500,0)-IF(AND('計算A'!EN$117=1,ZL20&gt;0),300,0)-IF(AND($L20=1,'計算A'!EO$117=1,IN20=0),300,0))),1000000))</f>
        <v/>
      </c>
      <c r="TR20">
        <f>IF($B20=0,1000000,IF(INDEX('計算A'!$D$60:$EQ$104,$B20,143)*IN20=1,IF(AND($E20=2,OC20=0),1000000,IF($I20&gt;0,IF(6=$J20,IF(OR(AND(143=$I20+1,OR($K20&lt;&gt;'計算A'!$A$3,'計算A'!$A$4=0)),AND(143=$I20-1,OR(23&lt;&gt;'計算A'!$A$3,'計算A'!$A$4=0))),0,IF(23=$K20,200000,ABS(23-$K20)*100)),100000+ABS(6-$J20)*1000+230)+'計算A'!EP$5*50+IF(AND($E20=1,OC20=0),25,0),INDEX('計算A'!EP$110:EP$114,$F20+1)+IF(AND($E20=1,OC20=0),1000,0)+IF($H20=1,(IF('計算A'!EO$117=1,INDEX('計算A'!EO$10:EO$54,$B20),0)+IF('計算A'!EP$117=1,INDEX('計算A'!EQ$10:EQ$54,$B20),0))*500,0)-IF(AND('計算A'!EO$117=1,ZM20&gt;0),300,0)-IF(AND($L20=1,'計算A'!EP$117=1,IO20=0),300,0))),1000000))</f>
        <v/>
      </c>
      <c r="TS20">
        <f>IF($B20=0,1000000,IF(INDEX('計算A'!$D$60:$EQ$104,$B20,144)*IO20=1,IF(AND($E20=2,OD20=0),1000000,IF($I20&gt;0,IF(6=$J20,IF(OR(AND(144=$I20+1,OR($K20&lt;&gt;'計算A'!$A$3,'計算A'!$A$4=0)),AND(144=$I20-1,OR(24&lt;&gt;'計算A'!$A$3,'計算A'!$A$4=0))),0,IF(24=$K20,200000,ABS(24-$K20)*100)),100000+ABS(6-$J20)*1000+240)+'計算A'!EQ$5*50+IF(AND($E20=1,OD20=0),25,0),INDEX('計算A'!EQ$110:EQ$114,$F20+1)+IF(AND($E20=1,OD20=0),1000,0)+IF($H20=1,(IF('計算A'!EP$117=1,INDEX('計算A'!EP$10:EP$54,$B20),0))*500,0)-IF(AND('計算A'!EP$117=1,ZN20&gt;0),300,0))),1000000))</f>
        <v/>
      </c>
      <c r="UB20">
        <f>UB19+IF(AND($C19=1,$L19=1),1,0)</f>
        <v/>
      </c>
      <c r="UC20">
        <f>UC19+IF(AND($C19=2,$L19=1),1,0)</f>
        <v/>
      </c>
      <c r="UD20">
        <f>UD19+IF(AND($C19=3,$L19=1),1,0)</f>
        <v/>
      </c>
      <c r="UE20">
        <f>UE19+IF(AND($C19=4,$L19=1),1,0)</f>
        <v/>
      </c>
      <c r="UF20">
        <f>UF19+IF(AND($C19=5,$L19=1),1,0)</f>
        <v/>
      </c>
      <c r="UG20">
        <f>UG19+IF(AND($C19=6,$L19=1),1,0)</f>
        <v/>
      </c>
      <c r="UH20">
        <f>UH19+IF(AND($C19=7,$L19=1),1,0)</f>
        <v/>
      </c>
      <c r="UI20">
        <f>UI19+IF(AND($C19=8,$L19=1),1,0)</f>
        <v/>
      </c>
      <c r="UJ20">
        <f>UJ19+IF(AND($C19=9,$L19=1),1,0)</f>
        <v/>
      </c>
      <c r="UK20">
        <f>UK19+IF(AND($C19=10,$L19=1),1,0)</f>
        <v/>
      </c>
      <c r="UL20">
        <f>UL19+IF(AND($C19=11,$L19=1),1,0)</f>
        <v/>
      </c>
      <c r="UM20">
        <f>UM19+IF(AND($C19=12,$L19=1),1,0)</f>
        <v/>
      </c>
      <c r="UN20">
        <f>UN19+IF(AND($C19=13,$L19=1),1,0)</f>
        <v/>
      </c>
      <c r="UO20">
        <f>UO19+IF(AND($C19=14,$L19=1),1,0)</f>
        <v/>
      </c>
      <c r="UP20">
        <f>UP19+IF(AND($C19=15,$L19=1),1,0)</f>
        <v/>
      </c>
      <c r="UQ20">
        <f>UQ19+IF(AND($C19=16,$L19=1),1,0)</f>
        <v/>
      </c>
      <c r="UR20">
        <f>UR19+IF(AND($C19=17,$L19=1),1,0)</f>
        <v/>
      </c>
      <c r="US20">
        <f>US19+IF(AND($C19=18,$L19=1),1,0)</f>
        <v/>
      </c>
      <c r="UT20">
        <f>UT19+IF(AND($C19=19,$L19=1),1,0)</f>
        <v/>
      </c>
      <c r="UU20">
        <f>UU19+IF(AND($C19=20,$L19=1),1,0)</f>
        <v/>
      </c>
      <c r="UV20">
        <f>UV19+IF(AND($C19=21,$L19=1),1,0)</f>
        <v/>
      </c>
      <c r="UW20">
        <f>UW19+IF(AND($C19=22,$L19=1),1,0)</f>
        <v/>
      </c>
      <c r="UX20">
        <f>UX19+IF(AND($C19=23,$L19=1),1,0)</f>
        <v/>
      </c>
      <c r="UY20">
        <f>UY19+IF(AND($C19=24,$L19=1),1,0)</f>
        <v/>
      </c>
      <c r="UZ20">
        <f>UZ19+IF(AND($C19=25,$L19=1),1,0)</f>
        <v/>
      </c>
      <c r="VA20">
        <f>VA19+IF(AND($C19=26,$L19=1),1,0)</f>
        <v/>
      </c>
      <c r="VB20">
        <f>VB19+IF(AND($C19=27,$L19=1),1,0)</f>
        <v/>
      </c>
      <c r="VC20">
        <f>VC19+IF(AND($C19=28,$L19=1),1,0)</f>
        <v/>
      </c>
      <c r="VD20">
        <f>VD19+IF(AND($C19=29,$L19=1),1,0)</f>
        <v/>
      </c>
      <c r="VE20">
        <f>VE19+IF(AND($C19=30,$L19=1),1,0)</f>
        <v/>
      </c>
      <c r="VF20">
        <f>VF19+IF(AND($C19=31,$L19=1),1,0)</f>
        <v/>
      </c>
      <c r="VG20">
        <f>VG19+IF(AND($C19=32,$L19=1),1,0)</f>
        <v/>
      </c>
      <c r="VH20">
        <f>VH19+IF(AND($C19=33,$L19=1),1,0)</f>
        <v/>
      </c>
      <c r="VI20">
        <f>VI19+IF(AND($C19=34,$L19=1),1,0)</f>
        <v/>
      </c>
      <c r="VJ20">
        <f>VJ19+IF(AND($C19=35,$L19=1),1,0)</f>
        <v/>
      </c>
      <c r="VK20">
        <f>VK19+IF(AND($C19=36,$L19=1),1,0)</f>
        <v/>
      </c>
      <c r="VL20">
        <f>VL19+IF(AND($C19=37,$L19=1),1,0)</f>
        <v/>
      </c>
      <c r="VM20">
        <f>VM19+IF(AND($C19=38,$L19=1),1,0)</f>
        <v/>
      </c>
      <c r="VN20">
        <f>VN19+IF(AND($C19=39,$L19=1),1,0)</f>
        <v/>
      </c>
      <c r="VO20">
        <f>VO19+IF(AND($C19=40,$L19=1),1,0)</f>
        <v/>
      </c>
      <c r="VP20">
        <f>VP19+IF(AND($C19=41,$L19=1),1,0)</f>
        <v/>
      </c>
      <c r="VQ20">
        <f>VQ19+IF(AND($C19=42,$L19=1),1,0)</f>
        <v/>
      </c>
      <c r="VR20">
        <f>VR19+IF(AND($C19=43,$L19=1),1,0)</f>
        <v/>
      </c>
      <c r="VS20">
        <f>VS19+IF(AND($C19=44,$L19=1),1,0)</f>
        <v/>
      </c>
      <c r="VT20">
        <f>VT19+IF(AND($C19=45,$L19=1),1,0)</f>
        <v/>
      </c>
      <c r="VU20">
        <f>VU19+IF(AND($C19=46,$L19=1),1,0)</f>
        <v/>
      </c>
      <c r="VV20">
        <f>VV19+IF(AND($C19=47,$L19=1),1,0)</f>
        <v/>
      </c>
      <c r="VW20">
        <f>VW19+IF(AND($C19=48,$L19=1),1,0)</f>
        <v/>
      </c>
      <c r="VX20">
        <f>VX19+IF(AND($C19=49,$L19=1),1,0)</f>
        <v/>
      </c>
      <c r="VY20">
        <f>VY19+IF(AND($C19=50,$L19=1),1,0)</f>
        <v/>
      </c>
      <c r="VZ20">
        <f>VZ19+IF(AND($C19=51,$L19=1),1,0)</f>
        <v/>
      </c>
      <c r="WA20">
        <f>WA19+IF(AND($C19=52,$L19=1),1,0)</f>
        <v/>
      </c>
      <c r="WB20">
        <f>WB19+IF(AND($C19=53,$L19=1),1,0)</f>
        <v/>
      </c>
      <c r="WC20">
        <f>WC19+IF(AND($C19=54,$L19=1),1,0)</f>
        <v/>
      </c>
      <c r="WD20">
        <f>WD19+IF(AND($C19=55,$L19=1),1,0)</f>
        <v/>
      </c>
      <c r="WE20">
        <f>WE19+IF(AND($C19=56,$L19=1),1,0)</f>
        <v/>
      </c>
      <c r="WF20">
        <f>WF19+IF(AND($C19=57,$L19=1),1,0)</f>
        <v/>
      </c>
      <c r="WG20">
        <f>WG19+IF(AND($C19=58,$L19=1),1,0)</f>
        <v/>
      </c>
      <c r="WH20">
        <f>WH19+IF(AND($C19=59,$L19=1),1,0)</f>
        <v/>
      </c>
      <c r="WI20">
        <f>WI19+IF(AND($C19=60,$L19=1),1,0)</f>
        <v/>
      </c>
      <c r="WJ20">
        <f>WJ19+IF(AND($C19=61,$L19=1),1,0)</f>
        <v/>
      </c>
      <c r="WK20">
        <f>WK19+IF(AND($C19=62,$L19=1),1,0)</f>
        <v/>
      </c>
      <c r="WL20">
        <f>WL19+IF(AND($C19=63,$L19=1),1,0)</f>
        <v/>
      </c>
      <c r="WM20">
        <f>WM19+IF(AND($C19=64,$L19=1),1,0)</f>
        <v/>
      </c>
      <c r="WN20">
        <f>WN19+IF(AND($C19=65,$L19=1),1,0)</f>
        <v/>
      </c>
      <c r="WO20">
        <f>WO19+IF(AND($C19=66,$L19=1),1,0)</f>
        <v/>
      </c>
      <c r="WP20">
        <f>WP19+IF(AND($C19=67,$L19=1),1,0)</f>
        <v/>
      </c>
      <c r="WQ20">
        <f>WQ19+IF(AND($C19=68,$L19=1),1,0)</f>
        <v/>
      </c>
      <c r="WR20">
        <f>WR19+IF(AND($C19=69,$L19=1),1,0)</f>
        <v/>
      </c>
      <c r="WS20">
        <f>WS19+IF(AND($C19=70,$L19=1),1,0)</f>
        <v/>
      </c>
      <c r="WT20">
        <f>WT19+IF(AND($C19=71,$L19=1),1,0)</f>
        <v/>
      </c>
      <c r="WU20">
        <f>WU19+IF(AND($C19=72,$L19=1),1,0)</f>
        <v/>
      </c>
      <c r="WV20">
        <f>WV19+IF(AND($C19=73,$L19=1),1,0)</f>
        <v/>
      </c>
      <c r="WW20">
        <f>WW19+IF(AND($C19=74,$L19=1),1,0)</f>
        <v/>
      </c>
      <c r="WX20">
        <f>WX19+IF(AND($C19=75,$L19=1),1,0)</f>
        <v/>
      </c>
      <c r="WY20">
        <f>WY19+IF(AND($C19=76,$L19=1),1,0)</f>
        <v/>
      </c>
      <c r="WZ20">
        <f>WZ19+IF(AND($C19=77,$L19=1),1,0)</f>
        <v/>
      </c>
      <c r="XA20">
        <f>XA19+IF(AND($C19=78,$L19=1),1,0)</f>
        <v/>
      </c>
      <c r="XB20">
        <f>XB19+IF(AND($C19=79,$L19=1),1,0)</f>
        <v/>
      </c>
      <c r="XC20">
        <f>XC19+IF(AND($C19=80,$L19=1),1,0)</f>
        <v/>
      </c>
      <c r="XD20">
        <f>XD19+IF(AND($C19=81,$L19=1),1,0)</f>
        <v/>
      </c>
      <c r="XE20">
        <f>XE19+IF(AND($C19=82,$L19=1),1,0)</f>
        <v/>
      </c>
      <c r="XF20">
        <f>XF19+IF(AND($C19=83,$L19=1),1,0)</f>
        <v/>
      </c>
      <c r="XG20">
        <f>XG19+IF(AND($C19=84,$L19=1),1,0)</f>
        <v/>
      </c>
      <c r="XH20">
        <f>XH19+IF(AND($C19=85,$L19=1),1,0)</f>
        <v/>
      </c>
      <c r="XI20">
        <f>XI19+IF(AND($C19=86,$L19=1),1,0)</f>
        <v/>
      </c>
      <c r="XJ20">
        <f>XJ19+IF(AND($C19=87,$L19=1),1,0)</f>
        <v/>
      </c>
      <c r="XK20">
        <f>XK19+IF(AND($C19=88,$L19=1),1,0)</f>
        <v/>
      </c>
      <c r="XL20">
        <f>XL19+IF(AND($C19=89,$L19=1),1,0)</f>
        <v/>
      </c>
      <c r="XM20">
        <f>XM19+IF(AND($C19=90,$L19=1),1,0)</f>
        <v/>
      </c>
      <c r="XN20">
        <f>XN19+IF(AND($C19=91,$L19=1),1,0)</f>
        <v/>
      </c>
      <c r="XO20">
        <f>XO19+IF(AND($C19=92,$L19=1),1,0)</f>
        <v/>
      </c>
      <c r="XP20">
        <f>XP19+IF(AND($C19=93,$L19=1),1,0)</f>
        <v/>
      </c>
      <c r="XQ20">
        <f>XQ19+IF(AND($C19=94,$L19=1),1,0)</f>
        <v/>
      </c>
      <c r="XR20">
        <f>XR19+IF(AND($C19=95,$L19=1),1,0)</f>
        <v/>
      </c>
      <c r="XS20">
        <f>XS19+IF(AND($C19=96,$L19=1),1,0)</f>
        <v/>
      </c>
      <c r="XT20">
        <f>XT19+IF(AND($C19=97,$L19=1),1,0)</f>
        <v/>
      </c>
      <c r="XU20">
        <f>XU19+IF(AND($C19=98,$L19=1),1,0)</f>
        <v/>
      </c>
      <c r="XV20">
        <f>XV19+IF(AND($C19=99,$L19=1),1,0)</f>
        <v/>
      </c>
      <c r="XW20">
        <f>XW19+IF(AND($C19=100,$L19=1),1,0)</f>
        <v/>
      </c>
      <c r="XX20">
        <f>XX19+IF(AND($C19=101,$L19=1),1,0)</f>
        <v/>
      </c>
      <c r="XY20">
        <f>XY19+IF(AND($C19=102,$L19=1),1,0)</f>
        <v/>
      </c>
      <c r="XZ20">
        <f>XZ19+IF(AND($C19=103,$L19=1),1,0)</f>
        <v/>
      </c>
      <c r="YA20">
        <f>YA19+IF(AND($C19=104,$L19=1),1,0)</f>
        <v/>
      </c>
      <c r="YB20">
        <f>YB19+IF(AND($C19=105,$L19=1),1,0)</f>
        <v/>
      </c>
      <c r="YC20">
        <f>YC19+IF(AND($C19=106,$L19=1),1,0)</f>
        <v/>
      </c>
      <c r="YD20">
        <f>YD19+IF(AND($C19=107,$L19=1),1,0)</f>
        <v/>
      </c>
      <c r="YE20">
        <f>YE19+IF(AND($C19=108,$L19=1),1,0)</f>
        <v/>
      </c>
      <c r="YF20">
        <f>YF19+IF(AND($C19=109,$L19=1),1,0)</f>
        <v/>
      </c>
      <c r="YG20">
        <f>YG19+IF(AND($C19=110,$L19=1),1,0)</f>
        <v/>
      </c>
      <c r="YH20">
        <f>YH19+IF(AND($C19=111,$L19=1),1,0)</f>
        <v/>
      </c>
      <c r="YI20">
        <f>YI19+IF(AND($C19=112,$L19=1),1,0)</f>
        <v/>
      </c>
      <c r="YJ20">
        <f>YJ19+IF(AND($C19=113,$L19=1),1,0)</f>
        <v/>
      </c>
      <c r="YK20">
        <f>YK19+IF(AND($C19=114,$L19=1),1,0)</f>
        <v/>
      </c>
      <c r="YL20">
        <f>YL19+IF(AND($C19=115,$L19=1),1,0)</f>
        <v/>
      </c>
      <c r="YM20">
        <f>YM19+IF(AND($C19=116,$L19=1),1,0)</f>
        <v/>
      </c>
      <c r="YN20">
        <f>YN19+IF(AND($C19=117,$L19=1),1,0)</f>
        <v/>
      </c>
      <c r="YO20">
        <f>YO19+IF(AND($C19=118,$L19=1),1,0)</f>
        <v/>
      </c>
      <c r="YP20">
        <f>YP19+IF(AND($C19=119,$L19=1),1,0)</f>
        <v/>
      </c>
      <c r="YQ20">
        <f>YQ19+IF(AND($C19=120,$L19=1),1,0)</f>
        <v/>
      </c>
      <c r="YR20">
        <f>YR19+IF(AND($C19=121,$L19=1),1,0)</f>
        <v/>
      </c>
      <c r="YS20">
        <f>YS19+IF(AND($C19=122,$L19=1),1,0)</f>
        <v/>
      </c>
      <c r="YT20">
        <f>YT19+IF(AND($C19=123,$L19=1),1,0)</f>
        <v/>
      </c>
      <c r="YU20">
        <f>YU19+IF(AND($C19=124,$L19=1),1,0)</f>
        <v/>
      </c>
      <c r="YV20">
        <f>YV19+IF(AND($C19=125,$L19=1),1,0)</f>
        <v/>
      </c>
      <c r="YW20">
        <f>YW19+IF(AND($C19=126,$L19=1),1,0)</f>
        <v/>
      </c>
      <c r="YX20">
        <f>YX19+IF(AND($C19=127,$L19=1),1,0)</f>
        <v/>
      </c>
      <c r="YY20">
        <f>YY19+IF(AND($C19=128,$L19=1),1,0)</f>
        <v/>
      </c>
      <c r="YZ20">
        <f>YZ19+IF(AND($C19=129,$L19=1),1,0)</f>
        <v/>
      </c>
      <c r="ZA20">
        <f>ZA19+IF(AND($C19=130,$L19=1),1,0)</f>
        <v/>
      </c>
      <c r="ZB20">
        <f>ZB19+IF(AND($C19=131,$L19=1),1,0)</f>
        <v/>
      </c>
      <c r="ZC20">
        <f>ZC19+IF(AND($C19=132,$L19=1),1,0)</f>
        <v/>
      </c>
      <c r="ZD20">
        <f>ZD19+IF(AND($C19=133,$L19=1),1,0)</f>
        <v/>
      </c>
      <c r="ZE20">
        <f>ZE19+IF(AND($C19=134,$L19=1),1,0)</f>
        <v/>
      </c>
      <c r="ZF20">
        <f>ZF19+IF(AND($C19=135,$L19=1),1,0)</f>
        <v/>
      </c>
      <c r="ZG20">
        <f>ZG19+IF(AND($C19=136,$L19=1),1,0)</f>
        <v/>
      </c>
      <c r="ZH20">
        <f>ZH19+IF(AND($C19=137,$L19=1),1,0)</f>
        <v/>
      </c>
      <c r="ZI20">
        <f>ZI19+IF(AND($C19=138,$L19=1),1,0)</f>
        <v/>
      </c>
      <c r="ZJ20">
        <f>ZJ19+IF(AND($C19=139,$L19=1),1,0)</f>
        <v/>
      </c>
      <c r="ZK20">
        <f>ZK19+IF(AND($C19=140,$L19=1),1,0)</f>
        <v/>
      </c>
      <c r="ZL20">
        <f>ZL19+IF(AND($C19=141,$L19=1),1,0)</f>
        <v/>
      </c>
      <c r="ZM20">
        <f>ZM19+IF(AND($C19=142,$L19=1),1,0)</f>
        <v/>
      </c>
      <c r="ZN20">
        <f>ZN19+IF(AND($C19=143,$L19=1),1,0)</f>
        <v/>
      </c>
      <c r="ZO20">
        <f>ZO19+IF(AND($C19=144,$L19=1),1,0)</f>
        <v/>
      </c>
    </row>
    <row r="21">
      <c r="A21" t="n">
        <v>19</v>
      </c>
      <c r="B21">
        <f>IF(MIN(BH21:CZ21)&gt;=1000000,0,MATCH(MIN(BH21:CZ21),BH21:CZ21,0))</f>
        <v/>
      </c>
      <c r="C21">
        <f>IF(MIN(OF21:TS21)&gt;=1000000,0,MATCH(MIN(OF21:TS21),OF21:TS21,0))</f>
        <v/>
      </c>
      <c r="D21">
        <f>IF(C21&gt;0,INDEX('計算A'!$D$5:$EQ$5,C21),0)</f>
        <v/>
      </c>
      <c r="E21">
        <f>IF(B21=0,0,INDEX('計算A'!$IQ$10:$IQ$54,B21))</f>
        <v/>
      </c>
      <c r="F21">
        <f>IF(B21=0,0,INDEX('計算A'!$IP$10:$IP$54,B21))</f>
        <v/>
      </c>
      <c r="G21">
        <f>IF(AND(C21&gt;0,E21&gt;0),IF(AND(INDEX('計算A'!$D$106:$EQ$106,C21)=1,INDEX($IQ21:$OD21,C21)=1),C21+1,0),0)</f>
        <v/>
      </c>
      <c r="H21">
        <f>IF(B21=0,0,INDEX('計算A'!$IW$10:$IW$54,B21))</f>
        <v/>
      </c>
      <c r="I21">
        <f>IF(B21=0,0,MAX(0,INDEX('計算A'!$IT$10:$IT$54,B21)))</f>
        <v/>
      </c>
      <c r="J21">
        <f>IF(I21=0,0,INDEX('計算A'!$D$2:$EQ$2,I21))</f>
        <v/>
      </c>
      <c r="K21">
        <f>IF(I21=0,0,INDEX('計算A'!$D$3:$EQ$3,I21))</f>
        <v/>
      </c>
      <c r="L21">
        <f>IF(B21=0,0,INDEX('計算A'!$IX$10:$IX$54,B21))</f>
        <v/>
      </c>
      <c r="N21">
        <f>MAX(N20,IF($B20=1,1,0))</f>
        <v/>
      </c>
      <c r="O21">
        <f>MAX(O20,IF($B20=2,1,0))</f>
        <v/>
      </c>
      <c r="P21">
        <f>MAX(P20,IF($B20=3,1,0))</f>
        <v/>
      </c>
      <c r="Q21">
        <f>MAX(Q20,IF($B20=4,1,0))</f>
        <v/>
      </c>
      <c r="R21">
        <f>MAX(R20,IF($B20=5,1,0))</f>
        <v/>
      </c>
      <c r="S21">
        <f>MAX(S20,IF($B20=6,1,0))</f>
        <v/>
      </c>
      <c r="T21">
        <f>MAX(T20,IF($B20=7,1,0))</f>
        <v/>
      </c>
      <c r="U21">
        <f>MAX(U20,IF($B20=8,1,0))</f>
        <v/>
      </c>
      <c r="V21">
        <f>MAX(V20,IF($B20=9,1,0))</f>
        <v/>
      </c>
      <c r="W21">
        <f>MAX(W20,IF($B20=10,1,0))</f>
        <v/>
      </c>
      <c r="X21">
        <f>MAX(X20,IF($B20=11,1,0))</f>
        <v/>
      </c>
      <c r="Y21">
        <f>MAX(Y20,IF($B20=12,1,0))</f>
        <v/>
      </c>
      <c r="Z21">
        <f>MAX(Z20,IF($B20=13,1,0))</f>
        <v/>
      </c>
      <c r="AA21">
        <f>MAX(AA20,IF($B20=14,1,0))</f>
        <v/>
      </c>
      <c r="AB21">
        <f>MAX(AB20,IF($B20=15,1,0))</f>
        <v/>
      </c>
      <c r="AC21">
        <f>MAX(AC20,IF($B20=16,1,0))</f>
        <v/>
      </c>
      <c r="AD21">
        <f>MAX(AD20,IF($B20=17,1,0))</f>
        <v/>
      </c>
      <c r="AE21">
        <f>MAX(AE20,IF($B20=18,1,0))</f>
        <v/>
      </c>
      <c r="AF21">
        <f>MAX(AF20,IF($B20=19,1,0))</f>
        <v/>
      </c>
      <c r="AG21">
        <f>MAX(AG20,IF($B20=20,1,0))</f>
        <v/>
      </c>
      <c r="AH21">
        <f>MAX(AH20,IF($B20=21,1,0))</f>
        <v/>
      </c>
      <c r="AI21">
        <f>MAX(AI20,IF($B20=22,1,0))</f>
        <v/>
      </c>
      <c r="AJ21">
        <f>MAX(AJ20,IF($B20=23,1,0))</f>
        <v/>
      </c>
      <c r="AK21">
        <f>MAX(AK20,IF($B20=24,1,0))</f>
        <v/>
      </c>
      <c r="AL21">
        <f>MAX(AL20,IF($B20=25,1,0))</f>
        <v/>
      </c>
      <c r="AM21">
        <f>MAX(AM20,IF($B20=26,1,0))</f>
        <v/>
      </c>
      <c r="AN21">
        <f>MAX(AN20,IF($B20=27,1,0))</f>
        <v/>
      </c>
      <c r="AO21">
        <f>MAX(AO20,IF($B20=28,1,0))</f>
        <v/>
      </c>
      <c r="AP21">
        <f>MAX(AP20,IF($B20=29,1,0))</f>
        <v/>
      </c>
      <c r="AQ21">
        <f>MAX(AQ20,IF($B20=30,1,0))</f>
        <v/>
      </c>
      <c r="AR21">
        <f>MAX(AR20,IF($B20=31,1,0))</f>
        <v/>
      </c>
      <c r="AS21">
        <f>MAX(AS20,IF($B20=32,1,0))</f>
        <v/>
      </c>
      <c r="AT21">
        <f>MAX(AT20,IF($B20=33,1,0))</f>
        <v/>
      </c>
      <c r="AU21">
        <f>MAX(AU20,IF($B20=34,1,0))</f>
        <v/>
      </c>
      <c r="AV21">
        <f>MAX(AV20,IF($B20=35,1,0))</f>
        <v/>
      </c>
      <c r="AW21">
        <f>MAX(AW20,IF($B20=36,1,0))</f>
        <v/>
      </c>
      <c r="AX21">
        <f>MAX(AX20,IF($B20=37,1,0))</f>
        <v/>
      </c>
      <c r="AY21">
        <f>MAX(AY20,IF($B20=38,1,0))</f>
        <v/>
      </c>
      <c r="AZ21">
        <f>MAX(AZ20,IF($B20=39,1,0))</f>
        <v/>
      </c>
      <c r="BA21">
        <f>MAX(BA20,IF($B20=40,1,0))</f>
        <v/>
      </c>
      <c r="BB21">
        <f>MAX(BB20,IF($B20=41,1,0))</f>
        <v/>
      </c>
      <c r="BC21">
        <f>MAX(BC20,IF($B20=42,1,0))</f>
        <v/>
      </c>
      <c r="BD21">
        <f>MAX(BD20,IF($B20=43,1,0))</f>
        <v/>
      </c>
      <c r="BE21">
        <f>MAX(BE20,IF($B20=44,1,0))</f>
        <v/>
      </c>
      <c r="BF21">
        <f>MAX(BF20,IF($B20=45,1,0))</f>
        <v/>
      </c>
      <c r="BH21">
        <f>IF(N21=1,1000000,IF('計算A'!$IT$10&gt;0,0,500000)+IF('計算A'!$IQ$10=2,SUMPRODUCT('計算A'!$D$60:$EQ$60,$DB21:$IO21,$IQ21:$OD21),SUMPRODUCT('計算A'!$D$60:$EQ$60,$DB21:$IO21))*1000+1)</f>
        <v/>
      </c>
      <c r="BI21">
        <f>IF(O21=1,1000000,IF('計算A'!$IT$11&gt;0,0,500000)+IF('計算A'!$IQ$11=2,SUMPRODUCT('計算A'!$D$61:$EQ$61,$DB21:$IO21,$IQ21:$OD21),SUMPRODUCT('計算A'!$D$61:$EQ$61,$DB21:$IO21))*1000+2)</f>
        <v/>
      </c>
      <c r="BJ21">
        <f>IF(P21=1,1000000,IF('計算A'!$IT$12&gt;0,0,500000)+IF('計算A'!$IQ$12=2,SUMPRODUCT('計算A'!$D$62:$EQ$62,$DB21:$IO21,$IQ21:$OD21),SUMPRODUCT('計算A'!$D$62:$EQ$62,$DB21:$IO21))*1000+3)</f>
        <v/>
      </c>
      <c r="BK21">
        <f>IF(Q21=1,1000000,IF('計算A'!$IT$13&gt;0,0,500000)+IF('計算A'!$IQ$13=2,SUMPRODUCT('計算A'!$D$63:$EQ$63,$DB21:$IO21,$IQ21:$OD21),SUMPRODUCT('計算A'!$D$63:$EQ$63,$DB21:$IO21))*1000+4)</f>
        <v/>
      </c>
      <c r="BL21">
        <f>IF(R21=1,1000000,IF('計算A'!$IT$14&gt;0,0,500000)+IF('計算A'!$IQ$14=2,SUMPRODUCT('計算A'!$D$64:$EQ$64,$DB21:$IO21,$IQ21:$OD21),SUMPRODUCT('計算A'!$D$64:$EQ$64,$DB21:$IO21))*1000+5)</f>
        <v/>
      </c>
      <c r="BM21">
        <f>IF(S21=1,1000000,IF('計算A'!$IT$15&gt;0,0,500000)+IF('計算A'!$IQ$15=2,SUMPRODUCT('計算A'!$D$65:$EQ$65,$DB21:$IO21,$IQ21:$OD21),SUMPRODUCT('計算A'!$D$65:$EQ$65,$DB21:$IO21))*1000+6)</f>
        <v/>
      </c>
      <c r="BN21">
        <f>IF(T21=1,1000000,IF('計算A'!$IT$16&gt;0,0,500000)+IF('計算A'!$IQ$16=2,SUMPRODUCT('計算A'!$D$66:$EQ$66,$DB21:$IO21,$IQ21:$OD21),SUMPRODUCT('計算A'!$D$66:$EQ$66,$DB21:$IO21))*1000+7)</f>
        <v/>
      </c>
      <c r="BO21">
        <f>IF(U21=1,1000000,IF('計算A'!$IT$17&gt;0,0,500000)+IF('計算A'!$IQ$17=2,SUMPRODUCT('計算A'!$D$67:$EQ$67,$DB21:$IO21,$IQ21:$OD21),SUMPRODUCT('計算A'!$D$67:$EQ$67,$DB21:$IO21))*1000+8)</f>
        <v/>
      </c>
      <c r="BP21">
        <f>IF(V21=1,1000000,IF('計算A'!$IT$18&gt;0,0,500000)+IF('計算A'!$IQ$18=2,SUMPRODUCT('計算A'!$D$68:$EQ$68,$DB21:$IO21,$IQ21:$OD21),SUMPRODUCT('計算A'!$D$68:$EQ$68,$DB21:$IO21))*1000+9)</f>
        <v/>
      </c>
      <c r="BQ21">
        <f>IF(W21=1,1000000,IF('計算A'!$IT$19&gt;0,0,500000)+IF('計算A'!$IQ$19=2,SUMPRODUCT('計算A'!$D$69:$EQ$69,$DB21:$IO21,$IQ21:$OD21),SUMPRODUCT('計算A'!$D$69:$EQ$69,$DB21:$IO21))*1000+10)</f>
        <v/>
      </c>
      <c r="BR21">
        <f>IF(X21=1,1000000,IF('計算A'!$IT$20&gt;0,0,500000)+IF('計算A'!$IQ$20=2,SUMPRODUCT('計算A'!$D$70:$EQ$70,$DB21:$IO21,$IQ21:$OD21),SUMPRODUCT('計算A'!$D$70:$EQ$70,$DB21:$IO21))*1000+11)</f>
        <v/>
      </c>
      <c r="BS21">
        <f>IF(Y21=1,1000000,IF('計算A'!$IT$21&gt;0,0,500000)+IF('計算A'!$IQ$21=2,SUMPRODUCT('計算A'!$D$71:$EQ$71,$DB21:$IO21,$IQ21:$OD21),SUMPRODUCT('計算A'!$D$71:$EQ$71,$DB21:$IO21))*1000+12)</f>
        <v/>
      </c>
      <c r="BT21">
        <f>IF(Z21=1,1000000,IF('計算A'!$IT$22&gt;0,0,500000)+IF('計算A'!$IQ$22=2,SUMPRODUCT('計算A'!$D$72:$EQ$72,$DB21:$IO21,$IQ21:$OD21),SUMPRODUCT('計算A'!$D$72:$EQ$72,$DB21:$IO21))*1000+13)</f>
        <v/>
      </c>
      <c r="BU21">
        <f>IF(AA21=1,1000000,IF('計算A'!$IT$23&gt;0,0,500000)+IF('計算A'!$IQ$23=2,SUMPRODUCT('計算A'!$D$73:$EQ$73,$DB21:$IO21,$IQ21:$OD21),SUMPRODUCT('計算A'!$D$73:$EQ$73,$DB21:$IO21))*1000+14)</f>
        <v/>
      </c>
      <c r="BV21">
        <f>IF(AB21=1,1000000,IF('計算A'!$IT$24&gt;0,0,500000)+IF('計算A'!$IQ$24=2,SUMPRODUCT('計算A'!$D$74:$EQ$74,$DB21:$IO21,$IQ21:$OD21),SUMPRODUCT('計算A'!$D$74:$EQ$74,$DB21:$IO21))*1000+15)</f>
        <v/>
      </c>
      <c r="BW21">
        <f>IF(AC21=1,1000000,IF('計算A'!$IT$25&gt;0,0,500000)+IF('計算A'!$IQ$25=2,SUMPRODUCT('計算A'!$D$75:$EQ$75,$DB21:$IO21,$IQ21:$OD21),SUMPRODUCT('計算A'!$D$75:$EQ$75,$DB21:$IO21))*1000+16)</f>
        <v/>
      </c>
      <c r="BX21">
        <f>IF(AD21=1,1000000,IF('計算A'!$IT$26&gt;0,0,500000)+IF('計算A'!$IQ$26=2,SUMPRODUCT('計算A'!$D$76:$EQ$76,$DB21:$IO21,$IQ21:$OD21),SUMPRODUCT('計算A'!$D$76:$EQ$76,$DB21:$IO21))*1000+17)</f>
        <v/>
      </c>
      <c r="BY21">
        <f>IF(AE21=1,1000000,IF('計算A'!$IT$27&gt;0,0,500000)+IF('計算A'!$IQ$27=2,SUMPRODUCT('計算A'!$D$77:$EQ$77,$DB21:$IO21,$IQ21:$OD21),SUMPRODUCT('計算A'!$D$77:$EQ$77,$DB21:$IO21))*1000+18)</f>
        <v/>
      </c>
      <c r="BZ21">
        <f>IF(AF21=1,1000000,IF('計算A'!$IT$28&gt;0,0,500000)+IF('計算A'!$IQ$28=2,SUMPRODUCT('計算A'!$D$78:$EQ$78,$DB21:$IO21,$IQ21:$OD21),SUMPRODUCT('計算A'!$D$78:$EQ$78,$DB21:$IO21))*1000+19)</f>
        <v/>
      </c>
      <c r="CA21">
        <f>IF(AG21=1,1000000,IF('計算A'!$IT$29&gt;0,0,500000)+IF('計算A'!$IQ$29=2,SUMPRODUCT('計算A'!$D$79:$EQ$79,$DB21:$IO21,$IQ21:$OD21),SUMPRODUCT('計算A'!$D$79:$EQ$79,$DB21:$IO21))*1000+20)</f>
        <v/>
      </c>
      <c r="CB21">
        <f>IF(AH21=1,1000000,IF('計算A'!$IT$30&gt;0,0,500000)+IF('計算A'!$IQ$30=2,SUMPRODUCT('計算A'!$D$80:$EQ$80,$DB21:$IO21,$IQ21:$OD21),SUMPRODUCT('計算A'!$D$80:$EQ$80,$DB21:$IO21))*1000+21)</f>
        <v/>
      </c>
      <c r="CC21">
        <f>IF(AI21=1,1000000,IF('計算A'!$IT$31&gt;0,0,500000)+IF('計算A'!$IQ$31=2,SUMPRODUCT('計算A'!$D$81:$EQ$81,$DB21:$IO21,$IQ21:$OD21),SUMPRODUCT('計算A'!$D$81:$EQ$81,$DB21:$IO21))*1000+22)</f>
        <v/>
      </c>
      <c r="CD21">
        <f>IF(AJ21=1,1000000,IF('計算A'!$IT$32&gt;0,0,500000)+IF('計算A'!$IQ$32=2,SUMPRODUCT('計算A'!$D$82:$EQ$82,$DB21:$IO21,$IQ21:$OD21),SUMPRODUCT('計算A'!$D$82:$EQ$82,$DB21:$IO21))*1000+23)</f>
        <v/>
      </c>
      <c r="CE21">
        <f>IF(AK21=1,1000000,IF('計算A'!$IT$33&gt;0,0,500000)+IF('計算A'!$IQ$33=2,SUMPRODUCT('計算A'!$D$83:$EQ$83,$DB21:$IO21,$IQ21:$OD21),SUMPRODUCT('計算A'!$D$83:$EQ$83,$DB21:$IO21))*1000+24)</f>
        <v/>
      </c>
      <c r="CF21">
        <f>IF(AL21=1,1000000,IF('計算A'!$IT$34&gt;0,0,500000)+IF('計算A'!$IQ$34=2,SUMPRODUCT('計算A'!$D$84:$EQ$84,$DB21:$IO21,$IQ21:$OD21),SUMPRODUCT('計算A'!$D$84:$EQ$84,$DB21:$IO21))*1000+25)</f>
        <v/>
      </c>
      <c r="CG21">
        <f>IF(AM21=1,1000000,IF('計算A'!$IT$35&gt;0,0,500000)+IF('計算A'!$IQ$35=2,SUMPRODUCT('計算A'!$D$85:$EQ$85,$DB21:$IO21,$IQ21:$OD21),SUMPRODUCT('計算A'!$D$85:$EQ$85,$DB21:$IO21))*1000+26)</f>
        <v/>
      </c>
      <c r="CH21">
        <f>IF(AN21=1,1000000,IF('計算A'!$IT$36&gt;0,0,500000)+IF('計算A'!$IQ$36=2,SUMPRODUCT('計算A'!$D$86:$EQ$86,$DB21:$IO21,$IQ21:$OD21),SUMPRODUCT('計算A'!$D$86:$EQ$86,$DB21:$IO21))*1000+27)</f>
        <v/>
      </c>
      <c r="CI21">
        <f>IF(AO21=1,1000000,IF('計算A'!$IT$37&gt;0,0,500000)+IF('計算A'!$IQ$37=2,SUMPRODUCT('計算A'!$D$87:$EQ$87,$DB21:$IO21,$IQ21:$OD21),SUMPRODUCT('計算A'!$D$87:$EQ$87,$DB21:$IO21))*1000+28)</f>
        <v/>
      </c>
      <c r="CJ21">
        <f>IF(AP21=1,1000000,IF('計算A'!$IT$38&gt;0,0,500000)+IF('計算A'!$IQ$38=2,SUMPRODUCT('計算A'!$D$88:$EQ$88,$DB21:$IO21,$IQ21:$OD21),SUMPRODUCT('計算A'!$D$88:$EQ$88,$DB21:$IO21))*1000+29)</f>
        <v/>
      </c>
      <c r="CK21">
        <f>IF(AQ21=1,1000000,IF('計算A'!$IT$39&gt;0,0,500000)+IF('計算A'!$IQ$39=2,SUMPRODUCT('計算A'!$D$89:$EQ$89,$DB21:$IO21,$IQ21:$OD21),SUMPRODUCT('計算A'!$D$89:$EQ$89,$DB21:$IO21))*1000+30)</f>
        <v/>
      </c>
      <c r="CL21">
        <f>IF(AR21=1,1000000,IF('計算A'!$IT$40&gt;0,0,500000)+IF('計算A'!$IQ$40=2,SUMPRODUCT('計算A'!$D$90:$EQ$90,$DB21:$IO21,$IQ21:$OD21),SUMPRODUCT('計算A'!$D$90:$EQ$90,$DB21:$IO21))*1000+31)</f>
        <v/>
      </c>
      <c r="CM21">
        <f>IF(AS21=1,1000000,IF('計算A'!$IT$41&gt;0,0,500000)+IF('計算A'!$IQ$41=2,SUMPRODUCT('計算A'!$D$91:$EQ$91,$DB21:$IO21,$IQ21:$OD21),SUMPRODUCT('計算A'!$D$91:$EQ$91,$DB21:$IO21))*1000+32)</f>
        <v/>
      </c>
      <c r="CN21">
        <f>IF(AT21=1,1000000,IF('計算A'!$IT$42&gt;0,0,500000)+IF('計算A'!$IQ$42=2,SUMPRODUCT('計算A'!$D$92:$EQ$92,$DB21:$IO21,$IQ21:$OD21),SUMPRODUCT('計算A'!$D$92:$EQ$92,$DB21:$IO21))*1000+33)</f>
        <v/>
      </c>
      <c r="CO21">
        <f>IF(AU21=1,1000000,IF('計算A'!$IT$43&gt;0,0,500000)+IF('計算A'!$IQ$43=2,SUMPRODUCT('計算A'!$D$93:$EQ$93,$DB21:$IO21,$IQ21:$OD21),SUMPRODUCT('計算A'!$D$93:$EQ$93,$DB21:$IO21))*1000+34)</f>
        <v/>
      </c>
      <c r="CP21">
        <f>IF(AV21=1,1000000,IF('計算A'!$IT$44&gt;0,0,500000)+IF('計算A'!$IQ$44=2,SUMPRODUCT('計算A'!$D$94:$EQ$94,$DB21:$IO21,$IQ21:$OD21),SUMPRODUCT('計算A'!$D$94:$EQ$94,$DB21:$IO21))*1000+35)</f>
        <v/>
      </c>
      <c r="CQ21">
        <f>IF(AW21=1,1000000,IF('計算A'!$IT$45&gt;0,0,500000)+IF('計算A'!$IQ$45=2,SUMPRODUCT('計算A'!$D$95:$EQ$95,$DB21:$IO21,$IQ21:$OD21),SUMPRODUCT('計算A'!$D$95:$EQ$95,$DB21:$IO21))*1000+36)</f>
        <v/>
      </c>
      <c r="CR21">
        <f>IF(AX21=1,1000000,IF('計算A'!$IT$46&gt;0,0,500000)+IF('計算A'!$IQ$46=2,SUMPRODUCT('計算A'!$D$96:$EQ$96,$DB21:$IO21,$IQ21:$OD21),SUMPRODUCT('計算A'!$D$96:$EQ$96,$DB21:$IO21))*1000+37)</f>
        <v/>
      </c>
      <c r="CS21">
        <f>IF(AY21=1,1000000,IF('計算A'!$IT$47&gt;0,0,500000)+IF('計算A'!$IQ$47=2,SUMPRODUCT('計算A'!$D$97:$EQ$97,$DB21:$IO21,$IQ21:$OD21),SUMPRODUCT('計算A'!$D$97:$EQ$97,$DB21:$IO21))*1000+38)</f>
        <v/>
      </c>
      <c r="CT21">
        <f>IF(AZ21=1,1000000,IF('計算A'!$IT$48&gt;0,0,500000)+IF('計算A'!$IQ$48=2,SUMPRODUCT('計算A'!$D$98:$EQ$98,$DB21:$IO21,$IQ21:$OD21),SUMPRODUCT('計算A'!$D$98:$EQ$98,$DB21:$IO21))*1000+39)</f>
        <v/>
      </c>
      <c r="CU21">
        <f>IF(BA21=1,1000000,IF('計算A'!$IT$49&gt;0,0,500000)+IF('計算A'!$IQ$49=2,SUMPRODUCT('計算A'!$D$99:$EQ$99,$DB21:$IO21,$IQ21:$OD21),SUMPRODUCT('計算A'!$D$99:$EQ$99,$DB21:$IO21))*1000+40)</f>
        <v/>
      </c>
      <c r="CV21">
        <f>IF(BB21=1,1000000,IF('計算A'!$IT$50&gt;0,0,500000)+IF('計算A'!$IQ$50=2,SUMPRODUCT('計算A'!$D$100:$EQ$100,$DB21:$IO21,$IQ21:$OD21),SUMPRODUCT('計算A'!$D$100:$EQ$100,$DB21:$IO21))*1000+41)</f>
        <v/>
      </c>
      <c r="CW21">
        <f>IF(BC21=1,1000000,IF('計算A'!$IT$51&gt;0,0,500000)+IF('計算A'!$IQ$51=2,SUMPRODUCT('計算A'!$D$101:$EQ$101,$DB21:$IO21,$IQ21:$OD21),SUMPRODUCT('計算A'!$D$101:$EQ$101,$DB21:$IO21))*1000+42)</f>
        <v/>
      </c>
      <c r="CX21">
        <f>IF(BD21=1,1000000,IF('計算A'!$IT$52&gt;0,0,500000)+IF('計算A'!$IQ$52=2,SUMPRODUCT('計算A'!$D$102:$EQ$102,$DB21:$IO21,$IQ21:$OD21),SUMPRODUCT('計算A'!$D$102:$EQ$102,$DB21:$IO21))*1000+43)</f>
        <v/>
      </c>
      <c r="CY21">
        <f>IF(BE21=1,1000000,IF('計算A'!$IT$53&gt;0,0,500000)+IF('計算A'!$IQ$53=2,SUMPRODUCT('計算A'!$D$103:$EQ$103,$DB21:$IO21,$IQ21:$OD21),SUMPRODUCT('計算A'!$D$103:$EQ$103,$DB21:$IO21))*1000+44)</f>
        <v/>
      </c>
      <c r="CZ21">
        <f>IF(BF21=1,1000000,IF('計算A'!$IT$54&gt;0,0,500000)+IF('計算A'!$IQ$54=2,SUMPRODUCT('計算A'!$D$104:$EQ$104,$DB21:$IO21,$IQ21:$OD21),SUMPRODUCT('計算A'!$D$104:$EQ$104,$DB21:$IO21))*1000+45)</f>
        <v/>
      </c>
      <c r="DB21">
        <f>DB20*IF(OR($C20=1,$G20=1),0,1)</f>
        <v/>
      </c>
      <c r="DC21">
        <f>DC20*IF(OR($C20=2,$G20=2),0,1)</f>
        <v/>
      </c>
      <c r="DD21">
        <f>DD20*IF(OR($C20=3,$G20=3),0,1)</f>
        <v/>
      </c>
      <c r="DE21">
        <f>DE20*IF(OR($C20=4,$G20=4),0,1)</f>
        <v/>
      </c>
      <c r="DF21">
        <f>DF20*IF(OR($C20=5,$G20=5),0,1)</f>
        <v/>
      </c>
      <c r="DG21">
        <f>DG20*IF(OR($C20=6,$G20=6),0,1)</f>
        <v/>
      </c>
      <c r="DH21">
        <f>DH20*IF(OR($C20=7,$G20=7),0,1)</f>
        <v/>
      </c>
      <c r="DI21">
        <f>DI20*IF(OR($C20=8,$G20=8),0,1)</f>
        <v/>
      </c>
      <c r="DJ21">
        <f>DJ20*IF(OR($C20=9,$G20=9),0,1)</f>
        <v/>
      </c>
      <c r="DK21">
        <f>DK20*IF(OR($C20=10,$G20=10),0,1)</f>
        <v/>
      </c>
      <c r="DL21">
        <f>DL20*IF(OR($C20=11,$G20=11),0,1)</f>
        <v/>
      </c>
      <c r="DM21">
        <f>DM20*IF(OR($C20=12,$G20=12),0,1)</f>
        <v/>
      </c>
      <c r="DN21">
        <f>DN20*IF(OR($C20=13,$G20=13),0,1)</f>
        <v/>
      </c>
      <c r="DO21">
        <f>DO20*IF(OR($C20=14,$G20=14),0,1)</f>
        <v/>
      </c>
      <c r="DP21">
        <f>DP20*IF(OR($C20=15,$G20=15),0,1)</f>
        <v/>
      </c>
      <c r="DQ21">
        <f>DQ20*IF(OR($C20=16,$G20=16),0,1)</f>
        <v/>
      </c>
      <c r="DR21">
        <f>DR20*IF(OR($C20=17,$G20=17),0,1)</f>
        <v/>
      </c>
      <c r="DS21">
        <f>DS20*IF(OR($C20=18,$G20=18),0,1)</f>
        <v/>
      </c>
      <c r="DT21">
        <f>DT20*IF(OR($C20=19,$G20=19),0,1)</f>
        <v/>
      </c>
      <c r="DU21">
        <f>DU20*IF(OR($C20=20,$G20=20),0,1)</f>
        <v/>
      </c>
      <c r="DV21">
        <f>DV20*IF(OR($C20=21,$G20=21),0,1)</f>
        <v/>
      </c>
      <c r="DW21">
        <f>DW20*IF(OR($C20=22,$G20=22),0,1)</f>
        <v/>
      </c>
      <c r="DX21">
        <f>DX20*IF(OR($C20=23,$G20=23),0,1)</f>
        <v/>
      </c>
      <c r="DY21">
        <f>DY20*IF(OR($C20=24,$G20=24),0,1)</f>
        <v/>
      </c>
      <c r="DZ21">
        <f>DZ20*IF(OR($C20=25,$G20=25),0,1)</f>
        <v/>
      </c>
      <c r="EA21">
        <f>EA20*IF(OR($C20=26,$G20=26),0,1)</f>
        <v/>
      </c>
      <c r="EB21">
        <f>EB20*IF(OR($C20=27,$G20=27),0,1)</f>
        <v/>
      </c>
      <c r="EC21">
        <f>EC20*IF(OR($C20=28,$G20=28),0,1)</f>
        <v/>
      </c>
      <c r="ED21">
        <f>ED20*IF(OR($C20=29,$G20=29),0,1)</f>
        <v/>
      </c>
      <c r="EE21">
        <f>EE20*IF(OR($C20=30,$G20=30),0,1)</f>
        <v/>
      </c>
      <c r="EF21">
        <f>EF20*IF(OR($C20=31,$G20=31),0,1)</f>
        <v/>
      </c>
      <c r="EG21">
        <f>EG20*IF(OR($C20=32,$G20=32),0,1)</f>
        <v/>
      </c>
      <c r="EH21">
        <f>EH20*IF(OR($C20=33,$G20=33),0,1)</f>
        <v/>
      </c>
      <c r="EI21">
        <f>EI20*IF(OR($C20=34,$G20=34),0,1)</f>
        <v/>
      </c>
      <c r="EJ21">
        <f>EJ20*IF(OR($C20=35,$G20=35),0,1)</f>
        <v/>
      </c>
      <c r="EK21">
        <f>EK20*IF(OR($C20=36,$G20=36),0,1)</f>
        <v/>
      </c>
      <c r="EL21">
        <f>EL20*IF(OR($C20=37,$G20=37),0,1)</f>
        <v/>
      </c>
      <c r="EM21">
        <f>EM20*IF(OR($C20=38,$G20=38),0,1)</f>
        <v/>
      </c>
      <c r="EN21">
        <f>EN20*IF(OR($C20=39,$G20=39),0,1)</f>
        <v/>
      </c>
      <c r="EO21">
        <f>EO20*IF(OR($C20=40,$G20=40),0,1)</f>
        <v/>
      </c>
      <c r="EP21">
        <f>EP20*IF(OR($C20=41,$G20=41),0,1)</f>
        <v/>
      </c>
      <c r="EQ21">
        <f>EQ20*IF(OR($C20=42,$G20=42),0,1)</f>
        <v/>
      </c>
      <c r="ER21">
        <f>ER20*IF(OR($C20=43,$G20=43),0,1)</f>
        <v/>
      </c>
      <c r="ES21">
        <f>ES20*IF(OR($C20=44,$G20=44),0,1)</f>
        <v/>
      </c>
      <c r="ET21">
        <f>ET20*IF(OR($C20=45,$G20=45),0,1)</f>
        <v/>
      </c>
      <c r="EU21">
        <f>EU20*IF(OR($C20=46,$G20=46),0,1)</f>
        <v/>
      </c>
      <c r="EV21">
        <f>EV20*IF(OR($C20=47,$G20=47),0,1)</f>
        <v/>
      </c>
      <c r="EW21">
        <f>EW20*IF(OR($C20=48,$G20=48),0,1)</f>
        <v/>
      </c>
      <c r="EX21">
        <f>EX20*IF(OR($C20=49,$G20=49),0,1)</f>
        <v/>
      </c>
      <c r="EY21">
        <f>EY20*IF(OR($C20=50,$G20=50),0,1)</f>
        <v/>
      </c>
      <c r="EZ21">
        <f>EZ20*IF(OR($C20=51,$G20=51),0,1)</f>
        <v/>
      </c>
      <c r="FA21">
        <f>FA20*IF(OR($C20=52,$G20=52),0,1)</f>
        <v/>
      </c>
      <c r="FB21">
        <f>FB20*IF(OR($C20=53,$G20=53),0,1)</f>
        <v/>
      </c>
      <c r="FC21">
        <f>FC20*IF(OR($C20=54,$G20=54),0,1)</f>
        <v/>
      </c>
      <c r="FD21">
        <f>FD20*IF(OR($C20=55,$G20=55),0,1)</f>
        <v/>
      </c>
      <c r="FE21">
        <f>FE20*IF(OR($C20=56,$G20=56),0,1)</f>
        <v/>
      </c>
      <c r="FF21">
        <f>FF20*IF(OR($C20=57,$G20=57),0,1)</f>
        <v/>
      </c>
      <c r="FG21">
        <f>FG20*IF(OR($C20=58,$G20=58),0,1)</f>
        <v/>
      </c>
      <c r="FH21">
        <f>FH20*IF(OR($C20=59,$G20=59),0,1)</f>
        <v/>
      </c>
      <c r="FI21">
        <f>FI20*IF(OR($C20=60,$G20=60),0,1)</f>
        <v/>
      </c>
      <c r="FJ21">
        <f>FJ20*IF(OR($C20=61,$G20=61),0,1)</f>
        <v/>
      </c>
      <c r="FK21">
        <f>FK20*IF(OR($C20=62,$G20=62),0,1)</f>
        <v/>
      </c>
      <c r="FL21">
        <f>FL20*IF(OR($C20=63,$G20=63),0,1)</f>
        <v/>
      </c>
      <c r="FM21">
        <f>FM20*IF(OR($C20=64,$G20=64),0,1)</f>
        <v/>
      </c>
      <c r="FN21">
        <f>FN20*IF(OR($C20=65,$G20=65),0,1)</f>
        <v/>
      </c>
      <c r="FO21">
        <f>FO20*IF(OR($C20=66,$G20=66),0,1)</f>
        <v/>
      </c>
      <c r="FP21">
        <f>FP20*IF(OR($C20=67,$G20=67),0,1)</f>
        <v/>
      </c>
      <c r="FQ21">
        <f>FQ20*IF(OR($C20=68,$G20=68),0,1)</f>
        <v/>
      </c>
      <c r="FR21">
        <f>FR20*IF(OR($C20=69,$G20=69),0,1)</f>
        <v/>
      </c>
      <c r="FS21">
        <f>FS20*IF(OR($C20=70,$G20=70),0,1)</f>
        <v/>
      </c>
      <c r="FT21">
        <f>FT20*IF(OR($C20=71,$G20=71),0,1)</f>
        <v/>
      </c>
      <c r="FU21">
        <f>FU20*IF(OR($C20=72,$G20=72),0,1)</f>
        <v/>
      </c>
      <c r="FV21">
        <f>FV20*IF(OR($C20=73,$G20=73),0,1)</f>
        <v/>
      </c>
      <c r="FW21">
        <f>FW20*IF(OR($C20=74,$G20=74),0,1)</f>
        <v/>
      </c>
      <c r="FX21">
        <f>FX20*IF(OR($C20=75,$G20=75),0,1)</f>
        <v/>
      </c>
      <c r="FY21">
        <f>FY20*IF(OR($C20=76,$G20=76),0,1)</f>
        <v/>
      </c>
      <c r="FZ21">
        <f>FZ20*IF(OR($C20=77,$G20=77),0,1)</f>
        <v/>
      </c>
      <c r="GA21">
        <f>GA20*IF(OR($C20=78,$G20=78),0,1)</f>
        <v/>
      </c>
      <c r="GB21">
        <f>GB20*IF(OR($C20=79,$G20=79),0,1)</f>
        <v/>
      </c>
      <c r="GC21">
        <f>GC20*IF(OR($C20=80,$G20=80),0,1)</f>
        <v/>
      </c>
      <c r="GD21">
        <f>GD20*IF(OR($C20=81,$G20=81),0,1)</f>
        <v/>
      </c>
      <c r="GE21">
        <f>GE20*IF(OR($C20=82,$G20=82),0,1)</f>
        <v/>
      </c>
      <c r="GF21">
        <f>GF20*IF(OR($C20=83,$G20=83),0,1)</f>
        <v/>
      </c>
      <c r="GG21">
        <f>GG20*IF(OR($C20=84,$G20=84),0,1)</f>
        <v/>
      </c>
      <c r="GH21">
        <f>GH20*IF(OR($C20=85,$G20=85),0,1)</f>
        <v/>
      </c>
      <c r="GI21">
        <f>GI20*IF(OR($C20=86,$G20=86),0,1)</f>
        <v/>
      </c>
      <c r="GJ21">
        <f>GJ20*IF(OR($C20=87,$G20=87),0,1)</f>
        <v/>
      </c>
      <c r="GK21">
        <f>GK20*IF(OR($C20=88,$G20=88),0,1)</f>
        <v/>
      </c>
      <c r="GL21">
        <f>GL20*IF(OR($C20=89,$G20=89),0,1)</f>
        <v/>
      </c>
      <c r="GM21">
        <f>GM20*IF(OR($C20=90,$G20=90),0,1)</f>
        <v/>
      </c>
      <c r="GN21">
        <f>GN20*IF(OR($C20=91,$G20=91),0,1)</f>
        <v/>
      </c>
      <c r="GO21">
        <f>GO20*IF(OR($C20=92,$G20=92),0,1)</f>
        <v/>
      </c>
      <c r="GP21">
        <f>GP20*IF(OR($C20=93,$G20=93),0,1)</f>
        <v/>
      </c>
      <c r="GQ21">
        <f>GQ20*IF(OR($C20=94,$G20=94),0,1)</f>
        <v/>
      </c>
      <c r="GR21">
        <f>GR20*IF(OR($C20=95,$G20=95),0,1)</f>
        <v/>
      </c>
      <c r="GS21">
        <f>GS20*IF(OR($C20=96,$G20=96),0,1)</f>
        <v/>
      </c>
      <c r="GT21">
        <f>GT20*IF(OR($C20=97,$G20=97),0,1)</f>
        <v/>
      </c>
      <c r="GU21">
        <f>GU20*IF(OR($C20=98,$G20=98),0,1)</f>
        <v/>
      </c>
      <c r="GV21">
        <f>GV20*IF(OR($C20=99,$G20=99),0,1)</f>
        <v/>
      </c>
      <c r="GW21">
        <f>GW20*IF(OR($C20=100,$G20=100),0,1)</f>
        <v/>
      </c>
      <c r="GX21">
        <f>GX20*IF(OR($C20=101,$G20=101),0,1)</f>
        <v/>
      </c>
      <c r="GY21">
        <f>GY20*IF(OR($C20=102,$G20=102),0,1)</f>
        <v/>
      </c>
      <c r="GZ21">
        <f>GZ20*IF(OR($C20=103,$G20=103),0,1)</f>
        <v/>
      </c>
      <c r="HA21">
        <f>HA20*IF(OR($C20=104,$G20=104),0,1)</f>
        <v/>
      </c>
      <c r="HB21">
        <f>HB20*IF(OR($C20=105,$G20=105),0,1)</f>
        <v/>
      </c>
      <c r="HC21">
        <f>HC20*IF(OR($C20=106,$G20=106),0,1)</f>
        <v/>
      </c>
      <c r="HD21">
        <f>HD20*IF(OR($C20=107,$G20=107),0,1)</f>
        <v/>
      </c>
      <c r="HE21">
        <f>HE20*IF(OR($C20=108,$G20=108),0,1)</f>
        <v/>
      </c>
      <c r="HF21">
        <f>HF20*IF(OR($C20=109,$G20=109),0,1)</f>
        <v/>
      </c>
      <c r="HG21">
        <f>HG20*IF(OR($C20=110,$G20=110),0,1)</f>
        <v/>
      </c>
      <c r="HH21">
        <f>HH20*IF(OR($C20=111,$G20=111),0,1)</f>
        <v/>
      </c>
      <c r="HI21">
        <f>HI20*IF(OR($C20=112,$G20=112),0,1)</f>
        <v/>
      </c>
      <c r="HJ21">
        <f>HJ20*IF(OR($C20=113,$G20=113),0,1)</f>
        <v/>
      </c>
      <c r="HK21">
        <f>HK20*IF(OR($C20=114,$G20=114),0,1)</f>
        <v/>
      </c>
      <c r="HL21">
        <f>HL20*IF(OR($C20=115,$G20=115),0,1)</f>
        <v/>
      </c>
      <c r="HM21">
        <f>HM20*IF(OR($C20=116,$G20=116),0,1)</f>
        <v/>
      </c>
      <c r="HN21">
        <f>HN20*IF(OR($C20=117,$G20=117),0,1)</f>
        <v/>
      </c>
      <c r="HO21">
        <f>HO20*IF(OR($C20=118,$G20=118),0,1)</f>
        <v/>
      </c>
      <c r="HP21">
        <f>HP20*IF(OR($C20=119,$G20=119),0,1)</f>
        <v/>
      </c>
      <c r="HQ21">
        <f>HQ20*IF(OR($C20=120,$G20=120),0,1)</f>
        <v/>
      </c>
      <c r="HR21">
        <f>HR20*IF(OR($C20=121,$G20=121),0,1)</f>
        <v/>
      </c>
      <c r="HS21">
        <f>HS20*IF(OR($C20=122,$G20=122),0,1)</f>
        <v/>
      </c>
      <c r="HT21">
        <f>HT20*IF(OR($C20=123,$G20=123),0,1)</f>
        <v/>
      </c>
      <c r="HU21">
        <f>HU20*IF(OR($C20=124,$G20=124),0,1)</f>
        <v/>
      </c>
      <c r="HV21">
        <f>HV20*IF(OR($C20=125,$G20=125),0,1)</f>
        <v/>
      </c>
      <c r="HW21">
        <f>HW20*IF(OR($C20=126,$G20=126),0,1)</f>
        <v/>
      </c>
      <c r="HX21">
        <f>HX20*IF(OR($C20=127,$G20=127),0,1)</f>
        <v/>
      </c>
      <c r="HY21">
        <f>HY20*IF(OR($C20=128,$G20=128),0,1)</f>
        <v/>
      </c>
      <c r="HZ21">
        <f>HZ20*IF(OR($C20=129,$G20=129),0,1)</f>
        <v/>
      </c>
      <c r="IA21">
        <f>IA20*IF(OR($C20=130,$G20=130),0,1)</f>
        <v/>
      </c>
      <c r="IB21">
        <f>IB20*IF(OR($C20=131,$G20=131),0,1)</f>
        <v/>
      </c>
      <c r="IC21">
        <f>IC20*IF(OR($C20=132,$G20=132),0,1)</f>
        <v/>
      </c>
      <c r="ID21">
        <f>ID20*IF(OR($C20=133,$G20=133),0,1)</f>
        <v/>
      </c>
      <c r="IE21">
        <f>IE20*IF(OR($C20=134,$G20=134),0,1)</f>
        <v/>
      </c>
      <c r="IF21">
        <f>IF20*IF(OR($C20=135,$G20=135),0,1)</f>
        <v/>
      </c>
      <c r="IG21">
        <f>IG20*IF(OR($C20=136,$G20=136),0,1)</f>
        <v/>
      </c>
      <c r="IH21">
        <f>IH20*IF(OR($C20=137,$G20=137),0,1)</f>
        <v/>
      </c>
      <c r="II21">
        <f>II20*IF(OR($C20=138,$G20=138),0,1)</f>
        <v/>
      </c>
      <c r="IJ21">
        <f>IJ20*IF(OR($C20=139,$G20=139),0,1)</f>
        <v/>
      </c>
      <c r="IK21">
        <f>IK20*IF(OR($C20=140,$G20=140),0,1)</f>
        <v/>
      </c>
      <c r="IL21">
        <f>IL20*IF(OR($C20=141,$G20=141),0,1)</f>
        <v/>
      </c>
      <c r="IM21">
        <f>IM20*IF(OR($C20=142,$G20=142),0,1)</f>
        <v/>
      </c>
      <c r="IN21">
        <f>IN20*IF(OR($C20=143,$G20=143),0,1)</f>
        <v/>
      </c>
      <c r="IO21">
        <f>IO20*IF(OR($C20=144,$G20=144),0,1)</f>
        <v/>
      </c>
      <c r="IQ21">
        <f>IF('計算A'!D$106=1,DC21,1)</f>
        <v/>
      </c>
      <c r="IR21">
        <f>IF('計算A'!E$106=1,DD21,1)</f>
        <v/>
      </c>
      <c r="IS21">
        <f>IF('計算A'!F$106=1,DE21,1)</f>
        <v/>
      </c>
      <c r="IT21">
        <f>IF('計算A'!G$106=1,DF21,1)</f>
        <v/>
      </c>
      <c r="IU21">
        <f>IF('計算A'!H$106=1,DG21,1)</f>
        <v/>
      </c>
      <c r="IV21">
        <f>IF('計算A'!I$106=1,DH21,1)</f>
        <v/>
      </c>
      <c r="IW21">
        <f>IF('計算A'!J$106=1,DI21,1)</f>
        <v/>
      </c>
      <c r="IX21">
        <f>IF('計算A'!K$106=1,DJ21,1)</f>
        <v/>
      </c>
      <c r="IY21">
        <f>IF('計算A'!L$106=1,DK21,1)</f>
        <v/>
      </c>
      <c r="IZ21">
        <f>IF('計算A'!M$106=1,DL21,1)</f>
        <v/>
      </c>
      <c r="JA21">
        <f>IF('計算A'!N$106=1,DM21,1)</f>
        <v/>
      </c>
      <c r="JB21">
        <f>IF('計算A'!O$106=1,DN21,1)</f>
        <v/>
      </c>
      <c r="JC21">
        <f>IF('計算A'!P$106=1,DO21,1)</f>
        <v/>
      </c>
      <c r="JD21">
        <f>IF('計算A'!Q$106=1,DP21,1)</f>
        <v/>
      </c>
      <c r="JE21">
        <f>IF('計算A'!R$106=1,DQ21,1)</f>
        <v/>
      </c>
      <c r="JF21">
        <f>IF('計算A'!S$106=1,DR21,1)</f>
        <v/>
      </c>
      <c r="JG21">
        <f>IF('計算A'!T$106=1,DS21,1)</f>
        <v/>
      </c>
      <c r="JH21">
        <f>IF('計算A'!U$106=1,DT21,1)</f>
        <v/>
      </c>
      <c r="JI21">
        <f>IF('計算A'!V$106=1,DU21,1)</f>
        <v/>
      </c>
      <c r="JJ21">
        <f>IF('計算A'!W$106=1,DV21,1)</f>
        <v/>
      </c>
      <c r="JK21">
        <f>IF('計算A'!X$106=1,DW21,1)</f>
        <v/>
      </c>
      <c r="JL21">
        <f>IF('計算A'!Y$106=1,DX21,1)</f>
        <v/>
      </c>
      <c r="JM21">
        <f>IF('計算A'!Z$106=1,DY21,1)</f>
        <v/>
      </c>
      <c r="JN21">
        <f>IF('計算A'!AA$106=1,DZ21,1)</f>
        <v/>
      </c>
      <c r="JO21">
        <f>IF('計算A'!AB$106=1,EA21,1)</f>
        <v/>
      </c>
      <c r="JP21">
        <f>IF('計算A'!AC$106=1,EB21,1)</f>
        <v/>
      </c>
      <c r="JQ21">
        <f>IF('計算A'!AD$106=1,EC21,1)</f>
        <v/>
      </c>
      <c r="JR21">
        <f>IF('計算A'!AE$106=1,ED21,1)</f>
        <v/>
      </c>
      <c r="JS21">
        <f>IF('計算A'!AF$106=1,EE21,1)</f>
        <v/>
      </c>
      <c r="JT21">
        <f>IF('計算A'!AG$106=1,EF21,1)</f>
        <v/>
      </c>
      <c r="JU21">
        <f>IF('計算A'!AH$106=1,EG21,1)</f>
        <v/>
      </c>
      <c r="JV21">
        <f>IF('計算A'!AI$106=1,EH21,1)</f>
        <v/>
      </c>
      <c r="JW21">
        <f>IF('計算A'!AJ$106=1,EI21,1)</f>
        <v/>
      </c>
      <c r="JX21">
        <f>IF('計算A'!AK$106=1,EJ21,1)</f>
        <v/>
      </c>
      <c r="JY21">
        <f>IF('計算A'!AL$106=1,EK21,1)</f>
        <v/>
      </c>
      <c r="JZ21">
        <f>IF('計算A'!AM$106=1,EL21,1)</f>
        <v/>
      </c>
      <c r="KA21">
        <f>IF('計算A'!AN$106=1,EM21,1)</f>
        <v/>
      </c>
      <c r="KB21">
        <f>IF('計算A'!AO$106=1,EN21,1)</f>
        <v/>
      </c>
      <c r="KC21">
        <f>IF('計算A'!AP$106=1,EO21,1)</f>
        <v/>
      </c>
      <c r="KD21">
        <f>IF('計算A'!AQ$106=1,EP21,1)</f>
        <v/>
      </c>
      <c r="KE21">
        <f>IF('計算A'!AR$106=1,EQ21,1)</f>
        <v/>
      </c>
      <c r="KF21">
        <f>IF('計算A'!AS$106=1,ER21,1)</f>
        <v/>
      </c>
      <c r="KG21">
        <f>IF('計算A'!AT$106=1,ES21,1)</f>
        <v/>
      </c>
      <c r="KH21">
        <f>IF('計算A'!AU$106=1,ET21,1)</f>
        <v/>
      </c>
      <c r="KI21">
        <f>IF('計算A'!AV$106=1,EU21,1)</f>
        <v/>
      </c>
      <c r="KJ21">
        <f>IF('計算A'!AW$106=1,EV21,1)</f>
        <v/>
      </c>
      <c r="KK21">
        <f>IF('計算A'!AX$106=1,EW21,1)</f>
        <v/>
      </c>
      <c r="KL21">
        <f>IF('計算A'!AY$106=1,EX21,1)</f>
        <v/>
      </c>
      <c r="KM21">
        <f>IF('計算A'!AZ$106=1,EY21,1)</f>
        <v/>
      </c>
      <c r="KN21">
        <f>IF('計算A'!BA$106=1,EZ21,1)</f>
        <v/>
      </c>
      <c r="KO21">
        <f>IF('計算A'!BB$106=1,FA21,1)</f>
        <v/>
      </c>
      <c r="KP21">
        <f>IF('計算A'!BC$106=1,FB21,1)</f>
        <v/>
      </c>
      <c r="KQ21">
        <f>IF('計算A'!BD$106=1,FC21,1)</f>
        <v/>
      </c>
      <c r="KR21">
        <f>IF('計算A'!BE$106=1,FD21,1)</f>
        <v/>
      </c>
      <c r="KS21">
        <f>IF('計算A'!BF$106=1,FE21,1)</f>
        <v/>
      </c>
      <c r="KT21">
        <f>IF('計算A'!BG$106=1,FF21,1)</f>
        <v/>
      </c>
      <c r="KU21">
        <f>IF('計算A'!BH$106=1,FG21,1)</f>
        <v/>
      </c>
      <c r="KV21">
        <f>IF('計算A'!BI$106=1,FH21,1)</f>
        <v/>
      </c>
      <c r="KW21">
        <f>IF('計算A'!BJ$106=1,FI21,1)</f>
        <v/>
      </c>
      <c r="KX21">
        <f>IF('計算A'!BK$106=1,FJ21,1)</f>
        <v/>
      </c>
      <c r="KY21">
        <f>IF('計算A'!BL$106=1,FK21,1)</f>
        <v/>
      </c>
      <c r="KZ21">
        <f>IF('計算A'!BM$106=1,FL21,1)</f>
        <v/>
      </c>
      <c r="LA21">
        <f>IF('計算A'!BN$106=1,FM21,1)</f>
        <v/>
      </c>
      <c r="LB21">
        <f>IF('計算A'!BO$106=1,FN21,1)</f>
        <v/>
      </c>
      <c r="LC21">
        <f>IF('計算A'!BP$106=1,FO21,1)</f>
        <v/>
      </c>
      <c r="LD21">
        <f>IF('計算A'!BQ$106=1,FP21,1)</f>
        <v/>
      </c>
      <c r="LE21">
        <f>IF('計算A'!BR$106=1,FQ21,1)</f>
        <v/>
      </c>
      <c r="LF21">
        <f>IF('計算A'!BS$106=1,FR21,1)</f>
        <v/>
      </c>
      <c r="LG21">
        <f>IF('計算A'!BT$106=1,FS21,1)</f>
        <v/>
      </c>
      <c r="LH21">
        <f>IF('計算A'!BU$106=1,FT21,1)</f>
        <v/>
      </c>
      <c r="LI21">
        <f>IF('計算A'!BV$106=1,FU21,1)</f>
        <v/>
      </c>
      <c r="LJ21">
        <f>IF('計算A'!BW$106=1,FV21,1)</f>
        <v/>
      </c>
      <c r="LK21">
        <f>IF('計算A'!BX$106=1,FW21,1)</f>
        <v/>
      </c>
      <c r="LL21">
        <f>IF('計算A'!BY$106=1,FX21,1)</f>
        <v/>
      </c>
      <c r="LM21">
        <f>IF('計算A'!BZ$106=1,FY21,1)</f>
        <v/>
      </c>
      <c r="LN21">
        <f>IF('計算A'!CA$106=1,FZ21,1)</f>
        <v/>
      </c>
      <c r="LO21">
        <f>IF('計算A'!CB$106=1,GA21,1)</f>
        <v/>
      </c>
      <c r="LP21">
        <f>IF('計算A'!CC$106=1,GB21,1)</f>
        <v/>
      </c>
      <c r="LQ21">
        <f>IF('計算A'!CD$106=1,GC21,1)</f>
        <v/>
      </c>
      <c r="LR21">
        <f>IF('計算A'!CE$106=1,GD21,1)</f>
        <v/>
      </c>
      <c r="LS21">
        <f>IF('計算A'!CF$106=1,GE21,1)</f>
        <v/>
      </c>
      <c r="LT21">
        <f>IF('計算A'!CG$106=1,GF21,1)</f>
        <v/>
      </c>
      <c r="LU21">
        <f>IF('計算A'!CH$106=1,GG21,1)</f>
        <v/>
      </c>
      <c r="LV21">
        <f>IF('計算A'!CI$106=1,GH21,1)</f>
        <v/>
      </c>
      <c r="LW21">
        <f>IF('計算A'!CJ$106=1,GI21,1)</f>
        <v/>
      </c>
      <c r="LX21">
        <f>IF('計算A'!CK$106=1,GJ21,1)</f>
        <v/>
      </c>
      <c r="LY21">
        <f>IF('計算A'!CL$106=1,GK21,1)</f>
        <v/>
      </c>
      <c r="LZ21">
        <f>IF('計算A'!CM$106=1,GL21,1)</f>
        <v/>
      </c>
      <c r="MA21">
        <f>IF('計算A'!CN$106=1,GM21,1)</f>
        <v/>
      </c>
      <c r="MB21">
        <f>IF('計算A'!CO$106=1,GN21,1)</f>
        <v/>
      </c>
      <c r="MC21">
        <f>IF('計算A'!CP$106=1,GO21,1)</f>
        <v/>
      </c>
      <c r="MD21">
        <f>IF('計算A'!CQ$106=1,GP21,1)</f>
        <v/>
      </c>
      <c r="ME21">
        <f>IF('計算A'!CR$106=1,GQ21,1)</f>
        <v/>
      </c>
      <c r="MF21">
        <f>IF('計算A'!CS$106=1,GR21,1)</f>
        <v/>
      </c>
      <c r="MG21">
        <f>IF('計算A'!CT$106=1,GS21,1)</f>
        <v/>
      </c>
      <c r="MH21">
        <f>IF('計算A'!CU$106=1,GT21,1)</f>
        <v/>
      </c>
      <c r="MI21">
        <f>IF('計算A'!CV$106=1,GU21,1)</f>
        <v/>
      </c>
      <c r="MJ21">
        <f>IF('計算A'!CW$106=1,GV21,1)</f>
        <v/>
      </c>
      <c r="MK21">
        <f>IF('計算A'!CX$106=1,GW21,1)</f>
        <v/>
      </c>
      <c r="ML21">
        <f>IF('計算A'!CY$106=1,GX21,1)</f>
        <v/>
      </c>
      <c r="MM21">
        <f>IF('計算A'!CZ$106=1,GY21,1)</f>
        <v/>
      </c>
      <c r="MN21">
        <f>IF('計算A'!DA$106=1,GZ21,1)</f>
        <v/>
      </c>
      <c r="MO21">
        <f>IF('計算A'!DB$106=1,HA21,1)</f>
        <v/>
      </c>
      <c r="MP21">
        <f>IF('計算A'!DC$106=1,HB21,1)</f>
        <v/>
      </c>
      <c r="MQ21">
        <f>IF('計算A'!DD$106=1,HC21,1)</f>
        <v/>
      </c>
      <c r="MR21">
        <f>IF('計算A'!DE$106=1,HD21,1)</f>
        <v/>
      </c>
      <c r="MS21">
        <f>IF('計算A'!DF$106=1,HE21,1)</f>
        <v/>
      </c>
      <c r="MT21">
        <f>IF('計算A'!DG$106=1,HF21,1)</f>
        <v/>
      </c>
      <c r="MU21">
        <f>IF('計算A'!DH$106=1,HG21,1)</f>
        <v/>
      </c>
      <c r="MV21">
        <f>IF('計算A'!DI$106=1,HH21,1)</f>
        <v/>
      </c>
      <c r="MW21">
        <f>IF('計算A'!DJ$106=1,HI21,1)</f>
        <v/>
      </c>
      <c r="MX21">
        <f>IF('計算A'!DK$106=1,HJ21,1)</f>
        <v/>
      </c>
      <c r="MY21">
        <f>IF('計算A'!DL$106=1,HK21,1)</f>
        <v/>
      </c>
      <c r="MZ21">
        <f>IF('計算A'!DM$106=1,HL21,1)</f>
        <v/>
      </c>
      <c r="NA21">
        <f>IF('計算A'!DN$106=1,HM21,1)</f>
        <v/>
      </c>
      <c r="NB21">
        <f>IF('計算A'!DO$106=1,HN21,1)</f>
        <v/>
      </c>
      <c r="NC21">
        <f>IF('計算A'!DP$106=1,HO21,1)</f>
        <v/>
      </c>
      <c r="ND21">
        <f>IF('計算A'!DQ$106=1,HP21,1)</f>
        <v/>
      </c>
      <c r="NE21">
        <f>IF('計算A'!DR$106=1,HQ21,1)</f>
        <v/>
      </c>
      <c r="NF21">
        <f>IF('計算A'!DS$106=1,HR21,1)</f>
        <v/>
      </c>
      <c r="NG21">
        <f>IF('計算A'!DT$106=1,HS21,1)</f>
        <v/>
      </c>
      <c r="NH21">
        <f>IF('計算A'!DU$106=1,HT21,1)</f>
        <v/>
      </c>
      <c r="NI21">
        <f>IF('計算A'!DV$106=1,HU21,1)</f>
        <v/>
      </c>
      <c r="NJ21">
        <f>IF('計算A'!DW$106=1,HV21,1)</f>
        <v/>
      </c>
      <c r="NK21">
        <f>IF('計算A'!DX$106=1,HW21,1)</f>
        <v/>
      </c>
      <c r="NL21">
        <f>IF('計算A'!DY$106=1,HX21,1)</f>
        <v/>
      </c>
      <c r="NM21">
        <f>IF('計算A'!DZ$106=1,HY21,1)</f>
        <v/>
      </c>
      <c r="NN21">
        <f>IF('計算A'!EA$106=1,HZ21,1)</f>
        <v/>
      </c>
      <c r="NO21">
        <f>IF('計算A'!EB$106=1,IA21,1)</f>
        <v/>
      </c>
      <c r="NP21">
        <f>IF('計算A'!EC$106=1,IB21,1)</f>
        <v/>
      </c>
      <c r="NQ21">
        <f>IF('計算A'!ED$106=1,IC21,1)</f>
        <v/>
      </c>
      <c r="NR21">
        <f>IF('計算A'!EE$106=1,ID21,1)</f>
        <v/>
      </c>
      <c r="NS21">
        <f>IF('計算A'!EF$106=1,IE21,1)</f>
        <v/>
      </c>
      <c r="NT21">
        <f>IF('計算A'!EG$106=1,IF21,1)</f>
        <v/>
      </c>
      <c r="NU21">
        <f>IF('計算A'!EH$106=1,IG21,1)</f>
        <v/>
      </c>
      <c r="NV21">
        <f>IF('計算A'!EI$106=1,IH21,1)</f>
        <v/>
      </c>
      <c r="NW21">
        <f>IF('計算A'!EJ$106=1,II21,1)</f>
        <v/>
      </c>
      <c r="NX21">
        <f>IF('計算A'!EK$106=1,IJ21,1)</f>
        <v/>
      </c>
      <c r="NY21">
        <f>IF('計算A'!EL$106=1,IK21,1)</f>
        <v/>
      </c>
      <c r="NZ21">
        <f>IF('計算A'!EM$106=1,IL21,1)</f>
        <v/>
      </c>
      <c r="OA21">
        <f>IF('計算A'!EN$106=1,IM21,1)</f>
        <v/>
      </c>
      <c r="OB21">
        <f>IF('計算A'!EO$106=1,IN21,1)</f>
        <v/>
      </c>
      <c r="OC21">
        <f>IF('計算A'!EP$106=1,IO21,1)</f>
        <v/>
      </c>
      <c r="OD21" t="n">
        <v>1</v>
      </c>
      <c r="OF21">
        <f>IF($B21=0,1000000,IF(INDEX('計算A'!$D$60:$EQ$104,$B21,1)*DB21=1,IF(AND($E21=2,IQ21=0),1000000,IF($I21&gt;0,IF(1=$J21,IF(OR(AND(1=$I21+1,OR($K21&lt;&gt;'計算A'!$A$3,'計算A'!$A$4=0)),AND(1=$I21-1,OR(1&lt;&gt;'計算A'!$A$3,'計算A'!$A$4=0))),0,IF(1=$K21,200000,ABS(1-$K21)*100)),100000+ABS(1-$J21)*1000+10)+'計算A'!D$5*50+IF(AND($E21=1,IQ21=0),25,0),INDEX('計算A'!D$110:D$114,$F21+1)+IF(AND($E21=1,IQ21=0),1000,0)+IF($H21=1,(IF('計算A'!D$117=1,INDEX('計算A'!E$10:E$54,$B21),0))*500,0)-IF(AND($L21=1,'計算A'!D$117=1,DC21=0),300,0))),1000000))</f>
        <v/>
      </c>
      <c r="OG21">
        <f>IF($B21=0,1000000,IF(INDEX('計算A'!$D$60:$EQ$104,$B21,2)*DC21=1,IF(AND($E21=2,IR21=0),1000000,IF($I21&gt;0,IF(1=$J21,IF(OR(AND(2=$I21+1,OR($K21&lt;&gt;'計算A'!$A$3,'計算A'!$A$4=0)),AND(2=$I21-1,OR(2&lt;&gt;'計算A'!$A$3,'計算A'!$A$4=0))),0,IF(2=$K21,200000,ABS(2-$K21)*100)),100000+ABS(1-$J21)*1000+20)+'計算A'!E$5*50+IF(AND($E21=1,IR21=0),25,0),INDEX('計算A'!E$110:E$114,$F21+1)+IF(AND($E21=1,IR21=0),1000,0)+IF($H21=1,(IF('計算A'!D$117=1,INDEX('計算A'!D$10:D$54,$B21),0)+IF('計算A'!E$117=1,INDEX('計算A'!F$10:F$54,$B21),0))*500,0)-IF(AND('計算A'!D$117=1,UB21&gt;0),300,0)-IF(AND($L21=1,'計算A'!E$117=1,DD21=0),300,0))),1000000))</f>
        <v/>
      </c>
      <c r="OH21">
        <f>IF($B21=0,1000000,IF(INDEX('計算A'!$D$60:$EQ$104,$B21,3)*DD21=1,IF(AND($E21=2,IS21=0),1000000,IF($I21&gt;0,IF(1=$J21,IF(OR(AND(3=$I21+1,OR($K21&lt;&gt;'計算A'!$A$3,'計算A'!$A$4=0)),AND(3=$I21-1,OR(3&lt;&gt;'計算A'!$A$3,'計算A'!$A$4=0))),0,IF(3=$K21,200000,ABS(3-$K21)*100)),100000+ABS(1-$J21)*1000+30)+'計算A'!F$5*50+IF(AND($E21=1,IS21=0),25,0),INDEX('計算A'!F$110:F$114,$F21+1)+IF(AND($E21=1,IS21=0),1000,0)+IF($H21=1,(IF('計算A'!E$117=1,INDEX('計算A'!E$10:E$54,$B21),0)+IF('計算A'!F$117=1,INDEX('計算A'!G$10:G$54,$B21),0))*500,0)-IF(AND('計算A'!E$117=1,UC21&gt;0),300,0)-IF(AND($L21=1,'計算A'!F$117=1,DE21=0),300,0))),1000000))</f>
        <v/>
      </c>
      <c r="OI21">
        <f>IF($B21=0,1000000,IF(INDEX('計算A'!$D$60:$EQ$104,$B21,4)*DE21=1,IF(AND($E21=2,IT21=0),1000000,IF($I21&gt;0,IF(1=$J21,IF(OR(AND(4=$I21+1,OR($K21&lt;&gt;'計算A'!$A$3,'計算A'!$A$4=0)),AND(4=$I21-1,OR(4&lt;&gt;'計算A'!$A$3,'計算A'!$A$4=0))),0,IF(4=$K21,200000,ABS(4-$K21)*100)),100000+ABS(1-$J21)*1000+40)+'計算A'!G$5*50+IF(AND($E21=1,IT21=0),25,0),INDEX('計算A'!G$110:G$114,$F21+1)+IF(AND($E21=1,IT21=0),1000,0)+IF($H21=1,(IF('計算A'!F$117=1,INDEX('計算A'!F$10:F$54,$B21),0)+IF('計算A'!G$117=1,INDEX('計算A'!H$10:H$54,$B21),0))*500,0)-IF(AND('計算A'!F$117=1,UD21&gt;0),300,0)-IF(AND($L21=1,'計算A'!G$117=1,DF21=0),300,0))),1000000))</f>
        <v/>
      </c>
      <c r="OJ21">
        <f>IF($B21=0,1000000,IF(INDEX('計算A'!$D$60:$EQ$104,$B21,5)*DF21=1,IF(AND($E21=2,IU21=0),1000000,IF($I21&gt;0,IF(1=$J21,IF(OR(AND(5=$I21+1,OR($K21&lt;&gt;'計算A'!$A$3,'計算A'!$A$4=0)),AND(5=$I21-1,OR(5&lt;&gt;'計算A'!$A$3,'計算A'!$A$4=0))),0,IF(5=$K21,200000,ABS(5-$K21)*100)),100000+ABS(1-$J21)*1000+50)+'計算A'!H$5*50+IF(AND($E21=1,IU21=0),25,0),INDEX('計算A'!H$110:H$114,$F21+1)+IF(AND($E21=1,IU21=0),1000,0)+IF($H21=1,(IF('計算A'!G$117=1,INDEX('計算A'!G$10:G$54,$B21),0)+IF('計算A'!H$117=1,INDEX('計算A'!I$10:I$54,$B21),0))*500,0)-IF(AND('計算A'!G$117=1,UE21&gt;0),300,0)-IF(AND($L21=1,'計算A'!H$117=1,DG21=0),300,0))),1000000))</f>
        <v/>
      </c>
      <c r="OK21">
        <f>IF($B21=0,1000000,IF(INDEX('計算A'!$D$60:$EQ$104,$B21,6)*DG21=1,IF(AND($E21=2,IV21=0),1000000,IF($I21&gt;0,IF(1=$J21,IF(OR(AND(6=$I21+1,OR($K21&lt;&gt;'計算A'!$A$3,'計算A'!$A$4=0)),AND(6=$I21-1,OR(6&lt;&gt;'計算A'!$A$3,'計算A'!$A$4=0))),0,IF(6=$K21,200000,ABS(6-$K21)*100)),100000+ABS(1-$J21)*1000+60)+'計算A'!I$5*50+IF(AND($E21=1,IV21=0),25,0),INDEX('計算A'!I$110:I$114,$F21+1)+IF(AND($E21=1,IV21=0),1000,0)+IF($H21=1,(IF('計算A'!H$117=1,INDEX('計算A'!H$10:H$54,$B21),0)+IF('計算A'!I$117=1,INDEX('計算A'!J$10:J$54,$B21),0))*500,0)-IF(AND('計算A'!H$117=1,UF21&gt;0),300,0)-IF(AND($L21=1,'計算A'!I$117=1,DH21=0),300,0))),1000000))</f>
        <v/>
      </c>
      <c r="OL21">
        <f>IF($B21=0,1000000,IF(INDEX('計算A'!$D$60:$EQ$104,$B21,7)*DH21=1,IF(AND($E21=2,IW21=0),1000000,IF($I21&gt;0,IF(1=$J21,IF(OR(AND(7=$I21+1,OR($K21&lt;&gt;'計算A'!$A$3,'計算A'!$A$4=0)),AND(7=$I21-1,OR(7&lt;&gt;'計算A'!$A$3,'計算A'!$A$4=0))),0,IF(7=$K21,200000,ABS(7-$K21)*100)),100000+ABS(1-$J21)*1000+70)+'計算A'!J$5*50+IF(AND($E21=1,IW21=0),25,0),INDEX('計算A'!J$110:J$114,$F21+1)+IF(AND($E21=1,IW21=0),1000,0)+IF($H21=1,(IF('計算A'!I$117=1,INDEX('計算A'!I$10:I$54,$B21),0)+IF('計算A'!J$117=1,INDEX('計算A'!K$10:K$54,$B21),0))*500,0)-IF(AND('計算A'!I$117=1,UG21&gt;0),300,0)-IF(AND($L21=1,'計算A'!J$117=1,DI21=0),300,0))),1000000))</f>
        <v/>
      </c>
      <c r="OM21">
        <f>IF($B21=0,1000000,IF(INDEX('計算A'!$D$60:$EQ$104,$B21,8)*DI21=1,IF(AND($E21=2,IX21=0),1000000,IF($I21&gt;0,IF(1=$J21,IF(OR(AND(8=$I21+1,OR($K21&lt;&gt;'計算A'!$A$3,'計算A'!$A$4=0)),AND(8=$I21-1,OR(8&lt;&gt;'計算A'!$A$3,'計算A'!$A$4=0))),0,IF(8=$K21,200000,ABS(8-$K21)*100)),100000+ABS(1-$J21)*1000+80)+'計算A'!K$5*50+IF(AND($E21=1,IX21=0),25,0),INDEX('計算A'!K$110:K$114,$F21+1)+IF(AND($E21=1,IX21=0),1000,0)+IF($H21=1,(IF('計算A'!J$117=1,INDEX('計算A'!J$10:J$54,$B21),0)+IF('計算A'!K$117=1,INDEX('計算A'!L$10:L$54,$B21),0))*500,0)-IF(AND('計算A'!J$117=1,UH21&gt;0),300,0)-IF(AND($L21=1,'計算A'!K$117=1,DJ21=0),300,0))),1000000))</f>
        <v/>
      </c>
      <c r="ON21">
        <f>IF($B21=0,1000000,IF(INDEX('計算A'!$D$60:$EQ$104,$B21,9)*DJ21=1,IF(AND($E21=2,IY21=0),1000000,IF($I21&gt;0,IF(1=$J21,IF(OR(AND(9=$I21+1,OR($K21&lt;&gt;'計算A'!$A$3,'計算A'!$A$4=0)),AND(9=$I21-1,OR(9&lt;&gt;'計算A'!$A$3,'計算A'!$A$4=0))),0,IF(9=$K21,200000,ABS(9-$K21)*100)),100000+ABS(1-$J21)*1000+90)+'計算A'!L$5*50+IF(AND($E21=1,IY21=0),25,0),INDEX('計算A'!L$110:L$114,$F21+1)+IF(AND($E21=1,IY21=0),1000,0)+IF($H21=1,(IF('計算A'!K$117=1,INDEX('計算A'!K$10:K$54,$B21),0)+IF('計算A'!L$117=1,INDEX('計算A'!M$10:M$54,$B21),0))*500,0)-IF(AND('計算A'!K$117=1,UI21&gt;0),300,0)-IF(AND($L21=1,'計算A'!L$117=1,DK21=0),300,0))),1000000))</f>
        <v/>
      </c>
      <c r="OO21">
        <f>IF($B21=0,1000000,IF(INDEX('計算A'!$D$60:$EQ$104,$B21,10)*DK21=1,IF(AND($E21=2,IZ21=0),1000000,IF($I21&gt;0,IF(1=$J21,IF(OR(AND(10=$I21+1,OR($K21&lt;&gt;'計算A'!$A$3,'計算A'!$A$4=0)),AND(10=$I21-1,OR(10&lt;&gt;'計算A'!$A$3,'計算A'!$A$4=0))),0,IF(10=$K21,200000,ABS(10-$K21)*100)),100000+ABS(1-$J21)*1000+100)+'計算A'!M$5*50+IF(AND($E21=1,IZ21=0),25,0),INDEX('計算A'!M$110:M$114,$F21+1)+IF(AND($E21=1,IZ21=0),1000,0)+IF($H21=1,(IF('計算A'!L$117=1,INDEX('計算A'!L$10:L$54,$B21),0)+IF('計算A'!M$117=1,INDEX('計算A'!N$10:N$54,$B21),0))*500,0)-IF(AND('計算A'!L$117=1,UJ21&gt;0),300,0)-IF(AND($L21=1,'計算A'!M$117=1,DL21=0),300,0))),1000000))</f>
        <v/>
      </c>
      <c r="OP21">
        <f>IF($B21=0,1000000,IF(INDEX('計算A'!$D$60:$EQ$104,$B21,11)*DL21=1,IF(AND($E21=2,JA21=0),1000000,IF($I21&gt;0,IF(1=$J21,IF(OR(AND(11=$I21+1,OR($K21&lt;&gt;'計算A'!$A$3,'計算A'!$A$4=0)),AND(11=$I21-1,OR(11&lt;&gt;'計算A'!$A$3,'計算A'!$A$4=0))),0,IF(11=$K21,200000,ABS(11-$K21)*100)),100000+ABS(1-$J21)*1000+110)+'計算A'!N$5*50+IF(AND($E21=1,JA21=0),25,0),INDEX('計算A'!N$110:N$114,$F21+1)+IF(AND($E21=1,JA21=0),1000,0)+IF($H21=1,(IF('計算A'!M$117=1,INDEX('計算A'!M$10:M$54,$B21),0)+IF('計算A'!N$117=1,INDEX('計算A'!O$10:O$54,$B21),0))*500,0)-IF(AND('計算A'!M$117=1,UK21&gt;0),300,0)-IF(AND($L21=1,'計算A'!N$117=1,DM21=0),300,0))),1000000))</f>
        <v/>
      </c>
      <c r="OQ21">
        <f>IF($B21=0,1000000,IF(INDEX('計算A'!$D$60:$EQ$104,$B21,12)*DM21=1,IF(AND($E21=2,JB21=0),1000000,IF($I21&gt;0,IF(1=$J21,IF(OR(AND(12=$I21+1,OR($K21&lt;&gt;'計算A'!$A$3,'計算A'!$A$4=0)),AND(12=$I21-1,OR(12&lt;&gt;'計算A'!$A$3,'計算A'!$A$4=0))),0,IF(12=$K21,200000,ABS(12-$K21)*100)),100000+ABS(1-$J21)*1000+120)+'計算A'!O$5*50+IF(AND($E21=1,JB21=0),25,0),INDEX('計算A'!O$110:O$114,$F21+1)+IF(AND($E21=1,JB21=0),1000,0)+IF($H21=1,(IF('計算A'!N$117=1,INDEX('計算A'!N$10:N$54,$B21),0)+IF('計算A'!O$117=1,INDEX('計算A'!P$10:P$54,$B21),0))*500,0)-IF(AND('計算A'!N$117=1,UL21&gt;0),300,0)-IF(AND($L21=1,'計算A'!O$117=1,DN21=0),300,0))),1000000))</f>
        <v/>
      </c>
      <c r="OR21">
        <f>IF($B21=0,1000000,IF(INDEX('計算A'!$D$60:$EQ$104,$B21,13)*DN21=1,IF(AND($E21=2,JC21=0),1000000,IF($I21&gt;0,IF(1=$J21,IF(OR(AND(13=$I21+1,OR($K21&lt;&gt;'計算A'!$A$3,'計算A'!$A$4=0)),AND(13=$I21-1,OR(13&lt;&gt;'計算A'!$A$3,'計算A'!$A$4=0))),0,IF(13=$K21,200000,ABS(13-$K21)*100)),100000+ABS(1-$J21)*1000+130)+'計算A'!P$5*50+IF(AND($E21=1,JC21=0),25,0),INDEX('計算A'!P$110:P$114,$F21+1)+IF(AND($E21=1,JC21=0),1000,0)+IF($H21=1,(IF('計算A'!O$117=1,INDEX('計算A'!O$10:O$54,$B21),0)+IF('計算A'!P$117=1,INDEX('計算A'!Q$10:Q$54,$B21),0))*500,0)-IF(AND('計算A'!O$117=1,UM21&gt;0),300,0)-IF(AND($L21=1,'計算A'!P$117=1,DO21=0),300,0))),1000000))</f>
        <v/>
      </c>
      <c r="OS21">
        <f>IF($B21=0,1000000,IF(INDEX('計算A'!$D$60:$EQ$104,$B21,14)*DO21=1,IF(AND($E21=2,JD21=0),1000000,IF($I21&gt;0,IF(1=$J21,IF(OR(AND(14=$I21+1,OR($K21&lt;&gt;'計算A'!$A$3,'計算A'!$A$4=0)),AND(14=$I21-1,OR(14&lt;&gt;'計算A'!$A$3,'計算A'!$A$4=0))),0,IF(14=$K21,200000,ABS(14-$K21)*100)),100000+ABS(1-$J21)*1000+140)+'計算A'!Q$5*50+IF(AND($E21=1,JD21=0),25,0),INDEX('計算A'!Q$110:Q$114,$F21+1)+IF(AND($E21=1,JD21=0),1000,0)+IF($H21=1,(IF('計算A'!P$117=1,INDEX('計算A'!P$10:P$54,$B21),0)+IF('計算A'!Q$117=1,INDEX('計算A'!R$10:R$54,$B21),0))*500,0)-IF(AND('計算A'!P$117=1,UN21&gt;0),300,0)-IF(AND($L21=1,'計算A'!Q$117=1,DP21=0),300,0))),1000000))</f>
        <v/>
      </c>
      <c r="OT21">
        <f>IF($B21=0,1000000,IF(INDEX('計算A'!$D$60:$EQ$104,$B21,15)*DP21=1,IF(AND($E21=2,JE21=0),1000000,IF($I21&gt;0,IF(1=$J21,IF(OR(AND(15=$I21+1,OR($K21&lt;&gt;'計算A'!$A$3,'計算A'!$A$4=0)),AND(15=$I21-1,OR(15&lt;&gt;'計算A'!$A$3,'計算A'!$A$4=0))),0,IF(15=$K21,200000,ABS(15-$K21)*100)),100000+ABS(1-$J21)*1000+150)+'計算A'!R$5*50+IF(AND($E21=1,JE21=0),25,0),INDEX('計算A'!R$110:R$114,$F21+1)+IF(AND($E21=1,JE21=0),1000,0)+IF($H21=1,(IF('計算A'!Q$117=1,INDEX('計算A'!Q$10:Q$54,$B21),0)+IF('計算A'!R$117=1,INDEX('計算A'!S$10:S$54,$B21),0))*500,0)-IF(AND('計算A'!Q$117=1,UO21&gt;0),300,0)-IF(AND($L21=1,'計算A'!R$117=1,DQ21=0),300,0))),1000000))</f>
        <v/>
      </c>
      <c r="OU21">
        <f>IF($B21=0,1000000,IF(INDEX('計算A'!$D$60:$EQ$104,$B21,16)*DQ21=1,IF(AND($E21=2,JF21=0),1000000,IF($I21&gt;0,IF(1=$J21,IF(OR(AND(16=$I21+1,OR($K21&lt;&gt;'計算A'!$A$3,'計算A'!$A$4=0)),AND(16=$I21-1,OR(16&lt;&gt;'計算A'!$A$3,'計算A'!$A$4=0))),0,IF(16=$K21,200000,ABS(16-$K21)*100)),100000+ABS(1-$J21)*1000+160)+'計算A'!S$5*50+IF(AND($E21=1,JF21=0),25,0),INDEX('計算A'!S$110:S$114,$F21+1)+IF(AND($E21=1,JF21=0),1000,0)+IF($H21=1,(IF('計算A'!R$117=1,INDEX('計算A'!R$10:R$54,$B21),0)+IF('計算A'!S$117=1,INDEX('計算A'!T$10:T$54,$B21),0))*500,0)-IF(AND('計算A'!R$117=1,UP21&gt;0),300,0)-IF(AND($L21=1,'計算A'!S$117=1,DR21=0),300,0))),1000000))</f>
        <v/>
      </c>
      <c r="OV21">
        <f>IF($B21=0,1000000,IF(INDEX('計算A'!$D$60:$EQ$104,$B21,17)*DR21=1,IF(AND($E21=2,JG21=0),1000000,IF($I21&gt;0,IF(1=$J21,IF(OR(AND(17=$I21+1,OR($K21&lt;&gt;'計算A'!$A$3,'計算A'!$A$4=0)),AND(17=$I21-1,OR(17&lt;&gt;'計算A'!$A$3,'計算A'!$A$4=0))),0,IF(17=$K21,200000,ABS(17-$K21)*100)),100000+ABS(1-$J21)*1000+170)+'計算A'!T$5*50+IF(AND($E21=1,JG21=0),25,0),INDEX('計算A'!T$110:T$114,$F21+1)+IF(AND($E21=1,JG21=0),1000,0)+IF($H21=1,(IF('計算A'!S$117=1,INDEX('計算A'!S$10:S$54,$B21),0)+IF('計算A'!T$117=1,INDEX('計算A'!U$10:U$54,$B21),0))*500,0)-IF(AND('計算A'!S$117=1,UQ21&gt;0),300,0)-IF(AND($L21=1,'計算A'!T$117=1,DS21=0),300,0))),1000000))</f>
        <v/>
      </c>
      <c r="OW21">
        <f>IF($B21=0,1000000,IF(INDEX('計算A'!$D$60:$EQ$104,$B21,18)*DS21=1,IF(AND($E21=2,JH21=0),1000000,IF($I21&gt;0,IF(1=$J21,IF(OR(AND(18=$I21+1,OR($K21&lt;&gt;'計算A'!$A$3,'計算A'!$A$4=0)),AND(18=$I21-1,OR(18&lt;&gt;'計算A'!$A$3,'計算A'!$A$4=0))),0,IF(18=$K21,200000,ABS(18-$K21)*100)),100000+ABS(1-$J21)*1000+180)+'計算A'!U$5*50+IF(AND($E21=1,JH21=0),25,0),INDEX('計算A'!U$110:U$114,$F21+1)+IF(AND($E21=1,JH21=0),1000,0)+IF($H21=1,(IF('計算A'!T$117=1,INDEX('計算A'!T$10:T$54,$B21),0)+IF('計算A'!U$117=1,INDEX('計算A'!V$10:V$54,$B21),0))*500,0)-IF(AND('計算A'!T$117=1,UR21&gt;0),300,0)-IF(AND($L21=1,'計算A'!U$117=1,DT21=0),300,0))),1000000))</f>
        <v/>
      </c>
      <c r="OX21">
        <f>IF($B21=0,1000000,IF(INDEX('計算A'!$D$60:$EQ$104,$B21,19)*DT21=1,IF(AND($E21=2,JI21=0),1000000,IF($I21&gt;0,IF(1=$J21,IF(OR(AND(19=$I21+1,OR($K21&lt;&gt;'計算A'!$A$3,'計算A'!$A$4=0)),AND(19=$I21-1,OR(19&lt;&gt;'計算A'!$A$3,'計算A'!$A$4=0))),0,IF(19=$K21,200000,ABS(19-$K21)*100)),100000+ABS(1-$J21)*1000+190)+'計算A'!V$5*50+IF(AND($E21=1,JI21=0),25,0),INDEX('計算A'!V$110:V$114,$F21+1)+IF(AND($E21=1,JI21=0),1000,0)+IF($H21=1,(IF('計算A'!U$117=1,INDEX('計算A'!U$10:U$54,$B21),0)+IF('計算A'!V$117=1,INDEX('計算A'!W$10:W$54,$B21),0))*500,0)-IF(AND('計算A'!U$117=1,US21&gt;0),300,0)-IF(AND($L21=1,'計算A'!V$117=1,DU21=0),300,0))),1000000))</f>
        <v/>
      </c>
      <c r="OY21">
        <f>IF($B21=0,1000000,IF(INDEX('計算A'!$D$60:$EQ$104,$B21,20)*DU21=1,IF(AND($E21=2,JJ21=0),1000000,IF($I21&gt;0,IF(1=$J21,IF(OR(AND(20=$I21+1,OR($K21&lt;&gt;'計算A'!$A$3,'計算A'!$A$4=0)),AND(20=$I21-1,OR(20&lt;&gt;'計算A'!$A$3,'計算A'!$A$4=0))),0,IF(20=$K21,200000,ABS(20-$K21)*100)),100000+ABS(1-$J21)*1000+200)+'計算A'!W$5*50+IF(AND($E21=1,JJ21=0),25,0),INDEX('計算A'!W$110:W$114,$F21+1)+IF(AND($E21=1,JJ21=0),1000,0)+IF($H21=1,(IF('計算A'!V$117=1,INDEX('計算A'!V$10:V$54,$B21),0)+IF('計算A'!W$117=1,INDEX('計算A'!X$10:X$54,$B21),0))*500,0)-IF(AND('計算A'!V$117=1,UT21&gt;0),300,0)-IF(AND($L21=1,'計算A'!W$117=1,DV21=0),300,0))),1000000))</f>
        <v/>
      </c>
      <c r="OZ21">
        <f>IF($B21=0,1000000,IF(INDEX('計算A'!$D$60:$EQ$104,$B21,21)*DV21=1,IF(AND($E21=2,JK21=0),1000000,IF($I21&gt;0,IF(1=$J21,IF(OR(AND(21=$I21+1,OR($K21&lt;&gt;'計算A'!$A$3,'計算A'!$A$4=0)),AND(21=$I21-1,OR(21&lt;&gt;'計算A'!$A$3,'計算A'!$A$4=0))),0,IF(21=$K21,200000,ABS(21-$K21)*100)),100000+ABS(1-$J21)*1000+210)+'計算A'!X$5*50+IF(AND($E21=1,JK21=0),25,0),INDEX('計算A'!X$110:X$114,$F21+1)+IF(AND($E21=1,JK21=0),1000,0)+IF($H21=1,(IF('計算A'!W$117=1,INDEX('計算A'!W$10:W$54,$B21),0)+IF('計算A'!X$117=1,INDEX('計算A'!Y$10:Y$54,$B21),0))*500,0)-IF(AND('計算A'!W$117=1,UU21&gt;0),300,0)-IF(AND($L21=1,'計算A'!X$117=1,DW21=0),300,0))),1000000))</f>
        <v/>
      </c>
      <c r="PA21">
        <f>IF($B21=0,1000000,IF(INDEX('計算A'!$D$60:$EQ$104,$B21,22)*DW21=1,IF(AND($E21=2,JL21=0),1000000,IF($I21&gt;0,IF(1=$J21,IF(OR(AND(22=$I21+1,OR($K21&lt;&gt;'計算A'!$A$3,'計算A'!$A$4=0)),AND(22=$I21-1,OR(22&lt;&gt;'計算A'!$A$3,'計算A'!$A$4=0))),0,IF(22=$K21,200000,ABS(22-$K21)*100)),100000+ABS(1-$J21)*1000+220)+'計算A'!Y$5*50+IF(AND($E21=1,JL21=0),25,0),INDEX('計算A'!Y$110:Y$114,$F21+1)+IF(AND($E21=1,JL21=0),1000,0)+IF($H21=1,(IF('計算A'!X$117=1,INDEX('計算A'!X$10:X$54,$B21),0)+IF('計算A'!Y$117=1,INDEX('計算A'!Z$10:Z$54,$B21),0))*500,0)-IF(AND('計算A'!X$117=1,UV21&gt;0),300,0)-IF(AND($L21=1,'計算A'!Y$117=1,DX21=0),300,0))),1000000))</f>
        <v/>
      </c>
      <c r="PB21">
        <f>IF($B21=0,1000000,IF(INDEX('計算A'!$D$60:$EQ$104,$B21,23)*DX21=1,IF(AND($E21=2,JM21=0),1000000,IF($I21&gt;0,IF(1=$J21,IF(OR(AND(23=$I21+1,OR($K21&lt;&gt;'計算A'!$A$3,'計算A'!$A$4=0)),AND(23=$I21-1,OR(23&lt;&gt;'計算A'!$A$3,'計算A'!$A$4=0))),0,IF(23=$K21,200000,ABS(23-$K21)*100)),100000+ABS(1-$J21)*1000+230)+'計算A'!Z$5*50+IF(AND($E21=1,JM21=0),25,0),INDEX('計算A'!Z$110:Z$114,$F21+1)+IF(AND($E21=1,JM21=0),1000,0)+IF($H21=1,(IF('計算A'!Y$117=1,INDEX('計算A'!Y$10:Y$54,$B21),0)+IF('計算A'!Z$117=1,INDEX('計算A'!AA$10:AA$54,$B21),0))*500,0)-IF(AND('計算A'!Y$117=1,UW21&gt;0),300,0)-IF(AND($L21=1,'計算A'!Z$117=1,DY21=0),300,0))),1000000))</f>
        <v/>
      </c>
      <c r="PC21">
        <f>IF($B21=0,1000000,IF(INDEX('計算A'!$D$60:$EQ$104,$B21,24)*DY21=1,IF(AND($E21=2,JN21=0),1000000,IF($I21&gt;0,IF(1=$J21,IF(OR(AND(24=$I21+1,OR($K21&lt;&gt;'計算A'!$A$3,'計算A'!$A$4=0)),AND(24=$I21-1,OR(24&lt;&gt;'計算A'!$A$3,'計算A'!$A$4=0))),0,IF(24=$K21,200000,ABS(24-$K21)*100)),100000+ABS(1-$J21)*1000+240)+'計算A'!AA$5*50+IF(AND($E21=1,JN21=0),25,0),INDEX('計算A'!AA$110:AA$114,$F21+1)+IF(AND($E21=1,JN21=0),1000,0)+IF($H21=1,(IF('計算A'!Z$117=1,INDEX('計算A'!Z$10:Z$54,$B21),0))*500,0)-IF(AND('計算A'!Z$117=1,UX21&gt;0),300,0))),1000000))</f>
        <v/>
      </c>
      <c r="PD21">
        <f>IF($B21=0,1000000,IF(INDEX('計算A'!$D$60:$EQ$104,$B21,25)*DZ21=1,IF(AND($E21=2,JO21=0),1000000,IF($I21&gt;0,IF(2=$J21,IF(OR(AND(25=$I21+1,OR($K21&lt;&gt;'計算A'!$A$3,'計算A'!$A$4=0)),AND(25=$I21-1,OR(1&lt;&gt;'計算A'!$A$3,'計算A'!$A$4=0))),0,IF(1=$K21,200000,ABS(1-$K21)*100)),100000+ABS(2-$J21)*1000+10)+'計算A'!AB$5*50+IF(AND($E21=1,JO21=0),25,0),INDEX('計算A'!AB$110:AB$114,$F21+1)+IF(AND($E21=1,JO21=0),1000,0)+IF($H21=1,(IF('計算A'!AB$117=1,INDEX('計算A'!AC$10:AC$54,$B21),0))*500,0)-IF(AND($L21=1,'計算A'!AB$117=1,EA21=0),300,0))),1000000))</f>
        <v/>
      </c>
      <c r="PE21">
        <f>IF($B21=0,1000000,IF(INDEX('計算A'!$D$60:$EQ$104,$B21,26)*EA21=1,IF(AND($E21=2,JP21=0),1000000,IF($I21&gt;0,IF(2=$J21,IF(OR(AND(26=$I21+1,OR($K21&lt;&gt;'計算A'!$A$3,'計算A'!$A$4=0)),AND(26=$I21-1,OR(2&lt;&gt;'計算A'!$A$3,'計算A'!$A$4=0))),0,IF(2=$K21,200000,ABS(2-$K21)*100)),100000+ABS(2-$J21)*1000+20)+'計算A'!AC$5*50+IF(AND($E21=1,JP21=0),25,0),INDEX('計算A'!AC$110:AC$114,$F21+1)+IF(AND($E21=1,JP21=0),1000,0)+IF($H21=1,(IF('計算A'!AB$117=1,INDEX('計算A'!AB$10:AB$54,$B21),0)+IF('計算A'!AC$117=1,INDEX('計算A'!AD$10:AD$54,$B21),0))*500,0)-IF(AND('計算A'!AB$117=1,UZ21&gt;0),300,0)-IF(AND($L21=1,'計算A'!AC$117=1,EB21=0),300,0))),1000000))</f>
        <v/>
      </c>
      <c r="PF21">
        <f>IF($B21=0,1000000,IF(INDEX('計算A'!$D$60:$EQ$104,$B21,27)*EB21=1,IF(AND($E21=2,JQ21=0),1000000,IF($I21&gt;0,IF(2=$J21,IF(OR(AND(27=$I21+1,OR($K21&lt;&gt;'計算A'!$A$3,'計算A'!$A$4=0)),AND(27=$I21-1,OR(3&lt;&gt;'計算A'!$A$3,'計算A'!$A$4=0))),0,IF(3=$K21,200000,ABS(3-$K21)*100)),100000+ABS(2-$J21)*1000+30)+'計算A'!AD$5*50+IF(AND($E21=1,JQ21=0),25,0),INDEX('計算A'!AD$110:AD$114,$F21+1)+IF(AND($E21=1,JQ21=0),1000,0)+IF($H21=1,(IF('計算A'!AC$117=1,INDEX('計算A'!AC$10:AC$54,$B21),0)+IF('計算A'!AD$117=1,INDEX('計算A'!AE$10:AE$54,$B21),0))*500,0)-IF(AND('計算A'!AC$117=1,VA21&gt;0),300,0)-IF(AND($L21=1,'計算A'!AD$117=1,EC21=0),300,0))),1000000))</f>
        <v/>
      </c>
      <c r="PG21">
        <f>IF($B21=0,1000000,IF(INDEX('計算A'!$D$60:$EQ$104,$B21,28)*EC21=1,IF(AND($E21=2,JR21=0),1000000,IF($I21&gt;0,IF(2=$J21,IF(OR(AND(28=$I21+1,OR($K21&lt;&gt;'計算A'!$A$3,'計算A'!$A$4=0)),AND(28=$I21-1,OR(4&lt;&gt;'計算A'!$A$3,'計算A'!$A$4=0))),0,IF(4=$K21,200000,ABS(4-$K21)*100)),100000+ABS(2-$J21)*1000+40)+'計算A'!AE$5*50+IF(AND($E21=1,JR21=0),25,0),INDEX('計算A'!AE$110:AE$114,$F21+1)+IF(AND($E21=1,JR21=0),1000,0)+IF($H21=1,(IF('計算A'!AD$117=1,INDEX('計算A'!AD$10:AD$54,$B21),0)+IF('計算A'!AE$117=1,INDEX('計算A'!AF$10:AF$54,$B21),0))*500,0)-IF(AND('計算A'!AD$117=1,VB21&gt;0),300,0)-IF(AND($L21=1,'計算A'!AE$117=1,ED21=0),300,0))),1000000))</f>
        <v/>
      </c>
      <c r="PH21">
        <f>IF($B21=0,1000000,IF(INDEX('計算A'!$D$60:$EQ$104,$B21,29)*ED21=1,IF(AND($E21=2,JS21=0),1000000,IF($I21&gt;0,IF(2=$J21,IF(OR(AND(29=$I21+1,OR($K21&lt;&gt;'計算A'!$A$3,'計算A'!$A$4=0)),AND(29=$I21-1,OR(5&lt;&gt;'計算A'!$A$3,'計算A'!$A$4=0))),0,IF(5=$K21,200000,ABS(5-$K21)*100)),100000+ABS(2-$J21)*1000+50)+'計算A'!AF$5*50+IF(AND($E21=1,JS21=0),25,0),INDEX('計算A'!AF$110:AF$114,$F21+1)+IF(AND($E21=1,JS21=0),1000,0)+IF($H21=1,(IF('計算A'!AE$117=1,INDEX('計算A'!AE$10:AE$54,$B21),0)+IF('計算A'!AF$117=1,INDEX('計算A'!AG$10:AG$54,$B21),0))*500,0)-IF(AND('計算A'!AE$117=1,VC21&gt;0),300,0)-IF(AND($L21=1,'計算A'!AF$117=1,EE21=0),300,0))),1000000))</f>
        <v/>
      </c>
      <c r="PI21">
        <f>IF($B21=0,1000000,IF(INDEX('計算A'!$D$60:$EQ$104,$B21,30)*EE21=1,IF(AND($E21=2,JT21=0),1000000,IF($I21&gt;0,IF(2=$J21,IF(OR(AND(30=$I21+1,OR($K21&lt;&gt;'計算A'!$A$3,'計算A'!$A$4=0)),AND(30=$I21-1,OR(6&lt;&gt;'計算A'!$A$3,'計算A'!$A$4=0))),0,IF(6=$K21,200000,ABS(6-$K21)*100)),100000+ABS(2-$J21)*1000+60)+'計算A'!AG$5*50+IF(AND($E21=1,JT21=0),25,0),INDEX('計算A'!AG$110:AG$114,$F21+1)+IF(AND($E21=1,JT21=0),1000,0)+IF($H21=1,(IF('計算A'!AF$117=1,INDEX('計算A'!AF$10:AF$54,$B21),0)+IF('計算A'!AG$117=1,INDEX('計算A'!AH$10:AH$54,$B21),0))*500,0)-IF(AND('計算A'!AF$117=1,VD21&gt;0),300,0)-IF(AND($L21=1,'計算A'!AG$117=1,EF21=0),300,0))),1000000))</f>
        <v/>
      </c>
      <c r="PJ21">
        <f>IF($B21=0,1000000,IF(INDEX('計算A'!$D$60:$EQ$104,$B21,31)*EF21=1,IF(AND($E21=2,JU21=0),1000000,IF($I21&gt;0,IF(2=$J21,IF(OR(AND(31=$I21+1,OR($K21&lt;&gt;'計算A'!$A$3,'計算A'!$A$4=0)),AND(31=$I21-1,OR(7&lt;&gt;'計算A'!$A$3,'計算A'!$A$4=0))),0,IF(7=$K21,200000,ABS(7-$K21)*100)),100000+ABS(2-$J21)*1000+70)+'計算A'!AH$5*50+IF(AND($E21=1,JU21=0),25,0),INDEX('計算A'!AH$110:AH$114,$F21+1)+IF(AND($E21=1,JU21=0),1000,0)+IF($H21=1,(IF('計算A'!AG$117=1,INDEX('計算A'!AG$10:AG$54,$B21),0)+IF('計算A'!AH$117=1,INDEX('計算A'!AI$10:AI$54,$B21),0))*500,0)-IF(AND('計算A'!AG$117=1,VE21&gt;0),300,0)-IF(AND($L21=1,'計算A'!AH$117=1,EG21=0),300,0))),1000000))</f>
        <v/>
      </c>
      <c r="PK21">
        <f>IF($B21=0,1000000,IF(INDEX('計算A'!$D$60:$EQ$104,$B21,32)*EG21=1,IF(AND($E21=2,JV21=0),1000000,IF($I21&gt;0,IF(2=$J21,IF(OR(AND(32=$I21+1,OR($K21&lt;&gt;'計算A'!$A$3,'計算A'!$A$4=0)),AND(32=$I21-1,OR(8&lt;&gt;'計算A'!$A$3,'計算A'!$A$4=0))),0,IF(8=$K21,200000,ABS(8-$K21)*100)),100000+ABS(2-$J21)*1000+80)+'計算A'!AI$5*50+IF(AND($E21=1,JV21=0),25,0),INDEX('計算A'!AI$110:AI$114,$F21+1)+IF(AND($E21=1,JV21=0),1000,0)+IF($H21=1,(IF('計算A'!AH$117=1,INDEX('計算A'!AH$10:AH$54,$B21),0)+IF('計算A'!AI$117=1,INDEX('計算A'!AJ$10:AJ$54,$B21),0))*500,0)-IF(AND('計算A'!AH$117=1,VF21&gt;0),300,0)-IF(AND($L21=1,'計算A'!AI$117=1,EH21=0),300,0))),1000000))</f>
        <v/>
      </c>
      <c r="PL21">
        <f>IF($B21=0,1000000,IF(INDEX('計算A'!$D$60:$EQ$104,$B21,33)*EH21=1,IF(AND($E21=2,JW21=0),1000000,IF($I21&gt;0,IF(2=$J21,IF(OR(AND(33=$I21+1,OR($K21&lt;&gt;'計算A'!$A$3,'計算A'!$A$4=0)),AND(33=$I21-1,OR(9&lt;&gt;'計算A'!$A$3,'計算A'!$A$4=0))),0,IF(9=$K21,200000,ABS(9-$K21)*100)),100000+ABS(2-$J21)*1000+90)+'計算A'!AJ$5*50+IF(AND($E21=1,JW21=0),25,0),INDEX('計算A'!AJ$110:AJ$114,$F21+1)+IF(AND($E21=1,JW21=0),1000,0)+IF($H21=1,(IF('計算A'!AI$117=1,INDEX('計算A'!AI$10:AI$54,$B21),0)+IF('計算A'!AJ$117=1,INDEX('計算A'!AK$10:AK$54,$B21),0))*500,0)-IF(AND('計算A'!AI$117=1,VG21&gt;0),300,0)-IF(AND($L21=1,'計算A'!AJ$117=1,EI21=0),300,0))),1000000))</f>
        <v/>
      </c>
      <c r="PM21">
        <f>IF($B21=0,1000000,IF(INDEX('計算A'!$D$60:$EQ$104,$B21,34)*EI21=1,IF(AND($E21=2,JX21=0),1000000,IF($I21&gt;0,IF(2=$J21,IF(OR(AND(34=$I21+1,OR($K21&lt;&gt;'計算A'!$A$3,'計算A'!$A$4=0)),AND(34=$I21-1,OR(10&lt;&gt;'計算A'!$A$3,'計算A'!$A$4=0))),0,IF(10=$K21,200000,ABS(10-$K21)*100)),100000+ABS(2-$J21)*1000+100)+'計算A'!AK$5*50+IF(AND($E21=1,JX21=0),25,0),INDEX('計算A'!AK$110:AK$114,$F21+1)+IF(AND($E21=1,JX21=0),1000,0)+IF($H21=1,(IF('計算A'!AJ$117=1,INDEX('計算A'!AJ$10:AJ$54,$B21),0)+IF('計算A'!AK$117=1,INDEX('計算A'!AL$10:AL$54,$B21),0))*500,0)-IF(AND('計算A'!AJ$117=1,VH21&gt;0),300,0)-IF(AND($L21=1,'計算A'!AK$117=1,EJ21=0),300,0))),1000000))</f>
        <v/>
      </c>
      <c r="PN21">
        <f>IF($B21=0,1000000,IF(INDEX('計算A'!$D$60:$EQ$104,$B21,35)*EJ21=1,IF(AND($E21=2,JY21=0),1000000,IF($I21&gt;0,IF(2=$J21,IF(OR(AND(35=$I21+1,OR($K21&lt;&gt;'計算A'!$A$3,'計算A'!$A$4=0)),AND(35=$I21-1,OR(11&lt;&gt;'計算A'!$A$3,'計算A'!$A$4=0))),0,IF(11=$K21,200000,ABS(11-$K21)*100)),100000+ABS(2-$J21)*1000+110)+'計算A'!AL$5*50+IF(AND($E21=1,JY21=0),25,0),INDEX('計算A'!AL$110:AL$114,$F21+1)+IF(AND($E21=1,JY21=0),1000,0)+IF($H21=1,(IF('計算A'!AK$117=1,INDEX('計算A'!AK$10:AK$54,$B21),0)+IF('計算A'!AL$117=1,INDEX('計算A'!AM$10:AM$54,$B21),0))*500,0)-IF(AND('計算A'!AK$117=1,VI21&gt;0),300,0)-IF(AND($L21=1,'計算A'!AL$117=1,EK21=0),300,0))),1000000))</f>
        <v/>
      </c>
      <c r="PO21">
        <f>IF($B21=0,1000000,IF(INDEX('計算A'!$D$60:$EQ$104,$B21,36)*EK21=1,IF(AND($E21=2,JZ21=0),1000000,IF($I21&gt;0,IF(2=$J21,IF(OR(AND(36=$I21+1,OR($K21&lt;&gt;'計算A'!$A$3,'計算A'!$A$4=0)),AND(36=$I21-1,OR(12&lt;&gt;'計算A'!$A$3,'計算A'!$A$4=0))),0,IF(12=$K21,200000,ABS(12-$K21)*100)),100000+ABS(2-$J21)*1000+120)+'計算A'!AM$5*50+IF(AND($E21=1,JZ21=0),25,0),INDEX('計算A'!AM$110:AM$114,$F21+1)+IF(AND($E21=1,JZ21=0),1000,0)+IF($H21=1,(IF('計算A'!AL$117=1,INDEX('計算A'!AL$10:AL$54,$B21),0)+IF('計算A'!AM$117=1,INDEX('計算A'!AN$10:AN$54,$B21),0))*500,0)-IF(AND('計算A'!AL$117=1,VJ21&gt;0),300,0)-IF(AND($L21=1,'計算A'!AM$117=1,EL21=0),300,0))),1000000))</f>
        <v/>
      </c>
      <c r="PP21">
        <f>IF($B21=0,1000000,IF(INDEX('計算A'!$D$60:$EQ$104,$B21,37)*EL21=1,IF(AND($E21=2,KA21=0),1000000,IF($I21&gt;0,IF(2=$J21,IF(OR(AND(37=$I21+1,OR($K21&lt;&gt;'計算A'!$A$3,'計算A'!$A$4=0)),AND(37=$I21-1,OR(13&lt;&gt;'計算A'!$A$3,'計算A'!$A$4=0))),0,IF(13=$K21,200000,ABS(13-$K21)*100)),100000+ABS(2-$J21)*1000+130)+'計算A'!AN$5*50+IF(AND($E21=1,KA21=0),25,0),INDEX('計算A'!AN$110:AN$114,$F21+1)+IF(AND($E21=1,KA21=0),1000,0)+IF($H21=1,(IF('計算A'!AM$117=1,INDEX('計算A'!AM$10:AM$54,$B21),0)+IF('計算A'!AN$117=1,INDEX('計算A'!AO$10:AO$54,$B21),0))*500,0)-IF(AND('計算A'!AM$117=1,VK21&gt;0),300,0)-IF(AND($L21=1,'計算A'!AN$117=1,EM21=0),300,0))),1000000))</f>
        <v/>
      </c>
      <c r="PQ21">
        <f>IF($B21=0,1000000,IF(INDEX('計算A'!$D$60:$EQ$104,$B21,38)*EM21=1,IF(AND($E21=2,KB21=0),1000000,IF($I21&gt;0,IF(2=$J21,IF(OR(AND(38=$I21+1,OR($K21&lt;&gt;'計算A'!$A$3,'計算A'!$A$4=0)),AND(38=$I21-1,OR(14&lt;&gt;'計算A'!$A$3,'計算A'!$A$4=0))),0,IF(14=$K21,200000,ABS(14-$K21)*100)),100000+ABS(2-$J21)*1000+140)+'計算A'!AO$5*50+IF(AND($E21=1,KB21=0),25,0),INDEX('計算A'!AO$110:AO$114,$F21+1)+IF(AND($E21=1,KB21=0),1000,0)+IF($H21=1,(IF('計算A'!AN$117=1,INDEX('計算A'!AN$10:AN$54,$B21),0)+IF('計算A'!AO$117=1,INDEX('計算A'!AP$10:AP$54,$B21),0))*500,0)-IF(AND('計算A'!AN$117=1,VL21&gt;0),300,0)-IF(AND($L21=1,'計算A'!AO$117=1,EN21=0),300,0))),1000000))</f>
        <v/>
      </c>
      <c r="PR21">
        <f>IF($B21=0,1000000,IF(INDEX('計算A'!$D$60:$EQ$104,$B21,39)*EN21=1,IF(AND($E21=2,KC21=0),1000000,IF($I21&gt;0,IF(2=$J21,IF(OR(AND(39=$I21+1,OR($K21&lt;&gt;'計算A'!$A$3,'計算A'!$A$4=0)),AND(39=$I21-1,OR(15&lt;&gt;'計算A'!$A$3,'計算A'!$A$4=0))),0,IF(15=$K21,200000,ABS(15-$K21)*100)),100000+ABS(2-$J21)*1000+150)+'計算A'!AP$5*50+IF(AND($E21=1,KC21=0),25,0),INDEX('計算A'!AP$110:AP$114,$F21+1)+IF(AND($E21=1,KC21=0),1000,0)+IF($H21=1,(IF('計算A'!AO$117=1,INDEX('計算A'!AO$10:AO$54,$B21),0)+IF('計算A'!AP$117=1,INDEX('計算A'!AQ$10:AQ$54,$B21),0))*500,0)-IF(AND('計算A'!AO$117=1,VM21&gt;0),300,0)-IF(AND($L21=1,'計算A'!AP$117=1,EO21=0),300,0))),1000000))</f>
        <v/>
      </c>
      <c r="PS21">
        <f>IF($B21=0,1000000,IF(INDEX('計算A'!$D$60:$EQ$104,$B21,40)*EO21=1,IF(AND($E21=2,KD21=0),1000000,IF($I21&gt;0,IF(2=$J21,IF(OR(AND(40=$I21+1,OR($K21&lt;&gt;'計算A'!$A$3,'計算A'!$A$4=0)),AND(40=$I21-1,OR(16&lt;&gt;'計算A'!$A$3,'計算A'!$A$4=0))),0,IF(16=$K21,200000,ABS(16-$K21)*100)),100000+ABS(2-$J21)*1000+160)+'計算A'!AQ$5*50+IF(AND($E21=1,KD21=0),25,0),INDEX('計算A'!AQ$110:AQ$114,$F21+1)+IF(AND($E21=1,KD21=0),1000,0)+IF($H21=1,(IF('計算A'!AP$117=1,INDEX('計算A'!AP$10:AP$54,$B21),0)+IF('計算A'!AQ$117=1,INDEX('計算A'!AR$10:AR$54,$B21),0))*500,0)-IF(AND('計算A'!AP$117=1,VN21&gt;0),300,0)-IF(AND($L21=1,'計算A'!AQ$117=1,EP21=0),300,0))),1000000))</f>
        <v/>
      </c>
      <c r="PT21">
        <f>IF($B21=0,1000000,IF(INDEX('計算A'!$D$60:$EQ$104,$B21,41)*EP21=1,IF(AND($E21=2,KE21=0),1000000,IF($I21&gt;0,IF(2=$J21,IF(OR(AND(41=$I21+1,OR($K21&lt;&gt;'計算A'!$A$3,'計算A'!$A$4=0)),AND(41=$I21-1,OR(17&lt;&gt;'計算A'!$A$3,'計算A'!$A$4=0))),0,IF(17=$K21,200000,ABS(17-$K21)*100)),100000+ABS(2-$J21)*1000+170)+'計算A'!AR$5*50+IF(AND($E21=1,KE21=0),25,0),INDEX('計算A'!AR$110:AR$114,$F21+1)+IF(AND($E21=1,KE21=0),1000,0)+IF($H21=1,(IF('計算A'!AQ$117=1,INDEX('計算A'!AQ$10:AQ$54,$B21),0)+IF('計算A'!AR$117=1,INDEX('計算A'!AS$10:AS$54,$B21),0))*500,0)-IF(AND('計算A'!AQ$117=1,VO21&gt;0),300,0)-IF(AND($L21=1,'計算A'!AR$117=1,EQ21=0),300,0))),1000000))</f>
        <v/>
      </c>
      <c r="PU21">
        <f>IF($B21=0,1000000,IF(INDEX('計算A'!$D$60:$EQ$104,$B21,42)*EQ21=1,IF(AND($E21=2,KF21=0),1000000,IF($I21&gt;0,IF(2=$J21,IF(OR(AND(42=$I21+1,OR($K21&lt;&gt;'計算A'!$A$3,'計算A'!$A$4=0)),AND(42=$I21-1,OR(18&lt;&gt;'計算A'!$A$3,'計算A'!$A$4=0))),0,IF(18=$K21,200000,ABS(18-$K21)*100)),100000+ABS(2-$J21)*1000+180)+'計算A'!AS$5*50+IF(AND($E21=1,KF21=0),25,0),INDEX('計算A'!AS$110:AS$114,$F21+1)+IF(AND($E21=1,KF21=0),1000,0)+IF($H21=1,(IF('計算A'!AR$117=1,INDEX('計算A'!AR$10:AR$54,$B21),0)+IF('計算A'!AS$117=1,INDEX('計算A'!AT$10:AT$54,$B21),0))*500,0)-IF(AND('計算A'!AR$117=1,VP21&gt;0),300,0)-IF(AND($L21=1,'計算A'!AS$117=1,ER21=0),300,0))),1000000))</f>
        <v/>
      </c>
      <c r="PV21">
        <f>IF($B21=0,1000000,IF(INDEX('計算A'!$D$60:$EQ$104,$B21,43)*ER21=1,IF(AND($E21=2,KG21=0),1000000,IF($I21&gt;0,IF(2=$J21,IF(OR(AND(43=$I21+1,OR($K21&lt;&gt;'計算A'!$A$3,'計算A'!$A$4=0)),AND(43=$I21-1,OR(19&lt;&gt;'計算A'!$A$3,'計算A'!$A$4=0))),0,IF(19=$K21,200000,ABS(19-$K21)*100)),100000+ABS(2-$J21)*1000+190)+'計算A'!AT$5*50+IF(AND($E21=1,KG21=0),25,0),INDEX('計算A'!AT$110:AT$114,$F21+1)+IF(AND($E21=1,KG21=0),1000,0)+IF($H21=1,(IF('計算A'!AS$117=1,INDEX('計算A'!AS$10:AS$54,$B21),0)+IF('計算A'!AT$117=1,INDEX('計算A'!AU$10:AU$54,$B21),0))*500,0)-IF(AND('計算A'!AS$117=1,VQ21&gt;0),300,0)-IF(AND($L21=1,'計算A'!AT$117=1,ES21=0),300,0))),1000000))</f>
        <v/>
      </c>
      <c r="PW21">
        <f>IF($B21=0,1000000,IF(INDEX('計算A'!$D$60:$EQ$104,$B21,44)*ES21=1,IF(AND($E21=2,KH21=0),1000000,IF($I21&gt;0,IF(2=$J21,IF(OR(AND(44=$I21+1,OR($K21&lt;&gt;'計算A'!$A$3,'計算A'!$A$4=0)),AND(44=$I21-1,OR(20&lt;&gt;'計算A'!$A$3,'計算A'!$A$4=0))),0,IF(20=$K21,200000,ABS(20-$K21)*100)),100000+ABS(2-$J21)*1000+200)+'計算A'!AU$5*50+IF(AND($E21=1,KH21=0),25,0),INDEX('計算A'!AU$110:AU$114,$F21+1)+IF(AND($E21=1,KH21=0),1000,0)+IF($H21=1,(IF('計算A'!AT$117=1,INDEX('計算A'!AT$10:AT$54,$B21),0)+IF('計算A'!AU$117=1,INDEX('計算A'!AV$10:AV$54,$B21),0))*500,0)-IF(AND('計算A'!AT$117=1,VR21&gt;0),300,0)-IF(AND($L21=1,'計算A'!AU$117=1,ET21=0),300,0))),1000000))</f>
        <v/>
      </c>
      <c r="PX21">
        <f>IF($B21=0,1000000,IF(INDEX('計算A'!$D$60:$EQ$104,$B21,45)*ET21=1,IF(AND($E21=2,KI21=0),1000000,IF($I21&gt;0,IF(2=$J21,IF(OR(AND(45=$I21+1,OR($K21&lt;&gt;'計算A'!$A$3,'計算A'!$A$4=0)),AND(45=$I21-1,OR(21&lt;&gt;'計算A'!$A$3,'計算A'!$A$4=0))),0,IF(21=$K21,200000,ABS(21-$K21)*100)),100000+ABS(2-$J21)*1000+210)+'計算A'!AV$5*50+IF(AND($E21=1,KI21=0),25,0),INDEX('計算A'!AV$110:AV$114,$F21+1)+IF(AND($E21=1,KI21=0),1000,0)+IF($H21=1,(IF('計算A'!AU$117=1,INDEX('計算A'!AU$10:AU$54,$B21),0)+IF('計算A'!AV$117=1,INDEX('計算A'!AW$10:AW$54,$B21),0))*500,0)-IF(AND('計算A'!AU$117=1,VS21&gt;0),300,0)-IF(AND($L21=1,'計算A'!AV$117=1,EU21=0),300,0))),1000000))</f>
        <v/>
      </c>
      <c r="PY21">
        <f>IF($B21=0,1000000,IF(INDEX('計算A'!$D$60:$EQ$104,$B21,46)*EU21=1,IF(AND($E21=2,KJ21=0),1000000,IF($I21&gt;0,IF(2=$J21,IF(OR(AND(46=$I21+1,OR($K21&lt;&gt;'計算A'!$A$3,'計算A'!$A$4=0)),AND(46=$I21-1,OR(22&lt;&gt;'計算A'!$A$3,'計算A'!$A$4=0))),0,IF(22=$K21,200000,ABS(22-$K21)*100)),100000+ABS(2-$J21)*1000+220)+'計算A'!AW$5*50+IF(AND($E21=1,KJ21=0),25,0),INDEX('計算A'!AW$110:AW$114,$F21+1)+IF(AND($E21=1,KJ21=0),1000,0)+IF($H21=1,(IF('計算A'!AV$117=1,INDEX('計算A'!AV$10:AV$54,$B21),0)+IF('計算A'!AW$117=1,INDEX('計算A'!AX$10:AX$54,$B21),0))*500,0)-IF(AND('計算A'!AV$117=1,VT21&gt;0),300,0)-IF(AND($L21=1,'計算A'!AW$117=1,EV21=0),300,0))),1000000))</f>
        <v/>
      </c>
      <c r="PZ21">
        <f>IF($B21=0,1000000,IF(INDEX('計算A'!$D$60:$EQ$104,$B21,47)*EV21=1,IF(AND($E21=2,KK21=0),1000000,IF($I21&gt;0,IF(2=$J21,IF(OR(AND(47=$I21+1,OR($K21&lt;&gt;'計算A'!$A$3,'計算A'!$A$4=0)),AND(47=$I21-1,OR(23&lt;&gt;'計算A'!$A$3,'計算A'!$A$4=0))),0,IF(23=$K21,200000,ABS(23-$K21)*100)),100000+ABS(2-$J21)*1000+230)+'計算A'!AX$5*50+IF(AND($E21=1,KK21=0),25,0),INDEX('計算A'!AX$110:AX$114,$F21+1)+IF(AND($E21=1,KK21=0),1000,0)+IF($H21=1,(IF('計算A'!AW$117=1,INDEX('計算A'!AW$10:AW$54,$B21),0)+IF('計算A'!AX$117=1,INDEX('計算A'!AY$10:AY$54,$B21),0))*500,0)-IF(AND('計算A'!AW$117=1,VU21&gt;0),300,0)-IF(AND($L21=1,'計算A'!AX$117=1,EW21=0),300,0))),1000000))</f>
        <v/>
      </c>
      <c r="QA21">
        <f>IF($B21=0,1000000,IF(INDEX('計算A'!$D$60:$EQ$104,$B21,48)*EW21=1,IF(AND($E21=2,KL21=0),1000000,IF($I21&gt;0,IF(2=$J21,IF(OR(AND(48=$I21+1,OR($K21&lt;&gt;'計算A'!$A$3,'計算A'!$A$4=0)),AND(48=$I21-1,OR(24&lt;&gt;'計算A'!$A$3,'計算A'!$A$4=0))),0,IF(24=$K21,200000,ABS(24-$K21)*100)),100000+ABS(2-$J21)*1000+240)+'計算A'!AY$5*50+IF(AND($E21=1,KL21=0),25,0),INDEX('計算A'!AY$110:AY$114,$F21+1)+IF(AND($E21=1,KL21=0),1000,0)+IF($H21=1,(IF('計算A'!AX$117=1,INDEX('計算A'!AX$10:AX$54,$B21),0))*500,0)-IF(AND('計算A'!AX$117=1,VV21&gt;0),300,0))),1000000))</f>
        <v/>
      </c>
      <c r="QB21">
        <f>IF($B21=0,1000000,IF(INDEX('計算A'!$D$60:$EQ$104,$B21,49)*EX21=1,IF(AND($E21=2,KM21=0),1000000,IF($I21&gt;0,IF(3=$J21,IF(OR(AND(49=$I21+1,OR($K21&lt;&gt;'計算A'!$A$3,'計算A'!$A$4=0)),AND(49=$I21-1,OR(1&lt;&gt;'計算A'!$A$3,'計算A'!$A$4=0))),0,IF(1=$K21,200000,ABS(1-$K21)*100)),100000+ABS(3-$J21)*1000+10)+'計算A'!AZ$5*50+IF(AND($E21=1,KM21=0),25,0),INDEX('計算A'!AZ$110:AZ$114,$F21+1)+IF(AND($E21=1,KM21=0),1000,0)+IF($H21=1,(IF('計算A'!AZ$117=1,INDEX('計算A'!BA$10:BA$54,$B21),0))*500,0)-IF(AND($L21=1,'計算A'!AZ$117=1,EY21=0),300,0))),1000000))</f>
        <v/>
      </c>
      <c r="QC21">
        <f>IF($B21=0,1000000,IF(INDEX('計算A'!$D$60:$EQ$104,$B21,50)*EY21=1,IF(AND($E21=2,KN21=0),1000000,IF($I21&gt;0,IF(3=$J21,IF(OR(AND(50=$I21+1,OR($K21&lt;&gt;'計算A'!$A$3,'計算A'!$A$4=0)),AND(50=$I21-1,OR(2&lt;&gt;'計算A'!$A$3,'計算A'!$A$4=0))),0,IF(2=$K21,200000,ABS(2-$K21)*100)),100000+ABS(3-$J21)*1000+20)+'計算A'!BA$5*50+IF(AND($E21=1,KN21=0),25,0),INDEX('計算A'!BA$110:BA$114,$F21+1)+IF(AND($E21=1,KN21=0),1000,0)+IF($H21=1,(IF('計算A'!AZ$117=1,INDEX('計算A'!AZ$10:AZ$54,$B21),0)+IF('計算A'!BA$117=1,INDEX('計算A'!BB$10:BB$54,$B21),0))*500,0)-IF(AND('計算A'!AZ$117=1,VX21&gt;0),300,0)-IF(AND($L21=1,'計算A'!BA$117=1,EZ21=0),300,0))),1000000))</f>
        <v/>
      </c>
      <c r="QD21">
        <f>IF($B21=0,1000000,IF(INDEX('計算A'!$D$60:$EQ$104,$B21,51)*EZ21=1,IF(AND($E21=2,KO21=0),1000000,IF($I21&gt;0,IF(3=$J21,IF(OR(AND(51=$I21+1,OR($K21&lt;&gt;'計算A'!$A$3,'計算A'!$A$4=0)),AND(51=$I21-1,OR(3&lt;&gt;'計算A'!$A$3,'計算A'!$A$4=0))),0,IF(3=$K21,200000,ABS(3-$K21)*100)),100000+ABS(3-$J21)*1000+30)+'計算A'!BB$5*50+IF(AND($E21=1,KO21=0),25,0),INDEX('計算A'!BB$110:BB$114,$F21+1)+IF(AND($E21=1,KO21=0),1000,0)+IF($H21=1,(IF('計算A'!BA$117=1,INDEX('計算A'!BA$10:BA$54,$B21),0)+IF('計算A'!BB$117=1,INDEX('計算A'!BC$10:BC$54,$B21),0))*500,0)-IF(AND('計算A'!BA$117=1,VY21&gt;0),300,0)-IF(AND($L21=1,'計算A'!BB$117=1,FA21=0),300,0))),1000000))</f>
        <v/>
      </c>
      <c r="QE21">
        <f>IF($B21=0,1000000,IF(INDEX('計算A'!$D$60:$EQ$104,$B21,52)*FA21=1,IF(AND($E21=2,KP21=0),1000000,IF($I21&gt;0,IF(3=$J21,IF(OR(AND(52=$I21+1,OR($K21&lt;&gt;'計算A'!$A$3,'計算A'!$A$4=0)),AND(52=$I21-1,OR(4&lt;&gt;'計算A'!$A$3,'計算A'!$A$4=0))),0,IF(4=$K21,200000,ABS(4-$K21)*100)),100000+ABS(3-$J21)*1000+40)+'計算A'!BC$5*50+IF(AND($E21=1,KP21=0),25,0),INDEX('計算A'!BC$110:BC$114,$F21+1)+IF(AND($E21=1,KP21=0),1000,0)+IF($H21=1,(IF('計算A'!BB$117=1,INDEX('計算A'!BB$10:BB$54,$B21),0)+IF('計算A'!BC$117=1,INDEX('計算A'!BD$10:BD$54,$B21),0))*500,0)-IF(AND('計算A'!BB$117=1,VZ21&gt;0),300,0)-IF(AND($L21=1,'計算A'!BC$117=1,FB21=0),300,0))),1000000))</f>
        <v/>
      </c>
      <c r="QF21">
        <f>IF($B21=0,1000000,IF(INDEX('計算A'!$D$60:$EQ$104,$B21,53)*FB21=1,IF(AND($E21=2,KQ21=0),1000000,IF($I21&gt;0,IF(3=$J21,IF(OR(AND(53=$I21+1,OR($K21&lt;&gt;'計算A'!$A$3,'計算A'!$A$4=0)),AND(53=$I21-1,OR(5&lt;&gt;'計算A'!$A$3,'計算A'!$A$4=0))),0,IF(5=$K21,200000,ABS(5-$K21)*100)),100000+ABS(3-$J21)*1000+50)+'計算A'!BD$5*50+IF(AND($E21=1,KQ21=0),25,0),INDEX('計算A'!BD$110:BD$114,$F21+1)+IF(AND($E21=1,KQ21=0),1000,0)+IF($H21=1,(IF('計算A'!BC$117=1,INDEX('計算A'!BC$10:BC$54,$B21),0)+IF('計算A'!BD$117=1,INDEX('計算A'!BE$10:BE$54,$B21),0))*500,0)-IF(AND('計算A'!BC$117=1,WA21&gt;0),300,0)-IF(AND($L21=1,'計算A'!BD$117=1,FC21=0),300,0))),1000000))</f>
        <v/>
      </c>
      <c r="QG21">
        <f>IF($B21=0,1000000,IF(INDEX('計算A'!$D$60:$EQ$104,$B21,54)*FC21=1,IF(AND($E21=2,KR21=0),1000000,IF($I21&gt;0,IF(3=$J21,IF(OR(AND(54=$I21+1,OR($K21&lt;&gt;'計算A'!$A$3,'計算A'!$A$4=0)),AND(54=$I21-1,OR(6&lt;&gt;'計算A'!$A$3,'計算A'!$A$4=0))),0,IF(6=$K21,200000,ABS(6-$K21)*100)),100000+ABS(3-$J21)*1000+60)+'計算A'!BE$5*50+IF(AND($E21=1,KR21=0),25,0),INDEX('計算A'!BE$110:BE$114,$F21+1)+IF(AND($E21=1,KR21=0),1000,0)+IF($H21=1,(IF('計算A'!BD$117=1,INDEX('計算A'!BD$10:BD$54,$B21),0)+IF('計算A'!BE$117=1,INDEX('計算A'!BF$10:BF$54,$B21),0))*500,0)-IF(AND('計算A'!BD$117=1,WB21&gt;0),300,0)-IF(AND($L21=1,'計算A'!BE$117=1,FD21=0),300,0))),1000000))</f>
        <v/>
      </c>
      <c r="QH21">
        <f>IF($B21=0,1000000,IF(INDEX('計算A'!$D$60:$EQ$104,$B21,55)*FD21=1,IF(AND($E21=2,KS21=0),1000000,IF($I21&gt;0,IF(3=$J21,IF(OR(AND(55=$I21+1,OR($K21&lt;&gt;'計算A'!$A$3,'計算A'!$A$4=0)),AND(55=$I21-1,OR(7&lt;&gt;'計算A'!$A$3,'計算A'!$A$4=0))),0,IF(7=$K21,200000,ABS(7-$K21)*100)),100000+ABS(3-$J21)*1000+70)+'計算A'!BF$5*50+IF(AND($E21=1,KS21=0),25,0),INDEX('計算A'!BF$110:BF$114,$F21+1)+IF(AND($E21=1,KS21=0),1000,0)+IF($H21=1,(IF('計算A'!BE$117=1,INDEX('計算A'!BE$10:BE$54,$B21),0)+IF('計算A'!BF$117=1,INDEX('計算A'!BG$10:BG$54,$B21),0))*500,0)-IF(AND('計算A'!BE$117=1,WC21&gt;0),300,0)-IF(AND($L21=1,'計算A'!BF$117=1,FE21=0),300,0))),1000000))</f>
        <v/>
      </c>
      <c r="QI21">
        <f>IF($B21=0,1000000,IF(INDEX('計算A'!$D$60:$EQ$104,$B21,56)*FE21=1,IF(AND($E21=2,KT21=0),1000000,IF($I21&gt;0,IF(3=$J21,IF(OR(AND(56=$I21+1,OR($K21&lt;&gt;'計算A'!$A$3,'計算A'!$A$4=0)),AND(56=$I21-1,OR(8&lt;&gt;'計算A'!$A$3,'計算A'!$A$4=0))),0,IF(8=$K21,200000,ABS(8-$K21)*100)),100000+ABS(3-$J21)*1000+80)+'計算A'!BG$5*50+IF(AND($E21=1,KT21=0),25,0),INDEX('計算A'!BG$110:BG$114,$F21+1)+IF(AND($E21=1,KT21=0),1000,0)+IF($H21=1,(IF('計算A'!BF$117=1,INDEX('計算A'!BF$10:BF$54,$B21),0)+IF('計算A'!BG$117=1,INDEX('計算A'!BH$10:BH$54,$B21),0))*500,0)-IF(AND('計算A'!BF$117=1,WD21&gt;0),300,0)-IF(AND($L21=1,'計算A'!BG$117=1,FF21=0),300,0))),1000000))</f>
        <v/>
      </c>
      <c r="QJ21">
        <f>IF($B21=0,1000000,IF(INDEX('計算A'!$D$60:$EQ$104,$B21,57)*FF21=1,IF(AND($E21=2,KU21=0),1000000,IF($I21&gt;0,IF(3=$J21,IF(OR(AND(57=$I21+1,OR($K21&lt;&gt;'計算A'!$A$3,'計算A'!$A$4=0)),AND(57=$I21-1,OR(9&lt;&gt;'計算A'!$A$3,'計算A'!$A$4=0))),0,IF(9=$K21,200000,ABS(9-$K21)*100)),100000+ABS(3-$J21)*1000+90)+'計算A'!BH$5*50+IF(AND($E21=1,KU21=0),25,0),INDEX('計算A'!BH$110:BH$114,$F21+1)+IF(AND($E21=1,KU21=0),1000,0)+IF($H21=1,(IF('計算A'!BG$117=1,INDEX('計算A'!BG$10:BG$54,$B21),0)+IF('計算A'!BH$117=1,INDEX('計算A'!BI$10:BI$54,$B21),0))*500,0)-IF(AND('計算A'!BG$117=1,WE21&gt;0),300,0)-IF(AND($L21=1,'計算A'!BH$117=1,FG21=0),300,0))),1000000))</f>
        <v/>
      </c>
      <c r="QK21">
        <f>IF($B21=0,1000000,IF(INDEX('計算A'!$D$60:$EQ$104,$B21,58)*FG21=1,IF(AND($E21=2,KV21=0),1000000,IF($I21&gt;0,IF(3=$J21,IF(OR(AND(58=$I21+1,OR($K21&lt;&gt;'計算A'!$A$3,'計算A'!$A$4=0)),AND(58=$I21-1,OR(10&lt;&gt;'計算A'!$A$3,'計算A'!$A$4=0))),0,IF(10=$K21,200000,ABS(10-$K21)*100)),100000+ABS(3-$J21)*1000+100)+'計算A'!BI$5*50+IF(AND($E21=1,KV21=0),25,0),INDEX('計算A'!BI$110:BI$114,$F21+1)+IF(AND($E21=1,KV21=0),1000,0)+IF($H21=1,(IF('計算A'!BH$117=1,INDEX('計算A'!BH$10:BH$54,$B21),0)+IF('計算A'!BI$117=1,INDEX('計算A'!BJ$10:BJ$54,$B21),0))*500,0)-IF(AND('計算A'!BH$117=1,WF21&gt;0),300,0)-IF(AND($L21=1,'計算A'!BI$117=1,FH21=0),300,0))),1000000))</f>
        <v/>
      </c>
      <c r="QL21">
        <f>IF($B21=0,1000000,IF(INDEX('計算A'!$D$60:$EQ$104,$B21,59)*FH21=1,IF(AND($E21=2,KW21=0),1000000,IF($I21&gt;0,IF(3=$J21,IF(OR(AND(59=$I21+1,OR($K21&lt;&gt;'計算A'!$A$3,'計算A'!$A$4=0)),AND(59=$I21-1,OR(11&lt;&gt;'計算A'!$A$3,'計算A'!$A$4=0))),0,IF(11=$K21,200000,ABS(11-$K21)*100)),100000+ABS(3-$J21)*1000+110)+'計算A'!BJ$5*50+IF(AND($E21=1,KW21=0),25,0),INDEX('計算A'!BJ$110:BJ$114,$F21+1)+IF(AND($E21=1,KW21=0),1000,0)+IF($H21=1,(IF('計算A'!BI$117=1,INDEX('計算A'!BI$10:BI$54,$B21),0)+IF('計算A'!BJ$117=1,INDEX('計算A'!BK$10:BK$54,$B21),0))*500,0)-IF(AND('計算A'!BI$117=1,WG21&gt;0),300,0)-IF(AND($L21=1,'計算A'!BJ$117=1,FI21=0),300,0))),1000000))</f>
        <v/>
      </c>
      <c r="QM21">
        <f>IF($B21=0,1000000,IF(INDEX('計算A'!$D$60:$EQ$104,$B21,60)*FI21=1,IF(AND($E21=2,KX21=0),1000000,IF($I21&gt;0,IF(3=$J21,IF(OR(AND(60=$I21+1,OR($K21&lt;&gt;'計算A'!$A$3,'計算A'!$A$4=0)),AND(60=$I21-1,OR(12&lt;&gt;'計算A'!$A$3,'計算A'!$A$4=0))),0,IF(12=$K21,200000,ABS(12-$K21)*100)),100000+ABS(3-$J21)*1000+120)+'計算A'!BK$5*50+IF(AND($E21=1,KX21=0),25,0),INDEX('計算A'!BK$110:BK$114,$F21+1)+IF(AND($E21=1,KX21=0),1000,0)+IF($H21=1,(IF('計算A'!BJ$117=1,INDEX('計算A'!BJ$10:BJ$54,$B21),0)+IF('計算A'!BK$117=1,INDEX('計算A'!BL$10:BL$54,$B21),0))*500,0)-IF(AND('計算A'!BJ$117=1,WH21&gt;0),300,0)-IF(AND($L21=1,'計算A'!BK$117=1,FJ21=0),300,0))),1000000))</f>
        <v/>
      </c>
      <c r="QN21">
        <f>IF($B21=0,1000000,IF(INDEX('計算A'!$D$60:$EQ$104,$B21,61)*FJ21=1,IF(AND($E21=2,KY21=0),1000000,IF($I21&gt;0,IF(3=$J21,IF(OR(AND(61=$I21+1,OR($K21&lt;&gt;'計算A'!$A$3,'計算A'!$A$4=0)),AND(61=$I21-1,OR(13&lt;&gt;'計算A'!$A$3,'計算A'!$A$4=0))),0,IF(13=$K21,200000,ABS(13-$K21)*100)),100000+ABS(3-$J21)*1000+130)+'計算A'!BL$5*50+IF(AND($E21=1,KY21=0),25,0),INDEX('計算A'!BL$110:BL$114,$F21+1)+IF(AND($E21=1,KY21=0),1000,0)+IF($H21=1,(IF('計算A'!BK$117=1,INDEX('計算A'!BK$10:BK$54,$B21),0)+IF('計算A'!BL$117=1,INDEX('計算A'!BM$10:BM$54,$B21),0))*500,0)-IF(AND('計算A'!BK$117=1,WI21&gt;0),300,0)-IF(AND($L21=1,'計算A'!BL$117=1,FK21=0),300,0))),1000000))</f>
        <v/>
      </c>
      <c r="QO21">
        <f>IF($B21=0,1000000,IF(INDEX('計算A'!$D$60:$EQ$104,$B21,62)*FK21=1,IF(AND($E21=2,KZ21=0),1000000,IF($I21&gt;0,IF(3=$J21,IF(OR(AND(62=$I21+1,OR($K21&lt;&gt;'計算A'!$A$3,'計算A'!$A$4=0)),AND(62=$I21-1,OR(14&lt;&gt;'計算A'!$A$3,'計算A'!$A$4=0))),0,IF(14=$K21,200000,ABS(14-$K21)*100)),100000+ABS(3-$J21)*1000+140)+'計算A'!BM$5*50+IF(AND($E21=1,KZ21=0),25,0),INDEX('計算A'!BM$110:BM$114,$F21+1)+IF(AND($E21=1,KZ21=0),1000,0)+IF($H21=1,(IF('計算A'!BL$117=1,INDEX('計算A'!BL$10:BL$54,$B21),0)+IF('計算A'!BM$117=1,INDEX('計算A'!BN$10:BN$54,$B21),0))*500,0)-IF(AND('計算A'!BL$117=1,WJ21&gt;0),300,0)-IF(AND($L21=1,'計算A'!BM$117=1,FL21=0),300,0))),1000000))</f>
        <v/>
      </c>
      <c r="QP21">
        <f>IF($B21=0,1000000,IF(INDEX('計算A'!$D$60:$EQ$104,$B21,63)*FL21=1,IF(AND($E21=2,LA21=0),1000000,IF($I21&gt;0,IF(3=$J21,IF(OR(AND(63=$I21+1,OR($K21&lt;&gt;'計算A'!$A$3,'計算A'!$A$4=0)),AND(63=$I21-1,OR(15&lt;&gt;'計算A'!$A$3,'計算A'!$A$4=0))),0,IF(15=$K21,200000,ABS(15-$K21)*100)),100000+ABS(3-$J21)*1000+150)+'計算A'!BN$5*50+IF(AND($E21=1,LA21=0),25,0),INDEX('計算A'!BN$110:BN$114,$F21+1)+IF(AND($E21=1,LA21=0),1000,0)+IF($H21=1,(IF('計算A'!BM$117=1,INDEX('計算A'!BM$10:BM$54,$B21),0)+IF('計算A'!BN$117=1,INDEX('計算A'!BO$10:BO$54,$B21),0))*500,0)-IF(AND('計算A'!BM$117=1,WK21&gt;0),300,0)-IF(AND($L21=1,'計算A'!BN$117=1,FM21=0),300,0))),1000000))</f>
        <v/>
      </c>
      <c r="QQ21">
        <f>IF($B21=0,1000000,IF(INDEX('計算A'!$D$60:$EQ$104,$B21,64)*FM21=1,IF(AND($E21=2,LB21=0),1000000,IF($I21&gt;0,IF(3=$J21,IF(OR(AND(64=$I21+1,OR($K21&lt;&gt;'計算A'!$A$3,'計算A'!$A$4=0)),AND(64=$I21-1,OR(16&lt;&gt;'計算A'!$A$3,'計算A'!$A$4=0))),0,IF(16=$K21,200000,ABS(16-$K21)*100)),100000+ABS(3-$J21)*1000+160)+'計算A'!BO$5*50+IF(AND($E21=1,LB21=0),25,0),INDEX('計算A'!BO$110:BO$114,$F21+1)+IF(AND($E21=1,LB21=0),1000,0)+IF($H21=1,(IF('計算A'!BN$117=1,INDEX('計算A'!BN$10:BN$54,$B21),0)+IF('計算A'!BO$117=1,INDEX('計算A'!BP$10:BP$54,$B21),0))*500,0)-IF(AND('計算A'!BN$117=1,WL21&gt;0),300,0)-IF(AND($L21=1,'計算A'!BO$117=1,FN21=0),300,0))),1000000))</f>
        <v/>
      </c>
      <c r="QR21">
        <f>IF($B21=0,1000000,IF(INDEX('計算A'!$D$60:$EQ$104,$B21,65)*FN21=1,IF(AND($E21=2,LC21=0),1000000,IF($I21&gt;0,IF(3=$J21,IF(OR(AND(65=$I21+1,OR($K21&lt;&gt;'計算A'!$A$3,'計算A'!$A$4=0)),AND(65=$I21-1,OR(17&lt;&gt;'計算A'!$A$3,'計算A'!$A$4=0))),0,IF(17=$K21,200000,ABS(17-$K21)*100)),100000+ABS(3-$J21)*1000+170)+'計算A'!BP$5*50+IF(AND($E21=1,LC21=0),25,0),INDEX('計算A'!BP$110:BP$114,$F21+1)+IF(AND($E21=1,LC21=0),1000,0)+IF($H21=1,(IF('計算A'!BO$117=1,INDEX('計算A'!BO$10:BO$54,$B21),0)+IF('計算A'!BP$117=1,INDEX('計算A'!BQ$10:BQ$54,$B21),0))*500,0)-IF(AND('計算A'!BO$117=1,WM21&gt;0),300,0)-IF(AND($L21=1,'計算A'!BP$117=1,FO21=0),300,0))),1000000))</f>
        <v/>
      </c>
      <c r="QS21">
        <f>IF($B21=0,1000000,IF(INDEX('計算A'!$D$60:$EQ$104,$B21,66)*FO21=1,IF(AND($E21=2,LD21=0),1000000,IF($I21&gt;0,IF(3=$J21,IF(OR(AND(66=$I21+1,OR($K21&lt;&gt;'計算A'!$A$3,'計算A'!$A$4=0)),AND(66=$I21-1,OR(18&lt;&gt;'計算A'!$A$3,'計算A'!$A$4=0))),0,IF(18=$K21,200000,ABS(18-$K21)*100)),100000+ABS(3-$J21)*1000+180)+'計算A'!BQ$5*50+IF(AND($E21=1,LD21=0),25,0),INDEX('計算A'!BQ$110:BQ$114,$F21+1)+IF(AND($E21=1,LD21=0),1000,0)+IF($H21=1,(IF('計算A'!BP$117=1,INDEX('計算A'!BP$10:BP$54,$B21),0)+IF('計算A'!BQ$117=1,INDEX('計算A'!BR$10:BR$54,$B21),0))*500,0)-IF(AND('計算A'!BP$117=1,WN21&gt;0),300,0)-IF(AND($L21=1,'計算A'!BQ$117=1,FP21=0),300,0))),1000000))</f>
        <v/>
      </c>
      <c r="QT21">
        <f>IF($B21=0,1000000,IF(INDEX('計算A'!$D$60:$EQ$104,$B21,67)*FP21=1,IF(AND($E21=2,LE21=0),1000000,IF($I21&gt;0,IF(3=$J21,IF(OR(AND(67=$I21+1,OR($K21&lt;&gt;'計算A'!$A$3,'計算A'!$A$4=0)),AND(67=$I21-1,OR(19&lt;&gt;'計算A'!$A$3,'計算A'!$A$4=0))),0,IF(19=$K21,200000,ABS(19-$K21)*100)),100000+ABS(3-$J21)*1000+190)+'計算A'!BR$5*50+IF(AND($E21=1,LE21=0),25,0),INDEX('計算A'!BR$110:BR$114,$F21+1)+IF(AND($E21=1,LE21=0),1000,0)+IF($H21=1,(IF('計算A'!BQ$117=1,INDEX('計算A'!BQ$10:BQ$54,$B21),0)+IF('計算A'!BR$117=1,INDEX('計算A'!BS$10:BS$54,$B21),0))*500,0)-IF(AND('計算A'!BQ$117=1,WO21&gt;0),300,0)-IF(AND($L21=1,'計算A'!BR$117=1,FQ21=0),300,0))),1000000))</f>
        <v/>
      </c>
      <c r="QU21">
        <f>IF($B21=0,1000000,IF(INDEX('計算A'!$D$60:$EQ$104,$B21,68)*FQ21=1,IF(AND($E21=2,LF21=0),1000000,IF($I21&gt;0,IF(3=$J21,IF(OR(AND(68=$I21+1,OR($K21&lt;&gt;'計算A'!$A$3,'計算A'!$A$4=0)),AND(68=$I21-1,OR(20&lt;&gt;'計算A'!$A$3,'計算A'!$A$4=0))),0,IF(20=$K21,200000,ABS(20-$K21)*100)),100000+ABS(3-$J21)*1000+200)+'計算A'!BS$5*50+IF(AND($E21=1,LF21=0),25,0),INDEX('計算A'!BS$110:BS$114,$F21+1)+IF(AND($E21=1,LF21=0),1000,0)+IF($H21=1,(IF('計算A'!BR$117=1,INDEX('計算A'!BR$10:BR$54,$B21),0)+IF('計算A'!BS$117=1,INDEX('計算A'!BT$10:BT$54,$B21),0))*500,0)-IF(AND('計算A'!BR$117=1,WP21&gt;0),300,0)-IF(AND($L21=1,'計算A'!BS$117=1,FR21=0),300,0))),1000000))</f>
        <v/>
      </c>
      <c r="QV21">
        <f>IF($B21=0,1000000,IF(INDEX('計算A'!$D$60:$EQ$104,$B21,69)*FR21=1,IF(AND($E21=2,LG21=0),1000000,IF($I21&gt;0,IF(3=$J21,IF(OR(AND(69=$I21+1,OR($K21&lt;&gt;'計算A'!$A$3,'計算A'!$A$4=0)),AND(69=$I21-1,OR(21&lt;&gt;'計算A'!$A$3,'計算A'!$A$4=0))),0,IF(21=$K21,200000,ABS(21-$K21)*100)),100000+ABS(3-$J21)*1000+210)+'計算A'!BT$5*50+IF(AND($E21=1,LG21=0),25,0),INDEX('計算A'!BT$110:BT$114,$F21+1)+IF(AND($E21=1,LG21=0),1000,0)+IF($H21=1,(IF('計算A'!BS$117=1,INDEX('計算A'!BS$10:BS$54,$B21),0)+IF('計算A'!BT$117=1,INDEX('計算A'!BU$10:BU$54,$B21),0))*500,0)-IF(AND('計算A'!BS$117=1,WQ21&gt;0),300,0)-IF(AND($L21=1,'計算A'!BT$117=1,FS21=0),300,0))),1000000))</f>
        <v/>
      </c>
      <c r="QW21">
        <f>IF($B21=0,1000000,IF(INDEX('計算A'!$D$60:$EQ$104,$B21,70)*FS21=1,IF(AND($E21=2,LH21=0),1000000,IF($I21&gt;0,IF(3=$J21,IF(OR(AND(70=$I21+1,OR($K21&lt;&gt;'計算A'!$A$3,'計算A'!$A$4=0)),AND(70=$I21-1,OR(22&lt;&gt;'計算A'!$A$3,'計算A'!$A$4=0))),0,IF(22=$K21,200000,ABS(22-$K21)*100)),100000+ABS(3-$J21)*1000+220)+'計算A'!BU$5*50+IF(AND($E21=1,LH21=0),25,0),INDEX('計算A'!BU$110:BU$114,$F21+1)+IF(AND($E21=1,LH21=0),1000,0)+IF($H21=1,(IF('計算A'!BT$117=1,INDEX('計算A'!BT$10:BT$54,$B21),0)+IF('計算A'!BU$117=1,INDEX('計算A'!BV$10:BV$54,$B21),0))*500,0)-IF(AND('計算A'!BT$117=1,WR21&gt;0),300,0)-IF(AND($L21=1,'計算A'!BU$117=1,FT21=0),300,0))),1000000))</f>
        <v/>
      </c>
      <c r="QX21">
        <f>IF($B21=0,1000000,IF(INDEX('計算A'!$D$60:$EQ$104,$B21,71)*FT21=1,IF(AND($E21=2,LI21=0),1000000,IF($I21&gt;0,IF(3=$J21,IF(OR(AND(71=$I21+1,OR($K21&lt;&gt;'計算A'!$A$3,'計算A'!$A$4=0)),AND(71=$I21-1,OR(23&lt;&gt;'計算A'!$A$3,'計算A'!$A$4=0))),0,IF(23=$K21,200000,ABS(23-$K21)*100)),100000+ABS(3-$J21)*1000+230)+'計算A'!BV$5*50+IF(AND($E21=1,LI21=0),25,0),INDEX('計算A'!BV$110:BV$114,$F21+1)+IF(AND($E21=1,LI21=0),1000,0)+IF($H21=1,(IF('計算A'!BU$117=1,INDEX('計算A'!BU$10:BU$54,$B21),0)+IF('計算A'!BV$117=1,INDEX('計算A'!BW$10:BW$54,$B21),0))*500,0)-IF(AND('計算A'!BU$117=1,WS21&gt;0),300,0)-IF(AND($L21=1,'計算A'!BV$117=1,FU21=0),300,0))),1000000))</f>
        <v/>
      </c>
      <c r="QY21">
        <f>IF($B21=0,1000000,IF(INDEX('計算A'!$D$60:$EQ$104,$B21,72)*FU21=1,IF(AND($E21=2,LJ21=0),1000000,IF($I21&gt;0,IF(3=$J21,IF(OR(AND(72=$I21+1,OR($K21&lt;&gt;'計算A'!$A$3,'計算A'!$A$4=0)),AND(72=$I21-1,OR(24&lt;&gt;'計算A'!$A$3,'計算A'!$A$4=0))),0,IF(24=$K21,200000,ABS(24-$K21)*100)),100000+ABS(3-$J21)*1000+240)+'計算A'!BW$5*50+IF(AND($E21=1,LJ21=0),25,0),INDEX('計算A'!BW$110:BW$114,$F21+1)+IF(AND($E21=1,LJ21=0),1000,0)+IF($H21=1,(IF('計算A'!BV$117=1,INDEX('計算A'!BV$10:BV$54,$B21),0))*500,0)-IF(AND('計算A'!BV$117=1,WT21&gt;0),300,0))),1000000))</f>
        <v/>
      </c>
      <c r="QZ21">
        <f>IF($B21=0,1000000,IF(INDEX('計算A'!$D$60:$EQ$104,$B21,73)*FV21=1,IF(AND($E21=2,LK21=0),1000000,IF($I21&gt;0,IF(4=$J21,IF(OR(AND(73=$I21+1,OR($K21&lt;&gt;'計算A'!$A$3,'計算A'!$A$4=0)),AND(73=$I21-1,OR(1&lt;&gt;'計算A'!$A$3,'計算A'!$A$4=0))),0,IF(1=$K21,200000,ABS(1-$K21)*100)),100000+ABS(4-$J21)*1000+10)+'計算A'!BX$5*50+IF(AND($E21=1,LK21=0),25,0),INDEX('計算A'!BX$110:BX$114,$F21+1)+IF(AND($E21=1,LK21=0),1000,0)+IF($H21=1,(IF('計算A'!BX$117=1,INDEX('計算A'!BY$10:BY$54,$B21),0))*500,0)-IF(AND($L21=1,'計算A'!BX$117=1,FW21=0),300,0))),1000000))</f>
        <v/>
      </c>
      <c r="RA21">
        <f>IF($B21=0,1000000,IF(INDEX('計算A'!$D$60:$EQ$104,$B21,74)*FW21=1,IF(AND($E21=2,LL21=0),1000000,IF($I21&gt;0,IF(4=$J21,IF(OR(AND(74=$I21+1,OR($K21&lt;&gt;'計算A'!$A$3,'計算A'!$A$4=0)),AND(74=$I21-1,OR(2&lt;&gt;'計算A'!$A$3,'計算A'!$A$4=0))),0,IF(2=$K21,200000,ABS(2-$K21)*100)),100000+ABS(4-$J21)*1000+20)+'計算A'!BY$5*50+IF(AND($E21=1,LL21=0),25,0),INDEX('計算A'!BY$110:BY$114,$F21+1)+IF(AND($E21=1,LL21=0),1000,0)+IF($H21=1,(IF('計算A'!BX$117=1,INDEX('計算A'!BX$10:BX$54,$B21),0)+IF('計算A'!BY$117=1,INDEX('計算A'!BZ$10:BZ$54,$B21),0))*500,0)-IF(AND('計算A'!BX$117=1,WV21&gt;0),300,0)-IF(AND($L21=1,'計算A'!BY$117=1,FX21=0),300,0))),1000000))</f>
        <v/>
      </c>
      <c r="RB21">
        <f>IF($B21=0,1000000,IF(INDEX('計算A'!$D$60:$EQ$104,$B21,75)*FX21=1,IF(AND($E21=2,LM21=0),1000000,IF($I21&gt;0,IF(4=$J21,IF(OR(AND(75=$I21+1,OR($K21&lt;&gt;'計算A'!$A$3,'計算A'!$A$4=0)),AND(75=$I21-1,OR(3&lt;&gt;'計算A'!$A$3,'計算A'!$A$4=0))),0,IF(3=$K21,200000,ABS(3-$K21)*100)),100000+ABS(4-$J21)*1000+30)+'計算A'!BZ$5*50+IF(AND($E21=1,LM21=0),25,0),INDEX('計算A'!BZ$110:BZ$114,$F21+1)+IF(AND($E21=1,LM21=0),1000,0)+IF($H21=1,(IF('計算A'!BY$117=1,INDEX('計算A'!BY$10:BY$54,$B21),0)+IF('計算A'!BZ$117=1,INDEX('計算A'!CA$10:CA$54,$B21),0))*500,0)-IF(AND('計算A'!BY$117=1,WW21&gt;0),300,0)-IF(AND($L21=1,'計算A'!BZ$117=1,FY21=0),300,0))),1000000))</f>
        <v/>
      </c>
      <c r="RC21">
        <f>IF($B21=0,1000000,IF(INDEX('計算A'!$D$60:$EQ$104,$B21,76)*FY21=1,IF(AND($E21=2,LN21=0),1000000,IF($I21&gt;0,IF(4=$J21,IF(OR(AND(76=$I21+1,OR($K21&lt;&gt;'計算A'!$A$3,'計算A'!$A$4=0)),AND(76=$I21-1,OR(4&lt;&gt;'計算A'!$A$3,'計算A'!$A$4=0))),0,IF(4=$K21,200000,ABS(4-$K21)*100)),100000+ABS(4-$J21)*1000+40)+'計算A'!CA$5*50+IF(AND($E21=1,LN21=0),25,0),INDEX('計算A'!CA$110:CA$114,$F21+1)+IF(AND($E21=1,LN21=0),1000,0)+IF($H21=1,(IF('計算A'!BZ$117=1,INDEX('計算A'!BZ$10:BZ$54,$B21),0)+IF('計算A'!CA$117=1,INDEX('計算A'!CB$10:CB$54,$B21),0))*500,0)-IF(AND('計算A'!BZ$117=1,WX21&gt;0),300,0)-IF(AND($L21=1,'計算A'!CA$117=1,FZ21=0),300,0))),1000000))</f>
        <v/>
      </c>
      <c r="RD21">
        <f>IF($B21=0,1000000,IF(INDEX('計算A'!$D$60:$EQ$104,$B21,77)*FZ21=1,IF(AND($E21=2,LO21=0),1000000,IF($I21&gt;0,IF(4=$J21,IF(OR(AND(77=$I21+1,OR($K21&lt;&gt;'計算A'!$A$3,'計算A'!$A$4=0)),AND(77=$I21-1,OR(5&lt;&gt;'計算A'!$A$3,'計算A'!$A$4=0))),0,IF(5=$K21,200000,ABS(5-$K21)*100)),100000+ABS(4-$J21)*1000+50)+'計算A'!CB$5*50+IF(AND($E21=1,LO21=0),25,0),INDEX('計算A'!CB$110:CB$114,$F21+1)+IF(AND($E21=1,LO21=0),1000,0)+IF($H21=1,(IF('計算A'!CA$117=1,INDEX('計算A'!CA$10:CA$54,$B21),0)+IF('計算A'!CB$117=1,INDEX('計算A'!CC$10:CC$54,$B21),0))*500,0)-IF(AND('計算A'!CA$117=1,WY21&gt;0),300,0)-IF(AND($L21=1,'計算A'!CB$117=1,GA21=0),300,0))),1000000))</f>
        <v/>
      </c>
      <c r="RE21">
        <f>IF($B21=0,1000000,IF(INDEX('計算A'!$D$60:$EQ$104,$B21,78)*GA21=1,IF(AND($E21=2,LP21=0),1000000,IF($I21&gt;0,IF(4=$J21,IF(OR(AND(78=$I21+1,OR($K21&lt;&gt;'計算A'!$A$3,'計算A'!$A$4=0)),AND(78=$I21-1,OR(6&lt;&gt;'計算A'!$A$3,'計算A'!$A$4=0))),0,IF(6=$K21,200000,ABS(6-$K21)*100)),100000+ABS(4-$J21)*1000+60)+'計算A'!CC$5*50+IF(AND($E21=1,LP21=0),25,0),INDEX('計算A'!CC$110:CC$114,$F21+1)+IF(AND($E21=1,LP21=0),1000,0)+IF($H21=1,(IF('計算A'!CB$117=1,INDEX('計算A'!CB$10:CB$54,$B21),0)+IF('計算A'!CC$117=1,INDEX('計算A'!CD$10:CD$54,$B21),0))*500,0)-IF(AND('計算A'!CB$117=1,WZ21&gt;0),300,0)-IF(AND($L21=1,'計算A'!CC$117=1,GB21=0),300,0))),1000000))</f>
        <v/>
      </c>
      <c r="RF21">
        <f>IF($B21=0,1000000,IF(INDEX('計算A'!$D$60:$EQ$104,$B21,79)*GB21=1,IF(AND($E21=2,LQ21=0),1000000,IF($I21&gt;0,IF(4=$J21,IF(OR(AND(79=$I21+1,OR($K21&lt;&gt;'計算A'!$A$3,'計算A'!$A$4=0)),AND(79=$I21-1,OR(7&lt;&gt;'計算A'!$A$3,'計算A'!$A$4=0))),0,IF(7=$K21,200000,ABS(7-$K21)*100)),100000+ABS(4-$J21)*1000+70)+'計算A'!CD$5*50+IF(AND($E21=1,LQ21=0),25,0),INDEX('計算A'!CD$110:CD$114,$F21+1)+IF(AND($E21=1,LQ21=0),1000,0)+IF($H21=1,(IF('計算A'!CC$117=1,INDEX('計算A'!CC$10:CC$54,$B21),0)+IF('計算A'!CD$117=1,INDEX('計算A'!CE$10:CE$54,$B21),0))*500,0)-IF(AND('計算A'!CC$117=1,XA21&gt;0),300,0)-IF(AND($L21=1,'計算A'!CD$117=1,GC21=0),300,0))),1000000))</f>
        <v/>
      </c>
      <c r="RG21">
        <f>IF($B21=0,1000000,IF(INDEX('計算A'!$D$60:$EQ$104,$B21,80)*GC21=1,IF(AND($E21=2,LR21=0),1000000,IF($I21&gt;0,IF(4=$J21,IF(OR(AND(80=$I21+1,OR($K21&lt;&gt;'計算A'!$A$3,'計算A'!$A$4=0)),AND(80=$I21-1,OR(8&lt;&gt;'計算A'!$A$3,'計算A'!$A$4=0))),0,IF(8=$K21,200000,ABS(8-$K21)*100)),100000+ABS(4-$J21)*1000+80)+'計算A'!CE$5*50+IF(AND($E21=1,LR21=0),25,0),INDEX('計算A'!CE$110:CE$114,$F21+1)+IF(AND($E21=1,LR21=0),1000,0)+IF($H21=1,(IF('計算A'!CD$117=1,INDEX('計算A'!CD$10:CD$54,$B21),0)+IF('計算A'!CE$117=1,INDEX('計算A'!CF$10:CF$54,$B21),0))*500,0)-IF(AND('計算A'!CD$117=1,XB21&gt;0),300,0)-IF(AND($L21=1,'計算A'!CE$117=1,GD21=0),300,0))),1000000))</f>
        <v/>
      </c>
      <c r="RH21">
        <f>IF($B21=0,1000000,IF(INDEX('計算A'!$D$60:$EQ$104,$B21,81)*GD21=1,IF(AND($E21=2,LS21=0),1000000,IF($I21&gt;0,IF(4=$J21,IF(OR(AND(81=$I21+1,OR($K21&lt;&gt;'計算A'!$A$3,'計算A'!$A$4=0)),AND(81=$I21-1,OR(9&lt;&gt;'計算A'!$A$3,'計算A'!$A$4=0))),0,IF(9=$K21,200000,ABS(9-$K21)*100)),100000+ABS(4-$J21)*1000+90)+'計算A'!CF$5*50+IF(AND($E21=1,LS21=0),25,0),INDEX('計算A'!CF$110:CF$114,$F21+1)+IF(AND($E21=1,LS21=0),1000,0)+IF($H21=1,(IF('計算A'!CE$117=1,INDEX('計算A'!CE$10:CE$54,$B21),0)+IF('計算A'!CF$117=1,INDEX('計算A'!CG$10:CG$54,$B21),0))*500,0)-IF(AND('計算A'!CE$117=1,XC21&gt;0),300,0)-IF(AND($L21=1,'計算A'!CF$117=1,GE21=0),300,0))),1000000))</f>
        <v/>
      </c>
      <c r="RI21">
        <f>IF($B21=0,1000000,IF(INDEX('計算A'!$D$60:$EQ$104,$B21,82)*GE21=1,IF(AND($E21=2,LT21=0),1000000,IF($I21&gt;0,IF(4=$J21,IF(OR(AND(82=$I21+1,OR($K21&lt;&gt;'計算A'!$A$3,'計算A'!$A$4=0)),AND(82=$I21-1,OR(10&lt;&gt;'計算A'!$A$3,'計算A'!$A$4=0))),0,IF(10=$K21,200000,ABS(10-$K21)*100)),100000+ABS(4-$J21)*1000+100)+'計算A'!CG$5*50+IF(AND($E21=1,LT21=0),25,0),INDEX('計算A'!CG$110:CG$114,$F21+1)+IF(AND($E21=1,LT21=0),1000,0)+IF($H21=1,(IF('計算A'!CF$117=1,INDEX('計算A'!CF$10:CF$54,$B21),0)+IF('計算A'!CG$117=1,INDEX('計算A'!CH$10:CH$54,$B21),0))*500,0)-IF(AND('計算A'!CF$117=1,XD21&gt;0),300,0)-IF(AND($L21=1,'計算A'!CG$117=1,GF21=0),300,0))),1000000))</f>
        <v/>
      </c>
      <c r="RJ21">
        <f>IF($B21=0,1000000,IF(INDEX('計算A'!$D$60:$EQ$104,$B21,83)*GF21=1,IF(AND($E21=2,LU21=0),1000000,IF($I21&gt;0,IF(4=$J21,IF(OR(AND(83=$I21+1,OR($K21&lt;&gt;'計算A'!$A$3,'計算A'!$A$4=0)),AND(83=$I21-1,OR(11&lt;&gt;'計算A'!$A$3,'計算A'!$A$4=0))),0,IF(11=$K21,200000,ABS(11-$K21)*100)),100000+ABS(4-$J21)*1000+110)+'計算A'!CH$5*50+IF(AND($E21=1,LU21=0),25,0),INDEX('計算A'!CH$110:CH$114,$F21+1)+IF(AND($E21=1,LU21=0),1000,0)+IF($H21=1,(IF('計算A'!CG$117=1,INDEX('計算A'!CG$10:CG$54,$B21),0)+IF('計算A'!CH$117=1,INDEX('計算A'!CI$10:CI$54,$B21),0))*500,0)-IF(AND('計算A'!CG$117=1,XE21&gt;0),300,0)-IF(AND($L21=1,'計算A'!CH$117=1,GG21=0),300,0))),1000000))</f>
        <v/>
      </c>
      <c r="RK21">
        <f>IF($B21=0,1000000,IF(INDEX('計算A'!$D$60:$EQ$104,$B21,84)*GG21=1,IF(AND($E21=2,LV21=0),1000000,IF($I21&gt;0,IF(4=$J21,IF(OR(AND(84=$I21+1,OR($K21&lt;&gt;'計算A'!$A$3,'計算A'!$A$4=0)),AND(84=$I21-1,OR(12&lt;&gt;'計算A'!$A$3,'計算A'!$A$4=0))),0,IF(12=$K21,200000,ABS(12-$K21)*100)),100000+ABS(4-$J21)*1000+120)+'計算A'!CI$5*50+IF(AND($E21=1,LV21=0),25,0),INDEX('計算A'!CI$110:CI$114,$F21+1)+IF(AND($E21=1,LV21=0),1000,0)+IF($H21=1,(IF('計算A'!CH$117=1,INDEX('計算A'!CH$10:CH$54,$B21),0)+IF('計算A'!CI$117=1,INDEX('計算A'!CJ$10:CJ$54,$B21),0))*500,0)-IF(AND('計算A'!CH$117=1,XF21&gt;0),300,0)-IF(AND($L21=1,'計算A'!CI$117=1,GH21=0),300,0))),1000000))</f>
        <v/>
      </c>
      <c r="RL21">
        <f>IF($B21=0,1000000,IF(INDEX('計算A'!$D$60:$EQ$104,$B21,85)*GH21=1,IF(AND($E21=2,LW21=0),1000000,IF($I21&gt;0,IF(4=$J21,IF(OR(AND(85=$I21+1,OR($K21&lt;&gt;'計算A'!$A$3,'計算A'!$A$4=0)),AND(85=$I21-1,OR(13&lt;&gt;'計算A'!$A$3,'計算A'!$A$4=0))),0,IF(13=$K21,200000,ABS(13-$K21)*100)),100000+ABS(4-$J21)*1000+130)+'計算A'!CJ$5*50+IF(AND($E21=1,LW21=0),25,0),INDEX('計算A'!CJ$110:CJ$114,$F21+1)+IF(AND($E21=1,LW21=0),1000,0)+IF($H21=1,(IF('計算A'!CI$117=1,INDEX('計算A'!CI$10:CI$54,$B21),0)+IF('計算A'!CJ$117=1,INDEX('計算A'!CK$10:CK$54,$B21),0))*500,0)-IF(AND('計算A'!CI$117=1,XG21&gt;0),300,0)-IF(AND($L21=1,'計算A'!CJ$117=1,GI21=0),300,0))),1000000))</f>
        <v/>
      </c>
      <c r="RM21">
        <f>IF($B21=0,1000000,IF(INDEX('計算A'!$D$60:$EQ$104,$B21,86)*GI21=1,IF(AND($E21=2,LX21=0),1000000,IF($I21&gt;0,IF(4=$J21,IF(OR(AND(86=$I21+1,OR($K21&lt;&gt;'計算A'!$A$3,'計算A'!$A$4=0)),AND(86=$I21-1,OR(14&lt;&gt;'計算A'!$A$3,'計算A'!$A$4=0))),0,IF(14=$K21,200000,ABS(14-$K21)*100)),100000+ABS(4-$J21)*1000+140)+'計算A'!CK$5*50+IF(AND($E21=1,LX21=0),25,0),INDEX('計算A'!CK$110:CK$114,$F21+1)+IF(AND($E21=1,LX21=0),1000,0)+IF($H21=1,(IF('計算A'!CJ$117=1,INDEX('計算A'!CJ$10:CJ$54,$B21),0)+IF('計算A'!CK$117=1,INDEX('計算A'!CL$10:CL$54,$B21),0))*500,0)-IF(AND('計算A'!CJ$117=1,XH21&gt;0),300,0)-IF(AND($L21=1,'計算A'!CK$117=1,GJ21=0),300,0))),1000000))</f>
        <v/>
      </c>
      <c r="RN21">
        <f>IF($B21=0,1000000,IF(INDEX('計算A'!$D$60:$EQ$104,$B21,87)*GJ21=1,IF(AND($E21=2,LY21=0),1000000,IF($I21&gt;0,IF(4=$J21,IF(OR(AND(87=$I21+1,OR($K21&lt;&gt;'計算A'!$A$3,'計算A'!$A$4=0)),AND(87=$I21-1,OR(15&lt;&gt;'計算A'!$A$3,'計算A'!$A$4=0))),0,IF(15=$K21,200000,ABS(15-$K21)*100)),100000+ABS(4-$J21)*1000+150)+'計算A'!CL$5*50+IF(AND($E21=1,LY21=0),25,0),INDEX('計算A'!CL$110:CL$114,$F21+1)+IF(AND($E21=1,LY21=0),1000,0)+IF($H21=1,(IF('計算A'!CK$117=1,INDEX('計算A'!CK$10:CK$54,$B21),0)+IF('計算A'!CL$117=1,INDEX('計算A'!CM$10:CM$54,$B21),0))*500,0)-IF(AND('計算A'!CK$117=1,XI21&gt;0),300,0)-IF(AND($L21=1,'計算A'!CL$117=1,GK21=0),300,0))),1000000))</f>
        <v/>
      </c>
      <c r="RO21">
        <f>IF($B21=0,1000000,IF(INDEX('計算A'!$D$60:$EQ$104,$B21,88)*GK21=1,IF(AND($E21=2,LZ21=0),1000000,IF($I21&gt;0,IF(4=$J21,IF(OR(AND(88=$I21+1,OR($K21&lt;&gt;'計算A'!$A$3,'計算A'!$A$4=0)),AND(88=$I21-1,OR(16&lt;&gt;'計算A'!$A$3,'計算A'!$A$4=0))),0,IF(16=$K21,200000,ABS(16-$K21)*100)),100000+ABS(4-$J21)*1000+160)+'計算A'!CM$5*50+IF(AND($E21=1,LZ21=0),25,0),INDEX('計算A'!CM$110:CM$114,$F21+1)+IF(AND($E21=1,LZ21=0),1000,0)+IF($H21=1,(IF('計算A'!CL$117=1,INDEX('計算A'!CL$10:CL$54,$B21),0)+IF('計算A'!CM$117=1,INDEX('計算A'!CN$10:CN$54,$B21),0))*500,0)-IF(AND('計算A'!CL$117=1,XJ21&gt;0),300,0)-IF(AND($L21=1,'計算A'!CM$117=1,GL21=0),300,0))),1000000))</f>
        <v/>
      </c>
      <c r="RP21">
        <f>IF($B21=0,1000000,IF(INDEX('計算A'!$D$60:$EQ$104,$B21,89)*GL21=1,IF(AND($E21=2,MA21=0),1000000,IF($I21&gt;0,IF(4=$J21,IF(OR(AND(89=$I21+1,OR($K21&lt;&gt;'計算A'!$A$3,'計算A'!$A$4=0)),AND(89=$I21-1,OR(17&lt;&gt;'計算A'!$A$3,'計算A'!$A$4=0))),0,IF(17=$K21,200000,ABS(17-$K21)*100)),100000+ABS(4-$J21)*1000+170)+'計算A'!CN$5*50+IF(AND($E21=1,MA21=0),25,0),INDEX('計算A'!CN$110:CN$114,$F21+1)+IF(AND($E21=1,MA21=0),1000,0)+IF($H21=1,(IF('計算A'!CM$117=1,INDEX('計算A'!CM$10:CM$54,$B21),0)+IF('計算A'!CN$117=1,INDEX('計算A'!CO$10:CO$54,$B21),0))*500,0)-IF(AND('計算A'!CM$117=1,XK21&gt;0),300,0)-IF(AND($L21=1,'計算A'!CN$117=1,GM21=0),300,0))),1000000))</f>
        <v/>
      </c>
      <c r="RQ21">
        <f>IF($B21=0,1000000,IF(INDEX('計算A'!$D$60:$EQ$104,$B21,90)*GM21=1,IF(AND($E21=2,MB21=0),1000000,IF($I21&gt;0,IF(4=$J21,IF(OR(AND(90=$I21+1,OR($K21&lt;&gt;'計算A'!$A$3,'計算A'!$A$4=0)),AND(90=$I21-1,OR(18&lt;&gt;'計算A'!$A$3,'計算A'!$A$4=0))),0,IF(18=$K21,200000,ABS(18-$K21)*100)),100000+ABS(4-$J21)*1000+180)+'計算A'!CO$5*50+IF(AND($E21=1,MB21=0),25,0),INDEX('計算A'!CO$110:CO$114,$F21+1)+IF(AND($E21=1,MB21=0),1000,0)+IF($H21=1,(IF('計算A'!CN$117=1,INDEX('計算A'!CN$10:CN$54,$B21),0)+IF('計算A'!CO$117=1,INDEX('計算A'!CP$10:CP$54,$B21),0))*500,0)-IF(AND('計算A'!CN$117=1,XL21&gt;0),300,0)-IF(AND($L21=1,'計算A'!CO$117=1,GN21=0),300,0))),1000000))</f>
        <v/>
      </c>
      <c r="RR21">
        <f>IF($B21=0,1000000,IF(INDEX('計算A'!$D$60:$EQ$104,$B21,91)*GN21=1,IF(AND($E21=2,MC21=0),1000000,IF($I21&gt;0,IF(4=$J21,IF(OR(AND(91=$I21+1,OR($K21&lt;&gt;'計算A'!$A$3,'計算A'!$A$4=0)),AND(91=$I21-1,OR(19&lt;&gt;'計算A'!$A$3,'計算A'!$A$4=0))),0,IF(19=$K21,200000,ABS(19-$K21)*100)),100000+ABS(4-$J21)*1000+190)+'計算A'!CP$5*50+IF(AND($E21=1,MC21=0),25,0),INDEX('計算A'!CP$110:CP$114,$F21+1)+IF(AND($E21=1,MC21=0),1000,0)+IF($H21=1,(IF('計算A'!CO$117=1,INDEX('計算A'!CO$10:CO$54,$B21),0)+IF('計算A'!CP$117=1,INDEX('計算A'!CQ$10:CQ$54,$B21),0))*500,0)-IF(AND('計算A'!CO$117=1,XM21&gt;0),300,0)-IF(AND($L21=1,'計算A'!CP$117=1,GO21=0),300,0))),1000000))</f>
        <v/>
      </c>
      <c r="RS21">
        <f>IF($B21=0,1000000,IF(INDEX('計算A'!$D$60:$EQ$104,$B21,92)*GO21=1,IF(AND($E21=2,MD21=0),1000000,IF($I21&gt;0,IF(4=$J21,IF(OR(AND(92=$I21+1,OR($K21&lt;&gt;'計算A'!$A$3,'計算A'!$A$4=0)),AND(92=$I21-1,OR(20&lt;&gt;'計算A'!$A$3,'計算A'!$A$4=0))),0,IF(20=$K21,200000,ABS(20-$K21)*100)),100000+ABS(4-$J21)*1000+200)+'計算A'!CQ$5*50+IF(AND($E21=1,MD21=0),25,0),INDEX('計算A'!CQ$110:CQ$114,$F21+1)+IF(AND($E21=1,MD21=0),1000,0)+IF($H21=1,(IF('計算A'!CP$117=1,INDEX('計算A'!CP$10:CP$54,$B21),0)+IF('計算A'!CQ$117=1,INDEX('計算A'!CR$10:CR$54,$B21),0))*500,0)-IF(AND('計算A'!CP$117=1,XN21&gt;0),300,0)-IF(AND($L21=1,'計算A'!CQ$117=1,GP21=0),300,0))),1000000))</f>
        <v/>
      </c>
      <c r="RT21">
        <f>IF($B21=0,1000000,IF(INDEX('計算A'!$D$60:$EQ$104,$B21,93)*GP21=1,IF(AND($E21=2,ME21=0),1000000,IF($I21&gt;0,IF(4=$J21,IF(OR(AND(93=$I21+1,OR($K21&lt;&gt;'計算A'!$A$3,'計算A'!$A$4=0)),AND(93=$I21-1,OR(21&lt;&gt;'計算A'!$A$3,'計算A'!$A$4=0))),0,IF(21=$K21,200000,ABS(21-$K21)*100)),100000+ABS(4-$J21)*1000+210)+'計算A'!CR$5*50+IF(AND($E21=1,ME21=0),25,0),INDEX('計算A'!CR$110:CR$114,$F21+1)+IF(AND($E21=1,ME21=0),1000,0)+IF($H21=1,(IF('計算A'!CQ$117=1,INDEX('計算A'!CQ$10:CQ$54,$B21),0)+IF('計算A'!CR$117=1,INDEX('計算A'!CS$10:CS$54,$B21),0))*500,0)-IF(AND('計算A'!CQ$117=1,XO21&gt;0),300,0)-IF(AND($L21=1,'計算A'!CR$117=1,GQ21=0),300,0))),1000000))</f>
        <v/>
      </c>
      <c r="RU21">
        <f>IF($B21=0,1000000,IF(INDEX('計算A'!$D$60:$EQ$104,$B21,94)*GQ21=1,IF(AND($E21=2,MF21=0),1000000,IF($I21&gt;0,IF(4=$J21,IF(OR(AND(94=$I21+1,OR($K21&lt;&gt;'計算A'!$A$3,'計算A'!$A$4=0)),AND(94=$I21-1,OR(22&lt;&gt;'計算A'!$A$3,'計算A'!$A$4=0))),0,IF(22=$K21,200000,ABS(22-$K21)*100)),100000+ABS(4-$J21)*1000+220)+'計算A'!CS$5*50+IF(AND($E21=1,MF21=0),25,0),INDEX('計算A'!CS$110:CS$114,$F21+1)+IF(AND($E21=1,MF21=0),1000,0)+IF($H21=1,(IF('計算A'!CR$117=1,INDEX('計算A'!CR$10:CR$54,$B21),0)+IF('計算A'!CS$117=1,INDEX('計算A'!CT$10:CT$54,$B21),0))*500,0)-IF(AND('計算A'!CR$117=1,XP21&gt;0),300,0)-IF(AND($L21=1,'計算A'!CS$117=1,GR21=0),300,0))),1000000))</f>
        <v/>
      </c>
      <c r="RV21">
        <f>IF($B21=0,1000000,IF(INDEX('計算A'!$D$60:$EQ$104,$B21,95)*GR21=1,IF(AND($E21=2,MG21=0),1000000,IF($I21&gt;0,IF(4=$J21,IF(OR(AND(95=$I21+1,OR($K21&lt;&gt;'計算A'!$A$3,'計算A'!$A$4=0)),AND(95=$I21-1,OR(23&lt;&gt;'計算A'!$A$3,'計算A'!$A$4=0))),0,IF(23=$K21,200000,ABS(23-$K21)*100)),100000+ABS(4-$J21)*1000+230)+'計算A'!CT$5*50+IF(AND($E21=1,MG21=0),25,0),INDEX('計算A'!CT$110:CT$114,$F21+1)+IF(AND($E21=1,MG21=0),1000,0)+IF($H21=1,(IF('計算A'!CS$117=1,INDEX('計算A'!CS$10:CS$54,$B21),0)+IF('計算A'!CT$117=1,INDEX('計算A'!CU$10:CU$54,$B21),0))*500,0)-IF(AND('計算A'!CS$117=1,XQ21&gt;0),300,0)-IF(AND($L21=1,'計算A'!CT$117=1,GS21=0),300,0))),1000000))</f>
        <v/>
      </c>
      <c r="RW21">
        <f>IF($B21=0,1000000,IF(INDEX('計算A'!$D$60:$EQ$104,$B21,96)*GS21=1,IF(AND($E21=2,MH21=0),1000000,IF($I21&gt;0,IF(4=$J21,IF(OR(AND(96=$I21+1,OR($K21&lt;&gt;'計算A'!$A$3,'計算A'!$A$4=0)),AND(96=$I21-1,OR(24&lt;&gt;'計算A'!$A$3,'計算A'!$A$4=0))),0,IF(24=$K21,200000,ABS(24-$K21)*100)),100000+ABS(4-$J21)*1000+240)+'計算A'!CU$5*50+IF(AND($E21=1,MH21=0),25,0),INDEX('計算A'!CU$110:CU$114,$F21+1)+IF(AND($E21=1,MH21=0),1000,0)+IF($H21=1,(IF('計算A'!CT$117=1,INDEX('計算A'!CT$10:CT$54,$B21),0))*500,0)-IF(AND('計算A'!CT$117=1,XR21&gt;0),300,0))),1000000))</f>
        <v/>
      </c>
      <c r="RX21">
        <f>IF($B21=0,1000000,IF(INDEX('計算A'!$D$60:$EQ$104,$B21,97)*GT21=1,IF(AND($E21=2,MI21=0),1000000,IF($I21&gt;0,IF(5=$J21,IF(OR(AND(97=$I21+1,OR($K21&lt;&gt;'計算A'!$A$3,'計算A'!$A$4=0)),AND(97=$I21-1,OR(1&lt;&gt;'計算A'!$A$3,'計算A'!$A$4=0))),0,IF(1=$K21,200000,ABS(1-$K21)*100)),100000+ABS(5-$J21)*1000+10)+'計算A'!CV$5*50+IF(AND($E21=1,MI21=0),25,0),INDEX('計算A'!CV$110:CV$114,$F21+1)+IF(AND($E21=1,MI21=0),1000,0)+IF($H21=1,(IF('計算A'!CV$117=1,INDEX('計算A'!CW$10:CW$54,$B21),0))*500,0)-IF(AND($L21=1,'計算A'!CV$117=1,GU21=0),300,0))),1000000))</f>
        <v/>
      </c>
      <c r="RY21">
        <f>IF($B21=0,1000000,IF(INDEX('計算A'!$D$60:$EQ$104,$B21,98)*GU21=1,IF(AND($E21=2,MJ21=0),1000000,IF($I21&gt;0,IF(5=$J21,IF(OR(AND(98=$I21+1,OR($K21&lt;&gt;'計算A'!$A$3,'計算A'!$A$4=0)),AND(98=$I21-1,OR(2&lt;&gt;'計算A'!$A$3,'計算A'!$A$4=0))),0,IF(2=$K21,200000,ABS(2-$K21)*100)),100000+ABS(5-$J21)*1000+20)+'計算A'!CW$5*50+IF(AND($E21=1,MJ21=0),25,0),INDEX('計算A'!CW$110:CW$114,$F21+1)+IF(AND($E21=1,MJ21=0),1000,0)+IF($H21=1,(IF('計算A'!CV$117=1,INDEX('計算A'!CV$10:CV$54,$B21),0)+IF('計算A'!CW$117=1,INDEX('計算A'!CX$10:CX$54,$B21),0))*500,0)-IF(AND('計算A'!CV$117=1,XT21&gt;0),300,0)-IF(AND($L21=1,'計算A'!CW$117=1,GV21=0),300,0))),1000000))</f>
        <v/>
      </c>
      <c r="RZ21">
        <f>IF($B21=0,1000000,IF(INDEX('計算A'!$D$60:$EQ$104,$B21,99)*GV21=1,IF(AND($E21=2,MK21=0),1000000,IF($I21&gt;0,IF(5=$J21,IF(OR(AND(99=$I21+1,OR($K21&lt;&gt;'計算A'!$A$3,'計算A'!$A$4=0)),AND(99=$I21-1,OR(3&lt;&gt;'計算A'!$A$3,'計算A'!$A$4=0))),0,IF(3=$K21,200000,ABS(3-$K21)*100)),100000+ABS(5-$J21)*1000+30)+'計算A'!CX$5*50+IF(AND($E21=1,MK21=0),25,0),INDEX('計算A'!CX$110:CX$114,$F21+1)+IF(AND($E21=1,MK21=0),1000,0)+IF($H21=1,(IF('計算A'!CW$117=1,INDEX('計算A'!CW$10:CW$54,$B21),0)+IF('計算A'!CX$117=1,INDEX('計算A'!CY$10:CY$54,$B21),0))*500,0)-IF(AND('計算A'!CW$117=1,XU21&gt;0),300,0)-IF(AND($L21=1,'計算A'!CX$117=1,GW21=0),300,0))),1000000))</f>
        <v/>
      </c>
      <c r="SA21">
        <f>IF($B21=0,1000000,IF(INDEX('計算A'!$D$60:$EQ$104,$B21,100)*GW21=1,IF(AND($E21=2,ML21=0),1000000,IF($I21&gt;0,IF(5=$J21,IF(OR(AND(100=$I21+1,OR($K21&lt;&gt;'計算A'!$A$3,'計算A'!$A$4=0)),AND(100=$I21-1,OR(4&lt;&gt;'計算A'!$A$3,'計算A'!$A$4=0))),0,IF(4=$K21,200000,ABS(4-$K21)*100)),100000+ABS(5-$J21)*1000+40)+'計算A'!CY$5*50+IF(AND($E21=1,ML21=0),25,0),INDEX('計算A'!CY$110:CY$114,$F21+1)+IF(AND($E21=1,ML21=0),1000,0)+IF($H21=1,(IF('計算A'!CX$117=1,INDEX('計算A'!CX$10:CX$54,$B21),0)+IF('計算A'!CY$117=1,INDEX('計算A'!CZ$10:CZ$54,$B21),0))*500,0)-IF(AND('計算A'!CX$117=1,XV21&gt;0),300,0)-IF(AND($L21=1,'計算A'!CY$117=1,GX21=0),300,0))),1000000))</f>
        <v/>
      </c>
      <c r="SB21">
        <f>IF($B21=0,1000000,IF(INDEX('計算A'!$D$60:$EQ$104,$B21,101)*GX21=1,IF(AND($E21=2,MM21=0),1000000,IF($I21&gt;0,IF(5=$J21,IF(OR(AND(101=$I21+1,OR($K21&lt;&gt;'計算A'!$A$3,'計算A'!$A$4=0)),AND(101=$I21-1,OR(5&lt;&gt;'計算A'!$A$3,'計算A'!$A$4=0))),0,IF(5=$K21,200000,ABS(5-$K21)*100)),100000+ABS(5-$J21)*1000+50)+'計算A'!CZ$5*50+IF(AND($E21=1,MM21=0),25,0),INDEX('計算A'!CZ$110:CZ$114,$F21+1)+IF(AND($E21=1,MM21=0),1000,0)+IF($H21=1,(IF('計算A'!CY$117=1,INDEX('計算A'!CY$10:CY$54,$B21),0)+IF('計算A'!CZ$117=1,INDEX('計算A'!DA$10:DA$54,$B21),0))*500,0)-IF(AND('計算A'!CY$117=1,XW21&gt;0),300,0)-IF(AND($L21=1,'計算A'!CZ$117=1,GY21=0),300,0))),1000000))</f>
        <v/>
      </c>
      <c r="SC21">
        <f>IF($B21=0,1000000,IF(INDEX('計算A'!$D$60:$EQ$104,$B21,102)*GY21=1,IF(AND($E21=2,MN21=0),1000000,IF($I21&gt;0,IF(5=$J21,IF(OR(AND(102=$I21+1,OR($K21&lt;&gt;'計算A'!$A$3,'計算A'!$A$4=0)),AND(102=$I21-1,OR(6&lt;&gt;'計算A'!$A$3,'計算A'!$A$4=0))),0,IF(6=$K21,200000,ABS(6-$K21)*100)),100000+ABS(5-$J21)*1000+60)+'計算A'!DA$5*50+IF(AND($E21=1,MN21=0),25,0),INDEX('計算A'!DA$110:DA$114,$F21+1)+IF(AND($E21=1,MN21=0),1000,0)+IF($H21=1,(IF('計算A'!CZ$117=1,INDEX('計算A'!CZ$10:CZ$54,$B21),0)+IF('計算A'!DA$117=1,INDEX('計算A'!DB$10:DB$54,$B21),0))*500,0)-IF(AND('計算A'!CZ$117=1,XX21&gt;0),300,0)-IF(AND($L21=1,'計算A'!DA$117=1,GZ21=0),300,0))),1000000))</f>
        <v/>
      </c>
      <c r="SD21">
        <f>IF($B21=0,1000000,IF(INDEX('計算A'!$D$60:$EQ$104,$B21,103)*GZ21=1,IF(AND($E21=2,MO21=0),1000000,IF($I21&gt;0,IF(5=$J21,IF(OR(AND(103=$I21+1,OR($K21&lt;&gt;'計算A'!$A$3,'計算A'!$A$4=0)),AND(103=$I21-1,OR(7&lt;&gt;'計算A'!$A$3,'計算A'!$A$4=0))),0,IF(7=$K21,200000,ABS(7-$K21)*100)),100000+ABS(5-$J21)*1000+70)+'計算A'!DB$5*50+IF(AND($E21=1,MO21=0),25,0),INDEX('計算A'!DB$110:DB$114,$F21+1)+IF(AND($E21=1,MO21=0),1000,0)+IF($H21=1,(IF('計算A'!DA$117=1,INDEX('計算A'!DA$10:DA$54,$B21),0)+IF('計算A'!DB$117=1,INDEX('計算A'!DC$10:DC$54,$B21),0))*500,0)-IF(AND('計算A'!DA$117=1,XY21&gt;0),300,0)-IF(AND($L21=1,'計算A'!DB$117=1,HA21=0),300,0))),1000000))</f>
        <v/>
      </c>
      <c r="SE21">
        <f>IF($B21=0,1000000,IF(INDEX('計算A'!$D$60:$EQ$104,$B21,104)*HA21=1,IF(AND($E21=2,MP21=0),1000000,IF($I21&gt;0,IF(5=$J21,IF(OR(AND(104=$I21+1,OR($K21&lt;&gt;'計算A'!$A$3,'計算A'!$A$4=0)),AND(104=$I21-1,OR(8&lt;&gt;'計算A'!$A$3,'計算A'!$A$4=0))),0,IF(8=$K21,200000,ABS(8-$K21)*100)),100000+ABS(5-$J21)*1000+80)+'計算A'!DC$5*50+IF(AND($E21=1,MP21=0),25,0),INDEX('計算A'!DC$110:DC$114,$F21+1)+IF(AND($E21=1,MP21=0),1000,0)+IF($H21=1,(IF('計算A'!DB$117=1,INDEX('計算A'!DB$10:DB$54,$B21),0)+IF('計算A'!DC$117=1,INDEX('計算A'!DD$10:DD$54,$B21),0))*500,0)-IF(AND('計算A'!DB$117=1,XZ21&gt;0),300,0)-IF(AND($L21=1,'計算A'!DC$117=1,HB21=0),300,0))),1000000))</f>
        <v/>
      </c>
      <c r="SF21">
        <f>IF($B21=0,1000000,IF(INDEX('計算A'!$D$60:$EQ$104,$B21,105)*HB21=1,IF(AND($E21=2,MQ21=0),1000000,IF($I21&gt;0,IF(5=$J21,IF(OR(AND(105=$I21+1,OR($K21&lt;&gt;'計算A'!$A$3,'計算A'!$A$4=0)),AND(105=$I21-1,OR(9&lt;&gt;'計算A'!$A$3,'計算A'!$A$4=0))),0,IF(9=$K21,200000,ABS(9-$K21)*100)),100000+ABS(5-$J21)*1000+90)+'計算A'!DD$5*50+IF(AND($E21=1,MQ21=0),25,0),INDEX('計算A'!DD$110:DD$114,$F21+1)+IF(AND($E21=1,MQ21=0),1000,0)+IF($H21=1,(IF('計算A'!DC$117=1,INDEX('計算A'!DC$10:DC$54,$B21),0)+IF('計算A'!DD$117=1,INDEX('計算A'!DE$10:DE$54,$B21),0))*500,0)-IF(AND('計算A'!DC$117=1,YA21&gt;0),300,0)-IF(AND($L21=1,'計算A'!DD$117=1,HC21=0),300,0))),1000000))</f>
        <v/>
      </c>
      <c r="SG21">
        <f>IF($B21=0,1000000,IF(INDEX('計算A'!$D$60:$EQ$104,$B21,106)*HC21=1,IF(AND($E21=2,MR21=0),1000000,IF($I21&gt;0,IF(5=$J21,IF(OR(AND(106=$I21+1,OR($K21&lt;&gt;'計算A'!$A$3,'計算A'!$A$4=0)),AND(106=$I21-1,OR(10&lt;&gt;'計算A'!$A$3,'計算A'!$A$4=0))),0,IF(10=$K21,200000,ABS(10-$K21)*100)),100000+ABS(5-$J21)*1000+100)+'計算A'!DE$5*50+IF(AND($E21=1,MR21=0),25,0),INDEX('計算A'!DE$110:DE$114,$F21+1)+IF(AND($E21=1,MR21=0),1000,0)+IF($H21=1,(IF('計算A'!DD$117=1,INDEX('計算A'!DD$10:DD$54,$B21),0)+IF('計算A'!DE$117=1,INDEX('計算A'!DF$10:DF$54,$B21),0))*500,0)-IF(AND('計算A'!DD$117=1,YB21&gt;0),300,0)-IF(AND($L21=1,'計算A'!DE$117=1,HD21=0),300,0))),1000000))</f>
        <v/>
      </c>
      <c r="SH21">
        <f>IF($B21=0,1000000,IF(INDEX('計算A'!$D$60:$EQ$104,$B21,107)*HD21=1,IF(AND($E21=2,MS21=0),1000000,IF($I21&gt;0,IF(5=$J21,IF(OR(AND(107=$I21+1,OR($K21&lt;&gt;'計算A'!$A$3,'計算A'!$A$4=0)),AND(107=$I21-1,OR(11&lt;&gt;'計算A'!$A$3,'計算A'!$A$4=0))),0,IF(11=$K21,200000,ABS(11-$K21)*100)),100000+ABS(5-$J21)*1000+110)+'計算A'!DF$5*50+IF(AND($E21=1,MS21=0),25,0),INDEX('計算A'!DF$110:DF$114,$F21+1)+IF(AND($E21=1,MS21=0),1000,0)+IF($H21=1,(IF('計算A'!DE$117=1,INDEX('計算A'!DE$10:DE$54,$B21),0)+IF('計算A'!DF$117=1,INDEX('計算A'!DG$10:DG$54,$B21),0))*500,0)-IF(AND('計算A'!DE$117=1,YC21&gt;0),300,0)-IF(AND($L21=1,'計算A'!DF$117=1,HE21=0),300,0))),1000000))</f>
        <v/>
      </c>
      <c r="SI21">
        <f>IF($B21=0,1000000,IF(INDEX('計算A'!$D$60:$EQ$104,$B21,108)*HE21=1,IF(AND($E21=2,MT21=0),1000000,IF($I21&gt;0,IF(5=$J21,IF(OR(AND(108=$I21+1,OR($K21&lt;&gt;'計算A'!$A$3,'計算A'!$A$4=0)),AND(108=$I21-1,OR(12&lt;&gt;'計算A'!$A$3,'計算A'!$A$4=0))),0,IF(12=$K21,200000,ABS(12-$K21)*100)),100000+ABS(5-$J21)*1000+120)+'計算A'!DG$5*50+IF(AND($E21=1,MT21=0),25,0),INDEX('計算A'!DG$110:DG$114,$F21+1)+IF(AND($E21=1,MT21=0),1000,0)+IF($H21=1,(IF('計算A'!DF$117=1,INDEX('計算A'!DF$10:DF$54,$B21),0)+IF('計算A'!DG$117=1,INDEX('計算A'!DH$10:DH$54,$B21),0))*500,0)-IF(AND('計算A'!DF$117=1,YD21&gt;0),300,0)-IF(AND($L21=1,'計算A'!DG$117=1,HF21=0),300,0))),1000000))</f>
        <v/>
      </c>
      <c r="SJ21">
        <f>IF($B21=0,1000000,IF(INDEX('計算A'!$D$60:$EQ$104,$B21,109)*HF21=1,IF(AND($E21=2,MU21=0),1000000,IF($I21&gt;0,IF(5=$J21,IF(OR(AND(109=$I21+1,OR($K21&lt;&gt;'計算A'!$A$3,'計算A'!$A$4=0)),AND(109=$I21-1,OR(13&lt;&gt;'計算A'!$A$3,'計算A'!$A$4=0))),0,IF(13=$K21,200000,ABS(13-$K21)*100)),100000+ABS(5-$J21)*1000+130)+'計算A'!DH$5*50+IF(AND($E21=1,MU21=0),25,0),INDEX('計算A'!DH$110:DH$114,$F21+1)+IF(AND($E21=1,MU21=0),1000,0)+IF($H21=1,(IF('計算A'!DG$117=1,INDEX('計算A'!DG$10:DG$54,$B21),0)+IF('計算A'!DH$117=1,INDEX('計算A'!DI$10:DI$54,$B21),0))*500,0)-IF(AND('計算A'!DG$117=1,YE21&gt;0),300,0)-IF(AND($L21=1,'計算A'!DH$117=1,HG21=0),300,0))),1000000))</f>
        <v/>
      </c>
      <c r="SK21">
        <f>IF($B21=0,1000000,IF(INDEX('計算A'!$D$60:$EQ$104,$B21,110)*HG21=1,IF(AND($E21=2,MV21=0),1000000,IF($I21&gt;0,IF(5=$J21,IF(OR(AND(110=$I21+1,OR($K21&lt;&gt;'計算A'!$A$3,'計算A'!$A$4=0)),AND(110=$I21-1,OR(14&lt;&gt;'計算A'!$A$3,'計算A'!$A$4=0))),0,IF(14=$K21,200000,ABS(14-$K21)*100)),100000+ABS(5-$J21)*1000+140)+'計算A'!DI$5*50+IF(AND($E21=1,MV21=0),25,0),INDEX('計算A'!DI$110:DI$114,$F21+1)+IF(AND($E21=1,MV21=0),1000,0)+IF($H21=1,(IF('計算A'!DH$117=1,INDEX('計算A'!DH$10:DH$54,$B21),0)+IF('計算A'!DI$117=1,INDEX('計算A'!DJ$10:DJ$54,$B21),0))*500,0)-IF(AND('計算A'!DH$117=1,YF21&gt;0),300,0)-IF(AND($L21=1,'計算A'!DI$117=1,HH21=0),300,0))),1000000))</f>
        <v/>
      </c>
      <c r="SL21">
        <f>IF($B21=0,1000000,IF(INDEX('計算A'!$D$60:$EQ$104,$B21,111)*HH21=1,IF(AND($E21=2,MW21=0),1000000,IF($I21&gt;0,IF(5=$J21,IF(OR(AND(111=$I21+1,OR($K21&lt;&gt;'計算A'!$A$3,'計算A'!$A$4=0)),AND(111=$I21-1,OR(15&lt;&gt;'計算A'!$A$3,'計算A'!$A$4=0))),0,IF(15=$K21,200000,ABS(15-$K21)*100)),100000+ABS(5-$J21)*1000+150)+'計算A'!DJ$5*50+IF(AND($E21=1,MW21=0),25,0),INDEX('計算A'!DJ$110:DJ$114,$F21+1)+IF(AND($E21=1,MW21=0),1000,0)+IF($H21=1,(IF('計算A'!DI$117=1,INDEX('計算A'!DI$10:DI$54,$B21),0)+IF('計算A'!DJ$117=1,INDEX('計算A'!DK$10:DK$54,$B21),0))*500,0)-IF(AND('計算A'!DI$117=1,YG21&gt;0),300,0)-IF(AND($L21=1,'計算A'!DJ$117=1,HI21=0),300,0))),1000000))</f>
        <v/>
      </c>
      <c r="SM21">
        <f>IF($B21=0,1000000,IF(INDEX('計算A'!$D$60:$EQ$104,$B21,112)*HI21=1,IF(AND($E21=2,MX21=0),1000000,IF($I21&gt;0,IF(5=$J21,IF(OR(AND(112=$I21+1,OR($K21&lt;&gt;'計算A'!$A$3,'計算A'!$A$4=0)),AND(112=$I21-1,OR(16&lt;&gt;'計算A'!$A$3,'計算A'!$A$4=0))),0,IF(16=$K21,200000,ABS(16-$K21)*100)),100000+ABS(5-$J21)*1000+160)+'計算A'!DK$5*50+IF(AND($E21=1,MX21=0),25,0),INDEX('計算A'!DK$110:DK$114,$F21+1)+IF(AND($E21=1,MX21=0),1000,0)+IF($H21=1,(IF('計算A'!DJ$117=1,INDEX('計算A'!DJ$10:DJ$54,$B21),0)+IF('計算A'!DK$117=1,INDEX('計算A'!DL$10:DL$54,$B21),0))*500,0)-IF(AND('計算A'!DJ$117=1,YH21&gt;0),300,0)-IF(AND($L21=1,'計算A'!DK$117=1,HJ21=0),300,0))),1000000))</f>
        <v/>
      </c>
      <c r="SN21">
        <f>IF($B21=0,1000000,IF(INDEX('計算A'!$D$60:$EQ$104,$B21,113)*HJ21=1,IF(AND($E21=2,MY21=0),1000000,IF($I21&gt;0,IF(5=$J21,IF(OR(AND(113=$I21+1,OR($K21&lt;&gt;'計算A'!$A$3,'計算A'!$A$4=0)),AND(113=$I21-1,OR(17&lt;&gt;'計算A'!$A$3,'計算A'!$A$4=0))),0,IF(17=$K21,200000,ABS(17-$K21)*100)),100000+ABS(5-$J21)*1000+170)+'計算A'!DL$5*50+IF(AND($E21=1,MY21=0),25,0),INDEX('計算A'!DL$110:DL$114,$F21+1)+IF(AND($E21=1,MY21=0),1000,0)+IF($H21=1,(IF('計算A'!DK$117=1,INDEX('計算A'!DK$10:DK$54,$B21),0)+IF('計算A'!DL$117=1,INDEX('計算A'!DM$10:DM$54,$B21),0))*500,0)-IF(AND('計算A'!DK$117=1,YI21&gt;0),300,0)-IF(AND($L21=1,'計算A'!DL$117=1,HK21=0),300,0))),1000000))</f>
        <v/>
      </c>
      <c r="SO21">
        <f>IF($B21=0,1000000,IF(INDEX('計算A'!$D$60:$EQ$104,$B21,114)*HK21=1,IF(AND($E21=2,MZ21=0),1000000,IF($I21&gt;0,IF(5=$J21,IF(OR(AND(114=$I21+1,OR($K21&lt;&gt;'計算A'!$A$3,'計算A'!$A$4=0)),AND(114=$I21-1,OR(18&lt;&gt;'計算A'!$A$3,'計算A'!$A$4=0))),0,IF(18=$K21,200000,ABS(18-$K21)*100)),100000+ABS(5-$J21)*1000+180)+'計算A'!DM$5*50+IF(AND($E21=1,MZ21=0),25,0),INDEX('計算A'!DM$110:DM$114,$F21+1)+IF(AND($E21=1,MZ21=0),1000,0)+IF($H21=1,(IF('計算A'!DL$117=1,INDEX('計算A'!DL$10:DL$54,$B21),0)+IF('計算A'!DM$117=1,INDEX('計算A'!DN$10:DN$54,$B21),0))*500,0)-IF(AND('計算A'!DL$117=1,YJ21&gt;0),300,0)-IF(AND($L21=1,'計算A'!DM$117=1,HL21=0),300,0))),1000000))</f>
        <v/>
      </c>
      <c r="SP21">
        <f>IF($B21=0,1000000,IF(INDEX('計算A'!$D$60:$EQ$104,$B21,115)*HL21=1,IF(AND($E21=2,NA21=0),1000000,IF($I21&gt;0,IF(5=$J21,IF(OR(AND(115=$I21+1,OR($K21&lt;&gt;'計算A'!$A$3,'計算A'!$A$4=0)),AND(115=$I21-1,OR(19&lt;&gt;'計算A'!$A$3,'計算A'!$A$4=0))),0,IF(19=$K21,200000,ABS(19-$K21)*100)),100000+ABS(5-$J21)*1000+190)+'計算A'!DN$5*50+IF(AND($E21=1,NA21=0),25,0),INDEX('計算A'!DN$110:DN$114,$F21+1)+IF(AND($E21=1,NA21=0),1000,0)+IF($H21=1,(IF('計算A'!DM$117=1,INDEX('計算A'!DM$10:DM$54,$B21),0)+IF('計算A'!DN$117=1,INDEX('計算A'!DO$10:DO$54,$B21),0))*500,0)-IF(AND('計算A'!DM$117=1,YK21&gt;0),300,0)-IF(AND($L21=1,'計算A'!DN$117=1,HM21=0),300,0))),1000000))</f>
        <v/>
      </c>
      <c r="SQ21">
        <f>IF($B21=0,1000000,IF(INDEX('計算A'!$D$60:$EQ$104,$B21,116)*HM21=1,IF(AND($E21=2,NB21=0),1000000,IF($I21&gt;0,IF(5=$J21,IF(OR(AND(116=$I21+1,OR($K21&lt;&gt;'計算A'!$A$3,'計算A'!$A$4=0)),AND(116=$I21-1,OR(20&lt;&gt;'計算A'!$A$3,'計算A'!$A$4=0))),0,IF(20=$K21,200000,ABS(20-$K21)*100)),100000+ABS(5-$J21)*1000+200)+'計算A'!DO$5*50+IF(AND($E21=1,NB21=0),25,0),INDEX('計算A'!DO$110:DO$114,$F21+1)+IF(AND($E21=1,NB21=0),1000,0)+IF($H21=1,(IF('計算A'!DN$117=1,INDEX('計算A'!DN$10:DN$54,$B21),0)+IF('計算A'!DO$117=1,INDEX('計算A'!DP$10:DP$54,$B21),0))*500,0)-IF(AND('計算A'!DN$117=1,YL21&gt;0),300,0)-IF(AND($L21=1,'計算A'!DO$117=1,HN21=0),300,0))),1000000))</f>
        <v/>
      </c>
      <c r="SR21">
        <f>IF($B21=0,1000000,IF(INDEX('計算A'!$D$60:$EQ$104,$B21,117)*HN21=1,IF(AND($E21=2,NC21=0),1000000,IF($I21&gt;0,IF(5=$J21,IF(OR(AND(117=$I21+1,OR($K21&lt;&gt;'計算A'!$A$3,'計算A'!$A$4=0)),AND(117=$I21-1,OR(21&lt;&gt;'計算A'!$A$3,'計算A'!$A$4=0))),0,IF(21=$K21,200000,ABS(21-$K21)*100)),100000+ABS(5-$J21)*1000+210)+'計算A'!DP$5*50+IF(AND($E21=1,NC21=0),25,0),INDEX('計算A'!DP$110:DP$114,$F21+1)+IF(AND($E21=1,NC21=0),1000,0)+IF($H21=1,(IF('計算A'!DO$117=1,INDEX('計算A'!DO$10:DO$54,$B21),0)+IF('計算A'!DP$117=1,INDEX('計算A'!DQ$10:DQ$54,$B21),0))*500,0)-IF(AND('計算A'!DO$117=1,YM21&gt;0),300,0)-IF(AND($L21=1,'計算A'!DP$117=1,HO21=0),300,0))),1000000))</f>
        <v/>
      </c>
      <c r="SS21">
        <f>IF($B21=0,1000000,IF(INDEX('計算A'!$D$60:$EQ$104,$B21,118)*HO21=1,IF(AND($E21=2,ND21=0),1000000,IF($I21&gt;0,IF(5=$J21,IF(OR(AND(118=$I21+1,OR($K21&lt;&gt;'計算A'!$A$3,'計算A'!$A$4=0)),AND(118=$I21-1,OR(22&lt;&gt;'計算A'!$A$3,'計算A'!$A$4=0))),0,IF(22=$K21,200000,ABS(22-$K21)*100)),100000+ABS(5-$J21)*1000+220)+'計算A'!DQ$5*50+IF(AND($E21=1,ND21=0),25,0),INDEX('計算A'!DQ$110:DQ$114,$F21+1)+IF(AND($E21=1,ND21=0),1000,0)+IF($H21=1,(IF('計算A'!DP$117=1,INDEX('計算A'!DP$10:DP$54,$B21),0)+IF('計算A'!DQ$117=1,INDEX('計算A'!DR$10:DR$54,$B21),0))*500,0)-IF(AND('計算A'!DP$117=1,YN21&gt;0),300,0)-IF(AND($L21=1,'計算A'!DQ$117=1,HP21=0),300,0))),1000000))</f>
        <v/>
      </c>
      <c r="ST21">
        <f>IF($B21=0,1000000,IF(INDEX('計算A'!$D$60:$EQ$104,$B21,119)*HP21=1,IF(AND($E21=2,NE21=0),1000000,IF($I21&gt;0,IF(5=$J21,IF(OR(AND(119=$I21+1,OR($K21&lt;&gt;'計算A'!$A$3,'計算A'!$A$4=0)),AND(119=$I21-1,OR(23&lt;&gt;'計算A'!$A$3,'計算A'!$A$4=0))),0,IF(23=$K21,200000,ABS(23-$K21)*100)),100000+ABS(5-$J21)*1000+230)+'計算A'!DR$5*50+IF(AND($E21=1,NE21=0),25,0),INDEX('計算A'!DR$110:DR$114,$F21+1)+IF(AND($E21=1,NE21=0),1000,0)+IF($H21=1,(IF('計算A'!DQ$117=1,INDEX('計算A'!DQ$10:DQ$54,$B21),0)+IF('計算A'!DR$117=1,INDEX('計算A'!DS$10:DS$54,$B21),0))*500,0)-IF(AND('計算A'!DQ$117=1,YO21&gt;0),300,0)-IF(AND($L21=1,'計算A'!DR$117=1,HQ21=0),300,0))),1000000))</f>
        <v/>
      </c>
      <c r="SU21">
        <f>IF($B21=0,1000000,IF(INDEX('計算A'!$D$60:$EQ$104,$B21,120)*HQ21=1,IF(AND($E21=2,NF21=0),1000000,IF($I21&gt;0,IF(5=$J21,IF(OR(AND(120=$I21+1,OR($K21&lt;&gt;'計算A'!$A$3,'計算A'!$A$4=0)),AND(120=$I21-1,OR(24&lt;&gt;'計算A'!$A$3,'計算A'!$A$4=0))),0,IF(24=$K21,200000,ABS(24-$K21)*100)),100000+ABS(5-$J21)*1000+240)+'計算A'!DS$5*50+IF(AND($E21=1,NF21=0),25,0),INDEX('計算A'!DS$110:DS$114,$F21+1)+IF(AND($E21=1,NF21=0),1000,0)+IF($H21=1,(IF('計算A'!DR$117=1,INDEX('計算A'!DR$10:DR$54,$B21),0))*500,0)-IF(AND('計算A'!DR$117=1,YP21&gt;0),300,0))),1000000))</f>
        <v/>
      </c>
      <c r="SV21">
        <f>IF($B21=0,1000000,IF(INDEX('計算A'!$D$60:$EQ$104,$B21,121)*HR21=1,IF(AND($E21=2,NG21=0),1000000,IF($I21&gt;0,IF(6=$J21,IF(OR(AND(121=$I21+1,OR($K21&lt;&gt;'計算A'!$A$3,'計算A'!$A$4=0)),AND(121=$I21-1,OR(1&lt;&gt;'計算A'!$A$3,'計算A'!$A$4=0))),0,IF(1=$K21,200000,ABS(1-$K21)*100)),100000+ABS(6-$J21)*1000+10)+'計算A'!DT$5*50+IF(AND($E21=1,NG21=0),25,0),INDEX('計算A'!DT$110:DT$114,$F21+1)+IF(AND($E21=1,NG21=0),1000,0)+IF($H21=1,(IF('計算A'!DT$117=1,INDEX('計算A'!DU$10:DU$54,$B21),0))*500,0)-IF(AND($L21=1,'計算A'!DT$117=1,HS21=0),300,0))),1000000))</f>
        <v/>
      </c>
      <c r="SW21">
        <f>IF($B21=0,1000000,IF(INDEX('計算A'!$D$60:$EQ$104,$B21,122)*HS21=1,IF(AND($E21=2,NH21=0),1000000,IF($I21&gt;0,IF(6=$J21,IF(OR(AND(122=$I21+1,OR($K21&lt;&gt;'計算A'!$A$3,'計算A'!$A$4=0)),AND(122=$I21-1,OR(2&lt;&gt;'計算A'!$A$3,'計算A'!$A$4=0))),0,IF(2=$K21,200000,ABS(2-$K21)*100)),100000+ABS(6-$J21)*1000+20)+'計算A'!DU$5*50+IF(AND($E21=1,NH21=0),25,0),INDEX('計算A'!DU$110:DU$114,$F21+1)+IF(AND($E21=1,NH21=0),1000,0)+IF($H21=1,(IF('計算A'!DT$117=1,INDEX('計算A'!DT$10:DT$54,$B21),0)+IF('計算A'!DU$117=1,INDEX('計算A'!DV$10:DV$54,$B21),0))*500,0)-IF(AND('計算A'!DT$117=1,YR21&gt;0),300,0)-IF(AND($L21=1,'計算A'!DU$117=1,HT21=0),300,0))),1000000))</f>
        <v/>
      </c>
      <c r="SX21">
        <f>IF($B21=0,1000000,IF(INDEX('計算A'!$D$60:$EQ$104,$B21,123)*HT21=1,IF(AND($E21=2,NI21=0),1000000,IF($I21&gt;0,IF(6=$J21,IF(OR(AND(123=$I21+1,OR($K21&lt;&gt;'計算A'!$A$3,'計算A'!$A$4=0)),AND(123=$I21-1,OR(3&lt;&gt;'計算A'!$A$3,'計算A'!$A$4=0))),0,IF(3=$K21,200000,ABS(3-$K21)*100)),100000+ABS(6-$J21)*1000+30)+'計算A'!DV$5*50+IF(AND($E21=1,NI21=0),25,0),INDEX('計算A'!DV$110:DV$114,$F21+1)+IF(AND($E21=1,NI21=0),1000,0)+IF($H21=1,(IF('計算A'!DU$117=1,INDEX('計算A'!DU$10:DU$54,$B21),0)+IF('計算A'!DV$117=1,INDEX('計算A'!DW$10:DW$54,$B21),0))*500,0)-IF(AND('計算A'!DU$117=1,YS21&gt;0),300,0)-IF(AND($L21=1,'計算A'!DV$117=1,HU21=0),300,0))),1000000))</f>
        <v/>
      </c>
      <c r="SY21">
        <f>IF($B21=0,1000000,IF(INDEX('計算A'!$D$60:$EQ$104,$B21,124)*HU21=1,IF(AND($E21=2,NJ21=0),1000000,IF($I21&gt;0,IF(6=$J21,IF(OR(AND(124=$I21+1,OR($K21&lt;&gt;'計算A'!$A$3,'計算A'!$A$4=0)),AND(124=$I21-1,OR(4&lt;&gt;'計算A'!$A$3,'計算A'!$A$4=0))),0,IF(4=$K21,200000,ABS(4-$K21)*100)),100000+ABS(6-$J21)*1000+40)+'計算A'!DW$5*50+IF(AND($E21=1,NJ21=0),25,0),INDEX('計算A'!DW$110:DW$114,$F21+1)+IF(AND($E21=1,NJ21=0),1000,0)+IF($H21=1,(IF('計算A'!DV$117=1,INDEX('計算A'!DV$10:DV$54,$B21),0)+IF('計算A'!DW$117=1,INDEX('計算A'!DX$10:DX$54,$B21),0))*500,0)-IF(AND('計算A'!DV$117=1,YT21&gt;0),300,0)-IF(AND($L21=1,'計算A'!DW$117=1,HV21=0),300,0))),1000000))</f>
        <v/>
      </c>
      <c r="SZ21">
        <f>IF($B21=0,1000000,IF(INDEX('計算A'!$D$60:$EQ$104,$B21,125)*HV21=1,IF(AND($E21=2,NK21=0),1000000,IF($I21&gt;0,IF(6=$J21,IF(OR(AND(125=$I21+1,OR($K21&lt;&gt;'計算A'!$A$3,'計算A'!$A$4=0)),AND(125=$I21-1,OR(5&lt;&gt;'計算A'!$A$3,'計算A'!$A$4=0))),0,IF(5=$K21,200000,ABS(5-$K21)*100)),100000+ABS(6-$J21)*1000+50)+'計算A'!DX$5*50+IF(AND($E21=1,NK21=0),25,0),INDEX('計算A'!DX$110:DX$114,$F21+1)+IF(AND($E21=1,NK21=0),1000,0)+IF($H21=1,(IF('計算A'!DW$117=1,INDEX('計算A'!DW$10:DW$54,$B21),0)+IF('計算A'!DX$117=1,INDEX('計算A'!DY$10:DY$54,$B21),0))*500,0)-IF(AND('計算A'!DW$117=1,YU21&gt;0),300,0)-IF(AND($L21=1,'計算A'!DX$117=1,HW21=0),300,0))),1000000))</f>
        <v/>
      </c>
      <c r="TA21">
        <f>IF($B21=0,1000000,IF(INDEX('計算A'!$D$60:$EQ$104,$B21,126)*HW21=1,IF(AND($E21=2,NL21=0),1000000,IF($I21&gt;0,IF(6=$J21,IF(OR(AND(126=$I21+1,OR($K21&lt;&gt;'計算A'!$A$3,'計算A'!$A$4=0)),AND(126=$I21-1,OR(6&lt;&gt;'計算A'!$A$3,'計算A'!$A$4=0))),0,IF(6=$K21,200000,ABS(6-$K21)*100)),100000+ABS(6-$J21)*1000+60)+'計算A'!DY$5*50+IF(AND($E21=1,NL21=0),25,0),INDEX('計算A'!DY$110:DY$114,$F21+1)+IF(AND($E21=1,NL21=0),1000,0)+IF($H21=1,(IF('計算A'!DX$117=1,INDEX('計算A'!DX$10:DX$54,$B21),0)+IF('計算A'!DY$117=1,INDEX('計算A'!DZ$10:DZ$54,$B21),0))*500,0)-IF(AND('計算A'!DX$117=1,YV21&gt;0),300,0)-IF(AND($L21=1,'計算A'!DY$117=1,HX21=0),300,0))),1000000))</f>
        <v/>
      </c>
      <c r="TB21">
        <f>IF($B21=0,1000000,IF(INDEX('計算A'!$D$60:$EQ$104,$B21,127)*HX21=1,IF(AND($E21=2,NM21=0),1000000,IF($I21&gt;0,IF(6=$J21,IF(OR(AND(127=$I21+1,OR($K21&lt;&gt;'計算A'!$A$3,'計算A'!$A$4=0)),AND(127=$I21-1,OR(7&lt;&gt;'計算A'!$A$3,'計算A'!$A$4=0))),0,IF(7=$K21,200000,ABS(7-$K21)*100)),100000+ABS(6-$J21)*1000+70)+'計算A'!DZ$5*50+IF(AND($E21=1,NM21=0),25,0),INDEX('計算A'!DZ$110:DZ$114,$F21+1)+IF(AND($E21=1,NM21=0),1000,0)+IF($H21=1,(IF('計算A'!DY$117=1,INDEX('計算A'!DY$10:DY$54,$B21),0)+IF('計算A'!DZ$117=1,INDEX('計算A'!EA$10:EA$54,$B21),0))*500,0)-IF(AND('計算A'!DY$117=1,YW21&gt;0),300,0)-IF(AND($L21=1,'計算A'!DZ$117=1,HY21=0),300,0))),1000000))</f>
        <v/>
      </c>
      <c r="TC21">
        <f>IF($B21=0,1000000,IF(INDEX('計算A'!$D$60:$EQ$104,$B21,128)*HY21=1,IF(AND($E21=2,NN21=0),1000000,IF($I21&gt;0,IF(6=$J21,IF(OR(AND(128=$I21+1,OR($K21&lt;&gt;'計算A'!$A$3,'計算A'!$A$4=0)),AND(128=$I21-1,OR(8&lt;&gt;'計算A'!$A$3,'計算A'!$A$4=0))),0,IF(8=$K21,200000,ABS(8-$K21)*100)),100000+ABS(6-$J21)*1000+80)+'計算A'!EA$5*50+IF(AND($E21=1,NN21=0),25,0),INDEX('計算A'!EA$110:EA$114,$F21+1)+IF(AND($E21=1,NN21=0),1000,0)+IF($H21=1,(IF('計算A'!DZ$117=1,INDEX('計算A'!DZ$10:DZ$54,$B21),0)+IF('計算A'!EA$117=1,INDEX('計算A'!EB$10:EB$54,$B21),0))*500,0)-IF(AND('計算A'!DZ$117=1,YX21&gt;0),300,0)-IF(AND($L21=1,'計算A'!EA$117=1,HZ21=0),300,0))),1000000))</f>
        <v/>
      </c>
      <c r="TD21">
        <f>IF($B21=0,1000000,IF(INDEX('計算A'!$D$60:$EQ$104,$B21,129)*HZ21=1,IF(AND($E21=2,NO21=0),1000000,IF($I21&gt;0,IF(6=$J21,IF(OR(AND(129=$I21+1,OR($K21&lt;&gt;'計算A'!$A$3,'計算A'!$A$4=0)),AND(129=$I21-1,OR(9&lt;&gt;'計算A'!$A$3,'計算A'!$A$4=0))),0,IF(9=$K21,200000,ABS(9-$K21)*100)),100000+ABS(6-$J21)*1000+90)+'計算A'!EB$5*50+IF(AND($E21=1,NO21=0),25,0),INDEX('計算A'!EB$110:EB$114,$F21+1)+IF(AND($E21=1,NO21=0),1000,0)+IF($H21=1,(IF('計算A'!EA$117=1,INDEX('計算A'!EA$10:EA$54,$B21),0)+IF('計算A'!EB$117=1,INDEX('計算A'!EC$10:EC$54,$B21),0))*500,0)-IF(AND('計算A'!EA$117=1,YY21&gt;0),300,0)-IF(AND($L21=1,'計算A'!EB$117=1,IA21=0),300,0))),1000000))</f>
        <v/>
      </c>
      <c r="TE21">
        <f>IF($B21=0,1000000,IF(INDEX('計算A'!$D$60:$EQ$104,$B21,130)*IA21=1,IF(AND($E21=2,NP21=0),1000000,IF($I21&gt;0,IF(6=$J21,IF(OR(AND(130=$I21+1,OR($K21&lt;&gt;'計算A'!$A$3,'計算A'!$A$4=0)),AND(130=$I21-1,OR(10&lt;&gt;'計算A'!$A$3,'計算A'!$A$4=0))),0,IF(10=$K21,200000,ABS(10-$K21)*100)),100000+ABS(6-$J21)*1000+100)+'計算A'!EC$5*50+IF(AND($E21=1,NP21=0),25,0),INDEX('計算A'!EC$110:EC$114,$F21+1)+IF(AND($E21=1,NP21=0),1000,0)+IF($H21=1,(IF('計算A'!EB$117=1,INDEX('計算A'!EB$10:EB$54,$B21),0)+IF('計算A'!EC$117=1,INDEX('計算A'!ED$10:ED$54,$B21),0))*500,0)-IF(AND('計算A'!EB$117=1,YZ21&gt;0),300,0)-IF(AND($L21=1,'計算A'!EC$117=1,IB21=0),300,0))),1000000))</f>
        <v/>
      </c>
      <c r="TF21">
        <f>IF($B21=0,1000000,IF(INDEX('計算A'!$D$60:$EQ$104,$B21,131)*IB21=1,IF(AND($E21=2,NQ21=0),1000000,IF($I21&gt;0,IF(6=$J21,IF(OR(AND(131=$I21+1,OR($K21&lt;&gt;'計算A'!$A$3,'計算A'!$A$4=0)),AND(131=$I21-1,OR(11&lt;&gt;'計算A'!$A$3,'計算A'!$A$4=0))),0,IF(11=$K21,200000,ABS(11-$K21)*100)),100000+ABS(6-$J21)*1000+110)+'計算A'!ED$5*50+IF(AND($E21=1,NQ21=0),25,0),INDEX('計算A'!ED$110:ED$114,$F21+1)+IF(AND($E21=1,NQ21=0),1000,0)+IF($H21=1,(IF('計算A'!EC$117=1,INDEX('計算A'!EC$10:EC$54,$B21),0)+IF('計算A'!ED$117=1,INDEX('計算A'!EE$10:EE$54,$B21),0))*500,0)-IF(AND('計算A'!EC$117=1,ZA21&gt;0),300,0)-IF(AND($L21=1,'計算A'!ED$117=1,IC21=0),300,0))),1000000))</f>
        <v/>
      </c>
      <c r="TG21">
        <f>IF($B21=0,1000000,IF(INDEX('計算A'!$D$60:$EQ$104,$B21,132)*IC21=1,IF(AND($E21=2,NR21=0),1000000,IF($I21&gt;0,IF(6=$J21,IF(OR(AND(132=$I21+1,OR($K21&lt;&gt;'計算A'!$A$3,'計算A'!$A$4=0)),AND(132=$I21-1,OR(12&lt;&gt;'計算A'!$A$3,'計算A'!$A$4=0))),0,IF(12=$K21,200000,ABS(12-$K21)*100)),100000+ABS(6-$J21)*1000+120)+'計算A'!EE$5*50+IF(AND($E21=1,NR21=0),25,0),INDEX('計算A'!EE$110:EE$114,$F21+1)+IF(AND($E21=1,NR21=0),1000,0)+IF($H21=1,(IF('計算A'!ED$117=1,INDEX('計算A'!ED$10:ED$54,$B21),0)+IF('計算A'!EE$117=1,INDEX('計算A'!EF$10:EF$54,$B21),0))*500,0)-IF(AND('計算A'!ED$117=1,ZB21&gt;0),300,0)-IF(AND($L21=1,'計算A'!EE$117=1,ID21=0),300,0))),1000000))</f>
        <v/>
      </c>
      <c r="TH21">
        <f>IF($B21=0,1000000,IF(INDEX('計算A'!$D$60:$EQ$104,$B21,133)*ID21=1,IF(AND($E21=2,NS21=0),1000000,IF($I21&gt;0,IF(6=$J21,IF(OR(AND(133=$I21+1,OR($K21&lt;&gt;'計算A'!$A$3,'計算A'!$A$4=0)),AND(133=$I21-1,OR(13&lt;&gt;'計算A'!$A$3,'計算A'!$A$4=0))),0,IF(13=$K21,200000,ABS(13-$K21)*100)),100000+ABS(6-$J21)*1000+130)+'計算A'!EF$5*50+IF(AND($E21=1,NS21=0),25,0),INDEX('計算A'!EF$110:EF$114,$F21+1)+IF(AND($E21=1,NS21=0),1000,0)+IF($H21=1,(IF('計算A'!EE$117=1,INDEX('計算A'!EE$10:EE$54,$B21),0)+IF('計算A'!EF$117=1,INDEX('計算A'!EG$10:EG$54,$B21),0))*500,0)-IF(AND('計算A'!EE$117=1,ZC21&gt;0),300,0)-IF(AND($L21=1,'計算A'!EF$117=1,IE21=0),300,0))),1000000))</f>
        <v/>
      </c>
      <c r="TI21">
        <f>IF($B21=0,1000000,IF(INDEX('計算A'!$D$60:$EQ$104,$B21,134)*IE21=1,IF(AND($E21=2,NT21=0),1000000,IF($I21&gt;0,IF(6=$J21,IF(OR(AND(134=$I21+1,OR($K21&lt;&gt;'計算A'!$A$3,'計算A'!$A$4=0)),AND(134=$I21-1,OR(14&lt;&gt;'計算A'!$A$3,'計算A'!$A$4=0))),0,IF(14=$K21,200000,ABS(14-$K21)*100)),100000+ABS(6-$J21)*1000+140)+'計算A'!EG$5*50+IF(AND($E21=1,NT21=0),25,0),INDEX('計算A'!EG$110:EG$114,$F21+1)+IF(AND($E21=1,NT21=0),1000,0)+IF($H21=1,(IF('計算A'!EF$117=1,INDEX('計算A'!EF$10:EF$54,$B21),0)+IF('計算A'!EG$117=1,INDEX('計算A'!EH$10:EH$54,$B21),0))*500,0)-IF(AND('計算A'!EF$117=1,ZD21&gt;0),300,0)-IF(AND($L21=1,'計算A'!EG$117=1,IF21=0),300,0))),1000000))</f>
        <v/>
      </c>
      <c r="TJ21">
        <f>IF($B21=0,1000000,IF(INDEX('計算A'!$D$60:$EQ$104,$B21,135)*IF21=1,IF(AND($E21=2,NU21=0),1000000,IF($I21&gt;0,IF(6=$J21,IF(OR(AND(135=$I21+1,OR($K21&lt;&gt;'計算A'!$A$3,'計算A'!$A$4=0)),AND(135=$I21-1,OR(15&lt;&gt;'計算A'!$A$3,'計算A'!$A$4=0))),0,IF(15=$K21,200000,ABS(15-$K21)*100)),100000+ABS(6-$J21)*1000+150)+'計算A'!EH$5*50+IF(AND($E21=1,NU21=0),25,0),INDEX('計算A'!EH$110:EH$114,$F21+1)+IF(AND($E21=1,NU21=0),1000,0)+IF($H21=1,(IF('計算A'!EG$117=1,INDEX('計算A'!EG$10:EG$54,$B21),0)+IF('計算A'!EH$117=1,INDEX('計算A'!EI$10:EI$54,$B21),0))*500,0)-IF(AND('計算A'!EG$117=1,ZE21&gt;0),300,0)-IF(AND($L21=1,'計算A'!EH$117=1,IG21=0),300,0))),1000000))</f>
        <v/>
      </c>
      <c r="TK21">
        <f>IF($B21=0,1000000,IF(INDEX('計算A'!$D$60:$EQ$104,$B21,136)*IG21=1,IF(AND($E21=2,NV21=0),1000000,IF($I21&gt;0,IF(6=$J21,IF(OR(AND(136=$I21+1,OR($K21&lt;&gt;'計算A'!$A$3,'計算A'!$A$4=0)),AND(136=$I21-1,OR(16&lt;&gt;'計算A'!$A$3,'計算A'!$A$4=0))),0,IF(16=$K21,200000,ABS(16-$K21)*100)),100000+ABS(6-$J21)*1000+160)+'計算A'!EI$5*50+IF(AND($E21=1,NV21=0),25,0),INDEX('計算A'!EI$110:EI$114,$F21+1)+IF(AND($E21=1,NV21=0),1000,0)+IF($H21=1,(IF('計算A'!EH$117=1,INDEX('計算A'!EH$10:EH$54,$B21),0)+IF('計算A'!EI$117=1,INDEX('計算A'!EJ$10:EJ$54,$B21),0))*500,0)-IF(AND('計算A'!EH$117=1,ZF21&gt;0),300,0)-IF(AND($L21=1,'計算A'!EI$117=1,IH21=0),300,0))),1000000))</f>
        <v/>
      </c>
      <c r="TL21">
        <f>IF($B21=0,1000000,IF(INDEX('計算A'!$D$60:$EQ$104,$B21,137)*IH21=1,IF(AND($E21=2,NW21=0),1000000,IF($I21&gt;0,IF(6=$J21,IF(OR(AND(137=$I21+1,OR($K21&lt;&gt;'計算A'!$A$3,'計算A'!$A$4=0)),AND(137=$I21-1,OR(17&lt;&gt;'計算A'!$A$3,'計算A'!$A$4=0))),0,IF(17=$K21,200000,ABS(17-$K21)*100)),100000+ABS(6-$J21)*1000+170)+'計算A'!EJ$5*50+IF(AND($E21=1,NW21=0),25,0),INDEX('計算A'!EJ$110:EJ$114,$F21+1)+IF(AND($E21=1,NW21=0),1000,0)+IF($H21=1,(IF('計算A'!EI$117=1,INDEX('計算A'!EI$10:EI$54,$B21),0)+IF('計算A'!EJ$117=1,INDEX('計算A'!EK$10:EK$54,$B21),0))*500,0)-IF(AND('計算A'!EI$117=1,ZG21&gt;0),300,0)-IF(AND($L21=1,'計算A'!EJ$117=1,II21=0),300,0))),1000000))</f>
        <v/>
      </c>
      <c r="TM21">
        <f>IF($B21=0,1000000,IF(INDEX('計算A'!$D$60:$EQ$104,$B21,138)*II21=1,IF(AND($E21=2,NX21=0),1000000,IF($I21&gt;0,IF(6=$J21,IF(OR(AND(138=$I21+1,OR($K21&lt;&gt;'計算A'!$A$3,'計算A'!$A$4=0)),AND(138=$I21-1,OR(18&lt;&gt;'計算A'!$A$3,'計算A'!$A$4=0))),0,IF(18=$K21,200000,ABS(18-$K21)*100)),100000+ABS(6-$J21)*1000+180)+'計算A'!EK$5*50+IF(AND($E21=1,NX21=0),25,0),INDEX('計算A'!EK$110:EK$114,$F21+1)+IF(AND($E21=1,NX21=0),1000,0)+IF($H21=1,(IF('計算A'!EJ$117=1,INDEX('計算A'!EJ$10:EJ$54,$B21),0)+IF('計算A'!EK$117=1,INDEX('計算A'!EL$10:EL$54,$B21),0))*500,0)-IF(AND('計算A'!EJ$117=1,ZH21&gt;0),300,0)-IF(AND($L21=1,'計算A'!EK$117=1,IJ21=0),300,0))),1000000))</f>
        <v/>
      </c>
      <c r="TN21">
        <f>IF($B21=0,1000000,IF(INDEX('計算A'!$D$60:$EQ$104,$B21,139)*IJ21=1,IF(AND($E21=2,NY21=0),1000000,IF($I21&gt;0,IF(6=$J21,IF(OR(AND(139=$I21+1,OR($K21&lt;&gt;'計算A'!$A$3,'計算A'!$A$4=0)),AND(139=$I21-1,OR(19&lt;&gt;'計算A'!$A$3,'計算A'!$A$4=0))),0,IF(19=$K21,200000,ABS(19-$K21)*100)),100000+ABS(6-$J21)*1000+190)+'計算A'!EL$5*50+IF(AND($E21=1,NY21=0),25,0),INDEX('計算A'!EL$110:EL$114,$F21+1)+IF(AND($E21=1,NY21=0),1000,0)+IF($H21=1,(IF('計算A'!EK$117=1,INDEX('計算A'!EK$10:EK$54,$B21),0)+IF('計算A'!EL$117=1,INDEX('計算A'!EM$10:EM$54,$B21),0))*500,0)-IF(AND('計算A'!EK$117=1,ZI21&gt;0),300,0)-IF(AND($L21=1,'計算A'!EL$117=1,IK21=0),300,0))),1000000))</f>
        <v/>
      </c>
      <c r="TO21">
        <f>IF($B21=0,1000000,IF(INDEX('計算A'!$D$60:$EQ$104,$B21,140)*IK21=1,IF(AND($E21=2,NZ21=0),1000000,IF($I21&gt;0,IF(6=$J21,IF(OR(AND(140=$I21+1,OR($K21&lt;&gt;'計算A'!$A$3,'計算A'!$A$4=0)),AND(140=$I21-1,OR(20&lt;&gt;'計算A'!$A$3,'計算A'!$A$4=0))),0,IF(20=$K21,200000,ABS(20-$K21)*100)),100000+ABS(6-$J21)*1000+200)+'計算A'!EM$5*50+IF(AND($E21=1,NZ21=0),25,0),INDEX('計算A'!EM$110:EM$114,$F21+1)+IF(AND($E21=1,NZ21=0),1000,0)+IF($H21=1,(IF('計算A'!EL$117=1,INDEX('計算A'!EL$10:EL$54,$B21),0)+IF('計算A'!EM$117=1,INDEX('計算A'!EN$10:EN$54,$B21),0))*500,0)-IF(AND('計算A'!EL$117=1,ZJ21&gt;0),300,0)-IF(AND($L21=1,'計算A'!EM$117=1,IL21=0),300,0))),1000000))</f>
        <v/>
      </c>
      <c r="TP21">
        <f>IF($B21=0,1000000,IF(INDEX('計算A'!$D$60:$EQ$104,$B21,141)*IL21=1,IF(AND($E21=2,OA21=0),1000000,IF($I21&gt;0,IF(6=$J21,IF(OR(AND(141=$I21+1,OR($K21&lt;&gt;'計算A'!$A$3,'計算A'!$A$4=0)),AND(141=$I21-1,OR(21&lt;&gt;'計算A'!$A$3,'計算A'!$A$4=0))),0,IF(21=$K21,200000,ABS(21-$K21)*100)),100000+ABS(6-$J21)*1000+210)+'計算A'!EN$5*50+IF(AND($E21=1,OA21=0),25,0),INDEX('計算A'!EN$110:EN$114,$F21+1)+IF(AND($E21=1,OA21=0),1000,0)+IF($H21=1,(IF('計算A'!EM$117=1,INDEX('計算A'!EM$10:EM$54,$B21),0)+IF('計算A'!EN$117=1,INDEX('計算A'!EO$10:EO$54,$B21),0))*500,0)-IF(AND('計算A'!EM$117=1,ZK21&gt;0),300,0)-IF(AND($L21=1,'計算A'!EN$117=1,IM21=0),300,0))),1000000))</f>
        <v/>
      </c>
      <c r="TQ21">
        <f>IF($B21=0,1000000,IF(INDEX('計算A'!$D$60:$EQ$104,$B21,142)*IM21=1,IF(AND($E21=2,OB21=0),1000000,IF($I21&gt;0,IF(6=$J21,IF(OR(AND(142=$I21+1,OR($K21&lt;&gt;'計算A'!$A$3,'計算A'!$A$4=0)),AND(142=$I21-1,OR(22&lt;&gt;'計算A'!$A$3,'計算A'!$A$4=0))),0,IF(22=$K21,200000,ABS(22-$K21)*100)),100000+ABS(6-$J21)*1000+220)+'計算A'!EO$5*50+IF(AND($E21=1,OB21=0),25,0),INDEX('計算A'!EO$110:EO$114,$F21+1)+IF(AND($E21=1,OB21=0),1000,0)+IF($H21=1,(IF('計算A'!EN$117=1,INDEX('計算A'!EN$10:EN$54,$B21),0)+IF('計算A'!EO$117=1,INDEX('計算A'!EP$10:EP$54,$B21),0))*500,0)-IF(AND('計算A'!EN$117=1,ZL21&gt;0),300,0)-IF(AND($L21=1,'計算A'!EO$117=1,IN21=0),300,0))),1000000))</f>
        <v/>
      </c>
      <c r="TR21">
        <f>IF($B21=0,1000000,IF(INDEX('計算A'!$D$60:$EQ$104,$B21,143)*IN21=1,IF(AND($E21=2,OC21=0),1000000,IF($I21&gt;0,IF(6=$J21,IF(OR(AND(143=$I21+1,OR($K21&lt;&gt;'計算A'!$A$3,'計算A'!$A$4=0)),AND(143=$I21-1,OR(23&lt;&gt;'計算A'!$A$3,'計算A'!$A$4=0))),0,IF(23=$K21,200000,ABS(23-$K21)*100)),100000+ABS(6-$J21)*1000+230)+'計算A'!EP$5*50+IF(AND($E21=1,OC21=0),25,0),INDEX('計算A'!EP$110:EP$114,$F21+1)+IF(AND($E21=1,OC21=0),1000,0)+IF($H21=1,(IF('計算A'!EO$117=1,INDEX('計算A'!EO$10:EO$54,$B21),0)+IF('計算A'!EP$117=1,INDEX('計算A'!EQ$10:EQ$54,$B21),0))*500,0)-IF(AND('計算A'!EO$117=1,ZM21&gt;0),300,0)-IF(AND($L21=1,'計算A'!EP$117=1,IO21=0),300,0))),1000000))</f>
        <v/>
      </c>
      <c r="TS21">
        <f>IF($B21=0,1000000,IF(INDEX('計算A'!$D$60:$EQ$104,$B21,144)*IO21=1,IF(AND($E21=2,OD21=0),1000000,IF($I21&gt;0,IF(6=$J21,IF(OR(AND(144=$I21+1,OR($K21&lt;&gt;'計算A'!$A$3,'計算A'!$A$4=0)),AND(144=$I21-1,OR(24&lt;&gt;'計算A'!$A$3,'計算A'!$A$4=0))),0,IF(24=$K21,200000,ABS(24-$K21)*100)),100000+ABS(6-$J21)*1000+240)+'計算A'!EQ$5*50+IF(AND($E21=1,OD21=0),25,0),INDEX('計算A'!EQ$110:EQ$114,$F21+1)+IF(AND($E21=1,OD21=0),1000,0)+IF($H21=1,(IF('計算A'!EP$117=1,INDEX('計算A'!EP$10:EP$54,$B21),0))*500,0)-IF(AND('計算A'!EP$117=1,ZN21&gt;0),300,0))),1000000))</f>
        <v/>
      </c>
      <c r="UB21">
        <f>UB20+IF(AND($C20=1,$L20=1),1,0)</f>
        <v/>
      </c>
      <c r="UC21">
        <f>UC20+IF(AND($C20=2,$L20=1),1,0)</f>
        <v/>
      </c>
      <c r="UD21">
        <f>UD20+IF(AND($C20=3,$L20=1),1,0)</f>
        <v/>
      </c>
      <c r="UE21">
        <f>UE20+IF(AND($C20=4,$L20=1),1,0)</f>
        <v/>
      </c>
      <c r="UF21">
        <f>UF20+IF(AND($C20=5,$L20=1),1,0)</f>
        <v/>
      </c>
      <c r="UG21">
        <f>UG20+IF(AND($C20=6,$L20=1),1,0)</f>
        <v/>
      </c>
      <c r="UH21">
        <f>UH20+IF(AND($C20=7,$L20=1),1,0)</f>
        <v/>
      </c>
      <c r="UI21">
        <f>UI20+IF(AND($C20=8,$L20=1),1,0)</f>
        <v/>
      </c>
      <c r="UJ21">
        <f>UJ20+IF(AND($C20=9,$L20=1),1,0)</f>
        <v/>
      </c>
      <c r="UK21">
        <f>UK20+IF(AND($C20=10,$L20=1),1,0)</f>
        <v/>
      </c>
      <c r="UL21">
        <f>UL20+IF(AND($C20=11,$L20=1),1,0)</f>
        <v/>
      </c>
      <c r="UM21">
        <f>UM20+IF(AND($C20=12,$L20=1),1,0)</f>
        <v/>
      </c>
      <c r="UN21">
        <f>UN20+IF(AND($C20=13,$L20=1),1,0)</f>
        <v/>
      </c>
      <c r="UO21">
        <f>UO20+IF(AND($C20=14,$L20=1),1,0)</f>
        <v/>
      </c>
      <c r="UP21">
        <f>UP20+IF(AND($C20=15,$L20=1),1,0)</f>
        <v/>
      </c>
      <c r="UQ21">
        <f>UQ20+IF(AND($C20=16,$L20=1),1,0)</f>
        <v/>
      </c>
      <c r="UR21">
        <f>UR20+IF(AND($C20=17,$L20=1),1,0)</f>
        <v/>
      </c>
      <c r="US21">
        <f>US20+IF(AND($C20=18,$L20=1),1,0)</f>
        <v/>
      </c>
      <c r="UT21">
        <f>UT20+IF(AND($C20=19,$L20=1),1,0)</f>
        <v/>
      </c>
      <c r="UU21">
        <f>UU20+IF(AND($C20=20,$L20=1),1,0)</f>
        <v/>
      </c>
      <c r="UV21">
        <f>UV20+IF(AND($C20=21,$L20=1),1,0)</f>
        <v/>
      </c>
      <c r="UW21">
        <f>UW20+IF(AND($C20=22,$L20=1),1,0)</f>
        <v/>
      </c>
      <c r="UX21">
        <f>UX20+IF(AND($C20=23,$L20=1),1,0)</f>
        <v/>
      </c>
      <c r="UY21">
        <f>UY20+IF(AND($C20=24,$L20=1),1,0)</f>
        <v/>
      </c>
      <c r="UZ21">
        <f>UZ20+IF(AND($C20=25,$L20=1),1,0)</f>
        <v/>
      </c>
      <c r="VA21">
        <f>VA20+IF(AND($C20=26,$L20=1),1,0)</f>
        <v/>
      </c>
      <c r="VB21">
        <f>VB20+IF(AND($C20=27,$L20=1),1,0)</f>
        <v/>
      </c>
      <c r="VC21">
        <f>VC20+IF(AND($C20=28,$L20=1),1,0)</f>
        <v/>
      </c>
      <c r="VD21">
        <f>VD20+IF(AND($C20=29,$L20=1),1,0)</f>
        <v/>
      </c>
      <c r="VE21">
        <f>VE20+IF(AND($C20=30,$L20=1),1,0)</f>
        <v/>
      </c>
      <c r="VF21">
        <f>VF20+IF(AND($C20=31,$L20=1),1,0)</f>
        <v/>
      </c>
      <c r="VG21">
        <f>VG20+IF(AND($C20=32,$L20=1),1,0)</f>
        <v/>
      </c>
      <c r="VH21">
        <f>VH20+IF(AND($C20=33,$L20=1),1,0)</f>
        <v/>
      </c>
      <c r="VI21">
        <f>VI20+IF(AND($C20=34,$L20=1),1,0)</f>
        <v/>
      </c>
      <c r="VJ21">
        <f>VJ20+IF(AND($C20=35,$L20=1),1,0)</f>
        <v/>
      </c>
      <c r="VK21">
        <f>VK20+IF(AND($C20=36,$L20=1),1,0)</f>
        <v/>
      </c>
      <c r="VL21">
        <f>VL20+IF(AND($C20=37,$L20=1),1,0)</f>
        <v/>
      </c>
      <c r="VM21">
        <f>VM20+IF(AND($C20=38,$L20=1),1,0)</f>
        <v/>
      </c>
      <c r="VN21">
        <f>VN20+IF(AND($C20=39,$L20=1),1,0)</f>
        <v/>
      </c>
      <c r="VO21">
        <f>VO20+IF(AND($C20=40,$L20=1),1,0)</f>
        <v/>
      </c>
      <c r="VP21">
        <f>VP20+IF(AND($C20=41,$L20=1),1,0)</f>
        <v/>
      </c>
      <c r="VQ21">
        <f>VQ20+IF(AND($C20=42,$L20=1),1,0)</f>
        <v/>
      </c>
      <c r="VR21">
        <f>VR20+IF(AND($C20=43,$L20=1),1,0)</f>
        <v/>
      </c>
      <c r="VS21">
        <f>VS20+IF(AND($C20=44,$L20=1),1,0)</f>
        <v/>
      </c>
      <c r="VT21">
        <f>VT20+IF(AND($C20=45,$L20=1),1,0)</f>
        <v/>
      </c>
      <c r="VU21">
        <f>VU20+IF(AND($C20=46,$L20=1),1,0)</f>
        <v/>
      </c>
      <c r="VV21">
        <f>VV20+IF(AND($C20=47,$L20=1),1,0)</f>
        <v/>
      </c>
      <c r="VW21">
        <f>VW20+IF(AND($C20=48,$L20=1),1,0)</f>
        <v/>
      </c>
      <c r="VX21">
        <f>VX20+IF(AND($C20=49,$L20=1),1,0)</f>
        <v/>
      </c>
      <c r="VY21">
        <f>VY20+IF(AND($C20=50,$L20=1),1,0)</f>
        <v/>
      </c>
      <c r="VZ21">
        <f>VZ20+IF(AND($C20=51,$L20=1),1,0)</f>
        <v/>
      </c>
      <c r="WA21">
        <f>WA20+IF(AND($C20=52,$L20=1),1,0)</f>
        <v/>
      </c>
      <c r="WB21">
        <f>WB20+IF(AND($C20=53,$L20=1),1,0)</f>
        <v/>
      </c>
      <c r="WC21">
        <f>WC20+IF(AND($C20=54,$L20=1),1,0)</f>
        <v/>
      </c>
      <c r="WD21">
        <f>WD20+IF(AND($C20=55,$L20=1),1,0)</f>
        <v/>
      </c>
      <c r="WE21">
        <f>WE20+IF(AND($C20=56,$L20=1),1,0)</f>
        <v/>
      </c>
      <c r="WF21">
        <f>WF20+IF(AND($C20=57,$L20=1),1,0)</f>
        <v/>
      </c>
      <c r="WG21">
        <f>WG20+IF(AND($C20=58,$L20=1),1,0)</f>
        <v/>
      </c>
      <c r="WH21">
        <f>WH20+IF(AND($C20=59,$L20=1),1,0)</f>
        <v/>
      </c>
      <c r="WI21">
        <f>WI20+IF(AND($C20=60,$L20=1),1,0)</f>
        <v/>
      </c>
      <c r="WJ21">
        <f>WJ20+IF(AND($C20=61,$L20=1),1,0)</f>
        <v/>
      </c>
      <c r="WK21">
        <f>WK20+IF(AND($C20=62,$L20=1),1,0)</f>
        <v/>
      </c>
      <c r="WL21">
        <f>WL20+IF(AND($C20=63,$L20=1),1,0)</f>
        <v/>
      </c>
      <c r="WM21">
        <f>WM20+IF(AND($C20=64,$L20=1),1,0)</f>
        <v/>
      </c>
      <c r="WN21">
        <f>WN20+IF(AND($C20=65,$L20=1),1,0)</f>
        <v/>
      </c>
      <c r="WO21">
        <f>WO20+IF(AND($C20=66,$L20=1),1,0)</f>
        <v/>
      </c>
      <c r="WP21">
        <f>WP20+IF(AND($C20=67,$L20=1),1,0)</f>
        <v/>
      </c>
      <c r="WQ21">
        <f>WQ20+IF(AND($C20=68,$L20=1),1,0)</f>
        <v/>
      </c>
      <c r="WR21">
        <f>WR20+IF(AND($C20=69,$L20=1),1,0)</f>
        <v/>
      </c>
      <c r="WS21">
        <f>WS20+IF(AND($C20=70,$L20=1),1,0)</f>
        <v/>
      </c>
      <c r="WT21">
        <f>WT20+IF(AND($C20=71,$L20=1),1,0)</f>
        <v/>
      </c>
      <c r="WU21">
        <f>WU20+IF(AND($C20=72,$L20=1),1,0)</f>
        <v/>
      </c>
      <c r="WV21">
        <f>WV20+IF(AND($C20=73,$L20=1),1,0)</f>
        <v/>
      </c>
      <c r="WW21">
        <f>WW20+IF(AND($C20=74,$L20=1),1,0)</f>
        <v/>
      </c>
      <c r="WX21">
        <f>WX20+IF(AND($C20=75,$L20=1),1,0)</f>
        <v/>
      </c>
      <c r="WY21">
        <f>WY20+IF(AND($C20=76,$L20=1),1,0)</f>
        <v/>
      </c>
      <c r="WZ21">
        <f>WZ20+IF(AND($C20=77,$L20=1),1,0)</f>
        <v/>
      </c>
      <c r="XA21">
        <f>XA20+IF(AND($C20=78,$L20=1),1,0)</f>
        <v/>
      </c>
      <c r="XB21">
        <f>XB20+IF(AND($C20=79,$L20=1),1,0)</f>
        <v/>
      </c>
      <c r="XC21">
        <f>XC20+IF(AND($C20=80,$L20=1),1,0)</f>
        <v/>
      </c>
      <c r="XD21">
        <f>XD20+IF(AND($C20=81,$L20=1),1,0)</f>
        <v/>
      </c>
      <c r="XE21">
        <f>XE20+IF(AND($C20=82,$L20=1),1,0)</f>
        <v/>
      </c>
      <c r="XF21">
        <f>XF20+IF(AND($C20=83,$L20=1),1,0)</f>
        <v/>
      </c>
      <c r="XG21">
        <f>XG20+IF(AND($C20=84,$L20=1),1,0)</f>
        <v/>
      </c>
      <c r="XH21">
        <f>XH20+IF(AND($C20=85,$L20=1),1,0)</f>
        <v/>
      </c>
      <c r="XI21">
        <f>XI20+IF(AND($C20=86,$L20=1),1,0)</f>
        <v/>
      </c>
      <c r="XJ21">
        <f>XJ20+IF(AND($C20=87,$L20=1),1,0)</f>
        <v/>
      </c>
      <c r="XK21">
        <f>XK20+IF(AND($C20=88,$L20=1),1,0)</f>
        <v/>
      </c>
      <c r="XL21">
        <f>XL20+IF(AND($C20=89,$L20=1),1,0)</f>
        <v/>
      </c>
      <c r="XM21">
        <f>XM20+IF(AND($C20=90,$L20=1),1,0)</f>
        <v/>
      </c>
      <c r="XN21">
        <f>XN20+IF(AND($C20=91,$L20=1),1,0)</f>
        <v/>
      </c>
      <c r="XO21">
        <f>XO20+IF(AND($C20=92,$L20=1),1,0)</f>
        <v/>
      </c>
      <c r="XP21">
        <f>XP20+IF(AND($C20=93,$L20=1),1,0)</f>
        <v/>
      </c>
      <c r="XQ21">
        <f>XQ20+IF(AND($C20=94,$L20=1),1,0)</f>
        <v/>
      </c>
      <c r="XR21">
        <f>XR20+IF(AND($C20=95,$L20=1),1,0)</f>
        <v/>
      </c>
      <c r="XS21">
        <f>XS20+IF(AND($C20=96,$L20=1),1,0)</f>
        <v/>
      </c>
      <c r="XT21">
        <f>XT20+IF(AND($C20=97,$L20=1),1,0)</f>
        <v/>
      </c>
      <c r="XU21">
        <f>XU20+IF(AND($C20=98,$L20=1),1,0)</f>
        <v/>
      </c>
      <c r="XV21">
        <f>XV20+IF(AND($C20=99,$L20=1),1,0)</f>
        <v/>
      </c>
      <c r="XW21">
        <f>XW20+IF(AND($C20=100,$L20=1),1,0)</f>
        <v/>
      </c>
      <c r="XX21">
        <f>XX20+IF(AND($C20=101,$L20=1),1,0)</f>
        <v/>
      </c>
      <c r="XY21">
        <f>XY20+IF(AND($C20=102,$L20=1),1,0)</f>
        <v/>
      </c>
      <c r="XZ21">
        <f>XZ20+IF(AND($C20=103,$L20=1),1,0)</f>
        <v/>
      </c>
      <c r="YA21">
        <f>YA20+IF(AND($C20=104,$L20=1),1,0)</f>
        <v/>
      </c>
      <c r="YB21">
        <f>YB20+IF(AND($C20=105,$L20=1),1,0)</f>
        <v/>
      </c>
      <c r="YC21">
        <f>YC20+IF(AND($C20=106,$L20=1),1,0)</f>
        <v/>
      </c>
      <c r="YD21">
        <f>YD20+IF(AND($C20=107,$L20=1),1,0)</f>
        <v/>
      </c>
      <c r="YE21">
        <f>YE20+IF(AND($C20=108,$L20=1),1,0)</f>
        <v/>
      </c>
      <c r="YF21">
        <f>YF20+IF(AND($C20=109,$L20=1),1,0)</f>
        <v/>
      </c>
      <c r="YG21">
        <f>YG20+IF(AND($C20=110,$L20=1),1,0)</f>
        <v/>
      </c>
      <c r="YH21">
        <f>YH20+IF(AND($C20=111,$L20=1),1,0)</f>
        <v/>
      </c>
      <c r="YI21">
        <f>YI20+IF(AND($C20=112,$L20=1),1,0)</f>
        <v/>
      </c>
      <c r="YJ21">
        <f>YJ20+IF(AND($C20=113,$L20=1),1,0)</f>
        <v/>
      </c>
      <c r="YK21">
        <f>YK20+IF(AND($C20=114,$L20=1),1,0)</f>
        <v/>
      </c>
      <c r="YL21">
        <f>YL20+IF(AND($C20=115,$L20=1),1,0)</f>
        <v/>
      </c>
      <c r="YM21">
        <f>YM20+IF(AND($C20=116,$L20=1),1,0)</f>
        <v/>
      </c>
      <c r="YN21">
        <f>YN20+IF(AND($C20=117,$L20=1),1,0)</f>
        <v/>
      </c>
      <c r="YO21">
        <f>YO20+IF(AND($C20=118,$L20=1),1,0)</f>
        <v/>
      </c>
      <c r="YP21">
        <f>YP20+IF(AND($C20=119,$L20=1),1,0)</f>
        <v/>
      </c>
      <c r="YQ21">
        <f>YQ20+IF(AND($C20=120,$L20=1),1,0)</f>
        <v/>
      </c>
      <c r="YR21">
        <f>YR20+IF(AND($C20=121,$L20=1),1,0)</f>
        <v/>
      </c>
      <c r="YS21">
        <f>YS20+IF(AND($C20=122,$L20=1),1,0)</f>
        <v/>
      </c>
      <c r="YT21">
        <f>YT20+IF(AND($C20=123,$L20=1),1,0)</f>
        <v/>
      </c>
      <c r="YU21">
        <f>YU20+IF(AND($C20=124,$L20=1),1,0)</f>
        <v/>
      </c>
      <c r="YV21">
        <f>YV20+IF(AND($C20=125,$L20=1),1,0)</f>
        <v/>
      </c>
      <c r="YW21">
        <f>YW20+IF(AND($C20=126,$L20=1),1,0)</f>
        <v/>
      </c>
      <c r="YX21">
        <f>YX20+IF(AND($C20=127,$L20=1),1,0)</f>
        <v/>
      </c>
      <c r="YY21">
        <f>YY20+IF(AND($C20=128,$L20=1),1,0)</f>
        <v/>
      </c>
      <c r="YZ21">
        <f>YZ20+IF(AND($C20=129,$L20=1),1,0)</f>
        <v/>
      </c>
      <c r="ZA21">
        <f>ZA20+IF(AND($C20=130,$L20=1),1,0)</f>
        <v/>
      </c>
      <c r="ZB21">
        <f>ZB20+IF(AND($C20=131,$L20=1),1,0)</f>
        <v/>
      </c>
      <c r="ZC21">
        <f>ZC20+IF(AND($C20=132,$L20=1),1,0)</f>
        <v/>
      </c>
      <c r="ZD21">
        <f>ZD20+IF(AND($C20=133,$L20=1),1,0)</f>
        <v/>
      </c>
      <c r="ZE21">
        <f>ZE20+IF(AND($C20=134,$L20=1),1,0)</f>
        <v/>
      </c>
      <c r="ZF21">
        <f>ZF20+IF(AND($C20=135,$L20=1),1,0)</f>
        <v/>
      </c>
      <c r="ZG21">
        <f>ZG20+IF(AND($C20=136,$L20=1),1,0)</f>
        <v/>
      </c>
      <c r="ZH21">
        <f>ZH20+IF(AND($C20=137,$L20=1),1,0)</f>
        <v/>
      </c>
      <c r="ZI21">
        <f>ZI20+IF(AND($C20=138,$L20=1),1,0)</f>
        <v/>
      </c>
      <c r="ZJ21">
        <f>ZJ20+IF(AND($C20=139,$L20=1),1,0)</f>
        <v/>
      </c>
      <c r="ZK21">
        <f>ZK20+IF(AND($C20=140,$L20=1),1,0)</f>
        <v/>
      </c>
      <c r="ZL21">
        <f>ZL20+IF(AND($C20=141,$L20=1),1,0)</f>
        <v/>
      </c>
      <c r="ZM21">
        <f>ZM20+IF(AND($C20=142,$L20=1),1,0)</f>
        <v/>
      </c>
      <c r="ZN21">
        <f>ZN20+IF(AND($C20=143,$L20=1),1,0)</f>
        <v/>
      </c>
      <c r="ZO21">
        <f>ZO20+IF(AND($C20=144,$L20=1),1,0)</f>
        <v/>
      </c>
    </row>
    <row r="22">
      <c r="A22" t="n">
        <v>20</v>
      </c>
      <c r="B22">
        <f>IF(MIN(BH22:CZ22)&gt;=1000000,0,MATCH(MIN(BH22:CZ22),BH22:CZ22,0))</f>
        <v/>
      </c>
      <c r="C22">
        <f>IF(MIN(OF22:TS22)&gt;=1000000,0,MATCH(MIN(OF22:TS22),OF22:TS22,0))</f>
        <v/>
      </c>
      <c r="D22">
        <f>IF(C22&gt;0,INDEX('計算A'!$D$5:$EQ$5,C22),0)</f>
        <v/>
      </c>
      <c r="E22">
        <f>IF(B22=0,0,INDEX('計算A'!$IQ$10:$IQ$54,B22))</f>
        <v/>
      </c>
      <c r="F22">
        <f>IF(B22=0,0,INDEX('計算A'!$IP$10:$IP$54,B22))</f>
        <v/>
      </c>
      <c r="G22">
        <f>IF(AND(C22&gt;0,E22&gt;0),IF(AND(INDEX('計算A'!$D$106:$EQ$106,C22)=1,INDEX($IQ22:$OD22,C22)=1),C22+1,0),0)</f>
        <v/>
      </c>
      <c r="H22">
        <f>IF(B22=0,0,INDEX('計算A'!$IW$10:$IW$54,B22))</f>
        <v/>
      </c>
      <c r="I22">
        <f>IF(B22=0,0,MAX(0,INDEX('計算A'!$IT$10:$IT$54,B22)))</f>
        <v/>
      </c>
      <c r="J22">
        <f>IF(I22=0,0,INDEX('計算A'!$D$2:$EQ$2,I22))</f>
        <v/>
      </c>
      <c r="K22">
        <f>IF(I22=0,0,INDEX('計算A'!$D$3:$EQ$3,I22))</f>
        <v/>
      </c>
      <c r="L22">
        <f>IF(B22=0,0,INDEX('計算A'!$IX$10:$IX$54,B22))</f>
        <v/>
      </c>
      <c r="N22">
        <f>MAX(N21,IF($B21=1,1,0))</f>
        <v/>
      </c>
      <c r="O22">
        <f>MAX(O21,IF($B21=2,1,0))</f>
        <v/>
      </c>
      <c r="P22">
        <f>MAX(P21,IF($B21=3,1,0))</f>
        <v/>
      </c>
      <c r="Q22">
        <f>MAX(Q21,IF($B21=4,1,0))</f>
        <v/>
      </c>
      <c r="R22">
        <f>MAX(R21,IF($B21=5,1,0))</f>
        <v/>
      </c>
      <c r="S22">
        <f>MAX(S21,IF($B21=6,1,0))</f>
        <v/>
      </c>
      <c r="T22">
        <f>MAX(T21,IF($B21=7,1,0))</f>
        <v/>
      </c>
      <c r="U22">
        <f>MAX(U21,IF($B21=8,1,0))</f>
        <v/>
      </c>
      <c r="V22">
        <f>MAX(V21,IF($B21=9,1,0))</f>
        <v/>
      </c>
      <c r="W22">
        <f>MAX(W21,IF($B21=10,1,0))</f>
        <v/>
      </c>
      <c r="X22">
        <f>MAX(X21,IF($B21=11,1,0))</f>
        <v/>
      </c>
      <c r="Y22">
        <f>MAX(Y21,IF($B21=12,1,0))</f>
        <v/>
      </c>
      <c r="Z22">
        <f>MAX(Z21,IF($B21=13,1,0))</f>
        <v/>
      </c>
      <c r="AA22">
        <f>MAX(AA21,IF($B21=14,1,0))</f>
        <v/>
      </c>
      <c r="AB22">
        <f>MAX(AB21,IF($B21=15,1,0))</f>
        <v/>
      </c>
      <c r="AC22">
        <f>MAX(AC21,IF($B21=16,1,0))</f>
        <v/>
      </c>
      <c r="AD22">
        <f>MAX(AD21,IF($B21=17,1,0))</f>
        <v/>
      </c>
      <c r="AE22">
        <f>MAX(AE21,IF($B21=18,1,0))</f>
        <v/>
      </c>
      <c r="AF22">
        <f>MAX(AF21,IF($B21=19,1,0))</f>
        <v/>
      </c>
      <c r="AG22">
        <f>MAX(AG21,IF($B21=20,1,0))</f>
        <v/>
      </c>
      <c r="AH22">
        <f>MAX(AH21,IF($B21=21,1,0))</f>
        <v/>
      </c>
      <c r="AI22">
        <f>MAX(AI21,IF($B21=22,1,0))</f>
        <v/>
      </c>
      <c r="AJ22">
        <f>MAX(AJ21,IF($B21=23,1,0))</f>
        <v/>
      </c>
      <c r="AK22">
        <f>MAX(AK21,IF($B21=24,1,0))</f>
        <v/>
      </c>
      <c r="AL22">
        <f>MAX(AL21,IF($B21=25,1,0))</f>
        <v/>
      </c>
      <c r="AM22">
        <f>MAX(AM21,IF($B21=26,1,0))</f>
        <v/>
      </c>
      <c r="AN22">
        <f>MAX(AN21,IF($B21=27,1,0))</f>
        <v/>
      </c>
      <c r="AO22">
        <f>MAX(AO21,IF($B21=28,1,0))</f>
        <v/>
      </c>
      <c r="AP22">
        <f>MAX(AP21,IF($B21=29,1,0))</f>
        <v/>
      </c>
      <c r="AQ22">
        <f>MAX(AQ21,IF($B21=30,1,0))</f>
        <v/>
      </c>
      <c r="AR22">
        <f>MAX(AR21,IF($B21=31,1,0))</f>
        <v/>
      </c>
      <c r="AS22">
        <f>MAX(AS21,IF($B21=32,1,0))</f>
        <v/>
      </c>
      <c r="AT22">
        <f>MAX(AT21,IF($B21=33,1,0))</f>
        <v/>
      </c>
      <c r="AU22">
        <f>MAX(AU21,IF($B21=34,1,0))</f>
        <v/>
      </c>
      <c r="AV22">
        <f>MAX(AV21,IF($B21=35,1,0))</f>
        <v/>
      </c>
      <c r="AW22">
        <f>MAX(AW21,IF($B21=36,1,0))</f>
        <v/>
      </c>
      <c r="AX22">
        <f>MAX(AX21,IF($B21=37,1,0))</f>
        <v/>
      </c>
      <c r="AY22">
        <f>MAX(AY21,IF($B21=38,1,0))</f>
        <v/>
      </c>
      <c r="AZ22">
        <f>MAX(AZ21,IF($B21=39,1,0))</f>
        <v/>
      </c>
      <c r="BA22">
        <f>MAX(BA21,IF($B21=40,1,0))</f>
        <v/>
      </c>
      <c r="BB22">
        <f>MAX(BB21,IF($B21=41,1,0))</f>
        <v/>
      </c>
      <c r="BC22">
        <f>MAX(BC21,IF($B21=42,1,0))</f>
        <v/>
      </c>
      <c r="BD22">
        <f>MAX(BD21,IF($B21=43,1,0))</f>
        <v/>
      </c>
      <c r="BE22">
        <f>MAX(BE21,IF($B21=44,1,0))</f>
        <v/>
      </c>
      <c r="BF22">
        <f>MAX(BF21,IF($B21=45,1,0))</f>
        <v/>
      </c>
      <c r="BH22">
        <f>IF(N22=1,1000000,IF('計算A'!$IT$10&gt;0,0,500000)+IF('計算A'!$IQ$10=2,SUMPRODUCT('計算A'!$D$60:$EQ$60,$DB22:$IO22,$IQ22:$OD22),SUMPRODUCT('計算A'!$D$60:$EQ$60,$DB22:$IO22))*1000+1)</f>
        <v/>
      </c>
      <c r="BI22">
        <f>IF(O22=1,1000000,IF('計算A'!$IT$11&gt;0,0,500000)+IF('計算A'!$IQ$11=2,SUMPRODUCT('計算A'!$D$61:$EQ$61,$DB22:$IO22,$IQ22:$OD22),SUMPRODUCT('計算A'!$D$61:$EQ$61,$DB22:$IO22))*1000+2)</f>
        <v/>
      </c>
      <c r="BJ22">
        <f>IF(P22=1,1000000,IF('計算A'!$IT$12&gt;0,0,500000)+IF('計算A'!$IQ$12=2,SUMPRODUCT('計算A'!$D$62:$EQ$62,$DB22:$IO22,$IQ22:$OD22),SUMPRODUCT('計算A'!$D$62:$EQ$62,$DB22:$IO22))*1000+3)</f>
        <v/>
      </c>
      <c r="BK22">
        <f>IF(Q22=1,1000000,IF('計算A'!$IT$13&gt;0,0,500000)+IF('計算A'!$IQ$13=2,SUMPRODUCT('計算A'!$D$63:$EQ$63,$DB22:$IO22,$IQ22:$OD22),SUMPRODUCT('計算A'!$D$63:$EQ$63,$DB22:$IO22))*1000+4)</f>
        <v/>
      </c>
      <c r="BL22">
        <f>IF(R22=1,1000000,IF('計算A'!$IT$14&gt;0,0,500000)+IF('計算A'!$IQ$14=2,SUMPRODUCT('計算A'!$D$64:$EQ$64,$DB22:$IO22,$IQ22:$OD22),SUMPRODUCT('計算A'!$D$64:$EQ$64,$DB22:$IO22))*1000+5)</f>
        <v/>
      </c>
      <c r="BM22">
        <f>IF(S22=1,1000000,IF('計算A'!$IT$15&gt;0,0,500000)+IF('計算A'!$IQ$15=2,SUMPRODUCT('計算A'!$D$65:$EQ$65,$DB22:$IO22,$IQ22:$OD22),SUMPRODUCT('計算A'!$D$65:$EQ$65,$DB22:$IO22))*1000+6)</f>
        <v/>
      </c>
      <c r="BN22">
        <f>IF(T22=1,1000000,IF('計算A'!$IT$16&gt;0,0,500000)+IF('計算A'!$IQ$16=2,SUMPRODUCT('計算A'!$D$66:$EQ$66,$DB22:$IO22,$IQ22:$OD22),SUMPRODUCT('計算A'!$D$66:$EQ$66,$DB22:$IO22))*1000+7)</f>
        <v/>
      </c>
      <c r="BO22">
        <f>IF(U22=1,1000000,IF('計算A'!$IT$17&gt;0,0,500000)+IF('計算A'!$IQ$17=2,SUMPRODUCT('計算A'!$D$67:$EQ$67,$DB22:$IO22,$IQ22:$OD22),SUMPRODUCT('計算A'!$D$67:$EQ$67,$DB22:$IO22))*1000+8)</f>
        <v/>
      </c>
      <c r="BP22">
        <f>IF(V22=1,1000000,IF('計算A'!$IT$18&gt;0,0,500000)+IF('計算A'!$IQ$18=2,SUMPRODUCT('計算A'!$D$68:$EQ$68,$DB22:$IO22,$IQ22:$OD22),SUMPRODUCT('計算A'!$D$68:$EQ$68,$DB22:$IO22))*1000+9)</f>
        <v/>
      </c>
      <c r="BQ22">
        <f>IF(W22=1,1000000,IF('計算A'!$IT$19&gt;0,0,500000)+IF('計算A'!$IQ$19=2,SUMPRODUCT('計算A'!$D$69:$EQ$69,$DB22:$IO22,$IQ22:$OD22),SUMPRODUCT('計算A'!$D$69:$EQ$69,$DB22:$IO22))*1000+10)</f>
        <v/>
      </c>
      <c r="BR22">
        <f>IF(X22=1,1000000,IF('計算A'!$IT$20&gt;0,0,500000)+IF('計算A'!$IQ$20=2,SUMPRODUCT('計算A'!$D$70:$EQ$70,$DB22:$IO22,$IQ22:$OD22),SUMPRODUCT('計算A'!$D$70:$EQ$70,$DB22:$IO22))*1000+11)</f>
        <v/>
      </c>
      <c r="BS22">
        <f>IF(Y22=1,1000000,IF('計算A'!$IT$21&gt;0,0,500000)+IF('計算A'!$IQ$21=2,SUMPRODUCT('計算A'!$D$71:$EQ$71,$DB22:$IO22,$IQ22:$OD22),SUMPRODUCT('計算A'!$D$71:$EQ$71,$DB22:$IO22))*1000+12)</f>
        <v/>
      </c>
      <c r="BT22">
        <f>IF(Z22=1,1000000,IF('計算A'!$IT$22&gt;0,0,500000)+IF('計算A'!$IQ$22=2,SUMPRODUCT('計算A'!$D$72:$EQ$72,$DB22:$IO22,$IQ22:$OD22),SUMPRODUCT('計算A'!$D$72:$EQ$72,$DB22:$IO22))*1000+13)</f>
        <v/>
      </c>
      <c r="BU22">
        <f>IF(AA22=1,1000000,IF('計算A'!$IT$23&gt;0,0,500000)+IF('計算A'!$IQ$23=2,SUMPRODUCT('計算A'!$D$73:$EQ$73,$DB22:$IO22,$IQ22:$OD22),SUMPRODUCT('計算A'!$D$73:$EQ$73,$DB22:$IO22))*1000+14)</f>
        <v/>
      </c>
      <c r="BV22">
        <f>IF(AB22=1,1000000,IF('計算A'!$IT$24&gt;0,0,500000)+IF('計算A'!$IQ$24=2,SUMPRODUCT('計算A'!$D$74:$EQ$74,$DB22:$IO22,$IQ22:$OD22),SUMPRODUCT('計算A'!$D$74:$EQ$74,$DB22:$IO22))*1000+15)</f>
        <v/>
      </c>
      <c r="BW22">
        <f>IF(AC22=1,1000000,IF('計算A'!$IT$25&gt;0,0,500000)+IF('計算A'!$IQ$25=2,SUMPRODUCT('計算A'!$D$75:$EQ$75,$DB22:$IO22,$IQ22:$OD22),SUMPRODUCT('計算A'!$D$75:$EQ$75,$DB22:$IO22))*1000+16)</f>
        <v/>
      </c>
      <c r="BX22">
        <f>IF(AD22=1,1000000,IF('計算A'!$IT$26&gt;0,0,500000)+IF('計算A'!$IQ$26=2,SUMPRODUCT('計算A'!$D$76:$EQ$76,$DB22:$IO22,$IQ22:$OD22),SUMPRODUCT('計算A'!$D$76:$EQ$76,$DB22:$IO22))*1000+17)</f>
        <v/>
      </c>
      <c r="BY22">
        <f>IF(AE22=1,1000000,IF('計算A'!$IT$27&gt;0,0,500000)+IF('計算A'!$IQ$27=2,SUMPRODUCT('計算A'!$D$77:$EQ$77,$DB22:$IO22,$IQ22:$OD22),SUMPRODUCT('計算A'!$D$77:$EQ$77,$DB22:$IO22))*1000+18)</f>
        <v/>
      </c>
      <c r="BZ22">
        <f>IF(AF22=1,1000000,IF('計算A'!$IT$28&gt;0,0,500000)+IF('計算A'!$IQ$28=2,SUMPRODUCT('計算A'!$D$78:$EQ$78,$DB22:$IO22,$IQ22:$OD22),SUMPRODUCT('計算A'!$D$78:$EQ$78,$DB22:$IO22))*1000+19)</f>
        <v/>
      </c>
      <c r="CA22">
        <f>IF(AG22=1,1000000,IF('計算A'!$IT$29&gt;0,0,500000)+IF('計算A'!$IQ$29=2,SUMPRODUCT('計算A'!$D$79:$EQ$79,$DB22:$IO22,$IQ22:$OD22),SUMPRODUCT('計算A'!$D$79:$EQ$79,$DB22:$IO22))*1000+20)</f>
        <v/>
      </c>
      <c r="CB22">
        <f>IF(AH22=1,1000000,IF('計算A'!$IT$30&gt;0,0,500000)+IF('計算A'!$IQ$30=2,SUMPRODUCT('計算A'!$D$80:$EQ$80,$DB22:$IO22,$IQ22:$OD22),SUMPRODUCT('計算A'!$D$80:$EQ$80,$DB22:$IO22))*1000+21)</f>
        <v/>
      </c>
      <c r="CC22">
        <f>IF(AI22=1,1000000,IF('計算A'!$IT$31&gt;0,0,500000)+IF('計算A'!$IQ$31=2,SUMPRODUCT('計算A'!$D$81:$EQ$81,$DB22:$IO22,$IQ22:$OD22),SUMPRODUCT('計算A'!$D$81:$EQ$81,$DB22:$IO22))*1000+22)</f>
        <v/>
      </c>
      <c r="CD22">
        <f>IF(AJ22=1,1000000,IF('計算A'!$IT$32&gt;0,0,500000)+IF('計算A'!$IQ$32=2,SUMPRODUCT('計算A'!$D$82:$EQ$82,$DB22:$IO22,$IQ22:$OD22),SUMPRODUCT('計算A'!$D$82:$EQ$82,$DB22:$IO22))*1000+23)</f>
        <v/>
      </c>
      <c r="CE22">
        <f>IF(AK22=1,1000000,IF('計算A'!$IT$33&gt;0,0,500000)+IF('計算A'!$IQ$33=2,SUMPRODUCT('計算A'!$D$83:$EQ$83,$DB22:$IO22,$IQ22:$OD22),SUMPRODUCT('計算A'!$D$83:$EQ$83,$DB22:$IO22))*1000+24)</f>
        <v/>
      </c>
      <c r="CF22">
        <f>IF(AL22=1,1000000,IF('計算A'!$IT$34&gt;0,0,500000)+IF('計算A'!$IQ$34=2,SUMPRODUCT('計算A'!$D$84:$EQ$84,$DB22:$IO22,$IQ22:$OD22),SUMPRODUCT('計算A'!$D$84:$EQ$84,$DB22:$IO22))*1000+25)</f>
        <v/>
      </c>
      <c r="CG22">
        <f>IF(AM22=1,1000000,IF('計算A'!$IT$35&gt;0,0,500000)+IF('計算A'!$IQ$35=2,SUMPRODUCT('計算A'!$D$85:$EQ$85,$DB22:$IO22,$IQ22:$OD22),SUMPRODUCT('計算A'!$D$85:$EQ$85,$DB22:$IO22))*1000+26)</f>
        <v/>
      </c>
      <c r="CH22">
        <f>IF(AN22=1,1000000,IF('計算A'!$IT$36&gt;0,0,500000)+IF('計算A'!$IQ$36=2,SUMPRODUCT('計算A'!$D$86:$EQ$86,$DB22:$IO22,$IQ22:$OD22),SUMPRODUCT('計算A'!$D$86:$EQ$86,$DB22:$IO22))*1000+27)</f>
        <v/>
      </c>
      <c r="CI22">
        <f>IF(AO22=1,1000000,IF('計算A'!$IT$37&gt;0,0,500000)+IF('計算A'!$IQ$37=2,SUMPRODUCT('計算A'!$D$87:$EQ$87,$DB22:$IO22,$IQ22:$OD22),SUMPRODUCT('計算A'!$D$87:$EQ$87,$DB22:$IO22))*1000+28)</f>
        <v/>
      </c>
      <c r="CJ22">
        <f>IF(AP22=1,1000000,IF('計算A'!$IT$38&gt;0,0,500000)+IF('計算A'!$IQ$38=2,SUMPRODUCT('計算A'!$D$88:$EQ$88,$DB22:$IO22,$IQ22:$OD22),SUMPRODUCT('計算A'!$D$88:$EQ$88,$DB22:$IO22))*1000+29)</f>
        <v/>
      </c>
      <c r="CK22">
        <f>IF(AQ22=1,1000000,IF('計算A'!$IT$39&gt;0,0,500000)+IF('計算A'!$IQ$39=2,SUMPRODUCT('計算A'!$D$89:$EQ$89,$DB22:$IO22,$IQ22:$OD22),SUMPRODUCT('計算A'!$D$89:$EQ$89,$DB22:$IO22))*1000+30)</f>
        <v/>
      </c>
      <c r="CL22">
        <f>IF(AR22=1,1000000,IF('計算A'!$IT$40&gt;0,0,500000)+IF('計算A'!$IQ$40=2,SUMPRODUCT('計算A'!$D$90:$EQ$90,$DB22:$IO22,$IQ22:$OD22),SUMPRODUCT('計算A'!$D$90:$EQ$90,$DB22:$IO22))*1000+31)</f>
        <v/>
      </c>
      <c r="CM22">
        <f>IF(AS22=1,1000000,IF('計算A'!$IT$41&gt;0,0,500000)+IF('計算A'!$IQ$41=2,SUMPRODUCT('計算A'!$D$91:$EQ$91,$DB22:$IO22,$IQ22:$OD22),SUMPRODUCT('計算A'!$D$91:$EQ$91,$DB22:$IO22))*1000+32)</f>
        <v/>
      </c>
      <c r="CN22">
        <f>IF(AT22=1,1000000,IF('計算A'!$IT$42&gt;0,0,500000)+IF('計算A'!$IQ$42=2,SUMPRODUCT('計算A'!$D$92:$EQ$92,$DB22:$IO22,$IQ22:$OD22),SUMPRODUCT('計算A'!$D$92:$EQ$92,$DB22:$IO22))*1000+33)</f>
        <v/>
      </c>
      <c r="CO22">
        <f>IF(AU22=1,1000000,IF('計算A'!$IT$43&gt;0,0,500000)+IF('計算A'!$IQ$43=2,SUMPRODUCT('計算A'!$D$93:$EQ$93,$DB22:$IO22,$IQ22:$OD22),SUMPRODUCT('計算A'!$D$93:$EQ$93,$DB22:$IO22))*1000+34)</f>
        <v/>
      </c>
      <c r="CP22">
        <f>IF(AV22=1,1000000,IF('計算A'!$IT$44&gt;0,0,500000)+IF('計算A'!$IQ$44=2,SUMPRODUCT('計算A'!$D$94:$EQ$94,$DB22:$IO22,$IQ22:$OD22),SUMPRODUCT('計算A'!$D$94:$EQ$94,$DB22:$IO22))*1000+35)</f>
        <v/>
      </c>
      <c r="CQ22">
        <f>IF(AW22=1,1000000,IF('計算A'!$IT$45&gt;0,0,500000)+IF('計算A'!$IQ$45=2,SUMPRODUCT('計算A'!$D$95:$EQ$95,$DB22:$IO22,$IQ22:$OD22),SUMPRODUCT('計算A'!$D$95:$EQ$95,$DB22:$IO22))*1000+36)</f>
        <v/>
      </c>
      <c r="CR22">
        <f>IF(AX22=1,1000000,IF('計算A'!$IT$46&gt;0,0,500000)+IF('計算A'!$IQ$46=2,SUMPRODUCT('計算A'!$D$96:$EQ$96,$DB22:$IO22,$IQ22:$OD22),SUMPRODUCT('計算A'!$D$96:$EQ$96,$DB22:$IO22))*1000+37)</f>
        <v/>
      </c>
      <c r="CS22">
        <f>IF(AY22=1,1000000,IF('計算A'!$IT$47&gt;0,0,500000)+IF('計算A'!$IQ$47=2,SUMPRODUCT('計算A'!$D$97:$EQ$97,$DB22:$IO22,$IQ22:$OD22),SUMPRODUCT('計算A'!$D$97:$EQ$97,$DB22:$IO22))*1000+38)</f>
        <v/>
      </c>
      <c r="CT22">
        <f>IF(AZ22=1,1000000,IF('計算A'!$IT$48&gt;0,0,500000)+IF('計算A'!$IQ$48=2,SUMPRODUCT('計算A'!$D$98:$EQ$98,$DB22:$IO22,$IQ22:$OD22),SUMPRODUCT('計算A'!$D$98:$EQ$98,$DB22:$IO22))*1000+39)</f>
        <v/>
      </c>
      <c r="CU22">
        <f>IF(BA22=1,1000000,IF('計算A'!$IT$49&gt;0,0,500000)+IF('計算A'!$IQ$49=2,SUMPRODUCT('計算A'!$D$99:$EQ$99,$DB22:$IO22,$IQ22:$OD22),SUMPRODUCT('計算A'!$D$99:$EQ$99,$DB22:$IO22))*1000+40)</f>
        <v/>
      </c>
      <c r="CV22">
        <f>IF(BB22=1,1000000,IF('計算A'!$IT$50&gt;0,0,500000)+IF('計算A'!$IQ$50=2,SUMPRODUCT('計算A'!$D$100:$EQ$100,$DB22:$IO22,$IQ22:$OD22),SUMPRODUCT('計算A'!$D$100:$EQ$100,$DB22:$IO22))*1000+41)</f>
        <v/>
      </c>
      <c r="CW22">
        <f>IF(BC22=1,1000000,IF('計算A'!$IT$51&gt;0,0,500000)+IF('計算A'!$IQ$51=2,SUMPRODUCT('計算A'!$D$101:$EQ$101,$DB22:$IO22,$IQ22:$OD22),SUMPRODUCT('計算A'!$D$101:$EQ$101,$DB22:$IO22))*1000+42)</f>
        <v/>
      </c>
      <c r="CX22">
        <f>IF(BD22=1,1000000,IF('計算A'!$IT$52&gt;0,0,500000)+IF('計算A'!$IQ$52=2,SUMPRODUCT('計算A'!$D$102:$EQ$102,$DB22:$IO22,$IQ22:$OD22),SUMPRODUCT('計算A'!$D$102:$EQ$102,$DB22:$IO22))*1000+43)</f>
        <v/>
      </c>
      <c r="CY22">
        <f>IF(BE22=1,1000000,IF('計算A'!$IT$53&gt;0,0,500000)+IF('計算A'!$IQ$53=2,SUMPRODUCT('計算A'!$D$103:$EQ$103,$DB22:$IO22,$IQ22:$OD22),SUMPRODUCT('計算A'!$D$103:$EQ$103,$DB22:$IO22))*1000+44)</f>
        <v/>
      </c>
      <c r="CZ22">
        <f>IF(BF22=1,1000000,IF('計算A'!$IT$54&gt;0,0,500000)+IF('計算A'!$IQ$54=2,SUMPRODUCT('計算A'!$D$104:$EQ$104,$DB22:$IO22,$IQ22:$OD22),SUMPRODUCT('計算A'!$D$104:$EQ$104,$DB22:$IO22))*1000+45)</f>
        <v/>
      </c>
      <c r="DB22">
        <f>DB21*IF(OR($C21=1,$G21=1),0,1)</f>
        <v/>
      </c>
      <c r="DC22">
        <f>DC21*IF(OR($C21=2,$G21=2),0,1)</f>
        <v/>
      </c>
      <c r="DD22">
        <f>DD21*IF(OR($C21=3,$G21=3),0,1)</f>
        <v/>
      </c>
      <c r="DE22">
        <f>DE21*IF(OR($C21=4,$G21=4),0,1)</f>
        <v/>
      </c>
      <c r="DF22">
        <f>DF21*IF(OR($C21=5,$G21=5),0,1)</f>
        <v/>
      </c>
      <c r="DG22">
        <f>DG21*IF(OR($C21=6,$G21=6),0,1)</f>
        <v/>
      </c>
      <c r="DH22">
        <f>DH21*IF(OR($C21=7,$G21=7),0,1)</f>
        <v/>
      </c>
      <c r="DI22">
        <f>DI21*IF(OR($C21=8,$G21=8),0,1)</f>
        <v/>
      </c>
      <c r="DJ22">
        <f>DJ21*IF(OR($C21=9,$G21=9),0,1)</f>
        <v/>
      </c>
      <c r="DK22">
        <f>DK21*IF(OR($C21=10,$G21=10),0,1)</f>
        <v/>
      </c>
      <c r="DL22">
        <f>DL21*IF(OR($C21=11,$G21=11),0,1)</f>
        <v/>
      </c>
      <c r="DM22">
        <f>DM21*IF(OR($C21=12,$G21=12),0,1)</f>
        <v/>
      </c>
      <c r="DN22">
        <f>DN21*IF(OR($C21=13,$G21=13),0,1)</f>
        <v/>
      </c>
      <c r="DO22">
        <f>DO21*IF(OR($C21=14,$G21=14),0,1)</f>
        <v/>
      </c>
      <c r="DP22">
        <f>DP21*IF(OR($C21=15,$G21=15),0,1)</f>
        <v/>
      </c>
      <c r="DQ22">
        <f>DQ21*IF(OR($C21=16,$G21=16),0,1)</f>
        <v/>
      </c>
      <c r="DR22">
        <f>DR21*IF(OR($C21=17,$G21=17),0,1)</f>
        <v/>
      </c>
      <c r="DS22">
        <f>DS21*IF(OR($C21=18,$G21=18),0,1)</f>
        <v/>
      </c>
      <c r="DT22">
        <f>DT21*IF(OR($C21=19,$G21=19),0,1)</f>
        <v/>
      </c>
      <c r="DU22">
        <f>DU21*IF(OR($C21=20,$G21=20),0,1)</f>
        <v/>
      </c>
      <c r="DV22">
        <f>DV21*IF(OR($C21=21,$G21=21),0,1)</f>
        <v/>
      </c>
      <c r="DW22">
        <f>DW21*IF(OR($C21=22,$G21=22),0,1)</f>
        <v/>
      </c>
      <c r="DX22">
        <f>DX21*IF(OR($C21=23,$G21=23),0,1)</f>
        <v/>
      </c>
      <c r="DY22">
        <f>DY21*IF(OR($C21=24,$G21=24),0,1)</f>
        <v/>
      </c>
      <c r="DZ22">
        <f>DZ21*IF(OR($C21=25,$G21=25),0,1)</f>
        <v/>
      </c>
      <c r="EA22">
        <f>EA21*IF(OR($C21=26,$G21=26),0,1)</f>
        <v/>
      </c>
      <c r="EB22">
        <f>EB21*IF(OR($C21=27,$G21=27),0,1)</f>
        <v/>
      </c>
      <c r="EC22">
        <f>EC21*IF(OR($C21=28,$G21=28),0,1)</f>
        <v/>
      </c>
      <c r="ED22">
        <f>ED21*IF(OR($C21=29,$G21=29),0,1)</f>
        <v/>
      </c>
      <c r="EE22">
        <f>EE21*IF(OR($C21=30,$G21=30),0,1)</f>
        <v/>
      </c>
      <c r="EF22">
        <f>EF21*IF(OR($C21=31,$G21=31),0,1)</f>
        <v/>
      </c>
      <c r="EG22">
        <f>EG21*IF(OR($C21=32,$G21=32),0,1)</f>
        <v/>
      </c>
      <c r="EH22">
        <f>EH21*IF(OR($C21=33,$G21=33),0,1)</f>
        <v/>
      </c>
      <c r="EI22">
        <f>EI21*IF(OR($C21=34,$G21=34),0,1)</f>
        <v/>
      </c>
      <c r="EJ22">
        <f>EJ21*IF(OR($C21=35,$G21=35),0,1)</f>
        <v/>
      </c>
      <c r="EK22">
        <f>EK21*IF(OR($C21=36,$G21=36),0,1)</f>
        <v/>
      </c>
      <c r="EL22">
        <f>EL21*IF(OR($C21=37,$G21=37),0,1)</f>
        <v/>
      </c>
      <c r="EM22">
        <f>EM21*IF(OR($C21=38,$G21=38),0,1)</f>
        <v/>
      </c>
      <c r="EN22">
        <f>EN21*IF(OR($C21=39,$G21=39),0,1)</f>
        <v/>
      </c>
      <c r="EO22">
        <f>EO21*IF(OR($C21=40,$G21=40),0,1)</f>
        <v/>
      </c>
      <c r="EP22">
        <f>EP21*IF(OR($C21=41,$G21=41),0,1)</f>
        <v/>
      </c>
      <c r="EQ22">
        <f>EQ21*IF(OR($C21=42,$G21=42),0,1)</f>
        <v/>
      </c>
      <c r="ER22">
        <f>ER21*IF(OR($C21=43,$G21=43),0,1)</f>
        <v/>
      </c>
      <c r="ES22">
        <f>ES21*IF(OR($C21=44,$G21=44),0,1)</f>
        <v/>
      </c>
      <c r="ET22">
        <f>ET21*IF(OR($C21=45,$G21=45),0,1)</f>
        <v/>
      </c>
      <c r="EU22">
        <f>EU21*IF(OR($C21=46,$G21=46),0,1)</f>
        <v/>
      </c>
      <c r="EV22">
        <f>EV21*IF(OR($C21=47,$G21=47),0,1)</f>
        <v/>
      </c>
      <c r="EW22">
        <f>EW21*IF(OR($C21=48,$G21=48),0,1)</f>
        <v/>
      </c>
      <c r="EX22">
        <f>EX21*IF(OR($C21=49,$G21=49),0,1)</f>
        <v/>
      </c>
      <c r="EY22">
        <f>EY21*IF(OR($C21=50,$G21=50),0,1)</f>
        <v/>
      </c>
      <c r="EZ22">
        <f>EZ21*IF(OR($C21=51,$G21=51),0,1)</f>
        <v/>
      </c>
      <c r="FA22">
        <f>FA21*IF(OR($C21=52,$G21=52),0,1)</f>
        <v/>
      </c>
      <c r="FB22">
        <f>FB21*IF(OR($C21=53,$G21=53),0,1)</f>
        <v/>
      </c>
      <c r="FC22">
        <f>FC21*IF(OR($C21=54,$G21=54),0,1)</f>
        <v/>
      </c>
      <c r="FD22">
        <f>FD21*IF(OR($C21=55,$G21=55),0,1)</f>
        <v/>
      </c>
      <c r="FE22">
        <f>FE21*IF(OR($C21=56,$G21=56),0,1)</f>
        <v/>
      </c>
      <c r="FF22">
        <f>FF21*IF(OR($C21=57,$G21=57),0,1)</f>
        <v/>
      </c>
      <c r="FG22">
        <f>FG21*IF(OR($C21=58,$G21=58),0,1)</f>
        <v/>
      </c>
      <c r="FH22">
        <f>FH21*IF(OR($C21=59,$G21=59),0,1)</f>
        <v/>
      </c>
      <c r="FI22">
        <f>FI21*IF(OR($C21=60,$G21=60),0,1)</f>
        <v/>
      </c>
      <c r="FJ22">
        <f>FJ21*IF(OR($C21=61,$G21=61),0,1)</f>
        <v/>
      </c>
      <c r="FK22">
        <f>FK21*IF(OR($C21=62,$G21=62),0,1)</f>
        <v/>
      </c>
      <c r="FL22">
        <f>FL21*IF(OR($C21=63,$G21=63),0,1)</f>
        <v/>
      </c>
      <c r="FM22">
        <f>FM21*IF(OR($C21=64,$G21=64),0,1)</f>
        <v/>
      </c>
      <c r="FN22">
        <f>FN21*IF(OR($C21=65,$G21=65),0,1)</f>
        <v/>
      </c>
      <c r="FO22">
        <f>FO21*IF(OR($C21=66,$G21=66),0,1)</f>
        <v/>
      </c>
      <c r="FP22">
        <f>FP21*IF(OR($C21=67,$G21=67),0,1)</f>
        <v/>
      </c>
      <c r="FQ22">
        <f>FQ21*IF(OR($C21=68,$G21=68),0,1)</f>
        <v/>
      </c>
      <c r="FR22">
        <f>FR21*IF(OR($C21=69,$G21=69),0,1)</f>
        <v/>
      </c>
      <c r="FS22">
        <f>FS21*IF(OR($C21=70,$G21=70),0,1)</f>
        <v/>
      </c>
      <c r="FT22">
        <f>FT21*IF(OR($C21=71,$G21=71),0,1)</f>
        <v/>
      </c>
      <c r="FU22">
        <f>FU21*IF(OR($C21=72,$G21=72),0,1)</f>
        <v/>
      </c>
      <c r="FV22">
        <f>FV21*IF(OR($C21=73,$G21=73),0,1)</f>
        <v/>
      </c>
      <c r="FW22">
        <f>FW21*IF(OR($C21=74,$G21=74),0,1)</f>
        <v/>
      </c>
      <c r="FX22">
        <f>FX21*IF(OR($C21=75,$G21=75),0,1)</f>
        <v/>
      </c>
      <c r="FY22">
        <f>FY21*IF(OR($C21=76,$G21=76),0,1)</f>
        <v/>
      </c>
      <c r="FZ22">
        <f>FZ21*IF(OR($C21=77,$G21=77),0,1)</f>
        <v/>
      </c>
      <c r="GA22">
        <f>GA21*IF(OR($C21=78,$G21=78),0,1)</f>
        <v/>
      </c>
      <c r="GB22">
        <f>GB21*IF(OR($C21=79,$G21=79),0,1)</f>
        <v/>
      </c>
      <c r="GC22">
        <f>GC21*IF(OR($C21=80,$G21=80),0,1)</f>
        <v/>
      </c>
      <c r="GD22">
        <f>GD21*IF(OR($C21=81,$G21=81),0,1)</f>
        <v/>
      </c>
      <c r="GE22">
        <f>GE21*IF(OR($C21=82,$G21=82),0,1)</f>
        <v/>
      </c>
      <c r="GF22">
        <f>GF21*IF(OR($C21=83,$G21=83),0,1)</f>
        <v/>
      </c>
      <c r="GG22">
        <f>GG21*IF(OR($C21=84,$G21=84),0,1)</f>
        <v/>
      </c>
      <c r="GH22">
        <f>GH21*IF(OR($C21=85,$G21=85),0,1)</f>
        <v/>
      </c>
      <c r="GI22">
        <f>GI21*IF(OR($C21=86,$G21=86),0,1)</f>
        <v/>
      </c>
      <c r="GJ22">
        <f>GJ21*IF(OR($C21=87,$G21=87),0,1)</f>
        <v/>
      </c>
      <c r="GK22">
        <f>GK21*IF(OR($C21=88,$G21=88),0,1)</f>
        <v/>
      </c>
      <c r="GL22">
        <f>GL21*IF(OR($C21=89,$G21=89),0,1)</f>
        <v/>
      </c>
      <c r="GM22">
        <f>GM21*IF(OR($C21=90,$G21=90),0,1)</f>
        <v/>
      </c>
      <c r="GN22">
        <f>GN21*IF(OR($C21=91,$G21=91),0,1)</f>
        <v/>
      </c>
      <c r="GO22">
        <f>GO21*IF(OR($C21=92,$G21=92),0,1)</f>
        <v/>
      </c>
      <c r="GP22">
        <f>GP21*IF(OR($C21=93,$G21=93),0,1)</f>
        <v/>
      </c>
      <c r="GQ22">
        <f>GQ21*IF(OR($C21=94,$G21=94),0,1)</f>
        <v/>
      </c>
      <c r="GR22">
        <f>GR21*IF(OR($C21=95,$G21=95),0,1)</f>
        <v/>
      </c>
      <c r="GS22">
        <f>GS21*IF(OR($C21=96,$G21=96),0,1)</f>
        <v/>
      </c>
      <c r="GT22">
        <f>GT21*IF(OR($C21=97,$G21=97),0,1)</f>
        <v/>
      </c>
      <c r="GU22">
        <f>GU21*IF(OR($C21=98,$G21=98),0,1)</f>
        <v/>
      </c>
      <c r="GV22">
        <f>GV21*IF(OR($C21=99,$G21=99),0,1)</f>
        <v/>
      </c>
      <c r="GW22">
        <f>GW21*IF(OR($C21=100,$G21=100),0,1)</f>
        <v/>
      </c>
      <c r="GX22">
        <f>GX21*IF(OR($C21=101,$G21=101),0,1)</f>
        <v/>
      </c>
      <c r="GY22">
        <f>GY21*IF(OR($C21=102,$G21=102),0,1)</f>
        <v/>
      </c>
      <c r="GZ22">
        <f>GZ21*IF(OR($C21=103,$G21=103),0,1)</f>
        <v/>
      </c>
      <c r="HA22">
        <f>HA21*IF(OR($C21=104,$G21=104),0,1)</f>
        <v/>
      </c>
      <c r="HB22">
        <f>HB21*IF(OR($C21=105,$G21=105),0,1)</f>
        <v/>
      </c>
      <c r="HC22">
        <f>HC21*IF(OR($C21=106,$G21=106),0,1)</f>
        <v/>
      </c>
      <c r="HD22">
        <f>HD21*IF(OR($C21=107,$G21=107),0,1)</f>
        <v/>
      </c>
      <c r="HE22">
        <f>HE21*IF(OR($C21=108,$G21=108),0,1)</f>
        <v/>
      </c>
      <c r="HF22">
        <f>HF21*IF(OR($C21=109,$G21=109),0,1)</f>
        <v/>
      </c>
      <c r="HG22">
        <f>HG21*IF(OR($C21=110,$G21=110),0,1)</f>
        <v/>
      </c>
      <c r="HH22">
        <f>HH21*IF(OR($C21=111,$G21=111),0,1)</f>
        <v/>
      </c>
      <c r="HI22">
        <f>HI21*IF(OR($C21=112,$G21=112),0,1)</f>
        <v/>
      </c>
      <c r="HJ22">
        <f>HJ21*IF(OR($C21=113,$G21=113),0,1)</f>
        <v/>
      </c>
      <c r="HK22">
        <f>HK21*IF(OR($C21=114,$G21=114),0,1)</f>
        <v/>
      </c>
      <c r="HL22">
        <f>HL21*IF(OR($C21=115,$G21=115),0,1)</f>
        <v/>
      </c>
      <c r="HM22">
        <f>HM21*IF(OR($C21=116,$G21=116),0,1)</f>
        <v/>
      </c>
      <c r="HN22">
        <f>HN21*IF(OR($C21=117,$G21=117),0,1)</f>
        <v/>
      </c>
      <c r="HO22">
        <f>HO21*IF(OR($C21=118,$G21=118),0,1)</f>
        <v/>
      </c>
      <c r="HP22">
        <f>HP21*IF(OR($C21=119,$G21=119),0,1)</f>
        <v/>
      </c>
      <c r="HQ22">
        <f>HQ21*IF(OR($C21=120,$G21=120),0,1)</f>
        <v/>
      </c>
      <c r="HR22">
        <f>HR21*IF(OR($C21=121,$G21=121),0,1)</f>
        <v/>
      </c>
      <c r="HS22">
        <f>HS21*IF(OR($C21=122,$G21=122),0,1)</f>
        <v/>
      </c>
      <c r="HT22">
        <f>HT21*IF(OR($C21=123,$G21=123),0,1)</f>
        <v/>
      </c>
      <c r="HU22">
        <f>HU21*IF(OR($C21=124,$G21=124),0,1)</f>
        <v/>
      </c>
      <c r="HV22">
        <f>HV21*IF(OR($C21=125,$G21=125),0,1)</f>
        <v/>
      </c>
      <c r="HW22">
        <f>HW21*IF(OR($C21=126,$G21=126),0,1)</f>
        <v/>
      </c>
      <c r="HX22">
        <f>HX21*IF(OR($C21=127,$G21=127),0,1)</f>
        <v/>
      </c>
      <c r="HY22">
        <f>HY21*IF(OR($C21=128,$G21=128),0,1)</f>
        <v/>
      </c>
      <c r="HZ22">
        <f>HZ21*IF(OR($C21=129,$G21=129),0,1)</f>
        <v/>
      </c>
      <c r="IA22">
        <f>IA21*IF(OR($C21=130,$G21=130),0,1)</f>
        <v/>
      </c>
      <c r="IB22">
        <f>IB21*IF(OR($C21=131,$G21=131),0,1)</f>
        <v/>
      </c>
      <c r="IC22">
        <f>IC21*IF(OR($C21=132,$G21=132),0,1)</f>
        <v/>
      </c>
      <c r="ID22">
        <f>ID21*IF(OR($C21=133,$G21=133),0,1)</f>
        <v/>
      </c>
      <c r="IE22">
        <f>IE21*IF(OR($C21=134,$G21=134),0,1)</f>
        <v/>
      </c>
      <c r="IF22">
        <f>IF21*IF(OR($C21=135,$G21=135),0,1)</f>
        <v/>
      </c>
      <c r="IG22">
        <f>IG21*IF(OR($C21=136,$G21=136),0,1)</f>
        <v/>
      </c>
      <c r="IH22">
        <f>IH21*IF(OR($C21=137,$G21=137),0,1)</f>
        <v/>
      </c>
      <c r="II22">
        <f>II21*IF(OR($C21=138,$G21=138),0,1)</f>
        <v/>
      </c>
      <c r="IJ22">
        <f>IJ21*IF(OR($C21=139,$G21=139),0,1)</f>
        <v/>
      </c>
      <c r="IK22">
        <f>IK21*IF(OR($C21=140,$G21=140),0,1)</f>
        <v/>
      </c>
      <c r="IL22">
        <f>IL21*IF(OR($C21=141,$G21=141),0,1)</f>
        <v/>
      </c>
      <c r="IM22">
        <f>IM21*IF(OR($C21=142,$G21=142),0,1)</f>
        <v/>
      </c>
      <c r="IN22">
        <f>IN21*IF(OR($C21=143,$G21=143),0,1)</f>
        <v/>
      </c>
      <c r="IO22">
        <f>IO21*IF(OR($C21=144,$G21=144),0,1)</f>
        <v/>
      </c>
      <c r="IQ22">
        <f>IF('計算A'!D$106=1,DC22,1)</f>
        <v/>
      </c>
      <c r="IR22">
        <f>IF('計算A'!E$106=1,DD22,1)</f>
        <v/>
      </c>
      <c r="IS22">
        <f>IF('計算A'!F$106=1,DE22,1)</f>
        <v/>
      </c>
      <c r="IT22">
        <f>IF('計算A'!G$106=1,DF22,1)</f>
        <v/>
      </c>
      <c r="IU22">
        <f>IF('計算A'!H$106=1,DG22,1)</f>
        <v/>
      </c>
      <c r="IV22">
        <f>IF('計算A'!I$106=1,DH22,1)</f>
        <v/>
      </c>
      <c r="IW22">
        <f>IF('計算A'!J$106=1,DI22,1)</f>
        <v/>
      </c>
      <c r="IX22">
        <f>IF('計算A'!K$106=1,DJ22,1)</f>
        <v/>
      </c>
      <c r="IY22">
        <f>IF('計算A'!L$106=1,DK22,1)</f>
        <v/>
      </c>
      <c r="IZ22">
        <f>IF('計算A'!M$106=1,DL22,1)</f>
        <v/>
      </c>
      <c r="JA22">
        <f>IF('計算A'!N$106=1,DM22,1)</f>
        <v/>
      </c>
      <c r="JB22">
        <f>IF('計算A'!O$106=1,DN22,1)</f>
        <v/>
      </c>
      <c r="JC22">
        <f>IF('計算A'!P$106=1,DO22,1)</f>
        <v/>
      </c>
      <c r="JD22">
        <f>IF('計算A'!Q$106=1,DP22,1)</f>
        <v/>
      </c>
      <c r="JE22">
        <f>IF('計算A'!R$106=1,DQ22,1)</f>
        <v/>
      </c>
      <c r="JF22">
        <f>IF('計算A'!S$106=1,DR22,1)</f>
        <v/>
      </c>
      <c r="JG22">
        <f>IF('計算A'!T$106=1,DS22,1)</f>
        <v/>
      </c>
      <c r="JH22">
        <f>IF('計算A'!U$106=1,DT22,1)</f>
        <v/>
      </c>
      <c r="JI22">
        <f>IF('計算A'!V$106=1,DU22,1)</f>
        <v/>
      </c>
      <c r="JJ22">
        <f>IF('計算A'!W$106=1,DV22,1)</f>
        <v/>
      </c>
      <c r="JK22">
        <f>IF('計算A'!X$106=1,DW22,1)</f>
        <v/>
      </c>
      <c r="JL22">
        <f>IF('計算A'!Y$106=1,DX22,1)</f>
        <v/>
      </c>
      <c r="JM22">
        <f>IF('計算A'!Z$106=1,DY22,1)</f>
        <v/>
      </c>
      <c r="JN22">
        <f>IF('計算A'!AA$106=1,DZ22,1)</f>
        <v/>
      </c>
      <c r="JO22">
        <f>IF('計算A'!AB$106=1,EA22,1)</f>
        <v/>
      </c>
      <c r="JP22">
        <f>IF('計算A'!AC$106=1,EB22,1)</f>
        <v/>
      </c>
      <c r="JQ22">
        <f>IF('計算A'!AD$106=1,EC22,1)</f>
        <v/>
      </c>
      <c r="JR22">
        <f>IF('計算A'!AE$106=1,ED22,1)</f>
        <v/>
      </c>
      <c r="JS22">
        <f>IF('計算A'!AF$106=1,EE22,1)</f>
        <v/>
      </c>
      <c r="JT22">
        <f>IF('計算A'!AG$106=1,EF22,1)</f>
        <v/>
      </c>
      <c r="JU22">
        <f>IF('計算A'!AH$106=1,EG22,1)</f>
        <v/>
      </c>
      <c r="JV22">
        <f>IF('計算A'!AI$106=1,EH22,1)</f>
        <v/>
      </c>
      <c r="JW22">
        <f>IF('計算A'!AJ$106=1,EI22,1)</f>
        <v/>
      </c>
      <c r="JX22">
        <f>IF('計算A'!AK$106=1,EJ22,1)</f>
        <v/>
      </c>
      <c r="JY22">
        <f>IF('計算A'!AL$106=1,EK22,1)</f>
        <v/>
      </c>
      <c r="JZ22">
        <f>IF('計算A'!AM$106=1,EL22,1)</f>
        <v/>
      </c>
      <c r="KA22">
        <f>IF('計算A'!AN$106=1,EM22,1)</f>
        <v/>
      </c>
      <c r="KB22">
        <f>IF('計算A'!AO$106=1,EN22,1)</f>
        <v/>
      </c>
      <c r="KC22">
        <f>IF('計算A'!AP$106=1,EO22,1)</f>
        <v/>
      </c>
      <c r="KD22">
        <f>IF('計算A'!AQ$106=1,EP22,1)</f>
        <v/>
      </c>
      <c r="KE22">
        <f>IF('計算A'!AR$106=1,EQ22,1)</f>
        <v/>
      </c>
      <c r="KF22">
        <f>IF('計算A'!AS$106=1,ER22,1)</f>
        <v/>
      </c>
      <c r="KG22">
        <f>IF('計算A'!AT$106=1,ES22,1)</f>
        <v/>
      </c>
      <c r="KH22">
        <f>IF('計算A'!AU$106=1,ET22,1)</f>
        <v/>
      </c>
      <c r="KI22">
        <f>IF('計算A'!AV$106=1,EU22,1)</f>
        <v/>
      </c>
      <c r="KJ22">
        <f>IF('計算A'!AW$106=1,EV22,1)</f>
        <v/>
      </c>
      <c r="KK22">
        <f>IF('計算A'!AX$106=1,EW22,1)</f>
        <v/>
      </c>
      <c r="KL22">
        <f>IF('計算A'!AY$106=1,EX22,1)</f>
        <v/>
      </c>
      <c r="KM22">
        <f>IF('計算A'!AZ$106=1,EY22,1)</f>
        <v/>
      </c>
      <c r="KN22">
        <f>IF('計算A'!BA$106=1,EZ22,1)</f>
        <v/>
      </c>
      <c r="KO22">
        <f>IF('計算A'!BB$106=1,FA22,1)</f>
        <v/>
      </c>
      <c r="KP22">
        <f>IF('計算A'!BC$106=1,FB22,1)</f>
        <v/>
      </c>
      <c r="KQ22">
        <f>IF('計算A'!BD$106=1,FC22,1)</f>
        <v/>
      </c>
      <c r="KR22">
        <f>IF('計算A'!BE$106=1,FD22,1)</f>
        <v/>
      </c>
      <c r="KS22">
        <f>IF('計算A'!BF$106=1,FE22,1)</f>
        <v/>
      </c>
      <c r="KT22">
        <f>IF('計算A'!BG$106=1,FF22,1)</f>
        <v/>
      </c>
      <c r="KU22">
        <f>IF('計算A'!BH$106=1,FG22,1)</f>
        <v/>
      </c>
      <c r="KV22">
        <f>IF('計算A'!BI$106=1,FH22,1)</f>
        <v/>
      </c>
      <c r="KW22">
        <f>IF('計算A'!BJ$106=1,FI22,1)</f>
        <v/>
      </c>
      <c r="KX22">
        <f>IF('計算A'!BK$106=1,FJ22,1)</f>
        <v/>
      </c>
      <c r="KY22">
        <f>IF('計算A'!BL$106=1,FK22,1)</f>
        <v/>
      </c>
      <c r="KZ22">
        <f>IF('計算A'!BM$106=1,FL22,1)</f>
        <v/>
      </c>
      <c r="LA22">
        <f>IF('計算A'!BN$106=1,FM22,1)</f>
        <v/>
      </c>
      <c r="LB22">
        <f>IF('計算A'!BO$106=1,FN22,1)</f>
        <v/>
      </c>
      <c r="LC22">
        <f>IF('計算A'!BP$106=1,FO22,1)</f>
        <v/>
      </c>
      <c r="LD22">
        <f>IF('計算A'!BQ$106=1,FP22,1)</f>
        <v/>
      </c>
      <c r="LE22">
        <f>IF('計算A'!BR$106=1,FQ22,1)</f>
        <v/>
      </c>
      <c r="LF22">
        <f>IF('計算A'!BS$106=1,FR22,1)</f>
        <v/>
      </c>
      <c r="LG22">
        <f>IF('計算A'!BT$106=1,FS22,1)</f>
        <v/>
      </c>
      <c r="LH22">
        <f>IF('計算A'!BU$106=1,FT22,1)</f>
        <v/>
      </c>
      <c r="LI22">
        <f>IF('計算A'!BV$106=1,FU22,1)</f>
        <v/>
      </c>
      <c r="LJ22">
        <f>IF('計算A'!BW$106=1,FV22,1)</f>
        <v/>
      </c>
      <c r="LK22">
        <f>IF('計算A'!BX$106=1,FW22,1)</f>
        <v/>
      </c>
      <c r="LL22">
        <f>IF('計算A'!BY$106=1,FX22,1)</f>
        <v/>
      </c>
      <c r="LM22">
        <f>IF('計算A'!BZ$106=1,FY22,1)</f>
        <v/>
      </c>
      <c r="LN22">
        <f>IF('計算A'!CA$106=1,FZ22,1)</f>
        <v/>
      </c>
      <c r="LO22">
        <f>IF('計算A'!CB$106=1,GA22,1)</f>
        <v/>
      </c>
      <c r="LP22">
        <f>IF('計算A'!CC$106=1,GB22,1)</f>
        <v/>
      </c>
      <c r="LQ22">
        <f>IF('計算A'!CD$106=1,GC22,1)</f>
        <v/>
      </c>
      <c r="LR22">
        <f>IF('計算A'!CE$106=1,GD22,1)</f>
        <v/>
      </c>
      <c r="LS22">
        <f>IF('計算A'!CF$106=1,GE22,1)</f>
        <v/>
      </c>
      <c r="LT22">
        <f>IF('計算A'!CG$106=1,GF22,1)</f>
        <v/>
      </c>
      <c r="LU22">
        <f>IF('計算A'!CH$106=1,GG22,1)</f>
        <v/>
      </c>
      <c r="LV22">
        <f>IF('計算A'!CI$106=1,GH22,1)</f>
        <v/>
      </c>
      <c r="LW22">
        <f>IF('計算A'!CJ$106=1,GI22,1)</f>
        <v/>
      </c>
      <c r="LX22">
        <f>IF('計算A'!CK$106=1,GJ22,1)</f>
        <v/>
      </c>
      <c r="LY22">
        <f>IF('計算A'!CL$106=1,GK22,1)</f>
        <v/>
      </c>
      <c r="LZ22">
        <f>IF('計算A'!CM$106=1,GL22,1)</f>
        <v/>
      </c>
      <c r="MA22">
        <f>IF('計算A'!CN$106=1,GM22,1)</f>
        <v/>
      </c>
      <c r="MB22">
        <f>IF('計算A'!CO$106=1,GN22,1)</f>
        <v/>
      </c>
      <c r="MC22">
        <f>IF('計算A'!CP$106=1,GO22,1)</f>
        <v/>
      </c>
      <c r="MD22">
        <f>IF('計算A'!CQ$106=1,GP22,1)</f>
        <v/>
      </c>
      <c r="ME22">
        <f>IF('計算A'!CR$106=1,GQ22,1)</f>
        <v/>
      </c>
      <c r="MF22">
        <f>IF('計算A'!CS$106=1,GR22,1)</f>
        <v/>
      </c>
      <c r="MG22">
        <f>IF('計算A'!CT$106=1,GS22,1)</f>
        <v/>
      </c>
      <c r="MH22">
        <f>IF('計算A'!CU$106=1,GT22,1)</f>
        <v/>
      </c>
      <c r="MI22">
        <f>IF('計算A'!CV$106=1,GU22,1)</f>
        <v/>
      </c>
      <c r="MJ22">
        <f>IF('計算A'!CW$106=1,GV22,1)</f>
        <v/>
      </c>
      <c r="MK22">
        <f>IF('計算A'!CX$106=1,GW22,1)</f>
        <v/>
      </c>
      <c r="ML22">
        <f>IF('計算A'!CY$106=1,GX22,1)</f>
        <v/>
      </c>
      <c r="MM22">
        <f>IF('計算A'!CZ$106=1,GY22,1)</f>
        <v/>
      </c>
      <c r="MN22">
        <f>IF('計算A'!DA$106=1,GZ22,1)</f>
        <v/>
      </c>
      <c r="MO22">
        <f>IF('計算A'!DB$106=1,HA22,1)</f>
        <v/>
      </c>
      <c r="MP22">
        <f>IF('計算A'!DC$106=1,HB22,1)</f>
        <v/>
      </c>
      <c r="MQ22">
        <f>IF('計算A'!DD$106=1,HC22,1)</f>
        <v/>
      </c>
      <c r="MR22">
        <f>IF('計算A'!DE$106=1,HD22,1)</f>
        <v/>
      </c>
      <c r="MS22">
        <f>IF('計算A'!DF$106=1,HE22,1)</f>
        <v/>
      </c>
      <c r="MT22">
        <f>IF('計算A'!DG$106=1,HF22,1)</f>
        <v/>
      </c>
      <c r="MU22">
        <f>IF('計算A'!DH$106=1,HG22,1)</f>
        <v/>
      </c>
      <c r="MV22">
        <f>IF('計算A'!DI$106=1,HH22,1)</f>
        <v/>
      </c>
      <c r="MW22">
        <f>IF('計算A'!DJ$106=1,HI22,1)</f>
        <v/>
      </c>
      <c r="MX22">
        <f>IF('計算A'!DK$106=1,HJ22,1)</f>
        <v/>
      </c>
      <c r="MY22">
        <f>IF('計算A'!DL$106=1,HK22,1)</f>
        <v/>
      </c>
      <c r="MZ22">
        <f>IF('計算A'!DM$106=1,HL22,1)</f>
        <v/>
      </c>
      <c r="NA22">
        <f>IF('計算A'!DN$106=1,HM22,1)</f>
        <v/>
      </c>
      <c r="NB22">
        <f>IF('計算A'!DO$106=1,HN22,1)</f>
        <v/>
      </c>
      <c r="NC22">
        <f>IF('計算A'!DP$106=1,HO22,1)</f>
        <v/>
      </c>
      <c r="ND22">
        <f>IF('計算A'!DQ$106=1,HP22,1)</f>
        <v/>
      </c>
      <c r="NE22">
        <f>IF('計算A'!DR$106=1,HQ22,1)</f>
        <v/>
      </c>
      <c r="NF22">
        <f>IF('計算A'!DS$106=1,HR22,1)</f>
        <v/>
      </c>
      <c r="NG22">
        <f>IF('計算A'!DT$106=1,HS22,1)</f>
        <v/>
      </c>
      <c r="NH22">
        <f>IF('計算A'!DU$106=1,HT22,1)</f>
        <v/>
      </c>
      <c r="NI22">
        <f>IF('計算A'!DV$106=1,HU22,1)</f>
        <v/>
      </c>
      <c r="NJ22">
        <f>IF('計算A'!DW$106=1,HV22,1)</f>
        <v/>
      </c>
      <c r="NK22">
        <f>IF('計算A'!DX$106=1,HW22,1)</f>
        <v/>
      </c>
      <c r="NL22">
        <f>IF('計算A'!DY$106=1,HX22,1)</f>
        <v/>
      </c>
      <c r="NM22">
        <f>IF('計算A'!DZ$106=1,HY22,1)</f>
        <v/>
      </c>
      <c r="NN22">
        <f>IF('計算A'!EA$106=1,HZ22,1)</f>
        <v/>
      </c>
      <c r="NO22">
        <f>IF('計算A'!EB$106=1,IA22,1)</f>
        <v/>
      </c>
      <c r="NP22">
        <f>IF('計算A'!EC$106=1,IB22,1)</f>
        <v/>
      </c>
      <c r="NQ22">
        <f>IF('計算A'!ED$106=1,IC22,1)</f>
        <v/>
      </c>
      <c r="NR22">
        <f>IF('計算A'!EE$106=1,ID22,1)</f>
        <v/>
      </c>
      <c r="NS22">
        <f>IF('計算A'!EF$106=1,IE22,1)</f>
        <v/>
      </c>
      <c r="NT22">
        <f>IF('計算A'!EG$106=1,IF22,1)</f>
        <v/>
      </c>
      <c r="NU22">
        <f>IF('計算A'!EH$106=1,IG22,1)</f>
        <v/>
      </c>
      <c r="NV22">
        <f>IF('計算A'!EI$106=1,IH22,1)</f>
        <v/>
      </c>
      <c r="NW22">
        <f>IF('計算A'!EJ$106=1,II22,1)</f>
        <v/>
      </c>
      <c r="NX22">
        <f>IF('計算A'!EK$106=1,IJ22,1)</f>
        <v/>
      </c>
      <c r="NY22">
        <f>IF('計算A'!EL$106=1,IK22,1)</f>
        <v/>
      </c>
      <c r="NZ22">
        <f>IF('計算A'!EM$106=1,IL22,1)</f>
        <v/>
      </c>
      <c r="OA22">
        <f>IF('計算A'!EN$106=1,IM22,1)</f>
        <v/>
      </c>
      <c r="OB22">
        <f>IF('計算A'!EO$106=1,IN22,1)</f>
        <v/>
      </c>
      <c r="OC22">
        <f>IF('計算A'!EP$106=1,IO22,1)</f>
        <v/>
      </c>
      <c r="OD22" t="n">
        <v>1</v>
      </c>
      <c r="OF22">
        <f>IF($B22=0,1000000,IF(INDEX('計算A'!$D$60:$EQ$104,$B22,1)*DB22=1,IF(AND($E22=2,IQ22=0),1000000,IF($I22&gt;0,IF(1=$J22,IF(OR(AND(1=$I22+1,OR($K22&lt;&gt;'計算A'!$A$3,'計算A'!$A$4=0)),AND(1=$I22-1,OR(1&lt;&gt;'計算A'!$A$3,'計算A'!$A$4=0))),0,IF(1=$K22,200000,ABS(1-$K22)*100)),100000+ABS(1-$J22)*1000+10)+'計算A'!D$5*50+IF(AND($E22=1,IQ22=0),25,0),INDEX('計算A'!D$110:D$114,$F22+1)+IF(AND($E22=1,IQ22=0),1000,0)+IF($H22=1,(IF('計算A'!D$117=1,INDEX('計算A'!E$10:E$54,$B22),0))*500,0)-IF(AND($L22=1,'計算A'!D$117=1,DC22=0),300,0))),1000000))</f>
        <v/>
      </c>
      <c r="OG22">
        <f>IF($B22=0,1000000,IF(INDEX('計算A'!$D$60:$EQ$104,$B22,2)*DC22=1,IF(AND($E22=2,IR22=0),1000000,IF($I22&gt;0,IF(1=$J22,IF(OR(AND(2=$I22+1,OR($K22&lt;&gt;'計算A'!$A$3,'計算A'!$A$4=0)),AND(2=$I22-1,OR(2&lt;&gt;'計算A'!$A$3,'計算A'!$A$4=0))),0,IF(2=$K22,200000,ABS(2-$K22)*100)),100000+ABS(1-$J22)*1000+20)+'計算A'!E$5*50+IF(AND($E22=1,IR22=0),25,0),INDEX('計算A'!E$110:E$114,$F22+1)+IF(AND($E22=1,IR22=0),1000,0)+IF($H22=1,(IF('計算A'!D$117=1,INDEX('計算A'!D$10:D$54,$B22),0)+IF('計算A'!E$117=1,INDEX('計算A'!F$10:F$54,$B22),0))*500,0)-IF(AND('計算A'!D$117=1,UB22&gt;0),300,0)-IF(AND($L22=1,'計算A'!E$117=1,DD22=0),300,0))),1000000))</f>
        <v/>
      </c>
      <c r="OH22">
        <f>IF($B22=0,1000000,IF(INDEX('計算A'!$D$60:$EQ$104,$B22,3)*DD22=1,IF(AND($E22=2,IS22=0),1000000,IF($I22&gt;0,IF(1=$J22,IF(OR(AND(3=$I22+1,OR($K22&lt;&gt;'計算A'!$A$3,'計算A'!$A$4=0)),AND(3=$I22-1,OR(3&lt;&gt;'計算A'!$A$3,'計算A'!$A$4=0))),0,IF(3=$K22,200000,ABS(3-$K22)*100)),100000+ABS(1-$J22)*1000+30)+'計算A'!F$5*50+IF(AND($E22=1,IS22=0),25,0),INDEX('計算A'!F$110:F$114,$F22+1)+IF(AND($E22=1,IS22=0),1000,0)+IF($H22=1,(IF('計算A'!E$117=1,INDEX('計算A'!E$10:E$54,$B22),0)+IF('計算A'!F$117=1,INDEX('計算A'!G$10:G$54,$B22),0))*500,0)-IF(AND('計算A'!E$117=1,UC22&gt;0),300,0)-IF(AND($L22=1,'計算A'!F$117=1,DE22=0),300,0))),1000000))</f>
        <v/>
      </c>
      <c r="OI22">
        <f>IF($B22=0,1000000,IF(INDEX('計算A'!$D$60:$EQ$104,$B22,4)*DE22=1,IF(AND($E22=2,IT22=0),1000000,IF($I22&gt;0,IF(1=$J22,IF(OR(AND(4=$I22+1,OR($K22&lt;&gt;'計算A'!$A$3,'計算A'!$A$4=0)),AND(4=$I22-1,OR(4&lt;&gt;'計算A'!$A$3,'計算A'!$A$4=0))),0,IF(4=$K22,200000,ABS(4-$K22)*100)),100000+ABS(1-$J22)*1000+40)+'計算A'!G$5*50+IF(AND($E22=1,IT22=0),25,0),INDEX('計算A'!G$110:G$114,$F22+1)+IF(AND($E22=1,IT22=0),1000,0)+IF($H22=1,(IF('計算A'!F$117=1,INDEX('計算A'!F$10:F$54,$B22),0)+IF('計算A'!G$117=1,INDEX('計算A'!H$10:H$54,$B22),0))*500,0)-IF(AND('計算A'!F$117=1,UD22&gt;0),300,0)-IF(AND($L22=1,'計算A'!G$117=1,DF22=0),300,0))),1000000))</f>
        <v/>
      </c>
      <c r="OJ22">
        <f>IF($B22=0,1000000,IF(INDEX('計算A'!$D$60:$EQ$104,$B22,5)*DF22=1,IF(AND($E22=2,IU22=0),1000000,IF($I22&gt;0,IF(1=$J22,IF(OR(AND(5=$I22+1,OR($K22&lt;&gt;'計算A'!$A$3,'計算A'!$A$4=0)),AND(5=$I22-1,OR(5&lt;&gt;'計算A'!$A$3,'計算A'!$A$4=0))),0,IF(5=$K22,200000,ABS(5-$K22)*100)),100000+ABS(1-$J22)*1000+50)+'計算A'!H$5*50+IF(AND($E22=1,IU22=0),25,0),INDEX('計算A'!H$110:H$114,$F22+1)+IF(AND($E22=1,IU22=0),1000,0)+IF($H22=1,(IF('計算A'!G$117=1,INDEX('計算A'!G$10:G$54,$B22),0)+IF('計算A'!H$117=1,INDEX('計算A'!I$10:I$54,$B22),0))*500,0)-IF(AND('計算A'!G$117=1,UE22&gt;0),300,0)-IF(AND($L22=1,'計算A'!H$117=1,DG22=0),300,0))),1000000))</f>
        <v/>
      </c>
      <c r="OK22">
        <f>IF($B22=0,1000000,IF(INDEX('計算A'!$D$60:$EQ$104,$B22,6)*DG22=1,IF(AND($E22=2,IV22=0),1000000,IF($I22&gt;0,IF(1=$J22,IF(OR(AND(6=$I22+1,OR($K22&lt;&gt;'計算A'!$A$3,'計算A'!$A$4=0)),AND(6=$I22-1,OR(6&lt;&gt;'計算A'!$A$3,'計算A'!$A$4=0))),0,IF(6=$K22,200000,ABS(6-$K22)*100)),100000+ABS(1-$J22)*1000+60)+'計算A'!I$5*50+IF(AND($E22=1,IV22=0),25,0),INDEX('計算A'!I$110:I$114,$F22+1)+IF(AND($E22=1,IV22=0),1000,0)+IF($H22=1,(IF('計算A'!H$117=1,INDEX('計算A'!H$10:H$54,$B22),0)+IF('計算A'!I$117=1,INDEX('計算A'!J$10:J$54,$B22),0))*500,0)-IF(AND('計算A'!H$117=1,UF22&gt;0),300,0)-IF(AND($L22=1,'計算A'!I$117=1,DH22=0),300,0))),1000000))</f>
        <v/>
      </c>
      <c r="OL22">
        <f>IF($B22=0,1000000,IF(INDEX('計算A'!$D$60:$EQ$104,$B22,7)*DH22=1,IF(AND($E22=2,IW22=0),1000000,IF($I22&gt;0,IF(1=$J22,IF(OR(AND(7=$I22+1,OR($K22&lt;&gt;'計算A'!$A$3,'計算A'!$A$4=0)),AND(7=$I22-1,OR(7&lt;&gt;'計算A'!$A$3,'計算A'!$A$4=0))),0,IF(7=$K22,200000,ABS(7-$K22)*100)),100000+ABS(1-$J22)*1000+70)+'計算A'!J$5*50+IF(AND($E22=1,IW22=0),25,0),INDEX('計算A'!J$110:J$114,$F22+1)+IF(AND($E22=1,IW22=0),1000,0)+IF($H22=1,(IF('計算A'!I$117=1,INDEX('計算A'!I$10:I$54,$B22),0)+IF('計算A'!J$117=1,INDEX('計算A'!K$10:K$54,$B22),0))*500,0)-IF(AND('計算A'!I$117=1,UG22&gt;0),300,0)-IF(AND($L22=1,'計算A'!J$117=1,DI22=0),300,0))),1000000))</f>
        <v/>
      </c>
      <c r="OM22">
        <f>IF($B22=0,1000000,IF(INDEX('計算A'!$D$60:$EQ$104,$B22,8)*DI22=1,IF(AND($E22=2,IX22=0),1000000,IF($I22&gt;0,IF(1=$J22,IF(OR(AND(8=$I22+1,OR($K22&lt;&gt;'計算A'!$A$3,'計算A'!$A$4=0)),AND(8=$I22-1,OR(8&lt;&gt;'計算A'!$A$3,'計算A'!$A$4=0))),0,IF(8=$K22,200000,ABS(8-$K22)*100)),100000+ABS(1-$J22)*1000+80)+'計算A'!K$5*50+IF(AND($E22=1,IX22=0),25,0),INDEX('計算A'!K$110:K$114,$F22+1)+IF(AND($E22=1,IX22=0),1000,0)+IF($H22=1,(IF('計算A'!J$117=1,INDEX('計算A'!J$10:J$54,$B22),0)+IF('計算A'!K$117=1,INDEX('計算A'!L$10:L$54,$B22),0))*500,0)-IF(AND('計算A'!J$117=1,UH22&gt;0),300,0)-IF(AND($L22=1,'計算A'!K$117=1,DJ22=0),300,0))),1000000))</f>
        <v/>
      </c>
      <c r="ON22">
        <f>IF($B22=0,1000000,IF(INDEX('計算A'!$D$60:$EQ$104,$B22,9)*DJ22=1,IF(AND($E22=2,IY22=0),1000000,IF($I22&gt;0,IF(1=$J22,IF(OR(AND(9=$I22+1,OR($K22&lt;&gt;'計算A'!$A$3,'計算A'!$A$4=0)),AND(9=$I22-1,OR(9&lt;&gt;'計算A'!$A$3,'計算A'!$A$4=0))),0,IF(9=$K22,200000,ABS(9-$K22)*100)),100000+ABS(1-$J22)*1000+90)+'計算A'!L$5*50+IF(AND($E22=1,IY22=0),25,0),INDEX('計算A'!L$110:L$114,$F22+1)+IF(AND($E22=1,IY22=0),1000,0)+IF($H22=1,(IF('計算A'!K$117=1,INDEX('計算A'!K$10:K$54,$B22),0)+IF('計算A'!L$117=1,INDEX('計算A'!M$10:M$54,$B22),0))*500,0)-IF(AND('計算A'!K$117=1,UI22&gt;0),300,0)-IF(AND($L22=1,'計算A'!L$117=1,DK22=0),300,0))),1000000))</f>
        <v/>
      </c>
      <c r="OO22">
        <f>IF($B22=0,1000000,IF(INDEX('計算A'!$D$60:$EQ$104,$B22,10)*DK22=1,IF(AND($E22=2,IZ22=0),1000000,IF($I22&gt;0,IF(1=$J22,IF(OR(AND(10=$I22+1,OR($K22&lt;&gt;'計算A'!$A$3,'計算A'!$A$4=0)),AND(10=$I22-1,OR(10&lt;&gt;'計算A'!$A$3,'計算A'!$A$4=0))),0,IF(10=$K22,200000,ABS(10-$K22)*100)),100000+ABS(1-$J22)*1000+100)+'計算A'!M$5*50+IF(AND($E22=1,IZ22=0),25,0),INDEX('計算A'!M$110:M$114,$F22+1)+IF(AND($E22=1,IZ22=0),1000,0)+IF($H22=1,(IF('計算A'!L$117=1,INDEX('計算A'!L$10:L$54,$B22),0)+IF('計算A'!M$117=1,INDEX('計算A'!N$10:N$54,$B22),0))*500,0)-IF(AND('計算A'!L$117=1,UJ22&gt;0),300,0)-IF(AND($L22=1,'計算A'!M$117=1,DL22=0),300,0))),1000000))</f>
        <v/>
      </c>
      <c r="OP22">
        <f>IF($B22=0,1000000,IF(INDEX('計算A'!$D$60:$EQ$104,$B22,11)*DL22=1,IF(AND($E22=2,JA22=0),1000000,IF($I22&gt;0,IF(1=$J22,IF(OR(AND(11=$I22+1,OR($K22&lt;&gt;'計算A'!$A$3,'計算A'!$A$4=0)),AND(11=$I22-1,OR(11&lt;&gt;'計算A'!$A$3,'計算A'!$A$4=0))),0,IF(11=$K22,200000,ABS(11-$K22)*100)),100000+ABS(1-$J22)*1000+110)+'計算A'!N$5*50+IF(AND($E22=1,JA22=0),25,0),INDEX('計算A'!N$110:N$114,$F22+1)+IF(AND($E22=1,JA22=0),1000,0)+IF($H22=1,(IF('計算A'!M$117=1,INDEX('計算A'!M$10:M$54,$B22),0)+IF('計算A'!N$117=1,INDEX('計算A'!O$10:O$54,$B22),0))*500,0)-IF(AND('計算A'!M$117=1,UK22&gt;0),300,0)-IF(AND($L22=1,'計算A'!N$117=1,DM22=0),300,0))),1000000))</f>
        <v/>
      </c>
      <c r="OQ22">
        <f>IF($B22=0,1000000,IF(INDEX('計算A'!$D$60:$EQ$104,$B22,12)*DM22=1,IF(AND($E22=2,JB22=0),1000000,IF($I22&gt;0,IF(1=$J22,IF(OR(AND(12=$I22+1,OR($K22&lt;&gt;'計算A'!$A$3,'計算A'!$A$4=0)),AND(12=$I22-1,OR(12&lt;&gt;'計算A'!$A$3,'計算A'!$A$4=0))),0,IF(12=$K22,200000,ABS(12-$K22)*100)),100000+ABS(1-$J22)*1000+120)+'計算A'!O$5*50+IF(AND($E22=1,JB22=0),25,0),INDEX('計算A'!O$110:O$114,$F22+1)+IF(AND($E22=1,JB22=0),1000,0)+IF($H22=1,(IF('計算A'!N$117=1,INDEX('計算A'!N$10:N$54,$B22),0)+IF('計算A'!O$117=1,INDEX('計算A'!P$10:P$54,$B22),0))*500,0)-IF(AND('計算A'!N$117=1,UL22&gt;0),300,0)-IF(AND($L22=1,'計算A'!O$117=1,DN22=0),300,0))),1000000))</f>
        <v/>
      </c>
      <c r="OR22">
        <f>IF($B22=0,1000000,IF(INDEX('計算A'!$D$60:$EQ$104,$B22,13)*DN22=1,IF(AND($E22=2,JC22=0),1000000,IF($I22&gt;0,IF(1=$J22,IF(OR(AND(13=$I22+1,OR($K22&lt;&gt;'計算A'!$A$3,'計算A'!$A$4=0)),AND(13=$I22-1,OR(13&lt;&gt;'計算A'!$A$3,'計算A'!$A$4=0))),0,IF(13=$K22,200000,ABS(13-$K22)*100)),100000+ABS(1-$J22)*1000+130)+'計算A'!P$5*50+IF(AND($E22=1,JC22=0),25,0),INDEX('計算A'!P$110:P$114,$F22+1)+IF(AND($E22=1,JC22=0),1000,0)+IF($H22=1,(IF('計算A'!O$117=1,INDEX('計算A'!O$10:O$54,$B22),0)+IF('計算A'!P$117=1,INDEX('計算A'!Q$10:Q$54,$B22),0))*500,0)-IF(AND('計算A'!O$117=1,UM22&gt;0),300,0)-IF(AND($L22=1,'計算A'!P$117=1,DO22=0),300,0))),1000000))</f>
        <v/>
      </c>
      <c r="OS22">
        <f>IF($B22=0,1000000,IF(INDEX('計算A'!$D$60:$EQ$104,$B22,14)*DO22=1,IF(AND($E22=2,JD22=0),1000000,IF($I22&gt;0,IF(1=$J22,IF(OR(AND(14=$I22+1,OR($K22&lt;&gt;'計算A'!$A$3,'計算A'!$A$4=0)),AND(14=$I22-1,OR(14&lt;&gt;'計算A'!$A$3,'計算A'!$A$4=0))),0,IF(14=$K22,200000,ABS(14-$K22)*100)),100000+ABS(1-$J22)*1000+140)+'計算A'!Q$5*50+IF(AND($E22=1,JD22=0),25,0),INDEX('計算A'!Q$110:Q$114,$F22+1)+IF(AND($E22=1,JD22=0),1000,0)+IF($H22=1,(IF('計算A'!P$117=1,INDEX('計算A'!P$10:P$54,$B22),0)+IF('計算A'!Q$117=1,INDEX('計算A'!R$10:R$54,$B22),0))*500,0)-IF(AND('計算A'!P$117=1,UN22&gt;0),300,0)-IF(AND($L22=1,'計算A'!Q$117=1,DP22=0),300,0))),1000000))</f>
        <v/>
      </c>
      <c r="OT22">
        <f>IF($B22=0,1000000,IF(INDEX('計算A'!$D$60:$EQ$104,$B22,15)*DP22=1,IF(AND($E22=2,JE22=0),1000000,IF($I22&gt;0,IF(1=$J22,IF(OR(AND(15=$I22+1,OR($K22&lt;&gt;'計算A'!$A$3,'計算A'!$A$4=0)),AND(15=$I22-1,OR(15&lt;&gt;'計算A'!$A$3,'計算A'!$A$4=0))),0,IF(15=$K22,200000,ABS(15-$K22)*100)),100000+ABS(1-$J22)*1000+150)+'計算A'!R$5*50+IF(AND($E22=1,JE22=0),25,0),INDEX('計算A'!R$110:R$114,$F22+1)+IF(AND($E22=1,JE22=0),1000,0)+IF($H22=1,(IF('計算A'!Q$117=1,INDEX('計算A'!Q$10:Q$54,$B22),0)+IF('計算A'!R$117=1,INDEX('計算A'!S$10:S$54,$B22),0))*500,0)-IF(AND('計算A'!Q$117=1,UO22&gt;0),300,0)-IF(AND($L22=1,'計算A'!R$117=1,DQ22=0),300,0))),1000000))</f>
        <v/>
      </c>
      <c r="OU22">
        <f>IF($B22=0,1000000,IF(INDEX('計算A'!$D$60:$EQ$104,$B22,16)*DQ22=1,IF(AND($E22=2,JF22=0),1000000,IF($I22&gt;0,IF(1=$J22,IF(OR(AND(16=$I22+1,OR($K22&lt;&gt;'計算A'!$A$3,'計算A'!$A$4=0)),AND(16=$I22-1,OR(16&lt;&gt;'計算A'!$A$3,'計算A'!$A$4=0))),0,IF(16=$K22,200000,ABS(16-$K22)*100)),100000+ABS(1-$J22)*1000+160)+'計算A'!S$5*50+IF(AND($E22=1,JF22=0),25,0),INDEX('計算A'!S$110:S$114,$F22+1)+IF(AND($E22=1,JF22=0),1000,0)+IF($H22=1,(IF('計算A'!R$117=1,INDEX('計算A'!R$10:R$54,$B22),0)+IF('計算A'!S$117=1,INDEX('計算A'!T$10:T$54,$B22),0))*500,0)-IF(AND('計算A'!R$117=1,UP22&gt;0),300,0)-IF(AND($L22=1,'計算A'!S$117=1,DR22=0),300,0))),1000000))</f>
        <v/>
      </c>
      <c r="OV22">
        <f>IF($B22=0,1000000,IF(INDEX('計算A'!$D$60:$EQ$104,$B22,17)*DR22=1,IF(AND($E22=2,JG22=0),1000000,IF($I22&gt;0,IF(1=$J22,IF(OR(AND(17=$I22+1,OR($K22&lt;&gt;'計算A'!$A$3,'計算A'!$A$4=0)),AND(17=$I22-1,OR(17&lt;&gt;'計算A'!$A$3,'計算A'!$A$4=0))),0,IF(17=$K22,200000,ABS(17-$K22)*100)),100000+ABS(1-$J22)*1000+170)+'計算A'!T$5*50+IF(AND($E22=1,JG22=0),25,0),INDEX('計算A'!T$110:T$114,$F22+1)+IF(AND($E22=1,JG22=0),1000,0)+IF($H22=1,(IF('計算A'!S$117=1,INDEX('計算A'!S$10:S$54,$B22),0)+IF('計算A'!T$117=1,INDEX('計算A'!U$10:U$54,$B22),0))*500,0)-IF(AND('計算A'!S$117=1,UQ22&gt;0),300,0)-IF(AND($L22=1,'計算A'!T$117=1,DS22=0),300,0))),1000000))</f>
        <v/>
      </c>
      <c r="OW22">
        <f>IF($B22=0,1000000,IF(INDEX('計算A'!$D$60:$EQ$104,$B22,18)*DS22=1,IF(AND($E22=2,JH22=0),1000000,IF($I22&gt;0,IF(1=$J22,IF(OR(AND(18=$I22+1,OR($K22&lt;&gt;'計算A'!$A$3,'計算A'!$A$4=0)),AND(18=$I22-1,OR(18&lt;&gt;'計算A'!$A$3,'計算A'!$A$4=0))),0,IF(18=$K22,200000,ABS(18-$K22)*100)),100000+ABS(1-$J22)*1000+180)+'計算A'!U$5*50+IF(AND($E22=1,JH22=0),25,0),INDEX('計算A'!U$110:U$114,$F22+1)+IF(AND($E22=1,JH22=0),1000,0)+IF($H22=1,(IF('計算A'!T$117=1,INDEX('計算A'!T$10:T$54,$B22),0)+IF('計算A'!U$117=1,INDEX('計算A'!V$10:V$54,$B22),0))*500,0)-IF(AND('計算A'!T$117=1,UR22&gt;0),300,0)-IF(AND($L22=1,'計算A'!U$117=1,DT22=0),300,0))),1000000))</f>
        <v/>
      </c>
      <c r="OX22">
        <f>IF($B22=0,1000000,IF(INDEX('計算A'!$D$60:$EQ$104,$B22,19)*DT22=1,IF(AND($E22=2,JI22=0),1000000,IF($I22&gt;0,IF(1=$J22,IF(OR(AND(19=$I22+1,OR($K22&lt;&gt;'計算A'!$A$3,'計算A'!$A$4=0)),AND(19=$I22-1,OR(19&lt;&gt;'計算A'!$A$3,'計算A'!$A$4=0))),0,IF(19=$K22,200000,ABS(19-$K22)*100)),100000+ABS(1-$J22)*1000+190)+'計算A'!V$5*50+IF(AND($E22=1,JI22=0),25,0),INDEX('計算A'!V$110:V$114,$F22+1)+IF(AND($E22=1,JI22=0),1000,0)+IF($H22=1,(IF('計算A'!U$117=1,INDEX('計算A'!U$10:U$54,$B22),0)+IF('計算A'!V$117=1,INDEX('計算A'!W$10:W$54,$B22),0))*500,0)-IF(AND('計算A'!U$117=1,US22&gt;0),300,0)-IF(AND($L22=1,'計算A'!V$117=1,DU22=0),300,0))),1000000))</f>
        <v/>
      </c>
      <c r="OY22">
        <f>IF($B22=0,1000000,IF(INDEX('計算A'!$D$60:$EQ$104,$B22,20)*DU22=1,IF(AND($E22=2,JJ22=0),1000000,IF($I22&gt;0,IF(1=$J22,IF(OR(AND(20=$I22+1,OR($K22&lt;&gt;'計算A'!$A$3,'計算A'!$A$4=0)),AND(20=$I22-1,OR(20&lt;&gt;'計算A'!$A$3,'計算A'!$A$4=0))),0,IF(20=$K22,200000,ABS(20-$K22)*100)),100000+ABS(1-$J22)*1000+200)+'計算A'!W$5*50+IF(AND($E22=1,JJ22=0),25,0),INDEX('計算A'!W$110:W$114,$F22+1)+IF(AND($E22=1,JJ22=0),1000,0)+IF($H22=1,(IF('計算A'!V$117=1,INDEX('計算A'!V$10:V$54,$B22),0)+IF('計算A'!W$117=1,INDEX('計算A'!X$10:X$54,$B22),0))*500,0)-IF(AND('計算A'!V$117=1,UT22&gt;0),300,0)-IF(AND($L22=1,'計算A'!W$117=1,DV22=0),300,0))),1000000))</f>
        <v/>
      </c>
      <c r="OZ22">
        <f>IF($B22=0,1000000,IF(INDEX('計算A'!$D$60:$EQ$104,$B22,21)*DV22=1,IF(AND($E22=2,JK22=0),1000000,IF($I22&gt;0,IF(1=$J22,IF(OR(AND(21=$I22+1,OR($K22&lt;&gt;'計算A'!$A$3,'計算A'!$A$4=0)),AND(21=$I22-1,OR(21&lt;&gt;'計算A'!$A$3,'計算A'!$A$4=0))),0,IF(21=$K22,200000,ABS(21-$K22)*100)),100000+ABS(1-$J22)*1000+210)+'計算A'!X$5*50+IF(AND($E22=1,JK22=0),25,0),INDEX('計算A'!X$110:X$114,$F22+1)+IF(AND($E22=1,JK22=0),1000,0)+IF($H22=1,(IF('計算A'!W$117=1,INDEX('計算A'!W$10:W$54,$B22),0)+IF('計算A'!X$117=1,INDEX('計算A'!Y$10:Y$54,$B22),0))*500,0)-IF(AND('計算A'!W$117=1,UU22&gt;0),300,0)-IF(AND($L22=1,'計算A'!X$117=1,DW22=0),300,0))),1000000))</f>
        <v/>
      </c>
      <c r="PA22">
        <f>IF($B22=0,1000000,IF(INDEX('計算A'!$D$60:$EQ$104,$B22,22)*DW22=1,IF(AND($E22=2,JL22=0),1000000,IF($I22&gt;0,IF(1=$J22,IF(OR(AND(22=$I22+1,OR($K22&lt;&gt;'計算A'!$A$3,'計算A'!$A$4=0)),AND(22=$I22-1,OR(22&lt;&gt;'計算A'!$A$3,'計算A'!$A$4=0))),0,IF(22=$K22,200000,ABS(22-$K22)*100)),100000+ABS(1-$J22)*1000+220)+'計算A'!Y$5*50+IF(AND($E22=1,JL22=0),25,0),INDEX('計算A'!Y$110:Y$114,$F22+1)+IF(AND($E22=1,JL22=0),1000,0)+IF($H22=1,(IF('計算A'!X$117=1,INDEX('計算A'!X$10:X$54,$B22),0)+IF('計算A'!Y$117=1,INDEX('計算A'!Z$10:Z$54,$B22),0))*500,0)-IF(AND('計算A'!X$117=1,UV22&gt;0),300,0)-IF(AND($L22=1,'計算A'!Y$117=1,DX22=0),300,0))),1000000))</f>
        <v/>
      </c>
      <c r="PB22">
        <f>IF($B22=0,1000000,IF(INDEX('計算A'!$D$60:$EQ$104,$B22,23)*DX22=1,IF(AND($E22=2,JM22=0),1000000,IF($I22&gt;0,IF(1=$J22,IF(OR(AND(23=$I22+1,OR($K22&lt;&gt;'計算A'!$A$3,'計算A'!$A$4=0)),AND(23=$I22-1,OR(23&lt;&gt;'計算A'!$A$3,'計算A'!$A$4=0))),0,IF(23=$K22,200000,ABS(23-$K22)*100)),100000+ABS(1-$J22)*1000+230)+'計算A'!Z$5*50+IF(AND($E22=1,JM22=0),25,0),INDEX('計算A'!Z$110:Z$114,$F22+1)+IF(AND($E22=1,JM22=0),1000,0)+IF($H22=1,(IF('計算A'!Y$117=1,INDEX('計算A'!Y$10:Y$54,$B22),0)+IF('計算A'!Z$117=1,INDEX('計算A'!AA$10:AA$54,$B22),0))*500,0)-IF(AND('計算A'!Y$117=1,UW22&gt;0),300,0)-IF(AND($L22=1,'計算A'!Z$117=1,DY22=0),300,0))),1000000))</f>
        <v/>
      </c>
      <c r="PC22">
        <f>IF($B22=0,1000000,IF(INDEX('計算A'!$D$60:$EQ$104,$B22,24)*DY22=1,IF(AND($E22=2,JN22=0),1000000,IF($I22&gt;0,IF(1=$J22,IF(OR(AND(24=$I22+1,OR($K22&lt;&gt;'計算A'!$A$3,'計算A'!$A$4=0)),AND(24=$I22-1,OR(24&lt;&gt;'計算A'!$A$3,'計算A'!$A$4=0))),0,IF(24=$K22,200000,ABS(24-$K22)*100)),100000+ABS(1-$J22)*1000+240)+'計算A'!AA$5*50+IF(AND($E22=1,JN22=0),25,0),INDEX('計算A'!AA$110:AA$114,$F22+1)+IF(AND($E22=1,JN22=0),1000,0)+IF($H22=1,(IF('計算A'!Z$117=1,INDEX('計算A'!Z$10:Z$54,$B22),0))*500,0)-IF(AND('計算A'!Z$117=1,UX22&gt;0),300,0))),1000000))</f>
        <v/>
      </c>
      <c r="PD22">
        <f>IF($B22=0,1000000,IF(INDEX('計算A'!$D$60:$EQ$104,$B22,25)*DZ22=1,IF(AND($E22=2,JO22=0),1000000,IF($I22&gt;0,IF(2=$J22,IF(OR(AND(25=$I22+1,OR($K22&lt;&gt;'計算A'!$A$3,'計算A'!$A$4=0)),AND(25=$I22-1,OR(1&lt;&gt;'計算A'!$A$3,'計算A'!$A$4=0))),0,IF(1=$K22,200000,ABS(1-$K22)*100)),100000+ABS(2-$J22)*1000+10)+'計算A'!AB$5*50+IF(AND($E22=1,JO22=0),25,0),INDEX('計算A'!AB$110:AB$114,$F22+1)+IF(AND($E22=1,JO22=0),1000,0)+IF($H22=1,(IF('計算A'!AB$117=1,INDEX('計算A'!AC$10:AC$54,$B22),0))*500,0)-IF(AND($L22=1,'計算A'!AB$117=1,EA22=0),300,0))),1000000))</f>
        <v/>
      </c>
      <c r="PE22">
        <f>IF($B22=0,1000000,IF(INDEX('計算A'!$D$60:$EQ$104,$B22,26)*EA22=1,IF(AND($E22=2,JP22=0),1000000,IF($I22&gt;0,IF(2=$J22,IF(OR(AND(26=$I22+1,OR($K22&lt;&gt;'計算A'!$A$3,'計算A'!$A$4=0)),AND(26=$I22-1,OR(2&lt;&gt;'計算A'!$A$3,'計算A'!$A$4=0))),0,IF(2=$K22,200000,ABS(2-$K22)*100)),100000+ABS(2-$J22)*1000+20)+'計算A'!AC$5*50+IF(AND($E22=1,JP22=0),25,0),INDEX('計算A'!AC$110:AC$114,$F22+1)+IF(AND($E22=1,JP22=0),1000,0)+IF($H22=1,(IF('計算A'!AB$117=1,INDEX('計算A'!AB$10:AB$54,$B22),0)+IF('計算A'!AC$117=1,INDEX('計算A'!AD$10:AD$54,$B22),0))*500,0)-IF(AND('計算A'!AB$117=1,UZ22&gt;0),300,0)-IF(AND($L22=1,'計算A'!AC$117=1,EB22=0),300,0))),1000000))</f>
        <v/>
      </c>
      <c r="PF22">
        <f>IF($B22=0,1000000,IF(INDEX('計算A'!$D$60:$EQ$104,$B22,27)*EB22=1,IF(AND($E22=2,JQ22=0),1000000,IF($I22&gt;0,IF(2=$J22,IF(OR(AND(27=$I22+1,OR($K22&lt;&gt;'計算A'!$A$3,'計算A'!$A$4=0)),AND(27=$I22-1,OR(3&lt;&gt;'計算A'!$A$3,'計算A'!$A$4=0))),0,IF(3=$K22,200000,ABS(3-$K22)*100)),100000+ABS(2-$J22)*1000+30)+'計算A'!AD$5*50+IF(AND($E22=1,JQ22=0),25,0),INDEX('計算A'!AD$110:AD$114,$F22+1)+IF(AND($E22=1,JQ22=0),1000,0)+IF($H22=1,(IF('計算A'!AC$117=1,INDEX('計算A'!AC$10:AC$54,$B22),0)+IF('計算A'!AD$117=1,INDEX('計算A'!AE$10:AE$54,$B22),0))*500,0)-IF(AND('計算A'!AC$117=1,VA22&gt;0),300,0)-IF(AND($L22=1,'計算A'!AD$117=1,EC22=0),300,0))),1000000))</f>
        <v/>
      </c>
      <c r="PG22">
        <f>IF($B22=0,1000000,IF(INDEX('計算A'!$D$60:$EQ$104,$B22,28)*EC22=1,IF(AND($E22=2,JR22=0),1000000,IF($I22&gt;0,IF(2=$J22,IF(OR(AND(28=$I22+1,OR($K22&lt;&gt;'計算A'!$A$3,'計算A'!$A$4=0)),AND(28=$I22-1,OR(4&lt;&gt;'計算A'!$A$3,'計算A'!$A$4=0))),0,IF(4=$K22,200000,ABS(4-$K22)*100)),100000+ABS(2-$J22)*1000+40)+'計算A'!AE$5*50+IF(AND($E22=1,JR22=0),25,0),INDEX('計算A'!AE$110:AE$114,$F22+1)+IF(AND($E22=1,JR22=0),1000,0)+IF($H22=1,(IF('計算A'!AD$117=1,INDEX('計算A'!AD$10:AD$54,$B22),0)+IF('計算A'!AE$117=1,INDEX('計算A'!AF$10:AF$54,$B22),0))*500,0)-IF(AND('計算A'!AD$117=1,VB22&gt;0),300,0)-IF(AND($L22=1,'計算A'!AE$117=1,ED22=0),300,0))),1000000))</f>
        <v/>
      </c>
      <c r="PH22">
        <f>IF($B22=0,1000000,IF(INDEX('計算A'!$D$60:$EQ$104,$B22,29)*ED22=1,IF(AND($E22=2,JS22=0),1000000,IF($I22&gt;0,IF(2=$J22,IF(OR(AND(29=$I22+1,OR($K22&lt;&gt;'計算A'!$A$3,'計算A'!$A$4=0)),AND(29=$I22-1,OR(5&lt;&gt;'計算A'!$A$3,'計算A'!$A$4=0))),0,IF(5=$K22,200000,ABS(5-$K22)*100)),100000+ABS(2-$J22)*1000+50)+'計算A'!AF$5*50+IF(AND($E22=1,JS22=0),25,0),INDEX('計算A'!AF$110:AF$114,$F22+1)+IF(AND($E22=1,JS22=0),1000,0)+IF($H22=1,(IF('計算A'!AE$117=1,INDEX('計算A'!AE$10:AE$54,$B22),0)+IF('計算A'!AF$117=1,INDEX('計算A'!AG$10:AG$54,$B22),0))*500,0)-IF(AND('計算A'!AE$117=1,VC22&gt;0),300,0)-IF(AND($L22=1,'計算A'!AF$117=1,EE22=0),300,0))),1000000))</f>
        <v/>
      </c>
      <c r="PI22">
        <f>IF($B22=0,1000000,IF(INDEX('計算A'!$D$60:$EQ$104,$B22,30)*EE22=1,IF(AND($E22=2,JT22=0),1000000,IF($I22&gt;0,IF(2=$J22,IF(OR(AND(30=$I22+1,OR($K22&lt;&gt;'計算A'!$A$3,'計算A'!$A$4=0)),AND(30=$I22-1,OR(6&lt;&gt;'計算A'!$A$3,'計算A'!$A$4=0))),0,IF(6=$K22,200000,ABS(6-$K22)*100)),100000+ABS(2-$J22)*1000+60)+'計算A'!AG$5*50+IF(AND($E22=1,JT22=0),25,0),INDEX('計算A'!AG$110:AG$114,$F22+1)+IF(AND($E22=1,JT22=0),1000,0)+IF($H22=1,(IF('計算A'!AF$117=1,INDEX('計算A'!AF$10:AF$54,$B22),0)+IF('計算A'!AG$117=1,INDEX('計算A'!AH$10:AH$54,$B22),0))*500,0)-IF(AND('計算A'!AF$117=1,VD22&gt;0),300,0)-IF(AND($L22=1,'計算A'!AG$117=1,EF22=0),300,0))),1000000))</f>
        <v/>
      </c>
      <c r="PJ22">
        <f>IF($B22=0,1000000,IF(INDEX('計算A'!$D$60:$EQ$104,$B22,31)*EF22=1,IF(AND($E22=2,JU22=0),1000000,IF($I22&gt;0,IF(2=$J22,IF(OR(AND(31=$I22+1,OR($K22&lt;&gt;'計算A'!$A$3,'計算A'!$A$4=0)),AND(31=$I22-1,OR(7&lt;&gt;'計算A'!$A$3,'計算A'!$A$4=0))),0,IF(7=$K22,200000,ABS(7-$K22)*100)),100000+ABS(2-$J22)*1000+70)+'計算A'!AH$5*50+IF(AND($E22=1,JU22=0),25,0),INDEX('計算A'!AH$110:AH$114,$F22+1)+IF(AND($E22=1,JU22=0),1000,0)+IF($H22=1,(IF('計算A'!AG$117=1,INDEX('計算A'!AG$10:AG$54,$B22),0)+IF('計算A'!AH$117=1,INDEX('計算A'!AI$10:AI$54,$B22),0))*500,0)-IF(AND('計算A'!AG$117=1,VE22&gt;0),300,0)-IF(AND($L22=1,'計算A'!AH$117=1,EG22=0),300,0))),1000000))</f>
        <v/>
      </c>
      <c r="PK22">
        <f>IF($B22=0,1000000,IF(INDEX('計算A'!$D$60:$EQ$104,$B22,32)*EG22=1,IF(AND($E22=2,JV22=0),1000000,IF($I22&gt;0,IF(2=$J22,IF(OR(AND(32=$I22+1,OR($K22&lt;&gt;'計算A'!$A$3,'計算A'!$A$4=0)),AND(32=$I22-1,OR(8&lt;&gt;'計算A'!$A$3,'計算A'!$A$4=0))),0,IF(8=$K22,200000,ABS(8-$K22)*100)),100000+ABS(2-$J22)*1000+80)+'計算A'!AI$5*50+IF(AND($E22=1,JV22=0),25,0),INDEX('計算A'!AI$110:AI$114,$F22+1)+IF(AND($E22=1,JV22=0),1000,0)+IF($H22=1,(IF('計算A'!AH$117=1,INDEX('計算A'!AH$10:AH$54,$B22),0)+IF('計算A'!AI$117=1,INDEX('計算A'!AJ$10:AJ$54,$B22),0))*500,0)-IF(AND('計算A'!AH$117=1,VF22&gt;0),300,0)-IF(AND($L22=1,'計算A'!AI$117=1,EH22=0),300,0))),1000000))</f>
        <v/>
      </c>
      <c r="PL22">
        <f>IF($B22=0,1000000,IF(INDEX('計算A'!$D$60:$EQ$104,$B22,33)*EH22=1,IF(AND($E22=2,JW22=0),1000000,IF($I22&gt;0,IF(2=$J22,IF(OR(AND(33=$I22+1,OR($K22&lt;&gt;'計算A'!$A$3,'計算A'!$A$4=0)),AND(33=$I22-1,OR(9&lt;&gt;'計算A'!$A$3,'計算A'!$A$4=0))),0,IF(9=$K22,200000,ABS(9-$K22)*100)),100000+ABS(2-$J22)*1000+90)+'計算A'!AJ$5*50+IF(AND($E22=1,JW22=0),25,0),INDEX('計算A'!AJ$110:AJ$114,$F22+1)+IF(AND($E22=1,JW22=0),1000,0)+IF($H22=1,(IF('計算A'!AI$117=1,INDEX('計算A'!AI$10:AI$54,$B22),0)+IF('計算A'!AJ$117=1,INDEX('計算A'!AK$10:AK$54,$B22),0))*500,0)-IF(AND('計算A'!AI$117=1,VG22&gt;0),300,0)-IF(AND($L22=1,'計算A'!AJ$117=1,EI22=0),300,0))),1000000))</f>
        <v/>
      </c>
      <c r="PM22">
        <f>IF($B22=0,1000000,IF(INDEX('計算A'!$D$60:$EQ$104,$B22,34)*EI22=1,IF(AND($E22=2,JX22=0),1000000,IF($I22&gt;0,IF(2=$J22,IF(OR(AND(34=$I22+1,OR($K22&lt;&gt;'計算A'!$A$3,'計算A'!$A$4=0)),AND(34=$I22-1,OR(10&lt;&gt;'計算A'!$A$3,'計算A'!$A$4=0))),0,IF(10=$K22,200000,ABS(10-$K22)*100)),100000+ABS(2-$J22)*1000+100)+'計算A'!AK$5*50+IF(AND($E22=1,JX22=0),25,0),INDEX('計算A'!AK$110:AK$114,$F22+1)+IF(AND($E22=1,JX22=0),1000,0)+IF($H22=1,(IF('計算A'!AJ$117=1,INDEX('計算A'!AJ$10:AJ$54,$B22),0)+IF('計算A'!AK$117=1,INDEX('計算A'!AL$10:AL$54,$B22),0))*500,0)-IF(AND('計算A'!AJ$117=1,VH22&gt;0),300,0)-IF(AND($L22=1,'計算A'!AK$117=1,EJ22=0),300,0))),1000000))</f>
        <v/>
      </c>
      <c r="PN22">
        <f>IF($B22=0,1000000,IF(INDEX('計算A'!$D$60:$EQ$104,$B22,35)*EJ22=1,IF(AND($E22=2,JY22=0),1000000,IF($I22&gt;0,IF(2=$J22,IF(OR(AND(35=$I22+1,OR($K22&lt;&gt;'計算A'!$A$3,'計算A'!$A$4=0)),AND(35=$I22-1,OR(11&lt;&gt;'計算A'!$A$3,'計算A'!$A$4=0))),0,IF(11=$K22,200000,ABS(11-$K22)*100)),100000+ABS(2-$J22)*1000+110)+'計算A'!AL$5*50+IF(AND($E22=1,JY22=0),25,0),INDEX('計算A'!AL$110:AL$114,$F22+1)+IF(AND($E22=1,JY22=0),1000,0)+IF($H22=1,(IF('計算A'!AK$117=1,INDEX('計算A'!AK$10:AK$54,$B22),0)+IF('計算A'!AL$117=1,INDEX('計算A'!AM$10:AM$54,$B22),0))*500,0)-IF(AND('計算A'!AK$117=1,VI22&gt;0),300,0)-IF(AND($L22=1,'計算A'!AL$117=1,EK22=0),300,0))),1000000))</f>
        <v/>
      </c>
      <c r="PO22">
        <f>IF($B22=0,1000000,IF(INDEX('計算A'!$D$60:$EQ$104,$B22,36)*EK22=1,IF(AND($E22=2,JZ22=0),1000000,IF($I22&gt;0,IF(2=$J22,IF(OR(AND(36=$I22+1,OR($K22&lt;&gt;'計算A'!$A$3,'計算A'!$A$4=0)),AND(36=$I22-1,OR(12&lt;&gt;'計算A'!$A$3,'計算A'!$A$4=0))),0,IF(12=$K22,200000,ABS(12-$K22)*100)),100000+ABS(2-$J22)*1000+120)+'計算A'!AM$5*50+IF(AND($E22=1,JZ22=0),25,0),INDEX('計算A'!AM$110:AM$114,$F22+1)+IF(AND($E22=1,JZ22=0),1000,0)+IF($H22=1,(IF('計算A'!AL$117=1,INDEX('計算A'!AL$10:AL$54,$B22),0)+IF('計算A'!AM$117=1,INDEX('計算A'!AN$10:AN$54,$B22),0))*500,0)-IF(AND('計算A'!AL$117=1,VJ22&gt;0),300,0)-IF(AND($L22=1,'計算A'!AM$117=1,EL22=0),300,0))),1000000))</f>
        <v/>
      </c>
      <c r="PP22">
        <f>IF($B22=0,1000000,IF(INDEX('計算A'!$D$60:$EQ$104,$B22,37)*EL22=1,IF(AND($E22=2,KA22=0),1000000,IF($I22&gt;0,IF(2=$J22,IF(OR(AND(37=$I22+1,OR($K22&lt;&gt;'計算A'!$A$3,'計算A'!$A$4=0)),AND(37=$I22-1,OR(13&lt;&gt;'計算A'!$A$3,'計算A'!$A$4=0))),0,IF(13=$K22,200000,ABS(13-$K22)*100)),100000+ABS(2-$J22)*1000+130)+'計算A'!AN$5*50+IF(AND($E22=1,KA22=0),25,0),INDEX('計算A'!AN$110:AN$114,$F22+1)+IF(AND($E22=1,KA22=0),1000,0)+IF($H22=1,(IF('計算A'!AM$117=1,INDEX('計算A'!AM$10:AM$54,$B22),0)+IF('計算A'!AN$117=1,INDEX('計算A'!AO$10:AO$54,$B22),0))*500,0)-IF(AND('計算A'!AM$117=1,VK22&gt;0),300,0)-IF(AND($L22=1,'計算A'!AN$117=1,EM22=0),300,0))),1000000))</f>
        <v/>
      </c>
      <c r="PQ22">
        <f>IF($B22=0,1000000,IF(INDEX('計算A'!$D$60:$EQ$104,$B22,38)*EM22=1,IF(AND($E22=2,KB22=0),1000000,IF($I22&gt;0,IF(2=$J22,IF(OR(AND(38=$I22+1,OR($K22&lt;&gt;'計算A'!$A$3,'計算A'!$A$4=0)),AND(38=$I22-1,OR(14&lt;&gt;'計算A'!$A$3,'計算A'!$A$4=0))),0,IF(14=$K22,200000,ABS(14-$K22)*100)),100000+ABS(2-$J22)*1000+140)+'計算A'!AO$5*50+IF(AND($E22=1,KB22=0),25,0),INDEX('計算A'!AO$110:AO$114,$F22+1)+IF(AND($E22=1,KB22=0),1000,0)+IF($H22=1,(IF('計算A'!AN$117=1,INDEX('計算A'!AN$10:AN$54,$B22),0)+IF('計算A'!AO$117=1,INDEX('計算A'!AP$10:AP$54,$B22),0))*500,0)-IF(AND('計算A'!AN$117=1,VL22&gt;0),300,0)-IF(AND($L22=1,'計算A'!AO$117=1,EN22=0),300,0))),1000000))</f>
        <v/>
      </c>
      <c r="PR22">
        <f>IF($B22=0,1000000,IF(INDEX('計算A'!$D$60:$EQ$104,$B22,39)*EN22=1,IF(AND($E22=2,KC22=0),1000000,IF($I22&gt;0,IF(2=$J22,IF(OR(AND(39=$I22+1,OR($K22&lt;&gt;'計算A'!$A$3,'計算A'!$A$4=0)),AND(39=$I22-1,OR(15&lt;&gt;'計算A'!$A$3,'計算A'!$A$4=0))),0,IF(15=$K22,200000,ABS(15-$K22)*100)),100000+ABS(2-$J22)*1000+150)+'計算A'!AP$5*50+IF(AND($E22=1,KC22=0),25,0),INDEX('計算A'!AP$110:AP$114,$F22+1)+IF(AND($E22=1,KC22=0),1000,0)+IF($H22=1,(IF('計算A'!AO$117=1,INDEX('計算A'!AO$10:AO$54,$B22),0)+IF('計算A'!AP$117=1,INDEX('計算A'!AQ$10:AQ$54,$B22),0))*500,0)-IF(AND('計算A'!AO$117=1,VM22&gt;0),300,0)-IF(AND($L22=1,'計算A'!AP$117=1,EO22=0),300,0))),1000000))</f>
        <v/>
      </c>
      <c r="PS22">
        <f>IF($B22=0,1000000,IF(INDEX('計算A'!$D$60:$EQ$104,$B22,40)*EO22=1,IF(AND($E22=2,KD22=0),1000000,IF($I22&gt;0,IF(2=$J22,IF(OR(AND(40=$I22+1,OR($K22&lt;&gt;'計算A'!$A$3,'計算A'!$A$4=0)),AND(40=$I22-1,OR(16&lt;&gt;'計算A'!$A$3,'計算A'!$A$4=0))),0,IF(16=$K22,200000,ABS(16-$K22)*100)),100000+ABS(2-$J22)*1000+160)+'計算A'!AQ$5*50+IF(AND($E22=1,KD22=0),25,0),INDEX('計算A'!AQ$110:AQ$114,$F22+1)+IF(AND($E22=1,KD22=0),1000,0)+IF($H22=1,(IF('計算A'!AP$117=1,INDEX('計算A'!AP$10:AP$54,$B22),0)+IF('計算A'!AQ$117=1,INDEX('計算A'!AR$10:AR$54,$B22),0))*500,0)-IF(AND('計算A'!AP$117=1,VN22&gt;0),300,0)-IF(AND($L22=1,'計算A'!AQ$117=1,EP22=0),300,0))),1000000))</f>
        <v/>
      </c>
      <c r="PT22">
        <f>IF($B22=0,1000000,IF(INDEX('計算A'!$D$60:$EQ$104,$B22,41)*EP22=1,IF(AND($E22=2,KE22=0),1000000,IF($I22&gt;0,IF(2=$J22,IF(OR(AND(41=$I22+1,OR($K22&lt;&gt;'計算A'!$A$3,'計算A'!$A$4=0)),AND(41=$I22-1,OR(17&lt;&gt;'計算A'!$A$3,'計算A'!$A$4=0))),0,IF(17=$K22,200000,ABS(17-$K22)*100)),100000+ABS(2-$J22)*1000+170)+'計算A'!AR$5*50+IF(AND($E22=1,KE22=0),25,0),INDEX('計算A'!AR$110:AR$114,$F22+1)+IF(AND($E22=1,KE22=0),1000,0)+IF($H22=1,(IF('計算A'!AQ$117=1,INDEX('計算A'!AQ$10:AQ$54,$B22),0)+IF('計算A'!AR$117=1,INDEX('計算A'!AS$10:AS$54,$B22),0))*500,0)-IF(AND('計算A'!AQ$117=1,VO22&gt;0),300,0)-IF(AND($L22=1,'計算A'!AR$117=1,EQ22=0),300,0))),1000000))</f>
        <v/>
      </c>
      <c r="PU22">
        <f>IF($B22=0,1000000,IF(INDEX('計算A'!$D$60:$EQ$104,$B22,42)*EQ22=1,IF(AND($E22=2,KF22=0),1000000,IF($I22&gt;0,IF(2=$J22,IF(OR(AND(42=$I22+1,OR($K22&lt;&gt;'計算A'!$A$3,'計算A'!$A$4=0)),AND(42=$I22-1,OR(18&lt;&gt;'計算A'!$A$3,'計算A'!$A$4=0))),0,IF(18=$K22,200000,ABS(18-$K22)*100)),100000+ABS(2-$J22)*1000+180)+'計算A'!AS$5*50+IF(AND($E22=1,KF22=0),25,0),INDEX('計算A'!AS$110:AS$114,$F22+1)+IF(AND($E22=1,KF22=0),1000,0)+IF($H22=1,(IF('計算A'!AR$117=1,INDEX('計算A'!AR$10:AR$54,$B22),0)+IF('計算A'!AS$117=1,INDEX('計算A'!AT$10:AT$54,$B22),0))*500,0)-IF(AND('計算A'!AR$117=1,VP22&gt;0),300,0)-IF(AND($L22=1,'計算A'!AS$117=1,ER22=0),300,0))),1000000))</f>
        <v/>
      </c>
      <c r="PV22">
        <f>IF($B22=0,1000000,IF(INDEX('計算A'!$D$60:$EQ$104,$B22,43)*ER22=1,IF(AND($E22=2,KG22=0),1000000,IF($I22&gt;0,IF(2=$J22,IF(OR(AND(43=$I22+1,OR($K22&lt;&gt;'計算A'!$A$3,'計算A'!$A$4=0)),AND(43=$I22-1,OR(19&lt;&gt;'計算A'!$A$3,'計算A'!$A$4=0))),0,IF(19=$K22,200000,ABS(19-$K22)*100)),100000+ABS(2-$J22)*1000+190)+'計算A'!AT$5*50+IF(AND($E22=1,KG22=0),25,0),INDEX('計算A'!AT$110:AT$114,$F22+1)+IF(AND($E22=1,KG22=0),1000,0)+IF($H22=1,(IF('計算A'!AS$117=1,INDEX('計算A'!AS$10:AS$54,$B22),0)+IF('計算A'!AT$117=1,INDEX('計算A'!AU$10:AU$54,$B22),0))*500,0)-IF(AND('計算A'!AS$117=1,VQ22&gt;0),300,0)-IF(AND($L22=1,'計算A'!AT$117=1,ES22=0),300,0))),1000000))</f>
        <v/>
      </c>
      <c r="PW22">
        <f>IF($B22=0,1000000,IF(INDEX('計算A'!$D$60:$EQ$104,$B22,44)*ES22=1,IF(AND($E22=2,KH22=0),1000000,IF($I22&gt;0,IF(2=$J22,IF(OR(AND(44=$I22+1,OR($K22&lt;&gt;'計算A'!$A$3,'計算A'!$A$4=0)),AND(44=$I22-1,OR(20&lt;&gt;'計算A'!$A$3,'計算A'!$A$4=0))),0,IF(20=$K22,200000,ABS(20-$K22)*100)),100000+ABS(2-$J22)*1000+200)+'計算A'!AU$5*50+IF(AND($E22=1,KH22=0),25,0),INDEX('計算A'!AU$110:AU$114,$F22+1)+IF(AND($E22=1,KH22=0),1000,0)+IF($H22=1,(IF('計算A'!AT$117=1,INDEX('計算A'!AT$10:AT$54,$B22),0)+IF('計算A'!AU$117=1,INDEX('計算A'!AV$10:AV$54,$B22),0))*500,0)-IF(AND('計算A'!AT$117=1,VR22&gt;0),300,0)-IF(AND($L22=1,'計算A'!AU$117=1,ET22=0),300,0))),1000000))</f>
        <v/>
      </c>
      <c r="PX22">
        <f>IF($B22=0,1000000,IF(INDEX('計算A'!$D$60:$EQ$104,$B22,45)*ET22=1,IF(AND($E22=2,KI22=0),1000000,IF($I22&gt;0,IF(2=$J22,IF(OR(AND(45=$I22+1,OR($K22&lt;&gt;'計算A'!$A$3,'計算A'!$A$4=0)),AND(45=$I22-1,OR(21&lt;&gt;'計算A'!$A$3,'計算A'!$A$4=0))),0,IF(21=$K22,200000,ABS(21-$K22)*100)),100000+ABS(2-$J22)*1000+210)+'計算A'!AV$5*50+IF(AND($E22=1,KI22=0),25,0),INDEX('計算A'!AV$110:AV$114,$F22+1)+IF(AND($E22=1,KI22=0),1000,0)+IF($H22=1,(IF('計算A'!AU$117=1,INDEX('計算A'!AU$10:AU$54,$B22),0)+IF('計算A'!AV$117=1,INDEX('計算A'!AW$10:AW$54,$B22),0))*500,0)-IF(AND('計算A'!AU$117=1,VS22&gt;0),300,0)-IF(AND($L22=1,'計算A'!AV$117=1,EU22=0),300,0))),1000000))</f>
        <v/>
      </c>
      <c r="PY22">
        <f>IF($B22=0,1000000,IF(INDEX('計算A'!$D$60:$EQ$104,$B22,46)*EU22=1,IF(AND($E22=2,KJ22=0),1000000,IF($I22&gt;0,IF(2=$J22,IF(OR(AND(46=$I22+1,OR($K22&lt;&gt;'計算A'!$A$3,'計算A'!$A$4=0)),AND(46=$I22-1,OR(22&lt;&gt;'計算A'!$A$3,'計算A'!$A$4=0))),0,IF(22=$K22,200000,ABS(22-$K22)*100)),100000+ABS(2-$J22)*1000+220)+'計算A'!AW$5*50+IF(AND($E22=1,KJ22=0),25,0),INDEX('計算A'!AW$110:AW$114,$F22+1)+IF(AND($E22=1,KJ22=0),1000,0)+IF($H22=1,(IF('計算A'!AV$117=1,INDEX('計算A'!AV$10:AV$54,$B22),0)+IF('計算A'!AW$117=1,INDEX('計算A'!AX$10:AX$54,$B22),0))*500,0)-IF(AND('計算A'!AV$117=1,VT22&gt;0),300,0)-IF(AND($L22=1,'計算A'!AW$117=1,EV22=0),300,0))),1000000))</f>
        <v/>
      </c>
      <c r="PZ22">
        <f>IF($B22=0,1000000,IF(INDEX('計算A'!$D$60:$EQ$104,$B22,47)*EV22=1,IF(AND($E22=2,KK22=0),1000000,IF($I22&gt;0,IF(2=$J22,IF(OR(AND(47=$I22+1,OR($K22&lt;&gt;'計算A'!$A$3,'計算A'!$A$4=0)),AND(47=$I22-1,OR(23&lt;&gt;'計算A'!$A$3,'計算A'!$A$4=0))),0,IF(23=$K22,200000,ABS(23-$K22)*100)),100000+ABS(2-$J22)*1000+230)+'計算A'!AX$5*50+IF(AND($E22=1,KK22=0),25,0),INDEX('計算A'!AX$110:AX$114,$F22+1)+IF(AND($E22=1,KK22=0),1000,0)+IF($H22=1,(IF('計算A'!AW$117=1,INDEX('計算A'!AW$10:AW$54,$B22),0)+IF('計算A'!AX$117=1,INDEX('計算A'!AY$10:AY$54,$B22),0))*500,0)-IF(AND('計算A'!AW$117=1,VU22&gt;0),300,0)-IF(AND($L22=1,'計算A'!AX$117=1,EW22=0),300,0))),1000000))</f>
        <v/>
      </c>
      <c r="QA22">
        <f>IF($B22=0,1000000,IF(INDEX('計算A'!$D$60:$EQ$104,$B22,48)*EW22=1,IF(AND($E22=2,KL22=0),1000000,IF($I22&gt;0,IF(2=$J22,IF(OR(AND(48=$I22+1,OR($K22&lt;&gt;'計算A'!$A$3,'計算A'!$A$4=0)),AND(48=$I22-1,OR(24&lt;&gt;'計算A'!$A$3,'計算A'!$A$4=0))),0,IF(24=$K22,200000,ABS(24-$K22)*100)),100000+ABS(2-$J22)*1000+240)+'計算A'!AY$5*50+IF(AND($E22=1,KL22=0),25,0),INDEX('計算A'!AY$110:AY$114,$F22+1)+IF(AND($E22=1,KL22=0),1000,0)+IF($H22=1,(IF('計算A'!AX$117=1,INDEX('計算A'!AX$10:AX$54,$B22),0))*500,0)-IF(AND('計算A'!AX$117=1,VV22&gt;0),300,0))),1000000))</f>
        <v/>
      </c>
      <c r="QB22">
        <f>IF($B22=0,1000000,IF(INDEX('計算A'!$D$60:$EQ$104,$B22,49)*EX22=1,IF(AND($E22=2,KM22=0),1000000,IF($I22&gt;0,IF(3=$J22,IF(OR(AND(49=$I22+1,OR($K22&lt;&gt;'計算A'!$A$3,'計算A'!$A$4=0)),AND(49=$I22-1,OR(1&lt;&gt;'計算A'!$A$3,'計算A'!$A$4=0))),0,IF(1=$K22,200000,ABS(1-$K22)*100)),100000+ABS(3-$J22)*1000+10)+'計算A'!AZ$5*50+IF(AND($E22=1,KM22=0),25,0),INDEX('計算A'!AZ$110:AZ$114,$F22+1)+IF(AND($E22=1,KM22=0),1000,0)+IF($H22=1,(IF('計算A'!AZ$117=1,INDEX('計算A'!BA$10:BA$54,$B22),0))*500,0)-IF(AND($L22=1,'計算A'!AZ$117=1,EY22=0),300,0))),1000000))</f>
        <v/>
      </c>
      <c r="QC22">
        <f>IF($B22=0,1000000,IF(INDEX('計算A'!$D$60:$EQ$104,$B22,50)*EY22=1,IF(AND($E22=2,KN22=0),1000000,IF($I22&gt;0,IF(3=$J22,IF(OR(AND(50=$I22+1,OR($K22&lt;&gt;'計算A'!$A$3,'計算A'!$A$4=0)),AND(50=$I22-1,OR(2&lt;&gt;'計算A'!$A$3,'計算A'!$A$4=0))),0,IF(2=$K22,200000,ABS(2-$K22)*100)),100000+ABS(3-$J22)*1000+20)+'計算A'!BA$5*50+IF(AND($E22=1,KN22=0),25,0),INDEX('計算A'!BA$110:BA$114,$F22+1)+IF(AND($E22=1,KN22=0),1000,0)+IF($H22=1,(IF('計算A'!AZ$117=1,INDEX('計算A'!AZ$10:AZ$54,$B22),0)+IF('計算A'!BA$117=1,INDEX('計算A'!BB$10:BB$54,$B22),0))*500,0)-IF(AND('計算A'!AZ$117=1,VX22&gt;0),300,0)-IF(AND($L22=1,'計算A'!BA$117=1,EZ22=0),300,0))),1000000))</f>
        <v/>
      </c>
      <c r="QD22">
        <f>IF($B22=0,1000000,IF(INDEX('計算A'!$D$60:$EQ$104,$B22,51)*EZ22=1,IF(AND($E22=2,KO22=0),1000000,IF($I22&gt;0,IF(3=$J22,IF(OR(AND(51=$I22+1,OR($K22&lt;&gt;'計算A'!$A$3,'計算A'!$A$4=0)),AND(51=$I22-1,OR(3&lt;&gt;'計算A'!$A$3,'計算A'!$A$4=0))),0,IF(3=$K22,200000,ABS(3-$K22)*100)),100000+ABS(3-$J22)*1000+30)+'計算A'!BB$5*50+IF(AND($E22=1,KO22=0),25,0),INDEX('計算A'!BB$110:BB$114,$F22+1)+IF(AND($E22=1,KO22=0),1000,0)+IF($H22=1,(IF('計算A'!BA$117=1,INDEX('計算A'!BA$10:BA$54,$B22),0)+IF('計算A'!BB$117=1,INDEX('計算A'!BC$10:BC$54,$B22),0))*500,0)-IF(AND('計算A'!BA$117=1,VY22&gt;0),300,0)-IF(AND($L22=1,'計算A'!BB$117=1,FA22=0),300,0))),1000000))</f>
        <v/>
      </c>
      <c r="QE22">
        <f>IF($B22=0,1000000,IF(INDEX('計算A'!$D$60:$EQ$104,$B22,52)*FA22=1,IF(AND($E22=2,KP22=0),1000000,IF($I22&gt;0,IF(3=$J22,IF(OR(AND(52=$I22+1,OR($K22&lt;&gt;'計算A'!$A$3,'計算A'!$A$4=0)),AND(52=$I22-1,OR(4&lt;&gt;'計算A'!$A$3,'計算A'!$A$4=0))),0,IF(4=$K22,200000,ABS(4-$K22)*100)),100000+ABS(3-$J22)*1000+40)+'計算A'!BC$5*50+IF(AND($E22=1,KP22=0),25,0),INDEX('計算A'!BC$110:BC$114,$F22+1)+IF(AND($E22=1,KP22=0),1000,0)+IF($H22=1,(IF('計算A'!BB$117=1,INDEX('計算A'!BB$10:BB$54,$B22),0)+IF('計算A'!BC$117=1,INDEX('計算A'!BD$10:BD$54,$B22),0))*500,0)-IF(AND('計算A'!BB$117=1,VZ22&gt;0),300,0)-IF(AND($L22=1,'計算A'!BC$117=1,FB22=0),300,0))),1000000))</f>
        <v/>
      </c>
      <c r="QF22">
        <f>IF($B22=0,1000000,IF(INDEX('計算A'!$D$60:$EQ$104,$B22,53)*FB22=1,IF(AND($E22=2,KQ22=0),1000000,IF($I22&gt;0,IF(3=$J22,IF(OR(AND(53=$I22+1,OR($K22&lt;&gt;'計算A'!$A$3,'計算A'!$A$4=0)),AND(53=$I22-1,OR(5&lt;&gt;'計算A'!$A$3,'計算A'!$A$4=0))),0,IF(5=$K22,200000,ABS(5-$K22)*100)),100000+ABS(3-$J22)*1000+50)+'計算A'!BD$5*50+IF(AND($E22=1,KQ22=0),25,0),INDEX('計算A'!BD$110:BD$114,$F22+1)+IF(AND($E22=1,KQ22=0),1000,0)+IF($H22=1,(IF('計算A'!BC$117=1,INDEX('計算A'!BC$10:BC$54,$B22),0)+IF('計算A'!BD$117=1,INDEX('計算A'!BE$10:BE$54,$B22),0))*500,0)-IF(AND('計算A'!BC$117=1,WA22&gt;0),300,0)-IF(AND($L22=1,'計算A'!BD$117=1,FC22=0),300,0))),1000000))</f>
        <v/>
      </c>
      <c r="QG22">
        <f>IF($B22=0,1000000,IF(INDEX('計算A'!$D$60:$EQ$104,$B22,54)*FC22=1,IF(AND($E22=2,KR22=0),1000000,IF($I22&gt;0,IF(3=$J22,IF(OR(AND(54=$I22+1,OR($K22&lt;&gt;'計算A'!$A$3,'計算A'!$A$4=0)),AND(54=$I22-1,OR(6&lt;&gt;'計算A'!$A$3,'計算A'!$A$4=0))),0,IF(6=$K22,200000,ABS(6-$K22)*100)),100000+ABS(3-$J22)*1000+60)+'計算A'!BE$5*50+IF(AND($E22=1,KR22=0),25,0),INDEX('計算A'!BE$110:BE$114,$F22+1)+IF(AND($E22=1,KR22=0),1000,0)+IF($H22=1,(IF('計算A'!BD$117=1,INDEX('計算A'!BD$10:BD$54,$B22),0)+IF('計算A'!BE$117=1,INDEX('計算A'!BF$10:BF$54,$B22),0))*500,0)-IF(AND('計算A'!BD$117=1,WB22&gt;0),300,0)-IF(AND($L22=1,'計算A'!BE$117=1,FD22=0),300,0))),1000000))</f>
        <v/>
      </c>
      <c r="QH22">
        <f>IF($B22=0,1000000,IF(INDEX('計算A'!$D$60:$EQ$104,$B22,55)*FD22=1,IF(AND($E22=2,KS22=0),1000000,IF($I22&gt;0,IF(3=$J22,IF(OR(AND(55=$I22+1,OR($K22&lt;&gt;'計算A'!$A$3,'計算A'!$A$4=0)),AND(55=$I22-1,OR(7&lt;&gt;'計算A'!$A$3,'計算A'!$A$4=0))),0,IF(7=$K22,200000,ABS(7-$K22)*100)),100000+ABS(3-$J22)*1000+70)+'計算A'!BF$5*50+IF(AND($E22=1,KS22=0),25,0),INDEX('計算A'!BF$110:BF$114,$F22+1)+IF(AND($E22=1,KS22=0),1000,0)+IF($H22=1,(IF('計算A'!BE$117=1,INDEX('計算A'!BE$10:BE$54,$B22),0)+IF('計算A'!BF$117=1,INDEX('計算A'!BG$10:BG$54,$B22),0))*500,0)-IF(AND('計算A'!BE$117=1,WC22&gt;0),300,0)-IF(AND($L22=1,'計算A'!BF$117=1,FE22=0),300,0))),1000000))</f>
        <v/>
      </c>
      <c r="QI22">
        <f>IF($B22=0,1000000,IF(INDEX('計算A'!$D$60:$EQ$104,$B22,56)*FE22=1,IF(AND($E22=2,KT22=0),1000000,IF($I22&gt;0,IF(3=$J22,IF(OR(AND(56=$I22+1,OR($K22&lt;&gt;'計算A'!$A$3,'計算A'!$A$4=0)),AND(56=$I22-1,OR(8&lt;&gt;'計算A'!$A$3,'計算A'!$A$4=0))),0,IF(8=$K22,200000,ABS(8-$K22)*100)),100000+ABS(3-$J22)*1000+80)+'計算A'!BG$5*50+IF(AND($E22=1,KT22=0),25,0),INDEX('計算A'!BG$110:BG$114,$F22+1)+IF(AND($E22=1,KT22=0),1000,0)+IF($H22=1,(IF('計算A'!BF$117=1,INDEX('計算A'!BF$10:BF$54,$B22),0)+IF('計算A'!BG$117=1,INDEX('計算A'!BH$10:BH$54,$B22),0))*500,0)-IF(AND('計算A'!BF$117=1,WD22&gt;0),300,0)-IF(AND($L22=1,'計算A'!BG$117=1,FF22=0),300,0))),1000000))</f>
        <v/>
      </c>
      <c r="QJ22">
        <f>IF($B22=0,1000000,IF(INDEX('計算A'!$D$60:$EQ$104,$B22,57)*FF22=1,IF(AND($E22=2,KU22=0),1000000,IF($I22&gt;0,IF(3=$J22,IF(OR(AND(57=$I22+1,OR($K22&lt;&gt;'計算A'!$A$3,'計算A'!$A$4=0)),AND(57=$I22-1,OR(9&lt;&gt;'計算A'!$A$3,'計算A'!$A$4=0))),0,IF(9=$K22,200000,ABS(9-$K22)*100)),100000+ABS(3-$J22)*1000+90)+'計算A'!BH$5*50+IF(AND($E22=1,KU22=0),25,0),INDEX('計算A'!BH$110:BH$114,$F22+1)+IF(AND($E22=1,KU22=0),1000,0)+IF($H22=1,(IF('計算A'!BG$117=1,INDEX('計算A'!BG$10:BG$54,$B22),0)+IF('計算A'!BH$117=1,INDEX('計算A'!BI$10:BI$54,$B22),0))*500,0)-IF(AND('計算A'!BG$117=1,WE22&gt;0),300,0)-IF(AND($L22=1,'計算A'!BH$117=1,FG22=0),300,0))),1000000))</f>
        <v/>
      </c>
      <c r="QK22">
        <f>IF($B22=0,1000000,IF(INDEX('計算A'!$D$60:$EQ$104,$B22,58)*FG22=1,IF(AND($E22=2,KV22=0),1000000,IF($I22&gt;0,IF(3=$J22,IF(OR(AND(58=$I22+1,OR($K22&lt;&gt;'計算A'!$A$3,'計算A'!$A$4=0)),AND(58=$I22-1,OR(10&lt;&gt;'計算A'!$A$3,'計算A'!$A$4=0))),0,IF(10=$K22,200000,ABS(10-$K22)*100)),100000+ABS(3-$J22)*1000+100)+'計算A'!BI$5*50+IF(AND($E22=1,KV22=0),25,0),INDEX('計算A'!BI$110:BI$114,$F22+1)+IF(AND($E22=1,KV22=0),1000,0)+IF($H22=1,(IF('計算A'!BH$117=1,INDEX('計算A'!BH$10:BH$54,$B22),0)+IF('計算A'!BI$117=1,INDEX('計算A'!BJ$10:BJ$54,$B22),0))*500,0)-IF(AND('計算A'!BH$117=1,WF22&gt;0),300,0)-IF(AND($L22=1,'計算A'!BI$117=1,FH22=0),300,0))),1000000))</f>
        <v/>
      </c>
      <c r="QL22">
        <f>IF($B22=0,1000000,IF(INDEX('計算A'!$D$60:$EQ$104,$B22,59)*FH22=1,IF(AND($E22=2,KW22=0),1000000,IF($I22&gt;0,IF(3=$J22,IF(OR(AND(59=$I22+1,OR($K22&lt;&gt;'計算A'!$A$3,'計算A'!$A$4=0)),AND(59=$I22-1,OR(11&lt;&gt;'計算A'!$A$3,'計算A'!$A$4=0))),0,IF(11=$K22,200000,ABS(11-$K22)*100)),100000+ABS(3-$J22)*1000+110)+'計算A'!BJ$5*50+IF(AND($E22=1,KW22=0),25,0),INDEX('計算A'!BJ$110:BJ$114,$F22+1)+IF(AND($E22=1,KW22=0),1000,0)+IF($H22=1,(IF('計算A'!BI$117=1,INDEX('計算A'!BI$10:BI$54,$B22),0)+IF('計算A'!BJ$117=1,INDEX('計算A'!BK$10:BK$54,$B22),0))*500,0)-IF(AND('計算A'!BI$117=1,WG22&gt;0),300,0)-IF(AND($L22=1,'計算A'!BJ$117=1,FI22=0),300,0))),1000000))</f>
        <v/>
      </c>
      <c r="QM22">
        <f>IF($B22=0,1000000,IF(INDEX('計算A'!$D$60:$EQ$104,$B22,60)*FI22=1,IF(AND($E22=2,KX22=0),1000000,IF($I22&gt;0,IF(3=$J22,IF(OR(AND(60=$I22+1,OR($K22&lt;&gt;'計算A'!$A$3,'計算A'!$A$4=0)),AND(60=$I22-1,OR(12&lt;&gt;'計算A'!$A$3,'計算A'!$A$4=0))),0,IF(12=$K22,200000,ABS(12-$K22)*100)),100000+ABS(3-$J22)*1000+120)+'計算A'!BK$5*50+IF(AND($E22=1,KX22=0),25,0),INDEX('計算A'!BK$110:BK$114,$F22+1)+IF(AND($E22=1,KX22=0),1000,0)+IF($H22=1,(IF('計算A'!BJ$117=1,INDEX('計算A'!BJ$10:BJ$54,$B22),0)+IF('計算A'!BK$117=1,INDEX('計算A'!BL$10:BL$54,$B22),0))*500,0)-IF(AND('計算A'!BJ$117=1,WH22&gt;0),300,0)-IF(AND($L22=1,'計算A'!BK$117=1,FJ22=0),300,0))),1000000))</f>
        <v/>
      </c>
      <c r="QN22">
        <f>IF($B22=0,1000000,IF(INDEX('計算A'!$D$60:$EQ$104,$B22,61)*FJ22=1,IF(AND($E22=2,KY22=0),1000000,IF($I22&gt;0,IF(3=$J22,IF(OR(AND(61=$I22+1,OR($K22&lt;&gt;'計算A'!$A$3,'計算A'!$A$4=0)),AND(61=$I22-1,OR(13&lt;&gt;'計算A'!$A$3,'計算A'!$A$4=0))),0,IF(13=$K22,200000,ABS(13-$K22)*100)),100000+ABS(3-$J22)*1000+130)+'計算A'!BL$5*50+IF(AND($E22=1,KY22=0),25,0),INDEX('計算A'!BL$110:BL$114,$F22+1)+IF(AND($E22=1,KY22=0),1000,0)+IF($H22=1,(IF('計算A'!BK$117=1,INDEX('計算A'!BK$10:BK$54,$B22),0)+IF('計算A'!BL$117=1,INDEX('計算A'!BM$10:BM$54,$B22),0))*500,0)-IF(AND('計算A'!BK$117=1,WI22&gt;0),300,0)-IF(AND($L22=1,'計算A'!BL$117=1,FK22=0),300,0))),1000000))</f>
        <v/>
      </c>
      <c r="QO22">
        <f>IF($B22=0,1000000,IF(INDEX('計算A'!$D$60:$EQ$104,$B22,62)*FK22=1,IF(AND($E22=2,KZ22=0),1000000,IF($I22&gt;0,IF(3=$J22,IF(OR(AND(62=$I22+1,OR($K22&lt;&gt;'計算A'!$A$3,'計算A'!$A$4=0)),AND(62=$I22-1,OR(14&lt;&gt;'計算A'!$A$3,'計算A'!$A$4=0))),0,IF(14=$K22,200000,ABS(14-$K22)*100)),100000+ABS(3-$J22)*1000+140)+'計算A'!BM$5*50+IF(AND($E22=1,KZ22=0),25,0),INDEX('計算A'!BM$110:BM$114,$F22+1)+IF(AND($E22=1,KZ22=0),1000,0)+IF($H22=1,(IF('計算A'!BL$117=1,INDEX('計算A'!BL$10:BL$54,$B22),0)+IF('計算A'!BM$117=1,INDEX('計算A'!BN$10:BN$54,$B22),0))*500,0)-IF(AND('計算A'!BL$117=1,WJ22&gt;0),300,0)-IF(AND($L22=1,'計算A'!BM$117=1,FL22=0),300,0))),1000000))</f>
        <v/>
      </c>
      <c r="QP22">
        <f>IF($B22=0,1000000,IF(INDEX('計算A'!$D$60:$EQ$104,$B22,63)*FL22=1,IF(AND($E22=2,LA22=0),1000000,IF($I22&gt;0,IF(3=$J22,IF(OR(AND(63=$I22+1,OR($K22&lt;&gt;'計算A'!$A$3,'計算A'!$A$4=0)),AND(63=$I22-1,OR(15&lt;&gt;'計算A'!$A$3,'計算A'!$A$4=0))),0,IF(15=$K22,200000,ABS(15-$K22)*100)),100000+ABS(3-$J22)*1000+150)+'計算A'!BN$5*50+IF(AND($E22=1,LA22=0),25,0),INDEX('計算A'!BN$110:BN$114,$F22+1)+IF(AND($E22=1,LA22=0),1000,0)+IF($H22=1,(IF('計算A'!BM$117=1,INDEX('計算A'!BM$10:BM$54,$B22),0)+IF('計算A'!BN$117=1,INDEX('計算A'!BO$10:BO$54,$B22),0))*500,0)-IF(AND('計算A'!BM$117=1,WK22&gt;0),300,0)-IF(AND($L22=1,'計算A'!BN$117=1,FM22=0),300,0))),1000000))</f>
        <v/>
      </c>
      <c r="QQ22">
        <f>IF($B22=0,1000000,IF(INDEX('計算A'!$D$60:$EQ$104,$B22,64)*FM22=1,IF(AND($E22=2,LB22=0),1000000,IF($I22&gt;0,IF(3=$J22,IF(OR(AND(64=$I22+1,OR($K22&lt;&gt;'計算A'!$A$3,'計算A'!$A$4=0)),AND(64=$I22-1,OR(16&lt;&gt;'計算A'!$A$3,'計算A'!$A$4=0))),0,IF(16=$K22,200000,ABS(16-$K22)*100)),100000+ABS(3-$J22)*1000+160)+'計算A'!BO$5*50+IF(AND($E22=1,LB22=0),25,0),INDEX('計算A'!BO$110:BO$114,$F22+1)+IF(AND($E22=1,LB22=0),1000,0)+IF($H22=1,(IF('計算A'!BN$117=1,INDEX('計算A'!BN$10:BN$54,$B22),0)+IF('計算A'!BO$117=1,INDEX('計算A'!BP$10:BP$54,$B22),0))*500,0)-IF(AND('計算A'!BN$117=1,WL22&gt;0),300,0)-IF(AND($L22=1,'計算A'!BO$117=1,FN22=0),300,0))),1000000))</f>
        <v/>
      </c>
      <c r="QR22">
        <f>IF($B22=0,1000000,IF(INDEX('計算A'!$D$60:$EQ$104,$B22,65)*FN22=1,IF(AND($E22=2,LC22=0),1000000,IF($I22&gt;0,IF(3=$J22,IF(OR(AND(65=$I22+1,OR($K22&lt;&gt;'計算A'!$A$3,'計算A'!$A$4=0)),AND(65=$I22-1,OR(17&lt;&gt;'計算A'!$A$3,'計算A'!$A$4=0))),0,IF(17=$K22,200000,ABS(17-$K22)*100)),100000+ABS(3-$J22)*1000+170)+'計算A'!BP$5*50+IF(AND($E22=1,LC22=0),25,0),INDEX('計算A'!BP$110:BP$114,$F22+1)+IF(AND($E22=1,LC22=0),1000,0)+IF($H22=1,(IF('計算A'!BO$117=1,INDEX('計算A'!BO$10:BO$54,$B22),0)+IF('計算A'!BP$117=1,INDEX('計算A'!BQ$10:BQ$54,$B22),0))*500,0)-IF(AND('計算A'!BO$117=1,WM22&gt;0),300,0)-IF(AND($L22=1,'計算A'!BP$117=1,FO22=0),300,0))),1000000))</f>
        <v/>
      </c>
      <c r="QS22">
        <f>IF($B22=0,1000000,IF(INDEX('計算A'!$D$60:$EQ$104,$B22,66)*FO22=1,IF(AND($E22=2,LD22=0),1000000,IF($I22&gt;0,IF(3=$J22,IF(OR(AND(66=$I22+1,OR($K22&lt;&gt;'計算A'!$A$3,'計算A'!$A$4=0)),AND(66=$I22-1,OR(18&lt;&gt;'計算A'!$A$3,'計算A'!$A$4=0))),0,IF(18=$K22,200000,ABS(18-$K22)*100)),100000+ABS(3-$J22)*1000+180)+'計算A'!BQ$5*50+IF(AND($E22=1,LD22=0),25,0),INDEX('計算A'!BQ$110:BQ$114,$F22+1)+IF(AND($E22=1,LD22=0),1000,0)+IF($H22=1,(IF('計算A'!BP$117=1,INDEX('計算A'!BP$10:BP$54,$B22),0)+IF('計算A'!BQ$117=1,INDEX('計算A'!BR$10:BR$54,$B22),0))*500,0)-IF(AND('計算A'!BP$117=1,WN22&gt;0),300,0)-IF(AND($L22=1,'計算A'!BQ$117=1,FP22=0),300,0))),1000000))</f>
        <v/>
      </c>
      <c r="QT22">
        <f>IF($B22=0,1000000,IF(INDEX('計算A'!$D$60:$EQ$104,$B22,67)*FP22=1,IF(AND($E22=2,LE22=0),1000000,IF($I22&gt;0,IF(3=$J22,IF(OR(AND(67=$I22+1,OR($K22&lt;&gt;'計算A'!$A$3,'計算A'!$A$4=0)),AND(67=$I22-1,OR(19&lt;&gt;'計算A'!$A$3,'計算A'!$A$4=0))),0,IF(19=$K22,200000,ABS(19-$K22)*100)),100000+ABS(3-$J22)*1000+190)+'計算A'!BR$5*50+IF(AND($E22=1,LE22=0),25,0),INDEX('計算A'!BR$110:BR$114,$F22+1)+IF(AND($E22=1,LE22=0),1000,0)+IF($H22=1,(IF('計算A'!BQ$117=1,INDEX('計算A'!BQ$10:BQ$54,$B22),0)+IF('計算A'!BR$117=1,INDEX('計算A'!BS$10:BS$54,$B22),0))*500,0)-IF(AND('計算A'!BQ$117=1,WO22&gt;0),300,0)-IF(AND($L22=1,'計算A'!BR$117=1,FQ22=0),300,0))),1000000))</f>
        <v/>
      </c>
      <c r="QU22">
        <f>IF($B22=0,1000000,IF(INDEX('計算A'!$D$60:$EQ$104,$B22,68)*FQ22=1,IF(AND($E22=2,LF22=0),1000000,IF($I22&gt;0,IF(3=$J22,IF(OR(AND(68=$I22+1,OR($K22&lt;&gt;'計算A'!$A$3,'計算A'!$A$4=0)),AND(68=$I22-1,OR(20&lt;&gt;'計算A'!$A$3,'計算A'!$A$4=0))),0,IF(20=$K22,200000,ABS(20-$K22)*100)),100000+ABS(3-$J22)*1000+200)+'計算A'!BS$5*50+IF(AND($E22=1,LF22=0),25,0),INDEX('計算A'!BS$110:BS$114,$F22+1)+IF(AND($E22=1,LF22=0),1000,0)+IF($H22=1,(IF('計算A'!BR$117=1,INDEX('計算A'!BR$10:BR$54,$B22),0)+IF('計算A'!BS$117=1,INDEX('計算A'!BT$10:BT$54,$B22),0))*500,0)-IF(AND('計算A'!BR$117=1,WP22&gt;0),300,0)-IF(AND($L22=1,'計算A'!BS$117=1,FR22=0),300,0))),1000000))</f>
        <v/>
      </c>
      <c r="QV22">
        <f>IF($B22=0,1000000,IF(INDEX('計算A'!$D$60:$EQ$104,$B22,69)*FR22=1,IF(AND($E22=2,LG22=0),1000000,IF($I22&gt;0,IF(3=$J22,IF(OR(AND(69=$I22+1,OR($K22&lt;&gt;'計算A'!$A$3,'計算A'!$A$4=0)),AND(69=$I22-1,OR(21&lt;&gt;'計算A'!$A$3,'計算A'!$A$4=0))),0,IF(21=$K22,200000,ABS(21-$K22)*100)),100000+ABS(3-$J22)*1000+210)+'計算A'!BT$5*50+IF(AND($E22=1,LG22=0),25,0),INDEX('計算A'!BT$110:BT$114,$F22+1)+IF(AND($E22=1,LG22=0),1000,0)+IF($H22=1,(IF('計算A'!BS$117=1,INDEX('計算A'!BS$10:BS$54,$B22),0)+IF('計算A'!BT$117=1,INDEX('計算A'!BU$10:BU$54,$B22),0))*500,0)-IF(AND('計算A'!BS$117=1,WQ22&gt;0),300,0)-IF(AND($L22=1,'計算A'!BT$117=1,FS22=0),300,0))),1000000))</f>
        <v/>
      </c>
      <c r="QW22">
        <f>IF($B22=0,1000000,IF(INDEX('計算A'!$D$60:$EQ$104,$B22,70)*FS22=1,IF(AND($E22=2,LH22=0),1000000,IF($I22&gt;0,IF(3=$J22,IF(OR(AND(70=$I22+1,OR($K22&lt;&gt;'計算A'!$A$3,'計算A'!$A$4=0)),AND(70=$I22-1,OR(22&lt;&gt;'計算A'!$A$3,'計算A'!$A$4=0))),0,IF(22=$K22,200000,ABS(22-$K22)*100)),100000+ABS(3-$J22)*1000+220)+'計算A'!BU$5*50+IF(AND($E22=1,LH22=0),25,0),INDEX('計算A'!BU$110:BU$114,$F22+1)+IF(AND($E22=1,LH22=0),1000,0)+IF($H22=1,(IF('計算A'!BT$117=1,INDEX('計算A'!BT$10:BT$54,$B22),0)+IF('計算A'!BU$117=1,INDEX('計算A'!BV$10:BV$54,$B22),0))*500,0)-IF(AND('計算A'!BT$117=1,WR22&gt;0),300,0)-IF(AND($L22=1,'計算A'!BU$117=1,FT22=0),300,0))),1000000))</f>
        <v/>
      </c>
      <c r="QX22">
        <f>IF($B22=0,1000000,IF(INDEX('計算A'!$D$60:$EQ$104,$B22,71)*FT22=1,IF(AND($E22=2,LI22=0),1000000,IF($I22&gt;0,IF(3=$J22,IF(OR(AND(71=$I22+1,OR($K22&lt;&gt;'計算A'!$A$3,'計算A'!$A$4=0)),AND(71=$I22-1,OR(23&lt;&gt;'計算A'!$A$3,'計算A'!$A$4=0))),0,IF(23=$K22,200000,ABS(23-$K22)*100)),100000+ABS(3-$J22)*1000+230)+'計算A'!BV$5*50+IF(AND($E22=1,LI22=0),25,0),INDEX('計算A'!BV$110:BV$114,$F22+1)+IF(AND($E22=1,LI22=0),1000,0)+IF($H22=1,(IF('計算A'!BU$117=1,INDEX('計算A'!BU$10:BU$54,$B22),0)+IF('計算A'!BV$117=1,INDEX('計算A'!BW$10:BW$54,$B22),0))*500,0)-IF(AND('計算A'!BU$117=1,WS22&gt;0),300,0)-IF(AND($L22=1,'計算A'!BV$117=1,FU22=0),300,0))),1000000))</f>
        <v/>
      </c>
      <c r="QY22">
        <f>IF($B22=0,1000000,IF(INDEX('計算A'!$D$60:$EQ$104,$B22,72)*FU22=1,IF(AND($E22=2,LJ22=0),1000000,IF($I22&gt;0,IF(3=$J22,IF(OR(AND(72=$I22+1,OR($K22&lt;&gt;'計算A'!$A$3,'計算A'!$A$4=0)),AND(72=$I22-1,OR(24&lt;&gt;'計算A'!$A$3,'計算A'!$A$4=0))),0,IF(24=$K22,200000,ABS(24-$K22)*100)),100000+ABS(3-$J22)*1000+240)+'計算A'!BW$5*50+IF(AND($E22=1,LJ22=0),25,0),INDEX('計算A'!BW$110:BW$114,$F22+1)+IF(AND($E22=1,LJ22=0),1000,0)+IF($H22=1,(IF('計算A'!BV$117=1,INDEX('計算A'!BV$10:BV$54,$B22),0))*500,0)-IF(AND('計算A'!BV$117=1,WT22&gt;0),300,0))),1000000))</f>
        <v/>
      </c>
      <c r="QZ22">
        <f>IF($B22=0,1000000,IF(INDEX('計算A'!$D$60:$EQ$104,$B22,73)*FV22=1,IF(AND($E22=2,LK22=0),1000000,IF($I22&gt;0,IF(4=$J22,IF(OR(AND(73=$I22+1,OR($K22&lt;&gt;'計算A'!$A$3,'計算A'!$A$4=0)),AND(73=$I22-1,OR(1&lt;&gt;'計算A'!$A$3,'計算A'!$A$4=0))),0,IF(1=$K22,200000,ABS(1-$K22)*100)),100000+ABS(4-$J22)*1000+10)+'計算A'!BX$5*50+IF(AND($E22=1,LK22=0),25,0),INDEX('計算A'!BX$110:BX$114,$F22+1)+IF(AND($E22=1,LK22=0),1000,0)+IF($H22=1,(IF('計算A'!BX$117=1,INDEX('計算A'!BY$10:BY$54,$B22),0))*500,0)-IF(AND($L22=1,'計算A'!BX$117=1,FW22=0),300,0))),1000000))</f>
        <v/>
      </c>
      <c r="RA22">
        <f>IF($B22=0,1000000,IF(INDEX('計算A'!$D$60:$EQ$104,$B22,74)*FW22=1,IF(AND($E22=2,LL22=0),1000000,IF($I22&gt;0,IF(4=$J22,IF(OR(AND(74=$I22+1,OR($K22&lt;&gt;'計算A'!$A$3,'計算A'!$A$4=0)),AND(74=$I22-1,OR(2&lt;&gt;'計算A'!$A$3,'計算A'!$A$4=0))),0,IF(2=$K22,200000,ABS(2-$K22)*100)),100000+ABS(4-$J22)*1000+20)+'計算A'!BY$5*50+IF(AND($E22=1,LL22=0),25,0),INDEX('計算A'!BY$110:BY$114,$F22+1)+IF(AND($E22=1,LL22=0),1000,0)+IF($H22=1,(IF('計算A'!BX$117=1,INDEX('計算A'!BX$10:BX$54,$B22),0)+IF('計算A'!BY$117=1,INDEX('計算A'!BZ$10:BZ$54,$B22),0))*500,0)-IF(AND('計算A'!BX$117=1,WV22&gt;0),300,0)-IF(AND($L22=1,'計算A'!BY$117=1,FX22=0),300,0))),1000000))</f>
        <v/>
      </c>
      <c r="RB22">
        <f>IF($B22=0,1000000,IF(INDEX('計算A'!$D$60:$EQ$104,$B22,75)*FX22=1,IF(AND($E22=2,LM22=0),1000000,IF($I22&gt;0,IF(4=$J22,IF(OR(AND(75=$I22+1,OR($K22&lt;&gt;'計算A'!$A$3,'計算A'!$A$4=0)),AND(75=$I22-1,OR(3&lt;&gt;'計算A'!$A$3,'計算A'!$A$4=0))),0,IF(3=$K22,200000,ABS(3-$K22)*100)),100000+ABS(4-$J22)*1000+30)+'計算A'!BZ$5*50+IF(AND($E22=1,LM22=0),25,0),INDEX('計算A'!BZ$110:BZ$114,$F22+1)+IF(AND($E22=1,LM22=0),1000,0)+IF($H22=1,(IF('計算A'!BY$117=1,INDEX('計算A'!BY$10:BY$54,$B22),0)+IF('計算A'!BZ$117=1,INDEX('計算A'!CA$10:CA$54,$B22),0))*500,0)-IF(AND('計算A'!BY$117=1,WW22&gt;0),300,0)-IF(AND($L22=1,'計算A'!BZ$117=1,FY22=0),300,0))),1000000))</f>
        <v/>
      </c>
      <c r="RC22">
        <f>IF($B22=0,1000000,IF(INDEX('計算A'!$D$60:$EQ$104,$B22,76)*FY22=1,IF(AND($E22=2,LN22=0),1000000,IF($I22&gt;0,IF(4=$J22,IF(OR(AND(76=$I22+1,OR($K22&lt;&gt;'計算A'!$A$3,'計算A'!$A$4=0)),AND(76=$I22-1,OR(4&lt;&gt;'計算A'!$A$3,'計算A'!$A$4=0))),0,IF(4=$K22,200000,ABS(4-$K22)*100)),100000+ABS(4-$J22)*1000+40)+'計算A'!CA$5*50+IF(AND($E22=1,LN22=0),25,0),INDEX('計算A'!CA$110:CA$114,$F22+1)+IF(AND($E22=1,LN22=0),1000,0)+IF($H22=1,(IF('計算A'!BZ$117=1,INDEX('計算A'!BZ$10:BZ$54,$B22),0)+IF('計算A'!CA$117=1,INDEX('計算A'!CB$10:CB$54,$B22),0))*500,0)-IF(AND('計算A'!BZ$117=1,WX22&gt;0),300,0)-IF(AND($L22=1,'計算A'!CA$117=1,FZ22=0),300,0))),1000000))</f>
        <v/>
      </c>
      <c r="RD22">
        <f>IF($B22=0,1000000,IF(INDEX('計算A'!$D$60:$EQ$104,$B22,77)*FZ22=1,IF(AND($E22=2,LO22=0),1000000,IF($I22&gt;0,IF(4=$J22,IF(OR(AND(77=$I22+1,OR($K22&lt;&gt;'計算A'!$A$3,'計算A'!$A$4=0)),AND(77=$I22-1,OR(5&lt;&gt;'計算A'!$A$3,'計算A'!$A$4=0))),0,IF(5=$K22,200000,ABS(5-$K22)*100)),100000+ABS(4-$J22)*1000+50)+'計算A'!CB$5*50+IF(AND($E22=1,LO22=0),25,0),INDEX('計算A'!CB$110:CB$114,$F22+1)+IF(AND($E22=1,LO22=0),1000,0)+IF($H22=1,(IF('計算A'!CA$117=1,INDEX('計算A'!CA$10:CA$54,$B22),0)+IF('計算A'!CB$117=1,INDEX('計算A'!CC$10:CC$54,$B22),0))*500,0)-IF(AND('計算A'!CA$117=1,WY22&gt;0),300,0)-IF(AND($L22=1,'計算A'!CB$117=1,GA22=0),300,0))),1000000))</f>
        <v/>
      </c>
      <c r="RE22">
        <f>IF($B22=0,1000000,IF(INDEX('計算A'!$D$60:$EQ$104,$B22,78)*GA22=1,IF(AND($E22=2,LP22=0),1000000,IF($I22&gt;0,IF(4=$J22,IF(OR(AND(78=$I22+1,OR($K22&lt;&gt;'計算A'!$A$3,'計算A'!$A$4=0)),AND(78=$I22-1,OR(6&lt;&gt;'計算A'!$A$3,'計算A'!$A$4=0))),0,IF(6=$K22,200000,ABS(6-$K22)*100)),100000+ABS(4-$J22)*1000+60)+'計算A'!CC$5*50+IF(AND($E22=1,LP22=0),25,0),INDEX('計算A'!CC$110:CC$114,$F22+1)+IF(AND($E22=1,LP22=0),1000,0)+IF($H22=1,(IF('計算A'!CB$117=1,INDEX('計算A'!CB$10:CB$54,$B22),0)+IF('計算A'!CC$117=1,INDEX('計算A'!CD$10:CD$54,$B22),0))*500,0)-IF(AND('計算A'!CB$117=1,WZ22&gt;0),300,0)-IF(AND($L22=1,'計算A'!CC$117=1,GB22=0),300,0))),1000000))</f>
        <v/>
      </c>
      <c r="RF22">
        <f>IF($B22=0,1000000,IF(INDEX('計算A'!$D$60:$EQ$104,$B22,79)*GB22=1,IF(AND($E22=2,LQ22=0),1000000,IF($I22&gt;0,IF(4=$J22,IF(OR(AND(79=$I22+1,OR($K22&lt;&gt;'計算A'!$A$3,'計算A'!$A$4=0)),AND(79=$I22-1,OR(7&lt;&gt;'計算A'!$A$3,'計算A'!$A$4=0))),0,IF(7=$K22,200000,ABS(7-$K22)*100)),100000+ABS(4-$J22)*1000+70)+'計算A'!CD$5*50+IF(AND($E22=1,LQ22=0),25,0),INDEX('計算A'!CD$110:CD$114,$F22+1)+IF(AND($E22=1,LQ22=0),1000,0)+IF($H22=1,(IF('計算A'!CC$117=1,INDEX('計算A'!CC$10:CC$54,$B22),0)+IF('計算A'!CD$117=1,INDEX('計算A'!CE$10:CE$54,$B22),0))*500,0)-IF(AND('計算A'!CC$117=1,XA22&gt;0),300,0)-IF(AND($L22=1,'計算A'!CD$117=1,GC22=0),300,0))),1000000))</f>
        <v/>
      </c>
      <c r="RG22">
        <f>IF($B22=0,1000000,IF(INDEX('計算A'!$D$60:$EQ$104,$B22,80)*GC22=1,IF(AND($E22=2,LR22=0),1000000,IF($I22&gt;0,IF(4=$J22,IF(OR(AND(80=$I22+1,OR($K22&lt;&gt;'計算A'!$A$3,'計算A'!$A$4=0)),AND(80=$I22-1,OR(8&lt;&gt;'計算A'!$A$3,'計算A'!$A$4=0))),0,IF(8=$K22,200000,ABS(8-$K22)*100)),100000+ABS(4-$J22)*1000+80)+'計算A'!CE$5*50+IF(AND($E22=1,LR22=0),25,0),INDEX('計算A'!CE$110:CE$114,$F22+1)+IF(AND($E22=1,LR22=0),1000,0)+IF($H22=1,(IF('計算A'!CD$117=1,INDEX('計算A'!CD$10:CD$54,$B22),0)+IF('計算A'!CE$117=1,INDEX('計算A'!CF$10:CF$54,$B22),0))*500,0)-IF(AND('計算A'!CD$117=1,XB22&gt;0),300,0)-IF(AND($L22=1,'計算A'!CE$117=1,GD22=0),300,0))),1000000))</f>
        <v/>
      </c>
      <c r="RH22">
        <f>IF($B22=0,1000000,IF(INDEX('計算A'!$D$60:$EQ$104,$B22,81)*GD22=1,IF(AND($E22=2,LS22=0),1000000,IF($I22&gt;0,IF(4=$J22,IF(OR(AND(81=$I22+1,OR($K22&lt;&gt;'計算A'!$A$3,'計算A'!$A$4=0)),AND(81=$I22-1,OR(9&lt;&gt;'計算A'!$A$3,'計算A'!$A$4=0))),0,IF(9=$K22,200000,ABS(9-$K22)*100)),100000+ABS(4-$J22)*1000+90)+'計算A'!CF$5*50+IF(AND($E22=1,LS22=0),25,0),INDEX('計算A'!CF$110:CF$114,$F22+1)+IF(AND($E22=1,LS22=0),1000,0)+IF($H22=1,(IF('計算A'!CE$117=1,INDEX('計算A'!CE$10:CE$54,$B22),0)+IF('計算A'!CF$117=1,INDEX('計算A'!CG$10:CG$54,$B22),0))*500,0)-IF(AND('計算A'!CE$117=1,XC22&gt;0),300,0)-IF(AND($L22=1,'計算A'!CF$117=1,GE22=0),300,0))),1000000))</f>
        <v/>
      </c>
      <c r="RI22">
        <f>IF($B22=0,1000000,IF(INDEX('計算A'!$D$60:$EQ$104,$B22,82)*GE22=1,IF(AND($E22=2,LT22=0),1000000,IF($I22&gt;0,IF(4=$J22,IF(OR(AND(82=$I22+1,OR($K22&lt;&gt;'計算A'!$A$3,'計算A'!$A$4=0)),AND(82=$I22-1,OR(10&lt;&gt;'計算A'!$A$3,'計算A'!$A$4=0))),0,IF(10=$K22,200000,ABS(10-$K22)*100)),100000+ABS(4-$J22)*1000+100)+'計算A'!CG$5*50+IF(AND($E22=1,LT22=0),25,0),INDEX('計算A'!CG$110:CG$114,$F22+1)+IF(AND($E22=1,LT22=0),1000,0)+IF($H22=1,(IF('計算A'!CF$117=1,INDEX('計算A'!CF$10:CF$54,$B22),0)+IF('計算A'!CG$117=1,INDEX('計算A'!CH$10:CH$54,$B22),0))*500,0)-IF(AND('計算A'!CF$117=1,XD22&gt;0),300,0)-IF(AND($L22=1,'計算A'!CG$117=1,GF22=0),300,0))),1000000))</f>
        <v/>
      </c>
      <c r="RJ22">
        <f>IF($B22=0,1000000,IF(INDEX('計算A'!$D$60:$EQ$104,$B22,83)*GF22=1,IF(AND($E22=2,LU22=0),1000000,IF($I22&gt;0,IF(4=$J22,IF(OR(AND(83=$I22+1,OR($K22&lt;&gt;'計算A'!$A$3,'計算A'!$A$4=0)),AND(83=$I22-1,OR(11&lt;&gt;'計算A'!$A$3,'計算A'!$A$4=0))),0,IF(11=$K22,200000,ABS(11-$K22)*100)),100000+ABS(4-$J22)*1000+110)+'計算A'!CH$5*50+IF(AND($E22=1,LU22=0),25,0),INDEX('計算A'!CH$110:CH$114,$F22+1)+IF(AND($E22=1,LU22=0),1000,0)+IF($H22=1,(IF('計算A'!CG$117=1,INDEX('計算A'!CG$10:CG$54,$B22),0)+IF('計算A'!CH$117=1,INDEX('計算A'!CI$10:CI$54,$B22),0))*500,0)-IF(AND('計算A'!CG$117=1,XE22&gt;0),300,0)-IF(AND($L22=1,'計算A'!CH$117=1,GG22=0),300,0))),1000000))</f>
        <v/>
      </c>
      <c r="RK22">
        <f>IF($B22=0,1000000,IF(INDEX('計算A'!$D$60:$EQ$104,$B22,84)*GG22=1,IF(AND($E22=2,LV22=0),1000000,IF($I22&gt;0,IF(4=$J22,IF(OR(AND(84=$I22+1,OR($K22&lt;&gt;'計算A'!$A$3,'計算A'!$A$4=0)),AND(84=$I22-1,OR(12&lt;&gt;'計算A'!$A$3,'計算A'!$A$4=0))),0,IF(12=$K22,200000,ABS(12-$K22)*100)),100000+ABS(4-$J22)*1000+120)+'計算A'!CI$5*50+IF(AND($E22=1,LV22=0),25,0),INDEX('計算A'!CI$110:CI$114,$F22+1)+IF(AND($E22=1,LV22=0),1000,0)+IF($H22=1,(IF('計算A'!CH$117=1,INDEX('計算A'!CH$10:CH$54,$B22),0)+IF('計算A'!CI$117=1,INDEX('計算A'!CJ$10:CJ$54,$B22),0))*500,0)-IF(AND('計算A'!CH$117=1,XF22&gt;0),300,0)-IF(AND($L22=1,'計算A'!CI$117=1,GH22=0),300,0))),1000000))</f>
        <v/>
      </c>
      <c r="RL22">
        <f>IF($B22=0,1000000,IF(INDEX('計算A'!$D$60:$EQ$104,$B22,85)*GH22=1,IF(AND($E22=2,LW22=0),1000000,IF($I22&gt;0,IF(4=$J22,IF(OR(AND(85=$I22+1,OR($K22&lt;&gt;'計算A'!$A$3,'計算A'!$A$4=0)),AND(85=$I22-1,OR(13&lt;&gt;'計算A'!$A$3,'計算A'!$A$4=0))),0,IF(13=$K22,200000,ABS(13-$K22)*100)),100000+ABS(4-$J22)*1000+130)+'計算A'!CJ$5*50+IF(AND($E22=1,LW22=0),25,0),INDEX('計算A'!CJ$110:CJ$114,$F22+1)+IF(AND($E22=1,LW22=0),1000,0)+IF($H22=1,(IF('計算A'!CI$117=1,INDEX('計算A'!CI$10:CI$54,$B22),0)+IF('計算A'!CJ$117=1,INDEX('計算A'!CK$10:CK$54,$B22),0))*500,0)-IF(AND('計算A'!CI$117=1,XG22&gt;0),300,0)-IF(AND($L22=1,'計算A'!CJ$117=1,GI22=0),300,0))),1000000))</f>
        <v/>
      </c>
      <c r="RM22">
        <f>IF($B22=0,1000000,IF(INDEX('計算A'!$D$60:$EQ$104,$B22,86)*GI22=1,IF(AND($E22=2,LX22=0),1000000,IF($I22&gt;0,IF(4=$J22,IF(OR(AND(86=$I22+1,OR($K22&lt;&gt;'計算A'!$A$3,'計算A'!$A$4=0)),AND(86=$I22-1,OR(14&lt;&gt;'計算A'!$A$3,'計算A'!$A$4=0))),0,IF(14=$K22,200000,ABS(14-$K22)*100)),100000+ABS(4-$J22)*1000+140)+'計算A'!CK$5*50+IF(AND($E22=1,LX22=0),25,0),INDEX('計算A'!CK$110:CK$114,$F22+1)+IF(AND($E22=1,LX22=0),1000,0)+IF($H22=1,(IF('計算A'!CJ$117=1,INDEX('計算A'!CJ$10:CJ$54,$B22),0)+IF('計算A'!CK$117=1,INDEX('計算A'!CL$10:CL$54,$B22),0))*500,0)-IF(AND('計算A'!CJ$117=1,XH22&gt;0),300,0)-IF(AND($L22=1,'計算A'!CK$117=1,GJ22=0),300,0))),1000000))</f>
        <v/>
      </c>
      <c r="RN22">
        <f>IF($B22=0,1000000,IF(INDEX('計算A'!$D$60:$EQ$104,$B22,87)*GJ22=1,IF(AND($E22=2,LY22=0),1000000,IF($I22&gt;0,IF(4=$J22,IF(OR(AND(87=$I22+1,OR($K22&lt;&gt;'計算A'!$A$3,'計算A'!$A$4=0)),AND(87=$I22-1,OR(15&lt;&gt;'計算A'!$A$3,'計算A'!$A$4=0))),0,IF(15=$K22,200000,ABS(15-$K22)*100)),100000+ABS(4-$J22)*1000+150)+'計算A'!CL$5*50+IF(AND($E22=1,LY22=0),25,0),INDEX('計算A'!CL$110:CL$114,$F22+1)+IF(AND($E22=1,LY22=0),1000,0)+IF($H22=1,(IF('計算A'!CK$117=1,INDEX('計算A'!CK$10:CK$54,$B22),0)+IF('計算A'!CL$117=1,INDEX('計算A'!CM$10:CM$54,$B22),0))*500,0)-IF(AND('計算A'!CK$117=1,XI22&gt;0),300,0)-IF(AND($L22=1,'計算A'!CL$117=1,GK22=0),300,0))),1000000))</f>
        <v/>
      </c>
      <c r="RO22">
        <f>IF($B22=0,1000000,IF(INDEX('計算A'!$D$60:$EQ$104,$B22,88)*GK22=1,IF(AND($E22=2,LZ22=0),1000000,IF($I22&gt;0,IF(4=$J22,IF(OR(AND(88=$I22+1,OR($K22&lt;&gt;'計算A'!$A$3,'計算A'!$A$4=0)),AND(88=$I22-1,OR(16&lt;&gt;'計算A'!$A$3,'計算A'!$A$4=0))),0,IF(16=$K22,200000,ABS(16-$K22)*100)),100000+ABS(4-$J22)*1000+160)+'計算A'!CM$5*50+IF(AND($E22=1,LZ22=0),25,0),INDEX('計算A'!CM$110:CM$114,$F22+1)+IF(AND($E22=1,LZ22=0),1000,0)+IF($H22=1,(IF('計算A'!CL$117=1,INDEX('計算A'!CL$10:CL$54,$B22),0)+IF('計算A'!CM$117=1,INDEX('計算A'!CN$10:CN$54,$B22),0))*500,0)-IF(AND('計算A'!CL$117=1,XJ22&gt;0),300,0)-IF(AND($L22=1,'計算A'!CM$117=1,GL22=0),300,0))),1000000))</f>
        <v/>
      </c>
      <c r="RP22">
        <f>IF($B22=0,1000000,IF(INDEX('計算A'!$D$60:$EQ$104,$B22,89)*GL22=1,IF(AND($E22=2,MA22=0),1000000,IF($I22&gt;0,IF(4=$J22,IF(OR(AND(89=$I22+1,OR($K22&lt;&gt;'計算A'!$A$3,'計算A'!$A$4=0)),AND(89=$I22-1,OR(17&lt;&gt;'計算A'!$A$3,'計算A'!$A$4=0))),0,IF(17=$K22,200000,ABS(17-$K22)*100)),100000+ABS(4-$J22)*1000+170)+'計算A'!CN$5*50+IF(AND($E22=1,MA22=0),25,0),INDEX('計算A'!CN$110:CN$114,$F22+1)+IF(AND($E22=1,MA22=0),1000,0)+IF($H22=1,(IF('計算A'!CM$117=1,INDEX('計算A'!CM$10:CM$54,$B22),0)+IF('計算A'!CN$117=1,INDEX('計算A'!CO$10:CO$54,$B22),0))*500,0)-IF(AND('計算A'!CM$117=1,XK22&gt;0),300,0)-IF(AND($L22=1,'計算A'!CN$117=1,GM22=0),300,0))),1000000))</f>
        <v/>
      </c>
      <c r="RQ22">
        <f>IF($B22=0,1000000,IF(INDEX('計算A'!$D$60:$EQ$104,$B22,90)*GM22=1,IF(AND($E22=2,MB22=0),1000000,IF($I22&gt;0,IF(4=$J22,IF(OR(AND(90=$I22+1,OR($K22&lt;&gt;'計算A'!$A$3,'計算A'!$A$4=0)),AND(90=$I22-1,OR(18&lt;&gt;'計算A'!$A$3,'計算A'!$A$4=0))),0,IF(18=$K22,200000,ABS(18-$K22)*100)),100000+ABS(4-$J22)*1000+180)+'計算A'!CO$5*50+IF(AND($E22=1,MB22=0),25,0),INDEX('計算A'!CO$110:CO$114,$F22+1)+IF(AND($E22=1,MB22=0),1000,0)+IF($H22=1,(IF('計算A'!CN$117=1,INDEX('計算A'!CN$10:CN$54,$B22),0)+IF('計算A'!CO$117=1,INDEX('計算A'!CP$10:CP$54,$B22),0))*500,0)-IF(AND('計算A'!CN$117=1,XL22&gt;0),300,0)-IF(AND($L22=1,'計算A'!CO$117=1,GN22=0),300,0))),1000000))</f>
        <v/>
      </c>
      <c r="RR22">
        <f>IF($B22=0,1000000,IF(INDEX('計算A'!$D$60:$EQ$104,$B22,91)*GN22=1,IF(AND($E22=2,MC22=0),1000000,IF($I22&gt;0,IF(4=$J22,IF(OR(AND(91=$I22+1,OR($K22&lt;&gt;'計算A'!$A$3,'計算A'!$A$4=0)),AND(91=$I22-1,OR(19&lt;&gt;'計算A'!$A$3,'計算A'!$A$4=0))),0,IF(19=$K22,200000,ABS(19-$K22)*100)),100000+ABS(4-$J22)*1000+190)+'計算A'!CP$5*50+IF(AND($E22=1,MC22=0),25,0),INDEX('計算A'!CP$110:CP$114,$F22+1)+IF(AND($E22=1,MC22=0),1000,0)+IF($H22=1,(IF('計算A'!CO$117=1,INDEX('計算A'!CO$10:CO$54,$B22),0)+IF('計算A'!CP$117=1,INDEX('計算A'!CQ$10:CQ$54,$B22),0))*500,0)-IF(AND('計算A'!CO$117=1,XM22&gt;0),300,0)-IF(AND($L22=1,'計算A'!CP$117=1,GO22=0),300,0))),1000000))</f>
        <v/>
      </c>
      <c r="RS22">
        <f>IF($B22=0,1000000,IF(INDEX('計算A'!$D$60:$EQ$104,$B22,92)*GO22=1,IF(AND($E22=2,MD22=0),1000000,IF($I22&gt;0,IF(4=$J22,IF(OR(AND(92=$I22+1,OR($K22&lt;&gt;'計算A'!$A$3,'計算A'!$A$4=0)),AND(92=$I22-1,OR(20&lt;&gt;'計算A'!$A$3,'計算A'!$A$4=0))),0,IF(20=$K22,200000,ABS(20-$K22)*100)),100000+ABS(4-$J22)*1000+200)+'計算A'!CQ$5*50+IF(AND($E22=1,MD22=0),25,0),INDEX('計算A'!CQ$110:CQ$114,$F22+1)+IF(AND($E22=1,MD22=0),1000,0)+IF($H22=1,(IF('計算A'!CP$117=1,INDEX('計算A'!CP$10:CP$54,$B22),0)+IF('計算A'!CQ$117=1,INDEX('計算A'!CR$10:CR$54,$B22),0))*500,0)-IF(AND('計算A'!CP$117=1,XN22&gt;0),300,0)-IF(AND($L22=1,'計算A'!CQ$117=1,GP22=0),300,0))),1000000))</f>
        <v/>
      </c>
      <c r="RT22">
        <f>IF($B22=0,1000000,IF(INDEX('計算A'!$D$60:$EQ$104,$B22,93)*GP22=1,IF(AND($E22=2,ME22=0),1000000,IF($I22&gt;0,IF(4=$J22,IF(OR(AND(93=$I22+1,OR($K22&lt;&gt;'計算A'!$A$3,'計算A'!$A$4=0)),AND(93=$I22-1,OR(21&lt;&gt;'計算A'!$A$3,'計算A'!$A$4=0))),0,IF(21=$K22,200000,ABS(21-$K22)*100)),100000+ABS(4-$J22)*1000+210)+'計算A'!CR$5*50+IF(AND($E22=1,ME22=0),25,0),INDEX('計算A'!CR$110:CR$114,$F22+1)+IF(AND($E22=1,ME22=0),1000,0)+IF($H22=1,(IF('計算A'!CQ$117=1,INDEX('計算A'!CQ$10:CQ$54,$B22),0)+IF('計算A'!CR$117=1,INDEX('計算A'!CS$10:CS$54,$B22),0))*500,0)-IF(AND('計算A'!CQ$117=1,XO22&gt;0),300,0)-IF(AND($L22=1,'計算A'!CR$117=1,GQ22=0),300,0))),1000000))</f>
        <v/>
      </c>
      <c r="RU22">
        <f>IF($B22=0,1000000,IF(INDEX('計算A'!$D$60:$EQ$104,$B22,94)*GQ22=1,IF(AND($E22=2,MF22=0),1000000,IF($I22&gt;0,IF(4=$J22,IF(OR(AND(94=$I22+1,OR($K22&lt;&gt;'計算A'!$A$3,'計算A'!$A$4=0)),AND(94=$I22-1,OR(22&lt;&gt;'計算A'!$A$3,'計算A'!$A$4=0))),0,IF(22=$K22,200000,ABS(22-$K22)*100)),100000+ABS(4-$J22)*1000+220)+'計算A'!CS$5*50+IF(AND($E22=1,MF22=0),25,0),INDEX('計算A'!CS$110:CS$114,$F22+1)+IF(AND($E22=1,MF22=0),1000,0)+IF($H22=1,(IF('計算A'!CR$117=1,INDEX('計算A'!CR$10:CR$54,$B22),0)+IF('計算A'!CS$117=1,INDEX('計算A'!CT$10:CT$54,$B22),0))*500,0)-IF(AND('計算A'!CR$117=1,XP22&gt;0),300,0)-IF(AND($L22=1,'計算A'!CS$117=1,GR22=0),300,0))),1000000))</f>
        <v/>
      </c>
      <c r="RV22">
        <f>IF($B22=0,1000000,IF(INDEX('計算A'!$D$60:$EQ$104,$B22,95)*GR22=1,IF(AND($E22=2,MG22=0),1000000,IF($I22&gt;0,IF(4=$J22,IF(OR(AND(95=$I22+1,OR($K22&lt;&gt;'計算A'!$A$3,'計算A'!$A$4=0)),AND(95=$I22-1,OR(23&lt;&gt;'計算A'!$A$3,'計算A'!$A$4=0))),0,IF(23=$K22,200000,ABS(23-$K22)*100)),100000+ABS(4-$J22)*1000+230)+'計算A'!CT$5*50+IF(AND($E22=1,MG22=0),25,0),INDEX('計算A'!CT$110:CT$114,$F22+1)+IF(AND($E22=1,MG22=0),1000,0)+IF($H22=1,(IF('計算A'!CS$117=1,INDEX('計算A'!CS$10:CS$54,$B22),0)+IF('計算A'!CT$117=1,INDEX('計算A'!CU$10:CU$54,$B22),0))*500,0)-IF(AND('計算A'!CS$117=1,XQ22&gt;0),300,0)-IF(AND($L22=1,'計算A'!CT$117=1,GS22=0),300,0))),1000000))</f>
        <v/>
      </c>
      <c r="RW22">
        <f>IF($B22=0,1000000,IF(INDEX('計算A'!$D$60:$EQ$104,$B22,96)*GS22=1,IF(AND($E22=2,MH22=0),1000000,IF($I22&gt;0,IF(4=$J22,IF(OR(AND(96=$I22+1,OR($K22&lt;&gt;'計算A'!$A$3,'計算A'!$A$4=0)),AND(96=$I22-1,OR(24&lt;&gt;'計算A'!$A$3,'計算A'!$A$4=0))),0,IF(24=$K22,200000,ABS(24-$K22)*100)),100000+ABS(4-$J22)*1000+240)+'計算A'!CU$5*50+IF(AND($E22=1,MH22=0),25,0),INDEX('計算A'!CU$110:CU$114,$F22+1)+IF(AND($E22=1,MH22=0),1000,0)+IF($H22=1,(IF('計算A'!CT$117=1,INDEX('計算A'!CT$10:CT$54,$B22),0))*500,0)-IF(AND('計算A'!CT$117=1,XR22&gt;0),300,0))),1000000))</f>
        <v/>
      </c>
      <c r="RX22">
        <f>IF($B22=0,1000000,IF(INDEX('計算A'!$D$60:$EQ$104,$B22,97)*GT22=1,IF(AND($E22=2,MI22=0),1000000,IF($I22&gt;0,IF(5=$J22,IF(OR(AND(97=$I22+1,OR($K22&lt;&gt;'計算A'!$A$3,'計算A'!$A$4=0)),AND(97=$I22-1,OR(1&lt;&gt;'計算A'!$A$3,'計算A'!$A$4=0))),0,IF(1=$K22,200000,ABS(1-$K22)*100)),100000+ABS(5-$J22)*1000+10)+'計算A'!CV$5*50+IF(AND($E22=1,MI22=0),25,0),INDEX('計算A'!CV$110:CV$114,$F22+1)+IF(AND($E22=1,MI22=0),1000,0)+IF($H22=1,(IF('計算A'!CV$117=1,INDEX('計算A'!CW$10:CW$54,$B22),0))*500,0)-IF(AND($L22=1,'計算A'!CV$117=1,GU22=0),300,0))),1000000))</f>
        <v/>
      </c>
      <c r="RY22">
        <f>IF($B22=0,1000000,IF(INDEX('計算A'!$D$60:$EQ$104,$B22,98)*GU22=1,IF(AND($E22=2,MJ22=0),1000000,IF($I22&gt;0,IF(5=$J22,IF(OR(AND(98=$I22+1,OR($K22&lt;&gt;'計算A'!$A$3,'計算A'!$A$4=0)),AND(98=$I22-1,OR(2&lt;&gt;'計算A'!$A$3,'計算A'!$A$4=0))),0,IF(2=$K22,200000,ABS(2-$K22)*100)),100000+ABS(5-$J22)*1000+20)+'計算A'!CW$5*50+IF(AND($E22=1,MJ22=0),25,0),INDEX('計算A'!CW$110:CW$114,$F22+1)+IF(AND($E22=1,MJ22=0),1000,0)+IF($H22=1,(IF('計算A'!CV$117=1,INDEX('計算A'!CV$10:CV$54,$B22),0)+IF('計算A'!CW$117=1,INDEX('計算A'!CX$10:CX$54,$B22),0))*500,0)-IF(AND('計算A'!CV$117=1,XT22&gt;0),300,0)-IF(AND($L22=1,'計算A'!CW$117=1,GV22=0),300,0))),1000000))</f>
        <v/>
      </c>
      <c r="RZ22">
        <f>IF($B22=0,1000000,IF(INDEX('計算A'!$D$60:$EQ$104,$B22,99)*GV22=1,IF(AND($E22=2,MK22=0),1000000,IF($I22&gt;0,IF(5=$J22,IF(OR(AND(99=$I22+1,OR($K22&lt;&gt;'計算A'!$A$3,'計算A'!$A$4=0)),AND(99=$I22-1,OR(3&lt;&gt;'計算A'!$A$3,'計算A'!$A$4=0))),0,IF(3=$K22,200000,ABS(3-$K22)*100)),100000+ABS(5-$J22)*1000+30)+'計算A'!CX$5*50+IF(AND($E22=1,MK22=0),25,0),INDEX('計算A'!CX$110:CX$114,$F22+1)+IF(AND($E22=1,MK22=0),1000,0)+IF($H22=1,(IF('計算A'!CW$117=1,INDEX('計算A'!CW$10:CW$54,$B22),0)+IF('計算A'!CX$117=1,INDEX('計算A'!CY$10:CY$54,$B22),0))*500,0)-IF(AND('計算A'!CW$117=1,XU22&gt;0),300,0)-IF(AND($L22=1,'計算A'!CX$117=1,GW22=0),300,0))),1000000))</f>
        <v/>
      </c>
      <c r="SA22">
        <f>IF($B22=0,1000000,IF(INDEX('計算A'!$D$60:$EQ$104,$B22,100)*GW22=1,IF(AND($E22=2,ML22=0),1000000,IF($I22&gt;0,IF(5=$J22,IF(OR(AND(100=$I22+1,OR($K22&lt;&gt;'計算A'!$A$3,'計算A'!$A$4=0)),AND(100=$I22-1,OR(4&lt;&gt;'計算A'!$A$3,'計算A'!$A$4=0))),0,IF(4=$K22,200000,ABS(4-$K22)*100)),100000+ABS(5-$J22)*1000+40)+'計算A'!CY$5*50+IF(AND($E22=1,ML22=0),25,0),INDEX('計算A'!CY$110:CY$114,$F22+1)+IF(AND($E22=1,ML22=0),1000,0)+IF($H22=1,(IF('計算A'!CX$117=1,INDEX('計算A'!CX$10:CX$54,$B22),0)+IF('計算A'!CY$117=1,INDEX('計算A'!CZ$10:CZ$54,$B22),0))*500,0)-IF(AND('計算A'!CX$117=1,XV22&gt;0),300,0)-IF(AND($L22=1,'計算A'!CY$117=1,GX22=0),300,0))),1000000))</f>
        <v/>
      </c>
      <c r="SB22">
        <f>IF($B22=0,1000000,IF(INDEX('計算A'!$D$60:$EQ$104,$B22,101)*GX22=1,IF(AND($E22=2,MM22=0),1000000,IF($I22&gt;0,IF(5=$J22,IF(OR(AND(101=$I22+1,OR($K22&lt;&gt;'計算A'!$A$3,'計算A'!$A$4=0)),AND(101=$I22-1,OR(5&lt;&gt;'計算A'!$A$3,'計算A'!$A$4=0))),0,IF(5=$K22,200000,ABS(5-$K22)*100)),100000+ABS(5-$J22)*1000+50)+'計算A'!CZ$5*50+IF(AND($E22=1,MM22=0),25,0),INDEX('計算A'!CZ$110:CZ$114,$F22+1)+IF(AND($E22=1,MM22=0),1000,0)+IF($H22=1,(IF('計算A'!CY$117=1,INDEX('計算A'!CY$10:CY$54,$B22),0)+IF('計算A'!CZ$117=1,INDEX('計算A'!DA$10:DA$54,$B22),0))*500,0)-IF(AND('計算A'!CY$117=1,XW22&gt;0),300,0)-IF(AND($L22=1,'計算A'!CZ$117=1,GY22=0),300,0))),1000000))</f>
        <v/>
      </c>
      <c r="SC22">
        <f>IF($B22=0,1000000,IF(INDEX('計算A'!$D$60:$EQ$104,$B22,102)*GY22=1,IF(AND($E22=2,MN22=0),1000000,IF($I22&gt;0,IF(5=$J22,IF(OR(AND(102=$I22+1,OR($K22&lt;&gt;'計算A'!$A$3,'計算A'!$A$4=0)),AND(102=$I22-1,OR(6&lt;&gt;'計算A'!$A$3,'計算A'!$A$4=0))),0,IF(6=$K22,200000,ABS(6-$K22)*100)),100000+ABS(5-$J22)*1000+60)+'計算A'!DA$5*50+IF(AND($E22=1,MN22=0),25,0),INDEX('計算A'!DA$110:DA$114,$F22+1)+IF(AND($E22=1,MN22=0),1000,0)+IF($H22=1,(IF('計算A'!CZ$117=1,INDEX('計算A'!CZ$10:CZ$54,$B22),0)+IF('計算A'!DA$117=1,INDEX('計算A'!DB$10:DB$54,$B22),0))*500,0)-IF(AND('計算A'!CZ$117=1,XX22&gt;0),300,0)-IF(AND($L22=1,'計算A'!DA$117=1,GZ22=0),300,0))),1000000))</f>
        <v/>
      </c>
      <c r="SD22">
        <f>IF($B22=0,1000000,IF(INDEX('計算A'!$D$60:$EQ$104,$B22,103)*GZ22=1,IF(AND($E22=2,MO22=0),1000000,IF($I22&gt;0,IF(5=$J22,IF(OR(AND(103=$I22+1,OR($K22&lt;&gt;'計算A'!$A$3,'計算A'!$A$4=0)),AND(103=$I22-1,OR(7&lt;&gt;'計算A'!$A$3,'計算A'!$A$4=0))),0,IF(7=$K22,200000,ABS(7-$K22)*100)),100000+ABS(5-$J22)*1000+70)+'計算A'!DB$5*50+IF(AND($E22=1,MO22=0),25,0),INDEX('計算A'!DB$110:DB$114,$F22+1)+IF(AND($E22=1,MO22=0),1000,0)+IF($H22=1,(IF('計算A'!DA$117=1,INDEX('計算A'!DA$10:DA$54,$B22),0)+IF('計算A'!DB$117=1,INDEX('計算A'!DC$10:DC$54,$B22),0))*500,0)-IF(AND('計算A'!DA$117=1,XY22&gt;0),300,0)-IF(AND($L22=1,'計算A'!DB$117=1,HA22=0),300,0))),1000000))</f>
        <v/>
      </c>
      <c r="SE22">
        <f>IF($B22=0,1000000,IF(INDEX('計算A'!$D$60:$EQ$104,$B22,104)*HA22=1,IF(AND($E22=2,MP22=0),1000000,IF($I22&gt;0,IF(5=$J22,IF(OR(AND(104=$I22+1,OR($K22&lt;&gt;'計算A'!$A$3,'計算A'!$A$4=0)),AND(104=$I22-1,OR(8&lt;&gt;'計算A'!$A$3,'計算A'!$A$4=0))),0,IF(8=$K22,200000,ABS(8-$K22)*100)),100000+ABS(5-$J22)*1000+80)+'計算A'!DC$5*50+IF(AND($E22=1,MP22=0),25,0),INDEX('計算A'!DC$110:DC$114,$F22+1)+IF(AND($E22=1,MP22=0),1000,0)+IF($H22=1,(IF('計算A'!DB$117=1,INDEX('計算A'!DB$10:DB$54,$B22),0)+IF('計算A'!DC$117=1,INDEX('計算A'!DD$10:DD$54,$B22),0))*500,0)-IF(AND('計算A'!DB$117=1,XZ22&gt;0),300,0)-IF(AND($L22=1,'計算A'!DC$117=1,HB22=0),300,0))),1000000))</f>
        <v/>
      </c>
      <c r="SF22">
        <f>IF($B22=0,1000000,IF(INDEX('計算A'!$D$60:$EQ$104,$B22,105)*HB22=1,IF(AND($E22=2,MQ22=0),1000000,IF($I22&gt;0,IF(5=$J22,IF(OR(AND(105=$I22+1,OR($K22&lt;&gt;'計算A'!$A$3,'計算A'!$A$4=0)),AND(105=$I22-1,OR(9&lt;&gt;'計算A'!$A$3,'計算A'!$A$4=0))),0,IF(9=$K22,200000,ABS(9-$K22)*100)),100000+ABS(5-$J22)*1000+90)+'計算A'!DD$5*50+IF(AND($E22=1,MQ22=0),25,0),INDEX('計算A'!DD$110:DD$114,$F22+1)+IF(AND($E22=1,MQ22=0),1000,0)+IF($H22=1,(IF('計算A'!DC$117=1,INDEX('計算A'!DC$10:DC$54,$B22),0)+IF('計算A'!DD$117=1,INDEX('計算A'!DE$10:DE$54,$B22),0))*500,0)-IF(AND('計算A'!DC$117=1,YA22&gt;0),300,0)-IF(AND($L22=1,'計算A'!DD$117=1,HC22=0),300,0))),1000000))</f>
        <v/>
      </c>
      <c r="SG22">
        <f>IF($B22=0,1000000,IF(INDEX('計算A'!$D$60:$EQ$104,$B22,106)*HC22=1,IF(AND($E22=2,MR22=0),1000000,IF($I22&gt;0,IF(5=$J22,IF(OR(AND(106=$I22+1,OR($K22&lt;&gt;'計算A'!$A$3,'計算A'!$A$4=0)),AND(106=$I22-1,OR(10&lt;&gt;'計算A'!$A$3,'計算A'!$A$4=0))),0,IF(10=$K22,200000,ABS(10-$K22)*100)),100000+ABS(5-$J22)*1000+100)+'計算A'!DE$5*50+IF(AND($E22=1,MR22=0),25,0),INDEX('計算A'!DE$110:DE$114,$F22+1)+IF(AND($E22=1,MR22=0),1000,0)+IF($H22=1,(IF('計算A'!DD$117=1,INDEX('計算A'!DD$10:DD$54,$B22),0)+IF('計算A'!DE$117=1,INDEX('計算A'!DF$10:DF$54,$B22),0))*500,0)-IF(AND('計算A'!DD$117=1,YB22&gt;0),300,0)-IF(AND($L22=1,'計算A'!DE$117=1,HD22=0),300,0))),1000000))</f>
        <v/>
      </c>
      <c r="SH22">
        <f>IF($B22=0,1000000,IF(INDEX('計算A'!$D$60:$EQ$104,$B22,107)*HD22=1,IF(AND($E22=2,MS22=0),1000000,IF($I22&gt;0,IF(5=$J22,IF(OR(AND(107=$I22+1,OR($K22&lt;&gt;'計算A'!$A$3,'計算A'!$A$4=0)),AND(107=$I22-1,OR(11&lt;&gt;'計算A'!$A$3,'計算A'!$A$4=0))),0,IF(11=$K22,200000,ABS(11-$K22)*100)),100000+ABS(5-$J22)*1000+110)+'計算A'!DF$5*50+IF(AND($E22=1,MS22=0),25,0),INDEX('計算A'!DF$110:DF$114,$F22+1)+IF(AND($E22=1,MS22=0),1000,0)+IF($H22=1,(IF('計算A'!DE$117=1,INDEX('計算A'!DE$10:DE$54,$B22),0)+IF('計算A'!DF$117=1,INDEX('計算A'!DG$10:DG$54,$B22),0))*500,0)-IF(AND('計算A'!DE$117=1,YC22&gt;0),300,0)-IF(AND($L22=1,'計算A'!DF$117=1,HE22=0),300,0))),1000000))</f>
        <v/>
      </c>
      <c r="SI22">
        <f>IF($B22=0,1000000,IF(INDEX('計算A'!$D$60:$EQ$104,$B22,108)*HE22=1,IF(AND($E22=2,MT22=0),1000000,IF($I22&gt;0,IF(5=$J22,IF(OR(AND(108=$I22+1,OR($K22&lt;&gt;'計算A'!$A$3,'計算A'!$A$4=0)),AND(108=$I22-1,OR(12&lt;&gt;'計算A'!$A$3,'計算A'!$A$4=0))),0,IF(12=$K22,200000,ABS(12-$K22)*100)),100000+ABS(5-$J22)*1000+120)+'計算A'!DG$5*50+IF(AND($E22=1,MT22=0),25,0),INDEX('計算A'!DG$110:DG$114,$F22+1)+IF(AND($E22=1,MT22=0),1000,0)+IF($H22=1,(IF('計算A'!DF$117=1,INDEX('計算A'!DF$10:DF$54,$B22),0)+IF('計算A'!DG$117=1,INDEX('計算A'!DH$10:DH$54,$B22),0))*500,0)-IF(AND('計算A'!DF$117=1,YD22&gt;0),300,0)-IF(AND($L22=1,'計算A'!DG$117=1,HF22=0),300,0))),1000000))</f>
        <v/>
      </c>
      <c r="SJ22">
        <f>IF($B22=0,1000000,IF(INDEX('計算A'!$D$60:$EQ$104,$B22,109)*HF22=1,IF(AND($E22=2,MU22=0),1000000,IF($I22&gt;0,IF(5=$J22,IF(OR(AND(109=$I22+1,OR($K22&lt;&gt;'計算A'!$A$3,'計算A'!$A$4=0)),AND(109=$I22-1,OR(13&lt;&gt;'計算A'!$A$3,'計算A'!$A$4=0))),0,IF(13=$K22,200000,ABS(13-$K22)*100)),100000+ABS(5-$J22)*1000+130)+'計算A'!DH$5*50+IF(AND($E22=1,MU22=0),25,0),INDEX('計算A'!DH$110:DH$114,$F22+1)+IF(AND($E22=1,MU22=0),1000,0)+IF($H22=1,(IF('計算A'!DG$117=1,INDEX('計算A'!DG$10:DG$54,$B22),0)+IF('計算A'!DH$117=1,INDEX('計算A'!DI$10:DI$54,$B22),0))*500,0)-IF(AND('計算A'!DG$117=1,YE22&gt;0),300,0)-IF(AND($L22=1,'計算A'!DH$117=1,HG22=0),300,0))),1000000))</f>
        <v/>
      </c>
      <c r="SK22">
        <f>IF($B22=0,1000000,IF(INDEX('計算A'!$D$60:$EQ$104,$B22,110)*HG22=1,IF(AND($E22=2,MV22=0),1000000,IF($I22&gt;0,IF(5=$J22,IF(OR(AND(110=$I22+1,OR($K22&lt;&gt;'計算A'!$A$3,'計算A'!$A$4=0)),AND(110=$I22-1,OR(14&lt;&gt;'計算A'!$A$3,'計算A'!$A$4=0))),0,IF(14=$K22,200000,ABS(14-$K22)*100)),100000+ABS(5-$J22)*1000+140)+'計算A'!DI$5*50+IF(AND($E22=1,MV22=0),25,0),INDEX('計算A'!DI$110:DI$114,$F22+1)+IF(AND($E22=1,MV22=0),1000,0)+IF($H22=1,(IF('計算A'!DH$117=1,INDEX('計算A'!DH$10:DH$54,$B22),0)+IF('計算A'!DI$117=1,INDEX('計算A'!DJ$10:DJ$54,$B22),0))*500,0)-IF(AND('計算A'!DH$117=1,YF22&gt;0),300,0)-IF(AND($L22=1,'計算A'!DI$117=1,HH22=0),300,0))),1000000))</f>
        <v/>
      </c>
      <c r="SL22">
        <f>IF($B22=0,1000000,IF(INDEX('計算A'!$D$60:$EQ$104,$B22,111)*HH22=1,IF(AND($E22=2,MW22=0),1000000,IF($I22&gt;0,IF(5=$J22,IF(OR(AND(111=$I22+1,OR($K22&lt;&gt;'計算A'!$A$3,'計算A'!$A$4=0)),AND(111=$I22-1,OR(15&lt;&gt;'計算A'!$A$3,'計算A'!$A$4=0))),0,IF(15=$K22,200000,ABS(15-$K22)*100)),100000+ABS(5-$J22)*1000+150)+'計算A'!DJ$5*50+IF(AND($E22=1,MW22=0),25,0),INDEX('計算A'!DJ$110:DJ$114,$F22+1)+IF(AND($E22=1,MW22=0),1000,0)+IF($H22=1,(IF('計算A'!DI$117=1,INDEX('計算A'!DI$10:DI$54,$B22),0)+IF('計算A'!DJ$117=1,INDEX('計算A'!DK$10:DK$54,$B22),0))*500,0)-IF(AND('計算A'!DI$117=1,YG22&gt;0),300,0)-IF(AND($L22=1,'計算A'!DJ$117=1,HI22=0),300,0))),1000000))</f>
        <v/>
      </c>
      <c r="SM22">
        <f>IF($B22=0,1000000,IF(INDEX('計算A'!$D$60:$EQ$104,$B22,112)*HI22=1,IF(AND($E22=2,MX22=0),1000000,IF($I22&gt;0,IF(5=$J22,IF(OR(AND(112=$I22+1,OR($K22&lt;&gt;'計算A'!$A$3,'計算A'!$A$4=0)),AND(112=$I22-1,OR(16&lt;&gt;'計算A'!$A$3,'計算A'!$A$4=0))),0,IF(16=$K22,200000,ABS(16-$K22)*100)),100000+ABS(5-$J22)*1000+160)+'計算A'!DK$5*50+IF(AND($E22=1,MX22=0),25,0),INDEX('計算A'!DK$110:DK$114,$F22+1)+IF(AND($E22=1,MX22=0),1000,0)+IF($H22=1,(IF('計算A'!DJ$117=1,INDEX('計算A'!DJ$10:DJ$54,$B22),0)+IF('計算A'!DK$117=1,INDEX('計算A'!DL$10:DL$54,$B22),0))*500,0)-IF(AND('計算A'!DJ$117=1,YH22&gt;0),300,0)-IF(AND($L22=1,'計算A'!DK$117=1,HJ22=0),300,0))),1000000))</f>
        <v/>
      </c>
      <c r="SN22">
        <f>IF($B22=0,1000000,IF(INDEX('計算A'!$D$60:$EQ$104,$B22,113)*HJ22=1,IF(AND($E22=2,MY22=0),1000000,IF($I22&gt;0,IF(5=$J22,IF(OR(AND(113=$I22+1,OR($K22&lt;&gt;'計算A'!$A$3,'計算A'!$A$4=0)),AND(113=$I22-1,OR(17&lt;&gt;'計算A'!$A$3,'計算A'!$A$4=0))),0,IF(17=$K22,200000,ABS(17-$K22)*100)),100000+ABS(5-$J22)*1000+170)+'計算A'!DL$5*50+IF(AND($E22=1,MY22=0),25,0),INDEX('計算A'!DL$110:DL$114,$F22+1)+IF(AND($E22=1,MY22=0),1000,0)+IF($H22=1,(IF('計算A'!DK$117=1,INDEX('計算A'!DK$10:DK$54,$B22),0)+IF('計算A'!DL$117=1,INDEX('計算A'!DM$10:DM$54,$B22),0))*500,0)-IF(AND('計算A'!DK$117=1,YI22&gt;0),300,0)-IF(AND($L22=1,'計算A'!DL$117=1,HK22=0),300,0))),1000000))</f>
        <v/>
      </c>
      <c r="SO22">
        <f>IF($B22=0,1000000,IF(INDEX('計算A'!$D$60:$EQ$104,$B22,114)*HK22=1,IF(AND($E22=2,MZ22=0),1000000,IF($I22&gt;0,IF(5=$J22,IF(OR(AND(114=$I22+1,OR($K22&lt;&gt;'計算A'!$A$3,'計算A'!$A$4=0)),AND(114=$I22-1,OR(18&lt;&gt;'計算A'!$A$3,'計算A'!$A$4=0))),0,IF(18=$K22,200000,ABS(18-$K22)*100)),100000+ABS(5-$J22)*1000+180)+'計算A'!DM$5*50+IF(AND($E22=1,MZ22=0),25,0),INDEX('計算A'!DM$110:DM$114,$F22+1)+IF(AND($E22=1,MZ22=0),1000,0)+IF($H22=1,(IF('計算A'!DL$117=1,INDEX('計算A'!DL$10:DL$54,$B22),0)+IF('計算A'!DM$117=1,INDEX('計算A'!DN$10:DN$54,$B22),0))*500,0)-IF(AND('計算A'!DL$117=1,YJ22&gt;0),300,0)-IF(AND($L22=1,'計算A'!DM$117=1,HL22=0),300,0))),1000000))</f>
        <v/>
      </c>
      <c r="SP22">
        <f>IF($B22=0,1000000,IF(INDEX('計算A'!$D$60:$EQ$104,$B22,115)*HL22=1,IF(AND($E22=2,NA22=0),1000000,IF($I22&gt;0,IF(5=$J22,IF(OR(AND(115=$I22+1,OR($K22&lt;&gt;'計算A'!$A$3,'計算A'!$A$4=0)),AND(115=$I22-1,OR(19&lt;&gt;'計算A'!$A$3,'計算A'!$A$4=0))),0,IF(19=$K22,200000,ABS(19-$K22)*100)),100000+ABS(5-$J22)*1000+190)+'計算A'!DN$5*50+IF(AND($E22=1,NA22=0),25,0),INDEX('計算A'!DN$110:DN$114,$F22+1)+IF(AND($E22=1,NA22=0),1000,0)+IF($H22=1,(IF('計算A'!DM$117=1,INDEX('計算A'!DM$10:DM$54,$B22),0)+IF('計算A'!DN$117=1,INDEX('計算A'!DO$10:DO$54,$B22),0))*500,0)-IF(AND('計算A'!DM$117=1,YK22&gt;0),300,0)-IF(AND($L22=1,'計算A'!DN$117=1,HM22=0),300,0))),1000000))</f>
        <v/>
      </c>
      <c r="SQ22">
        <f>IF($B22=0,1000000,IF(INDEX('計算A'!$D$60:$EQ$104,$B22,116)*HM22=1,IF(AND($E22=2,NB22=0),1000000,IF($I22&gt;0,IF(5=$J22,IF(OR(AND(116=$I22+1,OR($K22&lt;&gt;'計算A'!$A$3,'計算A'!$A$4=0)),AND(116=$I22-1,OR(20&lt;&gt;'計算A'!$A$3,'計算A'!$A$4=0))),0,IF(20=$K22,200000,ABS(20-$K22)*100)),100000+ABS(5-$J22)*1000+200)+'計算A'!DO$5*50+IF(AND($E22=1,NB22=0),25,0),INDEX('計算A'!DO$110:DO$114,$F22+1)+IF(AND($E22=1,NB22=0),1000,0)+IF($H22=1,(IF('計算A'!DN$117=1,INDEX('計算A'!DN$10:DN$54,$B22),0)+IF('計算A'!DO$117=1,INDEX('計算A'!DP$10:DP$54,$B22),0))*500,0)-IF(AND('計算A'!DN$117=1,YL22&gt;0),300,0)-IF(AND($L22=1,'計算A'!DO$117=1,HN22=0),300,0))),1000000))</f>
        <v/>
      </c>
      <c r="SR22">
        <f>IF($B22=0,1000000,IF(INDEX('計算A'!$D$60:$EQ$104,$B22,117)*HN22=1,IF(AND($E22=2,NC22=0),1000000,IF($I22&gt;0,IF(5=$J22,IF(OR(AND(117=$I22+1,OR($K22&lt;&gt;'計算A'!$A$3,'計算A'!$A$4=0)),AND(117=$I22-1,OR(21&lt;&gt;'計算A'!$A$3,'計算A'!$A$4=0))),0,IF(21=$K22,200000,ABS(21-$K22)*100)),100000+ABS(5-$J22)*1000+210)+'計算A'!DP$5*50+IF(AND($E22=1,NC22=0),25,0),INDEX('計算A'!DP$110:DP$114,$F22+1)+IF(AND($E22=1,NC22=0),1000,0)+IF($H22=1,(IF('計算A'!DO$117=1,INDEX('計算A'!DO$10:DO$54,$B22),0)+IF('計算A'!DP$117=1,INDEX('計算A'!DQ$10:DQ$54,$B22),0))*500,0)-IF(AND('計算A'!DO$117=1,YM22&gt;0),300,0)-IF(AND($L22=1,'計算A'!DP$117=1,HO22=0),300,0))),1000000))</f>
        <v/>
      </c>
      <c r="SS22">
        <f>IF($B22=0,1000000,IF(INDEX('計算A'!$D$60:$EQ$104,$B22,118)*HO22=1,IF(AND($E22=2,ND22=0),1000000,IF($I22&gt;0,IF(5=$J22,IF(OR(AND(118=$I22+1,OR($K22&lt;&gt;'計算A'!$A$3,'計算A'!$A$4=0)),AND(118=$I22-1,OR(22&lt;&gt;'計算A'!$A$3,'計算A'!$A$4=0))),0,IF(22=$K22,200000,ABS(22-$K22)*100)),100000+ABS(5-$J22)*1000+220)+'計算A'!DQ$5*50+IF(AND($E22=1,ND22=0),25,0),INDEX('計算A'!DQ$110:DQ$114,$F22+1)+IF(AND($E22=1,ND22=0),1000,0)+IF($H22=1,(IF('計算A'!DP$117=1,INDEX('計算A'!DP$10:DP$54,$B22),0)+IF('計算A'!DQ$117=1,INDEX('計算A'!DR$10:DR$54,$B22),0))*500,0)-IF(AND('計算A'!DP$117=1,YN22&gt;0),300,0)-IF(AND($L22=1,'計算A'!DQ$117=1,HP22=0),300,0))),1000000))</f>
        <v/>
      </c>
      <c r="ST22">
        <f>IF($B22=0,1000000,IF(INDEX('計算A'!$D$60:$EQ$104,$B22,119)*HP22=1,IF(AND($E22=2,NE22=0),1000000,IF($I22&gt;0,IF(5=$J22,IF(OR(AND(119=$I22+1,OR($K22&lt;&gt;'計算A'!$A$3,'計算A'!$A$4=0)),AND(119=$I22-1,OR(23&lt;&gt;'計算A'!$A$3,'計算A'!$A$4=0))),0,IF(23=$K22,200000,ABS(23-$K22)*100)),100000+ABS(5-$J22)*1000+230)+'計算A'!DR$5*50+IF(AND($E22=1,NE22=0),25,0),INDEX('計算A'!DR$110:DR$114,$F22+1)+IF(AND($E22=1,NE22=0),1000,0)+IF($H22=1,(IF('計算A'!DQ$117=1,INDEX('計算A'!DQ$10:DQ$54,$B22),0)+IF('計算A'!DR$117=1,INDEX('計算A'!DS$10:DS$54,$B22),0))*500,0)-IF(AND('計算A'!DQ$117=1,YO22&gt;0),300,0)-IF(AND($L22=1,'計算A'!DR$117=1,HQ22=0),300,0))),1000000))</f>
        <v/>
      </c>
      <c r="SU22">
        <f>IF($B22=0,1000000,IF(INDEX('計算A'!$D$60:$EQ$104,$B22,120)*HQ22=1,IF(AND($E22=2,NF22=0),1000000,IF($I22&gt;0,IF(5=$J22,IF(OR(AND(120=$I22+1,OR($K22&lt;&gt;'計算A'!$A$3,'計算A'!$A$4=0)),AND(120=$I22-1,OR(24&lt;&gt;'計算A'!$A$3,'計算A'!$A$4=0))),0,IF(24=$K22,200000,ABS(24-$K22)*100)),100000+ABS(5-$J22)*1000+240)+'計算A'!DS$5*50+IF(AND($E22=1,NF22=0),25,0),INDEX('計算A'!DS$110:DS$114,$F22+1)+IF(AND($E22=1,NF22=0),1000,0)+IF($H22=1,(IF('計算A'!DR$117=1,INDEX('計算A'!DR$10:DR$54,$B22),0))*500,0)-IF(AND('計算A'!DR$117=1,YP22&gt;0),300,0))),1000000))</f>
        <v/>
      </c>
      <c r="SV22">
        <f>IF($B22=0,1000000,IF(INDEX('計算A'!$D$60:$EQ$104,$B22,121)*HR22=1,IF(AND($E22=2,NG22=0),1000000,IF($I22&gt;0,IF(6=$J22,IF(OR(AND(121=$I22+1,OR($K22&lt;&gt;'計算A'!$A$3,'計算A'!$A$4=0)),AND(121=$I22-1,OR(1&lt;&gt;'計算A'!$A$3,'計算A'!$A$4=0))),0,IF(1=$K22,200000,ABS(1-$K22)*100)),100000+ABS(6-$J22)*1000+10)+'計算A'!DT$5*50+IF(AND($E22=1,NG22=0),25,0),INDEX('計算A'!DT$110:DT$114,$F22+1)+IF(AND($E22=1,NG22=0),1000,0)+IF($H22=1,(IF('計算A'!DT$117=1,INDEX('計算A'!DU$10:DU$54,$B22),0))*500,0)-IF(AND($L22=1,'計算A'!DT$117=1,HS22=0),300,0))),1000000))</f>
        <v/>
      </c>
      <c r="SW22">
        <f>IF($B22=0,1000000,IF(INDEX('計算A'!$D$60:$EQ$104,$B22,122)*HS22=1,IF(AND($E22=2,NH22=0),1000000,IF($I22&gt;0,IF(6=$J22,IF(OR(AND(122=$I22+1,OR($K22&lt;&gt;'計算A'!$A$3,'計算A'!$A$4=0)),AND(122=$I22-1,OR(2&lt;&gt;'計算A'!$A$3,'計算A'!$A$4=0))),0,IF(2=$K22,200000,ABS(2-$K22)*100)),100000+ABS(6-$J22)*1000+20)+'計算A'!DU$5*50+IF(AND($E22=1,NH22=0),25,0),INDEX('計算A'!DU$110:DU$114,$F22+1)+IF(AND($E22=1,NH22=0),1000,0)+IF($H22=1,(IF('計算A'!DT$117=1,INDEX('計算A'!DT$10:DT$54,$B22),0)+IF('計算A'!DU$117=1,INDEX('計算A'!DV$10:DV$54,$B22),0))*500,0)-IF(AND('計算A'!DT$117=1,YR22&gt;0),300,0)-IF(AND($L22=1,'計算A'!DU$117=1,HT22=0),300,0))),1000000))</f>
        <v/>
      </c>
      <c r="SX22">
        <f>IF($B22=0,1000000,IF(INDEX('計算A'!$D$60:$EQ$104,$B22,123)*HT22=1,IF(AND($E22=2,NI22=0),1000000,IF($I22&gt;0,IF(6=$J22,IF(OR(AND(123=$I22+1,OR($K22&lt;&gt;'計算A'!$A$3,'計算A'!$A$4=0)),AND(123=$I22-1,OR(3&lt;&gt;'計算A'!$A$3,'計算A'!$A$4=0))),0,IF(3=$K22,200000,ABS(3-$K22)*100)),100000+ABS(6-$J22)*1000+30)+'計算A'!DV$5*50+IF(AND($E22=1,NI22=0),25,0),INDEX('計算A'!DV$110:DV$114,$F22+1)+IF(AND($E22=1,NI22=0),1000,0)+IF($H22=1,(IF('計算A'!DU$117=1,INDEX('計算A'!DU$10:DU$54,$B22),0)+IF('計算A'!DV$117=1,INDEX('計算A'!DW$10:DW$54,$B22),0))*500,0)-IF(AND('計算A'!DU$117=1,YS22&gt;0),300,0)-IF(AND($L22=1,'計算A'!DV$117=1,HU22=0),300,0))),1000000))</f>
        <v/>
      </c>
      <c r="SY22">
        <f>IF($B22=0,1000000,IF(INDEX('計算A'!$D$60:$EQ$104,$B22,124)*HU22=1,IF(AND($E22=2,NJ22=0),1000000,IF($I22&gt;0,IF(6=$J22,IF(OR(AND(124=$I22+1,OR($K22&lt;&gt;'計算A'!$A$3,'計算A'!$A$4=0)),AND(124=$I22-1,OR(4&lt;&gt;'計算A'!$A$3,'計算A'!$A$4=0))),0,IF(4=$K22,200000,ABS(4-$K22)*100)),100000+ABS(6-$J22)*1000+40)+'計算A'!DW$5*50+IF(AND($E22=1,NJ22=0),25,0),INDEX('計算A'!DW$110:DW$114,$F22+1)+IF(AND($E22=1,NJ22=0),1000,0)+IF($H22=1,(IF('計算A'!DV$117=1,INDEX('計算A'!DV$10:DV$54,$B22),0)+IF('計算A'!DW$117=1,INDEX('計算A'!DX$10:DX$54,$B22),0))*500,0)-IF(AND('計算A'!DV$117=1,YT22&gt;0),300,0)-IF(AND($L22=1,'計算A'!DW$117=1,HV22=0),300,0))),1000000))</f>
        <v/>
      </c>
      <c r="SZ22">
        <f>IF($B22=0,1000000,IF(INDEX('計算A'!$D$60:$EQ$104,$B22,125)*HV22=1,IF(AND($E22=2,NK22=0),1000000,IF($I22&gt;0,IF(6=$J22,IF(OR(AND(125=$I22+1,OR($K22&lt;&gt;'計算A'!$A$3,'計算A'!$A$4=0)),AND(125=$I22-1,OR(5&lt;&gt;'計算A'!$A$3,'計算A'!$A$4=0))),0,IF(5=$K22,200000,ABS(5-$K22)*100)),100000+ABS(6-$J22)*1000+50)+'計算A'!DX$5*50+IF(AND($E22=1,NK22=0),25,0),INDEX('計算A'!DX$110:DX$114,$F22+1)+IF(AND($E22=1,NK22=0),1000,0)+IF($H22=1,(IF('計算A'!DW$117=1,INDEX('計算A'!DW$10:DW$54,$B22),0)+IF('計算A'!DX$117=1,INDEX('計算A'!DY$10:DY$54,$B22),0))*500,0)-IF(AND('計算A'!DW$117=1,YU22&gt;0),300,0)-IF(AND($L22=1,'計算A'!DX$117=1,HW22=0),300,0))),1000000))</f>
        <v/>
      </c>
      <c r="TA22">
        <f>IF($B22=0,1000000,IF(INDEX('計算A'!$D$60:$EQ$104,$B22,126)*HW22=1,IF(AND($E22=2,NL22=0),1000000,IF($I22&gt;0,IF(6=$J22,IF(OR(AND(126=$I22+1,OR($K22&lt;&gt;'計算A'!$A$3,'計算A'!$A$4=0)),AND(126=$I22-1,OR(6&lt;&gt;'計算A'!$A$3,'計算A'!$A$4=0))),0,IF(6=$K22,200000,ABS(6-$K22)*100)),100000+ABS(6-$J22)*1000+60)+'計算A'!DY$5*50+IF(AND($E22=1,NL22=0),25,0),INDEX('計算A'!DY$110:DY$114,$F22+1)+IF(AND($E22=1,NL22=0),1000,0)+IF($H22=1,(IF('計算A'!DX$117=1,INDEX('計算A'!DX$10:DX$54,$B22),0)+IF('計算A'!DY$117=1,INDEX('計算A'!DZ$10:DZ$54,$B22),0))*500,0)-IF(AND('計算A'!DX$117=1,YV22&gt;0),300,0)-IF(AND($L22=1,'計算A'!DY$117=1,HX22=0),300,0))),1000000))</f>
        <v/>
      </c>
      <c r="TB22">
        <f>IF($B22=0,1000000,IF(INDEX('計算A'!$D$60:$EQ$104,$B22,127)*HX22=1,IF(AND($E22=2,NM22=0),1000000,IF($I22&gt;0,IF(6=$J22,IF(OR(AND(127=$I22+1,OR($K22&lt;&gt;'計算A'!$A$3,'計算A'!$A$4=0)),AND(127=$I22-1,OR(7&lt;&gt;'計算A'!$A$3,'計算A'!$A$4=0))),0,IF(7=$K22,200000,ABS(7-$K22)*100)),100000+ABS(6-$J22)*1000+70)+'計算A'!DZ$5*50+IF(AND($E22=1,NM22=0),25,0),INDEX('計算A'!DZ$110:DZ$114,$F22+1)+IF(AND($E22=1,NM22=0),1000,0)+IF($H22=1,(IF('計算A'!DY$117=1,INDEX('計算A'!DY$10:DY$54,$B22),0)+IF('計算A'!DZ$117=1,INDEX('計算A'!EA$10:EA$54,$B22),0))*500,0)-IF(AND('計算A'!DY$117=1,YW22&gt;0),300,0)-IF(AND($L22=1,'計算A'!DZ$117=1,HY22=0),300,0))),1000000))</f>
        <v/>
      </c>
      <c r="TC22">
        <f>IF($B22=0,1000000,IF(INDEX('計算A'!$D$60:$EQ$104,$B22,128)*HY22=1,IF(AND($E22=2,NN22=0),1000000,IF($I22&gt;0,IF(6=$J22,IF(OR(AND(128=$I22+1,OR($K22&lt;&gt;'計算A'!$A$3,'計算A'!$A$4=0)),AND(128=$I22-1,OR(8&lt;&gt;'計算A'!$A$3,'計算A'!$A$4=0))),0,IF(8=$K22,200000,ABS(8-$K22)*100)),100000+ABS(6-$J22)*1000+80)+'計算A'!EA$5*50+IF(AND($E22=1,NN22=0),25,0),INDEX('計算A'!EA$110:EA$114,$F22+1)+IF(AND($E22=1,NN22=0),1000,0)+IF($H22=1,(IF('計算A'!DZ$117=1,INDEX('計算A'!DZ$10:DZ$54,$B22),0)+IF('計算A'!EA$117=1,INDEX('計算A'!EB$10:EB$54,$B22),0))*500,0)-IF(AND('計算A'!DZ$117=1,YX22&gt;0),300,0)-IF(AND($L22=1,'計算A'!EA$117=1,HZ22=0),300,0))),1000000))</f>
        <v/>
      </c>
      <c r="TD22">
        <f>IF($B22=0,1000000,IF(INDEX('計算A'!$D$60:$EQ$104,$B22,129)*HZ22=1,IF(AND($E22=2,NO22=0),1000000,IF($I22&gt;0,IF(6=$J22,IF(OR(AND(129=$I22+1,OR($K22&lt;&gt;'計算A'!$A$3,'計算A'!$A$4=0)),AND(129=$I22-1,OR(9&lt;&gt;'計算A'!$A$3,'計算A'!$A$4=0))),0,IF(9=$K22,200000,ABS(9-$K22)*100)),100000+ABS(6-$J22)*1000+90)+'計算A'!EB$5*50+IF(AND($E22=1,NO22=0),25,0),INDEX('計算A'!EB$110:EB$114,$F22+1)+IF(AND($E22=1,NO22=0),1000,0)+IF($H22=1,(IF('計算A'!EA$117=1,INDEX('計算A'!EA$10:EA$54,$B22),0)+IF('計算A'!EB$117=1,INDEX('計算A'!EC$10:EC$54,$B22),0))*500,0)-IF(AND('計算A'!EA$117=1,YY22&gt;0),300,0)-IF(AND($L22=1,'計算A'!EB$117=1,IA22=0),300,0))),1000000))</f>
        <v/>
      </c>
      <c r="TE22">
        <f>IF($B22=0,1000000,IF(INDEX('計算A'!$D$60:$EQ$104,$B22,130)*IA22=1,IF(AND($E22=2,NP22=0),1000000,IF($I22&gt;0,IF(6=$J22,IF(OR(AND(130=$I22+1,OR($K22&lt;&gt;'計算A'!$A$3,'計算A'!$A$4=0)),AND(130=$I22-1,OR(10&lt;&gt;'計算A'!$A$3,'計算A'!$A$4=0))),0,IF(10=$K22,200000,ABS(10-$K22)*100)),100000+ABS(6-$J22)*1000+100)+'計算A'!EC$5*50+IF(AND($E22=1,NP22=0),25,0),INDEX('計算A'!EC$110:EC$114,$F22+1)+IF(AND($E22=1,NP22=0),1000,0)+IF($H22=1,(IF('計算A'!EB$117=1,INDEX('計算A'!EB$10:EB$54,$B22),0)+IF('計算A'!EC$117=1,INDEX('計算A'!ED$10:ED$54,$B22),0))*500,0)-IF(AND('計算A'!EB$117=1,YZ22&gt;0),300,0)-IF(AND($L22=1,'計算A'!EC$117=1,IB22=0),300,0))),1000000))</f>
        <v/>
      </c>
      <c r="TF22">
        <f>IF($B22=0,1000000,IF(INDEX('計算A'!$D$60:$EQ$104,$B22,131)*IB22=1,IF(AND($E22=2,NQ22=0),1000000,IF($I22&gt;0,IF(6=$J22,IF(OR(AND(131=$I22+1,OR($K22&lt;&gt;'計算A'!$A$3,'計算A'!$A$4=0)),AND(131=$I22-1,OR(11&lt;&gt;'計算A'!$A$3,'計算A'!$A$4=0))),0,IF(11=$K22,200000,ABS(11-$K22)*100)),100000+ABS(6-$J22)*1000+110)+'計算A'!ED$5*50+IF(AND($E22=1,NQ22=0),25,0),INDEX('計算A'!ED$110:ED$114,$F22+1)+IF(AND($E22=1,NQ22=0),1000,0)+IF($H22=1,(IF('計算A'!EC$117=1,INDEX('計算A'!EC$10:EC$54,$B22),0)+IF('計算A'!ED$117=1,INDEX('計算A'!EE$10:EE$54,$B22),0))*500,0)-IF(AND('計算A'!EC$117=1,ZA22&gt;0),300,0)-IF(AND($L22=1,'計算A'!ED$117=1,IC22=0),300,0))),1000000))</f>
        <v/>
      </c>
      <c r="TG22">
        <f>IF($B22=0,1000000,IF(INDEX('計算A'!$D$60:$EQ$104,$B22,132)*IC22=1,IF(AND($E22=2,NR22=0),1000000,IF($I22&gt;0,IF(6=$J22,IF(OR(AND(132=$I22+1,OR($K22&lt;&gt;'計算A'!$A$3,'計算A'!$A$4=0)),AND(132=$I22-1,OR(12&lt;&gt;'計算A'!$A$3,'計算A'!$A$4=0))),0,IF(12=$K22,200000,ABS(12-$K22)*100)),100000+ABS(6-$J22)*1000+120)+'計算A'!EE$5*50+IF(AND($E22=1,NR22=0),25,0),INDEX('計算A'!EE$110:EE$114,$F22+1)+IF(AND($E22=1,NR22=0),1000,0)+IF($H22=1,(IF('計算A'!ED$117=1,INDEX('計算A'!ED$10:ED$54,$B22),0)+IF('計算A'!EE$117=1,INDEX('計算A'!EF$10:EF$54,$B22),0))*500,0)-IF(AND('計算A'!ED$117=1,ZB22&gt;0),300,0)-IF(AND($L22=1,'計算A'!EE$117=1,ID22=0),300,0))),1000000))</f>
        <v/>
      </c>
      <c r="TH22">
        <f>IF($B22=0,1000000,IF(INDEX('計算A'!$D$60:$EQ$104,$B22,133)*ID22=1,IF(AND($E22=2,NS22=0),1000000,IF($I22&gt;0,IF(6=$J22,IF(OR(AND(133=$I22+1,OR($K22&lt;&gt;'計算A'!$A$3,'計算A'!$A$4=0)),AND(133=$I22-1,OR(13&lt;&gt;'計算A'!$A$3,'計算A'!$A$4=0))),0,IF(13=$K22,200000,ABS(13-$K22)*100)),100000+ABS(6-$J22)*1000+130)+'計算A'!EF$5*50+IF(AND($E22=1,NS22=0),25,0),INDEX('計算A'!EF$110:EF$114,$F22+1)+IF(AND($E22=1,NS22=0),1000,0)+IF($H22=1,(IF('計算A'!EE$117=1,INDEX('計算A'!EE$10:EE$54,$B22),0)+IF('計算A'!EF$117=1,INDEX('計算A'!EG$10:EG$54,$B22),0))*500,0)-IF(AND('計算A'!EE$117=1,ZC22&gt;0),300,0)-IF(AND($L22=1,'計算A'!EF$117=1,IE22=0),300,0))),1000000))</f>
        <v/>
      </c>
      <c r="TI22">
        <f>IF($B22=0,1000000,IF(INDEX('計算A'!$D$60:$EQ$104,$B22,134)*IE22=1,IF(AND($E22=2,NT22=0),1000000,IF($I22&gt;0,IF(6=$J22,IF(OR(AND(134=$I22+1,OR($K22&lt;&gt;'計算A'!$A$3,'計算A'!$A$4=0)),AND(134=$I22-1,OR(14&lt;&gt;'計算A'!$A$3,'計算A'!$A$4=0))),0,IF(14=$K22,200000,ABS(14-$K22)*100)),100000+ABS(6-$J22)*1000+140)+'計算A'!EG$5*50+IF(AND($E22=1,NT22=0),25,0),INDEX('計算A'!EG$110:EG$114,$F22+1)+IF(AND($E22=1,NT22=0),1000,0)+IF($H22=1,(IF('計算A'!EF$117=1,INDEX('計算A'!EF$10:EF$54,$B22),0)+IF('計算A'!EG$117=1,INDEX('計算A'!EH$10:EH$54,$B22),0))*500,0)-IF(AND('計算A'!EF$117=1,ZD22&gt;0),300,0)-IF(AND($L22=1,'計算A'!EG$117=1,IF22=0),300,0))),1000000))</f>
        <v/>
      </c>
      <c r="TJ22">
        <f>IF($B22=0,1000000,IF(INDEX('計算A'!$D$60:$EQ$104,$B22,135)*IF22=1,IF(AND($E22=2,NU22=0),1000000,IF($I22&gt;0,IF(6=$J22,IF(OR(AND(135=$I22+1,OR($K22&lt;&gt;'計算A'!$A$3,'計算A'!$A$4=0)),AND(135=$I22-1,OR(15&lt;&gt;'計算A'!$A$3,'計算A'!$A$4=0))),0,IF(15=$K22,200000,ABS(15-$K22)*100)),100000+ABS(6-$J22)*1000+150)+'計算A'!EH$5*50+IF(AND($E22=1,NU22=0),25,0),INDEX('計算A'!EH$110:EH$114,$F22+1)+IF(AND($E22=1,NU22=0),1000,0)+IF($H22=1,(IF('計算A'!EG$117=1,INDEX('計算A'!EG$10:EG$54,$B22),0)+IF('計算A'!EH$117=1,INDEX('計算A'!EI$10:EI$54,$B22),0))*500,0)-IF(AND('計算A'!EG$117=1,ZE22&gt;0),300,0)-IF(AND($L22=1,'計算A'!EH$117=1,IG22=0),300,0))),1000000))</f>
        <v/>
      </c>
      <c r="TK22">
        <f>IF($B22=0,1000000,IF(INDEX('計算A'!$D$60:$EQ$104,$B22,136)*IG22=1,IF(AND($E22=2,NV22=0),1000000,IF($I22&gt;0,IF(6=$J22,IF(OR(AND(136=$I22+1,OR($K22&lt;&gt;'計算A'!$A$3,'計算A'!$A$4=0)),AND(136=$I22-1,OR(16&lt;&gt;'計算A'!$A$3,'計算A'!$A$4=0))),0,IF(16=$K22,200000,ABS(16-$K22)*100)),100000+ABS(6-$J22)*1000+160)+'計算A'!EI$5*50+IF(AND($E22=1,NV22=0),25,0),INDEX('計算A'!EI$110:EI$114,$F22+1)+IF(AND($E22=1,NV22=0),1000,0)+IF($H22=1,(IF('計算A'!EH$117=1,INDEX('計算A'!EH$10:EH$54,$B22),0)+IF('計算A'!EI$117=1,INDEX('計算A'!EJ$10:EJ$54,$B22),0))*500,0)-IF(AND('計算A'!EH$117=1,ZF22&gt;0),300,0)-IF(AND($L22=1,'計算A'!EI$117=1,IH22=0),300,0))),1000000))</f>
        <v/>
      </c>
      <c r="TL22">
        <f>IF($B22=0,1000000,IF(INDEX('計算A'!$D$60:$EQ$104,$B22,137)*IH22=1,IF(AND($E22=2,NW22=0),1000000,IF($I22&gt;0,IF(6=$J22,IF(OR(AND(137=$I22+1,OR($K22&lt;&gt;'計算A'!$A$3,'計算A'!$A$4=0)),AND(137=$I22-1,OR(17&lt;&gt;'計算A'!$A$3,'計算A'!$A$4=0))),0,IF(17=$K22,200000,ABS(17-$K22)*100)),100000+ABS(6-$J22)*1000+170)+'計算A'!EJ$5*50+IF(AND($E22=1,NW22=0),25,0),INDEX('計算A'!EJ$110:EJ$114,$F22+1)+IF(AND($E22=1,NW22=0),1000,0)+IF($H22=1,(IF('計算A'!EI$117=1,INDEX('計算A'!EI$10:EI$54,$B22),0)+IF('計算A'!EJ$117=1,INDEX('計算A'!EK$10:EK$54,$B22),0))*500,0)-IF(AND('計算A'!EI$117=1,ZG22&gt;0),300,0)-IF(AND($L22=1,'計算A'!EJ$117=1,II22=0),300,0))),1000000))</f>
        <v/>
      </c>
      <c r="TM22">
        <f>IF($B22=0,1000000,IF(INDEX('計算A'!$D$60:$EQ$104,$B22,138)*II22=1,IF(AND($E22=2,NX22=0),1000000,IF($I22&gt;0,IF(6=$J22,IF(OR(AND(138=$I22+1,OR($K22&lt;&gt;'計算A'!$A$3,'計算A'!$A$4=0)),AND(138=$I22-1,OR(18&lt;&gt;'計算A'!$A$3,'計算A'!$A$4=0))),0,IF(18=$K22,200000,ABS(18-$K22)*100)),100000+ABS(6-$J22)*1000+180)+'計算A'!EK$5*50+IF(AND($E22=1,NX22=0),25,0),INDEX('計算A'!EK$110:EK$114,$F22+1)+IF(AND($E22=1,NX22=0),1000,0)+IF($H22=1,(IF('計算A'!EJ$117=1,INDEX('計算A'!EJ$10:EJ$54,$B22),0)+IF('計算A'!EK$117=1,INDEX('計算A'!EL$10:EL$54,$B22),0))*500,0)-IF(AND('計算A'!EJ$117=1,ZH22&gt;0),300,0)-IF(AND($L22=1,'計算A'!EK$117=1,IJ22=0),300,0))),1000000))</f>
        <v/>
      </c>
      <c r="TN22">
        <f>IF($B22=0,1000000,IF(INDEX('計算A'!$D$60:$EQ$104,$B22,139)*IJ22=1,IF(AND($E22=2,NY22=0),1000000,IF($I22&gt;0,IF(6=$J22,IF(OR(AND(139=$I22+1,OR($K22&lt;&gt;'計算A'!$A$3,'計算A'!$A$4=0)),AND(139=$I22-1,OR(19&lt;&gt;'計算A'!$A$3,'計算A'!$A$4=0))),0,IF(19=$K22,200000,ABS(19-$K22)*100)),100000+ABS(6-$J22)*1000+190)+'計算A'!EL$5*50+IF(AND($E22=1,NY22=0),25,0),INDEX('計算A'!EL$110:EL$114,$F22+1)+IF(AND($E22=1,NY22=0),1000,0)+IF($H22=1,(IF('計算A'!EK$117=1,INDEX('計算A'!EK$10:EK$54,$B22),0)+IF('計算A'!EL$117=1,INDEX('計算A'!EM$10:EM$54,$B22),0))*500,0)-IF(AND('計算A'!EK$117=1,ZI22&gt;0),300,0)-IF(AND($L22=1,'計算A'!EL$117=1,IK22=0),300,0))),1000000))</f>
        <v/>
      </c>
      <c r="TO22">
        <f>IF($B22=0,1000000,IF(INDEX('計算A'!$D$60:$EQ$104,$B22,140)*IK22=1,IF(AND($E22=2,NZ22=0),1000000,IF($I22&gt;0,IF(6=$J22,IF(OR(AND(140=$I22+1,OR($K22&lt;&gt;'計算A'!$A$3,'計算A'!$A$4=0)),AND(140=$I22-1,OR(20&lt;&gt;'計算A'!$A$3,'計算A'!$A$4=0))),0,IF(20=$K22,200000,ABS(20-$K22)*100)),100000+ABS(6-$J22)*1000+200)+'計算A'!EM$5*50+IF(AND($E22=1,NZ22=0),25,0),INDEX('計算A'!EM$110:EM$114,$F22+1)+IF(AND($E22=1,NZ22=0),1000,0)+IF($H22=1,(IF('計算A'!EL$117=1,INDEX('計算A'!EL$10:EL$54,$B22),0)+IF('計算A'!EM$117=1,INDEX('計算A'!EN$10:EN$54,$B22),0))*500,0)-IF(AND('計算A'!EL$117=1,ZJ22&gt;0),300,0)-IF(AND($L22=1,'計算A'!EM$117=1,IL22=0),300,0))),1000000))</f>
        <v/>
      </c>
      <c r="TP22">
        <f>IF($B22=0,1000000,IF(INDEX('計算A'!$D$60:$EQ$104,$B22,141)*IL22=1,IF(AND($E22=2,OA22=0),1000000,IF($I22&gt;0,IF(6=$J22,IF(OR(AND(141=$I22+1,OR($K22&lt;&gt;'計算A'!$A$3,'計算A'!$A$4=0)),AND(141=$I22-1,OR(21&lt;&gt;'計算A'!$A$3,'計算A'!$A$4=0))),0,IF(21=$K22,200000,ABS(21-$K22)*100)),100000+ABS(6-$J22)*1000+210)+'計算A'!EN$5*50+IF(AND($E22=1,OA22=0),25,0),INDEX('計算A'!EN$110:EN$114,$F22+1)+IF(AND($E22=1,OA22=0),1000,0)+IF($H22=1,(IF('計算A'!EM$117=1,INDEX('計算A'!EM$10:EM$54,$B22),0)+IF('計算A'!EN$117=1,INDEX('計算A'!EO$10:EO$54,$B22),0))*500,0)-IF(AND('計算A'!EM$117=1,ZK22&gt;0),300,0)-IF(AND($L22=1,'計算A'!EN$117=1,IM22=0),300,0))),1000000))</f>
        <v/>
      </c>
      <c r="TQ22">
        <f>IF($B22=0,1000000,IF(INDEX('計算A'!$D$60:$EQ$104,$B22,142)*IM22=1,IF(AND($E22=2,OB22=0),1000000,IF($I22&gt;0,IF(6=$J22,IF(OR(AND(142=$I22+1,OR($K22&lt;&gt;'計算A'!$A$3,'計算A'!$A$4=0)),AND(142=$I22-1,OR(22&lt;&gt;'計算A'!$A$3,'計算A'!$A$4=0))),0,IF(22=$K22,200000,ABS(22-$K22)*100)),100000+ABS(6-$J22)*1000+220)+'計算A'!EO$5*50+IF(AND($E22=1,OB22=0),25,0),INDEX('計算A'!EO$110:EO$114,$F22+1)+IF(AND($E22=1,OB22=0),1000,0)+IF($H22=1,(IF('計算A'!EN$117=1,INDEX('計算A'!EN$10:EN$54,$B22),0)+IF('計算A'!EO$117=1,INDEX('計算A'!EP$10:EP$54,$B22),0))*500,0)-IF(AND('計算A'!EN$117=1,ZL22&gt;0),300,0)-IF(AND($L22=1,'計算A'!EO$117=1,IN22=0),300,0))),1000000))</f>
        <v/>
      </c>
      <c r="TR22">
        <f>IF($B22=0,1000000,IF(INDEX('計算A'!$D$60:$EQ$104,$B22,143)*IN22=1,IF(AND($E22=2,OC22=0),1000000,IF($I22&gt;0,IF(6=$J22,IF(OR(AND(143=$I22+1,OR($K22&lt;&gt;'計算A'!$A$3,'計算A'!$A$4=0)),AND(143=$I22-1,OR(23&lt;&gt;'計算A'!$A$3,'計算A'!$A$4=0))),0,IF(23=$K22,200000,ABS(23-$K22)*100)),100000+ABS(6-$J22)*1000+230)+'計算A'!EP$5*50+IF(AND($E22=1,OC22=0),25,0),INDEX('計算A'!EP$110:EP$114,$F22+1)+IF(AND($E22=1,OC22=0),1000,0)+IF($H22=1,(IF('計算A'!EO$117=1,INDEX('計算A'!EO$10:EO$54,$B22),0)+IF('計算A'!EP$117=1,INDEX('計算A'!EQ$10:EQ$54,$B22),0))*500,0)-IF(AND('計算A'!EO$117=1,ZM22&gt;0),300,0)-IF(AND($L22=1,'計算A'!EP$117=1,IO22=0),300,0))),1000000))</f>
        <v/>
      </c>
      <c r="TS22">
        <f>IF($B22=0,1000000,IF(INDEX('計算A'!$D$60:$EQ$104,$B22,144)*IO22=1,IF(AND($E22=2,OD22=0),1000000,IF($I22&gt;0,IF(6=$J22,IF(OR(AND(144=$I22+1,OR($K22&lt;&gt;'計算A'!$A$3,'計算A'!$A$4=0)),AND(144=$I22-1,OR(24&lt;&gt;'計算A'!$A$3,'計算A'!$A$4=0))),0,IF(24=$K22,200000,ABS(24-$K22)*100)),100000+ABS(6-$J22)*1000+240)+'計算A'!EQ$5*50+IF(AND($E22=1,OD22=0),25,0),INDEX('計算A'!EQ$110:EQ$114,$F22+1)+IF(AND($E22=1,OD22=0),1000,0)+IF($H22=1,(IF('計算A'!EP$117=1,INDEX('計算A'!EP$10:EP$54,$B22),0))*500,0)-IF(AND('計算A'!EP$117=1,ZN22&gt;0),300,0))),1000000))</f>
        <v/>
      </c>
      <c r="UB22">
        <f>UB21+IF(AND($C21=1,$L21=1),1,0)</f>
        <v/>
      </c>
      <c r="UC22">
        <f>UC21+IF(AND($C21=2,$L21=1),1,0)</f>
        <v/>
      </c>
      <c r="UD22">
        <f>UD21+IF(AND($C21=3,$L21=1),1,0)</f>
        <v/>
      </c>
      <c r="UE22">
        <f>UE21+IF(AND($C21=4,$L21=1),1,0)</f>
        <v/>
      </c>
      <c r="UF22">
        <f>UF21+IF(AND($C21=5,$L21=1),1,0)</f>
        <v/>
      </c>
      <c r="UG22">
        <f>UG21+IF(AND($C21=6,$L21=1),1,0)</f>
        <v/>
      </c>
      <c r="UH22">
        <f>UH21+IF(AND($C21=7,$L21=1),1,0)</f>
        <v/>
      </c>
      <c r="UI22">
        <f>UI21+IF(AND($C21=8,$L21=1),1,0)</f>
        <v/>
      </c>
      <c r="UJ22">
        <f>UJ21+IF(AND($C21=9,$L21=1),1,0)</f>
        <v/>
      </c>
      <c r="UK22">
        <f>UK21+IF(AND($C21=10,$L21=1),1,0)</f>
        <v/>
      </c>
      <c r="UL22">
        <f>UL21+IF(AND($C21=11,$L21=1),1,0)</f>
        <v/>
      </c>
      <c r="UM22">
        <f>UM21+IF(AND($C21=12,$L21=1),1,0)</f>
        <v/>
      </c>
      <c r="UN22">
        <f>UN21+IF(AND($C21=13,$L21=1),1,0)</f>
        <v/>
      </c>
      <c r="UO22">
        <f>UO21+IF(AND($C21=14,$L21=1),1,0)</f>
        <v/>
      </c>
      <c r="UP22">
        <f>UP21+IF(AND($C21=15,$L21=1),1,0)</f>
        <v/>
      </c>
      <c r="UQ22">
        <f>UQ21+IF(AND($C21=16,$L21=1),1,0)</f>
        <v/>
      </c>
      <c r="UR22">
        <f>UR21+IF(AND($C21=17,$L21=1),1,0)</f>
        <v/>
      </c>
      <c r="US22">
        <f>US21+IF(AND($C21=18,$L21=1),1,0)</f>
        <v/>
      </c>
      <c r="UT22">
        <f>UT21+IF(AND($C21=19,$L21=1),1,0)</f>
        <v/>
      </c>
      <c r="UU22">
        <f>UU21+IF(AND($C21=20,$L21=1),1,0)</f>
        <v/>
      </c>
      <c r="UV22">
        <f>UV21+IF(AND($C21=21,$L21=1),1,0)</f>
        <v/>
      </c>
      <c r="UW22">
        <f>UW21+IF(AND($C21=22,$L21=1),1,0)</f>
        <v/>
      </c>
      <c r="UX22">
        <f>UX21+IF(AND($C21=23,$L21=1),1,0)</f>
        <v/>
      </c>
      <c r="UY22">
        <f>UY21+IF(AND($C21=24,$L21=1),1,0)</f>
        <v/>
      </c>
      <c r="UZ22">
        <f>UZ21+IF(AND($C21=25,$L21=1),1,0)</f>
        <v/>
      </c>
      <c r="VA22">
        <f>VA21+IF(AND($C21=26,$L21=1),1,0)</f>
        <v/>
      </c>
      <c r="VB22">
        <f>VB21+IF(AND($C21=27,$L21=1),1,0)</f>
        <v/>
      </c>
      <c r="VC22">
        <f>VC21+IF(AND($C21=28,$L21=1),1,0)</f>
        <v/>
      </c>
      <c r="VD22">
        <f>VD21+IF(AND($C21=29,$L21=1),1,0)</f>
        <v/>
      </c>
      <c r="VE22">
        <f>VE21+IF(AND($C21=30,$L21=1),1,0)</f>
        <v/>
      </c>
      <c r="VF22">
        <f>VF21+IF(AND($C21=31,$L21=1),1,0)</f>
        <v/>
      </c>
      <c r="VG22">
        <f>VG21+IF(AND($C21=32,$L21=1),1,0)</f>
        <v/>
      </c>
      <c r="VH22">
        <f>VH21+IF(AND($C21=33,$L21=1),1,0)</f>
        <v/>
      </c>
      <c r="VI22">
        <f>VI21+IF(AND($C21=34,$L21=1),1,0)</f>
        <v/>
      </c>
      <c r="VJ22">
        <f>VJ21+IF(AND($C21=35,$L21=1),1,0)</f>
        <v/>
      </c>
      <c r="VK22">
        <f>VK21+IF(AND($C21=36,$L21=1),1,0)</f>
        <v/>
      </c>
      <c r="VL22">
        <f>VL21+IF(AND($C21=37,$L21=1),1,0)</f>
        <v/>
      </c>
      <c r="VM22">
        <f>VM21+IF(AND($C21=38,$L21=1),1,0)</f>
        <v/>
      </c>
      <c r="VN22">
        <f>VN21+IF(AND($C21=39,$L21=1),1,0)</f>
        <v/>
      </c>
      <c r="VO22">
        <f>VO21+IF(AND($C21=40,$L21=1),1,0)</f>
        <v/>
      </c>
      <c r="VP22">
        <f>VP21+IF(AND($C21=41,$L21=1),1,0)</f>
        <v/>
      </c>
      <c r="VQ22">
        <f>VQ21+IF(AND($C21=42,$L21=1),1,0)</f>
        <v/>
      </c>
      <c r="VR22">
        <f>VR21+IF(AND($C21=43,$L21=1),1,0)</f>
        <v/>
      </c>
      <c r="VS22">
        <f>VS21+IF(AND($C21=44,$L21=1),1,0)</f>
        <v/>
      </c>
      <c r="VT22">
        <f>VT21+IF(AND($C21=45,$L21=1),1,0)</f>
        <v/>
      </c>
      <c r="VU22">
        <f>VU21+IF(AND($C21=46,$L21=1),1,0)</f>
        <v/>
      </c>
      <c r="VV22">
        <f>VV21+IF(AND($C21=47,$L21=1),1,0)</f>
        <v/>
      </c>
      <c r="VW22">
        <f>VW21+IF(AND($C21=48,$L21=1),1,0)</f>
        <v/>
      </c>
      <c r="VX22">
        <f>VX21+IF(AND($C21=49,$L21=1),1,0)</f>
        <v/>
      </c>
      <c r="VY22">
        <f>VY21+IF(AND($C21=50,$L21=1),1,0)</f>
        <v/>
      </c>
      <c r="VZ22">
        <f>VZ21+IF(AND($C21=51,$L21=1),1,0)</f>
        <v/>
      </c>
      <c r="WA22">
        <f>WA21+IF(AND($C21=52,$L21=1),1,0)</f>
        <v/>
      </c>
      <c r="WB22">
        <f>WB21+IF(AND($C21=53,$L21=1),1,0)</f>
        <v/>
      </c>
      <c r="WC22">
        <f>WC21+IF(AND($C21=54,$L21=1),1,0)</f>
        <v/>
      </c>
      <c r="WD22">
        <f>WD21+IF(AND($C21=55,$L21=1),1,0)</f>
        <v/>
      </c>
      <c r="WE22">
        <f>WE21+IF(AND($C21=56,$L21=1),1,0)</f>
        <v/>
      </c>
      <c r="WF22">
        <f>WF21+IF(AND($C21=57,$L21=1),1,0)</f>
        <v/>
      </c>
      <c r="WG22">
        <f>WG21+IF(AND($C21=58,$L21=1),1,0)</f>
        <v/>
      </c>
      <c r="WH22">
        <f>WH21+IF(AND($C21=59,$L21=1),1,0)</f>
        <v/>
      </c>
      <c r="WI22">
        <f>WI21+IF(AND($C21=60,$L21=1),1,0)</f>
        <v/>
      </c>
      <c r="WJ22">
        <f>WJ21+IF(AND($C21=61,$L21=1),1,0)</f>
        <v/>
      </c>
      <c r="WK22">
        <f>WK21+IF(AND($C21=62,$L21=1),1,0)</f>
        <v/>
      </c>
      <c r="WL22">
        <f>WL21+IF(AND($C21=63,$L21=1),1,0)</f>
        <v/>
      </c>
      <c r="WM22">
        <f>WM21+IF(AND($C21=64,$L21=1),1,0)</f>
        <v/>
      </c>
      <c r="WN22">
        <f>WN21+IF(AND($C21=65,$L21=1),1,0)</f>
        <v/>
      </c>
      <c r="WO22">
        <f>WO21+IF(AND($C21=66,$L21=1),1,0)</f>
        <v/>
      </c>
      <c r="WP22">
        <f>WP21+IF(AND($C21=67,$L21=1),1,0)</f>
        <v/>
      </c>
      <c r="WQ22">
        <f>WQ21+IF(AND($C21=68,$L21=1),1,0)</f>
        <v/>
      </c>
      <c r="WR22">
        <f>WR21+IF(AND($C21=69,$L21=1),1,0)</f>
        <v/>
      </c>
      <c r="WS22">
        <f>WS21+IF(AND($C21=70,$L21=1),1,0)</f>
        <v/>
      </c>
      <c r="WT22">
        <f>WT21+IF(AND($C21=71,$L21=1),1,0)</f>
        <v/>
      </c>
      <c r="WU22">
        <f>WU21+IF(AND($C21=72,$L21=1),1,0)</f>
        <v/>
      </c>
      <c r="WV22">
        <f>WV21+IF(AND($C21=73,$L21=1),1,0)</f>
        <v/>
      </c>
      <c r="WW22">
        <f>WW21+IF(AND($C21=74,$L21=1),1,0)</f>
        <v/>
      </c>
      <c r="WX22">
        <f>WX21+IF(AND($C21=75,$L21=1),1,0)</f>
        <v/>
      </c>
      <c r="WY22">
        <f>WY21+IF(AND($C21=76,$L21=1),1,0)</f>
        <v/>
      </c>
      <c r="WZ22">
        <f>WZ21+IF(AND($C21=77,$L21=1),1,0)</f>
        <v/>
      </c>
      <c r="XA22">
        <f>XA21+IF(AND($C21=78,$L21=1),1,0)</f>
        <v/>
      </c>
      <c r="XB22">
        <f>XB21+IF(AND($C21=79,$L21=1),1,0)</f>
        <v/>
      </c>
      <c r="XC22">
        <f>XC21+IF(AND($C21=80,$L21=1),1,0)</f>
        <v/>
      </c>
      <c r="XD22">
        <f>XD21+IF(AND($C21=81,$L21=1),1,0)</f>
        <v/>
      </c>
      <c r="XE22">
        <f>XE21+IF(AND($C21=82,$L21=1),1,0)</f>
        <v/>
      </c>
      <c r="XF22">
        <f>XF21+IF(AND($C21=83,$L21=1),1,0)</f>
        <v/>
      </c>
      <c r="XG22">
        <f>XG21+IF(AND($C21=84,$L21=1),1,0)</f>
        <v/>
      </c>
      <c r="XH22">
        <f>XH21+IF(AND($C21=85,$L21=1),1,0)</f>
        <v/>
      </c>
      <c r="XI22">
        <f>XI21+IF(AND($C21=86,$L21=1),1,0)</f>
        <v/>
      </c>
      <c r="XJ22">
        <f>XJ21+IF(AND($C21=87,$L21=1),1,0)</f>
        <v/>
      </c>
      <c r="XK22">
        <f>XK21+IF(AND($C21=88,$L21=1),1,0)</f>
        <v/>
      </c>
      <c r="XL22">
        <f>XL21+IF(AND($C21=89,$L21=1),1,0)</f>
        <v/>
      </c>
      <c r="XM22">
        <f>XM21+IF(AND($C21=90,$L21=1),1,0)</f>
        <v/>
      </c>
      <c r="XN22">
        <f>XN21+IF(AND($C21=91,$L21=1),1,0)</f>
        <v/>
      </c>
      <c r="XO22">
        <f>XO21+IF(AND($C21=92,$L21=1),1,0)</f>
        <v/>
      </c>
      <c r="XP22">
        <f>XP21+IF(AND($C21=93,$L21=1),1,0)</f>
        <v/>
      </c>
      <c r="XQ22">
        <f>XQ21+IF(AND($C21=94,$L21=1),1,0)</f>
        <v/>
      </c>
      <c r="XR22">
        <f>XR21+IF(AND($C21=95,$L21=1),1,0)</f>
        <v/>
      </c>
      <c r="XS22">
        <f>XS21+IF(AND($C21=96,$L21=1),1,0)</f>
        <v/>
      </c>
      <c r="XT22">
        <f>XT21+IF(AND($C21=97,$L21=1),1,0)</f>
        <v/>
      </c>
      <c r="XU22">
        <f>XU21+IF(AND($C21=98,$L21=1),1,0)</f>
        <v/>
      </c>
      <c r="XV22">
        <f>XV21+IF(AND($C21=99,$L21=1),1,0)</f>
        <v/>
      </c>
      <c r="XW22">
        <f>XW21+IF(AND($C21=100,$L21=1),1,0)</f>
        <v/>
      </c>
      <c r="XX22">
        <f>XX21+IF(AND($C21=101,$L21=1),1,0)</f>
        <v/>
      </c>
      <c r="XY22">
        <f>XY21+IF(AND($C21=102,$L21=1),1,0)</f>
        <v/>
      </c>
      <c r="XZ22">
        <f>XZ21+IF(AND($C21=103,$L21=1),1,0)</f>
        <v/>
      </c>
      <c r="YA22">
        <f>YA21+IF(AND($C21=104,$L21=1),1,0)</f>
        <v/>
      </c>
      <c r="YB22">
        <f>YB21+IF(AND($C21=105,$L21=1),1,0)</f>
        <v/>
      </c>
      <c r="YC22">
        <f>YC21+IF(AND($C21=106,$L21=1),1,0)</f>
        <v/>
      </c>
      <c r="YD22">
        <f>YD21+IF(AND($C21=107,$L21=1),1,0)</f>
        <v/>
      </c>
      <c r="YE22">
        <f>YE21+IF(AND($C21=108,$L21=1),1,0)</f>
        <v/>
      </c>
      <c r="YF22">
        <f>YF21+IF(AND($C21=109,$L21=1),1,0)</f>
        <v/>
      </c>
      <c r="YG22">
        <f>YG21+IF(AND($C21=110,$L21=1),1,0)</f>
        <v/>
      </c>
      <c r="YH22">
        <f>YH21+IF(AND($C21=111,$L21=1),1,0)</f>
        <v/>
      </c>
      <c r="YI22">
        <f>YI21+IF(AND($C21=112,$L21=1),1,0)</f>
        <v/>
      </c>
      <c r="YJ22">
        <f>YJ21+IF(AND($C21=113,$L21=1),1,0)</f>
        <v/>
      </c>
      <c r="YK22">
        <f>YK21+IF(AND($C21=114,$L21=1),1,0)</f>
        <v/>
      </c>
      <c r="YL22">
        <f>YL21+IF(AND($C21=115,$L21=1),1,0)</f>
        <v/>
      </c>
      <c r="YM22">
        <f>YM21+IF(AND($C21=116,$L21=1),1,0)</f>
        <v/>
      </c>
      <c r="YN22">
        <f>YN21+IF(AND($C21=117,$L21=1),1,0)</f>
        <v/>
      </c>
      <c r="YO22">
        <f>YO21+IF(AND($C21=118,$L21=1),1,0)</f>
        <v/>
      </c>
      <c r="YP22">
        <f>YP21+IF(AND($C21=119,$L21=1),1,0)</f>
        <v/>
      </c>
      <c r="YQ22">
        <f>YQ21+IF(AND($C21=120,$L21=1),1,0)</f>
        <v/>
      </c>
      <c r="YR22">
        <f>YR21+IF(AND($C21=121,$L21=1),1,0)</f>
        <v/>
      </c>
      <c r="YS22">
        <f>YS21+IF(AND($C21=122,$L21=1),1,0)</f>
        <v/>
      </c>
      <c r="YT22">
        <f>YT21+IF(AND($C21=123,$L21=1),1,0)</f>
        <v/>
      </c>
      <c r="YU22">
        <f>YU21+IF(AND($C21=124,$L21=1),1,0)</f>
        <v/>
      </c>
      <c r="YV22">
        <f>YV21+IF(AND($C21=125,$L21=1),1,0)</f>
        <v/>
      </c>
      <c r="YW22">
        <f>YW21+IF(AND($C21=126,$L21=1),1,0)</f>
        <v/>
      </c>
      <c r="YX22">
        <f>YX21+IF(AND($C21=127,$L21=1),1,0)</f>
        <v/>
      </c>
      <c r="YY22">
        <f>YY21+IF(AND($C21=128,$L21=1),1,0)</f>
        <v/>
      </c>
      <c r="YZ22">
        <f>YZ21+IF(AND($C21=129,$L21=1),1,0)</f>
        <v/>
      </c>
      <c r="ZA22">
        <f>ZA21+IF(AND($C21=130,$L21=1),1,0)</f>
        <v/>
      </c>
      <c r="ZB22">
        <f>ZB21+IF(AND($C21=131,$L21=1),1,0)</f>
        <v/>
      </c>
      <c r="ZC22">
        <f>ZC21+IF(AND($C21=132,$L21=1),1,0)</f>
        <v/>
      </c>
      <c r="ZD22">
        <f>ZD21+IF(AND($C21=133,$L21=1),1,0)</f>
        <v/>
      </c>
      <c r="ZE22">
        <f>ZE21+IF(AND($C21=134,$L21=1),1,0)</f>
        <v/>
      </c>
      <c r="ZF22">
        <f>ZF21+IF(AND($C21=135,$L21=1),1,0)</f>
        <v/>
      </c>
      <c r="ZG22">
        <f>ZG21+IF(AND($C21=136,$L21=1),1,0)</f>
        <v/>
      </c>
      <c r="ZH22">
        <f>ZH21+IF(AND($C21=137,$L21=1),1,0)</f>
        <v/>
      </c>
      <c r="ZI22">
        <f>ZI21+IF(AND($C21=138,$L21=1),1,0)</f>
        <v/>
      </c>
      <c r="ZJ22">
        <f>ZJ21+IF(AND($C21=139,$L21=1),1,0)</f>
        <v/>
      </c>
      <c r="ZK22">
        <f>ZK21+IF(AND($C21=140,$L21=1),1,0)</f>
        <v/>
      </c>
      <c r="ZL22">
        <f>ZL21+IF(AND($C21=141,$L21=1),1,0)</f>
        <v/>
      </c>
      <c r="ZM22">
        <f>ZM21+IF(AND($C21=142,$L21=1),1,0)</f>
        <v/>
      </c>
      <c r="ZN22">
        <f>ZN21+IF(AND($C21=143,$L21=1),1,0)</f>
        <v/>
      </c>
      <c r="ZO22">
        <f>ZO21+IF(AND($C21=144,$L21=1),1,0)</f>
        <v/>
      </c>
    </row>
    <row r="23">
      <c r="A23" t="n">
        <v>21</v>
      </c>
      <c r="B23">
        <f>IF(MIN(BH23:CZ23)&gt;=1000000,0,MATCH(MIN(BH23:CZ23),BH23:CZ23,0))</f>
        <v/>
      </c>
      <c r="C23">
        <f>IF(MIN(OF23:TS23)&gt;=1000000,0,MATCH(MIN(OF23:TS23),OF23:TS23,0))</f>
        <v/>
      </c>
      <c r="D23">
        <f>IF(C23&gt;0,INDEX('計算A'!$D$5:$EQ$5,C23),0)</f>
        <v/>
      </c>
      <c r="E23">
        <f>IF(B23=0,0,INDEX('計算A'!$IQ$10:$IQ$54,B23))</f>
        <v/>
      </c>
      <c r="F23">
        <f>IF(B23=0,0,INDEX('計算A'!$IP$10:$IP$54,B23))</f>
        <v/>
      </c>
      <c r="G23">
        <f>IF(AND(C23&gt;0,E23&gt;0),IF(AND(INDEX('計算A'!$D$106:$EQ$106,C23)=1,INDEX($IQ23:$OD23,C23)=1),C23+1,0),0)</f>
        <v/>
      </c>
      <c r="H23">
        <f>IF(B23=0,0,INDEX('計算A'!$IW$10:$IW$54,B23))</f>
        <v/>
      </c>
      <c r="I23">
        <f>IF(B23=0,0,MAX(0,INDEX('計算A'!$IT$10:$IT$54,B23)))</f>
        <v/>
      </c>
      <c r="J23">
        <f>IF(I23=0,0,INDEX('計算A'!$D$2:$EQ$2,I23))</f>
        <v/>
      </c>
      <c r="K23">
        <f>IF(I23=0,0,INDEX('計算A'!$D$3:$EQ$3,I23))</f>
        <v/>
      </c>
      <c r="L23">
        <f>IF(B23=0,0,INDEX('計算A'!$IX$10:$IX$54,B23))</f>
        <v/>
      </c>
      <c r="N23">
        <f>MAX(N22,IF($B22=1,1,0))</f>
        <v/>
      </c>
      <c r="O23">
        <f>MAX(O22,IF($B22=2,1,0))</f>
        <v/>
      </c>
      <c r="P23">
        <f>MAX(P22,IF($B22=3,1,0))</f>
        <v/>
      </c>
      <c r="Q23">
        <f>MAX(Q22,IF($B22=4,1,0))</f>
        <v/>
      </c>
      <c r="R23">
        <f>MAX(R22,IF($B22=5,1,0))</f>
        <v/>
      </c>
      <c r="S23">
        <f>MAX(S22,IF($B22=6,1,0))</f>
        <v/>
      </c>
      <c r="T23">
        <f>MAX(T22,IF($B22=7,1,0))</f>
        <v/>
      </c>
      <c r="U23">
        <f>MAX(U22,IF($B22=8,1,0))</f>
        <v/>
      </c>
      <c r="V23">
        <f>MAX(V22,IF($B22=9,1,0))</f>
        <v/>
      </c>
      <c r="W23">
        <f>MAX(W22,IF($B22=10,1,0))</f>
        <v/>
      </c>
      <c r="X23">
        <f>MAX(X22,IF($B22=11,1,0))</f>
        <v/>
      </c>
      <c r="Y23">
        <f>MAX(Y22,IF($B22=12,1,0))</f>
        <v/>
      </c>
      <c r="Z23">
        <f>MAX(Z22,IF($B22=13,1,0))</f>
        <v/>
      </c>
      <c r="AA23">
        <f>MAX(AA22,IF($B22=14,1,0))</f>
        <v/>
      </c>
      <c r="AB23">
        <f>MAX(AB22,IF($B22=15,1,0))</f>
        <v/>
      </c>
      <c r="AC23">
        <f>MAX(AC22,IF($B22=16,1,0))</f>
        <v/>
      </c>
      <c r="AD23">
        <f>MAX(AD22,IF($B22=17,1,0))</f>
        <v/>
      </c>
      <c r="AE23">
        <f>MAX(AE22,IF($B22=18,1,0))</f>
        <v/>
      </c>
      <c r="AF23">
        <f>MAX(AF22,IF($B22=19,1,0))</f>
        <v/>
      </c>
      <c r="AG23">
        <f>MAX(AG22,IF($B22=20,1,0))</f>
        <v/>
      </c>
      <c r="AH23">
        <f>MAX(AH22,IF($B22=21,1,0))</f>
        <v/>
      </c>
      <c r="AI23">
        <f>MAX(AI22,IF($B22=22,1,0))</f>
        <v/>
      </c>
      <c r="AJ23">
        <f>MAX(AJ22,IF($B22=23,1,0))</f>
        <v/>
      </c>
      <c r="AK23">
        <f>MAX(AK22,IF($B22=24,1,0))</f>
        <v/>
      </c>
      <c r="AL23">
        <f>MAX(AL22,IF($B22=25,1,0))</f>
        <v/>
      </c>
      <c r="AM23">
        <f>MAX(AM22,IF($B22=26,1,0))</f>
        <v/>
      </c>
      <c r="AN23">
        <f>MAX(AN22,IF($B22=27,1,0))</f>
        <v/>
      </c>
      <c r="AO23">
        <f>MAX(AO22,IF($B22=28,1,0))</f>
        <v/>
      </c>
      <c r="AP23">
        <f>MAX(AP22,IF($B22=29,1,0))</f>
        <v/>
      </c>
      <c r="AQ23">
        <f>MAX(AQ22,IF($B22=30,1,0))</f>
        <v/>
      </c>
      <c r="AR23">
        <f>MAX(AR22,IF($B22=31,1,0))</f>
        <v/>
      </c>
      <c r="AS23">
        <f>MAX(AS22,IF($B22=32,1,0))</f>
        <v/>
      </c>
      <c r="AT23">
        <f>MAX(AT22,IF($B22=33,1,0))</f>
        <v/>
      </c>
      <c r="AU23">
        <f>MAX(AU22,IF($B22=34,1,0))</f>
        <v/>
      </c>
      <c r="AV23">
        <f>MAX(AV22,IF($B22=35,1,0))</f>
        <v/>
      </c>
      <c r="AW23">
        <f>MAX(AW22,IF($B22=36,1,0))</f>
        <v/>
      </c>
      <c r="AX23">
        <f>MAX(AX22,IF($B22=37,1,0))</f>
        <v/>
      </c>
      <c r="AY23">
        <f>MAX(AY22,IF($B22=38,1,0))</f>
        <v/>
      </c>
      <c r="AZ23">
        <f>MAX(AZ22,IF($B22=39,1,0))</f>
        <v/>
      </c>
      <c r="BA23">
        <f>MAX(BA22,IF($B22=40,1,0))</f>
        <v/>
      </c>
      <c r="BB23">
        <f>MAX(BB22,IF($B22=41,1,0))</f>
        <v/>
      </c>
      <c r="BC23">
        <f>MAX(BC22,IF($B22=42,1,0))</f>
        <v/>
      </c>
      <c r="BD23">
        <f>MAX(BD22,IF($B22=43,1,0))</f>
        <v/>
      </c>
      <c r="BE23">
        <f>MAX(BE22,IF($B22=44,1,0))</f>
        <v/>
      </c>
      <c r="BF23">
        <f>MAX(BF22,IF($B22=45,1,0))</f>
        <v/>
      </c>
      <c r="BH23">
        <f>IF(N23=1,1000000,IF('計算A'!$IT$10&gt;0,0,500000)+IF('計算A'!$IQ$10=2,SUMPRODUCT('計算A'!$D$60:$EQ$60,$DB23:$IO23,$IQ23:$OD23),SUMPRODUCT('計算A'!$D$60:$EQ$60,$DB23:$IO23))*1000+1)</f>
        <v/>
      </c>
      <c r="BI23">
        <f>IF(O23=1,1000000,IF('計算A'!$IT$11&gt;0,0,500000)+IF('計算A'!$IQ$11=2,SUMPRODUCT('計算A'!$D$61:$EQ$61,$DB23:$IO23,$IQ23:$OD23),SUMPRODUCT('計算A'!$D$61:$EQ$61,$DB23:$IO23))*1000+2)</f>
        <v/>
      </c>
      <c r="BJ23">
        <f>IF(P23=1,1000000,IF('計算A'!$IT$12&gt;0,0,500000)+IF('計算A'!$IQ$12=2,SUMPRODUCT('計算A'!$D$62:$EQ$62,$DB23:$IO23,$IQ23:$OD23),SUMPRODUCT('計算A'!$D$62:$EQ$62,$DB23:$IO23))*1000+3)</f>
        <v/>
      </c>
      <c r="BK23">
        <f>IF(Q23=1,1000000,IF('計算A'!$IT$13&gt;0,0,500000)+IF('計算A'!$IQ$13=2,SUMPRODUCT('計算A'!$D$63:$EQ$63,$DB23:$IO23,$IQ23:$OD23),SUMPRODUCT('計算A'!$D$63:$EQ$63,$DB23:$IO23))*1000+4)</f>
        <v/>
      </c>
      <c r="BL23">
        <f>IF(R23=1,1000000,IF('計算A'!$IT$14&gt;0,0,500000)+IF('計算A'!$IQ$14=2,SUMPRODUCT('計算A'!$D$64:$EQ$64,$DB23:$IO23,$IQ23:$OD23),SUMPRODUCT('計算A'!$D$64:$EQ$64,$DB23:$IO23))*1000+5)</f>
        <v/>
      </c>
      <c r="BM23">
        <f>IF(S23=1,1000000,IF('計算A'!$IT$15&gt;0,0,500000)+IF('計算A'!$IQ$15=2,SUMPRODUCT('計算A'!$D$65:$EQ$65,$DB23:$IO23,$IQ23:$OD23),SUMPRODUCT('計算A'!$D$65:$EQ$65,$DB23:$IO23))*1000+6)</f>
        <v/>
      </c>
      <c r="BN23">
        <f>IF(T23=1,1000000,IF('計算A'!$IT$16&gt;0,0,500000)+IF('計算A'!$IQ$16=2,SUMPRODUCT('計算A'!$D$66:$EQ$66,$DB23:$IO23,$IQ23:$OD23),SUMPRODUCT('計算A'!$D$66:$EQ$66,$DB23:$IO23))*1000+7)</f>
        <v/>
      </c>
      <c r="BO23">
        <f>IF(U23=1,1000000,IF('計算A'!$IT$17&gt;0,0,500000)+IF('計算A'!$IQ$17=2,SUMPRODUCT('計算A'!$D$67:$EQ$67,$DB23:$IO23,$IQ23:$OD23),SUMPRODUCT('計算A'!$D$67:$EQ$67,$DB23:$IO23))*1000+8)</f>
        <v/>
      </c>
      <c r="BP23">
        <f>IF(V23=1,1000000,IF('計算A'!$IT$18&gt;0,0,500000)+IF('計算A'!$IQ$18=2,SUMPRODUCT('計算A'!$D$68:$EQ$68,$DB23:$IO23,$IQ23:$OD23),SUMPRODUCT('計算A'!$D$68:$EQ$68,$DB23:$IO23))*1000+9)</f>
        <v/>
      </c>
      <c r="BQ23">
        <f>IF(W23=1,1000000,IF('計算A'!$IT$19&gt;0,0,500000)+IF('計算A'!$IQ$19=2,SUMPRODUCT('計算A'!$D$69:$EQ$69,$DB23:$IO23,$IQ23:$OD23),SUMPRODUCT('計算A'!$D$69:$EQ$69,$DB23:$IO23))*1000+10)</f>
        <v/>
      </c>
      <c r="BR23">
        <f>IF(X23=1,1000000,IF('計算A'!$IT$20&gt;0,0,500000)+IF('計算A'!$IQ$20=2,SUMPRODUCT('計算A'!$D$70:$EQ$70,$DB23:$IO23,$IQ23:$OD23),SUMPRODUCT('計算A'!$D$70:$EQ$70,$DB23:$IO23))*1000+11)</f>
        <v/>
      </c>
      <c r="BS23">
        <f>IF(Y23=1,1000000,IF('計算A'!$IT$21&gt;0,0,500000)+IF('計算A'!$IQ$21=2,SUMPRODUCT('計算A'!$D$71:$EQ$71,$DB23:$IO23,$IQ23:$OD23),SUMPRODUCT('計算A'!$D$71:$EQ$71,$DB23:$IO23))*1000+12)</f>
        <v/>
      </c>
      <c r="BT23">
        <f>IF(Z23=1,1000000,IF('計算A'!$IT$22&gt;0,0,500000)+IF('計算A'!$IQ$22=2,SUMPRODUCT('計算A'!$D$72:$EQ$72,$DB23:$IO23,$IQ23:$OD23),SUMPRODUCT('計算A'!$D$72:$EQ$72,$DB23:$IO23))*1000+13)</f>
        <v/>
      </c>
      <c r="BU23">
        <f>IF(AA23=1,1000000,IF('計算A'!$IT$23&gt;0,0,500000)+IF('計算A'!$IQ$23=2,SUMPRODUCT('計算A'!$D$73:$EQ$73,$DB23:$IO23,$IQ23:$OD23),SUMPRODUCT('計算A'!$D$73:$EQ$73,$DB23:$IO23))*1000+14)</f>
        <v/>
      </c>
      <c r="BV23">
        <f>IF(AB23=1,1000000,IF('計算A'!$IT$24&gt;0,0,500000)+IF('計算A'!$IQ$24=2,SUMPRODUCT('計算A'!$D$74:$EQ$74,$DB23:$IO23,$IQ23:$OD23),SUMPRODUCT('計算A'!$D$74:$EQ$74,$DB23:$IO23))*1000+15)</f>
        <v/>
      </c>
      <c r="BW23">
        <f>IF(AC23=1,1000000,IF('計算A'!$IT$25&gt;0,0,500000)+IF('計算A'!$IQ$25=2,SUMPRODUCT('計算A'!$D$75:$EQ$75,$DB23:$IO23,$IQ23:$OD23),SUMPRODUCT('計算A'!$D$75:$EQ$75,$DB23:$IO23))*1000+16)</f>
        <v/>
      </c>
      <c r="BX23">
        <f>IF(AD23=1,1000000,IF('計算A'!$IT$26&gt;0,0,500000)+IF('計算A'!$IQ$26=2,SUMPRODUCT('計算A'!$D$76:$EQ$76,$DB23:$IO23,$IQ23:$OD23),SUMPRODUCT('計算A'!$D$76:$EQ$76,$DB23:$IO23))*1000+17)</f>
        <v/>
      </c>
      <c r="BY23">
        <f>IF(AE23=1,1000000,IF('計算A'!$IT$27&gt;0,0,500000)+IF('計算A'!$IQ$27=2,SUMPRODUCT('計算A'!$D$77:$EQ$77,$DB23:$IO23,$IQ23:$OD23),SUMPRODUCT('計算A'!$D$77:$EQ$77,$DB23:$IO23))*1000+18)</f>
        <v/>
      </c>
      <c r="BZ23">
        <f>IF(AF23=1,1000000,IF('計算A'!$IT$28&gt;0,0,500000)+IF('計算A'!$IQ$28=2,SUMPRODUCT('計算A'!$D$78:$EQ$78,$DB23:$IO23,$IQ23:$OD23),SUMPRODUCT('計算A'!$D$78:$EQ$78,$DB23:$IO23))*1000+19)</f>
        <v/>
      </c>
      <c r="CA23">
        <f>IF(AG23=1,1000000,IF('計算A'!$IT$29&gt;0,0,500000)+IF('計算A'!$IQ$29=2,SUMPRODUCT('計算A'!$D$79:$EQ$79,$DB23:$IO23,$IQ23:$OD23),SUMPRODUCT('計算A'!$D$79:$EQ$79,$DB23:$IO23))*1000+20)</f>
        <v/>
      </c>
      <c r="CB23">
        <f>IF(AH23=1,1000000,IF('計算A'!$IT$30&gt;0,0,500000)+IF('計算A'!$IQ$30=2,SUMPRODUCT('計算A'!$D$80:$EQ$80,$DB23:$IO23,$IQ23:$OD23),SUMPRODUCT('計算A'!$D$80:$EQ$80,$DB23:$IO23))*1000+21)</f>
        <v/>
      </c>
      <c r="CC23">
        <f>IF(AI23=1,1000000,IF('計算A'!$IT$31&gt;0,0,500000)+IF('計算A'!$IQ$31=2,SUMPRODUCT('計算A'!$D$81:$EQ$81,$DB23:$IO23,$IQ23:$OD23),SUMPRODUCT('計算A'!$D$81:$EQ$81,$DB23:$IO23))*1000+22)</f>
        <v/>
      </c>
      <c r="CD23">
        <f>IF(AJ23=1,1000000,IF('計算A'!$IT$32&gt;0,0,500000)+IF('計算A'!$IQ$32=2,SUMPRODUCT('計算A'!$D$82:$EQ$82,$DB23:$IO23,$IQ23:$OD23),SUMPRODUCT('計算A'!$D$82:$EQ$82,$DB23:$IO23))*1000+23)</f>
        <v/>
      </c>
      <c r="CE23">
        <f>IF(AK23=1,1000000,IF('計算A'!$IT$33&gt;0,0,500000)+IF('計算A'!$IQ$33=2,SUMPRODUCT('計算A'!$D$83:$EQ$83,$DB23:$IO23,$IQ23:$OD23),SUMPRODUCT('計算A'!$D$83:$EQ$83,$DB23:$IO23))*1000+24)</f>
        <v/>
      </c>
      <c r="CF23">
        <f>IF(AL23=1,1000000,IF('計算A'!$IT$34&gt;0,0,500000)+IF('計算A'!$IQ$34=2,SUMPRODUCT('計算A'!$D$84:$EQ$84,$DB23:$IO23,$IQ23:$OD23),SUMPRODUCT('計算A'!$D$84:$EQ$84,$DB23:$IO23))*1000+25)</f>
        <v/>
      </c>
      <c r="CG23">
        <f>IF(AM23=1,1000000,IF('計算A'!$IT$35&gt;0,0,500000)+IF('計算A'!$IQ$35=2,SUMPRODUCT('計算A'!$D$85:$EQ$85,$DB23:$IO23,$IQ23:$OD23),SUMPRODUCT('計算A'!$D$85:$EQ$85,$DB23:$IO23))*1000+26)</f>
        <v/>
      </c>
      <c r="CH23">
        <f>IF(AN23=1,1000000,IF('計算A'!$IT$36&gt;0,0,500000)+IF('計算A'!$IQ$36=2,SUMPRODUCT('計算A'!$D$86:$EQ$86,$DB23:$IO23,$IQ23:$OD23),SUMPRODUCT('計算A'!$D$86:$EQ$86,$DB23:$IO23))*1000+27)</f>
        <v/>
      </c>
      <c r="CI23">
        <f>IF(AO23=1,1000000,IF('計算A'!$IT$37&gt;0,0,500000)+IF('計算A'!$IQ$37=2,SUMPRODUCT('計算A'!$D$87:$EQ$87,$DB23:$IO23,$IQ23:$OD23),SUMPRODUCT('計算A'!$D$87:$EQ$87,$DB23:$IO23))*1000+28)</f>
        <v/>
      </c>
      <c r="CJ23">
        <f>IF(AP23=1,1000000,IF('計算A'!$IT$38&gt;0,0,500000)+IF('計算A'!$IQ$38=2,SUMPRODUCT('計算A'!$D$88:$EQ$88,$DB23:$IO23,$IQ23:$OD23),SUMPRODUCT('計算A'!$D$88:$EQ$88,$DB23:$IO23))*1000+29)</f>
        <v/>
      </c>
      <c r="CK23">
        <f>IF(AQ23=1,1000000,IF('計算A'!$IT$39&gt;0,0,500000)+IF('計算A'!$IQ$39=2,SUMPRODUCT('計算A'!$D$89:$EQ$89,$DB23:$IO23,$IQ23:$OD23),SUMPRODUCT('計算A'!$D$89:$EQ$89,$DB23:$IO23))*1000+30)</f>
        <v/>
      </c>
      <c r="CL23">
        <f>IF(AR23=1,1000000,IF('計算A'!$IT$40&gt;0,0,500000)+IF('計算A'!$IQ$40=2,SUMPRODUCT('計算A'!$D$90:$EQ$90,$DB23:$IO23,$IQ23:$OD23),SUMPRODUCT('計算A'!$D$90:$EQ$90,$DB23:$IO23))*1000+31)</f>
        <v/>
      </c>
      <c r="CM23">
        <f>IF(AS23=1,1000000,IF('計算A'!$IT$41&gt;0,0,500000)+IF('計算A'!$IQ$41=2,SUMPRODUCT('計算A'!$D$91:$EQ$91,$DB23:$IO23,$IQ23:$OD23),SUMPRODUCT('計算A'!$D$91:$EQ$91,$DB23:$IO23))*1000+32)</f>
        <v/>
      </c>
      <c r="CN23">
        <f>IF(AT23=1,1000000,IF('計算A'!$IT$42&gt;0,0,500000)+IF('計算A'!$IQ$42=2,SUMPRODUCT('計算A'!$D$92:$EQ$92,$DB23:$IO23,$IQ23:$OD23),SUMPRODUCT('計算A'!$D$92:$EQ$92,$DB23:$IO23))*1000+33)</f>
        <v/>
      </c>
      <c r="CO23">
        <f>IF(AU23=1,1000000,IF('計算A'!$IT$43&gt;0,0,500000)+IF('計算A'!$IQ$43=2,SUMPRODUCT('計算A'!$D$93:$EQ$93,$DB23:$IO23,$IQ23:$OD23),SUMPRODUCT('計算A'!$D$93:$EQ$93,$DB23:$IO23))*1000+34)</f>
        <v/>
      </c>
      <c r="CP23">
        <f>IF(AV23=1,1000000,IF('計算A'!$IT$44&gt;0,0,500000)+IF('計算A'!$IQ$44=2,SUMPRODUCT('計算A'!$D$94:$EQ$94,$DB23:$IO23,$IQ23:$OD23),SUMPRODUCT('計算A'!$D$94:$EQ$94,$DB23:$IO23))*1000+35)</f>
        <v/>
      </c>
      <c r="CQ23">
        <f>IF(AW23=1,1000000,IF('計算A'!$IT$45&gt;0,0,500000)+IF('計算A'!$IQ$45=2,SUMPRODUCT('計算A'!$D$95:$EQ$95,$DB23:$IO23,$IQ23:$OD23),SUMPRODUCT('計算A'!$D$95:$EQ$95,$DB23:$IO23))*1000+36)</f>
        <v/>
      </c>
      <c r="CR23">
        <f>IF(AX23=1,1000000,IF('計算A'!$IT$46&gt;0,0,500000)+IF('計算A'!$IQ$46=2,SUMPRODUCT('計算A'!$D$96:$EQ$96,$DB23:$IO23,$IQ23:$OD23),SUMPRODUCT('計算A'!$D$96:$EQ$96,$DB23:$IO23))*1000+37)</f>
        <v/>
      </c>
      <c r="CS23">
        <f>IF(AY23=1,1000000,IF('計算A'!$IT$47&gt;0,0,500000)+IF('計算A'!$IQ$47=2,SUMPRODUCT('計算A'!$D$97:$EQ$97,$DB23:$IO23,$IQ23:$OD23),SUMPRODUCT('計算A'!$D$97:$EQ$97,$DB23:$IO23))*1000+38)</f>
        <v/>
      </c>
      <c r="CT23">
        <f>IF(AZ23=1,1000000,IF('計算A'!$IT$48&gt;0,0,500000)+IF('計算A'!$IQ$48=2,SUMPRODUCT('計算A'!$D$98:$EQ$98,$DB23:$IO23,$IQ23:$OD23),SUMPRODUCT('計算A'!$D$98:$EQ$98,$DB23:$IO23))*1000+39)</f>
        <v/>
      </c>
      <c r="CU23">
        <f>IF(BA23=1,1000000,IF('計算A'!$IT$49&gt;0,0,500000)+IF('計算A'!$IQ$49=2,SUMPRODUCT('計算A'!$D$99:$EQ$99,$DB23:$IO23,$IQ23:$OD23),SUMPRODUCT('計算A'!$D$99:$EQ$99,$DB23:$IO23))*1000+40)</f>
        <v/>
      </c>
      <c r="CV23">
        <f>IF(BB23=1,1000000,IF('計算A'!$IT$50&gt;0,0,500000)+IF('計算A'!$IQ$50=2,SUMPRODUCT('計算A'!$D$100:$EQ$100,$DB23:$IO23,$IQ23:$OD23),SUMPRODUCT('計算A'!$D$100:$EQ$100,$DB23:$IO23))*1000+41)</f>
        <v/>
      </c>
      <c r="CW23">
        <f>IF(BC23=1,1000000,IF('計算A'!$IT$51&gt;0,0,500000)+IF('計算A'!$IQ$51=2,SUMPRODUCT('計算A'!$D$101:$EQ$101,$DB23:$IO23,$IQ23:$OD23),SUMPRODUCT('計算A'!$D$101:$EQ$101,$DB23:$IO23))*1000+42)</f>
        <v/>
      </c>
      <c r="CX23">
        <f>IF(BD23=1,1000000,IF('計算A'!$IT$52&gt;0,0,500000)+IF('計算A'!$IQ$52=2,SUMPRODUCT('計算A'!$D$102:$EQ$102,$DB23:$IO23,$IQ23:$OD23),SUMPRODUCT('計算A'!$D$102:$EQ$102,$DB23:$IO23))*1000+43)</f>
        <v/>
      </c>
      <c r="CY23">
        <f>IF(BE23=1,1000000,IF('計算A'!$IT$53&gt;0,0,500000)+IF('計算A'!$IQ$53=2,SUMPRODUCT('計算A'!$D$103:$EQ$103,$DB23:$IO23,$IQ23:$OD23),SUMPRODUCT('計算A'!$D$103:$EQ$103,$DB23:$IO23))*1000+44)</f>
        <v/>
      </c>
      <c r="CZ23">
        <f>IF(BF23=1,1000000,IF('計算A'!$IT$54&gt;0,0,500000)+IF('計算A'!$IQ$54=2,SUMPRODUCT('計算A'!$D$104:$EQ$104,$DB23:$IO23,$IQ23:$OD23),SUMPRODUCT('計算A'!$D$104:$EQ$104,$DB23:$IO23))*1000+45)</f>
        <v/>
      </c>
      <c r="DB23">
        <f>DB22*IF(OR($C22=1,$G22=1),0,1)</f>
        <v/>
      </c>
      <c r="DC23">
        <f>DC22*IF(OR($C22=2,$G22=2),0,1)</f>
        <v/>
      </c>
      <c r="DD23">
        <f>DD22*IF(OR($C22=3,$G22=3),0,1)</f>
        <v/>
      </c>
      <c r="DE23">
        <f>DE22*IF(OR($C22=4,$G22=4),0,1)</f>
        <v/>
      </c>
      <c r="DF23">
        <f>DF22*IF(OR($C22=5,$G22=5),0,1)</f>
        <v/>
      </c>
      <c r="DG23">
        <f>DG22*IF(OR($C22=6,$G22=6),0,1)</f>
        <v/>
      </c>
      <c r="DH23">
        <f>DH22*IF(OR($C22=7,$G22=7),0,1)</f>
        <v/>
      </c>
      <c r="DI23">
        <f>DI22*IF(OR($C22=8,$G22=8),0,1)</f>
        <v/>
      </c>
      <c r="DJ23">
        <f>DJ22*IF(OR($C22=9,$G22=9),0,1)</f>
        <v/>
      </c>
      <c r="DK23">
        <f>DK22*IF(OR($C22=10,$G22=10),0,1)</f>
        <v/>
      </c>
      <c r="DL23">
        <f>DL22*IF(OR($C22=11,$G22=11),0,1)</f>
        <v/>
      </c>
      <c r="DM23">
        <f>DM22*IF(OR($C22=12,$G22=12),0,1)</f>
        <v/>
      </c>
      <c r="DN23">
        <f>DN22*IF(OR($C22=13,$G22=13),0,1)</f>
        <v/>
      </c>
      <c r="DO23">
        <f>DO22*IF(OR($C22=14,$G22=14),0,1)</f>
        <v/>
      </c>
      <c r="DP23">
        <f>DP22*IF(OR($C22=15,$G22=15),0,1)</f>
        <v/>
      </c>
      <c r="DQ23">
        <f>DQ22*IF(OR($C22=16,$G22=16),0,1)</f>
        <v/>
      </c>
      <c r="DR23">
        <f>DR22*IF(OR($C22=17,$G22=17),0,1)</f>
        <v/>
      </c>
      <c r="DS23">
        <f>DS22*IF(OR($C22=18,$G22=18),0,1)</f>
        <v/>
      </c>
      <c r="DT23">
        <f>DT22*IF(OR($C22=19,$G22=19),0,1)</f>
        <v/>
      </c>
      <c r="DU23">
        <f>DU22*IF(OR($C22=20,$G22=20),0,1)</f>
        <v/>
      </c>
      <c r="DV23">
        <f>DV22*IF(OR($C22=21,$G22=21),0,1)</f>
        <v/>
      </c>
      <c r="DW23">
        <f>DW22*IF(OR($C22=22,$G22=22),0,1)</f>
        <v/>
      </c>
      <c r="DX23">
        <f>DX22*IF(OR($C22=23,$G22=23),0,1)</f>
        <v/>
      </c>
      <c r="DY23">
        <f>DY22*IF(OR($C22=24,$G22=24),0,1)</f>
        <v/>
      </c>
      <c r="DZ23">
        <f>DZ22*IF(OR($C22=25,$G22=25),0,1)</f>
        <v/>
      </c>
      <c r="EA23">
        <f>EA22*IF(OR($C22=26,$G22=26),0,1)</f>
        <v/>
      </c>
      <c r="EB23">
        <f>EB22*IF(OR($C22=27,$G22=27),0,1)</f>
        <v/>
      </c>
      <c r="EC23">
        <f>EC22*IF(OR($C22=28,$G22=28),0,1)</f>
        <v/>
      </c>
      <c r="ED23">
        <f>ED22*IF(OR($C22=29,$G22=29),0,1)</f>
        <v/>
      </c>
      <c r="EE23">
        <f>EE22*IF(OR($C22=30,$G22=30),0,1)</f>
        <v/>
      </c>
      <c r="EF23">
        <f>EF22*IF(OR($C22=31,$G22=31),0,1)</f>
        <v/>
      </c>
      <c r="EG23">
        <f>EG22*IF(OR($C22=32,$G22=32),0,1)</f>
        <v/>
      </c>
      <c r="EH23">
        <f>EH22*IF(OR($C22=33,$G22=33),0,1)</f>
        <v/>
      </c>
      <c r="EI23">
        <f>EI22*IF(OR($C22=34,$G22=34),0,1)</f>
        <v/>
      </c>
      <c r="EJ23">
        <f>EJ22*IF(OR($C22=35,$G22=35),0,1)</f>
        <v/>
      </c>
      <c r="EK23">
        <f>EK22*IF(OR($C22=36,$G22=36),0,1)</f>
        <v/>
      </c>
      <c r="EL23">
        <f>EL22*IF(OR($C22=37,$G22=37),0,1)</f>
        <v/>
      </c>
      <c r="EM23">
        <f>EM22*IF(OR($C22=38,$G22=38),0,1)</f>
        <v/>
      </c>
      <c r="EN23">
        <f>EN22*IF(OR($C22=39,$G22=39),0,1)</f>
        <v/>
      </c>
      <c r="EO23">
        <f>EO22*IF(OR($C22=40,$G22=40),0,1)</f>
        <v/>
      </c>
      <c r="EP23">
        <f>EP22*IF(OR($C22=41,$G22=41),0,1)</f>
        <v/>
      </c>
      <c r="EQ23">
        <f>EQ22*IF(OR($C22=42,$G22=42),0,1)</f>
        <v/>
      </c>
      <c r="ER23">
        <f>ER22*IF(OR($C22=43,$G22=43),0,1)</f>
        <v/>
      </c>
      <c r="ES23">
        <f>ES22*IF(OR($C22=44,$G22=44),0,1)</f>
        <v/>
      </c>
      <c r="ET23">
        <f>ET22*IF(OR($C22=45,$G22=45),0,1)</f>
        <v/>
      </c>
      <c r="EU23">
        <f>EU22*IF(OR($C22=46,$G22=46),0,1)</f>
        <v/>
      </c>
      <c r="EV23">
        <f>EV22*IF(OR($C22=47,$G22=47),0,1)</f>
        <v/>
      </c>
      <c r="EW23">
        <f>EW22*IF(OR($C22=48,$G22=48),0,1)</f>
        <v/>
      </c>
      <c r="EX23">
        <f>EX22*IF(OR($C22=49,$G22=49),0,1)</f>
        <v/>
      </c>
      <c r="EY23">
        <f>EY22*IF(OR($C22=50,$G22=50),0,1)</f>
        <v/>
      </c>
      <c r="EZ23">
        <f>EZ22*IF(OR($C22=51,$G22=51),0,1)</f>
        <v/>
      </c>
      <c r="FA23">
        <f>FA22*IF(OR($C22=52,$G22=52),0,1)</f>
        <v/>
      </c>
      <c r="FB23">
        <f>FB22*IF(OR($C22=53,$G22=53),0,1)</f>
        <v/>
      </c>
      <c r="FC23">
        <f>FC22*IF(OR($C22=54,$G22=54),0,1)</f>
        <v/>
      </c>
      <c r="FD23">
        <f>FD22*IF(OR($C22=55,$G22=55),0,1)</f>
        <v/>
      </c>
      <c r="FE23">
        <f>FE22*IF(OR($C22=56,$G22=56),0,1)</f>
        <v/>
      </c>
      <c r="FF23">
        <f>FF22*IF(OR($C22=57,$G22=57),0,1)</f>
        <v/>
      </c>
      <c r="FG23">
        <f>FG22*IF(OR($C22=58,$G22=58),0,1)</f>
        <v/>
      </c>
      <c r="FH23">
        <f>FH22*IF(OR($C22=59,$G22=59),0,1)</f>
        <v/>
      </c>
      <c r="FI23">
        <f>FI22*IF(OR($C22=60,$G22=60),0,1)</f>
        <v/>
      </c>
      <c r="FJ23">
        <f>FJ22*IF(OR($C22=61,$G22=61),0,1)</f>
        <v/>
      </c>
      <c r="FK23">
        <f>FK22*IF(OR($C22=62,$G22=62),0,1)</f>
        <v/>
      </c>
      <c r="FL23">
        <f>FL22*IF(OR($C22=63,$G22=63),0,1)</f>
        <v/>
      </c>
      <c r="FM23">
        <f>FM22*IF(OR($C22=64,$G22=64),0,1)</f>
        <v/>
      </c>
      <c r="FN23">
        <f>FN22*IF(OR($C22=65,$G22=65),0,1)</f>
        <v/>
      </c>
      <c r="FO23">
        <f>FO22*IF(OR($C22=66,$G22=66),0,1)</f>
        <v/>
      </c>
      <c r="FP23">
        <f>FP22*IF(OR($C22=67,$G22=67),0,1)</f>
        <v/>
      </c>
      <c r="FQ23">
        <f>FQ22*IF(OR($C22=68,$G22=68),0,1)</f>
        <v/>
      </c>
      <c r="FR23">
        <f>FR22*IF(OR($C22=69,$G22=69),0,1)</f>
        <v/>
      </c>
      <c r="FS23">
        <f>FS22*IF(OR($C22=70,$G22=70),0,1)</f>
        <v/>
      </c>
      <c r="FT23">
        <f>FT22*IF(OR($C22=71,$G22=71),0,1)</f>
        <v/>
      </c>
      <c r="FU23">
        <f>FU22*IF(OR($C22=72,$G22=72),0,1)</f>
        <v/>
      </c>
      <c r="FV23">
        <f>FV22*IF(OR($C22=73,$G22=73),0,1)</f>
        <v/>
      </c>
      <c r="FW23">
        <f>FW22*IF(OR($C22=74,$G22=74),0,1)</f>
        <v/>
      </c>
      <c r="FX23">
        <f>FX22*IF(OR($C22=75,$G22=75),0,1)</f>
        <v/>
      </c>
      <c r="FY23">
        <f>FY22*IF(OR($C22=76,$G22=76),0,1)</f>
        <v/>
      </c>
      <c r="FZ23">
        <f>FZ22*IF(OR($C22=77,$G22=77),0,1)</f>
        <v/>
      </c>
      <c r="GA23">
        <f>GA22*IF(OR($C22=78,$G22=78),0,1)</f>
        <v/>
      </c>
      <c r="GB23">
        <f>GB22*IF(OR($C22=79,$G22=79),0,1)</f>
        <v/>
      </c>
      <c r="GC23">
        <f>GC22*IF(OR($C22=80,$G22=80),0,1)</f>
        <v/>
      </c>
      <c r="GD23">
        <f>GD22*IF(OR($C22=81,$G22=81),0,1)</f>
        <v/>
      </c>
      <c r="GE23">
        <f>GE22*IF(OR($C22=82,$G22=82),0,1)</f>
        <v/>
      </c>
      <c r="GF23">
        <f>GF22*IF(OR($C22=83,$G22=83),0,1)</f>
        <v/>
      </c>
      <c r="GG23">
        <f>GG22*IF(OR($C22=84,$G22=84),0,1)</f>
        <v/>
      </c>
      <c r="GH23">
        <f>GH22*IF(OR($C22=85,$G22=85),0,1)</f>
        <v/>
      </c>
      <c r="GI23">
        <f>GI22*IF(OR($C22=86,$G22=86),0,1)</f>
        <v/>
      </c>
      <c r="GJ23">
        <f>GJ22*IF(OR($C22=87,$G22=87),0,1)</f>
        <v/>
      </c>
      <c r="GK23">
        <f>GK22*IF(OR($C22=88,$G22=88),0,1)</f>
        <v/>
      </c>
      <c r="GL23">
        <f>GL22*IF(OR($C22=89,$G22=89),0,1)</f>
        <v/>
      </c>
      <c r="GM23">
        <f>GM22*IF(OR($C22=90,$G22=90),0,1)</f>
        <v/>
      </c>
      <c r="GN23">
        <f>GN22*IF(OR($C22=91,$G22=91),0,1)</f>
        <v/>
      </c>
      <c r="GO23">
        <f>GO22*IF(OR($C22=92,$G22=92),0,1)</f>
        <v/>
      </c>
      <c r="GP23">
        <f>GP22*IF(OR($C22=93,$G22=93),0,1)</f>
        <v/>
      </c>
      <c r="GQ23">
        <f>GQ22*IF(OR($C22=94,$G22=94),0,1)</f>
        <v/>
      </c>
      <c r="GR23">
        <f>GR22*IF(OR($C22=95,$G22=95),0,1)</f>
        <v/>
      </c>
      <c r="GS23">
        <f>GS22*IF(OR($C22=96,$G22=96),0,1)</f>
        <v/>
      </c>
      <c r="GT23">
        <f>GT22*IF(OR($C22=97,$G22=97),0,1)</f>
        <v/>
      </c>
      <c r="GU23">
        <f>GU22*IF(OR($C22=98,$G22=98),0,1)</f>
        <v/>
      </c>
      <c r="GV23">
        <f>GV22*IF(OR($C22=99,$G22=99),0,1)</f>
        <v/>
      </c>
      <c r="GW23">
        <f>GW22*IF(OR($C22=100,$G22=100),0,1)</f>
        <v/>
      </c>
      <c r="GX23">
        <f>GX22*IF(OR($C22=101,$G22=101),0,1)</f>
        <v/>
      </c>
      <c r="GY23">
        <f>GY22*IF(OR($C22=102,$G22=102),0,1)</f>
        <v/>
      </c>
      <c r="GZ23">
        <f>GZ22*IF(OR($C22=103,$G22=103),0,1)</f>
        <v/>
      </c>
      <c r="HA23">
        <f>HA22*IF(OR($C22=104,$G22=104),0,1)</f>
        <v/>
      </c>
      <c r="HB23">
        <f>HB22*IF(OR($C22=105,$G22=105),0,1)</f>
        <v/>
      </c>
      <c r="HC23">
        <f>HC22*IF(OR($C22=106,$G22=106),0,1)</f>
        <v/>
      </c>
      <c r="HD23">
        <f>HD22*IF(OR($C22=107,$G22=107),0,1)</f>
        <v/>
      </c>
      <c r="HE23">
        <f>HE22*IF(OR($C22=108,$G22=108),0,1)</f>
        <v/>
      </c>
      <c r="HF23">
        <f>HF22*IF(OR($C22=109,$G22=109),0,1)</f>
        <v/>
      </c>
      <c r="HG23">
        <f>HG22*IF(OR($C22=110,$G22=110),0,1)</f>
        <v/>
      </c>
      <c r="HH23">
        <f>HH22*IF(OR($C22=111,$G22=111),0,1)</f>
        <v/>
      </c>
      <c r="HI23">
        <f>HI22*IF(OR($C22=112,$G22=112),0,1)</f>
        <v/>
      </c>
      <c r="HJ23">
        <f>HJ22*IF(OR($C22=113,$G22=113),0,1)</f>
        <v/>
      </c>
      <c r="HK23">
        <f>HK22*IF(OR($C22=114,$G22=114),0,1)</f>
        <v/>
      </c>
      <c r="HL23">
        <f>HL22*IF(OR($C22=115,$G22=115),0,1)</f>
        <v/>
      </c>
      <c r="HM23">
        <f>HM22*IF(OR($C22=116,$G22=116),0,1)</f>
        <v/>
      </c>
      <c r="HN23">
        <f>HN22*IF(OR($C22=117,$G22=117),0,1)</f>
        <v/>
      </c>
      <c r="HO23">
        <f>HO22*IF(OR($C22=118,$G22=118),0,1)</f>
        <v/>
      </c>
      <c r="HP23">
        <f>HP22*IF(OR($C22=119,$G22=119),0,1)</f>
        <v/>
      </c>
      <c r="HQ23">
        <f>HQ22*IF(OR($C22=120,$G22=120),0,1)</f>
        <v/>
      </c>
      <c r="HR23">
        <f>HR22*IF(OR($C22=121,$G22=121),0,1)</f>
        <v/>
      </c>
      <c r="HS23">
        <f>HS22*IF(OR($C22=122,$G22=122),0,1)</f>
        <v/>
      </c>
      <c r="HT23">
        <f>HT22*IF(OR($C22=123,$G22=123),0,1)</f>
        <v/>
      </c>
      <c r="HU23">
        <f>HU22*IF(OR($C22=124,$G22=124),0,1)</f>
        <v/>
      </c>
      <c r="HV23">
        <f>HV22*IF(OR($C22=125,$G22=125),0,1)</f>
        <v/>
      </c>
      <c r="HW23">
        <f>HW22*IF(OR($C22=126,$G22=126),0,1)</f>
        <v/>
      </c>
      <c r="HX23">
        <f>HX22*IF(OR($C22=127,$G22=127),0,1)</f>
        <v/>
      </c>
      <c r="HY23">
        <f>HY22*IF(OR($C22=128,$G22=128),0,1)</f>
        <v/>
      </c>
      <c r="HZ23">
        <f>HZ22*IF(OR($C22=129,$G22=129),0,1)</f>
        <v/>
      </c>
      <c r="IA23">
        <f>IA22*IF(OR($C22=130,$G22=130),0,1)</f>
        <v/>
      </c>
      <c r="IB23">
        <f>IB22*IF(OR($C22=131,$G22=131),0,1)</f>
        <v/>
      </c>
      <c r="IC23">
        <f>IC22*IF(OR($C22=132,$G22=132),0,1)</f>
        <v/>
      </c>
      <c r="ID23">
        <f>ID22*IF(OR($C22=133,$G22=133),0,1)</f>
        <v/>
      </c>
      <c r="IE23">
        <f>IE22*IF(OR($C22=134,$G22=134),0,1)</f>
        <v/>
      </c>
      <c r="IF23">
        <f>IF22*IF(OR($C22=135,$G22=135),0,1)</f>
        <v/>
      </c>
      <c r="IG23">
        <f>IG22*IF(OR($C22=136,$G22=136),0,1)</f>
        <v/>
      </c>
      <c r="IH23">
        <f>IH22*IF(OR($C22=137,$G22=137),0,1)</f>
        <v/>
      </c>
      <c r="II23">
        <f>II22*IF(OR($C22=138,$G22=138),0,1)</f>
        <v/>
      </c>
      <c r="IJ23">
        <f>IJ22*IF(OR($C22=139,$G22=139),0,1)</f>
        <v/>
      </c>
      <c r="IK23">
        <f>IK22*IF(OR($C22=140,$G22=140),0,1)</f>
        <v/>
      </c>
      <c r="IL23">
        <f>IL22*IF(OR($C22=141,$G22=141),0,1)</f>
        <v/>
      </c>
      <c r="IM23">
        <f>IM22*IF(OR($C22=142,$G22=142),0,1)</f>
        <v/>
      </c>
      <c r="IN23">
        <f>IN22*IF(OR($C22=143,$G22=143),0,1)</f>
        <v/>
      </c>
      <c r="IO23">
        <f>IO22*IF(OR($C22=144,$G22=144),0,1)</f>
        <v/>
      </c>
      <c r="IQ23">
        <f>IF('計算A'!D$106=1,DC23,1)</f>
        <v/>
      </c>
      <c r="IR23">
        <f>IF('計算A'!E$106=1,DD23,1)</f>
        <v/>
      </c>
      <c r="IS23">
        <f>IF('計算A'!F$106=1,DE23,1)</f>
        <v/>
      </c>
      <c r="IT23">
        <f>IF('計算A'!G$106=1,DF23,1)</f>
        <v/>
      </c>
      <c r="IU23">
        <f>IF('計算A'!H$106=1,DG23,1)</f>
        <v/>
      </c>
      <c r="IV23">
        <f>IF('計算A'!I$106=1,DH23,1)</f>
        <v/>
      </c>
      <c r="IW23">
        <f>IF('計算A'!J$106=1,DI23,1)</f>
        <v/>
      </c>
      <c r="IX23">
        <f>IF('計算A'!K$106=1,DJ23,1)</f>
        <v/>
      </c>
      <c r="IY23">
        <f>IF('計算A'!L$106=1,DK23,1)</f>
        <v/>
      </c>
      <c r="IZ23">
        <f>IF('計算A'!M$106=1,DL23,1)</f>
        <v/>
      </c>
      <c r="JA23">
        <f>IF('計算A'!N$106=1,DM23,1)</f>
        <v/>
      </c>
      <c r="JB23">
        <f>IF('計算A'!O$106=1,DN23,1)</f>
        <v/>
      </c>
      <c r="JC23">
        <f>IF('計算A'!P$106=1,DO23,1)</f>
        <v/>
      </c>
      <c r="JD23">
        <f>IF('計算A'!Q$106=1,DP23,1)</f>
        <v/>
      </c>
      <c r="JE23">
        <f>IF('計算A'!R$106=1,DQ23,1)</f>
        <v/>
      </c>
      <c r="JF23">
        <f>IF('計算A'!S$106=1,DR23,1)</f>
        <v/>
      </c>
      <c r="JG23">
        <f>IF('計算A'!T$106=1,DS23,1)</f>
        <v/>
      </c>
      <c r="JH23">
        <f>IF('計算A'!U$106=1,DT23,1)</f>
        <v/>
      </c>
      <c r="JI23">
        <f>IF('計算A'!V$106=1,DU23,1)</f>
        <v/>
      </c>
      <c r="JJ23">
        <f>IF('計算A'!W$106=1,DV23,1)</f>
        <v/>
      </c>
      <c r="JK23">
        <f>IF('計算A'!X$106=1,DW23,1)</f>
        <v/>
      </c>
      <c r="JL23">
        <f>IF('計算A'!Y$106=1,DX23,1)</f>
        <v/>
      </c>
      <c r="JM23">
        <f>IF('計算A'!Z$106=1,DY23,1)</f>
        <v/>
      </c>
      <c r="JN23">
        <f>IF('計算A'!AA$106=1,DZ23,1)</f>
        <v/>
      </c>
      <c r="JO23">
        <f>IF('計算A'!AB$106=1,EA23,1)</f>
        <v/>
      </c>
      <c r="JP23">
        <f>IF('計算A'!AC$106=1,EB23,1)</f>
        <v/>
      </c>
      <c r="JQ23">
        <f>IF('計算A'!AD$106=1,EC23,1)</f>
        <v/>
      </c>
      <c r="JR23">
        <f>IF('計算A'!AE$106=1,ED23,1)</f>
        <v/>
      </c>
      <c r="JS23">
        <f>IF('計算A'!AF$106=1,EE23,1)</f>
        <v/>
      </c>
      <c r="JT23">
        <f>IF('計算A'!AG$106=1,EF23,1)</f>
        <v/>
      </c>
      <c r="JU23">
        <f>IF('計算A'!AH$106=1,EG23,1)</f>
        <v/>
      </c>
      <c r="JV23">
        <f>IF('計算A'!AI$106=1,EH23,1)</f>
        <v/>
      </c>
      <c r="JW23">
        <f>IF('計算A'!AJ$106=1,EI23,1)</f>
        <v/>
      </c>
      <c r="JX23">
        <f>IF('計算A'!AK$106=1,EJ23,1)</f>
        <v/>
      </c>
      <c r="JY23">
        <f>IF('計算A'!AL$106=1,EK23,1)</f>
        <v/>
      </c>
      <c r="JZ23">
        <f>IF('計算A'!AM$106=1,EL23,1)</f>
        <v/>
      </c>
      <c r="KA23">
        <f>IF('計算A'!AN$106=1,EM23,1)</f>
        <v/>
      </c>
      <c r="KB23">
        <f>IF('計算A'!AO$106=1,EN23,1)</f>
        <v/>
      </c>
      <c r="KC23">
        <f>IF('計算A'!AP$106=1,EO23,1)</f>
        <v/>
      </c>
      <c r="KD23">
        <f>IF('計算A'!AQ$106=1,EP23,1)</f>
        <v/>
      </c>
      <c r="KE23">
        <f>IF('計算A'!AR$106=1,EQ23,1)</f>
        <v/>
      </c>
      <c r="KF23">
        <f>IF('計算A'!AS$106=1,ER23,1)</f>
        <v/>
      </c>
      <c r="KG23">
        <f>IF('計算A'!AT$106=1,ES23,1)</f>
        <v/>
      </c>
      <c r="KH23">
        <f>IF('計算A'!AU$106=1,ET23,1)</f>
        <v/>
      </c>
      <c r="KI23">
        <f>IF('計算A'!AV$106=1,EU23,1)</f>
        <v/>
      </c>
      <c r="KJ23">
        <f>IF('計算A'!AW$106=1,EV23,1)</f>
        <v/>
      </c>
      <c r="KK23">
        <f>IF('計算A'!AX$106=1,EW23,1)</f>
        <v/>
      </c>
      <c r="KL23">
        <f>IF('計算A'!AY$106=1,EX23,1)</f>
        <v/>
      </c>
      <c r="KM23">
        <f>IF('計算A'!AZ$106=1,EY23,1)</f>
        <v/>
      </c>
      <c r="KN23">
        <f>IF('計算A'!BA$106=1,EZ23,1)</f>
        <v/>
      </c>
      <c r="KO23">
        <f>IF('計算A'!BB$106=1,FA23,1)</f>
        <v/>
      </c>
      <c r="KP23">
        <f>IF('計算A'!BC$106=1,FB23,1)</f>
        <v/>
      </c>
      <c r="KQ23">
        <f>IF('計算A'!BD$106=1,FC23,1)</f>
        <v/>
      </c>
      <c r="KR23">
        <f>IF('計算A'!BE$106=1,FD23,1)</f>
        <v/>
      </c>
      <c r="KS23">
        <f>IF('計算A'!BF$106=1,FE23,1)</f>
        <v/>
      </c>
      <c r="KT23">
        <f>IF('計算A'!BG$106=1,FF23,1)</f>
        <v/>
      </c>
      <c r="KU23">
        <f>IF('計算A'!BH$106=1,FG23,1)</f>
        <v/>
      </c>
      <c r="KV23">
        <f>IF('計算A'!BI$106=1,FH23,1)</f>
        <v/>
      </c>
      <c r="KW23">
        <f>IF('計算A'!BJ$106=1,FI23,1)</f>
        <v/>
      </c>
      <c r="KX23">
        <f>IF('計算A'!BK$106=1,FJ23,1)</f>
        <v/>
      </c>
      <c r="KY23">
        <f>IF('計算A'!BL$106=1,FK23,1)</f>
        <v/>
      </c>
      <c r="KZ23">
        <f>IF('計算A'!BM$106=1,FL23,1)</f>
        <v/>
      </c>
      <c r="LA23">
        <f>IF('計算A'!BN$106=1,FM23,1)</f>
        <v/>
      </c>
      <c r="LB23">
        <f>IF('計算A'!BO$106=1,FN23,1)</f>
        <v/>
      </c>
      <c r="LC23">
        <f>IF('計算A'!BP$106=1,FO23,1)</f>
        <v/>
      </c>
      <c r="LD23">
        <f>IF('計算A'!BQ$106=1,FP23,1)</f>
        <v/>
      </c>
      <c r="LE23">
        <f>IF('計算A'!BR$106=1,FQ23,1)</f>
        <v/>
      </c>
      <c r="LF23">
        <f>IF('計算A'!BS$106=1,FR23,1)</f>
        <v/>
      </c>
      <c r="LG23">
        <f>IF('計算A'!BT$106=1,FS23,1)</f>
        <v/>
      </c>
      <c r="LH23">
        <f>IF('計算A'!BU$106=1,FT23,1)</f>
        <v/>
      </c>
      <c r="LI23">
        <f>IF('計算A'!BV$106=1,FU23,1)</f>
        <v/>
      </c>
      <c r="LJ23">
        <f>IF('計算A'!BW$106=1,FV23,1)</f>
        <v/>
      </c>
      <c r="LK23">
        <f>IF('計算A'!BX$106=1,FW23,1)</f>
        <v/>
      </c>
      <c r="LL23">
        <f>IF('計算A'!BY$106=1,FX23,1)</f>
        <v/>
      </c>
      <c r="LM23">
        <f>IF('計算A'!BZ$106=1,FY23,1)</f>
        <v/>
      </c>
      <c r="LN23">
        <f>IF('計算A'!CA$106=1,FZ23,1)</f>
        <v/>
      </c>
      <c r="LO23">
        <f>IF('計算A'!CB$106=1,GA23,1)</f>
        <v/>
      </c>
      <c r="LP23">
        <f>IF('計算A'!CC$106=1,GB23,1)</f>
        <v/>
      </c>
      <c r="LQ23">
        <f>IF('計算A'!CD$106=1,GC23,1)</f>
        <v/>
      </c>
      <c r="LR23">
        <f>IF('計算A'!CE$106=1,GD23,1)</f>
        <v/>
      </c>
      <c r="LS23">
        <f>IF('計算A'!CF$106=1,GE23,1)</f>
        <v/>
      </c>
      <c r="LT23">
        <f>IF('計算A'!CG$106=1,GF23,1)</f>
        <v/>
      </c>
      <c r="LU23">
        <f>IF('計算A'!CH$106=1,GG23,1)</f>
        <v/>
      </c>
      <c r="LV23">
        <f>IF('計算A'!CI$106=1,GH23,1)</f>
        <v/>
      </c>
      <c r="LW23">
        <f>IF('計算A'!CJ$106=1,GI23,1)</f>
        <v/>
      </c>
      <c r="LX23">
        <f>IF('計算A'!CK$106=1,GJ23,1)</f>
        <v/>
      </c>
      <c r="LY23">
        <f>IF('計算A'!CL$106=1,GK23,1)</f>
        <v/>
      </c>
      <c r="LZ23">
        <f>IF('計算A'!CM$106=1,GL23,1)</f>
        <v/>
      </c>
      <c r="MA23">
        <f>IF('計算A'!CN$106=1,GM23,1)</f>
        <v/>
      </c>
      <c r="MB23">
        <f>IF('計算A'!CO$106=1,GN23,1)</f>
        <v/>
      </c>
      <c r="MC23">
        <f>IF('計算A'!CP$106=1,GO23,1)</f>
        <v/>
      </c>
      <c r="MD23">
        <f>IF('計算A'!CQ$106=1,GP23,1)</f>
        <v/>
      </c>
      <c r="ME23">
        <f>IF('計算A'!CR$106=1,GQ23,1)</f>
        <v/>
      </c>
      <c r="MF23">
        <f>IF('計算A'!CS$106=1,GR23,1)</f>
        <v/>
      </c>
      <c r="MG23">
        <f>IF('計算A'!CT$106=1,GS23,1)</f>
        <v/>
      </c>
      <c r="MH23">
        <f>IF('計算A'!CU$106=1,GT23,1)</f>
        <v/>
      </c>
      <c r="MI23">
        <f>IF('計算A'!CV$106=1,GU23,1)</f>
        <v/>
      </c>
      <c r="MJ23">
        <f>IF('計算A'!CW$106=1,GV23,1)</f>
        <v/>
      </c>
      <c r="MK23">
        <f>IF('計算A'!CX$106=1,GW23,1)</f>
        <v/>
      </c>
      <c r="ML23">
        <f>IF('計算A'!CY$106=1,GX23,1)</f>
        <v/>
      </c>
      <c r="MM23">
        <f>IF('計算A'!CZ$106=1,GY23,1)</f>
        <v/>
      </c>
      <c r="MN23">
        <f>IF('計算A'!DA$106=1,GZ23,1)</f>
        <v/>
      </c>
      <c r="MO23">
        <f>IF('計算A'!DB$106=1,HA23,1)</f>
        <v/>
      </c>
      <c r="MP23">
        <f>IF('計算A'!DC$106=1,HB23,1)</f>
        <v/>
      </c>
      <c r="MQ23">
        <f>IF('計算A'!DD$106=1,HC23,1)</f>
        <v/>
      </c>
      <c r="MR23">
        <f>IF('計算A'!DE$106=1,HD23,1)</f>
        <v/>
      </c>
      <c r="MS23">
        <f>IF('計算A'!DF$106=1,HE23,1)</f>
        <v/>
      </c>
      <c r="MT23">
        <f>IF('計算A'!DG$106=1,HF23,1)</f>
        <v/>
      </c>
      <c r="MU23">
        <f>IF('計算A'!DH$106=1,HG23,1)</f>
        <v/>
      </c>
      <c r="MV23">
        <f>IF('計算A'!DI$106=1,HH23,1)</f>
        <v/>
      </c>
      <c r="MW23">
        <f>IF('計算A'!DJ$106=1,HI23,1)</f>
        <v/>
      </c>
      <c r="MX23">
        <f>IF('計算A'!DK$106=1,HJ23,1)</f>
        <v/>
      </c>
      <c r="MY23">
        <f>IF('計算A'!DL$106=1,HK23,1)</f>
        <v/>
      </c>
      <c r="MZ23">
        <f>IF('計算A'!DM$106=1,HL23,1)</f>
        <v/>
      </c>
      <c r="NA23">
        <f>IF('計算A'!DN$106=1,HM23,1)</f>
        <v/>
      </c>
      <c r="NB23">
        <f>IF('計算A'!DO$106=1,HN23,1)</f>
        <v/>
      </c>
      <c r="NC23">
        <f>IF('計算A'!DP$106=1,HO23,1)</f>
        <v/>
      </c>
      <c r="ND23">
        <f>IF('計算A'!DQ$106=1,HP23,1)</f>
        <v/>
      </c>
      <c r="NE23">
        <f>IF('計算A'!DR$106=1,HQ23,1)</f>
        <v/>
      </c>
      <c r="NF23">
        <f>IF('計算A'!DS$106=1,HR23,1)</f>
        <v/>
      </c>
      <c r="NG23">
        <f>IF('計算A'!DT$106=1,HS23,1)</f>
        <v/>
      </c>
      <c r="NH23">
        <f>IF('計算A'!DU$106=1,HT23,1)</f>
        <v/>
      </c>
      <c r="NI23">
        <f>IF('計算A'!DV$106=1,HU23,1)</f>
        <v/>
      </c>
      <c r="NJ23">
        <f>IF('計算A'!DW$106=1,HV23,1)</f>
        <v/>
      </c>
      <c r="NK23">
        <f>IF('計算A'!DX$106=1,HW23,1)</f>
        <v/>
      </c>
      <c r="NL23">
        <f>IF('計算A'!DY$106=1,HX23,1)</f>
        <v/>
      </c>
      <c r="NM23">
        <f>IF('計算A'!DZ$106=1,HY23,1)</f>
        <v/>
      </c>
      <c r="NN23">
        <f>IF('計算A'!EA$106=1,HZ23,1)</f>
        <v/>
      </c>
      <c r="NO23">
        <f>IF('計算A'!EB$106=1,IA23,1)</f>
        <v/>
      </c>
      <c r="NP23">
        <f>IF('計算A'!EC$106=1,IB23,1)</f>
        <v/>
      </c>
      <c r="NQ23">
        <f>IF('計算A'!ED$106=1,IC23,1)</f>
        <v/>
      </c>
      <c r="NR23">
        <f>IF('計算A'!EE$106=1,ID23,1)</f>
        <v/>
      </c>
      <c r="NS23">
        <f>IF('計算A'!EF$106=1,IE23,1)</f>
        <v/>
      </c>
      <c r="NT23">
        <f>IF('計算A'!EG$106=1,IF23,1)</f>
        <v/>
      </c>
      <c r="NU23">
        <f>IF('計算A'!EH$106=1,IG23,1)</f>
        <v/>
      </c>
      <c r="NV23">
        <f>IF('計算A'!EI$106=1,IH23,1)</f>
        <v/>
      </c>
      <c r="NW23">
        <f>IF('計算A'!EJ$106=1,II23,1)</f>
        <v/>
      </c>
      <c r="NX23">
        <f>IF('計算A'!EK$106=1,IJ23,1)</f>
        <v/>
      </c>
      <c r="NY23">
        <f>IF('計算A'!EL$106=1,IK23,1)</f>
        <v/>
      </c>
      <c r="NZ23">
        <f>IF('計算A'!EM$106=1,IL23,1)</f>
        <v/>
      </c>
      <c r="OA23">
        <f>IF('計算A'!EN$106=1,IM23,1)</f>
        <v/>
      </c>
      <c r="OB23">
        <f>IF('計算A'!EO$106=1,IN23,1)</f>
        <v/>
      </c>
      <c r="OC23">
        <f>IF('計算A'!EP$106=1,IO23,1)</f>
        <v/>
      </c>
      <c r="OD23" t="n">
        <v>1</v>
      </c>
      <c r="OF23">
        <f>IF($B23=0,1000000,IF(INDEX('計算A'!$D$60:$EQ$104,$B23,1)*DB23=1,IF(AND($E23=2,IQ23=0),1000000,IF($I23&gt;0,IF(1=$J23,IF(OR(AND(1=$I23+1,OR($K23&lt;&gt;'計算A'!$A$3,'計算A'!$A$4=0)),AND(1=$I23-1,OR(1&lt;&gt;'計算A'!$A$3,'計算A'!$A$4=0))),0,IF(1=$K23,200000,ABS(1-$K23)*100)),100000+ABS(1-$J23)*1000+10)+'計算A'!D$5*50+IF(AND($E23=1,IQ23=0),25,0),INDEX('計算A'!D$110:D$114,$F23+1)+IF(AND($E23=1,IQ23=0),1000,0)+IF($H23=1,(IF('計算A'!D$117=1,INDEX('計算A'!E$10:E$54,$B23),0))*500,0)-IF(AND($L23=1,'計算A'!D$117=1,DC23=0),300,0))),1000000))</f>
        <v/>
      </c>
      <c r="OG23">
        <f>IF($B23=0,1000000,IF(INDEX('計算A'!$D$60:$EQ$104,$B23,2)*DC23=1,IF(AND($E23=2,IR23=0),1000000,IF($I23&gt;0,IF(1=$J23,IF(OR(AND(2=$I23+1,OR($K23&lt;&gt;'計算A'!$A$3,'計算A'!$A$4=0)),AND(2=$I23-1,OR(2&lt;&gt;'計算A'!$A$3,'計算A'!$A$4=0))),0,IF(2=$K23,200000,ABS(2-$K23)*100)),100000+ABS(1-$J23)*1000+20)+'計算A'!E$5*50+IF(AND($E23=1,IR23=0),25,0),INDEX('計算A'!E$110:E$114,$F23+1)+IF(AND($E23=1,IR23=0),1000,0)+IF($H23=1,(IF('計算A'!D$117=1,INDEX('計算A'!D$10:D$54,$B23),0)+IF('計算A'!E$117=1,INDEX('計算A'!F$10:F$54,$B23),0))*500,0)-IF(AND('計算A'!D$117=1,UB23&gt;0),300,0)-IF(AND($L23=1,'計算A'!E$117=1,DD23=0),300,0))),1000000))</f>
        <v/>
      </c>
      <c r="OH23">
        <f>IF($B23=0,1000000,IF(INDEX('計算A'!$D$60:$EQ$104,$B23,3)*DD23=1,IF(AND($E23=2,IS23=0),1000000,IF($I23&gt;0,IF(1=$J23,IF(OR(AND(3=$I23+1,OR($K23&lt;&gt;'計算A'!$A$3,'計算A'!$A$4=0)),AND(3=$I23-1,OR(3&lt;&gt;'計算A'!$A$3,'計算A'!$A$4=0))),0,IF(3=$K23,200000,ABS(3-$K23)*100)),100000+ABS(1-$J23)*1000+30)+'計算A'!F$5*50+IF(AND($E23=1,IS23=0),25,0),INDEX('計算A'!F$110:F$114,$F23+1)+IF(AND($E23=1,IS23=0),1000,0)+IF($H23=1,(IF('計算A'!E$117=1,INDEX('計算A'!E$10:E$54,$B23),0)+IF('計算A'!F$117=1,INDEX('計算A'!G$10:G$54,$B23),0))*500,0)-IF(AND('計算A'!E$117=1,UC23&gt;0),300,0)-IF(AND($L23=1,'計算A'!F$117=1,DE23=0),300,0))),1000000))</f>
        <v/>
      </c>
      <c r="OI23">
        <f>IF($B23=0,1000000,IF(INDEX('計算A'!$D$60:$EQ$104,$B23,4)*DE23=1,IF(AND($E23=2,IT23=0),1000000,IF($I23&gt;0,IF(1=$J23,IF(OR(AND(4=$I23+1,OR($K23&lt;&gt;'計算A'!$A$3,'計算A'!$A$4=0)),AND(4=$I23-1,OR(4&lt;&gt;'計算A'!$A$3,'計算A'!$A$4=0))),0,IF(4=$K23,200000,ABS(4-$K23)*100)),100000+ABS(1-$J23)*1000+40)+'計算A'!G$5*50+IF(AND($E23=1,IT23=0),25,0),INDEX('計算A'!G$110:G$114,$F23+1)+IF(AND($E23=1,IT23=0),1000,0)+IF($H23=1,(IF('計算A'!F$117=1,INDEX('計算A'!F$10:F$54,$B23),0)+IF('計算A'!G$117=1,INDEX('計算A'!H$10:H$54,$B23),0))*500,0)-IF(AND('計算A'!F$117=1,UD23&gt;0),300,0)-IF(AND($L23=1,'計算A'!G$117=1,DF23=0),300,0))),1000000))</f>
        <v/>
      </c>
      <c r="OJ23">
        <f>IF($B23=0,1000000,IF(INDEX('計算A'!$D$60:$EQ$104,$B23,5)*DF23=1,IF(AND($E23=2,IU23=0),1000000,IF($I23&gt;0,IF(1=$J23,IF(OR(AND(5=$I23+1,OR($K23&lt;&gt;'計算A'!$A$3,'計算A'!$A$4=0)),AND(5=$I23-1,OR(5&lt;&gt;'計算A'!$A$3,'計算A'!$A$4=0))),0,IF(5=$K23,200000,ABS(5-$K23)*100)),100000+ABS(1-$J23)*1000+50)+'計算A'!H$5*50+IF(AND($E23=1,IU23=0),25,0),INDEX('計算A'!H$110:H$114,$F23+1)+IF(AND($E23=1,IU23=0),1000,0)+IF($H23=1,(IF('計算A'!G$117=1,INDEX('計算A'!G$10:G$54,$B23),0)+IF('計算A'!H$117=1,INDEX('計算A'!I$10:I$54,$B23),0))*500,0)-IF(AND('計算A'!G$117=1,UE23&gt;0),300,0)-IF(AND($L23=1,'計算A'!H$117=1,DG23=0),300,0))),1000000))</f>
        <v/>
      </c>
      <c r="OK23">
        <f>IF($B23=0,1000000,IF(INDEX('計算A'!$D$60:$EQ$104,$B23,6)*DG23=1,IF(AND($E23=2,IV23=0),1000000,IF($I23&gt;0,IF(1=$J23,IF(OR(AND(6=$I23+1,OR($K23&lt;&gt;'計算A'!$A$3,'計算A'!$A$4=0)),AND(6=$I23-1,OR(6&lt;&gt;'計算A'!$A$3,'計算A'!$A$4=0))),0,IF(6=$K23,200000,ABS(6-$K23)*100)),100000+ABS(1-$J23)*1000+60)+'計算A'!I$5*50+IF(AND($E23=1,IV23=0),25,0),INDEX('計算A'!I$110:I$114,$F23+1)+IF(AND($E23=1,IV23=0),1000,0)+IF($H23=1,(IF('計算A'!H$117=1,INDEX('計算A'!H$10:H$54,$B23),0)+IF('計算A'!I$117=1,INDEX('計算A'!J$10:J$54,$B23),0))*500,0)-IF(AND('計算A'!H$117=1,UF23&gt;0),300,0)-IF(AND($L23=1,'計算A'!I$117=1,DH23=0),300,0))),1000000))</f>
        <v/>
      </c>
      <c r="OL23">
        <f>IF($B23=0,1000000,IF(INDEX('計算A'!$D$60:$EQ$104,$B23,7)*DH23=1,IF(AND($E23=2,IW23=0),1000000,IF($I23&gt;0,IF(1=$J23,IF(OR(AND(7=$I23+1,OR($K23&lt;&gt;'計算A'!$A$3,'計算A'!$A$4=0)),AND(7=$I23-1,OR(7&lt;&gt;'計算A'!$A$3,'計算A'!$A$4=0))),0,IF(7=$K23,200000,ABS(7-$K23)*100)),100000+ABS(1-$J23)*1000+70)+'計算A'!J$5*50+IF(AND($E23=1,IW23=0),25,0),INDEX('計算A'!J$110:J$114,$F23+1)+IF(AND($E23=1,IW23=0),1000,0)+IF($H23=1,(IF('計算A'!I$117=1,INDEX('計算A'!I$10:I$54,$B23),0)+IF('計算A'!J$117=1,INDEX('計算A'!K$10:K$54,$B23),0))*500,0)-IF(AND('計算A'!I$117=1,UG23&gt;0),300,0)-IF(AND($L23=1,'計算A'!J$117=1,DI23=0),300,0))),1000000))</f>
        <v/>
      </c>
      <c r="OM23">
        <f>IF($B23=0,1000000,IF(INDEX('計算A'!$D$60:$EQ$104,$B23,8)*DI23=1,IF(AND($E23=2,IX23=0),1000000,IF($I23&gt;0,IF(1=$J23,IF(OR(AND(8=$I23+1,OR($K23&lt;&gt;'計算A'!$A$3,'計算A'!$A$4=0)),AND(8=$I23-1,OR(8&lt;&gt;'計算A'!$A$3,'計算A'!$A$4=0))),0,IF(8=$K23,200000,ABS(8-$K23)*100)),100000+ABS(1-$J23)*1000+80)+'計算A'!K$5*50+IF(AND($E23=1,IX23=0),25,0),INDEX('計算A'!K$110:K$114,$F23+1)+IF(AND($E23=1,IX23=0),1000,0)+IF($H23=1,(IF('計算A'!J$117=1,INDEX('計算A'!J$10:J$54,$B23),0)+IF('計算A'!K$117=1,INDEX('計算A'!L$10:L$54,$B23),0))*500,0)-IF(AND('計算A'!J$117=1,UH23&gt;0),300,0)-IF(AND($L23=1,'計算A'!K$117=1,DJ23=0),300,0))),1000000))</f>
        <v/>
      </c>
      <c r="ON23">
        <f>IF($B23=0,1000000,IF(INDEX('計算A'!$D$60:$EQ$104,$B23,9)*DJ23=1,IF(AND($E23=2,IY23=0),1000000,IF($I23&gt;0,IF(1=$J23,IF(OR(AND(9=$I23+1,OR($K23&lt;&gt;'計算A'!$A$3,'計算A'!$A$4=0)),AND(9=$I23-1,OR(9&lt;&gt;'計算A'!$A$3,'計算A'!$A$4=0))),0,IF(9=$K23,200000,ABS(9-$K23)*100)),100000+ABS(1-$J23)*1000+90)+'計算A'!L$5*50+IF(AND($E23=1,IY23=0),25,0),INDEX('計算A'!L$110:L$114,$F23+1)+IF(AND($E23=1,IY23=0),1000,0)+IF($H23=1,(IF('計算A'!K$117=1,INDEX('計算A'!K$10:K$54,$B23),0)+IF('計算A'!L$117=1,INDEX('計算A'!M$10:M$54,$B23),0))*500,0)-IF(AND('計算A'!K$117=1,UI23&gt;0),300,0)-IF(AND($L23=1,'計算A'!L$117=1,DK23=0),300,0))),1000000))</f>
        <v/>
      </c>
      <c r="OO23">
        <f>IF($B23=0,1000000,IF(INDEX('計算A'!$D$60:$EQ$104,$B23,10)*DK23=1,IF(AND($E23=2,IZ23=0),1000000,IF($I23&gt;0,IF(1=$J23,IF(OR(AND(10=$I23+1,OR($K23&lt;&gt;'計算A'!$A$3,'計算A'!$A$4=0)),AND(10=$I23-1,OR(10&lt;&gt;'計算A'!$A$3,'計算A'!$A$4=0))),0,IF(10=$K23,200000,ABS(10-$K23)*100)),100000+ABS(1-$J23)*1000+100)+'計算A'!M$5*50+IF(AND($E23=1,IZ23=0),25,0),INDEX('計算A'!M$110:M$114,$F23+1)+IF(AND($E23=1,IZ23=0),1000,0)+IF($H23=1,(IF('計算A'!L$117=1,INDEX('計算A'!L$10:L$54,$B23),0)+IF('計算A'!M$117=1,INDEX('計算A'!N$10:N$54,$B23),0))*500,0)-IF(AND('計算A'!L$117=1,UJ23&gt;0),300,0)-IF(AND($L23=1,'計算A'!M$117=1,DL23=0),300,0))),1000000))</f>
        <v/>
      </c>
      <c r="OP23">
        <f>IF($B23=0,1000000,IF(INDEX('計算A'!$D$60:$EQ$104,$B23,11)*DL23=1,IF(AND($E23=2,JA23=0),1000000,IF($I23&gt;0,IF(1=$J23,IF(OR(AND(11=$I23+1,OR($K23&lt;&gt;'計算A'!$A$3,'計算A'!$A$4=0)),AND(11=$I23-1,OR(11&lt;&gt;'計算A'!$A$3,'計算A'!$A$4=0))),0,IF(11=$K23,200000,ABS(11-$K23)*100)),100000+ABS(1-$J23)*1000+110)+'計算A'!N$5*50+IF(AND($E23=1,JA23=0),25,0),INDEX('計算A'!N$110:N$114,$F23+1)+IF(AND($E23=1,JA23=0),1000,0)+IF($H23=1,(IF('計算A'!M$117=1,INDEX('計算A'!M$10:M$54,$B23),0)+IF('計算A'!N$117=1,INDEX('計算A'!O$10:O$54,$B23),0))*500,0)-IF(AND('計算A'!M$117=1,UK23&gt;0),300,0)-IF(AND($L23=1,'計算A'!N$117=1,DM23=0),300,0))),1000000))</f>
        <v/>
      </c>
      <c r="OQ23">
        <f>IF($B23=0,1000000,IF(INDEX('計算A'!$D$60:$EQ$104,$B23,12)*DM23=1,IF(AND($E23=2,JB23=0),1000000,IF($I23&gt;0,IF(1=$J23,IF(OR(AND(12=$I23+1,OR($K23&lt;&gt;'計算A'!$A$3,'計算A'!$A$4=0)),AND(12=$I23-1,OR(12&lt;&gt;'計算A'!$A$3,'計算A'!$A$4=0))),0,IF(12=$K23,200000,ABS(12-$K23)*100)),100000+ABS(1-$J23)*1000+120)+'計算A'!O$5*50+IF(AND($E23=1,JB23=0),25,0),INDEX('計算A'!O$110:O$114,$F23+1)+IF(AND($E23=1,JB23=0),1000,0)+IF($H23=1,(IF('計算A'!N$117=1,INDEX('計算A'!N$10:N$54,$B23),0)+IF('計算A'!O$117=1,INDEX('計算A'!P$10:P$54,$B23),0))*500,0)-IF(AND('計算A'!N$117=1,UL23&gt;0),300,0)-IF(AND($L23=1,'計算A'!O$117=1,DN23=0),300,0))),1000000))</f>
        <v/>
      </c>
      <c r="OR23">
        <f>IF($B23=0,1000000,IF(INDEX('計算A'!$D$60:$EQ$104,$B23,13)*DN23=1,IF(AND($E23=2,JC23=0),1000000,IF($I23&gt;0,IF(1=$J23,IF(OR(AND(13=$I23+1,OR($K23&lt;&gt;'計算A'!$A$3,'計算A'!$A$4=0)),AND(13=$I23-1,OR(13&lt;&gt;'計算A'!$A$3,'計算A'!$A$4=0))),0,IF(13=$K23,200000,ABS(13-$K23)*100)),100000+ABS(1-$J23)*1000+130)+'計算A'!P$5*50+IF(AND($E23=1,JC23=0),25,0),INDEX('計算A'!P$110:P$114,$F23+1)+IF(AND($E23=1,JC23=0),1000,0)+IF($H23=1,(IF('計算A'!O$117=1,INDEX('計算A'!O$10:O$54,$B23),0)+IF('計算A'!P$117=1,INDEX('計算A'!Q$10:Q$54,$B23),0))*500,0)-IF(AND('計算A'!O$117=1,UM23&gt;0),300,0)-IF(AND($L23=1,'計算A'!P$117=1,DO23=0),300,0))),1000000))</f>
        <v/>
      </c>
      <c r="OS23">
        <f>IF($B23=0,1000000,IF(INDEX('計算A'!$D$60:$EQ$104,$B23,14)*DO23=1,IF(AND($E23=2,JD23=0),1000000,IF($I23&gt;0,IF(1=$J23,IF(OR(AND(14=$I23+1,OR($K23&lt;&gt;'計算A'!$A$3,'計算A'!$A$4=0)),AND(14=$I23-1,OR(14&lt;&gt;'計算A'!$A$3,'計算A'!$A$4=0))),0,IF(14=$K23,200000,ABS(14-$K23)*100)),100000+ABS(1-$J23)*1000+140)+'計算A'!Q$5*50+IF(AND($E23=1,JD23=0),25,0),INDEX('計算A'!Q$110:Q$114,$F23+1)+IF(AND($E23=1,JD23=0),1000,0)+IF($H23=1,(IF('計算A'!P$117=1,INDEX('計算A'!P$10:P$54,$B23),0)+IF('計算A'!Q$117=1,INDEX('計算A'!R$10:R$54,$B23),0))*500,0)-IF(AND('計算A'!P$117=1,UN23&gt;0),300,0)-IF(AND($L23=1,'計算A'!Q$117=1,DP23=0),300,0))),1000000))</f>
        <v/>
      </c>
      <c r="OT23">
        <f>IF($B23=0,1000000,IF(INDEX('計算A'!$D$60:$EQ$104,$B23,15)*DP23=1,IF(AND($E23=2,JE23=0),1000000,IF($I23&gt;0,IF(1=$J23,IF(OR(AND(15=$I23+1,OR($K23&lt;&gt;'計算A'!$A$3,'計算A'!$A$4=0)),AND(15=$I23-1,OR(15&lt;&gt;'計算A'!$A$3,'計算A'!$A$4=0))),0,IF(15=$K23,200000,ABS(15-$K23)*100)),100000+ABS(1-$J23)*1000+150)+'計算A'!R$5*50+IF(AND($E23=1,JE23=0),25,0),INDEX('計算A'!R$110:R$114,$F23+1)+IF(AND($E23=1,JE23=0),1000,0)+IF($H23=1,(IF('計算A'!Q$117=1,INDEX('計算A'!Q$10:Q$54,$B23),0)+IF('計算A'!R$117=1,INDEX('計算A'!S$10:S$54,$B23),0))*500,0)-IF(AND('計算A'!Q$117=1,UO23&gt;0),300,0)-IF(AND($L23=1,'計算A'!R$117=1,DQ23=0),300,0))),1000000))</f>
        <v/>
      </c>
      <c r="OU23">
        <f>IF($B23=0,1000000,IF(INDEX('計算A'!$D$60:$EQ$104,$B23,16)*DQ23=1,IF(AND($E23=2,JF23=0),1000000,IF($I23&gt;0,IF(1=$J23,IF(OR(AND(16=$I23+1,OR($K23&lt;&gt;'計算A'!$A$3,'計算A'!$A$4=0)),AND(16=$I23-1,OR(16&lt;&gt;'計算A'!$A$3,'計算A'!$A$4=0))),0,IF(16=$K23,200000,ABS(16-$K23)*100)),100000+ABS(1-$J23)*1000+160)+'計算A'!S$5*50+IF(AND($E23=1,JF23=0),25,0),INDEX('計算A'!S$110:S$114,$F23+1)+IF(AND($E23=1,JF23=0),1000,0)+IF($H23=1,(IF('計算A'!R$117=1,INDEX('計算A'!R$10:R$54,$B23),0)+IF('計算A'!S$117=1,INDEX('計算A'!T$10:T$54,$B23),0))*500,0)-IF(AND('計算A'!R$117=1,UP23&gt;0),300,0)-IF(AND($L23=1,'計算A'!S$117=1,DR23=0),300,0))),1000000))</f>
        <v/>
      </c>
      <c r="OV23">
        <f>IF($B23=0,1000000,IF(INDEX('計算A'!$D$60:$EQ$104,$B23,17)*DR23=1,IF(AND($E23=2,JG23=0),1000000,IF($I23&gt;0,IF(1=$J23,IF(OR(AND(17=$I23+1,OR($K23&lt;&gt;'計算A'!$A$3,'計算A'!$A$4=0)),AND(17=$I23-1,OR(17&lt;&gt;'計算A'!$A$3,'計算A'!$A$4=0))),0,IF(17=$K23,200000,ABS(17-$K23)*100)),100000+ABS(1-$J23)*1000+170)+'計算A'!T$5*50+IF(AND($E23=1,JG23=0),25,0),INDEX('計算A'!T$110:T$114,$F23+1)+IF(AND($E23=1,JG23=0),1000,0)+IF($H23=1,(IF('計算A'!S$117=1,INDEX('計算A'!S$10:S$54,$B23),0)+IF('計算A'!T$117=1,INDEX('計算A'!U$10:U$54,$B23),0))*500,0)-IF(AND('計算A'!S$117=1,UQ23&gt;0),300,0)-IF(AND($L23=1,'計算A'!T$117=1,DS23=0),300,0))),1000000))</f>
        <v/>
      </c>
      <c r="OW23">
        <f>IF($B23=0,1000000,IF(INDEX('計算A'!$D$60:$EQ$104,$B23,18)*DS23=1,IF(AND($E23=2,JH23=0),1000000,IF($I23&gt;0,IF(1=$J23,IF(OR(AND(18=$I23+1,OR($K23&lt;&gt;'計算A'!$A$3,'計算A'!$A$4=0)),AND(18=$I23-1,OR(18&lt;&gt;'計算A'!$A$3,'計算A'!$A$4=0))),0,IF(18=$K23,200000,ABS(18-$K23)*100)),100000+ABS(1-$J23)*1000+180)+'計算A'!U$5*50+IF(AND($E23=1,JH23=0),25,0),INDEX('計算A'!U$110:U$114,$F23+1)+IF(AND($E23=1,JH23=0),1000,0)+IF($H23=1,(IF('計算A'!T$117=1,INDEX('計算A'!T$10:T$54,$B23),0)+IF('計算A'!U$117=1,INDEX('計算A'!V$10:V$54,$B23),0))*500,0)-IF(AND('計算A'!T$117=1,UR23&gt;0),300,0)-IF(AND($L23=1,'計算A'!U$117=1,DT23=0),300,0))),1000000))</f>
        <v/>
      </c>
      <c r="OX23">
        <f>IF($B23=0,1000000,IF(INDEX('計算A'!$D$60:$EQ$104,$B23,19)*DT23=1,IF(AND($E23=2,JI23=0),1000000,IF($I23&gt;0,IF(1=$J23,IF(OR(AND(19=$I23+1,OR($K23&lt;&gt;'計算A'!$A$3,'計算A'!$A$4=0)),AND(19=$I23-1,OR(19&lt;&gt;'計算A'!$A$3,'計算A'!$A$4=0))),0,IF(19=$K23,200000,ABS(19-$K23)*100)),100000+ABS(1-$J23)*1000+190)+'計算A'!V$5*50+IF(AND($E23=1,JI23=0),25,0),INDEX('計算A'!V$110:V$114,$F23+1)+IF(AND($E23=1,JI23=0),1000,0)+IF($H23=1,(IF('計算A'!U$117=1,INDEX('計算A'!U$10:U$54,$B23),0)+IF('計算A'!V$117=1,INDEX('計算A'!W$10:W$54,$B23),0))*500,0)-IF(AND('計算A'!U$117=1,US23&gt;0),300,0)-IF(AND($L23=1,'計算A'!V$117=1,DU23=0),300,0))),1000000))</f>
        <v/>
      </c>
      <c r="OY23">
        <f>IF($B23=0,1000000,IF(INDEX('計算A'!$D$60:$EQ$104,$B23,20)*DU23=1,IF(AND($E23=2,JJ23=0),1000000,IF($I23&gt;0,IF(1=$J23,IF(OR(AND(20=$I23+1,OR($K23&lt;&gt;'計算A'!$A$3,'計算A'!$A$4=0)),AND(20=$I23-1,OR(20&lt;&gt;'計算A'!$A$3,'計算A'!$A$4=0))),0,IF(20=$K23,200000,ABS(20-$K23)*100)),100000+ABS(1-$J23)*1000+200)+'計算A'!W$5*50+IF(AND($E23=1,JJ23=0),25,0),INDEX('計算A'!W$110:W$114,$F23+1)+IF(AND($E23=1,JJ23=0),1000,0)+IF($H23=1,(IF('計算A'!V$117=1,INDEX('計算A'!V$10:V$54,$B23),0)+IF('計算A'!W$117=1,INDEX('計算A'!X$10:X$54,$B23),0))*500,0)-IF(AND('計算A'!V$117=1,UT23&gt;0),300,0)-IF(AND($L23=1,'計算A'!W$117=1,DV23=0),300,0))),1000000))</f>
        <v/>
      </c>
      <c r="OZ23">
        <f>IF($B23=0,1000000,IF(INDEX('計算A'!$D$60:$EQ$104,$B23,21)*DV23=1,IF(AND($E23=2,JK23=0),1000000,IF($I23&gt;0,IF(1=$J23,IF(OR(AND(21=$I23+1,OR($K23&lt;&gt;'計算A'!$A$3,'計算A'!$A$4=0)),AND(21=$I23-1,OR(21&lt;&gt;'計算A'!$A$3,'計算A'!$A$4=0))),0,IF(21=$K23,200000,ABS(21-$K23)*100)),100000+ABS(1-$J23)*1000+210)+'計算A'!X$5*50+IF(AND($E23=1,JK23=0),25,0),INDEX('計算A'!X$110:X$114,$F23+1)+IF(AND($E23=1,JK23=0),1000,0)+IF($H23=1,(IF('計算A'!W$117=1,INDEX('計算A'!W$10:W$54,$B23),0)+IF('計算A'!X$117=1,INDEX('計算A'!Y$10:Y$54,$B23),0))*500,0)-IF(AND('計算A'!W$117=1,UU23&gt;0),300,0)-IF(AND($L23=1,'計算A'!X$117=1,DW23=0),300,0))),1000000))</f>
        <v/>
      </c>
      <c r="PA23">
        <f>IF($B23=0,1000000,IF(INDEX('計算A'!$D$60:$EQ$104,$B23,22)*DW23=1,IF(AND($E23=2,JL23=0),1000000,IF($I23&gt;0,IF(1=$J23,IF(OR(AND(22=$I23+1,OR($K23&lt;&gt;'計算A'!$A$3,'計算A'!$A$4=0)),AND(22=$I23-1,OR(22&lt;&gt;'計算A'!$A$3,'計算A'!$A$4=0))),0,IF(22=$K23,200000,ABS(22-$K23)*100)),100000+ABS(1-$J23)*1000+220)+'計算A'!Y$5*50+IF(AND($E23=1,JL23=0),25,0),INDEX('計算A'!Y$110:Y$114,$F23+1)+IF(AND($E23=1,JL23=0),1000,0)+IF($H23=1,(IF('計算A'!X$117=1,INDEX('計算A'!X$10:X$54,$B23),0)+IF('計算A'!Y$117=1,INDEX('計算A'!Z$10:Z$54,$B23),0))*500,0)-IF(AND('計算A'!X$117=1,UV23&gt;0),300,0)-IF(AND($L23=1,'計算A'!Y$117=1,DX23=0),300,0))),1000000))</f>
        <v/>
      </c>
      <c r="PB23">
        <f>IF($B23=0,1000000,IF(INDEX('計算A'!$D$60:$EQ$104,$B23,23)*DX23=1,IF(AND($E23=2,JM23=0),1000000,IF($I23&gt;0,IF(1=$J23,IF(OR(AND(23=$I23+1,OR($K23&lt;&gt;'計算A'!$A$3,'計算A'!$A$4=0)),AND(23=$I23-1,OR(23&lt;&gt;'計算A'!$A$3,'計算A'!$A$4=0))),0,IF(23=$K23,200000,ABS(23-$K23)*100)),100000+ABS(1-$J23)*1000+230)+'計算A'!Z$5*50+IF(AND($E23=1,JM23=0),25,0),INDEX('計算A'!Z$110:Z$114,$F23+1)+IF(AND($E23=1,JM23=0),1000,0)+IF($H23=1,(IF('計算A'!Y$117=1,INDEX('計算A'!Y$10:Y$54,$B23),0)+IF('計算A'!Z$117=1,INDEX('計算A'!AA$10:AA$54,$B23),0))*500,0)-IF(AND('計算A'!Y$117=1,UW23&gt;0),300,0)-IF(AND($L23=1,'計算A'!Z$117=1,DY23=0),300,0))),1000000))</f>
        <v/>
      </c>
      <c r="PC23">
        <f>IF($B23=0,1000000,IF(INDEX('計算A'!$D$60:$EQ$104,$B23,24)*DY23=1,IF(AND($E23=2,JN23=0),1000000,IF($I23&gt;0,IF(1=$J23,IF(OR(AND(24=$I23+1,OR($K23&lt;&gt;'計算A'!$A$3,'計算A'!$A$4=0)),AND(24=$I23-1,OR(24&lt;&gt;'計算A'!$A$3,'計算A'!$A$4=0))),0,IF(24=$K23,200000,ABS(24-$K23)*100)),100000+ABS(1-$J23)*1000+240)+'計算A'!AA$5*50+IF(AND($E23=1,JN23=0),25,0),INDEX('計算A'!AA$110:AA$114,$F23+1)+IF(AND($E23=1,JN23=0),1000,0)+IF($H23=1,(IF('計算A'!Z$117=1,INDEX('計算A'!Z$10:Z$54,$B23),0))*500,0)-IF(AND('計算A'!Z$117=1,UX23&gt;0),300,0))),1000000))</f>
        <v/>
      </c>
      <c r="PD23">
        <f>IF($B23=0,1000000,IF(INDEX('計算A'!$D$60:$EQ$104,$B23,25)*DZ23=1,IF(AND($E23=2,JO23=0),1000000,IF($I23&gt;0,IF(2=$J23,IF(OR(AND(25=$I23+1,OR($K23&lt;&gt;'計算A'!$A$3,'計算A'!$A$4=0)),AND(25=$I23-1,OR(1&lt;&gt;'計算A'!$A$3,'計算A'!$A$4=0))),0,IF(1=$K23,200000,ABS(1-$K23)*100)),100000+ABS(2-$J23)*1000+10)+'計算A'!AB$5*50+IF(AND($E23=1,JO23=0),25,0),INDEX('計算A'!AB$110:AB$114,$F23+1)+IF(AND($E23=1,JO23=0),1000,0)+IF($H23=1,(IF('計算A'!AB$117=1,INDEX('計算A'!AC$10:AC$54,$B23),0))*500,0)-IF(AND($L23=1,'計算A'!AB$117=1,EA23=0),300,0))),1000000))</f>
        <v/>
      </c>
      <c r="PE23">
        <f>IF($B23=0,1000000,IF(INDEX('計算A'!$D$60:$EQ$104,$B23,26)*EA23=1,IF(AND($E23=2,JP23=0),1000000,IF($I23&gt;0,IF(2=$J23,IF(OR(AND(26=$I23+1,OR($K23&lt;&gt;'計算A'!$A$3,'計算A'!$A$4=0)),AND(26=$I23-1,OR(2&lt;&gt;'計算A'!$A$3,'計算A'!$A$4=0))),0,IF(2=$K23,200000,ABS(2-$K23)*100)),100000+ABS(2-$J23)*1000+20)+'計算A'!AC$5*50+IF(AND($E23=1,JP23=0),25,0),INDEX('計算A'!AC$110:AC$114,$F23+1)+IF(AND($E23=1,JP23=0),1000,0)+IF($H23=1,(IF('計算A'!AB$117=1,INDEX('計算A'!AB$10:AB$54,$B23),0)+IF('計算A'!AC$117=1,INDEX('計算A'!AD$10:AD$54,$B23),0))*500,0)-IF(AND('計算A'!AB$117=1,UZ23&gt;0),300,0)-IF(AND($L23=1,'計算A'!AC$117=1,EB23=0),300,0))),1000000))</f>
        <v/>
      </c>
      <c r="PF23">
        <f>IF($B23=0,1000000,IF(INDEX('計算A'!$D$60:$EQ$104,$B23,27)*EB23=1,IF(AND($E23=2,JQ23=0),1000000,IF($I23&gt;0,IF(2=$J23,IF(OR(AND(27=$I23+1,OR($K23&lt;&gt;'計算A'!$A$3,'計算A'!$A$4=0)),AND(27=$I23-1,OR(3&lt;&gt;'計算A'!$A$3,'計算A'!$A$4=0))),0,IF(3=$K23,200000,ABS(3-$K23)*100)),100000+ABS(2-$J23)*1000+30)+'計算A'!AD$5*50+IF(AND($E23=1,JQ23=0),25,0),INDEX('計算A'!AD$110:AD$114,$F23+1)+IF(AND($E23=1,JQ23=0),1000,0)+IF($H23=1,(IF('計算A'!AC$117=1,INDEX('計算A'!AC$10:AC$54,$B23),0)+IF('計算A'!AD$117=1,INDEX('計算A'!AE$10:AE$54,$B23),0))*500,0)-IF(AND('計算A'!AC$117=1,VA23&gt;0),300,0)-IF(AND($L23=1,'計算A'!AD$117=1,EC23=0),300,0))),1000000))</f>
        <v/>
      </c>
      <c r="PG23">
        <f>IF($B23=0,1000000,IF(INDEX('計算A'!$D$60:$EQ$104,$B23,28)*EC23=1,IF(AND($E23=2,JR23=0),1000000,IF($I23&gt;0,IF(2=$J23,IF(OR(AND(28=$I23+1,OR($K23&lt;&gt;'計算A'!$A$3,'計算A'!$A$4=0)),AND(28=$I23-1,OR(4&lt;&gt;'計算A'!$A$3,'計算A'!$A$4=0))),0,IF(4=$K23,200000,ABS(4-$K23)*100)),100000+ABS(2-$J23)*1000+40)+'計算A'!AE$5*50+IF(AND($E23=1,JR23=0),25,0),INDEX('計算A'!AE$110:AE$114,$F23+1)+IF(AND($E23=1,JR23=0),1000,0)+IF($H23=1,(IF('計算A'!AD$117=1,INDEX('計算A'!AD$10:AD$54,$B23),0)+IF('計算A'!AE$117=1,INDEX('計算A'!AF$10:AF$54,$B23),0))*500,0)-IF(AND('計算A'!AD$117=1,VB23&gt;0),300,0)-IF(AND($L23=1,'計算A'!AE$117=1,ED23=0),300,0))),1000000))</f>
        <v/>
      </c>
      <c r="PH23">
        <f>IF($B23=0,1000000,IF(INDEX('計算A'!$D$60:$EQ$104,$B23,29)*ED23=1,IF(AND($E23=2,JS23=0),1000000,IF($I23&gt;0,IF(2=$J23,IF(OR(AND(29=$I23+1,OR($K23&lt;&gt;'計算A'!$A$3,'計算A'!$A$4=0)),AND(29=$I23-1,OR(5&lt;&gt;'計算A'!$A$3,'計算A'!$A$4=0))),0,IF(5=$K23,200000,ABS(5-$K23)*100)),100000+ABS(2-$J23)*1000+50)+'計算A'!AF$5*50+IF(AND($E23=1,JS23=0),25,0),INDEX('計算A'!AF$110:AF$114,$F23+1)+IF(AND($E23=1,JS23=0),1000,0)+IF($H23=1,(IF('計算A'!AE$117=1,INDEX('計算A'!AE$10:AE$54,$B23),0)+IF('計算A'!AF$117=1,INDEX('計算A'!AG$10:AG$54,$B23),0))*500,0)-IF(AND('計算A'!AE$117=1,VC23&gt;0),300,0)-IF(AND($L23=1,'計算A'!AF$117=1,EE23=0),300,0))),1000000))</f>
        <v/>
      </c>
      <c r="PI23">
        <f>IF($B23=0,1000000,IF(INDEX('計算A'!$D$60:$EQ$104,$B23,30)*EE23=1,IF(AND($E23=2,JT23=0),1000000,IF($I23&gt;0,IF(2=$J23,IF(OR(AND(30=$I23+1,OR($K23&lt;&gt;'計算A'!$A$3,'計算A'!$A$4=0)),AND(30=$I23-1,OR(6&lt;&gt;'計算A'!$A$3,'計算A'!$A$4=0))),0,IF(6=$K23,200000,ABS(6-$K23)*100)),100000+ABS(2-$J23)*1000+60)+'計算A'!AG$5*50+IF(AND($E23=1,JT23=0),25,0),INDEX('計算A'!AG$110:AG$114,$F23+1)+IF(AND($E23=1,JT23=0),1000,0)+IF($H23=1,(IF('計算A'!AF$117=1,INDEX('計算A'!AF$10:AF$54,$B23),0)+IF('計算A'!AG$117=1,INDEX('計算A'!AH$10:AH$54,$B23),0))*500,0)-IF(AND('計算A'!AF$117=1,VD23&gt;0),300,0)-IF(AND($L23=1,'計算A'!AG$117=1,EF23=0),300,0))),1000000))</f>
        <v/>
      </c>
      <c r="PJ23">
        <f>IF($B23=0,1000000,IF(INDEX('計算A'!$D$60:$EQ$104,$B23,31)*EF23=1,IF(AND($E23=2,JU23=0),1000000,IF($I23&gt;0,IF(2=$J23,IF(OR(AND(31=$I23+1,OR($K23&lt;&gt;'計算A'!$A$3,'計算A'!$A$4=0)),AND(31=$I23-1,OR(7&lt;&gt;'計算A'!$A$3,'計算A'!$A$4=0))),0,IF(7=$K23,200000,ABS(7-$K23)*100)),100000+ABS(2-$J23)*1000+70)+'計算A'!AH$5*50+IF(AND($E23=1,JU23=0),25,0),INDEX('計算A'!AH$110:AH$114,$F23+1)+IF(AND($E23=1,JU23=0),1000,0)+IF($H23=1,(IF('計算A'!AG$117=1,INDEX('計算A'!AG$10:AG$54,$B23),0)+IF('計算A'!AH$117=1,INDEX('計算A'!AI$10:AI$54,$B23),0))*500,0)-IF(AND('計算A'!AG$117=1,VE23&gt;0),300,0)-IF(AND($L23=1,'計算A'!AH$117=1,EG23=0),300,0))),1000000))</f>
        <v/>
      </c>
      <c r="PK23">
        <f>IF($B23=0,1000000,IF(INDEX('計算A'!$D$60:$EQ$104,$B23,32)*EG23=1,IF(AND($E23=2,JV23=0),1000000,IF($I23&gt;0,IF(2=$J23,IF(OR(AND(32=$I23+1,OR($K23&lt;&gt;'計算A'!$A$3,'計算A'!$A$4=0)),AND(32=$I23-1,OR(8&lt;&gt;'計算A'!$A$3,'計算A'!$A$4=0))),0,IF(8=$K23,200000,ABS(8-$K23)*100)),100000+ABS(2-$J23)*1000+80)+'計算A'!AI$5*50+IF(AND($E23=1,JV23=0),25,0),INDEX('計算A'!AI$110:AI$114,$F23+1)+IF(AND($E23=1,JV23=0),1000,0)+IF($H23=1,(IF('計算A'!AH$117=1,INDEX('計算A'!AH$10:AH$54,$B23),0)+IF('計算A'!AI$117=1,INDEX('計算A'!AJ$10:AJ$54,$B23),0))*500,0)-IF(AND('計算A'!AH$117=1,VF23&gt;0),300,0)-IF(AND($L23=1,'計算A'!AI$117=1,EH23=0),300,0))),1000000))</f>
        <v/>
      </c>
      <c r="PL23">
        <f>IF($B23=0,1000000,IF(INDEX('計算A'!$D$60:$EQ$104,$B23,33)*EH23=1,IF(AND($E23=2,JW23=0),1000000,IF($I23&gt;0,IF(2=$J23,IF(OR(AND(33=$I23+1,OR($K23&lt;&gt;'計算A'!$A$3,'計算A'!$A$4=0)),AND(33=$I23-1,OR(9&lt;&gt;'計算A'!$A$3,'計算A'!$A$4=0))),0,IF(9=$K23,200000,ABS(9-$K23)*100)),100000+ABS(2-$J23)*1000+90)+'計算A'!AJ$5*50+IF(AND($E23=1,JW23=0),25,0),INDEX('計算A'!AJ$110:AJ$114,$F23+1)+IF(AND($E23=1,JW23=0),1000,0)+IF($H23=1,(IF('計算A'!AI$117=1,INDEX('計算A'!AI$10:AI$54,$B23),0)+IF('計算A'!AJ$117=1,INDEX('計算A'!AK$10:AK$54,$B23),0))*500,0)-IF(AND('計算A'!AI$117=1,VG23&gt;0),300,0)-IF(AND($L23=1,'計算A'!AJ$117=1,EI23=0),300,0))),1000000))</f>
        <v/>
      </c>
      <c r="PM23">
        <f>IF($B23=0,1000000,IF(INDEX('計算A'!$D$60:$EQ$104,$B23,34)*EI23=1,IF(AND($E23=2,JX23=0),1000000,IF($I23&gt;0,IF(2=$J23,IF(OR(AND(34=$I23+1,OR($K23&lt;&gt;'計算A'!$A$3,'計算A'!$A$4=0)),AND(34=$I23-1,OR(10&lt;&gt;'計算A'!$A$3,'計算A'!$A$4=0))),0,IF(10=$K23,200000,ABS(10-$K23)*100)),100000+ABS(2-$J23)*1000+100)+'計算A'!AK$5*50+IF(AND($E23=1,JX23=0),25,0),INDEX('計算A'!AK$110:AK$114,$F23+1)+IF(AND($E23=1,JX23=0),1000,0)+IF($H23=1,(IF('計算A'!AJ$117=1,INDEX('計算A'!AJ$10:AJ$54,$B23),0)+IF('計算A'!AK$117=1,INDEX('計算A'!AL$10:AL$54,$B23),0))*500,0)-IF(AND('計算A'!AJ$117=1,VH23&gt;0),300,0)-IF(AND($L23=1,'計算A'!AK$117=1,EJ23=0),300,0))),1000000))</f>
        <v/>
      </c>
      <c r="PN23">
        <f>IF($B23=0,1000000,IF(INDEX('計算A'!$D$60:$EQ$104,$B23,35)*EJ23=1,IF(AND($E23=2,JY23=0),1000000,IF($I23&gt;0,IF(2=$J23,IF(OR(AND(35=$I23+1,OR($K23&lt;&gt;'計算A'!$A$3,'計算A'!$A$4=0)),AND(35=$I23-1,OR(11&lt;&gt;'計算A'!$A$3,'計算A'!$A$4=0))),0,IF(11=$K23,200000,ABS(11-$K23)*100)),100000+ABS(2-$J23)*1000+110)+'計算A'!AL$5*50+IF(AND($E23=1,JY23=0),25,0),INDEX('計算A'!AL$110:AL$114,$F23+1)+IF(AND($E23=1,JY23=0),1000,0)+IF($H23=1,(IF('計算A'!AK$117=1,INDEX('計算A'!AK$10:AK$54,$B23),0)+IF('計算A'!AL$117=1,INDEX('計算A'!AM$10:AM$54,$B23),0))*500,0)-IF(AND('計算A'!AK$117=1,VI23&gt;0),300,0)-IF(AND($L23=1,'計算A'!AL$117=1,EK23=0),300,0))),1000000))</f>
        <v/>
      </c>
      <c r="PO23">
        <f>IF($B23=0,1000000,IF(INDEX('計算A'!$D$60:$EQ$104,$B23,36)*EK23=1,IF(AND($E23=2,JZ23=0),1000000,IF($I23&gt;0,IF(2=$J23,IF(OR(AND(36=$I23+1,OR($K23&lt;&gt;'計算A'!$A$3,'計算A'!$A$4=0)),AND(36=$I23-1,OR(12&lt;&gt;'計算A'!$A$3,'計算A'!$A$4=0))),0,IF(12=$K23,200000,ABS(12-$K23)*100)),100000+ABS(2-$J23)*1000+120)+'計算A'!AM$5*50+IF(AND($E23=1,JZ23=0),25,0),INDEX('計算A'!AM$110:AM$114,$F23+1)+IF(AND($E23=1,JZ23=0),1000,0)+IF($H23=1,(IF('計算A'!AL$117=1,INDEX('計算A'!AL$10:AL$54,$B23),0)+IF('計算A'!AM$117=1,INDEX('計算A'!AN$10:AN$54,$B23),0))*500,0)-IF(AND('計算A'!AL$117=1,VJ23&gt;0),300,0)-IF(AND($L23=1,'計算A'!AM$117=1,EL23=0),300,0))),1000000))</f>
        <v/>
      </c>
      <c r="PP23">
        <f>IF($B23=0,1000000,IF(INDEX('計算A'!$D$60:$EQ$104,$B23,37)*EL23=1,IF(AND($E23=2,KA23=0),1000000,IF($I23&gt;0,IF(2=$J23,IF(OR(AND(37=$I23+1,OR($K23&lt;&gt;'計算A'!$A$3,'計算A'!$A$4=0)),AND(37=$I23-1,OR(13&lt;&gt;'計算A'!$A$3,'計算A'!$A$4=0))),0,IF(13=$K23,200000,ABS(13-$K23)*100)),100000+ABS(2-$J23)*1000+130)+'計算A'!AN$5*50+IF(AND($E23=1,KA23=0),25,0),INDEX('計算A'!AN$110:AN$114,$F23+1)+IF(AND($E23=1,KA23=0),1000,0)+IF($H23=1,(IF('計算A'!AM$117=1,INDEX('計算A'!AM$10:AM$54,$B23),0)+IF('計算A'!AN$117=1,INDEX('計算A'!AO$10:AO$54,$B23),0))*500,0)-IF(AND('計算A'!AM$117=1,VK23&gt;0),300,0)-IF(AND($L23=1,'計算A'!AN$117=1,EM23=0),300,0))),1000000))</f>
        <v/>
      </c>
      <c r="PQ23">
        <f>IF($B23=0,1000000,IF(INDEX('計算A'!$D$60:$EQ$104,$B23,38)*EM23=1,IF(AND($E23=2,KB23=0),1000000,IF($I23&gt;0,IF(2=$J23,IF(OR(AND(38=$I23+1,OR($K23&lt;&gt;'計算A'!$A$3,'計算A'!$A$4=0)),AND(38=$I23-1,OR(14&lt;&gt;'計算A'!$A$3,'計算A'!$A$4=0))),0,IF(14=$K23,200000,ABS(14-$K23)*100)),100000+ABS(2-$J23)*1000+140)+'計算A'!AO$5*50+IF(AND($E23=1,KB23=0),25,0),INDEX('計算A'!AO$110:AO$114,$F23+1)+IF(AND($E23=1,KB23=0),1000,0)+IF($H23=1,(IF('計算A'!AN$117=1,INDEX('計算A'!AN$10:AN$54,$B23),0)+IF('計算A'!AO$117=1,INDEX('計算A'!AP$10:AP$54,$B23),0))*500,0)-IF(AND('計算A'!AN$117=1,VL23&gt;0),300,0)-IF(AND($L23=1,'計算A'!AO$117=1,EN23=0),300,0))),1000000))</f>
        <v/>
      </c>
      <c r="PR23">
        <f>IF($B23=0,1000000,IF(INDEX('計算A'!$D$60:$EQ$104,$B23,39)*EN23=1,IF(AND($E23=2,KC23=0),1000000,IF($I23&gt;0,IF(2=$J23,IF(OR(AND(39=$I23+1,OR($K23&lt;&gt;'計算A'!$A$3,'計算A'!$A$4=0)),AND(39=$I23-1,OR(15&lt;&gt;'計算A'!$A$3,'計算A'!$A$4=0))),0,IF(15=$K23,200000,ABS(15-$K23)*100)),100000+ABS(2-$J23)*1000+150)+'計算A'!AP$5*50+IF(AND($E23=1,KC23=0),25,0),INDEX('計算A'!AP$110:AP$114,$F23+1)+IF(AND($E23=1,KC23=0),1000,0)+IF($H23=1,(IF('計算A'!AO$117=1,INDEX('計算A'!AO$10:AO$54,$B23),0)+IF('計算A'!AP$117=1,INDEX('計算A'!AQ$10:AQ$54,$B23),0))*500,0)-IF(AND('計算A'!AO$117=1,VM23&gt;0),300,0)-IF(AND($L23=1,'計算A'!AP$117=1,EO23=0),300,0))),1000000))</f>
        <v/>
      </c>
      <c r="PS23">
        <f>IF($B23=0,1000000,IF(INDEX('計算A'!$D$60:$EQ$104,$B23,40)*EO23=1,IF(AND($E23=2,KD23=0),1000000,IF($I23&gt;0,IF(2=$J23,IF(OR(AND(40=$I23+1,OR($K23&lt;&gt;'計算A'!$A$3,'計算A'!$A$4=0)),AND(40=$I23-1,OR(16&lt;&gt;'計算A'!$A$3,'計算A'!$A$4=0))),0,IF(16=$K23,200000,ABS(16-$K23)*100)),100000+ABS(2-$J23)*1000+160)+'計算A'!AQ$5*50+IF(AND($E23=1,KD23=0),25,0),INDEX('計算A'!AQ$110:AQ$114,$F23+1)+IF(AND($E23=1,KD23=0),1000,0)+IF($H23=1,(IF('計算A'!AP$117=1,INDEX('計算A'!AP$10:AP$54,$B23),0)+IF('計算A'!AQ$117=1,INDEX('計算A'!AR$10:AR$54,$B23),0))*500,0)-IF(AND('計算A'!AP$117=1,VN23&gt;0),300,0)-IF(AND($L23=1,'計算A'!AQ$117=1,EP23=0),300,0))),1000000))</f>
        <v/>
      </c>
      <c r="PT23">
        <f>IF($B23=0,1000000,IF(INDEX('計算A'!$D$60:$EQ$104,$B23,41)*EP23=1,IF(AND($E23=2,KE23=0),1000000,IF($I23&gt;0,IF(2=$J23,IF(OR(AND(41=$I23+1,OR($K23&lt;&gt;'計算A'!$A$3,'計算A'!$A$4=0)),AND(41=$I23-1,OR(17&lt;&gt;'計算A'!$A$3,'計算A'!$A$4=0))),0,IF(17=$K23,200000,ABS(17-$K23)*100)),100000+ABS(2-$J23)*1000+170)+'計算A'!AR$5*50+IF(AND($E23=1,KE23=0),25,0),INDEX('計算A'!AR$110:AR$114,$F23+1)+IF(AND($E23=1,KE23=0),1000,0)+IF($H23=1,(IF('計算A'!AQ$117=1,INDEX('計算A'!AQ$10:AQ$54,$B23),0)+IF('計算A'!AR$117=1,INDEX('計算A'!AS$10:AS$54,$B23),0))*500,0)-IF(AND('計算A'!AQ$117=1,VO23&gt;0),300,0)-IF(AND($L23=1,'計算A'!AR$117=1,EQ23=0),300,0))),1000000))</f>
        <v/>
      </c>
      <c r="PU23">
        <f>IF($B23=0,1000000,IF(INDEX('計算A'!$D$60:$EQ$104,$B23,42)*EQ23=1,IF(AND($E23=2,KF23=0),1000000,IF($I23&gt;0,IF(2=$J23,IF(OR(AND(42=$I23+1,OR($K23&lt;&gt;'計算A'!$A$3,'計算A'!$A$4=0)),AND(42=$I23-1,OR(18&lt;&gt;'計算A'!$A$3,'計算A'!$A$4=0))),0,IF(18=$K23,200000,ABS(18-$K23)*100)),100000+ABS(2-$J23)*1000+180)+'計算A'!AS$5*50+IF(AND($E23=1,KF23=0),25,0),INDEX('計算A'!AS$110:AS$114,$F23+1)+IF(AND($E23=1,KF23=0),1000,0)+IF($H23=1,(IF('計算A'!AR$117=1,INDEX('計算A'!AR$10:AR$54,$B23),0)+IF('計算A'!AS$117=1,INDEX('計算A'!AT$10:AT$54,$B23),0))*500,0)-IF(AND('計算A'!AR$117=1,VP23&gt;0),300,0)-IF(AND($L23=1,'計算A'!AS$117=1,ER23=0),300,0))),1000000))</f>
        <v/>
      </c>
      <c r="PV23">
        <f>IF($B23=0,1000000,IF(INDEX('計算A'!$D$60:$EQ$104,$B23,43)*ER23=1,IF(AND($E23=2,KG23=0),1000000,IF($I23&gt;0,IF(2=$J23,IF(OR(AND(43=$I23+1,OR($K23&lt;&gt;'計算A'!$A$3,'計算A'!$A$4=0)),AND(43=$I23-1,OR(19&lt;&gt;'計算A'!$A$3,'計算A'!$A$4=0))),0,IF(19=$K23,200000,ABS(19-$K23)*100)),100000+ABS(2-$J23)*1000+190)+'計算A'!AT$5*50+IF(AND($E23=1,KG23=0),25,0),INDEX('計算A'!AT$110:AT$114,$F23+1)+IF(AND($E23=1,KG23=0),1000,0)+IF($H23=1,(IF('計算A'!AS$117=1,INDEX('計算A'!AS$10:AS$54,$B23),0)+IF('計算A'!AT$117=1,INDEX('計算A'!AU$10:AU$54,$B23),0))*500,0)-IF(AND('計算A'!AS$117=1,VQ23&gt;0),300,0)-IF(AND($L23=1,'計算A'!AT$117=1,ES23=0),300,0))),1000000))</f>
        <v/>
      </c>
      <c r="PW23">
        <f>IF($B23=0,1000000,IF(INDEX('計算A'!$D$60:$EQ$104,$B23,44)*ES23=1,IF(AND($E23=2,KH23=0),1000000,IF($I23&gt;0,IF(2=$J23,IF(OR(AND(44=$I23+1,OR($K23&lt;&gt;'計算A'!$A$3,'計算A'!$A$4=0)),AND(44=$I23-1,OR(20&lt;&gt;'計算A'!$A$3,'計算A'!$A$4=0))),0,IF(20=$K23,200000,ABS(20-$K23)*100)),100000+ABS(2-$J23)*1000+200)+'計算A'!AU$5*50+IF(AND($E23=1,KH23=0),25,0),INDEX('計算A'!AU$110:AU$114,$F23+1)+IF(AND($E23=1,KH23=0),1000,0)+IF($H23=1,(IF('計算A'!AT$117=1,INDEX('計算A'!AT$10:AT$54,$B23),0)+IF('計算A'!AU$117=1,INDEX('計算A'!AV$10:AV$54,$B23),0))*500,0)-IF(AND('計算A'!AT$117=1,VR23&gt;0),300,0)-IF(AND($L23=1,'計算A'!AU$117=1,ET23=0),300,0))),1000000))</f>
        <v/>
      </c>
      <c r="PX23">
        <f>IF($B23=0,1000000,IF(INDEX('計算A'!$D$60:$EQ$104,$B23,45)*ET23=1,IF(AND($E23=2,KI23=0),1000000,IF($I23&gt;0,IF(2=$J23,IF(OR(AND(45=$I23+1,OR($K23&lt;&gt;'計算A'!$A$3,'計算A'!$A$4=0)),AND(45=$I23-1,OR(21&lt;&gt;'計算A'!$A$3,'計算A'!$A$4=0))),0,IF(21=$K23,200000,ABS(21-$K23)*100)),100000+ABS(2-$J23)*1000+210)+'計算A'!AV$5*50+IF(AND($E23=1,KI23=0),25,0),INDEX('計算A'!AV$110:AV$114,$F23+1)+IF(AND($E23=1,KI23=0),1000,0)+IF($H23=1,(IF('計算A'!AU$117=1,INDEX('計算A'!AU$10:AU$54,$B23),0)+IF('計算A'!AV$117=1,INDEX('計算A'!AW$10:AW$54,$B23),0))*500,0)-IF(AND('計算A'!AU$117=1,VS23&gt;0),300,0)-IF(AND($L23=1,'計算A'!AV$117=1,EU23=0),300,0))),1000000))</f>
        <v/>
      </c>
      <c r="PY23">
        <f>IF($B23=0,1000000,IF(INDEX('計算A'!$D$60:$EQ$104,$B23,46)*EU23=1,IF(AND($E23=2,KJ23=0),1000000,IF($I23&gt;0,IF(2=$J23,IF(OR(AND(46=$I23+1,OR($K23&lt;&gt;'計算A'!$A$3,'計算A'!$A$4=0)),AND(46=$I23-1,OR(22&lt;&gt;'計算A'!$A$3,'計算A'!$A$4=0))),0,IF(22=$K23,200000,ABS(22-$K23)*100)),100000+ABS(2-$J23)*1000+220)+'計算A'!AW$5*50+IF(AND($E23=1,KJ23=0),25,0),INDEX('計算A'!AW$110:AW$114,$F23+1)+IF(AND($E23=1,KJ23=0),1000,0)+IF($H23=1,(IF('計算A'!AV$117=1,INDEX('計算A'!AV$10:AV$54,$B23),0)+IF('計算A'!AW$117=1,INDEX('計算A'!AX$10:AX$54,$B23),0))*500,0)-IF(AND('計算A'!AV$117=1,VT23&gt;0),300,0)-IF(AND($L23=1,'計算A'!AW$117=1,EV23=0),300,0))),1000000))</f>
        <v/>
      </c>
      <c r="PZ23">
        <f>IF($B23=0,1000000,IF(INDEX('計算A'!$D$60:$EQ$104,$B23,47)*EV23=1,IF(AND($E23=2,KK23=0),1000000,IF($I23&gt;0,IF(2=$J23,IF(OR(AND(47=$I23+1,OR($K23&lt;&gt;'計算A'!$A$3,'計算A'!$A$4=0)),AND(47=$I23-1,OR(23&lt;&gt;'計算A'!$A$3,'計算A'!$A$4=0))),0,IF(23=$K23,200000,ABS(23-$K23)*100)),100000+ABS(2-$J23)*1000+230)+'計算A'!AX$5*50+IF(AND($E23=1,KK23=0),25,0),INDEX('計算A'!AX$110:AX$114,$F23+1)+IF(AND($E23=1,KK23=0),1000,0)+IF($H23=1,(IF('計算A'!AW$117=1,INDEX('計算A'!AW$10:AW$54,$B23),0)+IF('計算A'!AX$117=1,INDEX('計算A'!AY$10:AY$54,$B23),0))*500,0)-IF(AND('計算A'!AW$117=1,VU23&gt;0),300,0)-IF(AND($L23=1,'計算A'!AX$117=1,EW23=0),300,0))),1000000))</f>
        <v/>
      </c>
      <c r="QA23">
        <f>IF($B23=0,1000000,IF(INDEX('計算A'!$D$60:$EQ$104,$B23,48)*EW23=1,IF(AND($E23=2,KL23=0),1000000,IF($I23&gt;0,IF(2=$J23,IF(OR(AND(48=$I23+1,OR($K23&lt;&gt;'計算A'!$A$3,'計算A'!$A$4=0)),AND(48=$I23-1,OR(24&lt;&gt;'計算A'!$A$3,'計算A'!$A$4=0))),0,IF(24=$K23,200000,ABS(24-$K23)*100)),100000+ABS(2-$J23)*1000+240)+'計算A'!AY$5*50+IF(AND($E23=1,KL23=0),25,0),INDEX('計算A'!AY$110:AY$114,$F23+1)+IF(AND($E23=1,KL23=0),1000,0)+IF($H23=1,(IF('計算A'!AX$117=1,INDEX('計算A'!AX$10:AX$54,$B23),0))*500,0)-IF(AND('計算A'!AX$117=1,VV23&gt;0),300,0))),1000000))</f>
        <v/>
      </c>
      <c r="QB23">
        <f>IF($B23=0,1000000,IF(INDEX('計算A'!$D$60:$EQ$104,$B23,49)*EX23=1,IF(AND($E23=2,KM23=0),1000000,IF($I23&gt;0,IF(3=$J23,IF(OR(AND(49=$I23+1,OR($K23&lt;&gt;'計算A'!$A$3,'計算A'!$A$4=0)),AND(49=$I23-1,OR(1&lt;&gt;'計算A'!$A$3,'計算A'!$A$4=0))),0,IF(1=$K23,200000,ABS(1-$K23)*100)),100000+ABS(3-$J23)*1000+10)+'計算A'!AZ$5*50+IF(AND($E23=1,KM23=0),25,0),INDEX('計算A'!AZ$110:AZ$114,$F23+1)+IF(AND($E23=1,KM23=0),1000,0)+IF($H23=1,(IF('計算A'!AZ$117=1,INDEX('計算A'!BA$10:BA$54,$B23),0))*500,0)-IF(AND($L23=1,'計算A'!AZ$117=1,EY23=0),300,0))),1000000))</f>
        <v/>
      </c>
      <c r="QC23">
        <f>IF($B23=0,1000000,IF(INDEX('計算A'!$D$60:$EQ$104,$B23,50)*EY23=1,IF(AND($E23=2,KN23=0),1000000,IF($I23&gt;0,IF(3=$J23,IF(OR(AND(50=$I23+1,OR($K23&lt;&gt;'計算A'!$A$3,'計算A'!$A$4=0)),AND(50=$I23-1,OR(2&lt;&gt;'計算A'!$A$3,'計算A'!$A$4=0))),0,IF(2=$K23,200000,ABS(2-$K23)*100)),100000+ABS(3-$J23)*1000+20)+'計算A'!BA$5*50+IF(AND($E23=1,KN23=0),25,0),INDEX('計算A'!BA$110:BA$114,$F23+1)+IF(AND($E23=1,KN23=0),1000,0)+IF($H23=1,(IF('計算A'!AZ$117=1,INDEX('計算A'!AZ$10:AZ$54,$B23),0)+IF('計算A'!BA$117=1,INDEX('計算A'!BB$10:BB$54,$B23),0))*500,0)-IF(AND('計算A'!AZ$117=1,VX23&gt;0),300,0)-IF(AND($L23=1,'計算A'!BA$117=1,EZ23=0),300,0))),1000000))</f>
        <v/>
      </c>
      <c r="QD23">
        <f>IF($B23=0,1000000,IF(INDEX('計算A'!$D$60:$EQ$104,$B23,51)*EZ23=1,IF(AND($E23=2,KO23=0),1000000,IF($I23&gt;0,IF(3=$J23,IF(OR(AND(51=$I23+1,OR($K23&lt;&gt;'計算A'!$A$3,'計算A'!$A$4=0)),AND(51=$I23-1,OR(3&lt;&gt;'計算A'!$A$3,'計算A'!$A$4=0))),0,IF(3=$K23,200000,ABS(3-$K23)*100)),100000+ABS(3-$J23)*1000+30)+'計算A'!BB$5*50+IF(AND($E23=1,KO23=0),25,0),INDEX('計算A'!BB$110:BB$114,$F23+1)+IF(AND($E23=1,KO23=0),1000,0)+IF($H23=1,(IF('計算A'!BA$117=1,INDEX('計算A'!BA$10:BA$54,$B23),0)+IF('計算A'!BB$117=1,INDEX('計算A'!BC$10:BC$54,$B23),0))*500,0)-IF(AND('計算A'!BA$117=1,VY23&gt;0),300,0)-IF(AND($L23=1,'計算A'!BB$117=1,FA23=0),300,0))),1000000))</f>
        <v/>
      </c>
      <c r="QE23">
        <f>IF($B23=0,1000000,IF(INDEX('計算A'!$D$60:$EQ$104,$B23,52)*FA23=1,IF(AND($E23=2,KP23=0),1000000,IF($I23&gt;0,IF(3=$J23,IF(OR(AND(52=$I23+1,OR($K23&lt;&gt;'計算A'!$A$3,'計算A'!$A$4=0)),AND(52=$I23-1,OR(4&lt;&gt;'計算A'!$A$3,'計算A'!$A$4=0))),0,IF(4=$K23,200000,ABS(4-$K23)*100)),100000+ABS(3-$J23)*1000+40)+'計算A'!BC$5*50+IF(AND($E23=1,KP23=0),25,0),INDEX('計算A'!BC$110:BC$114,$F23+1)+IF(AND($E23=1,KP23=0),1000,0)+IF($H23=1,(IF('計算A'!BB$117=1,INDEX('計算A'!BB$10:BB$54,$B23),0)+IF('計算A'!BC$117=1,INDEX('計算A'!BD$10:BD$54,$B23),0))*500,0)-IF(AND('計算A'!BB$117=1,VZ23&gt;0),300,0)-IF(AND($L23=1,'計算A'!BC$117=1,FB23=0),300,0))),1000000))</f>
        <v/>
      </c>
      <c r="QF23">
        <f>IF($B23=0,1000000,IF(INDEX('計算A'!$D$60:$EQ$104,$B23,53)*FB23=1,IF(AND($E23=2,KQ23=0),1000000,IF($I23&gt;0,IF(3=$J23,IF(OR(AND(53=$I23+1,OR($K23&lt;&gt;'計算A'!$A$3,'計算A'!$A$4=0)),AND(53=$I23-1,OR(5&lt;&gt;'計算A'!$A$3,'計算A'!$A$4=0))),0,IF(5=$K23,200000,ABS(5-$K23)*100)),100000+ABS(3-$J23)*1000+50)+'計算A'!BD$5*50+IF(AND($E23=1,KQ23=0),25,0),INDEX('計算A'!BD$110:BD$114,$F23+1)+IF(AND($E23=1,KQ23=0),1000,0)+IF($H23=1,(IF('計算A'!BC$117=1,INDEX('計算A'!BC$10:BC$54,$B23),0)+IF('計算A'!BD$117=1,INDEX('計算A'!BE$10:BE$54,$B23),0))*500,0)-IF(AND('計算A'!BC$117=1,WA23&gt;0),300,0)-IF(AND($L23=1,'計算A'!BD$117=1,FC23=0),300,0))),1000000))</f>
        <v/>
      </c>
      <c r="QG23">
        <f>IF($B23=0,1000000,IF(INDEX('計算A'!$D$60:$EQ$104,$B23,54)*FC23=1,IF(AND($E23=2,KR23=0),1000000,IF($I23&gt;0,IF(3=$J23,IF(OR(AND(54=$I23+1,OR($K23&lt;&gt;'計算A'!$A$3,'計算A'!$A$4=0)),AND(54=$I23-1,OR(6&lt;&gt;'計算A'!$A$3,'計算A'!$A$4=0))),0,IF(6=$K23,200000,ABS(6-$K23)*100)),100000+ABS(3-$J23)*1000+60)+'計算A'!BE$5*50+IF(AND($E23=1,KR23=0),25,0),INDEX('計算A'!BE$110:BE$114,$F23+1)+IF(AND($E23=1,KR23=0),1000,0)+IF($H23=1,(IF('計算A'!BD$117=1,INDEX('計算A'!BD$10:BD$54,$B23),0)+IF('計算A'!BE$117=1,INDEX('計算A'!BF$10:BF$54,$B23),0))*500,0)-IF(AND('計算A'!BD$117=1,WB23&gt;0),300,0)-IF(AND($L23=1,'計算A'!BE$117=1,FD23=0),300,0))),1000000))</f>
        <v/>
      </c>
      <c r="QH23">
        <f>IF($B23=0,1000000,IF(INDEX('計算A'!$D$60:$EQ$104,$B23,55)*FD23=1,IF(AND($E23=2,KS23=0),1000000,IF($I23&gt;0,IF(3=$J23,IF(OR(AND(55=$I23+1,OR($K23&lt;&gt;'計算A'!$A$3,'計算A'!$A$4=0)),AND(55=$I23-1,OR(7&lt;&gt;'計算A'!$A$3,'計算A'!$A$4=0))),0,IF(7=$K23,200000,ABS(7-$K23)*100)),100000+ABS(3-$J23)*1000+70)+'計算A'!BF$5*50+IF(AND($E23=1,KS23=0),25,0),INDEX('計算A'!BF$110:BF$114,$F23+1)+IF(AND($E23=1,KS23=0),1000,0)+IF($H23=1,(IF('計算A'!BE$117=1,INDEX('計算A'!BE$10:BE$54,$B23),0)+IF('計算A'!BF$117=1,INDEX('計算A'!BG$10:BG$54,$B23),0))*500,0)-IF(AND('計算A'!BE$117=1,WC23&gt;0),300,0)-IF(AND($L23=1,'計算A'!BF$117=1,FE23=0),300,0))),1000000))</f>
        <v/>
      </c>
      <c r="QI23">
        <f>IF($B23=0,1000000,IF(INDEX('計算A'!$D$60:$EQ$104,$B23,56)*FE23=1,IF(AND($E23=2,KT23=0),1000000,IF($I23&gt;0,IF(3=$J23,IF(OR(AND(56=$I23+1,OR($K23&lt;&gt;'計算A'!$A$3,'計算A'!$A$4=0)),AND(56=$I23-1,OR(8&lt;&gt;'計算A'!$A$3,'計算A'!$A$4=0))),0,IF(8=$K23,200000,ABS(8-$K23)*100)),100000+ABS(3-$J23)*1000+80)+'計算A'!BG$5*50+IF(AND($E23=1,KT23=0),25,0),INDEX('計算A'!BG$110:BG$114,$F23+1)+IF(AND($E23=1,KT23=0),1000,0)+IF($H23=1,(IF('計算A'!BF$117=1,INDEX('計算A'!BF$10:BF$54,$B23),0)+IF('計算A'!BG$117=1,INDEX('計算A'!BH$10:BH$54,$B23),0))*500,0)-IF(AND('計算A'!BF$117=1,WD23&gt;0),300,0)-IF(AND($L23=1,'計算A'!BG$117=1,FF23=0),300,0))),1000000))</f>
        <v/>
      </c>
      <c r="QJ23">
        <f>IF($B23=0,1000000,IF(INDEX('計算A'!$D$60:$EQ$104,$B23,57)*FF23=1,IF(AND($E23=2,KU23=0),1000000,IF($I23&gt;0,IF(3=$J23,IF(OR(AND(57=$I23+1,OR($K23&lt;&gt;'計算A'!$A$3,'計算A'!$A$4=0)),AND(57=$I23-1,OR(9&lt;&gt;'計算A'!$A$3,'計算A'!$A$4=0))),0,IF(9=$K23,200000,ABS(9-$K23)*100)),100000+ABS(3-$J23)*1000+90)+'計算A'!BH$5*50+IF(AND($E23=1,KU23=0),25,0),INDEX('計算A'!BH$110:BH$114,$F23+1)+IF(AND($E23=1,KU23=0),1000,0)+IF($H23=1,(IF('計算A'!BG$117=1,INDEX('計算A'!BG$10:BG$54,$B23),0)+IF('計算A'!BH$117=1,INDEX('計算A'!BI$10:BI$54,$B23),0))*500,0)-IF(AND('計算A'!BG$117=1,WE23&gt;0),300,0)-IF(AND($L23=1,'計算A'!BH$117=1,FG23=0),300,0))),1000000))</f>
        <v/>
      </c>
      <c r="QK23">
        <f>IF($B23=0,1000000,IF(INDEX('計算A'!$D$60:$EQ$104,$B23,58)*FG23=1,IF(AND($E23=2,KV23=0),1000000,IF($I23&gt;0,IF(3=$J23,IF(OR(AND(58=$I23+1,OR($K23&lt;&gt;'計算A'!$A$3,'計算A'!$A$4=0)),AND(58=$I23-1,OR(10&lt;&gt;'計算A'!$A$3,'計算A'!$A$4=0))),0,IF(10=$K23,200000,ABS(10-$K23)*100)),100000+ABS(3-$J23)*1000+100)+'計算A'!BI$5*50+IF(AND($E23=1,KV23=0),25,0),INDEX('計算A'!BI$110:BI$114,$F23+1)+IF(AND($E23=1,KV23=0),1000,0)+IF($H23=1,(IF('計算A'!BH$117=1,INDEX('計算A'!BH$10:BH$54,$B23),0)+IF('計算A'!BI$117=1,INDEX('計算A'!BJ$10:BJ$54,$B23),0))*500,0)-IF(AND('計算A'!BH$117=1,WF23&gt;0),300,0)-IF(AND($L23=1,'計算A'!BI$117=1,FH23=0),300,0))),1000000))</f>
        <v/>
      </c>
      <c r="QL23">
        <f>IF($B23=0,1000000,IF(INDEX('計算A'!$D$60:$EQ$104,$B23,59)*FH23=1,IF(AND($E23=2,KW23=0),1000000,IF($I23&gt;0,IF(3=$J23,IF(OR(AND(59=$I23+1,OR($K23&lt;&gt;'計算A'!$A$3,'計算A'!$A$4=0)),AND(59=$I23-1,OR(11&lt;&gt;'計算A'!$A$3,'計算A'!$A$4=0))),0,IF(11=$K23,200000,ABS(11-$K23)*100)),100000+ABS(3-$J23)*1000+110)+'計算A'!BJ$5*50+IF(AND($E23=1,KW23=0),25,0),INDEX('計算A'!BJ$110:BJ$114,$F23+1)+IF(AND($E23=1,KW23=0),1000,0)+IF($H23=1,(IF('計算A'!BI$117=1,INDEX('計算A'!BI$10:BI$54,$B23),0)+IF('計算A'!BJ$117=1,INDEX('計算A'!BK$10:BK$54,$B23),0))*500,0)-IF(AND('計算A'!BI$117=1,WG23&gt;0),300,0)-IF(AND($L23=1,'計算A'!BJ$117=1,FI23=0),300,0))),1000000))</f>
        <v/>
      </c>
      <c r="QM23">
        <f>IF($B23=0,1000000,IF(INDEX('計算A'!$D$60:$EQ$104,$B23,60)*FI23=1,IF(AND($E23=2,KX23=0),1000000,IF($I23&gt;0,IF(3=$J23,IF(OR(AND(60=$I23+1,OR($K23&lt;&gt;'計算A'!$A$3,'計算A'!$A$4=0)),AND(60=$I23-1,OR(12&lt;&gt;'計算A'!$A$3,'計算A'!$A$4=0))),0,IF(12=$K23,200000,ABS(12-$K23)*100)),100000+ABS(3-$J23)*1000+120)+'計算A'!BK$5*50+IF(AND($E23=1,KX23=0),25,0),INDEX('計算A'!BK$110:BK$114,$F23+1)+IF(AND($E23=1,KX23=0),1000,0)+IF($H23=1,(IF('計算A'!BJ$117=1,INDEX('計算A'!BJ$10:BJ$54,$B23),0)+IF('計算A'!BK$117=1,INDEX('計算A'!BL$10:BL$54,$B23),0))*500,0)-IF(AND('計算A'!BJ$117=1,WH23&gt;0),300,0)-IF(AND($L23=1,'計算A'!BK$117=1,FJ23=0),300,0))),1000000))</f>
        <v/>
      </c>
      <c r="QN23">
        <f>IF($B23=0,1000000,IF(INDEX('計算A'!$D$60:$EQ$104,$B23,61)*FJ23=1,IF(AND($E23=2,KY23=0),1000000,IF($I23&gt;0,IF(3=$J23,IF(OR(AND(61=$I23+1,OR($K23&lt;&gt;'計算A'!$A$3,'計算A'!$A$4=0)),AND(61=$I23-1,OR(13&lt;&gt;'計算A'!$A$3,'計算A'!$A$4=0))),0,IF(13=$K23,200000,ABS(13-$K23)*100)),100000+ABS(3-$J23)*1000+130)+'計算A'!BL$5*50+IF(AND($E23=1,KY23=0),25,0),INDEX('計算A'!BL$110:BL$114,$F23+1)+IF(AND($E23=1,KY23=0),1000,0)+IF($H23=1,(IF('計算A'!BK$117=1,INDEX('計算A'!BK$10:BK$54,$B23),0)+IF('計算A'!BL$117=1,INDEX('計算A'!BM$10:BM$54,$B23),0))*500,0)-IF(AND('計算A'!BK$117=1,WI23&gt;0),300,0)-IF(AND($L23=1,'計算A'!BL$117=1,FK23=0),300,0))),1000000))</f>
        <v/>
      </c>
      <c r="QO23">
        <f>IF($B23=0,1000000,IF(INDEX('計算A'!$D$60:$EQ$104,$B23,62)*FK23=1,IF(AND($E23=2,KZ23=0),1000000,IF($I23&gt;0,IF(3=$J23,IF(OR(AND(62=$I23+1,OR($K23&lt;&gt;'計算A'!$A$3,'計算A'!$A$4=0)),AND(62=$I23-1,OR(14&lt;&gt;'計算A'!$A$3,'計算A'!$A$4=0))),0,IF(14=$K23,200000,ABS(14-$K23)*100)),100000+ABS(3-$J23)*1000+140)+'計算A'!BM$5*50+IF(AND($E23=1,KZ23=0),25,0),INDEX('計算A'!BM$110:BM$114,$F23+1)+IF(AND($E23=1,KZ23=0),1000,0)+IF($H23=1,(IF('計算A'!BL$117=1,INDEX('計算A'!BL$10:BL$54,$B23),0)+IF('計算A'!BM$117=1,INDEX('計算A'!BN$10:BN$54,$B23),0))*500,0)-IF(AND('計算A'!BL$117=1,WJ23&gt;0),300,0)-IF(AND($L23=1,'計算A'!BM$117=1,FL23=0),300,0))),1000000))</f>
        <v/>
      </c>
      <c r="QP23">
        <f>IF($B23=0,1000000,IF(INDEX('計算A'!$D$60:$EQ$104,$B23,63)*FL23=1,IF(AND($E23=2,LA23=0),1000000,IF($I23&gt;0,IF(3=$J23,IF(OR(AND(63=$I23+1,OR($K23&lt;&gt;'計算A'!$A$3,'計算A'!$A$4=0)),AND(63=$I23-1,OR(15&lt;&gt;'計算A'!$A$3,'計算A'!$A$4=0))),0,IF(15=$K23,200000,ABS(15-$K23)*100)),100000+ABS(3-$J23)*1000+150)+'計算A'!BN$5*50+IF(AND($E23=1,LA23=0),25,0),INDEX('計算A'!BN$110:BN$114,$F23+1)+IF(AND($E23=1,LA23=0),1000,0)+IF($H23=1,(IF('計算A'!BM$117=1,INDEX('計算A'!BM$10:BM$54,$B23),0)+IF('計算A'!BN$117=1,INDEX('計算A'!BO$10:BO$54,$B23),0))*500,0)-IF(AND('計算A'!BM$117=1,WK23&gt;0),300,0)-IF(AND($L23=1,'計算A'!BN$117=1,FM23=0),300,0))),1000000))</f>
        <v/>
      </c>
      <c r="QQ23">
        <f>IF($B23=0,1000000,IF(INDEX('計算A'!$D$60:$EQ$104,$B23,64)*FM23=1,IF(AND($E23=2,LB23=0),1000000,IF($I23&gt;0,IF(3=$J23,IF(OR(AND(64=$I23+1,OR($K23&lt;&gt;'計算A'!$A$3,'計算A'!$A$4=0)),AND(64=$I23-1,OR(16&lt;&gt;'計算A'!$A$3,'計算A'!$A$4=0))),0,IF(16=$K23,200000,ABS(16-$K23)*100)),100000+ABS(3-$J23)*1000+160)+'計算A'!BO$5*50+IF(AND($E23=1,LB23=0),25,0),INDEX('計算A'!BO$110:BO$114,$F23+1)+IF(AND($E23=1,LB23=0),1000,0)+IF($H23=1,(IF('計算A'!BN$117=1,INDEX('計算A'!BN$10:BN$54,$B23),0)+IF('計算A'!BO$117=1,INDEX('計算A'!BP$10:BP$54,$B23),0))*500,0)-IF(AND('計算A'!BN$117=1,WL23&gt;0),300,0)-IF(AND($L23=1,'計算A'!BO$117=1,FN23=0),300,0))),1000000))</f>
        <v/>
      </c>
      <c r="QR23">
        <f>IF($B23=0,1000000,IF(INDEX('計算A'!$D$60:$EQ$104,$B23,65)*FN23=1,IF(AND($E23=2,LC23=0),1000000,IF($I23&gt;0,IF(3=$J23,IF(OR(AND(65=$I23+1,OR($K23&lt;&gt;'計算A'!$A$3,'計算A'!$A$4=0)),AND(65=$I23-1,OR(17&lt;&gt;'計算A'!$A$3,'計算A'!$A$4=0))),0,IF(17=$K23,200000,ABS(17-$K23)*100)),100000+ABS(3-$J23)*1000+170)+'計算A'!BP$5*50+IF(AND($E23=1,LC23=0),25,0),INDEX('計算A'!BP$110:BP$114,$F23+1)+IF(AND($E23=1,LC23=0),1000,0)+IF($H23=1,(IF('計算A'!BO$117=1,INDEX('計算A'!BO$10:BO$54,$B23),0)+IF('計算A'!BP$117=1,INDEX('計算A'!BQ$10:BQ$54,$B23),0))*500,0)-IF(AND('計算A'!BO$117=1,WM23&gt;0),300,0)-IF(AND($L23=1,'計算A'!BP$117=1,FO23=0),300,0))),1000000))</f>
        <v/>
      </c>
      <c r="QS23">
        <f>IF($B23=0,1000000,IF(INDEX('計算A'!$D$60:$EQ$104,$B23,66)*FO23=1,IF(AND($E23=2,LD23=0),1000000,IF($I23&gt;0,IF(3=$J23,IF(OR(AND(66=$I23+1,OR($K23&lt;&gt;'計算A'!$A$3,'計算A'!$A$4=0)),AND(66=$I23-1,OR(18&lt;&gt;'計算A'!$A$3,'計算A'!$A$4=0))),0,IF(18=$K23,200000,ABS(18-$K23)*100)),100000+ABS(3-$J23)*1000+180)+'計算A'!BQ$5*50+IF(AND($E23=1,LD23=0),25,0),INDEX('計算A'!BQ$110:BQ$114,$F23+1)+IF(AND($E23=1,LD23=0),1000,0)+IF($H23=1,(IF('計算A'!BP$117=1,INDEX('計算A'!BP$10:BP$54,$B23),0)+IF('計算A'!BQ$117=1,INDEX('計算A'!BR$10:BR$54,$B23),0))*500,0)-IF(AND('計算A'!BP$117=1,WN23&gt;0),300,0)-IF(AND($L23=1,'計算A'!BQ$117=1,FP23=0),300,0))),1000000))</f>
        <v/>
      </c>
      <c r="QT23">
        <f>IF($B23=0,1000000,IF(INDEX('計算A'!$D$60:$EQ$104,$B23,67)*FP23=1,IF(AND($E23=2,LE23=0),1000000,IF($I23&gt;0,IF(3=$J23,IF(OR(AND(67=$I23+1,OR($K23&lt;&gt;'計算A'!$A$3,'計算A'!$A$4=0)),AND(67=$I23-1,OR(19&lt;&gt;'計算A'!$A$3,'計算A'!$A$4=0))),0,IF(19=$K23,200000,ABS(19-$K23)*100)),100000+ABS(3-$J23)*1000+190)+'計算A'!BR$5*50+IF(AND($E23=1,LE23=0),25,0),INDEX('計算A'!BR$110:BR$114,$F23+1)+IF(AND($E23=1,LE23=0),1000,0)+IF($H23=1,(IF('計算A'!BQ$117=1,INDEX('計算A'!BQ$10:BQ$54,$B23),0)+IF('計算A'!BR$117=1,INDEX('計算A'!BS$10:BS$54,$B23),0))*500,0)-IF(AND('計算A'!BQ$117=1,WO23&gt;0),300,0)-IF(AND($L23=1,'計算A'!BR$117=1,FQ23=0),300,0))),1000000))</f>
        <v/>
      </c>
      <c r="QU23">
        <f>IF($B23=0,1000000,IF(INDEX('計算A'!$D$60:$EQ$104,$B23,68)*FQ23=1,IF(AND($E23=2,LF23=0),1000000,IF($I23&gt;0,IF(3=$J23,IF(OR(AND(68=$I23+1,OR($K23&lt;&gt;'計算A'!$A$3,'計算A'!$A$4=0)),AND(68=$I23-1,OR(20&lt;&gt;'計算A'!$A$3,'計算A'!$A$4=0))),0,IF(20=$K23,200000,ABS(20-$K23)*100)),100000+ABS(3-$J23)*1000+200)+'計算A'!BS$5*50+IF(AND($E23=1,LF23=0),25,0),INDEX('計算A'!BS$110:BS$114,$F23+1)+IF(AND($E23=1,LF23=0),1000,0)+IF($H23=1,(IF('計算A'!BR$117=1,INDEX('計算A'!BR$10:BR$54,$B23),0)+IF('計算A'!BS$117=1,INDEX('計算A'!BT$10:BT$54,$B23),0))*500,0)-IF(AND('計算A'!BR$117=1,WP23&gt;0),300,0)-IF(AND($L23=1,'計算A'!BS$117=1,FR23=0),300,0))),1000000))</f>
        <v/>
      </c>
      <c r="QV23">
        <f>IF($B23=0,1000000,IF(INDEX('計算A'!$D$60:$EQ$104,$B23,69)*FR23=1,IF(AND($E23=2,LG23=0),1000000,IF($I23&gt;0,IF(3=$J23,IF(OR(AND(69=$I23+1,OR($K23&lt;&gt;'計算A'!$A$3,'計算A'!$A$4=0)),AND(69=$I23-1,OR(21&lt;&gt;'計算A'!$A$3,'計算A'!$A$4=0))),0,IF(21=$K23,200000,ABS(21-$K23)*100)),100000+ABS(3-$J23)*1000+210)+'計算A'!BT$5*50+IF(AND($E23=1,LG23=0),25,0),INDEX('計算A'!BT$110:BT$114,$F23+1)+IF(AND($E23=1,LG23=0),1000,0)+IF($H23=1,(IF('計算A'!BS$117=1,INDEX('計算A'!BS$10:BS$54,$B23),0)+IF('計算A'!BT$117=1,INDEX('計算A'!BU$10:BU$54,$B23),0))*500,0)-IF(AND('計算A'!BS$117=1,WQ23&gt;0),300,0)-IF(AND($L23=1,'計算A'!BT$117=1,FS23=0),300,0))),1000000))</f>
        <v/>
      </c>
      <c r="QW23">
        <f>IF($B23=0,1000000,IF(INDEX('計算A'!$D$60:$EQ$104,$B23,70)*FS23=1,IF(AND($E23=2,LH23=0),1000000,IF($I23&gt;0,IF(3=$J23,IF(OR(AND(70=$I23+1,OR($K23&lt;&gt;'計算A'!$A$3,'計算A'!$A$4=0)),AND(70=$I23-1,OR(22&lt;&gt;'計算A'!$A$3,'計算A'!$A$4=0))),0,IF(22=$K23,200000,ABS(22-$K23)*100)),100000+ABS(3-$J23)*1000+220)+'計算A'!BU$5*50+IF(AND($E23=1,LH23=0),25,0),INDEX('計算A'!BU$110:BU$114,$F23+1)+IF(AND($E23=1,LH23=0),1000,0)+IF($H23=1,(IF('計算A'!BT$117=1,INDEX('計算A'!BT$10:BT$54,$B23),0)+IF('計算A'!BU$117=1,INDEX('計算A'!BV$10:BV$54,$B23),0))*500,0)-IF(AND('計算A'!BT$117=1,WR23&gt;0),300,0)-IF(AND($L23=1,'計算A'!BU$117=1,FT23=0),300,0))),1000000))</f>
        <v/>
      </c>
      <c r="QX23">
        <f>IF($B23=0,1000000,IF(INDEX('計算A'!$D$60:$EQ$104,$B23,71)*FT23=1,IF(AND($E23=2,LI23=0),1000000,IF($I23&gt;0,IF(3=$J23,IF(OR(AND(71=$I23+1,OR($K23&lt;&gt;'計算A'!$A$3,'計算A'!$A$4=0)),AND(71=$I23-1,OR(23&lt;&gt;'計算A'!$A$3,'計算A'!$A$4=0))),0,IF(23=$K23,200000,ABS(23-$K23)*100)),100000+ABS(3-$J23)*1000+230)+'計算A'!BV$5*50+IF(AND($E23=1,LI23=0),25,0),INDEX('計算A'!BV$110:BV$114,$F23+1)+IF(AND($E23=1,LI23=0),1000,0)+IF($H23=1,(IF('計算A'!BU$117=1,INDEX('計算A'!BU$10:BU$54,$B23),0)+IF('計算A'!BV$117=1,INDEX('計算A'!BW$10:BW$54,$B23),0))*500,0)-IF(AND('計算A'!BU$117=1,WS23&gt;0),300,0)-IF(AND($L23=1,'計算A'!BV$117=1,FU23=0),300,0))),1000000))</f>
        <v/>
      </c>
      <c r="QY23">
        <f>IF($B23=0,1000000,IF(INDEX('計算A'!$D$60:$EQ$104,$B23,72)*FU23=1,IF(AND($E23=2,LJ23=0),1000000,IF($I23&gt;0,IF(3=$J23,IF(OR(AND(72=$I23+1,OR($K23&lt;&gt;'計算A'!$A$3,'計算A'!$A$4=0)),AND(72=$I23-1,OR(24&lt;&gt;'計算A'!$A$3,'計算A'!$A$4=0))),0,IF(24=$K23,200000,ABS(24-$K23)*100)),100000+ABS(3-$J23)*1000+240)+'計算A'!BW$5*50+IF(AND($E23=1,LJ23=0),25,0),INDEX('計算A'!BW$110:BW$114,$F23+1)+IF(AND($E23=1,LJ23=0),1000,0)+IF($H23=1,(IF('計算A'!BV$117=1,INDEX('計算A'!BV$10:BV$54,$B23),0))*500,0)-IF(AND('計算A'!BV$117=1,WT23&gt;0),300,0))),1000000))</f>
        <v/>
      </c>
      <c r="QZ23">
        <f>IF($B23=0,1000000,IF(INDEX('計算A'!$D$60:$EQ$104,$B23,73)*FV23=1,IF(AND($E23=2,LK23=0),1000000,IF($I23&gt;0,IF(4=$J23,IF(OR(AND(73=$I23+1,OR($K23&lt;&gt;'計算A'!$A$3,'計算A'!$A$4=0)),AND(73=$I23-1,OR(1&lt;&gt;'計算A'!$A$3,'計算A'!$A$4=0))),0,IF(1=$K23,200000,ABS(1-$K23)*100)),100000+ABS(4-$J23)*1000+10)+'計算A'!BX$5*50+IF(AND($E23=1,LK23=0),25,0),INDEX('計算A'!BX$110:BX$114,$F23+1)+IF(AND($E23=1,LK23=0),1000,0)+IF($H23=1,(IF('計算A'!BX$117=1,INDEX('計算A'!BY$10:BY$54,$B23),0))*500,0)-IF(AND($L23=1,'計算A'!BX$117=1,FW23=0),300,0))),1000000))</f>
        <v/>
      </c>
      <c r="RA23">
        <f>IF($B23=0,1000000,IF(INDEX('計算A'!$D$60:$EQ$104,$B23,74)*FW23=1,IF(AND($E23=2,LL23=0),1000000,IF($I23&gt;0,IF(4=$J23,IF(OR(AND(74=$I23+1,OR($K23&lt;&gt;'計算A'!$A$3,'計算A'!$A$4=0)),AND(74=$I23-1,OR(2&lt;&gt;'計算A'!$A$3,'計算A'!$A$4=0))),0,IF(2=$K23,200000,ABS(2-$K23)*100)),100000+ABS(4-$J23)*1000+20)+'計算A'!BY$5*50+IF(AND($E23=1,LL23=0),25,0),INDEX('計算A'!BY$110:BY$114,$F23+1)+IF(AND($E23=1,LL23=0),1000,0)+IF($H23=1,(IF('計算A'!BX$117=1,INDEX('計算A'!BX$10:BX$54,$B23),0)+IF('計算A'!BY$117=1,INDEX('計算A'!BZ$10:BZ$54,$B23),0))*500,0)-IF(AND('計算A'!BX$117=1,WV23&gt;0),300,0)-IF(AND($L23=1,'計算A'!BY$117=1,FX23=0),300,0))),1000000))</f>
        <v/>
      </c>
      <c r="RB23">
        <f>IF($B23=0,1000000,IF(INDEX('計算A'!$D$60:$EQ$104,$B23,75)*FX23=1,IF(AND($E23=2,LM23=0),1000000,IF($I23&gt;0,IF(4=$J23,IF(OR(AND(75=$I23+1,OR($K23&lt;&gt;'計算A'!$A$3,'計算A'!$A$4=0)),AND(75=$I23-1,OR(3&lt;&gt;'計算A'!$A$3,'計算A'!$A$4=0))),0,IF(3=$K23,200000,ABS(3-$K23)*100)),100000+ABS(4-$J23)*1000+30)+'計算A'!BZ$5*50+IF(AND($E23=1,LM23=0),25,0),INDEX('計算A'!BZ$110:BZ$114,$F23+1)+IF(AND($E23=1,LM23=0),1000,0)+IF($H23=1,(IF('計算A'!BY$117=1,INDEX('計算A'!BY$10:BY$54,$B23),0)+IF('計算A'!BZ$117=1,INDEX('計算A'!CA$10:CA$54,$B23),0))*500,0)-IF(AND('計算A'!BY$117=1,WW23&gt;0),300,0)-IF(AND($L23=1,'計算A'!BZ$117=1,FY23=0),300,0))),1000000))</f>
        <v/>
      </c>
      <c r="RC23">
        <f>IF($B23=0,1000000,IF(INDEX('計算A'!$D$60:$EQ$104,$B23,76)*FY23=1,IF(AND($E23=2,LN23=0),1000000,IF($I23&gt;0,IF(4=$J23,IF(OR(AND(76=$I23+1,OR($K23&lt;&gt;'計算A'!$A$3,'計算A'!$A$4=0)),AND(76=$I23-1,OR(4&lt;&gt;'計算A'!$A$3,'計算A'!$A$4=0))),0,IF(4=$K23,200000,ABS(4-$K23)*100)),100000+ABS(4-$J23)*1000+40)+'計算A'!CA$5*50+IF(AND($E23=1,LN23=0),25,0),INDEX('計算A'!CA$110:CA$114,$F23+1)+IF(AND($E23=1,LN23=0),1000,0)+IF($H23=1,(IF('計算A'!BZ$117=1,INDEX('計算A'!BZ$10:BZ$54,$B23),0)+IF('計算A'!CA$117=1,INDEX('計算A'!CB$10:CB$54,$B23),0))*500,0)-IF(AND('計算A'!BZ$117=1,WX23&gt;0),300,0)-IF(AND($L23=1,'計算A'!CA$117=1,FZ23=0),300,0))),1000000))</f>
        <v/>
      </c>
      <c r="RD23">
        <f>IF($B23=0,1000000,IF(INDEX('計算A'!$D$60:$EQ$104,$B23,77)*FZ23=1,IF(AND($E23=2,LO23=0),1000000,IF($I23&gt;0,IF(4=$J23,IF(OR(AND(77=$I23+1,OR($K23&lt;&gt;'計算A'!$A$3,'計算A'!$A$4=0)),AND(77=$I23-1,OR(5&lt;&gt;'計算A'!$A$3,'計算A'!$A$4=0))),0,IF(5=$K23,200000,ABS(5-$K23)*100)),100000+ABS(4-$J23)*1000+50)+'計算A'!CB$5*50+IF(AND($E23=1,LO23=0),25,0),INDEX('計算A'!CB$110:CB$114,$F23+1)+IF(AND($E23=1,LO23=0),1000,0)+IF($H23=1,(IF('計算A'!CA$117=1,INDEX('計算A'!CA$10:CA$54,$B23),0)+IF('計算A'!CB$117=1,INDEX('計算A'!CC$10:CC$54,$B23),0))*500,0)-IF(AND('計算A'!CA$117=1,WY23&gt;0),300,0)-IF(AND($L23=1,'計算A'!CB$117=1,GA23=0),300,0))),1000000))</f>
        <v/>
      </c>
      <c r="RE23">
        <f>IF($B23=0,1000000,IF(INDEX('計算A'!$D$60:$EQ$104,$B23,78)*GA23=1,IF(AND($E23=2,LP23=0),1000000,IF($I23&gt;0,IF(4=$J23,IF(OR(AND(78=$I23+1,OR($K23&lt;&gt;'計算A'!$A$3,'計算A'!$A$4=0)),AND(78=$I23-1,OR(6&lt;&gt;'計算A'!$A$3,'計算A'!$A$4=0))),0,IF(6=$K23,200000,ABS(6-$K23)*100)),100000+ABS(4-$J23)*1000+60)+'計算A'!CC$5*50+IF(AND($E23=1,LP23=0),25,0),INDEX('計算A'!CC$110:CC$114,$F23+1)+IF(AND($E23=1,LP23=0),1000,0)+IF($H23=1,(IF('計算A'!CB$117=1,INDEX('計算A'!CB$10:CB$54,$B23),0)+IF('計算A'!CC$117=1,INDEX('計算A'!CD$10:CD$54,$B23),0))*500,0)-IF(AND('計算A'!CB$117=1,WZ23&gt;0),300,0)-IF(AND($L23=1,'計算A'!CC$117=1,GB23=0),300,0))),1000000))</f>
        <v/>
      </c>
      <c r="RF23">
        <f>IF($B23=0,1000000,IF(INDEX('計算A'!$D$60:$EQ$104,$B23,79)*GB23=1,IF(AND($E23=2,LQ23=0),1000000,IF($I23&gt;0,IF(4=$J23,IF(OR(AND(79=$I23+1,OR($K23&lt;&gt;'計算A'!$A$3,'計算A'!$A$4=0)),AND(79=$I23-1,OR(7&lt;&gt;'計算A'!$A$3,'計算A'!$A$4=0))),0,IF(7=$K23,200000,ABS(7-$K23)*100)),100000+ABS(4-$J23)*1000+70)+'計算A'!CD$5*50+IF(AND($E23=1,LQ23=0),25,0),INDEX('計算A'!CD$110:CD$114,$F23+1)+IF(AND($E23=1,LQ23=0),1000,0)+IF($H23=1,(IF('計算A'!CC$117=1,INDEX('計算A'!CC$10:CC$54,$B23),0)+IF('計算A'!CD$117=1,INDEX('計算A'!CE$10:CE$54,$B23),0))*500,0)-IF(AND('計算A'!CC$117=1,XA23&gt;0),300,0)-IF(AND($L23=1,'計算A'!CD$117=1,GC23=0),300,0))),1000000))</f>
        <v/>
      </c>
      <c r="RG23">
        <f>IF($B23=0,1000000,IF(INDEX('計算A'!$D$60:$EQ$104,$B23,80)*GC23=1,IF(AND($E23=2,LR23=0),1000000,IF($I23&gt;0,IF(4=$J23,IF(OR(AND(80=$I23+1,OR($K23&lt;&gt;'計算A'!$A$3,'計算A'!$A$4=0)),AND(80=$I23-1,OR(8&lt;&gt;'計算A'!$A$3,'計算A'!$A$4=0))),0,IF(8=$K23,200000,ABS(8-$K23)*100)),100000+ABS(4-$J23)*1000+80)+'計算A'!CE$5*50+IF(AND($E23=1,LR23=0),25,0),INDEX('計算A'!CE$110:CE$114,$F23+1)+IF(AND($E23=1,LR23=0),1000,0)+IF($H23=1,(IF('計算A'!CD$117=1,INDEX('計算A'!CD$10:CD$54,$B23),0)+IF('計算A'!CE$117=1,INDEX('計算A'!CF$10:CF$54,$B23),0))*500,0)-IF(AND('計算A'!CD$117=1,XB23&gt;0),300,0)-IF(AND($L23=1,'計算A'!CE$117=1,GD23=0),300,0))),1000000))</f>
        <v/>
      </c>
      <c r="RH23">
        <f>IF($B23=0,1000000,IF(INDEX('計算A'!$D$60:$EQ$104,$B23,81)*GD23=1,IF(AND($E23=2,LS23=0),1000000,IF($I23&gt;0,IF(4=$J23,IF(OR(AND(81=$I23+1,OR($K23&lt;&gt;'計算A'!$A$3,'計算A'!$A$4=0)),AND(81=$I23-1,OR(9&lt;&gt;'計算A'!$A$3,'計算A'!$A$4=0))),0,IF(9=$K23,200000,ABS(9-$K23)*100)),100000+ABS(4-$J23)*1000+90)+'計算A'!CF$5*50+IF(AND($E23=1,LS23=0),25,0),INDEX('計算A'!CF$110:CF$114,$F23+1)+IF(AND($E23=1,LS23=0),1000,0)+IF($H23=1,(IF('計算A'!CE$117=1,INDEX('計算A'!CE$10:CE$54,$B23),0)+IF('計算A'!CF$117=1,INDEX('計算A'!CG$10:CG$54,$B23),0))*500,0)-IF(AND('計算A'!CE$117=1,XC23&gt;0),300,0)-IF(AND($L23=1,'計算A'!CF$117=1,GE23=0),300,0))),1000000))</f>
        <v/>
      </c>
      <c r="RI23">
        <f>IF($B23=0,1000000,IF(INDEX('計算A'!$D$60:$EQ$104,$B23,82)*GE23=1,IF(AND($E23=2,LT23=0),1000000,IF($I23&gt;0,IF(4=$J23,IF(OR(AND(82=$I23+1,OR($K23&lt;&gt;'計算A'!$A$3,'計算A'!$A$4=0)),AND(82=$I23-1,OR(10&lt;&gt;'計算A'!$A$3,'計算A'!$A$4=0))),0,IF(10=$K23,200000,ABS(10-$K23)*100)),100000+ABS(4-$J23)*1000+100)+'計算A'!CG$5*50+IF(AND($E23=1,LT23=0),25,0),INDEX('計算A'!CG$110:CG$114,$F23+1)+IF(AND($E23=1,LT23=0),1000,0)+IF($H23=1,(IF('計算A'!CF$117=1,INDEX('計算A'!CF$10:CF$54,$B23),0)+IF('計算A'!CG$117=1,INDEX('計算A'!CH$10:CH$54,$B23),0))*500,0)-IF(AND('計算A'!CF$117=1,XD23&gt;0),300,0)-IF(AND($L23=1,'計算A'!CG$117=1,GF23=0),300,0))),1000000))</f>
        <v/>
      </c>
      <c r="RJ23">
        <f>IF($B23=0,1000000,IF(INDEX('計算A'!$D$60:$EQ$104,$B23,83)*GF23=1,IF(AND($E23=2,LU23=0),1000000,IF($I23&gt;0,IF(4=$J23,IF(OR(AND(83=$I23+1,OR($K23&lt;&gt;'計算A'!$A$3,'計算A'!$A$4=0)),AND(83=$I23-1,OR(11&lt;&gt;'計算A'!$A$3,'計算A'!$A$4=0))),0,IF(11=$K23,200000,ABS(11-$K23)*100)),100000+ABS(4-$J23)*1000+110)+'計算A'!CH$5*50+IF(AND($E23=1,LU23=0),25,0),INDEX('計算A'!CH$110:CH$114,$F23+1)+IF(AND($E23=1,LU23=0),1000,0)+IF($H23=1,(IF('計算A'!CG$117=1,INDEX('計算A'!CG$10:CG$54,$B23),0)+IF('計算A'!CH$117=1,INDEX('計算A'!CI$10:CI$54,$B23),0))*500,0)-IF(AND('計算A'!CG$117=1,XE23&gt;0),300,0)-IF(AND($L23=1,'計算A'!CH$117=1,GG23=0),300,0))),1000000))</f>
        <v/>
      </c>
      <c r="RK23">
        <f>IF($B23=0,1000000,IF(INDEX('計算A'!$D$60:$EQ$104,$B23,84)*GG23=1,IF(AND($E23=2,LV23=0),1000000,IF($I23&gt;0,IF(4=$J23,IF(OR(AND(84=$I23+1,OR($K23&lt;&gt;'計算A'!$A$3,'計算A'!$A$4=0)),AND(84=$I23-1,OR(12&lt;&gt;'計算A'!$A$3,'計算A'!$A$4=0))),0,IF(12=$K23,200000,ABS(12-$K23)*100)),100000+ABS(4-$J23)*1000+120)+'計算A'!CI$5*50+IF(AND($E23=1,LV23=0),25,0),INDEX('計算A'!CI$110:CI$114,$F23+1)+IF(AND($E23=1,LV23=0),1000,0)+IF($H23=1,(IF('計算A'!CH$117=1,INDEX('計算A'!CH$10:CH$54,$B23),0)+IF('計算A'!CI$117=1,INDEX('計算A'!CJ$10:CJ$54,$B23),0))*500,0)-IF(AND('計算A'!CH$117=1,XF23&gt;0),300,0)-IF(AND($L23=1,'計算A'!CI$117=1,GH23=0),300,0))),1000000))</f>
        <v/>
      </c>
      <c r="RL23">
        <f>IF($B23=0,1000000,IF(INDEX('計算A'!$D$60:$EQ$104,$B23,85)*GH23=1,IF(AND($E23=2,LW23=0),1000000,IF($I23&gt;0,IF(4=$J23,IF(OR(AND(85=$I23+1,OR($K23&lt;&gt;'計算A'!$A$3,'計算A'!$A$4=0)),AND(85=$I23-1,OR(13&lt;&gt;'計算A'!$A$3,'計算A'!$A$4=0))),0,IF(13=$K23,200000,ABS(13-$K23)*100)),100000+ABS(4-$J23)*1000+130)+'計算A'!CJ$5*50+IF(AND($E23=1,LW23=0),25,0),INDEX('計算A'!CJ$110:CJ$114,$F23+1)+IF(AND($E23=1,LW23=0),1000,0)+IF($H23=1,(IF('計算A'!CI$117=1,INDEX('計算A'!CI$10:CI$54,$B23),0)+IF('計算A'!CJ$117=1,INDEX('計算A'!CK$10:CK$54,$B23),0))*500,0)-IF(AND('計算A'!CI$117=1,XG23&gt;0),300,0)-IF(AND($L23=1,'計算A'!CJ$117=1,GI23=0),300,0))),1000000))</f>
        <v/>
      </c>
      <c r="RM23">
        <f>IF($B23=0,1000000,IF(INDEX('計算A'!$D$60:$EQ$104,$B23,86)*GI23=1,IF(AND($E23=2,LX23=0),1000000,IF($I23&gt;0,IF(4=$J23,IF(OR(AND(86=$I23+1,OR($K23&lt;&gt;'計算A'!$A$3,'計算A'!$A$4=0)),AND(86=$I23-1,OR(14&lt;&gt;'計算A'!$A$3,'計算A'!$A$4=0))),0,IF(14=$K23,200000,ABS(14-$K23)*100)),100000+ABS(4-$J23)*1000+140)+'計算A'!CK$5*50+IF(AND($E23=1,LX23=0),25,0),INDEX('計算A'!CK$110:CK$114,$F23+1)+IF(AND($E23=1,LX23=0),1000,0)+IF($H23=1,(IF('計算A'!CJ$117=1,INDEX('計算A'!CJ$10:CJ$54,$B23),0)+IF('計算A'!CK$117=1,INDEX('計算A'!CL$10:CL$54,$B23),0))*500,0)-IF(AND('計算A'!CJ$117=1,XH23&gt;0),300,0)-IF(AND($L23=1,'計算A'!CK$117=1,GJ23=0),300,0))),1000000))</f>
        <v/>
      </c>
      <c r="RN23">
        <f>IF($B23=0,1000000,IF(INDEX('計算A'!$D$60:$EQ$104,$B23,87)*GJ23=1,IF(AND($E23=2,LY23=0),1000000,IF($I23&gt;0,IF(4=$J23,IF(OR(AND(87=$I23+1,OR($K23&lt;&gt;'計算A'!$A$3,'計算A'!$A$4=0)),AND(87=$I23-1,OR(15&lt;&gt;'計算A'!$A$3,'計算A'!$A$4=0))),0,IF(15=$K23,200000,ABS(15-$K23)*100)),100000+ABS(4-$J23)*1000+150)+'計算A'!CL$5*50+IF(AND($E23=1,LY23=0),25,0),INDEX('計算A'!CL$110:CL$114,$F23+1)+IF(AND($E23=1,LY23=0),1000,0)+IF($H23=1,(IF('計算A'!CK$117=1,INDEX('計算A'!CK$10:CK$54,$B23),0)+IF('計算A'!CL$117=1,INDEX('計算A'!CM$10:CM$54,$B23),0))*500,0)-IF(AND('計算A'!CK$117=1,XI23&gt;0),300,0)-IF(AND($L23=1,'計算A'!CL$117=1,GK23=0),300,0))),1000000))</f>
        <v/>
      </c>
      <c r="RO23">
        <f>IF($B23=0,1000000,IF(INDEX('計算A'!$D$60:$EQ$104,$B23,88)*GK23=1,IF(AND($E23=2,LZ23=0),1000000,IF($I23&gt;0,IF(4=$J23,IF(OR(AND(88=$I23+1,OR($K23&lt;&gt;'計算A'!$A$3,'計算A'!$A$4=0)),AND(88=$I23-1,OR(16&lt;&gt;'計算A'!$A$3,'計算A'!$A$4=0))),0,IF(16=$K23,200000,ABS(16-$K23)*100)),100000+ABS(4-$J23)*1000+160)+'計算A'!CM$5*50+IF(AND($E23=1,LZ23=0),25,0),INDEX('計算A'!CM$110:CM$114,$F23+1)+IF(AND($E23=1,LZ23=0),1000,0)+IF($H23=1,(IF('計算A'!CL$117=1,INDEX('計算A'!CL$10:CL$54,$B23),0)+IF('計算A'!CM$117=1,INDEX('計算A'!CN$10:CN$54,$B23),0))*500,0)-IF(AND('計算A'!CL$117=1,XJ23&gt;0),300,0)-IF(AND($L23=1,'計算A'!CM$117=1,GL23=0),300,0))),1000000))</f>
        <v/>
      </c>
      <c r="RP23">
        <f>IF($B23=0,1000000,IF(INDEX('計算A'!$D$60:$EQ$104,$B23,89)*GL23=1,IF(AND($E23=2,MA23=0),1000000,IF($I23&gt;0,IF(4=$J23,IF(OR(AND(89=$I23+1,OR($K23&lt;&gt;'計算A'!$A$3,'計算A'!$A$4=0)),AND(89=$I23-1,OR(17&lt;&gt;'計算A'!$A$3,'計算A'!$A$4=0))),0,IF(17=$K23,200000,ABS(17-$K23)*100)),100000+ABS(4-$J23)*1000+170)+'計算A'!CN$5*50+IF(AND($E23=1,MA23=0),25,0),INDEX('計算A'!CN$110:CN$114,$F23+1)+IF(AND($E23=1,MA23=0),1000,0)+IF($H23=1,(IF('計算A'!CM$117=1,INDEX('計算A'!CM$10:CM$54,$B23),0)+IF('計算A'!CN$117=1,INDEX('計算A'!CO$10:CO$54,$B23),0))*500,0)-IF(AND('計算A'!CM$117=1,XK23&gt;0),300,0)-IF(AND($L23=1,'計算A'!CN$117=1,GM23=0),300,0))),1000000))</f>
        <v/>
      </c>
      <c r="RQ23">
        <f>IF($B23=0,1000000,IF(INDEX('計算A'!$D$60:$EQ$104,$B23,90)*GM23=1,IF(AND($E23=2,MB23=0),1000000,IF($I23&gt;0,IF(4=$J23,IF(OR(AND(90=$I23+1,OR($K23&lt;&gt;'計算A'!$A$3,'計算A'!$A$4=0)),AND(90=$I23-1,OR(18&lt;&gt;'計算A'!$A$3,'計算A'!$A$4=0))),0,IF(18=$K23,200000,ABS(18-$K23)*100)),100000+ABS(4-$J23)*1000+180)+'計算A'!CO$5*50+IF(AND($E23=1,MB23=0),25,0),INDEX('計算A'!CO$110:CO$114,$F23+1)+IF(AND($E23=1,MB23=0),1000,0)+IF($H23=1,(IF('計算A'!CN$117=1,INDEX('計算A'!CN$10:CN$54,$B23),0)+IF('計算A'!CO$117=1,INDEX('計算A'!CP$10:CP$54,$B23),0))*500,0)-IF(AND('計算A'!CN$117=1,XL23&gt;0),300,0)-IF(AND($L23=1,'計算A'!CO$117=1,GN23=0),300,0))),1000000))</f>
        <v/>
      </c>
      <c r="RR23">
        <f>IF($B23=0,1000000,IF(INDEX('計算A'!$D$60:$EQ$104,$B23,91)*GN23=1,IF(AND($E23=2,MC23=0),1000000,IF($I23&gt;0,IF(4=$J23,IF(OR(AND(91=$I23+1,OR($K23&lt;&gt;'計算A'!$A$3,'計算A'!$A$4=0)),AND(91=$I23-1,OR(19&lt;&gt;'計算A'!$A$3,'計算A'!$A$4=0))),0,IF(19=$K23,200000,ABS(19-$K23)*100)),100000+ABS(4-$J23)*1000+190)+'計算A'!CP$5*50+IF(AND($E23=1,MC23=0),25,0),INDEX('計算A'!CP$110:CP$114,$F23+1)+IF(AND($E23=1,MC23=0),1000,0)+IF($H23=1,(IF('計算A'!CO$117=1,INDEX('計算A'!CO$10:CO$54,$B23),0)+IF('計算A'!CP$117=1,INDEX('計算A'!CQ$10:CQ$54,$B23),0))*500,0)-IF(AND('計算A'!CO$117=1,XM23&gt;0),300,0)-IF(AND($L23=1,'計算A'!CP$117=1,GO23=0),300,0))),1000000))</f>
        <v/>
      </c>
      <c r="RS23">
        <f>IF($B23=0,1000000,IF(INDEX('計算A'!$D$60:$EQ$104,$B23,92)*GO23=1,IF(AND($E23=2,MD23=0),1000000,IF($I23&gt;0,IF(4=$J23,IF(OR(AND(92=$I23+1,OR($K23&lt;&gt;'計算A'!$A$3,'計算A'!$A$4=0)),AND(92=$I23-1,OR(20&lt;&gt;'計算A'!$A$3,'計算A'!$A$4=0))),0,IF(20=$K23,200000,ABS(20-$K23)*100)),100000+ABS(4-$J23)*1000+200)+'計算A'!CQ$5*50+IF(AND($E23=1,MD23=0),25,0),INDEX('計算A'!CQ$110:CQ$114,$F23+1)+IF(AND($E23=1,MD23=0),1000,0)+IF($H23=1,(IF('計算A'!CP$117=1,INDEX('計算A'!CP$10:CP$54,$B23),0)+IF('計算A'!CQ$117=1,INDEX('計算A'!CR$10:CR$54,$B23),0))*500,0)-IF(AND('計算A'!CP$117=1,XN23&gt;0),300,0)-IF(AND($L23=1,'計算A'!CQ$117=1,GP23=0),300,0))),1000000))</f>
        <v/>
      </c>
      <c r="RT23">
        <f>IF($B23=0,1000000,IF(INDEX('計算A'!$D$60:$EQ$104,$B23,93)*GP23=1,IF(AND($E23=2,ME23=0),1000000,IF($I23&gt;0,IF(4=$J23,IF(OR(AND(93=$I23+1,OR($K23&lt;&gt;'計算A'!$A$3,'計算A'!$A$4=0)),AND(93=$I23-1,OR(21&lt;&gt;'計算A'!$A$3,'計算A'!$A$4=0))),0,IF(21=$K23,200000,ABS(21-$K23)*100)),100000+ABS(4-$J23)*1000+210)+'計算A'!CR$5*50+IF(AND($E23=1,ME23=0),25,0),INDEX('計算A'!CR$110:CR$114,$F23+1)+IF(AND($E23=1,ME23=0),1000,0)+IF($H23=1,(IF('計算A'!CQ$117=1,INDEX('計算A'!CQ$10:CQ$54,$B23),0)+IF('計算A'!CR$117=1,INDEX('計算A'!CS$10:CS$54,$B23),0))*500,0)-IF(AND('計算A'!CQ$117=1,XO23&gt;0),300,0)-IF(AND($L23=1,'計算A'!CR$117=1,GQ23=0),300,0))),1000000))</f>
        <v/>
      </c>
      <c r="RU23">
        <f>IF($B23=0,1000000,IF(INDEX('計算A'!$D$60:$EQ$104,$B23,94)*GQ23=1,IF(AND($E23=2,MF23=0),1000000,IF($I23&gt;0,IF(4=$J23,IF(OR(AND(94=$I23+1,OR($K23&lt;&gt;'計算A'!$A$3,'計算A'!$A$4=0)),AND(94=$I23-1,OR(22&lt;&gt;'計算A'!$A$3,'計算A'!$A$4=0))),0,IF(22=$K23,200000,ABS(22-$K23)*100)),100000+ABS(4-$J23)*1000+220)+'計算A'!CS$5*50+IF(AND($E23=1,MF23=0),25,0),INDEX('計算A'!CS$110:CS$114,$F23+1)+IF(AND($E23=1,MF23=0),1000,0)+IF($H23=1,(IF('計算A'!CR$117=1,INDEX('計算A'!CR$10:CR$54,$B23),0)+IF('計算A'!CS$117=1,INDEX('計算A'!CT$10:CT$54,$B23),0))*500,0)-IF(AND('計算A'!CR$117=1,XP23&gt;0),300,0)-IF(AND($L23=1,'計算A'!CS$117=1,GR23=0),300,0))),1000000))</f>
        <v/>
      </c>
      <c r="RV23">
        <f>IF($B23=0,1000000,IF(INDEX('計算A'!$D$60:$EQ$104,$B23,95)*GR23=1,IF(AND($E23=2,MG23=0),1000000,IF($I23&gt;0,IF(4=$J23,IF(OR(AND(95=$I23+1,OR($K23&lt;&gt;'計算A'!$A$3,'計算A'!$A$4=0)),AND(95=$I23-1,OR(23&lt;&gt;'計算A'!$A$3,'計算A'!$A$4=0))),0,IF(23=$K23,200000,ABS(23-$K23)*100)),100000+ABS(4-$J23)*1000+230)+'計算A'!CT$5*50+IF(AND($E23=1,MG23=0),25,0),INDEX('計算A'!CT$110:CT$114,$F23+1)+IF(AND($E23=1,MG23=0),1000,0)+IF($H23=1,(IF('計算A'!CS$117=1,INDEX('計算A'!CS$10:CS$54,$B23),0)+IF('計算A'!CT$117=1,INDEX('計算A'!CU$10:CU$54,$B23),0))*500,0)-IF(AND('計算A'!CS$117=1,XQ23&gt;0),300,0)-IF(AND($L23=1,'計算A'!CT$117=1,GS23=0),300,0))),1000000))</f>
        <v/>
      </c>
      <c r="RW23">
        <f>IF($B23=0,1000000,IF(INDEX('計算A'!$D$60:$EQ$104,$B23,96)*GS23=1,IF(AND($E23=2,MH23=0),1000000,IF($I23&gt;0,IF(4=$J23,IF(OR(AND(96=$I23+1,OR($K23&lt;&gt;'計算A'!$A$3,'計算A'!$A$4=0)),AND(96=$I23-1,OR(24&lt;&gt;'計算A'!$A$3,'計算A'!$A$4=0))),0,IF(24=$K23,200000,ABS(24-$K23)*100)),100000+ABS(4-$J23)*1000+240)+'計算A'!CU$5*50+IF(AND($E23=1,MH23=0),25,0),INDEX('計算A'!CU$110:CU$114,$F23+1)+IF(AND($E23=1,MH23=0),1000,0)+IF($H23=1,(IF('計算A'!CT$117=1,INDEX('計算A'!CT$10:CT$54,$B23),0))*500,0)-IF(AND('計算A'!CT$117=1,XR23&gt;0),300,0))),1000000))</f>
        <v/>
      </c>
      <c r="RX23">
        <f>IF($B23=0,1000000,IF(INDEX('計算A'!$D$60:$EQ$104,$B23,97)*GT23=1,IF(AND($E23=2,MI23=0),1000000,IF($I23&gt;0,IF(5=$J23,IF(OR(AND(97=$I23+1,OR($K23&lt;&gt;'計算A'!$A$3,'計算A'!$A$4=0)),AND(97=$I23-1,OR(1&lt;&gt;'計算A'!$A$3,'計算A'!$A$4=0))),0,IF(1=$K23,200000,ABS(1-$K23)*100)),100000+ABS(5-$J23)*1000+10)+'計算A'!CV$5*50+IF(AND($E23=1,MI23=0),25,0),INDEX('計算A'!CV$110:CV$114,$F23+1)+IF(AND($E23=1,MI23=0),1000,0)+IF($H23=1,(IF('計算A'!CV$117=1,INDEX('計算A'!CW$10:CW$54,$B23),0))*500,0)-IF(AND($L23=1,'計算A'!CV$117=1,GU23=0),300,0))),1000000))</f>
        <v/>
      </c>
      <c r="RY23">
        <f>IF($B23=0,1000000,IF(INDEX('計算A'!$D$60:$EQ$104,$B23,98)*GU23=1,IF(AND($E23=2,MJ23=0),1000000,IF($I23&gt;0,IF(5=$J23,IF(OR(AND(98=$I23+1,OR($K23&lt;&gt;'計算A'!$A$3,'計算A'!$A$4=0)),AND(98=$I23-1,OR(2&lt;&gt;'計算A'!$A$3,'計算A'!$A$4=0))),0,IF(2=$K23,200000,ABS(2-$K23)*100)),100000+ABS(5-$J23)*1000+20)+'計算A'!CW$5*50+IF(AND($E23=1,MJ23=0),25,0),INDEX('計算A'!CW$110:CW$114,$F23+1)+IF(AND($E23=1,MJ23=0),1000,0)+IF($H23=1,(IF('計算A'!CV$117=1,INDEX('計算A'!CV$10:CV$54,$B23),0)+IF('計算A'!CW$117=1,INDEX('計算A'!CX$10:CX$54,$B23),0))*500,0)-IF(AND('計算A'!CV$117=1,XT23&gt;0),300,0)-IF(AND($L23=1,'計算A'!CW$117=1,GV23=0),300,0))),1000000))</f>
        <v/>
      </c>
      <c r="RZ23">
        <f>IF($B23=0,1000000,IF(INDEX('計算A'!$D$60:$EQ$104,$B23,99)*GV23=1,IF(AND($E23=2,MK23=0),1000000,IF($I23&gt;0,IF(5=$J23,IF(OR(AND(99=$I23+1,OR($K23&lt;&gt;'計算A'!$A$3,'計算A'!$A$4=0)),AND(99=$I23-1,OR(3&lt;&gt;'計算A'!$A$3,'計算A'!$A$4=0))),0,IF(3=$K23,200000,ABS(3-$K23)*100)),100000+ABS(5-$J23)*1000+30)+'計算A'!CX$5*50+IF(AND($E23=1,MK23=0),25,0),INDEX('計算A'!CX$110:CX$114,$F23+1)+IF(AND($E23=1,MK23=0),1000,0)+IF($H23=1,(IF('計算A'!CW$117=1,INDEX('計算A'!CW$10:CW$54,$B23),0)+IF('計算A'!CX$117=1,INDEX('計算A'!CY$10:CY$54,$B23),0))*500,0)-IF(AND('計算A'!CW$117=1,XU23&gt;0),300,0)-IF(AND($L23=1,'計算A'!CX$117=1,GW23=0),300,0))),1000000))</f>
        <v/>
      </c>
      <c r="SA23">
        <f>IF($B23=0,1000000,IF(INDEX('計算A'!$D$60:$EQ$104,$B23,100)*GW23=1,IF(AND($E23=2,ML23=0),1000000,IF($I23&gt;0,IF(5=$J23,IF(OR(AND(100=$I23+1,OR($K23&lt;&gt;'計算A'!$A$3,'計算A'!$A$4=0)),AND(100=$I23-1,OR(4&lt;&gt;'計算A'!$A$3,'計算A'!$A$4=0))),0,IF(4=$K23,200000,ABS(4-$K23)*100)),100000+ABS(5-$J23)*1000+40)+'計算A'!CY$5*50+IF(AND($E23=1,ML23=0),25,0),INDEX('計算A'!CY$110:CY$114,$F23+1)+IF(AND($E23=1,ML23=0),1000,0)+IF($H23=1,(IF('計算A'!CX$117=1,INDEX('計算A'!CX$10:CX$54,$B23),0)+IF('計算A'!CY$117=1,INDEX('計算A'!CZ$10:CZ$54,$B23),0))*500,0)-IF(AND('計算A'!CX$117=1,XV23&gt;0),300,0)-IF(AND($L23=1,'計算A'!CY$117=1,GX23=0),300,0))),1000000))</f>
        <v/>
      </c>
      <c r="SB23">
        <f>IF($B23=0,1000000,IF(INDEX('計算A'!$D$60:$EQ$104,$B23,101)*GX23=1,IF(AND($E23=2,MM23=0),1000000,IF($I23&gt;0,IF(5=$J23,IF(OR(AND(101=$I23+1,OR($K23&lt;&gt;'計算A'!$A$3,'計算A'!$A$4=0)),AND(101=$I23-1,OR(5&lt;&gt;'計算A'!$A$3,'計算A'!$A$4=0))),0,IF(5=$K23,200000,ABS(5-$K23)*100)),100000+ABS(5-$J23)*1000+50)+'計算A'!CZ$5*50+IF(AND($E23=1,MM23=0),25,0),INDEX('計算A'!CZ$110:CZ$114,$F23+1)+IF(AND($E23=1,MM23=0),1000,0)+IF($H23=1,(IF('計算A'!CY$117=1,INDEX('計算A'!CY$10:CY$54,$B23),0)+IF('計算A'!CZ$117=1,INDEX('計算A'!DA$10:DA$54,$B23),0))*500,0)-IF(AND('計算A'!CY$117=1,XW23&gt;0),300,0)-IF(AND($L23=1,'計算A'!CZ$117=1,GY23=0),300,0))),1000000))</f>
        <v/>
      </c>
      <c r="SC23">
        <f>IF($B23=0,1000000,IF(INDEX('計算A'!$D$60:$EQ$104,$B23,102)*GY23=1,IF(AND($E23=2,MN23=0),1000000,IF($I23&gt;0,IF(5=$J23,IF(OR(AND(102=$I23+1,OR($K23&lt;&gt;'計算A'!$A$3,'計算A'!$A$4=0)),AND(102=$I23-1,OR(6&lt;&gt;'計算A'!$A$3,'計算A'!$A$4=0))),0,IF(6=$K23,200000,ABS(6-$K23)*100)),100000+ABS(5-$J23)*1000+60)+'計算A'!DA$5*50+IF(AND($E23=1,MN23=0),25,0),INDEX('計算A'!DA$110:DA$114,$F23+1)+IF(AND($E23=1,MN23=0),1000,0)+IF($H23=1,(IF('計算A'!CZ$117=1,INDEX('計算A'!CZ$10:CZ$54,$B23),0)+IF('計算A'!DA$117=1,INDEX('計算A'!DB$10:DB$54,$B23),0))*500,0)-IF(AND('計算A'!CZ$117=1,XX23&gt;0),300,0)-IF(AND($L23=1,'計算A'!DA$117=1,GZ23=0),300,0))),1000000))</f>
        <v/>
      </c>
      <c r="SD23">
        <f>IF($B23=0,1000000,IF(INDEX('計算A'!$D$60:$EQ$104,$B23,103)*GZ23=1,IF(AND($E23=2,MO23=0),1000000,IF($I23&gt;0,IF(5=$J23,IF(OR(AND(103=$I23+1,OR($K23&lt;&gt;'計算A'!$A$3,'計算A'!$A$4=0)),AND(103=$I23-1,OR(7&lt;&gt;'計算A'!$A$3,'計算A'!$A$4=0))),0,IF(7=$K23,200000,ABS(7-$K23)*100)),100000+ABS(5-$J23)*1000+70)+'計算A'!DB$5*50+IF(AND($E23=1,MO23=0),25,0),INDEX('計算A'!DB$110:DB$114,$F23+1)+IF(AND($E23=1,MO23=0),1000,0)+IF($H23=1,(IF('計算A'!DA$117=1,INDEX('計算A'!DA$10:DA$54,$B23),0)+IF('計算A'!DB$117=1,INDEX('計算A'!DC$10:DC$54,$B23),0))*500,0)-IF(AND('計算A'!DA$117=1,XY23&gt;0),300,0)-IF(AND($L23=1,'計算A'!DB$117=1,HA23=0),300,0))),1000000))</f>
        <v/>
      </c>
      <c r="SE23">
        <f>IF($B23=0,1000000,IF(INDEX('計算A'!$D$60:$EQ$104,$B23,104)*HA23=1,IF(AND($E23=2,MP23=0),1000000,IF($I23&gt;0,IF(5=$J23,IF(OR(AND(104=$I23+1,OR($K23&lt;&gt;'計算A'!$A$3,'計算A'!$A$4=0)),AND(104=$I23-1,OR(8&lt;&gt;'計算A'!$A$3,'計算A'!$A$4=0))),0,IF(8=$K23,200000,ABS(8-$K23)*100)),100000+ABS(5-$J23)*1000+80)+'計算A'!DC$5*50+IF(AND($E23=1,MP23=0),25,0),INDEX('計算A'!DC$110:DC$114,$F23+1)+IF(AND($E23=1,MP23=0),1000,0)+IF($H23=1,(IF('計算A'!DB$117=1,INDEX('計算A'!DB$10:DB$54,$B23),0)+IF('計算A'!DC$117=1,INDEX('計算A'!DD$10:DD$54,$B23),0))*500,0)-IF(AND('計算A'!DB$117=1,XZ23&gt;0),300,0)-IF(AND($L23=1,'計算A'!DC$117=1,HB23=0),300,0))),1000000))</f>
        <v/>
      </c>
      <c r="SF23">
        <f>IF($B23=0,1000000,IF(INDEX('計算A'!$D$60:$EQ$104,$B23,105)*HB23=1,IF(AND($E23=2,MQ23=0),1000000,IF($I23&gt;0,IF(5=$J23,IF(OR(AND(105=$I23+1,OR($K23&lt;&gt;'計算A'!$A$3,'計算A'!$A$4=0)),AND(105=$I23-1,OR(9&lt;&gt;'計算A'!$A$3,'計算A'!$A$4=0))),0,IF(9=$K23,200000,ABS(9-$K23)*100)),100000+ABS(5-$J23)*1000+90)+'計算A'!DD$5*50+IF(AND($E23=1,MQ23=0),25,0),INDEX('計算A'!DD$110:DD$114,$F23+1)+IF(AND($E23=1,MQ23=0),1000,0)+IF($H23=1,(IF('計算A'!DC$117=1,INDEX('計算A'!DC$10:DC$54,$B23),0)+IF('計算A'!DD$117=1,INDEX('計算A'!DE$10:DE$54,$B23),0))*500,0)-IF(AND('計算A'!DC$117=1,YA23&gt;0),300,0)-IF(AND($L23=1,'計算A'!DD$117=1,HC23=0),300,0))),1000000))</f>
        <v/>
      </c>
      <c r="SG23">
        <f>IF($B23=0,1000000,IF(INDEX('計算A'!$D$60:$EQ$104,$B23,106)*HC23=1,IF(AND($E23=2,MR23=0),1000000,IF($I23&gt;0,IF(5=$J23,IF(OR(AND(106=$I23+1,OR($K23&lt;&gt;'計算A'!$A$3,'計算A'!$A$4=0)),AND(106=$I23-1,OR(10&lt;&gt;'計算A'!$A$3,'計算A'!$A$4=0))),0,IF(10=$K23,200000,ABS(10-$K23)*100)),100000+ABS(5-$J23)*1000+100)+'計算A'!DE$5*50+IF(AND($E23=1,MR23=0),25,0),INDEX('計算A'!DE$110:DE$114,$F23+1)+IF(AND($E23=1,MR23=0),1000,0)+IF($H23=1,(IF('計算A'!DD$117=1,INDEX('計算A'!DD$10:DD$54,$B23),0)+IF('計算A'!DE$117=1,INDEX('計算A'!DF$10:DF$54,$B23),0))*500,0)-IF(AND('計算A'!DD$117=1,YB23&gt;0),300,0)-IF(AND($L23=1,'計算A'!DE$117=1,HD23=0),300,0))),1000000))</f>
        <v/>
      </c>
      <c r="SH23">
        <f>IF($B23=0,1000000,IF(INDEX('計算A'!$D$60:$EQ$104,$B23,107)*HD23=1,IF(AND($E23=2,MS23=0),1000000,IF($I23&gt;0,IF(5=$J23,IF(OR(AND(107=$I23+1,OR($K23&lt;&gt;'計算A'!$A$3,'計算A'!$A$4=0)),AND(107=$I23-1,OR(11&lt;&gt;'計算A'!$A$3,'計算A'!$A$4=0))),0,IF(11=$K23,200000,ABS(11-$K23)*100)),100000+ABS(5-$J23)*1000+110)+'計算A'!DF$5*50+IF(AND($E23=1,MS23=0),25,0),INDEX('計算A'!DF$110:DF$114,$F23+1)+IF(AND($E23=1,MS23=0),1000,0)+IF($H23=1,(IF('計算A'!DE$117=1,INDEX('計算A'!DE$10:DE$54,$B23),0)+IF('計算A'!DF$117=1,INDEX('計算A'!DG$10:DG$54,$B23),0))*500,0)-IF(AND('計算A'!DE$117=1,YC23&gt;0),300,0)-IF(AND($L23=1,'計算A'!DF$117=1,HE23=0),300,0))),1000000))</f>
        <v/>
      </c>
      <c r="SI23">
        <f>IF($B23=0,1000000,IF(INDEX('計算A'!$D$60:$EQ$104,$B23,108)*HE23=1,IF(AND($E23=2,MT23=0),1000000,IF($I23&gt;0,IF(5=$J23,IF(OR(AND(108=$I23+1,OR($K23&lt;&gt;'計算A'!$A$3,'計算A'!$A$4=0)),AND(108=$I23-1,OR(12&lt;&gt;'計算A'!$A$3,'計算A'!$A$4=0))),0,IF(12=$K23,200000,ABS(12-$K23)*100)),100000+ABS(5-$J23)*1000+120)+'計算A'!DG$5*50+IF(AND($E23=1,MT23=0),25,0),INDEX('計算A'!DG$110:DG$114,$F23+1)+IF(AND($E23=1,MT23=0),1000,0)+IF($H23=1,(IF('計算A'!DF$117=1,INDEX('計算A'!DF$10:DF$54,$B23),0)+IF('計算A'!DG$117=1,INDEX('計算A'!DH$10:DH$54,$B23),0))*500,0)-IF(AND('計算A'!DF$117=1,YD23&gt;0),300,0)-IF(AND($L23=1,'計算A'!DG$117=1,HF23=0),300,0))),1000000))</f>
        <v/>
      </c>
      <c r="SJ23">
        <f>IF($B23=0,1000000,IF(INDEX('計算A'!$D$60:$EQ$104,$B23,109)*HF23=1,IF(AND($E23=2,MU23=0),1000000,IF($I23&gt;0,IF(5=$J23,IF(OR(AND(109=$I23+1,OR($K23&lt;&gt;'計算A'!$A$3,'計算A'!$A$4=0)),AND(109=$I23-1,OR(13&lt;&gt;'計算A'!$A$3,'計算A'!$A$4=0))),0,IF(13=$K23,200000,ABS(13-$K23)*100)),100000+ABS(5-$J23)*1000+130)+'計算A'!DH$5*50+IF(AND($E23=1,MU23=0),25,0),INDEX('計算A'!DH$110:DH$114,$F23+1)+IF(AND($E23=1,MU23=0),1000,0)+IF($H23=1,(IF('計算A'!DG$117=1,INDEX('計算A'!DG$10:DG$54,$B23),0)+IF('計算A'!DH$117=1,INDEX('計算A'!DI$10:DI$54,$B23),0))*500,0)-IF(AND('計算A'!DG$117=1,YE23&gt;0),300,0)-IF(AND($L23=1,'計算A'!DH$117=1,HG23=0),300,0))),1000000))</f>
        <v/>
      </c>
      <c r="SK23">
        <f>IF($B23=0,1000000,IF(INDEX('計算A'!$D$60:$EQ$104,$B23,110)*HG23=1,IF(AND($E23=2,MV23=0),1000000,IF($I23&gt;0,IF(5=$J23,IF(OR(AND(110=$I23+1,OR($K23&lt;&gt;'計算A'!$A$3,'計算A'!$A$4=0)),AND(110=$I23-1,OR(14&lt;&gt;'計算A'!$A$3,'計算A'!$A$4=0))),0,IF(14=$K23,200000,ABS(14-$K23)*100)),100000+ABS(5-$J23)*1000+140)+'計算A'!DI$5*50+IF(AND($E23=1,MV23=0),25,0),INDEX('計算A'!DI$110:DI$114,$F23+1)+IF(AND($E23=1,MV23=0),1000,0)+IF($H23=1,(IF('計算A'!DH$117=1,INDEX('計算A'!DH$10:DH$54,$B23),0)+IF('計算A'!DI$117=1,INDEX('計算A'!DJ$10:DJ$54,$B23),0))*500,0)-IF(AND('計算A'!DH$117=1,YF23&gt;0),300,0)-IF(AND($L23=1,'計算A'!DI$117=1,HH23=0),300,0))),1000000))</f>
        <v/>
      </c>
      <c r="SL23">
        <f>IF($B23=0,1000000,IF(INDEX('計算A'!$D$60:$EQ$104,$B23,111)*HH23=1,IF(AND($E23=2,MW23=0),1000000,IF($I23&gt;0,IF(5=$J23,IF(OR(AND(111=$I23+1,OR($K23&lt;&gt;'計算A'!$A$3,'計算A'!$A$4=0)),AND(111=$I23-1,OR(15&lt;&gt;'計算A'!$A$3,'計算A'!$A$4=0))),0,IF(15=$K23,200000,ABS(15-$K23)*100)),100000+ABS(5-$J23)*1000+150)+'計算A'!DJ$5*50+IF(AND($E23=1,MW23=0),25,0),INDEX('計算A'!DJ$110:DJ$114,$F23+1)+IF(AND($E23=1,MW23=0),1000,0)+IF($H23=1,(IF('計算A'!DI$117=1,INDEX('計算A'!DI$10:DI$54,$B23),0)+IF('計算A'!DJ$117=1,INDEX('計算A'!DK$10:DK$54,$B23),0))*500,0)-IF(AND('計算A'!DI$117=1,YG23&gt;0),300,0)-IF(AND($L23=1,'計算A'!DJ$117=1,HI23=0),300,0))),1000000))</f>
        <v/>
      </c>
      <c r="SM23">
        <f>IF($B23=0,1000000,IF(INDEX('計算A'!$D$60:$EQ$104,$B23,112)*HI23=1,IF(AND($E23=2,MX23=0),1000000,IF($I23&gt;0,IF(5=$J23,IF(OR(AND(112=$I23+1,OR($K23&lt;&gt;'計算A'!$A$3,'計算A'!$A$4=0)),AND(112=$I23-1,OR(16&lt;&gt;'計算A'!$A$3,'計算A'!$A$4=0))),0,IF(16=$K23,200000,ABS(16-$K23)*100)),100000+ABS(5-$J23)*1000+160)+'計算A'!DK$5*50+IF(AND($E23=1,MX23=0),25,0),INDEX('計算A'!DK$110:DK$114,$F23+1)+IF(AND($E23=1,MX23=0),1000,0)+IF($H23=1,(IF('計算A'!DJ$117=1,INDEX('計算A'!DJ$10:DJ$54,$B23),0)+IF('計算A'!DK$117=1,INDEX('計算A'!DL$10:DL$54,$B23),0))*500,0)-IF(AND('計算A'!DJ$117=1,YH23&gt;0),300,0)-IF(AND($L23=1,'計算A'!DK$117=1,HJ23=0),300,0))),1000000))</f>
        <v/>
      </c>
      <c r="SN23">
        <f>IF($B23=0,1000000,IF(INDEX('計算A'!$D$60:$EQ$104,$B23,113)*HJ23=1,IF(AND($E23=2,MY23=0),1000000,IF($I23&gt;0,IF(5=$J23,IF(OR(AND(113=$I23+1,OR($K23&lt;&gt;'計算A'!$A$3,'計算A'!$A$4=0)),AND(113=$I23-1,OR(17&lt;&gt;'計算A'!$A$3,'計算A'!$A$4=0))),0,IF(17=$K23,200000,ABS(17-$K23)*100)),100000+ABS(5-$J23)*1000+170)+'計算A'!DL$5*50+IF(AND($E23=1,MY23=0),25,0),INDEX('計算A'!DL$110:DL$114,$F23+1)+IF(AND($E23=1,MY23=0),1000,0)+IF($H23=1,(IF('計算A'!DK$117=1,INDEX('計算A'!DK$10:DK$54,$B23),0)+IF('計算A'!DL$117=1,INDEX('計算A'!DM$10:DM$54,$B23),0))*500,0)-IF(AND('計算A'!DK$117=1,YI23&gt;0),300,0)-IF(AND($L23=1,'計算A'!DL$117=1,HK23=0),300,0))),1000000))</f>
        <v/>
      </c>
      <c r="SO23">
        <f>IF($B23=0,1000000,IF(INDEX('計算A'!$D$60:$EQ$104,$B23,114)*HK23=1,IF(AND($E23=2,MZ23=0),1000000,IF($I23&gt;0,IF(5=$J23,IF(OR(AND(114=$I23+1,OR($K23&lt;&gt;'計算A'!$A$3,'計算A'!$A$4=0)),AND(114=$I23-1,OR(18&lt;&gt;'計算A'!$A$3,'計算A'!$A$4=0))),0,IF(18=$K23,200000,ABS(18-$K23)*100)),100000+ABS(5-$J23)*1000+180)+'計算A'!DM$5*50+IF(AND($E23=1,MZ23=0),25,0),INDEX('計算A'!DM$110:DM$114,$F23+1)+IF(AND($E23=1,MZ23=0),1000,0)+IF($H23=1,(IF('計算A'!DL$117=1,INDEX('計算A'!DL$10:DL$54,$B23),0)+IF('計算A'!DM$117=1,INDEX('計算A'!DN$10:DN$54,$B23),0))*500,0)-IF(AND('計算A'!DL$117=1,YJ23&gt;0),300,0)-IF(AND($L23=1,'計算A'!DM$117=1,HL23=0),300,0))),1000000))</f>
        <v/>
      </c>
      <c r="SP23">
        <f>IF($B23=0,1000000,IF(INDEX('計算A'!$D$60:$EQ$104,$B23,115)*HL23=1,IF(AND($E23=2,NA23=0),1000000,IF($I23&gt;0,IF(5=$J23,IF(OR(AND(115=$I23+1,OR($K23&lt;&gt;'計算A'!$A$3,'計算A'!$A$4=0)),AND(115=$I23-1,OR(19&lt;&gt;'計算A'!$A$3,'計算A'!$A$4=0))),0,IF(19=$K23,200000,ABS(19-$K23)*100)),100000+ABS(5-$J23)*1000+190)+'計算A'!DN$5*50+IF(AND($E23=1,NA23=0),25,0),INDEX('計算A'!DN$110:DN$114,$F23+1)+IF(AND($E23=1,NA23=0),1000,0)+IF($H23=1,(IF('計算A'!DM$117=1,INDEX('計算A'!DM$10:DM$54,$B23),0)+IF('計算A'!DN$117=1,INDEX('計算A'!DO$10:DO$54,$B23),0))*500,0)-IF(AND('計算A'!DM$117=1,YK23&gt;0),300,0)-IF(AND($L23=1,'計算A'!DN$117=1,HM23=0),300,0))),1000000))</f>
        <v/>
      </c>
      <c r="SQ23">
        <f>IF($B23=0,1000000,IF(INDEX('計算A'!$D$60:$EQ$104,$B23,116)*HM23=1,IF(AND($E23=2,NB23=0),1000000,IF($I23&gt;0,IF(5=$J23,IF(OR(AND(116=$I23+1,OR($K23&lt;&gt;'計算A'!$A$3,'計算A'!$A$4=0)),AND(116=$I23-1,OR(20&lt;&gt;'計算A'!$A$3,'計算A'!$A$4=0))),0,IF(20=$K23,200000,ABS(20-$K23)*100)),100000+ABS(5-$J23)*1000+200)+'計算A'!DO$5*50+IF(AND($E23=1,NB23=0),25,0),INDEX('計算A'!DO$110:DO$114,$F23+1)+IF(AND($E23=1,NB23=0),1000,0)+IF($H23=1,(IF('計算A'!DN$117=1,INDEX('計算A'!DN$10:DN$54,$B23),0)+IF('計算A'!DO$117=1,INDEX('計算A'!DP$10:DP$54,$B23),0))*500,0)-IF(AND('計算A'!DN$117=1,YL23&gt;0),300,0)-IF(AND($L23=1,'計算A'!DO$117=1,HN23=0),300,0))),1000000))</f>
        <v/>
      </c>
      <c r="SR23">
        <f>IF($B23=0,1000000,IF(INDEX('計算A'!$D$60:$EQ$104,$B23,117)*HN23=1,IF(AND($E23=2,NC23=0),1000000,IF($I23&gt;0,IF(5=$J23,IF(OR(AND(117=$I23+1,OR($K23&lt;&gt;'計算A'!$A$3,'計算A'!$A$4=0)),AND(117=$I23-1,OR(21&lt;&gt;'計算A'!$A$3,'計算A'!$A$4=0))),0,IF(21=$K23,200000,ABS(21-$K23)*100)),100000+ABS(5-$J23)*1000+210)+'計算A'!DP$5*50+IF(AND($E23=1,NC23=0),25,0),INDEX('計算A'!DP$110:DP$114,$F23+1)+IF(AND($E23=1,NC23=0),1000,0)+IF($H23=1,(IF('計算A'!DO$117=1,INDEX('計算A'!DO$10:DO$54,$B23),0)+IF('計算A'!DP$117=1,INDEX('計算A'!DQ$10:DQ$54,$B23),0))*500,0)-IF(AND('計算A'!DO$117=1,YM23&gt;0),300,0)-IF(AND($L23=1,'計算A'!DP$117=1,HO23=0),300,0))),1000000))</f>
        <v/>
      </c>
      <c r="SS23">
        <f>IF($B23=0,1000000,IF(INDEX('計算A'!$D$60:$EQ$104,$B23,118)*HO23=1,IF(AND($E23=2,ND23=0),1000000,IF($I23&gt;0,IF(5=$J23,IF(OR(AND(118=$I23+1,OR($K23&lt;&gt;'計算A'!$A$3,'計算A'!$A$4=0)),AND(118=$I23-1,OR(22&lt;&gt;'計算A'!$A$3,'計算A'!$A$4=0))),0,IF(22=$K23,200000,ABS(22-$K23)*100)),100000+ABS(5-$J23)*1000+220)+'計算A'!DQ$5*50+IF(AND($E23=1,ND23=0),25,0),INDEX('計算A'!DQ$110:DQ$114,$F23+1)+IF(AND($E23=1,ND23=0),1000,0)+IF($H23=1,(IF('計算A'!DP$117=1,INDEX('計算A'!DP$10:DP$54,$B23),0)+IF('計算A'!DQ$117=1,INDEX('計算A'!DR$10:DR$54,$B23),0))*500,0)-IF(AND('計算A'!DP$117=1,YN23&gt;0),300,0)-IF(AND($L23=1,'計算A'!DQ$117=1,HP23=0),300,0))),1000000))</f>
        <v/>
      </c>
      <c r="ST23">
        <f>IF($B23=0,1000000,IF(INDEX('計算A'!$D$60:$EQ$104,$B23,119)*HP23=1,IF(AND($E23=2,NE23=0),1000000,IF($I23&gt;0,IF(5=$J23,IF(OR(AND(119=$I23+1,OR($K23&lt;&gt;'計算A'!$A$3,'計算A'!$A$4=0)),AND(119=$I23-1,OR(23&lt;&gt;'計算A'!$A$3,'計算A'!$A$4=0))),0,IF(23=$K23,200000,ABS(23-$K23)*100)),100000+ABS(5-$J23)*1000+230)+'計算A'!DR$5*50+IF(AND($E23=1,NE23=0),25,0),INDEX('計算A'!DR$110:DR$114,$F23+1)+IF(AND($E23=1,NE23=0),1000,0)+IF($H23=1,(IF('計算A'!DQ$117=1,INDEX('計算A'!DQ$10:DQ$54,$B23),0)+IF('計算A'!DR$117=1,INDEX('計算A'!DS$10:DS$54,$B23),0))*500,0)-IF(AND('計算A'!DQ$117=1,YO23&gt;0),300,0)-IF(AND($L23=1,'計算A'!DR$117=1,HQ23=0),300,0))),1000000))</f>
        <v/>
      </c>
      <c r="SU23">
        <f>IF($B23=0,1000000,IF(INDEX('計算A'!$D$60:$EQ$104,$B23,120)*HQ23=1,IF(AND($E23=2,NF23=0),1000000,IF($I23&gt;0,IF(5=$J23,IF(OR(AND(120=$I23+1,OR($K23&lt;&gt;'計算A'!$A$3,'計算A'!$A$4=0)),AND(120=$I23-1,OR(24&lt;&gt;'計算A'!$A$3,'計算A'!$A$4=0))),0,IF(24=$K23,200000,ABS(24-$K23)*100)),100000+ABS(5-$J23)*1000+240)+'計算A'!DS$5*50+IF(AND($E23=1,NF23=0),25,0),INDEX('計算A'!DS$110:DS$114,$F23+1)+IF(AND($E23=1,NF23=0),1000,0)+IF($H23=1,(IF('計算A'!DR$117=1,INDEX('計算A'!DR$10:DR$54,$B23),0))*500,0)-IF(AND('計算A'!DR$117=1,YP23&gt;0),300,0))),1000000))</f>
        <v/>
      </c>
      <c r="SV23">
        <f>IF($B23=0,1000000,IF(INDEX('計算A'!$D$60:$EQ$104,$B23,121)*HR23=1,IF(AND($E23=2,NG23=0),1000000,IF($I23&gt;0,IF(6=$J23,IF(OR(AND(121=$I23+1,OR($K23&lt;&gt;'計算A'!$A$3,'計算A'!$A$4=0)),AND(121=$I23-1,OR(1&lt;&gt;'計算A'!$A$3,'計算A'!$A$4=0))),0,IF(1=$K23,200000,ABS(1-$K23)*100)),100000+ABS(6-$J23)*1000+10)+'計算A'!DT$5*50+IF(AND($E23=1,NG23=0),25,0),INDEX('計算A'!DT$110:DT$114,$F23+1)+IF(AND($E23=1,NG23=0),1000,0)+IF($H23=1,(IF('計算A'!DT$117=1,INDEX('計算A'!DU$10:DU$54,$B23),0))*500,0)-IF(AND($L23=1,'計算A'!DT$117=1,HS23=0),300,0))),1000000))</f>
        <v/>
      </c>
      <c r="SW23">
        <f>IF($B23=0,1000000,IF(INDEX('計算A'!$D$60:$EQ$104,$B23,122)*HS23=1,IF(AND($E23=2,NH23=0),1000000,IF($I23&gt;0,IF(6=$J23,IF(OR(AND(122=$I23+1,OR($K23&lt;&gt;'計算A'!$A$3,'計算A'!$A$4=0)),AND(122=$I23-1,OR(2&lt;&gt;'計算A'!$A$3,'計算A'!$A$4=0))),0,IF(2=$K23,200000,ABS(2-$K23)*100)),100000+ABS(6-$J23)*1000+20)+'計算A'!DU$5*50+IF(AND($E23=1,NH23=0),25,0),INDEX('計算A'!DU$110:DU$114,$F23+1)+IF(AND($E23=1,NH23=0),1000,0)+IF($H23=1,(IF('計算A'!DT$117=1,INDEX('計算A'!DT$10:DT$54,$B23),0)+IF('計算A'!DU$117=1,INDEX('計算A'!DV$10:DV$54,$B23),0))*500,0)-IF(AND('計算A'!DT$117=1,YR23&gt;0),300,0)-IF(AND($L23=1,'計算A'!DU$117=1,HT23=0),300,0))),1000000))</f>
        <v/>
      </c>
      <c r="SX23">
        <f>IF($B23=0,1000000,IF(INDEX('計算A'!$D$60:$EQ$104,$B23,123)*HT23=1,IF(AND($E23=2,NI23=0),1000000,IF($I23&gt;0,IF(6=$J23,IF(OR(AND(123=$I23+1,OR($K23&lt;&gt;'計算A'!$A$3,'計算A'!$A$4=0)),AND(123=$I23-1,OR(3&lt;&gt;'計算A'!$A$3,'計算A'!$A$4=0))),0,IF(3=$K23,200000,ABS(3-$K23)*100)),100000+ABS(6-$J23)*1000+30)+'計算A'!DV$5*50+IF(AND($E23=1,NI23=0),25,0),INDEX('計算A'!DV$110:DV$114,$F23+1)+IF(AND($E23=1,NI23=0),1000,0)+IF($H23=1,(IF('計算A'!DU$117=1,INDEX('計算A'!DU$10:DU$54,$B23),0)+IF('計算A'!DV$117=1,INDEX('計算A'!DW$10:DW$54,$B23),0))*500,0)-IF(AND('計算A'!DU$117=1,YS23&gt;0),300,0)-IF(AND($L23=1,'計算A'!DV$117=1,HU23=0),300,0))),1000000))</f>
        <v/>
      </c>
      <c r="SY23">
        <f>IF($B23=0,1000000,IF(INDEX('計算A'!$D$60:$EQ$104,$B23,124)*HU23=1,IF(AND($E23=2,NJ23=0),1000000,IF($I23&gt;0,IF(6=$J23,IF(OR(AND(124=$I23+1,OR($K23&lt;&gt;'計算A'!$A$3,'計算A'!$A$4=0)),AND(124=$I23-1,OR(4&lt;&gt;'計算A'!$A$3,'計算A'!$A$4=0))),0,IF(4=$K23,200000,ABS(4-$K23)*100)),100000+ABS(6-$J23)*1000+40)+'計算A'!DW$5*50+IF(AND($E23=1,NJ23=0),25,0),INDEX('計算A'!DW$110:DW$114,$F23+1)+IF(AND($E23=1,NJ23=0),1000,0)+IF($H23=1,(IF('計算A'!DV$117=1,INDEX('計算A'!DV$10:DV$54,$B23),0)+IF('計算A'!DW$117=1,INDEX('計算A'!DX$10:DX$54,$B23),0))*500,0)-IF(AND('計算A'!DV$117=1,YT23&gt;0),300,0)-IF(AND($L23=1,'計算A'!DW$117=1,HV23=0),300,0))),1000000))</f>
        <v/>
      </c>
      <c r="SZ23">
        <f>IF($B23=0,1000000,IF(INDEX('計算A'!$D$60:$EQ$104,$B23,125)*HV23=1,IF(AND($E23=2,NK23=0),1000000,IF($I23&gt;0,IF(6=$J23,IF(OR(AND(125=$I23+1,OR($K23&lt;&gt;'計算A'!$A$3,'計算A'!$A$4=0)),AND(125=$I23-1,OR(5&lt;&gt;'計算A'!$A$3,'計算A'!$A$4=0))),0,IF(5=$K23,200000,ABS(5-$K23)*100)),100000+ABS(6-$J23)*1000+50)+'計算A'!DX$5*50+IF(AND($E23=1,NK23=0),25,0),INDEX('計算A'!DX$110:DX$114,$F23+1)+IF(AND($E23=1,NK23=0),1000,0)+IF($H23=1,(IF('計算A'!DW$117=1,INDEX('計算A'!DW$10:DW$54,$B23),0)+IF('計算A'!DX$117=1,INDEX('計算A'!DY$10:DY$54,$B23),0))*500,0)-IF(AND('計算A'!DW$117=1,YU23&gt;0),300,0)-IF(AND($L23=1,'計算A'!DX$117=1,HW23=0),300,0))),1000000))</f>
        <v/>
      </c>
      <c r="TA23">
        <f>IF($B23=0,1000000,IF(INDEX('計算A'!$D$60:$EQ$104,$B23,126)*HW23=1,IF(AND($E23=2,NL23=0),1000000,IF($I23&gt;0,IF(6=$J23,IF(OR(AND(126=$I23+1,OR($K23&lt;&gt;'計算A'!$A$3,'計算A'!$A$4=0)),AND(126=$I23-1,OR(6&lt;&gt;'計算A'!$A$3,'計算A'!$A$4=0))),0,IF(6=$K23,200000,ABS(6-$K23)*100)),100000+ABS(6-$J23)*1000+60)+'計算A'!DY$5*50+IF(AND($E23=1,NL23=0),25,0),INDEX('計算A'!DY$110:DY$114,$F23+1)+IF(AND($E23=1,NL23=0),1000,0)+IF($H23=1,(IF('計算A'!DX$117=1,INDEX('計算A'!DX$10:DX$54,$B23),0)+IF('計算A'!DY$117=1,INDEX('計算A'!DZ$10:DZ$54,$B23),0))*500,0)-IF(AND('計算A'!DX$117=1,YV23&gt;0),300,0)-IF(AND($L23=1,'計算A'!DY$117=1,HX23=0),300,0))),1000000))</f>
        <v/>
      </c>
      <c r="TB23">
        <f>IF($B23=0,1000000,IF(INDEX('計算A'!$D$60:$EQ$104,$B23,127)*HX23=1,IF(AND($E23=2,NM23=0),1000000,IF($I23&gt;0,IF(6=$J23,IF(OR(AND(127=$I23+1,OR($K23&lt;&gt;'計算A'!$A$3,'計算A'!$A$4=0)),AND(127=$I23-1,OR(7&lt;&gt;'計算A'!$A$3,'計算A'!$A$4=0))),0,IF(7=$K23,200000,ABS(7-$K23)*100)),100000+ABS(6-$J23)*1000+70)+'計算A'!DZ$5*50+IF(AND($E23=1,NM23=0),25,0),INDEX('計算A'!DZ$110:DZ$114,$F23+1)+IF(AND($E23=1,NM23=0),1000,0)+IF($H23=1,(IF('計算A'!DY$117=1,INDEX('計算A'!DY$10:DY$54,$B23),0)+IF('計算A'!DZ$117=1,INDEX('計算A'!EA$10:EA$54,$B23),0))*500,0)-IF(AND('計算A'!DY$117=1,YW23&gt;0),300,0)-IF(AND($L23=1,'計算A'!DZ$117=1,HY23=0),300,0))),1000000))</f>
        <v/>
      </c>
      <c r="TC23">
        <f>IF($B23=0,1000000,IF(INDEX('計算A'!$D$60:$EQ$104,$B23,128)*HY23=1,IF(AND($E23=2,NN23=0),1000000,IF($I23&gt;0,IF(6=$J23,IF(OR(AND(128=$I23+1,OR($K23&lt;&gt;'計算A'!$A$3,'計算A'!$A$4=0)),AND(128=$I23-1,OR(8&lt;&gt;'計算A'!$A$3,'計算A'!$A$4=0))),0,IF(8=$K23,200000,ABS(8-$K23)*100)),100000+ABS(6-$J23)*1000+80)+'計算A'!EA$5*50+IF(AND($E23=1,NN23=0),25,0),INDEX('計算A'!EA$110:EA$114,$F23+1)+IF(AND($E23=1,NN23=0),1000,0)+IF($H23=1,(IF('計算A'!DZ$117=1,INDEX('計算A'!DZ$10:DZ$54,$B23),0)+IF('計算A'!EA$117=1,INDEX('計算A'!EB$10:EB$54,$B23),0))*500,0)-IF(AND('計算A'!DZ$117=1,YX23&gt;0),300,0)-IF(AND($L23=1,'計算A'!EA$117=1,HZ23=0),300,0))),1000000))</f>
        <v/>
      </c>
      <c r="TD23">
        <f>IF($B23=0,1000000,IF(INDEX('計算A'!$D$60:$EQ$104,$B23,129)*HZ23=1,IF(AND($E23=2,NO23=0),1000000,IF($I23&gt;0,IF(6=$J23,IF(OR(AND(129=$I23+1,OR($K23&lt;&gt;'計算A'!$A$3,'計算A'!$A$4=0)),AND(129=$I23-1,OR(9&lt;&gt;'計算A'!$A$3,'計算A'!$A$4=0))),0,IF(9=$K23,200000,ABS(9-$K23)*100)),100000+ABS(6-$J23)*1000+90)+'計算A'!EB$5*50+IF(AND($E23=1,NO23=0),25,0),INDEX('計算A'!EB$110:EB$114,$F23+1)+IF(AND($E23=1,NO23=0),1000,0)+IF($H23=1,(IF('計算A'!EA$117=1,INDEX('計算A'!EA$10:EA$54,$B23),0)+IF('計算A'!EB$117=1,INDEX('計算A'!EC$10:EC$54,$B23),0))*500,0)-IF(AND('計算A'!EA$117=1,YY23&gt;0),300,0)-IF(AND($L23=1,'計算A'!EB$117=1,IA23=0),300,0))),1000000))</f>
        <v/>
      </c>
      <c r="TE23">
        <f>IF($B23=0,1000000,IF(INDEX('計算A'!$D$60:$EQ$104,$B23,130)*IA23=1,IF(AND($E23=2,NP23=0),1000000,IF($I23&gt;0,IF(6=$J23,IF(OR(AND(130=$I23+1,OR($K23&lt;&gt;'計算A'!$A$3,'計算A'!$A$4=0)),AND(130=$I23-1,OR(10&lt;&gt;'計算A'!$A$3,'計算A'!$A$4=0))),0,IF(10=$K23,200000,ABS(10-$K23)*100)),100000+ABS(6-$J23)*1000+100)+'計算A'!EC$5*50+IF(AND($E23=1,NP23=0),25,0),INDEX('計算A'!EC$110:EC$114,$F23+1)+IF(AND($E23=1,NP23=0),1000,0)+IF($H23=1,(IF('計算A'!EB$117=1,INDEX('計算A'!EB$10:EB$54,$B23),0)+IF('計算A'!EC$117=1,INDEX('計算A'!ED$10:ED$54,$B23),0))*500,0)-IF(AND('計算A'!EB$117=1,YZ23&gt;0),300,0)-IF(AND($L23=1,'計算A'!EC$117=1,IB23=0),300,0))),1000000))</f>
        <v/>
      </c>
      <c r="TF23">
        <f>IF($B23=0,1000000,IF(INDEX('計算A'!$D$60:$EQ$104,$B23,131)*IB23=1,IF(AND($E23=2,NQ23=0),1000000,IF($I23&gt;0,IF(6=$J23,IF(OR(AND(131=$I23+1,OR($K23&lt;&gt;'計算A'!$A$3,'計算A'!$A$4=0)),AND(131=$I23-1,OR(11&lt;&gt;'計算A'!$A$3,'計算A'!$A$4=0))),0,IF(11=$K23,200000,ABS(11-$K23)*100)),100000+ABS(6-$J23)*1000+110)+'計算A'!ED$5*50+IF(AND($E23=1,NQ23=0),25,0),INDEX('計算A'!ED$110:ED$114,$F23+1)+IF(AND($E23=1,NQ23=0),1000,0)+IF($H23=1,(IF('計算A'!EC$117=1,INDEX('計算A'!EC$10:EC$54,$B23),0)+IF('計算A'!ED$117=1,INDEX('計算A'!EE$10:EE$54,$B23),0))*500,0)-IF(AND('計算A'!EC$117=1,ZA23&gt;0),300,0)-IF(AND($L23=1,'計算A'!ED$117=1,IC23=0),300,0))),1000000))</f>
        <v/>
      </c>
      <c r="TG23">
        <f>IF($B23=0,1000000,IF(INDEX('計算A'!$D$60:$EQ$104,$B23,132)*IC23=1,IF(AND($E23=2,NR23=0),1000000,IF($I23&gt;0,IF(6=$J23,IF(OR(AND(132=$I23+1,OR($K23&lt;&gt;'計算A'!$A$3,'計算A'!$A$4=0)),AND(132=$I23-1,OR(12&lt;&gt;'計算A'!$A$3,'計算A'!$A$4=0))),0,IF(12=$K23,200000,ABS(12-$K23)*100)),100000+ABS(6-$J23)*1000+120)+'計算A'!EE$5*50+IF(AND($E23=1,NR23=0),25,0),INDEX('計算A'!EE$110:EE$114,$F23+1)+IF(AND($E23=1,NR23=0),1000,0)+IF($H23=1,(IF('計算A'!ED$117=1,INDEX('計算A'!ED$10:ED$54,$B23),0)+IF('計算A'!EE$117=1,INDEX('計算A'!EF$10:EF$54,$B23),0))*500,0)-IF(AND('計算A'!ED$117=1,ZB23&gt;0),300,0)-IF(AND($L23=1,'計算A'!EE$117=1,ID23=0),300,0))),1000000))</f>
        <v/>
      </c>
      <c r="TH23">
        <f>IF($B23=0,1000000,IF(INDEX('計算A'!$D$60:$EQ$104,$B23,133)*ID23=1,IF(AND($E23=2,NS23=0),1000000,IF($I23&gt;0,IF(6=$J23,IF(OR(AND(133=$I23+1,OR($K23&lt;&gt;'計算A'!$A$3,'計算A'!$A$4=0)),AND(133=$I23-1,OR(13&lt;&gt;'計算A'!$A$3,'計算A'!$A$4=0))),0,IF(13=$K23,200000,ABS(13-$K23)*100)),100000+ABS(6-$J23)*1000+130)+'計算A'!EF$5*50+IF(AND($E23=1,NS23=0),25,0),INDEX('計算A'!EF$110:EF$114,$F23+1)+IF(AND($E23=1,NS23=0),1000,0)+IF($H23=1,(IF('計算A'!EE$117=1,INDEX('計算A'!EE$10:EE$54,$B23),0)+IF('計算A'!EF$117=1,INDEX('計算A'!EG$10:EG$54,$B23),0))*500,0)-IF(AND('計算A'!EE$117=1,ZC23&gt;0),300,0)-IF(AND($L23=1,'計算A'!EF$117=1,IE23=0),300,0))),1000000))</f>
        <v/>
      </c>
      <c r="TI23">
        <f>IF($B23=0,1000000,IF(INDEX('計算A'!$D$60:$EQ$104,$B23,134)*IE23=1,IF(AND($E23=2,NT23=0),1000000,IF($I23&gt;0,IF(6=$J23,IF(OR(AND(134=$I23+1,OR($K23&lt;&gt;'計算A'!$A$3,'計算A'!$A$4=0)),AND(134=$I23-1,OR(14&lt;&gt;'計算A'!$A$3,'計算A'!$A$4=0))),0,IF(14=$K23,200000,ABS(14-$K23)*100)),100000+ABS(6-$J23)*1000+140)+'計算A'!EG$5*50+IF(AND($E23=1,NT23=0),25,0),INDEX('計算A'!EG$110:EG$114,$F23+1)+IF(AND($E23=1,NT23=0),1000,0)+IF($H23=1,(IF('計算A'!EF$117=1,INDEX('計算A'!EF$10:EF$54,$B23),0)+IF('計算A'!EG$117=1,INDEX('計算A'!EH$10:EH$54,$B23),0))*500,0)-IF(AND('計算A'!EF$117=1,ZD23&gt;0),300,0)-IF(AND($L23=1,'計算A'!EG$117=1,IF23=0),300,0))),1000000))</f>
        <v/>
      </c>
      <c r="TJ23">
        <f>IF($B23=0,1000000,IF(INDEX('計算A'!$D$60:$EQ$104,$B23,135)*IF23=1,IF(AND($E23=2,NU23=0),1000000,IF($I23&gt;0,IF(6=$J23,IF(OR(AND(135=$I23+1,OR($K23&lt;&gt;'計算A'!$A$3,'計算A'!$A$4=0)),AND(135=$I23-1,OR(15&lt;&gt;'計算A'!$A$3,'計算A'!$A$4=0))),0,IF(15=$K23,200000,ABS(15-$K23)*100)),100000+ABS(6-$J23)*1000+150)+'計算A'!EH$5*50+IF(AND($E23=1,NU23=0),25,0),INDEX('計算A'!EH$110:EH$114,$F23+1)+IF(AND($E23=1,NU23=0),1000,0)+IF($H23=1,(IF('計算A'!EG$117=1,INDEX('計算A'!EG$10:EG$54,$B23),0)+IF('計算A'!EH$117=1,INDEX('計算A'!EI$10:EI$54,$B23),0))*500,0)-IF(AND('計算A'!EG$117=1,ZE23&gt;0),300,0)-IF(AND($L23=1,'計算A'!EH$117=1,IG23=0),300,0))),1000000))</f>
        <v/>
      </c>
      <c r="TK23">
        <f>IF($B23=0,1000000,IF(INDEX('計算A'!$D$60:$EQ$104,$B23,136)*IG23=1,IF(AND($E23=2,NV23=0),1000000,IF($I23&gt;0,IF(6=$J23,IF(OR(AND(136=$I23+1,OR($K23&lt;&gt;'計算A'!$A$3,'計算A'!$A$4=0)),AND(136=$I23-1,OR(16&lt;&gt;'計算A'!$A$3,'計算A'!$A$4=0))),0,IF(16=$K23,200000,ABS(16-$K23)*100)),100000+ABS(6-$J23)*1000+160)+'計算A'!EI$5*50+IF(AND($E23=1,NV23=0),25,0),INDEX('計算A'!EI$110:EI$114,$F23+1)+IF(AND($E23=1,NV23=0),1000,0)+IF($H23=1,(IF('計算A'!EH$117=1,INDEX('計算A'!EH$10:EH$54,$B23),0)+IF('計算A'!EI$117=1,INDEX('計算A'!EJ$10:EJ$54,$B23),0))*500,0)-IF(AND('計算A'!EH$117=1,ZF23&gt;0),300,0)-IF(AND($L23=1,'計算A'!EI$117=1,IH23=0),300,0))),1000000))</f>
        <v/>
      </c>
      <c r="TL23">
        <f>IF($B23=0,1000000,IF(INDEX('計算A'!$D$60:$EQ$104,$B23,137)*IH23=1,IF(AND($E23=2,NW23=0),1000000,IF($I23&gt;0,IF(6=$J23,IF(OR(AND(137=$I23+1,OR($K23&lt;&gt;'計算A'!$A$3,'計算A'!$A$4=0)),AND(137=$I23-1,OR(17&lt;&gt;'計算A'!$A$3,'計算A'!$A$4=0))),0,IF(17=$K23,200000,ABS(17-$K23)*100)),100000+ABS(6-$J23)*1000+170)+'計算A'!EJ$5*50+IF(AND($E23=1,NW23=0),25,0),INDEX('計算A'!EJ$110:EJ$114,$F23+1)+IF(AND($E23=1,NW23=0),1000,0)+IF($H23=1,(IF('計算A'!EI$117=1,INDEX('計算A'!EI$10:EI$54,$B23),0)+IF('計算A'!EJ$117=1,INDEX('計算A'!EK$10:EK$54,$B23),0))*500,0)-IF(AND('計算A'!EI$117=1,ZG23&gt;0),300,0)-IF(AND($L23=1,'計算A'!EJ$117=1,II23=0),300,0))),1000000))</f>
        <v/>
      </c>
      <c r="TM23">
        <f>IF($B23=0,1000000,IF(INDEX('計算A'!$D$60:$EQ$104,$B23,138)*II23=1,IF(AND($E23=2,NX23=0),1000000,IF($I23&gt;0,IF(6=$J23,IF(OR(AND(138=$I23+1,OR($K23&lt;&gt;'計算A'!$A$3,'計算A'!$A$4=0)),AND(138=$I23-1,OR(18&lt;&gt;'計算A'!$A$3,'計算A'!$A$4=0))),0,IF(18=$K23,200000,ABS(18-$K23)*100)),100000+ABS(6-$J23)*1000+180)+'計算A'!EK$5*50+IF(AND($E23=1,NX23=0),25,0),INDEX('計算A'!EK$110:EK$114,$F23+1)+IF(AND($E23=1,NX23=0),1000,0)+IF($H23=1,(IF('計算A'!EJ$117=1,INDEX('計算A'!EJ$10:EJ$54,$B23),0)+IF('計算A'!EK$117=1,INDEX('計算A'!EL$10:EL$54,$B23),0))*500,0)-IF(AND('計算A'!EJ$117=1,ZH23&gt;0),300,0)-IF(AND($L23=1,'計算A'!EK$117=1,IJ23=0),300,0))),1000000))</f>
        <v/>
      </c>
      <c r="TN23">
        <f>IF($B23=0,1000000,IF(INDEX('計算A'!$D$60:$EQ$104,$B23,139)*IJ23=1,IF(AND($E23=2,NY23=0),1000000,IF($I23&gt;0,IF(6=$J23,IF(OR(AND(139=$I23+1,OR($K23&lt;&gt;'計算A'!$A$3,'計算A'!$A$4=0)),AND(139=$I23-1,OR(19&lt;&gt;'計算A'!$A$3,'計算A'!$A$4=0))),0,IF(19=$K23,200000,ABS(19-$K23)*100)),100000+ABS(6-$J23)*1000+190)+'計算A'!EL$5*50+IF(AND($E23=1,NY23=0),25,0),INDEX('計算A'!EL$110:EL$114,$F23+1)+IF(AND($E23=1,NY23=0),1000,0)+IF($H23=1,(IF('計算A'!EK$117=1,INDEX('計算A'!EK$10:EK$54,$B23),0)+IF('計算A'!EL$117=1,INDEX('計算A'!EM$10:EM$54,$B23),0))*500,0)-IF(AND('計算A'!EK$117=1,ZI23&gt;0),300,0)-IF(AND($L23=1,'計算A'!EL$117=1,IK23=0),300,0))),1000000))</f>
        <v/>
      </c>
      <c r="TO23">
        <f>IF($B23=0,1000000,IF(INDEX('計算A'!$D$60:$EQ$104,$B23,140)*IK23=1,IF(AND($E23=2,NZ23=0),1000000,IF($I23&gt;0,IF(6=$J23,IF(OR(AND(140=$I23+1,OR($K23&lt;&gt;'計算A'!$A$3,'計算A'!$A$4=0)),AND(140=$I23-1,OR(20&lt;&gt;'計算A'!$A$3,'計算A'!$A$4=0))),0,IF(20=$K23,200000,ABS(20-$K23)*100)),100000+ABS(6-$J23)*1000+200)+'計算A'!EM$5*50+IF(AND($E23=1,NZ23=0),25,0),INDEX('計算A'!EM$110:EM$114,$F23+1)+IF(AND($E23=1,NZ23=0),1000,0)+IF($H23=1,(IF('計算A'!EL$117=1,INDEX('計算A'!EL$10:EL$54,$B23),0)+IF('計算A'!EM$117=1,INDEX('計算A'!EN$10:EN$54,$B23),0))*500,0)-IF(AND('計算A'!EL$117=1,ZJ23&gt;0),300,0)-IF(AND($L23=1,'計算A'!EM$117=1,IL23=0),300,0))),1000000))</f>
        <v/>
      </c>
      <c r="TP23">
        <f>IF($B23=0,1000000,IF(INDEX('計算A'!$D$60:$EQ$104,$B23,141)*IL23=1,IF(AND($E23=2,OA23=0),1000000,IF($I23&gt;0,IF(6=$J23,IF(OR(AND(141=$I23+1,OR($K23&lt;&gt;'計算A'!$A$3,'計算A'!$A$4=0)),AND(141=$I23-1,OR(21&lt;&gt;'計算A'!$A$3,'計算A'!$A$4=0))),0,IF(21=$K23,200000,ABS(21-$K23)*100)),100000+ABS(6-$J23)*1000+210)+'計算A'!EN$5*50+IF(AND($E23=1,OA23=0),25,0),INDEX('計算A'!EN$110:EN$114,$F23+1)+IF(AND($E23=1,OA23=0),1000,0)+IF($H23=1,(IF('計算A'!EM$117=1,INDEX('計算A'!EM$10:EM$54,$B23),0)+IF('計算A'!EN$117=1,INDEX('計算A'!EO$10:EO$54,$B23),0))*500,0)-IF(AND('計算A'!EM$117=1,ZK23&gt;0),300,0)-IF(AND($L23=1,'計算A'!EN$117=1,IM23=0),300,0))),1000000))</f>
        <v/>
      </c>
      <c r="TQ23">
        <f>IF($B23=0,1000000,IF(INDEX('計算A'!$D$60:$EQ$104,$B23,142)*IM23=1,IF(AND($E23=2,OB23=0),1000000,IF($I23&gt;0,IF(6=$J23,IF(OR(AND(142=$I23+1,OR($K23&lt;&gt;'計算A'!$A$3,'計算A'!$A$4=0)),AND(142=$I23-1,OR(22&lt;&gt;'計算A'!$A$3,'計算A'!$A$4=0))),0,IF(22=$K23,200000,ABS(22-$K23)*100)),100000+ABS(6-$J23)*1000+220)+'計算A'!EO$5*50+IF(AND($E23=1,OB23=0),25,0),INDEX('計算A'!EO$110:EO$114,$F23+1)+IF(AND($E23=1,OB23=0),1000,0)+IF($H23=1,(IF('計算A'!EN$117=1,INDEX('計算A'!EN$10:EN$54,$B23),0)+IF('計算A'!EO$117=1,INDEX('計算A'!EP$10:EP$54,$B23),0))*500,0)-IF(AND('計算A'!EN$117=1,ZL23&gt;0),300,0)-IF(AND($L23=1,'計算A'!EO$117=1,IN23=0),300,0))),1000000))</f>
        <v/>
      </c>
      <c r="TR23">
        <f>IF($B23=0,1000000,IF(INDEX('計算A'!$D$60:$EQ$104,$B23,143)*IN23=1,IF(AND($E23=2,OC23=0),1000000,IF($I23&gt;0,IF(6=$J23,IF(OR(AND(143=$I23+1,OR($K23&lt;&gt;'計算A'!$A$3,'計算A'!$A$4=0)),AND(143=$I23-1,OR(23&lt;&gt;'計算A'!$A$3,'計算A'!$A$4=0))),0,IF(23=$K23,200000,ABS(23-$K23)*100)),100000+ABS(6-$J23)*1000+230)+'計算A'!EP$5*50+IF(AND($E23=1,OC23=0),25,0),INDEX('計算A'!EP$110:EP$114,$F23+1)+IF(AND($E23=1,OC23=0),1000,0)+IF($H23=1,(IF('計算A'!EO$117=1,INDEX('計算A'!EO$10:EO$54,$B23),0)+IF('計算A'!EP$117=1,INDEX('計算A'!EQ$10:EQ$54,$B23),0))*500,0)-IF(AND('計算A'!EO$117=1,ZM23&gt;0),300,0)-IF(AND($L23=1,'計算A'!EP$117=1,IO23=0),300,0))),1000000))</f>
        <v/>
      </c>
      <c r="TS23">
        <f>IF($B23=0,1000000,IF(INDEX('計算A'!$D$60:$EQ$104,$B23,144)*IO23=1,IF(AND($E23=2,OD23=0),1000000,IF($I23&gt;0,IF(6=$J23,IF(OR(AND(144=$I23+1,OR($K23&lt;&gt;'計算A'!$A$3,'計算A'!$A$4=0)),AND(144=$I23-1,OR(24&lt;&gt;'計算A'!$A$3,'計算A'!$A$4=0))),0,IF(24=$K23,200000,ABS(24-$K23)*100)),100000+ABS(6-$J23)*1000+240)+'計算A'!EQ$5*50+IF(AND($E23=1,OD23=0),25,0),INDEX('計算A'!EQ$110:EQ$114,$F23+1)+IF(AND($E23=1,OD23=0),1000,0)+IF($H23=1,(IF('計算A'!EP$117=1,INDEX('計算A'!EP$10:EP$54,$B23),0))*500,0)-IF(AND('計算A'!EP$117=1,ZN23&gt;0),300,0))),1000000))</f>
        <v/>
      </c>
      <c r="UB23">
        <f>UB22+IF(AND($C22=1,$L22=1),1,0)</f>
        <v/>
      </c>
      <c r="UC23">
        <f>UC22+IF(AND($C22=2,$L22=1),1,0)</f>
        <v/>
      </c>
      <c r="UD23">
        <f>UD22+IF(AND($C22=3,$L22=1),1,0)</f>
        <v/>
      </c>
      <c r="UE23">
        <f>UE22+IF(AND($C22=4,$L22=1),1,0)</f>
        <v/>
      </c>
      <c r="UF23">
        <f>UF22+IF(AND($C22=5,$L22=1),1,0)</f>
        <v/>
      </c>
      <c r="UG23">
        <f>UG22+IF(AND($C22=6,$L22=1),1,0)</f>
        <v/>
      </c>
      <c r="UH23">
        <f>UH22+IF(AND($C22=7,$L22=1),1,0)</f>
        <v/>
      </c>
      <c r="UI23">
        <f>UI22+IF(AND($C22=8,$L22=1),1,0)</f>
        <v/>
      </c>
      <c r="UJ23">
        <f>UJ22+IF(AND($C22=9,$L22=1),1,0)</f>
        <v/>
      </c>
      <c r="UK23">
        <f>UK22+IF(AND($C22=10,$L22=1),1,0)</f>
        <v/>
      </c>
      <c r="UL23">
        <f>UL22+IF(AND($C22=11,$L22=1),1,0)</f>
        <v/>
      </c>
      <c r="UM23">
        <f>UM22+IF(AND($C22=12,$L22=1),1,0)</f>
        <v/>
      </c>
      <c r="UN23">
        <f>UN22+IF(AND($C22=13,$L22=1),1,0)</f>
        <v/>
      </c>
      <c r="UO23">
        <f>UO22+IF(AND($C22=14,$L22=1),1,0)</f>
        <v/>
      </c>
      <c r="UP23">
        <f>UP22+IF(AND($C22=15,$L22=1),1,0)</f>
        <v/>
      </c>
      <c r="UQ23">
        <f>UQ22+IF(AND($C22=16,$L22=1),1,0)</f>
        <v/>
      </c>
      <c r="UR23">
        <f>UR22+IF(AND($C22=17,$L22=1),1,0)</f>
        <v/>
      </c>
      <c r="US23">
        <f>US22+IF(AND($C22=18,$L22=1),1,0)</f>
        <v/>
      </c>
      <c r="UT23">
        <f>UT22+IF(AND($C22=19,$L22=1),1,0)</f>
        <v/>
      </c>
      <c r="UU23">
        <f>UU22+IF(AND($C22=20,$L22=1),1,0)</f>
        <v/>
      </c>
      <c r="UV23">
        <f>UV22+IF(AND($C22=21,$L22=1),1,0)</f>
        <v/>
      </c>
      <c r="UW23">
        <f>UW22+IF(AND($C22=22,$L22=1),1,0)</f>
        <v/>
      </c>
      <c r="UX23">
        <f>UX22+IF(AND($C22=23,$L22=1),1,0)</f>
        <v/>
      </c>
      <c r="UY23">
        <f>UY22+IF(AND($C22=24,$L22=1),1,0)</f>
        <v/>
      </c>
      <c r="UZ23">
        <f>UZ22+IF(AND($C22=25,$L22=1),1,0)</f>
        <v/>
      </c>
      <c r="VA23">
        <f>VA22+IF(AND($C22=26,$L22=1),1,0)</f>
        <v/>
      </c>
      <c r="VB23">
        <f>VB22+IF(AND($C22=27,$L22=1),1,0)</f>
        <v/>
      </c>
      <c r="VC23">
        <f>VC22+IF(AND($C22=28,$L22=1),1,0)</f>
        <v/>
      </c>
      <c r="VD23">
        <f>VD22+IF(AND($C22=29,$L22=1),1,0)</f>
        <v/>
      </c>
      <c r="VE23">
        <f>VE22+IF(AND($C22=30,$L22=1),1,0)</f>
        <v/>
      </c>
      <c r="VF23">
        <f>VF22+IF(AND($C22=31,$L22=1),1,0)</f>
        <v/>
      </c>
      <c r="VG23">
        <f>VG22+IF(AND($C22=32,$L22=1),1,0)</f>
        <v/>
      </c>
      <c r="VH23">
        <f>VH22+IF(AND($C22=33,$L22=1),1,0)</f>
        <v/>
      </c>
      <c r="VI23">
        <f>VI22+IF(AND($C22=34,$L22=1),1,0)</f>
        <v/>
      </c>
      <c r="VJ23">
        <f>VJ22+IF(AND($C22=35,$L22=1),1,0)</f>
        <v/>
      </c>
      <c r="VK23">
        <f>VK22+IF(AND($C22=36,$L22=1),1,0)</f>
        <v/>
      </c>
      <c r="VL23">
        <f>VL22+IF(AND($C22=37,$L22=1),1,0)</f>
        <v/>
      </c>
      <c r="VM23">
        <f>VM22+IF(AND($C22=38,$L22=1),1,0)</f>
        <v/>
      </c>
      <c r="VN23">
        <f>VN22+IF(AND($C22=39,$L22=1),1,0)</f>
        <v/>
      </c>
      <c r="VO23">
        <f>VO22+IF(AND($C22=40,$L22=1),1,0)</f>
        <v/>
      </c>
      <c r="VP23">
        <f>VP22+IF(AND($C22=41,$L22=1),1,0)</f>
        <v/>
      </c>
      <c r="VQ23">
        <f>VQ22+IF(AND($C22=42,$L22=1),1,0)</f>
        <v/>
      </c>
      <c r="VR23">
        <f>VR22+IF(AND($C22=43,$L22=1),1,0)</f>
        <v/>
      </c>
      <c r="VS23">
        <f>VS22+IF(AND($C22=44,$L22=1),1,0)</f>
        <v/>
      </c>
      <c r="VT23">
        <f>VT22+IF(AND($C22=45,$L22=1),1,0)</f>
        <v/>
      </c>
      <c r="VU23">
        <f>VU22+IF(AND($C22=46,$L22=1),1,0)</f>
        <v/>
      </c>
      <c r="VV23">
        <f>VV22+IF(AND($C22=47,$L22=1),1,0)</f>
        <v/>
      </c>
      <c r="VW23">
        <f>VW22+IF(AND($C22=48,$L22=1),1,0)</f>
        <v/>
      </c>
      <c r="VX23">
        <f>VX22+IF(AND($C22=49,$L22=1),1,0)</f>
        <v/>
      </c>
      <c r="VY23">
        <f>VY22+IF(AND($C22=50,$L22=1),1,0)</f>
        <v/>
      </c>
      <c r="VZ23">
        <f>VZ22+IF(AND($C22=51,$L22=1),1,0)</f>
        <v/>
      </c>
      <c r="WA23">
        <f>WA22+IF(AND($C22=52,$L22=1),1,0)</f>
        <v/>
      </c>
      <c r="WB23">
        <f>WB22+IF(AND($C22=53,$L22=1),1,0)</f>
        <v/>
      </c>
      <c r="WC23">
        <f>WC22+IF(AND($C22=54,$L22=1),1,0)</f>
        <v/>
      </c>
      <c r="WD23">
        <f>WD22+IF(AND($C22=55,$L22=1),1,0)</f>
        <v/>
      </c>
      <c r="WE23">
        <f>WE22+IF(AND($C22=56,$L22=1),1,0)</f>
        <v/>
      </c>
      <c r="WF23">
        <f>WF22+IF(AND($C22=57,$L22=1),1,0)</f>
        <v/>
      </c>
      <c r="WG23">
        <f>WG22+IF(AND($C22=58,$L22=1),1,0)</f>
        <v/>
      </c>
      <c r="WH23">
        <f>WH22+IF(AND($C22=59,$L22=1),1,0)</f>
        <v/>
      </c>
      <c r="WI23">
        <f>WI22+IF(AND($C22=60,$L22=1),1,0)</f>
        <v/>
      </c>
      <c r="WJ23">
        <f>WJ22+IF(AND($C22=61,$L22=1),1,0)</f>
        <v/>
      </c>
      <c r="WK23">
        <f>WK22+IF(AND($C22=62,$L22=1),1,0)</f>
        <v/>
      </c>
      <c r="WL23">
        <f>WL22+IF(AND($C22=63,$L22=1),1,0)</f>
        <v/>
      </c>
      <c r="WM23">
        <f>WM22+IF(AND($C22=64,$L22=1),1,0)</f>
        <v/>
      </c>
      <c r="WN23">
        <f>WN22+IF(AND($C22=65,$L22=1),1,0)</f>
        <v/>
      </c>
      <c r="WO23">
        <f>WO22+IF(AND($C22=66,$L22=1),1,0)</f>
        <v/>
      </c>
      <c r="WP23">
        <f>WP22+IF(AND($C22=67,$L22=1),1,0)</f>
        <v/>
      </c>
      <c r="WQ23">
        <f>WQ22+IF(AND($C22=68,$L22=1),1,0)</f>
        <v/>
      </c>
      <c r="WR23">
        <f>WR22+IF(AND($C22=69,$L22=1),1,0)</f>
        <v/>
      </c>
      <c r="WS23">
        <f>WS22+IF(AND($C22=70,$L22=1),1,0)</f>
        <v/>
      </c>
      <c r="WT23">
        <f>WT22+IF(AND($C22=71,$L22=1),1,0)</f>
        <v/>
      </c>
      <c r="WU23">
        <f>WU22+IF(AND($C22=72,$L22=1),1,0)</f>
        <v/>
      </c>
      <c r="WV23">
        <f>WV22+IF(AND($C22=73,$L22=1),1,0)</f>
        <v/>
      </c>
      <c r="WW23">
        <f>WW22+IF(AND($C22=74,$L22=1),1,0)</f>
        <v/>
      </c>
      <c r="WX23">
        <f>WX22+IF(AND($C22=75,$L22=1),1,0)</f>
        <v/>
      </c>
      <c r="WY23">
        <f>WY22+IF(AND($C22=76,$L22=1),1,0)</f>
        <v/>
      </c>
      <c r="WZ23">
        <f>WZ22+IF(AND($C22=77,$L22=1),1,0)</f>
        <v/>
      </c>
      <c r="XA23">
        <f>XA22+IF(AND($C22=78,$L22=1),1,0)</f>
        <v/>
      </c>
      <c r="XB23">
        <f>XB22+IF(AND($C22=79,$L22=1),1,0)</f>
        <v/>
      </c>
      <c r="XC23">
        <f>XC22+IF(AND($C22=80,$L22=1),1,0)</f>
        <v/>
      </c>
      <c r="XD23">
        <f>XD22+IF(AND($C22=81,$L22=1),1,0)</f>
        <v/>
      </c>
      <c r="XE23">
        <f>XE22+IF(AND($C22=82,$L22=1),1,0)</f>
        <v/>
      </c>
      <c r="XF23">
        <f>XF22+IF(AND($C22=83,$L22=1),1,0)</f>
        <v/>
      </c>
      <c r="XG23">
        <f>XG22+IF(AND($C22=84,$L22=1),1,0)</f>
        <v/>
      </c>
      <c r="XH23">
        <f>XH22+IF(AND($C22=85,$L22=1),1,0)</f>
        <v/>
      </c>
      <c r="XI23">
        <f>XI22+IF(AND($C22=86,$L22=1),1,0)</f>
        <v/>
      </c>
      <c r="XJ23">
        <f>XJ22+IF(AND($C22=87,$L22=1),1,0)</f>
        <v/>
      </c>
      <c r="XK23">
        <f>XK22+IF(AND($C22=88,$L22=1),1,0)</f>
        <v/>
      </c>
      <c r="XL23">
        <f>XL22+IF(AND($C22=89,$L22=1),1,0)</f>
        <v/>
      </c>
      <c r="XM23">
        <f>XM22+IF(AND($C22=90,$L22=1),1,0)</f>
        <v/>
      </c>
      <c r="XN23">
        <f>XN22+IF(AND($C22=91,$L22=1),1,0)</f>
        <v/>
      </c>
      <c r="XO23">
        <f>XO22+IF(AND($C22=92,$L22=1),1,0)</f>
        <v/>
      </c>
      <c r="XP23">
        <f>XP22+IF(AND($C22=93,$L22=1),1,0)</f>
        <v/>
      </c>
      <c r="XQ23">
        <f>XQ22+IF(AND($C22=94,$L22=1),1,0)</f>
        <v/>
      </c>
      <c r="XR23">
        <f>XR22+IF(AND($C22=95,$L22=1),1,0)</f>
        <v/>
      </c>
      <c r="XS23">
        <f>XS22+IF(AND($C22=96,$L22=1),1,0)</f>
        <v/>
      </c>
      <c r="XT23">
        <f>XT22+IF(AND($C22=97,$L22=1),1,0)</f>
        <v/>
      </c>
      <c r="XU23">
        <f>XU22+IF(AND($C22=98,$L22=1),1,0)</f>
        <v/>
      </c>
      <c r="XV23">
        <f>XV22+IF(AND($C22=99,$L22=1),1,0)</f>
        <v/>
      </c>
      <c r="XW23">
        <f>XW22+IF(AND($C22=100,$L22=1),1,0)</f>
        <v/>
      </c>
      <c r="XX23">
        <f>XX22+IF(AND($C22=101,$L22=1),1,0)</f>
        <v/>
      </c>
      <c r="XY23">
        <f>XY22+IF(AND($C22=102,$L22=1),1,0)</f>
        <v/>
      </c>
      <c r="XZ23">
        <f>XZ22+IF(AND($C22=103,$L22=1),1,0)</f>
        <v/>
      </c>
      <c r="YA23">
        <f>YA22+IF(AND($C22=104,$L22=1),1,0)</f>
        <v/>
      </c>
      <c r="YB23">
        <f>YB22+IF(AND($C22=105,$L22=1),1,0)</f>
        <v/>
      </c>
      <c r="YC23">
        <f>YC22+IF(AND($C22=106,$L22=1),1,0)</f>
        <v/>
      </c>
      <c r="YD23">
        <f>YD22+IF(AND($C22=107,$L22=1),1,0)</f>
        <v/>
      </c>
      <c r="YE23">
        <f>YE22+IF(AND($C22=108,$L22=1),1,0)</f>
        <v/>
      </c>
      <c r="YF23">
        <f>YF22+IF(AND($C22=109,$L22=1),1,0)</f>
        <v/>
      </c>
      <c r="YG23">
        <f>YG22+IF(AND($C22=110,$L22=1),1,0)</f>
        <v/>
      </c>
      <c r="YH23">
        <f>YH22+IF(AND($C22=111,$L22=1),1,0)</f>
        <v/>
      </c>
      <c r="YI23">
        <f>YI22+IF(AND($C22=112,$L22=1),1,0)</f>
        <v/>
      </c>
      <c r="YJ23">
        <f>YJ22+IF(AND($C22=113,$L22=1),1,0)</f>
        <v/>
      </c>
      <c r="YK23">
        <f>YK22+IF(AND($C22=114,$L22=1),1,0)</f>
        <v/>
      </c>
      <c r="YL23">
        <f>YL22+IF(AND($C22=115,$L22=1),1,0)</f>
        <v/>
      </c>
      <c r="YM23">
        <f>YM22+IF(AND($C22=116,$L22=1),1,0)</f>
        <v/>
      </c>
      <c r="YN23">
        <f>YN22+IF(AND($C22=117,$L22=1),1,0)</f>
        <v/>
      </c>
      <c r="YO23">
        <f>YO22+IF(AND($C22=118,$L22=1),1,0)</f>
        <v/>
      </c>
      <c r="YP23">
        <f>YP22+IF(AND($C22=119,$L22=1),1,0)</f>
        <v/>
      </c>
      <c r="YQ23">
        <f>YQ22+IF(AND($C22=120,$L22=1),1,0)</f>
        <v/>
      </c>
      <c r="YR23">
        <f>YR22+IF(AND($C22=121,$L22=1),1,0)</f>
        <v/>
      </c>
      <c r="YS23">
        <f>YS22+IF(AND($C22=122,$L22=1),1,0)</f>
        <v/>
      </c>
      <c r="YT23">
        <f>YT22+IF(AND($C22=123,$L22=1),1,0)</f>
        <v/>
      </c>
      <c r="YU23">
        <f>YU22+IF(AND($C22=124,$L22=1),1,0)</f>
        <v/>
      </c>
      <c r="YV23">
        <f>YV22+IF(AND($C22=125,$L22=1),1,0)</f>
        <v/>
      </c>
      <c r="YW23">
        <f>YW22+IF(AND($C22=126,$L22=1),1,0)</f>
        <v/>
      </c>
      <c r="YX23">
        <f>YX22+IF(AND($C22=127,$L22=1),1,0)</f>
        <v/>
      </c>
      <c r="YY23">
        <f>YY22+IF(AND($C22=128,$L22=1),1,0)</f>
        <v/>
      </c>
      <c r="YZ23">
        <f>YZ22+IF(AND($C22=129,$L22=1),1,0)</f>
        <v/>
      </c>
      <c r="ZA23">
        <f>ZA22+IF(AND($C22=130,$L22=1),1,0)</f>
        <v/>
      </c>
      <c r="ZB23">
        <f>ZB22+IF(AND($C22=131,$L22=1),1,0)</f>
        <v/>
      </c>
      <c r="ZC23">
        <f>ZC22+IF(AND($C22=132,$L22=1),1,0)</f>
        <v/>
      </c>
      <c r="ZD23">
        <f>ZD22+IF(AND($C22=133,$L22=1),1,0)</f>
        <v/>
      </c>
      <c r="ZE23">
        <f>ZE22+IF(AND($C22=134,$L22=1),1,0)</f>
        <v/>
      </c>
      <c r="ZF23">
        <f>ZF22+IF(AND($C22=135,$L22=1),1,0)</f>
        <v/>
      </c>
      <c r="ZG23">
        <f>ZG22+IF(AND($C22=136,$L22=1),1,0)</f>
        <v/>
      </c>
      <c r="ZH23">
        <f>ZH22+IF(AND($C22=137,$L22=1),1,0)</f>
        <v/>
      </c>
      <c r="ZI23">
        <f>ZI22+IF(AND($C22=138,$L22=1),1,0)</f>
        <v/>
      </c>
      <c r="ZJ23">
        <f>ZJ22+IF(AND($C22=139,$L22=1),1,0)</f>
        <v/>
      </c>
      <c r="ZK23">
        <f>ZK22+IF(AND($C22=140,$L22=1),1,0)</f>
        <v/>
      </c>
      <c r="ZL23">
        <f>ZL22+IF(AND($C22=141,$L22=1),1,0)</f>
        <v/>
      </c>
      <c r="ZM23">
        <f>ZM22+IF(AND($C22=142,$L22=1),1,0)</f>
        <v/>
      </c>
      <c r="ZN23">
        <f>ZN22+IF(AND($C22=143,$L22=1),1,0)</f>
        <v/>
      </c>
      <c r="ZO23">
        <f>ZO22+IF(AND($C22=144,$L22=1),1,0)</f>
        <v/>
      </c>
    </row>
    <row r="24">
      <c r="A24" t="n">
        <v>22</v>
      </c>
      <c r="B24">
        <f>IF(MIN(BH24:CZ24)&gt;=1000000,0,MATCH(MIN(BH24:CZ24),BH24:CZ24,0))</f>
        <v/>
      </c>
      <c r="C24">
        <f>IF(MIN(OF24:TS24)&gt;=1000000,0,MATCH(MIN(OF24:TS24),OF24:TS24,0))</f>
        <v/>
      </c>
      <c r="D24">
        <f>IF(C24&gt;0,INDEX('計算A'!$D$5:$EQ$5,C24),0)</f>
        <v/>
      </c>
      <c r="E24">
        <f>IF(B24=0,0,INDEX('計算A'!$IQ$10:$IQ$54,B24))</f>
        <v/>
      </c>
      <c r="F24">
        <f>IF(B24=0,0,INDEX('計算A'!$IP$10:$IP$54,B24))</f>
        <v/>
      </c>
      <c r="G24">
        <f>IF(AND(C24&gt;0,E24&gt;0),IF(AND(INDEX('計算A'!$D$106:$EQ$106,C24)=1,INDEX($IQ24:$OD24,C24)=1),C24+1,0),0)</f>
        <v/>
      </c>
      <c r="H24">
        <f>IF(B24=0,0,INDEX('計算A'!$IW$10:$IW$54,B24))</f>
        <v/>
      </c>
      <c r="I24">
        <f>IF(B24=0,0,MAX(0,INDEX('計算A'!$IT$10:$IT$54,B24)))</f>
        <v/>
      </c>
      <c r="J24">
        <f>IF(I24=0,0,INDEX('計算A'!$D$2:$EQ$2,I24))</f>
        <v/>
      </c>
      <c r="K24">
        <f>IF(I24=0,0,INDEX('計算A'!$D$3:$EQ$3,I24))</f>
        <v/>
      </c>
      <c r="L24">
        <f>IF(B24=0,0,INDEX('計算A'!$IX$10:$IX$54,B24))</f>
        <v/>
      </c>
      <c r="N24">
        <f>MAX(N23,IF($B23=1,1,0))</f>
        <v/>
      </c>
      <c r="O24">
        <f>MAX(O23,IF($B23=2,1,0))</f>
        <v/>
      </c>
      <c r="P24">
        <f>MAX(P23,IF($B23=3,1,0))</f>
        <v/>
      </c>
      <c r="Q24">
        <f>MAX(Q23,IF($B23=4,1,0))</f>
        <v/>
      </c>
      <c r="R24">
        <f>MAX(R23,IF($B23=5,1,0))</f>
        <v/>
      </c>
      <c r="S24">
        <f>MAX(S23,IF($B23=6,1,0))</f>
        <v/>
      </c>
      <c r="T24">
        <f>MAX(T23,IF($B23=7,1,0))</f>
        <v/>
      </c>
      <c r="U24">
        <f>MAX(U23,IF($B23=8,1,0))</f>
        <v/>
      </c>
      <c r="V24">
        <f>MAX(V23,IF($B23=9,1,0))</f>
        <v/>
      </c>
      <c r="W24">
        <f>MAX(W23,IF($B23=10,1,0))</f>
        <v/>
      </c>
      <c r="X24">
        <f>MAX(X23,IF($B23=11,1,0))</f>
        <v/>
      </c>
      <c r="Y24">
        <f>MAX(Y23,IF($B23=12,1,0))</f>
        <v/>
      </c>
      <c r="Z24">
        <f>MAX(Z23,IF($B23=13,1,0))</f>
        <v/>
      </c>
      <c r="AA24">
        <f>MAX(AA23,IF($B23=14,1,0))</f>
        <v/>
      </c>
      <c r="AB24">
        <f>MAX(AB23,IF($B23=15,1,0))</f>
        <v/>
      </c>
      <c r="AC24">
        <f>MAX(AC23,IF($B23=16,1,0))</f>
        <v/>
      </c>
      <c r="AD24">
        <f>MAX(AD23,IF($B23=17,1,0))</f>
        <v/>
      </c>
      <c r="AE24">
        <f>MAX(AE23,IF($B23=18,1,0))</f>
        <v/>
      </c>
      <c r="AF24">
        <f>MAX(AF23,IF($B23=19,1,0))</f>
        <v/>
      </c>
      <c r="AG24">
        <f>MAX(AG23,IF($B23=20,1,0))</f>
        <v/>
      </c>
      <c r="AH24">
        <f>MAX(AH23,IF($B23=21,1,0))</f>
        <v/>
      </c>
      <c r="AI24">
        <f>MAX(AI23,IF($B23=22,1,0))</f>
        <v/>
      </c>
      <c r="AJ24">
        <f>MAX(AJ23,IF($B23=23,1,0))</f>
        <v/>
      </c>
      <c r="AK24">
        <f>MAX(AK23,IF($B23=24,1,0))</f>
        <v/>
      </c>
      <c r="AL24">
        <f>MAX(AL23,IF($B23=25,1,0))</f>
        <v/>
      </c>
      <c r="AM24">
        <f>MAX(AM23,IF($B23=26,1,0))</f>
        <v/>
      </c>
      <c r="AN24">
        <f>MAX(AN23,IF($B23=27,1,0))</f>
        <v/>
      </c>
      <c r="AO24">
        <f>MAX(AO23,IF($B23=28,1,0))</f>
        <v/>
      </c>
      <c r="AP24">
        <f>MAX(AP23,IF($B23=29,1,0))</f>
        <v/>
      </c>
      <c r="AQ24">
        <f>MAX(AQ23,IF($B23=30,1,0))</f>
        <v/>
      </c>
      <c r="AR24">
        <f>MAX(AR23,IF($B23=31,1,0))</f>
        <v/>
      </c>
      <c r="AS24">
        <f>MAX(AS23,IF($B23=32,1,0))</f>
        <v/>
      </c>
      <c r="AT24">
        <f>MAX(AT23,IF($B23=33,1,0))</f>
        <v/>
      </c>
      <c r="AU24">
        <f>MAX(AU23,IF($B23=34,1,0))</f>
        <v/>
      </c>
      <c r="AV24">
        <f>MAX(AV23,IF($B23=35,1,0))</f>
        <v/>
      </c>
      <c r="AW24">
        <f>MAX(AW23,IF($B23=36,1,0))</f>
        <v/>
      </c>
      <c r="AX24">
        <f>MAX(AX23,IF($B23=37,1,0))</f>
        <v/>
      </c>
      <c r="AY24">
        <f>MAX(AY23,IF($B23=38,1,0))</f>
        <v/>
      </c>
      <c r="AZ24">
        <f>MAX(AZ23,IF($B23=39,1,0))</f>
        <v/>
      </c>
      <c r="BA24">
        <f>MAX(BA23,IF($B23=40,1,0))</f>
        <v/>
      </c>
      <c r="BB24">
        <f>MAX(BB23,IF($B23=41,1,0))</f>
        <v/>
      </c>
      <c r="BC24">
        <f>MAX(BC23,IF($B23=42,1,0))</f>
        <v/>
      </c>
      <c r="BD24">
        <f>MAX(BD23,IF($B23=43,1,0))</f>
        <v/>
      </c>
      <c r="BE24">
        <f>MAX(BE23,IF($B23=44,1,0))</f>
        <v/>
      </c>
      <c r="BF24">
        <f>MAX(BF23,IF($B23=45,1,0))</f>
        <v/>
      </c>
      <c r="BH24">
        <f>IF(N24=1,1000000,IF('計算A'!$IT$10&gt;0,0,500000)+IF('計算A'!$IQ$10=2,SUMPRODUCT('計算A'!$D$60:$EQ$60,$DB24:$IO24,$IQ24:$OD24),SUMPRODUCT('計算A'!$D$60:$EQ$60,$DB24:$IO24))*1000+1)</f>
        <v/>
      </c>
      <c r="BI24">
        <f>IF(O24=1,1000000,IF('計算A'!$IT$11&gt;0,0,500000)+IF('計算A'!$IQ$11=2,SUMPRODUCT('計算A'!$D$61:$EQ$61,$DB24:$IO24,$IQ24:$OD24),SUMPRODUCT('計算A'!$D$61:$EQ$61,$DB24:$IO24))*1000+2)</f>
        <v/>
      </c>
      <c r="BJ24">
        <f>IF(P24=1,1000000,IF('計算A'!$IT$12&gt;0,0,500000)+IF('計算A'!$IQ$12=2,SUMPRODUCT('計算A'!$D$62:$EQ$62,$DB24:$IO24,$IQ24:$OD24),SUMPRODUCT('計算A'!$D$62:$EQ$62,$DB24:$IO24))*1000+3)</f>
        <v/>
      </c>
      <c r="BK24">
        <f>IF(Q24=1,1000000,IF('計算A'!$IT$13&gt;0,0,500000)+IF('計算A'!$IQ$13=2,SUMPRODUCT('計算A'!$D$63:$EQ$63,$DB24:$IO24,$IQ24:$OD24),SUMPRODUCT('計算A'!$D$63:$EQ$63,$DB24:$IO24))*1000+4)</f>
        <v/>
      </c>
      <c r="BL24">
        <f>IF(R24=1,1000000,IF('計算A'!$IT$14&gt;0,0,500000)+IF('計算A'!$IQ$14=2,SUMPRODUCT('計算A'!$D$64:$EQ$64,$DB24:$IO24,$IQ24:$OD24),SUMPRODUCT('計算A'!$D$64:$EQ$64,$DB24:$IO24))*1000+5)</f>
        <v/>
      </c>
      <c r="BM24">
        <f>IF(S24=1,1000000,IF('計算A'!$IT$15&gt;0,0,500000)+IF('計算A'!$IQ$15=2,SUMPRODUCT('計算A'!$D$65:$EQ$65,$DB24:$IO24,$IQ24:$OD24),SUMPRODUCT('計算A'!$D$65:$EQ$65,$DB24:$IO24))*1000+6)</f>
        <v/>
      </c>
      <c r="BN24">
        <f>IF(T24=1,1000000,IF('計算A'!$IT$16&gt;0,0,500000)+IF('計算A'!$IQ$16=2,SUMPRODUCT('計算A'!$D$66:$EQ$66,$DB24:$IO24,$IQ24:$OD24),SUMPRODUCT('計算A'!$D$66:$EQ$66,$DB24:$IO24))*1000+7)</f>
        <v/>
      </c>
      <c r="BO24">
        <f>IF(U24=1,1000000,IF('計算A'!$IT$17&gt;0,0,500000)+IF('計算A'!$IQ$17=2,SUMPRODUCT('計算A'!$D$67:$EQ$67,$DB24:$IO24,$IQ24:$OD24),SUMPRODUCT('計算A'!$D$67:$EQ$67,$DB24:$IO24))*1000+8)</f>
        <v/>
      </c>
      <c r="BP24">
        <f>IF(V24=1,1000000,IF('計算A'!$IT$18&gt;0,0,500000)+IF('計算A'!$IQ$18=2,SUMPRODUCT('計算A'!$D$68:$EQ$68,$DB24:$IO24,$IQ24:$OD24),SUMPRODUCT('計算A'!$D$68:$EQ$68,$DB24:$IO24))*1000+9)</f>
        <v/>
      </c>
      <c r="BQ24">
        <f>IF(W24=1,1000000,IF('計算A'!$IT$19&gt;0,0,500000)+IF('計算A'!$IQ$19=2,SUMPRODUCT('計算A'!$D$69:$EQ$69,$DB24:$IO24,$IQ24:$OD24),SUMPRODUCT('計算A'!$D$69:$EQ$69,$DB24:$IO24))*1000+10)</f>
        <v/>
      </c>
      <c r="BR24">
        <f>IF(X24=1,1000000,IF('計算A'!$IT$20&gt;0,0,500000)+IF('計算A'!$IQ$20=2,SUMPRODUCT('計算A'!$D$70:$EQ$70,$DB24:$IO24,$IQ24:$OD24),SUMPRODUCT('計算A'!$D$70:$EQ$70,$DB24:$IO24))*1000+11)</f>
        <v/>
      </c>
      <c r="BS24">
        <f>IF(Y24=1,1000000,IF('計算A'!$IT$21&gt;0,0,500000)+IF('計算A'!$IQ$21=2,SUMPRODUCT('計算A'!$D$71:$EQ$71,$DB24:$IO24,$IQ24:$OD24),SUMPRODUCT('計算A'!$D$71:$EQ$71,$DB24:$IO24))*1000+12)</f>
        <v/>
      </c>
      <c r="BT24">
        <f>IF(Z24=1,1000000,IF('計算A'!$IT$22&gt;0,0,500000)+IF('計算A'!$IQ$22=2,SUMPRODUCT('計算A'!$D$72:$EQ$72,$DB24:$IO24,$IQ24:$OD24),SUMPRODUCT('計算A'!$D$72:$EQ$72,$DB24:$IO24))*1000+13)</f>
        <v/>
      </c>
      <c r="BU24">
        <f>IF(AA24=1,1000000,IF('計算A'!$IT$23&gt;0,0,500000)+IF('計算A'!$IQ$23=2,SUMPRODUCT('計算A'!$D$73:$EQ$73,$DB24:$IO24,$IQ24:$OD24),SUMPRODUCT('計算A'!$D$73:$EQ$73,$DB24:$IO24))*1000+14)</f>
        <v/>
      </c>
      <c r="BV24">
        <f>IF(AB24=1,1000000,IF('計算A'!$IT$24&gt;0,0,500000)+IF('計算A'!$IQ$24=2,SUMPRODUCT('計算A'!$D$74:$EQ$74,$DB24:$IO24,$IQ24:$OD24),SUMPRODUCT('計算A'!$D$74:$EQ$74,$DB24:$IO24))*1000+15)</f>
        <v/>
      </c>
      <c r="BW24">
        <f>IF(AC24=1,1000000,IF('計算A'!$IT$25&gt;0,0,500000)+IF('計算A'!$IQ$25=2,SUMPRODUCT('計算A'!$D$75:$EQ$75,$DB24:$IO24,$IQ24:$OD24),SUMPRODUCT('計算A'!$D$75:$EQ$75,$DB24:$IO24))*1000+16)</f>
        <v/>
      </c>
      <c r="BX24">
        <f>IF(AD24=1,1000000,IF('計算A'!$IT$26&gt;0,0,500000)+IF('計算A'!$IQ$26=2,SUMPRODUCT('計算A'!$D$76:$EQ$76,$DB24:$IO24,$IQ24:$OD24),SUMPRODUCT('計算A'!$D$76:$EQ$76,$DB24:$IO24))*1000+17)</f>
        <v/>
      </c>
      <c r="BY24">
        <f>IF(AE24=1,1000000,IF('計算A'!$IT$27&gt;0,0,500000)+IF('計算A'!$IQ$27=2,SUMPRODUCT('計算A'!$D$77:$EQ$77,$DB24:$IO24,$IQ24:$OD24),SUMPRODUCT('計算A'!$D$77:$EQ$77,$DB24:$IO24))*1000+18)</f>
        <v/>
      </c>
      <c r="BZ24">
        <f>IF(AF24=1,1000000,IF('計算A'!$IT$28&gt;0,0,500000)+IF('計算A'!$IQ$28=2,SUMPRODUCT('計算A'!$D$78:$EQ$78,$DB24:$IO24,$IQ24:$OD24),SUMPRODUCT('計算A'!$D$78:$EQ$78,$DB24:$IO24))*1000+19)</f>
        <v/>
      </c>
      <c r="CA24">
        <f>IF(AG24=1,1000000,IF('計算A'!$IT$29&gt;0,0,500000)+IF('計算A'!$IQ$29=2,SUMPRODUCT('計算A'!$D$79:$EQ$79,$DB24:$IO24,$IQ24:$OD24),SUMPRODUCT('計算A'!$D$79:$EQ$79,$DB24:$IO24))*1000+20)</f>
        <v/>
      </c>
      <c r="CB24">
        <f>IF(AH24=1,1000000,IF('計算A'!$IT$30&gt;0,0,500000)+IF('計算A'!$IQ$30=2,SUMPRODUCT('計算A'!$D$80:$EQ$80,$DB24:$IO24,$IQ24:$OD24),SUMPRODUCT('計算A'!$D$80:$EQ$80,$DB24:$IO24))*1000+21)</f>
        <v/>
      </c>
      <c r="CC24">
        <f>IF(AI24=1,1000000,IF('計算A'!$IT$31&gt;0,0,500000)+IF('計算A'!$IQ$31=2,SUMPRODUCT('計算A'!$D$81:$EQ$81,$DB24:$IO24,$IQ24:$OD24),SUMPRODUCT('計算A'!$D$81:$EQ$81,$DB24:$IO24))*1000+22)</f>
        <v/>
      </c>
      <c r="CD24">
        <f>IF(AJ24=1,1000000,IF('計算A'!$IT$32&gt;0,0,500000)+IF('計算A'!$IQ$32=2,SUMPRODUCT('計算A'!$D$82:$EQ$82,$DB24:$IO24,$IQ24:$OD24),SUMPRODUCT('計算A'!$D$82:$EQ$82,$DB24:$IO24))*1000+23)</f>
        <v/>
      </c>
      <c r="CE24">
        <f>IF(AK24=1,1000000,IF('計算A'!$IT$33&gt;0,0,500000)+IF('計算A'!$IQ$33=2,SUMPRODUCT('計算A'!$D$83:$EQ$83,$DB24:$IO24,$IQ24:$OD24),SUMPRODUCT('計算A'!$D$83:$EQ$83,$DB24:$IO24))*1000+24)</f>
        <v/>
      </c>
      <c r="CF24">
        <f>IF(AL24=1,1000000,IF('計算A'!$IT$34&gt;0,0,500000)+IF('計算A'!$IQ$34=2,SUMPRODUCT('計算A'!$D$84:$EQ$84,$DB24:$IO24,$IQ24:$OD24),SUMPRODUCT('計算A'!$D$84:$EQ$84,$DB24:$IO24))*1000+25)</f>
        <v/>
      </c>
      <c r="CG24">
        <f>IF(AM24=1,1000000,IF('計算A'!$IT$35&gt;0,0,500000)+IF('計算A'!$IQ$35=2,SUMPRODUCT('計算A'!$D$85:$EQ$85,$DB24:$IO24,$IQ24:$OD24),SUMPRODUCT('計算A'!$D$85:$EQ$85,$DB24:$IO24))*1000+26)</f>
        <v/>
      </c>
      <c r="CH24">
        <f>IF(AN24=1,1000000,IF('計算A'!$IT$36&gt;0,0,500000)+IF('計算A'!$IQ$36=2,SUMPRODUCT('計算A'!$D$86:$EQ$86,$DB24:$IO24,$IQ24:$OD24),SUMPRODUCT('計算A'!$D$86:$EQ$86,$DB24:$IO24))*1000+27)</f>
        <v/>
      </c>
      <c r="CI24">
        <f>IF(AO24=1,1000000,IF('計算A'!$IT$37&gt;0,0,500000)+IF('計算A'!$IQ$37=2,SUMPRODUCT('計算A'!$D$87:$EQ$87,$DB24:$IO24,$IQ24:$OD24),SUMPRODUCT('計算A'!$D$87:$EQ$87,$DB24:$IO24))*1000+28)</f>
        <v/>
      </c>
      <c r="CJ24">
        <f>IF(AP24=1,1000000,IF('計算A'!$IT$38&gt;0,0,500000)+IF('計算A'!$IQ$38=2,SUMPRODUCT('計算A'!$D$88:$EQ$88,$DB24:$IO24,$IQ24:$OD24),SUMPRODUCT('計算A'!$D$88:$EQ$88,$DB24:$IO24))*1000+29)</f>
        <v/>
      </c>
      <c r="CK24">
        <f>IF(AQ24=1,1000000,IF('計算A'!$IT$39&gt;0,0,500000)+IF('計算A'!$IQ$39=2,SUMPRODUCT('計算A'!$D$89:$EQ$89,$DB24:$IO24,$IQ24:$OD24),SUMPRODUCT('計算A'!$D$89:$EQ$89,$DB24:$IO24))*1000+30)</f>
        <v/>
      </c>
      <c r="CL24">
        <f>IF(AR24=1,1000000,IF('計算A'!$IT$40&gt;0,0,500000)+IF('計算A'!$IQ$40=2,SUMPRODUCT('計算A'!$D$90:$EQ$90,$DB24:$IO24,$IQ24:$OD24),SUMPRODUCT('計算A'!$D$90:$EQ$90,$DB24:$IO24))*1000+31)</f>
        <v/>
      </c>
      <c r="CM24">
        <f>IF(AS24=1,1000000,IF('計算A'!$IT$41&gt;0,0,500000)+IF('計算A'!$IQ$41=2,SUMPRODUCT('計算A'!$D$91:$EQ$91,$DB24:$IO24,$IQ24:$OD24),SUMPRODUCT('計算A'!$D$91:$EQ$91,$DB24:$IO24))*1000+32)</f>
        <v/>
      </c>
      <c r="CN24">
        <f>IF(AT24=1,1000000,IF('計算A'!$IT$42&gt;0,0,500000)+IF('計算A'!$IQ$42=2,SUMPRODUCT('計算A'!$D$92:$EQ$92,$DB24:$IO24,$IQ24:$OD24),SUMPRODUCT('計算A'!$D$92:$EQ$92,$DB24:$IO24))*1000+33)</f>
        <v/>
      </c>
      <c r="CO24">
        <f>IF(AU24=1,1000000,IF('計算A'!$IT$43&gt;0,0,500000)+IF('計算A'!$IQ$43=2,SUMPRODUCT('計算A'!$D$93:$EQ$93,$DB24:$IO24,$IQ24:$OD24),SUMPRODUCT('計算A'!$D$93:$EQ$93,$DB24:$IO24))*1000+34)</f>
        <v/>
      </c>
      <c r="CP24">
        <f>IF(AV24=1,1000000,IF('計算A'!$IT$44&gt;0,0,500000)+IF('計算A'!$IQ$44=2,SUMPRODUCT('計算A'!$D$94:$EQ$94,$DB24:$IO24,$IQ24:$OD24),SUMPRODUCT('計算A'!$D$94:$EQ$94,$DB24:$IO24))*1000+35)</f>
        <v/>
      </c>
      <c r="CQ24">
        <f>IF(AW24=1,1000000,IF('計算A'!$IT$45&gt;0,0,500000)+IF('計算A'!$IQ$45=2,SUMPRODUCT('計算A'!$D$95:$EQ$95,$DB24:$IO24,$IQ24:$OD24),SUMPRODUCT('計算A'!$D$95:$EQ$95,$DB24:$IO24))*1000+36)</f>
        <v/>
      </c>
      <c r="CR24">
        <f>IF(AX24=1,1000000,IF('計算A'!$IT$46&gt;0,0,500000)+IF('計算A'!$IQ$46=2,SUMPRODUCT('計算A'!$D$96:$EQ$96,$DB24:$IO24,$IQ24:$OD24),SUMPRODUCT('計算A'!$D$96:$EQ$96,$DB24:$IO24))*1000+37)</f>
        <v/>
      </c>
      <c r="CS24">
        <f>IF(AY24=1,1000000,IF('計算A'!$IT$47&gt;0,0,500000)+IF('計算A'!$IQ$47=2,SUMPRODUCT('計算A'!$D$97:$EQ$97,$DB24:$IO24,$IQ24:$OD24),SUMPRODUCT('計算A'!$D$97:$EQ$97,$DB24:$IO24))*1000+38)</f>
        <v/>
      </c>
      <c r="CT24">
        <f>IF(AZ24=1,1000000,IF('計算A'!$IT$48&gt;0,0,500000)+IF('計算A'!$IQ$48=2,SUMPRODUCT('計算A'!$D$98:$EQ$98,$DB24:$IO24,$IQ24:$OD24),SUMPRODUCT('計算A'!$D$98:$EQ$98,$DB24:$IO24))*1000+39)</f>
        <v/>
      </c>
      <c r="CU24">
        <f>IF(BA24=1,1000000,IF('計算A'!$IT$49&gt;0,0,500000)+IF('計算A'!$IQ$49=2,SUMPRODUCT('計算A'!$D$99:$EQ$99,$DB24:$IO24,$IQ24:$OD24),SUMPRODUCT('計算A'!$D$99:$EQ$99,$DB24:$IO24))*1000+40)</f>
        <v/>
      </c>
      <c r="CV24">
        <f>IF(BB24=1,1000000,IF('計算A'!$IT$50&gt;0,0,500000)+IF('計算A'!$IQ$50=2,SUMPRODUCT('計算A'!$D$100:$EQ$100,$DB24:$IO24,$IQ24:$OD24),SUMPRODUCT('計算A'!$D$100:$EQ$100,$DB24:$IO24))*1000+41)</f>
        <v/>
      </c>
      <c r="CW24">
        <f>IF(BC24=1,1000000,IF('計算A'!$IT$51&gt;0,0,500000)+IF('計算A'!$IQ$51=2,SUMPRODUCT('計算A'!$D$101:$EQ$101,$DB24:$IO24,$IQ24:$OD24),SUMPRODUCT('計算A'!$D$101:$EQ$101,$DB24:$IO24))*1000+42)</f>
        <v/>
      </c>
      <c r="CX24">
        <f>IF(BD24=1,1000000,IF('計算A'!$IT$52&gt;0,0,500000)+IF('計算A'!$IQ$52=2,SUMPRODUCT('計算A'!$D$102:$EQ$102,$DB24:$IO24,$IQ24:$OD24),SUMPRODUCT('計算A'!$D$102:$EQ$102,$DB24:$IO24))*1000+43)</f>
        <v/>
      </c>
      <c r="CY24">
        <f>IF(BE24=1,1000000,IF('計算A'!$IT$53&gt;0,0,500000)+IF('計算A'!$IQ$53=2,SUMPRODUCT('計算A'!$D$103:$EQ$103,$DB24:$IO24,$IQ24:$OD24),SUMPRODUCT('計算A'!$D$103:$EQ$103,$DB24:$IO24))*1000+44)</f>
        <v/>
      </c>
      <c r="CZ24">
        <f>IF(BF24=1,1000000,IF('計算A'!$IT$54&gt;0,0,500000)+IF('計算A'!$IQ$54=2,SUMPRODUCT('計算A'!$D$104:$EQ$104,$DB24:$IO24,$IQ24:$OD24),SUMPRODUCT('計算A'!$D$104:$EQ$104,$DB24:$IO24))*1000+45)</f>
        <v/>
      </c>
      <c r="DB24">
        <f>DB23*IF(OR($C23=1,$G23=1),0,1)</f>
        <v/>
      </c>
      <c r="DC24">
        <f>DC23*IF(OR($C23=2,$G23=2),0,1)</f>
        <v/>
      </c>
      <c r="DD24">
        <f>DD23*IF(OR($C23=3,$G23=3),0,1)</f>
        <v/>
      </c>
      <c r="DE24">
        <f>DE23*IF(OR($C23=4,$G23=4),0,1)</f>
        <v/>
      </c>
      <c r="DF24">
        <f>DF23*IF(OR($C23=5,$G23=5),0,1)</f>
        <v/>
      </c>
      <c r="DG24">
        <f>DG23*IF(OR($C23=6,$G23=6),0,1)</f>
        <v/>
      </c>
      <c r="DH24">
        <f>DH23*IF(OR($C23=7,$G23=7),0,1)</f>
        <v/>
      </c>
      <c r="DI24">
        <f>DI23*IF(OR($C23=8,$G23=8),0,1)</f>
        <v/>
      </c>
      <c r="DJ24">
        <f>DJ23*IF(OR($C23=9,$G23=9),0,1)</f>
        <v/>
      </c>
      <c r="DK24">
        <f>DK23*IF(OR($C23=10,$G23=10),0,1)</f>
        <v/>
      </c>
      <c r="DL24">
        <f>DL23*IF(OR($C23=11,$G23=11),0,1)</f>
        <v/>
      </c>
      <c r="DM24">
        <f>DM23*IF(OR($C23=12,$G23=12),0,1)</f>
        <v/>
      </c>
      <c r="DN24">
        <f>DN23*IF(OR($C23=13,$G23=13),0,1)</f>
        <v/>
      </c>
      <c r="DO24">
        <f>DO23*IF(OR($C23=14,$G23=14),0,1)</f>
        <v/>
      </c>
      <c r="DP24">
        <f>DP23*IF(OR($C23=15,$G23=15),0,1)</f>
        <v/>
      </c>
      <c r="DQ24">
        <f>DQ23*IF(OR($C23=16,$G23=16),0,1)</f>
        <v/>
      </c>
      <c r="DR24">
        <f>DR23*IF(OR($C23=17,$G23=17),0,1)</f>
        <v/>
      </c>
      <c r="DS24">
        <f>DS23*IF(OR($C23=18,$G23=18),0,1)</f>
        <v/>
      </c>
      <c r="DT24">
        <f>DT23*IF(OR($C23=19,$G23=19),0,1)</f>
        <v/>
      </c>
      <c r="DU24">
        <f>DU23*IF(OR($C23=20,$G23=20),0,1)</f>
        <v/>
      </c>
      <c r="DV24">
        <f>DV23*IF(OR($C23=21,$G23=21),0,1)</f>
        <v/>
      </c>
      <c r="DW24">
        <f>DW23*IF(OR($C23=22,$G23=22),0,1)</f>
        <v/>
      </c>
      <c r="DX24">
        <f>DX23*IF(OR($C23=23,$G23=23),0,1)</f>
        <v/>
      </c>
      <c r="DY24">
        <f>DY23*IF(OR($C23=24,$G23=24),0,1)</f>
        <v/>
      </c>
      <c r="DZ24">
        <f>DZ23*IF(OR($C23=25,$G23=25),0,1)</f>
        <v/>
      </c>
      <c r="EA24">
        <f>EA23*IF(OR($C23=26,$G23=26),0,1)</f>
        <v/>
      </c>
      <c r="EB24">
        <f>EB23*IF(OR($C23=27,$G23=27),0,1)</f>
        <v/>
      </c>
      <c r="EC24">
        <f>EC23*IF(OR($C23=28,$G23=28),0,1)</f>
        <v/>
      </c>
      <c r="ED24">
        <f>ED23*IF(OR($C23=29,$G23=29),0,1)</f>
        <v/>
      </c>
      <c r="EE24">
        <f>EE23*IF(OR($C23=30,$G23=30),0,1)</f>
        <v/>
      </c>
      <c r="EF24">
        <f>EF23*IF(OR($C23=31,$G23=31),0,1)</f>
        <v/>
      </c>
      <c r="EG24">
        <f>EG23*IF(OR($C23=32,$G23=32),0,1)</f>
        <v/>
      </c>
      <c r="EH24">
        <f>EH23*IF(OR($C23=33,$G23=33),0,1)</f>
        <v/>
      </c>
      <c r="EI24">
        <f>EI23*IF(OR($C23=34,$G23=34),0,1)</f>
        <v/>
      </c>
      <c r="EJ24">
        <f>EJ23*IF(OR($C23=35,$G23=35),0,1)</f>
        <v/>
      </c>
      <c r="EK24">
        <f>EK23*IF(OR($C23=36,$G23=36),0,1)</f>
        <v/>
      </c>
      <c r="EL24">
        <f>EL23*IF(OR($C23=37,$G23=37),0,1)</f>
        <v/>
      </c>
      <c r="EM24">
        <f>EM23*IF(OR($C23=38,$G23=38),0,1)</f>
        <v/>
      </c>
      <c r="EN24">
        <f>EN23*IF(OR($C23=39,$G23=39),0,1)</f>
        <v/>
      </c>
      <c r="EO24">
        <f>EO23*IF(OR($C23=40,$G23=40),0,1)</f>
        <v/>
      </c>
      <c r="EP24">
        <f>EP23*IF(OR($C23=41,$G23=41),0,1)</f>
        <v/>
      </c>
      <c r="EQ24">
        <f>EQ23*IF(OR($C23=42,$G23=42),0,1)</f>
        <v/>
      </c>
      <c r="ER24">
        <f>ER23*IF(OR($C23=43,$G23=43),0,1)</f>
        <v/>
      </c>
      <c r="ES24">
        <f>ES23*IF(OR($C23=44,$G23=44),0,1)</f>
        <v/>
      </c>
      <c r="ET24">
        <f>ET23*IF(OR($C23=45,$G23=45),0,1)</f>
        <v/>
      </c>
      <c r="EU24">
        <f>EU23*IF(OR($C23=46,$G23=46),0,1)</f>
        <v/>
      </c>
      <c r="EV24">
        <f>EV23*IF(OR($C23=47,$G23=47),0,1)</f>
        <v/>
      </c>
      <c r="EW24">
        <f>EW23*IF(OR($C23=48,$G23=48),0,1)</f>
        <v/>
      </c>
      <c r="EX24">
        <f>EX23*IF(OR($C23=49,$G23=49),0,1)</f>
        <v/>
      </c>
      <c r="EY24">
        <f>EY23*IF(OR($C23=50,$G23=50),0,1)</f>
        <v/>
      </c>
      <c r="EZ24">
        <f>EZ23*IF(OR($C23=51,$G23=51),0,1)</f>
        <v/>
      </c>
      <c r="FA24">
        <f>FA23*IF(OR($C23=52,$G23=52),0,1)</f>
        <v/>
      </c>
      <c r="FB24">
        <f>FB23*IF(OR($C23=53,$G23=53),0,1)</f>
        <v/>
      </c>
      <c r="FC24">
        <f>FC23*IF(OR($C23=54,$G23=54),0,1)</f>
        <v/>
      </c>
      <c r="FD24">
        <f>FD23*IF(OR($C23=55,$G23=55),0,1)</f>
        <v/>
      </c>
      <c r="FE24">
        <f>FE23*IF(OR($C23=56,$G23=56),0,1)</f>
        <v/>
      </c>
      <c r="FF24">
        <f>FF23*IF(OR($C23=57,$G23=57),0,1)</f>
        <v/>
      </c>
      <c r="FG24">
        <f>FG23*IF(OR($C23=58,$G23=58),0,1)</f>
        <v/>
      </c>
      <c r="FH24">
        <f>FH23*IF(OR($C23=59,$G23=59),0,1)</f>
        <v/>
      </c>
      <c r="FI24">
        <f>FI23*IF(OR($C23=60,$G23=60),0,1)</f>
        <v/>
      </c>
      <c r="FJ24">
        <f>FJ23*IF(OR($C23=61,$G23=61),0,1)</f>
        <v/>
      </c>
      <c r="FK24">
        <f>FK23*IF(OR($C23=62,$G23=62),0,1)</f>
        <v/>
      </c>
      <c r="FL24">
        <f>FL23*IF(OR($C23=63,$G23=63),0,1)</f>
        <v/>
      </c>
      <c r="FM24">
        <f>FM23*IF(OR($C23=64,$G23=64),0,1)</f>
        <v/>
      </c>
      <c r="FN24">
        <f>FN23*IF(OR($C23=65,$G23=65),0,1)</f>
        <v/>
      </c>
      <c r="FO24">
        <f>FO23*IF(OR($C23=66,$G23=66),0,1)</f>
        <v/>
      </c>
      <c r="FP24">
        <f>FP23*IF(OR($C23=67,$G23=67),0,1)</f>
        <v/>
      </c>
      <c r="FQ24">
        <f>FQ23*IF(OR($C23=68,$G23=68),0,1)</f>
        <v/>
      </c>
      <c r="FR24">
        <f>FR23*IF(OR($C23=69,$G23=69),0,1)</f>
        <v/>
      </c>
      <c r="FS24">
        <f>FS23*IF(OR($C23=70,$G23=70),0,1)</f>
        <v/>
      </c>
      <c r="FT24">
        <f>FT23*IF(OR($C23=71,$G23=71),0,1)</f>
        <v/>
      </c>
      <c r="FU24">
        <f>FU23*IF(OR($C23=72,$G23=72),0,1)</f>
        <v/>
      </c>
      <c r="FV24">
        <f>FV23*IF(OR($C23=73,$G23=73),0,1)</f>
        <v/>
      </c>
      <c r="FW24">
        <f>FW23*IF(OR($C23=74,$G23=74),0,1)</f>
        <v/>
      </c>
      <c r="FX24">
        <f>FX23*IF(OR($C23=75,$G23=75),0,1)</f>
        <v/>
      </c>
      <c r="FY24">
        <f>FY23*IF(OR($C23=76,$G23=76),0,1)</f>
        <v/>
      </c>
      <c r="FZ24">
        <f>FZ23*IF(OR($C23=77,$G23=77),0,1)</f>
        <v/>
      </c>
      <c r="GA24">
        <f>GA23*IF(OR($C23=78,$G23=78),0,1)</f>
        <v/>
      </c>
      <c r="GB24">
        <f>GB23*IF(OR($C23=79,$G23=79),0,1)</f>
        <v/>
      </c>
      <c r="GC24">
        <f>GC23*IF(OR($C23=80,$G23=80),0,1)</f>
        <v/>
      </c>
      <c r="GD24">
        <f>GD23*IF(OR($C23=81,$G23=81),0,1)</f>
        <v/>
      </c>
      <c r="GE24">
        <f>GE23*IF(OR($C23=82,$G23=82),0,1)</f>
        <v/>
      </c>
      <c r="GF24">
        <f>GF23*IF(OR($C23=83,$G23=83),0,1)</f>
        <v/>
      </c>
      <c r="GG24">
        <f>GG23*IF(OR($C23=84,$G23=84),0,1)</f>
        <v/>
      </c>
      <c r="GH24">
        <f>GH23*IF(OR($C23=85,$G23=85),0,1)</f>
        <v/>
      </c>
      <c r="GI24">
        <f>GI23*IF(OR($C23=86,$G23=86),0,1)</f>
        <v/>
      </c>
      <c r="GJ24">
        <f>GJ23*IF(OR($C23=87,$G23=87),0,1)</f>
        <v/>
      </c>
      <c r="GK24">
        <f>GK23*IF(OR($C23=88,$G23=88),0,1)</f>
        <v/>
      </c>
      <c r="GL24">
        <f>GL23*IF(OR($C23=89,$G23=89),0,1)</f>
        <v/>
      </c>
      <c r="GM24">
        <f>GM23*IF(OR($C23=90,$G23=90),0,1)</f>
        <v/>
      </c>
      <c r="GN24">
        <f>GN23*IF(OR($C23=91,$G23=91),0,1)</f>
        <v/>
      </c>
      <c r="GO24">
        <f>GO23*IF(OR($C23=92,$G23=92),0,1)</f>
        <v/>
      </c>
      <c r="GP24">
        <f>GP23*IF(OR($C23=93,$G23=93),0,1)</f>
        <v/>
      </c>
      <c r="GQ24">
        <f>GQ23*IF(OR($C23=94,$G23=94),0,1)</f>
        <v/>
      </c>
      <c r="GR24">
        <f>GR23*IF(OR($C23=95,$G23=95),0,1)</f>
        <v/>
      </c>
      <c r="GS24">
        <f>GS23*IF(OR($C23=96,$G23=96),0,1)</f>
        <v/>
      </c>
      <c r="GT24">
        <f>GT23*IF(OR($C23=97,$G23=97),0,1)</f>
        <v/>
      </c>
      <c r="GU24">
        <f>GU23*IF(OR($C23=98,$G23=98),0,1)</f>
        <v/>
      </c>
      <c r="GV24">
        <f>GV23*IF(OR($C23=99,$G23=99),0,1)</f>
        <v/>
      </c>
      <c r="GW24">
        <f>GW23*IF(OR($C23=100,$G23=100),0,1)</f>
        <v/>
      </c>
      <c r="GX24">
        <f>GX23*IF(OR($C23=101,$G23=101),0,1)</f>
        <v/>
      </c>
      <c r="GY24">
        <f>GY23*IF(OR($C23=102,$G23=102),0,1)</f>
        <v/>
      </c>
      <c r="GZ24">
        <f>GZ23*IF(OR($C23=103,$G23=103),0,1)</f>
        <v/>
      </c>
      <c r="HA24">
        <f>HA23*IF(OR($C23=104,$G23=104),0,1)</f>
        <v/>
      </c>
      <c r="HB24">
        <f>HB23*IF(OR($C23=105,$G23=105),0,1)</f>
        <v/>
      </c>
      <c r="HC24">
        <f>HC23*IF(OR($C23=106,$G23=106),0,1)</f>
        <v/>
      </c>
      <c r="HD24">
        <f>HD23*IF(OR($C23=107,$G23=107),0,1)</f>
        <v/>
      </c>
      <c r="HE24">
        <f>HE23*IF(OR($C23=108,$G23=108),0,1)</f>
        <v/>
      </c>
      <c r="HF24">
        <f>HF23*IF(OR($C23=109,$G23=109),0,1)</f>
        <v/>
      </c>
      <c r="HG24">
        <f>HG23*IF(OR($C23=110,$G23=110),0,1)</f>
        <v/>
      </c>
      <c r="HH24">
        <f>HH23*IF(OR($C23=111,$G23=111),0,1)</f>
        <v/>
      </c>
      <c r="HI24">
        <f>HI23*IF(OR($C23=112,$G23=112),0,1)</f>
        <v/>
      </c>
      <c r="HJ24">
        <f>HJ23*IF(OR($C23=113,$G23=113),0,1)</f>
        <v/>
      </c>
      <c r="HK24">
        <f>HK23*IF(OR($C23=114,$G23=114),0,1)</f>
        <v/>
      </c>
      <c r="HL24">
        <f>HL23*IF(OR($C23=115,$G23=115),0,1)</f>
        <v/>
      </c>
      <c r="HM24">
        <f>HM23*IF(OR($C23=116,$G23=116),0,1)</f>
        <v/>
      </c>
      <c r="HN24">
        <f>HN23*IF(OR($C23=117,$G23=117),0,1)</f>
        <v/>
      </c>
      <c r="HO24">
        <f>HO23*IF(OR($C23=118,$G23=118),0,1)</f>
        <v/>
      </c>
      <c r="HP24">
        <f>HP23*IF(OR($C23=119,$G23=119),0,1)</f>
        <v/>
      </c>
      <c r="HQ24">
        <f>HQ23*IF(OR($C23=120,$G23=120),0,1)</f>
        <v/>
      </c>
      <c r="HR24">
        <f>HR23*IF(OR($C23=121,$G23=121),0,1)</f>
        <v/>
      </c>
      <c r="HS24">
        <f>HS23*IF(OR($C23=122,$G23=122),0,1)</f>
        <v/>
      </c>
      <c r="HT24">
        <f>HT23*IF(OR($C23=123,$G23=123),0,1)</f>
        <v/>
      </c>
      <c r="HU24">
        <f>HU23*IF(OR($C23=124,$G23=124),0,1)</f>
        <v/>
      </c>
      <c r="HV24">
        <f>HV23*IF(OR($C23=125,$G23=125),0,1)</f>
        <v/>
      </c>
      <c r="HW24">
        <f>HW23*IF(OR($C23=126,$G23=126),0,1)</f>
        <v/>
      </c>
      <c r="HX24">
        <f>HX23*IF(OR($C23=127,$G23=127),0,1)</f>
        <v/>
      </c>
      <c r="HY24">
        <f>HY23*IF(OR($C23=128,$G23=128),0,1)</f>
        <v/>
      </c>
      <c r="HZ24">
        <f>HZ23*IF(OR($C23=129,$G23=129),0,1)</f>
        <v/>
      </c>
      <c r="IA24">
        <f>IA23*IF(OR($C23=130,$G23=130),0,1)</f>
        <v/>
      </c>
      <c r="IB24">
        <f>IB23*IF(OR($C23=131,$G23=131),0,1)</f>
        <v/>
      </c>
      <c r="IC24">
        <f>IC23*IF(OR($C23=132,$G23=132),0,1)</f>
        <v/>
      </c>
      <c r="ID24">
        <f>ID23*IF(OR($C23=133,$G23=133),0,1)</f>
        <v/>
      </c>
      <c r="IE24">
        <f>IE23*IF(OR($C23=134,$G23=134),0,1)</f>
        <v/>
      </c>
      <c r="IF24">
        <f>IF23*IF(OR($C23=135,$G23=135),0,1)</f>
        <v/>
      </c>
      <c r="IG24">
        <f>IG23*IF(OR($C23=136,$G23=136),0,1)</f>
        <v/>
      </c>
      <c r="IH24">
        <f>IH23*IF(OR($C23=137,$G23=137),0,1)</f>
        <v/>
      </c>
      <c r="II24">
        <f>II23*IF(OR($C23=138,$G23=138),0,1)</f>
        <v/>
      </c>
      <c r="IJ24">
        <f>IJ23*IF(OR($C23=139,$G23=139),0,1)</f>
        <v/>
      </c>
      <c r="IK24">
        <f>IK23*IF(OR($C23=140,$G23=140),0,1)</f>
        <v/>
      </c>
      <c r="IL24">
        <f>IL23*IF(OR($C23=141,$G23=141),0,1)</f>
        <v/>
      </c>
      <c r="IM24">
        <f>IM23*IF(OR($C23=142,$G23=142),0,1)</f>
        <v/>
      </c>
      <c r="IN24">
        <f>IN23*IF(OR($C23=143,$G23=143),0,1)</f>
        <v/>
      </c>
      <c r="IO24">
        <f>IO23*IF(OR($C23=144,$G23=144),0,1)</f>
        <v/>
      </c>
      <c r="IQ24">
        <f>IF('計算A'!D$106=1,DC24,1)</f>
        <v/>
      </c>
      <c r="IR24">
        <f>IF('計算A'!E$106=1,DD24,1)</f>
        <v/>
      </c>
      <c r="IS24">
        <f>IF('計算A'!F$106=1,DE24,1)</f>
        <v/>
      </c>
      <c r="IT24">
        <f>IF('計算A'!G$106=1,DF24,1)</f>
        <v/>
      </c>
      <c r="IU24">
        <f>IF('計算A'!H$106=1,DG24,1)</f>
        <v/>
      </c>
      <c r="IV24">
        <f>IF('計算A'!I$106=1,DH24,1)</f>
        <v/>
      </c>
      <c r="IW24">
        <f>IF('計算A'!J$106=1,DI24,1)</f>
        <v/>
      </c>
      <c r="IX24">
        <f>IF('計算A'!K$106=1,DJ24,1)</f>
        <v/>
      </c>
      <c r="IY24">
        <f>IF('計算A'!L$106=1,DK24,1)</f>
        <v/>
      </c>
      <c r="IZ24">
        <f>IF('計算A'!M$106=1,DL24,1)</f>
        <v/>
      </c>
      <c r="JA24">
        <f>IF('計算A'!N$106=1,DM24,1)</f>
        <v/>
      </c>
      <c r="JB24">
        <f>IF('計算A'!O$106=1,DN24,1)</f>
        <v/>
      </c>
      <c r="JC24">
        <f>IF('計算A'!P$106=1,DO24,1)</f>
        <v/>
      </c>
      <c r="JD24">
        <f>IF('計算A'!Q$106=1,DP24,1)</f>
        <v/>
      </c>
      <c r="JE24">
        <f>IF('計算A'!R$106=1,DQ24,1)</f>
        <v/>
      </c>
      <c r="JF24">
        <f>IF('計算A'!S$106=1,DR24,1)</f>
        <v/>
      </c>
      <c r="JG24">
        <f>IF('計算A'!T$106=1,DS24,1)</f>
        <v/>
      </c>
      <c r="JH24">
        <f>IF('計算A'!U$106=1,DT24,1)</f>
        <v/>
      </c>
      <c r="JI24">
        <f>IF('計算A'!V$106=1,DU24,1)</f>
        <v/>
      </c>
      <c r="JJ24">
        <f>IF('計算A'!W$106=1,DV24,1)</f>
        <v/>
      </c>
      <c r="JK24">
        <f>IF('計算A'!X$106=1,DW24,1)</f>
        <v/>
      </c>
      <c r="JL24">
        <f>IF('計算A'!Y$106=1,DX24,1)</f>
        <v/>
      </c>
      <c r="JM24">
        <f>IF('計算A'!Z$106=1,DY24,1)</f>
        <v/>
      </c>
      <c r="JN24">
        <f>IF('計算A'!AA$106=1,DZ24,1)</f>
        <v/>
      </c>
      <c r="JO24">
        <f>IF('計算A'!AB$106=1,EA24,1)</f>
        <v/>
      </c>
      <c r="JP24">
        <f>IF('計算A'!AC$106=1,EB24,1)</f>
        <v/>
      </c>
      <c r="JQ24">
        <f>IF('計算A'!AD$106=1,EC24,1)</f>
        <v/>
      </c>
      <c r="JR24">
        <f>IF('計算A'!AE$106=1,ED24,1)</f>
        <v/>
      </c>
      <c r="JS24">
        <f>IF('計算A'!AF$106=1,EE24,1)</f>
        <v/>
      </c>
      <c r="JT24">
        <f>IF('計算A'!AG$106=1,EF24,1)</f>
        <v/>
      </c>
      <c r="JU24">
        <f>IF('計算A'!AH$106=1,EG24,1)</f>
        <v/>
      </c>
      <c r="JV24">
        <f>IF('計算A'!AI$106=1,EH24,1)</f>
        <v/>
      </c>
      <c r="JW24">
        <f>IF('計算A'!AJ$106=1,EI24,1)</f>
        <v/>
      </c>
      <c r="JX24">
        <f>IF('計算A'!AK$106=1,EJ24,1)</f>
        <v/>
      </c>
      <c r="JY24">
        <f>IF('計算A'!AL$106=1,EK24,1)</f>
        <v/>
      </c>
      <c r="JZ24">
        <f>IF('計算A'!AM$106=1,EL24,1)</f>
        <v/>
      </c>
      <c r="KA24">
        <f>IF('計算A'!AN$106=1,EM24,1)</f>
        <v/>
      </c>
      <c r="KB24">
        <f>IF('計算A'!AO$106=1,EN24,1)</f>
        <v/>
      </c>
      <c r="KC24">
        <f>IF('計算A'!AP$106=1,EO24,1)</f>
        <v/>
      </c>
      <c r="KD24">
        <f>IF('計算A'!AQ$106=1,EP24,1)</f>
        <v/>
      </c>
      <c r="KE24">
        <f>IF('計算A'!AR$106=1,EQ24,1)</f>
        <v/>
      </c>
      <c r="KF24">
        <f>IF('計算A'!AS$106=1,ER24,1)</f>
        <v/>
      </c>
      <c r="KG24">
        <f>IF('計算A'!AT$106=1,ES24,1)</f>
        <v/>
      </c>
      <c r="KH24">
        <f>IF('計算A'!AU$106=1,ET24,1)</f>
        <v/>
      </c>
      <c r="KI24">
        <f>IF('計算A'!AV$106=1,EU24,1)</f>
        <v/>
      </c>
      <c r="KJ24">
        <f>IF('計算A'!AW$106=1,EV24,1)</f>
        <v/>
      </c>
      <c r="KK24">
        <f>IF('計算A'!AX$106=1,EW24,1)</f>
        <v/>
      </c>
      <c r="KL24">
        <f>IF('計算A'!AY$106=1,EX24,1)</f>
        <v/>
      </c>
      <c r="KM24">
        <f>IF('計算A'!AZ$106=1,EY24,1)</f>
        <v/>
      </c>
      <c r="KN24">
        <f>IF('計算A'!BA$106=1,EZ24,1)</f>
        <v/>
      </c>
      <c r="KO24">
        <f>IF('計算A'!BB$106=1,FA24,1)</f>
        <v/>
      </c>
      <c r="KP24">
        <f>IF('計算A'!BC$106=1,FB24,1)</f>
        <v/>
      </c>
      <c r="KQ24">
        <f>IF('計算A'!BD$106=1,FC24,1)</f>
        <v/>
      </c>
      <c r="KR24">
        <f>IF('計算A'!BE$106=1,FD24,1)</f>
        <v/>
      </c>
      <c r="KS24">
        <f>IF('計算A'!BF$106=1,FE24,1)</f>
        <v/>
      </c>
      <c r="KT24">
        <f>IF('計算A'!BG$106=1,FF24,1)</f>
        <v/>
      </c>
      <c r="KU24">
        <f>IF('計算A'!BH$106=1,FG24,1)</f>
        <v/>
      </c>
      <c r="KV24">
        <f>IF('計算A'!BI$106=1,FH24,1)</f>
        <v/>
      </c>
      <c r="KW24">
        <f>IF('計算A'!BJ$106=1,FI24,1)</f>
        <v/>
      </c>
      <c r="KX24">
        <f>IF('計算A'!BK$106=1,FJ24,1)</f>
        <v/>
      </c>
      <c r="KY24">
        <f>IF('計算A'!BL$106=1,FK24,1)</f>
        <v/>
      </c>
      <c r="KZ24">
        <f>IF('計算A'!BM$106=1,FL24,1)</f>
        <v/>
      </c>
      <c r="LA24">
        <f>IF('計算A'!BN$106=1,FM24,1)</f>
        <v/>
      </c>
      <c r="LB24">
        <f>IF('計算A'!BO$106=1,FN24,1)</f>
        <v/>
      </c>
      <c r="LC24">
        <f>IF('計算A'!BP$106=1,FO24,1)</f>
        <v/>
      </c>
      <c r="LD24">
        <f>IF('計算A'!BQ$106=1,FP24,1)</f>
        <v/>
      </c>
      <c r="LE24">
        <f>IF('計算A'!BR$106=1,FQ24,1)</f>
        <v/>
      </c>
      <c r="LF24">
        <f>IF('計算A'!BS$106=1,FR24,1)</f>
        <v/>
      </c>
      <c r="LG24">
        <f>IF('計算A'!BT$106=1,FS24,1)</f>
        <v/>
      </c>
      <c r="LH24">
        <f>IF('計算A'!BU$106=1,FT24,1)</f>
        <v/>
      </c>
      <c r="LI24">
        <f>IF('計算A'!BV$106=1,FU24,1)</f>
        <v/>
      </c>
      <c r="LJ24">
        <f>IF('計算A'!BW$106=1,FV24,1)</f>
        <v/>
      </c>
      <c r="LK24">
        <f>IF('計算A'!BX$106=1,FW24,1)</f>
        <v/>
      </c>
      <c r="LL24">
        <f>IF('計算A'!BY$106=1,FX24,1)</f>
        <v/>
      </c>
      <c r="LM24">
        <f>IF('計算A'!BZ$106=1,FY24,1)</f>
        <v/>
      </c>
      <c r="LN24">
        <f>IF('計算A'!CA$106=1,FZ24,1)</f>
        <v/>
      </c>
      <c r="LO24">
        <f>IF('計算A'!CB$106=1,GA24,1)</f>
        <v/>
      </c>
      <c r="LP24">
        <f>IF('計算A'!CC$106=1,GB24,1)</f>
        <v/>
      </c>
      <c r="LQ24">
        <f>IF('計算A'!CD$106=1,GC24,1)</f>
        <v/>
      </c>
      <c r="LR24">
        <f>IF('計算A'!CE$106=1,GD24,1)</f>
        <v/>
      </c>
      <c r="LS24">
        <f>IF('計算A'!CF$106=1,GE24,1)</f>
        <v/>
      </c>
      <c r="LT24">
        <f>IF('計算A'!CG$106=1,GF24,1)</f>
        <v/>
      </c>
      <c r="LU24">
        <f>IF('計算A'!CH$106=1,GG24,1)</f>
        <v/>
      </c>
      <c r="LV24">
        <f>IF('計算A'!CI$106=1,GH24,1)</f>
        <v/>
      </c>
      <c r="LW24">
        <f>IF('計算A'!CJ$106=1,GI24,1)</f>
        <v/>
      </c>
      <c r="LX24">
        <f>IF('計算A'!CK$106=1,GJ24,1)</f>
        <v/>
      </c>
      <c r="LY24">
        <f>IF('計算A'!CL$106=1,GK24,1)</f>
        <v/>
      </c>
      <c r="LZ24">
        <f>IF('計算A'!CM$106=1,GL24,1)</f>
        <v/>
      </c>
      <c r="MA24">
        <f>IF('計算A'!CN$106=1,GM24,1)</f>
        <v/>
      </c>
      <c r="MB24">
        <f>IF('計算A'!CO$106=1,GN24,1)</f>
        <v/>
      </c>
      <c r="MC24">
        <f>IF('計算A'!CP$106=1,GO24,1)</f>
        <v/>
      </c>
      <c r="MD24">
        <f>IF('計算A'!CQ$106=1,GP24,1)</f>
        <v/>
      </c>
      <c r="ME24">
        <f>IF('計算A'!CR$106=1,GQ24,1)</f>
        <v/>
      </c>
      <c r="MF24">
        <f>IF('計算A'!CS$106=1,GR24,1)</f>
        <v/>
      </c>
      <c r="MG24">
        <f>IF('計算A'!CT$106=1,GS24,1)</f>
        <v/>
      </c>
      <c r="MH24">
        <f>IF('計算A'!CU$106=1,GT24,1)</f>
        <v/>
      </c>
      <c r="MI24">
        <f>IF('計算A'!CV$106=1,GU24,1)</f>
        <v/>
      </c>
      <c r="MJ24">
        <f>IF('計算A'!CW$106=1,GV24,1)</f>
        <v/>
      </c>
      <c r="MK24">
        <f>IF('計算A'!CX$106=1,GW24,1)</f>
        <v/>
      </c>
      <c r="ML24">
        <f>IF('計算A'!CY$106=1,GX24,1)</f>
        <v/>
      </c>
      <c r="MM24">
        <f>IF('計算A'!CZ$106=1,GY24,1)</f>
        <v/>
      </c>
      <c r="MN24">
        <f>IF('計算A'!DA$106=1,GZ24,1)</f>
        <v/>
      </c>
      <c r="MO24">
        <f>IF('計算A'!DB$106=1,HA24,1)</f>
        <v/>
      </c>
      <c r="MP24">
        <f>IF('計算A'!DC$106=1,HB24,1)</f>
        <v/>
      </c>
      <c r="MQ24">
        <f>IF('計算A'!DD$106=1,HC24,1)</f>
        <v/>
      </c>
      <c r="MR24">
        <f>IF('計算A'!DE$106=1,HD24,1)</f>
        <v/>
      </c>
      <c r="MS24">
        <f>IF('計算A'!DF$106=1,HE24,1)</f>
        <v/>
      </c>
      <c r="MT24">
        <f>IF('計算A'!DG$106=1,HF24,1)</f>
        <v/>
      </c>
      <c r="MU24">
        <f>IF('計算A'!DH$106=1,HG24,1)</f>
        <v/>
      </c>
      <c r="MV24">
        <f>IF('計算A'!DI$106=1,HH24,1)</f>
        <v/>
      </c>
      <c r="MW24">
        <f>IF('計算A'!DJ$106=1,HI24,1)</f>
        <v/>
      </c>
      <c r="MX24">
        <f>IF('計算A'!DK$106=1,HJ24,1)</f>
        <v/>
      </c>
      <c r="MY24">
        <f>IF('計算A'!DL$106=1,HK24,1)</f>
        <v/>
      </c>
      <c r="MZ24">
        <f>IF('計算A'!DM$106=1,HL24,1)</f>
        <v/>
      </c>
      <c r="NA24">
        <f>IF('計算A'!DN$106=1,HM24,1)</f>
        <v/>
      </c>
      <c r="NB24">
        <f>IF('計算A'!DO$106=1,HN24,1)</f>
        <v/>
      </c>
      <c r="NC24">
        <f>IF('計算A'!DP$106=1,HO24,1)</f>
        <v/>
      </c>
      <c r="ND24">
        <f>IF('計算A'!DQ$106=1,HP24,1)</f>
        <v/>
      </c>
      <c r="NE24">
        <f>IF('計算A'!DR$106=1,HQ24,1)</f>
        <v/>
      </c>
      <c r="NF24">
        <f>IF('計算A'!DS$106=1,HR24,1)</f>
        <v/>
      </c>
      <c r="NG24">
        <f>IF('計算A'!DT$106=1,HS24,1)</f>
        <v/>
      </c>
      <c r="NH24">
        <f>IF('計算A'!DU$106=1,HT24,1)</f>
        <v/>
      </c>
      <c r="NI24">
        <f>IF('計算A'!DV$106=1,HU24,1)</f>
        <v/>
      </c>
      <c r="NJ24">
        <f>IF('計算A'!DW$106=1,HV24,1)</f>
        <v/>
      </c>
      <c r="NK24">
        <f>IF('計算A'!DX$106=1,HW24,1)</f>
        <v/>
      </c>
      <c r="NL24">
        <f>IF('計算A'!DY$106=1,HX24,1)</f>
        <v/>
      </c>
      <c r="NM24">
        <f>IF('計算A'!DZ$106=1,HY24,1)</f>
        <v/>
      </c>
      <c r="NN24">
        <f>IF('計算A'!EA$106=1,HZ24,1)</f>
        <v/>
      </c>
      <c r="NO24">
        <f>IF('計算A'!EB$106=1,IA24,1)</f>
        <v/>
      </c>
      <c r="NP24">
        <f>IF('計算A'!EC$106=1,IB24,1)</f>
        <v/>
      </c>
      <c r="NQ24">
        <f>IF('計算A'!ED$106=1,IC24,1)</f>
        <v/>
      </c>
      <c r="NR24">
        <f>IF('計算A'!EE$106=1,ID24,1)</f>
        <v/>
      </c>
      <c r="NS24">
        <f>IF('計算A'!EF$106=1,IE24,1)</f>
        <v/>
      </c>
      <c r="NT24">
        <f>IF('計算A'!EG$106=1,IF24,1)</f>
        <v/>
      </c>
      <c r="NU24">
        <f>IF('計算A'!EH$106=1,IG24,1)</f>
        <v/>
      </c>
      <c r="NV24">
        <f>IF('計算A'!EI$106=1,IH24,1)</f>
        <v/>
      </c>
      <c r="NW24">
        <f>IF('計算A'!EJ$106=1,II24,1)</f>
        <v/>
      </c>
      <c r="NX24">
        <f>IF('計算A'!EK$106=1,IJ24,1)</f>
        <v/>
      </c>
      <c r="NY24">
        <f>IF('計算A'!EL$106=1,IK24,1)</f>
        <v/>
      </c>
      <c r="NZ24">
        <f>IF('計算A'!EM$106=1,IL24,1)</f>
        <v/>
      </c>
      <c r="OA24">
        <f>IF('計算A'!EN$106=1,IM24,1)</f>
        <v/>
      </c>
      <c r="OB24">
        <f>IF('計算A'!EO$106=1,IN24,1)</f>
        <v/>
      </c>
      <c r="OC24">
        <f>IF('計算A'!EP$106=1,IO24,1)</f>
        <v/>
      </c>
      <c r="OD24" t="n">
        <v>1</v>
      </c>
      <c r="OF24">
        <f>IF($B24=0,1000000,IF(INDEX('計算A'!$D$60:$EQ$104,$B24,1)*DB24=1,IF(AND($E24=2,IQ24=0),1000000,IF($I24&gt;0,IF(1=$J24,IF(OR(AND(1=$I24+1,OR($K24&lt;&gt;'計算A'!$A$3,'計算A'!$A$4=0)),AND(1=$I24-1,OR(1&lt;&gt;'計算A'!$A$3,'計算A'!$A$4=0))),0,IF(1=$K24,200000,ABS(1-$K24)*100)),100000+ABS(1-$J24)*1000+10)+'計算A'!D$5*50+IF(AND($E24=1,IQ24=0),25,0),INDEX('計算A'!D$110:D$114,$F24+1)+IF(AND($E24=1,IQ24=0),1000,0)+IF($H24=1,(IF('計算A'!D$117=1,INDEX('計算A'!E$10:E$54,$B24),0))*500,0)-IF(AND($L24=1,'計算A'!D$117=1,DC24=0),300,0))),1000000))</f>
        <v/>
      </c>
      <c r="OG24">
        <f>IF($B24=0,1000000,IF(INDEX('計算A'!$D$60:$EQ$104,$B24,2)*DC24=1,IF(AND($E24=2,IR24=0),1000000,IF($I24&gt;0,IF(1=$J24,IF(OR(AND(2=$I24+1,OR($K24&lt;&gt;'計算A'!$A$3,'計算A'!$A$4=0)),AND(2=$I24-1,OR(2&lt;&gt;'計算A'!$A$3,'計算A'!$A$4=0))),0,IF(2=$K24,200000,ABS(2-$K24)*100)),100000+ABS(1-$J24)*1000+20)+'計算A'!E$5*50+IF(AND($E24=1,IR24=0),25,0),INDEX('計算A'!E$110:E$114,$F24+1)+IF(AND($E24=1,IR24=0),1000,0)+IF($H24=1,(IF('計算A'!D$117=1,INDEX('計算A'!D$10:D$54,$B24),0)+IF('計算A'!E$117=1,INDEX('計算A'!F$10:F$54,$B24),0))*500,0)-IF(AND('計算A'!D$117=1,UB24&gt;0),300,0)-IF(AND($L24=1,'計算A'!E$117=1,DD24=0),300,0))),1000000))</f>
        <v/>
      </c>
      <c r="OH24">
        <f>IF($B24=0,1000000,IF(INDEX('計算A'!$D$60:$EQ$104,$B24,3)*DD24=1,IF(AND($E24=2,IS24=0),1000000,IF($I24&gt;0,IF(1=$J24,IF(OR(AND(3=$I24+1,OR($K24&lt;&gt;'計算A'!$A$3,'計算A'!$A$4=0)),AND(3=$I24-1,OR(3&lt;&gt;'計算A'!$A$3,'計算A'!$A$4=0))),0,IF(3=$K24,200000,ABS(3-$K24)*100)),100000+ABS(1-$J24)*1000+30)+'計算A'!F$5*50+IF(AND($E24=1,IS24=0),25,0),INDEX('計算A'!F$110:F$114,$F24+1)+IF(AND($E24=1,IS24=0),1000,0)+IF($H24=1,(IF('計算A'!E$117=1,INDEX('計算A'!E$10:E$54,$B24),0)+IF('計算A'!F$117=1,INDEX('計算A'!G$10:G$54,$B24),0))*500,0)-IF(AND('計算A'!E$117=1,UC24&gt;0),300,0)-IF(AND($L24=1,'計算A'!F$117=1,DE24=0),300,0))),1000000))</f>
        <v/>
      </c>
      <c r="OI24">
        <f>IF($B24=0,1000000,IF(INDEX('計算A'!$D$60:$EQ$104,$B24,4)*DE24=1,IF(AND($E24=2,IT24=0),1000000,IF($I24&gt;0,IF(1=$J24,IF(OR(AND(4=$I24+1,OR($K24&lt;&gt;'計算A'!$A$3,'計算A'!$A$4=0)),AND(4=$I24-1,OR(4&lt;&gt;'計算A'!$A$3,'計算A'!$A$4=0))),0,IF(4=$K24,200000,ABS(4-$K24)*100)),100000+ABS(1-$J24)*1000+40)+'計算A'!G$5*50+IF(AND($E24=1,IT24=0),25,0),INDEX('計算A'!G$110:G$114,$F24+1)+IF(AND($E24=1,IT24=0),1000,0)+IF($H24=1,(IF('計算A'!F$117=1,INDEX('計算A'!F$10:F$54,$B24),0)+IF('計算A'!G$117=1,INDEX('計算A'!H$10:H$54,$B24),0))*500,0)-IF(AND('計算A'!F$117=1,UD24&gt;0),300,0)-IF(AND($L24=1,'計算A'!G$117=1,DF24=0),300,0))),1000000))</f>
        <v/>
      </c>
      <c r="OJ24">
        <f>IF($B24=0,1000000,IF(INDEX('計算A'!$D$60:$EQ$104,$B24,5)*DF24=1,IF(AND($E24=2,IU24=0),1000000,IF($I24&gt;0,IF(1=$J24,IF(OR(AND(5=$I24+1,OR($K24&lt;&gt;'計算A'!$A$3,'計算A'!$A$4=0)),AND(5=$I24-1,OR(5&lt;&gt;'計算A'!$A$3,'計算A'!$A$4=0))),0,IF(5=$K24,200000,ABS(5-$K24)*100)),100000+ABS(1-$J24)*1000+50)+'計算A'!H$5*50+IF(AND($E24=1,IU24=0),25,0),INDEX('計算A'!H$110:H$114,$F24+1)+IF(AND($E24=1,IU24=0),1000,0)+IF($H24=1,(IF('計算A'!G$117=1,INDEX('計算A'!G$10:G$54,$B24),0)+IF('計算A'!H$117=1,INDEX('計算A'!I$10:I$54,$B24),0))*500,0)-IF(AND('計算A'!G$117=1,UE24&gt;0),300,0)-IF(AND($L24=1,'計算A'!H$117=1,DG24=0),300,0))),1000000))</f>
        <v/>
      </c>
      <c r="OK24">
        <f>IF($B24=0,1000000,IF(INDEX('計算A'!$D$60:$EQ$104,$B24,6)*DG24=1,IF(AND($E24=2,IV24=0),1000000,IF($I24&gt;0,IF(1=$J24,IF(OR(AND(6=$I24+1,OR($K24&lt;&gt;'計算A'!$A$3,'計算A'!$A$4=0)),AND(6=$I24-1,OR(6&lt;&gt;'計算A'!$A$3,'計算A'!$A$4=0))),0,IF(6=$K24,200000,ABS(6-$K24)*100)),100000+ABS(1-$J24)*1000+60)+'計算A'!I$5*50+IF(AND($E24=1,IV24=0),25,0),INDEX('計算A'!I$110:I$114,$F24+1)+IF(AND($E24=1,IV24=0),1000,0)+IF($H24=1,(IF('計算A'!H$117=1,INDEX('計算A'!H$10:H$54,$B24),0)+IF('計算A'!I$117=1,INDEX('計算A'!J$10:J$54,$B24),0))*500,0)-IF(AND('計算A'!H$117=1,UF24&gt;0),300,0)-IF(AND($L24=1,'計算A'!I$117=1,DH24=0),300,0))),1000000))</f>
        <v/>
      </c>
      <c r="OL24">
        <f>IF($B24=0,1000000,IF(INDEX('計算A'!$D$60:$EQ$104,$B24,7)*DH24=1,IF(AND($E24=2,IW24=0),1000000,IF($I24&gt;0,IF(1=$J24,IF(OR(AND(7=$I24+1,OR($K24&lt;&gt;'計算A'!$A$3,'計算A'!$A$4=0)),AND(7=$I24-1,OR(7&lt;&gt;'計算A'!$A$3,'計算A'!$A$4=0))),0,IF(7=$K24,200000,ABS(7-$K24)*100)),100000+ABS(1-$J24)*1000+70)+'計算A'!J$5*50+IF(AND($E24=1,IW24=0),25,0),INDEX('計算A'!J$110:J$114,$F24+1)+IF(AND($E24=1,IW24=0),1000,0)+IF($H24=1,(IF('計算A'!I$117=1,INDEX('計算A'!I$10:I$54,$B24),0)+IF('計算A'!J$117=1,INDEX('計算A'!K$10:K$54,$B24),0))*500,0)-IF(AND('計算A'!I$117=1,UG24&gt;0),300,0)-IF(AND($L24=1,'計算A'!J$117=1,DI24=0),300,0))),1000000))</f>
        <v/>
      </c>
      <c r="OM24">
        <f>IF($B24=0,1000000,IF(INDEX('計算A'!$D$60:$EQ$104,$B24,8)*DI24=1,IF(AND($E24=2,IX24=0),1000000,IF($I24&gt;0,IF(1=$J24,IF(OR(AND(8=$I24+1,OR($K24&lt;&gt;'計算A'!$A$3,'計算A'!$A$4=0)),AND(8=$I24-1,OR(8&lt;&gt;'計算A'!$A$3,'計算A'!$A$4=0))),0,IF(8=$K24,200000,ABS(8-$K24)*100)),100000+ABS(1-$J24)*1000+80)+'計算A'!K$5*50+IF(AND($E24=1,IX24=0),25,0),INDEX('計算A'!K$110:K$114,$F24+1)+IF(AND($E24=1,IX24=0),1000,0)+IF($H24=1,(IF('計算A'!J$117=1,INDEX('計算A'!J$10:J$54,$B24),0)+IF('計算A'!K$117=1,INDEX('計算A'!L$10:L$54,$B24),0))*500,0)-IF(AND('計算A'!J$117=1,UH24&gt;0),300,0)-IF(AND($L24=1,'計算A'!K$117=1,DJ24=0),300,0))),1000000))</f>
        <v/>
      </c>
      <c r="ON24">
        <f>IF($B24=0,1000000,IF(INDEX('計算A'!$D$60:$EQ$104,$B24,9)*DJ24=1,IF(AND($E24=2,IY24=0),1000000,IF($I24&gt;0,IF(1=$J24,IF(OR(AND(9=$I24+1,OR($K24&lt;&gt;'計算A'!$A$3,'計算A'!$A$4=0)),AND(9=$I24-1,OR(9&lt;&gt;'計算A'!$A$3,'計算A'!$A$4=0))),0,IF(9=$K24,200000,ABS(9-$K24)*100)),100000+ABS(1-$J24)*1000+90)+'計算A'!L$5*50+IF(AND($E24=1,IY24=0),25,0),INDEX('計算A'!L$110:L$114,$F24+1)+IF(AND($E24=1,IY24=0),1000,0)+IF($H24=1,(IF('計算A'!K$117=1,INDEX('計算A'!K$10:K$54,$B24),0)+IF('計算A'!L$117=1,INDEX('計算A'!M$10:M$54,$B24),0))*500,0)-IF(AND('計算A'!K$117=1,UI24&gt;0),300,0)-IF(AND($L24=1,'計算A'!L$117=1,DK24=0),300,0))),1000000))</f>
        <v/>
      </c>
      <c r="OO24">
        <f>IF($B24=0,1000000,IF(INDEX('計算A'!$D$60:$EQ$104,$B24,10)*DK24=1,IF(AND($E24=2,IZ24=0),1000000,IF($I24&gt;0,IF(1=$J24,IF(OR(AND(10=$I24+1,OR($K24&lt;&gt;'計算A'!$A$3,'計算A'!$A$4=0)),AND(10=$I24-1,OR(10&lt;&gt;'計算A'!$A$3,'計算A'!$A$4=0))),0,IF(10=$K24,200000,ABS(10-$K24)*100)),100000+ABS(1-$J24)*1000+100)+'計算A'!M$5*50+IF(AND($E24=1,IZ24=0),25,0),INDEX('計算A'!M$110:M$114,$F24+1)+IF(AND($E24=1,IZ24=0),1000,0)+IF($H24=1,(IF('計算A'!L$117=1,INDEX('計算A'!L$10:L$54,$B24),0)+IF('計算A'!M$117=1,INDEX('計算A'!N$10:N$54,$B24),0))*500,0)-IF(AND('計算A'!L$117=1,UJ24&gt;0),300,0)-IF(AND($L24=1,'計算A'!M$117=1,DL24=0),300,0))),1000000))</f>
        <v/>
      </c>
      <c r="OP24">
        <f>IF($B24=0,1000000,IF(INDEX('計算A'!$D$60:$EQ$104,$B24,11)*DL24=1,IF(AND($E24=2,JA24=0),1000000,IF($I24&gt;0,IF(1=$J24,IF(OR(AND(11=$I24+1,OR($K24&lt;&gt;'計算A'!$A$3,'計算A'!$A$4=0)),AND(11=$I24-1,OR(11&lt;&gt;'計算A'!$A$3,'計算A'!$A$4=0))),0,IF(11=$K24,200000,ABS(11-$K24)*100)),100000+ABS(1-$J24)*1000+110)+'計算A'!N$5*50+IF(AND($E24=1,JA24=0),25,0),INDEX('計算A'!N$110:N$114,$F24+1)+IF(AND($E24=1,JA24=0),1000,0)+IF($H24=1,(IF('計算A'!M$117=1,INDEX('計算A'!M$10:M$54,$B24),0)+IF('計算A'!N$117=1,INDEX('計算A'!O$10:O$54,$B24),0))*500,0)-IF(AND('計算A'!M$117=1,UK24&gt;0),300,0)-IF(AND($L24=1,'計算A'!N$117=1,DM24=0),300,0))),1000000))</f>
        <v/>
      </c>
      <c r="OQ24">
        <f>IF($B24=0,1000000,IF(INDEX('計算A'!$D$60:$EQ$104,$B24,12)*DM24=1,IF(AND($E24=2,JB24=0),1000000,IF($I24&gt;0,IF(1=$J24,IF(OR(AND(12=$I24+1,OR($K24&lt;&gt;'計算A'!$A$3,'計算A'!$A$4=0)),AND(12=$I24-1,OR(12&lt;&gt;'計算A'!$A$3,'計算A'!$A$4=0))),0,IF(12=$K24,200000,ABS(12-$K24)*100)),100000+ABS(1-$J24)*1000+120)+'計算A'!O$5*50+IF(AND($E24=1,JB24=0),25,0),INDEX('計算A'!O$110:O$114,$F24+1)+IF(AND($E24=1,JB24=0),1000,0)+IF($H24=1,(IF('計算A'!N$117=1,INDEX('計算A'!N$10:N$54,$B24),0)+IF('計算A'!O$117=1,INDEX('計算A'!P$10:P$54,$B24),0))*500,0)-IF(AND('計算A'!N$117=1,UL24&gt;0),300,0)-IF(AND($L24=1,'計算A'!O$117=1,DN24=0),300,0))),1000000))</f>
        <v/>
      </c>
      <c r="OR24">
        <f>IF($B24=0,1000000,IF(INDEX('計算A'!$D$60:$EQ$104,$B24,13)*DN24=1,IF(AND($E24=2,JC24=0),1000000,IF($I24&gt;0,IF(1=$J24,IF(OR(AND(13=$I24+1,OR($K24&lt;&gt;'計算A'!$A$3,'計算A'!$A$4=0)),AND(13=$I24-1,OR(13&lt;&gt;'計算A'!$A$3,'計算A'!$A$4=0))),0,IF(13=$K24,200000,ABS(13-$K24)*100)),100000+ABS(1-$J24)*1000+130)+'計算A'!P$5*50+IF(AND($E24=1,JC24=0),25,0),INDEX('計算A'!P$110:P$114,$F24+1)+IF(AND($E24=1,JC24=0),1000,0)+IF($H24=1,(IF('計算A'!O$117=1,INDEX('計算A'!O$10:O$54,$B24),0)+IF('計算A'!P$117=1,INDEX('計算A'!Q$10:Q$54,$B24),0))*500,0)-IF(AND('計算A'!O$117=1,UM24&gt;0),300,0)-IF(AND($L24=1,'計算A'!P$117=1,DO24=0),300,0))),1000000))</f>
        <v/>
      </c>
      <c r="OS24">
        <f>IF($B24=0,1000000,IF(INDEX('計算A'!$D$60:$EQ$104,$B24,14)*DO24=1,IF(AND($E24=2,JD24=0),1000000,IF($I24&gt;0,IF(1=$J24,IF(OR(AND(14=$I24+1,OR($K24&lt;&gt;'計算A'!$A$3,'計算A'!$A$4=0)),AND(14=$I24-1,OR(14&lt;&gt;'計算A'!$A$3,'計算A'!$A$4=0))),0,IF(14=$K24,200000,ABS(14-$K24)*100)),100000+ABS(1-$J24)*1000+140)+'計算A'!Q$5*50+IF(AND($E24=1,JD24=0),25,0),INDEX('計算A'!Q$110:Q$114,$F24+1)+IF(AND($E24=1,JD24=0),1000,0)+IF($H24=1,(IF('計算A'!P$117=1,INDEX('計算A'!P$10:P$54,$B24),0)+IF('計算A'!Q$117=1,INDEX('計算A'!R$10:R$54,$B24),0))*500,0)-IF(AND('計算A'!P$117=1,UN24&gt;0),300,0)-IF(AND($L24=1,'計算A'!Q$117=1,DP24=0),300,0))),1000000))</f>
        <v/>
      </c>
      <c r="OT24">
        <f>IF($B24=0,1000000,IF(INDEX('計算A'!$D$60:$EQ$104,$B24,15)*DP24=1,IF(AND($E24=2,JE24=0),1000000,IF($I24&gt;0,IF(1=$J24,IF(OR(AND(15=$I24+1,OR($K24&lt;&gt;'計算A'!$A$3,'計算A'!$A$4=0)),AND(15=$I24-1,OR(15&lt;&gt;'計算A'!$A$3,'計算A'!$A$4=0))),0,IF(15=$K24,200000,ABS(15-$K24)*100)),100000+ABS(1-$J24)*1000+150)+'計算A'!R$5*50+IF(AND($E24=1,JE24=0),25,0),INDEX('計算A'!R$110:R$114,$F24+1)+IF(AND($E24=1,JE24=0),1000,0)+IF($H24=1,(IF('計算A'!Q$117=1,INDEX('計算A'!Q$10:Q$54,$B24),0)+IF('計算A'!R$117=1,INDEX('計算A'!S$10:S$54,$B24),0))*500,0)-IF(AND('計算A'!Q$117=1,UO24&gt;0),300,0)-IF(AND($L24=1,'計算A'!R$117=1,DQ24=0),300,0))),1000000))</f>
        <v/>
      </c>
      <c r="OU24">
        <f>IF($B24=0,1000000,IF(INDEX('計算A'!$D$60:$EQ$104,$B24,16)*DQ24=1,IF(AND($E24=2,JF24=0),1000000,IF($I24&gt;0,IF(1=$J24,IF(OR(AND(16=$I24+1,OR($K24&lt;&gt;'計算A'!$A$3,'計算A'!$A$4=0)),AND(16=$I24-1,OR(16&lt;&gt;'計算A'!$A$3,'計算A'!$A$4=0))),0,IF(16=$K24,200000,ABS(16-$K24)*100)),100000+ABS(1-$J24)*1000+160)+'計算A'!S$5*50+IF(AND($E24=1,JF24=0),25,0),INDEX('計算A'!S$110:S$114,$F24+1)+IF(AND($E24=1,JF24=0),1000,0)+IF($H24=1,(IF('計算A'!R$117=1,INDEX('計算A'!R$10:R$54,$B24),0)+IF('計算A'!S$117=1,INDEX('計算A'!T$10:T$54,$B24),0))*500,0)-IF(AND('計算A'!R$117=1,UP24&gt;0),300,0)-IF(AND($L24=1,'計算A'!S$117=1,DR24=0),300,0))),1000000))</f>
        <v/>
      </c>
      <c r="OV24">
        <f>IF($B24=0,1000000,IF(INDEX('計算A'!$D$60:$EQ$104,$B24,17)*DR24=1,IF(AND($E24=2,JG24=0),1000000,IF($I24&gt;0,IF(1=$J24,IF(OR(AND(17=$I24+1,OR($K24&lt;&gt;'計算A'!$A$3,'計算A'!$A$4=0)),AND(17=$I24-1,OR(17&lt;&gt;'計算A'!$A$3,'計算A'!$A$4=0))),0,IF(17=$K24,200000,ABS(17-$K24)*100)),100000+ABS(1-$J24)*1000+170)+'計算A'!T$5*50+IF(AND($E24=1,JG24=0),25,0),INDEX('計算A'!T$110:T$114,$F24+1)+IF(AND($E24=1,JG24=0),1000,0)+IF($H24=1,(IF('計算A'!S$117=1,INDEX('計算A'!S$10:S$54,$B24),0)+IF('計算A'!T$117=1,INDEX('計算A'!U$10:U$54,$B24),0))*500,0)-IF(AND('計算A'!S$117=1,UQ24&gt;0),300,0)-IF(AND($L24=1,'計算A'!T$117=1,DS24=0),300,0))),1000000))</f>
        <v/>
      </c>
      <c r="OW24">
        <f>IF($B24=0,1000000,IF(INDEX('計算A'!$D$60:$EQ$104,$B24,18)*DS24=1,IF(AND($E24=2,JH24=0),1000000,IF($I24&gt;0,IF(1=$J24,IF(OR(AND(18=$I24+1,OR($K24&lt;&gt;'計算A'!$A$3,'計算A'!$A$4=0)),AND(18=$I24-1,OR(18&lt;&gt;'計算A'!$A$3,'計算A'!$A$4=0))),0,IF(18=$K24,200000,ABS(18-$K24)*100)),100000+ABS(1-$J24)*1000+180)+'計算A'!U$5*50+IF(AND($E24=1,JH24=0),25,0),INDEX('計算A'!U$110:U$114,$F24+1)+IF(AND($E24=1,JH24=0),1000,0)+IF($H24=1,(IF('計算A'!T$117=1,INDEX('計算A'!T$10:T$54,$B24),0)+IF('計算A'!U$117=1,INDEX('計算A'!V$10:V$54,$B24),0))*500,0)-IF(AND('計算A'!T$117=1,UR24&gt;0),300,0)-IF(AND($L24=1,'計算A'!U$117=1,DT24=0),300,0))),1000000))</f>
        <v/>
      </c>
      <c r="OX24">
        <f>IF($B24=0,1000000,IF(INDEX('計算A'!$D$60:$EQ$104,$B24,19)*DT24=1,IF(AND($E24=2,JI24=0),1000000,IF($I24&gt;0,IF(1=$J24,IF(OR(AND(19=$I24+1,OR($K24&lt;&gt;'計算A'!$A$3,'計算A'!$A$4=0)),AND(19=$I24-1,OR(19&lt;&gt;'計算A'!$A$3,'計算A'!$A$4=0))),0,IF(19=$K24,200000,ABS(19-$K24)*100)),100000+ABS(1-$J24)*1000+190)+'計算A'!V$5*50+IF(AND($E24=1,JI24=0),25,0),INDEX('計算A'!V$110:V$114,$F24+1)+IF(AND($E24=1,JI24=0),1000,0)+IF($H24=1,(IF('計算A'!U$117=1,INDEX('計算A'!U$10:U$54,$B24),0)+IF('計算A'!V$117=1,INDEX('計算A'!W$10:W$54,$B24),0))*500,0)-IF(AND('計算A'!U$117=1,US24&gt;0),300,0)-IF(AND($L24=1,'計算A'!V$117=1,DU24=0),300,0))),1000000))</f>
        <v/>
      </c>
      <c r="OY24">
        <f>IF($B24=0,1000000,IF(INDEX('計算A'!$D$60:$EQ$104,$B24,20)*DU24=1,IF(AND($E24=2,JJ24=0),1000000,IF($I24&gt;0,IF(1=$J24,IF(OR(AND(20=$I24+1,OR($K24&lt;&gt;'計算A'!$A$3,'計算A'!$A$4=0)),AND(20=$I24-1,OR(20&lt;&gt;'計算A'!$A$3,'計算A'!$A$4=0))),0,IF(20=$K24,200000,ABS(20-$K24)*100)),100000+ABS(1-$J24)*1000+200)+'計算A'!W$5*50+IF(AND($E24=1,JJ24=0),25,0),INDEX('計算A'!W$110:W$114,$F24+1)+IF(AND($E24=1,JJ24=0),1000,0)+IF($H24=1,(IF('計算A'!V$117=1,INDEX('計算A'!V$10:V$54,$B24),0)+IF('計算A'!W$117=1,INDEX('計算A'!X$10:X$54,$B24),0))*500,0)-IF(AND('計算A'!V$117=1,UT24&gt;0),300,0)-IF(AND($L24=1,'計算A'!W$117=1,DV24=0),300,0))),1000000))</f>
        <v/>
      </c>
      <c r="OZ24">
        <f>IF($B24=0,1000000,IF(INDEX('計算A'!$D$60:$EQ$104,$B24,21)*DV24=1,IF(AND($E24=2,JK24=0),1000000,IF($I24&gt;0,IF(1=$J24,IF(OR(AND(21=$I24+1,OR($K24&lt;&gt;'計算A'!$A$3,'計算A'!$A$4=0)),AND(21=$I24-1,OR(21&lt;&gt;'計算A'!$A$3,'計算A'!$A$4=0))),0,IF(21=$K24,200000,ABS(21-$K24)*100)),100000+ABS(1-$J24)*1000+210)+'計算A'!X$5*50+IF(AND($E24=1,JK24=0),25,0),INDEX('計算A'!X$110:X$114,$F24+1)+IF(AND($E24=1,JK24=0),1000,0)+IF($H24=1,(IF('計算A'!W$117=1,INDEX('計算A'!W$10:W$54,$B24),0)+IF('計算A'!X$117=1,INDEX('計算A'!Y$10:Y$54,$B24),0))*500,0)-IF(AND('計算A'!W$117=1,UU24&gt;0),300,0)-IF(AND($L24=1,'計算A'!X$117=1,DW24=0),300,0))),1000000))</f>
        <v/>
      </c>
      <c r="PA24">
        <f>IF($B24=0,1000000,IF(INDEX('計算A'!$D$60:$EQ$104,$B24,22)*DW24=1,IF(AND($E24=2,JL24=0),1000000,IF($I24&gt;0,IF(1=$J24,IF(OR(AND(22=$I24+1,OR($K24&lt;&gt;'計算A'!$A$3,'計算A'!$A$4=0)),AND(22=$I24-1,OR(22&lt;&gt;'計算A'!$A$3,'計算A'!$A$4=0))),0,IF(22=$K24,200000,ABS(22-$K24)*100)),100000+ABS(1-$J24)*1000+220)+'計算A'!Y$5*50+IF(AND($E24=1,JL24=0),25,0),INDEX('計算A'!Y$110:Y$114,$F24+1)+IF(AND($E24=1,JL24=0),1000,0)+IF($H24=1,(IF('計算A'!X$117=1,INDEX('計算A'!X$10:X$54,$B24),0)+IF('計算A'!Y$117=1,INDEX('計算A'!Z$10:Z$54,$B24),0))*500,0)-IF(AND('計算A'!X$117=1,UV24&gt;0),300,0)-IF(AND($L24=1,'計算A'!Y$117=1,DX24=0),300,0))),1000000))</f>
        <v/>
      </c>
      <c r="PB24">
        <f>IF($B24=0,1000000,IF(INDEX('計算A'!$D$60:$EQ$104,$B24,23)*DX24=1,IF(AND($E24=2,JM24=0),1000000,IF($I24&gt;0,IF(1=$J24,IF(OR(AND(23=$I24+1,OR($K24&lt;&gt;'計算A'!$A$3,'計算A'!$A$4=0)),AND(23=$I24-1,OR(23&lt;&gt;'計算A'!$A$3,'計算A'!$A$4=0))),0,IF(23=$K24,200000,ABS(23-$K24)*100)),100000+ABS(1-$J24)*1000+230)+'計算A'!Z$5*50+IF(AND($E24=1,JM24=0),25,0),INDEX('計算A'!Z$110:Z$114,$F24+1)+IF(AND($E24=1,JM24=0),1000,0)+IF($H24=1,(IF('計算A'!Y$117=1,INDEX('計算A'!Y$10:Y$54,$B24),0)+IF('計算A'!Z$117=1,INDEX('計算A'!AA$10:AA$54,$B24),0))*500,0)-IF(AND('計算A'!Y$117=1,UW24&gt;0),300,0)-IF(AND($L24=1,'計算A'!Z$117=1,DY24=0),300,0))),1000000))</f>
        <v/>
      </c>
      <c r="PC24">
        <f>IF($B24=0,1000000,IF(INDEX('計算A'!$D$60:$EQ$104,$B24,24)*DY24=1,IF(AND($E24=2,JN24=0),1000000,IF($I24&gt;0,IF(1=$J24,IF(OR(AND(24=$I24+1,OR($K24&lt;&gt;'計算A'!$A$3,'計算A'!$A$4=0)),AND(24=$I24-1,OR(24&lt;&gt;'計算A'!$A$3,'計算A'!$A$4=0))),0,IF(24=$K24,200000,ABS(24-$K24)*100)),100000+ABS(1-$J24)*1000+240)+'計算A'!AA$5*50+IF(AND($E24=1,JN24=0),25,0),INDEX('計算A'!AA$110:AA$114,$F24+1)+IF(AND($E24=1,JN24=0),1000,0)+IF($H24=1,(IF('計算A'!Z$117=1,INDEX('計算A'!Z$10:Z$54,$B24),0))*500,0)-IF(AND('計算A'!Z$117=1,UX24&gt;0),300,0))),1000000))</f>
        <v/>
      </c>
      <c r="PD24">
        <f>IF($B24=0,1000000,IF(INDEX('計算A'!$D$60:$EQ$104,$B24,25)*DZ24=1,IF(AND($E24=2,JO24=0),1000000,IF($I24&gt;0,IF(2=$J24,IF(OR(AND(25=$I24+1,OR($K24&lt;&gt;'計算A'!$A$3,'計算A'!$A$4=0)),AND(25=$I24-1,OR(1&lt;&gt;'計算A'!$A$3,'計算A'!$A$4=0))),0,IF(1=$K24,200000,ABS(1-$K24)*100)),100000+ABS(2-$J24)*1000+10)+'計算A'!AB$5*50+IF(AND($E24=1,JO24=0),25,0),INDEX('計算A'!AB$110:AB$114,$F24+1)+IF(AND($E24=1,JO24=0),1000,0)+IF($H24=1,(IF('計算A'!AB$117=1,INDEX('計算A'!AC$10:AC$54,$B24),0))*500,0)-IF(AND($L24=1,'計算A'!AB$117=1,EA24=0),300,0))),1000000))</f>
        <v/>
      </c>
      <c r="PE24">
        <f>IF($B24=0,1000000,IF(INDEX('計算A'!$D$60:$EQ$104,$B24,26)*EA24=1,IF(AND($E24=2,JP24=0),1000000,IF($I24&gt;0,IF(2=$J24,IF(OR(AND(26=$I24+1,OR($K24&lt;&gt;'計算A'!$A$3,'計算A'!$A$4=0)),AND(26=$I24-1,OR(2&lt;&gt;'計算A'!$A$3,'計算A'!$A$4=0))),0,IF(2=$K24,200000,ABS(2-$K24)*100)),100000+ABS(2-$J24)*1000+20)+'計算A'!AC$5*50+IF(AND($E24=1,JP24=0),25,0),INDEX('計算A'!AC$110:AC$114,$F24+1)+IF(AND($E24=1,JP24=0),1000,0)+IF($H24=1,(IF('計算A'!AB$117=1,INDEX('計算A'!AB$10:AB$54,$B24),0)+IF('計算A'!AC$117=1,INDEX('計算A'!AD$10:AD$54,$B24),0))*500,0)-IF(AND('計算A'!AB$117=1,UZ24&gt;0),300,0)-IF(AND($L24=1,'計算A'!AC$117=1,EB24=0),300,0))),1000000))</f>
        <v/>
      </c>
      <c r="PF24">
        <f>IF($B24=0,1000000,IF(INDEX('計算A'!$D$60:$EQ$104,$B24,27)*EB24=1,IF(AND($E24=2,JQ24=0),1000000,IF($I24&gt;0,IF(2=$J24,IF(OR(AND(27=$I24+1,OR($K24&lt;&gt;'計算A'!$A$3,'計算A'!$A$4=0)),AND(27=$I24-1,OR(3&lt;&gt;'計算A'!$A$3,'計算A'!$A$4=0))),0,IF(3=$K24,200000,ABS(3-$K24)*100)),100000+ABS(2-$J24)*1000+30)+'計算A'!AD$5*50+IF(AND($E24=1,JQ24=0),25,0),INDEX('計算A'!AD$110:AD$114,$F24+1)+IF(AND($E24=1,JQ24=0),1000,0)+IF($H24=1,(IF('計算A'!AC$117=1,INDEX('計算A'!AC$10:AC$54,$B24),0)+IF('計算A'!AD$117=1,INDEX('計算A'!AE$10:AE$54,$B24),0))*500,0)-IF(AND('計算A'!AC$117=1,VA24&gt;0),300,0)-IF(AND($L24=1,'計算A'!AD$117=1,EC24=0),300,0))),1000000))</f>
        <v/>
      </c>
      <c r="PG24">
        <f>IF($B24=0,1000000,IF(INDEX('計算A'!$D$60:$EQ$104,$B24,28)*EC24=1,IF(AND($E24=2,JR24=0),1000000,IF($I24&gt;0,IF(2=$J24,IF(OR(AND(28=$I24+1,OR($K24&lt;&gt;'計算A'!$A$3,'計算A'!$A$4=0)),AND(28=$I24-1,OR(4&lt;&gt;'計算A'!$A$3,'計算A'!$A$4=0))),0,IF(4=$K24,200000,ABS(4-$K24)*100)),100000+ABS(2-$J24)*1000+40)+'計算A'!AE$5*50+IF(AND($E24=1,JR24=0),25,0),INDEX('計算A'!AE$110:AE$114,$F24+1)+IF(AND($E24=1,JR24=0),1000,0)+IF($H24=1,(IF('計算A'!AD$117=1,INDEX('計算A'!AD$10:AD$54,$B24),0)+IF('計算A'!AE$117=1,INDEX('計算A'!AF$10:AF$54,$B24),0))*500,0)-IF(AND('計算A'!AD$117=1,VB24&gt;0),300,0)-IF(AND($L24=1,'計算A'!AE$117=1,ED24=0),300,0))),1000000))</f>
        <v/>
      </c>
      <c r="PH24">
        <f>IF($B24=0,1000000,IF(INDEX('計算A'!$D$60:$EQ$104,$B24,29)*ED24=1,IF(AND($E24=2,JS24=0),1000000,IF($I24&gt;0,IF(2=$J24,IF(OR(AND(29=$I24+1,OR($K24&lt;&gt;'計算A'!$A$3,'計算A'!$A$4=0)),AND(29=$I24-1,OR(5&lt;&gt;'計算A'!$A$3,'計算A'!$A$4=0))),0,IF(5=$K24,200000,ABS(5-$K24)*100)),100000+ABS(2-$J24)*1000+50)+'計算A'!AF$5*50+IF(AND($E24=1,JS24=0),25,0),INDEX('計算A'!AF$110:AF$114,$F24+1)+IF(AND($E24=1,JS24=0),1000,0)+IF($H24=1,(IF('計算A'!AE$117=1,INDEX('計算A'!AE$10:AE$54,$B24),0)+IF('計算A'!AF$117=1,INDEX('計算A'!AG$10:AG$54,$B24),0))*500,0)-IF(AND('計算A'!AE$117=1,VC24&gt;0),300,0)-IF(AND($L24=1,'計算A'!AF$117=1,EE24=0),300,0))),1000000))</f>
        <v/>
      </c>
      <c r="PI24">
        <f>IF($B24=0,1000000,IF(INDEX('計算A'!$D$60:$EQ$104,$B24,30)*EE24=1,IF(AND($E24=2,JT24=0),1000000,IF($I24&gt;0,IF(2=$J24,IF(OR(AND(30=$I24+1,OR($K24&lt;&gt;'計算A'!$A$3,'計算A'!$A$4=0)),AND(30=$I24-1,OR(6&lt;&gt;'計算A'!$A$3,'計算A'!$A$4=0))),0,IF(6=$K24,200000,ABS(6-$K24)*100)),100000+ABS(2-$J24)*1000+60)+'計算A'!AG$5*50+IF(AND($E24=1,JT24=0),25,0),INDEX('計算A'!AG$110:AG$114,$F24+1)+IF(AND($E24=1,JT24=0),1000,0)+IF($H24=1,(IF('計算A'!AF$117=1,INDEX('計算A'!AF$10:AF$54,$B24),0)+IF('計算A'!AG$117=1,INDEX('計算A'!AH$10:AH$54,$B24),0))*500,0)-IF(AND('計算A'!AF$117=1,VD24&gt;0),300,0)-IF(AND($L24=1,'計算A'!AG$117=1,EF24=0),300,0))),1000000))</f>
        <v/>
      </c>
      <c r="PJ24">
        <f>IF($B24=0,1000000,IF(INDEX('計算A'!$D$60:$EQ$104,$B24,31)*EF24=1,IF(AND($E24=2,JU24=0),1000000,IF($I24&gt;0,IF(2=$J24,IF(OR(AND(31=$I24+1,OR($K24&lt;&gt;'計算A'!$A$3,'計算A'!$A$4=0)),AND(31=$I24-1,OR(7&lt;&gt;'計算A'!$A$3,'計算A'!$A$4=0))),0,IF(7=$K24,200000,ABS(7-$K24)*100)),100000+ABS(2-$J24)*1000+70)+'計算A'!AH$5*50+IF(AND($E24=1,JU24=0),25,0),INDEX('計算A'!AH$110:AH$114,$F24+1)+IF(AND($E24=1,JU24=0),1000,0)+IF($H24=1,(IF('計算A'!AG$117=1,INDEX('計算A'!AG$10:AG$54,$B24),0)+IF('計算A'!AH$117=1,INDEX('計算A'!AI$10:AI$54,$B24),0))*500,0)-IF(AND('計算A'!AG$117=1,VE24&gt;0),300,0)-IF(AND($L24=1,'計算A'!AH$117=1,EG24=0),300,0))),1000000))</f>
        <v/>
      </c>
      <c r="PK24">
        <f>IF($B24=0,1000000,IF(INDEX('計算A'!$D$60:$EQ$104,$B24,32)*EG24=1,IF(AND($E24=2,JV24=0),1000000,IF($I24&gt;0,IF(2=$J24,IF(OR(AND(32=$I24+1,OR($K24&lt;&gt;'計算A'!$A$3,'計算A'!$A$4=0)),AND(32=$I24-1,OR(8&lt;&gt;'計算A'!$A$3,'計算A'!$A$4=0))),0,IF(8=$K24,200000,ABS(8-$K24)*100)),100000+ABS(2-$J24)*1000+80)+'計算A'!AI$5*50+IF(AND($E24=1,JV24=0),25,0),INDEX('計算A'!AI$110:AI$114,$F24+1)+IF(AND($E24=1,JV24=0),1000,0)+IF($H24=1,(IF('計算A'!AH$117=1,INDEX('計算A'!AH$10:AH$54,$B24),0)+IF('計算A'!AI$117=1,INDEX('計算A'!AJ$10:AJ$54,$B24),0))*500,0)-IF(AND('計算A'!AH$117=1,VF24&gt;0),300,0)-IF(AND($L24=1,'計算A'!AI$117=1,EH24=0),300,0))),1000000))</f>
        <v/>
      </c>
      <c r="PL24">
        <f>IF($B24=0,1000000,IF(INDEX('計算A'!$D$60:$EQ$104,$B24,33)*EH24=1,IF(AND($E24=2,JW24=0),1000000,IF($I24&gt;0,IF(2=$J24,IF(OR(AND(33=$I24+1,OR($K24&lt;&gt;'計算A'!$A$3,'計算A'!$A$4=0)),AND(33=$I24-1,OR(9&lt;&gt;'計算A'!$A$3,'計算A'!$A$4=0))),0,IF(9=$K24,200000,ABS(9-$K24)*100)),100000+ABS(2-$J24)*1000+90)+'計算A'!AJ$5*50+IF(AND($E24=1,JW24=0),25,0),INDEX('計算A'!AJ$110:AJ$114,$F24+1)+IF(AND($E24=1,JW24=0),1000,0)+IF($H24=1,(IF('計算A'!AI$117=1,INDEX('計算A'!AI$10:AI$54,$B24),0)+IF('計算A'!AJ$117=1,INDEX('計算A'!AK$10:AK$54,$B24),0))*500,0)-IF(AND('計算A'!AI$117=1,VG24&gt;0),300,0)-IF(AND($L24=1,'計算A'!AJ$117=1,EI24=0),300,0))),1000000))</f>
        <v/>
      </c>
      <c r="PM24">
        <f>IF($B24=0,1000000,IF(INDEX('計算A'!$D$60:$EQ$104,$B24,34)*EI24=1,IF(AND($E24=2,JX24=0),1000000,IF($I24&gt;0,IF(2=$J24,IF(OR(AND(34=$I24+1,OR($K24&lt;&gt;'計算A'!$A$3,'計算A'!$A$4=0)),AND(34=$I24-1,OR(10&lt;&gt;'計算A'!$A$3,'計算A'!$A$4=0))),0,IF(10=$K24,200000,ABS(10-$K24)*100)),100000+ABS(2-$J24)*1000+100)+'計算A'!AK$5*50+IF(AND($E24=1,JX24=0),25,0),INDEX('計算A'!AK$110:AK$114,$F24+1)+IF(AND($E24=1,JX24=0),1000,0)+IF($H24=1,(IF('計算A'!AJ$117=1,INDEX('計算A'!AJ$10:AJ$54,$B24),0)+IF('計算A'!AK$117=1,INDEX('計算A'!AL$10:AL$54,$B24),0))*500,0)-IF(AND('計算A'!AJ$117=1,VH24&gt;0),300,0)-IF(AND($L24=1,'計算A'!AK$117=1,EJ24=0),300,0))),1000000))</f>
        <v/>
      </c>
      <c r="PN24">
        <f>IF($B24=0,1000000,IF(INDEX('計算A'!$D$60:$EQ$104,$B24,35)*EJ24=1,IF(AND($E24=2,JY24=0),1000000,IF($I24&gt;0,IF(2=$J24,IF(OR(AND(35=$I24+1,OR($K24&lt;&gt;'計算A'!$A$3,'計算A'!$A$4=0)),AND(35=$I24-1,OR(11&lt;&gt;'計算A'!$A$3,'計算A'!$A$4=0))),0,IF(11=$K24,200000,ABS(11-$K24)*100)),100000+ABS(2-$J24)*1000+110)+'計算A'!AL$5*50+IF(AND($E24=1,JY24=0),25,0),INDEX('計算A'!AL$110:AL$114,$F24+1)+IF(AND($E24=1,JY24=0),1000,0)+IF($H24=1,(IF('計算A'!AK$117=1,INDEX('計算A'!AK$10:AK$54,$B24),0)+IF('計算A'!AL$117=1,INDEX('計算A'!AM$10:AM$54,$B24),0))*500,0)-IF(AND('計算A'!AK$117=1,VI24&gt;0),300,0)-IF(AND($L24=1,'計算A'!AL$117=1,EK24=0),300,0))),1000000))</f>
        <v/>
      </c>
      <c r="PO24">
        <f>IF($B24=0,1000000,IF(INDEX('計算A'!$D$60:$EQ$104,$B24,36)*EK24=1,IF(AND($E24=2,JZ24=0),1000000,IF($I24&gt;0,IF(2=$J24,IF(OR(AND(36=$I24+1,OR($K24&lt;&gt;'計算A'!$A$3,'計算A'!$A$4=0)),AND(36=$I24-1,OR(12&lt;&gt;'計算A'!$A$3,'計算A'!$A$4=0))),0,IF(12=$K24,200000,ABS(12-$K24)*100)),100000+ABS(2-$J24)*1000+120)+'計算A'!AM$5*50+IF(AND($E24=1,JZ24=0),25,0),INDEX('計算A'!AM$110:AM$114,$F24+1)+IF(AND($E24=1,JZ24=0),1000,0)+IF($H24=1,(IF('計算A'!AL$117=1,INDEX('計算A'!AL$10:AL$54,$B24),0)+IF('計算A'!AM$117=1,INDEX('計算A'!AN$10:AN$54,$B24),0))*500,0)-IF(AND('計算A'!AL$117=1,VJ24&gt;0),300,0)-IF(AND($L24=1,'計算A'!AM$117=1,EL24=0),300,0))),1000000))</f>
        <v/>
      </c>
      <c r="PP24">
        <f>IF($B24=0,1000000,IF(INDEX('計算A'!$D$60:$EQ$104,$B24,37)*EL24=1,IF(AND($E24=2,KA24=0),1000000,IF($I24&gt;0,IF(2=$J24,IF(OR(AND(37=$I24+1,OR($K24&lt;&gt;'計算A'!$A$3,'計算A'!$A$4=0)),AND(37=$I24-1,OR(13&lt;&gt;'計算A'!$A$3,'計算A'!$A$4=0))),0,IF(13=$K24,200000,ABS(13-$K24)*100)),100000+ABS(2-$J24)*1000+130)+'計算A'!AN$5*50+IF(AND($E24=1,KA24=0),25,0),INDEX('計算A'!AN$110:AN$114,$F24+1)+IF(AND($E24=1,KA24=0),1000,0)+IF($H24=1,(IF('計算A'!AM$117=1,INDEX('計算A'!AM$10:AM$54,$B24),0)+IF('計算A'!AN$117=1,INDEX('計算A'!AO$10:AO$54,$B24),0))*500,0)-IF(AND('計算A'!AM$117=1,VK24&gt;0),300,0)-IF(AND($L24=1,'計算A'!AN$117=1,EM24=0),300,0))),1000000))</f>
        <v/>
      </c>
      <c r="PQ24">
        <f>IF($B24=0,1000000,IF(INDEX('計算A'!$D$60:$EQ$104,$B24,38)*EM24=1,IF(AND($E24=2,KB24=0),1000000,IF($I24&gt;0,IF(2=$J24,IF(OR(AND(38=$I24+1,OR($K24&lt;&gt;'計算A'!$A$3,'計算A'!$A$4=0)),AND(38=$I24-1,OR(14&lt;&gt;'計算A'!$A$3,'計算A'!$A$4=0))),0,IF(14=$K24,200000,ABS(14-$K24)*100)),100000+ABS(2-$J24)*1000+140)+'計算A'!AO$5*50+IF(AND($E24=1,KB24=0),25,0),INDEX('計算A'!AO$110:AO$114,$F24+1)+IF(AND($E24=1,KB24=0),1000,0)+IF($H24=1,(IF('計算A'!AN$117=1,INDEX('計算A'!AN$10:AN$54,$B24),0)+IF('計算A'!AO$117=1,INDEX('計算A'!AP$10:AP$54,$B24),0))*500,0)-IF(AND('計算A'!AN$117=1,VL24&gt;0),300,0)-IF(AND($L24=1,'計算A'!AO$117=1,EN24=0),300,0))),1000000))</f>
        <v/>
      </c>
      <c r="PR24">
        <f>IF($B24=0,1000000,IF(INDEX('計算A'!$D$60:$EQ$104,$B24,39)*EN24=1,IF(AND($E24=2,KC24=0),1000000,IF($I24&gt;0,IF(2=$J24,IF(OR(AND(39=$I24+1,OR($K24&lt;&gt;'計算A'!$A$3,'計算A'!$A$4=0)),AND(39=$I24-1,OR(15&lt;&gt;'計算A'!$A$3,'計算A'!$A$4=0))),0,IF(15=$K24,200000,ABS(15-$K24)*100)),100000+ABS(2-$J24)*1000+150)+'計算A'!AP$5*50+IF(AND($E24=1,KC24=0),25,0),INDEX('計算A'!AP$110:AP$114,$F24+1)+IF(AND($E24=1,KC24=0),1000,0)+IF($H24=1,(IF('計算A'!AO$117=1,INDEX('計算A'!AO$10:AO$54,$B24),0)+IF('計算A'!AP$117=1,INDEX('計算A'!AQ$10:AQ$54,$B24),0))*500,0)-IF(AND('計算A'!AO$117=1,VM24&gt;0),300,0)-IF(AND($L24=1,'計算A'!AP$117=1,EO24=0),300,0))),1000000))</f>
        <v/>
      </c>
      <c r="PS24">
        <f>IF($B24=0,1000000,IF(INDEX('計算A'!$D$60:$EQ$104,$B24,40)*EO24=1,IF(AND($E24=2,KD24=0),1000000,IF($I24&gt;0,IF(2=$J24,IF(OR(AND(40=$I24+1,OR($K24&lt;&gt;'計算A'!$A$3,'計算A'!$A$4=0)),AND(40=$I24-1,OR(16&lt;&gt;'計算A'!$A$3,'計算A'!$A$4=0))),0,IF(16=$K24,200000,ABS(16-$K24)*100)),100000+ABS(2-$J24)*1000+160)+'計算A'!AQ$5*50+IF(AND($E24=1,KD24=0),25,0),INDEX('計算A'!AQ$110:AQ$114,$F24+1)+IF(AND($E24=1,KD24=0),1000,0)+IF($H24=1,(IF('計算A'!AP$117=1,INDEX('計算A'!AP$10:AP$54,$B24),0)+IF('計算A'!AQ$117=1,INDEX('計算A'!AR$10:AR$54,$B24),0))*500,0)-IF(AND('計算A'!AP$117=1,VN24&gt;0),300,0)-IF(AND($L24=1,'計算A'!AQ$117=1,EP24=0),300,0))),1000000))</f>
        <v/>
      </c>
      <c r="PT24">
        <f>IF($B24=0,1000000,IF(INDEX('計算A'!$D$60:$EQ$104,$B24,41)*EP24=1,IF(AND($E24=2,KE24=0),1000000,IF($I24&gt;0,IF(2=$J24,IF(OR(AND(41=$I24+1,OR($K24&lt;&gt;'計算A'!$A$3,'計算A'!$A$4=0)),AND(41=$I24-1,OR(17&lt;&gt;'計算A'!$A$3,'計算A'!$A$4=0))),0,IF(17=$K24,200000,ABS(17-$K24)*100)),100000+ABS(2-$J24)*1000+170)+'計算A'!AR$5*50+IF(AND($E24=1,KE24=0),25,0),INDEX('計算A'!AR$110:AR$114,$F24+1)+IF(AND($E24=1,KE24=0),1000,0)+IF($H24=1,(IF('計算A'!AQ$117=1,INDEX('計算A'!AQ$10:AQ$54,$B24),0)+IF('計算A'!AR$117=1,INDEX('計算A'!AS$10:AS$54,$B24),0))*500,0)-IF(AND('計算A'!AQ$117=1,VO24&gt;0),300,0)-IF(AND($L24=1,'計算A'!AR$117=1,EQ24=0),300,0))),1000000))</f>
        <v/>
      </c>
      <c r="PU24">
        <f>IF($B24=0,1000000,IF(INDEX('計算A'!$D$60:$EQ$104,$B24,42)*EQ24=1,IF(AND($E24=2,KF24=0),1000000,IF($I24&gt;0,IF(2=$J24,IF(OR(AND(42=$I24+1,OR($K24&lt;&gt;'計算A'!$A$3,'計算A'!$A$4=0)),AND(42=$I24-1,OR(18&lt;&gt;'計算A'!$A$3,'計算A'!$A$4=0))),0,IF(18=$K24,200000,ABS(18-$K24)*100)),100000+ABS(2-$J24)*1000+180)+'計算A'!AS$5*50+IF(AND($E24=1,KF24=0),25,0),INDEX('計算A'!AS$110:AS$114,$F24+1)+IF(AND($E24=1,KF24=0),1000,0)+IF($H24=1,(IF('計算A'!AR$117=1,INDEX('計算A'!AR$10:AR$54,$B24),0)+IF('計算A'!AS$117=1,INDEX('計算A'!AT$10:AT$54,$B24),0))*500,0)-IF(AND('計算A'!AR$117=1,VP24&gt;0),300,0)-IF(AND($L24=1,'計算A'!AS$117=1,ER24=0),300,0))),1000000))</f>
        <v/>
      </c>
      <c r="PV24">
        <f>IF($B24=0,1000000,IF(INDEX('計算A'!$D$60:$EQ$104,$B24,43)*ER24=1,IF(AND($E24=2,KG24=0),1000000,IF($I24&gt;0,IF(2=$J24,IF(OR(AND(43=$I24+1,OR($K24&lt;&gt;'計算A'!$A$3,'計算A'!$A$4=0)),AND(43=$I24-1,OR(19&lt;&gt;'計算A'!$A$3,'計算A'!$A$4=0))),0,IF(19=$K24,200000,ABS(19-$K24)*100)),100000+ABS(2-$J24)*1000+190)+'計算A'!AT$5*50+IF(AND($E24=1,KG24=0),25,0),INDEX('計算A'!AT$110:AT$114,$F24+1)+IF(AND($E24=1,KG24=0),1000,0)+IF($H24=1,(IF('計算A'!AS$117=1,INDEX('計算A'!AS$10:AS$54,$B24),0)+IF('計算A'!AT$117=1,INDEX('計算A'!AU$10:AU$54,$B24),0))*500,0)-IF(AND('計算A'!AS$117=1,VQ24&gt;0),300,0)-IF(AND($L24=1,'計算A'!AT$117=1,ES24=0),300,0))),1000000))</f>
        <v/>
      </c>
      <c r="PW24">
        <f>IF($B24=0,1000000,IF(INDEX('計算A'!$D$60:$EQ$104,$B24,44)*ES24=1,IF(AND($E24=2,KH24=0),1000000,IF($I24&gt;0,IF(2=$J24,IF(OR(AND(44=$I24+1,OR($K24&lt;&gt;'計算A'!$A$3,'計算A'!$A$4=0)),AND(44=$I24-1,OR(20&lt;&gt;'計算A'!$A$3,'計算A'!$A$4=0))),0,IF(20=$K24,200000,ABS(20-$K24)*100)),100000+ABS(2-$J24)*1000+200)+'計算A'!AU$5*50+IF(AND($E24=1,KH24=0),25,0),INDEX('計算A'!AU$110:AU$114,$F24+1)+IF(AND($E24=1,KH24=0),1000,0)+IF($H24=1,(IF('計算A'!AT$117=1,INDEX('計算A'!AT$10:AT$54,$B24),0)+IF('計算A'!AU$117=1,INDEX('計算A'!AV$10:AV$54,$B24),0))*500,0)-IF(AND('計算A'!AT$117=1,VR24&gt;0),300,0)-IF(AND($L24=1,'計算A'!AU$117=1,ET24=0),300,0))),1000000))</f>
        <v/>
      </c>
      <c r="PX24">
        <f>IF($B24=0,1000000,IF(INDEX('計算A'!$D$60:$EQ$104,$B24,45)*ET24=1,IF(AND($E24=2,KI24=0),1000000,IF($I24&gt;0,IF(2=$J24,IF(OR(AND(45=$I24+1,OR($K24&lt;&gt;'計算A'!$A$3,'計算A'!$A$4=0)),AND(45=$I24-1,OR(21&lt;&gt;'計算A'!$A$3,'計算A'!$A$4=0))),0,IF(21=$K24,200000,ABS(21-$K24)*100)),100000+ABS(2-$J24)*1000+210)+'計算A'!AV$5*50+IF(AND($E24=1,KI24=0),25,0),INDEX('計算A'!AV$110:AV$114,$F24+1)+IF(AND($E24=1,KI24=0),1000,0)+IF($H24=1,(IF('計算A'!AU$117=1,INDEX('計算A'!AU$10:AU$54,$B24),0)+IF('計算A'!AV$117=1,INDEX('計算A'!AW$10:AW$54,$B24),0))*500,0)-IF(AND('計算A'!AU$117=1,VS24&gt;0),300,0)-IF(AND($L24=1,'計算A'!AV$117=1,EU24=0),300,0))),1000000))</f>
        <v/>
      </c>
      <c r="PY24">
        <f>IF($B24=0,1000000,IF(INDEX('計算A'!$D$60:$EQ$104,$B24,46)*EU24=1,IF(AND($E24=2,KJ24=0),1000000,IF($I24&gt;0,IF(2=$J24,IF(OR(AND(46=$I24+1,OR($K24&lt;&gt;'計算A'!$A$3,'計算A'!$A$4=0)),AND(46=$I24-1,OR(22&lt;&gt;'計算A'!$A$3,'計算A'!$A$4=0))),0,IF(22=$K24,200000,ABS(22-$K24)*100)),100000+ABS(2-$J24)*1000+220)+'計算A'!AW$5*50+IF(AND($E24=1,KJ24=0),25,0),INDEX('計算A'!AW$110:AW$114,$F24+1)+IF(AND($E24=1,KJ24=0),1000,0)+IF($H24=1,(IF('計算A'!AV$117=1,INDEX('計算A'!AV$10:AV$54,$B24),0)+IF('計算A'!AW$117=1,INDEX('計算A'!AX$10:AX$54,$B24),0))*500,0)-IF(AND('計算A'!AV$117=1,VT24&gt;0),300,0)-IF(AND($L24=1,'計算A'!AW$117=1,EV24=0),300,0))),1000000))</f>
        <v/>
      </c>
      <c r="PZ24">
        <f>IF($B24=0,1000000,IF(INDEX('計算A'!$D$60:$EQ$104,$B24,47)*EV24=1,IF(AND($E24=2,KK24=0),1000000,IF($I24&gt;0,IF(2=$J24,IF(OR(AND(47=$I24+1,OR($K24&lt;&gt;'計算A'!$A$3,'計算A'!$A$4=0)),AND(47=$I24-1,OR(23&lt;&gt;'計算A'!$A$3,'計算A'!$A$4=0))),0,IF(23=$K24,200000,ABS(23-$K24)*100)),100000+ABS(2-$J24)*1000+230)+'計算A'!AX$5*50+IF(AND($E24=1,KK24=0),25,0),INDEX('計算A'!AX$110:AX$114,$F24+1)+IF(AND($E24=1,KK24=0),1000,0)+IF($H24=1,(IF('計算A'!AW$117=1,INDEX('計算A'!AW$10:AW$54,$B24),0)+IF('計算A'!AX$117=1,INDEX('計算A'!AY$10:AY$54,$B24),0))*500,0)-IF(AND('計算A'!AW$117=1,VU24&gt;0),300,0)-IF(AND($L24=1,'計算A'!AX$117=1,EW24=0),300,0))),1000000))</f>
        <v/>
      </c>
      <c r="QA24">
        <f>IF($B24=0,1000000,IF(INDEX('計算A'!$D$60:$EQ$104,$B24,48)*EW24=1,IF(AND($E24=2,KL24=0),1000000,IF($I24&gt;0,IF(2=$J24,IF(OR(AND(48=$I24+1,OR($K24&lt;&gt;'計算A'!$A$3,'計算A'!$A$4=0)),AND(48=$I24-1,OR(24&lt;&gt;'計算A'!$A$3,'計算A'!$A$4=0))),0,IF(24=$K24,200000,ABS(24-$K24)*100)),100000+ABS(2-$J24)*1000+240)+'計算A'!AY$5*50+IF(AND($E24=1,KL24=0),25,0),INDEX('計算A'!AY$110:AY$114,$F24+1)+IF(AND($E24=1,KL24=0),1000,0)+IF($H24=1,(IF('計算A'!AX$117=1,INDEX('計算A'!AX$10:AX$54,$B24),0))*500,0)-IF(AND('計算A'!AX$117=1,VV24&gt;0),300,0))),1000000))</f>
        <v/>
      </c>
      <c r="QB24">
        <f>IF($B24=0,1000000,IF(INDEX('計算A'!$D$60:$EQ$104,$B24,49)*EX24=1,IF(AND($E24=2,KM24=0),1000000,IF($I24&gt;0,IF(3=$J24,IF(OR(AND(49=$I24+1,OR($K24&lt;&gt;'計算A'!$A$3,'計算A'!$A$4=0)),AND(49=$I24-1,OR(1&lt;&gt;'計算A'!$A$3,'計算A'!$A$4=0))),0,IF(1=$K24,200000,ABS(1-$K24)*100)),100000+ABS(3-$J24)*1000+10)+'計算A'!AZ$5*50+IF(AND($E24=1,KM24=0),25,0),INDEX('計算A'!AZ$110:AZ$114,$F24+1)+IF(AND($E24=1,KM24=0),1000,0)+IF($H24=1,(IF('計算A'!AZ$117=1,INDEX('計算A'!BA$10:BA$54,$B24),0))*500,0)-IF(AND($L24=1,'計算A'!AZ$117=1,EY24=0),300,0))),1000000))</f>
        <v/>
      </c>
      <c r="QC24">
        <f>IF($B24=0,1000000,IF(INDEX('計算A'!$D$60:$EQ$104,$B24,50)*EY24=1,IF(AND($E24=2,KN24=0),1000000,IF($I24&gt;0,IF(3=$J24,IF(OR(AND(50=$I24+1,OR($K24&lt;&gt;'計算A'!$A$3,'計算A'!$A$4=0)),AND(50=$I24-1,OR(2&lt;&gt;'計算A'!$A$3,'計算A'!$A$4=0))),0,IF(2=$K24,200000,ABS(2-$K24)*100)),100000+ABS(3-$J24)*1000+20)+'計算A'!BA$5*50+IF(AND($E24=1,KN24=0),25,0),INDEX('計算A'!BA$110:BA$114,$F24+1)+IF(AND($E24=1,KN24=0),1000,0)+IF($H24=1,(IF('計算A'!AZ$117=1,INDEX('計算A'!AZ$10:AZ$54,$B24),0)+IF('計算A'!BA$117=1,INDEX('計算A'!BB$10:BB$54,$B24),0))*500,0)-IF(AND('計算A'!AZ$117=1,VX24&gt;0),300,0)-IF(AND($L24=1,'計算A'!BA$117=1,EZ24=0),300,0))),1000000))</f>
        <v/>
      </c>
      <c r="QD24">
        <f>IF($B24=0,1000000,IF(INDEX('計算A'!$D$60:$EQ$104,$B24,51)*EZ24=1,IF(AND($E24=2,KO24=0),1000000,IF($I24&gt;0,IF(3=$J24,IF(OR(AND(51=$I24+1,OR($K24&lt;&gt;'計算A'!$A$3,'計算A'!$A$4=0)),AND(51=$I24-1,OR(3&lt;&gt;'計算A'!$A$3,'計算A'!$A$4=0))),0,IF(3=$K24,200000,ABS(3-$K24)*100)),100000+ABS(3-$J24)*1000+30)+'計算A'!BB$5*50+IF(AND($E24=1,KO24=0),25,0),INDEX('計算A'!BB$110:BB$114,$F24+1)+IF(AND($E24=1,KO24=0),1000,0)+IF($H24=1,(IF('計算A'!BA$117=1,INDEX('計算A'!BA$10:BA$54,$B24),0)+IF('計算A'!BB$117=1,INDEX('計算A'!BC$10:BC$54,$B24),0))*500,0)-IF(AND('計算A'!BA$117=1,VY24&gt;0),300,0)-IF(AND($L24=1,'計算A'!BB$117=1,FA24=0),300,0))),1000000))</f>
        <v/>
      </c>
      <c r="QE24">
        <f>IF($B24=0,1000000,IF(INDEX('計算A'!$D$60:$EQ$104,$B24,52)*FA24=1,IF(AND($E24=2,KP24=0),1000000,IF($I24&gt;0,IF(3=$J24,IF(OR(AND(52=$I24+1,OR($K24&lt;&gt;'計算A'!$A$3,'計算A'!$A$4=0)),AND(52=$I24-1,OR(4&lt;&gt;'計算A'!$A$3,'計算A'!$A$4=0))),0,IF(4=$K24,200000,ABS(4-$K24)*100)),100000+ABS(3-$J24)*1000+40)+'計算A'!BC$5*50+IF(AND($E24=1,KP24=0),25,0),INDEX('計算A'!BC$110:BC$114,$F24+1)+IF(AND($E24=1,KP24=0),1000,0)+IF($H24=1,(IF('計算A'!BB$117=1,INDEX('計算A'!BB$10:BB$54,$B24),0)+IF('計算A'!BC$117=1,INDEX('計算A'!BD$10:BD$54,$B24),0))*500,0)-IF(AND('計算A'!BB$117=1,VZ24&gt;0),300,0)-IF(AND($L24=1,'計算A'!BC$117=1,FB24=0),300,0))),1000000))</f>
        <v/>
      </c>
      <c r="QF24">
        <f>IF($B24=0,1000000,IF(INDEX('計算A'!$D$60:$EQ$104,$B24,53)*FB24=1,IF(AND($E24=2,KQ24=0),1000000,IF($I24&gt;0,IF(3=$J24,IF(OR(AND(53=$I24+1,OR($K24&lt;&gt;'計算A'!$A$3,'計算A'!$A$4=0)),AND(53=$I24-1,OR(5&lt;&gt;'計算A'!$A$3,'計算A'!$A$4=0))),0,IF(5=$K24,200000,ABS(5-$K24)*100)),100000+ABS(3-$J24)*1000+50)+'計算A'!BD$5*50+IF(AND($E24=1,KQ24=0),25,0),INDEX('計算A'!BD$110:BD$114,$F24+1)+IF(AND($E24=1,KQ24=0),1000,0)+IF($H24=1,(IF('計算A'!BC$117=1,INDEX('計算A'!BC$10:BC$54,$B24),0)+IF('計算A'!BD$117=1,INDEX('計算A'!BE$10:BE$54,$B24),0))*500,0)-IF(AND('計算A'!BC$117=1,WA24&gt;0),300,0)-IF(AND($L24=1,'計算A'!BD$117=1,FC24=0),300,0))),1000000))</f>
        <v/>
      </c>
      <c r="QG24">
        <f>IF($B24=0,1000000,IF(INDEX('計算A'!$D$60:$EQ$104,$B24,54)*FC24=1,IF(AND($E24=2,KR24=0),1000000,IF($I24&gt;0,IF(3=$J24,IF(OR(AND(54=$I24+1,OR($K24&lt;&gt;'計算A'!$A$3,'計算A'!$A$4=0)),AND(54=$I24-1,OR(6&lt;&gt;'計算A'!$A$3,'計算A'!$A$4=0))),0,IF(6=$K24,200000,ABS(6-$K24)*100)),100000+ABS(3-$J24)*1000+60)+'計算A'!BE$5*50+IF(AND($E24=1,KR24=0),25,0),INDEX('計算A'!BE$110:BE$114,$F24+1)+IF(AND($E24=1,KR24=0),1000,0)+IF($H24=1,(IF('計算A'!BD$117=1,INDEX('計算A'!BD$10:BD$54,$B24),0)+IF('計算A'!BE$117=1,INDEX('計算A'!BF$10:BF$54,$B24),0))*500,0)-IF(AND('計算A'!BD$117=1,WB24&gt;0),300,0)-IF(AND($L24=1,'計算A'!BE$117=1,FD24=0),300,0))),1000000))</f>
        <v/>
      </c>
      <c r="QH24">
        <f>IF($B24=0,1000000,IF(INDEX('計算A'!$D$60:$EQ$104,$B24,55)*FD24=1,IF(AND($E24=2,KS24=0),1000000,IF($I24&gt;0,IF(3=$J24,IF(OR(AND(55=$I24+1,OR($K24&lt;&gt;'計算A'!$A$3,'計算A'!$A$4=0)),AND(55=$I24-1,OR(7&lt;&gt;'計算A'!$A$3,'計算A'!$A$4=0))),0,IF(7=$K24,200000,ABS(7-$K24)*100)),100000+ABS(3-$J24)*1000+70)+'計算A'!BF$5*50+IF(AND($E24=1,KS24=0),25,0),INDEX('計算A'!BF$110:BF$114,$F24+1)+IF(AND($E24=1,KS24=0),1000,0)+IF($H24=1,(IF('計算A'!BE$117=1,INDEX('計算A'!BE$10:BE$54,$B24),0)+IF('計算A'!BF$117=1,INDEX('計算A'!BG$10:BG$54,$B24),0))*500,0)-IF(AND('計算A'!BE$117=1,WC24&gt;0),300,0)-IF(AND($L24=1,'計算A'!BF$117=1,FE24=0),300,0))),1000000))</f>
        <v/>
      </c>
      <c r="QI24">
        <f>IF($B24=0,1000000,IF(INDEX('計算A'!$D$60:$EQ$104,$B24,56)*FE24=1,IF(AND($E24=2,KT24=0),1000000,IF($I24&gt;0,IF(3=$J24,IF(OR(AND(56=$I24+1,OR($K24&lt;&gt;'計算A'!$A$3,'計算A'!$A$4=0)),AND(56=$I24-1,OR(8&lt;&gt;'計算A'!$A$3,'計算A'!$A$4=0))),0,IF(8=$K24,200000,ABS(8-$K24)*100)),100000+ABS(3-$J24)*1000+80)+'計算A'!BG$5*50+IF(AND($E24=1,KT24=0),25,0),INDEX('計算A'!BG$110:BG$114,$F24+1)+IF(AND($E24=1,KT24=0),1000,0)+IF($H24=1,(IF('計算A'!BF$117=1,INDEX('計算A'!BF$10:BF$54,$B24),0)+IF('計算A'!BG$117=1,INDEX('計算A'!BH$10:BH$54,$B24),0))*500,0)-IF(AND('計算A'!BF$117=1,WD24&gt;0),300,0)-IF(AND($L24=1,'計算A'!BG$117=1,FF24=0),300,0))),1000000))</f>
        <v/>
      </c>
      <c r="QJ24">
        <f>IF($B24=0,1000000,IF(INDEX('計算A'!$D$60:$EQ$104,$B24,57)*FF24=1,IF(AND($E24=2,KU24=0),1000000,IF($I24&gt;0,IF(3=$J24,IF(OR(AND(57=$I24+1,OR($K24&lt;&gt;'計算A'!$A$3,'計算A'!$A$4=0)),AND(57=$I24-1,OR(9&lt;&gt;'計算A'!$A$3,'計算A'!$A$4=0))),0,IF(9=$K24,200000,ABS(9-$K24)*100)),100000+ABS(3-$J24)*1000+90)+'計算A'!BH$5*50+IF(AND($E24=1,KU24=0),25,0),INDEX('計算A'!BH$110:BH$114,$F24+1)+IF(AND($E24=1,KU24=0),1000,0)+IF($H24=1,(IF('計算A'!BG$117=1,INDEX('計算A'!BG$10:BG$54,$B24),0)+IF('計算A'!BH$117=1,INDEX('計算A'!BI$10:BI$54,$B24),0))*500,0)-IF(AND('計算A'!BG$117=1,WE24&gt;0),300,0)-IF(AND($L24=1,'計算A'!BH$117=1,FG24=0),300,0))),1000000))</f>
        <v/>
      </c>
      <c r="QK24">
        <f>IF($B24=0,1000000,IF(INDEX('計算A'!$D$60:$EQ$104,$B24,58)*FG24=1,IF(AND($E24=2,KV24=0),1000000,IF($I24&gt;0,IF(3=$J24,IF(OR(AND(58=$I24+1,OR($K24&lt;&gt;'計算A'!$A$3,'計算A'!$A$4=0)),AND(58=$I24-1,OR(10&lt;&gt;'計算A'!$A$3,'計算A'!$A$4=0))),0,IF(10=$K24,200000,ABS(10-$K24)*100)),100000+ABS(3-$J24)*1000+100)+'計算A'!BI$5*50+IF(AND($E24=1,KV24=0),25,0),INDEX('計算A'!BI$110:BI$114,$F24+1)+IF(AND($E24=1,KV24=0),1000,0)+IF($H24=1,(IF('計算A'!BH$117=1,INDEX('計算A'!BH$10:BH$54,$B24),0)+IF('計算A'!BI$117=1,INDEX('計算A'!BJ$10:BJ$54,$B24),0))*500,0)-IF(AND('計算A'!BH$117=1,WF24&gt;0),300,0)-IF(AND($L24=1,'計算A'!BI$117=1,FH24=0),300,0))),1000000))</f>
        <v/>
      </c>
      <c r="QL24">
        <f>IF($B24=0,1000000,IF(INDEX('計算A'!$D$60:$EQ$104,$B24,59)*FH24=1,IF(AND($E24=2,KW24=0),1000000,IF($I24&gt;0,IF(3=$J24,IF(OR(AND(59=$I24+1,OR($K24&lt;&gt;'計算A'!$A$3,'計算A'!$A$4=0)),AND(59=$I24-1,OR(11&lt;&gt;'計算A'!$A$3,'計算A'!$A$4=0))),0,IF(11=$K24,200000,ABS(11-$K24)*100)),100000+ABS(3-$J24)*1000+110)+'計算A'!BJ$5*50+IF(AND($E24=1,KW24=0),25,0),INDEX('計算A'!BJ$110:BJ$114,$F24+1)+IF(AND($E24=1,KW24=0),1000,0)+IF($H24=1,(IF('計算A'!BI$117=1,INDEX('計算A'!BI$10:BI$54,$B24),0)+IF('計算A'!BJ$117=1,INDEX('計算A'!BK$10:BK$54,$B24),0))*500,0)-IF(AND('計算A'!BI$117=1,WG24&gt;0),300,0)-IF(AND($L24=1,'計算A'!BJ$117=1,FI24=0),300,0))),1000000))</f>
        <v/>
      </c>
      <c r="QM24">
        <f>IF($B24=0,1000000,IF(INDEX('計算A'!$D$60:$EQ$104,$B24,60)*FI24=1,IF(AND($E24=2,KX24=0),1000000,IF($I24&gt;0,IF(3=$J24,IF(OR(AND(60=$I24+1,OR($K24&lt;&gt;'計算A'!$A$3,'計算A'!$A$4=0)),AND(60=$I24-1,OR(12&lt;&gt;'計算A'!$A$3,'計算A'!$A$4=0))),0,IF(12=$K24,200000,ABS(12-$K24)*100)),100000+ABS(3-$J24)*1000+120)+'計算A'!BK$5*50+IF(AND($E24=1,KX24=0),25,0),INDEX('計算A'!BK$110:BK$114,$F24+1)+IF(AND($E24=1,KX24=0),1000,0)+IF($H24=1,(IF('計算A'!BJ$117=1,INDEX('計算A'!BJ$10:BJ$54,$B24),0)+IF('計算A'!BK$117=1,INDEX('計算A'!BL$10:BL$54,$B24),0))*500,0)-IF(AND('計算A'!BJ$117=1,WH24&gt;0),300,0)-IF(AND($L24=1,'計算A'!BK$117=1,FJ24=0),300,0))),1000000))</f>
        <v/>
      </c>
      <c r="QN24">
        <f>IF($B24=0,1000000,IF(INDEX('計算A'!$D$60:$EQ$104,$B24,61)*FJ24=1,IF(AND($E24=2,KY24=0),1000000,IF($I24&gt;0,IF(3=$J24,IF(OR(AND(61=$I24+1,OR($K24&lt;&gt;'計算A'!$A$3,'計算A'!$A$4=0)),AND(61=$I24-1,OR(13&lt;&gt;'計算A'!$A$3,'計算A'!$A$4=0))),0,IF(13=$K24,200000,ABS(13-$K24)*100)),100000+ABS(3-$J24)*1000+130)+'計算A'!BL$5*50+IF(AND($E24=1,KY24=0),25,0),INDEX('計算A'!BL$110:BL$114,$F24+1)+IF(AND($E24=1,KY24=0),1000,0)+IF($H24=1,(IF('計算A'!BK$117=1,INDEX('計算A'!BK$10:BK$54,$B24),0)+IF('計算A'!BL$117=1,INDEX('計算A'!BM$10:BM$54,$B24),0))*500,0)-IF(AND('計算A'!BK$117=1,WI24&gt;0),300,0)-IF(AND($L24=1,'計算A'!BL$117=1,FK24=0),300,0))),1000000))</f>
        <v/>
      </c>
      <c r="QO24">
        <f>IF($B24=0,1000000,IF(INDEX('計算A'!$D$60:$EQ$104,$B24,62)*FK24=1,IF(AND($E24=2,KZ24=0),1000000,IF($I24&gt;0,IF(3=$J24,IF(OR(AND(62=$I24+1,OR($K24&lt;&gt;'計算A'!$A$3,'計算A'!$A$4=0)),AND(62=$I24-1,OR(14&lt;&gt;'計算A'!$A$3,'計算A'!$A$4=0))),0,IF(14=$K24,200000,ABS(14-$K24)*100)),100000+ABS(3-$J24)*1000+140)+'計算A'!BM$5*50+IF(AND($E24=1,KZ24=0),25,0),INDEX('計算A'!BM$110:BM$114,$F24+1)+IF(AND($E24=1,KZ24=0),1000,0)+IF($H24=1,(IF('計算A'!BL$117=1,INDEX('計算A'!BL$10:BL$54,$B24),0)+IF('計算A'!BM$117=1,INDEX('計算A'!BN$10:BN$54,$B24),0))*500,0)-IF(AND('計算A'!BL$117=1,WJ24&gt;0),300,0)-IF(AND($L24=1,'計算A'!BM$117=1,FL24=0),300,0))),1000000))</f>
        <v/>
      </c>
      <c r="QP24">
        <f>IF($B24=0,1000000,IF(INDEX('計算A'!$D$60:$EQ$104,$B24,63)*FL24=1,IF(AND($E24=2,LA24=0),1000000,IF($I24&gt;0,IF(3=$J24,IF(OR(AND(63=$I24+1,OR($K24&lt;&gt;'計算A'!$A$3,'計算A'!$A$4=0)),AND(63=$I24-1,OR(15&lt;&gt;'計算A'!$A$3,'計算A'!$A$4=0))),0,IF(15=$K24,200000,ABS(15-$K24)*100)),100000+ABS(3-$J24)*1000+150)+'計算A'!BN$5*50+IF(AND($E24=1,LA24=0),25,0),INDEX('計算A'!BN$110:BN$114,$F24+1)+IF(AND($E24=1,LA24=0),1000,0)+IF($H24=1,(IF('計算A'!BM$117=1,INDEX('計算A'!BM$10:BM$54,$B24),0)+IF('計算A'!BN$117=1,INDEX('計算A'!BO$10:BO$54,$B24),0))*500,0)-IF(AND('計算A'!BM$117=1,WK24&gt;0),300,0)-IF(AND($L24=1,'計算A'!BN$117=1,FM24=0),300,0))),1000000))</f>
        <v/>
      </c>
      <c r="QQ24">
        <f>IF($B24=0,1000000,IF(INDEX('計算A'!$D$60:$EQ$104,$B24,64)*FM24=1,IF(AND($E24=2,LB24=0),1000000,IF($I24&gt;0,IF(3=$J24,IF(OR(AND(64=$I24+1,OR($K24&lt;&gt;'計算A'!$A$3,'計算A'!$A$4=0)),AND(64=$I24-1,OR(16&lt;&gt;'計算A'!$A$3,'計算A'!$A$4=0))),0,IF(16=$K24,200000,ABS(16-$K24)*100)),100000+ABS(3-$J24)*1000+160)+'計算A'!BO$5*50+IF(AND($E24=1,LB24=0),25,0),INDEX('計算A'!BO$110:BO$114,$F24+1)+IF(AND($E24=1,LB24=0),1000,0)+IF($H24=1,(IF('計算A'!BN$117=1,INDEX('計算A'!BN$10:BN$54,$B24),0)+IF('計算A'!BO$117=1,INDEX('計算A'!BP$10:BP$54,$B24),0))*500,0)-IF(AND('計算A'!BN$117=1,WL24&gt;0),300,0)-IF(AND($L24=1,'計算A'!BO$117=1,FN24=0),300,0))),1000000))</f>
        <v/>
      </c>
      <c r="QR24">
        <f>IF($B24=0,1000000,IF(INDEX('計算A'!$D$60:$EQ$104,$B24,65)*FN24=1,IF(AND($E24=2,LC24=0),1000000,IF($I24&gt;0,IF(3=$J24,IF(OR(AND(65=$I24+1,OR($K24&lt;&gt;'計算A'!$A$3,'計算A'!$A$4=0)),AND(65=$I24-1,OR(17&lt;&gt;'計算A'!$A$3,'計算A'!$A$4=0))),0,IF(17=$K24,200000,ABS(17-$K24)*100)),100000+ABS(3-$J24)*1000+170)+'計算A'!BP$5*50+IF(AND($E24=1,LC24=0),25,0),INDEX('計算A'!BP$110:BP$114,$F24+1)+IF(AND($E24=1,LC24=0),1000,0)+IF($H24=1,(IF('計算A'!BO$117=1,INDEX('計算A'!BO$10:BO$54,$B24),0)+IF('計算A'!BP$117=1,INDEX('計算A'!BQ$10:BQ$54,$B24),0))*500,0)-IF(AND('計算A'!BO$117=1,WM24&gt;0),300,0)-IF(AND($L24=1,'計算A'!BP$117=1,FO24=0),300,0))),1000000))</f>
        <v/>
      </c>
      <c r="QS24">
        <f>IF($B24=0,1000000,IF(INDEX('計算A'!$D$60:$EQ$104,$B24,66)*FO24=1,IF(AND($E24=2,LD24=0),1000000,IF($I24&gt;0,IF(3=$J24,IF(OR(AND(66=$I24+1,OR($K24&lt;&gt;'計算A'!$A$3,'計算A'!$A$4=0)),AND(66=$I24-1,OR(18&lt;&gt;'計算A'!$A$3,'計算A'!$A$4=0))),0,IF(18=$K24,200000,ABS(18-$K24)*100)),100000+ABS(3-$J24)*1000+180)+'計算A'!BQ$5*50+IF(AND($E24=1,LD24=0),25,0),INDEX('計算A'!BQ$110:BQ$114,$F24+1)+IF(AND($E24=1,LD24=0),1000,0)+IF($H24=1,(IF('計算A'!BP$117=1,INDEX('計算A'!BP$10:BP$54,$B24),0)+IF('計算A'!BQ$117=1,INDEX('計算A'!BR$10:BR$54,$B24),0))*500,0)-IF(AND('計算A'!BP$117=1,WN24&gt;0),300,0)-IF(AND($L24=1,'計算A'!BQ$117=1,FP24=0),300,0))),1000000))</f>
        <v/>
      </c>
      <c r="QT24">
        <f>IF($B24=0,1000000,IF(INDEX('計算A'!$D$60:$EQ$104,$B24,67)*FP24=1,IF(AND($E24=2,LE24=0),1000000,IF($I24&gt;0,IF(3=$J24,IF(OR(AND(67=$I24+1,OR($K24&lt;&gt;'計算A'!$A$3,'計算A'!$A$4=0)),AND(67=$I24-1,OR(19&lt;&gt;'計算A'!$A$3,'計算A'!$A$4=0))),0,IF(19=$K24,200000,ABS(19-$K24)*100)),100000+ABS(3-$J24)*1000+190)+'計算A'!BR$5*50+IF(AND($E24=1,LE24=0),25,0),INDEX('計算A'!BR$110:BR$114,$F24+1)+IF(AND($E24=1,LE24=0),1000,0)+IF($H24=1,(IF('計算A'!BQ$117=1,INDEX('計算A'!BQ$10:BQ$54,$B24),0)+IF('計算A'!BR$117=1,INDEX('計算A'!BS$10:BS$54,$B24),0))*500,0)-IF(AND('計算A'!BQ$117=1,WO24&gt;0),300,0)-IF(AND($L24=1,'計算A'!BR$117=1,FQ24=0),300,0))),1000000))</f>
        <v/>
      </c>
      <c r="QU24">
        <f>IF($B24=0,1000000,IF(INDEX('計算A'!$D$60:$EQ$104,$B24,68)*FQ24=1,IF(AND($E24=2,LF24=0),1000000,IF($I24&gt;0,IF(3=$J24,IF(OR(AND(68=$I24+1,OR($K24&lt;&gt;'計算A'!$A$3,'計算A'!$A$4=0)),AND(68=$I24-1,OR(20&lt;&gt;'計算A'!$A$3,'計算A'!$A$4=0))),0,IF(20=$K24,200000,ABS(20-$K24)*100)),100000+ABS(3-$J24)*1000+200)+'計算A'!BS$5*50+IF(AND($E24=1,LF24=0),25,0),INDEX('計算A'!BS$110:BS$114,$F24+1)+IF(AND($E24=1,LF24=0),1000,0)+IF($H24=1,(IF('計算A'!BR$117=1,INDEX('計算A'!BR$10:BR$54,$B24),0)+IF('計算A'!BS$117=1,INDEX('計算A'!BT$10:BT$54,$B24),0))*500,0)-IF(AND('計算A'!BR$117=1,WP24&gt;0),300,0)-IF(AND($L24=1,'計算A'!BS$117=1,FR24=0),300,0))),1000000))</f>
        <v/>
      </c>
      <c r="QV24">
        <f>IF($B24=0,1000000,IF(INDEX('計算A'!$D$60:$EQ$104,$B24,69)*FR24=1,IF(AND($E24=2,LG24=0),1000000,IF($I24&gt;0,IF(3=$J24,IF(OR(AND(69=$I24+1,OR($K24&lt;&gt;'計算A'!$A$3,'計算A'!$A$4=0)),AND(69=$I24-1,OR(21&lt;&gt;'計算A'!$A$3,'計算A'!$A$4=0))),0,IF(21=$K24,200000,ABS(21-$K24)*100)),100000+ABS(3-$J24)*1000+210)+'計算A'!BT$5*50+IF(AND($E24=1,LG24=0),25,0),INDEX('計算A'!BT$110:BT$114,$F24+1)+IF(AND($E24=1,LG24=0),1000,0)+IF($H24=1,(IF('計算A'!BS$117=1,INDEX('計算A'!BS$10:BS$54,$B24),0)+IF('計算A'!BT$117=1,INDEX('計算A'!BU$10:BU$54,$B24),0))*500,0)-IF(AND('計算A'!BS$117=1,WQ24&gt;0),300,0)-IF(AND($L24=1,'計算A'!BT$117=1,FS24=0),300,0))),1000000))</f>
        <v/>
      </c>
      <c r="QW24">
        <f>IF($B24=0,1000000,IF(INDEX('計算A'!$D$60:$EQ$104,$B24,70)*FS24=1,IF(AND($E24=2,LH24=0),1000000,IF($I24&gt;0,IF(3=$J24,IF(OR(AND(70=$I24+1,OR($K24&lt;&gt;'計算A'!$A$3,'計算A'!$A$4=0)),AND(70=$I24-1,OR(22&lt;&gt;'計算A'!$A$3,'計算A'!$A$4=0))),0,IF(22=$K24,200000,ABS(22-$K24)*100)),100000+ABS(3-$J24)*1000+220)+'計算A'!BU$5*50+IF(AND($E24=1,LH24=0),25,0),INDEX('計算A'!BU$110:BU$114,$F24+1)+IF(AND($E24=1,LH24=0),1000,0)+IF($H24=1,(IF('計算A'!BT$117=1,INDEX('計算A'!BT$10:BT$54,$B24),0)+IF('計算A'!BU$117=1,INDEX('計算A'!BV$10:BV$54,$B24),0))*500,0)-IF(AND('計算A'!BT$117=1,WR24&gt;0),300,0)-IF(AND($L24=1,'計算A'!BU$117=1,FT24=0),300,0))),1000000))</f>
        <v/>
      </c>
      <c r="QX24">
        <f>IF($B24=0,1000000,IF(INDEX('計算A'!$D$60:$EQ$104,$B24,71)*FT24=1,IF(AND($E24=2,LI24=0),1000000,IF($I24&gt;0,IF(3=$J24,IF(OR(AND(71=$I24+1,OR($K24&lt;&gt;'計算A'!$A$3,'計算A'!$A$4=0)),AND(71=$I24-1,OR(23&lt;&gt;'計算A'!$A$3,'計算A'!$A$4=0))),0,IF(23=$K24,200000,ABS(23-$K24)*100)),100000+ABS(3-$J24)*1000+230)+'計算A'!BV$5*50+IF(AND($E24=1,LI24=0),25,0),INDEX('計算A'!BV$110:BV$114,$F24+1)+IF(AND($E24=1,LI24=0),1000,0)+IF($H24=1,(IF('計算A'!BU$117=1,INDEX('計算A'!BU$10:BU$54,$B24),0)+IF('計算A'!BV$117=1,INDEX('計算A'!BW$10:BW$54,$B24),0))*500,0)-IF(AND('計算A'!BU$117=1,WS24&gt;0),300,0)-IF(AND($L24=1,'計算A'!BV$117=1,FU24=0),300,0))),1000000))</f>
        <v/>
      </c>
      <c r="QY24">
        <f>IF($B24=0,1000000,IF(INDEX('計算A'!$D$60:$EQ$104,$B24,72)*FU24=1,IF(AND($E24=2,LJ24=0),1000000,IF($I24&gt;0,IF(3=$J24,IF(OR(AND(72=$I24+1,OR($K24&lt;&gt;'計算A'!$A$3,'計算A'!$A$4=0)),AND(72=$I24-1,OR(24&lt;&gt;'計算A'!$A$3,'計算A'!$A$4=0))),0,IF(24=$K24,200000,ABS(24-$K24)*100)),100000+ABS(3-$J24)*1000+240)+'計算A'!BW$5*50+IF(AND($E24=1,LJ24=0),25,0),INDEX('計算A'!BW$110:BW$114,$F24+1)+IF(AND($E24=1,LJ24=0),1000,0)+IF($H24=1,(IF('計算A'!BV$117=1,INDEX('計算A'!BV$10:BV$54,$B24),0))*500,0)-IF(AND('計算A'!BV$117=1,WT24&gt;0),300,0))),1000000))</f>
        <v/>
      </c>
      <c r="QZ24">
        <f>IF($B24=0,1000000,IF(INDEX('計算A'!$D$60:$EQ$104,$B24,73)*FV24=1,IF(AND($E24=2,LK24=0),1000000,IF($I24&gt;0,IF(4=$J24,IF(OR(AND(73=$I24+1,OR($K24&lt;&gt;'計算A'!$A$3,'計算A'!$A$4=0)),AND(73=$I24-1,OR(1&lt;&gt;'計算A'!$A$3,'計算A'!$A$4=0))),0,IF(1=$K24,200000,ABS(1-$K24)*100)),100000+ABS(4-$J24)*1000+10)+'計算A'!BX$5*50+IF(AND($E24=1,LK24=0),25,0),INDEX('計算A'!BX$110:BX$114,$F24+1)+IF(AND($E24=1,LK24=0),1000,0)+IF($H24=1,(IF('計算A'!BX$117=1,INDEX('計算A'!BY$10:BY$54,$B24),0))*500,0)-IF(AND($L24=1,'計算A'!BX$117=1,FW24=0),300,0))),1000000))</f>
        <v/>
      </c>
      <c r="RA24">
        <f>IF($B24=0,1000000,IF(INDEX('計算A'!$D$60:$EQ$104,$B24,74)*FW24=1,IF(AND($E24=2,LL24=0),1000000,IF($I24&gt;0,IF(4=$J24,IF(OR(AND(74=$I24+1,OR($K24&lt;&gt;'計算A'!$A$3,'計算A'!$A$4=0)),AND(74=$I24-1,OR(2&lt;&gt;'計算A'!$A$3,'計算A'!$A$4=0))),0,IF(2=$K24,200000,ABS(2-$K24)*100)),100000+ABS(4-$J24)*1000+20)+'計算A'!BY$5*50+IF(AND($E24=1,LL24=0),25,0),INDEX('計算A'!BY$110:BY$114,$F24+1)+IF(AND($E24=1,LL24=0),1000,0)+IF($H24=1,(IF('計算A'!BX$117=1,INDEX('計算A'!BX$10:BX$54,$B24),0)+IF('計算A'!BY$117=1,INDEX('計算A'!BZ$10:BZ$54,$B24),0))*500,0)-IF(AND('計算A'!BX$117=1,WV24&gt;0),300,0)-IF(AND($L24=1,'計算A'!BY$117=1,FX24=0),300,0))),1000000))</f>
        <v/>
      </c>
      <c r="RB24">
        <f>IF($B24=0,1000000,IF(INDEX('計算A'!$D$60:$EQ$104,$B24,75)*FX24=1,IF(AND($E24=2,LM24=0),1000000,IF($I24&gt;0,IF(4=$J24,IF(OR(AND(75=$I24+1,OR($K24&lt;&gt;'計算A'!$A$3,'計算A'!$A$4=0)),AND(75=$I24-1,OR(3&lt;&gt;'計算A'!$A$3,'計算A'!$A$4=0))),0,IF(3=$K24,200000,ABS(3-$K24)*100)),100000+ABS(4-$J24)*1000+30)+'計算A'!BZ$5*50+IF(AND($E24=1,LM24=0),25,0),INDEX('計算A'!BZ$110:BZ$114,$F24+1)+IF(AND($E24=1,LM24=0),1000,0)+IF($H24=1,(IF('計算A'!BY$117=1,INDEX('計算A'!BY$10:BY$54,$B24),0)+IF('計算A'!BZ$117=1,INDEX('計算A'!CA$10:CA$54,$B24),0))*500,0)-IF(AND('計算A'!BY$117=1,WW24&gt;0),300,0)-IF(AND($L24=1,'計算A'!BZ$117=1,FY24=0),300,0))),1000000))</f>
        <v/>
      </c>
      <c r="RC24">
        <f>IF($B24=0,1000000,IF(INDEX('計算A'!$D$60:$EQ$104,$B24,76)*FY24=1,IF(AND($E24=2,LN24=0),1000000,IF($I24&gt;0,IF(4=$J24,IF(OR(AND(76=$I24+1,OR($K24&lt;&gt;'計算A'!$A$3,'計算A'!$A$4=0)),AND(76=$I24-1,OR(4&lt;&gt;'計算A'!$A$3,'計算A'!$A$4=0))),0,IF(4=$K24,200000,ABS(4-$K24)*100)),100000+ABS(4-$J24)*1000+40)+'計算A'!CA$5*50+IF(AND($E24=1,LN24=0),25,0),INDEX('計算A'!CA$110:CA$114,$F24+1)+IF(AND($E24=1,LN24=0),1000,0)+IF($H24=1,(IF('計算A'!BZ$117=1,INDEX('計算A'!BZ$10:BZ$54,$B24),0)+IF('計算A'!CA$117=1,INDEX('計算A'!CB$10:CB$54,$B24),0))*500,0)-IF(AND('計算A'!BZ$117=1,WX24&gt;0),300,0)-IF(AND($L24=1,'計算A'!CA$117=1,FZ24=0),300,0))),1000000))</f>
        <v/>
      </c>
      <c r="RD24">
        <f>IF($B24=0,1000000,IF(INDEX('計算A'!$D$60:$EQ$104,$B24,77)*FZ24=1,IF(AND($E24=2,LO24=0),1000000,IF($I24&gt;0,IF(4=$J24,IF(OR(AND(77=$I24+1,OR($K24&lt;&gt;'計算A'!$A$3,'計算A'!$A$4=0)),AND(77=$I24-1,OR(5&lt;&gt;'計算A'!$A$3,'計算A'!$A$4=0))),0,IF(5=$K24,200000,ABS(5-$K24)*100)),100000+ABS(4-$J24)*1000+50)+'計算A'!CB$5*50+IF(AND($E24=1,LO24=0),25,0),INDEX('計算A'!CB$110:CB$114,$F24+1)+IF(AND($E24=1,LO24=0),1000,0)+IF($H24=1,(IF('計算A'!CA$117=1,INDEX('計算A'!CA$10:CA$54,$B24),0)+IF('計算A'!CB$117=1,INDEX('計算A'!CC$10:CC$54,$B24),0))*500,0)-IF(AND('計算A'!CA$117=1,WY24&gt;0),300,0)-IF(AND($L24=1,'計算A'!CB$117=1,GA24=0),300,0))),1000000))</f>
        <v/>
      </c>
      <c r="RE24">
        <f>IF($B24=0,1000000,IF(INDEX('計算A'!$D$60:$EQ$104,$B24,78)*GA24=1,IF(AND($E24=2,LP24=0),1000000,IF($I24&gt;0,IF(4=$J24,IF(OR(AND(78=$I24+1,OR($K24&lt;&gt;'計算A'!$A$3,'計算A'!$A$4=0)),AND(78=$I24-1,OR(6&lt;&gt;'計算A'!$A$3,'計算A'!$A$4=0))),0,IF(6=$K24,200000,ABS(6-$K24)*100)),100000+ABS(4-$J24)*1000+60)+'計算A'!CC$5*50+IF(AND($E24=1,LP24=0),25,0),INDEX('計算A'!CC$110:CC$114,$F24+1)+IF(AND($E24=1,LP24=0),1000,0)+IF($H24=1,(IF('計算A'!CB$117=1,INDEX('計算A'!CB$10:CB$54,$B24),0)+IF('計算A'!CC$117=1,INDEX('計算A'!CD$10:CD$54,$B24),0))*500,0)-IF(AND('計算A'!CB$117=1,WZ24&gt;0),300,0)-IF(AND($L24=1,'計算A'!CC$117=1,GB24=0),300,0))),1000000))</f>
        <v/>
      </c>
      <c r="RF24">
        <f>IF($B24=0,1000000,IF(INDEX('計算A'!$D$60:$EQ$104,$B24,79)*GB24=1,IF(AND($E24=2,LQ24=0),1000000,IF($I24&gt;0,IF(4=$J24,IF(OR(AND(79=$I24+1,OR($K24&lt;&gt;'計算A'!$A$3,'計算A'!$A$4=0)),AND(79=$I24-1,OR(7&lt;&gt;'計算A'!$A$3,'計算A'!$A$4=0))),0,IF(7=$K24,200000,ABS(7-$K24)*100)),100000+ABS(4-$J24)*1000+70)+'計算A'!CD$5*50+IF(AND($E24=1,LQ24=0),25,0),INDEX('計算A'!CD$110:CD$114,$F24+1)+IF(AND($E24=1,LQ24=0),1000,0)+IF($H24=1,(IF('計算A'!CC$117=1,INDEX('計算A'!CC$10:CC$54,$B24),0)+IF('計算A'!CD$117=1,INDEX('計算A'!CE$10:CE$54,$B24),0))*500,0)-IF(AND('計算A'!CC$117=1,XA24&gt;0),300,0)-IF(AND($L24=1,'計算A'!CD$117=1,GC24=0),300,0))),1000000))</f>
        <v/>
      </c>
      <c r="RG24">
        <f>IF($B24=0,1000000,IF(INDEX('計算A'!$D$60:$EQ$104,$B24,80)*GC24=1,IF(AND($E24=2,LR24=0),1000000,IF($I24&gt;0,IF(4=$J24,IF(OR(AND(80=$I24+1,OR($K24&lt;&gt;'計算A'!$A$3,'計算A'!$A$4=0)),AND(80=$I24-1,OR(8&lt;&gt;'計算A'!$A$3,'計算A'!$A$4=0))),0,IF(8=$K24,200000,ABS(8-$K24)*100)),100000+ABS(4-$J24)*1000+80)+'計算A'!CE$5*50+IF(AND($E24=1,LR24=0),25,0),INDEX('計算A'!CE$110:CE$114,$F24+1)+IF(AND($E24=1,LR24=0),1000,0)+IF($H24=1,(IF('計算A'!CD$117=1,INDEX('計算A'!CD$10:CD$54,$B24),0)+IF('計算A'!CE$117=1,INDEX('計算A'!CF$10:CF$54,$B24),0))*500,0)-IF(AND('計算A'!CD$117=1,XB24&gt;0),300,0)-IF(AND($L24=1,'計算A'!CE$117=1,GD24=0),300,0))),1000000))</f>
        <v/>
      </c>
      <c r="RH24">
        <f>IF($B24=0,1000000,IF(INDEX('計算A'!$D$60:$EQ$104,$B24,81)*GD24=1,IF(AND($E24=2,LS24=0),1000000,IF($I24&gt;0,IF(4=$J24,IF(OR(AND(81=$I24+1,OR($K24&lt;&gt;'計算A'!$A$3,'計算A'!$A$4=0)),AND(81=$I24-1,OR(9&lt;&gt;'計算A'!$A$3,'計算A'!$A$4=0))),0,IF(9=$K24,200000,ABS(9-$K24)*100)),100000+ABS(4-$J24)*1000+90)+'計算A'!CF$5*50+IF(AND($E24=1,LS24=0),25,0),INDEX('計算A'!CF$110:CF$114,$F24+1)+IF(AND($E24=1,LS24=0),1000,0)+IF($H24=1,(IF('計算A'!CE$117=1,INDEX('計算A'!CE$10:CE$54,$B24),0)+IF('計算A'!CF$117=1,INDEX('計算A'!CG$10:CG$54,$B24),0))*500,0)-IF(AND('計算A'!CE$117=1,XC24&gt;0),300,0)-IF(AND($L24=1,'計算A'!CF$117=1,GE24=0),300,0))),1000000))</f>
        <v/>
      </c>
      <c r="RI24">
        <f>IF($B24=0,1000000,IF(INDEX('計算A'!$D$60:$EQ$104,$B24,82)*GE24=1,IF(AND($E24=2,LT24=0),1000000,IF($I24&gt;0,IF(4=$J24,IF(OR(AND(82=$I24+1,OR($K24&lt;&gt;'計算A'!$A$3,'計算A'!$A$4=0)),AND(82=$I24-1,OR(10&lt;&gt;'計算A'!$A$3,'計算A'!$A$4=0))),0,IF(10=$K24,200000,ABS(10-$K24)*100)),100000+ABS(4-$J24)*1000+100)+'計算A'!CG$5*50+IF(AND($E24=1,LT24=0),25,0),INDEX('計算A'!CG$110:CG$114,$F24+1)+IF(AND($E24=1,LT24=0),1000,0)+IF($H24=1,(IF('計算A'!CF$117=1,INDEX('計算A'!CF$10:CF$54,$B24),0)+IF('計算A'!CG$117=1,INDEX('計算A'!CH$10:CH$54,$B24),0))*500,0)-IF(AND('計算A'!CF$117=1,XD24&gt;0),300,0)-IF(AND($L24=1,'計算A'!CG$117=1,GF24=0),300,0))),1000000))</f>
        <v/>
      </c>
      <c r="RJ24">
        <f>IF($B24=0,1000000,IF(INDEX('計算A'!$D$60:$EQ$104,$B24,83)*GF24=1,IF(AND($E24=2,LU24=0),1000000,IF($I24&gt;0,IF(4=$J24,IF(OR(AND(83=$I24+1,OR($K24&lt;&gt;'計算A'!$A$3,'計算A'!$A$4=0)),AND(83=$I24-1,OR(11&lt;&gt;'計算A'!$A$3,'計算A'!$A$4=0))),0,IF(11=$K24,200000,ABS(11-$K24)*100)),100000+ABS(4-$J24)*1000+110)+'計算A'!CH$5*50+IF(AND($E24=1,LU24=0),25,0),INDEX('計算A'!CH$110:CH$114,$F24+1)+IF(AND($E24=1,LU24=0),1000,0)+IF($H24=1,(IF('計算A'!CG$117=1,INDEX('計算A'!CG$10:CG$54,$B24),0)+IF('計算A'!CH$117=1,INDEX('計算A'!CI$10:CI$54,$B24),0))*500,0)-IF(AND('計算A'!CG$117=1,XE24&gt;0),300,0)-IF(AND($L24=1,'計算A'!CH$117=1,GG24=0),300,0))),1000000))</f>
        <v/>
      </c>
      <c r="RK24">
        <f>IF($B24=0,1000000,IF(INDEX('計算A'!$D$60:$EQ$104,$B24,84)*GG24=1,IF(AND($E24=2,LV24=0),1000000,IF($I24&gt;0,IF(4=$J24,IF(OR(AND(84=$I24+1,OR($K24&lt;&gt;'計算A'!$A$3,'計算A'!$A$4=0)),AND(84=$I24-1,OR(12&lt;&gt;'計算A'!$A$3,'計算A'!$A$4=0))),0,IF(12=$K24,200000,ABS(12-$K24)*100)),100000+ABS(4-$J24)*1000+120)+'計算A'!CI$5*50+IF(AND($E24=1,LV24=0),25,0),INDEX('計算A'!CI$110:CI$114,$F24+1)+IF(AND($E24=1,LV24=0),1000,0)+IF($H24=1,(IF('計算A'!CH$117=1,INDEX('計算A'!CH$10:CH$54,$B24),0)+IF('計算A'!CI$117=1,INDEX('計算A'!CJ$10:CJ$54,$B24),0))*500,0)-IF(AND('計算A'!CH$117=1,XF24&gt;0),300,0)-IF(AND($L24=1,'計算A'!CI$117=1,GH24=0),300,0))),1000000))</f>
        <v/>
      </c>
      <c r="RL24">
        <f>IF($B24=0,1000000,IF(INDEX('計算A'!$D$60:$EQ$104,$B24,85)*GH24=1,IF(AND($E24=2,LW24=0),1000000,IF($I24&gt;0,IF(4=$J24,IF(OR(AND(85=$I24+1,OR($K24&lt;&gt;'計算A'!$A$3,'計算A'!$A$4=0)),AND(85=$I24-1,OR(13&lt;&gt;'計算A'!$A$3,'計算A'!$A$4=0))),0,IF(13=$K24,200000,ABS(13-$K24)*100)),100000+ABS(4-$J24)*1000+130)+'計算A'!CJ$5*50+IF(AND($E24=1,LW24=0),25,0),INDEX('計算A'!CJ$110:CJ$114,$F24+1)+IF(AND($E24=1,LW24=0),1000,0)+IF($H24=1,(IF('計算A'!CI$117=1,INDEX('計算A'!CI$10:CI$54,$B24),0)+IF('計算A'!CJ$117=1,INDEX('計算A'!CK$10:CK$54,$B24),0))*500,0)-IF(AND('計算A'!CI$117=1,XG24&gt;0),300,0)-IF(AND($L24=1,'計算A'!CJ$117=1,GI24=0),300,0))),1000000))</f>
        <v/>
      </c>
      <c r="RM24">
        <f>IF($B24=0,1000000,IF(INDEX('計算A'!$D$60:$EQ$104,$B24,86)*GI24=1,IF(AND($E24=2,LX24=0),1000000,IF($I24&gt;0,IF(4=$J24,IF(OR(AND(86=$I24+1,OR($K24&lt;&gt;'計算A'!$A$3,'計算A'!$A$4=0)),AND(86=$I24-1,OR(14&lt;&gt;'計算A'!$A$3,'計算A'!$A$4=0))),0,IF(14=$K24,200000,ABS(14-$K24)*100)),100000+ABS(4-$J24)*1000+140)+'計算A'!CK$5*50+IF(AND($E24=1,LX24=0),25,0),INDEX('計算A'!CK$110:CK$114,$F24+1)+IF(AND($E24=1,LX24=0),1000,0)+IF($H24=1,(IF('計算A'!CJ$117=1,INDEX('計算A'!CJ$10:CJ$54,$B24),0)+IF('計算A'!CK$117=1,INDEX('計算A'!CL$10:CL$54,$B24),0))*500,0)-IF(AND('計算A'!CJ$117=1,XH24&gt;0),300,0)-IF(AND($L24=1,'計算A'!CK$117=1,GJ24=0),300,0))),1000000))</f>
        <v/>
      </c>
      <c r="RN24">
        <f>IF($B24=0,1000000,IF(INDEX('計算A'!$D$60:$EQ$104,$B24,87)*GJ24=1,IF(AND($E24=2,LY24=0),1000000,IF($I24&gt;0,IF(4=$J24,IF(OR(AND(87=$I24+1,OR($K24&lt;&gt;'計算A'!$A$3,'計算A'!$A$4=0)),AND(87=$I24-1,OR(15&lt;&gt;'計算A'!$A$3,'計算A'!$A$4=0))),0,IF(15=$K24,200000,ABS(15-$K24)*100)),100000+ABS(4-$J24)*1000+150)+'計算A'!CL$5*50+IF(AND($E24=1,LY24=0),25,0),INDEX('計算A'!CL$110:CL$114,$F24+1)+IF(AND($E24=1,LY24=0),1000,0)+IF($H24=1,(IF('計算A'!CK$117=1,INDEX('計算A'!CK$10:CK$54,$B24),0)+IF('計算A'!CL$117=1,INDEX('計算A'!CM$10:CM$54,$B24),0))*500,0)-IF(AND('計算A'!CK$117=1,XI24&gt;0),300,0)-IF(AND($L24=1,'計算A'!CL$117=1,GK24=0),300,0))),1000000))</f>
        <v/>
      </c>
      <c r="RO24">
        <f>IF($B24=0,1000000,IF(INDEX('計算A'!$D$60:$EQ$104,$B24,88)*GK24=1,IF(AND($E24=2,LZ24=0),1000000,IF($I24&gt;0,IF(4=$J24,IF(OR(AND(88=$I24+1,OR($K24&lt;&gt;'計算A'!$A$3,'計算A'!$A$4=0)),AND(88=$I24-1,OR(16&lt;&gt;'計算A'!$A$3,'計算A'!$A$4=0))),0,IF(16=$K24,200000,ABS(16-$K24)*100)),100000+ABS(4-$J24)*1000+160)+'計算A'!CM$5*50+IF(AND($E24=1,LZ24=0),25,0),INDEX('計算A'!CM$110:CM$114,$F24+1)+IF(AND($E24=1,LZ24=0),1000,0)+IF($H24=1,(IF('計算A'!CL$117=1,INDEX('計算A'!CL$10:CL$54,$B24),0)+IF('計算A'!CM$117=1,INDEX('計算A'!CN$10:CN$54,$B24),0))*500,0)-IF(AND('計算A'!CL$117=1,XJ24&gt;0),300,0)-IF(AND($L24=1,'計算A'!CM$117=1,GL24=0),300,0))),1000000))</f>
        <v/>
      </c>
      <c r="RP24">
        <f>IF($B24=0,1000000,IF(INDEX('計算A'!$D$60:$EQ$104,$B24,89)*GL24=1,IF(AND($E24=2,MA24=0),1000000,IF($I24&gt;0,IF(4=$J24,IF(OR(AND(89=$I24+1,OR($K24&lt;&gt;'計算A'!$A$3,'計算A'!$A$4=0)),AND(89=$I24-1,OR(17&lt;&gt;'計算A'!$A$3,'計算A'!$A$4=0))),0,IF(17=$K24,200000,ABS(17-$K24)*100)),100000+ABS(4-$J24)*1000+170)+'計算A'!CN$5*50+IF(AND($E24=1,MA24=0),25,0),INDEX('計算A'!CN$110:CN$114,$F24+1)+IF(AND($E24=1,MA24=0),1000,0)+IF($H24=1,(IF('計算A'!CM$117=1,INDEX('計算A'!CM$10:CM$54,$B24),0)+IF('計算A'!CN$117=1,INDEX('計算A'!CO$10:CO$54,$B24),0))*500,0)-IF(AND('計算A'!CM$117=1,XK24&gt;0),300,0)-IF(AND($L24=1,'計算A'!CN$117=1,GM24=0),300,0))),1000000))</f>
        <v/>
      </c>
      <c r="RQ24">
        <f>IF($B24=0,1000000,IF(INDEX('計算A'!$D$60:$EQ$104,$B24,90)*GM24=1,IF(AND($E24=2,MB24=0),1000000,IF($I24&gt;0,IF(4=$J24,IF(OR(AND(90=$I24+1,OR($K24&lt;&gt;'計算A'!$A$3,'計算A'!$A$4=0)),AND(90=$I24-1,OR(18&lt;&gt;'計算A'!$A$3,'計算A'!$A$4=0))),0,IF(18=$K24,200000,ABS(18-$K24)*100)),100000+ABS(4-$J24)*1000+180)+'計算A'!CO$5*50+IF(AND($E24=1,MB24=0),25,0),INDEX('計算A'!CO$110:CO$114,$F24+1)+IF(AND($E24=1,MB24=0),1000,0)+IF($H24=1,(IF('計算A'!CN$117=1,INDEX('計算A'!CN$10:CN$54,$B24),0)+IF('計算A'!CO$117=1,INDEX('計算A'!CP$10:CP$54,$B24),0))*500,0)-IF(AND('計算A'!CN$117=1,XL24&gt;0),300,0)-IF(AND($L24=1,'計算A'!CO$117=1,GN24=0),300,0))),1000000))</f>
        <v/>
      </c>
      <c r="RR24">
        <f>IF($B24=0,1000000,IF(INDEX('計算A'!$D$60:$EQ$104,$B24,91)*GN24=1,IF(AND($E24=2,MC24=0),1000000,IF($I24&gt;0,IF(4=$J24,IF(OR(AND(91=$I24+1,OR($K24&lt;&gt;'計算A'!$A$3,'計算A'!$A$4=0)),AND(91=$I24-1,OR(19&lt;&gt;'計算A'!$A$3,'計算A'!$A$4=0))),0,IF(19=$K24,200000,ABS(19-$K24)*100)),100000+ABS(4-$J24)*1000+190)+'計算A'!CP$5*50+IF(AND($E24=1,MC24=0),25,0),INDEX('計算A'!CP$110:CP$114,$F24+1)+IF(AND($E24=1,MC24=0),1000,0)+IF($H24=1,(IF('計算A'!CO$117=1,INDEX('計算A'!CO$10:CO$54,$B24),0)+IF('計算A'!CP$117=1,INDEX('計算A'!CQ$10:CQ$54,$B24),0))*500,0)-IF(AND('計算A'!CO$117=1,XM24&gt;0),300,0)-IF(AND($L24=1,'計算A'!CP$117=1,GO24=0),300,0))),1000000))</f>
        <v/>
      </c>
      <c r="RS24">
        <f>IF($B24=0,1000000,IF(INDEX('計算A'!$D$60:$EQ$104,$B24,92)*GO24=1,IF(AND($E24=2,MD24=0),1000000,IF($I24&gt;0,IF(4=$J24,IF(OR(AND(92=$I24+1,OR($K24&lt;&gt;'計算A'!$A$3,'計算A'!$A$4=0)),AND(92=$I24-1,OR(20&lt;&gt;'計算A'!$A$3,'計算A'!$A$4=0))),0,IF(20=$K24,200000,ABS(20-$K24)*100)),100000+ABS(4-$J24)*1000+200)+'計算A'!CQ$5*50+IF(AND($E24=1,MD24=0),25,0),INDEX('計算A'!CQ$110:CQ$114,$F24+1)+IF(AND($E24=1,MD24=0),1000,0)+IF($H24=1,(IF('計算A'!CP$117=1,INDEX('計算A'!CP$10:CP$54,$B24),0)+IF('計算A'!CQ$117=1,INDEX('計算A'!CR$10:CR$54,$B24),0))*500,0)-IF(AND('計算A'!CP$117=1,XN24&gt;0),300,0)-IF(AND($L24=1,'計算A'!CQ$117=1,GP24=0),300,0))),1000000))</f>
        <v/>
      </c>
      <c r="RT24">
        <f>IF($B24=0,1000000,IF(INDEX('計算A'!$D$60:$EQ$104,$B24,93)*GP24=1,IF(AND($E24=2,ME24=0),1000000,IF($I24&gt;0,IF(4=$J24,IF(OR(AND(93=$I24+1,OR($K24&lt;&gt;'計算A'!$A$3,'計算A'!$A$4=0)),AND(93=$I24-1,OR(21&lt;&gt;'計算A'!$A$3,'計算A'!$A$4=0))),0,IF(21=$K24,200000,ABS(21-$K24)*100)),100000+ABS(4-$J24)*1000+210)+'計算A'!CR$5*50+IF(AND($E24=1,ME24=0),25,0),INDEX('計算A'!CR$110:CR$114,$F24+1)+IF(AND($E24=1,ME24=0),1000,0)+IF($H24=1,(IF('計算A'!CQ$117=1,INDEX('計算A'!CQ$10:CQ$54,$B24),0)+IF('計算A'!CR$117=1,INDEX('計算A'!CS$10:CS$54,$B24),0))*500,0)-IF(AND('計算A'!CQ$117=1,XO24&gt;0),300,0)-IF(AND($L24=1,'計算A'!CR$117=1,GQ24=0),300,0))),1000000))</f>
        <v/>
      </c>
      <c r="RU24">
        <f>IF($B24=0,1000000,IF(INDEX('計算A'!$D$60:$EQ$104,$B24,94)*GQ24=1,IF(AND($E24=2,MF24=0),1000000,IF($I24&gt;0,IF(4=$J24,IF(OR(AND(94=$I24+1,OR($K24&lt;&gt;'計算A'!$A$3,'計算A'!$A$4=0)),AND(94=$I24-1,OR(22&lt;&gt;'計算A'!$A$3,'計算A'!$A$4=0))),0,IF(22=$K24,200000,ABS(22-$K24)*100)),100000+ABS(4-$J24)*1000+220)+'計算A'!CS$5*50+IF(AND($E24=1,MF24=0),25,0),INDEX('計算A'!CS$110:CS$114,$F24+1)+IF(AND($E24=1,MF24=0),1000,0)+IF($H24=1,(IF('計算A'!CR$117=1,INDEX('計算A'!CR$10:CR$54,$B24),0)+IF('計算A'!CS$117=1,INDEX('計算A'!CT$10:CT$54,$B24),0))*500,0)-IF(AND('計算A'!CR$117=1,XP24&gt;0),300,0)-IF(AND($L24=1,'計算A'!CS$117=1,GR24=0),300,0))),1000000))</f>
        <v/>
      </c>
      <c r="RV24">
        <f>IF($B24=0,1000000,IF(INDEX('計算A'!$D$60:$EQ$104,$B24,95)*GR24=1,IF(AND($E24=2,MG24=0),1000000,IF($I24&gt;0,IF(4=$J24,IF(OR(AND(95=$I24+1,OR($K24&lt;&gt;'計算A'!$A$3,'計算A'!$A$4=0)),AND(95=$I24-1,OR(23&lt;&gt;'計算A'!$A$3,'計算A'!$A$4=0))),0,IF(23=$K24,200000,ABS(23-$K24)*100)),100000+ABS(4-$J24)*1000+230)+'計算A'!CT$5*50+IF(AND($E24=1,MG24=0),25,0),INDEX('計算A'!CT$110:CT$114,$F24+1)+IF(AND($E24=1,MG24=0),1000,0)+IF($H24=1,(IF('計算A'!CS$117=1,INDEX('計算A'!CS$10:CS$54,$B24),0)+IF('計算A'!CT$117=1,INDEX('計算A'!CU$10:CU$54,$B24),0))*500,0)-IF(AND('計算A'!CS$117=1,XQ24&gt;0),300,0)-IF(AND($L24=1,'計算A'!CT$117=1,GS24=0),300,0))),1000000))</f>
        <v/>
      </c>
      <c r="RW24">
        <f>IF($B24=0,1000000,IF(INDEX('計算A'!$D$60:$EQ$104,$B24,96)*GS24=1,IF(AND($E24=2,MH24=0),1000000,IF($I24&gt;0,IF(4=$J24,IF(OR(AND(96=$I24+1,OR($K24&lt;&gt;'計算A'!$A$3,'計算A'!$A$4=0)),AND(96=$I24-1,OR(24&lt;&gt;'計算A'!$A$3,'計算A'!$A$4=0))),0,IF(24=$K24,200000,ABS(24-$K24)*100)),100000+ABS(4-$J24)*1000+240)+'計算A'!CU$5*50+IF(AND($E24=1,MH24=0),25,0),INDEX('計算A'!CU$110:CU$114,$F24+1)+IF(AND($E24=1,MH24=0),1000,0)+IF($H24=1,(IF('計算A'!CT$117=1,INDEX('計算A'!CT$10:CT$54,$B24),0))*500,0)-IF(AND('計算A'!CT$117=1,XR24&gt;0),300,0))),1000000))</f>
        <v/>
      </c>
      <c r="RX24">
        <f>IF($B24=0,1000000,IF(INDEX('計算A'!$D$60:$EQ$104,$B24,97)*GT24=1,IF(AND($E24=2,MI24=0),1000000,IF($I24&gt;0,IF(5=$J24,IF(OR(AND(97=$I24+1,OR($K24&lt;&gt;'計算A'!$A$3,'計算A'!$A$4=0)),AND(97=$I24-1,OR(1&lt;&gt;'計算A'!$A$3,'計算A'!$A$4=0))),0,IF(1=$K24,200000,ABS(1-$K24)*100)),100000+ABS(5-$J24)*1000+10)+'計算A'!CV$5*50+IF(AND($E24=1,MI24=0),25,0),INDEX('計算A'!CV$110:CV$114,$F24+1)+IF(AND($E24=1,MI24=0),1000,0)+IF($H24=1,(IF('計算A'!CV$117=1,INDEX('計算A'!CW$10:CW$54,$B24),0))*500,0)-IF(AND($L24=1,'計算A'!CV$117=1,GU24=0),300,0))),1000000))</f>
        <v/>
      </c>
      <c r="RY24">
        <f>IF($B24=0,1000000,IF(INDEX('計算A'!$D$60:$EQ$104,$B24,98)*GU24=1,IF(AND($E24=2,MJ24=0),1000000,IF($I24&gt;0,IF(5=$J24,IF(OR(AND(98=$I24+1,OR($K24&lt;&gt;'計算A'!$A$3,'計算A'!$A$4=0)),AND(98=$I24-1,OR(2&lt;&gt;'計算A'!$A$3,'計算A'!$A$4=0))),0,IF(2=$K24,200000,ABS(2-$K24)*100)),100000+ABS(5-$J24)*1000+20)+'計算A'!CW$5*50+IF(AND($E24=1,MJ24=0),25,0),INDEX('計算A'!CW$110:CW$114,$F24+1)+IF(AND($E24=1,MJ24=0),1000,0)+IF($H24=1,(IF('計算A'!CV$117=1,INDEX('計算A'!CV$10:CV$54,$B24),0)+IF('計算A'!CW$117=1,INDEX('計算A'!CX$10:CX$54,$B24),0))*500,0)-IF(AND('計算A'!CV$117=1,XT24&gt;0),300,0)-IF(AND($L24=1,'計算A'!CW$117=1,GV24=0),300,0))),1000000))</f>
        <v/>
      </c>
      <c r="RZ24">
        <f>IF($B24=0,1000000,IF(INDEX('計算A'!$D$60:$EQ$104,$B24,99)*GV24=1,IF(AND($E24=2,MK24=0),1000000,IF($I24&gt;0,IF(5=$J24,IF(OR(AND(99=$I24+1,OR($K24&lt;&gt;'計算A'!$A$3,'計算A'!$A$4=0)),AND(99=$I24-1,OR(3&lt;&gt;'計算A'!$A$3,'計算A'!$A$4=0))),0,IF(3=$K24,200000,ABS(3-$K24)*100)),100000+ABS(5-$J24)*1000+30)+'計算A'!CX$5*50+IF(AND($E24=1,MK24=0),25,0),INDEX('計算A'!CX$110:CX$114,$F24+1)+IF(AND($E24=1,MK24=0),1000,0)+IF($H24=1,(IF('計算A'!CW$117=1,INDEX('計算A'!CW$10:CW$54,$B24),0)+IF('計算A'!CX$117=1,INDEX('計算A'!CY$10:CY$54,$B24),0))*500,0)-IF(AND('計算A'!CW$117=1,XU24&gt;0),300,0)-IF(AND($L24=1,'計算A'!CX$117=1,GW24=0),300,0))),1000000))</f>
        <v/>
      </c>
      <c r="SA24">
        <f>IF($B24=0,1000000,IF(INDEX('計算A'!$D$60:$EQ$104,$B24,100)*GW24=1,IF(AND($E24=2,ML24=0),1000000,IF($I24&gt;0,IF(5=$J24,IF(OR(AND(100=$I24+1,OR($K24&lt;&gt;'計算A'!$A$3,'計算A'!$A$4=0)),AND(100=$I24-1,OR(4&lt;&gt;'計算A'!$A$3,'計算A'!$A$4=0))),0,IF(4=$K24,200000,ABS(4-$K24)*100)),100000+ABS(5-$J24)*1000+40)+'計算A'!CY$5*50+IF(AND($E24=1,ML24=0),25,0),INDEX('計算A'!CY$110:CY$114,$F24+1)+IF(AND($E24=1,ML24=0),1000,0)+IF($H24=1,(IF('計算A'!CX$117=1,INDEX('計算A'!CX$10:CX$54,$B24),0)+IF('計算A'!CY$117=1,INDEX('計算A'!CZ$10:CZ$54,$B24),0))*500,0)-IF(AND('計算A'!CX$117=1,XV24&gt;0),300,0)-IF(AND($L24=1,'計算A'!CY$117=1,GX24=0),300,0))),1000000))</f>
        <v/>
      </c>
      <c r="SB24">
        <f>IF($B24=0,1000000,IF(INDEX('計算A'!$D$60:$EQ$104,$B24,101)*GX24=1,IF(AND($E24=2,MM24=0),1000000,IF($I24&gt;0,IF(5=$J24,IF(OR(AND(101=$I24+1,OR($K24&lt;&gt;'計算A'!$A$3,'計算A'!$A$4=0)),AND(101=$I24-1,OR(5&lt;&gt;'計算A'!$A$3,'計算A'!$A$4=0))),0,IF(5=$K24,200000,ABS(5-$K24)*100)),100000+ABS(5-$J24)*1000+50)+'計算A'!CZ$5*50+IF(AND($E24=1,MM24=0),25,0),INDEX('計算A'!CZ$110:CZ$114,$F24+1)+IF(AND($E24=1,MM24=0),1000,0)+IF($H24=1,(IF('計算A'!CY$117=1,INDEX('計算A'!CY$10:CY$54,$B24),0)+IF('計算A'!CZ$117=1,INDEX('計算A'!DA$10:DA$54,$B24),0))*500,0)-IF(AND('計算A'!CY$117=1,XW24&gt;0),300,0)-IF(AND($L24=1,'計算A'!CZ$117=1,GY24=0),300,0))),1000000))</f>
        <v/>
      </c>
      <c r="SC24">
        <f>IF($B24=0,1000000,IF(INDEX('計算A'!$D$60:$EQ$104,$B24,102)*GY24=1,IF(AND($E24=2,MN24=0),1000000,IF($I24&gt;0,IF(5=$J24,IF(OR(AND(102=$I24+1,OR($K24&lt;&gt;'計算A'!$A$3,'計算A'!$A$4=0)),AND(102=$I24-1,OR(6&lt;&gt;'計算A'!$A$3,'計算A'!$A$4=0))),0,IF(6=$K24,200000,ABS(6-$K24)*100)),100000+ABS(5-$J24)*1000+60)+'計算A'!DA$5*50+IF(AND($E24=1,MN24=0),25,0),INDEX('計算A'!DA$110:DA$114,$F24+1)+IF(AND($E24=1,MN24=0),1000,0)+IF($H24=1,(IF('計算A'!CZ$117=1,INDEX('計算A'!CZ$10:CZ$54,$B24),0)+IF('計算A'!DA$117=1,INDEX('計算A'!DB$10:DB$54,$B24),0))*500,0)-IF(AND('計算A'!CZ$117=1,XX24&gt;0),300,0)-IF(AND($L24=1,'計算A'!DA$117=1,GZ24=0),300,0))),1000000))</f>
        <v/>
      </c>
      <c r="SD24">
        <f>IF($B24=0,1000000,IF(INDEX('計算A'!$D$60:$EQ$104,$B24,103)*GZ24=1,IF(AND($E24=2,MO24=0),1000000,IF($I24&gt;0,IF(5=$J24,IF(OR(AND(103=$I24+1,OR($K24&lt;&gt;'計算A'!$A$3,'計算A'!$A$4=0)),AND(103=$I24-1,OR(7&lt;&gt;'計算A'!$A$3,'計算A'!$A$4=0))),0,IF(7=$K24,200000,ABS(7-$K24)*100)),100000+ABS(5-$J24)*1000+70)+'計算A'!DB$5*50+IF(AND($E24=1,MO24=0),25,0),INDEX('計算A'!DB$110:DB$114,$F24+1)+IF(AND($E24=1,MO24=0),1000,0)+IF($H24=1,(IF('計算A'!DA$117=1,INDEX('計算A'!DA$10:DA$54,$B24),0)+IF('計算A'!DB$117=1,INDEX('計算A'!DC$10:DC$54,$B24),0))*500,0)-IF(AND('計算A'!DA$117=1,XY24&gt;0),300,0)-IF(AND($L24=1,'計算A'!DB$117=1,HA24=0),300,0))),1000000))</f>
        <v/>
      </c>
      <c r="SE24">
        <f>IF($B24=0,1000000,IF(INDEX('計算A'!$D$60:$EQ$104,$B24,104)*HA24=1,IF(AND($E24=2,MP24=0),1000000,IF($I24&gt;0,IF(5=$J24,IF(OR(AND(104=$I24+1,OR($K24&lt;&gt;'計算A'!$A$3,'計算A'!$A$4=0)),AND(104=$I24-1,OR(8&lt;&gt;'計算A'!$A$3,'計算A'!$A$4=0))),0,IF(8=$K24,200000,ABS(8-$K24)*100)),100000+ABS(5-$J24)*1000+80)+'計算A'!DC$5*50+IF(AND($E24=1,MP24=0),25,0),INDEX('計算A'!DC$110:DC$114,$F24+1)+IF(AND($E24=1,MP24=0),1000,0)+IF($H24=1,(IF('計算A'!DB$117=1,INDEX('計算A'!DB$10:DB$54,$B24),0)+IF('計算A'!DC$117=1,INDEX('計算A'!DD$10:DD$54,$B24),0))*500,0)-IF(AND('計算A'!DB$117=1,XZ24&gt;0),300,0)-IF(AND($L24=1,'計算A'!DC$117=1,HB24=0),300,0))),1000000))</f>
        <v/>
      </c>
      <c r="SF24">
        <f>IF($B24=0,1000000,IF(INDEX('計算A'!$D$60:$EQ$104,$B24,105)*HB24=1,IF(AND($E24=2,MQ24=0),1000000,IF($I24&gt;0,IF(5=$J24,IF(OR(AND(105=$I24+1,OR($K24&lt;&gt;'計算A'!$A$3,'計算A'!$A$4=0)),AND(105=$I24-1,OR(9&lt;&gt;'計算A'!$A$3,'計算A'!$A$4=0))),0,IF(9=$K24,200000,ABS(9-$K24)*100)),100000+ABS(5-$J24)*1000+90)+'計算A'!DD$5*50+IF(AND($E24=1,MQ24=0),25,0),INDEX('計算A'!DD$110:DD$114,$F24+1)+IF(AND($E24=1,MQ24=0),1000,0)+IF($H24=1,(IF('計算A'!DC$117=1,INDEX('計算A'!DC$10:DC$54,$B24),0)+IF('計算A'!DD$117=1,INDEX('計算A'!DE$10:DE$54,$B24),0))*500,0)-IF(AND('計算A'!DC$117=1,YA24&gt;0),300,0)-IF(AND($L24=1,'計算A'!DD$117=1,HC24=0),300,0))),1000000))</f>
        <v/>
      </c>
      <c r="SG24">
        <f>IF($B24=0,1000000,IF(INDEX('計算A'!$D$60:$EQ$104,$B24,106)*HC24=1,IF(AND($E24=2,MR24=0),1000000,IF($I24&gt;0,IF(5=$J24,IF(OR(AND(106=$I24+1,OR($K24&lt;&gt;'計算A'!$A$3,'計算A'!$A$4=0)),AND(106=$I24-1,OR(10&lt;&gt;'計算A'!$A$3,'計算A'!$A$4=0))),0,IF(10=$K24,200000,ABS(10-$K24)*100)),100000+ABS(5-$J24)*1000+100)+'計算A'!DE$5*50+IF(AND($E24=1,MR24=0),25,0),INDEX('計算A'!DE$110:DE$114,$F24+1)+IF(AND($E24=1,MR24=0),1000,0)+IF($H24=1,(IF('計算A'!DD$117=1,INDEX('計算A'!DD$10:DD$54,$B24),0)+IF('計算A'!DE$117=1,INDEX('計算A'!DF$10:DF$54,$B24),0))*500,0)-IF(AND('計算A'!DD$117=1,YB24&gt;0),300,0)-IF(AND($L24=1,'計算A'!DE$117=1,HD24=0),300,0))),1000000))</f>
        <v/>
      </c>
      <c r="SH24">
        <f>IF($B24=0,1000000,IF(INDEX('計算A'!$D$60:$EQ$104,$B24,107)*HD24=1,IF(AND($E24=2,MS24=0),1000000,IF($I24&gt;0,IF(5=$J24,IF(OR(AND(107=$I24+1,OR($K24&lt;&gt;'計算A'!$A$3,'計算A'!$A$4=0)),AND(107=$I24-1,OR(11&lt;&gt;'計算A'!$A$3,'計算A'!$A$4=0))),0,IF(11=$K24,200000,ABS(11-$K24)*100)),100000+ABS(5-$J24)*1000+110)+'計算A'!DF$5*50+IF(AND($E24=1,MS24=0),25,0),INDEX('計算A'!DF$110:DF$114,$F24+1)+IF(AND($E24=1,MS24=0),1000,0)+IF($H24=1,(IF('計算A'!DE$117=1,INDEX('計算A'!DE$10:DE$54,$B24),0)+IF('計算A'!DF$117=1,INDEX('計算A'!DG$10:DG$54,$B24),0))*500,0)-IF(AND('計算A'!DE$117=1,YC24&gt;0),300,0)-IF(AND($L24=1,'計算A'!DF$117=1,HE24=0),300,0))),1000000))</f>
        <v/>
      </c>
      <c r="SI24">
        <f>IF($B24=0,1000000,IF(INDEX('計算A'!$D$60:$EQ$104,$B24,108)*HE24=1,IF(AND($E24=2,MT24=0),1000000,IF($I24&gt;0,IF(5=$J24,IF(OR(AND(108=$I24+1,OR($K24&lt;&gt;'計算A'!$A$3,'計算A'!$A$4=0)),AND(108=$I24-1,OR(12&lt;&gt;'計算A'!$A$3,'計算A'!$A$4=0))),0,IF(12=$K24,200000,ABS(12-$K24)*100)),100000+ABS(5-$J24)*1000+120)+'計算A'!DG$5*50+IF(AND($E24=1,MT24=0),25,0),INDEX('計算A'!DG$110:DG$114,$F24+1)+IF(AND($E24=1,MT24=0),1000,0)+IF($H24=1,(IF('計算A'!DF$117=1,INDEX('計算A'!DF$10:DF$54,$B24),0)+IF('計算A'!DG$117=1,INDEX('計算A'!DH$10:DH$54,$B24),0))*500,0)-IF(AND('計算A'!DF$117=1,YD24&gt;0),300,0)-IF(AND($L24=1,'計算A'!DG$117=1,HF24=0),300,0))),1000000))</f>
        <v/>
      </c>
      <c r="SJ24">
        <f>IF($B24=0,1000000,IF(INDEX('計算A'!$D$60:$EQ$104,$B24,109)*HF24=1,IF(AND($E24=2,MU24=0),1000000,IF($I24&gt;0,IF(5=$J24,IF(OR(AND(109=$I24+1,OR($K24&lt;&gt;'計算A'!$A$3,'計算A'!$A$4=0)),AND(109=$I24-1,OR(13&lt;&gt;'計算A'!$A$3,'計算A'!$A$4=0))),0,IF(13=$K24,200000,ABS(13-$K24)*100)),100000+ABS(5-$J24)*1000+130)+'計算A'!DH$5*50+IF(AND($E24=1,MU24=0),25,0),INDEX('計算A'!DH$110:DH$114,$F24+1)+IF(AND($E24=1,MU24=0),1000,0)+IF($H24=1,(IF('計算A'!DG$117=1,INDEX('計算A'!DG$10:DG$54,$B24),0)+IF('計算A'!DH$117=1,INDEX('計算A'!DI$10:DI$54,$B24),0))*500,0)-IF(AND('計算A'!DG$117=1,YE24&gt;0),300,0)-IF(AND($L24=1,'計算A'!DH$117=1,HG24=0),300,0))),1000000))</f>
        <v/>
      </c>
      <c r="SK24">
        <f>IF($B24=0,1000000,IF(INDEX('計算A'!$D$60:$EQ$104,$B24,110)*HG24=1,IF(AND($E24=2,MV24=0),1000000,IF($I24&gt;0,IF(5=$J24,IF(OR(AND(110=$I24+1,OR($K24&lt;&gt;'計算A'!$A$3,'計算A'!$A$4=0)),AND(110=$I24-1,OR(14&lt;&gt;'計算A'!$A$3,'計算A'!$A$4=0))),0,IF(14=$K24,200000,ABS(14-$K24)*100)),100000+ABS(5-$J24)*1000+140)+'計算A'!DI$5*50+IF(AND($E24=1,MV24=0),25,0),INDEX('計算A'!DI$110:DI$114,$F24+1)+IF(AND($E24=1,MV24=0),1000,0)+IF($H24=1,(IF('計算A'!DH$117=1,INDEX('計算A'!DH$10:DH$54,$B24),0)+IF('計算A'!DI$117=1,INDEX('計算A'!DJ$10:DJ$54,$B24),0))*500,0)-IF(AND('計算A'!DH$117=1,YF24&gt;0),300,0)-IF(AND($L24=1,'計算A'!DI$117=1,HH24=0),300,0))),1000000))</f>
        <v/>
      </c>
      <c r="SL24">
        <f>IF($B24=0,1000000,IF(INDEX('計算A'!$D$60:$EQ$104,$B24,111)*HH24=1,IF(AND($E24=2,MW24=0),1000000,IF($I24&gt;0,IF(5=$J24,IF(OR(AND(111=$I24+1,OR($K24&lt;&gt;'計算A'!$A$3,'計算A'!$A$4=0)),AND(111=$I24-1,OR(15&lt;&gt;'計算A'!$A$3,'計算A'!$A$4=0))),0,IF(15=$K24,200000,ABS(15-$K24)*100)),100000+ABS(5-$J24)*1000+150)+'計算A'!DJ$5*50+IF(AND($E24=1,MW24=0),25,0),INDEX('計算A'!DJ$110:DJ$114,$F24+1)+IF(AND($E24=1,MW24=0),1000,0)+IF($H24=1,(IF('計算A'!DI$117=1,INDEX('計算A'!DI$10:DI$54,$B24),0)+IF('計算A'!DJ$117=1,INDEX('計算A'!DK$10:DK$54,$B24),0))*500,0)-IF(AND('計算A'!DI$117=1,YG24&gt;0),300,0)-IF(AND($L24=1,'計算A'!DJ$117=1,HI24=0),300,0))),1000000))</f>
        <v/>
      </c>
      <c r="SM24">
        <f>IF($B24=0,1000000,IF(INDEX('計算A'!$D$60:$EQ$104,$B24,112)*HI24=1,IF(AND($E24=2,MX24=0),1000000,IF($I24&gt;0,IF(5=$J24,IF(OR(AND(112=$I24+1,OR($K24&lt;&gt;'計算A'!$A$3,'計算A'!$A$4=0)),AND(112=$I24-1,OR(16&lt;&gt;'計算A'!$A$3,'計算A'!$A$4=0))),0,IF(16=$K24,200000,ABS(16-$K24)*100)),100000+ABS(5-$J24)*1000+160)+'計算A'!DK$5*50+IF(AND($E24=1,MX24=0),25,0),INDEX('計算A'!DK$110:DK$114,$F24+1)+IF(AND($E24=1,MX24=0),1000,0)+IF($H24=1,(IF('計算A'!DJ$117=1,INDEX('計算A'!DJ$10:DJ$54,$B24),0)+IF('計算A'!DK$117=1,INDEX('計算A'!DL$10:DL$54,$B24),0))*500,0)-IF(AND('計算A'!DJ$117=1,YH24&gt;0),300,0)-IF(AND($L24=1,'計算A'!DK$117=1,HJ24=0),300,0))),1000000))</f>
        <v/>
      </c>
      <c r="SN24">
        <f>IF($B24=0,1000000,IF(INDEX('計算A'!$D$60:$EQ$104,$B24,113)*HJ24=1,IF(AND($E24=2,MY24=0),1000000,IF($I24&gt;0,IF(5=$J24,IF(OR(AND(113=$I24+1,OR($K24&lt;&gt;'計算A'!$A$3,'計算A'!$A$4=0)),AND(113=$I24-1,OR(17&lt;&gt;'計算A'!$A$3,'計算A'!$A$4=0))),0,IF(17=$K24,200000,ABS(17-$K24)*100)),100000+ABS(5-$J24)*1000+170)+'計算A'!DL$5*50+IF(AND($E24=1,MY24=0),25,0),INDEX('計算A'!DL$110:DL$114,$F24+1)+IF(AND($E24=1,MY24=0),1000,0)+IF($H24=1,(IF('計算A'!DK$117=1,INDEX('計算A'!DK$10:DK$54,$B24),0)+IF('計算A'!DL$117=1,INDEX('計算A'!DM$10:DM$54,$B24),0))*500,0)-IF(AND('計算A'!DK$117=1,YI24&gt;0),300,0)-IF(AND($L24=1,'計算A'!DL$117=1,HK24=0),300,0))),1000000))</f>
        <v/>
      </c>
      <c r="SO24">
        <f>IF($B24=0,1000000,IF(INDEX('計算A'!$D$60:$EQ$104,$B24,114)*HK24=1,IF(AND($E24=2,MZ24=0),1000000,IF($I24&gt;0,IF(5=$J24,IF(OR(AND(114=$I24+1,OR($K24&lt;&gt;'計算A'!$A$3,'計算A'!$A$4=0)),AND(114=$I24-1,OR(18&lt;&gt;'計算A'!$A$3,'計算A'!$A$4=0))),0,IF(18=$K24,200000,ABS(18-$K24)*100)),100000+ABS(5-$J24)*1000+180)+'計算A'!DM$5*50+IF(AND($E24=1,MZ24=0),25,0),INDEX('計算A'!DM$110:DM$114,$F24+1)+IF(AND($E24=1,MZ24=0),1000,0)+IF($H24=1,(IF('計算A'!DL$117=1,INDEX('計算A'!DL$10:DL$54,$B24),0)+IF('計算A'!DM$117=1,INDEX('計算A'!DN$10:DN$54,$B24),0))*500,0)-IF(AND('計算A'!DL$117=1,YJ24&gt;0),300,0)-IF(AND($L24=1,'計算A'!DM$117=1,HL24=0),300,0))),1000000))</f>
        <v/>
      </c>
      <c r="SP24">
        <f>IF($B24=0,1000000,IF(INDEX('計算A'!$D$60:$EQ$104,$B24,115)*HL24=1,IF(AND($E24=2,NA24=0),1000000,IF($I24&gt;0,IF(5=$J24,IF(OR(AND(115=$I24+1,OR($K24&lt;&gt;'計算A'!$A$3,'計算A'!$A$4=0)),AND(115=$I24-1,OR(19&lt;&gt;'計算A'!$A$3,'計算A'!$A$4=0))),0,IF(19=$K24,200000,ABS(19-$K24)*100)),100000+ABS(5-$J24)*1000+190)+'計算A'!DN$5*50+IF(AND($E24=1,NA24=0),25,0),INDEX('計算A'!DN$110:DN$114,$F24+1)+IF(AND($E24=1,NA24=0),1000,0)+IF($H24=1,(IF('計算A'!DM$117=1,INDEX('計算A'!DM$10:DM$54,$B24),0)+IF('計算A'!DN$117=1,INDEX('計算A'!DO$10:DO$54,$B24),0))*500,0)-IF(AND('計算A'!DM$117=1,YK24&gt;0),300,0)-IF(AND($L24=1,'計算A'!DN$117=1,HM24=0),300,0))),1000000))</f>
        <v/>
      </c>
      <c r="SQ24">
        <f>IF($B24=0,1000000,IF(INDEX('計算A'!$D$60:$EQ$104,$B24,116)*HM24=1,IF(AND($E24=2,NB24=0),1000000,IF($I24&gt;0,IF(5=$J24,IF(OR(AND(116=$I24+1,OR($K24&lt;&gt;'計算A'!$A$3,'計算A'!$A$4=0)),AND(116=$I24-1,OR(20&lt;&gt;'計算A'!$A$3,'計算A'!$A$4=0))),0,IF(20=$K24,200000,ABS(20-$K24)*100)),100000+ABS(5-$J24)*1000+200)+'計算A'!DO$5*50+IF(AND($E24=1,NB24=0),25,0),INDEX('計算A'!DO$110:DO$114,$F24+1)+IF(AND($E24=1,NB24=0),1000,0)+IF($H24=1,(IF('計算A'!DN$117=1,INDEX('計算A'!DN$10:DN$54,$B24),0)+IF('計算A'!DO$117=1,INDEX('計算A'!DP$10:DP$54,$B24),0))*500,0)-IF(AND('計算A'!DN$117=1,YL24&gt;0),300,0)-IF(AND($L24=1,'計算A'!DO$117=1,HN24=0),300,0))),1000000))</f>
        <v/>
      </c>
      <c r="SR24">
        <f>IF($B24=0,1000000,IF(INDEX('計算A'!$D$60:$EQ$104,$B24,117)*HN24=1,IF(AND($E24=2,NC24=0),1000000,IF($I24&gt;0,IF(5=$J24,IF(OR(AND(117=$I24+1,OR($K24&lt;&gt;'計算A'!$A$3,'計算A'!$A$4=0)),AND(117=$I24-1,OR(21&lt;&gt;'計算A'!$A$3,'計算A'!$A$4=0))),0,IF(21=$K24,200000,ABS(21-$K24)*100)),100000+ABS(5-$J24)*1000+210)+'計算A'!DP$5*50+IF(AND($E24=1,NC24=0),25,0),INDEX('計算A'!DP$110:DP$114,$F24+1)+IF(AND($E24=1,NC24=0),1000,0)+IF($H24=1,(IF('計算A'!DO$117=1,INDEX('計算A'!DO$10:DO$54,$B24),0)+IF('計算A'!DP$117=1,INDEX('計算A'!DQ$10:DQ$54,$B24),0))*500,0)-IF(AND('計算A'!DO$117=1,YM24&gt;0),300,0)-IF(AND($L24=1,'計算A'!DP$117=1,HO24=0),300,0))),1000000))</f>
        <v/>
      </c>
      <c r="SS24">
        <f>IF($B24=0,1000000,IF(INDEX('計算A'!$D$60:$EQ$104,$B24,118)*HO24=1,IF(AND($E24=2,ND24=0),1000000,IF($I24&gt;0,IF(5=$J24,IF(OR(AND(118=$I24+1,OR($K24&lt;&gt;'計算A'!$A$3,'計算A'!$A$4=0)),AND(118=$I24-1,OR(22&lt;&gt;'計算A'!$A$3,'計算A'!$A$4=0))),0,IF(22=$K24,200000,ABS(22-$K24)*100)),100000+ABS(5-$J24)*1000+220)+'計算A'!DQ$5*50+IF(AND($E24=1,ND24=0),25,0),INDEX('計算A'!DQ$110:DQ$114,$F24+1)+IF(AND($E24=1,ND24=0),1000,0)+IF($H24=1,(IF('計算A'!DP$117=1,INDEX('計算A'!DP$10:DP$54,$B24),0)+IF('計算A'!DQ$117=1,INDEX('計算A'!DR$10:DR$54,$B24),0))*500,0)-IF(AND('計算A'!DP$117=1,YN24&gt;0),300,0)-IF(AND($L24=1,'計算A'!DQ$117=1,HP24=0),300,0))),1000000))</f>
        <v/>
      </c>
      <c r="ST24">
        <f>IF($B24=0,1000000,IF(INDEX('計算A'!$D$60:$EQ$104,$B24,119)*HP24=1,IF(AND($E24=2,NE24=0),1000000,IF($I24&gt;0,IF(5=$J24,IF(OR(AND(119=$I24+1,OR($K24&lt;&gt;'計算A'!$A$3,'計算A'!$A$4=0)),AND(119=$I24-1,OR(23&lt;&gt;'計算A'!$A$3,'計算A'!$A$4=0))),0,IF(23=$K24,200000,ABS(23-$K24)*100)),100000+ABS(5-$J24)*1000+230)+'計算A'!DR$5*50+IF(AND($E24=1,NE24=0),25,0),INDEX('計算A'!DR$110:DR$114,$F24+1)+IF(AND($E24=1,NE24=0),1000,0)+IF($H24=1,(IF('計算A'!DQ$117=1,INDEX('計算A'!DQ$10:DQ$54,$B24),0)+IF('計算A'!DR$117=1,INDEX('計算A'!DS$10:DS$54,$B24),0))*500,0)-IF(AND('計算A'!DQ$117=1,YO24&gt;0),300,0)-IF(AND($L24=1,'計算A'!DR$117=1,HQ24=0),300,0))),1000000))</f>
        <v/>
      </c>
      <c r="SU24">
        <f>IF($B24=0,1000000,IF(INDEX('計算A'!$D$60:$EQ$104,$B24,120)*HQ24=1,IF(AND($E24=2,NF24=0),1000000,IF($I24&gt;0,IF(5=$J24,IF(OR(AND(120=$I24+1,OR($K24&lt;&gt;'計算A'!$A$3,'計算A'!$A$4=0)),AND(120=$I24-1,OR(24&lt;&gt;'計算A'!$A$3,'計算A'!$A$4=0))),0,IF(24=$K24,200000,ABS(24-$K24)*100)),100000+ABS(5-$J24)*1000+240)+'計算A'!DS$5*50+IF(AND($E24=1,NF24=0),25,0),INDEX('計算A'!DS$110:DS$114,$F24+1)+IF(AND($E24=1,NF24=0),1000,0)+IF($H24=1,(IF('計算A'!DR$117=1,INDEX('計算A'!DR$10:DR$54,$B24),0))*500,0)-IF(AND('計算A'!DR$117=1,YP24&gt;0),300,0))),1000000))</f>
        <v/>
      </c>
      <c r="SV24">
        <f>IF($B24=0,1000000,IF(INDEX('計算A'!$D$60:$EQ$104,$B24,121)*HR24=1,IF(AND($E24=2,NG24=0),1000000,IF($I24&gt;0,IF(6=$J24,IF(OR(AND(121=$I24+1,OR($K24&lt;&gt;'計算A'!$A$3,'計算A'!$A$4=0)),AND(121=$I24-1,OR(1&lt;&gt;'計算A'!$A$3,'計算A'!$A$4=0))),0,IF(1=$K24,200000,ABS(1-$K24)*100)),100000+ABS(6-$J24)*1000+10)+'計算A'!DT$5*50+IF(AND($E24=1,NG24=0),25,0),INDEX('計算A'!DT$110:DT$114,$F24+1)+IF(AND($E24=1,NG24=0),1000,0)+IF($H24=1,(IF('計算A'!DT$117=1,INDEX('計算A'!DU$10:DU$54,$B24),0))*500,0)-IF(AND($L24=1,'計算A'!DT$117=1,HS24=0),300,0))),1000000))</f>
        <v/>
      </c>
      <c r="SW24">
        <f>IF($B24=0,1000000,IF(INDEX('計算A'!$D$60:$EQ$104,$B24,122)*HS24=1,IF(AND($E24=2,NH24=0),1000000,IF($I24&gt;0,IF(6=$J24,IF(OR(AND(122=$I24+1,OR($K24&lt;&gt;'計算A'!$A$3,'計算A'!$A$4=0)),AND(122=$I24-1,OR(2&lt;&gt;'計算A'!$A$3,'計算A'!$A$4=0))),0,IF(2=$K24,200000,ABS(2-$K24)*100)),100000+ABS(6-$J24)*1000+20)+'計算A'!DU$5*50+IF(AND($E24=1,NH24=0),25,0),INDEX('計算A'!DU$110:DU$114,$F24+1)+IF(AND($E24=1,NH24=0),1000,0)+IF($H24=1,(IF('計算A'!DT$117=1,INDEX('計算A'!DT$10:DT$54,$B24),0)+IF('計算A'!DU$117=1,INDEX('計算A'!DV$10:DV$54,$B24),0))*500,0)-IF(AND('計算A'!DT$117=1,YR24&gt;0),300,0)-IF(AND($L24=1,'計算A'!DU$117=1,HT24=0),300,0))),1000000))</f>
        <v/>
      </c>
      <c r="SX24">
        <f>IF($B24=0,1000000,IF(INDEX('計算A'!$D$60:$EQ$104,$B24,123)*HT24=1,IF(AND($E24=2,NI24=0),1000000,IF($I24&gt;0,IF(6=$J24,IF(OR(AND(123=$I24+1,OR($K24&lt;&gt;'計算A'!$A$3,'計算A'!$A$4=0)),AND(123=$I24-1,OR(3&lt;&gt;'計算A'!$A$3,'計算A'!$A$4=0))),0,IF(3=$K24,200000,ABS(3-$K24)*100)),100000+ABS(6-$J24)*1000+30)+'計算A'!DV$5*50+IF(AND($E24=1,NI24=0),25,0),INDEX('計算A'!DV$110:DV$114,$F24+1)+IF(AND($E24=1,NI24=0),1000,0)+IF($H24=1,(IF('計算A'!DU$117=1,INDEX('計算A'!DU$10:DU$54,$B24),0)+IF('計算A'!DV$117=1,INDEX('計算A'!DW$10:DW$54,$B24),0))*500,0)-IF(AND('計算A'!DU$117=1,YS24&gt;0),300,0)-IF(AND($L24=1,'計算A'!DV$117=1,HU24=0),300,0))),1000000))</f>
        <v/>
      </c>
      <c r="SY24">
        <f>IF($B24=0,1000000,IF(INDEX('計算A'!$D$60:$EQ$104,$B24,124)*HU24=1,IF(AND($E24=2,NJ24=0),1000000,IF($I24&gt;0,IF(6=$J24,IF(OR(AND(124=$I24+1,OR($K24&lt;&gt;'計算A'!$A$3,'計算A'!$A$4=0)),AND(124=$I24-1,OR(4&lt;&gt;'計算A'!$A$3,'計算A'!$A$4=0))),0,IF(4=$K24,200000,ABS(4-$K24)*100)),100000+ABS(6-$J24)*1000+40)+'計算A'!DW$5*50+IF(AND($E24=1,NJ24=0),25,0),INDEX('計算A'!DW$110:DW$114,$F24+1)+IF(AND($E24=1,NJ24=0),1000,0)+IF($H24=1,(IF('計算A'!DV$117=1,INDEX('計算A'!DV$10:DV$54,$B24),0)+IF('計算A'!DW$117=1,INDEX('計算A'!DX$10:DX$54,$B24),0))*500,0)-IF(AND('計算A'!DV$117=1,YT24&gt;0),300,0)-IF(AND($L24=1,'計算A'!DW$117=1,HV24=0),300,0))),1000000))</f>
        <v/>
      </c>
      <c r="SZ24">
        <f>IF($B24=0,1000000,IF(INDEX('計算A'!$D$60:$EQ$104,$B24,125)*HV24=1,IF(AND($E24=2,NK24=0),1000000,IF($I24&gt;0,IF(6=$J24,IF(OR(AND(125=$I24+1,OR($K24&lt;&gt;'計算A'!$A$3,'計算A'!$A$4=0)),AND(125=$I24-1,OR(5&lt;&gt;'計算A'!$A$3,'計算A'!$A$4=0))),0,IF(5=$K24,200000,ABS(5-$K24)*100)),100000+ABS(6-$J24)*1000+50)+'計算A'!DX$5*50+IF(AND($E24=1,NK24=0),25,0),INDEX('計算A'!DX$110:DX$114,$F24+1)+IF(AND($E24=1,NK24=0),1000,0)+IF($H24=1,(IF('計算A'!DW$117=1,INDEX('計算A'!DW$10:DW$54,$B24),0)+IF('計算A'!DX$117=1,INDEX('計算A'!DY$10:DY$54,$B24),0))*500,0)-IF(AND('計算A'!DW$117=1,YU24&gt;0),300,0)-IF(AND($L24=1,'計算A'!DX$117=1,HW24=0),300,0))),1000000))</f>
        <v/>
      </c>
      <c r="TA24">
        <f>IF($B24=0,1000000,IF(INDEX('計算A'!$D$60:$EQ$104,$B24,126)*HW24=1,IF(AND($E24=2,NL24=0),1000000,IF($I24&gt;0,IF(6=$J24,IF(OR(AND(126=$I24+1,OR($K24&lt;&gt;'計算A'!$A$3,'計算A'!$A$4=0)),AND(126=$I24-1,OR(6&lt;&gt;'計算A'!$A$3,'計算A'!$A$4=0))),0,IF(6=$K24,200000,ABS(6-$K24)*100)),100000+ABS(6-$J24)*1000+60)+'計算A'!DY$5*50+IF(AND($E24=1,NL24=0),25,0),INDEX('計算A'!DY$110:DY$114,$F24+1)+IF(AND($E24=1,NL24=0),1000,0)+IF($H24=1,(IF('計算A'!DX$117=1,INDEX('計算A'!DX$10:DX$54,$B24),0)+IF('計算A'!DY$117=1,INDEX('計算A'!DZ$10:DZ$54,$B24),0))*500,0)-IF(AND('計算A'!DX$117=1,YV24&gt;0),300,0)-IF(AND($L24=1,'計算A'!DY$117=1,HX24=0),300,0))),1000000))</f>
        <v/>
      </c>
      <c r="TB24">
        <f>IF($B24=0,1000000,IF(INDEX('計算A'!$D$60:$EQ$104,$B24,127)*HX24=1,IF(AND($E24=2,NM24=0),1000000,IF($I24&gt;0,IF(6=$J24,IF(OR(AND(127=$I24+1,OR($K24&lt;&gt;'計算A'!$A$3,'計算A'!$A$4=0)),AND(127=$I24-1,OR(7&lt;&gt;'計算A'!$A$3,'計算A'!$A$4=0))),0,IF(7=$K24,200000,ABS(7-$K24)*100)),100000+ABS(6-$J24)*1000+70)+'計算A'!DZ$5*50+IF(AND($E24=1,NM24=0),25,0),INDEX('計算A'!DZ$110:DZ$114,$F24+1)+IF(AND($E24=1,NM24=0),1000,0)+IF($H24=1,(IF('計算A'!DY$117=1,INDEX('計算A'!DY$10:DY$54,$B24),0)+IF('計算A'!DZ$117=1,INDEX('計算A'!EA$10:EA$54,$B24),0))*500,0)-IF(AND('計算A'!DY$117=1,YW24&gt;0),300,0)-IF(AND($L24=1,'計算A'!DZ$117=1,HY24=0),300,0))),1000000))</f>
        <v/>
      </c>
      <c r="TC24">
        <f>IF($B24=0,1000000,IF(INDEX('計算A'!$D$60:$EQ$104,$B24,128)*HY24=1,IF(AND($E24=2,NN24=0),1000000,IF($I24&gt;0,IF(6=$J24,IF(OR(AND(128=$I24+1,OR($K24&lt;&gt;'計算A'!$A$3,'計算A'!$A$4=0)),AND(128=$I24-1,OR(8&lt;&gt;'計算A'!$A$3,'計算A'!$A$4=0))),0,IF(8=$K24,200000,ABS(8-$K24)*100)),100000+ABS(6-$J24)*1000+80)+'計算A'!EA$5*50+IF(AND($E24=1,NN24=0),25,0),INDEX('計算A'!EA$110:EA$114,$F24+1)+IF(AND($E24=1,NN24=0),1000,0)+IF($H24=1,(IF('計算A'!DZ$117=1,INDEX('計算A'!DZ$10:DZ$54,$B24),0)+IF('計算A'!EA$117=1,INDEX('計算A'!EB$10:EB$54,$B24),0))*500,0)-IF(AND('計算A'!DZ$117=1,YX24&gt;0),300,0)-IF(AND($L24=1,'計算A'!EA$117=1,HZ24=0),300,0))),1000000))</f>
        <v/>
      </c>
      <c r="TD24">
        <f>IF($B24=0,1000000,IF(INDEX('計算A'!$D$60:$EQ$104,$B24,129)*HZ24=1,IF(AND($E24=2,NO24=0),1000000,IF($I24&gt;0,IF(6=$J24,IF(OR(AND(129=$I24+1,OR($K24&lt;&gt;'計算A'!$A$3,'計算A'!$A$4=0)),AND(129=$I24-1,OR(9&lt;&gt;'計算A'!$A$3,'計算A'!$A$4=0))),0,IF(9=$K24,200000,ABS(9-$K24)*100)),100000+ABS(6-$J24)*1000+90)+'計算A'!EB$5*50+IF(AND($E24=1,NO24=0),25,0),INDEX('計算A'!EB$110:EB$114,$F24+1)+IF(AND($E24=1,NO24=0),1000,0)+IF($H24=1,(IF('計算A'!EA$117=1,INDEX('計算A'!EA$10:EA$54,$B24),0)+IF('計算A'!EB$117=1,INDEX('計算A'!EC$10:EC$54,$B24),0))*500,0)-IF(AND('計算A'!EA$117=1,YY24&gt;0),300,0)-IF(AND($L24=1,'計算A'!EB$117=1,IA24=0),300,0))),1000000))</f>
        <v/>
      </c>
      <c r="TE24">
        <f>IF($B24=0,1000000,IF(INDEX('計算A'!$D$60:$EQ$104,$B24,130)*IA24=1,IF(AND($E24=2,NP24=0),1000000,IF($I24&gt;0,IF(6=$J24,IF(OR(AND(130=$I24+1,OR($K24&lt;&gt;'計算A'!$A$3,'計算A'!$A$4=0)),AND(130=$I24-1,OR(10&lt;&gt;'計算A'!$A$3,'計算A'!$A$4=0))),0,IF(10=$K24,200000,ABS(10-$K24)*100)),100000+ABS(6-$J24)*1000+100)+'計算A'!EC$5*50+IF(AND($E24=1,NP24=0),25,0),INDEX('計算A'!EC$110:EC$114,$F24+1)+IF(AND($E24=1,NP24=0),1000,0)+IF($H24=1,(IF('計算A'!EB$117=1,INDEX('計算A'!EB$10:EB$54,$B24),0)+IF('計算A'!EC$117=1,INDEX('計算A'!ED$10:ED$54,$B24),0))*500,0)-IF(AND('計算A'!EB$117=1,YZ24&gt;0),300,0)-IF(AND($L24=1,'計算A'!EC$117=1,IB24=0),300,0))),1000000))</f>
        <v/>
      </c>
      <c r="TF24">
        <f>IF($B24=0,1000000,IF(INDEX('計算A'!$D$60:$EQ$104,$B24,131)*IB24=1,IF(AND($E24=2,NQ24=0),1000000,IF($I24&gt;0,IF(6=$J24,IF(OR(AND(131=$I24+1,OR($K24&lt;&gt;'計算A'!$A$3,'計算A'!$A$4=0)),AND(131=$I24-1,OR(11&lt;&gt;'計算A'!$A$3,'計算A'!$A$4=0))),0,IF(11=$K24,200000,ABS(11-$K24)*100)),100000+ABS(6-$J24)*1000+110)+'計算A'!ED$5*50+IF(AND($E24=1,NQ24=0),25,0),INDEX('計算A'!ED$110:ED$114,$F24+1)+IF(AND($E24=1,NQ24=0),1000,0)+IF($H24=1,(IF('計算A'!EC$117=1,INDEX('計算A'!EC$10:EC$54,$B24),0)+IF('計算A'!ED$117=1,INDEX('計算A'!EE$10:EE$54,$B24),0))*500,0)-IF(AND('計算A'!EC$117=1,ZA24&gt;0),300,0)-IF(AND($L24=1,'計算A'!ED$117=1,IC24=0),300,0))),1000000))</f>
        <v/>
      </c>
      <c r="TG24">
        <f>IF($B24=0,1000000,IF(INDEX('計算A'!$D$60:$EQ$104,$B24,132)*IC24=1,IF(AND($E24=2,NR24=0),1000000,IF($I24&gt;0,IF(6=$J24,IF(OR(AND(132=$I24+1,OR($K24&lt;&gt;'計算A'!$A$3,'計算A'!$A$4=0)),AND(132=$I24-1,OR(12&lt;&gt;'計算A'!$A$3,'計算A'!$A$4=0))),0,IF(12=$K24,200000,ABS(12-$K24)*100)),100000+ABS(6-$J24)*1000+120)+'計算A'!EE$5*50+IF(AND($E24=1,NR24=0),25,0),INDEX('計算A'!EE$110:EE$114,$F24+1)+IF(AND($E24=1,NR24=0),1000,0)+IF($H24=1,(IF('計算A'!ED$117=1,INDEX('計算A'!ED$10:ED$54,$B24),0)+IF('計算A'!EE$117=1,INDEX('計算A'!EF$10:EF$54,$B24),0))*500,0)-IF(AND('計算A'!ED$117=1,ZB24&gt;0),300,0)-IF(AND($L24=1,'計算A'!EE$117=1,ID24=0),300,0))),1000000))</f>
        <v/>
      </c>
      <c r="TH24">
        <f>IF($B24=0,1000000,IF(INDEX('計算A'!$D$60:$EQ$104,$B24,133)*ID24=1,IF(AND($E24=2,NS24=0),1000000,IF($I24&gt;0,IF(6=$J24,IF(OR(AND(133=$I24+1,OR($K24&lt;&gt;'計算A'!$A$3,'計算A'!$A$4=0)),AND(133=$I24-1,OR(13&lt;&gt;'計算A'!$A$3,'計算A'!$A$4=0))),0,IF(13=$K24,200000,ABS(13-$K24)*100)),100000+ABS(6-$J24)*1000+130)+'計算A'!EF$5*50+IF(AND($E24=1,NS24=0),25,0),INDEX('計算A'!EF$110:EF$114,$F24+1)+IF(AND($E24=1,NS24=0),1000,0)+IF($H24=1,(IF('計算A'!EE$117=1,INDEX('計算A'!EE$10:EE$54,$B24),0)+IF('計算A'!EF$117=1,INDEX('計算A'!EG$10:EG$54,$B24),0))*500,0)-IF(AND('計算A'!EE$117=1,ZC24&gt;0),300,0)-IF(AND($L24=1,'計算A'!EF$117=1,IE24=0),300,0))),1000000))</f>
        <v/>
      </c>
      <c r="TI24">
        <f>IF($B24=0,1000000,IF(INDEX('計算A'!$D$60:$EQ$104,$B24,134)*IE24=1,IF(AND($E24=2,NT24=0),1000000,IF($I24&gt;0,IF(6=$J24,IF(OR(AND(134=$I24+1,OR($K24&lt;&gt;'計算A'!$A$3,'計算A'!$A$4=0)),AND(134=$I24-1,OR(14&lt;&gt;'計算A'!$A$3,'計算A'!$A$4=0))),0,IF(14=$K24,200000,ABS(14-$K24)*100)),100000+ABS(6-$J24)*1000+140)+'計算A'!EG$5*50+IF(AND($E24=1,NT24=0),25,0),INDEX('計算A'!EG$110:EG$114,$F24+1)+IF(AND($E24=1,NT24=0),1000,0)+IF($H24=1,(IF('計算A'!EF$117=1,INDEX('計算A'!EF$10:EF$54,$B24),0)+IF('計算A'!EG$117=1,INDEX('計算A'!EH$10:EH$54,$B24),0))*500,0)-IF(AND('計算A'!EF$117=1,ZD24&gt;0),300,0)-IF(AND($L24=1,'計算A'!EG$117=1,IF24=0),300,0))),1000000))</f>
        <v/>
      </c>
      <c r="TJ24">
        <f>IF($B24=0,1000000,IF(INDEX('計算A'!$D$60:$EQ$104,$B24,135)*IF24=1,IF(AND($E24=2,NU24=0),1000000,IF($I24&gt;0,IF(6=$J24,IF(OR(AND(135=$I24+1,OR($K24&lt;&gt;'計算A'!$A$3,'計算A'!$A$4=0)),AND(135=$I24-1,OR(15&lt;&gt;'計算A'!$A$3,'計算A'!$A$4=0))),0,IF(15=$K24,200000,ABS(15-$K24)*100)),100000+ABS(6-$J24)*1000+150)+'計算A'!EH$5*50+IF(AND($E24=1,NU24=0),25,0),INDEX('計算A'!EH$110:EH$114,$F24+1)+IF(AND($E24=1,NU24=0),1000,0)+IF($H24=1,(IF('計算A'!EG$117=1,INDEX('計算A'!EG$10:EG$54,$B24),0)+IF('計算A'!EH$117=1,INDEX('計算A'!EI$10:EI$54,$B24),0))*500,0)-IF(AND('計算A'!EG$117=1,ZE24&gt;0),300,0)-IF(AND($L24=1,'計算A'!EH$117=1,IG24=0),300,0))),1000000))</f>
        <v/>
      </c>
      <c r="TK24">
        <f>IF($B24=0,1000000,IF(INDEX('計算A'!$D$60:$EQ$104,$B24,136)*IG24=1,IF(AND($E24=2,NV24=0),1000000,IF($I24&gt;0,IF(6=$J24,IF(OR(AND(136=$I24+1,OR($K24&lt;&gt;'計算A'!$A$3,'計算A'!$A$4=0)),AND(136=$I24-1,OR(16&lt;&gt;'計算A'!$A$3,'計算A'!$A$4=0))),0,IF(16=$K24,200000,ABS(16-$K24)*100)),100000+ABS(6-$J24)*1000+160)+'計算A'!EI$5*50+IF(AND($E24=1,NV24=0),25,0),INDEX('計算A'!EI$110:EI$114,$F24+1)+IF(AND($E24=1,NV24=0),1000,0)+IF($H24=1,(IF('計算A'!EH$117=1,INDEX('計算A'!EH$10:EH$54,$B24),0)+IF('計算A'!EI$117=1,INDEX('計算A'!EJ$10:EJ$54,$B24),0))*500,0)-IF(AND('計算A'!EH$117=1,ZF24&gt;0),300,0)-IF(AND($L24=1,'計算A'!EI$117=1,IH24=0),300,0))),1000000))</f>
        <v/>
      </c>
      <c r="TL24">
        <f>IF($B24=0,1000000,IF(INDEX('計算A'!$D$60:$EQ$104,$B24,137)*IH24=1,IF(AND($E24=2,NW24=0),1000000,IF($I24&gt;0,IF(6=$J24,IF(OR(AND(137=$I24+1,OR($K24&lt;&gt;'計算A'!$A$3,'計算A'!$A$4=0)),AND(137=$I24-1,OR(17&lt;&gt;'計算A'!$A$3,'計算A'!$A$4=0))),0,IF(17=$K24,200000,ABS(17-$K24)*100)),100000+ABS(6-$J24)*1000+170)+'計算A'!EJ$5*50+IF(AND($E24=1,NW24=0),25,0),INDEX('計算A'!EJ$110:EJ$114,$F24+1)+IF(AND($E24=1,NW24=0),1000,0)+IF($H24=1,(IF('計算A'!EI$117=1,INDEX('計算A'!EI$10:EI$54,$B24),0)+IF('計算A'!EJ$117=1,INDEX('計算A'!EK$10:EK$54,$B24),0))*500,0)-IF(AND('計算A'!EI$117=1,ZG24&gt;0),300,0)-IF(AND($L24=1,'計算A'!EJ$117=1,II24=0),300,0))),1000000))</f>
        <v/>
      </c>
      <c r="TM24">
        <f>IF($B24=0,1000000,IF(INDEX('計算A'!$D$60:$EQ$104,$B24,138)*II24=1,IF(AND($E24=2,NX24=0),1000000,IF($I24&gt;0,IF(6=$J24,IF(OR(AND(138=$I24+1,OR($K24&lt;&gt;'計算A'!$A$3,'計算A'!$A$4=0)),AND(138=$I24-1,OR(18&lt;&gt;'計算A'!$A$3,'計算A'!$A$4=0))),0,IF(18=$K24,200000,ABS(18-$K24)*100)),100000+ABS(6-$J24)*1000+180)+'計算A'!EK$5*50+IF(AND($E24=1,NX24=0),25,0),INDEX('計算A'!EK$110:EK$114,$F24+1)+IF(AND($E24=1,NX24=0),1000,0)+IF($H24=1,(IF('計算A'!EJ$117=1,INDEX('計算A'!EJ$10:EJ$54,$B24),0)+IF('計算A'!EK$117=1,INDEX('計算A'!EL$10:EL$54,$B24),0))*500,0)-IF(AND('計算A'!EJ$117=1,ZH24&gt;0),300,0)-IF(AND($L24=1,'計算A'!EK$117=1,IJ24=0),300,0))),1000000))</f>
        <v/>
      </c>
      <c r="TN24">
        <f>IF($B24=0,1000000,IF(INDEX('計算A'!$D$60:$EQ$104,$B24,139)*IJ24=1,IF(AND($E24=2,NY24=0),1000000,IF($I24&gt;0,IF(6=$J24,IF(OR(AND(139=$I24+1,OR($K24&lt;&gt;'計算A'!$A$3,'計算A'!$A$4=0)),AND(139=$I24-1,OR(19&lt;&gt;'計算A'!$A$3,'計算A'!$A$4=0))),0,IF(19=$K24,200000,ABS(19-$K24)*100)),100000+ABS(6-$J24)*1000+190)+'計算A'!EL$5*50+IF(AND($E24=1,NY24=0),25,0),INDEX('計算A'!EL$110:EL$114,$F24+1)+IF(AND($E24=1,NY24=0),1000,0)+IF($H24=1,(IF('計算A'!EK$117=1,INDEX('計算A'!EK$10:EK$54,$B24),0)+IF('計算A'!EL$117=1,INDEX('計算A'!EM$10:EM$54,$B24),0))*500,0)-IF(AND('計算A'!EK$117=1,ZI24&gt;0),300,0)-IF(AND($L24=1,'計算A'!EL$117=1,IK24=0),300,0))),1000000))</f>
        <v/>
      </c>
      <c r="TO24">
        <f>IF($B24=0,1000000,IF(INDEX('計算A'!$D$60:$EQ$104,$B24,140)*IK24=1,IF(AND($E24=2,NZ24=0),1000000,IF($I24&gt;0,IF(6=$J24,IF(OR(AND(140=$I24+1,OR($K24&lt;&gt;'計算A'!$A$3,'計算A'!$A$4=0)),AND(140=$I24-1,OR(20&lt;&gt;'計算A'!$A$3,'計算A'!$A$4=0))),0,IF(20=$K24,200000,ABS(20-$K24)*100)),100000+ABS(6-$J24)*1000+200)+'計算A'!EM$5*50+IF(AND($E24=1,NZ24=0),25,0),INDEX('計算A'!EM$110:EM$114,$F24+1)+IF(AND($E24=1,NZ24=0),1000,0)+IF($H24=1,(IF('計算A'!EL$117=1,INDEX('計算A'!EL$10:EL$54,$B24),0)+IF('計算A'!EM$117=1,INDEX('計算A'!EN$10:EN$54,$B24),0))*500,0)-IF(AND('計算A'!EL$117=1,ZJ24&gt;0),300,0)-IF(AND($L24=1,'計算A'!EM$117=1,IL24=0),300,0))),1000000))</f>
        <v/>
      </c>
      <c r="TP24">
        <f>IF($B24=0,1000000,IF(INDEX('計算A'!$D$60:$EQ$104,$B24,141)*IL24=1,IF(AND($E24=2,OA24=0),1000000,IF($I24&gt;0,IF(6=$J24,IF(OR(AND(141=$I24+1,OR($K24&lt;&gt;'計算A'!$A$3,'計算A'!$A$4=0)),AND(141=$I24-1,OR(21&lt;&gt;'計算A'!$A$3,'計算A'!$A$4=0))),0,IF(21=$K24,200000,ABS(21-$K24)*100)),100000+ABS(6-$J24)*1000+210)+'計算A'!EN$5*50+IF(AND($E24=1,OA24=0),25,0),INDEX('計算A'!EN$110:EN$114,$F24+1)+IF(AND($E24=1,OA24=0),1000,0)+IF($H24=1,(IF('計算A'!EM$117=1,INDEX('計算A'!EM$10:EM$54,$B24),0)+IF('計算A'!EN$117=1,INDEX('計算A'!EO$10:EO$54,$B24),0))*500,0)-IF(AND('計算A'!EM$117=1,ZK24&gt;0),300,0)-IF(AND($L24=1,'計算A'!EN$117=1,IM24=0),300,0))),1000000))</f>
        <v/>
      </c>
      <c r="TQ24">
        <f>IF($B24=0,1000000,IF(INDEX('計算A'!$D$60:$EQ$104,$B24,142)*IM24=1,IF(AND($E24=2,OB24=0),1000000,IF($I24&gt;0,IF(6=$J24,IF(OR(AND(142=$I24+1,OR($K24&lt;&gt;'計算A'!$A$3,'計算A'!$A$4=0)),AND(142=$I24-1,OR(22&lt;&gt;'計算A'!$A$3,'計算A'!$A$4=0))),0,IF(22=$K24,200000,ABS(22-$K24)*100)),100000+ABS(6-$J24)*1000+220)+'計算A'!EO$5*50+IF(AND($E24=1,OB24=0),25,0),INDEX('計算A'!EO$110:EO$114,$F24+1)+IF(AND($E24=1,OB24=0),1000,0)+IF($H24=1,(IF('計算A'!EN$117=1,INDEX('計算A'!EN$10:EN$54,$B24),0)+IF('計算A'!EO$117=1,INDEX('計算A'!EP$10:EP$54,$B24),0))*500,0)-IF(AND('計算A'!EN$117=1,ZL24&gt;0),300,0)-IF(AND($L24=1,'計算A'!EO$117=1,IN24=0),300,0))),1000000))</f>
        <v/>
      </c>
      <c r="TR24">
        <f>IF($B24=0,1000000,IF(INDEX('計算A'!$D$60:$EQ$104,$B24,143)*IN24=1,IF(AND($E24=2,OC24=0),1000000,IF($I24&gt;0,IF(6=$J24,IF(OR(AND(143=$I24+1,OR($K24&lt;&gt;'計算A'!$A$3,'計算A'!$A$4=0)),AND(143=$I24-1,OR(23&lt;&gt;'計算A'!$A$3,'計算A'!$A$4=0))),0,IF(23=$K24,200000,ABS(23-$K24)*100)),100000+ABS(6-$J24)*1000+230)+'計算A'!EP$5*50+IF(AND($E24=1,OC24=0),25,0),INDEX('計算A'!EP$110:EP$114,$F24+1)+IF(AND($E24=1,OC24=0),1000,0)+IF($H24=1,(IF('計算A'!EO$117=1,INDEX('計算A'!EO$10:EO$54,$B24),0)+IF('計算A'!EP$117=1,INDEX('計算A'!EQ$10:EQ$54,$B24),0))*500,0)-IF(AND('計算A'!EO$117=1,ZM24&gt;0),300,0)-IF(AND($L24=1,'計算A'!EP$117=1,IO24=0),300,0))),1000000))</f>
        <v/>
      </c>
      <c r="TS24">
        <f>IF($B24=0,1000000,IF(INDEX('計算A'!$D$60:$EQ$104,$B24,144)*IO24=1,IF(AND($E24=2,OD24=0),1000000,IF($I24&gt;0,IF(6=$J24,IF(OR(AND(144=$I24+1,OR($K24&lt;&gt;'計算A'!$A$3,'計算A'!$A$4=0)),AND(144=$I24-1,OR(24&lt;&gt;'計算A'!$A$3,'計算A'!$A$4=0))),0,IF(24=$K24,200000,ABS(24-$K24)*100)),100000+ABS(6-$J24)*1000+240)+'計算A'!EQ$5*50+IF(AND($E24=1,OD24=0),25,0),INDEX('計算A'!EQ$110:EQ$114,$F24+1)+IF(AND($E24=1,OD24=0),1000,0)+IF($H24=1,(IF('計算A'!EP$117=1,INDEX('計算A'!EP$10:EP$54,$B24),0))*500,0)-IF(AND('計算A'!EP$117=1,ZN24&gt;0),300,0))),1000000))</f>
        <v/>
      </c>
      <c r="UB24">
        <f>UB23+IF(AND($C23=1,$L23=1),1,0)</f>
        <v/>
      </c>
      <c r="UC24">
        <f>UC23+IF(AND($C23=2,$L23=1),1,0)</f>
        <v/>
      </c>
      <c r="UD24">
        <f>UD23+IF(AND($C23=3,$L23=1),1,0)</f>
        <v/>
      </c>
      <c r="UE24">
        <f>UE23+IF(AND($C23=4,$L23=1),1,0)</f>
        <v/>
      </c>
      <c r="UF24">
        <f>UF23+IF(AND($C23=5,$L23=1),1,0)</f>
        <v/>
      </c>
      <c r="UG24">
        <f>UG23+IF(AND($C23=6,$L23=1),1,0)</f>
        <v/>
      </c>
      <c r="UH24">
        <f>UH23+IF(AND($C23=7,$L23=1),1,0)</f>
        <v/>
      </c>
      <c r="UI24">
        <f>UI23+IF(AND($C23=8,$L23=1),1,0)</f>
        <v/>
      </c>
      <c r="UJ24">
        <f>UJ23+IF(AND($C23=9,$L23=1),1,0)</f>
        <v/>
      </c>
      <c r="UK24">
        <f>UK23+IF(AND($C23=10,$L23=1),1,0)</f>
        <v/>
      </c>
      <c r="UL24">
        <f>UL23+IF(AND($C23=11,$L23=1),1,0)</f>
        <v/>
      </c>
      <c r="UM24">
        <f>UM23+IF(AND($C23=12,$L23=1),1,0)</f>
        <v/>
      </c>
      <c r="UN24">
        <f>UN23+IF(AND($C23=13,$L23=1),1,0)</f>
        <v/>
      </c>
      <c r="UO24">
        <f>UO23+IF(AND($C23=14,$L23=1),1,0)</f>
        <v/>
      </c>
      <c r="UP24">
        <f>UP23+IF(AND($C23=15,$L23=1),1,0)</f>
        <v/>
      </c>
      <c r="UQ24">
        <f>UQ23+IF(AND($C23=16,$L23=1),1,0)</f>
        <v/>
      </c>
      <c r="UR24">
        <f>UR23+IF(AND($C23=17,$L23=1),1,0)</f>
        <v/>
      </c>
      <c r="US24">
        <f>US23+IF(AND($C23=18,$L23=1),1,0)</f>
        <v/>
      </c>
      <c r="UT24">
        <f>UT23+IF(AND($C23=19,$L23=1),1,0)</f>
        <v/>
      </c>
      <c r="UU24">
        <f>UU23+IF(AND($C23=20,$L23=1),1,0)</f>
        <v/>
      </c>
      <c r="UV24">
        <f>UV23+IF(AND($C23=21,$L23=1),1,0)</f>
        <v/>
      </c>
      <c r="UW24">
        <f>UW23+IF(AND($C23=22,$L23=1),1,0)</f>
        <v/>
      </c>
      <c r="UX24">
        <f>UX23+IF(AND($C23=23,$L23=1),1,0)</f>
        <v/>
      </c>
      <c r="UY24">
        <f>UY23+IF(AND($C23=24,$L23=1),1,0)</f>
        <v/>
      </c>
      <c r="UZ24">
        <f>UZ23+IF(AND($C23=25,$L23=1),1,0)</f>
        <v/>
      </c>
      <c r="VA24">
        <f>VA23+IF(AND($C23=26,$L23=1),1,0)</f>
        <v/>
      </c>
      <c r="VB24">
        <f>VB23+IF(AND($C23=27,$L23=1),1,0)</f>
        <v/>
      </c>
      <c r="VC24">
        <f>VC23+IF(AND($C23=28,$L23=1),1,0)</f>
        <v/>
      </c>
      <c r="VD24">
        <f>VD23+IF(AND($C23=29,$L23=1),1,0)</f>
        <v/>
      </c>
      <c r="VE24">
        <f>VE23+IF(AND($C23=30,$L23=1),1,0)</f>
        <v/>
      </c>
      <c r="VF24">
        <f>VF23+IF(AND($C23=31,$L23=1),1,0)</f>
        <v/>
      </c>
      <c r="VG24">
        <f>VG23+IF(AND($C23=32,$L23=1),1,0)</f>
        <v/>
      </c>
      <c r="VH24">
        <f>VH23+IF(AND($C23=33,$L23=1),1,0)</f>
        <v/>
      </c>
      <c r="VI24">
        <f>VI23+IF(AND($C23=34,$L23=1),1,0)</f>
        <v/>
      </c>
      <c r="VJ24">
        <f>VJ23+IF(AND($C23=35,$L23=1),1,0)</f>
        <v/>
      </c>
      <c r="VK24">
        <f>VK23+IF(AND($C23=36,$L23=1),1,0)</f>
        <v/>
      </c>
      <c r="VL24">
        <f>VL23+IF(AND($C23=37,$L23=1),1,0)</f>
        <v/>
      </c>
      <c r="VM24">
        <f>VM23+IF(AND($C23=38,$L23=1),1,0)</f>
        <v/>
      </c>
      <c r="VN24">
        <f>VN23+IF(AND($C23=39,$L23=1),1,0)</f>
        <v/>
      </c>
      <c r="VO24">
        <f>VO23+IF(AND($C23=40,$L23=1),1,0)</f>
        <v/>
      </c>
      <c r="VP24">
        <f>VP23+IF(AND($C23=41,$L23=1),1,0)</f>
        <v/>
      </c>
      <c r="VQ24">
        <f>VQ23+IF(AND($C23=42,$L23=1),1,0)</f>
        <v/>
      </c>
      <c r="VR24">
        <f>VR23+IF(AND($C23=43,$L23=1),1,0)</f>
        <v/>
      </c>
      <c r="VS24">
        <f>VS23+IF(AND($C23=44,$L23=1),1,0)</f>
        <v/>
      </c>
      <c r="VT24">
        <f>VT23+IF(AND($C23=45,$L23=1),1,0)</f>
        <v/>
      </c>
      <c r="VU24">
        <f>VU23+IF(AND($C23=46,$L23=1),1,0)</f>
        <v/>
      </c>
      <c r="VV24">
        <f>VV23+IF(AND($C23=47,$L23=1),1,0)</f>
        <v/>
      </c>
      <c r="VW24">
        <f>VW23+IF(AND($C23=48,$L23=1),1,0)</f>
        <v/>
      </c>
      <c r="VX24">
        <f>VX23+IF(AND($C23=49,$L23=1),1,0)</f>
        <v/>
      </c>
      <c r="VY24">
        <f>VY23+IF(AND($C23=50,$L23=1),1,0)</f>
        <v/>
      </c>
      <c r="VZ24">
        <f>VZ23+IF(AND($C23=51,$L23=1),1,0)</f>
        <v/>
      </c>
      <c r="WA24">
        <f>WA23+IF(AND($C23=52,$L23=1),1,0)</f>
        <v/>
      </c>
      <c r="WB24">
        <f>WB23+IF(AND($C23=53,$L23=1),1,0)</f>
        <v/>
      </c>
      <c r="WC24">
        <f>WC23+IF(AND($C23=54,$L23=1),1,0)</f>
        <v/>
      </c>
      <c r="WD24">
        <f>WD23+IF(AND($C23=55,$L23=1),1,0)</f>
        <v/>
      </c>
      <c r="WE24">
        <f>WE23+IF(AND($C23=56,$L23=1),1,0)</f>
        <v/>
      </c>
      <c r="WF24">
        <f>WF23+IF(AND($C23=57,$L23=1),1,0)</f>
        <v/>
      </c>
      <c r="WG24">
        <f>WG23+IF(AND($C23=58,$L23=1),1,0)</f>
        <v/>
      </c>
      <c r="WH24">
        <f>WH23+IF(AND($C23=59,$L23=1),1,0)</f>
        <v/>
      </c>
      <c r="WI24">
        <f>WI23+IF(AND($C23=60,$L23=1),1,0)</f>
        <v/>
      </c>
      <c r="WJ24">
        <f>WJ23+IF(AND($C23=61,$L23=1),1,0)</f>
        <v/>
      </c>
      <c r="WK24">
        <f>WK23+IF(AND($C23=62,$L23=1),1,0)</f>
        <v/>
      </c>
      <c r="WL24">
        <f>WL23+IF(AND($C23=63,$L23=1),1,0)</f>
        <v/>
      </c>
      <c r="WM24">
        <f>WM23+IF(AND($C23=64,$L23=1),1,0)</f>
        <v/>
      </c>
      <c r="WN24">
        <f>WN23+IF(AND($C23=65,$L23=1),1,0)</f>
        <v/>
      </c>
      <c r="WO24">
        <f>WO23+IF(AND($C23=66,$L23=1),1,0)</f>
        <v/>
      </c>
      <c r="WP24">
        <f>WP23+IF(AND($C23=67,$L23=1),1,0)</f>
        <v/>
      </c>
      <c r="WQ24">
        <f>WQ23+IF(AND($C23=68,$L23=1),1,0)</f>
        <v/>
      </c>
      <c r="WR24">
        <f>WR23+IF(AND($C23=69,$L23=1),1,0)</f>
        <v/>
      </c>
      <c r="WS24">
        <f>WS23+IF(AND($C23=70,$L23=1),1,0)</f>
        <v/>
      </c>
      <c r="WT24">
        <f>WT23+IF(AND($C23=71,$L23=1),1,0)</f>
        <v/>
      </c>
      <c r="WU24">
        <f>WU23+IF(AND($C23=72,$L23=1),1,0)</f>
        <v/>
      </c>
      <c r="WV24">
        <f>WV23+IF(AND($C23=73,$L23=1),1,0)</f>
        <v/>
      </c>
      <c r="WW24">
        <f>WW23+IF(AND($C23=74,$L23=1),1,0)</f>
        <v/>
      </c>
      <c r="WX24">
        <f>WX23+IF(AND($C23=75,$L23=1),1,0)</f>
        <v/>
      </c>
      <c r="WY24">
        <f>WY23+IF(AND($C23=76,$L23=1),1,0)</f>
        <v/>
      </c>
      <c r="WZ24">
        <f>WZ23+IF(AND($C23=77,$L23=1),1,0)</f>
        <v/>
      </c>
      <c r="XA24">
        <f>XA23+IF(AND($C23=78,$L23=1),1,0)</f>
        <v/>
      </c>
      <c r="XB24">
        <f>XB23+IF(AND($C23=79,$L23=1),1,0)</f>
        <v/>
      </c>
      <c r="XC24">
        <f>XC23+IF(AND($C23=80,$L23=1),1,0)</f>
        <v/>
      </c>
      <c r="XD24">
        <f>XD23+IF(AND($C23=81,$L23=1),1,0)</f>
        <v/>
      </c>
      <c r="XE24">
        <f>XE23+IF(AND($C23=82,$L23=1),1,0)</f>
        <v/>
      </c>
      <c r="XF24">
        <f>XF23+IF(AND($C23=83,$L23=1),1,0)</f>
        <v/>
      </c>
      <c r="XG24">
        <f>XG23+IF(AND($C23=84,$L23=1),1,0)</f>
        <v/>
      </c>
      <c r="XH24">
        <f>XH23+IF(AND($C23=85,$L23=1),1,0)</f>
        <v/>
      </c>
      <c r="XI24">
        <f>XI23+IF(AND($C23=86,$L23=1),1,0)</f>
        <v/>
      </c>
      <c r="XJ24">
        <f>XJ23+IF(AND($C23=87,$L23=1),1,0)</f>
        <v/>
      </c>
      <c r="XK24">
        <f>XK23+IF(AND($C23=88,$L23=1),1,0)</f>
        <v/>
      </c>
      <c r="XL24">
        <f>XL23+IF(AND($C23=89,$L23=1),1,0)</f>
        <v/>
      </c>
      <c r="XM24">
        <f>XM23+IF(AND($C23=90,$L23=1),1,0)</f>
        <v/>
      </c>
      <c r="XN24">
        <f>XN23+IF(AND($C23=91,$L23=1),1,0)</f>
        <v/>
      </c>
      <c r="XO24">
        <f>XO23+IF(AND($C23=92,$L23=1),1,0)</f>
        <v/>
      </c>
      <c r="XP24">
        <f>XP23+IF(AND($C23=93,$L23=1),1,0)</f>
        <v/>
      </c>
      <c r="XQ24">
        <f>XQ23+IF(AND($C23=94,$L23=1),1,0)</f>
        <v/>
      </c>
      <c r="XR24">
        <f>XR23+IF(AND($C23=95,$L23=1),1,0)</f>
        <v/>
      </c>
      <c r="XS24">
        <f>XS23+IF(AND($C23=96,$L23=1),1,0)</f>
        <v/>
      </c>
      <c r="XT24">
        <f>XT23+IF(AND($C23=97,$L23=1),1,0)</f>
        <v/>
      </c>
      <c r="XU24">
        <f>XU23+IF(AND($C23=98,$L23=1),1,0)</f>
        <v/>
      </c>
      <c r="XV24">
        <f>XV23+IF(AND($C23=99,$L23=1),1,0)</f>
        <v/>
      </c>
      <c r="XW24">
        <f>XW23+IF(AND($C23=100,$L23=1),1,0)</f>
        <v/>
      </c>
      <c r="XX24">
        <f>XX23+IF(AND($C23=101,$L23=1),1,0)</f>
        <v/>
      </c>
      <c r="XY24">
        <f>XY23+IF(AND($C23=102,$L23=1),1,0)</f>
        <v/>
      </c>
      <c r="XZ24">
        <f>XZ23+IF(AND($C23=103,$L23=1),1,0)</f>
        <v/>
      </c>
      <c r="YA24">
        <f>YA23+IF(AND($C23=104,$L23=1),1,0)</f>
        <v/>
      </c>
      <c r="YB24">
        <f>YB23+IF(AND($C23=105,$L23=1),1,0)</f>
        <v/>
      </c>
      <c r="YC24">
        <f>YC23+IF(AND($C23=106,$L23=1),1,0)</f>
        <v/>
      </c>
      <c r="YD24">
        <f>YD23+IF(AND($C23=107,$L23=1),1,0)</f>
        <v/>
      </c>
      <c r="YE24">
        <f>YE23+IF(AND($C23=108,$L23=1),1,0)</f>
        <v/>
      </c>
      <c r="YF24">
        <f>YF23+IF(AND($C23=109,$L23=1),1,0)</f>
        <v/>
      </c>
      <c r="YG24">
        <f>YG23+IF(AND($C23=110,$L23=1),1,0)</f>
        <v/>
      </c>
      <c r="YH24">
        <f>YH23+IF(AND($C23=111,$L23=1),1,0)</f>
        <v/>
      </c>
      <c r="YI24">
        <f>YI23+IF(AND($C23=112,$L23=1),1,0)</f>
        <v/>
      </c>
      <c r="YJ24">
        <f>YJ23+IF(AND($C23=113,$L23=1),1,0)</f>
        <v/>
      </c>
      <c r="YK24">
        <f>YK23+IF(AND($C23=114,$L23=1),1,0)</f>
        <v/>
      </c>
      <c r="YL24">
        <f>YL23+IF(AND($C23=115,$L23=1),1,0)</f>
        <v/>
      </c>
      <c r="YM24">
        <f>YM23+IF(AND($C23=116,$L23=1),1,0)</f>
        <v/>
      </c>
      <c r="YN24">
        <f>YN23+IF(AND($C23=117,$L23=1),1,0)</f>
        <v/>
      </c>
      <c r="YO24">
        <f>YO23+IF(AND($C23=118,$L23=1),1,0)</f>
        <v/>
      </c>
      <c r="YP24">
        <f>YP23+IF(AND($C23=119,$L23=1),1,0)</f>
        <v/>
      </c>
      <c r="YQ24">
        <f>YQ23+IF(AND($C23=120,$L23=1),1,0)</f>
        <v/>
      </c>
      <c r="YR24">
        <f>YR23+IF(AND($C23=121,$L23=1),1,0)</f>
        <v/>
      </c>
      <c r="YS24">
        <f>YS23+IF(AND($C23=122,$L23=1),1,0)</f>
        <v/>
      </c>
      <c r="YT24">
        <f>YT23+IF(AND($C23=123,$L23=1),1,0)</f>
        <v/>
      </c>
      <c r="YU24">
        <f>YU23+IF(AND($C23=124,$L23=1),1,0)</f>
        <v/>
      </c>
      <c r="YV24">
        <f>YV23+IF(AND($C23=125,$L23=1),1,0)</f>
        <v/>
      </c>
      <c r="YW24">
        <f>YW23+IF(AND($C23=126,$L23=1),1,0)</f>
        <v/>
      </c>
      <c r="YX24">
        <f>YX23+IF(AND($C23=127,$L23=1),1,0)</f>
        <v/>
      </c>
      <c r="YY24">
        <f>YY23+IF(AND($C23=128,$L23=1),1,0)</f>
        <v/>
      </c>
      <c r="YZ24">
        <f>YZ23+IF(AND($C23=129,$L23=1),1,0)</f>
        <v/>
      </c>
      <c r="ZA24">
        <f>ZA23+IF(AND($C23=130,$L23=1),1,0)</f>
        <v/>
      </c>
      <c r="ZB24">
        <f>ZB23+IF(AND($C23=131,$L23=1),1,0)</f>
        <v/>
      </c>
      <c r="ZC24">
        <f>ZC23+IF(AND($C23=132,$L23=1),1,0)</f>
        <v/>
      </c>
      <c r="ZD24">
        <f>ZD23+IF(AND($C23=133,$L23=1),1,0)</f>
        <v/>
      </c>
      <c r="ZE24">
        <f>ZE23+IF(AND($C23=134,$L23=1),1,0)</f>
        <v/>
      </c>
      <c r="ZF24">
        <f>ZF23+IF(AND($C23=135,$L23=1),1,0)</f>
        <v/>
      </c>
      <c r="ZG24">
        <f>ZG23+IF(AND($C23=136,$L23=1),1,0)</f>
        <v/>
      </c>
      <c r="ZH24">
        <f>ZH23+IF(AND($C23=137,$L23=1),1,0)</f>
        <v/>
      </c>
      <c r="ZI24">
        <f>ZI23+IF(AND($C23=138,$L23=1),1,0)</f>
        <v/>
      </c>
      <c r="ZJ24">
        <f>ZJ23+IF(AND($C23=139,$L23=1),1,0)</f>
        <v/>
      </c>
      <c r="ZK24">
        <f>ZK23+IF(AND($C23=140,$L23=1),1,0)</f>
        <v/>
      </c>
      <c r="ZL24">
        <f>ZL23+IF(AND($C23=141,$L23=1),1,0)</f>
        <v/>
      </c>
      <c r="ZM24">
        <f>ZM23+IF(AND($C23=142,$L23=1),1,0)</f>
        <v/>
      </c>
      <c r="ZN24">
        <f>ZN23+IF(AND($C23=143,$L23=1),1,0)</f>
        <v/>
      </c>
      <c r="ZO24">
        <f>ZO23+IF(AND($C23=144,$L23=1),1,0)</f>
        <v/>
      </c>
    </row>
    <row r="25">
      <c r="A25" t="n">
        <v>23</v>
      </c>
      <c r="B25">
        <f>IF(MIN(BH25:CZ25)&gt;=1000000,0,MATCH(MIN(BH25:CZ25),BH25:CZ25,0))</f>
        <v/>
      </c>
      <c r="C25">
        <f>IF(MIN(OF25:TS25)&gt;=1000000,0,MATCH(MIN(OF25:TS25),OF25:TS25,0))</f>
        <v/>
      </c>
      <c r="D25">
        <f>IF(C25&gt;0,INDEX('計算A'!$D$5:$EQ$5,C25),0)</f>
        <v/>
      </c>
      <c r="E25">
        <f>IF(B25=0,0,INDEX('計算A'!$IQ$10:$IQ$54,B25))</f>
        <v/>
      </c>
      <c r="F25">
        <f>IF(B25=0,0,INDEX('計算A'!$IP$10:$IP$54,B25))</f>
        <v/>
      </c>
      <c r="G25">
        <f>IF(AND(C25&gt;0,E25&gt;0),IF(AND(INDEX('計算A'!$D$106:$EQ$106,C25)=1,INDEX($IQ25:$OD25,C25)=1),C25+1,0),0)</f>
        <v/>
      </c>
      <c r="H25">
        <f>IF(B25=0,0,INDEX('計算A'!$IW$10:$IW$54,B25))</f>
        <v/>
      </c>
      <c r="I25">
        <f>IF(B25=0,0,MAX(0,INDEX('計算A'!$IT$10:$IT$54,B25)))</f>
        <v/>
      </c>
      <c r="J25">
        <f>IF(I25=0,0,INDEX('計算A'!$D$2:$EQ$2,I25))</f>
        <v/>
      </c>
      <c r="K25">
        <f>IF(I25=0,0,INDEX('計算A'!$D$3:$EQ$3,I25))</f>
        <v/>
      </c>
      <c r="L25">
        <f>IF(B25=0,0,INDEX('計算A'!$IX$10:$IX$54,B25))</f>
        <v/>
      </c>
      <c r="N25">
        <f>MAX(N24,IF($B24=1,1,0))</f>
        <v/>
      </c>
      <c r="O25">
        <f>MAX(O24,IF($B24=2,1,0))</f>
        <v/>
      </c>
      <c r="P25">
        <f>MAX(P24,IF($B24=3,1,0))</f>
        <v/>
      </c>
      <c r="Q25">
        <f>MAX(Q24,IF($B24=4,1,0))</f>
        <v/>
      </c>
      <c r="R25">
        <f>MAX(R24,IF($B24=5,1,0))</f>
        <v/>
      </c>
      <c r="S25">
        <f>MAX(S24,IF($B24=6,1,0))</f>
        <v/>
      </c>
      <c r="T25">
        <f>MAX(T24,IF($B24=7,1,0))</f>
        <v/>
      </c>
      <c r="U25">
        <f>MAX(U24,IF($B24=8,1,0))</f>
        <v/>
      </c>
      <c r="V25">
        <f>MAX(V24,IF($B24=9,1,0))</f>
        <v/>
      </c>
      <c r="W25">
        <f>MAX(W24,IF($B24=10,1,0))</f>
        <v/>
      </c>
      <c r="X25">
        <f>MAX(X24,IF($B24=11,1,0))</f>
        <v/>
      </c>
      <c r="Y25">
        <f>MAX(Y24,IF($B24=12,1,0))</f>
        <v/>
      </c>
      <c r="Z25">
        <f>MAX(Z24,IF($B24=13,1,0))</f>
        <v/>
      </c>
      <c r="AA25">
        <f>MAX(AA24,IF($B24=14,1,0))</f>
        <v/>
      </c>
      <c r="AB25">
        <f>MAX(AB24,IF($B24=15,1,0))</f>
        <v/>
      </c>
      <c r="AC25">
        <f>MAX(AC24,IF($B24=16,1,0))</f>
        <v/>
      </c>
      <c r="AD25">
        <f>MAX(AD24,IF($B24=17,1,0))</f>
        <v/>
      </c>
      <c r="AE25">
        <f>MAX(AE24,IF($B24=18,1,0))</f>
        <v/>
      </c>
      <c r="AF25">
        <f>MAX(AF24,IF($B24=19,1,0))</f>
        <v/>
      </c>
      <c r="AG25">
        <f>MAX(AG24,IF($B24=20,1,0))</f>
        <v/>
      </c>
      <c r="AH25">
        <f>MAX(AH24,IF($B24=21,1,0))</f>
        <v/>
      </c>
      <c r="AI25">
        <f>MAX(AI24,IF($B24=22,1,0))</f>
        <v/>
      </c>
      <c r="AJ25">
        <f>MAX(AJ24,IF($B24=23,1,0))</f>
        <v/>
      </c>
      <c r="AK25">
        <f>MAX(AK24,IF($B24=24,1,0))</f>
        <v/>
      </c>
      <c r="AL25">
        <f>MAX(AL24,IF($B24=25,1,0))</f>
        <v/>
      </c>
      <c r="AM25">
        <f>MAX(AM24,IF($B24=26,1,0))</f>
        <v/>
      </c>
      <c r="AN25">
        <f>MAX(AN24,IF($B24=27,1,0))</f>
        <v/>
      </c>
      <c r="AO25">
        <f>MAX(AO24,IF($B24=28,1,0))</f>
        <v/>
      </c>
      <c r="AP25">
        <f>MAX(AP24,IF($B24=29,1,0))</f>
        <v/>
      </c>
      <c r="AQ25">
        <f>MAX(AQ24,IF($B24=30,1,0))</f>
        <v/>
      </c>
      <c r="AR25">
        <f>MAX(AR24,IF($B24=31,1,0))</f>
        <v/>
      </c>
      <c r="AS25">
        <f>MAX(AS24,IF($B24=32,1,0))</f>
        <v/>
      </c>
      <c r="AT25">
        <f>MAX(AT24,IF($B24=33,1,0))</f>
        <v/>
      </c>
      <c r="AU25">
        <f>MAX(AU24,IF($B24=34,1,0))</f>
        <v/>
      </c>
      <c r="AV25">
        <f>MAX(AV24,IF($B24=35,1,0))</f>
        <v/>
      </c>
      <c r="AW25">
        <f>MAX(AW24,IF($B24=36,1,0))</f>
        <v/>
      </c>
      <c r="AX25">
        <f>MAX(AX24,IF($B24=37,1,0))</f>
        <v/>
      </c>
      <c r="AY25">
        <f>MAX(AY24,IF($B24=38,1,0))</f>
        <v/>
      </c>
      <c r="AZ25">
        <f>MAX(AZ24,IF($B24=39,1,0))</f>
        <v/>
      </c>
      <c r="BA25">
        <f>MAX(BA24,IF($B24=40,1,0))</f>
        <v/>
      </c>
      <c r="BB25">
        <f>MAX(BB24,IF($B24=41,1,0))</f>
        <v/>
      </c>
      <c r="BC25">
        <f>MAX(BC24,IF($B24=42,1,0))</f>
        <v/>
      </c>
      <c r="BD25">
        <f>MAX(BD24,IF($B24=43,1,0))</f>
        <v/>
      </c>
      <c r="BE25">
        <f>MAX(BE24,IF($B24=44,1,0))</f>
        <v/>
      </c>
      <c r="BF25">
        <f>MAX(BF24,IF($B24=45,1,0))</f>
        <v/>
      </c>
      <c r="BH25">
        <f>IF(N25=1,1000000,IF('計算A'!$IT$10&gt;0,0,500000)+IF('計算A'!$IQ$10=2,SUMPRODUCT('計算A'!$D$60:$EQ$60,$DB25:$IO25,$IQ25:$OD25),SUMPRODUCT('計算A'!$D$60:$EQ$60,$DB25:$IO25))*1000+1)</f>
        <v/>
      </c>
      <c r="BI25">
        <f>IF(O25=1,1000000,IF('計算A'!$IT$11&gt;0,0,500000)+IF('計算A'!$IQ$11=2,SUMPRODUCT('計算A'!$D$61:$EQ$61,$DB25:$IO25,$IQ25:$OD25),SUMPRODUCT('計算A'!$D$61:$EQ$61,$DB25:$IO25))*1000+2)</f>
        <v/>
      </c>
      <c r="BJ25">
        <f>IF(P25=1,1000000,IF('計算A'!$IT$12&gt;0,0,500000)+IF('計算A'!$IQ$12=2,SUMPRODUCT('計算A'!$D$62:$EQ$62,$DB25:$IO25,$IQ25:$OD25),SUMPRODUCT('計算A'!$D$62:$EQ$62,$DB25:$IO25))*1000+3)</f>
        <v/>
      </c>
      <c r="BK25">
        <f>IF(Q25=1,1000000,IF('計算A'!$IT$13&gt;0,0,500000)+IF('計算A'!$IQ$13=2,SUMPRODUCT('計算A'!$D$63:$EQ$63,$DB25:$IO25,$IQ25:$OD25),SUMPRODUCT('計算A'!$D$63:$EQ$63,$DB25:$IO25))*1000+4)</f>
        <v/>
      </c>
      <c r="BL25">
        <f>IF(R25=1,1000000,IF('計算A'!$IT$14&gt;0,0,500000)+IF('計算A'!$IQ$14=2,SUMPRODUCT('計算A'!$D$64:$EQ$64,$DB25:$IO25,$IQ25:$OD25),SUMPRODUCT('計算A'!$D$64:$EQ$64,$DB25:$IO25))*1000+5)</f>
        <v/>
      </c>
      <c r="BM25">
        <f>IF(S25=1,1000000,IF('計算A'!$IT$15&gt;0,0,500000)+IF('計算A'!$IQ$15=2,SUMPRODUCT('計算A'!$D$65:$EQ$65,$DB25:$IO25,$IQ25:$OD25),SUMPRODUCT('計算A'!$D$65:$EQ$65,$DB25:$IO25))*1000+6)</f>
        <v/>
      </c>
      <c r="BN25">
        <f>IF(T25=1,1000000,IF('計算A'!$IT$16&gt;0,0,500000)+IF('計算A'!$IQ$16=2,SUMPRODUCT('計算A'!$D$66:$EQ$66,$DB25:$IO25,$IQ25:$OD25),SUMPRODUCT('計算A'!$D$66:$EQ$66,$DB25:$IO25))*1000+7)</f>
        <v/>
      </c>
      <c r="BO25">
        <f>IF(U25=1,1000000,IF('計算A'!$IT$17&gt;0,0,500000)+IF('計算A'!$IQ$17=2,SUMPRODUCT('計算A'!$D$67:$EQ$67,$DB25:$IO25,$IQ25:$OD25),SUMPRODUCT('計算A'!$D$67:$EQ$67,$DB25:$IO25))*1000+8)</f>
        <v/>
      </c>
      <c r="BP25">
        <f>IF(V25=1,1000000,IF('計算A'!$IT$18&gt;0,0,500000)+IF('計算A'!$IQ$18=2,SUMPRODUCT('計算A'!$D$68:$EQ$68,$DB25:$IO25,$IQ25:$OD25),SUMPRODUCT('計算A'!$D$68:$EQ$68,$DB25:$IO25))*1000+9)</f>
        <v/>
      </c>
      <c r="BQ25">
        <f>IF(W25=1,1000000,IF('計算A'!$IT$19&gt;0,0,500000)+IF('計算A'!$IQ$19=2,SUMPRODUCT('計算A'!$D$69:$EQ$69,$DB25:$IO25,$IQ25:$OD25),SUMPRODUCT('計算A'!$D$69:$EQ$69,$DB25:$IO25))*1000+10)</f>
        <v/>
      </c>
      <c r="BR25">
        <f>IF(X25=1,1000000,IF('計算A'!$IT$20&gt;0,0,500000)+IF('計算A'!$IQ$20=2,SUMPRODUCT('計算A'!$D$70:$EQ$70,$DB25:$IO25,$IQ25:$OD25),SUMPRODUCT('計算A'!$D$70:$EQ$70,$DB25:$IO25))*1000+11)</f>
        <v/>
      </c>
      <c r="BS25">
        <f>IF(Y25=1,1000000,IF('計算A'!$IT$21&gt;0,0,500000)+IF('計算A'!$IQ$21=2,SUMPRODUCT('計算A'!$D$71:$EQ$71,$DB25:$IO25,$IQ25:$OD25),SUMPRODUCT('計算A'!$D$71:$EQ$71,$DB25:$IO25))*1000+12)</f>
        <v/>
      </c>
      <c r="BT25">
        <f>IF(Z25=1,1000000,IF('計算A'!$IT$22&gt;0,0,500000)+IF('計算A'!$IQ$22=2,SUMPRODUCT('計算A'!$D$72:$EQ$72,$DB25:$IO25,$IQ25:$OD25),SUMPRODUCT('計算A'!$D$72:$EQ$72,$DB25:$IO25))*1000+13)</f>
        <v/>
      </c>
      <c r="BU25">
        <f>IF(AA25=1,1000000,IF('計算A'!$IT$23&gt;0,0,500000)+IF('計算A'!$IQ$23=2,SUMPRODUCT('計算A'!$D$73:$EQ$73,$DB25:$IO25,$IQ25:$OD25),SUMPRODUCT('計算A'!$D$73:$EQ$73,$DB25:$IO25))*1000+14)</f>
        <v/>
      </c>
      <c r="BV25">
        <f>IF(AB25=1,1000000,IF('計算A'!$IT$24&gt;0,0,500000)+IF('計算A'!$IQ$24=2,SUMPRODUCT('計算A'!$D$74:$EQ$74,$DB25:$IO25,$IQ25:$OD25),SUMPRODUCT('計算A'!$D$74:$EQ$74,$DB25:$IO25))*1000+15)</f>
        <v/>
      </c>
      <c r="BW25">
        <f>IF(AC25=1,1000000,IF('計算A'!$IT$25&gt;0,0,500000)+IF('計算A'!$IQ$25=2,SUMPRODUCT('計算A'!$D$75:$EQ$75,$DB25:$IO25,$IQ25:$OD25),SUMPRODUCT('計算A'!$D$75:$EQ$75,$DB25:$IO25))*1000+16)</f>
        <v/>
      </c>
      <c r="BX25">
        <f>IF(AD25=1,1000000,IF('計算A'!$IT$26&gt;0,0,500000)+IF('計算A'!$IQ$26=2,SUMPRODUCT('計算A'!$D$76:$EQ$76,$DB25:$IO25,$IQ25:$OD25),SUMPRODUCT('計算A'!$D$76:$EQ$76,$DB25:$IO25))*1000+17)</f>
        <v/>
      </c>
      <c r="BY25">
        <f>IF(AE25=1,1000000,IF('計算A'!$IT$27&gt;0,0,500000)+IF('計算A'!$IQ$27=2,SUMPRODUCT('計算A'!$D$77:$EQ$77,$DB25:$IO25,$IQ25:$OD25),SUMPRODUCT('計算A'!$D$77:$EQ$77,$DB25:$IO25))*1000+18)</f>
        <v/>
      </c>
      <c r="BZ25">
        <f>IF(AF25=1,1000000,IF('計算A'!$IT$28&gt;0,0,500000)+IF('計算A'!$IQ$28=2,SUMPRODUCT('計算A'!$D$78:$EQ$78,$DB25:$IO25,$IQ25:$OD25),SUMPRODUCT('計算A'!$D$78:$EQ$78,$DB25:$IO25))*1000+19)</f>
        <v/>
      </c>
      <c r="CA25">
        <f>IF(AG25=1,1000000,IF('計算A'!$IT$29&gt;0,0,500000)+IF('計算A'!$IQ$29=2,SUMPRODUCT('計算A'!$D$79:$EQ$79,$DB25:$IO25,$IQ25:$OD25),SUMPRODUCT('計算A'!$D$79:$EQ$79,$DB25:$IO25))*1000+20)</f>
        <v/>
      </c>
      <c r="CB25">
        <f>IF(AH25=1,1000000,IF('計算A'!$IT$30&gt;0,0,500000)+IF('計算A'!$IQ$30=2,SUMPRODUCT('計算A'!$D$80:$EQ$80,$DB25:$IO25,$IQ25:$OD25),SUMPRODUCT('計算A'!$D$80:$EQ$80,$DB25:$IO25))*1000+21)</f>
        <v/>
      </c>
      <c r="CC25">
        <f>IF(AI25=1,1000000,IF('計算A'!$IT$31&gt;0,0,500000)+IF('計算A'!$IQ$31=2,SUMPRODUCT('計算A'!$D$81:$EQ$81,$DB25:$IO25,$IQ25:$OD25),SUMPRODUCT('計算A'!$D$81:$EQ$81,$DB25:$IO25))*1000+22)</f>
        <v/>
      </c>
      <c r="CD25">
        <f>IF(AJ25=1,1000000,IF('計算A'!$IT$32&gt;0,0,500000)+IF('計算A'!$IQ$32=2,SUMPRODUCT('計算A'!$D$82:$EQ$82,$DB25:$IO25,$IQ25:$OD25),SUMPRODUCT('計算A'!$D$82:$EQ$82,$DB25:$IO25))*1000+23)</f>
        <v/>
      </c>
      <c r="CE25">
        <f>IF(AK25=1,1000000,IF('計算A'!$IT$33&gt;0,0,500000)+IF('計算A'!$IQ$33=2,SUMPRODUCT('計算A'!$D$83:$EQ$83,$DB25:$IO25,$IQ25:$OD25),SUMPRODUCT('計算A'!$D$83:$EQ$83,$DB25:$IO25))*1000+24)</f>
        <v/>
      </c>
      <c r="CF25">
        <f>IF(AL25=1,1000000,IF('計算A'!$IT$34&gt;0,0,500000)+IF('計算A'!$IQ$34=2,SUMPRODUCT('計算A'!$D$84:$EQ$84,$DB25:$IO25,$IQ25:$OD25),SUMPRODUCT('計算A'!$D$84:$EQ$84,$DB25:$IO25))*1000+25)</f>
        <v/>
      </c>
      <c r="CG25">
        <f>IF(AM25=1,1000000,IF('計算A'!$IT$35&gt;0,0,500000)+IF('計算A'!$IQ$35=2,SUMPRODUCT('計算A'!$D$85:$EQ$85,$DB25:$IO25,$IQ25:$OD25),SUMPRODUCT('計算A'!$D$85:$EQ$85,$DB25:$IO25))*1000+26)</f>
        <v/>
      </c>
      <c r="CH25">
        <f>IF(AN25=1,1000000,IF('計算A'!$IT$36&gt;0,0,500000)+IF('計算A'!$IQ$36=2,SUMPRODUCT('計算A'!$D$86:$EQ$86,$DB25:$IO25,$IQ25:$OD25),SUMPRODUCT('計算A'!$D$86:$EQ$86,$DB25:$IO25))*1000+27)</f>
        <v/>
      </c>
      <c r="CI25">
        <f>IF(AO25=1,1000000,IF('計算A'!$IT$37&gt;0,0,500000)+IF('計算A'!$IQ$37=2,SUMPRODUCT('計算A'!$D$87:$EQ$87,$DB25:$IO25,$IQ25:$OD25),SUMPRODUCT('計算A'!$D$87:$EQ$87,$DB25:$IO25))*1000+28)</f>
        <v/>
      </c>
      <c r="CJ25">
        <f>IF(AP25=1,1000000,IF('計算A'!$IT$38&gt;0,0,500000)+IF('計算A'!$IQ$38=2,SUMPRODUCT('計算A'!$D$88:$EQ$88,$DB25:$IO25,$IQ25:$OD25),SUMPRODUCT('計算A'!$D$88:$EQ$88,$DB25:$IO25))*1000+29)</f>
        <v/>
      </c>
      <c r="CK25">
        <f>IF(AQ25=1,1000000,IF('計算A'!$IT$39&gt;0,0,500000)+IF('計算A'!$IQ$39=2,SUMPRODUCT('計算A'!$D$89:$EQ$89,$DB25:$IO25,$IQ25:$OD25),SUMPRODUCT('計算A'!$D$89:$EQ$89,$DB25:$IO25))*1000+30)</f>
        <v/>
      </c>
      <c r="CL25">
        <f>IF(AR25=1,1000000,IF('計算A'!$IT$40&gt;0,0,500000)+IF('計算A'!$IQ$40=2,SUMPRODUCT('計算A'!$D$90:$EQ$90,$DB25:$IO25,$IQ25:$OD25),SUMPRODUCT('計算A'!$D$90:$EQ$90,$DB25:$IO25))*1000+31)</f>
        <v/>
      </c>
      <c r="CM25">
        <f>IF(AS25=1,1000000,IF('計算A'!$IT$41&gt;0,0,500000)+IF('計算A'!$IQ$41=2,SUMPRODUCT('計算A'!$D$91:$EQ$91,$DB25:$IO25,$IQ25:$OD25),SUMPRODUCT('計算A'!$D$91:$EQ$91,$DB25:$IO25))*1000+32)</f>
        <v/>
      </c>
      <c r="CN25">
        <f>IF(AT25=1,1000000,IF('計算A'!$IT$42&gt;0,0,500000)+IF('計算A'!$IQ$42=2,SUMPRODUCT('計算A'!$D$92:$EQ$92,$DB25:$IO25,$IQ25:$OD25),SUMPRODUCT('計算A'!$D$92:$EQ$92,$DB25:$IO25))*1000+33)</f>
        <v/>
      </c>
      <c r="CO25">
        <f>IF(AU25=1,1000000,IF('計算A'!$IT$43&gt;0,0,500000)+IF('計算A'!$IQ$43=2,SUMPRODUCT('計算A'!$D$93:$EQ$93,$DB25:$IO25,$IQ25:$OD25),SUMPRODUCT('計算A'!$D$93:$EQ$93,$DB25:$IO25))*1000+34)</f>
        <v/>
      </c>
      <c r="CP25">
        <f>IF(AV25=1,1000000,IF('計算A'!$IT$44&gt;0,0,500000)+IF('計算A'!$IQ$44=2,SUMPRODUCT('計算A'!$D$94:$EQ$94,$DB25:$IO25,$IQ25:$OD25),SUMPRODUCT('計算A'!$D$94:$EQ$94,$DB25:$IO25))*1000+35)</f>
        <v/>
      </c>
      <c r="CQ25">
        <f>IF(AW25=1,1000000,IF('計算A'!$IT$45&gt;0,0,500000)+IF('計算A'!$IQ$45=2,SUMPRODUCT('計算A'!$D$95:$EQ$95,$DB25:$IO25,$IQ25:$OD25),SUMPRODUCT('計算A'!$D$95:$EQ$95,$DB25:$IO25))*1000+36)</f>
        <v/>
      </c>
      <c r="CR25">
        <f>IF(AX25=1,1000000,IF('計算A'!$IT$46&gt;0,0,500000)+IF('計算A'!$IQ$46=2,SUMPRODUCT('計算A'!$D$96:$EQ$96,$DB25:$IO25,$IQ25:$OD25),SUMPRODUCT('計算A'!$D$96:$EQ$96,$DB25:$IO25))*1000+37)</f>
        <v/>
      </c>
      <c r="CS25">
        <f>IF(AY25=1,1000000,IF('計算A'!$IT$47&gt;0,0,500000)+IF('計算A'!$IQ$47=2,SUMPRODUCT('計算A'!$D$97:$EQ$97,$DB25:$IO25,$IQ25:$OD25),SUMPRODUCT('計算A'!$D$97:$EQ$97,$DB25:$IO25))*1000+38)</f>
        <v/>
      </c>
      <c r="CT25">
        <f>IF(AZ25=1,1000000,IF('計算A'!$IT$48&gt;0,0,500000)+IF('計算A'!$IQ$48=2,SUMPRODUCT('計算A'!$D$98:$EQ$98,$DB25:$IO25,$IQ25:$OD25),SUMPRODUCT('計算A'!$D$98:$EQ$98,$DB25:$IO25))*1000+39)</f>
        <v/>
      </c>
      <c r="CU25">
        <f>IF(BA25=1,1000000,IF('計算A'!$IT$49&gt;0,0,500000)+IF('計算A'!$IQ$49=2,SUMPRODUCT('計算A'!$D$99:$EQ$99,$DB25:$IO25,$IQ25:$OD25),SUMPRODUCT('計算A'!$D$99:$EQ$99,$DB25:$IO25))*1000+40)</f>
        <v/>
      </c>
      <c r="CV25">
        <f>IF(BB25=1,1000000,IF('計算A'!$IT$50&gt;0,0,500000)+IF('計算A'!$IQ$50=2,SUMPRODUCT('計算A'!$D$100:$EQ$100,$DB25:$IO25,$IQ25:$OD25),SUMPRODUCT('計算A'!$D$100:$EQ$100,$DB25:$IO25))*1000+41)</f>
        <v/>
      </c>
      <c r="CW25">
        <f>IF(BC25=1,1000000,IF('計算A'!$IT$51&gt;0,0,500000)+IF('計算A'!$IQ$51=2,SUMPRODUCT('計算A'!$D$101:$EQ$101,$DB25:$IO25,$IQ25:$OD25),SUMPRODUCT('計算A'!$D$101:$EQ$101,$DB25:$IO25))*1000+42)</f>
        <v/>
      </c>
      <c r="CX25">
        <f>IF(BD25=1,1000000,IF('計算A'!$IT$52&gt;0,0,500000)+IF('計算A'!$IQ$52=2,SUMPRODUCT('計算A'!$D$102:$EQ$102,$DB25:$IO25,$IQ25:$OD25),SUMPRODUCT('計算A'!$D$102:$EQ$102,$DB25:$IO25))*1000+43)</f>
        <v/>
      </c>
      <c r="CY25">
        <f>IF(BE25=1,1000000,IF('計算A'!$IT$53&gt;0,0,500000)+IF('計算A'!$IQ$53=2,SUMPRODUCT('計算A'!$D$103:$EQ$103,$DB25:$IO25,$IQ25:$OD25),SUMPRODUCT('計算A'!$D$103:$EQ$103,$DB25:$IO25))*1000+44)</f>
        <v/>
      </c>
      <c r="CZ25">
        <f>IF(BF25=1,1000000,IF('計算A'!$IT$54&gt;0,0,500000)+IF('計算A'!$IQ$54=2,SUMPRODUCT('計算A'!$D$104:$EQ$104,$DB25:$IO25,$IQ25:$OD25),SUMPRODUCT('計算A'!$D$104:$EQ$104,$DB25:$IO25))*1000+45)</f>
        <v/>
      </c>
      <c r="DB25">
        <f>DB24*IF(OR($C24=1,$G24=1),0,1)</f>
        <v/>
      </c>
      <c r="DC25">
        <f>DC24*IF(OR($C24=2,$G24=2),0,1)</f>
        <v/>
      </c>
      <c r="DD25">
        <f>DD24*IF(OR($C24=3,$G24=3),0,1)</f>
        <v/>
      </c>
      <c r="DE25">
        <f>DE24*IF(OR($C24=4,$G24=4),0,1)</f>
        <v/>
      </c>
      <c r="DF25">
        <f>DF24*IF(OR($C24=5,$G24=5),0,1)</f>
        <v/>
      </c>
      <c r="DG25">
        <f>DG24*IF(OR($C24=6,$G24=6),0,1)</f>
        <v/>
      </c>
      <c r="DH25">
        <f>DH24*IF(OR($C24=7,$G24=7),0,1)</f>
        <v/>
      </c>
      <c r="DI25">
        <f>DI24*IF(OR($C24=8,$G24=8),0,1)</f>
        <v/>
      </c>
      <c r="DJ25">
        <f>DJ24*IF(OR($C24=9,$G24=9),0,1)</f>
        <v/>
      </c>
      <c r="DK25">
        <f>DK24*IF(OR($C24=10,$G24=10),0,1)</f>
        <v/>
      </c>
      <c r="DL25">
        <f>DL24*IF(OR($C24=11,$G24=11),0,1)</f>
        <v/>
      </c>
      <c r="DM25">
        <f>DM24*IF(OR($C24=12,$G24=12),0,1)</f>
        <v/>
      </c>
      <c r="DN25">
        <f>DN24*IF(OR($C24=13,$G24=13),0,1)</f>
        <v/>
      </c>
      <c r="DO25">
        <f>DO24*IF(OR($C24=14,$G24=14),0,1)</f>
        <v/>
      </c>
      <c r="DP25">
        <f>DP24*IF(OR($C24=15,$G24=15),0,1)</f>
        <v/>
      </c>
      <c r="DQ25">
        <f>DQ24*IF(OR($C24=16,$G24=16),0,1)</f>
        <v/>
      </c>
      <c r="DR25">
        <f>DR24*IF(OR($C24=17,$G24=17),0,1)</f>
        <v/>
      </c>
      <c r="DS25">
        <f>DS24*IF(OR($C24=18,$G24=18),0,1)</f>
        <v/>
      </c>
      <c r="DT25">
        <f>DT24*IF(OR($C24=19,$G24=19),0,1)</f>
        <v/>
      </c>
      <c r="DU25">
        <f>DU24*IF(OR($C24=20,$G24=20),0,1)</f>
        <v/>
      </c>
      <c r="DV25">
        <f>DV24*IF(OR($C24=21,$G24=21),0,1)</f>
        <v/>
      </c>
      <c r="DW25">
        <f>DW24*IF(OR($C24=22,$G24=22),0,1)</f>
        <v/>
      </c>
      <c r="DX25">
        <f>DX24*IF(OR($C24=23,$G24=23),0,1)</f>
        <v/>
      </c>
      <c r="DY25">
        <f>DY24*IF(OR($C24=24,$G24=24),0,1)</f>
        <v/>
      </c>
      <c r="DZ25">
        <f>DZ24*IF(OR($C24=25,$G24=25),0,1)</f>
        <v/>
      </c>
      <c r="EA25">
        <f>EA24*IF(OR($C24=26,$G24=26),0,1)</f>
        <v/>
      </c>
      <c r="EB25">
        <f>EB24*IF(OR($C24=27,$G24=27),0,1)</f>
        <v/>
      </c>
      <c r="EC25">
        <f>EC24*IF(OR($C24=28,$G24=28),0,1)</f>
        <v/>
      </c>
      <c r="ED25">
        <f>ED24*IF(OR($C24=29,$G24=29),0,1)</f>
        <v/>
      </c>
      <c r="EE25">
        <f>EE24*IF(OR($C24=30,$G24=30),0,1)</f>
        <v/>
      </c>
      <c r="EF25">
        <f>EF24*IF(OR($C24=31,$G24=31),0,1)</f>
        <v/>
      </c>
      <c r="EG25">
        <f>EG24*IF(OR($C24=32,$G24=32),0,1)</f>
        <v/>
      </c>
      <c r="EH25">
        <f>EH24*IF(OR($C24=33,$G24=33),0,1)</f>
        <v/>
      </c>
      <c r="EI25">
        <f>EI24*IF(OR($C24=34,$G24=34),0,1)</f>
        <v/>
      </c>
      <c r="EJ25">
        <f>EJ24*IF(OR($C24=35,$G24=35),0,1)</f>
        <v/>
      </c>
      <c r="EK25">
        <f>EK24*IF(OR($C24=36,$G24=36),0,1)</f>
        <v/>
      </c>
      <c r="EL25">
        <f>EL24*IF(OR($C24=37,$G24=37),0,1)</f>
        <v/>
      </c>
      <c r="EM25">
        <f>EM24*IF(OR($C24=38,$G24=38),0,1)</f>
        <v/>
      </c>
      <c r="EN25">
        <f>EN24*IF(OR($C24=39,$G24=39),0,1)</f>
        <v/>
      </c>
      <c r="EO25">
        <f>EO24*IF(OR($C24=40,$G24=40),0,1)</f>
        <v/>
      </c>
      <c r="EP25">
        <f>EP24*IF(OR($C24=41,$G24=41),0,1)</f>
        <v/>
      </c>
      <c r="EQ25">
        <f>EQ24*IF(OR($C24=42,$G24=42),0,1)</f>
        <v/>
      </c>
      <c r="ER25">
        <f>ER24*IF(OR($C24=43,$G24=43),0,1)</f>
        <v/>
      </c>
      <c r="ES25">
        <f>ES24*IF(OR($C24=44,$G24=44),0,1)</f>
        <v/>
      </c>
      <c r="ET25">
        <f>ET24*IF(OR($C24=45,$G24=45),0,1)</f>
        <v/>
      </c>
      <c r="EU25">
        <f>EU24*IF(OR($C24=46,$G24=46),0,1)</f>
        <v/>
      </c>
      <c r="EV25">
        <f>EV24*IF(OR($C24=47,$G24=47),0,1)</f>
        <v/>
      </c>
      <c r="EW25">
        <f>EW24*IF(OR($C24=48,$G24=48),0,1)</f>
        <v/>
      </c>
      <c r="EX25">
        <f>EX24*IF(OR($C24=49,$G24=49),0,1)</f>
        <v/>
      </c>
      <c r="EY25">
        <f>EY24*IF(OR($C24=50,$G24=50),0,1)</f>
        <v/>
      </c>
      <c r="EZ25">
        <f>EZ24*IF(OR($C24=51,$G24=51),0,1)</f>
        <v/>
      </c>
      <c r="FA25">
        <f>FA24*IF(OR($C24=52,$G24=52),0,1)</f>
        <v/>
      </c>
      <c r="FB25">
        <f>FB24*IF(OR($C24=53,$G24=53),0,1)</f>
        <v/>
      </c>
      <c r="FC25">
        <f>FC24*IF(OR($C24=54,$G24=54),0,1)</f>
        <v/>
      </c>
      <c r="FD25">
        <f>FD24*IF(OR($C24=55,$G24=55),0,1)</f>
        <v/>
      </c>
      <c r="FE25">
        <f>FE24*IF(OR($C24=56,$G24=56),0,1)</f>
        <v/>
      </c>
      <c r="FF25">
        <f>FF24*IF(OR($C24=57,$G24=57),0,1)</f>
        <v/>
      </c>
      <c r="FG25">
        <f>FG24*IF(OR($C24=58,$G24=58),0,1)</f>
        <v/>
      </c>
      <c r="FH25">
        <f>FH24*IF(OR($C24=59,$G24=59),0,1)</f>
        <v/>
      </c>
      <c r="FI25">
        <f>FI24*IF(OR($C24=60,$G24=60),0,1)</f>
        <v/>
      </c>
      <c r="FJ25">
        <f>FJ24*IF(OR($C24=61,$G24=61),0,1)</f>
        <v/>
      </c>
      <c r="FK25">
        <f>FK24*IF(OR($C24=62,$G24=62),0,1)</f>
        <v/>
      </c>
      <c r="FL25">
        <f>FL24*IF(OR($C24=63,$G24=63),0,1)</f>
        <v/>
      </c>
      <c r="FM25">
        <f>FM24*IF(OR($C24=64,$G24=64),0,1)</f>
        <v/>
      </c>
      <c r="FN25">
        <f>FN24*IF(OR($C24=65,$G24=65),0,1)</f>
        <v/>
      </c>
      <c r="FO25">
        <f>FO24*IF(OR($C24=66,$G24=66),0,1)</f>
        <v/>
      </c>
      <c r="FP25">
        <f>FP24*IF(OR($C24=67,$G24=67),0,1)</f>
        <v/>
      </c>
      <c r="FQ25">
        <f>FQ24*IF(OR($C24=68,$G24=68),0,1)</f>
        <v/>
      </c>
      <c r="FR25">
        <f>FR24*IF(OR($C24=69,$G24=69),0,1)</f>
        <v/>
      </c>
      <c r="FS25">
        <f>FS24*IF(OR($C24=70,$G24=70),0,1)</f>
        <v/>
      </c>
      <c r="FT25">
        <f>FT24*IF(OR($C24=71,$G24=71),0,1)</f>
        <v/>
      </c>
      <c r="FU25">
        <f>FU24*IF(OR($C24=72,$G24=72),0,1)</f>
        <v/>
      </c>
      <c r="FV25">
        <f>FV24*IF(OR($C24=73,$G24=73),0,1)</f>
        <v/>
      </c>
      <c r="FW25">
        <f>FW24*IF(OR($C24=74,$G24=74),0,1)</f>
        <v/>
      </c>
      <c r="FX25">
        <f>FX24*IF(OR($C24=75,$G24=75),0,1)</f>
        <v/>
      </c>
      <c r="FY25">
        <f>FY24*IF(OR($C24=76,$G24=76),0,1)</f>
        <v/>
      </c>
      <c r="FZ25">
        <f>FZ24*IF(OR($C24=77,$G24=77),0,1)</f>
        <v/>
      </c>
      <c r="GA25">
        <f>GA24*IF(OR($C24=78,$G24=78),0,1)</f>
        <v/>
      </c>
      <c r="GB25">
        <f>GB24*IF(OR($C24=79,$G24=79),0,1)</f>
        <v/>
      </c>
      <c r="GC25">
        <f>GC24*IF(OR($C24=80,$G24=80),0,1)</f>
        <v/>
      </c>
      <c r="GD25">
        <f>GD24*IF(OR($C24=81,$G24=81),0,1)</f>
        <v/>
      </c>
      <c r="GE25">
        <f>GE24*IF(OR($C24=82,$G24=82),0,1)</f>
        <v/>
      </c>
      <c r="GF25">
        <f>GF24*IF(OR($C24=83,$G24=83),0,1)</f>
        <v/>
      </c>
      <c r="GG25">
        <f>GG24*IF(OR($C24=84,$G24=84),0,1)</f>
        <v/>
      </c>
      <c r="GH25">
        <f>GH24*IF(OR($C24=85,$G24=85),0,1)</f>
        <v/>
      </c>
      <c r="GI25">
        <f>GI24*IF(OR($C24=86,$G24=86),0,1)</f>
        <v/>
      </c>
      <c r="GJ25">
        <f>GJ24*IF(OR($C24=87,$G24=87),0,1)</f>
        <v/>
      </c>
      <c r="GK25">
        <f>GK24*IF(OR($C24=88,$G24=88),0,1)</f>
        <v/>
      </c>
      <c r="GL25">
        <f>GL24*IF(OR($C24=89,$G24=89),0,1)</f>
        <v/>
      </c>
      <c r="GM25">
        <f>GM24*IF(OR($C24=90,$G24=90),0,1)</f>
        <v/>
      </c>
      <c r="GN25">
        <f>GN24*IF(OR($C24=91,$G24=91),0,1)</f>
        <v/>
      </c>
      <c r="GO25">
        <f>GO24*IF(OR($C24=92,$G24=92),0,1)</f>
        <v/>
      </c>
      <c r="GP25">
        <f>GP24*IF(OR($C24=93,$G24=93),0,1)</f>
        <v/>
      </c>
      <c r="GQ25">
        <f>GQ24*IF(OR($C24=94,$G24=94),0,1)</f>
        <v/>
      </c>
      <c r="GR25">
        <f>GR24*IF(OR($C24=95,$G24=95),0,1)</f>
        <v/>
      </c>
      <c r="GS25">
        <f>GS24*IF(OR($C24=96,$G24=96),0,1)</f>
        <v/>
      </c>
      <c r="GT25">
        <f>GT24*IF(OR($C24=97,$G24=97),0,1)</f>
        <v/>
      </c>
      <c r="GU25">
        <f>GU24*IF(OR($C24=98,$G24=98),0,1)</f>
        <v/>
      </c>
      <c r="GV25">
        <f>GV24*IF(OR($C24=99,$G24=99),0,1)</f>
        <v/>
      </c>
      <c r="GW25">
        <f>GW24*IF(OR($C24=100,$G24=100),0,1)</f>
        <v/>
      </c>
      <c r="GX25">
        <f>GX24*IF(OR($C24=101,$G24=101),0,1)</f>
        <v/>
      </c>
      <c r="GY25">
        <f>GY24*IF(OR($C24=102,$G24=102),0,1)</f>
        <v/>
      </c>
      <c r="GZ25">
        <f>GZ24*IF(OR($C24=103,$G24=103),0,1)</f>
        <v/>
      </c>
      <c r="HA25">
        <f>HA24*IF(OR($C24=104,$G24=104),0,1)</f>
        <v/>
      </c>
      <c r="HB25">
        <f>HB24*IF(OR($C24=105,$G24=105),0,1)</f>
        <v/>
      </c>
      <c r="HC25">
        <f>HC24*IF(OR($C24=106,$G24=106),0,1)</f>
        <v/>
      </c>
      <c r="HD25">
        <f>HD24*IF(OR($C24=107,$G24=107),0,1)</f>
        <v/>
      </c>
      <c r="HE25">
        <f>HE24*IF(OR($C24=108,$G24=108),0,1)</f>
        <v/>
      </c>
      <c r="HF25">
        <f>HF24*IF(OR($C24=109,$G24=109),0,1)</f>
        <v/>
      </c>
      <c r="HG25">
        <f>HG24*IF(OR($C24=110,$G24=110),0,1)</f>
        <v/>
      </c>
      <c r="HH25">
        <f>HH24*IF(OR($C24=111,$G24=111),0,1)</f>
        <v/>
      </c>
      <c r="HI25">
        <f>HI24*IF(OR($C24=112,$G24=112),0,1)</f>
        <v/>
      </c>
      <c r="HJ25">
        <f>HJ24*IF(OR($C24=113,$G24=113),0,1)</f>
        <v/>
      </c>
      <c r="HK25">
        <f>HK24*IF(OR($C24=114,$G24=114),0,1)</f>
        <v/>
      </c>
      <c r="HL25">
        <f>HL24*IF(OR($C24=115,$G24=115),0,1)</f>
        <v/>
      </c>
      <c r="HM25">
        <f>HM24*IF(OR($C24=116,$G24=116),0,1)</f>
        <v/>
      </c>
      <c r="HN25">
        <f>HN24*IF(OR($C24=117,$G24=117),0,1)</f>
        <v/>
      </c>
      <c r="HO25">
        <f>HO24*IF(OR($C24=118,$G24=118),0,1)</f>
        <v/>
      </c>
      <c r="HP25">
        <f>HP24*IF(OR($C24=119,$G24=119),0,1)</f>
        <v/>
      </c>
      <c r="HQ25">
        <f>HQ24*IF(OR($C24=120,$G24=120),0,1)</f>
        <v/>
      </c>
      <c r="HR25">
        <f>HR24*IF(OR($C24=121,$G24=121),0,1)</f>
        <v/>
      </c>
      <c r="HS25">
        <f>HS24*IF(OR($C24=122,$G24=122),0,1)</f>
        <v/>
      </c>
      <c r="HT25">
        <f>HT24*IF(OR($C24=123,$G24=123),0,1)</f>
        <v/>
      </c>
      <c r="HU25">
        <f>HU24*IF(OR($C24=124,$G24=124),0,1)</f>
        <v/>
      </c>
      <c r="HV25">
        <f>HV24*IF(OR($C24=125,$G24=125),0,1)</f>
        <v/>
      </c>
      <c r="HW25">
        <f>HW24*IF(OR($C24=126,$G24=126),0,1)</f>
        <v/>
      </c>
      <c r="HX25">
        <f>HX24*IF(OR($C24=127,$G24=127),0,1)</f>
        <v/>
      </c>
      <c r="HY25">
        <f>HY24*IF(OR($C24=128,$G24=128),0,1)</f>
        <v/>
      </c>
      <c r="HZ25">
        <f>HZ24*IF(OR($C24=129,$G24=129),0,1)</f>
        <v/>
      </c>
      <c r="IA25">
        <f>IA24*IF(OR($C24=130,$G24=130),0,1)</f>
        <v/>
      </c>
      <c r="IB25">
        <f>IB24*IF(OR($C24=131,$G24=131),0,1)</f>
        <v/>
      </c>
      <c r="IC25">
        <f>IC24*IF(OR($C24=132,$G24=132),0,1)</f>
        <v/>
      </c>
      <c r="ID25">
        <f>ID24*IF(OR($C24=133,$G24=133),0,1)</f>
        <v/>
      </c>
      <c r="IE25">
        <f>IE24*IF(OR($C24=134,$G24=134),0,1)</f>
        <v/>
      </c>
      <c r="IF25">
        <f>IF24*IF(OR($C24=135,$G24=135),0,1)</f>
        <v/>
      </c>
      <c r="IG25">
        <f>IG24*IF(OR($C24=136,$G24=136),0,1)</f>
        <v/>
      </c>
      <c r="IH25">
        <f>IH24*IF(OR($C24=137,$G24=137),0,1)</f>
        <v/>
      </c>
      <c r="II25">
        <f>II24*IF(OR($C24=138,$G24=138),0,1)</f>
        <v/>
      </c>
      <c r="IJ25">
        <f>IJ24*IF(OR($C24=139,$G24=139),0,1)</f>
        <v/>
      </c>
      <c r="IK25">
        <f>IK24*IF(OR($C24=140,$G24=140),0,1)</f>
        <v/>
      </c>
      <c r="IL25">
        <f>IL24*IF(OR($C24=141,$G24=141),0,1)</f>
        <v/>
      </c>
      <c r="IM25">
        <f>IM24*IF(OR($C24=142,$G24=142),0,1)</f>
        <v/>
      </c>
      <c r="IN25">
        <f>IN24*IF(OR($C24=143,$G24=143),0,1)</f>
        <v/>
      </c>
      <c r="IO25">
        <f>IO24*IF(OR($C24=144,$G24=144),0,1)</f>
        <v/>
      </c>
      <c r="IQ25">
        <f>IF('計算A'!D$106=1,DC25,1)</f>
        <v/>
      </c>
      <c r="IR25">
        <f>IF('計算A'!E$106=1,DD25,1)</f>
        <v/>
      </c>
      <c r="IS25">
        <f>IF('計算A'!F$106=1,DE25,1)</f>
        <v/>
      </c>
      <c r="IT25">
        <f>IF('計算A'!G$106=1,DF25,1)</f>
        <v/>
      </c>
      <c r="IU25">
        <f>IF('計算A'!H$106=1,DG25,1)</f>
        <v/>
      </c>
      <c r="IV25">
        <f>IF('計算A'!I$106=1,DH25,1)</f>
        <v/>
      </c>
      <c r="IW25">
        <f>IF('計算A'!J$106=1,DI25,1)</f>
        <v/>
      </c>
      <c r="IX25">
        <f>IF('計算A'!K$106=1,DJ25,1)</f>
        <v/>
      </c>
      <c r="IY25">
        <f>IF('計算A'!L$106=1,DK25,1)</f>
        <v/>
      </c>
      <c r="IZ25">
        <f>IF('計算A'!M$106=1,DL25,1)</f>
        <v/>
      </c>
      <c r="JA25">
        <f>IF('計算A'!N$106=1,DM25,1)</f>
        <v/>
      </c>
      <c r="JB25">
        <f>IF('計算A'!O$106=1,DN25,1)</f>
        <v/>
      </c>
      <c r="JC25">
        <f>IF('計算A'!P$106=1,DO25,1)</f>
        <v/>
      </c>
      <c r="JD25">
        <f>IF('計算A'!Q$106=1,DP25,1)</f>
        <v/>
      </c>
      <c r="JE25">
        <f>IF('計算A'!R$106=1,DQ25,1)</f>
        <v/>
      </c>
      <c r="JF25">
        <f>IF('計算A'!S$106=1,DR25,1)</f>
        <v/>
      </c>
      <c r="JG25">
        <f>IF('計算A'!T$106=1,DS25,1)</f>
        <v/>
      </c>
      <c r="JH25">
        <f>IF('計算A'!U$106=1,DT25,1)</f>
        <v/>
      </c>
      <c r="JI25">
        <f>IF('計算A'!V$106=1,DU25,1)</f>
        <v/>
      </c>
      <c r="JJ25">
        <f>IF('計算A'!W$106=1,DV25,1)</f>
        <v/>
      </c>
      <c r="JK25">
        <f>IF('計算A'!X$106=1,DW25,1)</f>
        <v/>
      </c>
      <c r="JL25">
        <f>IF('計算A'!Y$106=1,DX25,1)</f>
        <v/>
      </c>
      <c r="JM25">
        <f>IF('計算A'!Z$106=1,DY25,1)</f>
        <v/>
      </c>
      <c r="JN25">
        <f>IF('計算A'!AA$106=1,DZ25,1)</f>
        <v/>
      </c>
      <c r="JO25">
        <f>IF('計算A'!AB$106=1,EA25,1)</f>
        <v/>
      </c>
      <c r="JP25">
        <f>IF('計算A'!AC$106=1,EB25,1)</f>
        <v/>
      </c>
      <c r="JQ25">
        <f>IF('計算A'!AD$106=1,EC25,1)</f>
        <v/>
      </c>
      <c r="JR25">
        <f>IF('計算A'!AE$106=1,ED25,1)</f>
        <v/>
      </c>
      <c r="JS25">
        <f>IF('計算A'!AF$106=1,EE25,1)</f>
        <v/>
      </c>
      <c r="JT25">
        <f>IF('計算A'!AG$106=1,EF25,1)</f>
        <v/>
      </c>
      <c r="JU25">
        <f>IF('計算A'!AH$106=1,EG25,1)</f>
        <v/>
      </c>
      <c r="JV25">
        <f>IF('計算A'!AI$106=1,EH25,1)</f>
        <v/>
      </c>
      <c r="JW25">
        <f>IF('計算A'!AJ$106=1,EI25,1)</f>
        <v/>
      </c>
      <c r="JX25">
        <f>IF('計算A'!AK$106=1,EJ25,1)</f>
        <v/>
      </c>
      <c r="JY25">
        <f>IF('計算A'!AL$106=1,EK25,1)</f>
        <v/>
      </c>
      <c r="JZ25">
        <f>IF('計算A'!AM$106=1,EL25,1)</f>
        <v/>
      </c>
      <c r="KA25">
        <f>IF('計算A'!AN$106=1,EM25,1)</f>
        <v/>
      </c>
      <c r="KB25">
        <f>IF('計算A'!AO$106=1,EN25,1)</f>
        <v/>
      </c>
      <c r="KC25">
        <f>IF('計算A'!AP$106=1,EO25,1)</f>
        <v/>
      </c>
      <c r="KD25">
        <f>IF('計算A'!AQ$106=1,EP25,1)</f>
        <v/>
      </c>
      <c r="KE25">
        <f>IF('計算A'!AR$106=1,EQ25,1)</f>
        <v/>
      </c>
      <c r="KF25">
        <f>IF('計算A'!AS$106=1,ER25,1)</f>
        <v/>
      </c>
      <c r="KG25">
        <f>IF('計算A'!AT$106=1,ES25,1)</f>
        <v/>
      </c>
      <c r="KH25">
        <f>IF('計算A'!AU$106=1,ET25,1)</f>
        <v/>
      </c>
      <c r="KI25">
        <f>IF('計算A'!AV$106=1,EU25,1)</f>
        <v/>
      </c>
      <c r="KJ25">
        <f>IF('計算A'!AW$106=1,EV25,1)</f>
        <v/>
      </c>
      <c r="KK25">
        <f>IF('計算A'!AX$106=1,EW25,1)</f>
        <v/>
      </c>
      <c r="KL25">
        <f>IF('計算A'!AY$106=1,EX25,1)</f>
        <v/>
      </c>
      <c r="KM25">
        <f>IF('計算A'!AZ$106=1,EY25,1)</f>
        <v/>
      </c>
      <c r="KN25">
        <f>IF('計算A'!BA$106=1,EZ25,1)</f>
        <v/>
      </c>
      <c r="KO25">
        <f>IF('計算A'!BB$106=1,FA25,1)</f>
        <v/>
      </c>
      <c r="KP25">
        <f>IF('計算A'!BC$106=1,FB25,1)</f>
        <v/>
      </c>
      <c r="KQ25">
        <f>IF('計算A'!BD$106=1,FC25,1)</f>
        <v/>
      </c>
      <c r="KR25">
        <f>IF('計算A'!BE$106=1,FD25,1)</f>
        <v/>
      </c>
      <c r="KS25">
        <f>IF('計算A'!BF$106=1,FE25,1)</f>
        <v/>
      </c>
      <c r="KT25">
        <f>IF('計算A'!BG$106=1,FF25,1)</f>
        <v/>
      </c>
      <c r="KU25">
        <f>IF('計算A'!BH$106=1,FG25,1)</f>
        <v/>
      </c>
      <c r="KV25">
        <f>IF('計算A'!BI$106=1,FH25,1)</f>
        <v/>
      </c>
      <c r="KW25">
        <f>IF('計算A'!BJ$106=1,FI25,1)</f>
        <v/>
      </c>
      <c r="KX25">
        <f>IF('計算A'!BK$106=1,FJ25,1)</f>
        <v/>
      </c>
      <c r="KY25">
        <f>IF('計算A'!BL$106=1,FK25,1)</f>
        <v/>
      </c>
      <c r="KZ25">
        <f>IF('計算A'!BM$106=1,FL25,1)</f>
        <v/>
      </c>
      <c r="LA25">
        <f>IF('計算A'!BN$106=1,FM25,1)</f>
        <v/>
      </c>
      <c r="LB25">
        <f>IF('計算A'!BO$106=1,FN25,1)</f>
        <v/>
      </c>
      <c r="LC25">
        <f>IF('計算A'!BP$106=1,FO25,1)</f>
        <v/>
      </c>
      <c r="LD25">
        <f>IF('計算A'!BQ$106=1,FP25,1)</f>
        <v/>
      </c>
      <c r="LE25">
        <f>IF('計算A'!BR$106=1,FQ25,1)</f>
        <v/>
      </c>
      <c r="LF25">
        <f>IF('計算A'!BS$106=1,FR25,1)</f>
        <v/>
      </c>
      <c r="LG25">
        <f>IF('計算A'!BT$106=1,FS25,1)</f>
        <v/>
      </c>
      <c r="LH25">
        <f>IF('計算A'!BU$106=1,FT25,1)</f>
        <v/>
      </c>
      <c r="LI25">
        <f>IF('計算A'!BV$106=1,FU25,1)</f>
        <v/>
      </c>
      <c r="LJ25">
        <f>IF('計算A'!BW$106=1,FV25,1)</f>
        <v/>
      </c>
      <c r="LK25">
        <f>IF('計算A'!BX$106=1,FW25,1)</f>
        <v/>
      </c>
      <c r="LL25">
        <f>IF('計算A'!BY$106=1,FX25,1)</f>
        <v/>
      </c>
      <c r="LM25">
        <f>IF('計算A'!BZ$106=1,FY25,1)</f>
        <v/>
      </c>
      <c r="LN25">
        <f>IF('計算A'!CA$106=1,FZ25,1)</f>
        <v/>
      </c>
      <c r="LO25">
        <f>IF('計算A'!CB$106=1,GA25,1)</f>
        <v/>
      </c>
      <c r="LP25">
        <f>IF('計算A'!CC$106=1,GB25,1)</f>
        <v/>
      </c>
      <c r="LQ25">
        <f>IF('計算A'!CD$106=1,GC25,1)</f>
        <v/>
      </c>
      <c r="LR25">
        <f>IF('計算A'!CE$106=1,GD25,1)</f>
        <v/>
      </c>
      <c r="LS25">
        <f>IF('計算A'!CF$106=1,GE25,1)</f>
        <v/>
      </c>
      <c r="LT25">
        <f>IF('計算A'!CG$106=1,GF25,1)</f>
        <v/>
      </c>
      <c r="LU25">
        <f>IF('計算A'!CH$106=1,GG25,1)</f>
        <v/>
      </c>
      <c r="LV25">
        <f>IF('計算A'!CI$106=1,GH25,1)</f>
        <v/>
      </c>
      <c r="LW25">
        <f>IF('計算A'!CJ$106=1,GI25,1)</f>
        <v/>
      </c>
      <c r="LX25">
        <f>IF('計算A'!CK$106=1,GJ25,1)</f>
        <v/>
      </c>
      <c r="LY25">
        <f>IF('計算A'!CL$106=1,GK25,1)</f>
        <v/>
      </c>
      <c r="LZ25">
        <f>IF('計算A'!CM$106=1,GL25,1)</f>
        <v/>
      </c>
      <c r="MA25">
        <f>IF('計算A'!CN$106=1,GM25,1)</f>
        <v/>
      </c>
      <c r="MB25">
        <f>IF('計算A'!CO$106=1,GN25,1)</f>
        <v/>
      </c>
      <c r="MC25">
        <f>IF('計算A'!CP$106=1,GO25,1)</f>
        <v/>
      </c>
      <c r="MD25">
        <f>IF('計算A'!CQ$106=1,GP25,1)</f>
        <v/>
      </c>
      <c r="ME25">
        <f>IF('計算A'!CR$106=1,GQ25,1)</f>
        <v/>
      </c>
      <c r="MF25">
        <f>IF('計算A'!CS$106=1,GR25,1)</f>
        <v/>
      </c>
      <c r="MG25">
        <f>IF('計算A'!CT$106=1,GS25,1)</f>
        <v/>
      </c>
      <c r="MH25">
        <f>IF('計算A'!CU$106=1,GT25,1)</f>
        <v/>
      </c>
      <c r="MI25">
        <f>IF('計算A'!CV$106=1,GU25,1)</f>
        <v/>
      </c>
      <c r="MJ25">
        <f>IF('計算A'!CW$106=1,GV25,1)</f>
        <v/>
      </c>
      <c r="MK25">
        <f>IF('計算A'!CX$106=1,GW25,1)</f>
        <v/>
      </c>
      <c r="ML25">
        <f>IF('計算A'!CY$106=1,GX25,1)</f>
        <v/>
      </c>
      <c r="MM25">
        <f>IF('計算A'!CZ$106=1,GY25,1)</f>
        <v/>
      </c>
      <c r="MN25">
        <f>IF('計算A'!DA$106=1,GZ25,1)</f>
        <v/>
      </c>
      <c r="MO25">
        <f>IF('計算A'!DB$106=1,HA25,1)</f>
        <v/>
      </c>
      <c r="MP25">
        <f>IF('計算A'!DC$106=1,HB25,1)</f>
        <v/>
      </c>
      <c r="MQ25">
        <f>IF('計算A'!DD$106=1,HC25,1)</f>
        <v/>
      </c>
      <c r="MR25">
        <f>IF('計算A'!DE$106=1,HD25,1)</f>
        <v/>
      </c>
      <c r="MS25">
        <f>IF('計算A'!DF$106=1,HE25,1)</f>
        <v/>
      </c>
      <c r="MT25">
        <f>IF('計算A'!DG$106=1,HF25,1)</f>
        <v/>
      </c>
      <c r="MU25">
        <f>IF('計算A'!DH$106=1,HG25,1)</f>
        <v/>
      </c>
      <c r="MV25">
        <f>IF('計算A'!DI$106=1,HH25,1)</f>
        <v/>
      </c>
      <c r="MW25">
        <f>IF('計算A'!DJ$106=1,HI25,1)</f>
        <v/>
      </c>
      <c r="MX25">
        <f>IF('計算A'!DK$106=1,HJ25,1)</f>
        <v/>
      </c>
      <c r="MY25">
        <f>IF('計算A'!DL$106=1,HK25,1)</f>
        <v/>
      </c>
      <c r="MZ25">
        <f>IF('計算A'!DM$106=1,HL25,1)</f>
        <v/>
      </c>
      <c r="NA25">
        <f>IF('計算A'!DN$106=1,HM25,1)</f>
        <v/>
      </c>
      <c r="NB25">
        <f>IF('計算A'!DO$106=1,HN25,1)</f>
        <v/>
      </c>
      <c r="NC25">
        <f>IF('計算A'!DP$106=1,HO25,1)</f>
        <v/>
      </c>
      <c r="ND25">
        <f>IF('計算A'!DQ$106=1,HP25,1)</f>
        <v/>
      </c>
      <c r="NE25">
        <f>IF('計算A'!DR$106=1,HQ25,1)</f>
        <v/>
      </c>
      <c r="NF25">
        <f>IF('計算A'!DS$106=1,HR25,1)</f>
        <v/>
      </c>
      <c r="NG25">
        <f>IF('計算A'!DT$106=1,HS25,1)</f>
        <v/>
      </c>
      <c r="NH25">
        <f>IF('計算A'!DU$106=1,HT25,1)</f>
        <v/>
      </c>
      <c r="NI25">
        <f>IF('計算A'!DV$106=1,HU25,1)</f>
        <v/>
      </c>
      <c r="NJ25">
        <f>IF('計算A'!DW$106=1,HV25,1)</f>
        <v/>
      </c>
      <c r="NK25">
        <f>IF('計算A'!DX$106=1,HW25,1)</f>
        <v/>
      </c>
      <c r="NL25">
        <f>IF('計算A'!DY$106=1,HX25,1)</f>
        <v/>
      </c>
      <c r="NM25">
        <f>IF('計算A'!DZ$106=1,HY25,1)</f>
        <v/>
      </c>
      <c r="NN25">
        <f>IF('計算A'!EA$106=1,HZ25,1)</f>
        <v/>
      </c>
      <c r="NO25">
        <f>IF('計算A'!EB$106=1,IA25,1)</f>
        <v/>
      </c>
      <c r="NP25">
        <f>IF('計算A'!EC$106=1,IB25,1)</f>
        <v/>
      </c>
      <c r="NQ25">
        <f>IF('計算A'!ED$106=1,IC25,1)</f>
        <v/>
      </c>
      <c r="NR25">
        <f>IF('計算A'!EE$106=1,ID25,1)</f>
        <v/>
      </c>
      <c r="NS25">
        <f>IF('計算A'!EF$106=1,IE25,1)</f>
        <v/>
      </c>
      <c r="NT25">
        <f>IF('計算A'!EG$106=1,IF25,1)</f>
        <v/>
      </c>
      <c r="NU25">
        <f>IF('計算A'!EH$106=1,IG25,1)</f>
        <v/>
      </c>
      <c r="NV25">
        <f>IF('計算A'!EI$106=1,IH25,1)</f>
        <v/>
      </c>
      <c r="NW25">
        <f>IF('計算A'!EJ$106=1,II25,1)</f>
        <v/>
      </c>
      <c r="NX25">
        <f>IF('計算A'!EK$106=1,IJ25,1)</f>
        <v/>
      </c>
      <c r="NY25">
        <f>IF('計算A'!EL$106=1,IK25,1)</f>
        <v/>
      </c>
      <c r="NZ25">
        <f>IF('計算A'!EM$106=1,IL25,1)</f>
        <v/>
      </c>
      <c r="OA25">
        <f>IF('計算A'!EN$106=1,IM25,1)</f>
        <v/>
      </c>
      <c r="OB25">
        <f>IF('計算A'!EO$106=1,IN25,1)</f>
        <v/>
      </c>
      <c r="OC25">
        <f>IF('計算A'!EP$106=1,IO25,1)</f>
        <v/>
      </c>
      <c r="OD25" t="n">
        <v>1</v>
      </c>
      <c r="OF25">
        <f>IF($B25=0,1000000,IF(INDEX('計算A'!$D$60:$EQ$104,$B25,1)*DB25=1,IF(AND($E25=2,IQ25=0),1000000,IF($I25&gt;0,IF(1=$J25,IF(OR(AND(1=$I25+1,OR($K25&lt;&gt;'計算A'!$A$3,'計算A'!$A$4=0)),AND(1=$I25-1,OR(1&lt;&gt;'計算A'!$A$3,'計算A'!$A$4=0))),0,IF(1=$K25,200000,ABS(1-$K25)*100)),100000+ABS(1-$J25)*1000+10)+'計算A'!D$5*50+IF(AND($E25=1,IQ25=0),25,0),INDEX('計算A'!D$110:D$114,$F25+1)+IF(AND($E25=1,IQ25=0),1000,0)+IF($H25=1,(IF('計算A'!D$117=1,INDEX('計算A'!E$10:E$54,$B25),0))*500,0)-IF(AND($L25=1,'計算A'!D$117=1,DC25=0),300,0))),1000000))</f>
        <v/>
      </c>
      <c r="OG25">
        <f>IF($B25=0,1000000,IF(INDEX('計算A'!$D$60:$EQ$104,$B25,2)*DC25=1,IF(AND($E25=2,IR25=0),1000000,IF($I25&gt;0,IF(1=$J25,IF(OR(AND(2=$I25+1,OR($K25&lt;&gt;'計算A'!$A$3,'計算A'!$A$4=0)),AND(2=$I25-1,OR(2&lt;&gt;'計算A'!$A$3,'計算A'!$A$4=0))),0,IF(2=$K25,200000,ABS(2-$K25)*100)),100000+ABS(1-$J25)*1000+20)+'計算A'!E$5*50+IF(AND($E25=1,IR25=0),25,0),INDEX('計算A'!E$110:E$114,$F25+1)+IF(AND($E25=1,IR25=0),1000,0)+IF($H25=1,(IF('計算A'!D$117=1,INDEX('計算A'!D$10:D$54,$B25),0)+IF('計算A'!E$117=1,INDEX('計算A'!F$10:F$54,$B25),0))*500,0)-IF(AND('計算A'!D$117=1,UB25&gt;0),300,0)-IF(AND($L25=1,'計算A'!E$117=1,DD25=0),300,0))),1000000))</f>
        <v/>
      </c>
      <c r="OH25">
        <f>IF($B25=0,1000000,IF(INDEX('計算A'!$D$60:$EQ$104,$B25,3)*DD25=1,IF(AND($E25=2,IS25=0),1000000,IF($I25&gt;0,IF(1=$J25,IF(OR(AND(3=$I25+1,OR($K25&lt;&gt;'計算A'!$A$3,'計算A'!$A$4=0)),AND(3=$I25-1,OR(3&lt;&gt;'計算A'!$A$3,'計算A'!$A$4=0))),0,IF(3=$K25,200000,ABS(3-$K25)*100)),100000+ABS(1-$J25)*1000+30)+'計算A'!F$5*50+IF(AND($E25=1,IS25=0),25,0),INDEX('計算A'!F$110:F$114,$F25+1)+IF(AND($E25=1,IS25=0),1000,0)+IF($H25=1,(IF('計算A'!E$117=1,INDEX('計算A'!E$10:E$54,$B25),0)+IF('計算A'!F$117=1,INDEX('計算A'!G$10:G$54,$B25),0))*500,0)-IF(AND('計算A'!E$117=1,UC25&gt;0),300,0)-IF(AND($L25=1,'計算A'!F$117=1,DE25=0),300,0))),1000000))</f>
        <v/>
      </c>
      <c r="OI25">
        <f>IF($B25=0,1000000,IF(INDEX('計算A'!$D$60:$EQ$104,$B25,4)*DE25=1,IF(AND($E25=2,IT25=0),1000000,IF($I25&gt;0,IF(1=$J25,IF(OR(AND(4=$I25+1,OR($K25&lt;&gt;'計算A'!$A$3,'計算A'!$A$4=0)),AND(4=$I25-1,OR(4&lt;&gt;'計算A'!$A$3,'計算A'!$A$4=0))),0,IF(4=$K25,200000,ABS(4-$K25)*100)),100000+ABS(1-$J25)*1000+40)+'計算A'!G$5*50+IF(AND($E25=1,IT25=0),25,0),INDEX('計算A'!G$110:G$114,$F25+1)+IF(AND($E25=1,IT25=0),1000,0)+IF($H25=1,(IF('計算A'!F$117=1,INDEX('計算A'!F$10:F$54,$B25),0)+IF('計算A'!G$117=1,INDEX('計算A'!H$10:H$54,$B25),0))*500,0)-IF(AND('計算A'!F$117=1,UD25&gt;0),300,0)-IF(AND($L25=1,'計算A'!G$117=1,DF25=0),300,0))),1000000))</f>
        <v/>
      </c>
      <c r="OJ25">
        <f>IF($B25=0,1000000,IF(INDEX('計算A'!$D$60:$EQ$104,$B25,5)*DF25=1,IF(AND($E25=2,IU25=0),1000000,IF($I25&gt;0,IF(1=$J25,IF(OR(AND(5=$I25+1,OR($K25&lt;&gt;'計算A'!$A$3,'計算A'!$A$4=0)),AND(5=$I25-1,OR(5&lt;&gt;'計算A'!$A$3,'計算A'!$A$4=0))),0,IF(5=$K25,200000,ABS(5-$K25)*100)),100000+ABS(1-$J25)*1000+50)+'計算A'!H$5*50+IF(AND($E25=1,IU25=0),25,0),INDEX('計算A'!H$110:H$114,$F25+1)+IF(AND($E25=1,IU25=0),1000,0)+IF($H25=1,(IF('計算A'!G$117=1,INDEX('計算A'!G$10:G$54,$B25),0)+IF('計算A'!H$117=1,INDEX('計算A'!I$10:I$54,$B25),0))*500,0)-IF(AND('計算A'!G$117=1,UE25&gt;0),300,0)-IF(AND($L25=1,'計算A'!H$117=1,DG25=0),300,0))),1000000))</f>
        <v/>
      </c>
      <c r="OK25">
        <f>IF($B25=0,1000000,IF(INDEX('計算A'!$D$60:$EQ$104,$B25,6)*DG25=1,IF(AND($E25=2,IV25=0),1000000,IF($I25&gt;0,IF(1=$J25,IF(OR(AND(6=$I25+1,OR($K25&lt;&gt;'計算A'!$A$3,'計算A'!$A$4=0)),AND(6=$I25-1,OR(6&lt;&gt;'計算A'!$A$3,'計算A'!$A$4=0))),0,IF(6=$K25,200000,ABS(6-$K25)*100)),100000+ABS(1-$J25)*1000+60)+'計算A'!I$5*50+IF(AND($E25=1,IV25=0),25,0),INDEX('計算A'!I$110:I$114,$F25+1)+IF(AND($E25=1,IV25=0),1000,0)+IF($H25=1,(IF('計算A'!H$117=1,INDEX('計算A'!H$10:H$54,$B25),0)+IF('計算A'!I$117=1,INDEX('計算A'!J$10:J$54,$B25),0))*500,0)-IF(AND('計算A'!H$117=1,UF25&gt;0),300,0)-IF(AND($L25=1,'計算A'!I$117=1,DH25=0),300,0))),1000000))</f>
        <v/>
      </c>
      <c r="OL25">
        <f>IF($B25=0,1000000,IF(INDEX('計算A'!$D$60:$EQ$104,$B25,7)*DH25=1,IF(AND($E25=2,IW25=0),1000000,IF($I25&gt;0,IF(1=$J25,IF(OR(AND(7=$I25+1,OR($K25&lt;&gt;'計算A'!$A$3,'計算A'!$A$4=0)),AND(7=$I25-1,OR(7&lt;&gt;'計算A'!$A$3,'計算A'!$A$4=0))),0,IF(7=$K25,200000,ABS(7-$K25)*100)),100000+ABS(1-$J25)*1000+70)+'計算A'!J$5*50+IF(AND($E25=1,IW25=0),25,0),INDEX('計算A'!J$110:J$114,$F25+1)+IF(AND($E25=1,IW25=0),1000,0)+IF($H25=1,(IF('計算A'!I$117=1,INDEX('計算A'!I$10:I$54,$B25),0)+IF('計算A'!J$117=1,INDEX('計算A'!K$10:K$54,$B25),0))*500,0)-IF(AND('計算A'!I$117=1,UG25&gt;0),300,0)-IF(AND($L25=1,'計算A'!J$117=1,DI25=0),300,0))),1000000))</f>
        <v/>
      </c>
      <c r="OM25">
        <f>IF($B25=0,1000000,IF(INDEX('計算A'!$D$60:$EQ$104,$B25,8)*DI25=1,IF(AND($E25=2,IX25=0),1000000,IF($I25&gt;0,IF(1=$J25,IF(OR(AND(8=$I25+1,OR($K25&lt;&gt;'計算A'!$A$3,'計算A'!$A$4=0)),AND(8=$I25-1,OR(8&lt;&gt;'計算A'!$A$3,'計算A'!$A$4=0))),0,IF(8=$K25,200000,ABS(8-$K25)*100)),100000+ABS(1-$J25)*1000+80)+'計算A'!K$5*50+IF(AND($E25=1,IX25=0),25,0),INDEX('計算A'!K$110:K$114,$F25+1)+IF(AND($E25=1,IX25=0),1000,0)+IF($H25=1,(IF('計算A'!J$117=1,INDEX('計算A'!J$10:J$54,$B25),0)+IF('計算A'!K$117=1,INDEX('計算A'!L$10:L$54,$B25),0))*500,0)-IF(AND('計算A'!J$117=1,UH25&gt;0),300,0)-IF(AND($L25=1,'計算A'!K$117=1,DJ25=0),300,0))),1000000))</f>
        <v/>
      </c>
      <c r="ON25">
        <f>IF($B25=0,1000000,IF(INDEX('計算A'!$D$60:$EQ$104,$B25,9)*DJ25=1,IF(AND($E25=2,IY25=0),1000000,IF($I25&gt;0,IF(1=$J25,IF(OR(AND(9=$I25+1,OR($K25&lt;&gt;'計算A'!$A$3,'計算A'!$A$4=0)),AND(9=$I25-1,OR(9&lt;&gt;'計算A'!$A$3,'計算A'!$A$4=0))),0,IF(9=$K25,200000,ABS(9-$K25)*100)),100000+ABS(1-$J25)*1000+90)+'計算A'!L$5*50+IF(AND($E25=1,IY25=0),25,0),INDEX('計算A'!L$110:L$114,$F25+1)+IF(AND($E25=1,IY25=0),1000,0)+IF($H25=1,(IF('計算A'!K$117=1,INDEX('計算A'!K$10:K$54,$B25),0)+IF('計算A'!L$117=1,INDEX('計算A'!M$10:M$54,$B25),0))*500,0)-IF(AND('計算A'!K$117=1,UI25&gt;0),300,0)-IF(AND($L25=1,'計算A'!L$117=1,DK25=0),300,0))),1000000))</f>
        <v/>
      </c>
      <c r="OO25">
        <f>IF($B25=0,1000000,IF(INDEX('計算A'!$D$60:$EQ$104,$B25,10)*DK25=1,IF(AND($E25=2,IZ25=0),1000000,IF($I25&gt;0,IF(1=$J25,IF(OR(AND(10=$I25+1,OR($K25&lt;&gt;'計算A'!$A$3,'計算A'!$A$4=0)),AND(10=$I25-1,OR(10&lt;&gt;'計算A'!$A$3,'計算A'!$A$4=0))),0,IF(10=$K25,200000,ABS(10-$K25)*100)),100000+ABS(1-$J25)*1000+100)+'計算A'!M$5*50+IF(AND($E25=1,IZ25=0),25,0),INDEX('計算A'!M$110:M$114,$F25+1)+IF(AND($E25=1,IZ25=0),1000,0)+IF($H25=1,(IF('計算A'!L$117=1,INDEX('計算A'!L$10:L$54,$B25),0)+IF('計算A'!M$117=1,INDEX('計算A'!N$10:N$54,$B25),0))*500,0)-IF(AND('計算A'!L$117=1,UJ25&gt;0),300,0)-IF(AND($L25=1,'計算A'!M$117=1,DL25=0),300,0))),1000000))</f>
        <v/>
      </c>
      <c r="OP25">
        <f>IF($B25=0,1000000,IF(INDEX('計算A'!$D$60:$EQ$104,$B25,11)*DL25=1,IF(AND($E25=2,JA25=0),1000000,IF($I25&gt;0,IF(1=$J25,IF(OR(AND(11=$I25+1,OR($K25&lt;&gt;'計算A'!$A$3,'計算A'!$A$4=0)),AND(11=$I25-1,OR(11&lt;&gt;'計算A'!$A$3,'計算A'!$A$4=0))),0,IF(11=$K25,200000,ABS(11-$K25)*100)),100000+ABS(1-$J25)*1000+110)+'計算A'!N$5*50+IF(AND($E25=1,JA25=0),25,0),INDEX('計算A'!N$110:N$114,$F25+1)+IF(AND($E25=1,JA25=0),1000,0)+IF($H25=1,(IF('計算A'!M$117=1,INDEX('計算A'!M$10:M$54,$B25),0)+IF('計算A'!N$117=1,INDEX('計算A'!O$10:O$54,$B25),0))*500,0)-IF(AND('計算A'!M$117=1,UK25&gt;0),300,0)-IF(AND($L25=1,'計算A'!N$117=1,DM25=0),300,0))),1000000))</f>
        <v/>
      </c>
      <c r="OQ25">
        <f>IF($B25=0,1000000,IF(INDEX('計算A'!$D$60:$EQ$104,$B25,12)*DM25=1,IF(AND($E25=2,JB25=0),1000000,IF($I25&gt;0,IF(1=$J25,IF(OR(AND(12=$I25+1,OR($K25&lt;&gt;'計算A'!$A$3,'計算A'!$A$4=0)),AND(12=$I25-1,OR(12&lt;&gt;'計算A'!$A$3,'計算A'!$A$4=0))),0,IF(12=$K25,200000,ABS(12-$K25)*100)),100000+ABS(1-$J25)*1000+120)+'計算A'!O$5*50+IF(AND($E25=1,JB25=0),25,0),INDEX('計算A'!O$110:O$114,$F25+1)+IF(AND($E25=1,JB25=0),1000,0)+IF($H25=1,(IF('計算A'!N$117=1,INDEX('計算A'!N$10:N$54,$B25),0)+IF('計算A'!O$117=1,INDEX('計算A'!P$10:P$54,$B25),0))*500,0)-IF(AND('計算A'!N$117=1,UL25&gt;0),300,0)-IF(AND($L25=1,'計算A'!O$117=1,DN25=0),300,0))),1000000))</f>
        <v/>
      </c>
      <c r="OR25">
        <f>IF($B25=0,1000000,IF(INDEX('計算A'!$D$60:$EQ$104,$B25,13)*DN25=1,IF(AND($E25=2,JC25=0),1000000,IF($I25&gt;0,IF(1=$J25,IF(OR(AND(13=$I25+1,OR($K25&lt;&gt;'計算A'!$A$3,'計算A'!$A$4=0)),AND(13=$I25-1,OR(13&lt;&gt;'計算A'!$A$3,'計算A'!$A$4=0))),0,IF(13=$K25,200000,ABS(13-$K25)*100)),100000+ABS(1-$J25)*1000+130)+'計算A'!P$5*50+IF(AND($E25=1,JC25=0),25,0),INDEX('計算A'!P$110:P$114,$F25+1)+IF(AND($E25=1,JC25=0),1000,0)+IF($H25=1,(IF('計算A'!O$117=1,INDEX('計算A'!O$10:O$54,$B25),0)+IF('計算A'!P$117=1,INDEX('計算A'!Q$10:Q$54,$B25),0))*500,0)-IF(AND('計算A'!O$117=1,UM25&gt;0),300,0)-IF(AND($L25=1,'計算A'!P$117=1,DO25=0),300,0))),1000000))</f>
        <v/>
      </c>
      <c r="OS25">
        <f>IF($B25=0,1000000,IF(INDEX('計算A'!$D$60:$EQ$104,$B25,14)*DO25=1,IF(AND($E25=2,JD25=0),1000000,IF($I25&gt;0,IF(1=$J25,IF(OR(AND(14=$I25+1,OR($K25&lt;&gt;'計算A'!$A$3,'計算A'!$A$4=0)),AND(14=$I25-1,OR(14&lt;&gt;'計算A'!$A$3,'計算A'!$A$4=0))),0,IF(14=$K25,200000,ABS(14-$K25)*100)),100000+ABS(1-$J25)*1000+140)+'計算A'!Q$5*50+IF(AND($E25=1,JD25=0),25,0),INDEX('計算A'!Q$110:Q$114,$F25+1)+IF(AND($E25=1,JD25=0),1000,0)+IF($H25=1,(IF('計算A'!P$117=1,INDEX('計算A'!P$10:P$54,$B25),0)+IF('計算A'!Q$117=1,INDEX('計算A'!R$10:R$54,$B25),0))*500,0)-IF(AND('計算A'!P$117=1,UN25&gt;0),300,0)-IF(AND($L25=1,'計算A'!Q$117=1,DP25=0),300,0))),1000000))</f>
        <v/>
      </c>
      <c r="OT25">
        <f>IF($B25=0,1000000,IF(INDEX('計算A'!$D$60:$EQ$104,$B25,15)*DP25=1,IF(AND($E25=2,JE25=0),1000000,IF($I25&gt;0,IF(1=$J25,IF(OR(AND(15=$I25+1,OR($K25&lt;&gt;'計算A'!$A$3,'計算A'!$A$4=0)),AND(15=$I25-1,OR(15&lt;&gt;'計算A'!$A$3,'計算A'!$A$4=0))),0,IF(15=$K25,200000,ABS(15-$K25)*100)),100000+ABS(1-$J25)*1000+150)+'計算A'!R$5*50+IF(AND($E25=1,JE25=0),25,0),INDEX('計算A'!R$110:R$114,$F25+1)+IF(AND($E25=1,JE25=0),1000,0)+IF($H25=1,(IF('計算A'!Q$117=1,INDEX('計算A'!Q$10:Q$54,$B25),0)+IF('計算A'!R$117=1,INDEX('計算A'!S$10:S$54,$B25),0))*500,0)-IF(AND('計算A'!Q$117=1,UO25&gt;0),300,0)-IF(AND($L25=1,'計算A'!R$117=1,DQ25=0),300,0))),1000000))</f>
        <v/>
      </c>
      <c r="OU25">
        <f>IF($B25=0,1000000,IF(INDEX('計算A'!$D$60:$EQ$104,$B25,16)*DQ25=1,IF(AND($E25=2,JF25=0),1000000,IF($I25&gt;0,IF(1=$J25,IF(OR(AND(16=$I25+1,OR($K25&lt;&gt;'計算A'!$A$3,'計算A'!$A$4=0)),AND(16=$I25-1,OR(16&lt;&gt;'計算A'!$A$3,'計算A'!$A$4=0))),0,IF(16=$K25,200000,ABS(16-$K25)*100)),100000+ABS(1-$J25)*1000+160)+'計算A'!S$5*50+IF(AND($E25=1,JF25=0),25,0),INDEX('計算A'!S$110:S$114,$F25+1)+IF(AND($E25=1,JF25=0),1000,0)+IF($H25=1,(IF('計算A'!R$117=1,INDEX('計算A'!R$10:R$54,$B25),0)+IF('計算A'!S$117=1,INDEX('計算A'!T$10:T$54,$B25),0))*500,0)-IF(AND('計算A'!R$117=1,UP25&gt;0),300,0)-IF(AND($L25=1,'計算A'!S$117=1,DR25=0),300,0))),1000000))</f>
        <v/>
      </c>
      <c r="OV25">
        <f>IF($B25=0,1000000,IF(INDEX('計算A'!$D$60:$EQ$104,$B25,17)*DR25=1,IF(AND($E25=2,JG25=0),1000000,IF($I25&gt;0,IF(1=$J25,IF(OR(AND(17=$I25+1,OR($K25&lt;&gt;'計算A'!$A$3,'計算A'!$A$4=0)),AND(17=$I25-1,OR(17&lt;&gt;'計算A'!$A$3,'計算A'!$A$4=0))),0,IF(17=$K25,200000,ABS(17-$K25)*100)),100000+ABS(1-$J25)*1000+170)+'計算A'!T$5*50+IF(AND($E25=1,JG25=0),25,0),INDEX('計算A'!T$110:T$114,$F25+1)+IF(AND($E25=1,JG25=0),1000,0)+IF($H25=1,(IF('計算A'!S$117=1,INDEX('計算A'!S$10:S$54,$B25),0)+IF('計算A'!T$117=1,INDEX('計算A'!U$10:U$54,$B25),0))*500,0)-IF(AND('計算A'!S$117=1,UQ25&gt;0),300,0)-IF(AND($L25=1,'計算A'!T$117=1,DS25=0),300,0))),1000000))</f>
        <v/>
      </c>
      <c r="OW25">
        <f>IF($B25=0,1000000,IF(INDEX('計算A'!$D$60:$EQ$104,$B25,18)*DS25=1,IF(AND($E25=2,JH25=0),1000000,IF($I25&gt;0,IF(1=$J25,IF(OR(AND(18=$I25+1,OR($K25&lt;&gt;'計算A'!$A$3,'計算A'!$A$4=0)),AND(18=$I25-1,OR(18&lt;&gt;'計算A'!$A$3,'計算A'!$A$4=0))),0,IF(18=$K25,200000,ABS(18-$K25)*100)),100000+ABS(1-$J25)*1000+180)+'計算A'!U$5*50+IF(AND($E25=1,JH25=0),25,0),INDEX('計算A'!U$110:U$114,$F25+1)+IF(AND($E25=1,JH25=0),1000,0)+IF($H25=1,(IF('計算A'!T$117=1,INDEX('計算A'!T$10:T$54,$B25),0)+IF('計算A'!U$117=1,INDEX('計算A'!V$10:V$54,$B25),0))*500,0)-IF(AND('計算A'!T$117=1,UR25&gt;0),300,0)-IF(AND($L25=1,'計算A'!U$117=1,DT25=0),300,0))),1000000))</f>
        <v/>
      </c>
      <c r="OX25">
        <f>IF($B25=0,1000000,IF(INDEX('計算A'!$D$60:$EQ$104,$B25,19)*DT25=1,IF(AND($E25=2,JI25=0),1000000,IF($I25&gt;0,IF(1=$J25,IF(OR(AND(19=$I25+1,OR($K25&lt;&gt;'計算A'!$A$3,'計算A'!$A$4=0)),AND(19=$I25-1,OR(19&lt;&gt;'計算A'!$A$3,'計算A'!$A$4=0))),0,IF(19=$K25,200000,ABS(19-$K25)*100)),100000+ABS(1-$J25)*1000+190)+'計算A'!V$5*50+IF(AND($E25=1,JI25=0),25,0),INDEX('計算A'!V$110:V$114,$F25+1)+IF(AND($E25=1,JI25=0),1000,0)+IF($H25=1,(IF('計算A'!U$117=1,INDEX('計算A'!U$10:U$54,$B25),0)+IF('計算A'!V$117=1,INDEX('計算A'!W$10:W$54,$B25),0))*500,0)-IF(AND('計算A'!U$117=1,US25&gt;0),300,0)-IF(AND($L25=1,'計算A'!V$117=1,DU25=0),300,0))),1000000))</f>
        <v/>
      </c>
      <c r="OY25">
        <f>IF($B25=0,1000000,IF(INDEX('計算A'!$D$60:$EQ$104,$B25,20)*DU25=1,IF(AND($E25=2,JJ25=0),1000000,IF($I25&gt;0,IF(1=$J25,IF(OR(AND(20=$I25+1,OR($K25&lt;&gt;'計算A'!$A$3,'計算A'!$A$4=0)),AND(20=$I25-1,OR(20&lt;&gt;'計算A'!$A$3,'計算A'!$A$4=0))),0,IF(20=$K25,200000,ABS(20-$K25)*100)),100000+ABS(1-$J25)*1000+200)+'計算A'!W$5*50+IF(AND($E25=1,JJ25=0),25,0),INDEX('計算A'!W$110:W$114,$F25+1)+IF(AND($E25=1,JJ25=0),1000,0)+IF($H25=1,(IF('計算A'!V$117=1,INDEX('計算A'!V$10:V$54,$B25),0)+IF('計算A'!W$117=1,INDEX('計算A'!X$10:X$54,$B25),0))*500,0)-IF(AND('計算A'!V$117=1,UT25&gt;0),300,0)-IF(AND($L25=1,'計算A'!W$117=1,DV25=0),300,0))),1000000))</f>
        <v/>
      </c>
      <c r="OZ25">
        <f>IF($B25=0,1000000,IF(INDEX('計算A'!$D$60:$EQ$104,$B25,21)*DV25=1,IF(AND($E25=2,JK25=0),1000000,IF($I25&gt;0,IF(1=$J25,IF(OR(AND(21=$I25+1,OR($K25&lt;&gt;'計算A'!$A$3,'計算A'!$A$4=0)),AND(21=$I25-1,OR(21&lt;&gt;'計算A'!$A$3,'計算A'!$A$4=0))),0,IF(21=$K25,200000,ABS(21-$K25)*100)),100000+ABS(1-$J25)*1000+210)+'計算A'!X$5*50+IF(AND($E25=1,JK25=0),25,0),INDEX('計算A'!X$110:X$114,$F25+1)+IF(AND($E25=1,JK25=0),1000,0)+IF($H25=1,(IF('計算A'!W$117=1,INDEX('計算A'!W$10:W$54,$B25),0)+IF('計算A'!X$117=1,INDEX('計算A'!Y$10:Y$54,$B25),0))*500,0)-IF(AND('計算A'!W$117=1,UU25&gt;0),300,0)-IF(AND($L25=1,'計算A'!X$117=1,DW25=0),300,0))),1000000))</f>
        <v/>
      </c>
      <c r="PA25">
        <f>IF($B25=0,1000000,IF(INDEX('計算A'!$D$60:$EQ$104,$B25,22)*DW25=1,IF(AND($E25=2,JL25=0),1000000,IF($I25&gt;0,IF(1=$J25,IF(OR(AND(22=$I25+1,OR($K25&lt;&gt;'計算A'!$A$3,'計算A'!$A$4=0)),AND(22=$I25-1,OR(22&lt;&gt;'計算A'!$A$3,'計算A'!$A$4=0))),0,IF(22=$K25,200000,ABS(22-$K25)*100)),100000+ABS(1-$J25)*1000+220)+'計算A'!Y$5*50+IF(AND($E25=1,JL25=0),25,0),INDEX('計算A'!Y$110:Y$114,$F25+1)+IF(AND($E25=1,JL25=0),1000,0)+IF($H25=1,(IF('計算A'!X$117=1,INDEX('計算A'!X$10:X$54,$B25),0)+IF('計算A'!Y$117=1,INDEX('計算A'!Z$10:Z$54,$B25),0))*500,0)-IF(AND('計算A'!X$117=1,UV25&gt;0),300,0)-IF(AND($L25=1,'計算A'!Y$117=1,DX25=0),300,0))),1000000))</f>
        <v/>
      </c>
      <c r="PB25">
        <f>IF($B25=0,1000000,IF(INDEX('計算A'!$D$60:$EQ$104,$B25,23)*DX25=1,IF(AND($E25=2,JM25=0),1000000,IF($I25&gt;0,IF(1=$J25,IF(OR(AND(23=$I25+1,OR($K25&lt;&gt;'計算A'!$A$3,'計算A'!$A$4=0)),AND(23=$I25-1,OR(23&lt;&gt;'計算A'!$A$3,'計算A'!$A$4=0))),0,IF(23=$K25,200000,ABS(23-$K25)*100)),100000+ABS(1-$J25)*1000+230)+'計算A'!Z$5*50+IF(AND($E25=1,JM25=0),25,0),INDEX('計算A'!Z$110:Z$114,$F25+1)+IF(AND($E25=1,JM25=0),1000,0)+IF($H25=1,(IF('計算A'!Y$117=1,INDEX('計算A'!Y$10:Y$54,$B25),0)+IF('計算A'!Z$117=1,INDEX('計算A'!AA$10:AA$54,$B25),0))*500,0)-IF(AND('計算A'!Y$117=1,UW25&gt;0),300,0)-IF(AND($L25=1,'計算A'!Z$117=1,DY25=0),300,0))),1000000))</f>
        <v/>
      </c>
      <c r="PC25">
        <f>IF($B25=0,1000000,IF(INDEX('計算A'!$D$60:$EQ$104,$B25,24)*DY25=1,IF(AND($E25=2,JN25=0),1000000,IF($I25&gt;0,IF(1=$J25,IF(OR(AND(24=$I25+1,OR($K25&lt;&gt;'計算A'!$A$3,'計算A'!$A$4=0)),AND(24=$I25-1,OR(24&lt;&gt;'計算A'!$A$3,'計算A'!$A$4=0))),0,IF(24=$K25,200000,ABS(24-$K25)*100)),100000+ABS(1-$J25)*1000+240)+'計算A'!AA$5*50+IF(AND($E25=1,JN25=0),25,0),INDEX('計算A'!AA$110:AA$114,$F25+1)+IF(AND($E25=1,JN25=0),1000,0)+IF($H25=1,(IF('計算A'!Z$117=1,INDEX('計算A'!Z$10:Z$54,$B25),0))*500,0)-IF(AND('計算A'!Z$117=1,UX25&gt;0),300,0))),1000000))</f>
        <v/>
      </c>
      <c r="PD25">
        <f>IF($B25=0,1000000,IF(INDEX('計算A'!$D$60:$EQ$104,$B25,25)*DZ25=1,IF(AND($E25=2,JO25=0),1000000,IF($I25&gt;0,IF(2=$J25,IF(OR(AND(25=$I25+1,OR($K25&lt;&gt;'計算A'!$A$3,'計算A'!$A$4=0)),AND(25=$I25-1,OR(1&lt;&gt;'計算A'!$A$3,'計算A'!$A$4=0))),0,IF(1=$K25,200000,ABS(1-$K25)*100)),100000+ABS(2-$J25)*1000+10)+'計算A'!AB$5*50+IF(AND($E25=1,JO25=0),25,0),INDEX('計算A'!AB$110:AB$114,$F25+1)+IF(AND($E25=1,JO25=0),1000,0)+IF($H25=1,(IF('計算A'!AB$117=1,INDEX('計算A'!AC$10:AC$54,$B25),0))*500,0)-IF(AND($L25=1,'計算A'!AB$117=1,EA25=0),300,0))),1000000))</f>
        <v/>
      </c>
      <c r="PE25">
        <f>IF($B25=0,1000000,IF(INDEX('計算A'!$D$60:$EQ$104,$B25,26)*EA25=1,IF(AND($E25=2,JP25=0),1000000,IF($I25&gt;0,IF(2=$J25,IF(OR(AND(26=$I25+1,OR($K25&lt;&gt;'計算A'!$A$3,'計算A'!$A$4=0)),AND(26=$I25-1,OR(2&lt;&gt;'計算A'!$A$3,'計算A'!$A$4=0))),0,IF(2=$K25,200000,ABS(2-$K25)*100)),100000+ABS(2-$J25)*1000+20)+'計算A'!AC$5*50+IF(AND($E25=1,JP25=0),25,0),INDEX('計算A'!AC$110:AC$114,$F25+1)+IF(AND($E25=1,JP25=0),1000,0)+IF($H25=1,(IF('計算A'!AB$117=1,INDEX('計算A'!AB$10:AB$54,$B25),0)+IF('計算A'!AC$117=1,INDEX('計算A'!AD$10:AD$54,$B25),0))*500,0)-IF(AND('計算A'!AB$117=1,UZ25&gt;0),300,0)-IF(AND($L25=1,'計算A'!AC$117=1,EB25=0),300,0))),1000000))</f>
        <v/>
      </c>
      <c r="PF25">
        <f>IF($B25=0,1000000,IF(INDEX('計算A'!$D$60:$EQ$104,$B25,27)*EB25=1,IF(AND($E25=2,JQ25=0),1000000,IF($I25&gt;0,IF(2=$J25,IF(OR(AND(27=$I25+1,OR($K25&lt;&gt;'計算A'!$A$3,'計算A'!$A$4=0)),AND(27=$I25-1,OR(3&lt;&gt;'計算A'!$A$3,'計算A'!$A$4=0))),0,IF(3=$K25,200000,ABS(3-$K25)*100)),100000+ABS(2-$J25)*1000+30)+'計算A'!AD$5*50+IF(AND($E25=1,JQ25=0),25,0),INDEX('計算A'!AD$110:AD$114,$F25+1)+IF(AND($E25=1,JQ25=0),1000,0)+IF($H25=1,(IF('計算A'!AC$117=1,INDEX('計算A'!AC$10:AC$54,$B25),0)+IF('計算A'!AD$117=1,INDEX('計算A'!AE$10:AE$54,$B25),0))*500,0)-IF(AND('計算A'!AC$117=1,VA25&gt;0),300,0)-IF(AND($L25=1,'計算A'!AD$117=1,EC25=0),300,0))),1000000))</f>
        <v/>
      </c>
      <c r="PG25">
        <f>IF($B25=0,1000000,IF(INDEX('計算A'!$D$60:$EQ$104,$B25,28)*EC25=1,IF(AND($E25=2,JR25=0),1000000,IF($I25&gt;0,IF(2=$J25,IF(OR(AND(28=$I25+1,OR($K25&lt;&gt;'計算A'!$A$3,'計算A'!$A$4=0)),AND(28=$I25-1,OR(4&lt;&gt;'計算A'!$A$3,'計算A'!$A$4=0))),0,IF(4=$K25,200000,ABS(4-$K25)*100)),100000+ABS(2-$J25)*1000+40)+'計算A'!AE$5*50+IF(AND($E25=1,JR25=0),25,0),INDEX('計算A'!AE$110:AE$114,$F25+1)+IF(AND($E25=1,JR25=0),1000,0)+IF($H25=1,(IF('計算A'!AD$117=1,INDEX('計算A'!AD$10:AD$54,$B25),0)+IF('計算A'!AE$117=1,INDEX('計算A'!AF$10:AF$54,$B25),0))*500,0)-IF(AND('計算A'!AD$117=1,VB25&gt;0),300,0)-IF(AND($L25=1,'計算A'!AE$117=1,ED25=0),300,0))),1000000))</f>
        <v/>
      </c>
      <c r="PH25">
        <f>IF($B25=0,1000000,IF(INDEX('計算A'!$D$60:$EQ$104,$B25,29)*ED25=1,IF(AND($E25=2,JS25=0),1000000,IF($I25&gt;0,IF(2=$J25,IF(OR(AND(29=$I25+1,OR($K25&lt;&gt;'計算A'!$A$3,'計算A'!$A$4=0)),AND(29=$I25-1,OR(5&lt;&gt;'計算A'!$A$3,'計算A'!$A$4=0))),0,IF(5=$K25,200000,ABS(5-$K25)*100)),100000+ABS(2-$J25)*1000+50)+'計算A'!AF$5*50+IF(AND($E25=1,JS25=0),25,0),INDEX('計算A'!AF$110:AF$114,$F25+1)+IF(AND($E25=1,JS25=0),1000,0)+IF($H25=1,(IF('計算A'!AE$117=1,INDEX('計算A'!AE$10:AE$54,$B25),0)+IF('計算A'!AF$117=1,INDEX('計算A'!AG$10:AG$54,$B25),0))*500,0)-IF(AND('計算A'!AE$117=1,VC25&gt;0),300,0)-IF(AND($L25=1,'計算A'!AF$117=1,EE25=0),300,0))),1000000))</f>
        <v/>
      </c>
      <c r="PI25">
        <f>IF($B25=0,1000000,IF(INDEX('計算A'!$D$60:$EQ$104,$B25,30)*EE25=1,IF(AND($E25=2,JT25=0),1000000,IF($I25&gt;0,IF(2=$J25,IF(OR(AND(30=$I25+1,OR($K25&lt;&gt;'計算A'!$A$3,'計算A'!$A$4=0)),AND(30=$I25-1,OR(6&lt;&gt;'計算A'!$A$3,'計算A'!$A$4=0))),0,IF(6=$K25,200000,ABS(6-$K25)*100)),100000+ABS(2-$J25)*1000+60)+'計算A'!AG$5*50+IF(AND($E25=1,JT25=0),25,0),INDEX('計算A'!AG$110:AG$114,$F25+1)+IF(AND($E25=1,JT25=0),1000,0)+IF($H25=1,(IF('計算A'!AF$117=1,INDEX('計算A'!AF$10:AF$54,$B25),0)+IF('計算A'!AG$117=1,INDEX('計算A'!AH$10:AH$54,$B25),0))*500,0)-IF(AND('計算A'!AF$117=1,VD25&gt;0),300,0)-IF(AND($L25=1,'計算A'!AG$117=1,EF25=0),300,0))),1000000))</f>
        <v/>
      </c>
      <c r="PJ25">
        <f>IF($B25=0,1000000,IF(INDEX('計算A'!$D$60:$EQ$104,$B25,31)*EF25=1,IF(AND($E25=2,JU25=0),1000000,IF($I25&gt;0,IF(2=$J25,IF(OR(AND(31=$I25+1,OR($K25&lt;&gt;'計算A'!$A$3,'計算A'!$A$4=0)),AND(31=$I25-1,OR(7&lt;&gt;'計算A'!$A$3,'計算A'!$A$4=0))),0,IF(7=$K25,200000,ABS(7-$K25)*100)),100000+ABS(2-$J25)*1000+70)+'計算A'!AH$5*50+IF(AND($E25=1,JU25=0),25,0),INDEX('計算A'!AH$110:AH$114,$F25+1)+IF(AND($E25=1,JU25=0),1000,0)+IF($H25=1,(IF('計算A'!AG$117=1,INDEX('計算A'!AG$10:AG$54,$B25),0)+IF('計算A'!AH$117=1,INDEX('計算A'!AI$10:AI$54,$B25),0))*500,0)-IF(AND('計算A'!AG$117=1,VE25&gt;0),300,0)-IF(AND($L25=1,'計算A'!AH$117=1,EG25=0),300,0))),1000000))</f>
        <v/>
      </c>
      <c r="PK25">
        <f>IF($B25=0,1000000,IF(INDEX('計算A'!$D$60:$EQ$104,$B25,32)*EG25=1,IF(AND($E25=2,JV25=0),1000000,IF($I25&gt;0,IF(2=$J25,IF(OR(AND(32=$I25+1,OR($K25&lt;&gt;'計算A'!$A$3,'計算A'!$A$4=0)),AND(32=$I25-1,OR(8&lt;&gt;'計算A'!$A$3,'計算A'!$A$4=0))),0,IF(8=$K25,200000,ABS(8-$K25)*100)),100000+ABS(2-$J25)*1000+80)+'計算A'!AI$5*50+IF(AND($E25=1,JV25=0),25,0),INDEX('計算A'!AI$110:AI$114,$F25+1)+IF(AND($E25=1,JV25=0),1000,0)+IF($H25=1,(IF('計算A'!AH$117=1,INDEX('計算A'!AH$10:AH$54,$B25),0)+IF('計算A'!AI$117=1,INDEX('計算A'!AJ$10:AJ$54,$B25),0))*500,0)-IF(AND('計算A'!AH$117=1,VF25&gt;0),300,0)-IF(AND($L25=1,'計算A'!AI$117=1,EH25=0),300,0))),1000000))</f>
        <v/>
      </c>
      <c r="PL25">
        <f>IF($B25=0,1000000,IF(INDEX('計算A'!$D$60:$EQ$104,$B25,33)*EH25=1,IF(AND($E25=2,JW25=0),1000000,IF($I25&gt;0,IF(2=$J25,IF(OR(AND(33=$I25+1,OR($K25&lt;&gt;'計算A'!$A$3,'計算A'!$A$4=0)),AND(33=$I25-1,OR(9&lt;&gt;'計算A'!$A$3,'計算A'!$A$4=0))),0,IF(9=$K25,200000,ABS(9-$K25)*100)),100000+ABS(2-$J25)*1000+90)+'計算A'!AJ$5*50+IF(AND($E25=1,JW25=0),25,0),INDEX('計算A'!AJ$110:AJ$114,$F25+1)+IF(AND($E25=1,JW25=0),1000,0)+IF($H25=1,(IF('計算A'!AI$117=1,INDEX('計算A'!AI$10:AI$54,$B25),0)+IF('計算A'!AJ$117=1,INDEX('計算A'!AK$10:AK$54,$B25),0))*500,0)-IF(AND('計算A'!AI$117=1,VG25&gt;0),300,0)-IF(AND($L25=1,'計算A'!AJ$117=1,EI25=0),300,0))),1000000))</f>
        <v/>
      </c>
      <c r="PM25">
        <f>IF($B25=0,1000000,IF(INDEX('計算A'!$D$60:$EQ$104,$B25,34)*EI25=1,IF(AND($E25=2,JX25=0),1000000,IF($I25&gt;0,IF(2=$J25,IF(OR(AND(34=$I25+1,OR($K25&lt;&gt;'計算A'!$A$3,'計算A'!$A$4=0)),AND(34=$I25-1,OR(10&lt;&gt;'計算A'!$A$3,'計算A'!$A$4=0))),0,IF(10=$K25,200000,ABS(10-$K25)*100)),100000+ABS(2-$J25)*1000+100)+'計算A'!AK$5*50+IF(AND($E25=1,JX25=0),25,0),INDEX('計算A'!AK$110:AK$114,$F25+1)+IF(AND($E25=1,JX25=0),1000,0)+IF($H25=1,(IF('計算A'!AJ$117=1,INDEX('計算A'!AJ$10:AJ$54,$B25),0)+IF('計算A'!AK$117=1,INDEX('計算A'!AL$10:AL$54,$B25),0))*500,0)-IF(AND('計算A'!AJ$117=1,VH25&gt;0),300,0)-IF(AND($L25=1,'計算A'!AK$117=1,EJ25=0),300,0))),1000000))</f>
        <v/>
      </c>
      <c r="PN25">
        <f>IF($B25=0,1000000,IF(INDEX('計算A'!$D$60:$EQ$104,$B25,35)*EJ25=1,IF(AND($E25=2,JY25=0),1000000,IF($I25&gt;0,IF(2=$J25,IF(OR(AND(35=$I25+1,OR($K25&lt;&gt;'計算A'!$A$3,'計算A'!$A$4=0)),AND(35=$I25-1,OR(11&lt;&gt;'計算A'!$A$3,'計算A'!$A$4=0))),0,IF(11=$K25,200000,ABS(11-$K25)*100)),100000+ABS(2-$J25)*1000+110)+'計算A'!AL$5*50+IF(AND($E25=1,JY25=0),25,0),INDEX('計算A'!AL$110:AL$114,$F25+1)+IF(AND($E25=1,JY25=0),1000,0)+IF($H25=1,(IF('計算A'!AK$117=1,INDEX('計算A'!AK$10:AK$54,$B25),0)+IF('計算A'!AL$117=1,INDEX('計算A'!AM$10:AM$54,$B25),0))*500,0)-IF(AND('計算A'!AK$117=1,VI25&gt;0),300,0)-IF(AND($L25=1,'計算A'!AL$117=1,EK25=0),300,0))),1000000))</f>
        <v/>
      </c>
      <c r="PO25">
        <f>IF($B25=0,1000000,IF(INDEX('計算A'!$D$60:$EQ$104,$B25,36)*EK25=1,IF(AND($E25=2,JZ25=0),1000000,IF($I25&gt;0,IF(2=$J25,IF(OR(AND(36=$I25+1,OR($K25&lt;&gt;'計算A'!$A$3,'計算A'!$A$4=0)),AND(36=$I25-1,OR(12&lt;&gt;'計算A'!$A$3,'計算A'!$A$4=0))),0,IF(12=$K25,200000,ABS(12-$K25)*100)),100000+ABS(2-$J25)*1000+120)+'計算A'!AM$5*50+IF(AND($E25=1,JZ25=0),25,0),INDEX('計算A'!AM$110:AM$114,$F25+1)+IF(AND($E25=1,JZ25=0),1000,0)+IF($H25=1,(IF('計算A'!AL$117=1,INDEX('計算A'!AL$10:AL$54,$B25),0)+IF('計算A'!AM$117=1,INDEX('計算A'!AN$10:AN$54,$B25),0))*500,0)-IF(AND('計算A'!AL$117=1,VJ25&gt;0),300,0)-IF(AND($L25=1,'計算A'!AM$117=1,EL25=0),300,0))),1000000))</f>
        <v/>
      </c>
      <c r="PP25">
        <f>IF($B25=0,1000000,IF(INDEX('計算A'!$D$60:$EQ$104,$B25,37)*EL25=1,IF(AND($E25=2,KA25=0),1000000,IF($I25&gt;0,IF(2=$J25,IF(OR(AND(37=$I25+1,OR($K25&lt;&gt;'計算A'!$A$3,'計算A'!$A$4=0)),AND(37=$I25-1,OR(13&lt;&gt;'計算A'!$A$3,'計算A'!$A$4=0))),0,IF(13=$K25,200000,ABS(13-$K25)*100)),100000+ABS(2-$J25)*1000+130)+'計算A'!AN$5*50+IF(AND($E25=1,KA25=0),25,0),INDEX('計算A'!AN$110:AN$114,$F25+1)+IF(AND($E25=1,KA25=0),1000,0)+IF($H25=1,(IF('計算A'!AM$117=1,INDEX('計算A'!AM$10:AM$54,$B25),0)+IF('計算A'!AN$117=1,INDEX('計算A'!AO$10:AO$54,$B25),0))*500,0)-IF(AND('計算A'!AM$117=1,VK25&gt;0),300,0)-IF(AND($L25=1,'計算A'!AN$117=1,EM25=0),300,0))),1000000))</f>
        <v/>
      </c>
      <c r="PQ25">
        <f>IF($B25=0,1000000,IF(INDEX('計算A'!$D$60:$EQ$104,$B25,38)*EM25=1,IF(AND($E25=2,KB25=0),1000000,IF($I25&gt;0,IF(2=$J25,IF(OR(AND(38=$I25+1,OR($K25&lt;&gt;'計算A'!$A$3,'計算A'!$A$4=0)),AND(38=$I25-1,OR(14&lt;&gt;'計算A'!$A$3,'計算A'!$A$4=0))),0,IF(14=$K25,200000,ABS(14-$K25)*100)),100000+ABS(2-$J25)*1000+140)+'計算A'!AO$5*50+IF(AND($E25=1,KB25=0),25,0),INDEX('計算A'!AO$110:AO$114,$F25+1)+IF(AND($E25=1,KB25=0),1000,0)+IF($H25=1,(IF('計算A'!AN$117=1,INDEX('計算A'!AN$10:AN$54,$B25),0)+IF('計算A'!AO$117=1,INDEX('計算A'!AP$10:AP$54,$B25),0))*500,0)-IF(AND('計算A'!AN$117=1,VL25&gt;0),300,0)-IF(AND($L25=1,'計算A'!AO$117=1,EN25=0),300,0))),1000000))</f>
        <v/>
      </c>
      <c r="PR25">
        <f>IF($B25=0,1000000,IF(INDEX('計算A'!$D$60:$EQ$104,$B25,39)*EN25=1,IF(AND($E25=2,KC25=0),1000000,IF($I25&gt;0,IF(2=$J25,IF(OR(AND(39=$I25+1,OR($K25&lt;&gt;'計算A'!$A$3,'計算A'!$A$4=0)),AND(39=$I25-1,OR(15&lt;&gt;'計算A'!$A$3,'計算A'!$A$4=0))),0,IF(15=$K25,200000,ABS(15-$K25)*100)),100000+ABS(2-$J25)*1000+150)+'計算A'!AP$5*50+IF(AND($E25=1,KC25=0),25,0),INDEX('計算A'!AP$110:AP$114,$F25+1)+IF(AND($E25=1,KC25=0),1000,0)+IF($H25=1,(IF('計算A'!AO$117=1,INDEX('計算A'!AO$10:AO$54,$B25),0)+IF('計算A'!AP$117=1,INDEX('計算A'!AQ$10:AQ$54,$B25),0))*500,0)-IF(AND('計算A'!AO$117=1,VM25&gt;0),300,0)-IF(AND($L25=1,'計算A'!AP$117=1,EO25=0),300,0))),1000000))</f>
        <v/>
      </c>
      <c r="PS25">
        <f>IF($B25=0,1000000,IF(INDEX('計算A'!$D$60:$EQ$104,$B25,40)*EO25=1,IF(AND($E25=2,KD25=0),1000000,IF($I25&gt;0,IF(2=$J25,IF(OR(AND(40=$I25+1,OR($K25&lt;&gt;'計算A'!$A$3,'計算A'!$A$4=0)),AND(40=$I25-1,OR(16&lt;&gt;'計算A'!$A$3,'計算A'!$A$4=0))),0,IF(16=$K25,200000,ABS(16-$K25)*100)),100000+ABS(2-$J25)*1000+160)+'計算A'!AQ$5*50+IF(AND($E25=1,KD25=0),25,0),INDEX('計算A'!AQ$110:AQ$114,$F25+1)+IF(AND($E25=1,KD25=0),1000,0)+IF($H25=1,(IF('計算A'!AP$117=1,INDEX('計算A'!AP$10:AP$54,$B25),0)+IF('計算A'!AQ$117=1,INDEX('計算A'!AR$10:AR$54,$B25),0))*500,0)-IF(AND('計算A'!AP$117=1,VN25&gt;0),300,0)-IF(AND($L25=1,'計算A'!AQ$117=1,EP25=0),300,0))),1000000))</f>
        <v/>
      </c>
      <c r="PT25">
        <f>IF($B25=0,1000000,IF(INDEX('計算A'!$D$60:$EQ$104,$B25,41)*EP25=1,IF(AND($E25=2,KE25=0),1000000,IF($I25&gt;0,IF(2=$J25,IF(OR(AND(41=$I25+1,OR($K25&lt;&gt;'計算A'!$A$3,'計算A'!$A$4=0)),AND(41=$I25-1,OR(17&lt;&gt;'計算A'!$A$3,'計算A'!$A$4=0))),0,IF(17=$K25,200000,ABS(17-$K25)*100)),100000+ABS(2-$J25)*1000+170)+'計算A'!AR$5*50+IF(AND($E25=1,KE25=0),25,0),INDEX('計算A'!AR$110:AR$114,$F25+1)+IF(AND($E25=1,KE25=0),1000,0)+IF($H25=1,(IF('計算A'!AQ$117=1,INDEX('計算A'!AQ$10:AQ$54,$B25),0)+IF('計算A'!AR$117=1,INDEX('計算A'!AS$10:AS$54,$B25),0))*500,0)-IF(AND('計算A'!AQ$117=1,VO25&gt;0),300,0)-IF(AND($L25=1,'計算A'!AR$117=1,EQ25=0),300,0))),1000000))</f>
        <v/>
      </c>
      <c r="PU25">
        <f>IF($B25=0,1000000,IF(INDEX('計算A'!$D$60:$EQ$104,$B25,42)*EQ25=1,IF(AND($E25=2,KF25=0),1000000,IF($I25&gt;0,IF(2=$J25,IF(OR(AND(42=$I25+1,OR($K25&lt;&gt;'計算A'!$A$3,'計算A'!$A$4=0)),AND(42=$I25-1,OR(18&lt;&gt;'計算A'!$A$3,'計算A'!$A$4=0))),0,IF(18=$K25,200000,ABS(18-$K25)*100)),100000+ABS(2-$J25)*1000+180)+'計算A'!AS$5*50+IF(AND($E25=1,KF25=0),25,0),INDEX('計算A'!AS$110:AS$114,$F25+1)+IF(AND($E25=1,KF25=0),1000,0)+IF($H25=1,(IF('計算A'!AR$117=1,INDEX('計算A'!AR$10:AR$54,$B25),0)+IF('計算A'!AS$117=1,INDEX('計算A'!AT$10:AT$54,$B25),0))*500,0)-IF(AND('計算A'!AR$117=1,VP25&gt;0),300,0)-IF(AND($L25=1,'計算A'!AS$117=1,ER25=0),300,0))),1000000))</f>
        <v/>
      </c>
      <c r="PV25">
        <f>IF($B25=0,1000000,IF(INDEX('計算A'!$D$60:$EQ$104,$B25,43)*ER25=1,IF(AND($E25=2,KG25=0),1000000,IF($I25&gt;0,IF(2=$J25,IF(OR(AND(43=$I25+1,OR($K25&lt;&gt;'計算A'!$A$3,'計算A'!$A$4=0)),AND(43=$I25-1,OR(19&lt;&gt;'計算A'!$A$3,'計算A'!$A$4=0))),0,IF(19=$K25,200000,ABS(19-$K25)*100)),100000+ABS(2-$J25)*1000+190)+'計算A'!AT$5*50+IF(AND($E25=1,KG25=0),25,0),INDEX('計算A'!AT$110:AT$114,$F25+1)+IF(AND($E25=1,KG25=0),1000,0)+IF($H25=1,(IF('計算A'!AS$117=1,INDEX('計算A'!AS$10:AS$54,$B25),0)+IF('計算A'!AT$117=1,INDEX('計算A'!AU$10:AU$54,$B25),0))*500,0)-IF(AND('計算A'!AS$117=1,VQ25&gt;0),300,0)-IF(AND($L25=1,'計算A'!AT$117=1,ES25=0),300,0))),1000000))</f>
        <v/>
      </c>
      <c r="PW25">
        <f>IF($B25=0,1000000,IF(INDEX('計算A'!$D$60:$EQ$104,$B25,44)*ES25=1,IF(AND($E25=2,KH25=0),1000000,IF($I25&gt;0,IF(2=$J25,IF(OR(AND(44=$I25+1,OR($K25&lt;&gt;'計算A'!$A$3,'計算A'!$A$4=0)),AND(44=$I25-1,OR(20&lt;&gt;'計算A'!$A$3,'計算A'!$A$4=0))),0,IF(20=$K25,200000,ABS(20-$K25)*100)),100000+ABS(2-$J25)*1000+200)+'計算A'!AU$5*50+IF(AND($E25=1,KH25=0),25,0),INDEX('計算A'!AU$110:AU$114,$F25+1)+IF(AND($E25=1,KH25=0),1000,0)+IF($H25=1,(IF('計算A'!AT$117=1,INDEX('計算A'!AT$10:AT$54,$B25),0)+IF('計算A'!AU$117=1,INDEX('計算A'!AV$10:AV$54,$B25),0))*500,0)-IF(AND('計算A'!AT$117=1,VR25&gt;0),300,0)-IF(AND($L25=1,'計算A'!AU$117=1,ET25=0),300,0))),1000000))</f>
        <v/>
      </c>
      <c r="PX25">
        <f>IF($B25=0,1000000,IF(INDEX('計算A'!$D$60:$EQ$104,$B25,45)*ET25=1,IF(AND($E25=2,KI25=0),1000000,IF($I25&gt;0,IF(2=$J25,IF(OR(AND(45=$I25+1,OR($K25&lt;&gt;'計算A'!$A$3,'計算A'!$A$4=0)),AND(45=$I25-1,OR(21&lt;&gt;'計算A'!$A$3,'計算A'!$A$4=0))),0,IF(21=$K25,200000,ABS(21-$K25)*100)),100000+ABS(2-$J25)*1000+210)+'計算A'!AV$5*50+IF(AND($E25=1,KI25=0),25,0),INDEX('計算A'!AV$110:AV$114,$F25+1)+IF(AND($E25=1,KI25=0),1000,0)+IF($H25=1,(IF('計算A'!AU$117=1,INDEX('計算A'!AU$10:AU$54,$B25),0)+IF('計算A'!AV$117=1,INDEX('計算A'!AW$10:AW$54,$B25),0))*500,0)-IF(AND('計算A'!AU$117=1,VS25&gt;0),300,0)-IF(AND($L25=1,'計算A'!AV$117=1,EU25=0),300,0))),1000000))</f>
        <v/>
      </c>
      <c r="PY25">
        <f>IF($B25=0,1000000,IF(INDEX('計算A'!$D$60:$EQ$104,$B25,46)*EU25=1,IF(AND($E25=2,KJ25=0),1000000,IF($I25&gt;0,IF(2=$J25,IF(OR(AND(46=$I25+1,OR($K25&lt;&gt;'計算A'!$A$3,'計算A'!$A$4=0)),AND(46=$I25-1,OR(22&lt;&gt;'計算A'!$A$3,'計算A'!$A$4=0))),0,IF(22=$K25,200000,ABS(22-$K25)*100)),100000+ABS(2-$J25)*1000+220)+'計算A'!AW$5*50+IF(AND($E25=1,KJ25=0),25,0),INDEX('計算A'!AW$110:AW$114,$F25+1)+IF(AND($E25=1,KJ25=0),1000,0)+IF($H25=1,(IF('計算A'!AV$117=1,INDEX('計算A'!AV$10:AV$54,$B25),0)+IF('計算A'!AW$117=1,INDEX('計算A'!AX$10:AX$54,$B25),0))*500,0)-IF(AND('計算A'!AV$117=1,VT25&gt;0),300,0)-IF(AND($L25=1,'計算A'!AW$117=1,EV25=0),300,0))),1000000))</f>
        <v/>
      </c>
      <c r="PZ25">
        <f>IF($B25=0,1000000,IF(INDEX('計算A'!$D$60:$EQ$104,$B25,47)*EV25=1,IF(AND($E25=2,KK25=0),1000000,IF($I25&gt;0,IF(2=$J25,IF(OR(AND(47=$I25+1,OR($K25&lt;&gt;'計算A'!$A$3,'計算A'!$A$4=0)),AND(47=$I25-1,OR(23&lt;&gt;'計算A'!$A$3,'計算A'!$A$4=0))),0,IF(23=$K25,200000,ABS(23-$K25)*100)),100000+ABS(2-$J25)*1000+230)+'計算A'!AX$5*50+IF(AND($E25=1,KK25=0),25,0),INDEX('計算A'!AX$110:AX$114,$F25+1)+IF(AND($E25=1,KK25=0),1000,0)+IF($H25=1,(IF('計算A'!AW$117=1,INDEX('計算A'!AW$10:AW$54,$B25),0)+IF('計算A'!AX$117=1,INDEX('計算A'!AY$10:AY$54,$B25),0))*500,0)-IF(AND('計算A'!AW$117=1,VU25&gt;0),300,0)-IF(AND($L25=1,'計算A'!AX$117=1,EW25=0),300,0))),1000000))</f>
        <v/>
      </c>
      <c r="QA25">
        <f>IF($B25=0,1000000,IF(INDEX('計算A'!$D$60:$EQ$104,$B25,48)*EW25=1,IF(AND($E25=2,KL25=0),1000000,IF($I25&gt;0,IF(2=$J25,IF(OR(AND(48=$I25+1,OR($K25&lt;&gt;'計算A'!$A$3,'計算A'!$A$4=0)),AND(48=$I25-1,OR(24&lt;&gt;'計算A'!$A$3,'計算A'!$A$4=0))),0,IF(24=$K25,200000,ABS(24-$K25)*100)),100000+ABS(2-$J25)*1000+240)+'計算A'!AY$5*50+IF(AND($E25=1,KL25=0),25,0),INDEX('計算A'!AY$110:AY$114,$F25+1)+IF(AND($E25=1,KL25=0),1000,0)+IF($H25=1,(IF('計算A'!AX$117=1,INDEX('計算A'!AX$10:AX$54,$B25),0))*500,0)-IF(AND('計算A'!AX$117=1,VV25&gt;0),300,0))),1000000))</f>
        <v/>
      </c>
      <c r="QB25">
        <f>IF($B25=0,1000000,IF(INDEX('計算A'!$D$60:$EQ$104,$B25,49)*EX25=1,IF(AND($E25=2,KM25=0),1000000,IF($I25&gt;0,IF(3=$J25,IF(OR(AND(49=$I25+1,OR($K25&lt;&gt;'計算A'!$A$3,'計算A'!$A$4=0)),AND(49=$I25-1,OR(1&lt;&gt;'計算A'!$A$3,'計算A'!$A$4=0))),0,IF(1=$K25,200000,ABS(1-$K25)*100)),100000+ABS(3-$J25)*1000+10)+'計算A'!AZ$5*50+IF(AND($E25=1,KM25=0),25,0),INDEX('計算A'!AZ$110:AZ$114,$F25+1)+IF(AND($E25=1,KM25=0),1000,0)+IF($H25=1,(IF('計算A'!AZ$117=1,INDEX('計算A'!BA$10:BA$54,$B25),0))*500,0)-IF(AND($L25=1,'計算A'!AZ$117=1,EY25=0),300,0))),1000000))</f>
        <v/>
      </c>
      <c r="QC25">
        <f>IF($B25=0,1000000,IF(INDEX('計算A'!$D$60:$EQ$104,$B25,50)*EY25=1,IF(AND($E25=2,KN25=0),1000000,IF($I25&gt;0,IF(3=$J25,IF(OR(AND(50=$I25+1,OR($K25&lt;&gt;'計算A'!$A$3,'計算A'!$A$4=0)),AND(50=$I25-1,OR(2&lt;&gt;'計算A'!$A$3,'計算A'!$A$4=0))),0,IF(2=$K25,200000,ABS(2-$K25)*100)),100000+ABS(3-$J25)*1000+20)+'計算A'!BA$5*50+IF(AND($E25=1,KN25=0),25,0),INDEX('計算A'!BA$110:BA$114,$F25+1)+IF(AND($E25=1,KN25=0),1000,0)+IF($H25=1,(IF('計算A'!AZ$117=1,INDEX('計算A'!AZ$10:AZ$54,$B25),0)+IF('計算A'!BA$117=1,INDEX('計算A'!BB$10:BB$54,$B25),0))*500,0)-IF(AND('計算A'!AZ$117=1,VX25&gt;0),300,0)-IF(AND($L25=1,'計算A'!BA$117=1,EZ25=0),300,0))),1000000))</f>
        <v/>
      </c>
      <c r="QD25">
        <f>IF($B25=0,1000000,IF(INDEX('計算A'!$D$60:$EQ$104,$B25,51)*EZ25=1,IF(AND($E25=2,KO25=0),1000000,IF($I25&gt;0,IF(3=$J25,IF(OR(AND(51=$I25+1,OR($K25&lt;&gt;'計算A'!$A$3,'計算A'!$A$4=0)),AND(51=$I25-1,OR(3&lt;&gt;'計算A'!$A$3,'計算A'!$A$4=0))),0,IF(3=$K25,200000,ABS(3-$K25)*100)),100000+ABS(3-$J25)*1000+30)+'計算A'!BB$5*50+IF(AND($E25=1,KO25=0),25,0),INDEX('計算A'!BB$110:BB$114,$F25+1)+IF(AND($E25=1,KO25=0),1000,0)+IF($H25=1,(IF('計算A'!BA$117=1,INDEX('計算A'!BA$10:BA$54,$B25),0)+IF('計算A'!BB$117=1,INDEX('計算A'!BC$10:BC$54,$B25),0))*500,0)-IF(AND('計算A'!BA$117=1,VY25&gt;0),300,0)-IF(AND($L25=1,'計算A'!BB$117=1,FA25=0),300,0))),1000000))</f>
        <v/>
      </c>
      <c r="QE25">
        <f>IF($B25=0,1000000,IF(INDEX('計算A'!$D$60:$EQ$104,$B25,52)*FA25=1,IF(AND($E25=2,KP25=0),1000000,IF($I25&gt;0,IF(3=$J25,IF(OR(AND(52=$I25+1,OR($K25&lt;&gt;'計算A'!$A$3,'計算A'!$A$4=0)),AND(52=$I25-1,OR(4&lt;&gt;'計算A'!$A$3,'計算A'!$A$4=0))),0,IF(4=$K25,200000,ABS(4-$K25)*100)),100000+ABS(3-$J25)*1000+40)+'計算A'!BC$5*50+IF(AND($E25=1,KP25=0),25,0),INDEX('計算A'!BC$110:BC$114,$F25+1)+IF(AND($E25=1,KP25=0),1000,0)+IF($H25=1,(IF('計算A'!BB$117=1,INDEX('計算A'!BB$10:BB$54,$B25),0)+IF('計算A'!BC$117=1,INDEX('計算A'!BD$10:BD$54,$B25),0))*500,0)-IF(AND('計算A'!BB$117=1,VZ25&gt;0),300,0)-IF(AND($L25=1,'計算A'!BC$117=1,FB25=0),300,0))),1000000))</f>
        <v/>
      </c>
      <c r="QF25">
        <f>IF($B25=0,1000000,IF(INDEX('計算A'!$D$60:$EQ$104,$B25,53)*FB25=1,IF(AND($E25=2,KQ25=0),1000000,IF($I25&gt;0,IF(3=$J25,IF(OR(AND(53=$I25+1,OR($K25&lt;&gt;'計算A'!$A$3,'計算A'!$A$4=0)),AND(53=$I25-1,OR(5&lt;&gt;'計算A'!$A$3,'計算A'!$A$4=0))),0,IF(5=$K25,200000,ABS(5-$K25)*100)),100000+ABS(3-$J25)*1000+50)+'計算A'!BD$5*50+IF(AND($E25=1,KQ25=0),25,0),INDEX('計算A'!BD$110:BD$114,$F25+1)+IF(AND($E25=1,KQ25=0),1000,0)+IF($H25=1,(IF('計算A'!BC$117=1,INDEX('計算A'!BC$10:BC$54,$B25),0)+IF('計算A'!BD$117=1,INDEX('計算A'!BE$10:BE$54,$B25),0))*500,0)-IF(AND('計算A'!BC$117=1,WA25&gt;0),300,0)-IF(AND($L25=1,'計算A'!BD$117=1,FC25=0),300,0))),1000000))</f>
        <v/>
      </c>
      <c r="QG25">
        <f>IF($B25=0,1000000,IF(INDEX('計算A'!$D$60:$EQ$104,$B25,54)*FC25=1,IF(AND($E25=2,KR25=0),1000000,IF($I25&gt;0,IF(3=$J25,IF(OR(AND(54=$I25+1,OR($K25&lt;&gt;'計算A'!$A$3,'計算A'!$A$4=0)),AND(54=$I25-1,OR(6&lt;&gt;'計算A'!$A$3,'計算A'!$A$4=0))),0,IF(6=$K25,200000,ABS(6-$K25)*100)),100000+ABS(3-$J25)*1000+60)+'計算A'!BE$5*50+IF(AND($E25=1,KR25=0),25,0),INDEX('計算A'!BE$110:BE$114,$F25+1)+IF(AND($E25=1,KR25=0),1000,0)+IF($H25=1,(IF('計算A'!BD$117=1,INDEX('計算A'!BD$10:BD$54,$B25),0)+IF('計算A'!BE$117=1,INDEX('計算A'!BF$10:BF$54,$B25),0))*500,0)-IF(AND('計算A'!BD$117=1,WB25&gt;0),300,0)-IF(AND($L25=1,'計算A'!BE$117=1,FD25=0),300,0))),1000000))</f>
        <v/>
      </c>
      <c r="QH25">
        <f>IF($B25=0,1000000,IF(INDEX('計算A'!$D$60:$EQ$104,$B25,55)*FD25=1,IF(AND($E25=2,KS25=0),1000000,IF($I25&gt;0,IF(3=$J25,IF(OR(AND(55=$I25+1,OR($K25&lt;&gt;'計算A'!$A$3,'計算A'!$A$4=0)),AND(55=$I25-1,OR(7&lt;&gt;'計算A'!$A$3,'計算A'!$A$4=0))),0,IF(7=$K25,200000,ABS(7-$K25)*100)),100000+ABS(3-$J25)*1000+70)+'計算A'!BF$5*50+IF(AND($E25=1,KS25=0),25,0),INDEX('計算A'!BF$110:BF$114,$F25+1)+IF(AND($E25=1,KS25=0),1000,0)+IF($H25=1,(IF('計算A'!BE$117=1,INDEX('計算A'!BE$10:BE$54,$B25),0)+IF('計算A'!BF$117=1,INDEX('計算A'!BG$10:BG$54,$B25),0))*500,0)-IF(AND('計算A'!BE$117=1,WC25&gt;0),300,0)-IF(AND($L25=1,'計算A'!BF$117=1,FE25=0),300,0))),1000000))</f>
        <v/>
      </c>
      <c r="QI25">
        <f>IF($B25=0,1000000,IF(INDEX('計算A'!$D$60:$EQ$104,$B25,56)*FE25=1,IF(AND($E25=2,KT25=0),1000000,IF($I25&gt;0,IF(3=$J25,IF(OR(AND(56=$I25+1,OR($K25&lt;&gt;'計算A'!$A$3,'計算A'!$A$4=0)),AND(56=$I25-1,OR(8&lt;&gt;'計算A'!$A$3,'計算A'!$A$4=0))),0,IF(8=$K25,200000,ABS(8-$K25)*100)),100000+ABS(3-$J25)*1000+80)+'計算A'!BG$5*50+IF(AND($E25=1,KT25=0),25,0),INDEX('計算A'!BG$110:BG$114,$F25+1)+IF(AND($E25=1,KT25=0),1000,0)+IF($H25=1,(IF('計算A'!BF$117=1,INDEX('計算A'!BF$10:BF$54,$B25),0)+IF('計算A'!BG$117=1,INDEX('計算A'!BH$10:BH$54,$B25),0))*500,0)-IF(AND('計算A'!BF$117=1,WD25&gt;0),300,0)-IF(AND($L25=1,'計算A'!BG$117=1,FF25=0),300,0))),1000000))</f>
        <v/>
      </c>
      <c r="QJ25">
        <f>IF($B25=0,1000000,IF(INDEX('計算A'!$D$60:$EQ$104,$B25,57)*FF25=1,IF(AND($E25=2,KU25=0),1000000,IF($I25&gt;0,IF(3=$J25,IF(OR(AND(57=$I25+1,OR($K25&lt;&gt;'計算A'!$A$3,'計算A'!$A$4=0)),AND(57=$I25-1,OR(9&lt;&gt;'計算A'!$A$3,'計算A'!$A$4=0))),0,IF(9=$K25,200000,ABS(9-$K25)*100)),100000+ABS(3-$J25)*1000+90)+'計算A'!BH$5*50+IF(AND($E25=1,KU25=0),25,0),INDEX('計算A'!BH$110:BH$114,$F25+1)+IF(AND($E25=1,KU25=0),1000,0)+IF($H25=1,(IF('計算A'!BG$117=1,INDEX('計算A'!BG$10:BG$54,$B25),0)+IF('計算A'!BH$117=1,INDEX('計算A'!BI$10:BI$54,$B25),0))*500,0)-IF(AND('計算A'!BG$117=1,WE25&gt;0),300,0)-IF(AND($L25=1,'計算A'!BH$117=1,FG25=0),300,0))),1000000))</f>
        <v/>
      </c>
      <c r="QK25">
        <f>IF($B25=0,1000000,IF(INDEX('計算A'!$D$60:$EQ$104,$B25,58)*FG25=1,IF(AND($E25=2,KV25=0),1000000,IF($I25&gt;0,IF(3=$J25,IF(OR(AND(58=$I25+1,OR($K25&lt;&gt;'計算A'!$A$3,'計算A'!$A$4=0)),AND(58=$I25-1,OR(10&lt;&gt;'計算A'!$A$3,'計算A'!$A$4=0))),0,IF(10=$K25,200000,ABS(10-$K25)*100)),100000+ABS(3-$J25)*1000+100)+'計算A'!BI$5*50+IF(AND($E25=1,KV25=0),25,0),INDEX('計算A'!BI$110:BI$114,$F25+1)+IF(AND($E25=1,KV25=0),1000,0)+IF($H25=1,(IF('計算A'!BH$117=1,INDEX('計算A'!BH$10:BH$54,$B25),0)+IF('計算A'!BI$117=1,INDEX('計算A'!BJ$10:BJ$54,$B25),0))*500,0)-IF(AND('計算A'!BH$117=1,WF25&gt;0),300,0)-IF(AND($L25=1,'計算A'!BI$117=1,FH25=0),300,0))),1000000))</f>
        <v/>
      </c>
      <c r="QL25">
        <f>IF($B25=0,1000000,IF(INDEX('計算A'!$D$60:$EQ$104,$B25,59)*FH25=1,IF(AND($E25=2,KW25=0),1000000,IF($I25&gt;0,IF(3=$J25,IF(OR(AND(59=$I25+1,OR($K25&lt;&gt;'計算A'!$A$3,'計算A'!$A$4=0)),AND(59=$I25-1,OR(11&lt;&gt;'計算A'!$A$3,'計算A'!$A$4=0))),0,IF(11=$K25,200000,ABS(11-$K25)*100)),100000+ABS(3-$J25)*1000+110)+'計算A'!BJ$5*50+IF(AND($E25=1,KW25=0),25,0),INDEX('計算A'!BJ$110:BJ$114,$F25+1)+IF(AND($E25=1,KW25=0),1000,0)+IF($H25=1,(IF('計算A'!BI$117=1,INDEX('計算A'!BI$10:BI$54,$B25),0)+IF('計算A'!BJ$117=1,INDEX('計算A'!BK$10:BK$54,$B25),0))*500,0)-IF(AND('計算A'!BI$117=1,WG25&gt;0),300,0)-IF(AND($L25=1,'計算A'!BJ$117=1,FI25=0),300,0))),1000000))</f>
        <v/>
      </c>
      <c r="QM25">
        <f>IF($B25=0,1000000,IF(INDEX('計算A'!$D$60:$EQ$104,$B25,60)*FI25=1,IF(AND($E25=2,KX25=0),1000000,IF($I25&gt;0,IF(3=$J25,IF(OR(AND(60=$I25+1,OR($K25&lt;&gt;'計算A'!$A$3,'計算A'!$A$4=0)),AND(60=$I25-1,OR(12&lt;&gt;'計算A'!$A$3,'計算A'!$A$4=0))),0,IF(12=$K25,200000,ABS(12-$K25)*100)),100000+ABS(3-$J25)*1000+120)+'計算A'!BK$5*50+IF(AND($E25=1,KX25=0),25,0),INDEX('計算A'!BK$110:BK$114,$F25+1)+IF(AND($E25=1,KX25=0),1000,0)+IF($H25=1,(IF('計算A'!BJ$117=1,INDEX('計算A'!BJ$10:BJ$54,$B25),0)+IF('計算A'!BK$117=1,INDEX('計算A'!BL$10:BL$54,$B25),0))*500,0)-IF(AND('計算A'!BJ$117=1,WH25&gt;0),300,0)-IF(AND($L25=1,'計算A'!BK$117=1,FJ25=0),300,0))),1000000))</f>
        <v/>
      </c>
      <c r="QN25">
        <f>IF($B25=0,1000000,IF(INDEX('計算A'!$D$60:$EQ$104,$B25,61)*FJ25=1,IF(AND($E25=2,KY25=0),1000000,IF($I25&gt;0,IF(3=$J25,IF(OR(AND(61=$I25+1,OR($K25&lt;&gt;'計算A'!$A$3,'計算A'!$A$4=0)),AND(61=$I25-1,OR(13&lt;&gt;'計算A'!$A$3,'計算A'!$A$4=0))),0,IF(13=$K25,200000,ABS(13-$K25)*100)),100000+ABS(3-$J25)*1000+130)+'計算A'!BL$5*50+IF(AND($E25=1,KY25=0),25,0),INDEX('計算A'!BL$110:BL$114,$F25+1)+IF(AND($E25=1,KY25=0),1000,0)+IF($H25=1,(IF('計算A'!BK$117=1,INDEX('計算A'!BK$10:BK$54,$B25),0)+IF('計算A'!BL$117=1,INDEX('計算A'!BM$10:BM$54,$B25),0))*500,0)-IF(AND('計算A'!BK$117=1,WI25&gt;0),300,0)-IF(AND($L25=1,'計算A'!BL$117=1,FK25=0),300,0))),1000000))</f>
        <v/>
      </c>
      <c r="QO25">
        <f>IF($B25=0,1000000,IF(INDEX('計算A'!$D$60:$EQ$104,$B25,62)*FK25=1,IF(AND($E25=2,KZ25=0),1000000,IF($I25&gt;0,IF(3=$J25,IF(OR(AND(62=$I25+1,OR($K25&lt;&gt;'計算A'!$A$3,'計算A'!$A$4=0)),AND(62=$I25-1,OR(14&lt;&gt;'計算A'!$A$3,'計算A'!$A$4=0))),0,IF(14=$K25,200000,ABS(14-$K25)*100)),100000+ABS(3-$J25)*1000+140)+'計算A'!BM$5*50+IF(AND($E25=1,KZ25=0),25,0),INDEX('計算A'!BM$110:BM$114,$F25+1)+IF(AND($E25=1,KZ25=0),1000,0)+IF($H25=1,(IF('計算A'!BL$117=1,INDEX('計算A'!BL$10:BL$54,$B25),0)+IF('計算A'!BM$117=1,INDEX('計算A'!BN$10:BN$54,$B25),0))*500,0)-IF(AND('計算A'!BL$117=1,WJ25&gt;0),300,0)-IF(AND($L25=1,'計算A'!BM$117=1,FL25=0),300,0))),1000000))</f>
        <v/>
      </c>
      <c r="QP25">
        <f>IF($B25=0,1000000,IF(INDEX('計算A'!$D$60:$EQ$104,$B25,63)*FL25=1,IF(AND($E25=2,LA25=0),1000000,IF($I25&gt;0,IF(3=$J25,IF(OR(AND(63=$I25+1,OR($K25&lt;&gt;'計算A'!$A$3,'計算A'!$A$4=0)),AND(63=$I25-1,OR(15&lt;&gt;'計算A'!$A$3,'計算A'!$A$4=0))),0,IF(15=$K25,200000,ABS(15-$K25)*100)),100000+ABS(3-$J25)*1000+150)+'計算A'!BN$5*50+IF(AND($E25=1,LA25=0),25,0),INDEX('計算A'!BN$110:BN$114,$F25+1)+IF(AND($E25=1,LA25=0),1000,0)+IF($H25=1,(IF('計算A'!BM$117=1,INDEX('計算A'!BM$10:BM$54,$B25),0)+IF('計算A'!BN$117=1,INDEX('計算A'!BO$10:BO$54,$B25),0))*500,0)-IF(AND('計算A'!BM$117=1,WK25&gt;0),300,0)-IF(AND($L25=1,'計算A'!BN$117=1,FM25=0),300,0))),1000000))</f>
        <v/>
      </c>
      <c r="QQ25">
        <f>IF($B25=0,1000000,IF(INDEX('計算A'!$D$60:$EQ$104,$B25,64)*FM25=1,IF(AND($E25=2,LB25=0),1000000,IF($I25&gt;0,IF(3=$J25,IF(OR(AND(64=$I25+1,OR($K25&lt;&gt;'計算A'!$A$3,'計算A'!$A$4=0)),AND(64=$I25-1,OR(16&lt;&gt;'計算A'!$A$3,'計算A'!$A$4=0))),0,IF(16=$K25,200000,ABS(16-$K25)*100)),100000+ABS(3-$J25)*1000+160)+'計算A'!BO$5*50+IF(AND($E25=1,LB25=0),25,0),INDEX('計算A'!BO$110:BO$114,$F25+1)+IF(AND($E25=1,LB25=0),1000,0)+IF($H25=1,(IF('計算A'!BN$117=1,INDEX('計算A'!BN$10:BN$54,$B25),0)+IF('計算A'!BO$117=1,INDEX('計算A'!BP$10:BP$54,$B25),0))*500,0)-IF(AND('計算A'!BN$117=1,WL25&gt;0),300,0)-IF(AND($L25=1,'計算A'!BO$117=1,FN25=0),300,0))),1000000))</f>
        <v/>
      </c>
      <c r="QR25">
        <f>IF($B25=0,1000000,IF(INDEX('計算A'!$D$60:$EQ$104,$B25,65)*FN25=1,IF(AND($E25=2,LC25=0),1000000,IF($I25&gt;0,IF(3=$J25,IF(OR(AND(65=$I25+1,OR($K25&lt;&gt;'計算A'!$A$3,'計算A'!$A$4=0)),AND(65=$I25-1,OR(17&lt;&gt;'計算A'!$A$3,'計算A'!$A$4=0))),0,IF(17=$K25,200000,ABS(17-$K25)*100)),100000+ABS(3-$J25)*1000+170)+'計算A'!BP$5*50+IF(AND($E25=1,LC25=0),25,0),INDEX('計算A'!BP$110:BP$114,$F25+1)+IF(AND($E25=1,LC25=0),1000,0)+IF($H25=1,(IF('計算A'!BO$117=1,INDEX('計算A'!BO$10:BO$54,$B25),0)+IF('計算A'!BP$117=1,INDEX('計算A'!BQ$10:BQ$54,$B25),0))*500,0)-IF(AND('計算A'!BO$117=1,WM25&gt;0),300,0)-IF(AND($L25=1,'計算A'!BP$117=1,FO25=0),300,0))),1000000))</f>
        <v/>
      </c>
      <c r="QS25">
        <f>IF($B25=0,1000000,IF(INDEX('計算A'!$D$60:$EQ$104,$B25,66)*FO25=1,IF(AND($E25=2,LD25=0),1000000,IF($I25&gt;0,IF(3=$J25,IF(OR(AND(66=$I25+1,OR($K25&lt;&gt;'計算A'!$A$3,'計算A'!$A$4=0)),AND(66=$I25-1,OR(18&lt;&gt;'計算A'!$A$3,'計算A'!$A$4=0))),0,IF(18=$K25,200000,ABS(18-$K25)*100)),100000+ABS(3-$J25)*1000+180)+'計算A'!BQ$5*50+IF(AND($E25=1,LD25=0),25,0),INDEX('計算A'!BQ$110:BQ$114,$F25+1)+IF(AND($E25=1,LD25=0),1000,0)+IF($H25=1,(IF('計算A'!BP$117=1,INDEX('計算A'!BP$10:BP$54,$B25),0)+IF('計算A'!BQ$117=1,INDEX('計算A'!BR$10:BR$54,$B25),0))*500,0)-IF(AND('計算A'!BP$117=1,WN25&gt;0),300,0)-IF(AND($L25=1,'計算A'!BQ$117=1,FP25=0),300,0))),1000000))</f>
        <v/>
      </c>
      <c r="QT25">
        <f>IF($B25=0,1000000,IF(INDEX('計算A'!$D$60:$EQ$104,$B25,67)*FP25=1,IF(AND($E25=2,LE25=0),1000000,IF($I25&gt;0,IF(3=$J25,IF(OR(AND(67=$I25+1,OR($K25&lt;&gt;'計算A'!$A$3,'計算A'!$A$4=0)),AND(67=$I25-1,OR(19&lt;&gt;'計算A'!$A$3,'計算A'!$A$4=0))),0,IF(19=$K25,200000,ABS(19-$K25)*100)),100000+ABS(3-$J25)*1000+190)+'計算A'!BR$5*50+IF(AND($E25=1,LE25=0),25,0),INDEX('計算A'!BR$110:BR$114,$F25+1)+IF(AND($E25=1,LE25=0),1000,0)+IF($H25=1,(IF('計算A'!BQ$117=1,INDEX('計算A'!BQ$10:BQ$54,$B25),0)+IF('計算A'!BR$117=1,INDEX('計算A'!BS$10:BS$54,$B25),0))*500,0)-IF(AND('計算A'!BQ$117=1,WO25&gt;0),300,0)-IF(AND($L25=1,'計算A'!BR$117=1,FQ25=0),300,0))),1000000))</f>
        <v/>
      </c>
      <c r="QU25">
        <f>IF($B25=0,1000000,IF(INDEX('計算A'!$D$60:$EQ$104,$B25,68)*FQ25=1,IF(AND($E25=2,LF25=0),1000000,IF($I25&gt;0,IF(3=$J25,IF(OR(AND(68=$I25+1,OR($K25&lt;&gt;'計算A'!$A$3,'計算A'!$A$4=0)),AND(68=$I25-1,OR(20&lt;&gt;'計算A'!$A$3,'計算A'!$A$4=0))),0,IF(20=$K25,200000,ABS(20-$K25)*100)),100000+ABS(3-$J25)*1000+200)+'計算A'!BS$5*50+IF(AND($E25=1,LF25=0),25,0),INDEX('計算A'!BS$110:BS$114,$F25+1)+IF(AND($E25=1,LF25=0),1000,0)+IF($H25=1,(IF('計算A'!BR$117=1,INDEX('計算A'!BR$10:BR$54,$B25),0)+IF('計算A'!BS$117=1,INDEX('計算A'!BT$10:BT$54,$B25),0))*500,0)-IF(AND('計算A'!BR$117=1,WP25&gt;0),300,0)-IF(AND($L25=1,'計算A'!BS$117=1,FR25=0),300,0))),1000000))</f>
        <v/>
      </c>
      <c r="QV25">
        <f>IF($B25=0,1000000,IF(INDEX('計算A'!$D$60:$EQ$104,$B25,69)*FR25=1,IF(AND($E25=2,LG25=0),1000000,IF($I25&gt;0,IF(3=$J25,IF(OR(AND(69=$I25+1,OR($K25&lt;&gt;'計算A'!$A$3,'計算A'!$A$4=0)),AND(69=$I25-1,OR(21&lt;&gt;'計算A'!$A$3,'計算A'!$A$4=0))),0,IF(21=$K25,200000,ABS(21-$K25)*100)),100000+ABS(3-$J25)*1000+210)+'計算A'!BT$5*50+IF(AND($E25=1,LG25=0),25,0),INDEX('計算A'!BT$110:BT$114,$F25+1)+IF(AND($E25=1,LG25=0),1000,0)+IF($H25=1,(IF('計算A'!BS$117=1,INDEX('計算A'!BS$10:BS$54,$B25),0)+IF('計算A'!BT$117=1,INDEX('計算A'!BU$10:BU$54,$B25),0))*500,0)-IF(AND('計算A'!BS$117=1,WQ25&gt;0),300,0)-IF(AND($L25=1,'計算A'!BT$117=1,FS25=0),300,0))),1000000))</f>
        <v/>
      </c>
      <c r="QW25">
        <f>IF($B25=0,1000000,IF(INDEX('計算A'!$D$60:$EQ$104,$B25,70)*FS25=1,IF(AND($E25=2,LH25=0),1000000,IF($I25&gt;0,IF(3=$J25,IF(OR(AND(70=$I25+1,OR($K25&lt;&gt;'計算A'!$A$3,'計算A'!$A$4=0)),AND(70=$I25-1,OR(22&lt;&gt;'計算A'!$A$3,'計算A'!$A$4=0))),0,IF(22=$K25,200000,ABS(22-$K25)*100)),100000+ABS(3-$J25)*1000+220)+'計算A'!BU$5*50+IF(AND($E25=1,LH25=0),25,0),INDEX('計算A'!BU$110:BU$114,$F25+1)+IF(AND($E25=1,LH25=0),1000,0)+IF($H25=1,(IF('計算A'!BT$117=1,INDEX('計算A'!BT$10:BT$54,$B25),0)+IF('計算A'!BU$117=1,INDEX('計算A'!BV$10:BV$54,$B25),0))*500,0)-IF(AND('計算A'!BT$117=1,WR25&gt;0),300,0)-IF(AND($L25=1,'計算A'!BU$117=1,FT25=0),300,0))),1000000))</f>
        <v/>
      </c>
      <c r="QX25">
        <f>IF($B25=0,1000000,IF(INDEX('計算A'!$D$60:$EQ$104,$B25,71)*FT25=1,IF(AND($E25=2,LI25=0),1000000,IF($I25&gt;0,IF(3=$J25,IF(OR(AND(71=$I25+1,OR($K25&lt;&gt;'計算A'!$A$3,'計算A'!$A$4=0)),AND(71=$I25-1,OR(23&lt;&gt;'計算A'!$A$3,'計算A'!$A$4=0))),0,IF(23=$K25,200000,ABS(23-$K25)*100)),100000+ABS(3-$J25)*1000+230)+'計算A'!BV$5*50+IF(AND($E25=1,LI25=0),25,0),INDEX('計算A'!BV$110:BV$114,$F25+1)+IF(AND($E25=1,LI25=0),1000,0)+IF($H25=1,(IF('計算A'!BU$117=1,INDEX('計算A'!BU$10:BU$54,$B25),0)+IF('計算A'!BV$117=1,INDEX('計算A'!BW$10:BW$54,$B25),0))*500,0)-IF(AND('計算A'!BU$117=1,WS25&gt;0),300,0)-IF(AND($L25=1,'計算A'!BV$117=1,FU25=0),300,0))),1000000))</f>
        <v/>
      </c>
      <c r="QY25">
        <f>IF($B25=0,1000000,IF(INDEX('計算A'!$D$60:$EQ$104,$B25,72)*FU25=1,IF(AND($E25=2,LJ25=0),1000000,IF($I25&gt;0,IF(3=$J25,IF(OR(AND(72=$I25+1,OR($K25&lt;&gt;'計算A'!$A$3,'計算A'!$A$4=0)),AND(72=$I25-1,OR(24&lt;&gt;'計算A'!$A$3,'計算A'!$A$4=0))),0,IF(24=$K25,200000,ABS(24-$K25)*100)),100000+ABS(3-$J25)*1000+240)+'計算A'!BW$5*50+IF(AND($E25=1,LJ25=0),25,0),INDEX('計算A'!BW$110:BW$114,$F25+1)+IF(AND($E25=1,LJ25=0),1000,0)+IF($H25=1,(IF('計算A'!BV$117=1,INDEX('計算A'!BV$10:BV$54,$B25),0))*500,0)-IF(AND('計算A'!BV$117=1,WT25&gt;0),300,0))),1000000))</f>
        <v/>
      </c>
      <c r="QZ25">
        <f>IF($B25=0,1000000,IF(INDEX('計算A'!$D$60:$EQ$104,$B25,73)*FV25=1,IF(AND($E25=2,LK25=0),1000000,IF($I25&gt;0,IF(4=$J25,IF(OR(AND(73=$I25+1,OR($K25&lt;&gt;'計算A'!$A$3,'計算A'!$A$4=0)),AND(73=$I25-1,OR(1&lt;&gt;'計算A'!$A$3,'計算A'!$A$4=0))),0,IF(1=$K25,200000,ABS(1-$K25)*100)),100000+ABS(4-$J25)*1000+10)+'計算A'!BX$5*50+IF(AND($E25=1,LK25=0),25,0),INDEX('計算A'!BX$110:BX$114,$F25+1)+IF(AND($E25=1,LK25=0),1000,0)+IF($H25=1,(IF('計算A'!BX$117=1,INDEX('計算A'!BY$10:BY$54,$B25),0))*500,0)-IF(AND($L25=1,'計算A'!BX$117=1,FW25=0),300,0))),1000000))</f>
        <v/>
      </c>
      <c r="RA25">
        <f>IF($B25=0,1000000,IF(INDEX('計算A'!$D$60:$EQ$104,$B25,74)*FW25=1,IF(AND($E25=2,LL25=0),1000000,IF($I25&gt;0,IF(4=$J25,IF(OR(AND(74=$I25+1,OR($K25&lt;&gt;'計算A'!$A$3,'計算A'!$A$4=0)),AND(74=$I25-1,OR(2&lt;&gt;'計算A'!$A$3,'計算A'!$A$4=0))),0,IF(2=$K25,200000,ABS(2-$K25)*100)),100000+ABS(4-$J25)*1000+20)+'計算A'!BY$5*50+IF(AND($E25=1,LL25=0),25,0),INDEX('計算A'!BY$110:BY$114,$F25+1)+IF(AND($E25=1,LL25=0),1000,0)+IF($H25=1,(IF('計算A'!BX$117=1,INDEX('計算A'!BX$10:BX$54,$B25),0)+IF('計算A'!BY$117=1,INDEX('計算A'!BZ$10:BZ$54,$B25),0))*500,0)-IF(AND('計算A'!BX$117=1,WV25&gt;0),300,0)-IF(AND($L25=1,'計算A'!BY$117=1,FX25=0),300,0))),1000000))</f>
        <v/>
      </c>
      <c r="RB25">
        <f>IF($B25=0,1000000,IF(INDEX('計算A'!$D$60:$EQ$104,$B25,75)*FX25=1,IF(AND($E25=2,LM25=0),1000000,IF($I25&gt;0,IF(4=$J25,IF(OR(AND(75=$I25+1,OR($K25&lt;&gt;'計算A'!$A$3,'計算A'!$A$4=0)),AND(75=$I25-1,OR(3&lt;&gt;'計算A'!$A$3,'計算A'!$A$4=0))),0,IF(3=$K25,200000,ABS(3-$K25)*100)),100000+ABS(4-$J25)*1000+30)+'計算A'!BZ$5*50+IF(AND($E25=1,LM25=0),25,0),INDEX('計算A'!BZ$110:BZ$114,$F25+1)+IF(AND($E25=1,LM25=0),1000,0)+IF($H25=1,(IF('計算A'!BY$117=1,INDEX('計算A'!BY$10:BY$54,$B25),0)+IF('計算A'!BZ$117=1,INDEX('計算A'!CA$10:CA$54,$B25),0))*500,0)-IF(AND('計算A'!BY$117=1,WW25&gt;0),300,0)-IF(AND($L25=1,'計算A'!BZ$117=1,FY25=0),300,0))),1000000))</f>
        <v/>
      </c>
      <c r="RC25">
        <f>IF($B25=0,1000000,IF(INDEX('計算A'!$D$60:$EQ$104,$B25,76)*FY25=1,IF(AND($E25=2,LN25=0),1000000,IF($I25&gt;0,IF(4=$J25,IF(OR(AND(76=$I25+1,OR($K25&lt;&gt;'計算A'!$A$3,'計算A'!$A$4=0)),AND(76=$I25-1,OR(4&lt;&gt;'計算A'!$A$3,'計算A'!$A$4=0))),0,IF(4=$K25,200000,ABS(4-$K25)*100)),100000+ABS(4-$J25)*1000+40)+'計算A'!CA$5*50+IF(AND($E25=1,LN25=0),25,0),INDEX('計算A'!CA$110:CA$114,$F25+1)+IF(AND($E25=1,LN25=0),1000,0)+IF($H25=1,(IF('計算A'!BZ$117=1,INDEX('計算A'!BZ$10:BZ$54,$B25),0)+IF('計算A'!CA$117=1,INDEX('計算A'!CB$10:CB$54,$B25),0))*500,0)-IF(AND('計算A'!BZ$117=1,WX25&gt;0),300,0)-IF(AND($L25=1,'計算A'!CA$117=1,FZ25=0),300,0))),1000000))</f>
        <v/>
      </c>
      <c r="RD25">
        <f>IF($B25=0,1000000,IF(INDEX('計算A'!$D$60:$EQ$104,$B25,77)*FZ25=1,IF(AND($E25=2,LO25=0),1000000,IF($I25&gt;0,IF(4=$J25,IF(OR(AND(77=$I25+1,OR($K25&lt;&gt;'計算A'!$A$3,'計算A'!$A$4=0)),AND(77=$I25-1,OR(5&lt;&gt;'計算A'!$A$3,'計算A'!$A$4=0))),0,IF(5=$K25,200000,ABS(5-$K25)*100)),100000+ABS(4-$J25)*1000+50)+'計算A'!CB$5*50+IF(AND($E25=1,LO25=0),25,0),INDEX('計算A'!CB$110:CB$114,$F25+1)+IF(AND($E25=1,LO25=0),1000,0)+IF($H25=1,(IF('計算A'!CA$117=1,INDEX('計算A'!CA$10:CA$54,$B25),0)+IF('計算A'!CB$117=1,INDEX('計算A'!CC$10:CC$54,$B25),0))*500,0)-IF(AND('計算A'!CA$117=1,WY25&gt;0),300,0)-IF(AND($L25=1,'計算A'!CB$117=1,GA25=0),300,0))),1000000))</f>
        <v/>
      </c>
      <c r="RE25">
        <f>IF($B25=0,1000000,IF(INDEX('計算A'!$D$60:$EQ$104,$B25,78)*GA25=1,IF(AND($E25=2,LP25=0),1000000,IF($I25&gt;0,IF(4=$J25,IF(OR(AND(78=$I25+1,OR($K25&lt;&gt;'計算A'!$A$3,'計算A'!$A$4=0)),AND(78=$I25-1,OR(6&lt;&gt;'計算A'!$A$3,'計算A'!$A$4=0))),0,IF(6=$K25,200000,ABS(6-$K25)*100)),100000+ABS(4-$J25)*1000+60)+'計算A'!CC$5*50+IF(AND($E25=1,LP25=0),25,0),INDEX('計算A'!CC$110:CC$114,$F25+1)+IF(AND($E25=1,LP25=0),1000,0)+IF($H25=1,(IF('計算A'!CB$117=1,INDEX('計算A'!CB$10:CB$54,$B25),0)+IF('計算A'!CC$117=1,INDEX('計算A'!CD$10:CD$54,$B25),0))*500,0)-IF(AND('計算A'!CB$117=1,WZ25&gt;0),300,0)-IF(AND($L25=1,'計算A'!CC$117=1,GB25=0),300,0))),1000000))</f>
        <v/>
      </c>
      <c r="RF25">
        <f>IF($B25=0,1000000,IF(INDEX('計算A'!$D$60:$EQ$104,$B25,79)*GB25=1,IF(AND($E25=2,LQ25=0),1000000,IF($I25&gt;0,IF(4=$J25,IF(OR(AND(79=$I25+1,OR($K25&lt;&gt;'計算A'!$A$3,'計算A'!$A$4=0)),AND(79=$I25-1,OR(7&lt;&gt;'計算A'!$A$3,'計算A'!$A$4=0))),0,IF(7=$K25,200000,ABS(7-$K25)*100)),100000+ABS(4-$J25)*1000+70)+'計算A'!CD$5*50+IF(AND($E25=1,LQ25=0),25,0),INDEX('計算A'!CD$110:CD$114,$F25+1)+IF(AND($E25=1,LQ25=0),1000,0)+IF($H25=1,(IF('計算A'!CC$117=1,INDEX('計算A'!CC$10:CC$54,$B25),0)+IF('計算A'!CD$117=1,INDEX('計算A'!CE$10:CE$54,$B25),0))*500,0)-IF(AND('計算A'!CC$117=1,XA25&gt;0),300,0)-IF(AND($L25=1,'計算A'!CD$117=1,GC25=0),300,0))),1000000))</f>
        <v/>
      </c>
      <c r="RG25">
        <f>IF($B25=0,1000000,IF(INDEX('計算A'!$D$60:$EQ$104,$B25,80)*GC25=1,IF(AND($E25=2,LR25=0),1000000,IF($I25&gt;0,IF(4=$J25,IF(OR(AND(80=$I25+1,OR($K25&lt;&gt;'計算A'!$A$3,'計算A'!$A$4=0)),AND(80=$I25-1,OR(8&lt;&gt;'計算A'!$A$3,'計算A'!$A$4=0))),0,IF(8=$K25,200000,ABS(8-$K25)*100)),100000+ABS(4-$J25)*1000+80)+'計算A'!CE$5*50+IF(AND($E25=1,LR25=0),25,0),INDEX('計算A'!CE$110:CE$114,$F25+1)+IF(AND($E25=1,LR25=0),1000,0)+IF($H25=1,(IF('計算A'!CD$117=1,INDEX('計算A'!CD$10:CD$54,$B25),0)+IF('計算A'!CE$117=1,INDEX('計算A'!CF$10:CF$54,$B25),0))*500,0)-IF(AND('計算A'!CD$117=1,XB25&gt;0),300,0)-IF(AND($L25=1,'計算A'!CE$117=1,GD25=0),300,0))),1000000))</f>
        <v/>
      </c>
      <c r="RH25">
        <f>IF($B25=0,1000000,IF(INDEX('計算A'!$D$60:$EQ$104,$B25,81)*GD25=1,IF(AND($E25=2,LS25=0),1000000,IF($I25&gt;0,IF(4=$J25,IF(OR(AND(81=$I25+1,OR($K25&lt;&gt;'計算A'!$A$3,'計算A'!$A$4=0)),AND(81=$I25-1,OR(9&lt;&gt;'計算A'!$A$3,'計算A'!$A$4=0))),0,IF(9=$K25,200000,ABS(9-$K25)*100)),100000+ABS(4-$J25)*1000+90)+'計算A'!CF$5*50+IF(AND($E25=1,LS25=0),25,0),INDEX('計算A'!CF$110:CF$114,$F25+1)+IF(AND($E25=1,LS25=0),1000,0)+IF($H25=1,(IF('計算A'!CE$117=1,INDEX('計算A'!CE$10:CE$54,$B25),0)+IF('計算A'!CF$117=1,INDEX('計算A'!CG$10:CG$54,$B25),0))*500,0)-IF(AND('計算A'!CE$117=1,XC25&gt;0),300,0)-IF(AND($L25=1,'計算A'!CF$117=1,GE25=0),300,0))),1000000))</f>
        <v/>
      </c>
      <c r="RI25">
        <f>IF($B25=0,1000000,IF(INDEX('計算A'!$D$60:$EQ$104,$B25,82)*GE25=1,IF(AND($E25=2,LT25=0),1000000,IF($I25&gt;0,IF(4=$J25,IF(OR(AND(82=$I25+1,OR($K25&lt;&gt;'計算A'!$A$3,'計算A'!$A$4=0)),AND(82=$I25-1,OR(10&lt;&gt;'計算A'!$A$3,'計算A'!$A$4=0))),0,IF(10=$K25,200000,ABS(10-$K25)*100)),100000+ABS(4-$J25)*1000+100)+'計算A'!CG$5*50+IF(AND($E25=1,LT25=0),25,0),INDEX('計算A'!CG$110:CG$114,$F25+1)+IF(AND($E25=1,LT25=0),1000,0)+IF($H25=1,(IF('計算A'!CF$117=1,INDEX('計算A'!CF$10:CF$54,$B25),0)+IF('計算A'!CG$117=1,INDEX('計算A'!CH$10:CH$54,$B25),0))*500,0)-IF(AND('計算A'!CF$117=1,XD25&gt;0),300,0)-IF(AND($L25=1,'計算A'!CG$117=1,GF25=0),300,0))),1000000))</f>
        <v/>
      </c>
      <c r="RJ25">
        <f>IF($B25=0,1000000,IF(INDEX('計算A'!$D$60:$EQ$104,$B25,83)*GF25=1,IF(AND($E25=2,LU25=0),1000000,IF($I25&gt;0,IF(4=$J25,IF(OR(AND(83=$I25+1,OR($K25&lt;&gt;'計算A'!$A$3,'計算A'!$A$4=0)),AND(83=$I25-1,OR(11&lt;&gt;'計算A'!$A$3,'計算A'!$A$4=0))),0,IF(11=$K25,200000,ABS(11-$K25)*100)),100000+ABS(4-$J25)*1000+110)+'計算A'!CH$5*50+IF(AND($E25=1,LU25=0),25,0),INDEX('計算A'!CH$110:CH$114,$F25+1)+IF(AND($E25=1,LU25=0),1000,0)+IF($H25=1,(IF('計算A'!CG$117=1,INDEX('計算A'!CG$10:CG$54,$B25),0)+IF('計算A'!CH$117=1,INDEX('計算A'!CI$10:CI$54,$B25),0))*500,0)-IF(AND('計算A'!CG$117=1,XE25&gt;0),300,0)-IF(AND($L25=1,'計算A'!CH$117=1,GG25=0),300,0))),1000000))</f>
        <v/>
      </c>
      <c r="RK25">
        <f>IF($B25=0,1000000,IF(INDEX('計算A'!$D$60:$EQ$104,$B25,84)*GG25=1,IF(AND($E25=2,LV25=0),1000000,IF($I25&gt;0,IF(4=$J25,IF(OR(AND(84=$I25+1,OR($K25&lt;&gt;'計算A'!$A$3,'計算A'!$A$4=0)),AND(84=$I25-1,OR(12&lt;&gt;'計算A'!$A$3,'計算A'!$A$4=0))),0,IF(12=$K25,200000,ABS(12-$K25)*100)),100000+ABS(4-$J25)*1000+120)+'計算A'!CI$5*50+IF(AND($E25=1,LV25=0),25,0),INDEX('計算A'!CI$110:CI$114,$F25+1)+IF(AND($E25=1,LV25=0),1000,0)+IF($H25=1,(IF('計算A'!CH$117=1,INDEX('計算A'!CH$10:CH$54,$B25),0)+IF('計算A'!CI$117=1,INDEX('計算A'!CJ$10:CJ$54,$B25),0))*500,0)-IF(AND('計算A'!CH$117=1,XF25&gt;0),300,0)-IF(AND($L25=1,'計算A'!CI$117=1,GH25=0),300,0))),1000000))</f>
        <v/>
      </c>
      <c r="RL25">
        <f>IF($B25=0,1000000,IF(INDEX('計算A'!$D$60:$EQ$104,$B25,85)*GH25=1,IF(AND($E25=2,LW25=0),1000000,IF($I25&gt;0,IF(4=$J25,IF(OR(AND(85=$I25+1,OR($K25&lt;&gt;'計算A'!$A$3,'計算A'!$A$4=0)),AND(85=$I25-1,OR(13&lt;&gt;'計算A'!$A$3,'計算A'!$A$4=0))),0,IF(13=$K25,200000,ABS(13-$K25)*100)),100000+ABS(4-$J25)*1000+130)+'計算A'!CJ$5*50+IF(AND($E25=1,LW25=0),25,0),INDEX('計算A'!CJ$110:CJ$114,$F25+1)+IF(AND($E25=1,LW25=0),1000,0)+IF($H25=1,(IF('計算A'!CI$117=1,INDEX('計算A'!CI$10:CI$54,$B25),0)+IF('計算A'!CJ$117=1,INDEX('計算A'!CK$10:CK$54,$B25),0))*500,0)-IF(AND('計算A'!CI$117=1,XG25&gt;0),300,0)-IF(AND($L25=1,'計算A'!CJ$117=1,GI25=0),300,0))),1000000))</f>
        <v/>
      </c>
      <c r="RM25">
        <f>IF($B25=0,1000000,IF(INDEX('計算A'!$D$60:$EQ$104,$B25,86)*GI25=1,IF(AND($E25=2,LX25=0),1000000,IF($I25&gt;0,IF(4=$J25,IF(OR(AND(86=$I25+1,OR($K25&lt;&gt;'計算A'!$A$3,'計算A'!$A$4=0)),AND(86=$I25-1,OR(14&lt;&gt;'計算A'!$A$3,'計算A'!$A$4=0))),0,IF(14=$K25,200000,ABS(14-$K25)*100)),100000+ABS(4-$J25)*1000+140)+'計算A'!CK$5*50+IF(AND($E25=1,LX25=0),25,0),INDEX('計算A'!CK$110:CK$114,$F25+1)+IF(AND($E25=1,LX25=0),1000,0)+IF($H25=1,(IF('計算A'!CJ$117=1,INDEX('計算A'!CJ$10:CJ$54,$B25),0)+IF('計算A'!CK$117=1,INDEX('計算A'!CL$10:CL$54,$B25),0))*500,0)-IF(AND('計算A'!CJ$117=1,XH25&gt;0),300,0)-IF(AND($L25=1,'計算A'!CK$117=1,GJ25=0),300,0))),1000000))</f>
        <v/>
      </c>
      <c r="RN25">
        <f>IF($B25=0,1000000,IF(INDEX('計算A'!$D$60:$EQ$104,$B25,87)*GJ25=1,IF(AND($E25=2,LY25=0),1000000,IF($I25&gt;0,IF(4=$J25,IF(OR(AND(87=$I25+1,OR($K25&lt;&gt;'計算A'!$A$3,'計算A'!$A$4=0)),AND(87=$I25-1,OR(15&lt;&gt;'計算A'!$A$3,'計算A'!$A$4=0))),0,IF(15=$K25,200000,ABS(15-$K25)*100)),100000+ABS(4-$J25)*1000+150)+'計算A'!CL$5*50+IF(AND($E25=1,LY25=0),25,0),INDEX('計算A'!CL$110:CL$114,$F25+1)+IF(AND($E25=1,LY25=0),1000,0)+IF($H25=1,(IF('計算A'!CK$117=1,INDEX('計算A'!CK$10:CK$54,$B25),0)+IF('計算A'!CL$117=1,INDEX('計算A'!CM$10:CM$54,$B25),0))*500,0)-IF(AND('計算A'!CK$117=1,XI25&gt;0),300,0)-IF(AND($L25=1,'計算A'!CL$117=1,GK25=0),300,0))),1000000))</f>
        <v/>
      </c>
      <c r="RO25">
        <f>IF($B25=0,1000000,IF(INDEX('計算A'!$D$60:$EQ$104,$B25,88)*GK25=1,IF(AND($E25=2,LZ25=0),1000000,IF($I25&gt;0,IF(4=$J25,IF(OR(AND(88=$I25+1,OR($K25&lt;&gt;'計算A'!$A$3,'計算A'!$A$4=0)),AND(88=$I25-1,OR(16&lt;&gt;'計算A'!$A$3,'計算A'!$A$4=0))),0,IF(16=$K25,200000,ABS(16-$K25)*100)),100000+ABS(4-$J25)*1000+160)+'計算A'!CM$5*50+IF(AND($E25=1,LZ25=0),25,0),INDEX('計算A'!CM$110:CM$114,$F25+1)+IF(AND($E25=1,LZ25=0),1000,0)+IF($H25=1,(IF('計算A'!CL$117=1,INDEX('計算A'!CL$10:CL$54,$B25),0)+IF('計算A'!CM$117=1,INDEX('計算A'!CN$10:CN$54,$B25),0))*500,0)-IF(AND('計算A'!CL$117=1,XJ25&gt;0),300,0)-IF(AND($L25=1,'計算A'!CM$117=1,GL25=0),300,0))),1000000))</f>
        <v/>
      </c>
      <c r="RP25">
        <f>IF($B25=0,1000000,IF(INDEX('計算A'!$D$60:$EQ$104,$B25,89)*GL25=1,IF(AND($E25=2,MA25=0),1000000,IF($I25&gt;0,IF(4=$J25,IF(OR(AND(89=$I25+1,OR($K25&lt;&gt;'計算A'!$A$3,'計算A'!$A$4=0)),AND(89=$I25-1,OR(17&lt;&gt;'計算A'!$A$3,'計算A'!$A$4=0))),0,IF(17=$K25,200000,ABS(17-$K25)*100)),100000+ABS(4-$J25)*1000+170)+'計算A'!CN$5*50+IF(AND($E25=1,MA25=0),25,0),INDEX('計算A'!CN$110:CN$114,$F25+1)+IF(AND($E25=1,MA25=0),1000,0)+IF($H25=1,(IF('計算A'!CM$117=1,INDEX('計算A'!CM$10:CM$54,$B25),0)+IF('計算A'!CN$117=1,INDEX('計算A'!CO$10:CO$54,$B25),0))*500,0)-IF(AND('計算A'!CM$117=1,XK25&gt;0),300,0)-IF(AND($L25=1,'計算A'!CN$117=1,GM25=0),300,0))),1000000))</f>
        <v/>
      </c>
      <c r="RQ25">
        <f>IF($B25=0,1000000,IF(INDEX('計算A'!$D$60:$EQ$104,$B25,90)*GM25=1,IF(AND($E25=2,MB25=0),1000000,IF($I25&gt;0,IF(4=$J25,IF(OR(AND(90=$I25+1,OR($K25&lt;&gt;'計算A'!$A$3,'計算A'!$A$4=0)),AND(90=$I25-1,OR(18&lt;&gt;'計算A'!$A$3,'計算A'!$A$4=0))),0,IF(18=$K25,200000,ABS(18-$K25)*100)),100000+ABS(4-$J25)*1000+180)+'計算A'!CO$5*50+IF(AND($E25=1,MB25=0),25,0),INDEX('計算A'!CO$110:CO$114,$F25+1)+IF(AND($E25=1,MB25=0),1000,0)+IF($H25=1,(IF('計算A'!CN$117=1,INDEX('計算A'!CN$10:CN$54,$B25),0)+IF('計算A'!CO$117=1,INDEX('計算A'!CP$10:CP$54,$B25),0))*500,0)-IF(AND('計算A'!CN$117=1,XL25&gt;0),300,0)-IF(AND($L25=1,'計算A'!CO$117=1,GN25=0),300,0))),1000000))</f>
        <v/>
      </c>
      <c r="RR25">
        <f>IF($B25=0,1000000,IF(INDEX('計算A'!$D$60:$EQ$104,$B25,91)*GN25=1,IF(AND($E25=2,MC25=0),1000000,IF($I25&gt;0,IF(4=$J25,IF(OR(AND(91=$I25+1,OR($K25&lt;&gt;'計算A'!$A$3,'計算A'!$A$4=0)),AND(91=$I25-1,OR(19&lt;&gt;'計算A'!$A$3,'計算A'!$A$4=0))),0,IF(19=$K25,200000,ABS(19-$K25)*100)),100000+ABS(4-$J25)*1000+190)+'計算A'!CP$5*50+IF(AND($E25=1,MC25=0),25,0),INDEX('計算A'!CP$110:CP$114,$F25+1)+IF(AND($E25=1,MC25=0),1000,0)+IF($H25=1,(IF('計算A'!CO$117=1,INDEX('計算A'!CO$10:CO$54,$B25),0)+IF('計算A'!CP$117=1,INDEX('計算A'!CQ$10:CQ$54,$B25),0))*500,0)-IF(AND('計算A'!CO$117=1,XM25&gt;0),300,0)-IF(AND($L25=1,'計算A'!CP$117=1,GO25=0),300,0))),1000000))</f>
        <v/>
      </c>
      <c r="RS25">
        <f>IF($B25=0,1000000,IF(INDEX('計算A'!$D$60:$EQ$104,$B25,92)*GO25=1,IF(AND($E25=2,MD25=0),1000000,IF($I25&gt;0,IF(4=$J25,IF(OR(AND(92=$I25+1,OR($K25&lt;&gt;'計算A'!$A$3,'計算A'!$A$4=0)),AND(92=$I25-1,OR(20&lt;&gt;'計算A'!$A$3,'計算A'!$A$4=0))),0,IF(20=$K25,200000,ABS(20-$K25)*100)),100000+ABS(4-$J25)*1000+200)+'計算A'!CQ$5*50+IF(AND($E25=1,MD25=0),25,0),INDEX('計算A'!CQ$110:CQ$114,$F25+1)+IF(AND($E25=1,MD25=0),1000,0)+IF($H25=1,(IF('計算A'!CP$117=1,INDEX('計算A'!CP$10:CP$54,$B25),0)+IF('計算A'!CQ$117=1,INDEX('計算A'!CR$10:CR$54,$B25),0))*500,0)-IF(AND('計算A'!CP$117=1,XN25&gt;0),300,0)-IF(AND($L25=1,'計算A'!CQ$117=1,GP25=0),300,0))),1000000))</f>
        <v/>
      </c>
      <c r="RT25">
        <f>IF($B25=0,1000000,IF(INDEX('計算A'!$D$60:$EQ$104,$B25,93)*GP25=1,IF(AND($E25=2,ME25=0),1000000,IF($I25&gt;0,IF(4=$J25,IF(OR(AND(93=$I25+1,OR($K25&lt;&gt;'計算A'!$A$3,'計算A'!$A$4=0)),AND(93=$I25-1,OR(21&lt;&gt;'計算A'!$A$3,'計算A'!$A$4=0))),0,IF(21=$K25,200000,ABS(21-$K25)*100)),100000+ABS(4-$J25)*1000+210)+'計算A'!CR$5*50+IF(AND($E25=1,ME25=0),25,0),INDEX('計算A'!CR$110:CR$114,$F25+1)+IF(AND($E25=1,ME25=0),1000,0)+IF($H25=1,(IF('計算A'!CQ$117=1,INDEX('計算A'!CQ$10:CQ$54,$B25),0)+IF('計算A'!CR$117=1,INDEX('計算A'!CS$10:CS$54,$B25),0))*500,0)-IF(AND('計算A'!CQ$117=1,XO25&gt;0),300,0)-IF(AND($L25=1,'計算A'!CR$117=1,GQ25=0),300,0))),1000000))</f>
        <v/>
      </c>
      <c r="RU25">
        <f>IF($B25=0,1000000,IF(INDEX('計算A'!$D$60:$EQ$104,$B25,94)*GQ25=1,IF(AND($E25=2,MF25=0),1000000,IF($I25&gt;0,IF(4=$J25,IF(OR(AND(94=$I25+1,OR($K25&lt;&gt;'計算A'!$A$3,'計算A'!$A$4=0)),AND(94=$I25-1,OR(22&lt;&gt;'計算A'!$A$3,'計算A'!$A$4=0))),0,IF(22=$K25,200000,ABS(22-$K25)*100)),100000+ABS(4-$J25)*1000+220)+'計算A'!CS$5*50+IF(AND($E25=1,MF25=0),25,0),INDEX('計算A'!CS$110:CS$114,$F25+1)+IF(AND($E25=1,MF25=0),1000,0)+IF($H25=1,(IF('計算A'!CR$117=1,INDEX('計算A'!CR$10:CR$54,$B25),0)+IF('計算A'!CS$117=1,INDEX('計算A'!CT$10:CT$54,$B25),0))*500,0)-IF(AND('計算A'!CR$117=1,XP25&gt;0),300,0)-IF(AND($L25=1,'計算A'!CS$117=1,GR25=0),300,0))),1000000))</f>
        <v/>
      </c>
      <c r="RV25">
        <f>IF($B25=0,1000000,IF(INDEX('計算A'!$D$60:$EQ$104,$B25,95)*GR25=1,IF(AND($E25=2,MG25=0),1000000,IF($I25&gt;0,IF(4=$J25,IF(OR(AND(95=$I25+1,OR($K25&lt;&gt;'計算A'!$A$3,'計算A'!$A$4=0)),AND(95=$I25-1,OR(23&lt;&gt;'計算A'!$A$3,'計算A'!$A$4=0))),0,IF(23=$K25,200000,ABS(23-$K25)*100)),100000+ABS(4-$J25)*1000+230)+'計算A'!CT$5*50+IF(AND($E25=1,MG25=0),25,0),INDEX('計算A'!CT$110:CT$114,$F25+1)+IF(AND($E25=1,MG25=0),1000,0)+IF($H25=1,(IF('計算A'!CS$117=1,INDEX('計算A'!CS$10:CS$54,$B25),0)+IF('計算A'!CT$117=1,INDEX('計算A'!CU$10:CU$54,$B25),0))*500,0)-IF(AND('計算A'!CS$117=1,XQ25&gt;0),300,0)-IF(AND($L25=1,'計算A'!CT$117=1,GS25=0),300,0))),1000000))</f>
        <v/>
      </c>
      <c r="RW25">
        <f>IF($B25=0,1000000,IF(INDEX('計算A'!$D$60:$EQ$104,$B25,96)*GS25=1,IF(AND($E25=2,MH25=0),1000000,IF($I25&gt;0,IF(4=$J25,IF(OR(AND(96=$I25+1,OR($K25&lt;&gt;'計算A'!$A$3,'計算A'!$A$4=0)),AND(96=$I25-1,OR(24&lt;&gt;'計算A'!$A$3,'計算A'!$A$4=0))),0,IF(24=$K25,200000,ABS(24-$K25)*100)),100000+ABS(4-$J25)*1000+240)+'計算A'!CU$5*50+IF(AND($E25=1,MH25=0),25,0),INDEX('計算A'!CU$110:CU$114,$F25+1)+IF(AND($E25=1,MH25=0),1000,0)+IF($H25=1,(IF('計算A'!CT$117=1,INDEX('計算A'!CT$10:CT$54,$B25),0))*500,0)-IF(AND('計算A'!CT$117=1,XR25&gt;0),300,0))),1000000))</f>
        <v/>
      </c>
      <c r="RX25">
        <f>IF($B25=0,1000000,IF(INDEX('計算A'!$D$60:$EQ$104,$B25,97)*GT25=1,IF(AND($E25=2,MI25=0),1000000,IF($I25&gt;0,IF(5=$J25,IF(OR(AND(97=$I25+1,OR($K25&lt;&gt;'計算A'!$A$3,'計算A'!$A$4=0)),AND(97=$I25-1,OR(1&lt;&gt;'計算A'!$A$3,'計算A'!$A$4=0))),0,IF(1=$K25,200000,ABS(1-$K25)*100)),100000+ABS(5-$J25)*1000+10)+'計算A'!CV$5*50+IF(AND($E25=1,MI25=0),25,0),INDEX('計算A'!CV$110:CV$114,$F25+1)+IF(AND($E25=1,MI25=0),1000,0)+IF($H25=1,(IF('計算A'!CV$117=1,INDEX('計算A'!CW$10:CW$54,$B25),0))*500,0)-IF(AND($L25=1,'計算A'!CV$117=1,GU25=0),300,0))),1000000))</f>
        <v/>
      </c>
      <c r="RY25">
        <f>IF($B25=0,1000000,IF(INDEX('計算A'!$D$60:$EQ$104,$B25,98)*GU25=1,IF(AND($E25=2,MJ25=0),1000000,IF($I25&gt;0,IF(5=$J25,IF(OR(AND(98=$I25+1,OR($K25&lt;&gt;'計算A'!$A$3,'計算A'!$A$4=0)),AND(98=$I25-1,OR(2&lt;&gt;'計算A'!$A$3,'計算A'!$A$4=0))),0,IF(2=$K25,200000,ABS(2-$K25)*100)),100000+ABS(5-$J25)*1000+20)+'計算A'!CW$5*50+IF(AND($E25=1,MJ25=0),25,0),INDEX('計算A'!CW$110:CW$114,$F25+1)+IF(AND($E25=1,MJ25=0),1000,0)+IF($H25=1,(IF('計算A'!CV$117=1,INDEX('計算A'!CV$10:CV$54,$B25),0)+IF('計算A'!CW$117=1,INDEX('計算A'!CX$10:CX$54,$B25),0))*500,0)-IF(AND('計算A'!CV$117=1,XT25&gt;0),300,0)-IF(AND($L25=1,'計算A'!CW$117=1,GV25=0),300,0))),1000000))</f>
        <v/>
      </c>
      <c r="RZ25">
        <f>IF($B25=0,1000000,IF(INDEX('計算A'!$D$60:$EQ$104,$B25,99)*GV25=1,IF(AND($E25=2,MK25=0),1000000,IF($I25&gt;0,IF(5=$J25,IF(OR(AND(99=$I25+1,OR($K25&lt;&gt;'計算A'!$A$3,'計算A'!$A$4=0)),AND(99=$I25-1,OR(3&lt;&gt;'計算A'!$A$3,'計算A'!$A$4=0))),0,IF(3=$K25,200000,ABS(3-$K25)*100)),100000+ABS(5-$J25)*1000+30)+'計算A'!CX$5*50+IF(AND($E25=1,MK25=0),25,0),INDEX('計算A'!CX$110:CX$114,$F25+1)+IF(AND($E25=1,MK25=0),1000,0)+IF($H25=1,(IF('計算A'!CW$117=1,INDEX('計算A'!CW$10:CW$54,$B25),0)+IF('計算A'!CX$117=1,INDEX('計算A'!CY$10:CY$54,$B25),0))*500,0)-IF(AND('計算A'!CW$117=1,XU25&gt;0),300,0)-IF(AND($L25=1,'計算A'!CX$117=1,GW25=0),300,0))),1000000))</f>
        <v/>
      </c>
      <c r="SA25">
        <f>IF($B25=0,1000000,IF(INDEX('計算A'!$D$60:$EQ$104,$B25,100)*GW25=1,IF(AND($E25=2,ML25=0),1000000,IF($I25&gt;0,IF(5=$J25,IF(OR(AND(100=$I25+1,OR($K25&lt;&gt;'計算A'!$A$3,'計算A'!$A$4=0)),AND(100=$I25-1,OR(4&lt;&gt;'計算A'!$A$3,'計算A'!$A$4=0))),0,IF(4=$K25,200000,ABS(4-$K25)*100)),100000+ABS(5-$J25)*1000+40)+'計算A'!CY$5*50+IF(AND($E25=1,ML25=0),25,0),INDEX('計算A'!CY$110:CY$114,$F25+1)+IF(AND($E25=1,ML25=0),1000,0)+IF($H25=1,(IF('計算A'!CX$117=1,INDEX('計算A'!CX$10:CX$54,$B25),0)+IF('計算A'!CY$117=1,INDEX('計算A'!CZ$10:CZ$54,$B25),0))*500,0)-IF(AND('計算A'!CX$117=1,XV25&gt;0),300,0)-IF(AND($L25=1,'計算A'!CY$117=1,GX25=0),300,0))),1000000))</f>
        <v/>
      </c>
      <c r="SB25">
        <f>IF($B25=0,1000000,IF(INDEX('計算A'!$D$60:$EQ$104,$B25,101)*GX25=1,IF(AND($E25=2,MM25=0),1000000,IF($I25&gt;0,IF(5=$J25,IF(OR(AND(101=$I25+1,OR($K25&lt;&gt;'計算A'!$A$3,'計算A'!$A$4=0)),AND(101=$I25-1,OR(5&lt;&gt;'計算A'!$A$3,'計算A'!$A$4=0))),0,IF(5=$K25,200000,ABS(5-$K25)*100)),100000+ABS(5-$J25)*1000+50)+'計算A'!CZ$5*50+IF(AND($E25=1,MM25=0),25,0),INDEX('計算A'!CZ$110:CZ$114,$F25+1)+IF(AND($E25=1,MM25=0),1000,0)+IF($H25=1,(IF('計算A'!CY$117=1,INDEX('計算A'!CY$10:CY$54,$B25),0)+IF('計算A'!CZ$117=1,INDEX('計算A'!DA$10:DA$54,$B25),0))*500,0)-IF(AND('計算A'!CY$117=1,XW25&gt;0),300,0)-IF(AND($L25=1,'計算A'!CZ$117=1,GY25=0),300,0))),1000000))</f>
        <v/>
      </c>
      <c r="SC25">
        <f>IF($B25=0,1000000,IF(INDEX('計算A'!$D$60:$EQ$104,$B25,102)*GY25=1,IF(AND($E25=2,MN25=0),1000000,IF($I25&gt;0,IF(5=$J25,IF(OR(AND(102=$I25+1,OR($K25&lt;&gt;'計算A'!$A$3,'計算A'!$A$4=0)),AND(102=$I25-1,OR(6&lt;&gt;'計算A'!$A$3,'計算A'!$A$4=0))),0,IF(6=$K25,200000,ABS(6-$K25)*100)),100000+ABS(5-$J25)*1000+60)+'計算A'!DA$5*50+IF(AND($E25=1,MN25=0),25,0),INDEX('計算A'!DA$110:DA$114,$F25+1)+IF(AND($E25=1,MN25=0),1000,0)+IF($H25=1,(IF('計算A'!CZ$117=1,INDEX('計算A'!CZ$10:CZ$54,$B25),0)+IF('計算A'!DA$117=1,INDEX('計算A'!DB$10:DB$54,$B25),0))*500,0)-IF(AND('計算A'!CZ$117=1,XX25&gt;0),300,0)-IF(AND($L25=1,'計算A'!DA$117=1,GZ25=0),300,0))),1000000))</f>
        <v/>
      </c>
      <c r="SD25">
        <f>IF($B25=0,1000000,IF(INDEX('計算A'!$D$60:$EQ$104,$B25,103)*GZ25=1,IF(AND($E25=2,MO25=0),1000000,IF($I25&gt;0,IF(5=$J25,IF(OR(AND(103=$I25+1,OR($K25&lt;&gt;'計算A'!$A$3,'計算A'!$A$4=0)),AND(103=$I25-1,OR(7&lt;&gt;'計算A'!$A$3,'計算A'!$A$4=0))),0,IF(7=$K25,200000,ABS(7-$K25)*100)),100000+ABS(5-$J25)*1000+70)+'計算A'!DB$5*50+IF(AND($E25=1,MO25=0),25,0),INDEX('計算A'!DB$110:DB$114,$F25+1)+IF(AND($E25=1,MO25=0),1000,0)+IF($H25=1,(IF('計算A'!DA$117=1,INDEX('計算A'!DA$10:DA$54,$B25),0)+IF('計算A'!DB$117=1,INDEX('計算A'!DC$10:DC$54,$B25),0))*500,0)-IF(AND('計算A'!DA$117=1,XY25&gt;0),300,0)-IF(AND($L25=1,'計算A'!DB$117=1,HA25=0),300,0))),1000000))</f>
        <v/>
      </c>
      <c r="SE25">
        <f>IF($B25=0,1000000,IF(INDEX('計算A'!$D$60:$EQ$104,$B25,104)*HA25=1,IF(AND($E25=2,MP25=0),1000000,IF($I25&gt;0,IF(5=$J25,IF(OR(AND(104=$I25+1,OR($K25&lt;&gt;'計算A'!$A$3,'計算A'!$A$4=0)),AND(104=$I25-1,OR(8&lt;&gt;'計算A'!$A$3,'計算A'!$A$4=0))),0,IF(8=$K25,200000,ABS(8-$K25)*100)),100000+ABS(5-$J25)*1000+80)+'計算A'!DC$5*50+IF(AND($E25=1,MP25=0),25,0),INDEX('計算A'!DC$110:DC$114,$F25+1)+IF(AND($E25=1,MP25=0),1000,0)+IF($H25=1,(IF('計算A'!DB$117=1,INDEX('計算A'!DB$10:DB$54,$B25),0)+IF('計算A'!DC$117=1,INDEX('計算A'!DD$10:DD$54,$B25),0))*500,0)-IF(AND('計算A'!DB$117=1,XZ25&gt;0),300,0)-IF(AND($L25=1,'計算A'!DC$117=1,HB25=0),300,0))),1000000))</f>
        <v/>
      </c>
      <c r="SF25">
        <f>IF($B25=0,1000000,IF(INDEX('計算A'!$D$60:$EQ$104,$B25,105)*HB25=1,IF(AND($E25=2,MQ25=0),1000000,IF($I25&gt;0,IF(5=$J25,IF(OR(AND(105=$I25+1,OR($K25&lt;&gt;'計算A'!$A$3,'計算A'!$A$4=0)),AND(105=$I25-1,OR(9&lt;&gt;'計算A'!$A$3,'計算A'!$A$4=0))),0,IF(9=$K25,200000,ABS(9-$K25)*100)),100000+ABS(5-$J25)*1000+90)+'計算A'!DD$5*50+IF(AND($E25=1,MQ25=0),25,0),INDEX('計算A'!DD$110:DD$114,$F25+1)+IF(AND($E25=1,MQ25=0),1000,0)+IF($H25=1,(IF('計算A'!DC$117=1,INDEX('計算A'!DC$10:DC$54,$B25),0)+IF('計算A'!DD$117=1,INDEX('計算A'!DE$10:DE$54,$B25),0))*500,0)-IF(AND('計算A'!DC$117=1,YA25&gt;0),300,0)-IF(AND($L25=1,'計算A'!DD$117=1,HC25=0),300,0))),1000000))</f>
        <v/>
      </c>
      <c r="SG25">
        <f>IF($B25=0,1000000,IF(INDEX('計算A'!$D$60:$EQ$104,$B25,106)*HC25=1,IF(AND($E25=2,MR25=0),1000000,IF($I25&gt;0,IF(5=$J25,IF(OR(AND(106=$I25+1,OR($K25&lt;&gt;'計算A'!$A$3,'計算A'!$A$4=0)),AND(106=$I25-1,OR(10&lt;&gt;'計算A'!$A$3,'計算A'!$A$4=0))),0,IF(10=$K25,200000,ABS(10-$K25)*100)),100000+ABS(5-$J25)*1000+100)+'計算A'!DE$5*50+IF(AND($E25=1,MR25=0),25,0),INDEX('計算A'!DE$110:DE$114,$F25+1)+IF(AND($E25=1,MR25=0),1000,0)+IF($H25=1,(IF('計算A'!DD$117=1,INDEX('計算A'!DD$10:DD$54,$B25),0)+IF('計算A'!DE$117=1,INDEX('計算A'!DF$10:DF$54,$B25),0))*500,0)-IF(AND('計算A'!DD$117=1,YB25&gt;0),300,0)-IF(AND($L25=1,'計算A'!DE$117=1,HD25=0),300,0))),1000000))</f>
        <v/>
      </c>
      <c r="SH25">
        <f>IF($B25=0,1000000,IF(INDEX('計算A'!$D$60:$EQ$104,$B25,107)*HD25=1,IF(AND($E25=2,MS25=0),1000000,IF($I25&gt;0,IF(5=$J25,IF(OR(AND(107=$I25+1,OR($K25&lt;&gt;'計算A'!$A$3,'計算A'!$A$4=0)),AND(107=$I25-1,OR(11&lt;&gt;'計算A'!$A$3,'計算A'!$A$4=0))),0,IF(11=$K25,200000,ABS(11-$K25)*100)),100000+ABS(5-$J25)*1000+110)+'計算A'!DF$5*50+IF(AND($E25=1,MS25=0),25,0),INDEX('計算A'!DF$110:DF$114,$F25+1)+IF(AND($E25=1,MS25=0),1000,0)+IF($H25=1,(IF('計算A'!DE$117=1,INDEX('計算A'!DE$10:DE$54,$B25),0)+IF('計算A'!DF$117=1,INDEX('計算A'!DG$10:DG$54,$B25),0))*500,0)-IF(AND('計算A'!DE$117=1,YC25&gt;0),300,0)-IF(AND($L25=1,'計算A'!DF$117=1,HE25=0),300,0))),1000000))</f>
        <v/>
      </c>
      <c r="SI25">
        <f>IF($B25=0,1000000,IF(INDEX('計算A'!$D$60:$EQ$104,$B25,108)*HE25=1,IF(AND($E25=2,MT25=0),1000000,IF($I25&gt;0,IF(5=$J25,IF(OR(AND(108=$I25+1,OR($K25&lt;&gt;'計算A'!$A$3,'計算A'!$A$4=0)),AND(108=$I25-1,OR(12&lt;&gt;'計算A'!$A$3,'計算A'!$A$4=0))),0,IF(12=$K25,200000,ABS(12-$K25)*100)),100000+ABS(5-$J25)*1000+120)+'計算A'!DG$5*50+IF(AND($E25=1,MT25=0),25,0),INDEX('計算A'!DG$110:DG$114,$F25+1)+IF(AND($E25=1,MT25=0),1000,0)+IF($H25=1,(IF('計算A'!DF$117=1,INDEX('計算A'!DF$10:DF$54,$B25),0)+IF('計算A'!DG$117=1,INDEX('計算A'!DH$10:DH$54,$B25),0))*500,0)-IF(AND('計算A'!DF$117=1,YD25&gt;0),300,0)-IF(AND($L25=1,'計算A'!DG$117=1,HF25=0),300,0))),1000000))</f>
        <v/>
      </c>
      <c r="SJ25">
        <f>IF($B25=0,1000000,IF(INDEX('計算A'!$D$60:$EQ$104,$B25,109)*HF25=1,IF(AND($E25=2,MU25=0),1000000,IF($I25&gt;0,IF(5=$J25,IF(OR(AND(109=$I25+1,OR($K25&lt;&gt;'計算A'!$A$3,'計算A'!$A$4=0)),AND(109=$I25-1,OR(13&lt;&gt;'計算A'!$A$3,'計算A'!$A$4=0))),0,IF(13=$K25,200000,ABS(13-$K25)*100)),100000+ABS(5-$J25)*1000+130)+'計算A'!DH$5*50+IF(AND($E25=1,MU25=0),25,0),INDEX('計算A'!DH$110:DH$114,$F25+1)+IF(AND($E25=1,MU25=0),1000,0)+IF($H25=1,(IF('計算A'!DG$117=1,INDEX('計算A'!DG$10:DG$54,$B25),0)+IF('計算A'!DH$117=1,INDEX('計算A'!DI$10:DI$54,$B25),0))*500,0)-IF(AND('計算A'!DG$117=1,YE25&gt;0),300,0)-IF(AND($L25=1,'計算A'!DH$117=1,HG25=0),300,0))),1000000))</f>
        <v/>
      </c>
      <c r="SK25">
        <f>IF($B25=0,1000000,IF(INDEX('計算A'!$D$60:$EQ$104,$B25,110)*HG25=1,IF(AND($E25=2,MV25=0),1000000,IF($I25&gt;0,IF(5=$J25,IF(OR(AND(110=$I25+1,OR($K25&lt;&gt;'計算A'!$A$3,'計算A'!$A$4=0)),AND(110=$I25-1,OR(14&lt;&gt;'計算A'!$A$3,'計算A'!$A$4=0))),0,IF(14=$K25,200000,ABS(14-$K25)*100)),100000+ABS(5-$J25)*1000+140)+'計算A'!DI$5*50+IF(AND($E25=1,MV25=0),25,0),INDEX('計算A'!DI$110:DI$114,$F25+1)+IF(AND($E25=1,MV25=0),1000,0)+IF($H25=1,(IF('計算A'!DH$117=1,INDEX('計算A'!DH$10:DH$54,$B25),0)+IF('計算A'!DI$117=1,INDEX('計算A'!DJ$10:DJ$54,$B25),0))*500,0)-IF(AND('計算A'!DH$117=1,YF25&gt;0),300,0)-IF(AND($L25=1,'計算A'!DI$117=1,HH25=0),300,0))),1000000))</f>
        <v/>
      </c>
      <c r="SL25">
        <f>IF($B25=0,1000000,IF(INDEX('計算A'!$D$60:$EQ$104,$B25,111)*HH25=1,IF(AND($E25=2,MW25=0),1000000,IF($I25&gt;0,IF(5=$J25,IF(OR(AND(111=$I25+1,OR($K25&lt;&gt;'計算A'!$A$3,'計算A'!$A$4=0)),AND(111=$I25-1,OR(15&lt;&gt;'計算A'!$A$3,'計算A'!$A$4=0))),0,IF(15=$K25,200000,ABS(15-$K25)*100)),100000+ABS(5-$J25)*1000+150)+'計算A'!DJ$5*50+IF(AND($E25=1,MW25=0),25,0),INDEX('計算A'!DJ$110:DJ$114,$F25+1)+IF(AND($E25=1,MW25=0),1000,0)+IF($H25=1,(IF('計算A'!DI$117=1,INDEX('計算A'!DI$10:DI$54,$B25),0)+IF('計算A'!DJ$117=1,INDEX('計算A'!DK$10:DK$54,$B25),0))*500,0)-IF(AND('計算A'!DI$117=1,YG25&gt;0),300,0)-IF(AND($L25=1,'計算A'!DJ$117=1,HI25=0),300,0))),1000000))</f>
        <v/>
      </c>
      <c r="SM25">
        <f>IF($B25=0,1000000,IF(INDEX('計算A'!$D$60:$EQ$104,$B25,112)*HI25=1,IF(AND($E25=2,MX25=0),1000000,IF($I25&gt;0,IF(5=$J25,IF(OR(AND(112=$I25+1,OR($K25&lt;&gt;'計算A'!$A$3,'計算A'!$A$4=0)),AND(112=$I25-1,OR(16&lt;&gt;'計算A'!$A$3,'計算A'!$A$4=0))),0,IF(16=$K25,200000,ABS(16-$K25)*100)),100000+ABS(5-$J25)*1000+160)+'計算A'!DK$5*50+IF(AND($E25=1,MX25=0),25,0),INDEX('計算A'!DK$110:DK$114,$F25+1)+IF(AND($E25=1,MX25=0),1000,0)+IF($H25=1,(IF('計算A'!DJ$117=1,INDEX('計算A'!DJ$10:DJ$54,$B25),0)+IF('計算A'!DK$117=1,INDEX('計算A'!DL$10:DL$54,$B25),0))*500,0)-IF(AND('計算A'!DJ$117=1,YH25&gt;0),300,0)-IF(AND($L25=1,'計算A'!DK$117=1,HJ25=0),300,0))),1000000))</f>
        <v/>
      </c>
      <c r="SN25">
        <f>IF($B25=0,1000000,IF(INDEX('計算A'!$D$60:$EQ$104,$B25,113)*HJ25=1,IF(AND($E25=2,MY25=0),1000000,IF($I25&gt;0,IF(5=$J25,IF(OR(AND(113=$I25+1,OR($K25&lt;&gt;'計算A'!$A$3,'計算A'!$A$4=0)),AND(113=$I25-1,OR(17&lt;&gt;'計算A'!$A$3,'計算A'!$A$4=0))),0,IF(17=$K25,200000,ABS(17-$K25)*100)),100000+ABS(5-$J25)*1000+170)+'計算A'!DL$5*50+IF(AND($E25=1,MY25=0),25,0),INDEX('計算A'!DL$110:DL$114,$F25+1)+IF(AND($E25=1,MY25=0),1000,0)+IF($H25=1,(IF('計算A'!DK$117=1,INDEX('計算A'!DK$10:DK$54,$B25),0)+IF('計算A'!DL$117=1,INDEX('計算A'!DM$10:DM$54,$B25),0))*500,0)-IF(AND('計算A'!DK$117=1,YI25&gt;0),300,0)-IF(AND($L25=1,'計算A'!DL$117=1,HK25=0),300,0))),1000000))</f>
        <v/>
      </c>
      <c r="SO25">
        <f>IF($B25=0,1000000,IF(INDEX('計算A'!$D$60:$EQ$104,$B25,114)*HK25=1,IF(AND($E25=2,MZ25=0),1000000,IF($I25&gt;0,IF(5=$J25,IF(OR(AND(114=$I25+1,OR($K25&lt;&gt;'計算A'!$A$3,'計算A'!$A$4=0)),AND(114=$I25-1,OR(18&lt;&gt;'計算A'!$A$3,'計算A'!$A$4=0))),0,IF(18=$K25,200000,ABS(18-$K25)*100)),100000+ABS(5-$J25)*1000+180)+'計算A'!DM$5*50+IF(AND($E25=1,MZ25=0),25,0),INDEX('計算A'!DM$110:DM$114,$F25+1)+IF(AND($E25=1,MZ25=0),1000,0)+IF($H25=1,(IF('計算A'!DL$117=1,INDEX('計算A'!DL$10:DL$54,$B25),0)+IF('計算A'!DM$117=1,INDEX('計算A'!DN$10:DN$54,$B25),0))*500,0)-IF(AND('計算A'!DL$117=1,YJ25&gt;0),300,0)-IF(AND($L25=1,'計算A'!DM$117=1,HL25=0),300,0))),1000000))</f>
        <v/>
      </c>
      <c r="SP25">
        <f>IF($B25=0,1000000,IF(INDEX('計算A'!$D$60:$EQ$104,$B25,115)*HL25=1,IF(AND($E25=2,NA25=0),1000000,IF($I25&gt;0,IF(5=$J25,IF(OR(AND(115=$I25+1,OR($K25&lt;&gt;'計算A'!$A$3,'計算A'!$A$4=0)),AND(115=$I25-1,OR(19&lt;&gt;'計算A'!$A$3,'計算A'!$A$4=0))),0,IF(19=$K25,200000,ABS(19-$K25)*100)),100000+ABS(5-$J25)*1000+190)+'計算A'!DN$5*50+IF(AND($E25=1,NA25=0),25,0),INDEX('計算A'!DN$110:DN$114,$F25+1)+IF(AND($E25=1,NA25=0),1000,0)+IF($H25=1,(IF('計算A'!DM$117=1,INDEX('計算A'!DM$10:DM$54,$B25),0)+IF('計算A'!DN$117=1,INDEX('計算A'!DO$10:DO$54,$B25),0))*500,0)-IF(AND('計算A'!DM$117=1,YK25&gt;0),300,0)-IF(AND($L25=1,'計算A'!DN$117=1,HM25=0),300,0))),1000000))</f>
        <v/>
      </c>
      <c r="SQ25">
        <f>IF($B25=0,1000000,IF(INDEX('計算A'!$D$60:$EQ$104,$B25,116)*HM25=1,IF(AND($E25=2,NB25=0),1000000,IF($I25&gt;0,IF(5=$J25,IF(OR(AND(116=$I25+1,OR($K25&lt;&gt;'計算A'!$A$3,'計算A'!$A$4=0)),AND(116=$I25-1,OR(20&lt;&gt;'計算A'!$A$3,'計算A'!$A$4=0))),0,IF(20=$K25,200000,ABS(20-$K25)*100)),100000+ABS(5-$J25)*1000+200)+'計算A'!DO$5*50+IF(AND($E25=1,NB25=0),25,0),INDEX('計算A'!DO$110:DO$114,$F25+1)+IF(AND($E25=1,NB25=0),1000,0)+IF($H25=1,(IF('計算A'!DN$117=1,INDEX('計算A'!DN$10:DN$54,$B25),0)+IF('計算A'!DO$117=1,INDEX('計算A'!DP$10:DP$54,$B25),0))*500,0)-IF(AND('計算A'!DN$117=1,YL25&gt;0),300,0)-IF(AND($L25=1,'計算A'!DO$117=1,HN25=0),300,0))),1000000))</f>
        <v/>
      </c>
      <c r="SR25">
        <f>IF($B25=0,1000000,IF(INDEX('計算A'!$D$60:$EQ$104,$B25,117)*HN25=1,IF(AND($E25=2,NC25=0),1000000,IF($I25&gt;0,IF(5=$J25,IF(OR(AND(117=$I25+1,OR($K25&lt;&gt;'計算A'!$A$3,'計算A'!$A$4=0)),AND(117=$I25-1,OR(21&lt;&gt;'計算A'!$A$3,'計算A'!$A$4=0))),0,IF(21=$K25,200000,ABS(21-$K25)*100)),100000+ABS(5-$J25)*1000+210)+'計算A'!DP$5*50+IF(AND($E25=1,NC25=0),25,0),INDEX('計算A'!DP$110:DP$114,$F25+1)+IF(AND($E25=1,NC25=0),1000,0)+IF($H25=1,(IF('計算A'!DO$117=1,INDEX('計算A'!DO$10:DO$54,$B25),0)+IF('計算A'!DP$117=1,INDEX('計算A'!DQ$10:DQ$54,$B25),0))*500,0)-IF(AND('計算A'!DO$117=1,YM25&gt;0),300,0)-IF(AND($L25=1,'計算A'!DP$117=1,HO25=0),300,0))),1000000))</f>
        <v/>
      </c>
      <c r="SS25">
        <f>IF($B25=0,1000000,IF(INDEX('計算A'!$D$60:$EQ$104,$B25,118)*HO25=1,IF(AND($E25=2,ND25=0),1000000,IF($I25&gt;0,IF(5=$J25,IF(OR(AND(118=$I25+1,OR($K25&lt;&gt;'計算A'!$A$3,'計算A'!$A$4=0)),AND(118=$I25-1,OR(22&lt;&gt;'計算A'!$A$3,'計算A'!$A$4=0))),0,IF(22=$K25,200000,ABS(22-$K25)*100)),100000+ABS(5-$J25)*1000+220)+'計算A'!DQ$5*50+IF(AND($E25=1,ND25=0),25,0),INDEX('計算A'!DQ$110:DQ$114,$F25+1)+IF(AND($E25=1,ND25=0),1000,0)+IF($H25=1,(IF('計算A'!DP$117=1,INDEX('計算A'!DP$10:DP$54,$B25),0)+IF('計算A'!DQ$117=1,INDEX('計算A'!DR$10:DR$54,$B25),0))*500,0)-IF(AND('計算A'!DP$117=1,YN25&gt;0),300,0)-IF(AND($L25=1,'計算A'!DQ$117=1,HP25=0),300,0))),1000000))</f>
        <v/>
      </c>
      <c r="ST25">
        <f>IF($B25=0,1000000,IF(INDEX('計算A'!$D$60:$EQ$104,$B25,119)*HP25=1,IF(AND($E25=2,NE25=0),1000000,IF($I25&gt;0,IF(5=$J25,IF(OR(AND(119=$I25+1,OR($K25&lt;&gt;'計算A'!$A$3,'計算A'!$A$4=0)),AND(119=$I25-1,OR(23&lt;&gt;'計算A'!$A$3,'計算A'!$A$4=0))),0,IF(23=$K25,200000,ABS(23-$K25)*100)),100000+ABS(5-$J25)*1000+230)+'計算A'!DR$5*50+IF(AND($E25=1,NE25=0),25,0),INDEX('計算A'!DR$110:DR$114,$F25+1)+IF(AND($E25=1,NE25=0),1000,0)+IF($H25=1,(IF('計算A'!DQ$117=1,INDEX('計算A'!DQ$10:DQ$54,$B25),0)+IF('計算A'!DR$117=1,INDEX('計算A'!DS$10:DS$54,$B25),0))*500,0)-IF(AND('計算A'!DQ$117=1,YO25&gt;0),300,0)-IF(AND($L25=1,'計算A'!DR$117=1,HQ25=0),300,0))),1000000))</f>
        <v/>
      </c>
      <c r="SU25">
        <f>IF($B25=0,1000000,IF(INDEX('計算A'!$D$60:$EQ$104,$B25,120)*HQ25=1,IF(AND($E25=2,NF25=0),1000000,IF($I25&gt;0,IF(5=$J25,IF(OR(AND(120=$I25+1,OR($K25&lt;&gt;'計算A'!$A$3,'計算A'!$A$4=0)),AND(120=$I25-1,OR(24&lt;&gt;'計算A'!$A$3,'計算A'!$A$4=0))),0,IF(24=$K25,200000,ABS(24-$K25)*100)),100000+ABS(5-$J25)*1000+240)+'計算A'!DS$5*50+IF(AND($E25=1,NF25=0),25,0),INDEX('計算A'!DS$110:DS$114,$F25+1)+IF(AND($E25=1,NF25=0),1000,0)+IF($H25=1,(IF('計算A'!DR$117=1,INDEX('計算A'!DR$10:DR$54,$B25),0))*500,0)-IF(AND('計算A'!DR$117=1,YP25&gt;0),300,0))),1000000))</f>
        <v/>
      </c>
      <c r="SV25">
        <f>IF($B25=0,1000000,IF(INDEX('計算A'!$D$60:$EQ$104,$B25,121)*HR25=1,IF(AND($E25=2,NG25=0),1000000,IF($I25&gt;0,IF(6=$J25,IF(OR(AND(121=$I25+1,OR($K25&lt;&gt;'計算A'!$A$3,'計算A'!$A$4=0)),AND(121=$I25-1,OR(1&lt;&gt;'計算A'!$A$3,'計算A'!$A$4=0))),0,IF(1=$K25,200000,ABS(1-$K25)*100)),100000+ABS(6-$J25)*1000+10)+'計算A'!DT$5*50+IF(AND($E25=1,NG25=0),25,0),INDEX('計算A'!DT$110:DT$114,$F25+1)+IF(AND($E25=1,NG25=0),1000,0)+IF($H25=1,(IF('計算A'!DT$117=1,INDEX('計算A'!DU$10:DU$54,$B25),0))*500,0)-IF(AND($L25=1,'計算A'!DT$117=1,HS25=0),300,0))),1000000))</f>
        <v/>
      </c>
      <c r="SW25">
        <f>IF($B25=0,1000000,IF(INDEX('計算A'!$D$60:$EQ$104,$B25,122)*HS25=1,IF(AND($E25=2,NH25=0),1000000,IF($I25&gt;0,IF(6=$J25,IF(OR(AND(122=$I25+1,OR($K25&lt;&gt;'計算A'!$A$3,'計算A'!$A$4=0)),AND(122=$I25-1,OR(2&lt;&gt;'計算A'!$A$3,'計算A'!$A$4=0))),0,IF(2=$K25,200000,ABS(2-$K25)*100)),100000+ABS(6-$J25)*1000+20)+'計算A'!DU$5*50+IF(AND($E25=1,NH25=0),25,0),INDEX('計算A'!DU$110:DU$114,$F25+1)+IF(AND($E25=1,NH25=0),1000,0)+IF($H25=1,(IF('計算A'!DT$117=1,INDEX('計算A'!DT$10:DT$54,$B25),0)+IF('計算A'!DU$117=1,INDEX('計算A'!DV$10:DV$54,$B25),0))*500,0)-IF(AND('計算A'!DT$117=1,YR25&gt;0),300,0)-IF(AND($L25=1,'計算A'!DU$117=1,HT25=0),300,0))),1000000))</f>
        <v/>
      </c>
      <c r="SX25">
        <f>IF($B25=0,1000000,IF(INDEX('計算A'!$D$60:$EQ$104,$B25,123)*HT25=1,IF(AND($E25=2,NI25=0),1000000,IF($I25&gt;0,IF(6=$J25,IF(OR(AND(123=$I25+1,OR($K25&lt;&gt;'計算A'!$A$3,'計算A'!$A$4=0)),AND(123=$I25-1,OR(3&lt;&gt;'計算A'!$A$3,'計算A'!$A$4=0))),0,IF(3=$K25,200000,ABS(3-$K25)*100)),100000+ABS(6-$J25)*1000+30)+'計算A'!DV$5*50+IF(AND($E25=1,NI25=0),25,0),INDEX('計算A'!DV$110:DV$114,$F25+1)+IF(AND($E25=1,NI25=0),1000,0)+IF($H25=1,(IF('計算A'!DU$117=1,INDEX('計算A'!DU$10:DU$54,$B25),0)+IF('計算A'!DV$117=1,INDEX('計算A'!DW$10:DW$54,$B25),0))*500,0)-IF(AND('計算A'!DU$117=1,YS25&gt;0),300,0)-IF(AND($L25=1,'計算A'!DV$117=1,HU25=0),300,0))),1000000))</f>
        <v/>
      </c>
      <c r="SY25">
        <f>IF($B25=0,1000000,IF(INDEX('計算A'!$D$60:$EQ$104,$B25,124)*HU25=1,IF(AND($E25=2,NJ25=0),1000000,IF($I25&gt;0,IF(6=$J25,IF(OR(AND(124=$I25+1,OR($K25&lt;&gt;'計算A'!$A$3,'計算A'!$A$4=0)),AND(124=$I25-1,OR(4&lt;&gt;'計算A'!$A$3,'計算A'!$A$4=0))),0,IF(4=$K25,200000,ABS(4-$K25)*100)),100000+ABS(6-$J25)*1000+40)+'計算A'!DW$5*50+IF(AND($E25=1,NJ25=0),25,0),INDEX('計算A'!DW$110:DW$114,$F25+1)+IF(AND($E25=1,NJ25=0),1000,0)+IF($H25=1,(IF('計算A'!DV$117=1,INDEX('計算A'!DV$10:DV$54,$B25),0)+IF('計算A'!DW$117=1,INDEX('計算A'!DX$10:DX$54,$B25),0))*500,0)-IF(AND('計算A'!DV$117=1,YT25&gt;0),300,0)-IF(AND($L25=1,'計算A'!DW$117=1,HV25=0),300,0))),1000000))</f>
        <v/>
      </c>
      <c r="SZ25">
        <f>IF($B25=0,1000000,IF(INDEX('計算A'!$D$60:$EQ$104,$B25,125)*HV25=1,IF(AND($E25=2,NK25=0),1000000,IF($I25&gt;0,IF(6=$J25,IF(OR(AND(125=$I25+1,OR($K25&lt;&gt;'計算A'!$A$3,'計算A'!$A$4=0)),AND(125=$I25-1,OR(5&lt;&gt;'計算A'!$A$3,'計算A'!$A$4=0))),0,IF(5=$K25,200000,ABS(5-$K25)*100)),100000+ABS(6-$J25)*1000+50)+'計算A'!DX$5*50+IF(AND($E25=1,NK25=0),25,0),INDEX('計算A'!DX$110:DX$114,$F25+1)+IF(AND($E25=1,NK25=0),1000,0)+IF($H25=1,(IF('計算A'!DW$117=1,INDEX('計算A'!DW$10:DW$54,$B25),0)+IF('計算A'!DX$117=1,INDEX('計算A'!DY$10:DY$54,$B25),0))*500,0)-IF(AND('計算A'!DW$117=1,YU25&gt;0),300,0)-IF(AND($L25=1,'計算A'!DX$117=1,HW25=0),300,0))),1000000))</f>
        <v/>
      </c>
      <c r="TA25">
        <f>IF($B25=0,1000000,IF(INDEX('計算A'!$D$60:$EQ$104,$B25,126)*HW25=1,IF(AND($E25=2,NL25=0),1000000,IF($I25&gt;0,IF(6=$J25,IF(OR(AND(126=$I25+1,OR($K25&lt;&gt;'計算A'!$A$3,'計算A'!$A$4=0)),AND(126=$I25-1,OR(6&lt;&gt;'計算A'!$A$3,'計算A'!$A$4=0))),0,IF(6=$K25,200000,ABS(6-$K25)*100)),100000+ABS(6-$J25)*1000+60)+'計算A'!DY$5*50+IF(AND($E25=1,NL25=0),25,0),INDEX('計算A'!DY$110:DY$114,$F25+1)+IF(AND($E25=1,NL25=0),1000,0)+IF($H25=1,(IF('計算A'!DX$117=1,INDEX('計算A'!DX$10:DX$54,$B25),0)+IF('計算A'!DY$117=1,INDEX('計算A'!DZ$10:DZ$54,$B25),0))*500,0)-IF(AND('計算A'!DX$117=1,YV25&gt;0),300,0)-IF(AND($L25=1,'計算A'!DY$117=1,HX25=0),300,0))),1000000))</f>
        <v/>
      </c>
      <c r="TB25">
        <f>IF($B25=0,1000000,IF(INDEX('計算A'!$D$60:$EQ$104,$B25,127)*HX25=1,IF(AND($E25=2,NM25=0),1000000,IF($I25&gt;0,IF(6=$J25,IF(OR(AND(127=$I25+1,OR($K25&lt;&gt;'計算A'!$A$3,'計算A'!$A$4=0)),AND(127=$I25-1,OR(7&lt;&gt;'計算A'!$A$3,'計算A'!$A$4=0))),0,IF(7=$K25,200000,ABS(7-$K25)*100)),100000+ABS(6-$J25)*1000+70)+'計算A'!DZ$5*50+IF(AND($E25=1,NM25=0),25,0),INDEX('計算A'!DZ$110:DZ$114,$F25+1)+IF(AND($E25=1,NM25=0),1000,0)+IF($H25=1,(IF('計算A'!DY$117=1,INDEX('計算A'!DY$10:DY$54,$B25),0)+IF('計算A'!DZ$117=1,INDEX('計算A'!EA$10:EA$54,$B25),0))*500,0)-IF(AND('計算A'!DY$117=1,YW25&gt;0),300,0)-IF(AND($L25=1,'計算A'!DZ$117=1,HY25=0),300,0))),1000000))</f>
        <v/>
      </c>
      <c r="TC25">
        <f>IF($B25=0,1000000,IF(INDEX('計算A'!$D$60:$EQ$104,$B25,128)*HY25=1,IF(AND($E25=2,NN25=0),1000000,IF($I25&gt;0,IF(6=$J25,IF(OR(AND(128=$I25+1,OR($K25&lt;&gt;'計算A'!$A$3,'計算A'!$A$4=0)),AND(128=$I25-1,OR(8&lt;&gt;'計算A'!$A$3,'計算A'!$A$4=0))),0,IF(8=$K25,200000,ABS(8-$K25)*100)),100000+ABS(6-$J25)*1000+80)+'計算A'!EA$5*50+IF(AND($E25=1,NN25=0),25,0),INDEX('計算A'!EA$110:EA$114,$F25+1)+IF(AND($E25=1,NN25=0),1000,0)+IF($H25=1,(IF('計算A'!DZ$117=1,INDEX('計算A'!DZ$10:DZ$54,$B25),0)+IF('計算A'!EA$117=1,INDEX('計算A'!EB$10:EB$54,$B25),0))*500,0)-IF(AND('計算A'!DZ$117=1,YX25&gt;0),300,0)-IF(AND($L25=1,'計算A'!EA$117=1,HZ25=0),300,0))),1000000))</f>
        <v/>
      </c>
      <c r="TD25">
        <f>IF($B25=0,1000000,IF(INDEX('計算A'!$D$60:$EQ$104,$B25,129)*HZ25=1,IF(AND($E25=2,NO25=0),1000000,IF($I25&gt;0,IF(6=$J25,IF(OR(AND(129=$I25+1,OR($K25&lt;&gt;'計算A'!$A$3,'計算A'!$A$4=0)),AND(129=$I25-1,OR(9&lt;&gt;'計算A'!$A$3,'計算A'!$A$4=0))),0,IF(9=$K25,200000,ABS(9-$K25)*100)),100000+ABS(6-$J25)*1000+90)+'計算A'!EB$5*50+IF(AND($E25=1,NO25=0),25,0),INDEX('計算A'!EB$110:EB$114,$F25+1)+IF(AND($E25=1,NO25=0),1000,0)+IF($H25=1,(IF('計算A'!EA$117=1,INDEX('計算A'!EA$10:EA$54,$B25),0)+IF('計算A'!EB$117=1,INDEX('計算A'!EC$10:EC$54,$B25),0))*500,0)-IF(AND('計算A'!EA$117=1,YY25&gt;0),300,0)-IF(AND($L25=1,'計算A'!EB$117=1,IA25=0),300,0))),1000000))</f>
        <v/>
      </c>
      <c r="TE25">
        <f>IF($B25=0,1000000,IF(INDEX('計算A'!$D$60:$EQ$104,$B25,130)*IA25=1,IF(AND($E25=2,NP25=0),1000000,IF($I25&gt;0,IF(6=$J25,IF(OR(AND(130=$I25+1,OR($K25&lt;&gt;'計算A'!$A$3,'計算A'!$A$4=0)),AND(130=$I25-1,OR(10&lt;&gt;'計算A'!$A$3,'計算A'!$A$4=0))),0,IF(10=$K25,200000,ABS(10-$K25)*100)),100000+ABS(6-$J25)*1000+100)+'計算A'!EC$5*50+IF(AND($E25=1,NP25=0),25,0),INDEX('計算A'!EC$110:EC$114,$F25+1)+IF(AND($E25=1,NP25=0),1000,0)+IF($H25=1,(IF('計算A'!EB$117=1,INDEX('計算A'!EB$10:EB$54,$B25),0)+IF('計算A'!EC$117=1,INDEX('計算A'!ED$10:ED$54,$B25),0))*500,0)-IF(AND('計算A'!EB$117=1,YZ25&gt;0),300,0)-IF(AND($L25=1,'計算A'!EC$117=1,IB25=0),300,0))),1000000))</f>
        <v/>
      </c>
      <c r="TF25">
        <f>IF($B25=0,1000000,IF(INDEX('計算A'!$D$60:$EQ$104,$B25,131)*IB25=1,IF(AND($E25=2,NQ25=0),1000000,IF($I25&gt;0,IF(6=$J25,IF(OR(AND(131=$I25+1,OR($K25&lt;&gt;'計算A'!$A$3,'計算A'!$A$4=0)),AND(131=$I25-1,OR(11&lt;&gt;'計算A'!$A$3,'計算A'!$A$4=0))),0,IF(11=$K25,200000,ABS(11-$K25)*100)),100000+ABS(6-$J25)*1000+110)+'計算A'!ED$5*50+IF(AND($E25=1,NQ25=0),25,0),INDEX('計算A'!ED$110:ED$114,$F25+1)+IF(AND($E25=1,NQ25=0),1000,0)+IF($H25=1,(IF('計算A'!EC$117=1,INDEX('計算A'!EC$10:EC$54,$B25),0)+IF('計算A'!ED$117=1,INDEX('計算A'!EE$10:EE$54,$B25),0))*500,0)-IF(AND('計算A'!EC$117=1,ZA25&gt;0),300,0)-IF(AND($L25=1,'計算A'!ED$117=1,IC25=0),300,0))),1000000))</f>
        <v/>
      </c>
      <c r="TG25">
        <f>IF($B25=0,1000000,IF(INDEX('計算A'!$D$60:$EQ$104,$B25,132)*IC25=1,IF(AND($E25=2,NR25=0),1000000,IF($I25&gt;0,IF(6=$J25,IF(OR(AND(132=$I25+1,OR($K25&lt;&gt;'計算A'!$A$3,'計算A'!$A$4=0)),AND(132=$I25-1,OR(12&lt;&gt;'計算A'!$A$3,'計算A'!$A$4=0))),0,IF(12=$K25,200000,ABS(12-$K25)*100)),100000+ABS(6-$J25)*1000+120)+'計算A'!EE$5*50+IF(AND($E25=1,NR25=0),25,0),INDEX('計算A'!EE$110:EE$114,$F25+1)+IF(AND($E25=1,NR25=0),1000,0)+IF($H25=1,(IF('計算A'!ED$117=1,INDEX('計算A'!ED$10:ED$54,$B25),0)+IF('計算A'!EE$117=1,INDEX('計算A'!EF$10:EF$54,$B25),0))*500,0)-IF(AND('計算A'!ED$117=1,ZB25&gt;0),300,0)-IF(AND($L25=1,'計算A'!EE$117=1,ID25=0),300,0))),1000000))</f>
        <v/>
      </c>
      <c r="TH25">
        <f>IF($B25=0,1000000,IF(INDEX('計算A'!$D$60:$EQ$104,$B25,133)*ID25=1,IF(AND($E25=2,NS25=0),1000000,IF($I25&gt;0,IF(6=$J25,IF(OR(AND(133=$I25+1,OR($K25&lt;&gt;'計算A'!$A$3,'計算A'!$A$4=0)),AND(133=$I25-1,OR(13&lt;&gt;'計算A'!$A$3,'計算A'!$A$4=0))),0,IF(13=$K25,200000,ABS(13-$K25)*100)),100000+ABS(6-$J25)*1000+130)+'計算A'!EF$5*50+IF(AND($E25=1,NS25=0),25,0),INDEX('計算A'!EF$110:EF$114,$F25+1)+IF(AND($E25=1,NS25=0),1000,0)+IF($H25=1,(IF('計算A'!EE$117=1,INDEX('計算A'!EE$10:EE$54,$B25),0)+IF('計算A'!EF$117=1,INDEX('計算A'!EG$10:EG$54,$B25),0))*500,0)-IF(AND('計算A'!EE$117=1,ZC25&gt;0),300,0)-IF(AND($L25=1,'計算A'!EF$117=1,IE25=0),300,0))),1000000))</f>
        <v/>
      </c>
      <c r="TI25">
        <f>IF($B25=0,1000000,IF(INDEX('計算A'!$D$60:$EQ$104,$B25,134)*IE25=1,IF(AND($E25=2,NT25=0),1000000,IF($I25&gt;0,IF(6=$J25,IF(OR(AND(134=$I25+1,OR($K25&lt;&gt;'計算A'!$A$3,'計算A'!$A$4=0)),AND(134=$I25-1,OR(14&lt;&gt;'計算A'!$A$3,'計算A'!$A$4=0))),0,IF(14=$K25,200000,ABS(14-$K25)*100)),100000+ABS(6-$J25)*1000+140)+'計算A'!EG$5*50+IF(AND($E25=1,NT25=0),25,0),INDEX('計算A'!EG$110:EG$114,$F25+1)+IF(AND($E25=1,NT25=0),1000,0)+IF($H25=1,(IF('計算A'!EF$117=1,INDEX('計算A'!EF$10:EF$54,$B25),0)+IF('計算A'!EG$117=1,INDEX('計算A'!EH$10:EH$54,$B25),0))*500,0)-IF(AND('計算A'!EF$117=1,ZD25&gt;0),300,0)-IF(AND($L25=1,'計算A'!EG$117=1,IF25=0),300,0))),1000000))</f>
        <v/>
      </c>
      <c r="TJ25">
        <f>IF($B25=0,1000000,IF(INDEX('計算A'!$D$60:$EQ$104,$B25,135)*IF25=1,IF(AND($E25=2,NU25=0),1000000,IF($I25&gt;0,IF(6=$J25,IF(OR(AND(135=$I25+1,OR($K25&lt;&gt;'計算A'!$A$3,'計算A'!$A$4=0)),AND(135=$I25-1,OR(15&lt;&gt;'計算A'!$A$3,'計算A'!$A$4=0))),0,IF(15=$K25,200000,ABS(15-$K25)*100)),100000+ABS(6-$J25)*1000+150)+'計算A'!EH$5*50+IF(AND($E25=1,NU25=0),25,0),INDEX('計算A'!EH$110:EH$114,$F25+1)+IF(AND($E25=1,NU25=0),1000,0)+IF($H25=1,(IF('計算A'!EG$117=1,INDEX('計算A'!EG$10:EG$54,$B25),0)+IF('計算A'!EH$117=1,INDEX('計算A'!EI$10:EI$54,$B25),0))*500,0)-IF(AND('計算A'!EG$117=1,ZE25&gt;0),300,0)-IF(AND($L25=1,'計算A'!EH$117=1,IG25=0),300,0))),1000000))</f>
        <v/>
      </c>
      <c r="TK25">
        <f>IF($B25=0,1000000,IF(INDEX('計算A'!$D$60:$EQ$104,$B25,136)*IG25=1,IF(AND($E25=2,NV25=0),1000000,IF($I25&gt;0,IF(6=$J25,IF(OR(AND(136=$I25+1,OR($K25&lt;&gt;'計算A'!$A$3,'計算A'!$A$4=0)),AND(136=$I25-1,OR(16&lt;&gt;'計算A'!$A$3,'計算A'!$A$4=0))),0,IF(16=$K25,200000,ABS(16-$K25)*100)),100000+ABS(6-$J25)*1000+160)+'計算A'!EI$5*50+IF(AND($E25=1,NV25=0),25,0),INDEX('計算A'!EI$110:EI$114,$F25+1)+IF(AND($E25=1,NV25=0),1000,0)+IF($H25=1,(IF('計算A'!EH$117=1,INDEX('計算A'!EH$10:EH$54,$B25),0)+IF('計算A'!EI$117=1,INDEX('計算A'!EJ$10:EJ$54,$B25),0))*500,0)-IF(AND('計算A'!EH$117=1,ZF25&gt;0),300,0)-IF(AND($L25=1,'計算A'!EI$117=1,IH25=0),300,0))),1000000))</f>
        <v/>
      </c>
      <c r="TL25">
        <f>IF($B25=0,1000000,IF(INDEX('計算A'!$D$60:$EQ$104,$B25,137)*IH25=1,IF(AND($E25=2,NW25=0),1000000,IF($I25&gt;0,IF(6=$J25,IF(OR(AND(137=$I25+1,OR($K25&lt;&gt;'計算A'!$A$3,'計算A'!$A$4=0)),AND(137=$I25-1,OR(17&lt;&gt;'計算A'!$A$3,'計算A'!$A$4=0))),0,IF(17=$K25,200000,ABS(17-$K25)*100)),100000+ABS(6-$J25)*1000+170)+'計算A'!EJ$5*50+IF(AND($E25=1,NW25=0),25,0),INDEX('計算A'!EJ$110:EJ$114,$F25+1)+IF(AND($E25=1,NW25=0),1000,0)+IF($H25=1,(IF('計算A'!EI$117=1,INDEX('計算A'!EI$10:EI$54,$B25),0)+IF('計算A'!EJ$117=1,INDEX('計算A'!EK$10:EK$54,$B25),0))*500,0)-IF(AND('計算A'!EI$117=1,ZG25&gt;0),300,0)-IF(AND($L25=1,'計算A'!EJ$117=1,II25=0),300,0))),1000000))</f>
        <v/>
      </c>
      <c r="TM25">
        <f>IF($B25=0,1000000,IF(INDEX('計算A'!$D$60:$EQ$104,$B25,138)*II25=1,IF(AND($E25=2,NX25=0),1000000,IF($I25&gt;0,IF(6=$J25,IF(OR(AND(138=$I25+1,OR($K25&lt;&gt;'計算A'!$A$3,'計算A'!$A$4=0)),AND(138=$I25-1,OR(18&lt;&gt;'計算A'!$A$3,'計算A'!$A$4=0))),0,IF(18=$K25,200000,ABS(18-$K25)*100)),100000+ABS(6-$J25)*1000+180)+'計算A'!EK$5*50+IF(AND($E25=1,NX25=0),25,0),INDEX('計算A'!EK$110:EK$114,$F25+1)+IF(AND($E25=1,NX25=0),1000,0)+IF($H25=1,(IF('計算A'!EJ$117=1,INDEX('計算A'!EJ$10:EJ$54,$B25),0)+IF('計算A'!EK$117=1,INDEX('計算A'!EL$10:EL$54,$B25),0))*500,0)-IF(AND('計算A'!EJ$117=1,ZH25&gt;0),300,0)-IF(AND($L25=1,'計算A'!EK$117=1,IJ25=0),300,0))),1000000))</f>
        <v/>
      </c>
      <c r="TN25">
        <f>IF($B25=0,1000000,IF(INDEX('計算A'!$D$60:$EQ$104,$B25,139)*IJ25=1,IF(AND($E25=2,NY25=0),1000000,IF($I25&gt;0,IF(6=$J25,IF(OR(AND(139=$I25+1,OR($K25&lt;&gt;'計算A'!$A$3,'計算A'!$A$4=0)),AND(139=$I25-1,OR(19&lt;&gt;'計算A'!$A$3,'計算A'!$A$4=0))),0,IF(19=$K25,200000,ABS(19-$K25)*100)),100000+ABS(6-$J25)*1000+190)+'計算A'!EL$5*50+IF(AND($E25=1,NY25=0),25,0),INDEX('計算A'!EL$110:EL$114,$F25+1)+IF(AND($E25=1,NY25=0),1000,0)+IF($H25=1,(IF('計算A'!EK$117=1,INDEX('計算A'!EK$10:EK$54,$B25),0)+IF('計算A'!EL$117=1,INDEX('計算A'!EM$10:EM$54,$B25),0))*500,0)-IF(AND('計算A'!EK$117=1,ZI25&gt;0),300,0)-IF(AND($L25=1,'計算A'!EL$117=1,IK25=0),300,0))),1000000))</f>
        <v/>
      </c>
      <c r="TO25">
        <f>IF($B25=0,1000000,IF(INDEX('計算A'!$D$60:$EQ$104,$B25,140)*IK25=1,IF(AND($E25=2,NZ25=0),1000000,IF($I25&gt;0,IF(6=$J25,IF(OR(AND(140=$I25+1,OR($K25&lt;&gt;'計算A'!$A$3,'計算A'!$A$4=0)),AND(140=$I25-1,OR(20&lt;&gt;'計算A'!$A$3,'計算A'!$A$4=0))),0,IF(20=$K25,200000,ABS(20-$K25)*100)),100000+ABS(6-$J25)*1000+200)+'計算A'!EM$5*50+IF(AND($E25=1,NZ25=0),25,0),INDEX('計算A'!EM$110:EM$114,$F25+1)+IF(AND($E25=1,NZ25=0),1000,0)+IF($H25=1,(IF('計算A'!EL$117=1,INDEX('計算A'!EL$10:EL$54,$B25),0)+IF('計算A'!EM$117=1,INDEX('計算A'!EN$10:EN$54,$B25),0))*500,0)-IF(AND('計算A'!EL$117=1,ZJ25&gt;0),300,0)-IF(AND($L25=1,'計算A'!EM$117=1,IL25=0),300,0))),1000000))</f>
        <v/>
      </c>
      <c r="TP25">
        <f>IF($B25=0,1000000,IF(INDEX('計算A'!$D$60:$EQ$104,$B25,141)*IL25=1,IF(AND($E25=2,OA25=0),1000000,IF($I25&gt;0,IF(6=$J25,IF(OR(AND(141=$I25+1,OR($K25&lt;&gt;'計算A'!$A$3,'計算A'!$A$4=0)),AND(141=$I25-1,OR(21&lt;&gt;'計算A'!$A$3,'計算A'!$A$4=0))),0,IF(21=$K25,200000,ABS(21-$K25)*100)),100000+ABS(6-$J25)*1000+210)+'計算A'!EN$5*50+IF(AND($E25=1,OA25=0),25,0),INDEX('計算A'!EN$110:EN$114,$F25+1)+IF(AND($E25=1,OA25=0),1000,0)+IF($H25=1,(IF('計算A'!EM$117=1,INDEX('計算A'!EM$10:EM$54,$B25),0)+IF('計算A'!EN$117=1,INDEX('計算A'!EO$10:EO$54,$B25),0))*500,0)-IF(AND('計算A'!EM$117=1,ZK25&gt;0),300,0)-IF(AND($L25=1,'計算A'!EN$117=1,IM25=0),300,0))),1000000))</f>
        <v/>
      </c>
      <c r="TQ25">
        <f>IF($B25=0,1000000,IF(INDEX('計算A'!$D$60:$EQ$104,$B25,142)*IM25=1,IF(AND($E25=2,OB25=0),1000000,IF($I25&gt;0,IF(6=$J25,IF(OR(AND(142=$I25+1,OR($K25&lt;&gt;'計算A'!$A$3,'計算A'!$A$4=0)),AND(142=$I25-1,OR(22&lt;&gt;'計算A'!$A$3,'計算A'!$A$4=0))),0,IF(22=$K25,200000,ABS(22-$K25)*100)),100000+ABS(6-$J25)*1000+220)+'計算A'!EO$5*50+IF(AND($E25=1,OB25=0),25,0),INDEX('計算A'!EO$110:EO$114,$F25+1)+IF(AND($E25=1,OB25=0),1000,0)+IF($H25=1,(IF('計算A'!EN$117=1,INDEX('計算A'!EN$10:EN$54,$B25),0)+IF('計算A'!EO$117=1,INDEX('計算A'!EP$10:EP$54,$B25),0))*500,0)-IF(AND('計算A'!EN$117=1,ZL25&gt;0),300,0)-IF(AND($L25=1,'計算A'!EO$117=1,IN25=0),300,0))),1000000))</f>
        <v/>
      </c>
      <c r="TR25">
        <f>IF($B25=0,1000000,IF(INDEX('計算A'!$D$60:$EQ$104,$B25,143)*IN25=1,IF(AND($E25=2,OC25=0),1000000,IF($I25&gt;0,IF(6=$J25,IF(OR(AND(143=$I25+1,OR($K25&lt;&gt;'計算A'!$A$3,'計算A'!$A$4=0)),AND(143=$I25-1,OR(23&lt;&gt;'計算A'!$A$3,'計算A'!$A$4=0))),0,IF(23=$K25,200000,ABS(23-$K25)*100)),100000+ABS(6-$J25)*1000+230)+'計算A'!EP$5*50+IF(AND($E25=1,OC25=0),25,0),INDEX('計算A'!EP$110:EP$114,$F25+1)+IF(AND($E25=1,OC25=0),1000,0)+IF($H25=1,(IF('計算A'!EO$117=1,INDEX('計算A'!EO$10:EO$54,$B25),0)+IF('計算A'!EP$117=1,INDEX('計算A'!EQ$10:EQ$54,$B25),0))*500,0)-IF(AND('計算A'!EO$117=1,ZM25&gt;0),300,0)-IF(AND($L25=1,'計算A'!EP$117=1,IO25=0),300,0))),1000000))</f>
        <v/>
      </c>
      <c r="TS25">
        <f>IF($B25=0,1000000,IF(INDEX('計算A'!$D$60:$EQ$104,$B25,144)*IO25=1,IF(AND($E25=2,OD25=0),1000000,IF($I25&gt;0,IF(6=$J25,IF(OR(AND(144=$I25+1,OR($K25&lt;&gt;'計算A'!$A$3,'計算A'!$A$4=0)),AND(144=$I25-1,OR(24&lt;&gt;'計算A'!$A$3,'計算A'!$A$4=0))),0,IF(24=$K25,200000,ABS(24-$K25)*100)),100000+ABS(6-$J25)*1000+240)+'計算A'!EQ$5*50+IF(AND($E25=1,OD25=0),25,0),INDEX('計算A'!EQ$110:EQ$114,$F25+1)+IF(AND($E25=1,OD25=0),1000,0)+IF($H25=1,(IF('計算A'!EP$117=1,INDEX('計算A'!EP$10:EP$54,$B25),0))*500,0)-IF(AND('計算A'!EP$117=1,ZN25&gt;0),300,0))),1000000))</f>
        <v/>
      </c>
      <c r="UB25">
        <f>UB24+IF(AND($C24=1,$L24=1),1,0)</f>
        <v/>
      </c>
      <c r="UC25">
        <f>UC24+IF(AND($C24=2,$L24=1),1,0)</f>
        <v/>
      </c>
      <c r="UD25">
        <f>UD24+IF(AND($C24=3,$L24=1),1,0)</f>
        <v/>
      </c>
      <c r="UE25">
        <f>UE24+IF(AND($C24=4,$L24=1),1,0)</f>
        <v/>
      </c>
      <c r="UF25">
        <f>UF24+IF(AND($C24=5,$L24=1),1,0)</f>
        <v/>
      </c>
      <c r="UG25">
        <f>UG24+IF(AND($C24=6,$L24=1),1,0)</f>
        <v/>
      </c>
      <c r="UH25">
        <f>UH24+IF(AND($C24=7,$L24=1),1,0)</f>
        <v/>
      </c>
      <c r="UI25">
        <f>UI24+IF(AND($C24=8,$L24=1),1,0)</f>
        <v/>
      </c>
      <c r="UJ25">
        <f>UJ24+IF(AND($C24=9,$L24=1),1,0)</f>
        <v/>
      </c>
      <c r="UK25">
        <f>UK24+IF(AND($C24=10,$L24=1),1,0)</f>
        <v/>
      </c>
      <c r="UL25">
        <f>UL24+IF(AND($C24=11,$L24=1),1,0)</f>
        <v/>
      </c>
      <c r="UM25">
        <f>UM24+IF(AND($C24=12,$L24=1),1,0)</f>
        <v/>
      </c>
      <c r="UN25">
        <f>UN24+IF(AND($C24=13,$L24=1),1,0)</f>
        <v/>
      </c>
      <c r="UO25">
        <f>UO24+IF(AND($C24=14,$L24=1),1,0)</f>
        <v/>
      </c>
      <c r="UP25">
        <f>UP24+IF(AND($C24=15,$L24=1),1,0)</f>
        <v/>
      </c>
      <c r="UQ25">
        <f>UQ24+IF(AND($C24=16,$L24=1),1,0)</f>
        <v/>
      </c>
      <c r="UR25">
        <f>UR24+IF(AND($C24=17,$L24=1),1,0)</f>
        <v/>
      </c>
      <c r="US25">
        <f>US24+IF(AND($C24=18,$L24=1),1,0)</f>
        <v/>
      </c>
      <c r="UT25">
        <f>UT24+IF(AND($C24=19,$L24=1),1,0)</f>
        <v/>
      </c>
      <c r="UU25">
        <f>UU24+IF(AND($C24=20,$L24=1),1,0)</f>
        <v/>
      </c>
      <c r="UV25">
        <f>UV24+IF(AND($C24=21,$L24=1),1,0)</f>
        <v/>
      </c>
      <c r="UW25">
        <f>UW24+IF(AND($C24=22,$L24=1),1,0)</f>
        <v/>
      </c>
      <c r="UX25">
        <f>UX24+IF(AND($C24=23,$L24=1),1,0)</f>
        <v/>
      </c>
      <c r="UY25">
        <f>UY24+IF(AND($C24=24,$L24=1),1,0)</f>
        <v/>
      </c>
      <c r="UZ25">
        <f>UZ24+IF(AND($C24=25,$L24=1),1,0)</f>
        <v/>
      </c>
      <c r="VA25">
        <f>VA24+IF(AND($C24=26,$L24=1),1,0)</f>
        <v/>
      </c>
      <c r="VB25">
        <f>VB24+IF(AND($C24=27,$L24=1),1,0)</f>
        <v/>
      </c>
      <c r="VC25">
        <f>VC24+IF(AND($C24=28,$L24=1),1,0)</f>
        <v/>
      </c>
      <c r="VD25">
        <f>VD24+IF(AND($C24=29,$L24=1),1,0)</f>
        <v/>
      </c>
      <c r="VE25">
        <f>VE24+IF(AND($C24=30,$L24=1),1,0)</f>
        <v/>
      </c>
      <c r="VF25">
        <f>VF24+IF(AND($C24=31,$L24=1),1,0)</f>
        <v/>
      </c>
      <c r="VG25">
        <f>VG24+IF(AND($C24=32,$L24=1),1,0)</f>
        <v/>
      </c>
      <c r="VH25">
        <f>VH24+IF(AND($C24=33,$L24=1),1,0)</f>
        <v/>
      </c>
      <c r="VI25">
        <f>VI24+IF(AND($C24=34,$L24=1),1,0)</f>
        <v/>
      </c>
      <c r="VJ25">
        <f>VJ24+IF(AND($C24=35,$L24=1),1,0)</f>
        <v/>
      </c>
      <c r="VK25">
        <f>VK24+IF(AND($C24=36,$L24=1),1,0)</f>
        <v/>
      </c>
      <c r="VL25">
        <f>VL24+IF(AND($C24=37,$L24=1),1,0)</f>
        <v/>
      </c>
      <c r="VM25">
        <f>VM24+IF(AND($C24=38,$L24=1),1,0)</f>
        <v/>
      </c>
      <c r="VN25">
        <f>VN24+IF(AND($C24=39,$L24=1),1,0)</f>
        <v/>
      </c>
      <c r="VO25">
        <f>VO24+IF(AND($C24=40,$L24=1),1,0)</f>
        <v/>
      </c>
      <c r="VP25">
        <f>VP24+IF(AND($C24=41,$L24=1),1,0)</f>
        <v/>
      </c>
      <c r="VQ25">
        <f>VQ24+IF(AND($C24=42,$L24=1),1,0)</f>
        <v/>
      </c>
      <c r="VR25">
        <f>VR24+IF(AND($C24=43,$L24=1),1,0)</f>
        <v/>
      </c>
      <c r="VS25">
        <f>VS24+IF(AND($C24=44,$L24=1),1,0)</f>
        <v/>
      </c>
      <c r="VT25">
        <f>VT24+IF(AND($C24=45,$L24=1),1,0)</f>
        <v/>
      </c>
      <c r="VU25">
        <f>VU24+IF(AND($C24=46,$L24=1),1,0)</f>
        <v/>
      </c>
      <c r="VV25">
        <f>VV24+IF(AND($C24=47,$L24=1),1,0)</f>
        <v/>
      </c>
      <c r="VW25">
        <f>VW24+IF(AND($C24=48,$L24=1),1,0)</f>
        <v/>
      </c>
      <c r="VX25">
        <f>VX24+IF(AND($C24=49,$L24=1),1,0)</f>
        <v/>
      </c>
      <c r="VY25">
        <f>VY24+IF(AND($C24=50,$L24=1),1,0)</f>
        <v/>
      </c>
      <c r="VZ25">
        <f>VZ24+IF(AND($C24=51,$L24=1),1,0)</f>
        <v/>
      </c>
      <c r="WA25">
        <f>WA24+IF(AND($C24=52,$L24=1),1,0)</f>
        <v/>
      </c>
      <c r="WB25">
        <f>WB24+IF(AND($C24=53,$L24=1),1,0)</f>
        <v/>
      </c>
      <c r="WC25">
        <f>WC24+IF(AND($C24=54,$L24=1),1,0)</f>
        <v/>
      </c>
      <c r="WD25">
        <f>WD24+IF(AND($C24=55,$L24=1),1,0)</f>
        <v/>
      </c>
      <c r="WE25">
        <f>WE24+IF(AND($C24=56,$L24=1),1,0)</f>
        <v/>
      </c>
      <c r="WF25">
        <f>WF24+IF(AND($C24=57,$L24=1),1,0)</f>
        <v/>
      </c>
      <c r="WG25">
        <f>WG24+IF(AND($C24=58,$L24=1),1,0)</f>
        <v/>
      </c>
      <c r="WH25">
        <f>WH24+IF(AND($C24=59,$L24=1),1,0)</f>
        <v/>
      </c>
      <c r="WI25">
        <f>WI24+IF(AND($C24=60,$L24=1),1,0)</f>
        <v/>
      </c>
      <c r="WJ25">
        <f>WJ24+IF(AND($C24=61,$L24=1),1,0)</f>
        <v/>
      </c>
      <c r="WK25">
        <f>WK24+IF(AND($C24=62,$L24=1),1,0)</f>
        <v/>
      </c>
      <c r="WL25">
        <f>WL24+IF(AND($C24=63,$L24=1),1,0)</f>
        <v/>
      </c>
      <c r="WM25">
        <f>WM24+IF(AND($C24=64,$L24=1),1,0)</f>
        <v/>
      </c>
      <c r="WN25">
        <f>WN24+IF(AND($C24=65,$L24=1),1,0)</f>
        <v/>
      </c>
      <c r="WO25">
        <f>WO24+IF(AND($C24=66,$L24=1),1,0)</f>
        <v/>
      </c>
      <c r="WP25">
        <f>WP24+IF(AND($C24=67,$L24=1),1,0)</f>
        <v/>
      </c>
      <c r="WQ25">
        <f>WQ24+IF(AND($C24=68,$L24=1),1,0)</f>
        <v/>
      </c>
      <c r="WR25">
        <f>WR24+IF(AND($C24=69,$L24=1),1,0)</f>
        <v/>
      </c>
      <c r="WS25">
        <f>WS24+IF(AND($C24=70,$L24=1),1,0)</f>
        <v/>
      </c>
      <c r="WT25">
        <f>WT24+IF(AND($C24=71,$L24=1),1,0)</f>
        <v/>
      </c>
      <c r="WU25">
        <f>WU24+IF(AND($C24=72,$L24=1),1,0)</f>
        <v/>
      </c>
      <c r="WV25">
        <f>WV24+IF(AND($C24=73,$L24=1),1,0)</f>
        <v/>
      </c>
      <c r="WW25">
        <f>WW24+IF(AND($C24=74,$L24=1),1,0)</f>
        <v/>
      </c>
      <c r="WX25">
        <f>WX24+IF(AND($C24=75,$L24=1),1,0)</f>
        <v/>
      </c>
      <c r="WY25">
        <f>WY24+IF(AND($C24=76,$L24=1),1,0)</f>
        <v/>
      </c>
      <c r="WZ25">
        <f>WZ24+IF(AND($C24=77,$L24=1),1,0)</f>
        <v/>
      </c>
      <c r="XA25">
        <f>XA24+IF(AND($C24=78,$L24=1),1,0)</f>
        <v/>
      </c>
      <c r="XB25">
        <f>XB24+IF(AND($C24=79,$L24=1),1,0)</f>
        <v/>
      </c>
      <c r="XC25">
        <f>XC24+IF(AND($C24=80,$L24=1),1,0)</f>
        <v/>
      </c>
      <c r="XD25">
        <f>XD24+IF(AND($C24=81,$L24=1),1,0)</f>
        <v/>
      </c>
      <c r="XE25">
        <f>XE24+IF(AND($C24=82,$L24=1),1,0)</f>
        <v/>
      </c>
      <c r="XF25">
        <f>XF24+IF(AND($C24=83,$L24=1),1,0)</f>
        <v/>
      </c>
      <c r="XG25">
        <f>XG24+IF(AND($C24=84,$L24=1),1,0)</f>
        <v/>
      </c>
      <c r="XH25">
        <f>XH24+IF(AND($C24=85,$L24=1),1,0)</f>
        <v/>
      </c>
      <c r="XI25">
        <f>XI24+IF(AND($C24=86,$L24=1),1,0)</f>
        <v/>
      </c>
      <c r="XJ25">
        <f>XJ24+IF(AND($C24=87,$L24=1),1,0)</f>
        <v/>
      </c>
      <c r="XK25">
        <f>XK24+IF(AND($C24=88,$L24=1),1,0)</f>
        <v/>
      </c>
      <c r="XL25">
        <f>XL24+IF(AND($C24=89,$L24=1),1,0)</f>
        <v/>
      </c>
      <c r="XM25">
        <f>XM24+IF(AND($C24=90,$L24=1),1,0)</f>
        <v/>
      </c>
      <c r="XN25">
        <f>XN24+IF(AND($C24=91,$L24=1),1,0)</f>
        <v/>
      </c>
      <c r="XO25">
        <f>XO24+IF(AND($C24=92,$L24=1),1,0)</f>
        <v/>
      </c>
      <c r="XP25">
        <f>XP24+IF(AND($C24=93,$L24=1),1,0)</f>
        <v/>
      </c>
      <c r="XQ25">
        <f>XQ24+IF(AND($C24=94,$L24=1),1,0)</f>
        <v/>
      </c>
      <c r="XR25">
        <f>XR24+IF(AND($C24=95,$L24=1),1,0)</f>
        <v/>
      </c>
      <c r="XS25">
        <f>XS24+IF(AND($C24=96,$L24=1),1,0)</f>
        <v/>
      </c>
      <c r="XT25">
        <f>XT24+IF(AND($C24=97,$L24=1),1,0)</f>
        <v/>
      </c>
      <c r="XU25">
        <f>XU24+IF(AND($C24=98,$L24=1),1,0)</f>
        <v/>
      </c>
      <c r="XV25">
        <f>XV24+IF(AND($C24=99,$L24=1),1,0)</f>
        <v/>
      </c>
      <c r="XW25">
        <f>XW24+IF(AND($C24=100,$L24=1),1,0)</f>
        <v/>
      </c>
      <c r="XX25">
        <f>XX24+IF(AND($C24=101,$L24=1),1,0)</f>
        <v/>
      </c>
      <c r="XY25">
        <f>XY24+IF(AND($C24=102,$L24=1),1,0)</f>
        <v/>
      </c>
      <c r="XZ25">
        <f>XZ24+IF(AND($C24=103,$L24=1),1,0)</f>
        <v/>
      </c>
      <c r="YA25">
        <f>YA24+IF(AND($C24=104,$L24=1),1,0)</f>
        <v/>
      </c>
      <c r="YB25">
        <f>YB24+IF(AND($C24=105,$L24=1),1,0)</f>
        <v/>
      </c>
      <c r="YC25">
        <f>YC24+IF(AND($C24=106,$L24=1),1,0)</f>
        <v/>
      </c>
      <c r="YD25">
        <f>YD24+IF(AND($C24=107,$L24=1),1,0)</f>
        <v/>
      </c>
      <c r="YE25">
        <f>YE24+IF(AND($C24=108,$L24=1),1,0)</f>
        <v/>
      </c>
      <c r="YF25">
        <f>YF24+IF(AND($C24=109,$L24=1),1,0)</f>
        <v/>
      </c>
      <c r="YG25">
        <f>YG24+IF(AND($C24=110,$L24=1),1,0)</f>
        <v/>
      </c>
      <c r="YH25">
        <f>YH24+IF(AND($C24=111,$L24=1),1,0)</f>
        <v/>
      </c>
      <c r="YI25">
        <f>YI24+IF(AND($C24=112,$L24=1),1,0)</f>
        <v/>
      </c>
      <c r="YJ25">
        <f>YJ24+IF(AND($C24=113,$L24=1),1,0)</f>
        <v/>
      </c>
      <c r="YK25">
        <f>YK24+IF(AND($C24=114,$L24=1),1,0)</f>
        <v/>
      </c>
      <c r="YL25">
        <f>YL24+IF(AND($C24=115,$L24=1),1,0)</f>
        <v/>
      </c>
      <c r="YM25">
        <f>YM24+IF(AND($C24=116,$L24=1),1,0)</f>
        <v/>
      </c>
      <c r="YN25">
        <f>YN24+IF(AND($C24=117,$L24=1),1,0)</f>
        <v/>
      </c>
      <c r="YO25">
        <f>YO24+IF(AND($C24=118,$L24=1),1,0)</f>
        <v/>
      </c>
      <c r="YP25">
        <f>YP24+IF(AND($C24=119,$L24=1),1,0)</f>
        <v/>
      </c>
      <c r="YQ25">
        <f>YQ24+IF(AND($C24=120,$L24=1),1,0)</f>
        <v/>
      </c>
      <c r="YR25">
        <f>YR24+IF(AND($C24=121,$L24=1),1,0)</f>
        <v/>
      </c>
      <c r="YS25">
        <f>YS24+IF(AND($C24=122,$L24=1),1,0)</f>
        <v/>
      </c>
      <c r="YT25">
        <f>YT24+IF(AND($C24=123,$L24=1),1,0)</f>
        <v/>
      </c>
      <c r="YU25">
        <f>YU24+IF(AND($C24=124,$L24=1),1,0)</f>
        <v/>
      </c>
      <c r="YV25">
        <f>YV24+IF(AND($C24=125,$L24=1),1,0)</f>
        <v/>
      </c>
      <c r="YW25">
        <f>YW24+IF(AND($C24=126,$L24=1),1,0)</f>
        <v/>
      </c>
      <c r="YX25">
        <f>YX24+IF(AND($C24=127,$L24=1),1,0)</f>
        <v/>
      </c>
      <c r="YY25">
        <f>YY24+IF(AND($C24=128,$L24=1),1,0)</f>
        <v/>
      </c>
      <c r="YZ25">
        <f>YZ24+IF(AND($C24=129,$L24=1),1,0)</f>
        <v/>
      </c>
      <c r="ZA25">
        <f>ZA24+IF(AND($C24=130,$L24=1),1,0)</f>
        <v/>
      </c>
      <c r="ZB25">
        <f>ZB24+IF(AND($C24=131,$L24=1),1,0)</f>
        <v/>
      </c>
      <c r="ZC25">
        <f>ZC24+IF(AND($C24=132,$L24=1),1,0)</f>
        <v/>
      </c>
      <c r="ZD25">
        <f>ZD24+IF(AND($C24=133,$L24=1),1,0)</f>
        <v/>
      </c>
      <c r="ZE25">
        <f>ZE24+IF(AND($C24=134,$L24=1),1,0)</f>
        <v/>
      </c>
      <c r="ZF25">
        <f>ZF24+IF(AND($C24=135,$L24=1),1,0)</f>
        <v/>
      </c>
      <c r="ZG25">
        <f>ZG24+IF(AND($C24=136,$L24=1),1,0)</f>
        <v/>
      </c>
      <c r="ZH25">
        <f>ZH24+IF(AND($C24=137,$L24=1),1,0)</f>
        <v/>
      </c>
      <c r="ZI25">
        <f>ZI24+IF(AND($C24=138,$L24=1),1,0)</f>
        <v/>
      </c>
      <c r="ZJ25">
        <f>ZJ24+IF(AND($C24=139,$L24=1),1,0)</f>
        <v/>
      </c>
      <c r="ZK25">
        <f>ZK24+IF(AND($C24=140,$L24=1),1,0)</f>
        <v/>
      </c>
      <c r="ZL25">
        <f>ZL24+IF(AND($C24=141,$L24=1),1,0)</f>
        <v/>
      </c>
      <c r="ZM25">
        <f>ZM24+IF(AND($C24=142,$L24=1),1,0)</f>
        <v/>
      </c>
      <c r="ZN25">
        <f>ZN24+IF(AND($C24=143,$L24=1),1,0)</f>
        <v/>
      </c>
      <c r="ZO25">
        <f>ZO24+IF(AND($C24=144,$L24=1),1,0)</f>
        <v/>
      </c>
    </row>
    <row r="26">
      <c r="A26" t="n">
        <v>24</v>
      </c>
      <c r="B26">
        <f>IF(MIN(BH26:CZ26)&gt;=1000000,0,MATCH(MIN(BH26:CZ26),BH26:CZ26,0))</f>
        <v/>
      </c>
      <c r="C26">
        <f>IF(MIN(OF26:TS26)&gt;=1000000,0,MATCH(MIN(OF26:TS26),OF26:TS26,0))</f>
        <v/>
      </c>
      <c r="D26">
        <f>IF(C26&gt;0,INDEX('計算A'!$D$5:$EQ$5,C26),0)</f>
        <v/>
      </c>
      <c r="E26">
        <f>IF(B26=0,0,INDEX('計算A'!$IQ$10:$IQ$54,B26))</f>
        <v/>
      </c>
      <c r="F26">
        <f>IF(B26=0,0,INDEX('計算A'!$IP$10:$IP$54,B26))</f>
        <v/>
      </c>
      <c r="G26">
        <f>IF(AND(C26&gt;0,E26&gt;0),IF(AND(INDEX('計算A'!$D$106:$EQ$106,C26)=1,INDEX($IQ26:$OD26,C26)=1),C26+1,0),0)</f>
        <v/>
      </c>
      <c r="H26">
        <f>IF(B26=0,0,INDEX('計算A'!$IW$10:$IW$54,B26))</f>
        <v/>
      </c>
      <c r="I26">
        <f>IF(B26=0,0,MAX(0,INDEX('計算A'!$IT$10:$IT$54,B26)))</f>
        <v/>
      </c>
      <c r="J26">
        <f>IF(I26=0,0,INDEX('計算A'!$D$2:$EQ$2,I26))</f>
        <v/>
      </c>
      <c r="K26">
        <f>IF(I26=0,0,INDEX('計算A'!$D$3:$EQ$3,I26))</f>
        <v/>
      </c>
      <c r="L26">
        <f>IF(B26=0,0,INDEX('計算A'!$IX$10:$IX$54,B26))</f>
        <v/>
      </c>
      <c r="N26">
        <f>MAX(N25,IF($B25=1,1,0))</f>
        <v/>
      </c>
      <c r="O26">
        <f>MAX(O25,IF($B25=2,1,0))</f>
        <v/>
      </c>
      <c r="P26">
        <f>MAX(P25,IF($B25=3,1,0))</f>
        <v/>
      </c>
      <c r="Q26">
        <f>MAX(Q25,IF($B25=4,1,0))</f>
        <v/>
      </c>
      <c r="R26">
        <f>MAX(R25,IF($B25=5,1,0))</f>
        <v/>
      </c>
      <c r="S26">
        <f>MAX(S25,IF($B25=6,1,0))</f>
        <v/>
      </c>
      <c r="T26">
        <f>MAX(T25,IF($B25=7,1,0))</f>
        <v/>
      </c>
      <c r="U26">
        <f>MAX(U25,IF($B25=8,1,0))</f>
        <v/>
      </c>
      <c r="V26">
        <f>MAX(V25,IF($B25=9,1,0))</f>
        <v/>
      </c>
      <c r="W26">
        <f>MAX(W25,IF($B25=10,1,0))</f>
        <v/>
      </c>
      <c r="X26">
        <f>MAX(X25,IF($B25=11,1,0))</f>
        <v/>
      </c>
      <c r="Y26">
        <f>MAX(Y25,IF($B25=12,1,0))</f>
        <v/>
      </c>
      <c r="Z26">
        <f>MAX(Z25,IF($B25=13,1,0))</f>
        <v/>
      </c>
      <c r="AA26">
        <f>MAX(AA25,IF($B25=14,1,0))</f>
        <v/>
      </c>
      <c r="AB26">
        <f>MAX(AB25,IF($B25=15,1,0))</f>
        <v/>
      </c>
      <c r="AC26">
        <f>MAX(AC25,IF($B25=16,1,0))</f>
        <v/>
      </c>
      <c r="AD26">
        <f>MAX(AD25,IF($B25=17,1,0))</f>
        <v/>
      </c>
      <c r="AE26">
        <f>MAX(AE25,IF($B25=18,1,0))</f>
        <v/>
      </c>
      <c r="AF26">
        <f>MAX(AF25,IF($B25=19,1,0))</f>
        <v/>
      </c>
      <c r="AG26">
        <f>MAX(AG25,IF($B25=20,1,0))</f>
        <v/>
      </c>
      <c r="AH26">
        <f>MAX(AH25,IF($B25=21,1,0))</f>
        <v/>
      </c>
      <c r="AI26">
        <f>MAX(AI25,IF($B25=22,1,0))</f>
        <v/>
      </c>
      <c r="AJ26">
        <f>MAX(AJ25,IF($B25=23,1,0))</f>
        <v/>
      </c>
      <c r="AK26">
        <f>MAX(AK25,IF($B25=24,1,0))</f>
        <v/>
      </c>
      <c r="AL26">
        <f>MAX(AL25,IF($B25=25,1,0))</f>
        <v/>
      </c>
      <c r="AM26">
        <f>MAX(AM25,IF($B25=26,1,0))</f>
        <v/>
      </c>
      <c r="AN26">
        <f>MAX(AN25,IF($B25=27,1,0))</f>
        <v/>
      </c>
      <c r="AO26">
        <f>MAX(AO25,IF($B25=28,1,0))</f>
        <v/>
      </c>
      <c r="AP26">
        <f>MAX(AP25,IF($B25=29,1,0))</f>
        <v/>
      </c>
      <c r="AQ26">
        <f>MAX(AQ25,IF($B25=30,1,0))</f>
        <v/>
      </c>
      <c r="AR26">
        <f>MAX(AR25,IF($B25=31,1,0))</f>
        <v/>
      </c>
      <c r="AS26">
        <f>MAX(AS25,IF($B25=32,1,0))</f>
        <v/>
      </c>
      <c r="AT26">
        <f>MAX(AT25,IF($B25=33,1,0))</f>
        <v/>
      </c>
      <c r="AU26">
        <f>MAX(AU25,IF($B25=34,1,0))</f>
        <v/>
      </c>
      <c r="AV26">
        <f>MAX(AV25,IF($B25=35,1,0))</f>
        <v/>
      </c>
      <c r="AW26">
        <f>MAX(AW25,IF($B25=36,1,0))</f>
        <v/>
      </c>
      <c r="AX26">
        <f>MAX(AX25,IF($B25=37,1,0))</f>
        <v/>
      </c>
      <c r="AY26">
        <f>MAX(AY25,IF($B25=38,1,0))</f>
        <v/>
      </c>
      <c r="AZ26">
        <f>MAX(AZ25,IF($B25=39,1,0))</f>
        <v/>
      </c>
      <c r="BA26">
        <f>MAX(BA25,IF($B25=40,1,0))</f>
        <v/>
      </c>
      <c r="BB26">
        <f>MAX(BB25,IF($B25=41,1,0))</f>
        <v/>
      </c>
      <c r="BC26">
        <f>MAX(BC25,IF($B25=42,1,0))</f>
        <v/>
      </c>
      <c r="BD26">
        <f>MAX(BD25,IF($B25=43,1,0))</f>
        <v/>
      </c>
      <c r="BE26">
        <f>MAX(BE25,IF($B25=44,1,0))</f>
        <v/>
      </c>
      <c r="BF26">
        <f>MAX(BF25,IF($B25=45,1,0))</f>
        <v/>
      </c>
      <c r="BH26">
        <f>IF(N26=1,1000000,IF('計算A'!$IT$10&gt;0,0,500000)+IF('計算A'!$IQ$10=2,SUMPRODUCT('計算A'!$D$60:$EQ$60,$DB26:$IO26,$IQ26:$OD26),SUMPRODUCT('計算A'!$D$60:$EQ$60,$DB26:$IO26))*1000+1)</f>
        <v/>
      </c>
      <c r="BI26">
        <f>IF(O26=1,1000000,IF('計算A'!$IT$11&gt;0,0,500000)+IF('計算A'!$IQ$11=2,SUMPRODUCT('計算A'!$D$61:$EQ$61,$DB26:$IO26,$IQ26:$OD26),SUMPRODUCT('計算A'!$D$61:$EQ$61,$DB26:$IO26))*1000+2)</f>
        <v/>
      </c>
      <c r="BJ26">
        <f>IF(P26=1,1000000,IF('計算A'!$IT$12&gt;0,0,500000)+IF('計算A'!$IQ$12=2,SUMPRODUCT('計算A'!$D$62:$EQ$62,$DB26:$IO26,$IQ26:$OD26),SUMPRODUCT('計算A'!$D$62:$EQ$62,$DB26:$IO26))*1000+3)</f>
        <v/>
      </c>
      <c r="BK26">
        <f>IF(Q26=1,1000000,IF('計算A'!$IT$13&gt;0,0,500000)+IF('計算A'!$IQ$13=2,SUMPRODUCT('計算A'!$D$63:$EQ$63,$DB26:$IO26,$IQ26:$OD26),SUMPRODUCT('計算A'!$D$63:$EQ$63,$DB26:$IO26))*1000+4)</f>
        <v/>
      </c>
      <c r="BL26">
        <f>IF(R26=1,1000000,IF('計算A'!$IT$14&gt;0,0,500000)+IF('計算A'!$IQ$14=2,SUMPRODUCT('計算A'!$D$64:$EQ$64,$DB26:$IO26,$IQ26:$OD26),SUMPRODUCT('計算A'!$D$64:$EQ$64,$DB26:$IO26))*1000+5)</f>
        <v/>
      </c>
      <c r="BM26">
        <f>IF(S26=1,1000000,IF('計算A'!$IT$15&gt;0,0,500000)+IF('計算A'!$IQ$15=2,SUMPRODUCT('計算A'!$D$65:$EQ$65,$DB26:$IO26,$IQ26:$OD26),SUMPRODUCT('計算A'!$D$65:$EQ$65,$DB26:$IO26))*1000+6)</f>
        <v/>
      </c>
      <c r="BN26">
        <f>IF(T26=1,1000000,IF('計算A'!$IT$16&gt;0,0,500000)+IF('計算A'!$IQ$16=2,SUMPRODUCT('計算A'!$D$66:$EQ$66,$DB26:$IO26,$IQ26:$OD26),SUMPRODUCT('計算A'!$D$66:$EQ$66,$DB26:$IO26))*1000+7)</f>
        <v/>
      </c>
      <c r="BO26">
        <f>IF(U26=1,1000000,IF('計算A'!$IT$17&gt;0,0,500000)+IF('計算A'!$IQ$17=2,SUMPRODUCT('計算A'!$D$67:$EQ$67,$DB26:$IO26,$IQ26:$OD26),SUMPRODUCT('計算A'!$D$67:$EQ$67,$DB26:$IO26))*1000+8)</f>
        <v/>
      </c>
      <c r="BP26">
        <f>IF(V26=1,1000000,IF('計算A'!$IT$18&gt;0,0,500000)+IF('計算A'!$IQ$18=2,SUMPRODUCT('計算A'!$D$68:$EQ$68,$DB26:$IO26,$IQ26:$OD26),SUMPRODUCT('計算A'!$D$68:$EQ$68,$DB26:$IO26))*1000+9)</f>
        <v/>
      </c>
      <c r="BQ26">
        <f>IF(W26=1,1000000,IF('計算A'!$IT$19&gt;0,0,500000)+IF('計算A'!$IQ$19=2,SUMPRODUCT('計算A'!$D$69:$EQ$69,$DB26:$IO26,$IQ26:$OD26),SUMPRODUCT('計算A'!$D$69:$EQ$69,$DB26:$IO26))*1000+10)</f>
        <v/>
      </c>
      <c r="BR26">
        <f>IF(X26=1,1000000,IF('計算A'!$IT$20&gt;0,0,500000)+IF('計算A'!$IQ$20=2,SUMPRODUCT('計算A'!$D$70:$EQ$70,$DB26:$IO26,$IQ26:$OD26),SUMPRODUCT('計算A'!$D$70:$EQ$70,$DB26:$IO26))*1000+11)</f>
        <v/>
      </c>
      <c r="BS26">
        <f>IF(Y26=1,1000000,IF('計算A'!$IT$21&gt;0,0,500000)+IF('計算A'!$IQ$21=2,SUMPRODUCT('計算A'!$D$71:$EQ$71,$DB26:$IO26,$IQ26:$OD26),SUMPRODUCT('計算A'!$D$71:$EQ$71,$DB26:$IO26))*1000+12)</f>
        <v/>
      </c>
      <c r="BT26">
        <f>IF(Z26=1,1000000,IF('計算A'!$IT$22&gt;0,0,500000)+IF('計算A'!$IQ$22=2,SUMPRODUCT('計算A'!$D$72:$EQ$72,$DB26:$IO26,$IQ26:$OD26),SUMPRODUCT('計算A'!$D$72:$EQ$72,$DB26:$IO26))*1000+13)</f>
        <v/>
      </c>
      <c r="BU26">
        <f>IF(AA26=1,1000000,IF('計算A'!$IT$23&gt;0,0,500000)+IF('計算A'!$IQ$23=2,SUMPRODUCT('計算A'!$D$73:$EQ$73,$DB26:$IO26,$IQ26:$OD26),SUMPRODUCT('計算A'!$D$73:$EQ$73,$DB26:$IO26))*1000+14)</f>
        <v/>
      </c>
      <c r="BV26">
        <f>IF(AB26=1,1000000,IF('計算A'!$IT$24&gt;0,0,500000)+IF('計算A'!$IQ$24=2,SUMPRODUCT('計算A'!$D$74:$EQ$74,$DB26:$IO26,$IQ26:$OD26),SUMPRODUCT('計算A'!$D$74:$EQ$74,$DB26:$IO26))*1000+15)</f>
        <v/>
      </c>
      <c r="BW26">
        <f>IF(AC26=1,1000000,IF('計算A'!$IT$25&gt;0,0,500000)+IF('計算A'!$IQ$25=2,SUMPRODUCT('計算A'!$D$75:$EQ$75,$DB26:$IO26,$IQ26:$OD26),SUMPRODUCT('計算A'!$D$75:$EQ$75,$DB26:$IO26))*1000+16)</f>
        <v/>
      </c>
      <c r="BX26">
        <f>IF(AD26=1,1000000,IF('計算A'!$IT$26&gt;0,0,500000)+IF('計算A'!$IQ$26=2,SUMPRODUCT('計算A'!$D$76:$EQ$76,$DB26:$IO26,$IQ26:$OD26),SUMPRODUCT('計算A'!$D$76:$EQ$76,$DB26:$IO26))*1000+17)</f>
        <v/>
      </c>
      <c r="BY26">
        <f>IF(AE26=1,1000000,IF('計算A'!$IT$27&gt;0,0,500000)+IF('計算A'!$IQ$27=2,SUMPRODUCT('計算A'!$D$77:$EQ$77,$DB26:$IO26,$IQ26:$OD26),SUMPRODUCT('計算A'!$D$77:$EQ$77,$DB26:$IO26))*1000+18)</f>
        <v/>
      </c>
      <c r="BZ26">
        <f>IF(AF26=1,1000000,IF('計算A'!$IT$28&gt;0,0,500000)+IF('計算A'!$IQ$28=2,SUMPRODUCT('計算A'!$D$78:$EQ$78,$DB26:$IO26,$IQ26:$OD26),SUMPRODUCT('計算A'!$D$78:$EQ$78,$DB26:$IO26))*1000+19)</f>
        <v/>
      </c>
      <c r="CA26">
        <f>IF(AG26=1,1000000,IF('計算A'!$IT$29&gt;0,0,500000)+IF('計算A'!$IQ$29=2,SUMPRODUCT('計算A'!$D$79:$EQ$79,$DB26:$IO26,$IQ26:$OD26),SUMPRODUCT('計算A'!$D$79:$EQ$79,$DB26:$IO26))*1000+20)</f>
        <v/>
      </c>
      <c r="CB26">
        <f>IF(AH26=1,1000000,IF('計算A'!$IT$30&gt;0,0,500000)+IF('計算A'!$IQ$30=2,SUMPRODUCT('計算A'!$D$80:$EQ$80,$DB26:$IO26,$IQ26:$OD26),SUMPRODUCT('計算A'!$D$80:$EQ$80,$DB26:$IO26))*1000+21)</f>
        <v/>
      </c>
      <c r="CC26">
        <f>IF(AI26=1,1000000,IF('計算A'!$IT$31&gt;0,0,500000)+IF('計算A'!$IQ$31=2,SUMPRODUCT('計算A'!$D$81:$EQ$81,$DB26:$IO26,$IQ26:$OD26),SUMPRODUCT('計算A'!$D$81:$EQ$81,$DB26:$IO26))*1000+22)</f>
        <v/>
      </c>
      <c r="CD26">
        <f>IF(AJ26=1,1000000,IF('計算A'!$IT$32&gt;0,0,500000)+IF('計算A'!$IQ$32=2,SUMPRODUCT('計算A'!$D$82:$EQ$82,$DB26:$IO26,$IQ26:$OD26),SUMPRODUCT('計算A'!$D$82:$EQ$82,$DB26:$IO26))*1000+23)</f>
        <v/>
      </c>
      <c r="CE26">
        <f>IF(AK26=1,1000000,IF('計算A'!$IT$33&gt;0,0,500000)+IF('計算A'!$IQ$33=2,SUMPRODUCT('計算A'!$D$83:$EQ$83,$DB26:$IO26,$IQ26:$OD26),SUMPRODUCT('計算A'!$D$83:$EQ$83,$DB26:$IO26))*1000+24)</f>
        <v/>
      </c>
      <c r="CF26">
        <f>IF(AL26=1,1000000,IF('計算A'!$IT$34&gt;0,0,500000)+IF('計算A'!$IQ$34=2,SUMPRODUCT('計算A'!$D$84:$EQ$84,$DB26:$IO26,$IQ26:$OD26),SUMPRODUCT('計算A'!$D$84:$EQ$84,$DB26:$IO26))*1000+25)</f>
        <v/>
      </c>
      <c r="CG26">
        <f>IF(AM26=1,1000000,IF('計算A'!$IT$35&gt;0,0,500000)+IF('計算A'!$IQ$35=2,SUMPRODUCT('計算A'!$D$85:$EQ$85,$DB26:$IO26,$IQ26:$OD26),SUMPRODUCT('計算A'!$D$85:$EQ$85,$DB26:$IO26))*1000+26)</f>
        <v/>
      </c>
      <c r="CH26">
        <f>IF(AN26=1,1000000,IF('計算A'!$IT$36&gt;0,0,500000)+IF('計算A'!$IQ$36=2,SUMPRODUCT('計算A'!$D$86:$EQ$86,$DB26:$IO26,$IQ26:$OD26),SUMPRODUCT('計算A'!$D$86:$EQ$86,$DB26:$IO26))*1000+27)</f>
        <v/>
      </c>
      <c r="CI26">
        <f>IF(AO26=1,1000000,IF('計算A'!$IT$37&gt;0,0,500000)+IF('計算A'!$IQ$37=2,SUMPRODUCT('計算A'!$D$87:$EQ$87,$DB26:$IO26,$IQ26:$OD26),SUMPRODUCT('計算A'!$D$87:$EQ$87,$DB26:$IO26))*1000+28)</f>
        <v/>
      </c>
      <c r="CJ26">
        <f>IF(AP26=1,1000000,IF('計算A'!$IT$38&gt;0,0,500000)+IF('計算A'!$IQ$38=2,SUMPRODUCT('計算A'!$D$88:$EQ$88,$DB26:$IO26,$IQ26:$OD26),SUMPRODUCT('計算A'!$D$88:$EQ$88,$DB26:$IO26))*1000+29)</f>
        <v/>
      </c>
      <c r="CK26">
        <f>IF(AQ26=1,1000000,IF('計算A'!$IT$39&gt;0,0,500000)+IF('計算A'!$IQ$39=2,SUMPRODUCT('計算A'!$D$89:$EQ$89,$DB26:$IO26,$IQ26:$OD26),SUMPRODUCT('計算A'!$D$89:$EQ$89,$DB26:$IO26))*1000+30)</f>
        <v/>
      </c>
      <c r="CL26">
        <f>IF(AR26=1,1000000,IF('計算A'!$IT$40&gt;0,0,500000)+IF('計算A'!$IQ$40=2,SUMPRODUCT('計算A'!$D$90:$EQ$90,$DB26:$IO26,$IQ26:$OD26),SUMPRODUCT('計算A'!$D$90:$EQ$90,$DB26:$IO26))*1000+31)</f>
        <v/>
      </c>
      <c r="CM26">
        <f>IF(AS26=1,1000000,IF('計算A'!$IT$41&gt;0,0,500000)+IF('計算A'!$IQ$41=2,SUMPRODUCT('計算A'!$D$91:$EQ$91,$DB26:$IO26,$IQ26:$OD26),SUMPRODUCT('計算A'!$D$91:$EQ$91,$DB26:$IO26))*1000+32)</f>
        <v/>
      </c>
      <c r="CN26">
        <f>IF(AT26=1,1000000,IF('計算A'!$IT$42&gt;0,0,500000)+IF('計算A'!$IQ$42=2,SUMPRODUCT('計算A'!$D$92:$EQ$92,$DB26:$IO26,$IQ26:$OD26),SUMPRODUCT('計算A'!$D$92:$EQ$92,$DB26:$IO26))*1000+33)</f>
        <v/>
      </c>
      <c r="CO26">
        <f>IF(AU26=1,1000000,IF('計算A'!$IT$43&gt;0,0,500000)+IF('計算A'!$IQ$43=2,SUMPRODUCT('計算A'!$D$93:$EQ$93,$DB26:$IO26,$IQ26:$OD26),SUMPRODUCT('計算A'!$D$93:$EQ$93,$DB26:$IO26))*1000+34)</f>
        <v/>
      </c>
      <c r="CP26">
        <f>IF(AV26=1,1000000,IF('計算A'!$IT$44&gt;0,0,500000)+IF('計算A'!$IQ$44=2,SUMPRODUCT('計算A'!$D$94:$EQ$94,$DB26:$IO26,$IQ26:$OD26),SUMPRODUCT('計算A'!$D$94:$EQ$94,$DB26:$IO26))*1000+35)</f>
        <v/>
      </c>
      <c r="CQ26">
        <f>IF(AW26=1,1000000,IF('計算A'!$IT$45&gt;0,0,500000)+IF('計算A'!$IQ$45=2,SUMPRODUCT('計算A'!$D$95:$EQ$95,$DB26:$IO26,$IQ26:$OD26),SUMPRODUCT('計算A'!$D$95:$EQ$95,$DB26:$IO26))*1000+36)</f>
        <v/>
      </c>
      <c r="CR26">
        <f>IF(AX26=1,1000000,IF('計算A'!$IT$46&gt;0,0,500000)+IF('計算A'!$IQ$46=2,SUMPRODUCT('計算A'!$D$96:$EQ$96,$DB26:$IO26,$IQ26:$OD26),SUMPRODUCT('計算A'!$D$96:$EQ$96,$DB26:$IO26))*1000+37)</f>
        <v/>
      </c>
      <c r="CS26">
        <f>IF(AY26=1,1000000,IF('計算A'!$IT$47&gt;0,0,500000)+IF('計算A'!$IQ$47=2,SUMPRODUCT('計算A'!$D$97:$EQ$97,$DB26:$IO26,$IQ26:$OD26),SUMPRODUCT('計算A'!$D$97:$EQ$97,$DB26:$IO26))*1000+38)</f>
        <v/>
      </c>
      <c r="CT26">
        <f>IF(AZ26=1,1000000,IF('計算A'!$IT$48&gt;0,0,500000)+IF('計算A'!$IQ$48=2,SUMPRODUCT('計算A'!$D$98:$EQ$98,$DB26:$IO26,$IQ26:$OD26),SUMPRODUCT('計算A'!$D$98:$EQ$98,$DB26:$IO26))*1000+39)</f>
        <v/>
      </c>
      <c r="CU26">
        <f>IF(BA26=1,1000000,IF('計算A'!$IT$49&gt;0,0,500000)+IF('計算A'!$IQ$49=2,SUMPRODUCT('計算A'!$D$99:$EQ$99,$DB26:$IO26,$IQ26:$OD26),SUMPRODUCT('計算A'!$D$99:$EQ$99,$DB26:$IO26))*1000+40)</f>
        <v/>
      </c>
      <c r="CV26">
        <f>IF(BB26=1,1000000,IF('計算A'!$IT$50&gt;0,0,500000)+IF('計算A'!$IQ$50=2,SUMPRODUCT('計算A'!$D$100:$EQ$100,$DB26:$IO26,$IQ26:$OD26),SUMPRODUCT('計算A'!$D$100:$EQ$100,$DB26:$IO26))*1000+41)</f>
        <v/>
      </c>
      <c r="CW26">
        <f>IF(BC26=1,1000000,IF('計算A'!$IT$51&gt;0,0,500000)+IF('計算A'!$IQ$51=2,SUMPRODUCT('計算A'!$D$101:$EQ$101,$DB26:$IO26,$IQ26:$OD26),SUMPRODUCT('計算A'!$D$101:$EQ$101,$DB26:$IO26))*1000+42)</f>
        <v/>
      </c>
      <c r="CX26">
        <f>IF(BD26=1,1000000,IF('計算A'!$IT$52&gt;0,0,500000)+IF('計算A'!$IQ$52=2,SUMPRODUCT('計算A'!$D$102:$EQ$102,$DB26:$IO26,$IQ26:$OD26),SUMPRODUCT('計算A'!$D$102:$EQ$102,$DB26:$IO26))*1000+43)</f>
        <v/>
      </c>
      <c r="CY26">
        <f>IF(BE26=1,1000000,IF('計算A'!$IT$53&gt;0,0,500000)+IF('計算A'!$IQ$53=2,SUMPRODUCT('計算A'!$D$103:$EQ$103,$DB26:$IO26,$IQ26:$OD26),SUMPRODUCT('計算A'!$D$103:$EQ$103,$DB26:$IO26))*1000+44)</f>
        <v/>
      </c>
      <c r="CZ26">
        <f>IF(BF26=1,1000000,IF('計算A'!$IT$54&gt;0,0,500000)+IF('計算A'!$IQ$54=2,SUMPRODUCT('計算A'!$D$104:$EQ$104,$DB26:$IO26,$IQ26:$OD26),SUMPRODUCT('計算A'!$D$104:$EQ$104,$DB26:$IO26))*1000+45)</f>
        <v/>
      </c>
      <c r="DB26">
        <f>DB25*IF(OR($C25=1,$G25=1),0,1)</f>
        <v/>
      </c>
      <c r="DC26">
        <f>DC25*IF(OR($C25=2,$G25=2),0,1)</f>
        <v/>
      </c>
      <c r="DD26">
        <f>DD25*IF(OR($C25=3,$G25=3),0,1)</f>
        <v/>
      </c>
      <c r="DE26">
        <f>DE25*IF(OR($C25=4,$G25=4),0,1)</f>
        <v/>
      </c>
      <c r="DF26">
        <f>DF25*IF(OR($C25=5,$G25=5),0,1)</f>
        <v/>
      </c>
      <c r="DG26">
        <f>DG25*IF(OR($C25=6,$G25=6),0,1)</f>
        <v/>
      </c>
      <c r="DH26">
        <f>DH25*IF(OR($C25=7,$G25=7),0,1)</f>
        <v/>
      </c>
      <c r="DI26">
        <f>DI25*IF(OR($C25=8,$G25=8),0,1)</f>
        <v/>
      </c>
      <c r="DJ26">
        <f>DJ25*IF(OR($C25=9,$G25=9),0,1)</f>
        <v/>
      </c>
      <c r="DK26">
        <f>DK25*IF(OR($C25=10,$G25=10),0,1)</f>
        <v/>
      </c>
      <c r="DL26">
        <f>DL25*IF(OR($C25=11,$G25=11),0,1)</f>
        <v/>
      </c>
      <c r="DM26">
        <f>DM25*IF(OR($C25=12,$G25=12),0,1)</f>
        <v/>
      </c>
      <c r="DN26">
        <f>DN25*IF(OR($C25=13,$G25=13),0,1)</f>
        <v/>
      </c>
      <c r="DO26">
        <f>DO25*IF(OR($C25=14,$G25=14),0,1)</f>
        <v/>
      </c>
      <c r="DP26">
        <f>DP25*IF(OR($C25=15,$G25=15),0,1)</f>
        <v/>
      </c>
      <c r="DQ26">
        <f>DQ25*IF(OR($C25=16,$G25=16),0,1)</f>
        <v/>
      </c>
      <c r="DR26">
        <f>DR25*IF(OR($C25=17,$G25=17),0,1)</f>
        <v/>
      </c>
      <c r="DS26">
        <f>DS25*IF(OR($C25=18,$G25=18),0,1)</f>
        <v/>
      </c>
      <c r="DT26">
        <f>DT25*IF(OR($C25=19,$G25=19),0,1)</f>
        <v/>
      </c>
      <c r="DU26">
        <f>DU25*IF(OR($C25=20,$G25=20),0,1)</f>
        <v/>
      </c>
      <c r="DV26">
        <f>DV25*IF(OR($C25=21,$G25=21),0,1)</f>
        <v/>
      </c>
      <c r="DW26">
        <f>DW25*IF(OR($C25=22,$G25=22),0,1)</f>
        <v/>
      </c>
      <c r="DX26">
        <f>DX25*IF(OR($C25=23,$G25=23),0,1)</f>
        <v/>
      </c>
      <c r="DY26">
        <f>DY25*IF(OR($C25=24,$G25=24),0,1)</f>
        <v/>
      </c>
      <c r="DZ26">
        <f>DZ25*IF(OR($C25=25,$G25=25),0,1)</f>
        <v/>
      </c>
      <c r="EA26">
        <f>EA25*IF(OR($C25=26,$G25=26),0,1)</f>
        <v/>
      </c>
      <c r="EB26">
        <f>EB25*IF(OR($C25=27,$G25=27),0,1)</f>
        <v/>
      </c>
      <c r="EC26">
        <f>EC25*IF(OR($C25=28,$G25=28),0,1)</f>
        <v/>
      </c>
      <c r="ED26">
        <f>ED25*IF(OR($C25=29,$G25=29),0,1)</f>
        <v/>
      </c>
      <c r="EE26">
        <f>EE25*IF(OR($C25=30,$G25=30),0,1)</f>
        <v/>
      </c>
      <c r="EF26">
        <f>EF25*IF(OR($C25=31,$G25=31),0,1)</f>
        <v/>
      </c>
      <c r="EG26">
        <f>EG25*IF(OR($C25=32,$G25=32),0,1)</f>
        <v/>
      </c>
      <c r="EH26">
        <f>EH25*IF(OR($C25=33,$G25=33),0,1)</f>
        <v/>
      </c>
      <c r="EI26">
        <f>EI25*IF(OR($C25=34,$G25=34),0,1)</f>
        <v/>
      </c>
      <c r="EJ26">
        <f>EJ25*IF(OR($C25=35,$G25=35),0,1)</f>
        <v/>
      </c>
      <c r="EK26">
        <f>EK25*IF(OR($C25=36,$G25=36),0,1)</f>
        <v/>
      </c>
      <c r="EL26">
        <f>EL25*IF(OR($C25=37,$G25=37),0,1)</f>
        <v/>
      </c>
      <c r="EM26">
        <f>EM25*IF(OR($C25=38,$G25=38),0,1)</f>
        <v/>
      </c>
      <c r="EN26">
        <f>EN25*IF(OR($C25=39,$G25=39),0,1)</f>
        <v/>
      </c>
      <c r="EO26">
        <f>EO25*IF(OR($C25=40,$G25=40),0,1)</f>
        <v/>
      </c>
      <c r="EP26">
        <f>EP25*IF(OR($C25=41,$G25=41),0,1)</f>
        <v/>
      </c>
      <c r="EQ26">
        <f>EQ25*IF(OR($C25=42,$G25=42),0,1)</f>
        <v/>
      </c>
      <c r="ER26">
        <f>ER25*IF(OR($C25=43,$G25=43),0,1)</f>
        <v/>
      </c>
      <c r="ES26">
        <f>ES25*IF(OR($C25=44,$G25=44),0,1)</f>
        <v/>
      </c>
      <c r="ET26">
        <f>ET25*IF(OR($C25=45,$G25=45),0,1)</f>
        <v/>
      </c>
      <c r="EU26">
        <f>EU25*IF(OR($C25=46,$G25=46),0,1)</f>
        <v/>
      </c>
      <c r="EV26">
        <f>EV25*IF(OR($C25=47,$G25=47),0,1)</f>
        <v/>
      </c>
      <c r="EW26">
        <f>EW25*IF(OR($C25=48,$G25=48),0,1)</f>
        <v/>
      </c>
      <c r="EX26">
        <f>EX25*IF(OR($C25=49,$G25=49),0,1)</f>
        <v/>
      </c>
      <c r="EY26">
        <f>EY25*IF(OR($C25=50,$G25=50),0,1)</f>
        <v/>
      </c>
      <c r="EZ26">
        <f>EZ25*IF(OR($C25=51,$G25=51),0,1)</f>
        <v/>
      </c>
      <c r="FA26">
        <f>FA25*IF(OR($C25=52,$G25=52),0,1)</f>
        <v/>
      </c>
      <c r="FB26">
        <f>FB25*IF(OR($C25=53,$G25=53),0,1)</f>
        <v/>
      </c>
      <c r="FC26">
        <f>FC25*IF(OR($C25=54,$G25=54),0,1)</f>
        <v/>
      </c>
      <c r="FD26">
        <f>FD25*IF(OR($C25=55,$G25=55),0,1)</f>
        <v/>
      </c>
      <c r="FE26">
        <f>FE25*IF(OR($C25=56,$G25=56),0,1)</f>
        <v/>
      </c>
      <c r="FF26">
        <f>FF25*IF(OR($C25=57,$G25=57),0,1)</f>
        <v/>
      </c>
      <c r="FG26">
        <f>FG25*IF(OR($C25=58,$G25=58),0,1)</f>
        <v/>
      </c>
      <c r="FH26">
        <f>FH25*IF(OR($C25=59,$G25=59),0,1)</f>
        <v/>
      </c>
      <c r="FI26">
        <f>FI25*IF(OR($C25=60,$G25=60),0,1)</f>
        <v/>
      </c>
      <c r="FJ26">
        <f>FJ25*IF(OR($C25=61,$G25=61),0,1)</f>
        <v/>
      </c>
      <c r="FK26">
        <f>FK25*IF(OR($C25=62,$G25=62),0,1)</f>
        <v/>
      </c>
      <c r="FL26">
        <f>FL25*IF(OR($C25=63,$G25=63),0,1)</f>
        <v/>
      </c>
      <c r="FM26">
        <f>FM25*IF(OR($C25=64,$G25=64),0,1)</f>
        <v/>
      </c>
      <c r="FN26">
        <f>FN25*IF(OR($C25=65,$G25=65),0,1)</f>
        <v/>
      </c>
      <c r="FO26">
        <f>FO25*IF(OR($C25=66,$G25=66),0,1)</f>
        <v/>
      </c>
      <c r="FP26">
        <f>FP25*IF(OR($C25=67,$G25=67),0,1)</f>
        <v/>
      </c>
      <c r="FQ26">
        <f>FQ25*IF(OR($C25=68,$G25=68),0,1)</f>
        <v/>
      </c>
      <c r="FR26">
        <f>FR25*IF(OR($C25=69,$G25=69),0,1)</f>
        <v/>
      </c>
      <c r="FS26">
        <f>FS25*IF(OR($C25=70,$G25=70),0,1)</f>
        <v/>
      </c>
      <c r="FT26">
        <f>FT25*IF(OR($C25=71,$G25=71),0,1)</f>
        <v/>
      </c>
      <c r="FU26">
        <f>FU25*IF(OR($C25=72,$G25=72),0,1)</f>
        <v/>
      </c>
      <c r="FV26">
        <f>FV25*IF(OR($C25=73,$G25=73),0,1)</f>
        <v/>
      </c>
      <c r="FW26">
        <f>FW25*IF(OR($C25=74,$G25=74),0,1)</f>
        <v/>
      </c>
      <c r="FX26">
        <f>FX25*IF(OR($C25=75,$G25=75),0,1)</f>
        <v/>
      </c>
      <c r="FY26">
        <f>FY25*IF(OR($C25=76,$G25=76),0,1)</f>
        <v/>
      </c>
      <c r="FZ26">
        <f>FZ25*IF(OR($C25=77,$G25=77),0,1)</f>
        <v/>
      </c>
      <c r="GA26">
        <f>GA25*IF(OR($C25=78,$G25=78),0,1)</f>
        <v/>
      </c>
      <c r="GB26">
        <f>GB25*IF(OR($C25=79,$G25=79),0,1)</f>
        <v/>
      </c>
      <c r="GC26">
        <f>GC25*IF(OR($C25=80,$G25=80),0,1)</f>
        <v/>
      </c>
      <c r="GD26">
        <f>GD25*IF(OR($C25=81,$G25=81),0,1)</f>
        <v/>
      </c>
      <c r="GE26">
        <f>GE25*IF(OR($C25=82,$G25=82),0,1)</f>
        <v/>
      </c>
      <c r="GF26">
        <f>GF25*IF(OR($C25=83,$G25=83),0,1)</f>
        <v/>
      </c>
      <c r="GG26">
        <f>GG25*IF(OR($C25=84,$G25=84),0,1)</f>
        <v/>
      </c>
      <c r="GH26">
        <f>GH25*IF(OR($C25=85,$G25=85),0,1)</f>
        <v/>
      </c>
      <c r="GI26">
        <f>GI25*IF(OR($C25=86,$G25=86),0,1)</f>
        <v/>
      </c>
      <c r="GJ26">
        <f>GJ25*IF(OR($C25=87,$G25=87),0,1)</f>
        <v/>
      </c>
      <c r="GK26">
        <f>GK25*IF(OR($C25=88,$G25=88),0,1)</f>
        <v/>
      </c>
      <c r="GL26">
        <f>GL25*IF(OR($C25=89,$G25=89),0,1)</f>
        <v/>
      </c>
      <c r="GM26">
        <f>GM25*IF(OR($C25=90,$G25=90),0,1)</f>
        <v/>
      </c>
      <c r="GN26">
        <f>GN25*IF(OR($C25=91,$G25=91),0,1)</f>
        <v/>
      </c>
      <c r="GO26">
        <f>GO25*IF(OR($C25=92,$G25=92),0,1)</f>
        <v/>
      </c>
      <c r="GP26">
        <f>GP25*IF(OR($C25=93,$G25=93),0,1)</f>
        <v/>
      </c>
      <c r="GQ26">
        <f>GQ25*IF(OR($C25=94,$G25=94),0,1)</f>
        <v/>
      </c>
      <c r="GR26">
        <f>GR25*IF(OR($C25=95,$G25=95),0,1)</f>
        <v/>
      </c>
      <c r="GS26">
        <f>GS25*IF(OR($C25=96,$G25=96),0,1)</f>
        <v/>
      </c>
      <c r="GT26">
        <f>GT25*IF(OR($C25=97,$G25=97),0,1)</f>
        <v/>
      </c>
      <c r="GU26">
        <f>GU25*IF(OR($C25=98,$G25=98),0,1)</f>
        <v/>
      </c>
      <c r="GV26">
        <f>GV25*IF(OR($C25=99,$G25=99),0,1)</f>
        <v/>
      </c>
      <c r="GW26">
        <f>GW25*IF(OR($C25=100,$G25=100),0,1)</f>
        <v/>
      </c>
      <c r="GX26">
        <f>GX25*IF(OR($C25=101,$G25=101),0,1)</f>
        <v/>
      </c>
      <c r="GY26">
        <f>GY25*IF(OR($C25=102,$G25=102),0,1)</f>
        <v/>
      </c>
      <c r="GZ26">
        <f>GZ25*IF(OR($C25=103,$G25=103),0,1)</f>
        <v/>
      </c>
      <c r="HA26">
        <f>HA25*IF(OR($C25=104,$G25=104),0,1)</f>
        <v/>
      </c>
      <c r="HB26">
        <f>HB25*IF(OR($C25=105,$G25=105),0,1)</f>
        <v/>
      </c>
      <c r="HC26">
        <f>HC25*IF(OR($C25=106,$G25=106),0,1)</f>
        <v/>
      </c>
      <c r="HD26">
        <f>HD25*IF(OR($C25=107,$G25=107),0,1)</f>
        <v/>
      </c>
      <c r="HE26">
        <f>HE25*IF(OR($C25=108,$G25=108),0,1)</f>
        <v/>
      </c>
      <c r="HF26">
        <f>HF25*IF(OR($C25=109,$G25=109),0,1)</f>
        <v/>
      </c>
      <c r="HG26">
        <f>HG25*IF(OR($C25=110,$G25=110),0,1)</f>
        <v/>
      </c>
      <c r="HH26">
        <f>HH25*IF(OR($C25=111,$G25=111),0,1)</f>
        <v/>
      </c>
      <c r="HI26">
        <f>HI25*IF(OR($C25=112,$G25=112),0,1)</f>
        <v/>
      </c>
      <c r="HJ26">
        <f>HJ25*IF(OR($C25=113,$G25=113),0,1)</f>
        <v/>
      </c>
      <c r="HK26">
        <f>HK25*IF(OR($C25=114,$G25=114),0,1)</f>
        <v/>
      </c>
      <c r="HL26">
        <f>HL25*IF(OR($C25=115,$G25=115),0,1)</f>
        <v/>
      </c>
      <c r="HM26">
        <f>HM25*IF(OR($C25=116,$G25=116),0,1)</f>
        <v/>
      </c>
      <c r="HN26">
        <f>HN25*IF(OR($C25=117,$G25=117),0,1)</f>
        <v/>
      </c>
      <c r="HO26">
        <f>HO25*IF(OR($C25=118,$G25=118),0,1)</f>
        <v/>
      </c>
      <c r="HP26">
        <f>HP25*IF(OR($C25=119,$G25=119),0,1)</f>
        <v/>
      </c>
      <c r="HQ26">
        <f>HQ25*IF(OR($C25=120,$G25=120),0,1)</f>
        <v/>
      </c>
      <c r="HR26">
        <f>HR25*IF(OR($C25=121,$G25=121),0,1)</f>
        <v/>
      </c>
      <c r="HS26">
        <f>HS25*IF(OR($C25=122,$G25=122),0,1)</f>
        <v/>
      </c>
      <c r="HT26">
        <f>HT25*IF(OR($C25=123,$G25=123),0,1)</f>
        <v/>
      </c>
      <c r="HU26">
        <f>HU25*IF(OR($C25=124,$G25=124),0,1)</f>
        <v/>
      </c>
      <c r="HV26">
        <f>HV25*IF(OR($C25=125,$G25=125),0,1)</f>
        <v/>
      </c>
      <c r="HW26">
        <f>HW25*IF(OR($C25=126,$G25=126),0,1)</f>
        <v/>
      </c>
      <c r="HX26">
        <f>HX25*IF(OR($C25=127,$G25=127),0,1)</f>
        <v/>
      </c>
      <c r="HY26">
        <f>HY25*IF(OR($C25=128,$G25=128),0,1)</f>
        <v/>
      </c>
      <c r="HZ26">
        <f>HZ25*IF(OR($C25=129,$G25=129),0,1)</f>
        <v/>
      </c>
      <c r="IA26">
        <f>IA25*IF(OR($C25=130,$G25=130),0,1)</f>
        <v/>
      </c>
      <c r="IB26">
        <f>IB25*IF(OR($C25=131,$G25=131),0,1)</f>
        <v/>
      </c>
      <c r="IC26">
        <f>IC25*IF(OR($C25=132,$G25=132),0,1)</f>
        <v/>
      </c>
      <c r="ID26">
        <f>ID25*IF(OR($C25=133,$G25=133),0,1)</f>
        <v/>
      </c>
      <c r="IE26">
        <f>IE25*IF(OR($C25=134,$G25=134),0,1)</f>
        <v/>
      </c>
      <c r="IF26">
        <f>IF25*IF(OR($C25=135,$G25=135),0,1)</f>
        <v/>
      </c>
      <c r="IG26">
        <f>IG25*IF(OR($C25=136,$G25=136),0,1)</f>
        <v/>
      </c>
      <c r="IH26">
        <f>IH25*IF(OR($C25=137,$G25=137),0,1)</f>
        <v/>
      </c>
      <c r="II26">
        <f>II25*IF(OR($C25=138,$G25=138),0,1)</f>
        <v/>
      </c>
      <c r="IJ26">
        <f>IJ25*IF(OR($C25=139,$G25=139),0,1)</f>
        <v/>
      </c>
      <c r="IK26">
        <f>IK25*IF(OR($C25=140,$G25=140),0,1)</f>
        <v/>
      </c>
      <c r="IL26">
        <f>IL25*IF(OR($C25=141,$G25=141),0,1)</f>
        <v/>
      </c>
      <c r="IM26">
        <f>IM25*IF(OR($C25=142,$G25=142),0,1)</f>
        <v/>
      </c>
      <c r="IN26">
        <f>IN25*IF(OR($C25=143,$G25=143),0,1)</f>
        <v/>
      </c>
      <c r="IO26">
        <f>IO25*IF(OR($C25=144,$G25=144),0,1)</f>
        <v/>
      </c>
      <c r="IQ26">
        <f>IF('計算A'!D$106=1,DC26,1)</f>
        <v/>
      </c>
      <c r="IR26">
        <f>IF('計算A'!E$106=1,DD26,1)</f>
        <v/>
      </c>
      <c r="IS26">
        <f>IF('計算A'!F$106=1,DE26,1)</f>
        <v/>
      </c>
      <c r="IT26">
        <f>IF('計算A'!G$106=1,DF26,1)</f>
        <v/>
      </c>
      <c r="IU26">
        <f>IF('計算A'!H$106=1,DG26,1)</f>
        <v/>
      </c>
      <c r="IV26">
        <f>IF('計算A'!I$106=1,DH26,1)</f>
        <v/>
      </c>
      <c r="IW26">
        <f>IF('計算A'!J$106=1,DI26,1)</f>
        <v/>
      </c>
      <c r="IX26">
        <f>IF('計算A'!K$106=1,DJ26,1)</f>
        <v/>
      </c>
      <c r="IY26">
        <f>IF('計算A'!L$106=1,DK26,1)</f>
        <v/>
      </c>
      <c r="IZ26">
        <f>IF('計算A'!M$106=1,DL26,1)</f>
        <v/>
      </c>
      <c r="JA26">
        <f>IF('計算A'!N$106=1,DM26,1)</f>
        <v/>
      </c>
      <c r="JB26">
        <f>IF('計算A'!O$106=1,DN26,1)</f>
        <v/>
      </c>
      <c r="JC26">
        <f>IF('計算A'!P$106=1,DO26,1)</f>
        <v/>
      </c>
      <c r="JD26">
        <f>IF('計算A'!Q$106=1,DP26,1)</f>
        <v/>
      </c>
      <c r="JE26">
        <f>IF('計算A'!R$106=1,DQ26,1)</f>
        <v/>
      </c>
      <c r="JF26">
        <f>IF('計算A'!S$106=1,DR26,1)</f>
        <v/>
      </c>
      <c r="JG26">
        <f>IF('計算A'!T$106=1,DS26,1)</f>
        <v/>
      </c>
      <c r="JH26">
        <f>IF('計算A'!U$106=1,DT26,1)</f>
        <v/>
      </c>
      <c r="JI26">
        <f>IF('計算A'!V$106=1,DU26,1)</f>
        <v/>
      </c>
      <c r="JJ26">
        <f>IF('計算A'!W$106=1,DV26,1)</f>
        <v/>
      </c>
      <c r="JK26">
        <f>IF('計算A'!X$106=1,DW26,1)</f>
        <v/>
      </c>
      <c r="JL26">
        <f>IF('計算A'!Y$106=1,DX26,1)</f>
        <v/>
      </c>
      <c r="JM26">
        <f>IF('計算A'!Z$106=1,DY26,1)</f>
        <v/>
      </c>
      <c r="JN26">
        <f>IF('計算A'!AA$106=1,DZ26,1)</f>
        <v/>
      </c>
      <c r="JO26">
        <f>IF('計算A'!AB$106=1,EA26,1)</f>
        <v/>
      </c>
      <c r="JP26">
        <f>IF('計算A'!AC$106=1,EB26,1)</f>
        <v/>
      </c>
      <c r="JQ26">
        <f>IF('計算A'!AD$106=1,EC26,1)</f>
        <v/>
      </c>
      <c r="JR26">
        <f>IF('計算A'!AE$106=1,ED26,1)</f>
        <v/>
      </c>
      <c r="JS26">
        <f>IF('計算A'!AF$106=1,EE26,1)</f>
        <v/>
      </c>
      <c r="JT26">
        <f>IF('計算A'!AG$106=1,EF26,1)</f>
        <v/>
      </c>
      <c r="JU26">
        <f>IF('計算A'!AH$106=1,EG26,1)</f>
        <v/>
      </c>
      <c r="JV26">
        <f>IF('計算A'!AI$106=1,EH26,1)</f>
        <v/>
      </c>
      <c r="JW26">
        <f>IF('計算A'!AJ$106=1,EI26,1)</f>
        <v/>
      </c>
      <c r="JX26">
        <f>IF('計算A'!AK$106=1,EJ26,1)</f>
        <v/>
      </c>
      <c r="JY26">
        <f>IF('計算A'!AL$106=1,EK26,1)</f>
        <v/>
      </c>
      <c r="JZ26">
        <f>IF('計算A'!AM$106=1,EL26,1)</f>
        <v/>
      </c>
      <c r="KA26">
        <f>IF('計算A'!AN$106=1,EM26,1)</f>
        <v/>
      </c>
      <c r="KB26">
        <f>IF('計算A'!AO$106=1,EN26,1)</f>
        <v/>
      </c>
      <c r="KC26">
        <f>IF('計算A'!AP$106=1,EO26,1)</f>
        <v/>
      </c>
      <c r="KD26">
        <f>IF('計算A'!AQ$106=1,EP26,1)</f>
        <v/>
      </c>
      <c r="KE26">
        <f>IF('計算A'!AR$106=1,EQ26,1)</f>
        <v/>
      </c>
      <c r="KF26">
        <f>IF('計算A'!AS$106=1,ER26,1)</f>
        <v/>
      </c>
      <c r="KG26">
        <f>IF('計算A'!AT$106=1,ES26,1)</f>
        <v/>
      </c>
      <c r="KH26">
        <f>IF('計算A'!AU$106=1,ET26,1)</f>
        <v/>
      </c>
      <c r="KI26">
        <f>IF('計算A'!AV$106=1,EU26,1)</f>
        <v/>
      </c>
      <c r="KJ26">
        <f>IF('計算A'!AW$106=1,EV26,1)</f>
        <v/>
      </c>
      <c r="KK26">
        <f>IF('計算A'!AX$106=1,EW26,1)</f>
        <v/>
      </c>
      <c r="KL26">
        <f>IF('計算A'!AY$106=1,EX26,1)</f>
        <v/>
      </c>
      <c r="KM26">
        <f>IF('計算A'!AZ$106=1,EY26,1)</f>
        <v/>
      </c>
      <c r="KN26">
        <f>IF('計算A'!BA$106=1,EZ26,1)</f>
        <v/>
      </c>
      <c r="KO26">
        <f>IF('計算A'!BB$106=1,FA26,1)</f>
        <v/>
      </c>
      <c r="KP26">
        <f>IF('計算A'!BC$106=1,FB26,1)</f>
        <v/>
      </c>
      <c r="KQ26">
        <f>IF('計算A'!BD$106=1,FC26,1)</f>
        <v/>
      </c>
      <c r="KR26">
        <f>IF('計算A'!BE$106=1,FD26,1)</f>
        <v/>
      </c>
      <c r="KS26">
        <f>IF('計算A'!BF$106=1,FE26,1)</f>
        <v/>
      </c>
      <c r="KT26">
        <f>IF('計算A'!BG$106=1,FF26,1)</f>
        <v/>
      </c>
      <c r="KU26">
        <f>IF('計算A'!BH$106=1,FG26,1)</f>
        <v/>
      </c>
      <c r="KV26">
        <f>IF('計算A'!BI$106=1,FH26,1)</f>
        <v/>
      </c>
      <c r="KW26">
        <f>IF('計算A'!BJ$106=1,FI26,1)</f>
        <v/>
      </c>
      <c r="KX26">
        <f>IF('計算A'!BK$106=1,FJ26,1)</f>
        <v/>
      </c>
      <c r="KY26">
        <f>IF('計算A'!BL$106=1,FK26,1)</f>
        <v/>
      </c>
      <c r="KZ26">
        <f>IF('計算A'!BM$106=1,FL26,1)</f>
        <v/>
      </c>
      <c r="LA26">
        <f>IF('計算A'!BN$106=1,FM26,1)</f>
        <v/>
      </c>
      <c r="LB26">
        <f>IF('計算A'!BO$106=1,FN26,1)</f>
        <v/>
      </c>
      <c r="LC26">
        <f>IF('計算A'!BP$106=1,FO26,1)</f>
        <v/>
      </c>
      <c r="LD26">
        <f>IF('計算A'!BQ$106=1,FP26,1)</f>
        <v/>
      </c>
      <c r="LE26">
        <f>IF('計算A'!BR$106=1,FQ26,1)</f>
        <v/>
      </c>
      <c r="LF26">
        <f>IF('計算A'!BS$106=1,FR26,1)</f>
        <v/>
      </c>
      <c r="LG26">
        <f>IF('計算A'!BT$106=1,FS26,1)</f>
        <v/>
      </c>
      <c r="LH26">
        <f>IF('計算A'!BU$106=1,FT26,1)</f>
        <v/>
      </c>
      <c r="LI26">
        <f>IF('計算A'!BV$106=1,FU26,1)</f>
        <v/>
      </c>
      <c r="LJ26">
        <f>IF('計算A'!BW$106=1,FV26,1)</f>
        <v/>
      </c>
      <c r="LK26">
        <f>IF('計算A'!BX$106=1,FW26,1)</f>
        <v/>
      </c>
      <c r="LL26">
        <f>IF('計算A'!BY$106=1,FX26,1)</f>
        <v/>
      </c>
      <c r="LM26">
        <f>IF('計算A'!BZ$106=1,FY26,1)</f>
        <v/>
      </c>
      <c r="LN26">
        <f>IF('計算A'!CA$106=1,FZ26,1)</f>
        <v/>
      </c>
      <c r="LO26">
        <f>IF('計算A'!CB$106=1,GA26,1)</f>
        <v/>
      </c>
      <c r="LP26">
        <f>IF('計算A'!CC$106=1,GB26,1)</f>
        <v/>
      </c>
      <c r="LQ26">
        <f>IF('計算A'!CD$106=1,GC26,1)</f>
        <v/>
      </c>
      <c r="LR26">
        <f>IF('計算A'!CE$106=1,GD26,1)</f>
        <v/>
      </c>
      <c r="LS26">
        <f>IF('計算A'!CF$106=1,GE26,1)</f>
        <v/>
      </c>
      <c r="LT26">
        <f>IF('計算A'!CG$106=1,GF26,1)</f>
        <v/>
      </c>
      <c r="LU26">
        <f>IF('計算A'!CH$106=1,GG26,1)</f>
        <v/>
      </c>
      <c r="LV26">
        <f>IF('計算A'!CI$106=1,GH26,1)</f>
        <v/>
      </c>
      <c r="LW26">
        <f>IF('計算A'!CJ$106=1,GI26,1)</f>
        <v/>
      </c>
      <c r="LX26">
        <f>IF('計算A'!CK$106=1,GJ26,1)</f>
        <v/>
      </c>
      <c r="LY26">
        <f>IF('計算A'!CL$106=1,GK26,1)</f>
        <v/>
      </c>
      <c r="LZ26">
        <f>IF('計算A'!CM$106=1,GL26,1)</f>
        <v/>
      </c>
      <c r="MA26">
        <f>IF('計算A'!CN$106=1,GM26,1)</f>
        <v/>
      </c>
      <c r="MB26">
        <f>IF('計算A'!CO$106=1,GN26,1)</f>
        <v/>
      </c>
      <c r="MC26">
        <f>IF('計算A'!CP$106=1,GO26,1)</f>
        <v/>
      </c>
      <c r="MD26">
        <f>IF('計算A'!CQ$106=1,GP26,1)</f>
        <v/>
      </c>
      <c r="ME26">
        <f>IF('計算A'!CR$106=1,GQ26,1)</f>
        <v/>
      </c>
      <c r="MF26">
        <f>IF('計算A'!CS$106=1,GR26,1)</f>
        <v/>
      </c>
      <c r="MG26">
        <f>IF('計算A'!CT$106=1,GS26,1)</f>
        <v/>
      </c>
      <c r="MH26">
        <f>IF('計算A'!CU$106=1,GT26,1)</f>
        <v/>
      </c>
      <c r="MI26">
        <f>IF('計算A'!CV$106=1,GU26,1)</f>
        <v/>
      </c>
      <c r="MJ26">
        <f>IF('計算A'!CW$106=1,GV26,1)</f>
        <v/>
      </c>
      <c r="MK26">
        <f>IF('計算A'!CX$106=1,GW26,1)</f>
        <v/>
      </c>
      <c r="ML26">
        <f>IF('計算A'!CY$106=1,GX26,1)</f>
        <v/>
      </c>
      <c r="MM26">
        <f>IF('計算A'!CZ$106=1,GY26,1)</f>
        <v/>
      </c>
      <c r="MN26">
        <f>IF('計算A'!DA$106=1,GZ26,1)</f>
        <v/>
      </c>
      <c r="MO26">
        <f>IF('計算A'!DB$106=1,HA26,1)</f>
        <v/>
      </c>
      <c r="MP26">
        <f>IF('計算A'!DC$106=1,HB26,1)</f>
        <v/>
      </c>
      <c r="MQ26">
        <f>IF('計算A'!DD$106=1,HC26,1)</f>
        <v/>
      </c>
      <c r="MR26">
        <f>IF('計算A'!DE$106=1,HD26,1)</f>
        <v/>
      </c>
      <c r="MS26">
        <f>IF('計算A'!DF$106=1,HE26,1)</f>
        <v/>
      </c>
      <c r="MT26">
        <f>IF('計算A'!DG$106=1,HF26,1)</f>
        <v/>
      </c>
      <c r="MU26">
        <f>IF('計算A'!DH$106=1,HG26,1)</f>
        <v/>
      </c>
      <c r="MV26">
        <f>IF('計算A'!DI$106=1,HH26,1)</f>
        <v/>
      </c>
      <c r="MW26">
        <f>IF('計算A'!DJ$106=1,HI26,1)</f>
        <v/>
      </c>
      <c r="MX26">
        <f>IF('計算A'!DK$106=1,HJ26,1)</f>
        <v/>
      </c>
      <c r="MY26">
        <f>IF('計算A'!DL$106=1,HK26,1)</f>
        <v/>
      </c>
      <c r="MZ26">
        <f>IF('計算A'!DM$106=1,HL26,1)</f>
        <v/>
      </c>
      <c r="NA26">
        <f>IF('計算A'!DN$106=1,HM26,1)</f>
        <v/>
      </c>
      <c r="NB26">
        <f>IF('計算A'!DO$106=1,HN26,1)</f>
        <v/>
      </c>
      <c r="NC26">
        <f>IF('計算A'!DP$106=1,HO26,1)</f>
        <v/>
      </c>
      <c r="ND26">
        <f>IF('計算A'!DQ$106=1,HP26,1)</f>
        <v/>
      </c>
      <c r="NE26">
        <f>IF('計算A'!DR$106=1,HQ26,1)</f>
        <v/>
      </c>
      <c r="NF26">
        <f>IF('計算A'!DS$106=1,HR26,1)</f>
        <v/>
      </c>
      <c r="NG26">
        <f>IF('計算A'!DT$106=1,HS26,1)</f>
        <v/>
      </c>
      <c r="NH26">
        <f>IF('計算A'!DU$106=1,HT26,1)</f>
        <v/>
      </c>
      <c r="NI26">
        <f>IF('計算A'!DV$106=1,HU26,1)</f>
        <v/>
      </c>
      <c r="NJ26">
        <f>IF('計算A'!DW$106=1,HV26,1)</f>
        <v/>
      </c>
      <c r="NK26">
        <f>IF('計算A'!DX$106=1,HW26,1)</f>
        <v/>
      </c>
      <c r="NL26">
        <f>IF('計算A'!DY$106=1,HX26,1)</f>
        <v/>
      </c>
      <c r="NM26">
        <f>IF('計算A'!DZ$106=1,HY26,1)</f>
        <v/>
      </c>
      <c r="NN26">
        <f>IF('計算A'!EA$106=1,HZ26,1)</f>
        <v/>
      </c>
      <c r="NO26">
        <f>IF('計算A'!EB$106=1,IA26,1)</f>
        <v/>
      </c>
      <c r="NP26">
        <f>IF('計算A'!EC$106=1,IB26,1)</f>
        <v/>
      </c>
      <c r="NQ26">
        <f>IF('計算A'!ED$106=1,IC26,1)</f>
        <v/>
      </c>
      <c r="NR26">
        <f>IF('計算A'!EE$106=1,ID26,1)</f>
        <v/>
      </c>
      <c r="NS26">
        <f>IF('計算A'!EF$106=1,IE26,1)</f>
        <v/>
      </c>
      <c r="NT26">
        <f>IF('計算A'!EG$106=1,IF26,1)</f>
        <v/>
      </c>
      <c r="NU26">
        <f>IF('計算A'!EH$106=1,IG26,1)</f>
        <v/>
      </c>
      <c r="NV26">
        <f>IF('計算A'!EI$106=1,IH26,1)</f>
        <v/>
      </c>
      <c r="NW26">
        <f>IF('計算A'!EJ$106=1,II26,1)</f>
        <v/>
      </c>
      <c r="NX26">
        <f>IF('計算A'!EK$106=1,IJ26,1)</f>
        <v/>
      </c>
      <c r="NY26">
        <f>IF('計算A'!EL$106=1,IK26,1)</f>
        <v/>
      </c>
      <c r="NZ26">
        <f>IF('計算A'!EM$106=1,IL26,1)</f>
        <v/>
      </c>
      <c r="OA26">
        <f>IF('計算A'!EN$106=1,IM26,1)</f>
        <v/>
      </c>
      <c r="OB26">
        <f>IF('計算A'!EO$106=1,IN26,1)</f>
        <v/>
      </c>
      <c r="OC26">
        <f>IF('計算A'!EP$106=1,IO26,1)</f>
        <v/>
      </c>
      <c r="OD26" t="n">
        <v>1</v>
      </c>
      <c r="OF26">
        <f>IF($B26=0,1000000,IF(INDEX('計算A'!$D$60:$EQ$104,$B26,1)*DB26=1,IF(AND($E26=2,IQ26=0),1000000,IF($I26&gt;0,IF(1=$J26,IF(OR(AND(1=$I26+1,OR($K26&lt;&gt;'計算A'!$A$3,'計算A'!$A$4=0)),AND(1=$I26-1,OR(1&lt;&gt;'計算A'!$A$3,'計算A'!$A$4=0))),0,IF(1=$K26,200000,ABS(1-$K26)*100)),100000+ABS(1-$J26)*1000+10)+'計算A'!D$5*50+IF(AND($E26=1,IQ26=0),25,0),INDEX('計算A'!D$110:D$114,$F26+1)+IF(AND($E26=1,IQ26=0),1000,0)+IF($H26=1,(IF('計算A'!D$117=1,INDEX('計算A'!E$10:E$54,$B26),0))*500,0)-IF(AND($L26=1,'計算A'!D$117=1,DC26=0),300,0))),1000000))</f>
        <v/>
      </c>
      <c r="OG26">
        <f>IF($B26=0,1000000,IF(INDEX('計算A'!$D$60:$EQ$104,$B26,2)*DC26=1,IF(AND($E26=2,IR26=0),1000000,IF($I26&gt;0,IF(1=$J26,IF(OR(AND(2=$I26+1,OR($K26&lt;&gt;'計算A'!$A$3,'計算A'!$A$4=0)),AND(2=$I26-1,OR(2&lt;&gt;'計算A'!$A$3,'計算A'!$A$4=0))),0,IF(2=$K26,200000,ABS(2-$K26)*100)),100000+ABS(1-$J26)*1000+20)+'計算A'!E$5*50+IF(AND($E26=1,IR26=0),25,0),INDEX('計算A'!E$110:E$114,$F26+1)+IF(AND($E26=1,IR26=0),1000,0)+IF($H26=1,(IF('計算A'!D$117=1,INDEX('計算A'!D$10:D$54,$B26),0)+IF('計算A'!E$117=1,INDEX('計算A'!F$10:F$54,$B26),0))*500,0)-IF(AND('計算A'!D$117=1,UB26&gt;0),300,0)-IF(AND($L26=1,'計算A'!E$117=1,DD26=0),300,0))),1000000))</f>
        <v/>
      </c>
      <c r="OH26">
        <f>IF($B26=0,1000000,IF(INDEX('計算A'!$D$60:$EQ$104,$B26,3)*DD26=1,IF(AND($E26=2,IS26=0),1000000,IF($I26&gt;0,IF(1=$J26,IF(OR(AND(3=$I26+1,OR($K26&lt;&gt;'計算A'!$A$3,'計算A'!$A$4=0)),AND(3=$I26-1,OR(3&lt;&gt;'計算A'!$A$3,'計算A'!$A$4=0))),0,IF(3=$K26,200000,ABS(3-$K26)*100)),100000+ABS(1-$J26)*1000+30)+'計算A'!F$5*50+IF(AND($E26=1,IS26=0),25,0),INDEX('計算A'!F$110:F$114,$F26+1)+IF(AND($E26=1,IS26=0),1000,0)+IF($H26=1,(IF('計算A'!E$117=1,INDEX('計算A'!E$10:E$54,$B26),0)+IF('計算A'!F$117=1,INDEX('計算A'!G$10:G$54,$B26),0))*500,0)-IF(AND('計算A'!E$117=1,UC26&gt;0),300,0)-IF(AND($L26=1,'計算A'!F$117=1,DE26=0),300,0))),1000000))</f>
        <v/>
      </c>
      <c r="OI26">
        <f>IF($B26=0,1000000,IF(INDEX('計算A'!$D$60:$EQ$104,$B26,4)*DE26=1,IF(AND($E26=2,IT26=0),1000000,IF($I26&gt;0,IF(1=$J26,IF(OR(AND(4=$I26+1,OR($K26&lt;&gt;'計算A'!$A$3,'計算A'!$A$4=0)),AND(4=$I26-1,OR(4&lt;&gt;'計算A'!$A$3,'計算A'!$A$4=0))),0,IF(4=$K26,200000,ABS(4-$K26)*100)),100000+ABS(1-$J26)*1000+40)+'計算A'!G$5*50+IF(AND($E26=1,IT26=0),25,0),INDEX('計算A'!G$110:G$114,$F26+1)+IF(AND($E26=1,IT26=0),1000,0)+IF($H26=1,(IF('計算A'!F$117=1,INDEX('計算A'!F$10:F$54,$B26),0)+IF('計算A'!G$117=1,INDEX('計算A'!H$10:H$54,$B26),0))*500,0)-IF(AND('計算A'!F$117=1,UD26&gt;0),300,0)-IF(AND($L26=1,'計算A'!G$117=1,DF26=0),300,0))),1000000))</f>
        <v/>
      </c>
      <c r="OJ26">
        <f>IF($B26=0,1000000,IF(INDEX('計算A'!$D$60:$EQ$104,$B26,5)*DF26=1,IF(AND($E26=2,IU26=0),1000000,IF($I26&gt;0,IF(1=$J26,IF(OR(AND(5=$I26+1,OR($K26&lt;&gt;'計算A'!$A$3,'計算A'!$A$4=0)),AND(5=$I26-1,OR(5&lt;&gt;'計算A'!$A$3,'計算A'!$A$4=0))),0,IF(5=$K26,200000,ABS(5-$K26)*100)),100000+ABS(1-$J26)*1000+50)+'計算A'!H$5*50+IF(AND($E26=1,IU26=0),25,0),INDEX('計算A'!H$110:H$114,$F26+1)+IF(AND($E26=1,IU26=0),1000,0)+IF($H26=1,(IF('計算A'!G$117=1,INDEX('計算A'!G$10:G$54,$B26),0)+IF('計算A'!H$117=1,INDEX('計算A'!I$10:I$54,$B26),0))*500,0)-IF(AND('計算A'!G$117=1,UE26&gt;0),300,0)-IF(AND($L26=1,'計算A'!H$117=1,DG26=0),300,0))),1000000))</f>
        <v/>
      </c>
      <c r="OK26">
        <f>IF($B26=0,1000000,IF(INDEX('計算A'!$D$60:$EQ$104,$B26,6)*DG26=1,IF(AND($E26=2,IV26=0),1000000,IF($I26&gt;0,IF(1=$J26,IF(OR(AND(6=$I26+1,OR($K26&lt;&gt;'計算A'!$A$3,'計算A'!$A$4=0)),AND(6=$I26-1,OR(6&lt;&gt;'計算A'!$A$3,'計算A'!$A$4=0))),0,IF(6=$K26,200000,ABS(6-$K26)*100)),100000+ABS(1-$J26)*1000+60)+'計算A'!I$5*50+IF(AND($E26=1,IV26=0),25,0),INDEX('計算A'!I$110:I$114,$F26+1)+IF(AND($E26=1,IV26=0),1000,0)+IF($H26=1,(IF('計算A'!H$117=1,INDEX('計算A'!H$10:H$54,$B26),0)+IF('計算A'!I$117=1,INDEX('計算A'!J$10:J$54,$B26),0))*500,0)-IF(AND('計算A'!H$117=1,UF26&gt;0),300,0)-IF(AND($L26=1,'計算A'!I$117=1,DH26=0),300,0))),1000000))</f>
        <v/>
      </c>
      <c r="OL26">
        <f>IF($B26=0,1000000,IF(INDEX('計算A'!$D$60:$EQ$104,$B26,7)*DH26=1,IF(AND($E26=2,IW26=0),1000000,IF($I26&gt;0,IF(1=$J26,IF(OR(AND(7=$I26+1,OR($K26&lt;&gt;'計算A'!$A$3,'計算A'!$A$4=0)),AND(7=$I26-1,OR(7&lt;&gt;'計算A'!$A$3,'計算A'!$A$4=0))),0,IF(7=$K26,200000,ABS(7-$K26)*100)),100000+ABS(1-$J26)*1000+70)+'計算A'!J$5*50+IF(AND($E26=1,IW26=0),25,0),INDEX('計算A'!J$110:J$114,$F26+1)+IF(AND($E26=1,IW26=0),1000,0)+IF($H26=1,(IF('計算A'!I$117=1,INDEX('計算A'!I$10:I$54,$B26),0)+IF('計算A'!J$117=1,INDEX('計算A'!K$10:K$54,$B26),0))*500,0)-IF(AND('計算A'!I$117=1,UG26&gt;0),300,0)-IF(AND($L26=1,'計算A'!J$117=1,DI26=0),300,0))),1000000))</f>
        <v/>
      </c>
      <c r="OM26">
        <f>IF($B26=0,1000000,IF(INDEX('計算A'!$D$60:$EQ$104,$B26,8)*DI26=1,IF(AND($E26=2,IX26=0),1000000,IF($I26&gt;0,IF(1=$J26,IF(OR(AND(8=$I26+1,OR($K26&lt;&gt;'計算A'!$A$3,'計算A'!$A$4=0)),AND(8=$I26-1,OR(8&lt;&gt;'計算A'!$A$3,'計算A'!$A$4=0))),0,IF(8=$K26,200000,ABS(8-$K26)*100)),100000+ABS(1-$J26)*1000+80)+'計算A'!K$5*50+IF(AND($E26=1,IX26=0),25,0),INDEX('計算A'!K$110:K$114,$F26+1)+IF(AND($E26=1,IX26=0),1000,0)+IF($H26=1,(IF('計算A'!J$117=1,INDEX('計算A'!J$10:J$54,$B26),0)+IF('計算A'!K$117=1,INDEX('計算A'!L$10:L$54,$B26),0))*500,0)-IF(AND('計算A'!J$117=1,UH26&gt;0),300,0)-IF(AND($L26=1,'計算A'!K$117=1,DJ26=0),300,0))),1000000))</f>
        <v/>
      </c>
      <c r="ON26">
        <f>IF($B26=0,1000000,IF(INDEX('計算A'!$D$60:$EQ$104,$B26,9)*DJ26=1,IF(AND($E26=2,IY26=0),1000000,IF($I26&gt;0,IF(1=$J26,IF(OR(AND(9=$I26+1,OR($K26&lt;&gt;'計算A'!$A$3,'計算A'!$A$4=0)),AND(9=$I26-1,OR(9&lt;&gt;'計算A'!$A$3,'計算A'!$A$4=0))),0,IF(9=$K26,200000,ABS(9-$K26)*100)),100000+ABS(1-$J26)*1000+90)+'計算A'!L$5*50+IF(AND($E26=1,IY26=0),25,0),INDEX('計算A'!L$110:L$114,$F26+1)+IF(AND($E26=1,IY26=0),1000,0)+IF($H26=1,(IF('計算A'!K$117=1,INDEX('計算A'!K$10:K$54,$B26),0)+IF('計算A'!L$117=1,INDEX('計算A'!M$10:M$54,$B26),0))*500,0)-IF(AND('計算A'!K$117=1,UI26&gt;0),300,0)-IF(AND($L26=1,'計算A'!L$117=1,DK26=0),300,0))),1000000))</f>
        <v/>
      </c>
      <c r="OO26">
        <f>IF($B26=0,1000000,IF(INDEX('計算A'!$D$60:$EQ$104,$B26,10)*DK26=1,IF(AND($E26=2,IZ26=0),1000000,IF($I26&gt;0,IF(1=$J26,IF(OR(AND(10=$I26+1,OR($K26&lt;&gt;'計算A'!$A$3,'計算A'!$A$4=0)),AND(10=$I26-1,OR(10&lt;&gt;'計算A'!$A$3,'計算A'!$A$4=0))),0,IF(10=$K26,200000,ABS(10-$K26)*100)),100000+ABS(1-$J26)*1000+100)+'計算A'!M$5*50+IF(AND($E26=1,IZ26=0),25,0),INDEX('計算A'!M$110:M$114,$F26+1)+IF(AND($E26=1,IZ26=0),1000,0)+IF($H26=1,(IF('計算A'!L$117=1,INDEX('計算A'!L$10:L$54,$B26),0)+IF('計算A'!M$117=1,INDEX('計算A'!N$10:N$54,$B26),0))*500,0)-IF(AND('計算A'!L$117=1,UJ26&gt;0),300,0)-IF(AND($L26=1,'計算A'!M$117=1,DL26=0),300,0))),1000000))</f>
        <v/>
      </c>
      <c r="OP26">
        <f>IF($B26=0,1000000,IF(INDEX('計算A'!$D$60:$EQ$104,$B26,11)*DL26=1,IF(AND($E26=2,JA26=0),1000000,IF($I26&gt;0,IF(1=$J26,IF(OR(AND(11=$I26+1,OR($K26&lt;&gt;'計算A'!$A$3,'計算A'!$A$4=0)),AND(11=$I26-1,OR(11&lt;&gt;'計算A'!$A$3,'計算A'!$A$4=0))),0,IF(11=$K26,200000,ABS(11-$K26)*100)),100000+ABS(1-$J26)*1000+110)+'計算A'!N$5*50+IF(AND($E26=1,JA26=0),25,0),INDEX('計算A'!N$110:N$114,$F26+1)+IF(AND($E26=1,JA26=0),1000,0)+IF($H26=1,(IF('計算A'!M$117=1,INDEX('計算A'!M$10:M$54,$B26),0)+IF('計算A'!N$117=1,INDEX('計算A'!O$10:O$54,$B26),0))*500,0)-IF(AND('計算A'!M$117=1,UK26&gt;0),300,0)-IF(AND($L26=1,'計算A'!N$117=1,DM26=0),300,0))),1000000))</f>
        <v/>
      </c>
      <c r="OQ26">
        <f>IF($B26=0,1000000,IF(INDEX('計算A'!$D$60:$EQ$104,$B26,12)*DM26=1,IF(AND($E26=2,JB26=0),1000000,IF($I26&gt;0,IF(1=$J26,IF(OR(AND(12=$I26+1,OR($K26&lt;&gt;'計算A'!$A$3,'計算A'!$A$4=0)),AND(12=$I26-1,OR(12&lt;&gt;'計算A'!$A$3,'計算A'!$A$4=0))),0,IF(12=$K26,200000,ABS(12-$K26)*100)),100000+ABS(1-$J26)*1000+120)+'計算A'!O$5*50+IF(AND($E26=1,JB26=0),25,0),INDEX('計算A'!O$110:O$114,$F26+1)+IF(AND($E26=1,JB26=0),1000,0)+IF($H26=1,(IF('計算A'!N$117=1,INDEX('計算A'!N$10:N$54,$B26),0)+IF('計算A'!O$117=1,INDEX('計算A'!P$10:P$54,$B26),0))*500,0)-IF(AND('計算A'!N$117=1,UL26&gt;0),300,0)-IF(AND($L26=1,'計算A'!O$117=1,DN26=0),300,0))),1000000))</f>
        <v/>
      </c>
      <c r="OR26">
        <f>IF($B26=0,1000000,IF(INDEX('計算A'!$D$60:$EQ$104,$B26,13)*DN26=1,IF(AND($E26=2,JC26=0),1000000,IF($I26&gt;0,IF(1=$J26,IF(OR(AND(13=$I26+1,OR($K26&lt;&gt;'計算A'!$A$3,'計算A'!$A$4=0)),AND(13=$I26-1,OR(13&lt;&gt;'計算A'!$A$3,'計算A'!$A$4=0))),0,IF(13=$K26,200000,ABS(13-$K26)*100)),100000+ABS(1-$J26)*1000+130)+'計算A'!P$5*50+IF(AND($E26=1,JC26=0),25,0),INDEX('計算A'!P$110:P$114,$F26+1)+IF(AND($E26=1,JC26=0),1000,0)+IF($H26=1,(IF('計算A'!O$117=1,INDEX('計算A'!O$10:O$54,$B26),0)+IF('計算A'!P$117=1,INDEX('計算A'!Q$10:Q$54,$B26),0))*500,0)-IF(AND('計算A'!O$117=1,UM26&gt;0),300,0)-IF(AND($L26=1,'計算A'!P$117=1,DO26=0),300,0))),1000000))</f>
        <v/>
      </c>
      <c r="OS26">
        <f>IF($B26=0,1000000,IF(INDEX('計算A'!$D$60:$EQ$104,$B26,14)*DO26=1,IF(AND($E26=2,JD26=0),1000000,IF($I26&gt;0,IF(1=$J26,IF(OR(AND(14=$I26+1,OR($K26&lt;&gt;'計算A'!$A$3,'計算A'!$A$4=0)),AND(14=$I26-1,OR(14&lt;&gt;'計算A'!$A$3,'計算A'!$A$4=0))),0,IF(14=$K26,200000,ABS(14-$K26)*100)),100000+ABS(1-$J26)*1000+140)+'計算A'!Q$5*50+IF(AND($E26=1,JD26=0),25,0),INDEX('計算A'!Q$110:Q$114,$F26+1)+IF(AND($E26=1,JD26=0),1000,0)+IF($H26=1,(IF('計算A'!P$117=1,INDEX('計算A'!P$10:P$54,$B26),0)+IF('計算A'!Q$117=1,INDEX('計算A'!R$10:R$54,$B26),0))*500,0)-IF(AND('計算A'!P$117=1,UN26&gt;0),300,0)-IF(AND($L26=1,'計算A'!Q$117=1,DP26=0),300,0))),1000000))</f>
        <v/>
      </c>
      <c r="OT26">
        <f>IF($B26=0,1000000,IF(INDEX('計算A'!$D$60:$EQ$104,$B26,15)*DP26=1,IF(AND($E26=2,JE26=0),1000000,IF($I26&gt;0,IF(1=$J26,IF(OR(AND(15=$I26+1,OR($K26&lt;&gt;'計算A'!$A$3,'計算A'!$A$4=0)),AND(15=$I26-1,OR(15&lt;&gt;'計算A'!$A$3,'計算A'!$A$4=0))),0,IF(15=$K26,200000,ABS(15-$K26)*100)),100000+ABS(1-$J26)*1000+150)+'計算A'!R$5*50+IF(AND($E26=1,JE26=0),25,0),INDEX('計算A'!R$110:R$114,$F26+1)+IF(AND($E26=1,JE26=0),1000,0)+IF($H26=1,(IF('計算A'!Q$117=1,INDEX('計算A'!Q$10:Q$54,$B26),0)+IF('計算A'!R$117=1,INDEX('計算A'!S$10:S$54,$B26),0))*500,0)-IF(AND('計算A'!Q$117=1,UO26&gt;0),300,0)-IF(AND($L26=1,'計算A'!R$117=1,DQ26=0),300,0))),1000000))</f>
        <v/>
      </c>
      <c r="OU26">
        <f>IF($B26=0,1000000,IF(INDEX('計算A'!$D$60:$EQ$104,$B26,16)*DQ26=1,IF(AND($E26=2,JF26=0),1000000,IF($I26&gt;0,IF(1=$J26,IF(OR(AND(16=$I26+1,OR($K26&lt;&gt;'計算A'!$A$3,'計算A'!$A$4=0)),AND(16=$I26-1,OR(16&lt;&gt;'計算A'!$A$3,'計算A'!$A$4=0))),0,IF(16=$K26,200000,ABS(16-$K26)*100)),100000+ABS(1-$J26)*1000+160)+'計算A'!S$5*50+IF(AND($E26=1,JF26=0),25,0),INDEX('計算A'!S$110:S$114,$F26+1)+IF(AND($E26=1,JF26=0),1000,0)+IF($H26=1,(IF('計算A'!R$117=1,INDEX('計算A'!R$10:R$54,$B26),0)+IF('計算A'!S$117=1,INDEX('計算A'!T$10:T$54,$B26),0))*500,0)-IF(AND('計算A'!R$117=1,UP26&gt;0),300,0)-IF(AND($L26=1,'計算A'!S$117=1,DR26=0),300,0))),1000000))</f>
        <v/>
      </c>
      <c r="OV26">
        <f>IF($B26=0,1000000,IF(INDEX('計算A'!$D$60:$EQ$104,$B26,17)*DR26=1,IF(AND($E26=2,JG26=0),1000000,IF($I26&gt;0,IF(1=$J26,IF(OR(AND(17=$I26+1,OR($K26&lt;&gt;'計算A'!$A$3,'計算A'!$A$4=0)),AND(17=$I26-1,OR(17&lt;&gt;'計算A'!$A$3,'計算A'!$A$4=0))),0,IF(17=$K26,200000,ABS(17-$K26)*100)),100000+ABS(1-$J26)*1000+170)+'計算A'!T$5*50+IF(AND($E26=1,JG26=0),25,0),INDEX('計算A'!T$110:T$114,$F26+1)+IF(AND($E26=1,JG26=0),1000,0)+IF($H26=1,(IF('計算A'!S$117=1,INDEX('計算A'!S$10:S$54,$B26),0)+IF('計算A'!T$117=1,INDEX('計算A'!U$10:U$54,$B26),0))*500,0)-IF(AND('計算A'!S$117=1,UQ26&gt;0),300,0)-IF(AND($L26=1,'計算A'!T$117=1,DS26=0),300,0))),1000000))</f>
        <v/>
      </c>
      <c r="OW26">
        <f>IF($B26=0,1000000,IF(INDEX('計算A'!$D$60:$EQ$104,$B26,18)*DS26=1,IF(AND($E26=2,JH26=0),1000000,IF($I26&gt;0,IF(1=$J26,IF(OR(AND(18=$I26+1,OR($K26&lt;&gt;'計算A'!$A$3,'計算A'!$A$4=0)),AND(18=$I26-1,OR(18&lt;&gt;'計算A'!$A$3,'計算A'!$A$4=0))),0,IF(18=$K26,200000,ABS(18-$K26)*100)),100000+ABS(1-$J26)*1000+180)+'計算A'!U$5*50+IF(AND($E26=1,JH26=0),25,0),INDEX('計算A'!U$110:U$114,$F26+1)+IF(AND($E26=1,JH26=0),1000,0)+IF($H26=1,(IF('計算A'!T$117=1,INDEX('計算A'!T$10:T$54,$B26),0)+IF('計算A'!U$117=1,INDEX('計算A'!V$10:V$54,$B26),0))*500,0)-IF(AND('計算A'!T$117=1,UR26&gt;0),300,0)-IF(AND($L26=1,'計算A'!U$117=1,DT26=0),300,0))),1000000))</f>
        <v/>
      </c>
      <c r="OX26">
        <f>IF($B26=0,1000000,IF(INDEX('計算A'!$D$60:$EQ$104,$B26,19)*DT26=1,IF(AND($E26=2,JI26=0),1000000,IF($I26&gt;0,IF(1=$J26,IF(OR(AND(19=$I26+1,OR($K26&lt;&gt;'計算A'!$A$3,'計算A'!$A$4=0)),AND(19=$I26-1,OR(19&lt;&gt;'計算A'!$A$3,'計算A'!$A$4=0))),0,IF(19=$K26,200000,ABS(19-$K26)*100)),100000+ABS(1-$J26)*1000+190)+'計算A'!V$5*50+IF(AND($E26=1,JI26=0),25,0),INDEX('計算A'!V$110:V$114,$F26+1)+IF(AND($E26=1,JI26=0),1000,0)+IF($H26=1,(IF('計算A'!U$117=1,INDEX('計算A'!U$10:U$54,$B26),0)+IF('計算A'!V$117=1,INDEX('計算A'!W$10:W$54,$B26),0))*500,0)-IF(AND('計算A'!U$117=1,US26&gt;0),300,0)-IF(AND($L26=1,'計算A'!V$117=1,DU26=0),300,0))),1000000))</f>
        <v/>
      </c>
      <c r="OY26">
        <f>IF($B26=0,1000000,IF(INDEX('計算A'!$D$60:$EQ$104,$B26,20)*DU26=1,IF(AND($E26=2,JJ26=0),1000000,IF($I26&gt;0,IF(1=$J26,IF(OR(AND(20=$I26+1,OR($K26&lt;&gt;'計算A'!$A$3,'計算A'!$A$4=0)),AND(20=$I26-1,OR(20&lt;&gt;'計算A'!$A$3,'計算A'!$A$4=0))),0,IF(20=$K26,200000,ABS(20-$K26)*100)),100000+ABS(1-$J26)*1000+200)+'計算A'!W$5*50+IF(AND($E26=1,JJ26=0),25,0),INDEX('計算A'!W$110:W$114,$F26+1)+IF(AND($E26=1,JJ26=0),1000,0)+IF($H26=1,(IF('計算A'!V$117=1,INDEX('計算A'!V$10:V$54,$B26),0)+IF('計算A'!W$117=1,INDEX('計算A'!X$10:X$54,$B26),0))*500,0)-IF(AND('計算A'!V$117=1,UT26&gt;0),300,0)-IF(AND($L26=1,'計算A'!W$117=1,DV26=0),300,0))),1000000))</f>
        <v/>
      </c>
      <c r="OZ26">
        <f>IF($B26=0,1000000,IF(INDEX('計算A'!$D$60:$EQ$104,$B26,21)*DV26=1,IF(AND($E26=2,JK26=0),1000000,IF($I26&gt;0,IF(1=$J26,IF(OR(AND(21=$I26+1,OR($K26&lt;&gt;'計算A'!$A$3,'計算A'!$A$4=0)),AND(21=$I26-1,OR(21&lt;&gt;'計算A'!$A$3,'計算A'!$A$4=0))),0,IF(21=$K26,200000,ABS(21-$K26)*100)),100000+ABS(1-$J26)*1000+210)+'計算A'!X$5*50+IF(AND($E26=1,JK26=0),25,0),INDEX('計算A'!X$110:X$114,$F26+1)+IF(AND($E26=1,JK26=0),1000,0)+IF($H26=1,(IF('計算A'!W$117=1,INDEX('計算A'!W$10:W$54,$B26),0)+IF('計算A'!X$117=1,INDEX('計算A'!Y$10:Y$54,$B26),0))*500,0)-IF(AND('計算A'!W$117=1,UU26&gt;0),300,0)-IF(AND($L26=1,'計算A'!X$117=1,DW26=0),300,0))),1000000))</f>
        <v/>
      </c>
      <c r="PA26">
        <f>IF($B26=0,1000000,IF(INDEX('計算A'!$D$60:$EQ$104,$B26,22)*DW26=1,IF(AND($E26=2,JL26=0),1000000,IF($I26&gt;0,IF(1=$J26,IF(OR(AND(22=$I26+1,OR($K26&lt;&gt;'計算A'!$A$3,'計算A'!$A$4=0)),AND(22=$I26-1,OR(22&lt;&gt;'計算A'!$A$3,'計算A'!$A$4=0))),0,IF(22=$K26,200000,ABS(22-$K26)*100)),100000+ABS(1-$J26)*1000+220)+'計算A'!Y$5*50+IF(AND($E26=1,JL26=0),25,0),INDEX('計算A'!Y$110:Y$114,$F26+1)+IF(AND($E26=1,JL26=0),1000,0)+IF($H26=1,(IF('計算A'!X$117=1,INDEX('計算A'!X$10:X$54,$B26),0)+IF('計算A'!Y$117=1,INDEX('計算A'!Z$10:Z$54,$B26),0))*500,0)-IF(AND('計算A'!X$117=1,UV26&gt;0),300,0)-IF(AND($L26=1,'計算A'!Y$117=1,DX26=0),300,0))),1000000))</f>
        <v/>
      </c>
      <c r="PB26">
        <f>IF($B26=0,1000000,IF(INDEX('計算A'!$D$60:$EQ$104,$B26,23)*DX26=1,IF(AND($E26=2,JM26=0),1000000,IF($I26&gt;0,IF(1=$J26,IF(OR(AND(23=$I26+1,OR($K26&lt;&gt;'計算A'!$A$3,'計算A'!$A$4=0)),AND(23=$I26-1,OR(23&lt;&gt;'計算A'!$A$3,'計算A'!$A$4=0))),0,IF(23=$K26,200000,ABS(23-$K26)*100)),100000+ABS(1-$J26)*1000+230)+'計算A'!Z$5*50+IF(AND($E26=1,JM26=0),25,0),INDEX('計算A'!Z$110:Z$114,$F26+1)+IF(AND($E26=1,JM26=0),1000,0)+IF($H26=1,(IF('計算A'!Y$117=1,INDEX('計算A'!Y$10:Y$54,$B26),0)+IF('計算A'!Z$117=1,INDEX('計算A'!AA$10:AA$54,$B26),0))*500,0)-IF(AND('計算A'!Y$117=1,UW26&gt;0),300,0)-IF(AND($L26=1,'計算A'!Z$117=1,DY26=0),300,0))),1000000))</f>
        <v/>
      </c>
      <c r="PC26">
        <f>IF($B26=0,1000000,IF(INDEX('計算A'!$D$60:$EQ$104,$B26,24)*DY26=1,IF(AND($E26=2,JN26=0),1000000,IF($I26&gt;0,IF(1=$J26,IF(OR(AND(24=$I26+1,OR($K26&lt;&gt;'計算A'!$A$3,'計算A'!$A$4=0)),AND(24=$I26-1,OR(24&lt;&gt;'計算A'!$A$3,'計算A'!$A$4=0))),0,IF(24=$K26,200000,ABS(24-$K26)*100)),100000+ABS(1-$J26)*1000+240)+'計算A'!AA$5*50+IF(AND($E26=1,JN26=0),25,0),INDEX('計算A'!AA$110:AA$114,$F26+1)+IF(AND($E26=1,JN26=0),1000,0)+IF($H26=1,(IF('計算A'!Z$117=1,INDEX('計算A'!Z$10:Z$54,$B26),0))*500,0)-IF(AND('計算A'!Z$117=1,UX26&gt;0),300,0))),1000000))</f>
        <v/>
      </c>
      <c r="PD26">
        <f>IF($B26=0,1000000,IF(INDEX('計算A'!$D$60:$EQ$104,$B26,25)*DZ26=1,IF(AND($E26=2,JO26=0),1000000,IF($I26&gt;0,IF(2=$J26,IF(OR(AND(25=$I26+1,OR($K26&lt;&gt;'計算A'!$A$3,'計算A'!$A$4=0)),AND(25=$I26-1,OR(1&lt;&gt;'計算A'!$A$3,'計算A'!$A$4=0))),0,IF(1=$K26,200000,ABS(1-$K26)*100)),100000+ABS(2-$J26)*1000+10)+'計算A'!AB$5*50+IF(AND($E26=1,JO26=0),25,0),INDEX('計算A'!AB$110:AB$114,$F26+1)+IF(AND($E26=1,JO26=0),1000,0)+IF($H26=1,(IF('計算A'!AB$117=1,INDEX('計算A'!AC$10:AC$54,$B26),0))*500,0)-IF(AND($L26=1,'計算A'!AB$117=1,EA26=0),300,0))),1000000))</f>
        <v/>
      </c>
      <c r="PE26">
        <f>IF($B26=0,1000000,IF(INDEX('計算A'!$D$60:$EQ$104,$B26,26)*EA26=1,IF(AND($E26=2,JP26=0),1000000,IF($I26&gt;0,IF(2=$J26,IF(OR(AND(26=$I26+1,OR($K26&lt;&gt;'計算A'!$A$3,'計算A'!$A$4=0)),AND(26=$I26-1,OR(2&lt;&gt;'計算A'!$A$3,'計算A'!$A$4=0))),0,IF(2=$K26,200000,ABS(2-$K26)*100)),100000+ABS(2-$J26)*1000+20)+'計算A'!AC$5*50+IF(AND($E26=1,JP26=0),25,0),INDEX('計算A'!AC$110:AC$114,$F26+1)+IF(AND($E26=1,JP26=0),1000,0)+IF($H26=1,(IF('計算A'!AB$117=1,INDEX('計算A'!AB$10:AB$54,$B26),0)+IF('計算A'!AC$117=1,INDEX('計算A'!AD$10:AD$54,$B26),0))*500,0)-IF(AND('計算A'!AB$117=1,UZ26&gt;0),300,0)-IF(AND($L26=1,'計算A'!AC$117=1,EB26=0),300,0))),1000000))</f>
        <v/>
      </c>
      <c r="PF26">
        <f>IF($B26=0,1000000,IF(INDEX('計算A'!$D$60:$EQ$104,$B26,27)*EB26=1,IF(AND($E26=2,JQ26=0),1000000,IF($I26&gt;0,IF(2=$J26,IF(OR(AND(27=$I26+1,OR($K26&lt;&gt;'計算A'!$A$3,'計算A'!$A$4=0)),AND(27=$I26-1,OR(3&lt;&gt;'計算A'!$A$3,'計算A'!$A$4=0))),0,IF(3=$K26,200000,ABS(3-$K26)*100)),100000+ABS(2-$J26)*1000+30)+'計算A'!AD$5*50+IF(AND($E26=1,JQ26=0),25,0),INDEX('計算A'!AD$110:AD$114,$F26+1)+IF(AND($E26=1,JQ26=0),1000,0)+IF($H26=1,(IF('計算A'!AC$117=1,INDEX('計算A'!AC$10:AC$54,$B26),0)+IF('計算A'!AD$117=1,INDEX('計算A'!AE$10:AE$54,$B26),0))*500,0)-IF(AND('計算A'!AC$117=1,VA26&gt;0),300,0)-IF(AND($L26=1,'計算A'!AD$117=1,EC26=0),300,0))),1000000))</f>
        <v/>
      </c>
      <c r="PG26">
        <f>IF($B26=0,1000000,IF(INDEX('計算A'!$D$60:$EQ$104,$B26,28)*EC26=1,IF(AND($E26=2,JR26=0),1000000,IF($I26&gt;0,IF(2=$J26,IF(OR(AND(28=$I26+1,OR($K26&lt;&gt;'計算A'!$A$3,'計算A'!$A$4=0)),AND(28=$I26-1,OR(4&lt;&gt;'計算A'!$A$3,'計算A'!$A$4=0))),0,IF(4=$K26,200000,ABS(4-$K26)*100)),100000+ABS(2-$J26)*1000+40)+'計算A'!AE$5*50+IF(AND($E26=1,JR26=0),25,0),INDEX('計算A'!AE$110:AE$114,$F26+1)+IF(AND($E26=1,JR26=0),1000,0)+IF($H26=1,(IF('計算A'!AD$117=1,INDEX('計算A'!AD$10:AD$54,$B26),0)+IF('計算A'!AE$117=1,INDEX('計算A'!AF$10:AF$54,$B26),0))*500,0)-IF(AND('計算A'!AD$117=1,VB26&gt;0),300,0)-IF(AND($L26=1,'計算A'!AE$117=1,ED26=0),300,0))),1000000))</f>
        <v/>
      </c>
      <c r="PH26">
        <f>IF($B26=0,1000000,IF(INDEX('計算A'!$D$60:$EQ$104,$B26,29)*ED26=1,IF(AND($E26=2,JS26=0),1000000,IF($I26&gt;0,IF(2=$J26,IF(OR(AND(29=$I26+1,OR($K26&lt;&gt;'計算A'!$A$3,'計算A'!$A$4=0)),AND(29=$I26-1,OR(5&lt;&gt;'計算A'!$A$3,'計算A'!$A$4=0))),0,IF(5=$K26,200000,ABS(5-$K26)*100)),100000+ABS(2-$J26)*1000+50)+'計算A'!AF$5*50+IF(AND($E26=1,JS26=0),25,0),INDEX('計算A'!AF$110:AF$114,$F26+1)+IF(AND($E26=1,JS26=0),1000,0)+IF($H26=1,(IF('計算A'!AE$117=1,INDEX('計算A'!AE$10:AE$54,$B26),0)+IF('計算A'!AF$117=1,INDEX('計算A'!AG$10:AG$54,$B26),0))*500,0)-IF(AND('計算A'!AE$117=1,VC26&gt;0),300,0)-IF(AND($L26=1,'計算A'!AF$117=1,EE26=0),300,0))),1000000))</f>
        <v/>
      </c>
      <c r="PI26">
        <f>IF($B26=0,1000000,IF(INDEX('計算A'!$D$60:$EQ$104,$B26,30)*EE26=1,IF(AND($E26=2,JT26=0),1000000,IF($I26&gt;0,IF(2=$J26,IF(OR(AND(30=$I26+1,OR($K26&lt;&gt;'計算A'!$A$3,'計算A'!$A$4=0)),AND(30=$I26-1,OR(6&lt;&gt;'計算A'!$A$3,'計算A'!$A$4=0))),0,IF(6=$K26,200000,ABS(6-$K26)*100)),100000+ABS(2-$J26)*1000+60)+'計算A'!AG$5*50+IF(AND($E26=1,JT26=0),25,0),INDEX('計算A'!AG$110:AG$114,$F26+1)+IF(AND($E26=1,JT26=0),1000,0)+IF($H26=1,(IF('計算A'!AF$117=1,INDEX('計算A'!AF$10:AF$54,$B26),0)+IF('計算A'!AG$117=1,INDEX('計算A'!AH$10:AH$54,$B26),0))*500,0)-IF(AND('計算A'!AF$117=1,VD26&gt;0),300,0)-IF(AND($L26=1,'計算A'!AG$117=1,EF26=0),300,0))),1000000))</f>
        <v/>
      </c>
      <c r="PJ26">
        <f>IF($B26=0,1000000,IF(INDEX('計算A'!$D$60:$EQ$104,$B26,31)*EF26=1,IF(AND($E26=2,JU26=0),1000000,IF($I26&gt;0,IF(2=$J26,IF(OR(AND(31=$I26+1,OR($K26&lt;&gt;'計算A'!$A$3,'計算A'!$A$4=0)),AND(31=$I26-1,OR(7&lt;&gt;'計算A'!$A$3,'計算A'!$A$4=0))),0,IF(7=$K26,200000,ABS(7-$K26)*100)),100000+ABS(2-$J26)*1000+70)+'計算A'!AH$5*50+IF(AND($E26=1,JU26=0),25,0),INDEX('計算A'!AH$110:AH$114,$F26+1)+IF(AND($E26=1,JU26=0),1000,0)+IF($H26=1,(IF('計算A'!AG$117=1,INDEX('計算A'!AG$10:AG$54,$B26),0)+IF('計算A'!AH$117=1,INDEX('計算A'!AI$10:AI$54,$B26),0))*500,0)-IF(AND('計算A'!AG$117=1,VE26&gt;0),300,0)-IF(AND($L26=1,'計算A'!AH$117=1,EG26=0),300,0))),1000000))</f>
        <v/>
      </c>
      <c r="PK26">
        <f>IF($B26=0,1000000,IF(INDEX('計算A'!$D$60:$EQ$104,$B26,32)*EG26=1,IF(AND($E26=2,JV26=0),1000000,IF($I26&gt;0,IF(2=$J26,IF(OR(AND(32=$I26+1,OR($K26&lt;&gt;'計算A'!$A$3,'計算A'!$A$4=0)),AND(32=$I26-1,OR(8&lt;&gt;'計算A'!$A$3,'計算A'!$A$4=0))),0,IF(8=$K26,200000,ABS(8-$K26)*100)),100000+ABS(2-$J26)*1000+80)+'計算A'!AI$5*50+IF(AND($E26=1,JV26=0),25,0),INDEX('計算A'!AI$110:AI$114,$F26+1)+IF(AND($E26=1,JV26=0),1000,0)+IF($H26=1,(IF('計算A'!AH$117=1,INDEX('計算A'!AH$10:AH$54,$B26),0)+IF('計算A'!AI$117=1,INDEX('計算A'!AJ$10:AJ$54,$B26),0))*500,0)-IF(AND('計算A'!AH$117=1,VF26&gt;0),300,0)-IF(AND($L26=1,'計算A'!AI$117=1,EH26=0),300,0))),1000000))</f>
        <v/>
      </c>
      <c r="PL26">
        <f>IF($B26=0,1000000,IF(INDEX('計算A'!$D$60:$EQ$104,$B26,33)*EH26=1,IF(AND($E26=2,JW26=0),1000000,IF($I26&gt;0,IF(2=$J26,IF(OR(AND(33=$I26+1,OR($K26&lt;&gt;'計算A'!$A$3,'計算A'!$A$4=0)),AND(33=$I26-1,OR(9&lt;&gt;'計算A'!$A$3,'計算A'!$A$4=0))),0,IF(9=$K26,200000,ABS(9-$K26)*100)),100000+ABS(2-$J26)*1000+90)+'計算A'!AJ$5*50+IF(AND($E26=1,JW26=0),25,0),INDEX('計算A'!AJ$110:AJ$114,$F26+1)+IF(AND($E26=1,JW26=0),1000,0)+IF($H26=1,(IF('計算A'!AI$117=1,INDEX('計算A'!AI$10:AI$54,$B26),0)+IF('計算A'!AJ$117=1,INDEX('計算A'!AK$10:AK$54,$B26),0))*500,0)-IF(AND('計算A'!AI$117=1,VG26&gt;0),300,0)-IF(AND($L26=1,'計算A'!AJ$117=1,EI26=0),300,0))),1000000))</f>
        <v/>
      </c>
      <c r="PM26">
        <f>IF($B26=0,1000000,IF(INDEX('計算A'!$D$60:$EQ$104,$B26,34)*EI26=1,IF(AND($E26=2,JX26=0),1000000,IF($I26&gt;0,IF(2=$J26,IF(OR(AND(34=$I26+1,OR($K26&lt;&gt;'計算A'!$A$3,'計算A'!$A$4=0)),AND(34=$I26-1,OR(10&lt;&gt;'計算A'!$A$3,'計算A'!$A$4=0))),0,IF(10=$K26,200000,ABS(10-$K26)*100)),100000+ABS(2-$J26)*1000+100)+'計算A'!AK$5*50+IF(AND($E26=1,JX26=0),25,0),INDEX('計算A'!AK$110:AK$114,$F26+1)+IF(AND($E26=1,JX26=0),1000,0)+IF($H26=1,(IF('計算A'!AJ$117=1,INDEX('計算A'!AJ$10:AJ$54,$B26),0)+IF('計算A'!AK$117=1,INDEX('計算A'!AL$10:AL$54,$B26),0))*500,0)-IF(AND('計算A'!AJ$117=1,VH26&gt;0),300,0)-IF(AND($L26=1,'計算A'!AK$117=1,EJ26=0),300,0))),1000000))</f>
        <v/>
      </c>
      <c r="PN26">
        <f>IF($B26=0,1000000,IF(INDEX('計算A'!$D$60:$EQ$104,$B26,35)*EJ26=1,IF(AND($E26=2,JY26=0),1000000,IF($I26&gt;0,IF(2=$J26,IF(OR(AND(35=$I26+1,OR($K26&lt;&gt;'計算A'!$A$3,'計算A'!$A$4=0)),AND(35=$I26-1,OR(11&lt;&gt;'計算A'!$A$3,'計算A'!$A$4=0))),0,IF(11=$K26,200000,ABS(11-$K26)*100)),100000+ABS(2-$J26)*1000+110)+'計算A'!AL$5*50+IF(AND($E26=1,JY26=0),25,0),INDEX('計算A'!AL$110:AL$114,$F26+1)+IF(AND($E26=1,JY26=0),1000,0)+IF($H26=1,(IF('計算A'!AK$117=1,INDEX('計算A'!AK$10:AK$54,$B26),0)+IF('計算A'!AL$117=1,INDEX('計算A'!AM$10:AM$54,$B26),0))*500,0)-IF(AND('計算A'!AK$117=1,VI26&gt;0),300,0)-IF(AND($L26=1,'計算A'!AL$117=1,EK26=0),300,0))),1000000))</f>
        <v/>
      </c>
      <c r="PO26">
        <f>IF($B26=0,1000000,IF(INDEX('計算A'!$D$60:$EQ$104,$B26,36)*EK26=1,IF(AND($E26=2,JZ26=0),1000000,IF($I26&gt;0,IF(2=$J26,IF(OR(AND(36=$I26+1,OR($K26&lt;&gt;'計算A'!$A$3,'計算A'!$A$4=0)),AND(36=$I26-1,OR(12&lt;&gt;'計算A'!$A$3,'計算A'!$A$4=0))),0,IF(12=$K26,200000,ABS(12-$K26)*100)),100000+ABS(2-$J26)*1000+120)+'計算A'!AM$5*50+IF(AND($E26=1,JZ26=0),25,0),INDEX('計算A'!AM$110:AM$114,$F26+1)+IF(AND($E26=1,JZ26=0),1000,0)+IF($H26=1,(IF('計算A'!AL$117=1,INDEX('計算A'!AL$10:AL$54,$B26),0)+IF('計算A'!AM$117=1,INDEX('計算A'!AN$10:AN$54,$B26),0))*500,0)-IF(AND('計算A'!AL$117=1,VJ26&gt;0),300,0)-IF(AND($L26=1,'計算A'!AM$117=1,EL26=0),300,0))),1000000))</f>
        <v/>
      </c>
      <c r="PP26">
        <f>IF($B26=0,1000000,IF(INDEX('計算A'!$D$60:$EQ$104,$B26,37)*EL26=1,IF(AND($E26=2,KA26=0),1000000,IF($I26&gt;0,IF(2=$J26,IF(OR(AND(37=$I26+1,OR($K26&lt;&gt;'計算A'!$A$3,'計算A'!$A$4=0)),AND(37=$I26-1,OR(13&lt;&gt;'計算A'!$A$3,'計算A'!$A$4=0))),0,IF(13=$K26,200000,ABS(13-$K26)*100)),100000+ABS(2-$J26)*1000+130)+'計算A'!AN$5*50+IF(AND($E26=1,KA26=0),25,0),INDEX('計算A'!AN$110:AN$114,$F26+1)+IF(AND($E26=1,KA26=0),1000,0)+IF($H26=1,(IF('計算A'!AM$117=1,INDEX('計算A'!AM$10:AM$54,$B26),0)+IF('計算A'!AN$117=1,INDEX('計算A'!AO$10:AO$54,$B26),0))*500,0)-IF(AND('計算A'!AM$117=1,VK26&gt;0),300,0)-IF(AND($L26=1,'計算A'!AN$117=1,EM26=0),300,0))),1000000))</f>
        <v/>
      </c>
      <c r="PQ26">
        <f>IF($B26=0,1000000,IF(INDEX('計算A'!$D$60:$EQ$104,$B26,38)*EM26=1,IF(AND($E26=2,KB26=0),1000000,IF($I26&gt;0,IF(2=$J26,IF(OR(AND(38=$I26+1,OR($K26&lt;&gt;'計算A'!$A$3,'計算A'!$A$4=0)),AND(38=$I26-1,OR(14&lt;&gt;'計算A'!$A$3,'計算A'!$A$4=0))),0,IF(14=$K26,200000,ABS(14-$K26)*100)),100000+ABS(2-$J26)*1000+140)+'計算A'!AO$5*50+IF(AND($E26=1,KB26=0),25,0),INDEX('計算A'!AO$110:AO$114,$F26+1)+IF(AND($E26=1,KB26=0),1000,0)+IF($H26=1,(IF('計算A'!AN$117=1,INDEX('計算A'!AN$10:AN$54,$B26),0)+IF('計算A'!AO$117=1,INDEX('計算A'!AP$10:AP$54,$B26),0))*500,0)-IF(AND('計算A'!AN$117=1,VL26&gt;0),300,0)-IF(AND($L26=1,'計算A'!AO$117=1,EN26=0),300,0))),1000000))</f>
        <v/>
      </c>
      <c r="PR26">
        <f>IF($B26=0,1000000,IF(INDEX('計算A'!$D$60:$EQ$104,$B26,39)*EN26=1,IF(AND($E26=2,KC26=0),1000000,IF($I26&gt;0,IF(2=$J26,IF(OR(AND(39=$I26+1,OR($K26&lt;&gt;'計算A'!$A$3,'計算A'!$A$4=0)),AND(39=$I26-1,OR(15&lt;&gt;'計算A'!$A$3,'計算A'!$A$4=0))),0,IF(15=$K26,200000,ABS(15-$K26)*100)),100000+ABS(2-$J26)*1000+150)+'計算A'!AP$5*50+IF(AND($E26=1,KC26=0),25,0),INDEX('計算A'!AP$110:AP$114,$F26+1)+IF(AND($E26=1,KC26=0),1000,0)+IF($H26=1,(IF('計算A'!AO$117=1,INDEX('計算A'!AO$10:AO$54,$B26),0)+IF('計算A'!AP$117=1,INDEX('計算A'!AQ$10:AQ$54,$B26),0))*500,0)-IF(AND('計算A'!AO$117=1,VM26&gt;0),300,0)-IF(AND($L26=1,'計算A'!AP$117=1,EO26=0),300,0))),1000000))</f>
        <v/>
      </c>
      <c r="PS26">
        <f>IF($B26=0,1000000,IF(INDEX('計算A'!$D$60:$EQ$104,$B26,40)*EO26=1,IF(AND($E26=2,KD26=0),1000000,IF($I26&gt;0,IF(2=$J26,IF(OR(AND(40=$I26+1,OR($K26&lt;&gt;'計算A'!$A$3,'計算A'!$A$4=0)),AND(40=$I26-1,OR(16&lt;&gt;'計算A'!$A$3,'計算A'!$A$4=0))),0,IF(16=$K26,200000,ABS(16-$K26)*100)),100000+ABS(2-$J26)*1000+160)+'計算A'!AQ$5*50+IF(AND($E26=1,KD26=0),25,0),INDEX('計算A'!AQ$110:AQ$114,$F26+1)+IF(AND($E26=1,KD26=0),1000,0)+IF($H26=1,(IF('計算A'!AP$117=1,INDEX('計算A'!AP$10:AP$54,$B26),0)+IF('計算A'!AQ$117=1,INDEX('計算A'!AR$10:AR$54,$B26),0))*500,0)-IF(AND('計算A'!AP$117=1,VN26&gt;0),300,0)-IF(AND($L26=1,'計算A'!AQ$117=1,EP26=0),300,0))),1000000))</f>
        <v/>
      </c>
      <c r="PT26">
        <f>IF($B26=0,1000000,IF(INDEX('計算A'!$D$60:$EQ$104,$B26,41)*EP26=1,IF(AND($E26=2,KE26=0),1000000,IF($I26&gt;0,IF(2=$J26,IF(OR(AND(41=$I26+1,OR($K26&lt;&gt;'計算A'!$A$3,'計算A'!$A$4=0)),AND(41=$I26-1,OR(17&lt;&gt;'計算A'!$A$3,'計算A'!$A$4=0))),0,IF(17=$K26,200000,ABS(17-$K26)*100)),100000+ABS(2-$J26)*1000+170)+'計算A'!AR$5*50+IF(AND($E26=1,KE26=0),25,0),INDEX('計算A'!AR$110:AR$114,$F26+1)+IF(AND($E26=1,KE26=0),1000,0)+IF($H26=1,(IF('計算A'!AQ$117=1,INDEX('計算A'!AQ$10:AQ$54,$B26),0)+IF('計算A'!AR$117=1,INDEX('計算A'!AS$10:AS$54,$B26),0))*500,0)-IF(AND('計算A'!AQ$117=1,VO26&gt;0),300,0)-IF(AND($L26=1,'計算A'!AR$117=1,EQ26=0),300,0))),1000000))</f>
        <v/>
      </c>
      <c r="PU26">
        <f>IF($B26=0,1000000,IF(INDEX('計算A'!$D$60:$EQ$104,$B26,42)*EQ26=1,IF(AND($E26=2,KF26=0),1000000,IF($I26&gt;0,IF(2=$J26,IF(OR(AND(42=$I26+1,OR($K26&lt;&gt;'計算A'!$A$3,'計算A'!$A$4=0)),AND(42=$I26-1,OR(18&lt;&gt;'計算A'!$A$3,'計算A'!$A$4=0))),0,IF(18=$K26,200000,ABS(18-$K26)*100)),100000+ABS(2-$J26)*1000+180)+'計算A'!AS$5*50+IF(AND($E26=1,KF26=0),25,0),INDEX('計算A'!AS$110:AS$114,$F26+1)+IF(AND($E26=1,KF26=0),1000,0)+IF($H26=1,(IF('計算A'!AR$117=1,INDEX('計算A'!AR$10:AR$54,$B26),0)+IF('計算A'!AS$117=1,INDEX('計算A'!AT$10:AT$54,$B26),0))*500,0)-IF(AND('計算A'!AR$117=1,VP26&gt;0),300,0)-IF(AND($L26=1,'計算A'!AS$117=1,ER26=0),300,0))),1000000))</f>
        <v/>
      </c>
      <c r="PV26">
        <f>IF($B26=0,1000000,IF(INDEX('計算A'!$D$60:$EQ$104,$B26,43)*ER26=1,IF(AND($E26=2,KG26=0),1000000,IF($I26&gt;0,IF(2=$J26,IF(OR(AND(43=$I26+1,OR($K26&lt;&gt;'計算A'!$A$3,'計算A'!$A$4=0)),AND(43=$I26-1,OR(19&lt;&gt;'計算A'!$A$3,'計算A'!$A$4=0))),0,IF(19=$K26,200000,ABS(19-$K26)*100)),100000+ABS(2-$J26)*1000+190)+'計算A'!AT$5*50+IF(AND($E26=1,KG26=0),25,0),INDEX('計算A'!AT$110:AT$114,$F26+1)+IF(AND($E26=1,KG26=0),1000,0)+IF($H26=1,(IF('計算A'!AS$117=1,INDEX('計算A'!AS$10:AS$54,$B26),0)+IF('計算A'!AT$117=1,INDEX('計算A'!AU$10:AU$54,$B26),0))*500,0)-IF(AND('計算A'!AS$117=1,VQ26&gt;0),300,0)-IF(AND($L26=1,'計算A'!AT$117=1,ES26=0),300,0))),1000000))</f>
        <v/>
      </c>
      <c r="PW26">
        <f>IF($B26=0,1000000,IF(INDEX('計算A'!$D$60:$EQ$104,$B26,44)*ES26=1,IF(AND($E26=2,KH26=0),1000000,IF($I26&gt;0,IF(2=$J26,IF(OR(AND(44=$I26+1,OR($K26&lt;&gt;'計算A'!$A$3,'計算A'!$A$4=0)),AND(44=$I26-1,OR(20&lt;&gt;'計算A'!$A$3,'計算A'!$A$4=0))),0,IF(20=$K26,200000,ABS(20-$K26)*100)),100000+ABS(2-$J26)*1000+200)+'計算A'!AU$5*50+IF(AND($E26=1,KH26=0),25,0),INDEX('計算A'!AU$110:AU$114,$F26+1)+IF(AND($E26=1,KH26=0),1000,0)+IF($H26=1,(IF('計算A'!AT$117=1,INDEX('計算A'!AT$10:AT$54,$B26),0)+IF('計算A'!AU$117=1,INDEX('計算A'!AV$10:AV$54,$B26),0))*500,0)-IF(AND('計算A'!AT$117=1,VR26&gt;0),300,0)-IF(AND($L26=1,'計算A'!AU$117=1,ET26=0),300,0))),1000000))</f>
        <v/>
      </c>
      <c r="PX26">
        <f>IF($B26=0,1000000,IF(INDEX('計算A'!$D$60:$EQ$104,$B26,45)*ET26=1,IF(AND($E26=2,KI26=0),1000000,IF($I26&gt;0,IF(2=$J26,IF(OR(AND(45=$I26+1,OR($K26&lt;&gt;'計算A'!$A$3,'計算A'!$A$4=0)),AND(45=$I26-1,OR(21&lt;&gt;'計算A'!$A$3,'計算A'!$A$4=0))),0,IF(21=$K26,200000,ABS(21-$K26)*100)),100000+ABS(2-$J26)*1000+210)+'計算A'!AV$5*50+IF(AND($E26=1,KI26=0),25,0),INDEX('計算A'!AV$110:AV$114,$F26+1)+IF(AND($E26=1,KI26=0),1000,0)+IF($H26=1,(IF('計算A'!AU$117=1,INDEX('計算A'!AU$10:AU$54,$B26),0)+IF('計算A'!AV$117=1,INDEX('計算A'!AW$10:AW$54,$B26),0))*500,0)-IF(AND('計算A'!AU$117=1,VS26&gt;0),300,0)-IF(AND($L26=1,'計算A'!AV$117=1,EU26=0),300,0))),1000000))</f>
        <v/>
      </c>
      <c r="PY26">
        <f>IF($B26=0,1000000,IF(INDEX('計算A'!$D$60:$EQ$104,$B26,46)*EU26=1,IF(AND($E26=2,KJ26=0),1000000,IF($I26&gt;0,IF(2=$J26,IF(OR(AND(46=$I26+1,OR($K26&lt;&gt;'計算A'!$A$3,'計算A'!$A$4=0)),AND(46=$I26-1,OR(22&lt;&gt;'計算A'!$A$3,'計算A'!$A$4=0))),0,IF(22=$K26,200000,ABS(22-$K26)*100)),100000+ABS(2-$J26)*1000+220)+'計算A'!AW$5*50+IF(AND($E26=1,KJ26=0),25,0),INDEX('計算A'!AW$110:AW$114,$F26+1)+IF(AND($E26=1,KJ26=0),1000,0)+IF($H26=1,(IF('計算A'!AV$117=1,INDEX('計算A'!AV$10:AV$54,$B26),0)+IF('計算A'!AW$117=1,INDEX('計算A'!AX$10:AX$54,$B26),0))*500,0)-IF(AND('計算A'!AV$117=1,VT26&gt;0),300,0)-IF(AND($L26=1,'計算A'!AW$117=1,EV26=0),300,0))),1000000))</f>
        <v/>
      </c>
      <c r="PZ26">
        <f>IF($B26=0,1000000,IF(INDEX('計算A'!$D$60:$EQ$104,$B26,47)*EV26=1,IF(AND($E26=2,KK26=0),1000000,IF($I26&gt;0,IF(2=$J26,IF(OR(AND(47=$I26+1,OR($K26&lt;&gt;'計算A'!$A$3,'計算A'!$A$4=0)),AND(47=$I26-1,OR(23&lt;&gt;'計算A'!$A$3,'計算A'!$A$4=0))),0,IF(23=$K26,200000,ABS(23-$K26)*100)),100000+ABS(2-$J26)*1000+230)+'計算A'!AX$5*50+IF(AND($E26=1,KK26=0),25,0),INDEX('計算A'!AX$110:AX$114,$F26+1)+IF(AND($E26=1,KK26=0),1000,0)+IF($H26=1,(IF('計算A'!AW$117=1,INDEX('計算A'!AW$10:AW$54,$B26),0)+IF('計算A'!AX$117=1,INDEX('計算A'!AY$10:AY$54,$B26),0))*500,0)-IF(AND('計算A'!AW$117=1,VU26&gt;0),300,0)-IF(AND($L26=1,'計算A'!AX$117=1,EW26=0),300,0))),1000000))</f>
        <v/>
      </c>
      <c r="QA26">
        <f>IF($B26=0,1000000,IF(INDEX('計算A'!$D$60:$EQ$104,$B26,48)*EW26=1,IF(AND($E26=2,KL26=0),1000000,IF($I26&gt;0,IF(2=$J26,IF(OR(AND(48=$I26+1,OR($K26&lt;&gt;'計算A'!$A$3,'計算A'!$A$4=0)),AND(48=$I26-1,OR(24&lt;&gt;'計算A'!$A$3,'計算A'!$A$4=0))),0,IF(24=$K26,200000,ABS(24-$K26)*100)),100000+ABS(2-$J26)*1000+240)+'計算A'!AY$5*50+IF(AND($E26=1,KL26=0),25,0),INDEX('計算A'!AY$110:AY$114,$F26+1)+IF(AND($E26=1,KL26=0),1000,0)+IF($H26=1,(IF('計算A'!AX$117=1,INDEX('計算A'!AX$10:AX$54,$B26),0))*500,0)-IF(AND('計算A'!AX$117=1,VV26&gt;0),300,0))),1000000))</f>
        <v/>
      </c>
      <c r="QB26">
        <f>IF($B26=0,1000000,IF(INDEX('計算A'!$D$60:$EQ$104,$B26,49)*EX26=1,IF(AND($E26=2,KM26=0),1000000,IF($I26&gt;0,IF(3=$J26,IF(OR(AND(49=$I26+1,OR($K26&lt;&gt;'計算A'!$A$3,'計算A'!$A$4=0)),AND(49=$I26-1,OR(1&lt;&gt;'計算A'!$A$3,'計算A'!$A$4=0))),0,IF(1=$K26,200000,ABS(1-$K26)*100)),100000+ABS(3-$J26)*1000+10)+'計算A'!AZ$5*50+IF(AND($E26=1,KM26=0),25,0),INDEX('計算A'!AZ$110:AZ$114,$F26+1)+IF(AND($E26=1,KM26=0),1000,0)+IF($H26=1,(IF('計算A'!AZ$117=1,INDEX('計算A'!BA$10:BA$54,$B26),0))*500,0)-IF(AND($L26=1,'計算A'!AZ$117=1,EY26=0),300,0))),1000000))</f>
        <v/>
      </c>
      <c r="QC26">
        <f>IF($B26=0,1000000,IF(INDEX('計算A'!$D$60:$EQ$104,$B26,50)*EY26=1,IF(AND($E26=2,KN26=0),1000000,IF($I26&gt;0,IF(3=$J26,IF(OR(AND(50=$I26+1,OR($K26&lt;&gt;'計算A'!$A$3,'計算A'!$A$4=0)),AND(50=$I26-1,OR(2&lt;&gt;'計算A'!$A$3,'計算A'!$A$4=0))),0,IF(2=$K26,200000,ABS(2-$K26)*100)),100000+ABS(3-$J26)*1000+20)+'計算A'!BA$5*50+IF(AND($E26=1,KN26=0),25,0),INDEX('計算A'!BA$110:BA$114,$F26+1)+IF(AND($E26=1,KN26=0),1000,0)+IF($H26=1,(IF('計算A'!AZ$117=1,INDEX('計算A'!AZ$10:AZ$54,$B26),0)+IF('計算A'!BA$117=1,INDEX('計算A'!BB$10:BB$54,$B26),0))*500,0)-IF(AND('計算A'!AZ$117=1,VX26&gt;0),300,0)-IF(AND($L26=1,'計算A'!BA$117=1,EZ26=0),300,0))),1000000))</f>
        <v/>
      </c>
      <c r="QD26">
        <f>IF($B26=0,1000000,IF(INDEX('計算A'!$D$60:$EQ$104,$B26,51)*EZ26=1,IF(AND($E26=2,KO26=0),1000000,IF($I26&gt;0,IF(3=$J26,IF(OR(AND(51=$I26+1,OR($K26&lt;&gt;'計算A'!$A$3,'計算A'!$A$4=0)),AND(51=$I26-1,OR(3&lt;&gt;'計算A'!$A$3,'計算A'!$A$4=0))),0,IF(3=$K26,200000,ABS(3-$K26)*100)),100000+ABS(3-$J26)*1000+30)+'計算A'!BB$5*50+IF(AND($E26=1,KO26=0),25,0),INDEX('計算A'!BB$110:BB$114,$F26+1)+IF(AND($E26=1,KO26=0),1000,0)+IF($H26=1,(IF('計算A'!BA$117=1,INDEX('計算A'!BA$10:BA$54,$B26),0)+IF('計算A'!BB$117=1,INDEX('計算A'!BC$10:BC$54,$B26),0))*500,0)-IF(AND('計算A'!BA$117=1,VY26&gt;0),300,0)-IF(AND($L26=1,'計算A'!BB$117=1,FA26=0),300,0))),1000000))</f>
        <v/>
      </c>
      <c r="QE26">
        <f>IF($B26=0,1000000,IF(INDEX('計算A'!$D$60:$EQ$104,$B26,52)*FA26=1,IF(AND($E26=2,KP26=0),1000000,IF($I26&gt;0,IF(3=$J26,IF(OR(AND(52=$I26+1,OR($K26&lt;&gt;'計算A'!$A$3,'計算A'!$A$4=0)),AND(52=$I26-1,OR(4&lt;&gt;'計算A'!$A$3,'計算A'!$A$4=0))),0,IF(4=$K26,200000,ABS(4-$K26)*100)),100000+ABS(3-$J26)*1000+40)+'計算A'!BC$5*50+IF(AND($E26=1,KP26=0),25,0),INDEX('計算A'!BC$110:BC$114,$F26+1)+IF(AND($E26=1,KP26=0),1000,0)+IF($H26=1,(IF('計算A'!BB$117=1,INDEX('計算A'!BB$10:BB$54,$B26),0)+IF('計算A'!BC$117=1,INDEX('計算A'!BD$10:BD$54,$B26),0))*500,0)-IF(AND('計算A'!BB$117=1,VZ26&gt;0),300,0)-IF(AND($L26=1,'計算A'!BC$117=1,FB26=0),300,0))),1000000))</f>
        <v/>
      </c>
      <c r="QF26">
        <f>IF($B26=0,1000000,IF(INDEX('計算A'!$D$60:$EQ$104,$B26,53)*FB26=1,IF(AND($E26=2,KQ26=0),1000000,IF($I26&gt;0,IF(3=$J26,IF(OR(AND(53=$I26+1,OR($K26&lt;&gt;'計算A'!$A$3,'計算A'!$A$4=0)),AND(53=$I26-1,OR(5&lt;&gt;'計算A'!$A$3,'計算A'!$A$4=0))),0,IF(5=$K26,200000,ABS(5-$K26)*100)),100000+ABS(3-$J26)*1000+50)+'計算A'!BD$5*50+IF(AND($E26=1,KQ26=0),25,0),INDEX('計算A'!BD$110:BD$114,$F26+1)+IF(AND($E26=1,KQ26=0),1000,0)+IF($H26=1,(IF('計算A'!BC$117=1,INDEX('計算A'!BC$10:BC$54,$B26),0)+IF('計算A'!BD$117=1,INDEX('計算A'!BE$10:BE$54,$B26),0))*500,0)-IF(AND('計算A'!BC$117=1,WA26&gt;0),300,0)-IF(AND($L26=1,'計算A'!BD$117=1,FC26=0),300,0))),1000000))</f>
        <v/>
      </c>
      <c r="QG26">
        <f>IF($B26=0,1000000,IF(INDEX('計算A'!$D$60:$EQ$104,$B26,54)*FC26=1,IF(AND($E26=2,KR26=0),1000000,IF($I26&gt;0,IF(3=$J26,IF(OR(AND(54=$I26+1,OR($K26&lt;&gt;'計算A'!$A$3,'計算A'!$A$4=0)),AND(54=$I26-1,OR(6&lt;&gt;'計算A'!$A$3,'計算A'!$A$4=0))),0,IF(6=$K26,200000,ABS(6-$K26)*100)),100000+ABS(3-$J26)*1000+60)+'計算A'!BE$5*50+IF(AND($E26=1,KR26=0),25,0),INDEX('計算A'!BE$110:BE$114,$F26+1)+IF(AND($E26=1,KR26=0),1000,0)+IF($H26=1,(IF('計算A'!BD$117=1,INDEX('計算A'!BD$10:BD$54,$B26),0)+IF('計算A'!BE$117=1,INDEX('計算A'!BF$10:BF$54,$B26),0))*500,0)-IF(AND('計算A'!BD$117=1,WB26&gt;0),300,0)-IF(AND($L26=1,'計算A'!BE$117=1,FD26=0),300,0))),1000000))</f>
        <v/>
      </c>
      <c r="QH26">
        <f>IF($B26=0,1000000,IF(INDEX('計算A'!$D$60:$EQ$104,$B26,55)*FD26=1,IF(AND($E26=2,KS26=0),1000000,IF($I26&gt;0,IF(3=$J26,IF(OR(AND(55=$I26+1,OR($K26&lt;&gt;'計算A'!$A$3,'計算A'!$A$4=0)),AND(55=$I26-1,OR(7&lt;&gt;'計算A'!$A$3,'計算A'!$A$4=0))),0,IF(7=$K26,200000,ABS(7-$K26)*100)),100000+ABS(3-$J26)*1000+70)+'計算A'!BF$5*50+IF(AND($E26=1,KS26=0),25,0),INDEX('計算A'!BF$110:BF$114,$F26+1)+IF(AND($E26=1,KS26=0),1000,0)+IF($H26=1,(IF('計算A'!BE$117=1,INDEX('計算A'!BE$10:BE$54,$B26),0)+IF('計算A'!BF$117=1,INDEX('計算A'!BG$10:BG$54,$B26),0))*500,0)-IF(AND('計算A'!BE$117=1,WC26&gt;0),300,0)-IF(AND($L26=1,'計算A'!BF$117=1,FE26=0),300,0))),1000000))</f>
        <v/>
      </c>
      <c r="QI26">
        <f>IF($B26=0,1000000,IF(INDEX('計算A'!$D$60:$EQ$104,$B26,56)*FE26=1,IF(AND($E26=2,KT26=0),1000000,IF($I26&gt;0,IF(3=$J26,IF(OR(AND(56=$I26+1,OR($K26&lt;&gt;'計算A'!$A$3,'計算A'!$A$4=0)),AND(56=$I26-1,OR(8&lt;&gt;'計算A'!$A$3,'計算A'!$A$4=0))),0,IF(8=$K26,200000,ABS(8-$K26)*100)),100000+ABS(3-$J26)*1000+80)+'計算A'!BG$5*50+IF(AND($E26=1,KT26=0),25,0),INDEX('計算A'!BG$110:BG$114,$F26+1)+IF(AND($E26=1,KT26=0),1000,0)+IF($H26=1,(IF('計算A'!BF$117=1,INDEX('計算A'!BF$10:BF$54,$B26),0)+IF('計算A'!BG$117=1,INDEX('計算A'!BH$10:BH$54,$B26),0))*500,0)-IF(AND('計算A'!BF$117=1,WD26&gt;0),300,0)-IF(AND($L26=1,'計算A'!BG$117=1,FF26=0),300,0))),1000000))</f>
        <v/>
      </c>
      <c r="QJ26">
        <f>IF($B26=0,1000000,IF(INDEX('計算A'!$D$60:$EQ$104,$B26,57)*FF26=1,IF(AND($E26=2,KU26=0),1000000,IF($I26&gt;0,IF(3=$J26,IF(OR(AND(57=$I26+1,OR($K26&lt;&gt;'計算A'!$A$3,'計算A'!$A$4=0)),AND(57=$I26-1,OR(9&lt;&gt;'計算A'!$A$3,'計算A'!$A$4=0))),0,IF(9=$K26,200000,ABS(9-$K26)*100)),100000+ABS(3-$J26)*1000+90)+'計算A'!BH$5*50+IF(AND($E26=1,KU26=0),25,0),INDEX('計算A'!BH$110:BH$114,$F26+1)+IF(AND($E26=1,KU26=0),1000,0)+IF($H26=1,(IF('計算A'!BG$117=1,INDEX('計算A'!BG$10:BG$54,$B26),0)+IF('計算A'!BH$117=1,INDEX('計算A'!BI$10:BI$54,$B26),0))*500,0)-IF(AND('計算A'!BG$117=1,WE26&gt;0),300,0)-IF(AND($L26=1,'計算A'!BH$117=1,FG26=0),300,0))),1000000))</f>
        <v/>
      </c>
      <c r="QK26">
        <f>IF($B26=0,1000000,IF(INDEX('計算A'!$D$60:$EQ$104,$B26,58)*FG26=1,IF(AND($E26=2,KV26=0),1000000,IF($I26&gt;0,IF(3=$J26,IF(OR(AND(58=$I26+1,OR($K26&lt;&gt;'計算A'!$A$3,'計算A'!$A$4=0)),AND(58=$I26-1,OR(10&lt;&gt;'計算A'!$A$3,'計算A'!$A$4=0))),0,IF(10=$K26,200000,ABS(10-$K26)*100)),100000+ABS(3-$J26)*1000+100)+'計算A'!BI$5*50+IF(AND($E26=1,KV26=0),25,0),INDEX('計算A'!BI$110:BI$114,$F26+1)+IF(AND($E26=1,KV26=0),1000,0)+IF($H26=1,(IF('計算A'!BH$117=1,INDEX('計算A'!BH$10:BH$54,$B26),0)+IF('計算A'!BI$117=1,INDEX('計算A'!BJ$10:BJ$54,$B26),0))*500,0)-IF(AND('計算A'!BH$117=1,WF26&gt;0),300,0)-IF(AND($L26=1,'計算A'!BI$117=1,FH26=0),300,0))),1000000))</f>
        <v/>
      </c>
      <c r="QL26">
        <f>IF($B26=0,1000000,IF(INDEX('計算A'!$D$60:$EQ$104,$B26,59)*FH26=1,IF(AND($E26=2,KW26=0),1000000,IF($I26&gt;0,IF(3=$J26,IF(OR(AND(59=$I26+1,OR($K26&lt;&gt;'計算A'!$A$3,'計算A'!$A$4=0)),AND(59=$I26-1,OR(11&lt;&gt;'計算A'!$A$3,'計算A'!$A$4=0))),0,IF(11=$K26,200000,ABS(11-$K26)*100)),100000+ABS(3-$J26)*1000+110)+'計算A'!BJ$5*50+IF(AND($E26=1,KW26=0),25,0),INDEX('計算A'!BJ$110:BJ$114,$F26+1)+IF(AND($E26=1,KW26=0),1000,0)+IF($H26=1,(IF('計算A'!BI$117=1,INDEX('計算A'!BI$10:BI$54,$B26),0)+IF('計算A'!BJ$117=1,INDEX('計算A'!BK$10:BK$54,$B26),0))*500,0)-IF(AND('計算A'!BI$117=1,WG26&gt;0),300,0)-IF(AND($L26=1,'計算A'!BJ$117=1,FI26=0),300,0))),1000000))</f>
        <v/>
      </c>
      <c r="QM26">
        <f>IF($B26=0,1000000,IF(INDEX('計算A'!$D$60:$EQ$104,$B26,60)*FI26=1,IF(AND($E26=2,KX26=0),1000000,IF($I26&gt;0,IF(3=$J26,IF(OR(AND(60=$I26+1,OR($K26&lt;&gt;'計算A'!$A$3,'計算A'!$A$4=0)),AND(60=$I26-1,OR(12&lt;&gt;'計算A'!$A$3,'計算A'!$A$4=0))),0,IF(12=$K26,200000,ABS(12-$K26)*100)),100000+ABS(3-$J26)*1000+120)+'計算A'!BK$5*50+IF(AND($E26=1,KX26=0),25,0),INDEX('計算A'!BK$110:BK$114,$F26+1)+IF(AND($E26=1,KX26=0),1000,0)+IF($H26=1,(IF('計算A'!BJ$117=1,INDEX('計算A'!BJ$10:BJ$54,$B26),0)+IF('計算A'!BK$117=1,INDEX('計算A'!BL$10:BL$54,$B26),0))*500,0)-IF(AND('計算A'!BJ$117=1,WH26&gt;0),300,0)-IF(AND($L26=1,'計算A'!BK$117=1,FJ26=0),300,0))),1000000))</f>
        <v/>
      </c>
      <c r="QN26">
        <f>IF($B26=0,1000000,IF(INDEX('計算A'!$D$60:$EQ$104,$B26,61)*FJ26=1,IF(AND($E26=2,KY26=0),1000000,IF($I26&gt;0,IF(3=$J26,IF(OR(AND(61=$I26+1,OR($K26&lt;&gt;'計算A'!$A$3,'計算A'!$A$4=0)),AND(61=$I26-1,OR(13&lt;&gt;'計算A'!$A$3,'計算A'!$A$4=0))),0,IF(13=$K26,200000,ABS(13-$K26)*100)),100000+ABS(3-$J26)*1000+130)+'計算A'!BL$5*50+IF(AND($E26=1,KY26=0),25,0),INDEX('計算A'!BL$110:BL$114,$F26+1)+IF(AND($E26=1,KY26=0),1000,0)+IF($H26=1,(IF('計算A'!BK$117=1,INDEX('計算A'!BK$10:BK$54,$B26),0)+IF('計算A'!BL$117=1,INDEX('計算A'!BM$10:BM$54,$B26),0))*500,0)-IF(AND('計算A'!BK$117=1,WI26&gt;0),300,0)-IF(AND($L26=1,'計算A'!BL$117=1,FK26=0),300,0))),1000000))</f>
        <v/>
      </c>
      <c r="QO26">
        <f>IF($B26=0,1000000,IF(INDEX('計算A'!$D$60:$EQ$104,$B26,62)*FK26=1,IF(AND($E26=2,KZ26=0),1000000,IF($I26&gt;0,IF(3=$J26,IF(OR(AND(62=$I26+1,OR($K26&lt;&gt;'計算A'!$A$3,'計算A'!$A$4=0)),AND(62=$I26-1,OR(14&lt;&gt;'計算A'!$A$3,'計算A'!$A$4=0))),0,IF(14=$K26,200000,ABS(14-$K26)*100)),100000+ABS(3-$J26)*1000+140)+'計算A'!BM$5*50+IF(AND($E26=1,KZ26=0),25,0),INDEX('計算A'!BM$110:BM$114,$F26+1)+IF(AND($E26=1,KZ26=0),1000,0)+IF($H26=1,(IF('計算A'!BL$117=1,INDEX('計算A'!BL$10:BL$54,$B26),0)+IF('計算A'!BM$117=1,INDEX('計算A'!BN$10:BN$54,$B26),0))*500,0)-IF(AND('計算A'!BL$117=1,WJ26&gt;0),300,0)-IF(AND($L26=1,'計算A'!BM$117=1,FL26=0),300,0))),1000000))</f>
        <v/>
      </c>
      <c r="QP26">
        <f>IF($B26=0,1000000,IF(INDEX('計算A'!$D$60:$EQ$104,$B26,63)*FL26=1,IF(AND($E26=2,LA26=0),1000000,IF($I26&gt;0,IF(3=$J26,IF(OR(AND(63=$I26+1,OR($K26&lt;&gt;'計算A'!$A$3,'計算A'!$A$4=0)),AND(63=$I26-1,OR(15&lt;&gt;'計算A'!$A$3,'計算A'!$A$4=0))),0,IF(15=$K26,200000,ABS(15-$K26)*100)),100000+ABS(3-$J26)*1000+150)+'計算A'!BN$5*50+IF(AND($E26=1,LA26=0),25,0),INDEX('計算A'!BN$110:BN$114,$F26+1)+IF(AND($E26=1,LA26=0),1000,0)+IF($H26=1,(IF('計算A'!BM$117=1,INDEX('計算A'!BM$10:BM$54,$B26),0)+IF('計算A'!BN$117=1,INDEX('計算A'!BO$10:BO$54,$B26),0))*500,0)-IF(AND('計算A'!BM$117=1,WK26&gt;0),300,0)-IF(AND($L26=1,'計算A'!BN$117=1,FM26=0),300,0))),1000000))</f>
        <v/>
      </c>
      <c r="QQ26">
        <f>IF($B26=0,1000000,IF(INDEX('計算A'!$D$60:$EQ$104,$B26,64)*FM26=1,IF(AND($E26=2,LB26=0),1000000,IF($I26&gt;0,IF(3=$J26,IF(OR(AND(64=$I26+1,OR($K26&lt;&gt;'計算A'!$A$3,'計算A'!$A$4=0)),AND(64=$I26-1,OR(16&lt;&gt;'計算A'!$A$3,'計算A'!$A$4=0))),0,IF(16=$K26,200000,ABS(16-$K26)*100)),100000+ABS(3-$J26)*1000+160)+'計算A'!BO$5*50+IF(AND($E26=1,LB26=0),25,0),INDEX('計算A'!BO$110:BO$114,$F26+1)+IF(AND($E26=1,LB26=0),1000,0)+IF($H26=1,(IF('計算A'!BN$117=1,INDEX('計算A'!BN$10:BN$54,$B26),0)+IF('計算A'!BO$117=1,INDEX('計算A'!BP$10:BP$54,$B26),0))*500,0)-IF(AND('計算A'!BN$117=1,WL26&gt;0),300,0)-IF(AND($L26=1,'計算A'!BO$117=1,FN26=0),300,0))),1000000))</f>
        <v/>
      </c>
      <c r="QR26">
        <f>IF($B26=0,1000000,IF(INDEX('計算A'!$D$60:$EQ$104,$B26,65)*FN26=1,IF(AND($E26=2,LC26=0),1000000,IF($I26&gt;0,IF(3=$J26,IF(OR(AND(65=$I26+1,OR($K26&lt;&gt;'計算A'!$A$3,'計算A'!$A$4=0)),AND(65=$I26-1,OR(17&lt;&gt;'計算A'!$A$3,'計算A'!$A$4=0))),0,IF(17=$K26,200000,ABS(17-$K26)*100)),100000+ABS(3-$J26)*1000+170)+'計算A'!BP$5*50+IF(AND($E26=1,LC26=0),25,0),INDEX('計算A'!BP$110:BP$114,$F26+1)+IF(AND($E26=1,LC26=0),1000,0)+IF($H26=1,(IF('計算A'!BO$117=1,INDEX('計算A'!BO$10:BO$54,$B26),0)+IF('計算A'!BP$117=1,INDEX('計算A'!BQ$10:BQ$54,$B26),0))*500,0)-IF(AND('計算A'!BO$117=1,WM26&gt;0),300,0)-IF(AND($L26=1,'計算A'!BP$117=1,FO26=0),300,0))),1000000))</f>
        <v/>
      </c>
      <c r="QS26">
        <f>IF($B26=0,1000000,IF(INDEX('計算A'!$D$60:$EQ$104,$B26,66)*FO26=1,IF(AND($E26=2,LD26=0),1000000,IF($I26&gt;0,IF(3=$J26,IF(OR(AND(66=$I26+1,OR($K26&lt;&gt;'計算A'!$A$3,'計算A'!$A$4=0)),AND(66=$I26-1,OR(18&lt;&gt;'計算A'!$A$3,'計算A'!$A$4=0))),0,IF(18=$K26,200000,ABS(18-$K26)*100)),100000+ABS(3-$J26)*1000+180)+'計算A'!BQ$5*50+IF(AND($E26=1,LD26=0),25,0),INDEX('計算A'!BQ$110:BQ$114,$F26+1)+IF(AND($E26=1,LD26=0),1000,0)+IF($H26=1,(IF('計算A'!BP$117=1,INDEX('計算A'!BP$10:BP$54,$B26),0)+IF('計算A'!BQ$117=1,INDEX('計算A'!BR$10:BR$54,$B26),0))*500,0)-IF(AND('計算A'!BP$117=1,WN26&gt;0),300,0)-IF(AND($L26=1,'計算A'!BQ$117=1,FP26=0),300,0))),1000000))</f>
        <v/>
      </c>
      <c r="QT26">
        <f>IF($B26=0,1000000,IF(INDEX('計算A'!$D$60:$EQ$104,$B26,67)*FP26=1,IF(AND($E26=2,LE26=0),1000000,IF($I26&gt;0,IF(3=$J26,IF(OR(AND(67=$I26+1,OR($K26&lt;&gt;'計算A'!$A$3,'計算A'!$A$4=0)),AND(67=$I26-1,OR(19&lt;&gt;'計算A'!$A$3,'計算A'!$A$4=0))),0,IF(19=$K26,200000,ABS(19-$K26)*100)),100000+ABS(3-$J26)*1000+190)+'計算A'!BR$5*50+IF(AND($E26=1,LE26=0),25,0),INDEX('計算A'!BR$110:BR$114,$F26+1)+IF(AND($E26=1,LE26=0),1000,0)+IF($H26=1,(IF('計算A'!BQ$117=1,INDEX('計算A'!BQ$10:BQ$54,$B26),0)+IF('計算A'!BR$117=1,INDEX('計算A'!BS$10:BS$54,$B26),0))*500,0)-IF(AND('計算A'!BQ$117=1,WO26&gt;0),300,0)-IF(AND($L26=1,'計算A'!BR$117=1,FQ26=0),300,0))),1000000))</f>
        <v/>
      </c>
      <c r="QU26">
        <f>IF($B26=0,1000000,IF(INDEX('計算A'!$D$60:$EQ$104,$B26,68)*FQ26=1,IF(AND($E26=2,LF26=0),1000000,IF($I26&gt;0,IF(3=$J26,IF(OR(AND(68=$I26+1,OR($K26&lt;&gt;'計算A'!$A$3,'計算A'!$A$4=0)),AND(68=$I26-1,OR(20&lt;&gt;'計算A'!$A$3,'計算A'!$A$4=0))),0,IF(20=$K26,200000,ABS(20-$K26)*100)),100000+ABS(3-$J26)*1000+200)+'計算A'!BS$5*50+IF(AND($E26=1,LF26=0),25,0),INDEX('計算A'!BS$110:BS$114,$F26+1)+IF(AND($E26=1,LF26=0),1000,0)+IF($H26=1,(IF('計算A'!BR$117=1,INDEX('計算A'!BR$10:BR$54,$B26),0)+IF('計算A'!BS$117=1,INDEX('計算A'!BT$10:BT$54,$B26),0))*500,0)-IF(AND('計算A'!BR$117=1,WP26&gt;0),300,0)-IF(AND($L26=1,'計算A'!BS$117=1,FR26=0),300,0))),1000000))</f>
        <v/>
      </c>
      <c r="QV26">
        <f>IF($B26=0,1000000,IF(INDEX('計算A'!$D$60:$EQ$104,$B26,69)*FR26=1,IF(AND($E26=2,LG26=0),1000000,IF($I26&gt;0,IF(3=$J26,IF(OR(AND(69=$I26+1,OR($K26&lt;&gt;'計算A'!$A$3,'計算A'!$A$4=0)),AND(69=$I26-1,OR(21&lt;&gt;'計算A'!$A$3,'計算A'!$A$4=0))),0,IF(21=$K26,200000,ABS(21-$K26)*100)),100000+ABS(3-$J26)*1000+210)+'計算A'!BT$5*50+IF(AND($E26=1,LG26=0),25,0),INDEX('計算A'!BT$110:BT$114,$F26+1)+IF(AND($E26=1,LG26=0),1000,0)+IF($H26=1,(IF('計算A'!BS$117=1,INDEX('計算A'!BS$10:BS$54,$B26),0)+IF('計算A'!BT$117=1,INDEX('計算A'!BU$10:BU$54,$B26),0))*500,0)-IF(AND('計算A'!BS$117=1,WQ26&gt;0),300,0)-IF(AND($L26=1,'計算A'!BT$117=1,FS26=0),300,0))),1000000))</f>
        <v/>
      </c>
      <c r="QW26">
        <f>IF($B26=0,1000000,IF(INDEX('計算A'!$D$60:$EQ$104,$B26,70)*FS26=1,IF(AND($E26=2,LH26=0),1000000,IF($I26&gt;0,IF(3=$J26,IF(OR(AND(70=$I26+1,OR($K26&lt;&gt;'計算A'!$A$3,'計算A'!$A$4=0)),AND(70=$I26-1,OR(22&lt;&gt;'計算A'!$A$3,'計算A'!$A$4=0))),0,IF(22=$K26,200000,ABS(22-$K26)*100)),100000+ABS(3-$J26)*1000+220)+'計算A'!BU$5*50+IF(AND($E26=1,LH26=0),25,0),INDEX('計算A'!BU$110:BU$114,$F26+1)+IF(AND($E26=1,LH26=0),1000,0)+IF($H26=1,(IF('計算A'!BT$117=1,INDEX('計算A'!BT$10:BT$54,$B26),0)+IF('計算A'!BU$117=1,INDEX('計算A'!BV$10:BV$54,$B26),0))*500,0)-IF(AND('計算A'!BT$117=1,WR26&gt;0),300,0)-IF(AND($L26=1,'計算A'!BU$117=1,FT26=0),300,0))),1000000))</f>
        <v/>
      </c>
      <c r="QX26">
        <f>IF($B26=0,1000000,IF(INDEX('計算A'!$D$60:$EQ$104,$B26,71)*FT26=1,IF(AND($E26=2,LI26=0),1000000,IF($I26&gt;0,IF(3=$J26,IF(OR(AND(71=$I26+1,OR($K26&lt;&gt;'計算A'!$A$3,'計算A'!$A$4=0)),AND(71=$I26-1,OR(23&lt;&gt;'計算A'!$A$3,'計算A'!$A$4=0))),0,IF(23=$K26,200000,ABS(23-$K26)*100)),100000+ABS(3-$J26)*1000+230)+'計算A'!BV$5*50+IF(AND($E26=1,LI26=0),25,0),INDEX('計算A'!BV$110:BV$114,$F26+1)+IF(AND($E26=1,LI26=0),1000,0)+IF($H26=1,(IF('計算A'!BU$117=1,INDEX('計算A'!BU$10:BU$54,$B26),0)+IF('計算A'!BV$117=1,INDEX('計算A'!BW$10:BW$54,$B26),0))*500,0)-IF(AND('計算A'!BU$117=1,WS26&gt;0),300,0)-IF(AND($L26=1,'計算A'!BV$117=1,FU26=0),300,0))),1000000))</f>
        <v/>
      </c>
      <c r="QY26">
        <f>IF($B26=0,1000000,IF(INDEX('計算A'!$D$60:$EQ$104,$B26,72)*FU26=1,IF(AND($E26=2,LJ26=0),1000000,IF($I26&gt;0,IF(3=$J26,IF(OR(AND(72=$I26+1,OR($K26&lt;&gt;'計算A'!$A$3,'計算A'!$A$4=0)),AND(72=$I26-1,OR(24&lt;&gt;'計算A'!$A$3,'計算A'!$A$4=0))),0,IF(24=$K26,200000,ABS(24-$K26)*100)),100000+ABS(3-$J26)*1000+240)+'計算A'!BW$5*50+IF(AND($E26=1,LJ26=0),25,0),INDEX('計算A'!BW$110:BW$114,$F26+1)+IF(AND($E26=1,LJ26=0),1000,0)+IF($H26=1,(IF('計算A'!BV$117=1,INDEX('計算A'!BV$10:BV$54,$B26),0))*500,0)-IF(AND('計算A'!BV$117=1,WT26&gt;0),300,0))),1000000))</f>
        <v/>
      </c>
      <c r="QZ26">
        <f>IF($B26=0,1000000,IF(INDEX('計算A'!$D$60:$EQ$104,$B26,73)*FV26=1,IF(AND($E26=2,LK26=0),1000000,IF($I26&gt;0,IF(4=$J26,IF(OR(AND(73=$I26+1,OR($K26&lt;&gt;'計算A'!$A$3,'計算A'!$A$4=0)),AND(73=$I26-1,OR(1&lt;&gt;'計算A'!$A$3,'計算A'!$A$4=0))),0,IF(1=$K26,200000,ABS(1-$K26)*100)),100000+ABS(4-$J26)*1000+10)+'計算A'!BX$5*50+IF(AND($E26=1,LK26=0),25,0),INDEX('計算A'!BX$110:BX$114,$F26+1)+IF(AND($E26=1,LK26=0),1000,0)+IF($H26=1,(IF('計算A'!BX$117=1,INDEX('計算A'!BY$10:BY$54,$B26),0))*500,0)-IF(AND($L26=1,'計算A'!BX$117=1,FW26=0),300,0))),1000000))</f>
        <v/>
      </c>
      <c r="RA26">
        <f>IF($B26=0,1000000,IF(INDEX('計算A'!$D$60:$EQ$104,$B26,74)*FW26=1,IF(AND($E26=2,LL26=0),1000000,IF($I26&gt;0,IF(4=$J26,IF(OR(AND(74=$I26+1,OR($K26&lt;&gt;'計算A'!$A$3,'計算A'!$A$4=0)),AND(74=$I26-1,OR(2&lt;&gt;'計算A'!$A$3,'計算A'!$A$4=0))),0,IF(2=$K26,200000,ABS(2-$K26)*100)),100000+ABS(4-$J26)*1000+20)+'計算A'!BY$5*50+IF(AND($E26=1,LL26=0),25,0),INDEX('計算A'!BY$110:BY$114,$F26+1)+IF(AND($E26=1,LL26=0),1000,0)+IF($H26=1,(IF('計算A'!BX$117=1,INDEX('計算A'!BX$10:BX$54,$B26),0)+IF('計算A'!BY$117=1,INDEX('計算A'!BZ$10:BZ$54,$B26),0))*500,0)-IF(AND('計算A'!BX$117=1,WV26&gt;0),300,0)-IF(AND($L26=1,'計算A'!BY$117=1,FX26=0),300,0))),1000000))</f>
        <v/>
      </c>
      <c r="RB26">
        <f>IF($B26=0,1000000,IF(INDEX('計算A'!$D$60:$EQ$104,$B26,75)*FX26=1,IF(AND($E26=2,LM26=0),1000000,IF($I26&gt;0,IF(4=$J26,IF(OR(AND(75=$I26+1,OR($K26&lt;&gt;'計算A'!$A$3,'計算A'!$A$4=0)),AND(75=$I26-1,OR(3&lt;&gt;'計算A'!$A$3,'計算A'!$A$4=0))),0,IF(3=$K26,200000,ABS(3-$K26)*100)),100000+ABS(4-$J26)*1000+30)+'計算A'!BZ$5*50+IF(AND($E26=1,LM26=0),25,0),INDEX('計算A'!BZ$110:BZ$114,$F26+1)+IF(AND($E26=1,LM26=0),1000,0)+IF($H26=1,(IF('計算A'!BY$117=1,INDEX('計算A'!BY$10:BY$54,$B26),0)+IF('計算A'!BZ$117=1,INDEX('計算A'!CA$10:CA$54,$B26),0))*500,0)-IF(AND('計算A'!BY$117=1,WW26&gt;0),300,0)-IF(AND($L26=1,'計算A'!BZ$117=1,FY26=0),300,0))),1000000))</f>
        <v/>
      </c>
      <c r="RC26">
        <f>IF($B26=0,1000000,IF(INDEX('計算A'!$D$60:$EQ$104,$B26,76)*FY26=1,IF(AND($E26=2,LN26=0),1000000,IF($I26&gt;0,IF(4=$J26,IF(OR(AND(76=$I26+1,OR($K26&lt;&gt;'計算A'!$A$3,'計算A'!$A$4=0)),AND(76=$I26-1,OR(4&lt;&gt;'計算A'!$A$3,'計算A'!$A$4=0))),0,IF(4=$K26,200000,ABS(4-$K26)*100)),100000+ABS(4-$J26)*1000+40)+'計算A'!CA$5*50+IF(AND($E26=1,LN26=0),25,0),INDEX('計算A'!CA$110:CA$114,$F26+1)+IF(AND($E26=1,LN26=0),1000,0)+IF($H26=1,(IF('計算A'!BZ$117=1,INDEX('計算A'!BZ$10:BZ$54,$B26),0)+IF('計算A'!CA$117=1,INDEX('計算A'!CB$10:CB$54,$B26),0))*500,0)-IF(AND('計算A'!BZ$117=1,WX26&gt;0),300,0)-IF(AND($L26=1,'計算A'!CA$117=1,FZ26=0),300,0))),1000000))</f>
        <v/>
      </c>
      <c r="RD26">
        <f>IF($B26=0,1000000,IF(INDEX('計算A'!$D$60:$EQ$104,$B26,77)*FZ26=1,IF(AND($E26=2,LO26=0),1000000,IF($I26&gt;0,IF(4=$J26,IF(OR(AND(77=$I26+1,OR($K26&lt;&gt;'計算A'!$A$3,'計算A'!$A$4=0)),AND(77=$I26-1,OR(5&lt;&gt;'計算A'!$A$3,'計算A'!$A$4=0))),0,IF(5=$K26,200000,ABS(5-$K26)*100)),100000+ABS(4-$J26)*1000+50)+'計算A'!CB$5*50+IF(AND($E26=1,LO26=0),25,0),INDEX('計算A'!CB$110:CB$114,$F26+1)+IF(AND($E26=1,LO26=0),1000,0)+IF($H26=1,(IF('計算A'!CA$117=1,INDEX('計算A'!CA$10:CA$54,$B26),0)+IF('計算A'!CB$117=1,INDEX('計算A'!CC$10:CC$54,$B26),0))*500,0)-IF(AND('計算A'!CA$117=1,WY26&gt;0),300,0)-IF(AND($L26=1,'計算A'!CB$117=1,GA26=0),300,0))),1000000))</f>
        <v/>
      </c>
      <c r="RE26">
        <f>IF($B26=0,1000000,IF(INDEX('計算A'!$D$60:$EQ$104,$B26,78)*GA26=1,IF(AND($E26=2,LP26=0),1000000,IF($I26&gt;0,IF(4=$J26,IF(OR(AND(78=$I26+1,OR($K26&lt;&gt;'計算A'!$A$3,'計算A'!$A$4=0)),AND(78=$I26-1,OR(6&lt;&gt;'計算A'!$A$3,'計算A'!$A$4=0))),0,IF(6=$K26,200000,ABS(6-$K26)*100)),100000+ABS(4-$J26)*1000+60)+'計算A'!CC$5*50+IF(AND($E26=1,LP26=0),25,0),INDEX('計算A'!CC$110:CC$114,$F26+1)+IF(AND($E26=1,LP26=0),1000,0)+IF($H26=1,(IF('計算A'!CB$117=1,INDEX('計算A'!CB$10:CB$54,$B26),0)+IF('計算A'!CC$117=1,INDEX('計算A'!CD$10:CD$54,$B26),0))*500,0)-IF(AND('計算A'!CB$117=1,WZ26&gt;0),300,0)-IF(AND($L26=1,'計算A'!CC$117=1,GB26=0),300,0))),1000000))</f>
        <v/>
      </c>
      <c r="RF26">
        <f>IF($B26=0,1000000,IF(INDEX('計算A'!$D$60:$EQ$104,$B26,79)*GB26=1,IF(AND($E26=2,LQ26=0),1000000,IF($I26&gt;0,IF(4=$J26,IF(OR(AND(79=$I26+1,OR($K26&lt;&gt;'計算A'!$A$3,'計算A'!$A$4=0)),AND(79=$I26-1,OR(7&lt;&gt;'計算A'!$A$3,'計算A'!$A$4=0))),0,IF(7=$K26,200000,ABS(7-$K26)*100)),100000+ABS(4-$J26)*1000+70)+'計算A'!CD$5*50+IF(AND($E26=1,LQ26=0),25,0),INDEX('計算A'!CD$110:CD$114,$F26+1)+IF(AND($E26=1,LQ26=0),1000,0)+IF($H26=1,(IF('計算A'!CC$117=1,INDEX('計算A'!CC$10:CC$54,$B26),0)+IF('計算A'!CD$117=1,INDEX('計算A'!CE$10:CE$54,$B26),0))*500,0)-IF(AND('計算A'!CC$117=1,XA26&gt;0),300,0)-IF(AND($L26=1,'計算A'!CD$117=1,GC26=0),300,0))),1000000))</f>
        <v/>
      </c>
      <c r="RG26">
        <f>IF($B26=0,1000000,IF(INDEX('計算A'!$D$60:$EQ$104,$B26,80)*GC26=1,IF(AND($E26=2,LR26=0),1000000,IF($I26&gt;0,IF(4=$J26,IF(OR(AND(80=$I26+1,OR($K26&lt;&gt;'計算A'!$A$3,'計算A'!$A$4=0)),AND(80=$I26-1,OR(8&lt;&gt;'計算A'!$A$3,'計算A'!$A$4=0))),0,IF(8=$K26,200000,ABS(8-$K26)*100)),100000+ABS(4-$J26)*1000+80)+'計算A'!CE$5*50+IF(AND($E26=1,LR26=0),25,0),INDEX('計算A'!CE$110:CE$114,$F26+1)+IF(AND($E26=1,LR26=0),1000,0)+IF($H26=1,(IF('計算A'!CD$117=1,INDEX('計算A'!CD$10:CD$54,$B26),0)+IF('計算A'!CE$117=1,INDEX('計算A'!CF$10:CF$54,$B26),0))*500,0)-IF(AND('計算A'!CD$117=1,XB26&gt;0),300,0)-IF(AND($L26=1,'計算A'!CE$117=1,GD26=0),300,0))),1000000))</f>
        <v/>
      </c>
      <c r="RH26">
        <f>IF($B26=0,1000000,IF(INDEX('計算A'!$D$60:$EQ$104,$B26,81)*GD26=1,IF(AND($E26=2,LS26=0),1000000,IF($I26&gt;0,IF(4=$J26,IF(OR(AND(81=$I26+1,OR($K26&lt;&gt;'計算A'!$A$3,'計算A'!$A$4=0)),AND(81=$I26-1,OR(9&lt;&gt;'計算A'!$A$3,'計算A'!$A$4=0))),0,IF(9=$K26,200000,ABS(9-$K26)*100)),100000+ABS(4-$J26)*1000+90)+'計算A'!CF$5*50+IF(AND($E26=1,LS26=0),25,0),INDEX('計算A'!CF$110:CF$114,$F26+1)+IF(AND($E26=1,LS26=0),1000,0)+IF($H26=1,(IF('計算A'!CE$117=1,INDEX('計算A'!CE$10:CE$54,$B26),0)+IF('計算A'!CF$117=1,INDEX('計算A'!CG$10:CG$54,$B26),0))*500,0)-IF(AND('計算A'!CE$117=1,XC26&gt;0),300,0)-IF(AND($L26=1,'計算A'!CF$117=1,GE26=0),300,0))),1000000))</f>
        <v/>
      </c>
      <c r="RI26">
        <f>IF($B26=0,1000000,IF(INDEX('計算A'!$D$60:$EQ$104,$B26,82)*GE26=1,IF(AND($E26=2,LT26=0),1000000,IF($I26&gt;0,IF(4=$J26,IF(OR(AND(82=$I26+1,OR($K26&lt;&gt;'計算A'!$A$3,'計算A'!$A$4=0)),AND(82=$I26-1,OR(10&lt;&gt;'計算A'!$A$3,'計算A'!$A$4=0))),0,IF(10=$K26,200000,ABS(10-$K26)*100)),100000+ABS(4-$J26)*1000+100)+'計算A'!CG$5*50+IF(AND($E26=1,LT26=0),25,0),INDEX('計算A'!CG$110:CG$114,$F26+1)+IF(AND($E26=1,LT26=0),1000,0)+IF($H26=1,(IF('計算A'!CF$117=1,INDEX('計算A'!CF$10:CF$54,$B26),0)+IF('計算A'!CG$117=1,INDEX('計算A'!CH$10:CH$54,$B26),0))*500,0)-IF(AND('計算A'!CF$117=1,XD26&gt;0),300,0)-IF(AND($L26=1,'計算A'!CG$117=1,GF26=0),300,0))),1000000))</f>
        <v/>
      </c>
      <c r="RJ26">
        <f>IF($B26=0,1000000,IF(INDEX('計算A'!$D$60:$EQ$104,$B26,83)*GF26=1,IF(AND($E26=2,LU26=0),1000000,IF($I26&gt;0,IF(4=$J26,IF(OR(AND(83=$I26+1,OR($K26&lt;&gt;'計算A'!$A$3,'計算A'!$A$4=0)),AND(83=$I26-1,OR(11&lt;&gt;'計算A'!$A$3,'計算A'!$A$4=0))),0,IF(11=$K26,200000,ABS(11-$K26)*100)),100000+ABS(4-$J26)*1000+110)+'計算A'!CH$5*50+IF(AND($E26=1,LU26=0),25,0),INDEX('計算A'!CH$110:CH$114,$F26+1)+IF(AND($E26=1,LU26=0),1000,0)+IF($H26=1,(IF('計算A'!CG$117=1,INDEX('計算A'!CG$10:CG$54,$B26),0)+IF('計算A'!CH$117=1,INDEX('計算A'!CI$10:CI$54,$B26),0))*500,0)-IF(AND('計算A'!CG$117=1,XE26&gt;0),300,0)-IF(AND($L26=1,'計算A'!CH$117=1,GG26=0),300,0))),1000000))</f>
        <v/>
      </c>
      <c r="RK26">
        <f>IF($B26=0,1000000,IF(INDEX('計算A'!$D$60:$EQ$104,$B26,84)*GG26=1,IF(AND($E26=2,LV26=0),1000000,IF($I26&gt;0,IF(4=$J26,IF(OR(AND(84=$I26+1,OR($K26&lt;&gt;'計算A'!$A$3,'計算A'!$A$4=0)),AND(84=$I26-1,OR(12&lt;&gt;'計算A'!$A$3,'計算A'!$A$4=0))),0,IF(12=$K26,200000,ABS(12-$K26)*100)),100000+ABS(4-$J26)*1000+120)+'計算A'!CI$5*50+IF(AND($E26=1,LV26=0),25,0),INDEX('計算A'!CI$110:CI$114,$F26+1)+IF(AND($E26=1,LV26=0),1000,0)+IF($H26=1,(IF('計算A'!CH$117=1,INDEX('計算A'!CH$10:CH$54,$B26),0)+IF('計算A'!CI$117=1,INDEX('計算A'!CJ$10:CJ$54,$B26),0))*500,0)-IF(AND('計算A'!CH$117=1,XF26&gt;0),300,0)-IF(AND($L26=1,'計算A'!CI$117=1,GH26=0),300,0))),1000000))</f>
        <v/>
      </c>
      <c r="RL26">
        <f>IF($B26=0,1000000,IF(INDEX('計算A'!$D$60:$EQ$104,$B26,85)*GH26=1,IF(AND($E26=2,LW26=0),1000000,IF($I26&gt;0,IF(4=$J26,IF(OR(AND(85=$I26+1,OR($K26&lt;&gt;'計算A'!$A$3,'計算A'!$A$4=0)),AND(85=$I26-1,OR(13&lt;&gt;'計算A'!$A$3,'計算A'!$A$4=0))),0,IF(13=$K26,200000,ABS(13-$K26)*100)),100000+ABS(4-$J26)*1000+130)+'計算A'!CJ$5*50+IF(AND($E26=1,LW26=0),25,0),INDEX('計算A'!CJ$110:CJ$114,$F26+1)+IF(AND($E26=1,LW26=0),1000,0)+IF($H26=1,(IF('計算A'!CI$117=1,INDEX('計算A'!CI$10:CI$54,$B26),0)+IF('計算A'!CJ$117=1,INDEX('計算A'!CK$10:CK$54,$B26),0))*500,0)-IF(AND('計算A'!CI$117=1,XG26&gt;0),300,0)-IF(AND($L26=1,'計算A'!CJ$117=1,GI26=0),300,0))),1000000))</f>
        <v/>
      </c>
      <c r="RM26">
        <f>IF($B26=0,1000000,IF(INDEX('計算A'!$D$60:$EQ$104,$B26,86)*GI26=1,IF(AND($E26=2,LX26=0),1000000,IF($I26&gt;0,IF(4=$J26,IF(OR(AND(86=$I26+1,OR($K26&lt;&gt;'計算A'!$A$3,'計算A'!$A$4=0)),AND(86=$I26-1,OR(14&lt;&gt;'計算A'!$A$3,'計算A'!$A$4=0))),0,IF(14=$K26,200000,ABS(14-$K26)*100)),100000+ABS(4-$J26)*1000+140)+'計算A'!CK$5*50+IF(AND($E26=1,LX26=0),25,0),INDEX('計算A'!CK$110:CK$114,$F26+1)+IF(AND($E26=1,LX26=0),1000,0)+IF($H26=1,(IF('計算A'!CJ$117=1,INDEX('計算A'!CJ$10:CJ$54,$B26),0)+IF('計算A'!CK$117=1,INDEX('計算A'!CL$10:CL$54,$B26),0))*500,0)-IF(AND('計算A'!CJ$117=1,XH26&gt;0),300,0)-IF(AND($L26=1,'計算A'!CK$117=1,GJ26=0),300,0))),1000000))</f>
        <v/>
      </c>
      <c r="RN26">
        <f>IF($B26=0,1000000,IF(INDEX('計算A'!$D$60:$EQ$104,$B26,87)*GJ26=1,IF(AND($E26=2,LY26=0),1000000,IF($I26&gt;0,IF(4=$J26,IF(OR(AND(87=$I26+1,OR($K26&lt;&gt;'計算A'!$A$3,'計算A'!$A$4=0)),AND(87=$I26-1,OR(15&lt;&gt;'計算A'!$A$3,'計算A'!$A$4=0))),0,IF(15=$K26,200000,ABS(15-$K26)*100)),100000+ABS(4-$J26)*1000+150)+'計算A'!CL$5*50+IF(AND($E26=1,LY26=0),25,0),INDEX('計算A'!CL$110:CL$114,$F26+1)+IF(AND($E26=1,LY26=0),1000,0)+IF($H26=1,(IF('計算A'!CK$117=1,INDEX('計算A'!CK$10:CK$54,$B26),0)+IF('計算A'!CL$117=1,INDEX('計算A'!CM$10:CM$54,$B26),0))*500,0)-IF(AND('計算A'!CK$117=1,XI26&gt;0),300,0)-IF(AND($L26=1,'計算A'!CL$117=1,GK26=0),300,0))),1000000))</f>
        <v/>
      </c>
      <c r="RO26">
        <f>IF($B26=0,1000000,IF(INDEX('計算A'!$D$60:$EQ$104,$B26,88)*GK26=1,IF(AND($E26=2,LZ26=0),1000000,IF($I26&gt;0,IF(4=$J26,IF(OR(AND(88=$I26+1,OR($K26&lt;&gt;'計算A'!$A$3,'計算A'!$A$4=0)),AND(88=$I26-1,OR(16&lt;&gt;'計算A'!$A$3,'計算A'!$A$4=0))),0,IF(16=$K26,200000,ABS(16-$K26)*100)),100000+ABS(4-$J26)*1000+160)+'計算A'!CM$5*50+IF(AND($E26=1,LZ26=0),25,0),INDEX('計算A'!CM$110:CM$114,$F26+1)+IF(AND($E26=1,LZ26=0),1000,0)+IF($H26=1,(IF('計算A'!CL$117=1,INDEX('計算A'!CL$10:CL$54,$B26),0)+IF('計算A'!CM$117=1,INDEX('計算A'!CN$10:CN$54,$B26),0))*500,0)-IF(AND('計算A'!CL$117=1,XJ26&gt;0),300,0)-IF(AND($L26=1,'計算A'!CM$117=1,GL26=0),300,0))),1000000))</f>
        <v/>
      </c>
      <c r="RP26">
        <f>IF($B26=0,1000000,IF(INDEX('計算A'!$D$60:$EQ$104,$B26,89)*GL26=1,IF(AND($E26=2,MA26=0),1000000,IF($I26&gt;0,IF(4=$J26,IF(OR(AND(89=$I26+1,OR($K26&lt;&gt;'計算A'!$A$3,'計算A'!$A$4=0)),AND(89=$I26-1,OR(17&lt;&gt;'計算A'!$A$3,'計算A'!$A$4=0))),0,IF(17=$K26,200000,ABS(17-$K26)*100)),100000+ABS(4-$J26)*1000+170)+'計算A'!CN$5*50+IF(AND($E26=1,MA26=0),25,0),INDEX('計算A'!CN$110:CN$114,$F26+1)+IF(AND($E26=1,MA26=0),1000,0)+IF($H26=1,(IF('計算A'!CM$117=1,INDEX('計算A'!CM$10:CM$54,$B26),0)+IF('計算A'!CN$117=1,INDEX('計算A'!CO$10:CO$54,$B26),0))*500,0)-IF(AND('計算A'!CM$117=1,XK26&gt;0),300,0)-IF(AND($L26=1,'計算A'!CN$117=1,GM26=0),300,0))),1000000))</f>
        <v/>
      </c>
      <c r="RQ26">
        <f>IF($B26=0,1000000,IF(INDEX('計算A'!$D$60:$EQ$104,$B26,90)*GM26=1,IF(AND($E26=2,MB26=0),1000000,IF($I26&gt;0,IF(4=$J26,IF(OR(AND(90=$I26+1,OR($K26&lt;&gt;'計算A'!$A$3,'計算A'!$A$4=0)),AND(90=$I26-1,OR(18&lt;&gt;'計算A'!$A$3,'計算A'!$A$4=0))),0,IF(18=$K26,200000,ABS(18-$K26)*100)),100000+ABS(4-$J26)*1000+180)+'計算A'!CO$5*50+IF(AND($E26=1,MB26=0),25,0),INDEX('計算A'!CO$110:CO$114,$F26+1)+IF(AND($E26=1,MB26=0),1000,0)+IF($H26=1,(IF('計算A'!CN$117=1,INDEX('計算A'!CN$10:CN$54,$B26),0)+IF('計算A'!CO$117=1,INDEX('計算A'!CP$10:CP$54,$B26),0))*500,0)-IF(AND('計算A'!CN$117=1,XL26&gt;0),300,0)-IF(AND($L26=1,'計算A'!CO$117=1,GN26=0),300,0))),1000000))</f>
        <v/>
      </c>
      <c r="RR26">
        <f>IF($B26=0,1000000,IF(INDEX('計算A'!$D$60:$EQ$104,$B26,91)*GN26=1,IF(AND($E26=2,MC26=0),1000000,IF($I26&gt;0,IF(4=$J26,IF(OR(AND(91=$I26+1,OR($K26&lt;&gt;'計算A'!$A$3,'計算A'!$A$4=0)),AND(91=$I26-1,OR(19&lt;&gt;'計算A'!$A$3,'計算A'!$A$4=0))),0,IF(19=$K26,200000,ABS(19-$K26)*100)),100000+ABS(4-$J26)*1000+190)+'計算A'!CP$5*50+IF(AND($E26=1,MC26=0),25,0),INDEX('計算A'!CP$110:CP$114,$F26+1)+IF(AND($E26=1,MC26=0),1000,0)+IF($H26=1,(IF('計算A'!CO$117=1,INDEX('計算A'!CO$10:CO$54,$B26),0)+IF('計算A'!CP$117=1,INDEX('計算A'!CQ$10:CQ$54,$B26),0))*500,0)-IF(AND('計算A'!CO$117=1,XM26&gt;0),300,0)-IF(AND($L26=1,'計算A'!CP$117=1,GO26=0),300,0))),1000000))</f>
        <v/>
      </c>
      <c r="RS26">
        <f>IF($B26=0,1000000,IF(INDEX('計算A'!$D$60:$EQ$104,$B26,92)*GO26=1,IF(AND($E26=2,MD26=0),1000000,IF($I26&gt;0,IF(4=$J26,IF(OR(AND(92=$I26+1,OR($K26&lt;&gt;'計算A'!$A$3,'計算A'!$A$4=0)),AND(92=$I26-1,OR(20&lt;&gt;'計算A'!$A$3,'計算A'!$A$4=0))),0,IF(20=$K26,200000,ABS(20-$K26)*100)),100000+ABS(4-$J26)*1000+200)+'計算A'!CQ$5*50+IF(AND($E26=1,MD26=0),25,0),INDEX('計算A'!CQ$110:CQ$114,$F26+1)+IF(AND($E26=1,MD26=0),1000,0)+IF($H26=1,(IF('計算A'!CP$117=1,INDEX('計算A'!CP$10:CP$54,$B26),0)+IF('計算A'!CQ$117=1,INDEX('計算A'!CR$10:CR$54,$B26),0))*500,0)-IF(AND('計算A'!CP$117=1,XN26&gt;0),300,0)-IF(AND($L26=1,'計算A'!CQ$117=1,GP26=0),300,0))),1000000))</f>
        <v/>
      </c>
      <c r="RT26">
        <f>IF($B26=0,1000000,IF(INDEX('計算A'!$D$60:$EQ$104,$B26,93)*GP26=1,IF(AND($E26=2,ME26=0),1000000,IF($I26&gt;0,IF(4=$J26,IF(OR(AND(93=$I26+1,OR($K26&lt;&gt;'計算A'!$A$3,'計算A'!$A$4=0)),AND(93=$I26-1,OR(21&lt;&gt;'計算A'!$A$3,'計算A'!$A$4=0))),0,IF(21=$K26,200000,ABS(21-$K26)*100)),100000+ABS(4-$J26)*1000+210)+'計算A'!CR$5*50+IF(AND($E26=1,ME26=0),25,0),INDEX('計算A'!CR$110:CR$114,$F26+1)+IF(AND($E26=1,ME26=0),1000,0)+IF($H26=1,(IF('計算A'!CQ$117=1,INDEX('計算A'!CQ$10:CQ$54,$B26),0)+IF('計算A'!CR$117=1,INDEX('計算A'!CS$10:CS$54,$B26),0))*500,0)-IF(AND('計算A'!CQ$117=1,XO26&gt;0),300,0)-IF(AND($L26=1,'計算A'!CR$117=1,GQ26=0),300,0))),1000000))</f>
        <v/>
      </c>
      <c r="RU26">
        <f>IF($B26=0,1000000,IF(INDEX('計算A'!$D$60:$EQ$104,$B26,94)*GQ26=1,IF(AND($E26=2,MF26=0),1000000,IF($I26&gt;0,IF(4=$J26,IF(OR(AND(94=$I26+1,OR($K26&lt;&gt;'計算A'!$A$3,'計算A'!$A$4=0)),AND(94=$I26-1,OR(22&lt;&gt;'計算A'!$A$3,'計算A'!$A$4=0))),0,IF(22=$K26,200000,ABS(22-$K26)*100)),100000+ABS(4-$J26)*1000+220)+'計算A'!CS$5*50+IF(AND($E26=1,MF26=0),25,0),INDEX('計算A'!CS$110:CS$114,$F26+1)+IF(AND($E26=1,MF26=0),1000,0)+IF($H26=1,(IF('計算A'!CR$117=1,INDEX('計算A'!CR$10:CR$54,$B26),0)+IF('計算A'!CS$117=1,INDEX('計算A'!CT$10:CT$54,$B26),0))*500,0)-IF(AND('計算A'!CR$117=1,XP26&gt;0),300,0)-IF(AND($L26=1,'計算A'!CS$117=1,GR26=0),300,0))),1000000))</f>
        <v/>
      </c>
      <c r="RV26">
        <f>IF($B26=0,1000000,IF(INDEX('計算A'!$D$60:$EQ$104,$B26,95)*GR26=1,IF(AND($E26=2,MG26=0),1000000,IF($I26&gt;0,IF(4=$J26,IF(OR(AND(95=$I26+1,OR($K26&lt;&gt;'計算A'!$A$3,'計算A'!$A$4=0)),AND(95=$I26-1,OR(23&lt;&gt;'計算A'!$A$3,'計算A'!$A$4=0))),0,IF(23=$K26,200000,ABS(23-$K26)*100)),100000+ABS(4-$J26)*1000+230)+'計算A'!CT$5*50+IF(AND($E26=1,MG26=0),25,0),INDEX('計算A'!CT$110:CT$114,$F26+1)+IF(AND($E26=1,MG26=0),1000,0)+IF($H26=1,(IF('計算A'!CS$117=1,INDEX('計算A'!CS$10:CS$54,$B26),0)+IF('計算A'!CT$117=1,INDEX('計算A'!CU$10:CU$54,$B26),0))*500,0)-IF(AND('計算A'!CS$117=1,XQ26&gt;0),300,0)-IF(AND($L26=1,'計算A'!CT$117=1,GS26=0),300,0))),1000000))</f>
        <v/>
      </c>
      <c r="RW26">
        <f>IF($B26=0,1000000,IF(INDEX('計算A'!$D$60:$EQ$104,$B26,96)*GS26=1,IF(AND($E26=2,MH26=0),1000000,IF($I26&gt;0,IF(4=$J26,IF(OR(AND(96=$I26+1,OR($K26&lt;&gt;'計算A'!$A$3,'計算A'!$A$4=0)),AND(96=$I26-1,OR(24&lt;&gt;'計算A'!$A$3,'計算A'!$A$4=0))),0,IF(24=$K26,200000,ABS(24-$K26)*100)),100000+ABS(4-$J26)*1000+240)+'計算A'!CU$5*50+IF(AND($E26=1,MH26=0),25,0),INDEX('計算A'!CU$110:CU$114,$F26+1)+IF(AND($E26=1,MH26=0),1000,0)+IF($H26=1,(IF('計算A'!CT$117=1,INDEX('計算A'!CT$10:CT$54,$B26),0))*500,0)-IF(AND('計算A'!CT$117=1,XR26&gt;0),300,0))),1000000))</f>
        <v/>
      </c>
      <c r="RX26">
        <f>IF($B26=0,1000000,IF(INDEX('計算A'!$D$60:$EQ$104,$B26,97)*GT26=1,IF(AND($E26=2,MI26=0),1000000,IF($I26&gt;0,IF(5=$J26,IF(OR(AND(97=$I26+1,OR($K26&lt;&gt;'計算A'!$A$3,'計算A'!$A$4=0)),AND(97=$I26-1,OR(1&lt;&gt;'計算A'!$A$3,'計算A'!$A$4=0))),0,IF(1=$K26,200000,ABS(1-$K26)*100)),100000+ABS(5-$J26)*1000+10)+'計算A'!CV$5*50+IF(AND($E26=1,MI26=0),25,0),INDEX('計算A'!CV$110:CV$114,$F26+1)+IF(AND($E26=1,MI26=0),1000,0)+IF($H26=1,(IF('計算A'!CV$117=1,INDEX('計算A'!CW$10:CW$54,$B26),0))*500,0)-IF(AND($L26=1,'計算A'!CV$117=1,GU26=0),300,0))),1000000))</f>
        <v/>
      </c>
      <c r="RY26">
        <f>IF($B26=0,1000000,IF(INDEX('計算A'!$D$60:$EQ$104,$B26,98)*GU26=1,IF(AND($E26=2,MJ26=0),1000000,IF($I26&gt;0,IF(5=$J26,IF(OR(AND(98=$I26+1,OR($K26&lt;&gt;'計算A'!$A$3,'計算A'!$A$4=0)),AND(98=$I26-1,OR(2&lt;&gt;'計算A'!$A$3,'計算A'!$A$4=0))),0,IF(2=$K26,200000,ABS(2-$K26)*100)),100000+ABS(5-$J26)*1000+20)+'計算A'!CW$5*50+IF(AND($E26=1,MJ26=0),25,0),INDEX('計算A'!CW$110:CW$114,$F26+1)+IF(AND($E26=1,MJ26=0),1000,0)+IF($H26=1,(IF('計算A'!CV$117=1,INDEX('計算A'!CV$10:CV$54,$B26),0)+IF('計算A'!CW$117=1,INDEX('計算A'!CX$10:CX$54,$B26),0))*500,0)-IF(AND('計算A'!CV$117=1,XT26&gt;0),300,0)-IF(AND($L26=1,'計算A'!CW$117=1,GV26=0),300,0))),1000000))</f>
        <v/>
      </c>
      <c r="RZ26">
        <f>IF($B26=0,1000000,IF(INDEX('計算A'!$D$60:$EQ$104,$B26,99)*GV26=1,IF(AND($E26=2,MK26=0),1000000,IF($I26&gt;0,IF(5=$J26,IF(OR(AND(99=$I26+1,OR($K26&lt;&gt;'計算A'!$A$3,'計算A'!$A$4=0)),AND(99=$I26-1,OR(3&lt;&gt;'計算A'!$A$3,'計算A'!$A$4=0))),0,IF(3=$K26,200000,ABS(3-$K26)*100)),100000+ABS(5-$J26)*1000+30)+'計算A'!CX$5*50+IF(AND($E26=1,MK26=0),25,0),INDEX('計算A'!CX$110:CX$114,$F26+1)+IF(AND($E26=1,MK26=0),1000,0)+IF($H26=1,(IF('計算A'!CW$117=1,INDEX('計算A'!CW$10:CW$54,$B26),0)+IF('計算A'!CX$117=1,INDEX('計算A'!CY$10:CY$54,$B26),0))*500,0)-IF(AND('計算A'!CW$117=1,XU26&gt;0),300,0)-IF(AND($L26=1,'計算A'!CX$117=1,GW26=0),300,0))),1000000))</f>
        <v/>
      </c>
      <c r="SA26">
        <f>IF($B26=0,1000000,IF(INDEX('計算A'!$D$60:$EQ$104,$B26,100)*GW26=1,IF(AND($E26=2,ML26=0),1000000,IF($I26&gt;0,IF(5=$J26,IF(OR(AND(100=$I26+1,OR($K26&lt;&gt;'計算A'!$A$3,'計算A'!$A$4=0)),AND(100=$I26-1,OR(4&lt;&gt;'計算A'!$A$3,'計算A'!$A$4=0))),0,IF(4=$K26,200000,ABS(4-$K26)*100)),100000+ABS(5-$J26)*1000+40)+'計算A'!CY$5*50+IF(AND($E26=1,ML26=0),25,0),INDEX('計算A'!CY$110:CY$114,$F26+1)+IF(AND($E26=1,ML26=0),1000,0)+IF($H26=1,(IF('計算A'!CX$117=1,INDEX('計算A'!CX$10:CX$54,$B26),0)+IF('計算A'!CY$117=1,INDEX('計算A'!CZ$10:CZ$54,$B26),0))*500,0)-IF(AND('計算A'!CX$117=1,XV26&gt;0),300,0)-IF(AND($L26=1,'計算A'!CY$117=1,GX26=0),300,0))),1000000))</f>
        <v/>
      </c>
      <c r="SB26">
        <f>IF($B26=0,1000000,IF(INDEX('計算A'!$D$60:$EQ$104,$B26,101)*GX26=1,IF(AND($E26=2,MM26=0),1000000,IF($I26&gt;0,IF(5=$J26,IF(OR(AND(101=$I26+1,OR($K26&lt;&gt;'計算A'!$A$3,'計算A'!$A$4=0)),AND(101=$I26-1,OR(5&lt;&gt;'計算A'!$A$3,'計算A'!$A$4=0))),0,IF(5=$K26,200000,ABS(5-$K26)*100)),100000+ABS(5-$J26)*1000+50)+'計算A'!CZ$5*50+IF(AND($E26=1,MM26=0),25,0),INDEX('計算A'!CZ$110:CZ$114,$F26+1)+IF(AND($E26=1,MM26=0),1000,0)+IF($H26=1,(IF('計算A'!CY$117=1,INDEX('計算A'!CY$10:CY$54,$B26),0)+IF('計算A'!CZ$117=1,INDEX('計算A'!DA$10:DA$54,$B26),0))*500,0)-IF(AND('計算A'!CY$117=1,XW26&gt;0),300,0)-IF(AND($L26=1,'計算A'!CZ$117=1,GY26=0),300,0))),1000000))</f>
        <v/>
      </c>
      <c r="SC26">
        <f>IF($B26=0,1000000,IF(INDEX('計算A'!$D$60:$EQ$104,$B26,102)*GY26=1,IF(AND($E26=2,MN26=0),1000000,IF($I26&gt;0,IF(5=$J26,IF(OR(AND(102=$I26+1,OR($K26&lt;&gt;'計算A'!$A$3,'計算A'!$A$4=0)),AND(102=$I26-1,OR(6&lt;&gt;'計算A'!$A$3,'計算A'!$A$4=0))),0,IF(6=$K26,200000,ABS(6-$K26)*100)),100000+ABS(5-$J26)*1000+60)+'計算A'!DA$5*50+IF(AND($E26=1,MN26=0),25,0),INDEX('計算A'!DA$110:DA$114,$F26+1)+IF(AND($E26=1,MN26=0),1000,0)+IF($H26=1,(IF('計算A'!CZ$117=1,INDEX('計算A'!CZ$10:CZ$54,$B26),0)+IF('計算A'!DA$117=1,INDEX('計算A'!DB$10:DB$54,$B26),0))*500,0)-IF(AND('計算A'!CZ$117=1,XX26&gt;0),300,0)-IF(AND($L26=1,'計算A'!DA$117=1,GZ26=0),300,0))),1000000))</f>
        <v/>
      </c>
      <c r="SD26">
        <f>IF($B26=0,1000000,IF(INDEX('計算A'!$D$60:$EQ$104,$B26,103)*GZ26=1,IF(AND($E26=2,MO26=0),1000000,IF($I26&gt;0,IF(5=$J26,IF(OR(AND(103=$I26+1,OR($K26&lt;&gt;'計算A'!$A$3,'計算A'!$A$4=0)),AND(103=$I26-1,OR(7&lt;&gt;'計算A'!$A$3,'計算A'!$A$4=0))),0,IF(7=$K26,200000,ABS(7-$K26)*100)),100000+ABS(5-$J26)*1000+70)+'計算A'!DB$5*50+IF(AND($E26=1,MO26=0),25,0),INDEX('計算A'!DB$110:DB$114,$F26+1)+IF(AND($E26=1,MO26=0),1000,0)+IF($H26=1,(IF('計算A'!DA$117=1,INDEX('計算A'!DA$10:DA$54,$B26),0)+IF('計算A'!DB$117=1,INDEX('計算A'!DC$10:DC$54,$B26),0))*500,0)-IF(AND('計算A'!DA$117=1,XY26&gt;0),300,0)-IF(AND($L26=1,'計算A'!DB$117=1,HA26=0),300,0))),1000000))</f>
        <v/>
      </c>
      <c r="SE26">
        <f>IF($B26=0,1000000,IF(INDEX('計算A'!$D$60:$EQ$104,$B26,104)*HA26=1,IF(AND($E26=2,MP26=0),1000000,IF($I26&gt;0,IF(5=$J26,IF(OR(AND(104=$I26+1,OR($K26&lt;&gt;'計算A'!$A$3,'計算A'!$A$4=0)),AND(104=$I26-1,OR(8&lt;&gt;'計算A'!$A$3,'計算A'!$A$4=0))),0,IF(8=$K26,200000,ABS(8-$K26)*100)),100000+ABS(5-$J26)*1000+80)+'計算A'!DC$5*50+IF(AND($E26=1,MP26=0),25,0),INDEX('計算A'!DC$110:DC$114,$F26+1)+IF(AND($E26=1,MP26=0),1000,0)+IF($H26=1,(IF('計算A'!DB$117=1,INDEX('計算A'!DB$10:DB$54,$B26),0)+IF('計算A'!DC$117=1,INDEX('計算A'!DD$10:DD$54,$B26),0))*500,0)-IF(AND('計算A'!DB$117=1,XZ26&gt;0),300,0)-IF(AND($L26=1,'計算A'!DC$117=1,HB26=0),300,0))),1000000))</f>
        <v/>
      </c>
      <c r="SF26">
        <f>IF($B26=0,1000000,IF(INDEX('計算A'!$D$60:$EQ$104,$B26,105)*HB26=1,IF(AND($E26=2,MQ26=0),1000000,IF($I26&gt;0,IF(5=$J26,IF(OR(AND(105=$I26+1,OR($K26&lt;&gt;'計算A'!$A$3,'計算A'!$A$4=0)),AND(105=$I26-1,OR(9&lt;&gt;'計算A'!$A$3,'計算A'!$A$4=0))),0,IF(9=$K26,200000,ABS(9-$K26)*100)),100000+ABS(5-$J26)*1000+90)+'計算A'!DD$5*50+IF(AND($E26=1,MQ26=0),25,0),INDEX('計算A'!DD$110:DD$114,$F26+1)+IF(AND($E26=1,MQ26=0),1000,0)+IF($H26=1,(IF('計算A'!DC$117=1,INDEX('計算A'!DC$10:DC$54,$B26),0)+IF('計算A'!DD$117=1,INDEX('計算A'!DE$10:DE$54,$B26),0))*500,0)-IF(AND('計算A'!DC$117=1,YA26&gt;0),300,0)-IF(AND($L26=1,'計算A'!DD$117=1,HC26=0),300,0))),1000000))</f>
        <v/>
      </c>
      <c r="SG26">
        <f>IF($B26=0,1000000,IF(INDEX('計算A'!$D$60:$EQ$104,$B26,106)*HC26=1,IF(AND($E26=2,MR26=0),1000000,IF($I26&gt;0,IF(5=$J26,IF(OR(AND(106=$I26+1,OR($K26&lt;&gt;'計算A'!$A$3,'計算A'!$A$4=0)),AND(106=$I26-1,OR(10&lt;&gt;'計算A'!$A$3,'計算A'!$A$4=0))),0,IF(10=$K26,200000,ABS(10-$K26)*100)),100000+ABS(5-$J26)*1000+100)+'計算A'!DE$5*50+IF(AND($E26=1,MR26=0),25,0),INDEX('計算A'!DE$110:DE$114,$F26+1)+IF(AND($E26=1,MR26=0),1000,0)+IF($H26=1,(IF('計算A'!DD$117=1,INDEX('計算A'!DD$10:DD$54,$B26),0)+IF('計算A'!DE$117=1,INDEX('計算A'!DF$10:DF$54,$B26),0))*500,0)-IF(AND('計算A'!DD$117=1,YB26&gt;0),300,0)-IF(AND($L26=1,'計算A'!DE$117=1,HD26=0),300,0))),1000000))</f>
        <v/>
      </c>
      <c r="SH26">
        <f>IF($B26=0,1000000,IF(INDEX('計算A'!$D$60:$EQ$104,$B26,107)*HD26=1,IF(AND($E26=2,MS26=0),1000000,IF($I26&gt;0,IF(5=$J26,IF(OR(AND(107=$I26+1,OR($K26&lt;&gt;'計算A'!$A$3,'計算A'!$A$4=0)),AND(107=$I26-1,OR(11&lt;&gt;'計算A'!$A$3,'計算A'!$A$4=0))),0,IF(11=$K26,200000,ABS(11-$K26)*100)),100000+ABS(5-$J26)*1000+110)+'計算A'!DF$5*50+IF(AND($E26=1,MS26=0),25,0),INDEX('計算A'!DF$110:DF$114,$F26+1)+IF(AND($E26=1,MS26=0),1000,0)+IF($H26=1,(IF('計算A'!DE$117=1,INDEX('計算A'!DE$10:DE$54,$B26),0)+IF('計算A'!DF$117=1,INDEX('計算A'!DG$10:DG$54,$B26),0))*500,0)-IF(AND('計算A'!DE$117=1,YC26&gt;0),300,0)-IF(AND($L26=1,'計算A'!DF$117=1,HE26=0),300,0))),1000000))</f>
        <v/>
      </c>
      <c r="SI26">
        <f>IF($B26=0,1000000,IF(INDEX('計算A'!$D$60:$EQ$104,$B26,108)*HE26=1,IF(AND($E26=2,MT26=0),1000000,IF($I26&gt;0,IF(5=$J26,IF(OR(AND(108=$I26+1,OR($K26&lt;&gt;'計算A'!$A$3,'計算A'!$A$4=0)),AND(108=$I26-1,OR(12&lt;&gt;'計算A'!$A$3,'計算A'!$A$4=0))),0,IF(12=$K26,200000,ABS(12-$K26)*100)),100000+ABS(5-$J26)*1000+120)+'計算A'!DG$5*50+IF(AND($E26=1,MT26=0),25,0),INDEX('計算A'!DG$110:DG$114,$F26+1)+IF(AND($E26=1,MT26=0),1000,0)+IF($H26=1,(IF('計算A'!DF$117=1,INDEX('計算A'!DF$10:DF$54,$B26),0)+IF('計算A'!DG$117=1,INDEX('計算A'!DH$10:DH$54,$B26),0))*500,0)-IF(AND('計算A'!DF$117=1,YD26&gt;0),300,0)-IF(AND($L26=1,'計算A'!DG$117=1,HF26=0),300,0))),1000000))</f>
        <v/>
      </c>
      <c r="SJ26">
        <f>IF($B26=0,1000000,IF(INDEX('計算A'!$D$60:$EQ$104,$B26,109)*HF26=1,IF(AND($E26=2,MU26=0),1000000,IF($I26&gt;0,IF(5=$J26,IF(OR(AND(109=$I26+1,OR($K26&lt;&gt;'計算A'!$A$3,'計算A'!$A$4=0)),AND(109=$I26-1,OR(13&lt;&gt;'計算A'!$A$3,'計算A'!$A$4=0))),0,IF(13=$K26,200000,ABS(13-$K26)*100)),100000+ABS(5-$J26)*1000+130)+'計算A'!DH$5*50+IF(AND($E26=1,MU26=0),25,0),INDEX('計算A'!DH$110:DH$114,$F26+1)+IF(AND($E26=1,MU26=0),1000,0)+IF($H26=1,(IF('計算A'!DG$117=1,INDEX('計算A'!DG$10:DG$54,$B26),0)+IF('計算A'!DH$117=1,INDEX('計算A'!DI$10:DI$54,$B26),0))*500,0)-IF(AND('計算A'!DG$117=1,YE26&gt;0),300,0)-IF(AND($L26=1,'計算A'!DH$117=1,HG26=0),300,0))),1000000))</f>
        <v/>
      </c>
      <c r="SK26">
        <f>IF($B26=0,1000000,IF(INDEX('計算A'!$D$60:$EQ$104,$B26,110)*HG26=1,IF(AND($E26=2,MV26=0),1000000,IF($I26&gt;0,IF(5=$J26,IF(OR(AND(110=$I26+1,OR($K26&lt;&gt;'計算A'!$A$3,'計算A'!$A$4=0)),AND(110=$I26-1,OR(14&lt;&gt;'計算A'!$A$3,'計算A'!$A$4=0))),0,IF(14=$K26,200000,ABS(14-$K26)*100)),100000+ABS(5-$J26)*1000+140)+'計算A'!DI$5*50+IF(AND($E26=1,MV26=0),25,0),INDEX('計算A'!DI$110:DI$114,$F26+1)+IF(AND($E26=1,MV26=0),1000,0)+IF($H26=1,(IF('計算A'!DH$117=1,INDEX('計算A'!DH$10:DH$54,$B26),0)+IF('計算A'!DI$117=1,INDEX('計算A'!DJ$10:DJ$54,$B26),0))*500,0)-IF(AND('計算A'!DH$117=1,YF26&gt;0),300,0)-IF(AND($L26=1,'計算A'!DI$117=1,HH26=0),300,0))),1000000))</f>
        <v/>
      </c>
      <c r="SL26">
        <f>IF($B26=0,1000000,IF(INDEX('計算A'!$D$60:$EQ$104,$B26,111)*HH26=1,IF(AND($E26=2,MW26=0),1000000,IF($I26&gt;0,IF(5=$J26,IF(OR(AND(111=$I26+1,OR($K26&lt;&gt;'計算A'!$A$3,'計算A'!$A$4=0)),AND(111=$I26-1,OR(15&lt;&gt;'計算A'!$A$3,'計算A'!$A$4=0))),0,IF(15=$K26,200000,ABS(15-$K26)*100)),100000+ABS(5-$J26)*1000+150)+'計算A'!DJ$5*50+IF(AND($E26=1,MW26=0),25,0),INDEX('計算A'!DJ$110:DJ$114,$F26+1)+IF(AND($E26=1,MW26=0),1000,0)+IF($H26=1,(IF('計算A'!DI$117=1,INDEX('計算A'!DI$10:DI$54,$B26),0)+IF('計算A'!DJ$117=1,INDEX('計算A'!DK$10:DK$54,$B26),0))*500,0)-IF(AND('計算A'!DI$117=1,YG26&gt;0),300,0)-IF(AND($L26=1,'計算A'!DJ$117=1,HI26=0),300,0))),1000000))</f>
        <v/>
      </c>
      <c r="SM26">
        <f>IF($B26=0,1000000,IF(INDEX('計算A'!$D$60:$EQ$104,$B26,112)*HI26=1,IF(AND($E26=2,MX26=0),1000000,IF($I26&gt;0,IF(5=$J26,IF(OR(AND(112=$I26+1,OR($K26&lt;&gt;'計算A'!$A$3,'計算A'!$A$4=0)),AND(112=$I26-1,OR(16&lt;&gt;'計算A'!$A$3,'計算A'!$A$4=0))),0,IF(16=$K26,200000,ABS(16-$K26)*100)),100000+ABS(5-$J26)*1000+160)+'計算A'!DK$5*50+IF(AND($E26=1,MX26=0),25,0),INDEX('計算A'!DK$110:DK$114,$F26+1)+IF(AND($E26=1,MX26=0),1000,0)+IF($H26=1,(IF('計算A'!DJ$117=1,INDEX('計算A'!DJ$10:DJ$54,$B26),0)+IF('計算A'!DK$117=1,INDEX('計算A'!DL$10:DL$54,$B26),0))*500,0)-IF(AND('計算A'!DJ$117=1,YH26&gt;0),300,0)-IF(AND($L26=1,'計算A'!DK$117=1,HJ26=0),300,0))),1000000))</f>
        <v/>
      </c>
      <c r="SN26">
        <f>IF($B26=0,1000000,IF(INDEX('計算A'!$D$60:$EQ$104,$B26,113)*HJ26=1,IF(AND($E26=2,MY26=0),1000000,IF($I26&gt;0,IF(5=$J26,IF(OR(AND(113=$I26+1,OR($K26&lt;&gt;'計算A'!$A$3,'計算A'!$A$4=0)),AND(113=$I26-1,OR(17&lt;&gt;'計算A'!$A$3,'計算A'!$A$4=0))),0,IF(17=$K26,200000,ABS(17-$K26)*100)),100000+ABS(5-$J26)*1000+170)+'計算A'!DL$5*50+IF(AND($E26=1,MY26=0),25,0),INDEX('計算A'!DL$110:DL$114,$F26+1)+IF(AND($E26=1,MY26=0),1000,0)+IF($H26=1,(IF('計算A'!DK$117=1,INDEX('計算A'!DK$10:DK$54,$B26),0)+IF('計算A'!DL$117=1,INDEX('計算A'!DM$10:DM$54,$B26),0))*500,0)-IF(AND('計算A'!DK$117=1,YI26&gt;0),300,0)-IF(AND($L26=1,'計算A'!DL$117=1,HK26=0),300,0))),1000000))</f>
        <v/>
      </c>
      <c r="SO26">
        <f>IF($B26=0,1000000,IF(INDEX('計算A'!$D$60:$EQ$104,$B26,114)*HK26=1,IF(AND($E26=2,MZ26=0),1000000,IF($I26&gt;0,IF(5=$J26,IF(OR(AND(114=$I26+1,OR($K26&lt;&gt;'計算A'!$A$3,'計算A'!$A$4=0)),AND(114=$I26-1,OR(18&lt;&gt;'計算A'!$A$3,'計算A'!$A$4=0))),0,IF(18=$K26,200000,ABS(18-$K26)*100)),100000+ABS(5-$J26)*1000+180)+'計算A'!DM$5*50+IF(AND($E26=1,MZ26=0),25,0),INDEX('計算A'!DM$110:DM$114,$F26+1)+IF(AND($E26=1,MZ26=0),1000,0)+IF($H26=1,(IF('計算A'!DL$117=1,INDEX('計算A'!DL$10:DL$54,$B26),0)+IF('計算A'!DM$117=1,INDEX('計算A'!DN$10:DN$54,$B26),0))*500,0)-IF(AND('計算A'!DL$117=1,YJ26&gt;0),300,0)-IF(AND($L26=1,'計算A'!DM$117=1,HL26=0),300,0))),1000000))</f>
        <v/>
      </c>
      <c r="SP26">
        <f>IF($B26=0,1000000,IF(INDEX('計算A'!$D$60:$EQ$104,$B26,115)*HL26=1,IF(AND($E26=2,NA26=0),1000000,IF($I26&gt;0,IF(5=$J26,IF(OR(AND(115=$I26+1,OR($K26&lt;&gt;'計算A'!$A$3,'計算A'!$A$4=0)),AND(115=$I26-1,OR(19&lt;&gt;'計算A'!$A$3,'計算A'!$A$4=0))),0,IF(19=$K26,200000,ABS(19-$K26)*100)),100000+ABS(5-$J26)*1000+190)+'計算A'!DN$5*50+IF(AND($E26=1,NA26=0),25,0),INDEX('計算A'!DN$110:DN$114,$F26+1)+IF(AND($E26=1,NA26=0),1000,0)+IF($H26=1,(IF('計算A'!DM$117=1,INDEX('計算A'!DM$10:DM$54,$B26),0)+IF('計算A'!DN$117=1,INDEX('計算A'!DO$10:DO$54,$B26),0))*500,0)-IF(AND('計算A'!DM$117=1,YK26&gt;0),300,0)-IF(AND($L26=1,'計算A'!DN$117=1,HM26=0),300,0))),1000000))</f>
        <v/>
      </c>
      <c r="SQ26">
        <f>IF($B26=0,1000000,IF(INDEX('計算A'!$D$60:$EQ$104,$B26,116)*HM26=1,IF(AND($E26=2,NB26=0),1000000,IF($I26&gt;0,IF(5=$J26,IF(OR(AND(116=$I26+1,OR($K26&lt;&gt;'計算A'!$A$3,'計算A'!$A$4=0)),AND(116=$I26-1,OR(20&lt;&gt;'計算A'!$A$3,'計算A'!$A$4=0))),0,IF(20=$K26,200000,ABS(20-$K26)*100)),100000+ABS(5-$J26)*1000+200)+'計算A'!DO$5*50+IF(AND($E26=1,NB26=0),25,0),INDEX('計算A'!DO$110:DO$114,$F26+1)+IF(AND($E26=1,NB26=0),1000,0)+IF($H26=1,(IF('計算A'!DN$117=1,INDEX('計算A'!DN$10:DN$54,$B26),0)+IF('計算A'!DO$117=1,INDEX('計算A'!DP$10:DP$54,$B26),0))*500,0)-IF(AND('計算A'!DN$117=1,YL26&gt;0),300,0)-IF(AND($L26=1,'計算A'!DO$117=1,HN26=0),300,0))),1000000))</f>
        <v/>
      </c>
      <c r="SR26">
        <f>IF($B26=0,1000000,IF(INDEX('計算A'!$D$60:$EQ$104,$B26,117)*HN26=1,IF(AND($E26=2,NC26=0),1000000,IF($I26&gt;0,IF(5=$J26,IF(OR(AND(117=$I26+1,OR($K26&lt;&gt;'計算A'!$A$3,'計算A'!$A$4=0)),AND(117=$I26-1,OR(21&lt;&gt;'計算A'!$A$3,'計算A'!$A$4=0))),0,IF(21=$K26,200000,ABS(21-$K26)*100)),100000+ABS(5-$J26)*1000+210)+'計算A'!DP$5*50+IF(AND($E26=1,NC26=0),25,0),INDEX('計算A'!DP$110:DP$114,$F26+1)+IF(AND($E26=1,NC26=0),1000,0)+IF($H26=1,(IF('計算A'!DO$117=1,INDEX('計算A'!DO$10:DO$54,$B26),0)+IF('計算A'!DP$117=1,INDEX('計算A'!DQ$10:DQ$54,$B26),0))*500,0)-IF(AND('計算A'!DO$117=1,YM26&gt;0),300,0)-IF(AND($L26=1,'計算A'!DP$117=1,HO26=0),300,0))),1000000))</f>
        <v/>
      </c>
      <c r="SS26">
        <f>IF($B26=0,1000000,IF(INDEX('計算A'!$D$60:$EQ$104,$B26,118)*HO26=1,IF(AND($E26=2,ND26=0),1000000,IF($I26&gt;0,IF(5=$J26,IF(OR(AND(118=$I26+1,OR($K26&lt;&gt;'計算A'!$A$3,'計算A'!$A$4=0)),AND(118=$I26-1,OR(22&lt;&gt;'計算A'!$A$3,'計算A'!$A$4=0))),0,IF(22=$K26,200000,ABS(22-$K26)*100)),100000+ABS(5-$J26)*1000+220)+'計算A'!DQ$5*50+IF(AND($E26=1,ND26=0),25,0),INDEX('計算A'!DQ$110:DQ$114,$F26+1)+IF(AND($E26=1,ND26=0),1000,0)+IF($H26=1,(IF('計算A'!DP$117=1,INDEX('計算A'!DP$10:DP$54,$B26),0)+IF('計算A'!DQ$117=1,INDEX('計算A'!DR$10:DR$54,$B26),0))*500,0)-IF(AND('計算A'!DP$117=1,YN26&gt;0),300,0)-IF(AND($L26=1,'計算A'!DQ$117=1,HP26=0),300,0))),1000000))</f>
        <v/>
      </c>
      <c r="ST26">
        <f>IF($B26=0,1000000,IF(INDEX('計算A'!$D$60:$EQ$104,$B26,119)*HP26=1,IF(AND($E26=2,NE26=0),1000000,IF($I26&gt;0,IF(5=$J26,IF(OR(AND(119=$I26+1,OR($K26&lt;&gt;'計算A'!$A$3,'計算A'!$A$4=0)),AND(119=$I26-1,OR(23&lt;&gt;'計算A'!$A$3,'計算A'!$A$4=0))),0,IF(23=$K26,200000,ABS(23-$K26)*100)),100000+ABS(5-$J26)*1000+230)+'計算A'!DR$5*50+IF(AND($E26=1,NE26=0),25,0),INDEX('計算A'!DR$110:DR$114,$F26+1)+IF(AND($E26=1,NE26=0),1000,0)+IF($H26=1,(IF('計算A'!DQ$117=1,INDEX('計算A'!DQ$10:DQ$54,$B26),0)+IF('計算A'!DR$117=1,INDEX('計算A'!DS$10:DS$54,$B26),0))*500,0)-IF(AND('計算A'!DQ$117=1,YO26&gt;0),300,0)-IF(AND($L26=1,'計算A'!DR$117=1,HQ26=0),300,0))),1000000))</f>
        <v/>
      </c>
      <c r="SU26">
        <f>IF($B26=0,1000000,IF(INDEX('計算A'!$D$60:$EQ$104,$B26,120)*HQ26=1,IF(AND($E26=2,NF26=0),1000000,IF($I26&gt;0,IF(5=$J26,IF(OR(AND(120=$I26+1,OR($K26&lt;&gt;'計算A'!$A$3,'計算A'!$A$4=0)),AND(120=$I26-1,OR(24&lt;&gt;'計算A'!$A$3,'計算A'!$A$4=0))),0,IF(24=$K26,200000,ABS(24-$K26)*100)),100000+ABS(5-$J26)*1000+240)+'計算A'!DS$5*50+IF(AND($E26=1,NF26=0),25,0),INDEX('計算A'!DS$110:DS$114,$F26+1)+IF(AND($E26=1,NF26=0),1000,0)+IF($H26=1,(IF('計算A'!DR$117=1,INDEX('計算A'!DR$10:DR$54,$B26),0))*500,0)-IF(AND('計算A'!DR$117=1,YP26&gt;0),300,0))),1000000))</f>
        <v/>
      </c>
      <c r="SV26">
        <f>IF($B26=0,1000000,IF(INDEX('計算A'!$D$60:$EQ$104,$B26,121)*HR26=1,IF(AND($E26=2,NG26=0),1000000,IF($I26&gt;0,IF(6=$J26,IF(OR(AND(121=$I26+1,OR($K26&lt;&gt;'計算A'!$A$3,'計算A'!$A$4=0)),AND(121=$I26-1,OR(1&lt;&gt;'計算A'!$A$3,'計算A'!$A$4=0))),0,IF(1=$K26,200000,ABS(1-$K26)*100)),100000+ABS(6-$J26)*1000+10)+'計算A'!DT$5*50+IF(AND($E26=1,NG26=0),25,0),INDEX('計算A'!DT$110:DT$114,$F26+1)+IF(AND($E26=1,NG26=0),1000,0)+IF($H26=1,(IF('計算A'!DT$117=1,INDEX('計算A'!DU$10:DU$54,$B26),0))*500,0)-IF(AND($L26=1,'計算A'!DT$117=1,HS26=0),300,0))),1000000))</f>
        <v/>
      </c>
      <c r="SW26">
        <f>IF($B26=0,1000000,IF(INDEX('計算A'!$D$60:$EQ$104,$B26,122)*HS26=1,IF(AND($E26=2,NH26=0),1000000,IF($I26&gt;0,IF(6=$J26,IF(OR(AND(122=$I26+1,OR($K26&lt;&gt;'計算A'!$A$3,'計算A'!$A$4=0)),AND(122=$I26-1,OR(2&lt;&gt;'計算A'!$A$3,'計算A'!$A$4=0))),0,IF(2=$K26,200000,ABS(2-$K26)*100)),100000+ABS(6-$J26)*1000+20)+'計算A'!DU$5*50+IF(AND($E26=1,NH26=0),25,0),INDEX('計算A'!DU$110:DU$114,$F26+1)+IF(AND($E26=1,NH26=0),1000,0)+IF($H26=1,(IF('計算A'!DT$117=1,INDEX('計算A'!DT$10:DT$54,$B26),0)+IF('計算A'!DU$117=1,INDEX('計算A'!DV$10:DV$54,$B26),0))*500,0)-IF(AND('計算A'!DT$117=1,YR26&gt;0),300,0)-IF(AND($L26=1,'計算A'!DU$117=1,HT26=0),300,0))),1000000))</f>
        <v/>
      </c>
      <c r="SX26">
        <f>IF($B26=0,1000000,IF(INDEX('計算A'!$D$60:$EQ$104,$B26,123)*HT26=1,IF(AND($E26=2,NI26=0),1000000,IF($I26&gt;0,IF(6=$J26,IF(OR(AND(123=$I26+1,OR($K26&lt;&gt;'計算A'!$A$3,'計算A'!$A$4=0)),AND(123=$I26-1,OR(3&lt;&gt;'計算A'!$A$3,'計算A'!$A$4=0))),0,IF(3=$K26,200000,ABS(3-$K26)*100)),100000+ABS(6-$J26)*1000+30)+'計算A'!DV$5*50+IF(AND($E26=1,NI26=0),25,0),INDEX('計算A'!DV$110:DV$114,$F26+1)+IF(AND($E26=1,NI26=0),1000,0)+IF($H26=1,(IF('計算A'!DU$117=1,INDEX('計算A'!DU$10:DU$54,$B26),0)+IF('計算A'!DV$117=1,INDEX('計算A'!DW$10:DW$54,$B26),0))*500,0)-IF(AND('計算A'!DU$117=1,YS26&gt;0),300,0)-IF(AND($L26=1,'計算A'!DV$117=1,HU26=0),300,0))),1000000))</f>
        <v/>
      </c>
      <c r="SY26">
        <f>IF($B26=0,1000000,IF(INDEX('計算A'!$D$60:$EQ$104,$B26,124)*HU26=1,IF(AND($E26=2,NJ26=0),1000000,IF($I26&gt;0,IF(6=$J26,IF(OR(AND(124=$I26+1,OR($K26&lt;&gt;'計算A'!$A$3,'計算A'!$A$4=0)),AND(124=$I26-1,OR(4&lt;&gt;'計算A'!$A$3,'計算A'!$A$4=0))),0,IF(4=$K26,200000,ABS(4-$K26)*100)),100000+ABS(6-$J26)*1000+40)+'計算A'!DW$5*50+IF(AND($E26=1,NJ26=0),25,0),INDEX('計算A'!DW$110:DW$114,$F26+1)+IF(AND($E26=1,NJ26=0),1000,0)+IF($H26=1,(IF('計算A'!DV$117=1,INDEX('計算A'!DV$10:DV$54,$B26),0)+IF('計算A'!DW$117=1,INDEX('計算A'!DX$10:DX$54,$B26),0))*500,0)-IF(AND('計算A'!DV$117=1,YT26&gt;0),300,0)-IF(AND($L26=1,'計算A'!DW$117=1,HV26=0),300,0))),1000000))</f>
        <v/>
      </c>
      <c r="SZ26">
        <f>IF($B26=0,1000000,IF(INDEX('計算A'!$D$60:$EQ$104,$B26,125)*HV26=1,IF(AND($E26=2,NK26=0),1000000,IF($I26&gt;0,IF(6=$J26,IF(OR(AND(125=$I26+1,OR($K26&lt;&gt;'計算A'!$A$3,'計算A'!$A$4=0)),AND(125=$I26-1,OR(5&lt;&gt;'計算A'!$A$3,'計算A'!$A$4=0))),0,IF(5=$K26,200000,ABS(5-$K26)*100)),100000+ABS(6-$J26)*1000+50)+'計算A'!DX$5*50+IF(AND($E26=1,NK26=0),25,0),INDEX('計算A'!DX$110:DX$114,$F26+1)+IF(AND($E26=1,NK26=0),1000,0)+IF($H26=1,(IF('計算A'!DW$117=1,INDEX('計算A'!DW$10:DW$54,$B26),0)+IF('計算A'!DX$117=1,INDEX('計算A'!DY$10:DY$54,$B26),0))*500,0)-IF(AND('計算A'!DW$117=1,YU26&gt;0),300,0)-IF(AND($L26=1,'計算A'!DX$117=1,HW26=0),300,0))),1000000))</f>
        <v/>
      </c>
      <c r="TA26">
        <f>IF($B26=0,1000000,IF(INDEX('計算A'!$D$60:$EQ$104,$B26,126)*HW26=1,IF(AND($E26=2,NL26=0),1000000,IF($I26&gt;0,IF(6=$J26,IF(OR(AND(126=$I26+1,OR($K26&lt;&gt;'計算A'!$A$3,'計算A'!$A$4=0)),AND(126=$I26-1,OR(6&lt;&gt;'計算A'!$A$3,'計算A'!$A$4=0))),0,IF(6=$K26,200000,ABS(6-$K26)*100)),100000+ABS(6-$J26)*1000+60)+'計算A'!DY$5*50+IF(AND($E26=1,NL26=0),25,0),INDEX('計算A'!DY$110:DY$114,$F26+1)+IF(AND($E26=1,NL26=0),1000,0)+IF($H26=1,(IF('計算A'!DX$117=1,INDEX('計算A'!DX$10:DX$54,$B26),0)+IF('計算A'!DY$117=1,INDEX('計算A'!DZ$10:DZ$54,$B26),0))*500,0)-IF(AND('計算A'!DX$117=1,YV26&gt;0),300,0)-IF(AND($L26=1,'計算A'!DY$117=1,HX26=0),300,0))),1000000))</f>
        <v/>
      </c>
      <c r="TB26">
        <f>IF($B26=0,1000000,IF(INDEX('計算A'!$D$60:$EQ$104,$B26,127)*HX26=1,IF(AND($E26=2,NM26=0),1000000,IF($I26&gt;0,IF(6=$J26,IF(OR(AND(127=$I26+1,OR($K26&lt;&gt;'計算A'!$A$3,'計算A'!$A$4=0)),AND(127=$I26-1,OR(7&lt;&gt;'計算A'!$A$3,'計算A'!$A$4=0))),0,IF(7=$K26,200000,ABS(7-$K26)*100)),100000+ABS(6-$J26)*1000+70)+'計算A'!DZ$5*50+IF(AND($E26=1,NM26=0),25,0),INDEX('計算A'!DZ$110:DZ$114,$F26+1)+IF(AND($E26=1,NM26=0),1000,0)+IF($H26=1,(IF('計算A'!DY$117=1,INDEX('計算A'!DY$10:DY$54,$B26),0)+IF('計算A'!DZ$117=1,INDEX('計算A'!EA$10:EA$54,$B26),0))*500,0)-IF(AND('計算A'!DY$117=1,YW26&gt;0),300,0)-IF(AND($L26=1,'計算A'!DZ$117=1,HY26=0),300,0))),1000000))</f>
        <v/>
      </c>
      <c r="TC26">
        <f>IF($B26=0,1000000,IF(INDEX('計算A'!$D$60:$EQ$104,$B26,128)*HY26=1,IF(AND($E26=2,NN26=0),1000000,IF($I26&gt;0,IF(6=$J26,IF(OR(AND(128=$I26+1,OR($K26&lt;&gt;'計算A'!$A$3,'計算A'!$A$4=0)),AND(128=$I26-1,OR(8&lt;&gt;'計算A'!$A$3,'計算A'!$A$4=0))),0,IF(8=$K26,200000,ABS(8-$K26)*100)),100000+ABS(6-$J26)*1000+80)+'計算A'!EA$5*50+IF(AND($E26=1,NN26=0),25,0),INDEX('計算A'!EA$110:EA$114,$F26+1)+IF(AND($E26=1,NN26=0),1000,0)+IF($H26=1,(IF('計算A'!DZ$117=1,INDEX('計算A'!DZ$10:DZ$54,$B26),0)+IF('計算A'!EA$117=1,INDEX('計算A'!EB$10:EB$54,$B26),0))*500,0)-IF(AND('計算A'!DZ$117=1,YX26&gt;0),300,0)-IF(AND($L26=1,'計算A'!EA$117=1,HZ26=0),300,0))),1000000))</f>
        <v/>
      </c>
      <c r="TD26">
        <f>IF($B26=0,1000000,IF(INDEX('計算A'!$D$60:$EQ$104,$B26,129)*HZ26=1,IF(AND($E26=2,NO26=0),1000000,IF($I26&gt;0,IF(6=$J26,IF(OR(AND(129=$I26+1,OR($K26&lt;&gt;'計算A'!$A$3,'計算A'!$A$4=0)),AND(129=$I26-1,OR(9&lt;&gt;'計算A'!$A$3,'計算A'!$A$4=0))),0,IF(9=$K26,200000,ABS(9-$K26)*100)),100000+ABS(6-$J26)*1000+90)+'計算A'!EB$5*50+IF(AND($E26=1,NO26=0),25,0),INDEX('計算A'!EB$110:EB$114,$F26+1)+IF(AND($E26=1,NO26=0),1000,0)+IF($H26=1,(IF('計算A'!EA$117=1,INDEX('計算A'!EA$10:EA$54,$B26),0)+IF('計算A'!EB$117=1,INDEX('計算A'!EC$10:EC$54,$B26),0))*500,0)-IF(AND('計算A'!EA$117=1,YY26&gt;0),300,0)-IF(AND($L26=1,'計算A'!EB$117=1,IA26=0),300,0))),1000000))</f>
        <v/>
      </c>
      <c r="TE26">
        <f>IF($B26=0,1000000,IF(INDEX('計算A'!$D$60:$EQ$104,$B26,130)*IA26=1,IF(AND($E26=2,NP26=0),1000000,IF($I26&gt;0,IF(6=$J26,IF(OR(AND(130=$I26+1,OR($K26&lt;&gt;'計算A'!$A$3,'計算A'!$A$4=0)),AND(130=$I26-1,OR(10&lt;&gt;'計算A'!$A$3,'計算A'!$A$4=0))),0,IF(10=$K26,200000,ABS(10-$K26)*100)),100000+ABS(6-$J26)*1000+100)+'計算A'!EC$5*50+IF(AND($E26=1,NP26=0),25,0),INDEX('計算A'!EC$110:EC$114,$F26+1)+IF(AND($E26=1,NP26=0),1000,0)+IF($H26=1,(IF('計算A'!EB$117=1,INDEX('計算A'!EB$10:EB$54,$B26),0)+IF('計算A'!EC$117=1,INDEX('計算A'!ED$10:ED$54,$B26),0))*500,0)-IF(AND('計算A'!EB$117=1,YZ26&gt;0),300,0)-IF(AND($L26=1,'計算A'!EC$117=1,IB26=0),300,0))),1000000))</f>
        <v/>
      </c>
      <c r="TF26">
        <f>IF($B26=0,1000000,IF(INDEX('計算A'!$D$60:$EQ$104,$B26,131)*IB26=1,IF(AND($E26=2,NQ26=0),1000000,IF($I26&gt;0,IF(6=$J26,IF(OR(AND(131=$I26+1,OR($K26&lt;&gt;'計算A'!$A$3,'計算A'!$A$4=0)),AND(131=$I26-1,OR(11&lt;&gt;'計算A'!$A$3,'計算A'!$A$4=0))),0,IF(11=$K26,200000,ABS(11-$K26)*100)),100000+ABS(6-$J26)*1000+110)+'計算A'!ED$5*50+IF(AND($E26=1,NQ26=0),25,0),INDEX('計算A'!ED$110:ED$114,$F26+1)+IF(AND($E26=1,NQ26=0),1000,0)+IF($H26=1,(IF('計算A'!EC$117=1,INDEX('計算A'!EC$10:EC$54,$B26),0)+IF('計算A'!ED$117=1,INDEX('計算A'!EE$10:EE$54,$B26),0))*500,0)-IF(AND('計算A'!EC$117=1,ZA26&gt;0),300,0)-IF(AND($L26=1,'計算A'!ED$117=1,IC26=0),300,0))),1000000))</f>
        <v/>
      </c>
      <c r="TG26">
        <f>IF($B26=0,1000000,IF(INDEX('計算A'!$D$60:$EQ$104,$B26,132)*IC26=1,IF(AND($E26=2,NR26=0),1000000,IF($I26&gt;0,IF(6=$J26,IF(OR(AND(132=$I26+1,OR($K26&lt;&gt;'計算A'!$A$3,'計算A'!$A$4=0)),AND(132=$I26-1,OR(12&lt;&gt;'計算A'!$A$3,'計算A'!$A$4=0))),0,IF(12=$K26,200000,ABS(12-$K26)*100)),100000+ABS(6-$J26)*1000+120)+'計算A'!EE$5*50+IF(AND($E26=1,NR26=0),25,0),INDEX('計算A'!EE$110:EE$114,$F26+1)+IF(AND($E26=1,NR26=0),1000,0)+IF($H26=1,(IF('計算A'!ED$117=1,INDEX('計算A'!ED$10:ED$54,$B26),0)+IF('計算A'!EE$117=1,INDEX('計算A'!EF$10:EF$54,$B26),0))*500,0)-IF(AND('計算A'!ED$117=1,ZB26&gt;0),300,0)-IF(AND($L26=1,'計算A'!EE$117=1,ID26=0),300,0))),1000000))</f>
        <v/>
      </c>
      <c r="TH26">
        <f>IF($B26=0,1000000,IF(INDEX('計算A'!$D$60:$EQ$104,$B26,133)*ID26=1,IF(AND($E26=2,NS26=0),1000000,IF($I26&gt;0,IF(6=$J26,IF(OR(AND(133=$I26+1,OR($K26&lt;&gt;'計算A'!$A$3,'計算A'!$A$4=0)),AND(133=$I26-1,OR(13&lt;&gt;'計算A'!$A$3,'計算A'!$A$4=0))),0,IF(13=$K26,200000,ABS(13-$K26)*100)),100000+ABS(6-$J26)*1000+130)+'計算A'!EF$5*50+IF(AND($E26=1,NS26=0),25,0),INDEX('計算A'!EF$110:EF$114,$F26+1)+IF(AND($E26=1,NS26=0),1000,0)+IF($H26=1,(IF('計算A'!EE$117=1,INDEX('計算A'!EE$10:EE$54,$B26),0)+IF('計算A'!EF$117=1,INDEX('計算A'!EG$10:EG$54,$B26),0))*500,0)-IF(AND('計算A'!EE$117=1,ZC26&gt;0),300,0)-IF(AND($L26=1,'計算A'!EF$117=1,IE26=0),300,0))),1000000))</f>
        <v/>
      </c>
      <c r="TI26">
        <f>IF($B26=0,1000000,IF(INDEX('計算A'!$D$60:$EQ$104,$B26,134)*IE26=1,IF(AND($E26=2,NT26=0),1000000,IF($I26&gt;0,IF(6=$J26,IF(OR(AND(134=$I26+1,OR($K26&lt;&gt;'計算A'!$A$3,'計算A'!$A$4=0)),AND(134=$I26-1,OR(14&lt;&gt;'計算A'!$A$3,'計算A'!$A$4=0))),0,IF(14=$K26,200000,ABS(14-$K26)*100)),100000+ABS(6-$J26)*1000+140)+'計算A'!EG$5*50+IF(AND($E26=1,NT26=0),25,0),INDEX('計算A'!EG$110:EG$114,$F26+1)+IF(AND($E26=1,NT26=0),1000,0)+IF($H26=1,(IF('計算A'!EF$117=1,INDEX('計算A'!EF$10:EF$54,$B26),0)+IF('計算A'!EG$117=1,INDEX('計算A'!EH$10:EH$54,$B26),0))*500,0)-IF(AND('計算A'!EF$117=1,ZD26&gt;0),300,0)-IF(AND($L26=1,'計算A'!EG$117=1,IF26=0),300,0))),1000000))</f>
        <v/>
      </c>
      <c r="TJ26">
        <f>IF($B26=0,1000000,IF(INDEX('計算A'!$D$60:$EQ$104,$B26,135)*IF26=1,IF(AND($E26=2,NU26=0),1000000,IF($I26&gt;0,IF(6=$J26,IF(OR(AND(135=$I26+1,OR($K26&lt;&gt;'計算A'!$A$3,'計算A'!$A$4=0)),AND(135=$I26-1,OR(15&lt;&gt;'計算A'!$A$3,'計算A'!$A$4=0))),0,IF(15=$K26,200000,ABS(15-$K26)*100)),100000+ABS(6-$J26)*1000+150)+'計算A'!EH$5*50+IF(AND($E26=1,NU26=0),25,0),INDEX('計算A'!EH$110:EH$114,$F26+1)+IF(AND($E26=1,NU26=0),1000,0)+IF($H26=1,(IF('計算A'!EG$117=1,INDEX('計算A'!EG$10:EG$54,$B26),0)+IF('計算A'!EH$117=1,INDEX('計算A'!EI$10:EI$54,$B26),0))*500,0)-IF(AND('計算A'!EG$117=1,ZE26&gt;0),300,0)-IF(AND($L26=1,'計算A'!EH$117=1,IG26=0),300,0))),1000000))</f>
        <v/>
      </c>
      <c r="TK26">
        <f>IF($B26=0,1000000,IF(INDEX('計算A'!$D$60:$EQ$104,$B26,136)*IG26=1,IF(AND($E26=2,NV26=0),1000000,IF($I26&gt;0,IF(6=$J26,IF(OR(AND(136=$I26+1,OR($K26&lt;&gt;'計算A'!$A$3,'計算A'!$A$4=0)),AND(136=$I26-1,OR(16&lt;&gt;'計算A'!$A$3,'計算A'!$A$4=0))),0,IF(16=$K26,200000,ABS(16-$K26)*100)),100000+ABS(6-$J26)*1000+160)+'計算A'!EI$5*50+IF(AND($E26=1,NV26=0),25,0),INDEX('計算A'!EI$110:EI$114,$F26+1)+IF(AND($E26=1,NV26=0),1000,0)+IF($H26=1,(IF('計算A'!EH$117=1,INDEX('計算A'!EH$10:EH$54,$B26),0)+IF('計算A'!EI$117=1,INDEX('計算A'!EJ$10:EJ$54,$B26),0))*500,0)-IF(AND('計算A'!EH$117=1,ZF26&gt;0),300,0)-IF(AND($L26=1,'計算A'!EI$117=1,IH26=0),300,0))),1000000))</f>
        <v/>
      </c>
      <c r="TL26">
        <f>IF($B26=0,1000000,IF(INDEX('計算A'!$D$60:$EQ$104,$B26,137)*IH26=1,IF(AND($E26=2,NW26=0),1000000,IF($I26&gt;0,IF(6=$J26,IF(OR(AND(137=$I26+1,OR($K26&lt;&gt;'計算A'!$A$3,'計算A'!$A$4=0)),AND(137=$I26-1,OR(17&lt;&gt;'計算A'!$A$3,'計算A'!$A$4=0))),0,IF(17=$K26,200000,ABS(17-$K26)*100)),100000+ABS(6-$J26)*1000+170)+'計算A'!EJ$5*50+IF(AND($E26=1,NW26=0),25,0),INDEX('計算A'!EJ$110:EJ$114,$F26+1)+IF(AND($E26=1,NW26=0),1000,0)+IF($H26=1,(IF('計算A'!EI$117=1,INDEX('計算A'!EI$10:EI$54,$B26),0)+IF('計算A'!EJ$117=1,INDEX('計算A'!EK$10:EK$54,$B26),0))*500,0)-IF(AND('計算A'!EI$117=1,ZG26&gt;0),300,0)-IF(AND($L26=1,'計算A'!EJ$117=1,II26=0),300,0))),1000000))</f>
        <v/>
      </c>
      <c r="TM26">
        <f>IF($B26=0,1000000,IF(INDEX('計算A'!$D$60:$EQ$104,$B26,138)*II26=1,IF(AND($E26=2,NX26=0),1000000,IF($I26&gt;0,IF(6=$J26,IF(OR(AND(138=$I26+1,OR($K26&lt;&gt;'計算A'!$A$3,'計算A'!$A$4=0)),AND(138=$I26-1,OR(18&lt;&gt;'計算A'!$A$3,'計算A'!$A$4=0))),0,IF(18=$K26,200000,ABS(18-$K26)*100)),100000+ABS(6-$J26)*1000+180)+'計算A'!EK$5*50+IF(AND($E26=1,NX26=0),25,0),INDEX('計算A'!EK$110:EK$114,$F26+1)+IF(AND($E26=1,NX26=0),1000,0)+IF($H26=1,(IF('計算A'!EJ$117=1,INDEX('計算A'!EJ$10:EJ$54,$B26),0)+IF('計算A'!EK$117=1,INDEX('計算A'!EL$10:EL$54,$B26),0))*500,0)-IF(AND('計算A'!EJ$117=1,ZH26&gt;0),300,0)-IF(AND($L26=1,'計算A'!EK$117=1,IJ26=0),300,0))),1000000))</f>
        <v/>
      </c>
      <c r="TN26">
        <f>IF($B26=0,1000000,IF(INDEX('計算A'!$D$60:$EQ$104,$B26,139)*IJ26=1,IF(AND($E26=2,NY26=0),1000000,IF($I26&gt;0,IF(6=$J26,IF(OR(AND(139=$I26+1,OR($K26&lt;&gt;'計算A'!$A$3,'計算A'!$A$4=0)),AND(139=$I26-1,OR(19&lt;&gt;'計算A'!$A$3,'計算A'!$A$4=0))),0,IF(19=$K26,200000,ABS(19-$K26)*100)),100000+ABS(6-$J26)*1000+190)+'計算A'!EL$5*50+IF(AND($E26=1,NY26=0),25,0),INDEX('計算A'!EL$110:EL$114,$F26+1)+IF(AND($E26=1,NY26=0),1000,0)+IF($H26=1,(IF('計算A'!EK$117=1,INDEX('計算A'!EK$10:EK$54,$B26),0)+IF('計算A'!EL$117=1,INDEX('計算A'!EM$10:EM$54,$B26),0))*500,0)-IF(AND('計算A'!EK$117=1,ZI26&gt;0),300,0)-IF(AND($L26=1,'計算A'!EL$117=1,IK26=0),300,0))),1000000))</f>
        <v/>
      </c>
      <c r="TO26">
        <f>IF($B26=0,1000000,IF(INDEX('計算A'!$D$60:$EQ$104,$B26,140)*IK26=1,IF(AND($E26=2,NZ26=0),1000000,IF($I26&gt;0,IF(6=$J26,IF(OR(AND(140=$I26+1,OR($K26&lt;&gt;'計算A'!$A$3,'計算A'!$A$4=0)),AND(140=$I26-1,OR(20&lt;&gt;'計算A'!$A$3,'計算A'!$A$4=0))),0,IF(20=$K26,200000,ABS(20-$K26)*100)),100000+ABS(6-$J26)*1000+200)+'計算A'!EM$5*50+IF(AND($E26=1,NZ26=0),25,0),INDEX('計算A'!EM$110:EM$114,$F26+1)+IF(AND($E26=1,NZ26=0),1000,0)+IF($H26=1,(IF('計算A'!EL$117=1,INDEX('計算A'!EL$10:EL$54,$B26),0)+IF('計算A'!EM$117=1,INDEX('計算A'!EN$10:EN$54,$B26),0))*500,0)-IF(AND('計算A'!EL$117=1,ZJ26&gt;0),300,0)-IF(AND($L26=1,'計算A'!EM$117=1,IL26=0),300,0))),1000000))</f>
        <v/>
      </c>
      <c r="TP26">
        <f>IF($B26=0,1000000,IF(INDEX('計算A'!$D$60:$EQ$104,$B26,141)*IL26=1,IF(AND($E26=2,OA26=0),1000000,IF($I26&gt;0,IF(6=$J26,IF(OR(AND(141=$I26+1,OR($K26&lt;&gt;'計算A'!$A$3,'計算A'!$A$4=0)),AND(141=$I26-1,OR(21&lt;&gt;'計算A'!$A$3,'計算A'!$A$4=0))),0,IF(21=$K26,200000,ABS(21-$K26)*100)),100000+ABS(6-$J26)*1000+210)+'計算A'!EN$5*50+IF(AND($E26=1,OA26=0),25,0),INDEX('計算A'!EN$110:EN$114,$F26+1)+IF(AND($E26=1,OA26=0),1000,0)+IF($H26=1,(IF('計算A'!EM$117=1,INDEX('計算A'!EM$10:EM$54,$B26),0)+IF('計算A'!EN$117=1,INDEX('計算A'!EO$10:EO$54,$B26),0))*500,0)-IF(AND('計算A'!EM$117=1,ZK26&gt;0),300,0)-IF(AND($L26=1,'計算A'!EN$117=1,IM26=0),300,0))),1000000))</f>
        <v/>
      </c>
      <c r="TQ26">
        <f>IF($B26=0,1000000,IF(INDEX('計算A'!$D$60:$EQ$104,$B26,142)*IM26=1,IF(AND($E26=2,OB26=0),1000000,IF($I26&gt;0,IF(6=$J26,IF(OR(AND(142=$I26+1,OR($K26&lt;&gt;'計算A'!$A$3,'計算A'!$A$4=0)),AND(142=$I26-1,OR(22&lt;&gt;'計算A'!$A$3,'計算A'!$A$4=0))),0,IF(22=$K26,200000,ABS(22-$K26)*100)),100000+ABS(6-$J26)*1000+220)+'計算A'!EO$5*50+IF(AND($E26=1,OB26=0),25,0),INDEX('計算A'!EO$110:EO$114,$F26+1)+IF(AND($E26=1,OB26=0),1000,0)+IF($H26=1,(IF('計算A'!EN$117=1,INDEX('計算A'!EN$10:EN$54,$B26),0)+IF('計算A'!EO$117=1,INDEX('計算A'!EP$10:EP$54,$B26),0))*500,0)-IF(AND('計算A'!EN$117=1,ZL26&gt;0),300,0)-IF(AND($L26=1,'計算A'!EO$117=1,IN26=0),300,0))),1000000))</f>
        <v/>
      </c>
      <c r="TR26">
        <f>IF($B26=0,1000000,IF(INDEX('計算A'!$D$60:$EQ$104,$B26,143)*IN26=1,IF(AND($E26=2,OC26=0),1000000,IF($I26&gt;0,IF(6=$J26,IF(OR(AND(143=$I26+1,OR($K26&lt;&gt;'計算A'!$A$3,'計算A'!$A$4=0)),AND(143=$I26-1,OR(23&lt;&gt;'計算A'!$A$3,'計算A'!$A$4=0))),0,IF(23=$K26,200000,ABS(23-$K26)*100)),100000+ABS(6-$J26)*1000+230)+'計算A'!EP$5*50+IF(AND($E26=1,OC26=0),25,0),INDEX('計算A'!EP$110:EP$114,$F26+1)+IF(AND($E26=1,OC26=0),1000,0)+IF($H26=1,(IF('計算A'!EO$117=1,INDEX('計算A'!EO$10:EO$54,$B26),0)+IF('計算A'!EP$117=1,INDEX('計算A'!EQ$10:EQ$54,$B26),0))*500,0)-IF(AND('計算A'!EO$117=1,ZM26&gt;0),300,0)-IF(AND($L26=1,'計算A'!EP$117=1,IO26=0),300,0))),1000000))</f>
        <v/>
      </c>
      <c r="TS26">
        <f>IF($B26=0,1000000,IF(INDEX('計算A'!$D$60:$EQ$104,$B26,144)*IO26=1,IF(AND($E26=2,OD26=0),1000000,IF($I26&gt;0,IF(6=$J26,IF(OR(AND(144=$I26+1,OR($K26&lt;&gt;'計算A'!$A$3,'計算A'!$A$4=0)),AND(144=$I26-1,OR(24&lt;&gt;'計算A'!$A$3,'計算A'!$A$4=0))),0,IF(24=$K26,200000,ABS(24-$K26)*100)),100000+ABS(6-$J26)*1000+240)+'計算A'!EQ$5*50+IF(AND($E26=1,OD26=0),25,0),INDEX('計算A'!EQ$110:EQ$114,$F26+1)+IF(AND($E26=1,OD26=0),1000,0)+IF($H26=1,(IF('計算A'!EP$117=1,INDEX('計算A'!EP$10:EP$54,$B26),0))*500,0)-IF(AND('計算A'!EP$117=1,ZN26&gt;0),300,0))),1000000))</f>
        <v/>
      </c>
      <c r="UB26">
        <f>UB25+IF(AND($C25=1,$L25=1),1,0)</f>
        <v/>
      </c>
      <c r="UC26">
        <f>UC25+IF(AND($C25=2,$L25=1),1,0)</f>
        <v/>
      </c>
      <c r="UD26">
        <f>UD25+IF(AND($C25=3,$L25=1),1,0)</f>
        <v/>
      </c>
      <c r="UE26">
        <f>UE25+IF(AND($C25=4,$L25=1),1,0)</f>
        <v/>
      </c>
      <c r="UF26">
        <f>UF25+IF(AND($C25=5,$L25=1),1,0)</f>
        <v/>
      </c>
      <c r="UG26">
        <f>UG25+IF(AND($C25=6,$L25=1),1,0)</f>
        <v/>
      </c>
      <c r="UH26">
        <f>UH25+IF(AND($C25=7,$L25=1),1,0)</f>
        <v/>
      </c>
      <c r="UI26">
        <f>UI25+IF(AND($C25=8,$L25=1),1,0)</f>
        <v/>
      </c>
      <c r="UJ26">
        <f>UJ25+IF(AND($C25=9,$L25=1),1,0)</f>
        <v/>
      </c>
      <c r="UK26">
        <f>UK25+IF(AND($C25=10,$L25=1),1,0)</f>
        <v/>
      </c>
      <c r="UL26">
        <f>UL25+IF(AND($C25=11,$L25=1),1,0)</f>
        <v/>
      </c>
      <c r="UM26">
        <f>UM25+IF(AND($C25=12,$L25=1),1,0)</f>
        <v/>
      </c>
      <c r="UN26">
        <f>UN25+IF(AND($C25=13,$L25=1),1,0)</f>
        <v/>
      </c>
      <c r="UO26">
        <f>UO25+IF(AND($C25=14,$L25=1),1,0)</f>
        <v/>
      </c>
      <c r="UP26">
        <f>UP25+IF(AND($C25=15,$L25=1),1,0)</f>
        <v/>
      </c>
      <c r="UQ26">
        <f>UQ25+IF(AND($C25=16,$L25=1),1,0)</f>
        <v/>
      </c>
      <c r="UR26">
        <f>UR25+IF(AND($C25=17,$L25=1),1,0)</f>
        <v/>
      </c>
      <c r="US26">
        <f>US25+IF(AND($C25=18,$L25=1),1,0)</f>
        <v/>
      </c>
      <c r="UT26">
        <f>UT25+IF(AND($C25=19,$L25=1),1,0)</f>
        <v/>
      </c>
      <c r="UU26">
        <f>UU25+IF(AND($C25=20,$L25=1),1,0)</f>
        <v/>
      </c>
      <c r="UV26">
        <f>UV25+IF(AND($C25=21,$L25=1),1,0)</f>
        <v/>
      </c>
      <c r="UW26">
        <f>UW25+IF(AND($C25=22,$L25=1),1,0)</f>
        <v/>
      </c>
      <c r="UX26">
        <f>UX25+IF(AND($C25=23,$L25=1),1,0)</f>
        <v/>
      </c>
      <c r="UY26">
        <f>UY25+IF(AND($C25=24,$L25=1),1,0)</f>
        <v/>
      </c>
      <c r="UZ26">
        <f>UZ25+IF(AND($C25=25,$L25=1),1,0)</f>
        <v/>
      </c>
      <c r="VA26">
        <f>VA25+IF(AND($C25=26,$L25=1),1,0)</f>
        <v/>
      </c>
      <c r="VB26">
        <f>VB25+IF(AND($C25=27,$L25=1),1,0)</f>
        <v/>
      </c>
      <c r="VC26">
        <f>VC25+IF(AND($C25=28,$L25=1),1,0)</f>
        <v/>
      </c>
      <c r="VD26">
        <f>VD25+IF(AND($C25=29,$L25=1),1,0)</f>
        <v/>
      </c>
      <c r="VE26">
        <f>VE25+IF(AND($C25=30,$L25=1),1,0)</f>
        <v/>
      </c>
      <c r="VF26">
        <f>VF25+IF(AND($C25=31,$L25=1),1,0)</f>
        <v/>
      </c>
      <c r="VG26">
        <f>VG25+IF(AND($C25=32,$L25=1),1,0)</f>
        <v/>
      </c>
      <c r="VH26">
        <f>VH25+IF(AND($C25=33,$L25=1),1,0)</f>
        <v/>
      </c>
      <c r="VI26">
        <f>VI25+IF(AND($C25=34,$L25=1),1,0)</f>
        <v/>
      </c>
      <c r="VJ26">
        <f>VJ25+IF(AND($C25=35,$L25=1),1,0)</f>
        <v/>
      </c>
      <c r="VK26">
        <f>VK25+IF(AND($C25=36,$L25=1),1,0)</f>
        <v/>
      </c>
      <c r="VL26">
        <f>VL25+IF(AND($C25=37,$L25=1),1,0)</f>
        <v/>
      </c>
      <c r="VM26">
        <f>VM25+IF(AND($C25=38,$L25=1),1,0)</f>
        <v/>
      </c>
      <c r="VN26">
        <f>VN25+IF(AND($C25=39,$L25=1),1,0)</f>
        <v/>
      </c>
      <c r="VO26">
        <f>VO25+IF(AND($C25=40,$L25=1),1,0)</f>
        <v/>
      </c>
      <c r="VP26">
        <f>VP25+IF(AND($C25=41,$L25=1),1,0)</f>
        <v/>
      </c>
      <c r="VQ26">
        <f>VQ25+IF(AND($C25=42,$L25=1),1,0)</f>
        <v/>
      </c>
      <c r="VR26">
        <f>VR25+IF(AND($C25=43,$L25=1),1,0)</f>
        <v/>
      </c>
      <c r="VS26">
        <f>VS25+IF(AND($C25=44,$L25=1),1,0)</f>
        <v/>
      </c>
      <c r="VT26">
        <f>VT25+IF(AND($C25=45,$L25=1),1,0)</f>
        <v/>
      </c>
      <c r="VU26">
        <f>VU25+IF(AND($C25=46,$L25=1),1,0)</f>
        <v/>
      </c>
      <c r="VV26">
        <f>VV25+IF(AND($C25=47,$L25=1),1,0)</f>
        <v/>
      </c>
      <c r="VW26">
        <f>VW25+IF(AND($C25=48,$L25=1),1,0)</f>
        <v/>
      </c>
      <c r="VX26">
        <f>VX25+IF(AND($C25=49,$L25=1),1,0)</f>
        <v/>
      </c>
      <c r="VY26">
        <f>VY25+IF(AND($C25=50,$L25=1),1,0)</f>
        <v/>
      </c>
      <c r="VZ26">
        <f>VZ25+IF(AND($C25=51,$L25=1),1,0)</f>
        <v/>
      </c>
      <c r="WA26">
        <f>WA25+IF(AND($C25=52,$L25=1),1,0)</f>
        <v/>
      </c>
      <c r="WB26">
        <f>WB25+IF(AND($C25=53,$L25=1),1,0)</f>
        <v/>
      </c>
      <c r="WC26">
        <f>WC25+IF(AND($C25=54,$L25=1),1,0)</f>
        <v/>
      </c>
      <c r="WD26">
        <f>WD25+IF(AND($C25=55,$L25=1),1,0)</f>
        <v/>
      </c>
      <c r="WE26">
        <f>WE25+IF(AND($C25=56,$L25=1),1,0)</f>
        <v/>
      </c>
      <c r="WF26">
        <f>WF25+IF(AND($C25=57,$L25=1),1,0)</f>
        <v/>
      </c>
      <c r="WG26">
        <f>WG25+IF(AND($C25=58,$L25=1),1,0)</f>
        <v/>
      </c>
      <c r="WH26">
        <f>WH25+IF(AND($C25=59,$L25=1),1,0)</f>
        <v/>
      </c>
      <c r="WI26">
        <f>WI25+IF(AND($C25=60,$L25=1),1,0)</f>
        <v/>
      </c>
      <c r="WJ26">
        <f>WJ25+IF(AND($C25=61,$L25=1),1,0)</f>
        <v/>
      </c>
      <c r="WK26">
        <f>WK25+IF(AND($C25=62,$L25=1),1,0)</f>
        <v/>
      </c>
      <c r="WL26">
        <f>WL25+IF(AND($C25=63,$L25=1),1,0)</f>
        <v/>
      </c>
      <c r="WM26">
        <f>WM25+IF(AND($C25=64,$L25=1),1,0)</f>
        <v/>
      </c>
      <c r="WN26">
        <f>WN25+IF(AND($C25=65,$L25=1),1,0)</f>
        <v/>
      </c>
      <c r="WO26">
        <f>WO25+IF(AND($C25=66,$L25=1),1,0)</f>
        <v/>
      </c>
      <c r="WP26">
        <f>WP25+IF(AND($C25=67,$L25=1),1,0)</f>
        <v/>
      </c>
      <c r="WQ26">
        <f>WQ25+IF(AND($C25=68,$L25=1),1,0)</f>
        <v/>
      </c>
      <c r="WR26">
        <f>WR25+IF(AND($C25=69,$L25=1),1,0)</f>
        <v/>
      </c>
      <c r="WS26">
        <f>WS25+IF(AND($C25=70,$L25=1),1,0)</f>
        <v/>
      </c>
      <c r="WT26">
        <f>WT25+IF(AND($C25=71,$L25=1),1,0)</f>
        <v/>
      </c>
      <c r="WU26">
        <f>WU25+IF(AND($C25=72,$L25=1),1,0)</f>
        <v/>
      </c>
      <c r="WV26">
        <f>WV25+IF(AND($C25=73,$L25=1),1,0)</f>
        <v/>
      </c>
      <c r="WW26">
        <f>WW25+IF(AND($C25=74,$L25=1),1,0)</f>
        <v/>
      </c>
      <c r="WX26">
        <f>WX25+IF(AND($C25=75,$L25=1),1,0)</f>
        <v/>
      </c>
      <c r="WY26">
        <f>WY25+IF(AND($C25=76,$L25=1),1,0)</f>
        <v/>
      </c>
      <c r="WZ26">
        <f>WZ25+IF(AND($C25=77,$L25=1),1,0)</f>
        <v/>
      </c>
      <c r="XA26">
        <f>XA25+IF(AND($C25=78,$L25=1),1,0)</f>
        <v/>
      </c>
      <c r="XB26">
        <f>XB25+IF(AND($C25=79,$L25=1),1,0)</f>
        <v/>
      </c>
      <c r="XC26">
        <f>XC25+IF(AND($C25=80,$L25=1),1,0)</f>
        <v/>
      </c>
      <c r="XD26">
        <f>XD25+IF(AND($C25=81,$L25=1),1,0)</f>
        <v/>
      </c>
      <c r="XE26">
        <f>XE25+IF(AND($C25=82,$L25=1),1,0)</f>
        <v/>
      </c>
      <c r="XF26">
        <f>XF25+IF(AND($C25=83,$L25=1),1,0)</f>
        <v/>
      </c>
      <c r="XG26">
        <f>XG25+IF(AND($C25=84,$L25=1),1,0)</f>
        <v/>
      </c>
      <c r="XH26">
        <f>XH25+IF(AND($C25=85,$L25=1),1,0)</f>
        <v/>
      </c>
      <c r="XI26">
        <f>XI25+IF(AND($C25=86,$L25=1),1,0)</f>
        <v/>
      </c>
      <c r="XJ26">
        <f>XJ25+IF(AND($C25=87,$L25=1),1,0)</f>
        <v/>
      </c>
      <c r="XK26">
        <f>XK25+IF(AND($C25=88,$L25=1),1,0)</f>
        <v/>
      </c>
      <c r="XL26">
        <f>XL25+IF(AND($C25=89,$L25=1),1,0)</f>
        <v/>
      </c>
      <c r="XM26">
        <f>XM25+IF(AND($C25=90,$L25=1),1,0)</f>
        <v/>
      </c>
      <c r="XN26">
        <f>XN25+IF(AND($C25=91,$L25=1),1,0)</f>
        <v/>
      </c>
      <c r="XO26">
        <f>XO25+IF(AND($C25=92,$L25=1),1,0)</f>
        <v/>
      </c>
      <c r="XP26">
        <f>XP25+IF(AND($C25=93,$L25=1),1,0)</f>
        <v/>
      </c>
      <c r="XQ26">
        <f>XQ25+IF(AND($C25=94,$L25=1),1,0)</f>
        <v/>
      </c>
      <c r="XR26">
        <f>XR25+IF(AND($C25=95,$L25=1),1,0)</f>
        <v/>
      </c>
      <c r="XS26">
        <f>XS25+IF(AND($C25=96,$L25=1),1,0)</f>
        <v/>
      </c>
      <c r="XT26">
        <f>XT25+IF(AND($C25=97,$L25=1),1,0)</f>
        <v/>
      </c>
      <c r="XU26">
        <f>XU25+IF(AND($C25=98,$L25=1),1,0)</f>
        <v/>
      </c>
      <c r="XV26">
        <f>XV25+IF(AND($C25=99,$L25=1),1,0)</f>
        <v/>
      </c>
      <c r="XW26">
        <f>XW25+IF(AND($C25=100,$L25=1),1,0)</f>
        <v/>
      </c>
      <c r="XX26">
        <f>XX25+IF(AND($C25=101,$L25=1),1,0)</f>
        <v/>
      </c>
      <c r="XY26">
        <f>XY25+IF(AND($C25=102,$L25=1),1,0)</f>
        <v/>
      </c>
      <c r="XZ26">
        <f>XZ25+IF(AND($C25=103,$L25=1),1,0)</f>
        <v/>
      </c>
      <c r="YA26">
        <f>YA25+IF(AND($C25=104,$L25=1),1,0)</f>
        <v/>
      </c>
      <c r="YB26">
        <f>YB25+IF(AND($C25=105,$L25=1),1,0)</f>
        <v/>
      </c>
      <c r="YC26">
        <f>YC25+IF(AND($C25=106,$L25=1),1,0)</f>
        <v/>
      </c>
      <c r="YD26">
        <f>YD25+IF(AND($C25=107,$L25=1),1,0)</f>
        <v/>
      </c>
      <c r="YE26">
        <f>YE25+IF(AND($C25=108,$L25=1),1,0)</f>
        <v/>
      </c>
      <c r="YF26">
        <f>YF25+IF(AND($C25=109,$L25=1),1,0)</f>
        <v/>
      </c>
      <c r="YG26">
        <f>YG25+IF(AND($C25=110,$L25=1),1,0)</f>
        <v/>
      </c>
      <c r="YH26">
        <f>YH25+IF(AND($C25=111,$L25=1),1,0)</f>
        <v/>
      </c>
      <c r="YI26">
        <f>YI25+IF(AND($C25=112,$L25=1),1,0)</f>
        <v/>
      </c>
      <c r="YJ26">
        <f>YJ25+IF(AND($C25=113,$L25=1),1,0)</f>
        <v/>
      </c>
      <c r="YK26">
        <f>YK25+IF(AND($C25=114,$L25=1),1,0)</f>
        <v/>
      </c>
      <c r="YL26">
        <f>YL25+IF(AND($C25=115,$L25=1),1,0)</f>
        <v/>
      </c>
      <c r="YM26">
        <f>YM25+IF(AND($C25=116,$L25=1),1,0)</f>
        <v/>
      </c>
      <c r="YN26">
        <f>YN25+IF(AND($C25=117,$L25=1),1,0)</f>
        <v/>
      </c>
      <c r="YO26">
        <f>YO25+IF(AND($C25=118,$L25=1),1,0)</f>
        <v/>
      </c>
      <c r="YP26">
        <f>YP25+IF(AND($C25=119,$L25=1),1,0)</f>
        <v/>
      </c>
      <c r="YQ26">
        <f>YQ25+IF(AND($C25=120,$L25=1),1,0)</f>
        <v/>
      </c>
      <c r="YR26">
        <f>YR25+IF(AND($C25=121,$L25=1),1,0)</f>
        <v/>
      </c>
      <c r="YS26">
        <f>YS25+IF(AND($C25=122,$L25=1),1,0)</f>
        <v/>
      </c>
      <c r="YT26">
        <f>YT25+IF(AND($C25=123,$L25=1),1,0)</f>
        <v/>
      </c>
      <c r="YU26">
        <f>YU25+IF(AND($C25=124,$L25=1),1,0)</f>
        <v/>
      </c>
      <c r="YV26">
        <f>YV25+IF(AND($C25=125,$L25=1),1,0)</f>
        <v/>
      </c>
      <c r="YW26">
        <f>YW25+IF(AND($C25=126,$L25=1),1,0)</f>
        <v/>
      </c>
      <c r="YX26">
        <f>YX25+IF(AND($C25=127,$L25=1),1,0)</f>
        <v/>
      </c>
      <c r="YY26">
        <f>YY25+IF(AND($C25=128,$L25=1),1,0)</f>
        <v/>
      </c>
      <c r="YZ26">
        <f>YZ25+IF(AND($C25=129,$L25=1),1,0)</f>
        <v/>
      </c>
      <c r="ZA26">
        <f>ZA25+IF(AND($C25=130,$L25=1),1,0)</f>
        <v/>
      </c>
      <c r="ZB26">
        <f>ZB25+IF(AND($C25=131,$L25=1),1,0)</f>
        <v/>
      </c>
      <c r="ZC26">
        <f>ZC25+IF(AND($C25=132,$L25=1),1,0)</f>
        <v/>
      </c>
      <c r="ZD26">
        <f>ZD25+IF(AND($C25=133,$L25=1),1,0)</f>
        <v/>
      </c>
      <c r="ZE26">
        <f>ZE25+IF(AND($C25=134,$L25=1),1,0)</f>
        <v/>
      </c>
      <c r="ZF26">
        <f>ZF25+IF(AND($C25=135,$L25=1),1,0)</f>
        <v/>
      </c>
      <c r="ZG26">
        <f>ZG25+IF(AND($C25=136,$L25=1),1,0)</f>
        <v/>
      </c>
      <c r="ZH26">
        <f>ZH25+IF(AND($C25=137,$L25=1),1,0)</f>
        <v/>
      </c>
      <c r="ZI26">
        <f>ZI25+IF(AND($C25=138,$L25=1),1,0)</f>
        <v/>
      </c>
      <c r="ZJ26">
        <f>ZJ25+IF(AND($C25=139,$L25=1),1,0)</f>
        <v/>
      </c>
      <c r="ZK26">
        <f>ZK25+IF(AND($C25=140,$L25=1),1,0)</f>
        <v/>
      </c>
      <c r="ZL26">
        <f>ZL25+IF(AND($C25=141,$L25=1),1,0)</f>
        <v/>
      </c>
      <c r="ZM26">
        <f>ZM25+IF(AND($C25=142,$L25=1),1,0)</f>
        <v/>
      </c>
      <c r="ZN26">
        <f>ZN25+IF(AND($C25=143,$L25=1),1,0)</f>
        <v/>
      </c>
      <c r="ZO26">
        <f>ZO25+IF(AND($C25=144,$L25=1),1,0)</f>
        <v/>
      </c>
    </row>
    <row r="27">
      <c r="A27" t="n">
        <v>25</v>
      </c>
      <c r="B27">
        <f>IF(MIN(BH27:CZ27)&gt;=1000000,0,MATCH(MIN(BH27:CZ27),BH27:CZ27,0))</f>
        <v/>
      </c>
      <c r="C27">
        <f>IF(MIN(OF27:TS27)&gt;=1000000,0,MATCH(MIN(OF27:TS27),OF27:TS27,0))</f>
        <v/>
      </c>
      <c r="D27">
        <f>IF(C27&gt;0,INDEX('計算A'!$D$5:$EQ$5,C27),0)</f>
        <v/>
      </c>
      <c r="E27">
        <f>IF(B27=0,0,INDEX('計算A'!$IQ$10:$IQ$54,B27))</f>
        <v/>
      </c>
      <c r="F27">
        <f>IF(B27=0,0,INDEX('計算A'!$IP$10:$IP$54,B27))</f>
        <v/>
      </c>
      <c r="G27">
        <f>IF(AND(C27&gt;0,E27&gt;0),IF(AND(INDEX('計算A'!$D$106:$EQ$106,C27)=1,INDEX($IQ27:$OD27,C27)=1),C27+1,0),0)</f>
        <v/>
      </c>
      <c r="H27">
        <f>IF(B27=0,0,INDEX('計算A'!$IW$10:$IW$54,B27))</f>
        <v/>
      </c>
      <c r="I27">
        <f>IF(B27=0,0,MAX(0,INDEX('計算A'!$IT$10:$IT$54,B27)))</f>
        <v/>
      </c>
      <c r="J27">
        <f>IF(I27=0,0,INDEX('計算A'!$D$2:$EQ$2,I27))</f>
        <v/>
      </c>
      <c r="K27">
        <f>IF(I27=0,0,INDEX('計算A'!$D$3:$EQ$3,I27))</f>
        <v/>
      </c>
      <c r="L27">
        <f>IF(B27=0,0,INDEX('計算A'!$IX$10:$IX$54,B27))</f>
        <v/>
      </c>
      <c r="N27">
        <f>MAX(N26,IF($B26=1,1,0))</f>
        <v/>
      </c>
      <c r="O27">
        <f>MAX(O26,IF($B26=2,1,0))</f>
        <v/>
      </c>
      <c r="P27">
        <f>MAX(P26,IF($B26=3,1,0))</f>
        <v/>
      </c>
      <c r="Q27">
        <f>MAX(Q26,IF($B26=4,1,0))</f>
        <v/>
      </c>
      <c r="R27">
        <f>MAX(R26,IF($B26=5,1,0))</f>
        <v/>
      </c>
      <c r="S27">
        <f>MAX(S26,IF($B26=6,1,0))</f>
        <v/>
      </c>
      <c r="T27">
        <f>MAX(T26,IF($B26=7,1,0))</f>
        <v/>
      </c>
      <c r="U27">
        <f>MAX(U26,IF($B26=8,1,0))</f>
        <v/>
      </c>
      <c r="V27">
        <f>MAX(V26,IF($B26=9,1,0))</f>
        <v/>
      </c>
      <c r="W27">
        <f>MAX(W26,IF($B26=10,1,0))</f>
        <v/>
      </c>
      <c r="X27">
        <f>MAX(X26,IF($B26=11,1,0))</f>
        <v/>
      </c>
      <c r="Y27">
        <f>MAX(Y26,IF($B26=12,1,0))</f>
        <v/>
      </c>
      <c r="Z27">
        <f>MAX(Z26,IF($B26=13,1,0))</f>
        <v/>
      </c>
      <c r="AA27">
        <f>MAX(AA26,IF($B26=14,1,0))</f>
        <v/>
      </c>
      <c r="AB27">
        <f>MAX(AB26,IF($B26=15,1,0))</f>
        <v/>
      </c>
      <c r="AC27">
        <f>MAX(AC26,IF($B26=16,1,0))</f>
        <v/>
      </c>
      <c r="AD27">
        <f>MAX(AD26,IF($B26=17,1,0))</f>
        <v/>
      </c>
      <c r="AE27">
        <f>MAX(AE26,IF($B26=18,1,0))</f>
        <v/>
      </c>
      <c r="AF27">
        <f>MAX(AF26,IF($B26=19,1,0))</f>
        <v/>
      </c>
      <c r="AG27">
        <f>MAX(AG26,IF($B26=20,1,0))</f>
        <v/>
      </c>
      <c r="AH27">
        <f>MAX(AH26,IF($B26=21,1,0))</f>
        <v/>
      </c>
      <c r="AI27">
        <f>MAX(AI26,IF($B26=22,1,0))</f>
        <v/>
      </c>
      <c r="AJ27">
        <f>MAX(AJ26,IF($B26=23,1,0))</f>
        <v/>
      </c>
      <c r="AK27">
        <f>MAX(AK26,IF($B26=24,1,0))</f>
        <v/>
      </c>
      <c r="AL27">
        <f>MAX(AL26,IF($B26=25,1,0))</f>
        <v/>
      </c>
      <c r="AM27">
        <f>MAX(AM26,IF($B26=26,1,0))</f>
        <v/>
      </c>
      <c r="AN27">
        <f>MAX(AN26,IF($B26=27,1,0))</f>
        <v/>
      </c>
      <c r="AO27">
        <f>MAX(AO26,IF($B26=28,1,0))</f>
        <v/>
      </c>
      <c r="AP27">
        <f>MAX(AP26,IF($B26=29,1,0))</f>
        <v/>
      </c>
      <c r="AQ27">
        <f>MAX(AQ26,IF($B26=30,1,0))</f>
        <v/>
      </c>
      <c r="AR27">
        <f>MAX(AR26,IF($B26=31,1,0))</f>
        <v/>
      </c>
      <c r="AS27">
        <f>MAX(AS26,IF($B26=32,1,0))</f>
        <v/>
      </c>
      <c r="AT27">
        <f>MAX(AT26,IF($B26=33,1,0))</f>
        <v/>
      </c>
      <c r="AU27">
        <f>MAX(AU26,IF($B26=34,1,0))</f>
        <v/>
      </c>
      <c r="AV27">
        <f>MAX(AV26,IF($B26=35,1,0))</f>
        <v/>
      </c>
      <c r="AW27">
        <f>MAX(AW26,IF($B26=36,1,0))</f>
        <v/>
      </c>
      <c r="AX27">
        <f>MAX(AX26,IF($B26=37,1,0))</f>
        <v/>
      </c>
      <c r="AY27">
        <f>MAX(AY26,IF($B26=38,1,0))</f>
        <v/>
      </c>
      <c r="AZ27">
        <f>MAX(AZ26,IF($B26=39,1,0))</f>
        <v/>
      </c>
      <c r="BA27">
        <f>MAX(BA26,IF($B26=40,1,0))</f>
        <v/>
      </c>
      <c r="BB27">
        <f>MAX(BB26,IF($B26=41,1,0))</f>
        <v/>
      </c>
      <c r="BC27">
        <f>MAX(BC26,IF($B26=42,1,0))</f>
        <v/>
      </c>
      <c r="BD27">
        <f>MAX(BD26,IF($B26=43,1,0))</f>
        <v/>
      </c>
      <c r="BE27">
        <f>MAX(BE26,IF($B26=44,1,0))</f>
        <v/>
      </c>
      <c r="BF27">
        <f>MAX(BF26,IF($B26=45,1,0))</f>
        <v/>
      </c>
      <c r="BH27">
        <f>IF(N27=1,1000000,IF('計算A'!$IT$10&gt;0,0,500000)+IF('計算A'!$IQ$10=2,SUMPRODUCT('計算A'!$D$60:$EQ$60,$DB27:$IO27,$IQ27:$OD27),SUMPRODUCT('計算A'!$D$60:$EQ$60,$DB27:$IO27))*1000+1)</f>
        <v/>
      </c>
      <c r="BI27">
        <f>IF(O27=1,1000000,IF('計算A'!$IT$11&gt;0,0,500000)+IF('計算A'!$IQ$11=2,SUMPRODUCT('計算A'!$D$61:$EQ$61,$DB27:$IO27,$IQ27:$OD27),SUMPRODUCT('計算A'!$D$61:$EQ$61,$DB27:$IO27))*1000+2)</f>
        <v/>
      </c>
      <c r="BJ27">
        <f>IF(P27=1,1000000,IF('計算A'!$IT$12&gt;0,0,500000)+IF('計算A'!$IQ$12=2,SUMPRODUCT('計算A'!$D$62:$EQ$62,$DB27:$IO27,$IQ27:$OD27),SUMPRODUCT('計算A'!$D$62:$EQ$62,$DB27:$IO27))*1000+3)</f>
        <v/>
      </c>
      <c r="BK27">
        <f>IF(Q27=1,1000000,IF('計算A'!$IT$13&gt;0,0,500000)+IF('計算A'!$IQ$13=2,SUMPRODUCT('計算A'!$D$63:$EQ$63,$DB27:$IO27,$IQ27:$OD27),SUMPRODUCT('計算A'!$D$63:$EQ$63,$DB27:$IO27))*1000+4)</f>
        <v/>
      </c>
      <c r="BL27">
        <f>IF(R27=1,1000000,IF('計算A'!$IT$14&gt;0,0,500000)+IF('計算A'!$IQ$14=2,SUMPRODUCT('計算A'!$D$64:$EQ$64,$DB27:$IO27,$IQ27:$OD27),SUMPRODUCT('計算A'!$D$64:$EQ$64,$DB27:$IO27))*1000+5)</f>
        <v/>
      </c>
      <c r="BM27">
        <f>IF(S27=1,1000000,IF('計算A'!$IT$15&gt;0,0,500000)+IF('計算A'!$IQ$15=2,SUMPRODUCT('計算A'!$D$65:$EQ$65,$DB27:$IO27,$IQ27:$OD27),SUMPRODUCT('計算A'!$D$65:$EQ$65,$DB27:$IO27))*1000+6)</f>
        <v/>
      </c>
      <c r="BN27">
        <f>IF(T27=1,1000000,IF('計算A'!$IT$16&gt;0,0,500000)+IF('計算A'!$IQ$16=2,SUMPRODUCT('計算A'!$D$66:$EQ$66,$DB27:$IO27,$IQ27:$OD27),SUMPRODUCT('計算A'!$D$66:$EQ$66,$DB27:$IO27))*1000+7)</f>
        <v/>
      </c>
      <c r="BO27">
        <f>IF(U27=1,1000000,IF('計算A'!$IT$17&gt;0,0,500000)+IF('計算A'!$IQ$17=2,SUMPRODUCT('計算A'!$D$67:$EQ$67,$DB27:$IO27,$IQ27:$OD27),SUMPRODUCT('計算A'!$D$67:$EQ$67,$DB27:$IO27))*1000+8)</f>
        <v/>
      </c>
      <c r="BP27">
        <f>IF(V27=1,1000000,IF('計算A'!$IT$18&gt;0,0,500000)+IF('計算A'!$IQ$18=2,SUMPRODUCT('計算A'!$D$68:$EQ$68,$DB27:$IO27,$IQ27:$OD27),SUMPRODUCT('計算A'!$D$68:$EQ$68,$DB27:$IO27))*1000+9)</f>
        <v/>
      </c>
      <c r="BQ27">
        <f>IF(W27=1,1000000,IF('計算A'!$IT$19&gt;0,0,500000)+IF('計算A'!$IQ$19=2,SUMPRODUCT('計算A'!$D$69:$EQ$69,$DB27:$IO27,$IQ27:$OD27),SUMPRODUCT('計算A'!$D$69:$EQ$69,$DB27:$IO27))*1000+10)</f>
        <v/>
      </c>
      <c r="BR27">
        <f>IF(X27=1,1000000,IF('計算A'!$IT$20&gt;0,0,500000)+IF('計算A'!$IQ$20=2,SUMPRODUCT('計算A'!$D$70:$EQ$70,$DB27:$IO27,$IQ27:$OD27),SUMPRODUCT('計算A'!$D$70:$EQ$70,$DB27:$IO27))*1000+11)</f>
        <v/>
      </c>
      <c r="BS27">
        <f>IF(Y27=1,1000000,IF('計算A'!$IT$21&gt;0,0,500000)+IF('計算A'!$IQ$21=2,SUMPRODUCT('計算A'!$D$71:$EQ$71,$DB27:$IO27,$IQ27:$OD27),SUMPRODUCT('計算A'!$D$71:$EQ$71,$DB27:$IO27))*1000+12)</f>
        <v/>
      </c>
      <c r="BT27">
        <f>IF(Z27=1,1000000,IF('計算A'!$IT$22&gt;0,0,500000)+IF('計算A'!$IQ$22=2,SUMPRODUCT('計算A'!$D$72:$EQ$72,$DB27:$IO27,$IQ27:$OD27),SUMPRODUCT('計算A'!$D$72:$EQ$72,$DB27:$IO27))*1000+13)</f>
        <v/>
      </c>
      <c r="BU27">
        <f>IF(AA27=1,1000000,IF('計算A'!$IT$23&gt;0,0,500000)+IF('計算A'!$IQ$23=2,SUMPRODUCT('計算A'!$D$73:$EQ$73,$DB27:$IO27,$IQ27:$OD27),SUMPRODUCT('計算A'!$D$73:$EQ$73,$DB27:$IO27))*1000+14)</f>
        <v/>
      </c>
      <c r="BV27">
        <f>IF(AB27=1,1000000,IF('計算A'!$IT$24&gt;0,0,500000)+IF('計算A'!$IQ$24=2,SUMPRODUCT('計算A'!$D$74:$EQ$74,$DB27:$IO27,$IQ27:$OD27),SUMPRODUCT('計算A'!$D$74:$EQ$74,$DB27:$IO27))*1000+15)</f>
        <v/>
      </c>
      <c r="BW27">
        <f>IF(AC27=1,1000000,IF('計算A'!$IT$25&gt;0,0,500000)+IF('計算A'!$IQ$25=2,SUMPRODUCT('計算A'!$D$75:$EQ$75,$DB27:$IO27,$IQ27:$OD27),SUMPRODUCT('計算A'!$D$75:$EQ$75,$DB27:$IO27))*1000+16)</f>
        <v/>
      </c>
      <c r="BX27">
        <f>IF(AD27=1,1000000,IF('計算A'!$IT$26&gt;0,0,500000)+IF('計算A'!$IQ$26=2,SUMPRODUCT('計算A'!$D$76:$EQ$76,$DB27:$IO27,$IQ27:$OD27),SUMPRODUCT('計算A'!$D$76:$EQ$76,$DB27:$IO27))*1000+17)</f>
        <v/>
      </c>
      <c r="BY27">
        <f>IF(AE27=1,1000000,IF('計算A'!$IT$27&gt;0,0,500000)+IF('計算A'!$IQ$27=2,SUMPRODUCT('計算A'!$D$77:$EQ$77,$DB27:$IO27,$IQ27:$OD27),SUMPRODUCT('計算A'!$D$77:$EQ$77,$DB27:$IO27))*1000+18)</f>
        <v/>
      </c>
      <c r="BZ27">
        <f>IF(AF27=1,1000000,IF('計算A'!$IT$28&gt;0,0,500000)+IF('計算A'!$IQ$28=2,SUMPRODUCT('計算A'!$D$78:$EQ$78,$DB27:$IO27,$IQ27:$OD27),SUMPRODUCT('計算A'!$D$78:$EQ$78,$DB27:$IO27))*1000+19)</f>
        <v/>
      </c>
      <c r="CA27">
        <f>IF(AG27=1,1000000,IF('計算A'!$IT$29&gt;0,0,500000)+IF('計算A'!$IQ$29=2,SUMPRODUCT('計算A'!$D$79:$EQ$79,$DB27:$IO27,$IQ27:$OD27),SUMPRODUCT('計算A'!$D$79:$EQ$79,$DB27:$IO27))*1000+20)</f>
        <v/>
      </c>
      <c r="CB27">
        <f>IF(AH27=1,1000000,IF('計算A'!$IT$30&gt;0,0,500000)+IF('計算A'!$IQ$30=2,SUMPRODUCT('計算A'!$D$80:$EQ$80,$DB27:$IO27,$IQ27:$OD27),SUMPRODUCT('計算A'!$D$80:$EQ$80,$DB27:$IO27))*1000+21)</f>
        <v/>
      </c>
      <c r="CC27">
        <f>IF(AI27=1,1000000,IF('計算A'!$IT$31&gt;0,0,500000)+IF('計算A'!$IQ$31=2,SUMPRODUCT('計算A'!$D$81:$EQ$81,$DB27:$IO27,$IQ27:$OD27),SUMPRODUCT('計算A'!$D$81:$EQ$81,$DB27:$IO27))*1000+22)</f>
        <v/>
      </c>
      <c r="CD27">
        <f>IF(AJ27=1,1000000,IF('計算A'!$IT$32&gt;0,0,500000)+IF('計算A'!$IQ$32=2,SUMPRODUCT('計算A'!$D$82:$EQ$82,$DB27:$IO27,$IQ27:$OD27),SUMPRODUCT('計算A'!$D$82:$EQ$82,$DB27:$IO27))*1000+23)</f>
        <v/>
      </c>
      <c r="CE27">
        <f>IF(AK27=1,1000000,IF('計算A'!$IT$33&gt;0,0,500000)+IF('計算A'!$IQ$33=2,SUMPRODUCT('計算A'!$D$83:$EQ$83,$DB27:$IO27,$IQ27:$OD27),SUMPRODUCT('計算A'!$D$83:$EQ$83,$DB27:$IO27))*1000+24)</f>
        <v/>
      </c>
      <c r="CF27">
        <f>IF(AL27=1,1000000,IF('計算A'!$IT$34&gt;0,0,500000)+IF('計算A'!$IQ$34=2,SUMPRODUCT('計算A'!$D$84:$EQ$84,$DB27:$IO27,$IQ27:$OD27),SUMPRODUCT('計算A'!$D$84:$EQ$84,$DB27:$IO27))*1000+25)</f>
        <v/>
      </c>
      <c r="CG27">
        <f>IF(AM27=1,1000000,IF('計算A'!$IT$35&gt;0,0,500000)+IF('計算A'!$IQ$35=2,SUMPRODUCT('計算A'!$D$85:$EQ$85,$DB27:$IO27,$IQ27:$OD27),SUMPRODUCT('計算A'!$D$85:$EQ$85,$DB27:$IO27))*1000+26)</f>
        <v/>
      </c>
      <c r="CH27">
        <f>IF(AN27=1,1000000,IF('計算A'!$IT$36&gt;0,0,500000)+IF('計算A'!$IQ$36=2,SUMPRODUCT('計算A'!$D$86:$EQ$86,$DB27:$IO27,$IQ27:$OD27),SUMPRODUCT('計算A'!$D$86:$EQ$86,$DB27:$IO27))*1000+27)</f>
        <v/>
      </c>
      <c r="CI27">
        <f>IF(AO27=1,1000000,IF('計算A'!$IT$37&gt;0,0,500000)+IF('計算A'!$IQ$37=2,SUMPRODUCT('計算A'!$D$87:$EQ$87,$DB27:$IO27,$IQ27:$OD27),SUMPRODUCT('計算A'!$D$87:$EQ$87,$DB27:$IO27))*1000+28)</f>
        <v/>
      </c>
      <c r="CJ27">
        <f>IF(AP27=1,1000000,IF('計算A'!$IT$38&gt;0,0,500000)+IF('計算A'!$IQ$38=2,SUMPRODUCT('計算A'!$D$88:$EQ$88,$DB27:$IO27,$IQ27:$OD27),SUMPRODUCT('計算A'!$D$88:$EQ$88,$DB27:$IO27))*1000+29)</f>
        <v/>
      </c>
      <c r="CK27">
        <f>IF(AQ27=1,1000000,IF('計算A'!$IT$39&gt;0,0,500000)+IF('計算A'!$IQ$39=2,SUMPRODUCT('計算A'!$D$89:$EQ$89,$DB27:$IO27,$IQ27:$OD27),SUMPRODUCT('計算A'!$D$89:$EQ$89,$DB27:$IO27))*1000+30)</f>
        <v/>
      </c>
      <c r="CL27">
        <f>IF(AR27=1,1000000,IF('計算A'!$IT$40&gt;0,0,500000)+IF('計算A'!$IQ$40=2,SUMPRODUCT('計算A'!$D$90:$EQ$90,$DB27:$IO27,$IQ27:$OD27),SUMPRODUCT('計算A'!$D$90:$EQ$90,$DB27:$IO27))*1000+31)</f>
        <v/>
      </c>
      <c r="CM27">
        <f>IF(AS27=1,1000000,IF('計算A'!$IT$41&gt;0,0,500000)+IF('計算A'!$IQ$41=2,SUMPRODUCT('計算A'!$D$91:$EQ$91,$DB27:$IO27,$IQ27:$OD27),SUMPRODUCT('計算A'!$D$91:$EQ$91,$DB27:$IO27))*1000+32)</f>
        <v/>
      </c>
      <c r="CN27">
        <f>IF(AT27=1,1000000,IF('計算A'!$IT$42&gt;0,0,500000)+IF('計算A'!$IQ$42=2,SUMPRODUCT('計算A'!$D$92:$EQ$92,$DB27:$IO27,$IQ27:$OD27),SUMPRODUCT('計算A'!$D$92:$EQ$92,$DB27:$IO27))*1000+33)</f>
        <v/>
      </c>
      <c r="CO27">
        <f>IF(AU27=1,1000000,IF('計算A'!$IT$43&gt;0,0,500000)+IF('計算A'!$IQ$43=2,SUMPRODUCT('計算A'!$D$93:$EQ$93,$DB27:$IO27,$IQ27:$OD27),SUMPRODUCT('計算A'!$D$93:$EQ$93,$DB27:$IO27))*1000+34)</f>
        <v/>
      </c>
      <c r="CP27">
        <f>IF(AV27=1,1000000,IF('計算A'!$IT$44&gt;0,0,500000)+IF('計算A'!$IQ$44=2,SUMPRODUCT('計算A'!$D$94:$EQ$94,$DB27:$IO27,$IQ27:$OD27),SUMPRODUCT('計算A'!$D$94:$EQ$94,$DB27:$IO27))*1000+35)</f>
        <v/>
      </c>
      <c r="CQ27">
        <f>IF(AW27=1,1000000,IF('計算A'!$IT$45&gt;0,0,500000)+IF('計算A'!$IQ$45=2,SUMPRODUCT('計算A'!$D$95:$EQ$95,$DB27:$IO27,$IQ27:$OD27),SUMPRODUCT('計算A'!$D$95:$EQ$95,$DB27:$IO27))*1000+36)</f>
        <v/>
      </c>
      <c r="CR27">
        <f>IF(AX27=1,1000000,IF('計算A'!$IT$46&gt;0,0,500000)+IF('計算A'!$IQ$46=2,SUMPRODUCT('計算A'!$D$96:$EQ$96,$DB27:$IO27,$IQ27:$OD27),SUMPRODUCT('計算A'!$D$96:$EQ$96,$DB27:$IO27))*1000+37)</f>
        <v/>
      </c>
      <c r="CS27">
        <f>IF(AY27=1,1000000,IF('計算A'!$IT$47&gt;0,0,500000)+IF('計算A'!$IQ$47=2,SUMPRODUCT('計算A'!$D$97:$EQ$97,$DB27:$IO27,$IQ27:$OD27),SUMPRODUCT('計算A'!$D$97:$EQ$97,$DB27:$IO27))*1000+38)</f>
        <v/>
      </c>
      <c r="CT27">
        <f>IF(AZ27=1,1000000,IF('計算A'!$IT$48&gt;0,0,500000)+IF('計算A'!$IQ$48=2,SUMPRODUCT('計算A'!$D$98:$EQ$98,$DB27:$IO27,$IQ27:$OD27),SUMPRODUCT('計算A'!$D$98:$EQ$98,$DB27:$IO27))*1000+39)</f>
        <v/>
      </c>
      <c r="CU27">
        <f>IF(BA27=1,1000000,IF('計算A'!$IT$49&gt;0,0,500000)+IF('計算A'!$IQ$49=2,SUMPRODUCT('計算A'!$D$99:$EQ$99,$DB27:$IO27,$IQ27:$OD27),SUMPRODUCT('計算A'!$D$99:$EQ$99,$DB27:$IO27))*1000+40)</f>
        <v/>
      </c>
      <c r="CV27">
        <f>IF(BB27=1,1000000,IF('計算A'!$IT$50&gt;0,0,500000)+IF('計算A'!$IQ$50=2,SUMPRODUCT('計算A'!$D$100:$EQ$100,$DB27:$IO27,$IQ27:$OD27),SUMPRODUCT('計算A'!$D$100:$EQ$100,$DB27:$IO27))*1000+41)</f>
        <v/>
      </c>
      <c r="CW27">
        <f>IF(BC27=1,1000000,IF('計算A'!$IT$51&gt;0,0,500000)+IF('計算A'!$IQ$51=2,SUMPRODUCT('計算A'!$D$101:$EQ$101,$DB27:$IO27,$IQ27:$OD27),SUMPRODUCT('計算A'!$D$101:$EQ$101,$DB27:$IO27))*1000+42)</f>
        <v/>
      </c>
      <c r="CX27">
        <f>IF(BD27=1,1000000,IF('計算A'!$IT$52&gt;0,0,500000)+IF('計算A'!$IQ$52=2,SUMPRODUCT('計算A'!$D$102:$EQ$102,$DB27:$IO27,$IQ27:$OD27),SUMPRODUCT('計算A'!$D$102:$EQ$102,$DB27:$IO27))*1000+43)</f>
        <v/>
      </c>
      <c r="CY27">
        <f>IF(BE27=1,1000000,IF('計算A'!$IT$53&gt;0,0,500000)+IF('計算A'!$IQ$53=2,SUMPRODUCT('計算A'!$D$103:$EQ$103,$DB27:$IO27,$IQ27:$OD27),SUMPRODUCT('計算A'!$D$103:$EQ$103,$DB27:$IO27))*1000+44)</f>
        <v/>
      </c>
      <c r="CZ27">
        <f>IF(BF27=1,1000000,IF('計算A'!$IT$54&gt;0,0,500000)+IF('計算A'!$IQ$54=2,SUMPRODUCT('計算A'!$D$104:$EQ$104,$DB27:$IO27,$IQ27:$OD27),SUMPRODUCT('計算A'!$D$104:$EQ$104,$DB27:$IO27))*1000+45)</f>
        <v/>
      </c>
      <c r="DB27">
        <f>DB26*IF(OR($C26=1,$G26=1),0,1)</f>
        <v/>
      </c>
      <c r="DC27">
        <f>DC26*IF(OR($C26=2,$G26=2),0,1)</f>
        <v/>
      </c>
      <c r="DD27">
        <f>DD26*IF(OR($C26=3,$G26=3),0,1)</f>
        <v/>
      </c>
      <c r="DE27">
        <f>DE26*IF(OR($C26=4,$G26=4),0,1)</f>
        <v/>
      </c>
      <c r="DF27">
        <f>DF26*IF(OR($C26=5,$G26=5),0,1)</f>
        <v/>
      </c>
      <c r="DG27">
        <f>DG26*IF(OR($C26=6,$G26=6),0,1)</f>
        <v/>
      </c>
      <c r="DH27">
        <f>DH26*IF(OR($C26=7,$G26=7),0,1)</f>
        <v/>
      </c>
      <c r="DI27">
        <f>DI26*IF(OR($C26=8,$G26=8),0,1)</f>
        <v/>
      </c>
      <c r="DJ27">
        <f>DJ26*IF(OR($C26=9,$G26=9),0,1)</f>
        <v/>
      </c>
      <c r="DK27">
        <f>DK26*IF(OR($C26=10,$G26=10),0,1)</f>
        <v/>
      </c>
      <c r="DL27">
        <f>DL26*IF(OR($C26=11,$G26=11),0,1)</f>
        <v/>
      </c>
      <c r="DM27">
        <f>DM26*IF(OR($C26=12,$G26=12),0,1)</f>
        <v/>
      </c>
      <c r="DN27">
        <f>DN26*IF(OR($C26=13,$G26=13),0,1)</f>
        <v/>
      </c>
      <c r="DO27">
        <f>DO26*IF(OR($C26=14,$G26=14),0,1)</f>
        <v/>
      </c>
      <c r="DP27">
        <f>DP26*IF(OR($C26=15,$G26=15),0,1)</f>
        <v/>
      </c>
      <c r="DQ27">
        <f>DQ26*IF(OR($C26=16,$G26=16),0,1)</f>
        <v/>
      </c>
      <c r="DR27">
        <f>DR26*IF(OR($C26=17,$G26=17),0,1)</f>
        <v/>
      </c>
      <c r="DS27">
        <f>DS26*IF(OR($C26=18,$G26=18),0,1)</f>
        <v/>
      </c>
      <c r="DT27">
        <f>DT26*IF(OR($C26=19,$G26=19),0,1)</f>
        <v/>
      </c>
      <c r="DU27">
        <f>DU26*IF(OR($C26=20,$G26=20),0,1)</f>
        <v/>
      </c>
      <c r="DV27">
        <f>DV26*IF(OR($C26=21,$G26=21),0,1)</f>
        <v/>
      </c>
      <c r="DW27">
        <f>DW26*IF(OR($C26=22,$G26=22),0,1)</f>
        <v/>
      </c>
      <c r="DX27">
        <f>DX26*IF(OR($C26=23,$G26=23),0,1)</f>
        <v/>
      </c>
      <c r="DY27">
        <f>DY26*IF(OR($C26=24,$G26=24),0,1)</f>
        <v/>
      </c>
      <c r="DZ27">
        <f>DZ26*IF(OR($C26=25,$G26=25),0,1)</f>
        <v/>
      </c>
      <c r="EA27">
        <f>EA26*IF(OR($C26=26,$G26=26),0,1)</f>
        <v/>
      </c>
      <c r="EB27">
        <f>EB26*IF(OR($C26=27,$G26=27),0,1)</f>
        <v/>
      </c>
      <c r="EC27">
        <f>EC26*IF(OR($C26=28,$G26=28),0,1)</f>
        <v/>
      </c>
      <c r="ED27">
        <f>ED26*IF(OR($C26=29,$G26=29),0,1)</f>
        <v/>
      </c>
      <c r="EE27">
        <f>EE26*IF(OR($C26=30,$G26=30),0,1)</f>
        <v/>
      </c>
      <c r="EF27">
        <f>EF26*IF(OR($C26=31,$G26=31),0,1)</f>
        <v/>
      </c>
      <c r="EG27">
        <f>EG26*IF(OR($C26=32,$G26=32),0,1)</f>
        <v/>
      </c>
      <c r="EH27">
        <f>EH26*IF(OR($C26=33,$G26=33),0,1)</f>
        <v/>
      </c>
      <c r="EI27">
        <f>EI26*IF(OR($C26=34,$G26=34),0,1)</f>
        <v/>
      </c>
      <c r="EJ27">
        <f>EJ26*IF(OR($C26=35,$G26=35),0,1)</f>
        <v/>
      </c>
      <c r="EK27">
        <f>EK26*IF(OR($C26=36,$G26=36),0,1)</f>
        <v/>
      </c>
      <c r="EL27">
        <f>EL26*IF(OR($C26=37,$G26=37),0,1)</f>
        <v/>
      </c>
      <c r="EM27">
        <f>EM26*IF(OR($C26=38,$G26=38),0,1)</f>
        <v/>
      </c>
      <c r="EN27">
        <f>EN26*IF(OR($C26=39,$G26=39),0,1)</f>
        <v/>
      </c>
      <c r="EO27">
        <f>EO26*IF(OR($C26=40,$G26=40),0,1)</f>
        <v/>
      </c>
      <c r="EP27">
        <f>EP26*IF(OR($C26=41,$G26=41),0,1)</f>
        <v/>
      </c>
      <c r="EQ27">
        <f>EQ26*IF(OR($C26=42,$G26=42),0,1)</f>
        <v/>
      </c>
      <c r="ER27">
        <f>ER26*IF(OR($C26=43,$G26=43),0,1)</f>
        <v/>
      </c>
      <c r="ES27">
        <f>ES26*IF(OR($C26=44,$G26=44),0,1)</f>
        <v/>
      </c>
      <c r="ET27">
        <f>ET26*IF(OR($C26=45,$G26=45),0,1)</f>
        <v/>
      </c>
      <c r="EU27">
        <f>EU26*IF(OR($C26=46,$G26=46),0,1)</f>
        <v/>
      </c>
      <c r="EV27">
        <f>EV26*IF(OR($C26=47,$G26=47),0,1)</f>
        <v/>
      </c>
      <c r="EW27">
        <f>EW26*IF(OR($C26=48,$G26=48),0,1)</f>
        <v/>
      </c>
      <c r="EX27">
        <f>EX26*IF(OR($C26=49,$G26=49),0,1)</f>
        <v/>
      </c>
      <c r="EY27">
        <f>EY26*IF(OR($C26=50,$G26=50),0,1)</f>
        <v/>
      </c>
      <c r="EZ27">
        <f>EZ26*IF(OR($C26=51,$G26=51),0,1)</f>
        <v/>
      </c>
      <c r="FA27">
        <f>FA26*IF(OR($C26=52,$G26=52),0,1)</f>
        <v/>
      </c>
      <c r="FB27">
        <f>FB26*IF(OR($C26=53,$G26=53),0,1)</f>
        <v/>
      </c>
      <c r="FC27">
        <f>FC26*IF(OR($C26=54,$G26=54),0,1)</f>
        <v/>
      </c>
      <c r="FD27">
        <f>FD26*IF(OR($C26=55,$G26=55),0,1)</f>
        <v/>
      </c>
      <c r="FE27">
        <f>FE26*IF(OR($C26=56,$G26=56),0,1)</f>
        <v/>
      </c>
      <c r="FF27">
        <f>FF26*IF(OR($C26=57,$G26=57),0,1)</f>
        <v/>
      </c>
      <c r="FG27">
        <f>FG26*IF(OR($C26=58,$G26=58),0,1)</f>
        <v/>
      </c>
      <c r="FH27">
        <f>FH26*IF(OR($C26=59,$G26=59),0,1)</f>
        <v/>
      </c>
      <c r="FI27">
        <f>FI26*IF(OR($C26=60,$G26=60),0,1)</f>
        <v/>
      </c>
      <c r="FJ27">
        <f>FJ26*IF(OR($C26=61,$G26=61),0,1)</f>
        <v/>
      </c>
      <c r="FK27">
        <f>FK26*IF(OR($C26=62,$G26=62),0,1)</f>
        <v/>
      </c>
      <c r="FL27">
        <f>FL26*IF(OR($C26=63,$G26=63),0,1)</f>
        <v/>
      </c>
      <c r="FM27">
        <f>FM26*IF(OR($C26=64,$G26=64),0,1)</f>
        <v/>
      </c>
      <c r="FN27">
        <f>FN26*IF(OR($C26=65,$G26=65),0,1)</f>
        <v/>
      </c>
      <c r="FO27">
        <f>FO26*IF(OR($C26=66,$G26=66),0,1)</f>
        <v/>
      </c>
      <c r="FP27">
        <f>FP26*IF(OR($C26=67,$G26=67),0,1)</f>
        <v/>
      </c>
      <c r="FQ27">
        <f>FQ26*IF(OR($C26=68,$G26=68),0,1)</f>
        <v/>
      </c>
      <c r="FR27">
        <f>FR26*IF(OR($C26=69,$G26=69),0,1)</f>
        <v/>
      </c>
      <c r="FS27">
        <f>FS26*IF(OR($C26=70,$G26=70),0,1)</f>
        <v/>
      </c>
      <c r="FT27">
        <f>FT26*IF(OR($C26=71,$G26=71),0,1)</f>
        <v/>
      </c>
      <c r="FU27">
        <f>FU26*IF(OR($C26=72,$G26=72),0,1)</f>
        <v/>
      </c>
      <c r="FV27">
        <f>FV26*IF(OR($C26=73,$G26=73),0,1)</f>
        <v/>
      </c>
      <c r="FW27">
        <f>FW26*IF(OR($C26=74,$G26=74),0,1)</f>
        <v/>
      </c>
      <c r="FX27">
        <f>FX26*IF(OR($C26=75,$G26=75),0,1)</f>
        <v/>
      </c>
      <c r="FY27">
        <f>FY26*IF(OR($C26=76,$G26=76),0,1)</f>
        <v/>
      </c>
      <c r="FZ27">
        <f>FZ26*IF(OR($C26=77,$G26=77),0,1)</f>
        <v/>
      </c>
      <c r="GA27">
        <f>GA26*IF(OR($C26=78,$G26=78),0,1)</f>
        <v/>
      </c>
      <c r="GB27">
        <f>GB26*IF(OR($C26=79,$G26=79),0,1)</f>
        <v/>
      </c>
      <c r="GC27">
        <f>GC26*IF(OR($C26=80,$G26=80),0,1)</f>
        <v/>
      </c>
      <c r="GD27">
        <f>GD26*IF(OR($C26=81,$G26=81),0,1)</f>
        <v/>
      </c>
      <c r="GE27">
        <f>GE26*IF(OR($C26=82,$G26=82),0,1)</f>
        <v/>
      </c>
      <c r="GF27">
        <f>GF26*IF(OR($C26=83,$G26=83),0,1)</f>
        <v/>
      </c>
      <c r="GG27">
        <f>GG26*IF(OR($C26=84,$G26=84),0,1)</f>
        <v/>
      </c>
      <c r="GH27">
        <f>GH26*IF(OR($C26=85,$G26=85),0,1)</f>
        <v/>
      </c>
      <c r="GI27">
        <f>GI26*IF(OR($C26=86,$G26=86),0,1)</f>
        <v/>
      </c>
      <c r="GJ27">
        <f>GJ26*IF(OR($C26=87,$G26=87),0,1)</f>
        <v/>
      </c>
      <c r="GK27">
        <f>GK26*IF(OR($C26=88,$G26=88),0,1)</f>
        <v/>
      </c>
      <c r="GL27">
        <f>GL26*IF(OR($C26=89,$G26=89),0,1)</f>
        <v/>
      </c>
      <c r="GM27">
        <f>GM26*IF(OR($C26=90,$G26=90),0,1)</f>
        <v/>
      </c>
      <c r="GN27">
        <f>GN26*IF(OR($C26=91,$G26=91),0,1)</f>
        <v/>
      </c>
      <c r="GO27">
        <f>GO26*IF(OR($C26=92,$G26=92),0,1)</f>
        <v/>
      </c>
      <c r="GP27">
        <f>GP26*IF(OR($C26=93,$G26=93),0,1)</f>
        <v/>
      </c>
      <c r="GQ27">
        <f>GQ26*IF(OR($C26=94,$G26=94),0,1)</f>
        <v/>
      </c>
      <c r="GR27">
        <f>GR26*IF(OR($C26=95,$G26=95),0,1)</f>
        <v/>
      </c>
      <c r="GS27">
        <f>GS26*IF(OR($C26=96,$G26=96),0,1)</f>
        <v/>
      </c>
      <c r="GT27">
        <f>GT26*IF(OR($C26=97,$G26=97),0,1)</f>
        <v/>
      </c>
      <c r="GU27">
        <f>GU26*IF(OR($C26=98,$G26=98),0,1)</f>
        <v/>
      </c>
      <c r="GV27">
        <f>GV26*IF(OR($C26=99,$G26=99),0,1)</f>
        <v/>
      </c>
      <c r="GW27">
        <f>GW26*IF(OR($C26=100,$G26=100),0,1)</f>
        <v/>
      </c>
      <c r="GX27">
        <f>GX26*IF(OR($C26=101,$G26=101),0,1)</f>
        <v/>
      </c>
      <c r="GY27">
        <f>GY26*IF(OR($C26=102,$G26=102),0,1)</f>
        <v/>
      </c>
      <c r="GZ27">
        <f>GZ26*IF(OR($C26=103,$G26=103),0,1)</f>
        <v/>
      </c>
      <c r="HA27">
        <f>HA26*IF(OR($C26=104,$G26=104),0,1)</f>
        <v/>
      </c>
      <c r="HB27">
        <f>HB26*IF(OR($C26=105,$G26=105),0,1)</f>
        <v/>
      </c>
      <c r="HC27">
        <f>HC26*IF(OR($C26=106,$G26=106),0,1)</f>
        <v/>
      </c>
      <c r="HD27">
        <f>HD26*IF(OR($C26=107,$G26=107),0,1)</f>
        <v/>
      </c>
      <c r="HE27">
        <f>HE26*IF(OR($C26=108,$G26=108),0,1)</f>
        <v/>
      </c>
      <c r="HF27">
        <f>HF26*IF(OR($C26=109,$G26=109),0,1)</f>
        <v/>
      </c>
      <c r="HG27">
        <f>HG26*IF(OR($C26=110,$G26=110),0,1)</f>
        <v/>
      </c>
      <c r="HH27">
        <f>HH26*IF(OR($C26=111,$G26=111),0,1)</f>
        <v/>
      </c>
      <c r="HI27">
        <f>HI26*IF(OR($C26=112,$G26=112),0,1)</f>
        <v/>
      </c>
      <c r="HJ27">
        <f>HJ26*IF(OR($C26=113,$G26=113),0,1)</f>
        <v/>
      </c>
      <c r="HK27">
        <f>HK26*IF(OR($C26=114,$G26=114),0,1)</f>
        <v/>
      </c>
      <c r="HL27">
        <f>HL26*IF(OR($C26=115,$G26=115),0,1)</f>
        <v/>
      </c>
      <c r="HM27">
        <f>HM26*IF(OR($C26=116,$G26=116),0,1)</f>
        <v/>
      </c>
      <c r="HN27">
        <f>HN26*IF(OR($C26=117,$G26=117),0,1)</f>
        <v/>
      </c>
      <c r="HO27">
        <f>HO26*IF(OR($C26=118,$G26=118),0,1)</f>
        <v/>
      </c>
      <c r="HP27">
        <f>HP26*IF(OR($C26=119,$G26=119),0,1)</f>
        <v/>
      </c>
      <c r="HQ27">
        <f>HQ26*IF(OR($C26=120,$G26=120),0,1)</f>
        <v/>
      </c>
      <c r="HR27">
        <f>HR26*IF(OR($C26=121,$G26=121),0,1)</f>
        <v/>
      </c>
      <c r="HS27">
        <f>HS26*IF(OR($C26=122,$G26=122),0,1)</f>
        <v/>
      </c>
      <c r="HT27">
        <f>HT26*IF(OR($C26=123,$G26=123),0,1)</f>
        <v/>
      </c>
      <c r="HU27">
        <f>HU26*IF(OR($C26=124,$G26=124),0,1)</f>
        <v/>
      </c>
      <c r="HV27">
        <f>HV26*IF(OR($C26=125,$G26=125),0,1)</f>
        <v/>
      </c>
      <c r="HW27">
        <f>HW26*IF(OR($C26=126,$G26=126),0,1)</f>
        <v/>
      </c>
      <c r="HX27">
        <f>HX26*IF(OR($C26=127,$G26=127),0,1)</f>
        <v/>
      </c>
      <c r="HY27">
        <f>HY26*IF(OR($C26=128,$G26=128),0,1)</f>
        <v/>
      </c>
      <c r="HZ27">
        <f>HZ26*IF(OR($C26=129,$G26=129),0,1)</f>
        <v/>
      </c>
      <c r="IA27">
        <f>IA26*IF(OR($C26=130,$G26=130),0,1)</f>
        <v/>
      </c>
      <c r="IB27">
        <f>IB26*IF(OR($C26=131,$G26=131),0,1)</f>
        <v/>
      </c>
      <c r="IC27">
        <f>IC26*IF(OR($C26=132,$G26=132),0,1)</f>
        <v/>
      </c>
      <c r="ID27">
        <f>ID26*IF(OR($C26=133,$G26=133),0,1)</f>
        <v/>
      </c>
      <c r="IE27">
        <f>IE26*IF(OR($C26=134,$G26=134),0,1)</f>
        <v/>
      </c>
      <c r="IF27">
        <f>IF26*IF(OR($C26=135,$G26=135),0,1)</f>
        <v/>
      </c>
      <c r="IG27">
        <f>IG26*IF(OR($C26=136,$G26=136),0,1)</f>
        <v/>
      </c>
      <c r="IH27">
        <f>IH26*IF(OR($C26=137,$G26=137),0,1)</f>
        <v/>
      </c>
      <c r="II27">
        <f>II26*IF(OR($C26=138,$G26=138),0,1)</f>
        <v/>
      </c>
      <c r="IJ27">
        <f>IJ26*IF(OR($C26=139,$G26=139),0,1)</f>
        <v/>
      </c>
      <c r="IK27">
        <f>IK26*IF(OR($C26=140,$G26=140),0,1)</f>
        <v/>
      </c>
      <c r="IL27">
        <f>IL26*IF(OR($C26=141,$G26=141),0,1)</f>
        <v/>
      </c>
      <c r="IM27">
        <f>IM26*IF(OR($C26=142,$G26=142),0,1)</f>
        <v/>
      </c>
      <c r="IN27">
        <f>IN26*IF(OR($C26=143,$G26=143),0,1)</f>
        <v/>
      </c>
      <c r="IO27">
        <f>IO26*IF(OR($C26=144,$G26=144),0,1)</f>
        <v/>
      </c>
      <c r="IQ27">
        <f>IF('計算A'!D$106=1,DC27,1)</f>
        <v/>
      </c>
      <c r="IR27">
        <f>IF('計算A'!E$106=1,DD27,1)</f>
        <v/>
      </c>
      <c r="IS27">
        <f>IF('計算A'!F$106=1,DE27,1)</f>
        <v/>
      </c>
      <c r="IT27">
        <f>IF('計算A'!G$106=1,DF27,1)</f>
        <v/>
      </c>
      <c r="IU27">
        <f>IF('計算A'!H$106=1,DG27,1)</f>
        <v/>
      </c>
      <c r="IV27">
        <f>IF('計算A'!I$106=1,DH27,1)</f>
        <v/>
      </c>
      <c r="IW27">
        <f>IF('計算A'!J$106=1,DI27,1)</f>
        <v/>
      </c>
      <c r="IX27">
        <f>IF('計算A'!K$106=1,DJ27,1)</f>
        <v/>
      </c>
      <c r="IY27">
        <f>IF('計算A'!L$106=1,DK27,1)</f>
        <v/>
      </c>
      <c r="IZ27">
        <f>IF('計算A'!M$106=1,DL27,1)</f>
        <v/>
      </c>
      <c r="JA27">
        <f>IF('計算A'!N$106=1,DM27,1)</f>
        <v/>
      </c>
      <c r="JB27">
        <f>IF('計算A'!O$106=1,DN27,1)</f>
        <v/>
      </c>
      <c r="JC27">
        <f>IF('計算A'!P$106=1,DO27,1)</f>
        <v/>
      </c>
      <c r="JD27">
        <f>IF('計算A'!Q$106=1,DP27,1)</f>
        <v/>
      </c>
      <c r="JE27">
        <f>IF('計算A'!R$106=1,DQ27,1)</f>
        <v/>
      </c>
      <c r="JF27">
        <f>IF('計算A'!S$106=1,DR27,1)</f>
        <v/>
      </c>
      <c r="JG27">
        <f>IF('計算A'!T$106=1,DS27,1)</f>
        <v/>
      </c>
      <c r="JH27">
        <f>IF('計算A'!U$106=1,DT27,1)</f>
        <v/>
      </c>
      <c r="JI27">
        <f>IF('計算A'!V$106=1,DU27,1)</f>
        <v/>
      </c>
      <c r="JJ27">
        <f>IF('計算A'!W$106=1,DV27,1)</f>
        <v/>
      </c>
      <c r="JK27">
        <f>IF('計算A'!X$106=1,DW27,1)</f>
        <v/>
      </c>
      <c r="JL27">
        <f>IF('計算A'!Y$106=1,DX27,1)</f>
        <v/>
      </c>
      <c r="JM27">
        <f>IF('計算A'!Z$106=1,DY27,1)</f>
        <v/>
      </c>
      <c r="JN27">
        <f>IF('計算A'!AA$106=1,DZ27,1)</f>
        <v/>
      </c>
      <c r="JO27">
        <f>IF('計算A'!AB$106=1,EA27,1)</f>
        <v/>
      </c>
      <c r="JP27">
        <f>IF('計算A'!AC$106=1,EB27,1)</f>
        <v/>
      </c>
      <c r="JQ27">
        <f>IF('計算A'!AD$106=1,EC27,1)</f>
        <v/>
      </c>
      <c r="JR27">
        <f>IF('計算A'!AE$106=1,ED27,1)</f>
        <v/>
      </c>
      <c r="JS27">
        <f>IF('計算A'!AF$106=1,EE27,1)</f>
        <v/>
      </c>
      <c r="JT27">
        <f>IF('計算A'!AG$106=1,EF27,1)</f>
        <v/>
      </c>
      <c r="JU27">
        <f>IF('計算A'!AH$106=1,EG27,1)</f>
        <v/>
      </c>
      <c r="JV27">
        <f>IF('計算A'!AI$106=1,EH27,1)</f>
        <v/>
      </c>
      <c r="JW27">
        <f>IF('計算A'!AJ$106=1,EI27,1)</f>
        <v/>
      </c>
      <c r="JX27">
        <f>IF('計算A'!AK$106=1,EJ27,1)</f>
        <v/>
      </c>
      <c r="JY27">
        <f>IF('計算A'!AL$106=1,EK27,1)</f>
        <v/>
      </c>
      <c r="JZ27">
        <f>IF('計算A'!AM$106=1,EL27,1)</f>
        <v/>
      </c>
      <c r="KA27">
        <f>IF('計算A'!AN$106=1,EM27,1)</f>
        <v/>
      </c>
      <c r="KB27">
        <f>IF('計算A'!AO$106=1,EN27,1)</f>
        <v/>
      </c>
      <c r="KC27">
        <f>IF('計算A'!AP$106=1,EO27,1)</f>
        <v/>
      </c>
      <c r="KD27">
        <f>IF('計算A'!AQ$106=1,EP27,1)</f>
        <v/>
      </c>
      <c r="KE27">
        <f>IF('計算A'!AR$106=1,EQ27,1)</f>
        <v/>
      </c>
      <c r="KF27">
        <f>IF('計算A'!AS$106=1,ER27,1)</f>
        <v/>
      </c>
      <c r="KG27">
        <f>IF('計算A'!AT$106=1,ES27,1)</f>
        <v/>
      </c>
      <c r="KH27">
        <f>IF('計算A'!AU$106=1,ET27,1)</f>
        <v/>
      </c>
      <c r="KI27">
        <f>IF('計算A'!AV$106=1,EU27,1)</f>
        <v/>
      </c>
      <c r="KJ27">
        <f>IF('計算A'!AW$106=1,EV27,1)</f>
        <v/>
      </c>
      <c r="KK27">
        <f>IF('計算A'!AX$106=1,EW27,1)</f>
        <v/>
      </c>
      <c r="KL27">
        <f>IF('計算A'!AY$106=1,EX27,1)</f>
        <v/>
      </c>
      <c r="KM27">
        <f>IF('計算A'!AZ$106=1,EY27,1)</f>
        <v/>
      </c>
      <c r="KN27">
        <f>IF('計算A'!BA$106=1,EZ27,1)</f>
        <v/>
      </c>
      <c r="KO27">
        <f>IF('計算A'!BB$106=1,FA27,1)</f>
        <v/>
      </c>
      <c r="KP27">
        <f>IF('計算A'!BC$106=1,FB27,1)</f>
        <v/>
      </c>
      <c r="KQ27">
        <f>IF('計算A'!BD$106=1,FC27,1)</f>
        <v/>
      </c>
      <c r="KR27">
        <f>IF('計算A'!BE$106=1,FD27,1)</f>
        <v/>
      </c>
      <c r="KS27">
        <f>IF('計算A'!BF$106=1,FE27,1)</f>
        <v/>
      </c>
      <c r="KT27">
        <f>IF('計算A'!BG$106=1,FF27,1)</f>
        <v/>
      </c>
      <c r="KU27">
        <f>IF('計算A'!BH$106=1,FG27,1)</f>
        <v/>
      </c>
      <c r="KV27">
        <f>IF('計算A'!BI$106=1,FH27,1)</f>
        <v/>
      </c>
      <c r="KW27">
        <f>IF('計算A'!BJ$106=1,FI27,1)</f>
        <v/>
      </c>
      <c r="KX27">
        <f>IF('計算A'!BK$106=1,FJ27,1)</f>
        <v/>
      </c>
      <c r="KY27">
        <f>IF('計算A'!BL$106=1,FK27,1)</f>
        <v/>
      </c>
      <c r="KZ27">
        <f>IF('計算A'!BM$106=1,FL27,1)</f>
        <v/>
      </c>
      <c r="LA27">
        <f>IF('計算A'!BN$106=1,FM27,1)</f>
        <v/>
      </c>
      <c r="LB27">
        <f>IF('計算A'!BO$106=1,FN27,1)</f>
        <v/>
      </c>
      <c r="LC27">
        <f>IF('計算A'!BP$106=1,FO27,1)</f>
        <v/>
      </c>
      <c r="LD27">
        <f>IF('計算A'!BQ$106=1,FP27,1)</f>
        <v/>
      </c>
      <c r="LE27">
        <f>IF('計算A'!BR$106=1,FQ27,1)</f>
        <v/>
      </c>
      <c r="LF27">
        <f>IF('計算A'!BS$106=1,FR27,1)</f>
        <v/>
      </c>
      <c r="LG27">
        <f>IF('計算A'!BT$106=1,FS27,1)</f>
        <v/>
      </c>
      <c r="LH27">
        <f>IF('計算A'!BU$106=1,FT27,1)</f>
        <v/>
      </c>
      <c r="LI27">
        <f>IF('計算A'!BV$106=1,FU27,1)</f>
        <v/>
      </c>
      <c r="LJ27">
        <f>IF('計算A'!BW$106=1,FV27,1)</f>
        <v/>
      </c>
      <c r="LK27">
        <f>IF('計算A'!BX$106=1,FW27,1)</f>
        <v/>
      </c>
      <c r="LL27">
        <f>IF('計算A'!BY$106=1,FX27,1)</f>
        <v/>
      </c>
      <c r="LM27">
        <f>IF('計算A'!BZ$106=1,FY27,1)</f>
        <v/>
      </c>
      <c r="LN27">
        <f>IF('計算A'!CA$106=1,FZ27,1)</f>
        <v/>
      </c>
      <c r="LO27">
        <f>IF('計算A'!CB$106=1,GA27,1)</f>
        <v/>
      </c>
      <c r="LP27">
        <f>IF('計算A'!CC$106=1,GB27,1)</f>
        <v/>
      </c>
      <c r="LQ27">
        <f>IF('計算A'!CD$106=1,GC27,1)</f>
        <v/>
      </c>
      <c r="LR27">
        <f>IF('計算A'!CE$106=1,GD27,1)</f>
        <v/>
      </c>
      <c r="LS27">
        <f>IF('計算A'!CF$106=1,GE27,1)</f>
        <v/>
      </c>
      <c r="LT27">
        <f>IF('計算A'!CG$106=1,GF27,1)</f>
        <v/>
      </c>
      <c r="LU27">
        <f>IF('計算A'!CH$106=1,GG27,1)</f>
        <v/>
      </c>
      <c r="LV27">
        <f>IF('計算A'!CI$106=1,GH27,1)</f>
        <v/>
      </c>
      <c r="LW27">
        <f>IF('計算A'!CJ$106=1,GI27,1)</f>
        <v/>
      </c>
      <c r="LX27">
        <f>IF('計算A'!CK$106=1,GJ27,1)</f>
        <v/>
      </c>
      <c r="LY27">
        <f>IF('計算A'!CL$106=1,GK27,1)</f>
        <v/>
      </c>
      <c r="LZ27">
        <f>IF('計算A'!CM$106=1,GL27,1)</f>
        <v/>
      </c>
      <c r="MA27">
        <f>IF('計算A'!CN$106=1,GM27,1)</f>
        <v/>
      </c>
      <c r="MB27">
        <f>IF('計算A'!CO$106=1,GN27,1)</f>
        <v/>
      </c>
      <c r="MC27">
        <f>IF('計算A'!CP$106=1,GO27,1)</f>
        <v/>
      </c>
      <c r="MD27">
        <f>IF('計算A'!CQ$106=1,GP27,1)</f>
        <v/>
      </c>
      <c r="ME27">
        <f>IF('計算A'!CR$106=1,GQ27,1)</f>
        <v/>
      </c>
      <c r="MF27">
        <f>IF('計算A'!CS$106=1,GR27,1)</f>
        <v/>
      </c>
      <c r="MG27">
        <f>IF('計算A'!CT$106=1,GS27,1)</f>
        <v/>
      </c>
      <c r="MH27">
        <f>IF('計算A'!CU$106=1,GT27,1)</f>
        <v/>
      </c>
      <c r="MI27">
        <f>IF('計算A'!CV$106=1,GU27,1)</f>
        <v/>
      </c>
      <c r="MJ27">
        <f>IF('計算A'!CW$106=1,GV27,1)</f>
        <v/>
      </c>
      <c r="MK27">
        <f>IF('計算A'!CX$106=1,GW27,1)</f>
        <v/>
      </c>
      <c r="ML27">
        <f>IF('計算A'!CY$106=1,GX27,1)</f>
        <v/>
      </c>
      <c r="MM27">
        <f>IF('計算A'!CZ$106=1,GY27,1)</f>
        <v/>
      </c>
      <c r="MN27">
        <f>IF('計算A'!DA$106=1,GZ27,1)</f>
        <v/>
      </c>
      <c r="MO27">
        <f>IF('計算A'!DB$106=1,HA27,1)</f>
        <v/>
      </c>
      <c r="MP27">
        <f>IF('計算A'!DC$106=1,HB27,1)</f>
        <v/>
      </c>
      <c r="MQ27">
        <f>IF('計算A'!DD$106=1,HC27,1)</f>
        <v/>
      </c>
      <c r="MR27">
        <f>IF('計算A'!DE$106=1,HD27,1)</f>
        <v/>
      </c>
      <c r="MS27">
        <f>IF('計算A'!DF$106=1,HE27,1)</f>
        <v/>
      </c>
      <c r="MT27">
        <f>IF('計算A'!DG$106=1,HF27,1)</f>
        <v/>
      </c>
      <c r="MU27">
        <f>IF('計算A'!DH$106=1,HG27,1)</f>
        <v/>
      </c>
      <c r="MV27">
        <f>IF('計算A'!DI$106=1,HH27,1)</f>
        <v/>
      </c>
      <c r="MW27">
        <f>IF('計算A'!DJ$106=1,HI27,1)</f>
        <v/>
      </c>
      <c r="MX27">
        <f>IF('計算A'!DK$106=1,HJ27,1)</f>
        <v/>
      </c>
      <c r="MY27">
        <f>IF('計算A'!DL$106=1,HK27,1)</f>
        <v/>
      </c>
      <c r="MZ27">
        <f>IF('計算A'!DM$106=1,HL27,1)</f>
        <v/>
      </c>
      <c r="NA27">
        <f>IF('計算A'!DN$106=1,HM27,1)</f>
        <v/>
      </c>
      <c r="NB27">
        <f>IF('計算A'!DO$106=1,HN27,1)</f>
        <v/>
      </c>
      <c r="NC27">
        <f>IF('計算A'!DP$106=1,HO27,1)</f>
        <v/>
      </c>
      <c r="ND27">
        <f>IF('計算A'!DQ$106=1,HP27,1)</f>
        <v/>
      </c>
      <c r="NE27">
        <f>IF('計算A'!DR$106=1,HQ27,1)</f>
        <v/>
      </c>
      <c r="NF27">
        <f>IF('計算A'!DS$106=1,HR27,1)</f>
        <v/>
      </c>
      <c r="NG27">
        <f>IF('計算A'!DT$106=1,HS27,1)</f>
        <v/>
      </c>
      <c r="NH27">
        <f>IF('計算A'!DU$106=1,HT27,1)</f>
        <v/>
      </c>
      <c r="NI27">
        <f>IF('計算A'!DV$106=1,HU27,1)</f>
        <v/>
      </c>
      <c r="NJ27">
        <f>IF('計算A'!DW$106=1,HV27,1)</f>
        <v/>
      </c>
      <c r="NK27">
        <f>IF('計算A'!DX$106=1,HW27,1)</f>
        <v/>
      </c>
      <c r="NL27">
        <f>IF('計算A'!DY$106=1,HX27,1)</f>
        <v/>
      </c>
      <c r="NM27">
        <f>IF('計算A'!DZ$106=1,HY27,1)</f>
        <v/>
      </c>
      <c r="NN27">
        <f>IF('計算A'!EA$106=1,HZ27,1)</f>
        <v/>
      </c>
      <c r="NO27">
        <f>IF('計算A'!EB$106=1,IA27,1)</f>
        <v/>
      </c>
      <c r="NP27">
        <f>IF('計算A'!EC$106=1,IB27,1)</f>
        <v/>
      </c>
      <c r="NQ27">
        <f>IF('計算A'!ED$106=1,IC27,1)</f>
        <v/>
      </c>
      <c r="NR27">
        <f>IF('計算A'!EE$106=1,ID27,1)</f>
        <v/>
      </c>
      <c r="NS27">
        <f>IF('計算A'!EF$106=1,IE27,1)</f>
        <v/>
      </c>
      <c r="NT27">
        <f>IF('計算A'!EG$106=1,IF27,1)</f>
        <v/>
      </c>
      <c r="NU27">
        <f>IF('計算A'!EH$106=1,IG27,1)</f>
        <v/>
      </c>
      <c r="NV27">
        <f>IF('計算A'!EI$106=1,IH27,1)</f>
        <v/>
      </c>
      <c r="NW27">
        <f>IF('計算A'!EJ$106=1,II27,1)</f>
        <v/>
      </c>
      <c r="NX27">
        <f>IF('計算A'!EK$106=1,IJ27,1)</f>
        <v/>
      </c>
      <c r="NY27">
        <f>IF('計算A'!EL$106=1,IK27,1)</f>
        <v/>
      </c>
      <c r="NZ27">
        <f>IF('計算A'!EM$106=1,IL27,1)</f>
        <v/>
      </c>
      <c r="OA27">
        <f>IF('計算A'!EN$106=1,IM27,1)</f>
        <v/>
      </c>
      <c r="OB27">
        <f>IF('計算A'!EO$106=1,IN27,1)</f>
        <v/>
      </c>
      <c r="OC27">
        <f>IF('計算A'!EP$106=1,IO27,1)</f>
        <v/>
      </c>
      <c r="OD27" t="n">
        <v>1</v>
      </c>
      <c r="OF27">
        <f>IF($B27=0,1000000,IF(INDEX('計算A'!$D$60:$EQ$104,$B27,1)*DB27=1,IF(AND($E27=2,IQ27=0),1000000,IF($I27&gt;0,IF(1=$J27,IF(OR(AND(1=$I27+1,OR($K27&lt;&gt;'計算A'!$A$3,'計算A'!$A$4=0)),AND(1=$I27-1,OR(1&lt;&gt;'計算A'!$A$3,'計算A'!$A$4=0))),0,IF(1=$K27,200000,ABS(1-$K27)*100)),100000+ABS(1-$J27)*1000+10)+'計算A'!D$5*50+IF(AND($E27=1,IQ27=0),25,0),INDEX('計算A'!D$110:D$114,$F27+1)+IF(AND($E27=1,IQ27=0),1000,0)+IF($H27=1,(IF('計算A'!D$117=1,INDEX('計算A'!E$10:E$54,$B27),0))*500,0)-IF(AND($L27=1,'計算A'!D$117=1,DC27=0),300,0))),1000000))</f>
        <v/>
      </c>
      <c r="OG27">
        <f>IF($B27=0,1000000,IF(INDEX('計算A'!$D$60:$EQ$104,$B27,2)*DC27=1,IF(AND($E27=2,IR27=0),1000000,IF($I27&gt;0,IF(1=$J27,IF(OR(AND(2=$I27+1,OR($K27&lt;&gt;'計算A'!$A$3,'計算A'!$A$4=0)),AND(2=$I27-1,OR(2&lt;&gt;'計算A'!$A$3,'計算A'!$A$4=0))),0,IF(2=$K27,200000,ABS(2-$K27)*100)),100000+ABS(1-$J27)*1000+20)+'計算A'!E$5*50+IF(AND($E27=1,IR27=0),25,0),INDEX('計算A'!E$110:E$114,$F27+1)+IF(AND($E27=1,IR27=0),1000,0)+IF($H27=1,(IF('計算A'!D$117=1,INDEX('計算A'!D$10:D$54,$B27),0)+IF('計算A'!E$117=1,INDEX('計算A'!F$10:F$54,$B27),0))*500,0)-IF(AND('計算A'!D$117=1,UB27&gt;0),300,0)-IF(AND($L27=1,'計算A'!E$117=1,DD27=0),300,0))),1000000))</f>
        <v/>
      </c>
      <c r="OH27">
        <f>IF($B27=0,1000000,IF(INDEX('計算A'!$D$60:$EQ$104,$B27,3)*DD27=1,IF(AND($E27=2,IS27=0),1000000,IF($I27&gt;0,IF(1=$J27,IF(OR(AND(3=$I27+1,OR($K27&lt;&gt;'計算A'!$A$3,'計算A'!$A$4=0)),AND(3=$I27-1,OR(3&lt;&gt;'計算A'!$A$3,'計算A'!$A$4=0))),0,IF(3=$K27,200000,ABS(3-$K27)*100)),100000+ABS(1-$J27)*1000+30)+'計算A'!F$5*50+IF(AND($E27=1,IS27=0),25,0),INDEX('計算A'!F$110:F$114,$F27+1)+IF(AND($E27=1,IS27=0),1000,0)+IF($H27=1,(IF('計算A'!E$117=1,INDEX('計算A'!E$10:E$54,$B27),0)+IF('計算A'!F$117=1,INDEX('計算A'!G$10:G$54,$B27),0))*500,0)-IF(AND('計算A'!E$117=1,UC27&gt;0),300,0)-IF(AND($L27=1,'計算A'!F$117=1,DE27=0),300,0))),1000000))</f>
        <v/>
      </c>
      <c r="OI27">
        <f>IF($B27=0,1000000,IF(INDEX('計算A'!$D$60:$EQ$104,$B27,4)*DE27=1,IF(AND($E27=2,IT27=0),1000000,IF($I27&gt;0,IF(1=$J27,IF(OR(AND(4=$I27+1,OR($K27&lt;&gt;'計算A'!$A$3,'計算A'!$A$4=0)),AND(4=$I27-1,OR(4&lt;&gt;'計算A'!$A$3,'計算A'!$A$4=0))),0,IF(4=$K27,200000,ABS(4-$K27)*100)),100000+ABS(1-$J27)*1000+40)+'計算A'!G$5*50+IF(AND($E27=1,IT27=0),25,0),INDEX('計算A'!G$110:G$114,$F27+1)+IF(AND($E27=1,IT27=0),1000,0)+IF($H27=1,(IF('計算A'!F$117=1,INDEX('計算A'!F$10:F$54,$B27),0)+IF('計算A'!G$117=1,INDEX('計算A'!H$10:H$54,$B27),0))*500,0)-IF(AND('計算A'!F$117=1,UD27&gt;0),300,0)-IF(AND($L27=1,'計算A'!G$117=1,DF27=0),300,0))),1000000))</f>
        <v/>
      </c>
      <c r="OJ27">
        <f>IF($B27=0,1000000,IF(INDEX('計算A'!$D$60:$EQ$104,$B27,5)*DF27=1,IF(AND($E27=2,IU27=0),1000000,IF($I27&gt;0,IF(1=$J27,IF(OR(AND(5=$I27+1,OR($K27&lt;&gt;'計算A'!$A$3,'計算A'!$A$4=0)),AND(5=$I27-1,OR(5&lt;&gt;'計算A'!$A$3,'計算A'!$A$4=0))),0,IF(5=$K27,200000,ABS(5-$K27)*100)),100000+ABS(1-$J27)*1000+50)+'計算A'!H$5*50+IF(AND($E27=1,IU27=0),25,0),INDEX('計算A'!H$110:H$114,$F27+1)+IF(AND($E27=1,IU27=0),1000,0)+IF($H27=1,(IF('計算A'!G$117=1,INDEX('計算A'!G$10:G$54,$B27),0)+IF('計算A'!H$117=1,INDEX('計算A'!I$10:I$54,$B27),0))*500,0)-IF(AND('計算A'!G$117=1,UE27&gt;0),300,0)-IF(AND($L27=1,'計算A'!H$117=1,DG27=0),300,0))),1000000))</f>
        <v/>
      </c>
      <c r="OK27">
        <f>IF($B27=0,1000000,IF(INDEX('計算A'!$D$60:$EQ$104,$B27,6)*DG27=1,IF(AND($E27=2,IV27=0),1000000,IF($I27&gt;0,IF(1=$J27,IF(OR(AND(6=$I27+1,OR($K27&lt;&gt;'計算A'!$A$3,'計算A'!$A$4=0)),AND(6=$I27-1,OR(6&lt;&gt;'計算A'!$A$3,'計算A'!$A$4=0))),0,IF(6=$K27,200000,ABS(6-$K27)*100)),100000+ABS(1-$J27)*1000+60)+'計算A'!I$5*50+IF(AND($E27=1,IV27=0),25,0),INDEX('計算A'!I$110:I$114,$F27+1)+IF(AND($E27=1,IV27=0),1000,0)+IF($H27=1,(IF('計算A'!H$117=1,INDEX('計算A'!H$10:H$54,$B27),0)+IF('計算A'!I$117=1,INDEX('計算A'!J$10:J$54,$B27),0))*500,0)-IF(AND('計算A'!H$117=1,UF27&gt;0),300,0)-IF(AND($L27=1,'計算A'!I$117=1,DH27=0),300,0))),1000000))</f>
        <v/>
      </c>
      <c r="OL27">
        <f>IF($B27=0,1000000,IF(INDEX('計算A'!$D$60:$EQ$104,$B27,7)*DH27=1,IF(AND($E27=2,IW27=0),1000000,IF($I27&gt;0,IF(1=$J27,IF(OR(AND(7=$I27+1,OR($K27&lt;&gt;'計算A'!$A$3,'計算A'!$A$4=0)),AND(7=$I27-1,OR(7&lt;&gt;'計算A'!$A$3,'計算A'!$A$4=0))),0,IF(7=$K27,200000,ABS(7-$K27)*100)),100000+ABS(1-$J27)*1000+70)+'計算A'!J$5*50+IF(AND($E27=1,IW27=0),25,0),INDEX('計算A'!J$110:J$114,$F27+1)+IF(AND($E27=1,IW27=0),1000,0)+IF($H27=1,(IF('計算A'!I$117=1,INDEX('計算A'!I$10:I$54,$B27),0)+IF('計算A'!J$117=1,INDEX('計算A'!K$10:K$54,$B27),0))*500,0)-IF(AND('計算A'!I$117=1,UG27&gt;0),300,0)-IF(AND($L27=1,'計算A'!J$117=1,DI27=0),300,0))),1000000))</f>
        <v/>
      </c>
      <c r="OM27">
        <f>IF($B27=0,1000000,IF(INDEX('計算A'!$D$60:$EQ$104,$B27,8)*DI27=1,IF(AND($E27=2,IX27=0),1000000,IF($I27&gt;0,IF(1=$J27,IF(OR(AND(8=$I27+1,OR($K27&lt;&gt;'計算A'!$A$3,'計算A'!$A$4=0)),AND(8=$I27-1,OR(8&lt;&gt;'計算A'!$A$3,'計算A'!$A$4=0))),0,IF(8=$K27,200000,ABS(8-$K27)*100)),100000+ABS(1-$J27)*1000+80)+'計算A'!K$5*50+IF(AND($E27=1,IX27=0),25,0),INDEX('計算A'!K$110:K$114,$F27+1)+IF(AND($E27=1,IX27=0),1000,0)+IF($H27=1,(IF('計算A'!J$117=1,INDEX('計算A'!J$10:J$54,$B27),0)+IF('計算A'!K$117=1,INDEX('計算A'!L$10:L$54,$B27),0))*500,0)-IF(AND('計算A'!J$117=1,UH27&gt;0),300,0)-IF(AND($L27=1,'計算A'!K$117=1,DJ27=0),300,0))),1000000))</f>
        <v/>
      </c>
      <c r="ON27">
        <f>IF($B27=0,1000000,IF(INDEX('計算A'!$D$60:$EQ$104,$B27,9)*DJ27=1,IF(AND($E27=2,IY27=0),1000000,IF($I27&gt;0,IF(1=$J27,IF(OR(AND(9=$I27+1,OR($K27&lt;&gt;'計算A'!$A$3,'計算A'!$A$4=0)),AND(9=$I27-1,OR(9&lt;&gt;'計算A'!$A$3,'計算A'!$A$4=0))),0,IF(9=$K27,200000,ABS(9-$K27)*100)),100000+ABS(1-$J27)*1000+90)+'計算A'!L$5*50+IF(AND($E27=1,IY27=0),25,0),INDEX('計算A'!L$110:L$114,$F27+1)+IF(AND($E27=1,IY27=0),1000,0)+IF($H27=1,(IF('計算A'!K$117=1,INDEX('計算A'!K$10:K$54,$B27),0)+IF('計算A'!L$117=1,INDEX('計算A'!M$10:M$54,$B27),0))*500,0)-IF(AND('計算A'!K$117=1,UI27&gt;0),300,0)-IF(AND($L27=1,'計算A'!L$117=1,DK27=0),300,0))),1000000))</f>
        <v/>
      </c>
      <c r="OO27">
        <f>IF($B27=0,1000000,IF(INDEX('計算A'!$D$60:$EQ$104,$B27,10)*DK27=1,IF(AND($E27=2,IZ27=0),1000000,IF($I27&gt;0,IF(1=$J27,IF(OR(AND(10=$I27+1,OR($K27&lt;&gt;'計算A'!$A$3,'計算A'!$A$4=0)),AND(10=$I27-1,OR(10&lt;&gt;'計算A'!$A$3,'計算A'!$A$4=0))),0,IF(10=$K27,200000,ABS(10-$K27)*100)),100000+ABS(1-$J27)*1000+100)+'計算A'!M$5*50+IF(AND($E27=1,IZ27=0),25,0),INDEX('計算A'!M$110:M$114,$F27+1)+IF(AND($E27=1,IZ27=0),1000,0)+IF($H27=1,(IF('計算A'!L$117=1,INDEX('計算A'!L$10:L$54,$B27),0)+IF('計算A'!M$117=1,INDEX('計算A'!N$10:N$54,$B27),0))*500,0)-IF(AND('計算A'!L$117=1,UJ27&gt;0),300,0)-IF(AND($L27=1,'計算A'!M$117=1,DL27=0),300,0))),1000000))</f>
        <v/>
      </c>
      <c r="OP27">
        <f>IF($B27=0,1000000,IF(INDEX('計算A'!$D$60:$EQ$104,$B27,11)*DL27=1,IF(AND($E27=2,JA27=0),1000000,IF($I27&gt;0,IF(1=$J27,IF(OR(AND(11=$I27+1,OR($K27&lt;&gt;'計算A'!$A$3,'計算A'!$A$4=0)),AND(11=$I27-1,OR(11&lt;&gt;'計算A'!$A$3,'計算A'!$A$4=0))),0,IF(11=$K27,200000,ABS(11-$K27)*100)),100000+ABS(1-$J27)*1000+110)+'計算A'!N$5*50+IF(AND($E27=1,JA27=0),25,0),INDEX('計算A'!N$110:N$114,$F27+1)+IF(AND($E27=1,JA27=0),1000,0)+IF($H27=1,(IF('計算A'!M$117=1,INDEX('計算A'!M$10:M$54,$B27),0)+IF('計算A'!N$117=1,INDEX('計算A'!O$10:O$54,$B27),0))*500,0)-IF(AND('計算A'!M$117=1,UK27&gt;0),300,0)-IF(AND($L27=1,'計算A'!N$117=1,DM27=0),300,0))),1000000))</f>
        <v/>
      </c>
      <c r="OQ27">
        <f>IF($B27=0,1000000,IF(INDEX('計算A'!$D$60:$EQ$104,$B27,12)*DM27=1,IF(AND($E27=2,JB27=0),1000000,IF($I27&gt;0,IF(1=$J27,IF(OR(AND(12=$I27+1,OR($K27&lt;&gt;'計算A'!$A$3,'計算A'!$A$4=0)),AND(12=$I27-1,OR(12&lt;&gt;'計算A'!$A$3,'計算A'!$A$4=0))),0,IF(12=$K27,200000,ABS(12-$K27)*100)),100000+ABS(1-$J27)*1000+120)+'計算A'!O$5*50+IF(AND($E27=1,JB27=0),25,0),INDEX('計算A'!O$110:O$114,$F27+1)+IF(AND($E27=1,JB27=0),1000,0)+IF($H27=1,(IF('計算A'!N$117=1,INDEX('計算A'!N$10:N$54,$B27),0)+IF('計算A'!O$117=1,INDEX('計算A'!P$10:P$54,$B27),0))*500,0)-IF(AND('計算A'!N$117=1,UL27&gt;0),300,0)-IF(AND($L27=1,'計算A'!O$117=1,DN27=0),300,0))),1000000))</f>
        <v/>
      </c>
      <c r="OR27">
        <f>IF($B27=0,1000000,IF(INDEX('計算A'!$D$60:$EQ$104,$B27,13)*DN27=1,IF(AND($E27=2,JC27=0),1000000,IF($I27&gt;0,IF(1=$J27,IF(OR(AND(13=$I27+1,OR($K27&lt;&gt;'計算A'!$A$3,'計算A'!$A$4=0)),AND(13=$I27-1,OR(13&lt;&gt;'計算A'!$A$3,'計算A'!$A$4=0))),0,IF(13=$K27,200000,ABS(13-$K27)*100)),100000+ABS(1-$J27)*1000+130)+'計算A'!P$5*50+IF(AND($E27=1,JC27=0),25,0),INDEX('計算A'!P$110:P$114,$F27+1)+IF(AND($E27=1,JC27=0),1000,0)+IF($H27=1,(IF('計算A'!O$117=1,INDEX('計算A'!O$10:O$54,$B27),0)+IF('計算A'!P$117=1,INDEX('計算A'!Q$10:Q$54,$B27),0))*500,0)-IF(AND('計算A'!O$117=1,UM27&gt;0),300,0)-IF(AND($L27=1,'計算A'!P$117=1,DO27=0),300,0))),1000000))</f>
        <v/>
      </c>
      <c r="OS27">
        <f>IF($B27=0,1000000,IF(INDEX('計算A'!$D$60:$EQ$104,$B27,14)*DO27=1,IF(AND($E27=2,JD27=0),1000000,IF($I27&gt;0,IF(1=$J27,IF(OR(AND(14=$I27+1,OR($K27&lt;&gt;'計算A'!$A$3,'計算A'!$A$4=0)),AND(14=$I27-1,OR(14&lt;&gt;'計算A'!$A$3,'計算A'!$A$4=0))),0,IF(14=$K27,200000,ABS(14-$K27)*100)),100000+ABS(1-$J27)*1000+140)+'計算A'!Q$5*50+IF(AND($E27=1,JD27=0),25,0),INDEX('計算A'!Q$110:Q$114,$F27+1)+IF(AND($E27=1,JD27=0),1000,0)+IF($H27=1,(IF('計算A'!P$117=1,INDEX('計算A'!P$10:P$54,$B27),0)+IF('計算A'!Q$117=1,INDEX('計算A'!R$10:R$54,$B27),0))*500,0)-IF(AND('計算A'!P$117=1,UN27&gt;0),300,0)-IF(AND($L27=1,'計算A'!Q$117=1,DP27=0),300,0))),1000000))</f>
        <v/>
      </c>
      <c r="OT27">
        <f>IF($B27=0,1000000,IF(INDEX('計算A'!$D$60:$EQ$104,$B27,15)*DP27=1,IF(AND($E27=2,JE27=0),1000000,IF($I27&gt;0,IF(1=$J27,IF(OR(AND(15=$I27+1,OR($K27&lt;&gt;'計算A'!$A$3,'計算A'!$A$4=0)),AND(15=$I27-1,OR(15&lt;&gt;'計算A'!$A$3,'計算A'!$A$4=0))),0,IF(15=$K27,200000,ABS(15-$K27)*100)),100000+ABS(1-$J27)*1000+150)+'計算A'!R$5*50+IF(AND($E27=1,JE27=0),25,0),INDEX('計算A'!R$110:R$114,$F27+1)+IF(AND($E27=1,JE27=0),1000,0)+IF($H27=1,(IF('計算A'!Q$117=1,INDEX('計算A'!Q$10:Q$54,$B27),0)+IF('計算A'!R$117=1,INDEX('計算A'!S$10:S$54,$B27),0))*500,0)-IF(AND('計算A'!Q$117=1,UO27&gt;0),300,0)-IF(AND($L27=1,'計算A'!R$117=1,DQ27=0),300,0))),1000000))</f>
        <v/>
      </c>
      <c r="OU27">
        <f>IF($B27=0,1000000,IF(INDEX('計算A'!$D$60:$EQ$104,$B27,16)*DQ27=1,IF(AND($E27=2,JF27=0),1000000,IF($I27&gt;0,IF(1=$J27,IF(OR(AND(16=$I27+1,OR($K27&lt;&gt;'計算A'!$A$3,'計算A'!$A$4=0)),AND(16=$I27-1,OR(16&lt;&gt;'計算A'!$A$3,'計算A'!$A$4=0))),0,IF(16=$K27,200000,ABS(16-$K27)*100)),100000+ABS(1-$J27)*1000+160)+'計算A'!S$5*50+IF(AND($E27=1,JF27=0),25,0),INDEX('計算A'!S$110:S$114,$F27+1)+IF(AND($E27=1,JF27=0),1000,0)+IF($H27=1,(IF('計算A'!R$117=1,INDEX('計算A'!R$10:R$54,$B27),0)+IF('計算A'!S$117=1,INDEX('計算A'!T$10:T$54,$B27),0))*500,0)-IF(AND('計算A'!R$117=1,UP27&gt;0),300,0)-IF(AND($L27=1,'計算A'!S$117=1,DR27=0),300,0))),1000000))</f>
        <v/>
      </c>
      <c r="OV27">
        <f>IF($B27=0,1000000,IF(INDEX('計算A'!$D$60:$EQ$104,$B27,17)*DR27=1,IF(AND($E27=2,JG27=0),1000000,IF($I27&gt;0,IF(1=$J27,IF(OR(AND(17=$I27+1,OR($K27&lt;&gt;'計算A'!$A$3,'計算A'!$A$4=0)),AND(17=$I27-1,OR(17&lt;&gt;'計算A'!$A$3,'計算A'!$A$4=0))),0,IF(17=$K27,200000,ABS(17-$K27)*100)),100000+ABS(1-$J27)*1000+170)+'計算A'!T$5*50+IF(AND($E27=1,JG27=0),25,0),INDEX('計算A'!T$110:T$114,$F27+1)+IF(AND($E27=1,JG27=0),1000,0)+IF($H27=1,(IF('計算A'!S$117=1,INDEX('計算A'!S$10:S$54,$B27),0)+IF('計算A'!T$117=1,INDEX('計算A'!U$10:U$54,$B27),0))*500,0)-IF(AND('計算A'!S$117=1,UQ27&gt;0),300,0)-IF(AND($L27=1,'計算A'!T$117=1,DS27=0),300,0))),1000000))</f>
        <v/>
      </c>
      <c r="OW27">
        <f>IF($B27=0,1000000,IF(INDEX('計算A'!$D$60:$EQ$104,$B27,18)*DS27=1,IF(AND($E27=2,JH27=0),1000000,IF($I27&gt;0,IF(1=$J27,IF(OR(AND(18=$I27+1,OR($K27&lt;&gt;'計算A'!$A$3,'計算A'!$A$4=0)),AND(18=$I27-1,OR(18&lt;&gt;'計算A'!$A$3,'計算A'!$A$4=0))),0,IF(18=$K27,200000,ABS(18-$K27)*100)),100000+ABS(1-$J27)*1000+180)+'計算A'!U$5*50+IF(AND($E27=1,JH27=0),25,0),INDEX('計算A'!U$110:U$114,$F27+1)+IF(AND($E27=1,JH27=0),1000,0)+IF($H27=1,(IF('計算A'!T$117=1,INDEX('計算A'!T$10:T$54,$B27),0)+IF('計算A'!U$117=1,INDEX('計算A'!V$10:V$54,$B27),0))*500,0)-IF(AND('計算A'!T$117=1,UR27&gt;0),300,0)-IF(AND($L27=1,'計算A'!U$117=1,DT27=0),300,0))),1000000))</f>
        <v/>
      </c>
      <c r="OX27">
        <f>IF($B27=0,1000000,IF(INDEX('計算A'!$D$60:$EQ$104,$B27,19)*DT27=1,IF(AND($E27=2,JI27=0),1000000,IF($I27&gt;0,IF(1=$J27,IF(OR(AND(19=$I27+1,OR($K27&lt;&gt;'計算A'!$A$3,'計算A'!$A$4=0)),AND(19=$I27-1,OR(19&lt;&gt;'計算A'!$A$3,'計算A'!$A$4=0))),0,IF(19=$K27,200000,ABS(19-$K27)*100)),100000+ABS(1-$J27)*1000+190)+'計算A'!V$5*50+IF(AND($E27=1,JI27=0),25,0),INDEX('計算A'!V$110:V$114,$F27+1)+IF(AND($E27=1,JI27=0),1000,0)+IF($H27=1,(IF('計算A'!U$117=1,INDEX('計算A'!U$10:U$54,$B27),0)+IF('計算A'!V$117=1,INDEX('計算A'!W$10:W$54,$B27),0))*500,0)-IF(AND('計算A'!U$117=1,US27&gt;0),300,0)-IF(AND($L27=1,'計算A'!V$117=1,DU27=0),300,0))),1000000))</f>
        <v/>
      </c>
      <c r="OY27">
        <f>IF($B27=0,1000000,IF(INDEX('計算A'!$D$60:$EQ$104,$B27,20)*DU27=1,IF(AND($E27=2,JJ27=0),1000000,IF($I27&gt;0,IF(1=$J27,IF(OR(AND(20=$I27+1,OR($K27&lt;&gt;'計算A'!$A$3,'計算A'!$A$4=0)),AND(20=$I27-1,OR(20&lt;&gt;'計算A'!$A$3,'計算A'!$A$4=0))),0,IF(20=$K27,200000,ABS(20-$K27)*100)),100000+ABS(1-$J27)*1000+200)+'計算A'!W$5*50+IF(AND($E27=1,JJ27=0),25,0),INDEX('計算A'!W$110:W$114,$F27+1)+IF(AND($E27=1,JJ27=0),1000,0)+IF($H27=1,(IF('計算A'!V$117=1,INDEX('計算A'!V$10:V$54,$B27),0)+IF('計算A'!W$117=1,INDEX('計算A'!X$10:X$54,$B27),0))*500,0)-IF(AND('計算A'!V$117=1,UT27&gt;0),300,0)-IF(AND($L27=1,'計算A'!W$117=1,DV27=0),300,0))),1000000))</f>
        <v/>
      </c>
      <c r="OZ27">
        <f>IF($B27=0,1000000,IF(INDEX('計算A'!$D$60:$EQ$104,$B27,21)*DV27=1,IF(AND($E27=2,JK27=0),1000000,IF($I27&gt;0,IF(1=$J27,IF(OR(AND(21=$I27+1,OR($K27&lt;&gt;'計算A'!$A$3,'計算A'!$A$4=0)),AND(21=$I27-1,OR(21&lt;&gt;'計算A'!$A$3,'計算A'!$A$4=0))),0,IF(21=$K27,200000,ABS(21-$K27)*100)),100000+ABS(1-$J27)*1000+210)+'計算A'!X$5*50+IF(AND($E27=1,JK27=0),25,0),INDEX('計算A'!X$110:X$114,$F27+1)+IF(AND($E27=1,JK27=0),1000,0)+IF($H27=1,(IF('計算A'!W$117=1,INDEX('計算A'!W$10:W$54,$B27),0)+IF('計算A'!X$117=1,INDEX('計算A'!Y$10:Y$54,$B27),0))*500,0)-IF(AND('計算A'!W$117=1,UU27&gt;0),300,0)-IF(AND($L27=1,'計算A'!X$117=1,DW27=0),300,0))),1000000))</f>
        <v/>
      </c>
      <c r="PA27">
        <f>IF($B27=0,1000000,IF(INDEX('計算A'!$D$60:$EQ$104,$B27,22)*DW27=1,IF(AND($E27=2,JL27=0),1000000,IF($I27&gt;0,IF(1=$J27,IF(OR(AND(22=$I27+1,OR($K27&lt;&gt;'計算A'!$A$3,'計算A'!$A$4=0)),AND(22=$I27-1,OR(22&lt;&gt;'計算A'!$A$3,'計算A'!$A$4=0))),0,IF(22=$K27,200000,ABS(22-$K27)*100)),100000+ABS(1-$J27)*1000+220)+'計算A'!Y$5*50+IF(AND($E27=1,JL27=0),25,0),INDEX('計算A'!Y$110:Y$114,$F27+1)+IF(AND($E27=1,JL27=0),1000,0)+IF($H27=1,(IF('計算A'!X$117=1,INDEX('計算A'!X$10:X$54,$B27),0)+IF('計算A'!Y$117=1,INDEX('計算A'!Z$10:Z$54,$B27),0))*500,0)-IF(AND('計算A'!X$117=1,UV27&gt;0),300,0)-IF(AND($L27=1,'計算A'!Y$117=1,DX27=0),300,0))),1000000))</f>
        <v/>
      </c>
      <c r="PB27">
        <f>IF($B27=0,1000000,IF(INDEX('計算A'!$D$60:$EQ$104,$B27,23)*DX27=1,IF(AND($E27=2,JM27=0),1000000,IF($I27&gt;0,IF(1=$J27,IF(OR(AND(23=$I27+1,OR($K27&lt;&gt;'計算A'!$A$3,'計算A'!$A$4=0)),AND(23=$I27-1,OR(23&lt;&gt;'計算A'!$A$3,'計算A'!$A$4=0))),0,IF(23=$K27,200000,ABS(23-$K27)*100)),100000+ABS(1-$J27)*1000+230)+'計算A'!Z$5*50+IF(AND($E27=1,JM27=0),25,0),INDEX('計算A'!Z$110:Z$114,$F27+1)+IF(AND($E27=1,JM27=0),1000,0)+IF($H27=1,(IF('計算A'!Y$117=1,INDEX('計算A'!Y$10:Y$54,$B27),0)+IF('計算A'!Z$117=1,INDEX('計算A'!AA$10:AA$54,$B27),0))*500,0)-IF(AND('計算A'!Y$117=1,UW27&gt;0),300,0)-IF(AND($L27=1,'計算A'!Z$117=1,DY27=0),300,0))),1000000))</f>
        <v/>
      </c>
      <c r="PC27">
        <f>IF($B27=0,1000000,IF(INDEX('計算A'!$D$60:$EQ$104,$B27,24)*DY27=1,IF(AND($E27=2,JN27=0),1000000,IF($I27&gt;0,IF(1=$J27,IF(OR(AND(24=$I27+1,OR($K27&lt;&gt;'計算A'!$A$3,'計算A'!$A$4=0)),AND(24=$I27-1,OR(24&lt;&gt;'計算A'!$A$3,'計算A'!$A$4=0))),0,IF(24=$K27,200000,ABS(24-$K27)*100)),100000+ABS(1-$J27)*1000+240)+'計算A'!AA$5*50+IF(AND($E27=1,JN27=0),25,0),INDEX('計算A'!AA$110:AA$114,$F27+1)+IF(AND($E27=1,JN27=0),1000,0)+IF($H27=1,(IF('計算A'!Z$117=1,INDEX('計算A'!Z$10:Z$54,$B27),0))*500,0)-IF(AND('計算A'!Z$117=1,UX27&gt;0),300,0))),1000000))</f>
        <v/>
      </c>
      <c r="PD27">
        <f>IF($B27=0,1000000,IF(INDEX('計算A'!$D$60:$EQ$104,$B27,25)*DZ27=1,IF(AND($E27=2,JO27=0),1000000,IF($I27&gt;0,IF(2=$J27,IF(OR(AND(25=$I27+1,OR($K27&lt;&gt;'計算A'!$A$3,'計算A'!$A$4=0)),AND(25=$I27-1,OR(1&lt;&gt;'計算A'!$A$3,'計算A'!$A$4=0))),0,IF(1=$K27,200000,ABS(1-$K27)*100)),100000+ABS(2-$J27)*1000+10)+'計算A'!AB$5*50+IF(AND($E27=1,JO27=0),25,0),INDEX('計算A'!AB$110:AB$114,$F27+1)+IF(AND($E27=1,JO27=0),1000,0)+IF($H27=1,(IF('計算A'!AB$117=1,INDEX('計算A'!AC$10:AC$54,$B27),0))*500,0)-IF(AND($L27=1,'計算A'!AB$117=1,EA27=0),300,0))),1000000))</f>
        <v/>
      </c>
      <c r="PE27">
        <f>IF($B27=0,1000000,IF(INDEX('計算A'!$D$60:$EQ$104,$B27,26)*EA27=1,IF(AND($E27=2,JP27=0),1000000,IF($I27&gt;0,IF(2=$J27,IF(OR(AND(26=$I27+1,OR($K27&lt;&gt;'計算A'!$A$3,'計算A'!$A$4=0)),AND(26=$I27-1,OR(2&lt;&gt;'計算A'!$A$3,'計算A'!$A$4=0))),0,IF(2=$K27,200000,ABS(2-$K27)*100)),100000+ABS(2-$J27)*1000+20)+'計算A'!AC$5*50+IF(AND($E27=1,JP27=0),25,0),INDEX('計算A'!AC$110:AC$114,$F27+1)+IF(AND($E27=1,JP27=0),1000,0)+IF($H27=1,(IF('計算A'!AB$117=1,INDEX('計算A'!AB$10:AB$54,$B27),0)+IF('計算A'!AC$117=1,INDEX('計算A'!AD$10:AD$54,$B27),0))*500,0)-IF(AND('計算A'!AB$117=1,UZ27&gt;0),300,0)-IF(AND($L27=1,'計算A'!AC$117=1,EB27=0),300,0))),1000000))</f>
        <v/>
      </c>
      <c r="PF27">
        <f>IF($B27=0,1000000,IF(INDEX('計算A'!$D$60:$EQ$104,$B27,27)*EB27=1,IF(AND($E27=2,JQ27=0),1000000,IF($I27&gt;0,IF(2=$J27,IF(OR(AND(27=$I27+1,OR($K27&lt;&gt;'計算A'!$A$3,'計算A'!$A$4=0)),AND(27=$I27-1,OR(3&lt;&gt;'計算A'!$A$3,'計算A'!$A$4=0))),0,IF(3=$K27,200000,ABS(3-$K27)*100)),100000+ABS(2-$J27)*1000+30)+'計算A'!AD$5*50+IF(AND($E27=1,JQ27=0),25,0),INDEX('計算A'!AD$110:AD$114,$F27+1)+IF(AND($E27=1,JQ27=0),1000,0)+IF($H27=1,(IF('計算A'!AC$117=1,INDEX('計算A'!AC$10:AC$54,$B27),0)+IF('計算A'!AD$117=1,INDEX('計算A'!AE$10:AE$54,$B27),0))*500,0)-IF(AND('計算A'!AC$117=1,VA27&gt;0),300,0)-IF(AND($L27=1,'計算A'!AD$117=1,EC27=0),300,0))),1000000))</f>
        <v/>
      </c>
      <c r="PG27">
        <f>IF($B27=0,1000000,IF(INDEX('計算A'!$D$60:$EQ$104,$B27,28)*EC27=1,IF(AND($E27=2,JR27=0),1000000,IF($I27&gt;0,IF(2=$J27,IF(OR(AND(28=$I27+1,OR($K27&lt;&gt;'計算A'!$A$3,'計算A'!$A$4=0)),AND(28=$I27-1,OR(4&lt;&gt;'計算A'!$A$3,'計算A'!$A$4=0))),0,IF(4=$K27,200000,ABS(4-$K27)*100)),100000+ABS(2-$J27)*1000+40)+'計算A'!AE$5*50+IF(AND($E27=1,JR27=0),25,0),INDEX('計算A'!AE$110:AE$114,$F27+1)+IF(AND($E27=1,JR27=0),1000,0)+IF($H27=1,(IF('計算A'!AD$117=1,INDEX('計算A'!AD$10:AD$54,$B27),0)+IF('計算A'!AE$117=1,INDEX('計算A'!AF$10:AF$54,$B27),0))*500,0)-IF(AND('計算A'!AD$117=1,VB27&gt;0),300,0)-IF(AND($L27=1,'計算A'!AE$117=1,ED27=0),300,0))),1000000))</f>
        <v/>
      </c>
      <c r="PH27">
        <f>IF($B27=0,1000000,IF(INDEX('計算A'!$D$60:$EQ$104,$B27,29)*ED27=1,IF(AND($E27=2,JS27=0),1000000,IF($I27&gt;0,IF(2=$J27,IF(OR(AND(29=$I27+1,OR($K27&lt;&gt;'計算A'!$A$3,'計算A'!$A$4=0)),AND(29=$I27-1,OR(5&lt;&gt;'計算A'!$A$3,'計算A'!$A$4=0))),0,IF(5=$K27,200000,ABS(5-$K27)*100)),100000+ABS(2-$J27)*1000+50)+'計算A'!AF$5*50+IF(AND($E27=1,JS27=0),25,0),INDEX('計算A'!AF$110:AF$114,$F27+1)+IF(AND($E27=1,JS27=0),1000,0)+IF($H27=1,(IF('計算A'!AE$117=1,INDEX('計算A'!AE$10:AE$54,$B27),0)+IF('計算A'!AF$117=1,INDEX('計算A'!AG$10:AG$54,$B27),0))*500,0)-IF(AND('計算A'!AE$117=1,VC27&gt;0),300,0)-IF(AND($L27=1,'計算A'!AF$117=1,EE27=0),300,0))),1000000))</f>
        <v/>
      </c>
      <c r="PI27">
        <f>IF($B27=0,1000000,IF(INDEX('計算A'!$D$60:$EQ$104,$B27,30)*EE27=1,IF(AND($E27=2,JT27=0),1000000,IF($I27&gt;0,IF(2=$J27,IF(OR(AND(30=$I27+1,OR($K27&lt;&gt;'計算A'!$A$3,'計算A'!$A$4=0)),AND(30=$I27-1,OR(6&lt;&gt;'計算A'!$A$3,'計算A'!$A$4=0))),0,IF(6=$K27,200000,ABS(6-$K27)*100)),100000+ABS(2-$J27)*1000+60)+'計算A'!AG$5*50+IF(AND($E27=1,JT27=0),25,0),INDEX('計算A'!AG$110:AG$114,$F27+1)+IF(AND($E27=1,JT27=0),1000,0)+IF($H27=1,(IF('計算A'!AF$117=1,INDEX('計算A'!AF$10:AF$54,$B27),0)+IF('計算A'!AG$117=1,INDEX('計算A'!AH$10:AH$54,$B27),0))*500,0)-IF(AND('計算A'!AF$117=1,VD27&gt;0),300,0)-IF(AND($L27=1,'計算A'!AG$117=1,EF27=0),300,0))),1000000))</f>
        <v/>
      </c>
      <c r="PJ27">
        <f>IF($B27=0,1000000,IF(INDEX('計算A'!$D$60:$EQ$104,$B27,31)*EF27=1,IF(AND($E27=2,JU27=0),1000000,IF($I27&gt;0,IF(2=$J27,IF(OR(AND(31=$I27+1,OR($K27&lt;&gt;'計算A'!$A$3,'計算A'!$A$4=0)),AND(31=$I27-1,OR(7&lt;&gt;'計算A'!$A$3,'計算A'!$A$4=0))),0,IF(7=$K27,200000,ABS(7-$K27)*100)),100000+ABS(2-$J27)*1000+70)+'計算A'!AH$5*50+IF(AND($E27=1,JU27=0),25,0),INDEX('計算A'!AH$110:AH$114,$F27+1)+IF(AND($E27=1,JU27=0),1000,0)+IF($H27=1,(IF('計算A'!AG$117=1,INDEX('計算A'!AG$10:AG$54,$B27),0)+IF('計算A'!AH$117=1,INDEX('計算A'!AI$10:AI$54,$B27),0))*500,0)-IF(AND('計算A'!AG$117=1,VE27&gt;0),300,0)-IF(AND($L27=1,'計算A'!AH$117=1,EG27=0),300,0))),1000000))</f>
        <v/>
      </c>
      <c r="PK27">
        <f>IF($B27=0,1000000,IF(INDEX('計算A'!$D$60:$EQ$104,$B27,32)*EG27=1,IF(AND($E27=2,JV27=0),1000000,IF($I27&gt;0,IF(2=$J27,IF(OR(AND(32=$I27+1,OR($K27&lt;&gt;'計算A'!$A$3,'計算A'!$A$4=0)),AND(32=$I27-1,OR(8&lt;&gt;'計算A'!$A$3,'計算A'!$A$4=0))),0,IF(8=$K27,200000,ABS(8-$K27)*100)),100000+ABS(2-$J27)*1000+80)+'計算A'!AI$5*50+IF(AND($E27=1,JV27=0),25,0),INDEX('計算A'!AI$110:AI$114,$F27+1)+IF(AND($E27=1,JV27=0),1000,0)+IF($H27=1,(IF('計算A'!AH$117=1,INDEX('計算A'!AH$10:AH$54,$B27),0)+IF('計算A'!AI$117=1,INDEX('計算A'!AJ$10:AJ$54,$B27),0))*500,0)-IF(AND('計算A'!AH$117=1,VF27&gt;0),300,0)-IF(AND($L27=1,'計算A'!AI$117=1,EH27=0),300,0))),1000000))</f>
        <v/>
      </c>
      <c r="PL27">
        <f>IF($B27=0,1000000,IF(INDEX('計算A'!$D$60:$EQ$104,$B27,33)*EH27=1,IF(AND($E27=2,JW27=0),1000000,IF($I27&gt;0,IF(2=$J27,IF(OR(AND(33=$I27+1,OR($K27&lt;&gt;'計算A'!$A$3,'計算A'!$A$4=0)),AND(33=$I27-1,OR(9&lt;&gt;'計算A'!$A$3,'計算A'!$A$4=0))),0,IF(9=$K27,200000,ABS(9-$K27)*100)),100000+ABS(2-$J27)*1000+90)+'計算A'!AJ$5*50+IF(AND($E27=1,JW27=0),25,0),INDEX('計算A'!AJ$110:AJ$114,$F27+1)+IF(AND($E27=1,JW27=0),1000,0)+IF($H27=1,(IF('計算A'!AI$117=1,INDEX('計算A'!AI$10:AI$54,$B27),0)+IF('計算A'!AJ$117=1,INDEX('計算A'!AK$10:AK$54,$B27),0))*500,0)-IF(AND('計算A'!AI$117=1,VG27&gt;0),300,0)-IF(AND($L27=1,'計算A'!AJ$117=1,EI27=0),300,0))),1000000))</f>
        <v/>
      </c>
      <c r="PM27">
        <f>IF($B27=0,1000000,IF(INDEX('計算A'!$D$60:$EQ$104,$B27,34)*EI27=1,IF(AND($E27=2,JX27=0),1000000,IF($I27&gt;0,IF(2=$J27,IF(OR(AND(34=$I27+1,OR($K27&lt;&gt;'計算A'!$A$3,'計算A'!$A$4=0)),AND(34=$I27-1,OR(10&lt;&gt;'計算A'!$A$3,'計算A'!$A$4=0))),0,IF(10=$K27,200000,ABS(10-$K27)*100)),100000+ABS(2-$J27)*1000+100)+'計算A'!AK$5*50+IF(AND($E27=1,JX27=0),25,0),INDEX('計算A'!AK$110:AK$114,$F27+1)+IF(AND($E27=1,JX27=0),1000,0)+IF($H27=1,(IF('計算A'!AJ$117=1,INDEX('計算A'!AJ$10:AJ$54,$B27),0)+IF('計算A'!AK$117=1,INDEX('計算A'!AL$10:AL$54,$B27),0))*500,0)-IF(AND('計算A'!AJ$117=1,VH27&gt;0),300,0)-IF(AND($L27=1,'計算A'!AK$117=1,EJ27=0),300,0))),1000000))</f>
        <v/>
      </c>
      <c r="PN27">
        <f>IF($B27=0,1000000,IF(INDEX('計算A'!$D$60:$EQ$104,$B27,35)*EJ27=1,IF(AND($E27=2,JY27=0),1000000,IF($I27&gt;0,IF(2=$J27,IF(OR(AND(35=$I27+1,OR($K27&lt;&gt;'計算A'!$A$3,'計算A'!$A$4=0)),AND(35=$I27-1,OR(11&lt;&gt;'計算A'!$A$3,'計算A'!$A$4=0))),0,IF(11=$K27,200000,ABS(11-$K27)*100)),100000+ABS(2-$J27)*1000+110)+'計算A'!AL$5*50+IF(AND($E27=1,JY27=0),25,0),INDEX('計算A'!AL$110:AL$114,$F27+1)+IF(AND($E27=1,JY27=0),1000,0)+IF($H27=1,(IF('計算A'!AK$117=1,INDEX('計算A'!AK$10:AK$54,$B27),0)+IF('計算A'!AL$117=1,INDEX('計算A'!AM$10:AM$54,$B27),0))*500,0)-IF(AND('計算A'!AK$117=1,VI27&gt;0),300,0)-IF(AND($L27=1,'計算A'!AL$117=1,EK27=0),300,0))),1000000))</f>
        <v/>
      </c>
      <c r="PO27">
        <f>IF($B27=0,1000000,IF(INDEX('計算A'!$D$60:$EQ$104,$B27,36)*EK27=1,IF(AND($E27=2,JZ27=0),1000000,IF($I27&gt;0,IF(2=$J27,IF(OR(AND(36=$I27+1,OR($K27&lt;&gt;'計算A'!$A$3,'計算A'!$A$4=0)),AND(36=$I27-1,OR(12&lt;&gt;'計算A'!$A$3,'計算A'!$A$4=0))),0,IF(12=$K27,200000,ABS(12-$K27)*100)),100000+ABS(2-$J27)*1000+120)+'計算A'!AM$5*50+IF(AND($E27=1,JZ27=0),25,0),INDEX('計算A'!AM$110:AM$114,$F27+1)+IF(AND($E27=1,JZ27=0),1000,0)+IF($H27=1,(IF('計算A'!AL$117=1,INDEX('計算A'!AL$10:AL$54,$B27),0)+IF('計算A'!AM$117=1,INDEX('計算A'!AN$10:AN$54,$B27),0))*500,0)-IF(AND('計算A'!AL$117=1,VJ27&gt;0),300,0)-IF(AND($L27=1,'計算A'!AM$117=1,EL27=0),300,0))),1000000))</f>
        <v/>
      </c>
      <c r="PP27">
        <f>IF($B27=0,1000000,IF(INDEX('計算A'!$D$60:$EQ$104,$B27,37)*EL27=1,IF(AND($E27=2,KA27=0),1000000,IF($I27&gt;0,IF(2=$J27,IF(OR(AND(37=$I27+1,OR($K27&lt;&gt;'計算A'!$A$3,'計算A'!$A$4=0)),AND(37=$I27-1,OR(13&lt;&gt;'計算A'!$A$3,'計算A'!$A$4=0))),0,IF(13=$K27,200000,ABS(13-$K27)*100)),100000+ABS(2-$J27)*1000+130)+'計算A'!AN$5*50+IF(AND($E27=1,KA27=0),25,0),INDEX('計算A'!AN$110:AN$114,$F27+1)+IF(AND($E27=1,KA27=0),1000,0)+IF($H27=1,(IF('計算A'!AM$117=1,INDEX('計算A'!AM$10:AM$54,$B27),0)+IF('計算A'!AN$117=1,INDEX('計算A'!AO$10:AO$54,$B27),0))*500,0)-IF(AND('計算A'!AM$117=1,VK27&gt;0),300,0)-IF(AND($L27=1,'計算A'!AN$117=1,EM27=0),300,0))),1000000))</f>
        <v/>
      </c>
      <c r="PQ27">
        <f>IF($B27=0,1000000,IF(INDEX('計算A'!$D$60:$EQ$104,$B27,38)*EM27=1,IF(AND($E27=2,KB27=0),1000000,IF($I27&gt;0,IF(2=$J27,IF(OR(AND(38=$I27+1,OR($K27&lt;&gt;'計算A'!$A$3,'計算A'!$A$4=0)),AND(38=$I27-1,OR(14&lt;&gt;'計算A'!$A$3,'計算A'!$A$4=0))),0,IF(14=$K27,200000,ABS(14-$K27)*100)),100000+ABS(2-$J27)*1000+140)+'計算A'!AO$5*50+IF(AND($E27=1,KB27=0),25,0),INDEX('計算A'!AO$110:AO$114,$F27+1)+IF(AND($E27=1,KB27=0),1000,0)+IF($H27=1,(IF('計算A'!AN$117=1,INDEX('計算A'!AN$10:AN$54,$B27),0)+IF('計算A'!AO$117=1,INDEX('計算A'!AP$10:AP$54,$B27),0))*500,0)-IF(AND('計算A'!AN$117=1,VL27&gt;0),300,0)-IF(AND($L27=1,'計算A'!AO$117=1,EN27=0),300,0))),1000000))</f>
        <v/>
      </c>
      <c r="PR27">
        <f>IF($B27=0,1000000,IF(INDEX('計算A'!$D$60:$EQ$104,$B27,39)*EN27=1,IF(AND($E27=2,KC27=0),1000000,IF($I27&gt;0,IF(2=$J27,IF(OR(AND(39=$I27+1,OR($K27&lt;&gt;'計算A'!$A$3,'計算A'!$A$4=0)),AND(39=$I27-1,OR(15&lt;&gt;'計算A'!$A$3,'計算A'!$A$4=0))),0,IF(15=$K27,200000,ABS(15-$K27)*100)),100000+ABS(2-$J27)*1000+150)+'計算A'!AP$5*50+IF(AND($E27=1,KC27=0),25,0),INDEX('計算A'!AP$110:AP$114,$F27+1)+IF(AND($E27=1,KC27=0),1000,0)+IF($H27=1,(IF('計算A'!AO$117=1,INDEX('計算A'!AO$10:AO$54,$B27),0)+IF('計算A'!AP$117=1,INDEX('計算A'!AQ$10:AQ$54,$B27),0))*500,0)-IF(AND('計算A'!AO$117=1,VM27&gt;0),300,0)-IF(AND($L27=1,'計算A'!AP$117=1,EO27=0),300,0))),1000000))</f>
        <v/>
      </c>
      <c r="PS27">
        <f>IF($B27=0,1000000,IF(INDEX('計算A'!$D$60:$EQ$104,$B27,40)*EO27=1,IF(AND($E27=2,KD27=0),1000000,IF($I27&gt;0,IF(2=$J27,IF(OR(AND(40=$I27+1,OR($K27&lt;&gt;'計算A'!$A$3,'計算A'!$A$4=0)),AND(40=$I27-1,OR(16&lt;&gt;'計算A'!$A$3,'計算A'!$A$4=0))),0,IF(16=$K27,200000,ABS(16-$K27)*100)),100000+ABS(2-$J27)*1000+160)+'計算A'!AQ$5*50+IF(AND($E27=1,KD27=0),25,0),INDEX('計算A'!AQ$110:AQ$114,$F27+1)+IF(AND($E27=1,KD27=0),1000,0)+IF($H27=1,(IF('計算A'!AP$117=1,INDEX('計算A'!AP$10:AP$54,$B27),0)+IF('計算A'!AQ$117=1,INDEX('計算A'!AR$10:AR$54,$B27),0))*500,0)-IF(AND('計算A'!AP$117=1,VN27&gt;0),300,0)-IF(AND($L27=1,'計算A'!AQ$117=1,EP27=0),300,0))),1000000))</f>
        <v/>
      </c>
      <c r="PT27">
        <f>IF($B27=0,1000000,IF(INDEX('計算A'!$D$60:$EQ$104,$B27,41)*EP27=1,IF(AND($E27=2,KE27=0),1000000,IF($I27&gt;0,IF(2=$J27,IF(OR(AND(41=$I27+1,OR($K27&lt;&gt;'計算A'!$A$3,'計算A'!$A$4=0)),AND(41=$I27-1,OR(17&lt;&gt;'計算A'!$A$3,'計算A'!$A$4=0))),0,IF(17=$K27,200000,ABS(17-$K27)*100)),100000+ABS(2-$J27)*1000+170)+'計算A'!AR$5*50+IF(AND($E27=1,KE27=0),25,0),INDEX('計算A'!AR$110:AR$114,$F27+1)+IF(AND($E27=1,KE27=0),1000,0)+IF($H27=1,(IF('計算A'!AQ$117=1,INDEX('計算A'!AQ$10:AQ$54,$B27),0)+IF('計算A'!AR$117=1,INDEX('計算A'!AS$10:AS$54,$B27),0))*500,0)-IF(AND('計算A'!AQ$117=1,VO27&gt;0),300,0)-IF(AND($L27=1,'計算A'!AR$117=1,EQ27=0),300,0))),1000000))</f>
        <v/>
      </c>
      <c r="PU27">
        <f>IF($B27=0,1000000,IF(INDEX('計算A'!$D$60:$EQ$104,$B27,42)*EQ27=1,IF(AND($E27=2,KF27=0),1000000,IF($I27&gt;0,IF(2=$J27,IF(OR(AND(42=$I27+1,OR($K27&lt;&gt;'計算A'!$A$3,'計算A'!$A$4=0)),AND(42=$I27-1,OR(18&lt;&gt;'計算A'!$A$3,'計算A'!$A$4=0))),0,IF(18=$K27,200000,ABS(18-$K27)*100)),100000+ABS(2-$J27)*1000+180)+'計算A'!AS$5*50+IF(AND($E27=1,KF27=0),25,0),INDEX('計算A'!AS$110:AS$114,$F27+1)+IF(AND($E27=1,KF27=0),1000,0)+IF($H27=1,(IF('計算A'!AR$117=1,INDEX('計算A'!AR$10:AR$54,$B27),0)+IF('計算A'!AS$117=1,INDEX('計算A'!AT$10:AT$54,$B27),0))*500,0)-IF(AND('計算A'!AR$117=1,VP27&gt;0),300,0)-IF(AND($L27=1,'計算A'!AS$117=1,ER27=0),300,0))),1000000))</f>
        <v/>
      </c>
      <c r="PV27">
        <f>IF($B27=0,1000000,IF(INDEX('計算A'!$D$60:$EQ$104,$B27,43)*ER27=1,IF(AND($E27=2,KG27=0),1000000,IF($I27&gt;0,IF(2=$J27,IF(OR(AND(43=$I27+1,OR($K27&lt;&gt;'計算A'!$A$3,'計算A'!$A$4=0)),AND(43=$I27-1,OR(19&lt;&gt;'計算A'!$A$3,'計算A'!$A$4=0))),0,IF(19=$K27,200000,ABS(19-$K27)*100)),100000+ABS(2-$J27)*1000+190)+'計算A'!AT$5*50+IF(AND($E27=1,KG27=0),25,0),INDEX('計算A'!AT$110:AT$114,$F27+1)+IF(AND($E27=1,KG27=0),1000,0)+IF($H27=1,(IF('計算A'!AS$117=1,INDEX('計算A'!AS$10:AS$54,$B27),0)+IF('計算A'!AT$117=1,INDEX('計算A'!AU$10:AU$54,$B27),0))*500,0)-IF(AND('計算A'!AS$117=1,VQ27&gt;0),300,0)-IF(AND($L27=1,'計算A'!AT$117=1,ES27=0),300,0))),1000000))</f>
        <v/>
      </c>
      <c r="PW27">
        <f>IF($B27=0,1000000,IF(INDEX('計算A'!$D$60:$EQ$104,$B27,44)*ES27=1,IF(AND($E27=2,KH27=0),1000000,IF($I27&gt;0,IF(2=$J27,IF(OR(AND(44=$I27+1,OR($K27&lt;&gt;'計算A'!$A$3,'計算A'!$A$4=0)),AND(44=$I27-1,OR(20&lt;&gt;'計算A'!$A$3,'計算A'!$A$4=0))),0,IF(20=$K27,200000,ABS(20-$K27)*100)),100000+ABS(2-$J27)*1000+200)+'計算A'!AU$5*50+IF(AND($E27=1,KH27=0),25,0),INDEX('計算A'!AU$110:AU$114,$F27+1)+IF(AND($E27=1,KH27=0),1000,0)+IF($H27=1,(IF('計算A'!AT$117=1,INDEX('計算A'!AT$10:AT$54,$B27),0)+IF('計算A'!AU$117=1,INDEX('計算A'!AV$10:AV$54,$B27),0))*500,0)-IF(AND('計算A'!AT$117=1,VR27&gt;0),300,0)-IF(AND($L27=1,'計算A'!AU$117=1,ET27=0),300,0))),1000000))</f>
        <v/>
      </c>
      <c r="PX27">
        <f>IF($B27=0,1000000,IF(INDEX('計算A'!$D$60:$EQ$104,$B27,45)*ET27=1,IF(AND($E27=2,KI27=0),1000000,IF($I27&gt;0,IF(2=$J27,IF(OR(AND(45=$I27+1,OR($K27&lt;&gt;'計算A'!$A$3,'計算A'!$A$4=0)),AND(45=$I27-1,OR(21&lt;&gt;'計算A'!$A$3,'計算A'!$A$4=0))),0,IF(21=$K27,200000,ABS(21-$K27)*100)),100000+ABS(2-$J27)*1000+210)+'計算A'!AV$5*50+IF(AND($E27=1,KI27=0),25,0),INDEX('計算A'!AV$110:AV$114,$F27+1)+IF(AND($E27=1,KI27=0),1000,0)+IF($H27=1,(IF('計算A'!AU$117=1,INDEX('計算A'!AU$10:AU$54,$B27),0)+IF('計算A'!AV$117=1,INDEX('計算A'!AW$10:AW$54,$B27),0))*500,0)-IF(AND('計算A'!AU$117=1,VS27&gt;0),300,0)-IF(AND($L27=1,'計算A'!AV$117=1,EU27=0),300,0))),1000000))</f>
        <v/>
      </c>
      <c r="PY27">
        <f>IF($B27=0,1000000,IF(INDEX('計算A'!$D$60:$EQ$104,$B27,46)*EU27=1,IF(AND($E27=2,KJ27=0),1000000,IF($I27&gt;0,IF(2=$J27,IF(OR(AND(46=$I27+1,OR($K27&lt;&gt;'計算A'!$A$3,'計算A'!$A$4=0)),AND(46=$I27-1,OR(22&lt;&gt;'計算A'!$A$3,'計算A'!$A$4=0))),0,IF(22=$K27,200000,ABS(22-$K27)*100)),100000+ABS(2-$J27)*1000+220)+'計算A'!AW$5*50+IF(AND($E27=1,KJ27=0),25,0),INDEX('計算A'!AW$110:AW$114,$F27+1)+IF(AND($E27=1,KJ27=0),1000,0)+IF($H27=1,(IF('計算A'!AV$117=1,INDEX('計算A'!AV$10:AV$54,$B27),0)+IF('計算A'!AW$117=1,INDEX('計算A'!AX$10:AX$54,$B27),0))*500,0)-IF(AND('計算A'!AV$117=1,VT27&gt;0),300,0)-IF(AND($L27=1,'計算A'!AW$117=1,EV27=0),300,0))),1000000))</f>
        <v/>
      </c>
      <c r="PZ27">
        <f>IF($B27=0,1000000,IF(INDEX('計算A'!$D$60:$EQ$104,$B27,47)*EV27=1,IF(AND($E27=2,KK27=0),1000000,IF($I27&gt;0,IF(2=$J27,IF(OR(AND(47=$I27+1,OR($K27&lt;&gt;'計算A'!$A$3,'計算A'!$A$4=0)),AND(47=$I27-1,OR(23&lt;&gt;'計算A'!$A$3,'計算A'!$A$4=0))),0,IF(23=$K27,200000,ABS(23-$K27)*100)),100000+ABS(2-$J27)*1000+230)+'計算A'!AX$5*50+IF(AND($E27=1,KK27=0),25,0),INDEX('計算A'!AX$110:AX$114,$F27+1)+IF(AND($E27=1,KK27=0),1000,0)+IF($H27=1,(IF('計算A'!AW$117=1,INDEX('計算A'!AW$10:AW$54,$B27),0)+IF('計算A'!AX$117=1,INDEX('計算A'!AY$10:AY$54,$B27),0))*500,0)-IF(AND('計算A'!AW$117=1,VU27&gt;0),300,0)-IF(AND($L27=1,'計算A'!AX$117=1,EW27=0),300,0))),1000000))</f>
        <v/>
      </c>
      <c r="QA27">
        <f>IF($B27=0,1000000,IF(INDEX('計算A'!$D$60:$EQ$104,$B27,48)*EW27=1,IF(AND($E27=2,KL27=0),1000000,IF($I27&gt;0,IF(2=$J27,IF(OR(AND(48=$I27+1,OR($K27&lt;&gt;'計算A'!$A$3,'計算A'!$A$4=0)),AND(48=$I27-1,OR(24&lt;&gt;'計算A'!$A$3,'計算A'!$A$4=0))),0,IF(24=$K27,200000,ABS(24-$K27)*100)),100000+ABS(2-$J27)*1000+240)+'計算A'!AY$5*50+IF(AND($E27=1,KL27=0),25,0),INDEX('計算A'!AY$110:AY$114,$F27+1)+IF(AND($E27=1,KL27=0),1000,0)+IF($H27=1,(IF('計算A'!AX$117=1,INDEX('計算A'!AX$10:AX$54,$B27),0))*500,0)-IF(AND('計算A'!AX$117=1,VV27&gt;0),300,0))),1000000))</f>
        <v/>
      </c>
      <c r="QB27">
        <f>IF($B27=0,1000000,IF(INDEX('計算A'!$D$60:$EQ$104,$B27,49)*EX27=1,IF(AND($E27=2,KM27=0),1000000,IF($I27&gt;0,IF(3=$J27,IF(OR(AND(49=$I27+1,OR($K27&lt;&gt;'計算A'!$A$3,'計算A'!$A$4=0)),AND(49=$I27-1,OR(1&lt;&gt;'計算A'!$A$3,'計算A'!$A$4=0))),0,IF(1=$K27,200000,ABS(1-$K27)*100)),100000+ABS(3-$J27)*1000+10)+'計算A'!AZ$5*50+IF(AND($E27=1,KM27=0),25,0),INDEX('計算A'!AZ$110:AZ$114,$F27+1)+IF(AND($E27=1,KM27=0),1000,0)+IF($H27=1,(IF('計算A'!AZ$117=1,INDEX('計算A'!BA$10:BA$54,$B27),0))*500,0)-IF(AND($L27=1,'計算A'!AZ$117=1,EY27=0),300,0))),1000000))</f>
        <v/>
      </c>
      <c r="QC27">
        <f>IF($B27=0,1000000,IF(INDEX('計算A'!$D$60:$EQ$104,$B27,50)*EY27=1,IF(AND($E27=2,KN27=0),1000000,IF($I27&gt;0,IF(3=$J27,IF(OR(AND(50=$I27+1,OR($K27&lt;&gt;'計算A'!$A$3,'計算A'!$A$4=0)),AND(50=$I27-1,OR(2&lt;&gt;'計算A'!$A$3,'計算A'!$A$4=0))),0,IF(2=$K27,200000,ABS(2-$K27)*100)),100000+ABS(3-$J27)*1000+20)+'計算A'!BA$5*50+IF(AND($E27=1,KN27=0),25,0),INDEX('計算A'!BA$110:BA$114,$F27+1)+IF(AND($E27=1,KN27=0),1000,0)+IF($H27=1,(IF('計算A'!AZ$117=1,INDEX('計算A'!AZ$10:AZ$54,$B27),0)+IF('計算A'!BA$117=1,INDEX('計算A'!BB$10:BB$54,$B27),0))*500,0)-IF(AND('計算A'!AZ$117=1,VX27&gt;0),300,0)-IF(AND($L27=1,'計算A'!BA$117=1,EZ27=0),300,0))),1000000))</f>
        <v/>
      </c>
      <c r="QD27">
        <f>IF($B27=0,1000000,IF(INDEX('計算A'!$D$60:$EQ$104,$B27,51)*EZ27=1,IF(AND($E27=2,KO27=0),1000000,IF($I27&gt;0,IF(3=$J27,IF(OR(AND(51=$I27+1,OR($K27&lt;&gt;'計算A'!$A$3,'計算A'!$A$4=0)),AND(51=$I27-1,OR(3&lt;&gt;'計算A'!$A$3,'計算A'!$A$4=0))),0,IF(3=$K27,200000,ABS(3-$K27)*100)),100000+ABS(3-$J27)*1000+30)+'計算A'!BB$5*50+IF(AND($E27=1,KO27=0),25,0),INDEX('計算A'!BB$110:BB$114,$F27+1)+IF(AND($E27=1,KO27=0),1000,0)+IF($H27=1,(IF('計算A'!BA$117=1,INDEX('計算A'!BA$10:BA$54,$B27),0)+IF('計算A'!BB$117=1,INDEX('計算A'!BC$10:BC$54,$B27),0))*500,0)-IF(AND('計算A'!BA$117=1,VY27&gt;0),300,0)-IF(AND($L27=1,'計算A'!BB$117=1,FA27=0),300,0))),1000000))</f>
        <v/>
      </c>
      <c r="QE27">
        <f>IF($B27=0,1000000,IF(INDEX('計算A'!$D$60:$EQ$104,$B27,52)*FA27=1,IF(AND($E27=2,KP27=0),1000000,IF($I27&gt;0,IF(3=$J27,IF(OR(AND(52=$I27+1,OR($K27&lt;&gt;'計算A'!$A$3,'計算A'!$A$4=0)),AND(52=$I27-1,OR(4&lt;&gt;'計算A'!$A$3,'計算A'!$A$4=0))),0,IF(4=$K27,200000,ABS(4-$K27)*100)),100000+ABS(3-$J27)*1000+40)+'計算A'!BC$5*50+IF(AND($E27=1,KP27=0),25,0),INDEX('計算A'!BC$110:BC$114,$F27+1)+IF(AND($E27=1,KP27=0),1000,0)+IF($H27=1,(IF('計算A'!BB$117=1,INDEX('計算A'!BB$10:BB$54,$B27),0)+IF('計算A'!BC$117=1,INDEX('計算A'!BD$10:BD$54,$B27),0))*500,0)-IF(AND('計算A'!BB$117=1,VZ27&gt;0),300,0)-IF(AND($L27=1,'計算A'!BC$117=1,FB27=0),300,0))),1000000))</f>
        <v/>
      </c>
      <c r="QF27">
        <f>IF($B27=0,1000000,IF(INDEX('計算A'!$D$60:$EQ$104,$B27,53)*FB27=1,IF(AND($E27=2,KQ27=0),1000000,IF($I27&gt;0,IF(3=$J27,IF(OR(AND(53=$I27+1,OR($K27&lt;&gt;'計算A'!$A$3,'計算A'!$A$4=0)),AND(53=$I27-1,OR(5&lt;&gt;'計算A'!$A$3,'計算A'!$A$4=0))),0,IF(5=$K27,200000,ABS(5-$K27)*100)),100000+ABS(3-$J27)*1000+50)+'計算A'!BD$5*50+IF(AND($E27=1,KQ27=0),25,0),INDEX('計算A'!BD$110:BD$114,$F27+1)+IF(AND($E27=1,KQ27=0),1000,0)+IF($H27=1,(IF('計算A'!BC$117=1,INDEX('計算A'!BC$10:BC$54,$B27),0)+IF('計算A'!BD$117=1,INDEX('計算A'!BE$10:BE$54,$B27),0))*500,0)-IF(AND('計算A'!BC$117=1,WA27&gt;0),300,0)-IF(AND($L27=1,'計算A'!BD$117=1,FC27=0),300,0))),1000000))</f>
        <v/>
      </c>
      <c r="QG27">
        <f>IF($B27=0,1000000,IF(INDEX('計算A'!$D$60:$EQ$104,$B27,54)*FC27=1,IF(AND($E27=2,KR27=0),1000000,IF($I27&gt;0,IF(3=$J27,IF(OR(AND(54=$I27+1,OR($K27&lt;&gt;'計算A'!$A$3,'計算A'!$A$4=0)),AND(54=$I27-1,OR(6&lt;&gt;'計算A'!$A$3,'計算A'!$A$4=0))),0,IF(6=$K27,200000,ABS(6-$K27)*100)),100000+ABS(3-$J27)*1000+60)+'計算A'!BE$5*50+IF(AND($E27=1,KR27=0),25,0),INDEX('計算A'!BE$110:BE$114,$F27+1)+IF(AND($E27=1,KR27=0),1000,0)+IF($H27=1,(IF('計算A'!BD$117=1,INDEX('計算A'!BD$10:BD$54,$B27),0)+IF('計算A'!BE$117=1,INDEX('計算A'!BF$10:BF$54,$B27),0))*500,0)-IF(AND('計算A'!BD$117=1,WB27&gt;0),300,0)-IF(AND($L27=1,'計算A'!BE$117=1,FD27=0),300,0))),1000000))</f>
        <v/>
      </c>
      <c r="QH27">
        <f>IF($B27=0,1000000,IF(INDEX('計算A'!$D$60:$EQ$104,$B27,55)*FD27=1,IF(AND($E27=2,KS27=0),1000000,IF($I27&gt;0,IF(3=$J27,IF(OR(AND(55=$I27+1,OR($K27&lt;&gt;'計算A'!$A$3,'計算A'!$A$4=0)),AND(55=$I27-1,OR(7&lt;&gt;'計算A'!$A$3,'計算A'!$A$4=0))),0,IF(7=$K27,200000,ABS(7-$K27)*100)),100000+ABS(3-$J27)*1000+70)+'計算A'!BF$5*50+IF(AND($E27=1,KS27=0),25,0),INDEX('計算A'!BF$110:BF$114,$F27+1)+IF(AND($E27=1,KS27=0),1000,0)+IF($H27=1,(IF('計算A'!BE$117=1,INDEX('計算A'!BE$10:BE$54,$B27),0)+IF('計算A'!BF$117=1,INDEX('計算A'!BG$10:BG$54,$B27),0))*500,0)-IF(AND('計算A'!BE$117=1,WC27&gt;0),300,0)-IF(AND($L27=1,'計算A'!BF$117=1,FE27=0),300,0))),1000000))</f>
        <v/>
      </c>
      <c r="QI27">
        <f>IF($B27=0,1000000,IF(INDEX('計算A'!$D$60:$EQ$104,$B27,56)*FE27=1,IF(AND($E27=2,KT27=0),1000000,IF($I27&gt;0,IF(3=$J27,IF(OR(AND(56=$I27+1,OR($K27&lt;&gt;'計算A'!$A$3,'計算A'!$A$4=0)),AND(56=$I27-1,OR(8&lt;&gt;'計算A'!$A$3,'計算A'!$A$4=0))),0,IF(8=$K27,200000,ABS(8-$K27)*100)),100000+ABS(3-$J27)*1000+80)+'計算A'!BG$5*50+IF(AND($E27=1,KT27=0),25,0),INDEX('計算A'!BG$110:BG$114,$F27+1)+IF(AND($E27=1,KT27=0),1000,0)+IF($H27=1,(IF('計算A'!BF$117=1,INDEX('計算A'!BF$10:BF$54,$B27),0)+IF('計算A'!BG$117=1,INDEX('計算A'!BH$10:BH$54,$B27),0))*500,0)-IF(AND('計算A'!BF$117=1,WD27&gt;0),300,0)-IF(AND($L27=1,'計算A'!BG$117=1,FF27=0),300,0))),1000000))</f>
        <v/>
      </c>
      <c r="QJ27">
        <f>IF($B27=0,1000000,IF(INDEX('計算A'!$D$60:$EQ$104,$B27,57)*FF27=1,IF(AND($E27=2,KU27=0),1000000,IF($I27&gt;0,IF(3=$J27,IF(OR(AND(57=$I27+1,OR($K27&lt;&gt;'計算A'!$A$3,'計算A'!$A$4=0)),AND(57=$I27-1,OR(9&lt;&gt;'計算A'!$A$3,'計算A'!$A$4=0))),0,IF(9=$K27,200000,ABS(9-$K27)*100)),100000+ABS(3-$J27)*1000+90)+'計算A'!BH$5*50+IF(AND($E27=1,KU27=0),25,0),INDEX('計算A'!BH$110:BH$114,$F27+1)+IF(AND($E27=1,KU27=0),1000,0)+IF($H27=1,(IF('計算A'!BG$117=1,INDEX('計算A'!BG$10:BG$54,$B27),0)+IF('計算A'!BH$117=1,INDEX('計算A'!BI$10:BI$54,$B27),0))*500,0)-IF(AND('計算A'!BG$117=1,WE27&gt;0),300,0)-IF(AND($L27=1,'計算A'!BH$117=1,FG27=0),300,0))),1000000))</f>
        <v/>
      </c>
      <c r="QK27">
        <f>IF($B27=0,1000000,IF(INDEX('計算A'!$D$60:$EQ$104,$B27,58)*FG27=1,IF(AND($E27=2,KV27=0),1000000,IF($I27&gt;0,IF(3=$J27,IF(OR(AND(58=$I27+1,OR($K27&lt;&gt;'計算A'!$A$3,'計算A'!$A$4=0)),AND(58=$I27-1,OR(10&lt;&gt;'計算A'!$A$3,'計算A'!$A$4=0))),0,IF(10=$K27,200000,ABS(10-$K27)*100)),100000+ABS(3-$J27)*1000+100)+'計算A'!BI$5*50+IF(AND($E27=1,KV27=0),25,0),INDEX('計算A'!BI$110:BI$114,$F27+1)+IF(AND($E27=1,KV27=0),1000,0)+IF($H27=1,(IF('計算A'!BH$117=1,INDEX('計算A'!BH$10:BH$54,$B27),0)+IF('計算A'!BI$117=1,INDEX('計算A'!BJ$10:BJ$54,$B27),0))*500,0)-IF(AND('計算A'!BH$117=1,WF27&gt;0),300,0)-IF(AND($L27=1,'計算A'!BI$117=1,FH27=0),300,0))),1000000))</f>
        <v/>
      </c>
      <c r="QL27">
        <f>IF($B27=0,1000000,IF(INDEX('計算A'!$D$60:$EQ$104,$B27,59)*FH27=1,IF(AND($E27=2,KW27=0),1000000,IF($I27&gt;0,IF(3=$J27,IF(OR(AND(59=$I27+1,OR($K27&lt;&gt;'計算A'!$A$3,'計算A'!$A$4=0)),AND(59=$I27-1,OR(11&lt;&gt;'計算A'!$A$3,'計算A'!$A$4=0))),0,IF(11=$K27,200000,ABS(11-$K27)*100)),100000+ABS(3-$J27)*1000+110)+'計算A'!BJ$5*50+IF(AND($E27=1,KW27=0),25,0),INDEX('計算A'!BJ$110:BJ$114,$F27+1)+IF(AND($E27=1,KW27=0),1000,0)+IF($H27=1,(IF('計算A'!BI$117=1,INDEX('計算A'!BI$10:BI$54,$B27),0)+IF('計算A'!BJ$117=1,INDEX('計算A'!BK$10:BK$54,$B27),0))*500,0)-IF(AND('計算A'!BI$117=1,WG27&gt;0),300,0)-IF(AND($L27=1,'計算A'!BJ$117=1,FI27=0),300,0))),1000000))</f>
        <v/>
      </c>
      <c r="QM27">
        <f>IF($B27=0,1000000,IF(INDEX('計算A'!$D$60:$EQ$104,$B27,60)*FI27=1,IF(AND($E27=2,KX27=0),1000000,IF($I27&gt;0,IF(3=$J27,IF(OR(AND(60=$I27+1,OR($K27&lt;&gt;'計算A'!$A$3,'計算A'!$A$4=0)),AND(60=$I27-1,OR(12&lt;&gt;'計算A'!$A$3,'計算A'!$A$4=0))),0,IF(12=$K27,200000,ABS(12-$K27)*100)),100000+ABS(3-$J27)*1000+120)+'計算A'!BK$5*50+IF(AND($E27=1,KX27=0),25,0),INDEX('計算A'!BK$110:BK$114,$F27+1)+IF(AND($E27=1,KX27=0),1000,0)+IF($H27=1,(IF('計算A'!BJ$117=1,INDEX('計算A'!BJ$10:BJ$54,$B27),0)+IF('計算A'!BK$117=1,INDEX('計算A'!BL$10:BL$54,$B27),0))*500,0)-IF(AND('計算A'!BJ$117=1,WH27&gt;0),300,0)-IF(AND($L27=1,'計算A'!BK$117=1,FJ27=0),300,0))),1000000))</f>
        <v/>
      </c>
      <c r="QN27">
        <f>IF($B27=0,1000000,IF(INDEX('計算A'!$D$60:$EQ$104,$B27,61)*FJ27=1,IF(AND($E27=2,KY27=0),1000000,IF($I27&gt;0,IF(3=$J27,IF(OR(AND(61=$I27+1,OR($K27&lt;&gt;'計算A'!$A$3,'計算A'!$A$4=0)),AND(61=$I27-1,OR(13&lt;&gt;'計算A'!$A$3,'計算A'!$A$4=0))),0,IF(13=$K27,200000,ABS(13-$K27)*100)),100000+ABS(3-$J27)*1000+130)+'計算A'!BL$5*50+IF(AND($E27=1,KY27=0),25,0),INDEX('計算A'!BL$110:BL$114,$F27+1)+IF(AND($E27=1,KY27=0),1000,0)+IF($H27=1,(IF('計算A'!BK$117=1,INDEX('計算A'!BK$10:BK$54,$B27),0)+IF('計算A'!BL$117=1,INDEX('計算A'!BM$10:BM$54,$B27),0))*500,0)-IF(AND('計算A'!BK$117=1,WI27&gt;0),300,0)-IF(AND($L27=1,'計算A'!BL$117=1,FK27=0),300,0))),1000000))</f>
        <v/>
      </c>
      <c r="QO27">
        <f>IF($B27=0,1000000,IF(INDEX('計算A'!$D$60:$EQ$104,$B27,62)*FK27=1,IF(AND($E27=2,KZ27=0),1000000,IF($I27&gt;0,IF(3=$J27,IF(OR(AND(62=$I27+1,OR($K27&lt;&gt;'計算A'!$A$3,'計算A'!$A$4=0)),AND(62=$I27-1,OR(14&lt;&gt;'計算A'!$A$3,'計算A'!$A$4=0))),0,IF(14=$K27,200000,ABS(14-$K27)*100)),100000+ABS(3-$J27)*1000+140)+'計算A'!BM$5*50+IF(AND($E27=1,KZ27=0),25,0),INDEX('計算A'!BM$110:BM$114,$F27+1)+IF(AND($E27=1,KZ27=0),1000,0)+IF($H27=1,(IF('計算A'!BL$117=1,INDEX('計算A'!BL$10:BL$54,$B27),0)+IF('計算A'!BM$117=1,INDEX('計算A'!BN$10:BN$54,$B27),0))*500,0)-IF(AND('計算A'!BL$117=1,WJ27&gt;0),300,0)-IF(AND($L27=1,'計算A'!BM$117=1,FL27=0),300,0))),1000000))</f>
        <v/>
      </c>
      <c r="QP27">
        <f>IF($B27=0,1000000,IF(INDEX('計算A'!$D$60:$EQ$104,$B27,63)*FL27=1,IF(AND($E27=2,LA27=0),1000000,IF($I27&gt;0,IF(3=$J27,IF(OR(AND(63=$I27+1,OR($K27&lt;&gt;'計算A'!$A$3,'計算A'!$A$4=0)),AND(63=$I27-1,OR(15&lt;&gt;'計算A'!$A$3,'計算A'!$A$4=0))),0,IF(15=$K27,200000,ABS(15-$K27)*100)),100000+ABS(3-$J27)*1000+150)+'計算A'!BN$5*50+IF(AND($E27=1,LA27=0),25,0),INDEX('計算A'!BN$110:BN$114,$F27+1)+IF(AND($E27=1,LA27=0),1000,0)+IF($H27=1,(IF('計算A'!BM$117=1,INDEX('計算A'!BM$10:BM$54,$B27),0)+IF('計算A'!BN$117=1,INDEX('計算A'!BO$10:BO$54,$B27),0))*500,0)-IF(AND('計算A'!BM$117=1,WK27&gt;0),300,0)-IF(AND($L27=1,'計算A'!BN$117=1,FM27=0),300,0))),1000000))</f>
        <v/>
      </c>
      <c r="QQ27">
        <f>IF($B27=0,1000000,IF(INDEX('計算A'!$D$60:$EQ$104,$B27,64)*FM27=1,IF(AND($E27=2,LB27=0),1000000,IF($I27&gt;0,IF(3=$J27,IF(OR(AND(64=$I27+1,OR($K27&lt;&gt;'計算A'!$A$3,'計算A'!$A$4=0)),AND(64=$I27-1,OR(16&lt;&gt;'計算A'!$A$3,'計算A'!$A$4=0))),0,IF(16=$K27,200000,ABS(16-$K27)*100)),100000+ABS(3-$J27)*1000+160)+'計算A'!BO$5*50+IF(AND($E27=1,LB27=0),25,0),INDEX('計算A'!BO$110:BO$114,$F27+1)+IF(AND($E27=1,LB27=0),1000,0)+IF($H27=1,(IF('計算A'!BN$117=1,INDEX('計算A'!BN$10:BN$54,$B27),0)+IF('計算A'!BO$117=1,INDEX('計算A'!BP$10:BP$54,$B27),0))*500,0)-IF(AND('計算A'!BN$117=1,WL27&gt;0),300,0)-IF(AND($L27=1,'計算A'!BO$117=1,FN27=0),300,0))),1000000))</f>
        <v/>
      </c>
      <c r="QR27">
        <f>IF($B27=0,1000000,IF(INDEX('計算A'!$D$60:$EQ$104,$B27,65)*FN27=1,IF(AND($E27=2,LC27=0),1000000,IF($I27&gt;0,IF(3=$J27,IF(OR(AND(65=$I27+1,OR($K27&lt;&gt;'計算A'!$A$3,'計算A'!$A$4=0)),AND(65=$I27-1,OR(17&lt;&gt;'計算A'!$A$3,'計算A'!$A$4=0))),0,IF(17=$K27,200000,ABS(17-$K27)*100)),100000+ABS(3-$J27)*1000+170)+'計算A'!BP$5*50+IF(AND($E27=1,LC27=0),25,0),INDEX('計算A'!BP$110:BP$114,$F27+1)+IF(AND($E27=1,LC27=0),1000,0)+IF($H27=1,(IF('計算A'!BO$117=1,INDEX('計算A'!BO$10:BO$54,$B27),0)+IF('計算A'!BP$117=1,INDEX('計算A'!BQ$10:BQ$54,$B27),0))*500,0)-IF(AND('計算A'!BO$117=1,WM27&gt;0),300,0)-IF(AND($L27=1,'計算A'!BP$117=1,FO27=0),300,0))),1000000))</f>
        <v/>
      </c>
      <c r="QS27">
        <f>IF($B27=0,1000000,IF(INDEX('計算A'!$D$60:$EQ$104,$B27,66)*FO27=1,IF(AND($E27=2,LD27=0),1000000,IF($I27&gt;0,IF(3=$J27,IF(OR(AND(66=$I27+1,OR($K27&lt;&gt;'計算A'!$A$3,'計算A'!$A$4=0)),AND(66=$I27-1,OR(18&lt;&gt;'計算A'!$A$3,'計算A'!$A$4=0))),0,IF(18=$K27,200000,ABS(18-$K27)*100)),100000+ABS(3-$J27)*1000+180)+'計算A'!BQ$5*50+IF(AND($E27=1,LD27=0),25,0),INDEX('計算A'!BQ$110:BQ$114,$F27+1)+IF(AND($E27=1,LD27=0),1000,0)+IF($H27=1,(IF('計算A'!BP$117=1,INDEX('計算A'!BP$10:BP$54,$B27),0)+IF('計算A'!BQ$117=1,INDEX('計算A'!BR$10:BR$54,$B27),0))*500,0)-IF(AND('計算A'!BP$117=1,WN27&gt;0),300,0)-IF(AND($L27=1,'計算A'!BQ$117=1,FP27=0),300,0))),1000000))</f>
        <v/>
      </c>
      <c r="QT27">
        <f>IF($B27=0,1000000,IF(INDEX('計算A'!$D$60:$EQ$104,$B27,67)*FP27=1,IF(AND($E27=2,LE27=0),1000000,IF($I27&gt;0,IF(3=$J27,IF(OR(AND(67=$I27+1,OR($K27&lt;&gt;'計算A'!$A$3,'計算A'!$A$4=0)),AND(67=$I27-1,OR(19&lt;&gt;'計算A'!$A$3,'計算A'!$A$4=0))),0,IF(19=$K27,200000,ABS(19-$K27)*100)),100000+ABS(3-$J27)*1000+190)+'計算A'!BR$5*50+IF(AND($E27=1,LE27=0),25,0),INDEX('計算A'!BR$110:BR$114,$F27+1)+IF(AND($E27=1,LE27=0),1000,0)+IF($H27=1,(IF('計算A'!BQ$117=1,INDEX('計算A'!BQ$10:BQ$54,$B27),0)+IF('計算A'!BR$117=1,INDEX('計算A'!BS$10:BS$54,$B27),0))*500,0)-IF(AND('計算A'!BQ$117=1,WO27&gt;0),300,0)-IF(AND($L27=1,'計算A'!BR$117=1,FQ27=0),300,0))),1000000))</f>
        <v/>
      </c>
      <c r="QU27">
        <f>IF($B27=0,1000000,IF(INDEX('計算A'!$D$60:$EQ$104,$B27,68)*FQ27=1,IF(AND($E27=2,LF27=0),1000000,IF($I27&gt;0,IF(3=$J27,IF(OR(AND(68=$I27+1,OR($K27&lt;&gt;'計算A'!$A$3,'計算A'!$A$4=0)),AND(68=$I27-1,OR(20&lt;&gt;'計算A'!$A$3,'計算A'!$A$4=0))),0,IF(20=$K27,200000,ABS(20-$K27)*100)),100000+ABS(3-$J27)*1000+200)+'計算A'!BS$5*50+IF(AND($E27=1,LF27=0),25,0),INDEX('計算A'!BS$110:BS$114,$F27+1)+IF(AND($E27=1,LF27=0),1000,0)+IF($H27=1,(IF('計算A'!BR$117=1,INDEX('計算A'!BR$10:BR$54,$B27),0)+IF('計算A'!BS$117=1,INDEX('計算A'!BT$10:BT$54,$B27),0))*500,0)-IF(AND('計算A'!BR$117=1,WP27&gt;0),300,0)-IF(AND($L27=1,'計算A'!BS$117=1,FR27=0),300,0))),1000000))</f>
        <v/>
      </c>
      <c r="QV27">
        <f>IF($B27=0,1000000,IF(INDEX('計算A'!$D$60:$EQ$104,$B27,69)*FR27=1,IF(AND($E27=2,LG27=0),1000000,IF($I27&gt;0,IF(3=$J27,IF(OR(AND(69=$I27+1,OR($K27&lt;&gt;'計算A'!$A$3,'計算A'!$A$4=0)),AND(69=$I27-1,OR(21&lt;&gt;'計算A'!$A$3,'計算A'!$A$4=0))),0,IF(21=$K27,200000,ABS(21-$K27)*100)),100000+ABS(3-$J27)*1000+210)+'計算A'!BT$5*50+IF(AND($E27=1,LG27=0),25,0),INDEX('計算A'!BT$110:BT$114,$F27+1)+IF(AND($E27=1,LG27=0),1000,0)+IF($H27=1,(IF('計算A'!BS$117=1,INDEX('計算A'!BS$10:BS$54,$B27),0)+IF('計算A'!BT$117=1,INDEX('計算A'!BU$10:BU$54,$B27),0))*500,0)-IF(AND('計算A'!BS$117=1,WQ27&gt;0),300,0)-IF(AND($L27=1,'計算A'!BT$117=1,FS27=0),300,0))),1000000))</f>
        <v/>
      </c>
      <c r="QW27">
        <f>IF($B27=0,1000000,IF(INDEX('計算A'!$D$60:$EQ$104,$B27,70)*FS27=1,IF(AND($E27=2,LH27=0),1000000,IF($I27&gt;0,IF(3=$J27,IF(OR(AND(70=$I27+1,OR($K27&lt;&gt;'計算A'!$A$3,'計算A'!$A$4=0)),AND(70=$I27-1,OR(22&lt;&gt;'計算A'!$A$3,'計算A'!$A$4=0))),0,IF(22=$K27,200000,ABS(22-$K27)*100)),100000+ABS(3-$J27)*1000+220)+'計算A'!BU$5*50+IF(AND($E27=1,LH27=0),25,0),INDEX('計算A'!BU$110:BU$114,$F27+1)+IF(AND($E27=1,LH27=0),1000,0)+IF($H27=1,(IF('計算A'!BT$117=1,INDEX('計算A'!BT$10:BT$54,$B27),0)+IF('計算A'!BU$117=1,INDEX('計算A'!BV$10:BV$54,$B27),0))*500,0)-IF(AND('計算A'!BT$117=1,WR27&gt;0),300,0)-IF(AND($L27=1,'計算A'!BU$117=1,FT27=0),300,0))),1000000))</f>
        <v/>
      </c>
      <c r="QX27">
        <f>IF($B27=0,1000000,IF(INDEX('計算A'!$D$60:$EQ$104,$B27,71)*FT27=1,IF(AND($E27=2,LI27=0),1000000,IF($I27&gt;0,IF(3=$J27,IF(OR(AND(71=$I27+1,OR($K27&lt;&gt;'計算A'!$A$3,'計算A'!$A$4=0)),AND(71=$I27-1,OR(23&lt;&gt;'計算A'!$A$3,'計算A'!$A$4=0))),0,IF(23=$K27,200000,ABS(23-$K27)*100)),100000+ABS(3-$J27)*1000+230)+'計算A'!BV$5*50+IF(AND($E27=1,LI27=0),25,0),INDEX('計算A'!BV$110:BV$114,$F27+1)+IF(AND($E27=1,LI27=0),1000,0)+IF($H27=1,(IF('計算A'!BU$117=1,INDEX('計算A'!BU$10:BU$54,$B27),0)+IF('計算A'!BV$117=1,INDEX('計算A'!BW$10:BW$54,$B27),0))*500,0)-IF(AND('計算A'!BU$117=1,WS27&gt;0),300,0)-IF(AND($L27=1,'計算A'!BV$117=1,FU27=0),300,0))),1000000))</f>
        <v/>
      </c>
      <c r="QY27">
        <f>IF($B27=0,1000000,IF(INDEX('計算A'!$D$60:$EQ$104,$B27,72)*FU27=1,IF(AND($E27=2,LJ27=0),1000000,IF($I27&gt;0,IF(3=$J27,IF(OR(AND(72=$I27+1,OR($K27&lt;&gt;'計算A'!$A$3,'計算A'!$A$4=0)),AND(72=$I27-1,OR(24&lt;&gt;'計算A'!$A$3,'計算A'!$A$4=0))),0,IF(24=$K27,200000,ABS(24-$K27)*100)),100000+ABS(3-$J27)*1000+240)+'計算A'!BW$5*50+IF(AND($E27=1,LJ27=0),25,0),INDEX('計算A'!BW$110:BW$114,$F27+1)+IF(AND($E27=1,LJ27=0),1000,0)+IF($H27=1,(IF('計算A'!BV$117=1,INDEX('計算A'!BV$10:BV$54,$B27),0))*500,0)-IF(AND('計算A'!BV$117=1,WT27&gt;0),300,0))),1000000))</f>
        <v/>
      </c>
      <c r="QZ27">
        <f>IF($B27=0,1000000,IF(INDEX('計算A'!$D$60:$EQ$104,$B27,73)*FV27=1,IF(AND($E27=2,LK27=0),1000000,IF($I27&gt;0,IF(4=$J27,IF(OR(AND(73=$I27+1,OR($K27&lt;&gt;'計算A'!$A$3,'計算A'!$A$4=0)),AND(73=$I27-1,OR(1&lt;&gt;'計算A'!$A$3,'計算A'!$A$4=0))),0,IF(1=$K27,200000,ABS(1-$K27)*100)),100000+ABS(4-$J27)*1000+10)+'計算A'!BX$5*50+IF(AND($E27=1,LK27=0),25,0),INDEX('計算A'!BX$110:BX$114,$F27+1)+IF(AND($E27=1,LK27=0),1000,0)+IF($H27=1,(IF('計算A'!BX$117=1,INDEX('計算A'!BY$10:BY$54,$B27),0))*500,0)-IF(AND($L27=1,'計算A'!BX$117=1,FW27=0),300,0))),1000000))</f>
        <v/>
      </c>
      <c r="RA27">
        <f>IF($B27=0,1000000,IF(INDEX('計算A'!$D$60:$EQ$104,$B27,74)*FW27=1,IF(AND($E27=2,LL27=0),1000000,IF($I27&gt;0,IF(4=$J27,IF(OR(AND(74=$I27+1,OR($K27&lt;&gt;'計算A'!$A$3,'計算A'!$A$4=0)),AND(74=$I27-1,OR(2&lt;&gt;'計算A'!$A$3,'計算A'!$A$4=0))),0,IF(2=$K27,200000,ABS(2-$K27)*100)),100000+ABS(4-$J27)*1000+20)+'計算A'!BY$5*50+IF(AND($E27=1,LL27=0),25,0),INDEX('計算A'!BY$110:BY$114,$F27+1)+IF(AND($E27=1,LL27=0),1000,0)+IF($H27=1,(IF('計算A'!BX$117=1,INDEX('計算A'!BX$10:BX$54,$B27),0)+IF('計算A'!BY$117=1,INDEX('計算A'!BZ$10:BZ$54,$B27),0))*500,0)-IF(AND('計算A'!BX$117=1,WV27&gt;0),300,0)-IF(AND($L27=1,'計算A'!BY$117=1,FX27=0),300,0))),1000000))</f>
        <v/>
      </c>
      <c r="RB27">
        <f>IF($B27=0,1000000,IF(INDEX('計算A'!$D$60:$EQ$104,$B27,75)*FX27=1,IF(AND($E27=2,LM27=0),1000000,IF($I27&gt;0,IF(4=$J27,IF(OR(AND(75=$I27+1,OR($K27&lt;&gt;'計算A'!$A$3,'計算A'!$A$4=0)),AND(75=$I27-1,OR(3&lt;&gt;'計算A'!$A$3,'計算A'!$A$4=0))),0,IF(3=$K27,200000,ABS(3-$K27)*100)),100000+ABS(4-$J27)*1000+30)+'計算A'!BZ$5*50+IF(AND($E27=1,LM27=0),25,0),INDEX('計算A'!BZ$110:BZ$114,$F27+1)+IF(AND($E27=1,LM27=0),1000,0)+IF($H27=1,(IF('計算A'!BY$117=1,INDEX('計算A'!BY$10:BY$54,$B27),0)+IF('計算A'!BZ$117=1,INDEX('計算A'!CA$10:CA$54,$B27),0))*500,0)-IF(AND('計算A'!BY$117=1,WW27&gt;0),300,0)-IF(AND($L27=1,'計算A'!BZ$117=1,FY27=0),300,0))),1000000))</f>
        <v/>
      </c>
      <c r="RC27">
        <f>IF($B27=0,1000000,IF(INDEX('計算A'!$D$60:$EQ$104,$B27,76)*FY27=1,IF(AND($E27=2,LN27=0),1000000,IF($I27&gt;0,IF(4=$J27,IF(OR(AND(76=$I27+1,OR($K27&lt;&gt;'計算A'!$A$3,'計算A'!$A$4=0)),AND(76=$I27-1,OR(4&lt;&gt;'計算A'!$A$3,'計算A'!$A$4=0))),0,IF(4=$K27,200000,ABS(4-$K27)*100)),100000+ABS(4-$J27)*1000+40)+'計算A'!CA$5*50+IF(AND($E27=1,LN27=0),25,0),INDEX('計算A'!CA$110:CA$114,$F27+1)+IF(AND($E27=1,LN27=0),1000,0)+IF($H27=1,(IF('計算A'!BZ$117=1,INDEX('計算A'!BZ$10:BZ$54,$B27),0)+IF('計算A'!CA$117=1,INDEX('計算A'!CB$10:CB$54,$B27),0))*500,0)-IF(AND('計算A'!BZ$117=1,WX27&gt;0),300,0)-IF(AND($L27=1,'計算A'!CA$117=1,FZ27=0),300,0))),1000000))</f>
        <v/>
      </c>
      <c r="RD27">
        <f>IF($B27=0,1000000,IF(INDEX('計算A'!$D$60:$EQ$104,$B27,77)*FZ27=1,IF(AND($E27=2,LO27=0),1000000,IF($I27&gt;0,IF(4=$J27,IF(OR(AND(77=$I27+1,OR($K27&lt;&gt;'計算A'!$A$3,'計算A'!$A$4=0)),AND(77=$I27-1,OR(5&lt;&gt;'計算A'!$A$3,'計算A'!$A$4=0))),0,IF(5=$K27,200000,ABS(5-$K27)*100)),100000+ABS(4-$J27)*1000+50)+'計算A'!CB$5*50+IF(AND($E27=1,LO27=0),25,0),INDEX('計算A'!CB$110:CB$114,$F27+1)+IF(AND($E27=1,LO27=0),1000,0)+IF($H27=1,(IF('計算A'!CA$117=1,INDEX('計算A'!CA$10:CA$54,$B27),0)+IF('計算A'!CB$117=1,INDEX('計算A'!CC$10:CC$54,$B27),0))*500,0)-IF(AND('計算A'!CA$117=1,WY27&gt;0),300,0)-IF(AND($L27=1,'計算A'!CB$117=1,GA27=0),300,0))),1000000))</f>
        <v/>
      </c>
      <c r="RE27">
        <f>IF($B27=0,1000000,IF(INDEX('計算A'!$D$60:$EQ$104,$B27,78)*GA27=1,IF(AND($E27=2,LP27=0),1000000,IF($I27&gt;0,IF(4=$J27,IF(OR(AND(78=$I27+1,OR($K27&lt;&gt;'計算A'!$A$3,'計算A'!$A$4=0)),AND(78=$I27-1,OR(6&lt;&gt;'計算A'!$A$3,'計算A'!$A$4=0))),0,IF(6=$K27,200000,ABS(6-$K27)*100)),100000+ABS(4-$J27)*1000+60)+'計算A'!CC$5*50+IF(AND($E27=1,LP27=0),25,0),INDEX('計算A'!CC$110:CC$114,$F27+1)+IF(AND($E27=1,LP27=0),1000,0)+IF($H27=1,(IF('計算A'!CB$117=1,INDEX('計算A'!CB$10:CB$54,$B27),0)+IF('計算A'!CC$117=1,INDEX('計算A'!CD$10:CD$54,$B27),0))*500,0)-IF(AND('計算A'!CB$117=1,WZ27&gt;0),300,0)-IF(AND($L27=1,'計算A'!CC$117=1,GB27=0),300,0))),1000000))</f>
        <v/>
      </c>
      <c r="RF27">
        <f>IF($B27=0,1000000,IF(INDEX('計算A'!$D$60:$EQ$104,$B27,79)*GB27=1,IF(AND($E27=2,LQ27=0),1000000,IF($I27&gt;0,IF(4=$J27,IF(OR(AND(79=$I27+1,OR($K27&lt;&gt;'計算A'!$A$3,'計算A'!$A$4=0)),AND(79=$I27-1,OR(7&lt;&gt;'計算A'!$A$3,'計算A'!$A$4=0))),0,IF(7=$K27,200000,ABS(7-$K27)*100)),100000+ABS(4-$J27)*1000+70)+'計算A'!CD$5*50+IF(AND($E27=1,LQ27=0),25,0),INDEX('計算A'!CD$110:CD$114,$F27+1)+IF(AND($E27=1,LQ27=0),1000,0)+IF($H27=1,(IF('計算A'!CC$117=1,INDEX('計算A'!CC$10:CC$54,$B27),0)+IF('計算A'!CD$117=1,INDEX('計算A'!CE$10:CE$54,$B27),0))*500,0)-IF(AND('計算A'!CC$117=1,XA27&gt;0),300,0)-IF(AND($L27=1,'計算A'!CD$117=1,GC27=0),300,0))),1000000))</f>
        <v/>
      </c>
      <c r="RG27">
        <f>IF($B27=0,1000000,IF(INDEX('計算A'!$D$60:$EQ$104,$B27,80)*GC27=1,IF(AND($E27=2,LR27=0),1000000,IF($I27&gt;0,IF(4=$J27,IF(OR(AND(80=$I27+1,OR($K27&lt;&gt;'計算A'!$A$3,'計算A'!$A$4=0)),AND(80=$I27-1,OR(8&lt;&gt;'計算A'!$A$3,'計算A'!$A$4=0))),0,IF(8=$K27,200000,ABS(8-$K27)*100)),100000+ABS(4-$J27)*1000+80)+'計算A'!CE$5*50+IF(AND($E27=1,LR27=0),25,0),INDEX('計算A'!CE$110:CE$114,$F27+1)+IF(AND($E27=1,LR27=0),1000,0)+IF($H27=1,(IF('計算A'!CD$117=1,INDEX('計算A'!CD$10:CD$54,$B27),0)+IF('計算A'!CE$117=1,INDEX('計算A'!CF$10:CF$54,$B27),0))*500,0)-IF(AND('計算A'!CD$117=1,XB27&gt;0),300,0)-IF(AND($L27=1,'計算A'!CE$117=1,GD27=0),300,0))),1000000))</f>
        <v/>
      </c>
      <c r="RH27">
        <f>IF($B27=0,1000000,IF(INDEX('計算A'!$D$60:$EQ$104,$B27,81)*GD27=1,IF(AND($E27=2,LS27=0),1000000,IF($I27&gt;0,IF(4=$J27,IF(OR(AND(81=$I27+1,OR($K27&lt;&gt;'計算A'!$A$3,'計算A'!$A$4=0)),AND(81=$I27-1,OR(9&lt;&gt;'計算A'!$A$3,'計算A'!$A$4=0))),0,IF(9=$K27,200000,ABS(9-$K27)*100)),100000+ABS(4-$J27)*1000+90)+'計算A'!CF$5*50+IF(AND($E27=1,LS27=0),25,0),INDEX('計算A'!CF$110:CF$114,$F27+1)+IF(AND($E27=1,LS27=0),1000,0)+IF($H27=1,(IF('計算A'!CE$117=1,INDEX('計算A'!CE$10:CE$54,$B27),0)+IF('計算A'!CF$117=1,INDEX('計算A'!CG$10:CG$54,$B27),0))*500,0)-IF(AND('計算A'!CE$117=1,XC27&gt;0),300,0)-IF(AND($L27=1,'計算A'!CF$117=1,GE27=0),300,0))),1000000))</f>
        <v/>
      </c>
      <c r="RI27">
        <f>IF($B27=0,1000000,IF(INDEX('計算A'!$D$60:$EQ$104,$B27,82)*GE27=1,IF(AND($E27=2,LT27=0),1000000,IF($I27&gt;0,IF(4=$J27,IF(OR(AND(82=$I27+1,OR($K27&lt;&gt;'計算A'!$A$3,'計算A'!$A$4=0)),AND(82=$I27-1,OR(10&lt;&gt;'計算A'!$A$3,'計算A'!$A$4=0))),0,IF(10=$K27,200000,ABS(10-$K27)*100)),100000+ABS(4-$J27)*1000+100)+'計算A'!CG$5*50+IF(AND($E27=1,LT27=0),25,0),INDEX('計算A'!CG$110:CG$114,$F27+1)+IF(AND($E27=1,LT27=0),1000,0)+IF($H27=1,(IF('計算A'!CF$117=1,INDEX('計算A'!CF$10:CF$54,$B27),0)+IF('計算A'!CG$117=1,INDEX('計算A'!CH$10:CH$54,$B27),0))*500,0)-IF(AND('計算A'!CF$117=1,XD27&gt;0),300,0)-IF(AND($L27=1,'計算A'!CG$117=1,GF27=0),300,0))),1000000))</f>
        <v/>
      </c>
      <c r="RJ27">
        <f>IF($B27=0,1000000,IF(INDEX('計算A'!$D$60:$EQ$104,$B27,83)*GF27=1,IF(AND($E27=2,LU27=0),1000000,IF($I27&gt;0,IF(4=$J27,IF(OR(AND(83=$I27+1,OR($K27&lt;&gt;'計算A'!$A$3,'計算A'!$A$4=0)),AND(83=$I27-1,OR(11&lt;&gt;'計算A'!$A$3,'計算A'!$A$4=0))),0,IF(11=$K27,200000,ABS(11-$K27)*100)),100000+ABS(4-$J27)*1000+110)+'計算A'!CH$5*50+IF(AND($E27=1,LU27=0),25,0),INDEX('計算A'!CH$110:CH$114,$F27+1)+IF(AND($E27=1,LU27=0),1000,0)+IF($H27=1,(IF('計算A'!CG$117=1,INDEX('計算A'!CG$10:CG$54,$B27),0)+IF('計算A'!CH$117=1,INDEX('計算A'!CI$10:CI$54,$B27),0))*500,0)-IF(AND('計算A'!CG$117=1,XE27&gt;0),300,0)-IF(AND($L27=1,'計算A'!CH$117=1,GG27=0),300,0))),1000000))</f>
        <v/>
      </c>
      <c r="RK27">
        <f>IF($B27=0,1000000,IF(INDEX('計算A'!$D$60:$EQ$104,$B27,84)*GG27=1,IF(AND($E27=2,LV27=0),1000000,IF($I27&gt;0,IF(4=$J27,IF(OR(AND(84=$I27+1,OR($K27&lt;&gt;'計算A'!$A$3,'計算A'!$A$4=0)),AND(84=$I27-1,OR(12&lt;&gt;'計算A'!$A$3,'計算A'!$A$4=0))),0,IF(12=$K27,200000,ABS(12-$K27)*100)),100000+ABS(4-$J27)*1000+120)+'計算A'!CI$5*50+IF(AND($E27=1,LV27=0),25,0),INDEX('計算A'!CI$110:CI$114,$F27+1)+IF(AND($E27=1,LV27=0),1000,0)+IF($H27=1,(IF('計算A'!CH$117=1,INDEX('計算A'!CH$10:CH$54,$B27),0)+IF('計算A'!CI$117=1,INDEX('計算A'!CJ$10:CJ$54,$B27),0))*500,0)-IF(AND('計算A'!CH$117=1,XF27&gt;0),300,0)-IF(AND($L27=1,'計算A'!CI$117=1,GH27=0),300,0))),1000000))</f>
        <v/>
      </c>
      <c r="RL27">
        <f>IF($B27=0,1000000,IF(INDEX('計算A'!$D$60:$EQ$104,$B27,85)*GH27=1,IF(AND($E27=2,LW27=0),1000000,IF($I27&gt;0,IF(4=$J27,IF(OR(AND(85=$I27+1,OR($K27&lt;&gt;'計算A'!$A$3,'計算A'!$A$4=0)),AND(85=$I27-1,OR(13&lt;&gt;'計算A'!$A$3,'計算A'!$A$4=0))),0,IF(13=$K27,200000,ABS(13-$K27)*100)),100000+ABS(4-$J27)*1000+130)+'計算A'!CJ$5*50+IF(AND($E27=1,LW27=0),25,0),INDEX('計算A'!CJ$110:CJ$114,$F27+1)+IF(AND($E27=1,LW27=0),1000,0)+IF($H27=1,(IF('計算A'!CI$117=1,INDEX('計算A'!CI$10:CI$54,$B27),0)+IF('計算A'!CJ$117=1,INDEX('計算A'!CK$10:CK$54,$B27),0))*500,0)-IF(AND('計算A'!CI$117=1,XG27&gt;0),300,0)-IF(AND($L27=1,'計算A'!CJ$117=1,GI27=0),300,0))),1000000))</f>
        <v/>
      </c>
      <c r="RM27">
        <f>IF($B27=0,1000000,IF(INDEX('計算A'!$D$60:$EQ$104,$B27,86)*GI27=1,IF(AND($E27=2,LX27=0),1000000,IF($I27&gt;0,IF(4=$J27,IF(OR(AND(86=$I27+1,OR($K27&lt;&gt;'計算A'!$A$3,'計算A'!$A$4=0)),AND(86=$I27-1,OR(14&lt;&gt;'計算A'!$A$3,'計算A'!$A$4=0))),0,IF(14=$K27,200000,ABS(14-$K27)*100)),100000+ABS(4-$J27)*1000+140)+'計算A'!CK$5*50+IF(AND($E27=1,LX27=0),25,0),INDEX('計算A'!CK$110:CK$114,$F27+1)+IF(AND($E27=1,LX27=0),1000,0)+IF($H27=1,(IF('計算A'!CJ$117=1,INDEX('計算A'!CJ$10:CJ$54,$B27),0)+IF('計算A'!CK$117=1,INDEX('計算A'!CL$10:CL$54,$B27),0))*500,0)-IF(AND('計算A'!CJ$117=1,XH27&gt;0),300,0)-IF(AND($L27=1,'計算A'!CK$117=1,GJ27=0),300,0))),1000000))</f>
        <v/>
      </c>
      <c r="RN27">
        <f>IF($B27=0,1000000,IF(INDEX('計算A'!$D$60:$EQ$104,$B27,87)*GJ27=1,IF(AND($E27=2,LY27=0),1000000,IF($I27&gt;0,IF(4=$J27,IF(OR(AND(87=$I27+1,OR($K27&lt;&gt;'計算A'!$A$3,'計算A'!$A$4=0)),AND(87=$I27-1,OR(15&lt;&gt;'計算A'!$A$3,'計算A'!$A$4=0))),0,IF(15=$K27,200000,ABS(15-$K27)*100)),100000+ABS(4-$J27)*1000+150)+'計算A'!CL$5*50+IF(AND($E27=1,LY27=0),25,0),INDEX('計算A'!CL$110:CL$114,$F27+1)+IF(AND($E27=1,LY27=0),1000,0)+IF($H27=1,(IF('計算A'!CK$117=1,INDEX('計算A'!CK$10:CK$54,$B27),0)+IF('計算A'!CL$117=1,INDEX('計算A'!CM$10:CM$54,$B27),0))*500,0)-IF(AND('計算A'!CK$117=1,XI27&gt;0),300,0)-IF(AND($L27=1,'計算A'!CL$117=1,GK27=0),300,0))),1000000))</f>
        <v/>
      </c>
      <c r="RO27">
        <f>IF($B27=0,1000000,IF(INDEX('計算A'!$D$60:$EQ$104,$B27,88)*GK27=1,IF(AND($E27=2,LZ27=0),1000000,IF($I27&gt;0,IF(4=$J27,IF(OR(AND(88=$I27+1,OR($K27&lt;&gt;'計算A'!$A$3,'計算A'!$A$4=0)),AND(88=$I27-1,OR(16&lt;&gt;'計算A'!$A$3,'計算A'!$A$4=0))),0,IF(16=$K27,200000,ABS(16-$K27)*100)),100000+ABS(4-$J27)*1000+160)+'計算A'!CM$5*50+IF(AND($E27=1,LZ27=0),25,0),INDEX('計算A'!CM$110:CM$114,$F27+1)+IF(AND($E27=1,LZ27=0),1000,0)+IF($H27=1,(IF('計算A'!CL$117=1,INDEX('計算A'!CL$10:CL$54,$B27),0)+IF('計算A'!CM$117=1,INDEX('計算A'!CN$10:CN$54,$B27),0))*500,0)-IF(AND('計算A'!CL$117=1,XJ27&gt;0),300,0)-IF(AND($L27=1,'計算A'!CM$117=1,GL27=0),300,0))),1000000))</f>
        <v/>
      </c>
      <c r="RP27">
        <f>IF($B27=0,1000000,IF(INDEX('計算A'!$D$60:$EQ$104,$B27,89)*GL27=1,IF(AND($E27=2,MA27=0),1000000,IF($I27&gt;0,IF(4=$J27,IF(OR(AND(89=$I27+1,OR($K27&lt;&gt;'計算A'!$A$3,'計算A'!$A$4=0)),AND(89=$I27-1,OR(17&lt;&gt;'計算A'!$A$3,'計算A'!$A$4=0))),0,IF(17=$K27,200000,ABS(17-$K27)*100)),100000+ABS(4-$J27)*1000+170)+'計算A'!CN$5*50+IF(AND($E27=1,MA27=0),25,0),INDEX('計算A'!CN$110:CN$114,$F27+1)+IF(AND($E27=1,MA27=0),1000,0)+IF($H27=1,(IF('計算A'!CM$117=1,INDEX('計算A'!CM$10:CM$54,$B27),0)+IF('計算A'!CN$117=1,INDEX('計算A'!CO$10:CO$54,$B27),0))*500,0)-IF(AND('計算A'!CM$117=1,XK27&gt;0),300,0)-IF(AND($L27=1,'計算A'!CN$117=1,GM27=0),300,0))),1000000))</f>
        <v/>
      </c>
      <c r="RQ27">
        <f>IF($B27=0,1000000,IF(INDEX('計算A'!$D$60:$EQ$104,$B27,90)*GM27=1,IF(AND($E27=2,MB27=0),1000000,IF($I27&gt;0,IF(4=$J27,IF(OR(AND(90=$I27+1,OR($K27&lt;&gt;'計算A'!$A$3,'計算A'!$A$4=0)),AND(90=$I27-1,OR(18&lt;&gt;'計算A'!$A$3,'計算A'!$A$4=0))),0,IF(18=$K27,200000,ABS(18-$K27)*100)),100000+ABS(4-$J27)*1000+180)+'計算A'!CO$5*50+IF(AND($E27=1,MB27=0),25,0),INDEX('計算A'!CO$110:CO$114,$F27+1)+IF(AND($E27=1,MB27=0),1000,0)+IF($H27=1,(IF('計算A'!CN$117=1,INDEX('計算A'!CN$10:CN$54,$B27),0)+IF('計算A'!CO$117=1,INDEX('計算A'!CP$10:CP$54,$B27),0))*500,0)-IF(AND('計算A'!CN$117=1,XL27&gt;0),300,0)-IF(AND($L27=1,'計算A'!CO$117=1,GN27=0),300,0))),1000000))</f>
        <v/>
      </c>
      <c r="RR27">
        <f>IF($B27=0,1000000,IF(INDEX('計算A'!$D$60:$EQ$104,$B27,91)*GN27=1,IF(AND($E27=2,MC27=0),1000000,IF($I27&gt;0,IF(4=$J27,IF(OR(AND(91=$I27+1,OR($K27&lt;&gt;'計算A'!$A$3,'計算A'!$A$4=0)),AND(91=$I27-1,OR(19&lt;&gt;'計算A'!$A$3,'計算A'!$A$4=0))),0,IF(19=$K27,200000,ABS(19-$K27)*100)),100000+ABS(4-$J27)*1000+190)+'計算A'!CP$5*50+IF(AND($E27=1,MC27=0),25,0),INDEX('計算A'!CP$110:CP$114,$F27+1)+IF(AND($E27=1,MC27=0),1000,0)+IF($H27=1,(IF('計算A'!CO$117=1,INDEX('計算A'!CO$10:CO$54,$B27),0)+IF('計算A'!CP$117=1,INDEX('計算A'!CQ$10:CQ$54,$B27),0))*500,0)-IF(AND('計算A'!CO$117=1,XM27&gt;0),300,0)-IF(AND($L27=1,'計算A'!CP$117=1,GO27=0),300,0))),1000000))</f>
        <v/>
      </c>
      <c r="RS27">
        <f>IF($B27=0,1000000,IF(INDEX('計算A'!$D$60:$EQ$104,$B27,92)*GO27=1,IF(AND($E27=2,MD27=0),1000000,IF($I27&gt;0,IF(4=$J27,IF(OR(AND(92=$I27+1,OR($K27&lt;&gt;'計算A'!$A$3,'計算A'!$A$4=0)),AND(92=$I27-1,OR(20&lt;&gt;'計算A'!$A$3,'計算A'!$A$4=0))),0,IF(20=$K27,200000,ABS(20-$K27)*100)),100000+ABS(4-$J27)*1000+200)+'計算A'!CQ$5*50+IF(AND($E27=1,MD27=0),25,0),INDEX('計算A'!CQ$110:CQ$114,$F27+1)+IF(AND($E27=1,MD27=0),1000,0)+IF($H27=1,(IF('計算A'!CP$117=1,INDEX('計算A'!CP$10:CP$54,$B27),0)+IF('計算A'!CQ$117=1,INDEX('計算A'!CR$10:CR$54,$B27),0))*500,0)-IF(AND('計算A'!CP$117=1,XN27&gt;0),300,0)-IF(AND($L27=1,'計算A'!CQ$117=1,GP27=0),300,0))),1000000))</f>
        <v/>
      </c>
      <c r="RT27">
        <f>IF($B27=0,1000000,IF(INDEX('計算A'!$D$60:$EQ$104,$B27,93)*GP27=1,IF(AND($E27=2,ME27=0),1000000,IF($I27&gt;0,IF(4=$J27,IF(OR(AND(93=$I27+1,OR($K27&lt;&gt;'計算A'!$A$3,'計算A'!$A$4=0)),AND(93=$I27-1,OR(21&lt;&gt;'計算A'!$A$3,'計算A'!$A$4=0))),0,IF(21=$K27,200000,ABS(21-$K27)*100)),100000+ABS(4-$J27)*1000+210)+'計算A'!CR$5*50+IF(AND($E27=1,ME27=0),25,0),INDEX('計算A'!CR$110:CR$114,$F27+1)+IF(AND($E27=1,ME27=0),1000,0)+IF($H27=1,(IF('計算A'!CQ$117=1,INDEX('計算A'!CQ$10:CQ$54,$B27),0)+IF('計算A'!CR$117=1,INDEX('計算A'!CS$10:CS$54,$B27),0))*500,0)-IF(AND('計算A'!CQ$117=1,XO27&gt;0),300,0)-IF(AND($L27=1,'計算A'!CR$117=1,GQ27=0),300,0))),1000000))</f>
        <v/>
      </c>
      <c r="RU27">
        <f>IF($B27=0,1000000,IF(INDEX('計算A'!$D$60:$EQ$104,$B27,94)*GQ27=1,IF(AND($E27=2,MF27=0),1000000,IF($I27&gt;0,IF(4=$J27,IF(OR(AND(94=$I27+1,OR($K27&lt;&gt;'計算A'!$A$3,'計算A'!$A$4=0)),AND(94=$I27-1,OR(22&lt;&gt;'計算A'!$A$3,'計算A'!$A$4=0))),0,IF(22=$K27,200000,ABS(22-$K27)*100)),100000+ABS(4-$J27)*1000+220)+'計算A'!CS$5*50+IF(AND($E27=1,MF27=0),25,0),INDEX('計算A'!CS$110:CS$114,$F27+1)+IF(AND($E27=1,MF27=0),1000,0)+IF($H27=1,(IF('計算A'!CR$117=1,INDEX('計算A'!CR$10:CR$54,$B27),0)+IF('計算A'!CS$117=1,INDEX('計算A'!CT$10:CT$54,$B27),0))*500,0)-IF(AND('計算A'!CR$117=1,XP27&gt;0),300,0)-IF(AND($L27=1,'計算A'!CS$117=1,GR27=0),300,0))),1000000))</f>
        <v/>
      </c>
      <c r="RV27">
        <f>IF($B27=0,1000000,IF(INDEX('計算A'!$D$60:$EQ$104,$B27,95)*GR27=1,IF(AND($E27=2,MG27=0),1000000,IF($I27&gt;0,IF(4=$J27,IF(OR(AND(95=$I27+1,OR($K27&lt;&gt;'計算A'!$A$3,'計算A'!$A$4=0)),AND(95=$I27-1,OR(23&lt;&gt;'計算A'!$A$3,'計算A'!$A$4=0))),0,IF(23=$K27,200000,ABS(23-$K27)*100)),100000+ABS(4-$J27)*1000+230)+'計算A'!CT$5*50+IF(AND($E27=1,MG27=0),25,0),INDEX('計算A'!CT$110:CT$114,$F27+1)+IF(AND($E27=1,MG27=0),1000,0)+IF($H27=1,(IF('計算A'!CS$117=1,INDEX('計算A'!CS$10:CS$54,$B27),0)+IF('計算A'!CT$117=1,INDEX('計算A'!CU$10:CU$54,$B27),0))*500,0)-IF(AND('計算A'!CS$117=1,XQ27&gt;0),300,0)-IF(AND($L27=1,'計算A'!CT$117=1,GS27=0),300,0))),1000000))</f>
        <v/>
      </c>
      <c r="RW27">
        <f>IF($B27=0,1000000,IF(INDEX('計算A'!$D$60:$EQ$104,$B27,96)*GS27=1,IF(AND($E27=2,MH27=0),1000000,IF($I27&gt;0,IF(4=$J27,IF(OR(AND(96=$I27+1,OR($K27&lt;&gt;'計算A'!$A$3,'計算A'!$A$4=0)),AND(96=$I27-1,OR(24&lt;&gt;'計算A'!$A$3,'計算A'!$A$4=0))),0,IF(24=$K27,200000,ABS(24-$K27)*100)),100000+ABS(4-$J27)*1000+240)+'計算A'!CU$5*50+IF(AND($E27=1,MH27=0),25,0),INDEX('計算A'!CU$110:CU$114,$F27+1)+IF(AND($E27=1,MH27=0),1000,0)+IF($H27=1,(IF('計算A'!CT$117=1,INDEX('計算A'!CT$10:CT$54,$B27),0))*500,0)-IF(AND('計算A'!CT$117=1,XR27&gt;0),300,0))),1000000))</f>
        <v/>
      </c>
      <c r="RX27">
        <f>IF($B27=0,1000000,IF(INDEX('計算A'!$D$60:$EQ$104,$B27,97)*GT27=1,IF(AND($E27=2,MI27=0),1000000,IF($I27&gt;0,IF(5=$J27,IF(OR(AND(97=$I27+1,OR($K27&lt;&gt;'計算A'!$A$3,'計算A'!$A$4=0)),AND(97=$I27-1,OR(1&lt;&gt;'計算A'!$A$3,'計算A'!$A$4=0))),0,IF(1=$K27,200000,ABS(1-$K27)*100)),100000+ABS(5-$J27)*1000+10)+'計算A'!CV$5*50+IF(AND($E27=1,MI27=0),25,0),INDEX('計算A'!CV$110:CV$114,$F27+1)+IF(AND($E27=1,MI27=0),1000,0)+IF($H27=1,(IF('計算A'!CV$117=1,INDEX('計算A'!CW$10:CW$54,$B27),0))*500,0)-IF(AND($L27=1,'計算A'!CV$117=1,GU27=0),300,0))),1000000))</f>
        <v/>
      </c>
      <c r="RY27">
        <f>IF($B27=0,1000000,IF(INDEX('計算A'!$D$60:$EQ$104,$B27,98)*GU27=1,IF(AND($E27=2,MJ27=0),1000000,IF($I27&gt;0,IF(5=$J27,IF(OR(AND(98=$I27+1,OR($K27&lt;&gt;'計算A'!$A$3,'計算A'!$A$4=0)),AND(98=$I27-1,OR(2&lt;&gt;'計算A'!$A$3,'計算A'!$A$4=0))),0,IF(2=$K27,200000,ABS(2-$K27)*100)),100000+ABS(5-$J27)*1000+20)+'計算A'!CW$5*50+IF(AND($E27=1,MJ27=0),25,0),INDEX('計算A'!CW$110:CW$114,$F27+1)+IF(AND($E27=1,MJ27=0),1000,0)+IF($H27=1,(IF('計算A'!CV$117=1,INDEX('計算A'!CV$10:CV$54,$B27),0)+IF('計算A'!CW$117=1,INDEX('計算A'!CX$10:CX$54,$B27),0))*500,0)-IF(AND('計算A'!CV$117=1,XT27&gt;0),300,0)-IF(AND($L27=1,'計算A'!CW$117=1,GV27=0),300,0))),1000000))</f>
        <v/>
      </c>
      <c r="RZ27">
        <f>IF($B27=0,1000000,IF(INDEX('計算A'!$D$60:$EQ$104,$B27,99)*GV27=1,IF(AND($E27=2,MK27=0),1000000,IF($I27&gt;0,IF(5=$J27,IF(OR(AND(99=$I27+1,OR($K27&lt;&gt;'計算A'!$A$3,'計算A'!$A$4=0)),AND(99=$I27-1,OR(3&lt;&gt;'計算A'!$A$3,'計算A'!$A$4=0))),0,IF(3=$K27,200000,ABS(3-$K27)*100)),100000+ABS(5-$J27)*1000+30)+'計算A'!CX$5*50+IF(AND($E27=1,MK27=0),25,0),INDEX('計算A'!CX$110:CX$114,$F27+1)+IF(AND($E27=1,MK27=0),1000,0)+IF($H27=1,(IF('計算A'!CW$117=1,INDEX('計算A'!CW$10:CW$54,$B27),0)+IF('計算A'!CX$117=1,INDEX('計算A'!CY$10:CY$54,$B27),0))*500,0)-IF(AND('計算A'!CW$117=1,XU27&gt;0),300,0)-IF(AND($L27=1,'計算A'!CX$117=1,GW27=0),300,0))),1000000))</f>
        <v/>
      </c>
      <c r="SA27">
        <f>IF($B27=0,1000000,IF(INDEX('計算A'!$D$60:$EQ$104,$B27,100)*GW27=1,IF(AND($E27=2,ML27=0),1000000,IF($I27&gt;0,IF(5=$J27,IF(OR(AND(100=$I27+1,OR($K27&lt;&gt;'計算A'!$A$3,'計算A'!$A$4=0)),AND(100=$I27-1,OR(4&lt;&gt;'計算A'!$A$3,'計算A'!$A$4=0))),0,IF(4=$K27,200000,ABS(4-$K27)*100)),100000+ABS(5-$J27)*1000+40)+'計算A'!CY$5*50+IF(AND($E27=1,ML27=0),25,0),INDEX('計算A'!CY$110:CY$114,$F27+1)+IF(AND($E27=1,ML27=0),1000,0)+IF($H27=1,(IF('計算A'!CX$117=1,INDEX('計算A'!CX$10:CX$54,$B27),0)+IF('計算A'!CY$117=1,INDEX('計算A'!CZ$10:CZ$54,$B27),0))*500,0)-IF(AND('計算A'!CX$117=1,XV27&gt;0),300,0)-IF(AND($L27=1,'計算A'!CY$117=1,GX27=0),300,0))),1000000))</f>
        <v/>
      </c>
      <c r="SB27">
        <f>IF($B27=0,1000000,IF(INDEX('計算A'!$D$60:$EQ$104,$B27,101)*GX27=1,IF(AND($E27=2,MM27=0),1000000,IF($I27&gt;0,IF(5=$J27,IF(OR(AND(101=$I27+1,OR($K27&lt;&gt;'計算A'!$A$3,'計算A'!$A$4=0)),AND(101=$I27-1,OR(5&lt;&gt;'計算A'!$A$3,'計算A'!$A$4=0))),0,IF(5=$K27,200000,ABS(5-$K27)*100)),100000+ABS(5-$J27)*1000+50)+'計算A'!CZ$5*50+IF(AND($E27=1,MM27=0),25,0),INDEX('計算A'!CZ$110:CZ$114,$F27+1)+IF(AND($E27=1,MM27=0),1000,0)+IF($H27=1,(IF('計算A'!CY$117=1,INDEX('計算A'!CY$10:CY$54,$B27),0)+IF('計算A'!CZ$117=1,INDEX('計算A'!DA$10:DA$54,$B27),0))*500,0)-IF(AND('計算A'!CY$117=1,XW27&gt;0),300,0)-IF(AND($L27=1,'計算A'!CZ$117=1,GY27=0),300,0))),1000000))</f>
        <v/>
      </c>
      <c r="SC27">
        <f>IF($B27=0,1000000,IF(INDEX('計算A'!$D$60:$EQ$104,$B27,102)*GY27=1,IF(AND($E27=2,MN27=0),1000000,IF($I27&gt;0,IF(5=$J27,IF(OR(AND(102=$I27+1,OR($K27&lt;&gt;'計算A'!$A$3,'計算A'!$A$4=0)),AND(102=$I27-1,OR(6&lt;&gt;'計算A'!$A$3,'計算A'!$A$4=0))),0,IF(6=$K27,200000,ABS(6-$K27)*100)),100000+ABS(5-$J27)*1000+60)+'計算A'!DA$5*50+IF(AND($E27=1,MN27=0),25,0),INDEX('計算A'!DA$110:DA$114,$F27+1)+IF(AND($E27=1,MN27=0),1000,0)+IF($H27=1,(IF('計算A'!CZ$117=1,INDEX('計算A'!CZ$10:CZ$54,$B27),0)+IF('計算A'!DA$117=1,INDEX('計算A'!DB$10:DB$54,$B27),0))*500,0)-IF(AND('計算A'!CZ$117=1,XX27&gt;0),300,0)-IF(AND($L27=1,'計算A'!DA$117=1,GZ27=0),300,0))),1000000))</f>
        <v/>
      </c>
      <c r="SD27">
        <f>IF($B27=0,1000000,IF(INDEX('計算A'!$D$60:$EQ$104,$B27,103)*GZ27=1,IF(AND($E27=2,MO27=0),1000000,IF($I27&gt;0,IF(5=$J27,IF(OR(AND(103=$I27+1,OR($K27&lt;&gt;'計算A'!$A$3,'計算A'!$A$4=0)),AND(103=$I27-1,OR(7&lt;&gt;'計算A'!$A$3,'計算A'!$A$4=0))),0,IF(7=$K27,200000,ABS(7-$K27)*100)),100000+ABS(5-$J27)*1000+70)+'計算A'!DB$5*50+IF(AND($E27=1,MO27=0),25,0),INDEX('計算A'!DB$110:DB$114,$F27+1)+IF(AND($E27=1,MO27=0),1000,0)+IF($H27=1,(IF('計算A'!DA$117=1,INDEX('計算A'!DA$10:DA$54,$B27),0)+IF('計算A'!DB$117=1,INDEX('計算A'!DC$10:DC$54,$B27),0))*500,0)-IF(AND('計算A'!DA$117=1,XY27&gt;0),300,0)-IF(AND($L27=1,'計算A'!DB$117=1,HA27=0),300,0))),1000000))</f>
        <v/>
      </c>
      <c r="SE27">
        <f>IF($B27=0,1000000,IF(INDEX('計算A'!$D$60:$EQ$104,$B27,104)*HA27=1,IF(AND($E27=2,MP27=0),1000000,IF($I27&gt;0,IF(5=$J27,IF(OR(AND(104=$I27+1,OR($K27&lt;&gt;'計算A'!$A$3,'計算A'!$A$4=0)),AND(104=$I27-1,OR(8&lt;&gt;'計算A'!$A$3,'計算A'!$A$4=0))),0,IF(8=$K27,200000,ABS(8-$K27)*100)),100000+ABS(5-$J27)*1000+80)+'計算A'!DC$5*50+IF(AND($E27=1,MP27=0),25,0),INDEX('計算A'!DC$110:DC$114,$F27+1)+IF(AND($E27=1,MP27=0),1000,0)+IF($H27=1,(IF('計算A'!DB$117=1,INDEX('計算A'!DB$10:DB$54,$B27),0)+IF('計算A'!DC$117=1,INDEX('計算A'!DD$10:DD$54,$B27),0))*500,0)-IF(AND('計算A'!DB$117=1,XZ27&gt;0),300,0)-IF(AND($L27=1,'計算A'!DC$117=1,HB27=0),300,0))),1000000))</f>
        <v/>
      </c>
      <c r="SF27">
        <f>IF($B27=0,1000000,IF(INDEX('計算A'!$D$60:$EQ$104,$B27,105)*HB27=1,IF(AND($E27=2,MQ27=0),1000000,IF($I27&gt;0,IF(5=$J27,IF(OR(AND(105=$I27+1,OR($K27&lt;&gt;'計算A'!$A$3,'計算A'!$A$4=0)),AND(105=$I27-1,OR(9&lt;&gt;'計算A'!$A$3,'計算A'!$A$4=0))),0,IF(9=$K27,200000,ABS(9-$K27)*100)),100000+ABS(5-$J27)*1000+90)+'計算A'!DD$5*50+IF(AND($E27=1,MQ27=0),25,0),INDEX('計算A'!DD$110:DD$114,$F27+1)+IF(AND($E27=1,MQ27=0),1000,0)+IF($H27=1,(IF('計算A'!DC$117=1,INDEX('計算A'!DC$10:DC$54,$B27),0)+IF('計算A'!DD$117=1,INDEX('計算A'!DE$10:DE$54,$B27),0))*500,0)-IF(AND('計算A'!DC$117=1,YA27&gt;0),300,0)-IF(AND($L27=1,'計算A'!DD$117=1,HC27=0),300,0))),1000000))</f>
        <v/>
      </c>
      <c r="SG27">
        <f>IF($B27=0,1000000,IF(INDEX('計算A'!$D$60:$EQ$104,$B27,106)*HC27=1,IF(AND($E27=2,MR27=0),1000000,IF($I27&gt;0,IF(5=$J27,IF(OR(AND(106=$I27+1,OR($K27&lt;&gt;'計算A'!$A$3,'計算A'!$A$4=0)),AND(106=$I27-1,OR(10&lt;&gt;'計算A'!$A$3,'計算A'!$A$4=0))),0,IF(10=$K27,200000,ABS(10-$K27)*100)),100000+ABS(5-$J27)*1000+100)+'計算A'!DE$5*50+IF(AND($E27=1,MR27=0),25,0),INDEX('計算A'!DE$110:DE$114,$F27+1)+IF(AND($E27=1,MR27=0),1000,0)+IF($H27=1,(IF('計算A'!DD$117=1,INDEX('計算A'!DD$10:DD$54,$B27),0)+IF('計算A'!DE$117=1,INDEX('計算A'!DF$10:DF$54,$B27),0))*500,0)-IF(AND('計算A'!DD$117=1,YB27&gt;0),300,0)-IF(AND($L27=1,'計算A'!DE$117=1,HD27=0),300,0))),1000000))</f>
        <v/>
      </c>
      <c r="SH27">
        <f>IF($B27=0,1000000,IF(INDEX('計算A'!$D$60:$EQ$104,$B27,107)*HD27=1,IF(AND($E27=2,MS27=0),1000000,IF($I27&gt;0,IF(5=$J27,IF(OR(AND(107=$I27+1,OR($K27&lt;&gt;'計算A'!$A$3,'計算A'!$A$4=0)),AND(107=$I27-1,OR(11&lt;&gt;'計算A'!$A$3,'計算A'!$A$4=0))),0,IF(11=$K27,200000,ABS(11-$K27)*100)),100000+ABS(5-$J27)*1000+110)+'計算A'!DF$5*50+IF(AND($E27=1,MS27=0),25,0),INDEX('計算A'!DF$110:DF$114,$F27+1)+IF(AND($E27=1,MS27=0),1000,0)+IF($H27=1,(IF('計算A'!DE$117=1,INDEX('計算A'!DE$10:DE$54,$B27),0)+IF('計算A'!DF$117=1,INDEX('計算A'!DG$10:DG$54,$B27),0))*500,0)-IF(AND('計算A'!DE$117=1,YC27&gt;0),300,0)-IF(AND($L27=1,'計算A'!DF$117=1,HE27=0),300,0))),1000000))</f>
        <v/>
      </c>
      <c r="SI27">
        <f>IF($B27=0,1000000,IF(INDEX('計算A'!$D$60:$EQ$104,$B27,108)*HE27=1,IF(AND($E27=2,MT27=0),1000000,IF($I27&gt;0,IF(5=$J27,IF(OR(AND(108=$I27+1,OR($K27&lt;&gt;'計算A'!$A$3,'計算A'!$A$4=0)),AND(108=$I27-1,OR(12&lt;&gt;'計算A'!$A$3,'計算A'!$A$4=0))),0,IF(12=$K27,200000,ABS(12-$K27)*100)),100000+ABS(5-$J27)*1000+120)+'計算A'!DG$5*50+IF(AND($E27=1,MT27=0),25,0),INDEX('計算A'!DG$110:DG$114,$F27+1)+IF(AND($E27=1,MT27=0),1000,0)+IF($H27=1,(IF('計算A'!DF$117=1,INDEX('計算A'!DF$10:DF$54,$B27),0)+IF('計算A'!DG$117=1,INDEX('計算A'!DH$10:DH$54,$B27),0))*500,0)-IF(AND('計算A'!DF$117=1,YD27&gt;0),300,0)-IF(AND($L27=1,'計算A'!DG$117=1,HF27=0),300,0))),1000000))</f>
        <v/>
      </c>
      <c r="SJ27">
        <f>IF($B27=0,1000000,IF(INDEX('計算A'!$D$60:$EQ$104,$B27,109)*HF27=1,IF(AND($E27=2,MU27=0),1000000,IF($I27&gt;0,IF(5=$J27,IF(OR(AND(109=$I27+1,OR($K27&lt;&gt;'計算A'!$A$3,'計算A'!$A$4=0)),AND(109=$I27-1,OR(13&lt;&gt;'計算A'!$A$3,'計算A'!$A$4=0))),0,IF(13=$K27,200000,ABS(13-$K27)*100)),100000+ABS(5-$J27)*1000+130)+'計算A'!DH$5*50+IF(AND($E27=1,MU27=0),25,0),INDEX('計算A'!DH$110:DH$114,$F27+1)+IF(AND($E27=1,MU27=0),1000,0)+IF($H27=1,(IF('計算A'!DG$117=1,INDEX('計算A'!DG$10:DG$54,$B27),0)+IF('計算A'!DH$117=1,INDEX('計算A'!DI$10:DI$54,$B27),0))*500,0)-IF(AND('計算A'!DG$117=1,YE27&gt;0),300,0)-IF(AND($L27=1,'計算A'!DH$117=1,HG27=0),300,0))),1000000))</f>
        <v/>
      </c>
      <c r="SK27">
        <f>IF($B27=0,1000000,IF(INDEX('計算A'!$D$60:$EQ$104,$B27,110)*HG27=1,IF(AND($E27=2,MV27=0),1000000,IF($I27&gt;0,IF(5=$J27,IF(OR(AND(110=$I27+1,OR($K27&lt;&gt;'計算A'!$A$3,'計算A'!$A$4=0)),AND(110=$I27-1,OR(14&lt;&gt;'計算A'!$A$3,'計算A'!$A$4=0))),0,IF(14=$K27,200000,ABS(14-$K27)*100)),100000+ABS(5-$J27)*1000+140)+'計算A'!DI$5*50+IF(AND($E27=1,MV27=0),25,0),INDEX('計算A'!DI$110:DI$114,$F27+1)+IF(AND($E27=1,MV27=0),1000,0)+IF($H27=1,(IF('計算A'!DH$117=1,INDEX('計算A'!DH$10:DH$54,$B27),0)+IF('計算A'!DI$117=1,INDEX('計算A'!DJ$10:DJ$54,$B27),0))*500,0)-IF(AND('計算A'!DH$117=1,YF27&gt;0),300,0)-IF(AND($L27=1,'計算A'!DI$117=1,HH27=0),300,0))),1000000))</f>
        <v/>
      </c>
      <c r="SL27">
        <f>IF($B27=0,1000000,IF(INDEX('計算A'!$D$60:$EQ$104,$B27,111)*HH27=1,IF(AND($E27=2,MW27=0),1000000,IF($I27&gt;0,IF(5=$J27,IF(OR(AND(111=$I27+1,OR($K27&lt;&gt;'計算A'!$A$3,'計算A'!$A$4=0)),AND(111=$I27-1,OR(15&lt;&gt;'計算A'!$A$3,'計算A'!$A$4=0))),0,IF(15=$K27,200000,ABS(15-$K27)*100)),100000+ABS(5-$J27)*1000+150)+'計算A'!DJ$5*50+IF(AND($E27=1,MW27=0),25,0),INDEX('計算A'!DJ$110:DJ$114,$F27+1)+IF(AND($E27=1,MW27=0),1000,0)+IF($H27=1,(IF('計算A'!DI$117=1,INDEX('計算A'!DI$10:DI$54,$B27),0)+IF('計算A'!DJ$117=1,INDEX('計算A'!DK$10:DK$54,$B27),0))*500,0)-IF(AND('計算A'!DI$117=1,YG27&gt;0),300,0)-IF(AND($L27=1,'計算A'!DJ$117=1,HI27=0),300,0))),1000000))</f>
        <v/>
      </c>
      <c r="SM27">
        <f>IF($B27=0,1000000,IF(INDEX('計算A'!$D$60:$EQ$104,$B27,112)*HI27=1,IF(AND($E27=2,MX27=0),1000000,IF($I27&gt;0,IF(5=$J27,IF(OR(AND(112=$I27+1,OR($K27&lt;&gt;'計算A'!$A$3,'計算A'!$A$4=0)),AND(112=$I27-1,OR(16&lt;&gt;'計算A'!$A$3,'計算A'!$A$4=0))),0,IF(16=$K27,200000,ABS(16-$K27)*100)),100000+ABS(5-$J27)*1000+160)+'計算A'!DK$5*50+IF(AND($E27=1,MX27=0),25,0),INDEX('計算A'!DK$110:DK$114,$F27+1)+IF(AND($E27=1,MX27=0),1000,0)+IF($H27=1,(IF('計算A'!DJ$117=1,INDEX('計算A'!DJ$10:DJ$54,$B27),0)+IF('計算A'!DK$117=1,INDEX('計算A'!DL$10:DL$54,$B27),0))*500,0)-IF(AND('計算A'!DJ$117=1,YH27&gt;0),300,0)-IF(AND($L27=1,'計算A'!DK$117=1,HJ27=0),300,0))),1000000))</f>
        <v/>
      </c>
      <c r="SN27">
        <f>IF($B27=0,1000000,IF(INDEX('計算A'!$D$60:$EQ$104,$B27,113)*HJ27=1,IF(AND($E27=2,MY27=0),1000000,IF($I27&gt;0,IF(5=$J27,IF(OR(AND(113=$I27+1,OR($K27&lt;&gt;'計算A'!$A$3,'計算A'!$A$4=0)),AND(113=$I27-1,OR(17&lt;&gt;'計算A'!$A$3,'計算A'!$A$4=0))),0,IF(17=$K27,200000,ABS(17-$K27)*100)),100000+ABS(5-$J27)*1000+170)+'計算A'!DL$5*50+IF(AND($E27=1,MY27=0),25,0),INDEX('計算A'!DL$110:DL$114,$F27+1)+IF(AND($E27=1,MY27=0),1000,0)+IF($H27=1,(IF('計算A'!DK$117=1,INDEX('計算A'!DK$10:DK$54,$B27),0)+IF('計算A'!DL$117=1,INDEX('計算A'!DM$10:DM$54,$B27),0))*500,0)-IF(AND('計算A'!DK$117=1,YI27&gt;0),300,0)-IF(AND($L27=1,'計算A'!DL$117=1,HK27=0),300,0))),1000000))</f>
        <v/>
      </c>
      <c r="SO27">
        <f>IF($B27=0,1000000,IF(INDEX('計算A'!$D$60:$EQ$104,$B27,114)*HK27=1,IF(AND($E27=2,MZ27=0),1000000,IF($I27&gt;0,IF(5=$J27,IF(OR(AND(114=$I27+1,OR($K27&lt;&gt;'計算A'!$A$3,'計算A'!$A$4=0)),AND(114=$I27-1,OR(18&lt;&gt;'計算A'!$A$3,'計算A'!$A$4=0))),0,IF(18=$K27,200000,ABS(18-$K27)*100)),100000+ABS(5-$J27)*1000+180)+'計算A'!DM$5*50+IF(AND($E27=1,MZ27=0),25,0),INDEX('計算A'!DM$110:DM$114,$F27+1)+IF(AND($E27=1,MZ27=0),1000,0)+IF($H27=1,(IF('計算A'!DL$117=1,INDEX('計算A'!DL$10:DL$54,$B27),0)+IF('計算A'!DM$117=1,INDEX('計算A'!DN$10:DN$54,$B27),0))*500,0)-IF(AND('計算A'!DL$117=1,YJ27&gt;0),300,0)-IF(AND($L27=1,'計算A'!DM$117=1,HL27=0),300,0))),1000000))</f>
        <v/>
      </c>
      <c r="SP27">
        <f>IF($B27=0,1000000,IF(INDEX('計算A'!$D$60:$EQ$104,$B27,115)*HL27=1,IF(AND($E27=2,NA27=0),1000000,IF($I27&gt;0,IF(5=$J27,IF(OR(AND(115=$I27+1,OR($K27&lt;&gt;'計算A'!$A$3,'計算A'!$A$4=0)),AND(115=$I27-1,OR(19&lt;&gt;'計算A'!$A$3,'計算A'!$A$4=0))),0,IF(19=$K27,200000,ABS(19-$K27)*100)),100000+ABS(5-$J27)*1000+190)+'計算A'!DN$5*50+IF(AND($E27=1,NA27=0),25,0),INDEX('計算A'!DN$110:DN$114,$F27+1)+IF(AND($E27=1,NA27=0),1000,0)+IF($H27=1,(IF('計算A'!DM$117=1,INDEX('計算A'!DM$10:DM$54,$B27),0)+IF('計算A'!DN$117=1,INDEX('計算A'!DO$10:DO$54,$B27),0))*500,0)-IF(AND('計算A'!DM$117=1,YK27&gt;0),300,0)-IF(AND($L27=1,'計算A'!DN$117=1,HM27=0),300,0))),1000000))</f>
        <v/>
      </c>
      <c r="SQ27">
        <f>IF($B27=0,1000000,IF(INDEX('計算A'!$D$60:$EQ$104,$B27,116)*HM27=1,IF(AND($E27=2,NB27=0),1000000,IF($I27&gt;0,IF(5=$J27,IF(OR(AND(116=$I27+1,OR($K27&lt;&gt;'計算A'!$A$3,'計算A'!$A$4=0)),AND(116=$I27-1,OR(20&lt;&gt;'計算A'!$A$3,'計算A'!$A$4=0))),0,IF(20=$K27,200000,ABS(20-$K27)*100)),100000+ABS(5-$J27)*1000+200)+'計算A'!DO$5*50+IF(AND($E27=1,NB27=0),25,0),INDEX('計算A'!DO$110:DO$114,$F27+1)+IF(AND($E27=1,NB27=0),1000,0)+IF($H27=1,(IF('計算A'!DN$117=1,INDEX('計算A'!DN$10:DN$54,$B27),0)+IF('計算A'!DO$117=1,INDEX('計算A'!DP$10:DP$54,$B27),0))*500,0)-IF(AND('計算A'!DN$117=1,YL27&gt;0),300,0)-IF(AND($L27=1,'計算A'!DO$117=1,HN27=0),300,0))),1000000))</f>
        <v/>
      </c>
      <c r="SR27">
        <f>IF($B27=0,1000000,IF(INDEX('計算A'!$D$60:$EQ$104,$B27,117)*HN27=1,IF(AND($E27=2,NC27=0),1000000,IF($I27&gt;0,IF(5=$J27,IF(OR(AND(117=$I27+1,OR($K27&lt;&gt;'計算A'!$A$3,'計算A'!$A$4=0)),AND(117=$I27-1,OR(21&lt;&gt;'計算A'!$A$3,'計算A'!$A$4=0))),0,IF(21=$K27,200000,ABS(21-$K27)*100)),100000+ABS(5-$J27)*1000+210)+'計算A'!DP$5*50+IF(AND($E27=1,NC27=0),25,0),INDEX('計算A'!DP$110:DP$114,$F27+1)+IF(AND($E27=1,NC27=0),1000,0)+IF($H27=1,(IF('計算A'!DO$117=1,INDEX('計算A'!DO$10:DO$54,$B27),0)+IF('計算A'!DP$117=1,INDEX('計算A'!DQ$10:DQ$54,$B27),0))*500,0)-IF(AND('計算A'!DO$117=1,YM27&gt;0),300,0)-IF(AND($L27=1,'計算A'!DP$117=1,HO27=0),300,0))),1000000))</f>
        <v/>
      </c>
      <c r="SS27">
        <f>IF($B27=0,1000000,IF(INDEX('計算A'!$D$60:$EQ$104,$B27,118)*HO27=1,IF(AND($E27=2,ND27=0),1000000,IF($I27&gt;0,IF(5=$J27,IF(OR(AND(118=$I27+1,OR($K27&lt;&gt;'計算A'!$A$3,'計算A'!$A$4=0)),AND(118=$I27-1,OR(22&lt;&gt;'計算A'!$A$3,'計算A'!$A$4=0))),0,IF(22=$K27,200000,ABS(22-$K27)*100)),100000+ABS(5-$J27)*1000+220)+'計算A'!DQ$5*50+IF(AND($E27=1,ND27=0),25,0),INDEX('計算A'!DQ$110:DQ$114,$F27+1)+IF(AND($E27=1,ND27=0),1000,0)+IF($H27=1,(IF('計算A'!DP$117=1,INDEX('計算A'!DP$10:DP$54,$B27),0)+IF('計算A'!DQ$117=1,INDEX('計算A'!DR$10:DR$54,$B27),0))*500,0)-IF(AND('計算A'!DP$117=1,YN27&gt;0),300,0)-IF(AND($L27=1,'計算A'!DQ$117=1,HP27=0),300,0))),1000000))</f>
        <v/>
      </c>
      <c r="ST27">
        <f>IF($B27=0,1000000,IF(INDEX('計算A'!$D$60:$EQ$104,$B27,119)*HP27=1,IF(AND($E27=2,NE27=0),1000000,IF($I27&gt;0,IF(5=$J27,IF(OR(AND(119=$I27+1,OR($K27&lt;&gt;'計算A'!$A$3,'計算A'!$A$4=0)),AND(119=$I27-1,OR(23&lt;&gt;'計算A'!$A$3,'計算A'!$A$4=0))),0,IF(23=$K27,200000,ABS(23-$K27)*100)),100000+ABS(5-$J27)*1000+230)+'計算A'!DR$5*50+IF(AND($E27=1,NE27=0),25,0),INDEX('計算A'!DR$110:DR$114,$F27+1)+IF(AND($E27=1,NE27=0),1000,0)+IF($H27=1,(IF('計算A'!DQ$117=1,INDEX('計算A'!DQ$10:DQ$54,$B27),0)+IF('計算A'!DR$117=1,INDEX('計算A'!DS$10:DS$54,$B27),0))*500,0)-IF(AND('計算A'!DQ$117=1,YO27&gt;0),300,0)-IF(AND($L27=1,'計算A'!DR$117=1,HQ27=0),300,0))),1000000))</f>
        <v/>
      </c>
      <c r="SU27">
        <f>IF($B27=0,1000000,IF(INDEX('計算A'!$D$60:$EQ$104,$B27,120)*HQ27=1,IF(AND($E27=2,NF27=0),1000000,IF($I27&gt;0,IF(5=$J27,IF(OR(AND(120=$I27+1,OR($K27&lt;&gt;'計算A'!$A$3,'計算A'!$A$4=0)),AND(120=$I27-1,OR(24&lt;&gt;'計算A'!$A$3,'計算A'!$A$4=0))),0,IF(24=$K27,200000,ABS(24-$K27)*100)),100000+ABS(5-$J27)*1000+240)+'計算A'!DS$5*50+IF(AND($E27=1,NF27=0),25,0),INDEX('計算A'!DS$110:DS$114,$F27+1)+IF(AND($E27=1,NF27=0),1000,0)+IF($H27=1,(IF('計算A'!DR$117=1,INDEX('計算A'!DR$10:DR$54,$B27),0))*500,0)-IF(AND('計算A'!DR$117=1,YP27&gt;0),300,0))),1000000))</f>
        <v/>
      </c>
      <c r="SV27">
        <f>IF($B27=0,1000000,IF(INDEX('計算A'!$D$60:$EQ$104,$B27,121)*HR27=1,IF(AND($E27=2,NG27=0),1000000,IF($I27&gt;0,IF(6=$J27,IF(OR(AND(121=$I27+1,OR($K27&lt;&gt;'計算A'!$A$3,'計算A'!$A$4=0)),AND(121=$I27-1,OR(1&lt;&gt;'計算A'!$A$3,'計算A'!$A$4=0))),0,IF(1=$K27,200000,ABS(1-$K27)*100)),100000+ABS(6-$J27)*1000+10)+'計算A'!DT$5*50+IF(AND($E27=1,NG27=0),25,0),INDEX('計算A'!DT$110:DT$114,$F27+1)+IF(AND($E27=1,NG27=0),1000,0)+IF($H27=1,(IF('計算A'!DT$117=1,INDEX('計算A'!DU$10:DU$54,$B27),0))*500,0)-IF(AND($L27=1,'計算A'!DT$117=1,HS27=0),300,0))),1000000))</f>
        <v/>
      </c>
      <c r="SW27">
        <f>IF($B27=0,1000000,IF(INDEX('計算A'!$D$60:$EQ$104,$B27,122)*HS27=1,IF(AND($E27=2,NH27=0),1000000,IF($I27&gt;0,IF(6=$J27,IF(OR(AND(122=$I27+1,OR($K27&lt;&gt;'計算A'!$A$3,'計算A'!$A$4=0)),AND(122=$I27-1,OR(2&lt;&gt;'計算A'!$A$3,'計算A'!$A$4=0))),0,IF(2=$K27,200000,ABS(2-$K27)*100)),100000+ABS(6-$J27)*1000+20)+'計算A'!DU$5*50+IF(AND($E27=1,NH27=0),25,0),INDEX('計算A'!DU$110:DU$114,$F27+1)+IF(AND($E27=1,NH27=0),1000,0)+IF($H27=1,(IF('計算A'!DT$117=1,INDEX('計算A'!DT$10:DT$54,$B27),0)+IF('計算A'!DU$117=1,INDEX('計算A'!DV$10:DV$54,$B27),0))*500,0)-IF(AND('計算A'!DT$117=1,YR27&gt;0),300,0)-IF(AND($L27=1,'計算A'!DU$117=1,HT27=0),300,0))),1000000))</f>
        <v/>
      </c>
      <c r="SX27">
        <f>IF($B27=0,1000000,IF(INDEX('計算A'!$D$60:$EQ$104,$B27,123)*HT27=1,IF(AND($E27=2,NI27=0),1000000,IF($I27&gt;0,IF(6=$J27,IF(OR(AND(123=$I27+1,OR($K27&lt;&gt;'計算A'!$A$3,'計算A'!$A$4=0)),AND(123=$I27-1,OR(3&lt;&gt;'計算A'!$A$3,'計算A'!$A$4=0))),0,IF(3=$K27,200000,ABS(3-$K27)*100)),100000+ABS(6-$J27)*1000+30)+'計算A'!DV$5*50+IF(AND($E27=1,NI27=0),25,0),INDEX('計算A'!DV$110:DV$114,$F27+1)+IF(AND($E27=1,NI27=0),1000,0)+IF($H27=1,(IF('計算A'!DU$117=1,INDEX('計算A'!DU$10:DU$54,$B27),0)+IF('計算A'!DV$117=1,INDEX('計算A'!DW$10:DW$54,$B27),0))*500,0)-IF(AND('計算A'!DU$117=1,YS27&gt;0),300,0)-IF(AND($L27=1,'計算A'!DV$117=1,HU27=0),300,0))),1000000))</f>
        <v/>
      </c>
      <c r="SY27">
        <f>IF($B27=0,1000000,IF(INDEX('計算A'!$D$60:$EQ$104,$B27,124)*HU27=1,IF(AND($E27=2,NJ27=0),1000000,IF($I27&gt;0,IF(6=$J27,IF(OR(AND(124=$I27+1,OR($K27&lt;&gt;'計算A'!$A$3,'計算A'!$A$4=0)),AND(124=$I27-1,OR(4&lt;&gt;'計算A'!$A$3,'計算A'!$A$4=0))),0,IF(4=$K27,200000,ABS(4-$K27)*100)),100000+ABS(6-$J27)*1000+40)+'計算A'!DW$5*50+IF(AND($E27=1,NJ27=0),25,0),INDEX('計算A'!DW$110:DW$114,$F27+1)+IF(AND($E27=1,NJ27=0),1000,0)+IF($H27=1,(IF('計算A'!DV$117=1,INDEX('計算A'!DV$10:DV$54,$B27),0)+IF('計算A'!DW$117=1,INDEX('計算A'!DX$10:DX$54,$B27),0))*500,0)-IF(AND('計算A'!DV$117=1,YT27&gt;0),300,0)-IF(AND($L27=1,'計算A'!DW$117=1,HV27=0),300,0))),1000000))</f>
        <v/>
      </c>
      <c r="SZ27">
        <f>IF($B27=0,1000000,IF(INDEX('計算A'!$D$60:$EQ$104,$B27,125)*HV27=1,IF(AND($E27=2,NK27=0),1000000,IF($I27&gt;0,IF(6=$J27,IF(OR(AND(125=$I27+1,OR($K27&lt;&gt;'計算A'!$A$3,'計算A'!$A$4=0)),AND(125=$I27-1,OR(5&lt;&gt;'計算A'!$A$3,'計算A'!$A$4=0))),0,IF(5=$K27,200000,ABS(5-$K27)*100)),100000+ABS(6-$J27)*1000+50)+'計算A'!DX$5*50+IF(AND($E27=1,NK27=0),25,0),INDEX('計算A'!DX$110:DX$114,$F27+1)+IF(AND($E27=1,NK27=0),1000,0)+IF($H27=1,(IF('計算A'!DW$117=1,INDEX('計算A'!DW$10:DW$54,$B27),0)+IF('計算A'!DX$117=1,INDEX('計算A'!DY$10:DY$54,$B27),0))*500,0)-IF(AND('計算A'!DW$117=1,YU27&gt;0),300,0)-IF(AND($L27=1,'計算A'!DX$117=1,HW27=0),300,0))),1000000))</f>
        <v/>
      </c>
      <c r="TA27">
        <f>IF($B27=0,1000000,IF(INDEX('計算A'!$D$60:$EQ$104,$B27,126)*HW27=1,IF(AND($E27=2,NL27=0),1000000,IF($I27&gt;0,IF(6=$J27,IF(OR(AND(126=$I27+1,OR($K27&lt;&gt;'計算A'!$A$3,'計算A'!$A$4=0)),AND(126=$I27-1,OR(6&lt;&gt;'計算A'!$A$3,'計算A'!$A$4=0))),0,IF(6=$K27,200000,ABS(6-$K27)*100)),100000+ABS(6-$J27)*1000+60)+'計算A'!DY$5*50+IF(AND($E27=1,NL27=0),25,0),INDEX('計算A'!DY$110:DY$114,$F27+1)+IF(AND($E27=1,NL27=0),1000,0)+IF($H27=1,(IF('計算A'!DX$117=1,INDEX('計算A'!DX$10:DX$54,$B27),0)+IF('計算A'!DY$117=1,INDEX('計算A'!DZ$10:DZ$54,$B27),0))*500,0)-IF(AND('計算A'!DX$117=1,YV27&gt;0),300,0)-IF(AND($L27=1,'計算A'!DY$117=1,HX27=0),300,0))),1000000))</f>
        <v/>
      </c>
      <c r="TB27">
        <f>IF($B27=0,1000000,IF(INDEX('計算A'!$D$60:$EQ$104,$B27,127)*HX27=1,IF(AND($E27=2,NM27=0),1000000,IF($I27&gt;0,IF(6=$J27,IF(OR(AND(127=$I27+1,OR($K27&lt;&gt;'計算A'!$A$3,'計算A'!$A$4=0)),AND(127=$I27-1,OR(7&lt;&gt;'計算A'!$A$3,'計算A'!$A$4=0))),0,IF(7=$K27,200000,ABS(7-$K27)*100)),100000+ABS(6-$J27)*1000+70)+'計算A'!DZ$5*50+IF(AND($E27=1,NM27=0),25,0),INDEX('計算A'!DZ$110:DZ$114,$F27+1)+IF(AND($E27=1,NM27=0),1000,0)+IF($H27=1,(IF('計算A'!DY$117=1,INDEX('計算A'!DY$10:DY$54,$B27),0)+IF('計算A'!DZ$117=1,INDEX('計算A'!EA$10:EA$54,$B27),0))*500,0)-IF(AND('計算A'!DY$117=1,YW27&gt;0),300,0)-IF(AND($L27=1,'計算A'!DZ$117=1,HY27=0),300,0))),1000000))</f>
        <v/>
      </c>
      <c r="TC27">
        <f>IF($B27=0,1000000,IF(INDEX('計算A'!$D$60:$EQ$104,$B27,128)*HY27=1,IF(AND($E27=2,NN27=0),1000000,IF($I27&gt;0,IF(6=$J27,IF(OR(AND(128=$I27+1,OR($K27&lt;&gt;'計算A'!$A$3,'計算A'!$A$4=0)),AND(128=$I27-1,OR(8&lt;&gt;'計算A'!$A$3,'計算A'!$A$4=0))),0,IF(8=$K27,200000,ABS(8-$K27)*100)),100000+ABS(6-$J27)*1000+80)+'計算A'!EA$5*50+IF(AND($E27=1,NN27=0),25,0),INDEX('計算A'!EA$110:EA$114,$F27+1)+IF(AND($E27=1,NN27=0),1000,0)+IF($H27=1,(IF('計算A'!DZ$117=1,INDEX('計算A'!DZ$10:DZ$54,$B27),0)+IF('計算A'!EA$117=1,INDEX('計算A'!EB$10:EB$54,$B27),0))*500,0)-IF(AND('計算A'!DZ$117=1,YX27&gt;0),300,0)-IF(AND($L27=1,'計算A'!EA$117=1,HZ27=0),300,0))),1000000))</f>
        <v/>
      </c>
      <c r="TD27">
        <f>IF($B27=0,1000000,IF(INDEX('計算A'!$D$60:$EQ$104,$B27,129)*HZ27=1,IF(AND($E27=2,NO27=0),1000000,IF($I27&gt;0,IF(6=$J27,IF(OR(AND(129=$I27+1,OR($K27&lt;&gt;'計算A'!$A$3,'計算A'!$A$4=0)),AND(129=$I27-1,OR(9&lt;&gt;'計算A'!$A$3,'計算A'!$A$4=0))),0,IF(9=$K27,200000,ABS(9-$K27)*100)),100000+ABS(6-$J27)*1000+90)+'計算A'!EB$5*50+IF(AND($E27=1,NO27=0),25,0),INDEX('計算A'!EB$110:EB$114,$F27+1)+IF(AND($E27=1,NO27=0),1000,0)+IF($H27=1,(IF('計算A'!EA$117=1,INDEX('計算A'!EA$10:EA$54,$B27),0)+IF('計算A'!EB$117=1,INDEX('計算A'!EC$10:EC$54,$B27),0))*500,0)-IF(AND('計算A'!EA$117=1,YY27&gt;0),300,0)-IF(AND($L27=1,'計算A'!EB$117=1,IA27=0),300,0))),1000000))</f>
        <v/>
      </c>
      <c r="TE27">
        <f>IF($B27=0,1000000,IF(INDEX('計算A'!$D$60:$EQ$104,$B27,130)*IA27=1,IF(AND($E27=2,NP27=0),1000000,IF($I27&gt;0,IF(6=$J27,IF(OR(AND(130=$I27+1,OR($K27&lt;&gt;'計算A'!$A$3,'計算A'!$A$4=0)),AND(130=$I27-1,OR(10&lt;&gt;'計算A'!$A$3,'計算A'!$A$4=0))),0,IF(10=$K27,200000,ABS(10-$K27)*100)),100000+ABS(6-$J27)*1000+100)+'計算A'!EC$5*50+IF(AND($E27=1,NP27=0),25,0),INDEX('計算A'!EC$110:EC$114,$F27+1)+IF(AND($E27=1,NP27=0),1000,0)+IF($H27=1,(IF('計算A'!EB$117=1,INDEX('計算A'!EB$10:EB$54,$B27),0)+IF('計算A'!EC$117=1,INDEX('計算A'!ED$10:ED$54,$B27),0))*500,0)-IF(AND('計算A'!EB$117=1,YZ27&gt;0),300,0)-IF(AND($L27=1,'計算A'!EC$117=1,IB27=0),300,0))),1000000))</f>
        <v/>
      </c>
      <c r="TF27">
        <f>IF($B27=0,1000000,IF(INDEX('計算A'!$D$60:$EQ$104,$B27,131)*IB27=1,IF(AND($E27=2,NQ27=0),1000000,IF($I27&gt;0,IF(6=$J27,IF(OR(AND(131=$I27+1,OR($K27&lt;&gt;'計算A'!$A$3,'計算A'!$A$4=0)),AND(131=$I27-1,OR(11&lt;&gt;'計算A'!$A$3,'計算A'!$A$4=0))),0,IF(11=$K27,200000,ABS(11-$K27)*100)),100000+ABS(6-$J27)*1000+110)+'計算A'!ED$5*50+IF(AND($E27=1,NQ27=0),25,0),INDEX('計算A'!ED$110:ED$114,$F27+1)+IF(AND($E27=1,NQ27=0),1000,0)+IF($H27=1,(IF('計算A'!EC$117=1,INDEX('計算A'!EC$10:EC$54,$B27),0)+IF('計算A'!ED$117=1,INDEX('計算A'!EE$10:EE$54,$B27),0))*500,0)-IF(AND('計算A'!EC$117=1,ZA27&gt;0),300,0)-IF(AND($L27=1,'計算A'!ED$117=1,IC27=0),300,0))),1000000))</f>
        <v/>
      </c>
      <c r="TG27">
        <f>IF($B27=0,1000000,IF(INDEX('計算A'!$D$60:$EQ$104,$B27,132)*IC27=1,IF(AND($E27=2,NR27=0),1000000,IF($I27&gt;0,IF(6=$J27,IF(OR(AND(132=$I27+1,OR($K27&lt;&gt;'計算A'!$A$3,'計算A'!$A$4=0)),AND(132=$I27-1,OR(12&lt;&gt;'計算A'!$A$3,'計算A'!$A$4=0))),0,IF(12=$K27,200000,ABS(12-$K27)*100)),100000+ABS(6-$J27)*1000+120)+'計算A'!EE$5*50+IF(AND($E27=1,NR27=0),25,0),INDEX('計算A'!EE$110:EE$114,$F27+1)+IF(AND($E27=1,NR27=0),1000,0)+IF($H27=1,(IF('計算A'!ED$117=1,INDEX('計算A'!ED$10:ED$54,$B27),0)+IF('計算A'!EE$117=1,INDEX('計算A'!EF$10:EF$54,$B27),0))*500,0)-IF(AND('計算A'!ED$117=1,ZB27&gt;0),300,0)-IF(AND($L27=1,'計算A'!EE$117=1,ID27=0),300,0))),1000000))</f>
        <v/>
      </c>
      <c r="TH27">
        <f>IF($B27=0,1000000,IF(INDEX('計算A'!$D$60:$EQ$104,$B27,133)*ID27=1,IF(AND($E27=2,NS27=0),1000000,IF($I27&gt;0,IF(6=$J27,IF(OR(AND(133=$I27+1,OR($K27&lt;&gt;'計算A'!$A$3,'計算A'!$A$4=0)),AND(133=$I27-1,OR(13&lt;&gt;'計算A'!$A$3,'計算A'!$A$4=0))),0,IF(13=$K27,200000,ABS(13-$K27)*100)),100000+ABS(6-$J27)*1000+130)+'計算A'!EF$5*50+IF(AND($E27=1,NS27=0),25,0),INDEX('計算A'!EF$110:EF$114,$F27+1)+IF(AND($E27=1,NS27=0),1000,0)+IF($H27=1,(IF('計算A'!EE$117=1,INDEX('計算A'!EE$10:EE$54,$B27),0)+IF('計算A'!EF$117=1,INDEX('計算A'!EG$10:EG$54,$B27),0))*500,0)-IF(AND('計算A'!EE$117=1,ZC27&gt;0),300,0)-IF(AND($L27=1,'計算A'!EF$117=1,IE27=0),300,0))),1000000))</f>
        <v/>
      </c>
      <c r="TI27">
        <f>IF($B27=0,1000000,IF(INDEX('計算A'!$D$60:$EQ$104,$B27,134)*IE27=1,IF(AND($E27=2,NT27=0),1000000,IF($I27&gt;0,IF(6=$J27,IF(OR(AND(134=$I27+1,OR($K27&lt;&gt;'計算A'!$A$3,'計算A'!$A$4=0)),AND(134=$I27-1,OR(14&lt;&gt;'計算A'!$A$3,'計算A'!$A$4=0))),0,IF(14=$K27,200000,ABS(14-$K27)*100)),100000+ABS(6-$J27)*1000+140)+'計算A'!EG$5*50+IF(AND($E27=1,NT27=0),25,0),INDEX('計算A'!EG$110:EG$114,$F27+1)+IF(AND($E27=1,NT27=0),1000,0)+IF($H27=1,(IF('計算A'!EF$117=1,INDEX('計算A'!EF$10:EF$54,$B27),0)+IF('計算A'!EG$117=1,INDEX('計算A'!EH$10:EH$54,$B27),0))*500,0)-IF(AND('計算A'!EF$117=1,ZD27&gt;0),300,0)-IF(AND($L27=1,'計算A'!EG$117=1,IF27=0),300,0))),1000000))</f>
        <v/>
      </c>
      <c r="TJ27">
        <f>IF($B27=0,1000000,IF(INDEX('計算A'!$D$60:$EQ$104,$B27,135)*IF27=1,IF(AND($E27=2,NU27=0),1000000,IF($I27&gt;0,IF(6=$J27,IF(OR(AND(135=$I27+1,OR($K27&lt;&gt;'計算A'!$A$3,'計算A'!$A$4=0)),AND(135=$I27-1,OR(15&lt;&gt;'計算A'!$A$3,'計算A'!$A$4=0))),0,IF(15=$K27,200000,ABS(15-$K27)*100)),100000+ABS(6-$J27)*1000+150)+'計算A'!EH$5*50+IF(AND($E27=1,NU27=0),25,0),INDEX('計算A'!EH$110:EH$114,$F27+1)+IF(AND($E27=1,NU27=0),1000,0)+IF($H27=1,(IF('計算A'!EG$117=1,INDEX('計算A'!EG$10:EG$54,$B27),0)+IF('計算A'!EH$117=1,INDEX('計算A'!EI$10:EI$54,$B27),0))*500,0)-IF(AND('計算A'!EG$117=1,ZE27&gt;0),300,0)-IF(AND($L27=1,'計算A'!EH$117=1,IG27=0),300,0))),1000000))</f>
        <v/>
      </c>
      <c r="TK27">
        <f>IF($B27=0,1000000,IF(INDEX('計算A'!$D$60:$EQ$104,$B27,136)*IG27=1,IF(AND($E27=2,NV27=0),1000000,IF($I27&gt;0,IF(6=$J27,IF(OR(AND(136=$I27+1,OR($K27&lt;&gt;'計算A'!$A$3,'計算A'!$A$4=0)),AND(136=$I27-1,OR(16&lt;&gt;'計算A'!$A$3,'計算A'!$A$4=0))),0,IF(16=$K27,200000,ABS(16-$K27)*100)),100000+ABS(6-$J27)*1000+160)+'計算A'!EI$5*50+IF(AND($E27=1,NV27=0),25,0),INDEX('計算A'!EI$110:EI$114,$F27+1)+IF(AND($E27=1,NV27=0),1000,0)+IF($H27=1,(IF('計算A'!EH$117=1,INDEX('計算A'!EH$10:EH$54,$B27),0)+IF('計算A'!EI$117=1,INDEX('計算A'!EJ$10:EJ$54,$B27),0))*500,0)-IF(AND('計算A'!EH$117=1,ZF27&gt;0),300,0)-IF(AND($L27=1,'計算A'!EI$117=1,IH27=0),300,0))),1000000))</f>
        <v/>
      </c>
      <c r="TL27">
        <f>IF($B27=0,1000000,IF(INDEX('計算A'!$D$60:$EQ$104,$B27,137)*IH27=1,IF(AND($E27=2,NW27=0),1000000,IF($I27&gt;0,IF(6=$J27,IF(OR(AND(137=$I27+1,OR($K27&lt;&gt;'計算A'!$A$3,'計算A'!$A$4=0)),AND(137=$I27-1,OR(17&lt;&gt;'計算A'!$A$3,'計算A'!$A$4=0))),0,IF(17=$K27,200000,ABS(17-$K27)*100)),100000+ABS(6-$J27)*1000+170)+'計算A'!EJ$5*50+IF(AND($E27=1,NW27=0),25,0),INDEX('計算A'!EJ$110:EJ$114,$F27+1)+IF(AND($E27=1,NW27=0),1000,0)+IF($H27=1,(IF('計算A'!EI$117=1,INDEX('計算A'!EI$10:EI$54,$B27),0)+IF('計算A'!EJ$117=1,INDEX('計算A'!EK$10:EK$54,$B27),0))*500,0)-IF(AND('計算A'!EI$117=1,ZG27&gt;0),300,0)-IF(AND($L27=1,'計算A'!EJ$117=1,II27=0),300,0))),1000000))</f>
        <v/>
      </c>
      <c r="TM27">
        <f>IF($B27=0,1000000,IF(INDEX('計算A'!$D$60:$EQ$104,$B27,138)*II27=1,IF(AND($E27=2,NX27=0),1000000,IF($I27&gt;0,IF(6=$J27,IF(OR(AND(138=$I27+1,OR($K27&lt;&gt;'計算A'!$A$3,'計算A'!$A$4=0)),AND(138=$I27-1,OR(18&lt;&gt;'計算A'!$A$3,'計算A'!$A$4=0))),0,IF(18=$K27,200000,ABS(18-$K27)*100)),100000+ABS(6-$J27)*1000+180)+'計算A'!EK$5*50+IF(AND($E27=1,NX27=0),25,0),INDEX('計算A'!EK$110:EK$114,$F27+1)+IF(AND($E27=1,NX27=0),1000,0)+IF($H27=1,(IF('計算A'!EJ$117=1,INDEX('計算A'!EJ$10:EJ$54,$B27),0)+IF('計算A'!EK$117=1,INDEX('計算A'!EL$10:EL$54,$B27),0))*500,0)-IF(AND('計算A'!EJ$117=1,ZH27&gt;0),300,0)-IF(AND($L27=1,'計算A'!EK$117=1,IJ27=0),300,0))),1000000))</f>
        <v/>
      </c>
      <c r="TN27">
        <f>IF($B27=0,1000000,IF(INDEX('計算A'!$D$60:$EQ$104,$B27,139)*IJ27=1,IF(AND($E27=2,NY27=0),1000000,IF($I27&gt;0,IF(6=$J27,IF(OR(AND(139=$I27+1,OR($K27&lt;&gt;'計算A'!$A$3,'計算A'!$A$4=0)),AND(139=$I27-1,OR(19&lt;&gt;'計算A'!$A$3,'計算A'!$A$4=0))),0,IF(19=$K27,200000,ABS(19-$K27)*100)),100000+ABS(6-$J27)*1000+190)+'計算A'!EL$5*50+IF(AND($E27=1,NY27=0),25,0),INDEX('計算A'!EL$110:EL$114,$F27+1)+IF(AND($E27=1,NY27=0),1000,0)+IF($H27=1,(IF('計算A'!EK$117=1,INDEX('計算A'!EK$10:EK$54,$B27),0)+IF('計算A'!EL$117=1,INDEX('計算A'!EM$10:EM$54,$B27),0))*500,0)-IF(AND('計算A'!EK$117=1,ZI27&gt;0),300,0)-IF(AND($L27=1,'計算A'!EL$117=1,IK27=0),300,0))),1000000))</f>
        <v/>
      </c>
      <c r="TO27">
        <f>IF($B27=0,1000000,IF(INDEX('計算A'!$D$60:$EQ$104,$B27,140)*IK27=1,IF(AND($E27=2,NZ27=0),1000000,IF($I27&gt;0,IF(6=$J27,IF(OR(AND(140=$I27+1,OR($K27&lt;&gt;'計算A'!$A$3,'計算A'!$A$4=0)),AND(140=$I27-1,OR(20&lt;&gt;'計算A'!$A$3,'計算A'!$A$4=0))),0,IF(20=$K27,200000,ABS(20-$K27)*100)),100000+ABS(6-$J27)*1000+200)+'計算A'!EM$5*50+IF(AND($E27=1,NZ27=0),25,0),INDEX('計算A'!EM$110:EM$114,$F27+1)+IF(AND($E27=1,NZ27=0),1000,0)+IF($H27=1,(IF('計算A'!EL$117=1,INDEX('計算A'!EL$10:EL$54,$B27),0)+IF('計算A'!EM$117=1,INDEX('計算A'!EN$10:EN$54,$B27),0))*500,0)-IF(AND('計算A'!EL$117=1,ZJ27&gt;0),300,0)-IF(AND($L27=1,'計算A'!EM$117=1,IL27=0),300,0))),1000000))</f>
        <v/>
      </c>
      <c r="TP27">
        <f>IF($B27=0,1000000,IF(INDEX('計算A'!$D$60:$EQ$104,$B27,141)*IL27=1,IF(AND($E27=2,OA27=0),1000000,IF($I27&gt;0,IF(6=$J27,IF(OR(AND(141=$I27+1,OR($K27&lt;&gt;'計算A'!$A$3,'計算A'!$A$4=0)),AND(141=$I27-1,OR(21&lt;&gt;'計算A'!$A$3,'計算A'!$A$4=0))),0,IF(21=$K27,200000,ABS(21-$K27)*100)),100000+ABS(6-$J27)*1000+210)+'計算A'!EN$5*50+IF(AND($E27=1,OA27=0),25,0),INDEX('計算A'!EN$110:EN$114,$F27+1)+IF(AND($E27=1,OA27=0),1000,0)+IF($H27=1,(IF('計算A'!EM$117=1,INDEX('計算A'!EM$10:EM$54,$B27),0)+IF('計算A'!EN$117=1,INDEX('計算A'!EO$10:EO$54,$B27),0))*500,0)-IF(AND('計算A'!EM$117=1,ZK27&gt;0),300,0)-IF(AND($L27=1,'計算A'!EN$117=1,IM27=0),300,0))),1000000))</f>
        <v/>
      </c>
      <c r="TQ27">
        <f>IF($B27=0,1000000,IF(INDEX('計算A'!$D$60:$EQ$104,$B27,142)*IM27=1,IF(AND($E27=2,OB27=0),1000000,IF($I27&gt;0,IF(6=$J27,IF(OR(AND(142=$I27+1,OR($K27&lt;&gt;'計算A'!$A$3,'計算A'!$A$4=0)),AND(142=$I27-1,OR(22&lt;&gt;'計算A'!$A$3,'計算A'!$A$4=0))),0,IF(22=$K27,200000,ABS(22-$K27)*100)),100000+ABS(6-$J27)*1000+220)+'計算A'!EO$5*50+IF(AND($E27=1,OB27=0),25,0),INDEX('計算A'!EO$110:EO$114,$F27+1)+IF(AND($E27=1,OB27=0),1000,0)+IF($H27=1,(IF('計算A'!EN$117=1,INDEX('計算A'!EN$10:EN$54,$B27),0)+IF('計算A'!EO$117=1,INDEX('計算A'!EP$10:EP$54,$B27),0))*500,0)-IF(AND('計算A'!EN$117=1,ZL27&gt;0),300,0)-IF(AND($L27=1,'計算A'!EO$117=1,IN27=0),300,0))),1000000))</f>
        <v/>
      </c>
      <c r="TR27">
        <f>IF($B27=0,1000000,IF(INDEX('計算A'!$D$60:$EQ$104,$B27,143)*IN27=1,IF(AND($E27=2,OC27=0),1000000,IF($I27&gt;0,IF(6=$J27,IF(OR(AND(143=$I27+1,OR($K27&lt;&gt;'計算A'!$A$3,'計算A'!$A$4=0)),AND(143=$I27-1,OR(23&lt;&gt;'計算A'!$A$3,'計算A'!$A$4=0))),0,IF(23=$K27,200000,ABS(23-$K27)*100)),100000+ABS(6-$J27)*1000+230)+'計算A'!EP$5*50+IF(AND($E27=1,OC27=0),25,0),INDEX('計算A'!EP$110:EP$114,$F27+1)+IF(AND($E27=1,OC27=0),1000,0)+IF($H27=1,(IF('計算A'!EO$117=1,INDEX('計算A'!EO$10:EO$54,$B27),0)+IF('計算A'!EP$117=1,INDEX('計算A'!EQ$10:EQ$54,$B27),0))*500,0)-IF(AND('計算A'!EO$117=1,ZM27&gt;0),300,0)-IF(AND($L27=1,'計算A'!EP$117=1,IO27=0),300,0))),1000000))</f>
        <v/>
      </c>
      <c r="TS27">
        <f>IF($B27=0,1000000,IF(INDEX('計算A'!$D$60:$EQ$104,$B27,144)*IO27=1,IF(AND($E27=2,OD27=0),1000000,IF($I27&gt;0,IF(6=$J27,IF(OR(AND(144=$I27+1,OR($K27&lt;&gt;'計算A'!$A$3,'計算A'!$A$4=0)),AND(144=$I27-1,OR(24&lt;&gt;'計算A'!$A$3,'計算A'!$A$4=0))),0,IF(24=$K27,200000,ABS(24-$K27)*100)),100000+ABS(6-$J27)*1000+240)+'計算A'!EQ$5*50+IF(AND($E27=1,OD27=0),25,0),INDEX('計算A'!EQ$110:EQ$114,$F27+1)+IF(AND($E27=1,OD27=0),1000,0)+IF($H27=1,(IF('計算A'!EP$117=1,INDEX('計算A'!EP$10:EP$54,$B27),0))*500,0)-IF(AND('計算A'!EP$117=1,ZN27&gt;0),300,0))),1000000))</f>
        <v/>
      </c>
      <c r="UB27">
        <f>UB26+IF(AND($C26=1,$L26=1),1,0)</f>
        <v/>
      </c>
      <c r="UC27">
        <f>UC26+IF(AND($C26=2,$L26=1),1,0)</f>
        <v/>
      </c>
      <c r="UD27">
        <f>UD26+IF(AND($C26=3,$L26=1),1,0)</f>
        <v/>
      </c>
      <c r="UE27">
        <f>UE26+IF(AND($C26=4,$L26=1),1,0)</f>
        <v/>
      </c>
      <c r="UF27">
        <f>UF26+IF(AND($C26=5,$L26=1),1,0)</f>
        <v/>
      </c>
      <c r="UG27">
        <f>UG26+IF(AND($C26=6,$L26=1),1,0)</f>
        <v/>
      </c>
      <c r="UH27">
        <f>UH26+IF(AND($C26=7,$L26=1),1,0)</f>
        <v/>
      </c>
      <c r="UI27">
        <f>UI26+IF(AND($C26=8,$L26=1),1,0)</f>
        <v/>
      </c>
      <c r="UJ27">
        <f>UJ26+IF(AND($C26=9,$L26=1),1,0)</f>
        <v/>
      </c>
      <c r="UK27">
        <f>UK26+IF(AND($C26=10,$L26=1),1,0)</f>
        <v/>
      </c>
      <c r="UL27">
        <f>UL26+IF(AND($C26=11,$L26=1),1,0)</f>
        <v/>
      </c>
      <c r="UM27">
        <f>UM26+IF(AND($C26=12,$L26=1),1,0)</f>
        <v/>
      </c>
      <c r="UN27">
        <f>UN26+IF(AND($C26=13,$L26=1),1,0)</f>
        <v/>
      </c>
      <c r="UO27">
        <f>UO26+IF(AND($C26=14,$L26=1),1,0)</f>
        <v/>
      </c>
      <c r="UP27">
        <f>UP26+IF(AND($C26=15,$L26=1),1,0)</f>
        <v/>
      </c>
      <c r="UQ27">
        <f>UQ26+IF(AND($C26=16,$L26=1),1,0)</f>
        <v/>
      </c>
      <c r="UR27">
        <f>UR26+IF(AND($C26=17,$L26=1),1,0)</f>
        <v/>
      </c>
      <c r="US27">
        <f>US26+IF(AND($C26=18,$L26=1),1,0)</f>
        <v/>
      </c>
      <c r="UT27">
        <f>UT26+IF(AND($C26=19,$L26=1),1,0)</f>
        <v/>
      </c>
      <c r="UU27">
        <f>UU26+IF(AND($C26=20,$L26=1),1,0)</f>
        <v/>
      </c>
      <c r="UV27">
        <f>UV26+IF(AND($C26=21,$L26=1),1,0)</f>
        <v/>
      </c>
      <c r="UW27">
        <f>UW26+IF(AND($C26=22,$L26=1),1,0)</f>
        <v/>
      </c>
      <c r="UX27">
        <f>UX26+IF(AND($C26=23,$L26=1),1,0)</f>
        <v/>
      </c>
      <c r="UY27">
        <f>UY26+IF(AND($C26=24,$L26=1),1,0)</f>
        <v/>
      </c>
      <c r="UZ27">
        <f>UZ26+IF(AND($C26=25,$L26=1),1,0)</f>
        <v/>
      </c>
      <c r="VA27">
        <f>VA26+IF(AND($C26=26,$L26=1),1,0)</f>
        <v/>
      </c>
      <c r="VB27">
        <f>VB26+IF(AND($C26=27,$L26=1),1,0)</f>
        <v/>
      </c>
      <c r="VC27">
        <f>VC26+IF(AND($C26=28,$L26=1),1,0)</f>
        <v/>
      </c>
      <c r="VD27">
        <f>VD26+IF(AND($C26=29,$L26=1),1,0)</f>
        <v/>
      </c>
      <c r="VE27">
        <f>VE26+IF(AND($C26=30,$L26=1),1,0)</f>
        <v/>
      </c>
      <c r="VF27">
        <f>VF26+IF(AND($C26=31,$L26=1),1,0)</f>
        <v/>
      </c>
      <c r="VG27">
        <f>VG26+IF(AND($C26=32,$L26=1),1,0)</f>
        <v/>
      </c>
      <c r="VH27">
        <f>VH26+IF(AND($C26=33,$L26=1),1,0)</f>
        <v/>
      </c>
      <c r="VI27">
        <f>VI26+IF(AND($C26=34,$L26=1),1,0)</f>
        <v/>
      </c>
      <c r="VJ27">
        <f>VJ26+IF(AND($C26=35,$L26=1),1,0)</f>
        <v/>
      </c>
      <c r="VK27">
        <f>VK26+IF(AND($C26=36,$L26=1),1,0)</f>
        <v/>
      </c>
      <c r="VL27">
        <f>VL26+IF(AND($C26=37,$L26=1),1,0)</f>
        <v/>
      </c>
      <c r="VM27">
        <f>VM26+IF(AND($C26=38,$L26=1),1,0)</f>
        <v/>
      </c>
      <c r="VN27">
        <f>VN26+IF(AND($C26=39,$L26=1),1,0)</f>
        <v/>
      </c>
      <c r="VO27">
        <f>VO26+IF(AND($C26=40,$L26=1),1,0)</f>
        <v/>
      </c>
      <c r="VP27">
        <f>VP26+IF(AND($C26=41,$L26=1),1,0)</f>
        <v/>
      </c>
      <c r="VQ27">
        <f>VQ26+IF(AND($C26=42,$L26=1),1,0)</f>
        <v/>
      </c>
      <c r="VR27">
        <f>VR26+IF(AND($C26=43,$L26=1),1,0)</f>
        <v/>
      </c>
      <c r="VS27">
        <f>VS26+IF(AND($C26=44,$L26=1),1,0)</f>
        <v/>
      </c>
      <c r="VT27">
        <f>VT26+IF(AND($C26=45,$L26=1),1,0)</f>
        <v/>
      </c>
      <c r="VU27">
        <f>VU26+IF(AND($C26=46,$L26=1),1,0)</f>
        <v/>
      </c>
      <c r="VV27">
        <f>VV26+IF(AND($C26=47,$L26=1),1,0)</f>
        <v/>
      </c>
      <c r="VW27">
        <f>VW26+IF(AND($C26=48,$L26=1),1,0)</f>
        <v/>
      </c>
      <c r="VX27">
        <f>VX26+IF(AND($C26=49,$L26=1),1,0)</f>
        <v/>
      </c>
      <c r="VY27">
        <f>VY26+IF(AND($C26=50,$L26=1),1,0)</f>
        <v/>
      </c>
      <c r="VZ27">
        <f>VZ26+IF(AND($C26=51,$L26=1),1,0)</f>
        <v/>
      </c>
      <c r="WA27">
        <f>WA26+IF(AND($C26=52,$L26=1),1,0)</f>
        <v/>
      </c>
      <c r="WB27">
        <f>WB26+IF(AND($C26=53,$L26=1),1,0)</f>
        <v/>
      </c>
      <c r="WC27">
        <f>WC26+IF(AND($C26=54,$L26=1),1,0)</f>
        <v/>
      </c>
      <c r="WD27">
        <f>WD26+IF(AND($C26=55,$L26=1),1,0)</f>
        <v/>
      </c>
      <c r="WE27">
        <f>WE26+IF(AND($C26=56,$L26=1),1,0)</f>
        <v/>
      </c>
      <c r="WF27">
        <f>WF26+IF(AND($C26=57,$L26=1),1,0)</f>
        <v/>
      </c>
      <c r="WG27">
        <f>WG26+IF(AND($C26=58,$L26=1),1,0)</f>
        <v/>
      </c>
      <c r="WH27">
        <f>WH26+IF(AND($C26=59,$L26=1),1,0)</f>
        <v/>
      </c>
      <c r="WI27">
        <f>WI26+IF(AND($C26=60,$L26=1),1,0)</f>
        <v/>
      </c>
      <c r="WJ27">
        <f>WJ26+IF(AND($C26=61,$L26=1),1,0)</f>
        <v/>
      </c>
      <c r="WK27">
        <f>WK26+IF(AND($C26=62,$L26=1),1,0)</f>
        <v/>
      </c>
      <c r="WL27">
        <f>WL26+IF(AND($C26=63,$L26=1),1,0)</f>
        <v/>
      </c>
      <c r="WM27">
        <f>WM26+IF(AND($C26=64,$L26=1),1,0)</f>
        <v/>
      </c>
      <c r="WN27">
        <f>WN26+IF(AND($C26=65,$L26=1),1,0)</f>
        <v/>
      </c>
      <c r="WO27">
        <f>WO26+IF(AND($C26=66,$L26=1),1,0)</f>
        <v/>
      </c>
      <c r="WP27">
        <f>WP26+IF(AND($C26=67,$L26=1),1,0)</f>
        <v/>
      </c>
      <c r="WQ27">
        <f>WQ26+IF(AND($C26=68,$L26=1),1,0)</f>
        <v/>
      </c>
      <c r="WR27">
        <f>WR26+IF(AND($C26=69,$L26=1),1,0)</f>
        <v/>
      </c>
      <c r="WS27">
        <f>WS26+IF(AND($C26=70,$L26=1),1,0)</f>
        <v/>
      </c>
      <c r="WT27">
        <f>WT26+IF(AND($C26=71,$L26=1),1,0)</f>
        <v/>
      </c>
      <c r="WU27">
        <f>WU26+IF(AND($C26=72,$L26=1),1,0)</f>
        <v/>
      </c>
      <c r="WV27">
        <f>WV26+IF(AND($C26=73,$L26=1),1,0)</f>
        <v/>
      </c>
      <c r="WW27">
        <f>WW26+IF(AND($C26=74,$L26=1),1,0)</f>
        <v/>
      </c>
      <c r="WX27">
        <f>WX26+IF(AND($C26=75,$L26=1),1,0)</f>
        <v/>
      </c>
      <c r="WY27">
        <f>WY26+IF(AND($C26=76,$L26=1),1,0)</f>
        <v/>
      </c>
      <c r="WZ27">
        <f>WZ26+IF(AND($C26=77,$L26=1),1,0)</f>
        <v/>
      </c>
      <c r="XA27">
        <f>XA26+IF(AND($C26=78,$L26=1),1,0)</f>
        <v/>
      </c>
      <c r="XB27">
        <f>XB26+IF(AND($C26=79,$L26=1),1,0)</f>
        <v/>
      </c>
      <c r="XC27">
        <f>XC26+IF(AND($C26=80,$L26=1),1,0)</f>
        <v/>
      </c>
      <c r="XD27">
        <f>XD26+IF(AND($C26=81,$L26=1),1,0)</f>
        <v/>
      </c>
      <c r="XE27">
        <f>XE26+IF(AND($C26=82,$L26=1),1,0)</f>
        <v/>
      </c>
      <c r="XF27">
        <f>XF26+IF(AND($C26=83,$L26=1),1,0)</f>
        <v/>
      </c>
      <c r="XG27">
        <f>XG26+IF(AND($C26=84,$L26=1),1,0)</f>
        <v/>
      </c>
      <c r="XH27">
        <f>XH26+IF(AND($C26=85,$L26=1),1,0)</f>
        <v/>
      </c>
      <c r="XI27">
        <f>XI26+IF(AND($C26=86,$L26=1),1,0)</f>
        <v/>
      </c>
      <c r="XJ27">
        <f>XJ26+IF(AND($C26=87,$L26=1),1,0)</f>
        <v/>
      </c>
      <c r="XK27">
        <f>XK26+IF(AND($C26=88,$L26=1),1,0)</f>
        <v/>
      </c>
      <c r="XL27">
        <f>XL26+IF(AND($C26=89,$L26=1),1,0)</f>
        <v/>
      </c>
      <c r="XM27">
        <f>XM26+IF(AND($C26=90,$L26=1),1,0)</f>
        <v/>
      </c>
      <c r="XN27">
        <f>XN26+IF(AND($C26=91,$L26=1),1,0)</f>
        <v/>
      </c>
      <c r="XO27">
        <f>XO26+IF(AND($C26=92,$L26=1),1,0)</f>
        <v/>
      </c>
      <c r="XP27">
        <f>XP26+IF(AND($C26=93,$L26=1),1,0)</f>
        <v/>
      </c>
      <c r="XQ27">
        <f>XQ26+IF(AND($C26=94,$L26=1),1,0)</f>
        <v/>
      </c>
      <c r="XR27">
        <f>XR26+IF(AND($C26=95,$L26=1),1,0)</f>
        <v/>
      </c>
      <c r="XS27">
        <f>XS26+IF(AND($C26=96,$L26=1),1,0)</f>
        <v/>
      </c>
      <c r="XT27">
        <f>XT26+IF(AND($C26=97,$L26=1),1,0)</f>
        <v/>
      </c>
      <c r="XU27">
        <f>XU26+IF(AND($C26=98,$L26=1),1,0)</f>
        <v/>
      </c>
      <c r="XV27">
        <f>XV26+IF(AND($C26=99,$L26=1),1,0)</f>
        <v/>
      </c>
      <c r="XW27">
        <f>XW26+IF(AND($C26=100,$L26=1),1,0)</f>
        <v/>
      </c>
      <c r="XX27">
        <f>XX26+IF(AND($C26=101,$L26=1),1,0)</f>
        <v/>
      </c>
      <c r="XY27">
        <f>XY26+IF(AND($C26=102,$L26=1),1,0)</f>
        <v/>
      </c>
      <c r="XZ27">
        <f>XZ26+IF(AND($C26=103,$L26=1),1,0)</f>
        <v/>
      </c>
      <c r="YA27">
        <f>YA26+IF(AND($C26=104,$L26=1),1,0)</f>
        <v/>
      </c>
      <c r="YB27">
        <f>YB26+IF(AND($C26=105,$L26=1),1,0)</f>
        <v/>
      </c>
      <c r="YC27">
        <f>YC26+IF(AND($C26=106,$L26=1),1,0)</f>
        <v/>
      </c>
      <c r="YD27">
        <f>YD26+IF(AND($C26=107,$L26=1),1,0)</f>
        <v/>
      </c>
      <c r="YE27">
        <f>YE26+IF(AND($C26=108,$L26=1),1,0)</f>
        <v/>
      </c>
      <c r="YF27">
        <f>YF26+IF(AND($C26=109,$L26=1),1,0)</f>
        <v/>
      </c>
      <c r="YG27">
        <f>YG26+IF(AND($C26=110,$L26=1),1,0)</f>
        <v/>
      </c>
      <c r="YH27">
        <f>YH26+IF(AND($C26=111,$L26=1),1,0)</f>
        <v/>
      </c>
      <c r="YI27">
        <f>YI26+IF(AND($C26=112,$L26=1),1,0)</f>
        <v/>
      </c>
      <c r="YJ27">
        <f>YJ26+IF(AND($C26=113,$L26=1),1,0)</f>
        <v/>
      </c>
      <c r="YK27">
        <f>YK26+IF(AND($C26=114,$L26=1),1,0)</f>
        <v/>
      </c>
      <c r="YL27">
        <f>YL26+IF(AND($C26=115,$L26=1),1,0)</f>
        <v/>
      </c>
      <c r="YM27">
        <f>YM26+IF(AND($C26=116,$L26=1),1,0)</f>
        <v/>
      </c>
      <c r="YN27">
        <f>YN26+IF(AND($C26=117,$L26=1),1,0)</f>
        <v/>
      </c>
      <c r="YO27">
        <f>YO26+IF(AND($C26=118,$L26=1),1,0)</f>
        <v/>
      </c>
      <c r="YP27">
        <f>YP26+IF(AND($C26=119,$L26=1),1,0)</f>
        <v/>
      </c>
      <c r="YQ27">
        <f>YQ26+IF(AND($C26=120,$L26=1),1,0)</f>
        <v/>
      </c>
      <c r="YR27">
        <f>YR26+IF(AND($C26=121,$L26=1),1,0)</f>
        <v/>
      </c>
      <c r="YS27">
        <f>YS26+IF(AND($C26=122,$L26=1),1,0)</f>
        <v/>
      </c>
      <c r="YT27">
        <f>YT26+IF(AND($C26=123,$L26=1),1,0)</f>
        <v/>
      </c>
      <c r="YU27">
        <f>YU26+IF(AND($C26=124,$L26=1),1,0)</f>
        <v/>
      </c>
      <c r="YV27">
        <f>YV26+IF(AND($C26=125,$L26=1),1,0)</f>
        <v/>
      </c>
      <c r="YW27">
        <f>YW26+IF(AND($C26=126,$L26=1),1,0)</f>
        <v/>
      </c>
      <c r="YX27">
        <f>YX26+IF(AND($C26=127,$L26=1),1,0)</f>
        <v/>
      </c>
      <c r="YY27">
        <f>YY26+IF(AND($C26=128,$L26=1),1,0)</f>
        <v/>
      </c>
      <c r="YZ27">
        <f>YZ26+IF(AND($C26=129,$L26=1),1,0)</f>
        <v/>
      </c>
      <c r="ZA27">
        <f>ZA26+IF(AND($C26=130,$L26=1),1,0)</f>
        <v/>
      </c>
      <c r="ZB27">
        <f>ZB26+IF(AND($C26=131,$L26=1),1,0)</f>
        <v/>
      </c>
      <c r="ZC27">
        <f>ZC26+IF(AND($C26=132,$L26=1),1,0)</f>
        <v/>
      </c>
      <c r="ZD27">
        <f>ZD26+IF(AND($C26=133,$L26=1),1,0)</f>
        <v/>
      </c>
      <c r="ZE27">
        <f>ZE26+IF(AND($C26=134,$L26=1),1,0)</f>
        <v/>
      </c>
      <c r="ZF27">
        <f>ZF26+IF(AND($C26=135,$L26=1),1,0)</f>
        <v/>
      </c>
      <c r="ZG27">
        <f>ZG26+IF(AND($C26=136,$L26=1),1,0)</f>
        <v/>
      </c>
      <c r="ZH27">
        <f>ZH26+IF(AND($C26=137,$L26=1),1,0)</f>
        <v/>
      </c>
      <c r="ZI27">
        <f>ZI26+IF(AND($C26=138,$L26=1),1,0)</f>
        <v/>
      </c>
      <c r="ZJ27">
        <f>ZJ26+IF(AND($C26=139,$L26=1),1,0)</f>
        <v/>
      </c>
      <c r="ZK27">
        <f>ZK26+IF(AND($C26=140,$L26=1),1,0)</f>
        <v/>
      </c>
      <c r="ZL27">
        <f>ZL26+IF(AND($C26=141,$L26=1),1,0)</f>
        <v/>
      </c>
      <c r="ZM27">
        <f>ZM26+IF(AND($C26=142,$L26=1),1,0)</f>
        <v/>
      </c>
      <c r="ZN27">
        <f>ZN26+IF(AND($C26=143,$L26=1),1,0)</f>
        <v/>
      </c>
      <c r="ZO27">
        <f>ZO26+IF(AND($C26=144,$L26=1),1,0)</f>
        <v/>
      </c>
    </row>
    <row r="28">
      <c r="A28" t="n">
        <v>26</v>
      </c>
      <c r="B28">
        <f>IF(MIN(BH28:CZ28)&gt;=1000000,0,MATCH(MIN(BH28:CZ28),BH28:CZ28,0))</f>
        <v/>
      </c>
      <c r="C28">
        <f>IF(MIN(OF28:TS28)&gt;=1000000,0,MATCH(MIN(OF28:TS28),OF28:TS28,0))</f>
        <v/>
      </c>
      <c r="D28">
        <f>IF(C28&gt;0,INDEX('計算A'!$D$5:$EQ$5,C28),0)</f>
        <v/>
      </c>
      <c r="E28">
        <f>IF(B28=0,0,INDEX('計算A'!$IQ$10:$IQ$54,B28))</f>
        <v/>
      </c>
      <c r="F28">
        <f>IF(B28=0,0,INDEX('計算A'!$IP$10:$IP$54,B28))</f>
        <v/>
      </c>
      <c r="G28">
        <f>IF(AND(C28&gt;0,E28&gt;0),IF(AND(INDEX('計算A'!$D$106:$EQ$106,C28)=1,INDEX($IQ28:$OD28,C28)=1),C28+1,0),0)</f>
        <v/>
      </c>
      <c r="H28">
        <f>IF(B28=0,0,INDEX('計算A'!$IW$10:$IW$54,B28))</f>
        <v/>
      </c>
      <c r="I28">
        <f>IF(B28=0,0,MAX(0,INDEX('計算A'!$IT$10:$IT$54,B28)))</f>
        <v/>
      </c>
      <c r="J28">
        <f>IF(I28=0,0,INDEX('計算A'!$D$2:$EQ$2,I28))</f>
        <v/>
      </c>
      <c r="K28">
        <f>IF(I28=0,0,INDEX('計算A'!$D$3:$EQ$3,I28))</f>
        <v/>
      </c>
      <c r="L28">
        <f>IF(B28=0,0,INDEX('計算A'!$IX$10:$IX$54,B28))</f>
        <v/>
      </c>
      <c r="N28">
        <f>MAX(N27,IF($B27=1,1,0))</f>
        <v/>
      </c>
      <c r="O28">
        <f>MAX(O27,IF($B27=2,1,0))</f>
        <v/>
      </c>
      <c r="P28">
        <f>MAX(P27,IF($B27=3,1,0))</f>
        <v/>
      </c>
      <c r="Q28">
        <f>MAX(Q27,IF($B27=4,1,0))</f>
        <v/>
      </c>
      <c r="R28">
        <f>MAX(R27,IF($B27=5,1,0))</f>
        <v/>
      </c>
      <c r="S28">
        <f>MAX(S27,IF($B27=6,1,0))</f>
        <v/>
      </c>
      <c r="T28">
        <f>MAX(T27,IF($B27=7,1,0))</f>
        <v/>
      </c>
      <c r="U28">
        <f>MAX(U27,IF($B27=8,1,0))</f>
        <v/>
      </c>
      <c r="V28">
        <f>MAX(V27,IF($B27=9,1,0))</f>
        <v/>
      </c>
      <c r="W28">
        <f>MAX(W27,IF($B27=10,1,0))</f>
        <v/>
      </c>
      <c r="X28">
        <f>MAX(X27,IF($B27=11,1,0))</f>
        <v/>
      </c>
      <c r="Y28">
        <f>MAX(Y27,IF($B27=12,1,0))</f>
        <v/>
      </c>
      <c r="Z28">
        <f>MAX(Z27,IF($B27=13,1,0))</f>
        <v/>
      </c>
      <c r="AA28">
        <f>MAX(AA27,IF($B27=14,1,0))</f>
        <v/>
      </c>
      <c r="AB28">
        <f>MAX(AB27,IF($B27=15,1,0))</f>
        <v/>
      </c>
      <c r="AC28">
        <f>MAX(AC27,IF($B27=16,1,0))</f>
        <v/>
      </c>
      <c r="AD28">
        <f>MAX(AD27,IF($B27=17,1,0))</f>
        <v/>
      </c>
      <c r="AE28">
        <f>MAX(AE27,IF($B27=18,1,0))</f>
        <v/>
      </c>
      <c r="AF28">
        <f>MAX(AF27,IF($B27=19,1,0))</f>
        <v/>
      </c>
      <c r="AG28">
        <f>MAX(AG27,IF($B27=20,1,0))</f>
        <v/>
      </c>
      <c r="AH28">
        <f>MAX(AH27,IF($B27=21,1,0))</f>
        <v/>
      </c>
      <c r="AI28">
        <f>MAX(AI27,IF($B27=22,1,0))</f>
        <v/>
      </c>
      <c r="AJ28">
        <f>MAX(AJ27,IF($B27=23,1,0))</f>
        <v/>
      </c>
      <c r="AK28">
        <f>MAX(AK27,IF($B27=24,1,0))</f>
        <v/>
      </c>
      <c r="AL28">
        <f>MAX(AL27,IF($B27=25,1,0))</f>
        <v/>
      </c>
      <c r="AM28">
        <f>MAX(AM27,IF($B27=26,1,0))</f>
        <v/>
      </c>
      <c r="AN28">
        <f>MAX(AN27,IF($B27=27,1,0))</f>
        <v/>
      </c>
      <c r="AO28">
        <f>MAX(AO27,IF($B27=28,1,0))</f>
        <v/>
      </c>
      <c r="AP28">
        <f>MAX(AP27,IF($B27=29,1,0))</f>
        <v/>
      </c>
      <c r="AQ28">
        <f>MAX(AQ27,IF($B27=30,1,0))</f>
        <v/>
      </c>
      <c r="AR28">
        <f>MAX(AR27,IF($B27=31,1,0))</f>
        <v/>
      </c>
      <c r="AS28">
        <f>MAX(AS27,IF($B27=32,1,0))</f>
        <v/>
      </c>
      <c r="AT28">
        <f>MAX(AT27,IF($B27=33,1,0))</f>
        <v/>
      </c>
      <c r="AU28">
        <f>MAX(AU27,IF($B27=34,1,0))</f>
        <v/>
      </c>
      <c r="AV28">
        <f>MAX(AV27,IF($B27=35,1,0))</f>
        <v/>
      </c>
      <c r="AW28">
        <f>MAX(AW27,IF($B27=36,1,0))</f>
        <v/>
      </c>
      <c r="AX28">
        <f>MAX(AX27,IF($B27=37,1,0))</f>
        <v/>
      </c>
      <c r="AY28">
        <f>MAX(AY27,IF($B27=38,1,0))</f>
        <v/>
      </c>
      <c r="AZ28">
        <f>MAX(AZ27,IF($B27=39,1,0))</f>
        <v/>
      </c>
      <c r="BA28">
        <f>MAX(BA27,IF($B27=40,1,0))</f>
        <v/>
      </c>
      <c r="BB28">
        <f>MAX(BB27,IF($B27=41,1,0))</f>
        <v/>
      </c>
      <c r="BC28">
        <f>MAX(BC27,IF($B27=42,1,0))</f>
        <v/>
      </c>
      <c r="BD28">
        <f>MAX(BD27,IF($B27=43,1,0))</f>
        <v/>
      </c>
      <c r="BE28">
        <f>MAX(BE27,IF($B27=44,1,0))</f>
        <v/>
      </c>
      <c r="BF28">
        <f>MAX(BF27,IF($B27=45,1,0))</f>
        <v/>
      </c>
      <c r="BH28">
        <f>IF(N28=1,1000000,IF('計算A'!$IT$10&gt;0,0,500000)+IF('計算A'!$IQ$10=2,SUMPRODUCT('計算A'!$D$60:$EQ$60,$DB28:$IO28,$IQ28:$OD28),SUMPRODUCT('計算A'!$D$60:$EQ$60,$DB28:$IO28))*1000+1)</f>
        <v/>
      </c>
      <c r="BI28">
        <f>IF(O28=1,1000000,IF('計算A'!$IT$11&gt;0,0,500000)+IF('計算A'!$IQ$11=2,SUMPRODUCT('計算A'!$D$61:$EQ$61,$DB28:$IO28,$IQ28:$OD28),SUMPRODUCT('計算A'!$D$61:$EQ$61,$DB28:$IO28))*1000+2)</f>
        <v/>
      </c>
      <c r="BJ28">
        <f>IF(P28=1,1000000,IF('計算A'!$IT$12&gt;0,0,500000)+IF('計算A'!$IQ$12=2,SUMPRODUCT('計算A'!$D$62:$EQ$62,$DB28:$IO28,$IQ28:$OD28),SUMPRODUCT('計算A'!$D$62:$EQ$62,$DB28:$IO28))*1000+3)</f>
        <v/>
      </c>
      <c r="BK28">
        <f>IF(Q28=1,1000000,IF('計算A'!$IT$13&gt;0,0,500000)+IF('計算A'!$IQ$13=2,SUMPRODUCT('計算A'!$D$63:$EQ$63,$DB28:$IO28,$IQ28:$OD28),SUMPRODUCT('計算A'!$D$63:$EQ$63,$DB28:$IO28))*1000+4)</f>
        <v/>
      </c>
      <c r="BL28">
        <f>IF(R28=1,1000000,IF('計算A'!$IT$14&gt;0,0,500000)+IF('計算A'!$IQ$14=2,SUMPRODUCT('計算A'!$D$64:$EQ$64,$DB28:$IO28,$IQ28:$OD28),SUMPRODUCT('計算A'!$D$64:$EQ$64,$DB28:$IO28))*1000+5)</f>
        <v/>
      </c>
      <c r="BM28">
        <f>IF(S28=1,1000000,IF('計算A'!$IT$15&gt;0,0,500000)+IF('計算A'!$IQ$15=2,SUMPRODUCT('計算A'!$D$65:$EQ$65,$DB28:$IO28,$IQ28:$OD28),SUMPRODUCT('計算A'!$D$65:$EQ$65,$DB28:$IO28))*1000+6)</f>
        <v/>
      </c>
      <c r="BN28">
        <f>IF(T28=1,1000000,IF('計算A'!$IT$16&gt;0,0,500000)+IF('計算A'!$IQ$16=2,SUMPRODUCT('計算A'!$D$66:$EQ$66,$DB28:$IO28,$IQ28:$OD28),SUMPRODUCT('計算A'!$D$66:$EQ$66,$DB28:$IO28))*1000+7)</f>
        <v/>
      </c>
      <c r="BO28">
        <f>IF(U28=1,1000000,IF('計算A'!$IT$17&gt;0,0,500000)+IF('計算A'!$IQ$17=2,SUMPRODUCT('計算A'!$D$67:$EQ$67,$DB28:$IO28,$IQ28:$OD28),SUMPRODUCT('計算A'!$D$67:$EQ$67,$DB28:$IO28))*1000+8)</f>
        <v/>
      </c>
      <c r="BP28">
        <f>IF(V28=1,1000000,IF('計算A'!$IT$18&gt;0,0,500000)+IF('計算A'!$IQ$18=2,SUMPRODUCT('計算A'!$D$68:$EQ$68,$DB28:$IO28,$IQ28:$OD28),SUMPRODUCT('計算A'!$D$68:$EQ$68,$DB28:$IO28))*1000+9)</f>
        <v/>
      </c>
      <c r="BQ28">
        <f>IF(W28=1,1000000,IF('計算A'!$IT$19&gt;0,0,500000)+IF('計算A'!$IQ$19=2,SUMPRODUCT('計算A'!$D$69:$EQ$69,$DB28:$IO28,$IQ28:$OD28),SUMPRODUCT('計算A'!$D$69:$EQ$69,$DB28:$IO28))*1000+10)</f>
        <v/>
      </c>
      <c r="BR28">
        <f>IF(X28=1,1000000,IF('計算A'!$IT$20&gt;0,0,500000)+IF('計算A'!$IQ$20=2,SUMPRODUCT('計算A'!$D$70:$EQ$70,$DB28:$IO28,$IQ28:$OD28),SUMPRODUCT('計算A'!$D$70:$EQ$70,$DB28:$IO28))*1000+11)</f>
        <v/>
      </c>
      <c r="BS28">
        <f>IF(Y28=1,1000000,IF('計算A'!$IT$21&gt;0,0,500000)+IF('計算A'!$IQ$21=2,SUMPRODUCT('計算A'!$D$71:$EQ$71,$DB28:$IO28,$IQ28:$OD28),SUMPRODUCT('計算A'!$D$71:$EQ$71,$DB28:$IO28))*1000+12)</f>
        <v/>
      </c>
      <c r="BT28">
        <f>IF(Z28=1,1000000,IF('計算A'!$IT$22&gt;0,0,500000)+IF('計算A'!$IQ$22=2,SUMPRODUCT('計算A'!$D$72:$EQ$72,$DB28:$IO28,$IQ28:$OD28),SUMPRODUCT('計算A'!$D$72:$EQ$72,$DB28:$IO28))*1000+13)</f>
        <v/>
      </c>
      <c r="BU28">
        <f>IF(AA28=1,1000000,IF('計算A'!$IT$23&gt;0,0,500000)+IF('計算A'!$IQ$23=2,SUMPRODUCT('計算A'!$D$73:$EQ$73,$DB28:$IO28,$IQ28:$OD28),SUMPRODUCT('計算A'!$D$73:$EQ$73,$DB28:$IO28))*1000+14)</f>
        <v/>
      </c>
      <c r="BV28">
        <f>IF(AB28=1,1000000,IF('計算A'!$IT$24&gt;0,0,500000)+IF('計算A'!$IQ$24=2,SUMPRODUCT('計算A'!$D$74:$EQ$74,$DB28:$IO28,$IQ28:$OD28),SUMPRODUCT('計算A'!$D$74:$EQ$74,$DB28:$IO28))*1000+15)</f>
        <v/>
      </c>
      <c r="BW28">
        <f>IF(AC28=1,1000000,IF('計算A'!$IT$25&gt;0,0,500000)+IF('計算A'!$IQ$25=2,SUMPRODUCT('計算A'!$D$75:$EQ$75,$DB28:$IO28,$IQ28:$OD28),SUMPRODUCT('計算A'!$D$75:$EQ$75,$DB28:$IO28))*1000+16)</f>
        <v/>
      </c>
      <c r="BX28">
        <f>IF(AD28=1,1000000,IF('計算A'!$IT$26&gt;0,0,500000)+IF('計算A'!$IQ$26=2,SUMPRODUCT('計算A'!$D$76:$EQ$76,$DB28:$IO28,$IQ28:$OD28),SUMPRODUCT('計算A'!$D$76:$EQ$76,$DB28:$IO28))*1000+17)</f>
        <v/>
      </c>
      <c r="BY28">
        <f>IF(AE28=1,1000000,IF('計算A'!$IT$27&gt;0,0,500000)+IF('計算A'!$IQ$27=2,SUMPRODUCT('計算A'!$D$77:$EQ$77,$DB28:$IO28,$IQ28:$OD28),SUMPRODUCT('計算A'!$D$77:$EQ$77,$DB28:$IO28))*1000+18)</f>
        <v/>
      </c>
      <c r="BZ28">
        <f>IF(AF28=1,1000000,IF('計算A'!$IT$28&gt;0,0,500000)+IF('計算A'!$IQ$28=2,SUMPRODUCT('計算A'!$D$78:$EQ$78,$DB28:$IO28,$IQ28:$OD28),SUMPRODUCT('計算A'!$D$78:$EQ$78,$DB28:$IO28))*1000+19)</f>
        <v/>
      </c>
      <c r="CA28">
        <f>IF(AG28=1,1000000,IF('計算A'!$IT$29&gt;0,0,500000)+IF('計算A'!$IQ$29=2,SUMPRODUCT('計算A'!$D$79:$EQ$79,$DB28:$IO28,$IQ28:$OD28),SUMPRODUCT('計算A'!$D$79:$EQ$79,$DB28:$IO28))*1000+20)</f>
        <v/>
      </c>
      <c r="CB28">
        <f>IF(AH28=1,1000000,IF('計算A'!$IT$30&gt;0,0,500000)+IF('計算A'!$IQ$30=2,SUMPRODUCT('計算A'!$D$80:$EQ$80,$DB28:$IO28,$IQ28:$OD28),SUMPRODUCT('計算A'!$D$80:$EQ$80,$DB28:$IO28))*1000+21)</f>
        <v/>
      </c>
      <c r="CC28">
        <f>IF(AI28=1,1000000,IF('計算A'!$IT$31&gt;0,0,500000)+IF('計算A'!$IQ$31=2,SUMPRODUCT('計算A'!$D$81:$EQ$81,$DB28:$IO28,$IQ28:$OD28),SUMPRODUCT('計算A'!$D$81:$EQ$81,$DB28:$IO28))*1000+22)</f>
        <v/>
      </c>
      <c r="CD28">
        <f>IF(AJ28=1,1000000,IF('計算A'!$IT$32&gt;0,0,500000)+IF('計算A'!$IQ$32=2,SUMPRODUCT('計算A'!$D$82:$EQ$82,$DB28:$IO28,$IQ28:$OD28),SUMPRODUCT('計算A'!$D$82:$EQ$82,$DB28:$IO28))*1000+23)</f>
        <v/>
      </c>
      <c r="CE28">
        <f>IF(AK28=1,1000000,IF('計算A'!$IT$33&gt;0,0,500000)+IF('計算A'!$IQ$33=2,SUMPRODUCT('計算A'!$D$83:$EQ$83,$DB28:$IO28,$IQ28:$OD28),SUMPRODUCT('計算A'!$D$83:$EQ$83,$DB28:$IO28))*1000+24)</f>
        <v/>
      </c>
      <c r="CF28">
        <f>IF(AL28=1,1000000,IF('計算A'!$IT$34&gt;0,0,500000)+IF('計算A'!$IQ$34=2,SUMPRODUCT('計算A'!$D$84:$EQ$84,$DB28:$IO28,$IQ28:$OD28),SUMPRODUCT('計算A'!$D$84:$EQ$84,$DB28:$IO28))*1000+25)</f>
        <v/>
      </c>
      <c r="CG28">
        <f>IF(AM28=1,1000000,IF('計算A'!$IT$35&gt;0,0,500000)+IF('計算A'!$IQ$35=2,SUMPRODUCT('計算A'!$D$85:$EQ$85,$DB28:$IO28,$IQ28:$OD28),SUMPRODUCT('計算A'!$D$85:$EQ$85,$DB28:$IO28))*1000+26)</f>
        <v/>
      </c>
      <c r="CH28">
        <f>IF(AN28=1,1000000,IF('計算A'!$IT$36&gt;0,0,500000)+IF('計算A'!$IQ$36=2,SUMPRODUCT('計算A'!$D$86:$EQ$86,$DB28:$IO28,$IQ28:$OD28),SUMPRODUCT('計算A'!$D$86:$EQ$86,$DB28:$IO28))*1000+27)</f>
        <v/>
      </c>
      <c r="CI28">
        <f>IF(AO28=1,1000000,IF('計算A'!$IT$37&gt;0,0,500000)+IF('計算A'!$IQ$37=2,SUMPRODUCT('計算A'!$D$87:$EQ$87,$DB28:$IO28,$IQ28:$OD28),SUMPRODUCT('計算A'!$D$87:$EQ$87,$DB28:$IO28))*1000+28)</f>
        <v/>
      </c>
      <c r="CJ28">
        <f>IF(AP28=1,1000000,IF('計算A'!$IT$38&gt;0,0,500000)+IF('計算A'!$IQ$38=2,SUMPRODUCT('計算A'!$D$88:$EQ$88,$DB28:$IO28,$IQ28:$OD28),SUMPRODUCT('計算A'!$D$88:$EQ$88,$DB28:$IO28))*1000+29)</f>
        <v/>
      </c>
      <c r="CK28">
        <f>IF(AQ28=1,1000000,IF('計算A'!$IT$39&gt;0,0,500000)+IF('計算A'!$IQ$39=2,SUMPRODUCT('計算A'!$D$89:$EQ$89,$DB28:$IO28,$IQ28:$OD28),SUMPRODUCT('計算A'!$D$89:$EQ$89,$DB28:$IO28))*1000+30)</f>
        <v/>
      </c>
      <c r="CL28">
        <f>IF(AR28=1,1000000,IF('計算A'!$IT$40&gt;0,0,500000)+IF('計算A'!$IQ$40=2,SUMPRODUCT('計算A'!$D$90:$EQ$90,$DB28:$IO28,$IQ28:$OD28),SUMPRODUCT('計算A'!$D$90:$EQ$90,$DB28:$IO28))*1000+31)</f>
        <v/>
      </c>
      <c r="CM28">
        <f>IF(AS28=1,1000000,IF('計算A'!$IT$41&gt;0,0,500000)+IF('計算A'!$IQ$41=2,SUMPRODUCT('計算A'!$D$91:$EQ$91,$DB28:$IO28,$IQ28:$OD28),SUMPRODUCT('計算A'!$D$91:$EQ$91,$DB28:$IO28))*1000+32)</f>
        <v/>
      </c>
      <c r="CN28">
        <f>IF(AT28=1,1000000,IF('計算A'!$IT$42&gt;0,0,500000)+IF('計算A'!$IQ$42=2,SUMPRODUCT('計算A'!$D$92:$EQ$92,$DB28:$IO28,$IQ28:$OD28),SUMPRODUCT('計算A'!$D$92:$EQ$92,$DB28:$IO28))*1000+33)</f>
        <v/>
      </c>
      <c r="CO28">
        <f>IF(AU28=1,1000000,IF('計算A'!$IT$43&gt;0,0,500000)+IF('計算A'!$IQ$43=2,SUMPRODUCT('計算A'!$D$93:$EQ$93,$DB28:$IO28,$IQ28:$OD28),SUMPRODUCT('計算A'!$D$93:$EQ$93,$DB28:$IO28))*1000+34)</f>
        <v/>
      </c>
      <c r="CP28">
        <f>IF(AV28=1,1000000,IF('計算A'!$IT$44&gt;0,0,500000)+IF('計算A'!$IQ$44=2,SUMPRODUCT('計算A'!$D$94:$EQ$94,$DB28:$IO28,$IQ28:$OD28),SUMPRODUCT('計算A'!$D$94:$EQ$94,$DB28:$IO28))*1000+35)</f>
        <v/>
      </c>
      <c r="CQ28">
        <f>IF(AW28=1,1000000,IF('計算A'!$IT$45&gt;0,0,500000)+IF('計算A'!$IQ$45=2,SUMPRODUCT('計算A'!$D$95:$EQ$95,$DB28:$IO28,$IQ28:$OD28),SUMPRODUCT('計算A'!$D$95:$EQ$95,$DB28:$IO28))*1000+36)</f>
        <v/>
      </c>
      <c r="CR28">
        <f>IF(AX28=1,1000000,IF('計算A'!$IT$46&gt;0,0,500000)+IF('計算A'!$IQ$46=2,SUMPRODUCT('計算A'!$D$96:$EQ$96,$DB28:$IO28,$IQ28:$OD28),SUMPRODUCT('計算A'!$D$96:$EQ$96,$DB28:$IO28))*1000+37)</f>
        <v/>
      </c>
      <c r="CS28">
        <f>IF(AY28=1,1000000,IF('計算A'!$IT$47&gt;0,0,500000)+IF('計算A'!$IQ$47=2,SUMPRODUCT('計算A'!$D$97:$EQ$97,$DB28:$IO28,$IQ28:$OD28),SUMPRODUCT('計算A'!$D$97:$EQ$97,$DB28:$IO28))*1000+38)</f>
        <v/>
      </c>
      <c r="CT28">
        <f>IF(AZ28=1,1000000,IF('計算A'!$IT$48&gt;0,0,500000)+IF('計算A'!$IQ$48=2,SUMPRODUCT('計算A'!$D$98:$EQ$98,$DB28:$IO28,$IQ28:$OD28),SUMPRODUCT('計算A'!$D$98:$EQ$98,$DB28:$IO28))*1000+39)</f>
        <v/>
      </c>
      <c r="CU28">
        <f>IF(BA28=1,1000000,IF('計算A'!$IT$49&gt;0,0,500000)+IF('計算A'!$IQ$49=2,SUMPRODUCT('計算A'!$D$99:$EQ$99,$DB28:$IO28,$IQ28:$OD28),SUMPRODUCT('計算A'!$D$99:$EQ$99,$DB28:$IO28))*1000+40)</f>
        <v/>
      </c>
      <c r="CV28">
        <f>IF(BB28=1,1000000,IF('計算A'!$IT$50&gt;0,0,500000)+IF('計算A'!$IQ$50=2,SUMPRODUCT('計算A'!$D$100:$EQ$100,$DB28:$IO28,$IQ28:$OD28),SUMPRODUCT('計算A'!$D$100:$EQ$100,$DB28:$IO28))*1000+41)</f>
        <v/>
      </c>
      <c r="CW28">
        <f>IF(BC28=1,1000000,IF('計算A'!$IT$51&gt;0,0,500000)+IF('計算A'!$IQ$51=2,SUMPRODUCT('計算A'!$D$101:$EQ$101,$DB28:$IO28,$IQ28:$OD28),SUMPRODUCT('計算A'!$D$101:$EQ$101,$DB28:$IO28))*1000+42)</f>
        <v/>
      </c>
      <c r="CX28">
        <f>IF(BD28=1,1000000,IF('計算A'!$IT$52&gt;0,0,500000)+IF('計算A'!$IQ$52=2,SUMPRODUCT('計算A'!$D$102:$EQ$102,$DB28:$IO28,$IQ28:$OD28),SUMPRODUCT('計算A'!$D$102:$EQ$102,$DB28:$IO28))*1000+43)</f>
        <v/>
      </c>
      <c r="CY28">
        <f>IF(BE28=1,1000000,IF('計算A'!$IT$53&gt;0,0,500000)+IF('計算A'!$IQ$53=2,SUMPRODUCT('計算A'!$D$103:$EQ$103,$DB28:$IO28,$IQ28:$OD28),SUMPRODUCT('計算A'!$D$103:$EQ$103,$DB28:$IO28))*1000+44)</f>
        <v/>
      </c>
      <c r="CZ28">
        <f>IF(BF28=1,1000000,IF('計算A'!$IT$54&gt;0,0,500000)+IF('計算A'!$IQ$54=2,SUMPRODUCT('計算A'!$D$104:$EQ$104,$DB28:$IO28,$IQ28:$OD28),SUMPRODUCT('計算A'!$D$104:$EQ$104,$DB28:$IO28))*1000+45)</f>
        <v/>
      </c>
      <c r="DB28">
        <f>DB27*IF(OR($C27=1,$G27=1),0,1)</f>
        <v/>
      </c>
      <c r="DC28">
        <f>DC27*IF(OR($C27=2,$G27=2),0,1)</f>
        <v/>
      </c>
      <c r="DD28">
        <f>DD27*IF(OR($C27=3,$G27=3),0,1)</f>
        <v/>
      </c>
      <c r="DE28">
        <f>DE27*IF(OR($C27=4,$G27=4),0,1)</f>
        <v/>
      </c>
      <c r="DF28">
        <f>DF27*IF(OR($C27=5,$G27=5),0,1)</f>
        <v/>
      </c>
      <c r="DG28">
        <f>DG27*IF(OR($C27=6,$G27=6),0,1)</f>
        <v/>
      </c>
      <c r="DH28">
        <f>DH27*IF(OR($C27=7,$G27=7),0,1)</f>
        <v/>
      </c>
      <c r="DI28">
        <f>DI27*IF(OR($C27=8,$G27=8),0,1)</f>
        <v/>
      </c>
      <c r="DJ28">
        <f>DJ27*IF(OR($C27=9,$G27=9),0,1)</f>
        <v/>
      </c>
      <c r="DK28">
        <f>DK27*IF(OR($C27=10,$G27=10),0,1)</f>
        <v/>
      </c>
      <c r="DL28">
        <f>DL27*IF(OR($C27=11,$G27=11),0,1)</f>
        <v/>
      </c>
      <c r="DM28">
        <f>DM27*IF(OR($C27=12,$G27=12),0,1)</f>
        <v/>
      </c>
      <c r="DN28">
        <f>DN27*IF(OR($C27=13,$G27=13),0,1)</f>
        <v/>
      </c>
      <c r="DO28">
        <f>DO27*IF(OR($C27=14,$G27=14),0,1)</f>
        <v/>
      </c>
      <c r="DP28">
        <f>DP27*IF(OR($C27=15,$G27=15),0,1)</f>
        <v/>
      </c>
      <c r="DQ28">
        <f>DQ27*IF(OR($C27=16,$G27=16),0,1)</f>
        <v/>
      </c>
      <c r="DR28">
        <f>DR27*IF(OR($C27=17,$G27=17),0,1)</f>
        <v/>
      </c>
      <c r="DS28">
        <f>DS27*IF(OR($C27=18,$G27=18),0,1)</f>
        <v/>
      </c>
      <c r="DT28">
        <f>DT27*IF(OR($C27=19,$G27=19),0,1)</f>
        <v/>
      </c>
      <c r="DU28">
        <f>DU27*IF(OR($C27=20,$G27=20),0,1)</f>
        <v/>
      </c>
      <c r="DV28">
        <f>DV27*IF(OR($C27=21,$G27=21),0,1)</f>
        <v/>
      </c>
      <c r="DW28">
        <f>DW27*IF(OR($C27=22,$G27=22),0,1)</f>
        <v/>
      </c>
      <c r="DX28">
        <f>DX27*IF(OR($C27=23,$G27=23),0,1)</f>
        <v/>
      </c>
      <c r="DY28">
        <f>DY27*IF(OR($C27=24,$G27=24),0,1)</f>
        <v/>
      </c>
      <c r="DZ28">
        <f>DZ27*IF(OR($C27=25,$G27=25),0,1)</f>
        <v/>
      </c>
      <c r="EA28">
        <f>EA27*IF(OR($C27=26,$G27=26),0,1)</f>
        <v/>
      </c>
      <c r="EB28">
        <f>EB27*IF(OR($C27=27,$G27=27),0,1)</f>
        <v/>
      </c>
      <c r="EC28">
        <f>EC27*IF(OR($C27=28,$G27=28),0,1)</f>
        <v/>
      </c>
      <c r="ED28">
        <f>ED27*IF(OR($C27=29,$G27=29),0,1)</f>
        <v/>
      </c>
      <c r="EE28">
        <f>EE27*IF(OR($C27=30,$G27=30),0,1)</f>
        <v/>
      </c>
      <c r="EF28">
        <f>EF27*IF(OR($C27=31,$G27=31),0,1)</f>
        <v/>
      </c>
      <c r="EG28">
        <f>EG27*IF(OR($C27=32,$G27=32),0,1)</f>
        <v/>
      </c>
      <c r="EH28">
        <f>EH27*IF(OR($C27=33,$G27=33),0,1)</f>
        <v/>
      </c>
      <c r="EI28">
        <f>EI27*IF(OR($C27=34,$G27=34),0,1)</f>
        <v/>
      </c>
      <c r="EJ28">
        <f>EJ27*IF(OR($C27=35,$G27=35),0,1)</f>
        <v/>
      </c>
      <c r="EK28">
        <f>EK27*IF(OR($C27=36,$G27=36),0,1)</f>
        <v/>
      </c>
      <c r="EL28">
        <f>EL27*IF(OR($C27=37,$G27=37),0,1)</f>
        <v/>
      </c>
      <c r="EM28">
        <f>EM27*IF(OR($C27=38,$G27=38),0,1)</f>
        <v/>
      </c>
      <c r="EN28">
        <f>EN27*IF(OR($C27=39,$G27=39),0,1)</f>
        <v/>
      </c>
      <c r="EO28">
        <f>EO27*IF(OR($C27=40,$G27=40),0,1)</f>
        <v/>
      </c>
      <c r="EP28">
        <f>EP27*IF(OR($C27=41,$G27=41),0,1)</f>
        <v/>
      </c>
      <c r="EQ28">
        <f>EQ27*IF(OR($C27=42,$G27=42),0,1)</f>
        <v/>
      </c>
      <c r="ER28">
        <f>ER27*IF(OR($C27=43,$G27=43),0,1)</f>
        <v/>
      </c>
      <c r="ES28">
        <f>ES27*IF(OR($C27=44,$G27=44),0,1)</f>
        <v/>
      </c>
      <c r="ET28">
        <f>ET27*IF(OR($C27=45,$G27=45),0,1)</f>
        <v/>
      </c>
      <c r="EU28">
        <f>EU27*IF(OR($C27=46,$G27=46),0,1)</f>
        <v/>
      </c>
      <c r="EV28">
        <f>EV27*IF(OR($C27=47,$G27=47),0,1)</f>
        <v/>
      </c>
      <c r="EW28">
        <f>EW27*IF(OR($C27=48,$G27=48),0,1)</f>
        <v/>
      </c>
      <c r="EX28">
        <f>EX27*IF(OR($C27=49,$G27=49),0,1)</f>
        <v/>
      </c>
      <c r="EY28">
        <f>EY27*IF(OR($C27=50,$G27=50),0,1)</f>
        <v/>
      </c>
      <c r="EZ28">
        <f>EZ27*IF(OR($C27=51,$G27=51),0,1)</f>
        <v/>
      </c>
      <c r="FA28">
        <f>FA27*IF(OR($C27=52,$G27=52),0,1)</f>
        <v/>
      </c>
      <c r="FB28">
        <f>FB27*IF(OR($C27=53,$G27=53),0,1)</f>
        <v/>
      </c>
      <c r="FC28">
        <f>FC27*IF(OR($C27=54,$G27=54),0,1)</f>
        <v/>
      </c>
      <c r="FD28">
        <f>FD27*IF(OR($C27=55,$G27=55),0,1)</f>
        <v/>
      </c>
      <c r="FE28">
        <f>FE27*IF(OR($C27=56,$G27=56),0,1)</f>
        <v/>
      </c>
      <c r="FF28">
        <f>FF27*IF(OR($C27=57,$G27=57),0,1)</f>
        <v/>
      </c>
      <c r="FG28">
        <f>FG27*IF(OR($C27=58,$G27=58),0,1)</f>
        <v/>
      </c>
      <c r="FH28">
        <f>FH27*IF(OR($C27=59,$G27=59),0,1)</f>
        <v/>
      </c>
      <c r="FI28">
        <f>FI27*IF(OR($C27=60,$G27=60),0,1)</f>
        <v/>
      </c>
      <c r="FJ28">
        <f>FJ27*IF(OR($C27=61,$G27=61),0,1)</f>
        <v/>
      </c>
      <c r="FK28">
        <f>FK27*IF(OR($C27=62,$G27=62),0,1)</f>
        <v/>
      </c>
      <c r="FL28">
        <f>FL27*IF(OR($C27=63,$G27=63),0,1)</f>
        <v/>
      </c>
      <c r="FM28">
        <f>FM27*IF(OR($C27=64,$G27=64),0,1)</f>
        <v/>
      </c>
      <c r="FN28">
        <f>FN27*IF(OR($C27=65,$G27=65),0,1)</f>
        <v/>
      </c>
      <c r="FO28">
        <f>FO27*IF(OR($C27=66,$G27=66),0,1)</f>
        <v/>
      </c>
      <c r="FP28">
        <f>FP27*IF(OR($C27=67,$G27=67),0,1)</f>
        <v/>
      </c>
      <c r="FQ28">
        <f>FQ27*IF(OR($C27=68,$G27=68),0,1)</f>
        <v/>
      </c>
      <c r="FR28">
        <f>FR27*IF(OR($C27=69,$G27=69),0,1)</f>
        <v/>
      </c>
      <c r="FS28">
        <f>FS27*IF(OR($C27=70,$G27=70),0,1)</f>
        <v/>
      </c>
      <c r="FT28">
        <f>FT27*IF(OR($C27=71,$G27=71),0,1)</f>
        <v/>
      </c>
      <c r="FU28">
        <f>FU27*IF(OR($C27=72,$G27=72),0,1)</f>
        <v/>
      </c>
      <c r="FV28">
        <f>FV27*IF(OR($C27=73,$G27=73),0,1)</f>
        <v/>
      </c>
      <c r="FW28">
        <f>FW27*IF(OR($C27=74,$G27=74),0,1)</f>
        <v/>
      </c>
      <c r="FX28">
        <f>FX27*IF(OR($C27=75,$G27=75),0,1)</f>
        <v/>
      </c>
      <c r="FY28">
        <f>FY27*IF(OR($C27=76,$G27=76),0,1)</f>
        <v/>
      </c>
      <c r="FZ28">
        <f>FZ27*IF(OR($C27=77,$G27=77),0,1)</f>
        <v/>
      </c>
      <c r="GA28">
        <f>GA27*IF(OR($C27=78,$G27=78),0,1)</f>
        <v/>
      </c>
      <c r="GB28">
        <f>GB27*IF(OR($C27=79,$G27=79),0,1)</f>
        <v/>
      </c>
      <c r="GC28">
        <f>GC27*IF(OR($C27=80,$G27=80),0,1)</f>
        <v/>
      </c>
      <c r="GD28">
        <f>GD27*IF(OR($C27=81,$G27=81),0,1)</f>
        <v/>
      </c>
      <c r="GE28">
        <f>GE27*IF(OR($C27=82,$G27=82),0,1)</f>
        <v/>
      </c>
      <c r="GF28">
        <f>GF27*IF(OR($C27=83,$G27=83),0,1)</f>
        <v/>
      </c>
      <c r="GG28">
        <f>GG27*IF(OR($C27=84,$G27=84),0,1)</f>
        <v/>
      </c>
      <c r="GH28">
        <f>GH27*IF(OR($C27=85,$G27=85),0,1)</f>
        <v/>
      </c>
      <c r="GI28">
        <f>GI27*IF(OR($C27=86,$G27=86),0,1)</f>
        <v/>
      </c>
      <c r="GJ28">
        <f>GJ27*IF(OR($C27=87,$G27=87),0,1)</f>
        <v/>
      </c>
      <c r="GK28">
        <f>GK27*IF(OR($C27=88,$G27=88),0,1)</f>
        <v/>
      </c>
      <c r="GL28">
        <f>GL27*IF(OR($C27=89,$G27=89),0,1)</f>
        <v/>
      </c>
      <c r="GM28">
        <f>GM27*IF(OR($C27=90,$G27=90),0,1)</f>
        <v/>
      </c>
      <c r="GN28">
        <f>GN27*IF(OR($C27=91,$G27=91),0,1)</f>
        <v/>
      </c>
      <c r="GO28">
        <f>GO27*IF(OR($C27=92,$G27=92),0,1)</f>
        <v/>
      </c>
      <c r="GP28">
        <f>GP27*IF(OR($C27=93,$G27=93),0,1)</f>
        <v/>
      </c>
      <c r="GQ28">
        <f>GQ27*IF(OR($C27=94,$G27=94),0,1)</f>
        <v/>
      </c>
      <c r="GR28">
        <f>GR27*IF(OR($C27=95,$G27=95),0,1)</f>
        <v/>
      </c>
      <c r="GS28">
        <f>GS27*IF(OR($C27=96,$G27=96),0,1)</f>
        <v/>
      </c>
      <c r="GT28">
        <f>GT27*IF(OR($C27=97,$G27=97),0,1)</f>
        <v/>
      </c>
      <c r="GU28">
        <f>GU27*IF(OR($C27=98,$G27=98),0,1)</f>
        <v/>
      </c>
      <c r="GV28">
        <f>GV27*IF(OR($C27=99,$G27=99),0,1)</f>
        <v/>
      </c>
      <c r="GW28">
        <f>GW27*IF(OR($C27=100,$G27=100),0,1)</f>
        <v/>
      </c>
      <c r="GX28">
        <f>GX27*IF(OR($C27=101,$G27=101),0,1)</f>
        <v/>
      </c>
      <c r="GY28">
        <f>GY27*IF(OR($C27=102,$G27=102),0,1)</f>
        <v/>
      </c>
      <c r="GZ28">
        <f>GZ27*IF(OR($C27=103,$G27=103),0,1)</f>
        <v/>
      </c>
      <c r="HA28">
        <f>HA27*IF(OR($C27=104,$G27=104),0,1)</f>
        <v/>
      </c>
      <c r="HB28">
        <f>HB27*IF(OR($C27=105,$G27=105),0,1)</f>
        <v/>
      </c>
      <c r="HC28">
        <f>HC27*IF(OR($C27=106,$G27=106),0,1)</f>
        <v/>
      </c>
      <c r="HD28">
        <f>HD27*IF(OR($C27=107,$G27=107),0,1)</f>
        <v/>
      </c>
      <c r="HE28">
        <f>HE27*IF(OR($C27=108,$G27=108),0,1)</f>
        <v/>
      </c>
      <c r="HF28">
        <f>HF27*IF(OR($C27=109,$G27=109),0,1)</f>
        <v/>
      </c>
      <c r="HG28">
        <f>HG27*IF(OR($C27=110,$G27=110),0,1)</f>
        <v/>
      </c>
      <c r="HH28">
        <f>HH27*IF(OR($C27=111,$G27=111),0,1)</f>
        <v/>
      </c>
      <c r="HI28">
        <f>HI27*IF(OR($C27=112,$G27=112),0,1)</f>
        <v/>
      </c>
      <c r="HJ28">
        <f>HJ27*IF(OR($C27=113,$G27=113),0,1)</f>
        <v/>
      </c>
      <c r="HK28">
        <f>HK27*IF(OR($C27=114,$G27=114),0,1)</f>
        <v/>
      </c>
      <c r="HL28">
        <f>HL27*IF(OR($C27=115,$G27=115),0,1)</f>
        <v/>
      </c>
      <c r="HM28">
        <f>HM27*IF(OR($C27=116,$G27=116),0,1)</f>
        <v/>
      </c>
      <c r="HN28">
        <f>HN27*IF(OR($C27=117,$G27=117),0,1)</f>
        <v/>
      </c>
      <c r="HO28">
        <f>HO27*IF(OR($C27=118,$G27=118),0,1)</f>
        <v/>
      </c>
      <c r="HP28">
        <f>HP27*IF(OR($C27=119,$G27=119),0,1)</f>
        <v/>
      </c>
      <c r="HQ28">
        <f>HQ27*IF(OR($C27=120,$G27=120),0,1)</f>
        <v/>
      </c>
      <c r="HR28">
        <f>HR27*IF(OR($C27=121,$G27=121),0,1)</f>
        <v/>
      </c>
      <c r="HS28">
        <f>HS27*IF(OR($C27=122,$G27=122),0,1)</f>
        <v/>
      </c>
      <c r="HT28">
        <f>HT27*IF(OR($C27=123,$G27=123),0,1)</f>
        <v/>
      </c>
      <c r="HU28">
        <f>HU27*IF(OR($C27=124,$G27=124),0,1)</f>
        <v/>
      </c>
      <c r="HV28">
        <f>HV27*IF(OR($C27=125,$G27=125),0,1)</f>
        <v/>
      </c>
      <c r="HW28">
        <f>HW27*IF(OR($C27=126,$G27=126),0,1)</f>
        <v/>
      </c>
      <c r="HX28">
        <f>HX27*IF(OR($C27=127,$G27=127),0,1)</f>
        <v/>
      </c>
      <c r="HY28">
        <f>HY27*IF(OR($C27=128,$G27=128),0,1)</f>
        <v/>
      </c>
      <c r="HZ28">
        <f>HZ27*IF(OR($C27=129,$G27=129),0,1)</f>
        <v/>
      </c>
      <c r="IA28">
        <f>IA27*IF(OR($C27=130,$G27=130),0,1)</f>
        <v/>
      </c>
      <c r="IB28">
        <f>IB27*IF(OR($C27=131,$G27=131),0,1)</f>
        <v/>
      </c>
      <c r="IC28">
        <f>IC27*IF(OR($C27=132,$G27=132),0,1)</f>
        <v/>
      </c>
      <c r="ID28">
        <f>ID27*IF(OR($C27=133,$G27=133),0,1)</f>
        <v/>
      </c>
      <c r="IE28">
        <f>IE27*IF(OR($C27=134,$G27=134),0,1)</f>
        <v/>
      </c>
      <c r="IF28">
        <f>IF27*IF(OR($C27=135,$G27=135),0,1)</f>
        <v/>
      </c>
      <c r="IG28">
        <f>IG27*IF(OR($C27=136,$G27=136),0,1)</f>
        <v/>
      </c>
      <c r="IH28">
        <f>IH27*IF(OR($C27=137,$G27=137),0,1)</f>
        <v/>
      </c>
      <c r="II28">
        <f>II27*IF(OR($C27=138,$G27=138),0,1)</f>
        <v/>
      </c>
      <c r="IJ28">
        <f>IJ27*IF(OR($C27=139,$G27=139),0,1)</f>
        <v/>
      </c>
      <c r="IK28">
        <f>IK27*IF(OR($C27=140,$G27=140),0,1)</f>
        <v/>
      </c>
      <c r="IL28">
        <f>IL27*IF(OR($C27=141,$G27=141),0,1)</f>
        <v/>
      </c>
      <c r="IM28">
        <f>IM27*IF(OR($C27=142,$G27=142),0,1)</f>
        <v/>
      </c>
      <c r="IN28">
        <f>IN27*IF(OR($C27=143,$G27=143),0,1)</f>
        <v/>
      </c>
      <c r="IO28">
        <f>IO27*IF(OR($C27=144,$G27=144),0,1)</f>
        <v/>
      </c>
      <c r="IQ28">
        <f>IF('計算A'!D$106=1,DC28,1)</f>
        <v/>
      </c>
      <c r="IR28">
        <f>IF('計算A'!E$106=1,DD28,1)</f>
        <v/>
      </c>
      <c r="IS28">
        <f>IF('計算A'!F$106=1,DE28,1)</f>
        <v/>
      </c>
      <c r="IT28">
        <f>IF('計算A'!G$106=1,DF28,1)</f>
        <v/>
      </c>
      <c r="IU28">
        <f>IF('計算A'!H$106=1,DG28,1)</f>
        <v/>
      </c>
      <c r="IV28">
        <f>IF('計算A'!I$106=1,DH28,1)</f>
        <v/>
      </c>
      <c r="IW28">
        <f>IF('計算A'!J$106=1,DI28,1)</f>
        <v/>
      </c>
      <c r="IX28">
        <f>IF('計算A'!K$106=1,DJ28,1)</f>
        <v/>
      </c>
      <c r="IY28">
        <f>IF('計算A'!L$106=1,DK28,1)</f>
        <v/>
      </c>
      <c r="IZ28">
        <f>IF('計算A'!M$106=1,DL28,1)</f>
        <v/>
      </c>
      <c r="JA28">
        <f>IF('計算A'!N$106=1,DM28,1)</f>
        <v/>
      </c>
      <c r="JB28">
        <f>IF('計算A'!O$106=1,DN28,1)</f>
        <v/>
      </c>
      <c r="JC28">
        <f>IF('計算A'!P$106=1,DO28,1)</f>
        <v/>
      </c>
      <c r="JD28">
        <f>IF('計算A'!Q$106=1,DP28,1)</f>
        <v/>
      </c>
      <c r="JE28">
        <f>IF('計算A'!R$106=1,DQ28,1)</f>
        <v/>
      </c>
      <c r="JF28">
        <f>IF('計算A'!S$106=1,DR28,1)</f>
        <v/>
      </c>
      <c r="JG28">
        <f>IF('計算A'!T$106=1,DS28,1)</f>
        <v/>
      </c>
      <c r="JH28">
        <f>IF('計算A'!U$106=1,DT28,1)</f>
        <v/>
      </c>
      <c r="JI28">
        <f>IF('計算A'!V$106=1,DU28,1)</f>
        <v/>
      </c>
      <c r="JJ28">
        <f>IF('計算A'!W$106=1,DV28,1)</f>
        <v/>
      </c>
      <c r="JK28">
        <f>IF('計算A'!X$106=1,DW28,1)</f>
        <v/>
      </c>
      <c r="JL28">
        <f>IF('計算A'!Y$106=1,DX28,1)</f>
        <v/>
      </c>
      <c r="JM28">
        <f>IF('計算A'!Z$106=1,DY28,1)</f>
        <v/>
      </c>
      <c r="JN28">
        <f>IF('計算A'!AA$106=1,DZ28,1)</f>
        <v/>
      </c>
      <c r="JO28">
        <f>IF('計算A'!AB$106=1,EA28,1)</f>
        <v/>
      </c>
      <c r="JP28">
        <f>IF('計算A'!AC$106=1,EB28,1)</f>
        <v/>
      </c>
      <c r="JQ28">
        <f>IF('計算A'!AD$106=1,EC28,1)</f>
        <v/>
      </c>
      <c r="JR28">
        <f>IF('計算A'!AE$106=1,ED28,1)</f>
        <v/>
      </c>
      <c r="JS28">
        <f>IF('計算A'!AF$106=1,EE28,1)</f>
        <v/>
      </c>
      <c r="JT28">
        <f>IF('計算A'!AG$106=1,EF28,1)</f>
        <v/>
      </c>
      <c r="JU28">
        <f>IF('計算A'!AH$106=1,EG28,1)</f>
        <v/>
      </c>
      <c r="JV28">
        <f>IF('計算A'!AI$106=1,EH28,1)</f>
        <v/>
      </c>
      <c r="JW28">
        <f>IF('計算A'!AJ$106=1,EI28,1)</f>
        <v/>
      </c>
      <c r="JX28">
        <f>IF('計算A'!AK$106=1,EJ28,1)</f>
        <v/>
      </c>
      <c r="JY28">
        <f>IF('計算A'!AL$106=1,EK28,1)</f>
        <v/>
      </c>
      <c r="JZ28">
        <f>IF('計算A'!AM$106=1,EL28,1)</f>
        <v/>
      </c>
      <c r="KA28">
        <f>IF('計算A'!AN$106=1,EM28,1)</f>
        <v/>
      </c>
      <c r="KB28">
        <f>IF('計算A'!AO$106=1,EN28,1)</f>
        <v/>
      </c>
      <c r="KC28">
        <f>IF('計算A'!AP$106=1,EO28,1)</f>
        <v/>
      </c>
      <c r="KD28">
        <f>IF('計算A'!AQ$106=1,EP28,1)</f>
        <v/>
      </c>
      <c r="KE28">
        <f>IF('計算A'!AR$106=1,EQ28,1)</f>
        <v/>
      </c>
      <c r="KF28">
        <f>IF('計算A'!AS$106=1,ER28,1)</f>
        <v/>
      </c>
      <c r="KG28">
        <f>IF('計算A'!AT$106=1,ES28,1)</f>
        <v/>
      </c>
      <c r="KH28">
        <f>IF('計算A'!AU$106=1,ET28,1)</f>
        <v/>
      </c>
      <c r="KI28">
        <f>IF('計算A'!AV$106=1,EU28,1)</f>
        <v/>
      </c>
      <c r="KJ28">
        <f>IF('計算A'!AW$106=1,EV28,1)</f>
        <v/>
      </c>
      <c r="KK28">
        <f>IF('計算A'!AX$106=1,EW28,1)</f>
        <v/>
      </c>
      <c r="KL28">
        <f>IF('計算A'!AY$106=1,EX28,1)</f>
        <v/>
      </c>
      <c r="KM28">
        <f>IF('計算A'!AZ$106=1,EY28,1)</f>
        <v/>
      </c>
      <c r="KN28">
        <f>IF('計算A'!BA$106=1,EZ28,1)</f>
        <v/>
      </c>
      <c r="KO28">
        <f>IF('計算A'!BB$106=1,FA28,1)</f>
        <v/>
      </c>
      <c r="KP28">
        <f>IF('計算A'!BC$106=1,FB28,1)</f>
        <v/>
      </c>
      <c r="KQ28">
        <f>IF('計算A'!BD$106=1,FC28,1)</f>
        <v/>
      </c>
      <c r="KR28">
        <f>IF('計算A'!BE$106=1,FD28,1)</f>
        <v/>
      </c>
      <c r="KS28">
        <f>IF('計算A'!BF$106=1,FE28,1)</f>
        <v/>
      </c>
      <c r="KT28">
        <f>IF('計算A'!BG$106=1,FF28,1)</f>
        <v/>
      </c>
      <c r="KU28">
        <f>IF('計算A'!BH$106=1,FG28,1)</f>
        <v/>
      </c>
      <c r="KV28">
        <f>IF('計算A'!BI$106=1,FH28,1)</f>
        <v/>
      </c>
      <c r="KW28">
        <f>IF('計算A'!BJ$106=1,FI28,1)</f>
        <v/>
      </c>
      <c r="KX28">
        <f>IF('計算A'!BK$106=1,FJ28,1)</f>
        <v/>
      </c>
      <c r="KY28">
        <f>IF('計算A'!BL$106=1,FK28,1)</f>
        <v/>
      </c>
      <c r="KZ28">
        <f>IF('計算A'!BM$106=1,FL28,1)</f>
        <v/>
      </c>
      <c r="LA28">
        <f>IF('計算A'!BN$106=1,FM28,1)</f>
        <v/>
      </c>
      <c r="LB28">
        <f>IF('計算A'!BO$106=1,FN28,1)</f>
        <v/>
      </c>
      <c r="LC28">
        <f>IF('計算A'!BP$106=1,FO28,1)</f>
        <v/>
      </c>
      <c r="LD28">
        <f>IF('計算A'!BQ$106=1,FP28,1)</f>
        <v/>
      </c>
      <c r="LE28">
        <f>IF('計算A'!BR$106=1,FQ28,1)</f>
        <v/>
      </c>
      <c r="LF28">
        <f>IF('計算A'!BS$106=1,FR28,1)</f>
        <v/>
      </c>
      <c r="LG28">
        <f>IF('計算A'!BT$106=1,FS28,1)</f>
        <v/>
      </c>
      <c r="LH28">
        <f>IF('計算A'!BU$106=1,FT28,1)</f>
        <v/>
      </c>
      <c r="LI28">
        <f>IF('計算A'!BV$106=1,FU28,1)</f>
        <v/>
      </c>
      <c r="LJ28">
        <f>IF('計算A'!BW$106=1,FV28,1)</f>
        <v/>
      </c>
      <c r="LK28">
        <f>IF('計算A'!BX$106=1,FW28,1)</f>
        <v/>
      </c>
      <c r="LL28">
        <f>IF('計算A'!BY$106=1,FX28,1)</f>
        <v/>
      </c>
      <c r="LM28">
        <f>IF('計算A'!BZ$106=1,FY28,1)</f>
        <v/>
      </c>
      <c r="LN28">
        <f>IF('計算A'!CA$106=1,FZ28,1)</f>
        <v/>
      </c>
      <c r="LO28">
        <f>IF('計算A'!CB$106=1,GA28,1)</f>
        <v/>
      </c>
      <c r="LP28">
        <f>IF('計算A'!CC$106=1,GB28,1)</f>
        <v/>
      </c>
      <c r="LQ28">
        <f>IF('計算A'!CD$106=1,GC28,1)</f>
        <v/>
      </c>
      <c r="LR28">
        <f>IF('計算A'!CE$106=1,GD28,1)</f>
        <v/>
      </c>
      <c r="LS28">
        <f>IF('計算A'!CF$106=1,GE28,1)</f>
        <v/>
      </c>
      <c r="LT28">
        <f>IF('計算A'!CG$106=1,GF28,1)</f>
        <v/>
      </c>
      <c r="LU28">
        <f>IF('計算A'!CH$106=1,GG28,1)</f>
        <v/>
      </c>
      <c r="LV28">
        <f>IF('計算A'!CI$106=1,GH28,1)</f>
        <v/>
      </c>
      <c r="LW28">
        <f>IF('計算A'!CJ$106=1,GI28,1)</f>
        <v/>
      </c>
      <c r="LX28">
        <f>IF('計算A'!CK$106=1,GJ28,1)</f>
        <v/>
      </c>
      <c r="LY28">
        <f>IF('計算A'!CL$106=1,GK28,1)</f>
        <v/>
      </c>
      <c r="LZ28">
        <f>IF('計算A'!CM$106=1,GL28,1)</f>
        <v/>
      </c>
      <c r="MA28">
        <f>IF('計算A'!CN$106=1,GM28,1)</f>
        <v/>
      </c>
      <c r="MB28">
        <f>IF('計算A'!CO$106=1,GN28,1)</f>
        <v/>
      </c>
      <c r="MC28">
        <f>IF('計算A'!CP$106=1,GO28,1)</f>
        <v/>
      </c>
      <c r="MD28">
        <f>IF('計算A'!CQ$106=1,GP28,1)</f>
        <v/>
      </c>
      <c r="ME28">
        <f>IF('計算A'!CR$106=1,GQ28,1)</f>
        <v/>
      </c>
      <c r="MF28">
        <f>IF('計算A'!CS$106=1,GR28,1)</f>
        <v/>
      </c>
      <c r="MG28">
        <f>IF('計算A'!CT$106=1,GS28,1)</f>
        <v/>
      </c>
      <c r="MH28">
        <f>IF('計算A'!CU$106=1,GT28,1)</f>
        <v/>
      </c>
      <c r="MI28">
        <f>IF('計算A'!CV$106=1,GU28,1)</f>
        <v/>
      </c>
      <c r="MJ28">
        <f>IF('計算A'!CW$106=1,GV28,1)</f>
        <v/>
      </c>
      <c r="MK28">
        <f>IF('計算A'!CX$106=1,GW28,1)</f>
        <v/>
      </c>
      <c r="ML28">
        <f>IF('計算A'!CY$106=1,GX28,1)</f>
        <v/>
      </c>
      <c r="MM28">
        <f>IF('計算A'!CZ$106=1,GY28,1)</f>
        <v/>
      </c>
      <c r="MN28">
        <f>IF('計算A'!DA$106=1,GZ28,1)</f>
        <v/>
      </c>
      <c r="MO28">
        <f>IF('計算A'!DB$106=1,HA28,1)</f>
        <v/>
      </c>
      <c r="MP28">
        <f>IF('計算A'!DC$106=1,HB28,1)</f>
        <v/>
      </c>
      <c r="MQ28">
        <f>IF('計算A'!DD$106=1,HC28,1)</f>
        <v/>
      </c>
      <c r="MR28">
        <f>IF('計算A'!DE$106=1,HD28,1)</f>
        <v/>
      </c>
      <c r="MS28">
        <f>IF('計算A'!DF$106=1,HE28,1)</f>
        <v/>
      </c>
      <c r="MT28">
        <f>IF('計算A'!DG$106=1,HF28,1)</f>
        <v/>
      </c>
      <c r="MU28">
        <f>IF('計算A'!DH$106=1,HG28,1)</f>
        <v/>
      </c>
      <c r="MV28">
        <f>IF('計算A'!DI$106=1,HH28,1)</f>
        <v/>
      </c>
      <c r="MW28">
        <f>IF('計算A'!DJ$106=1,HI28,1)</f>
        <v/>
      </c>
      <c r="MX28">
        <f>IF('計算A'!DK$106=1,HJ28,1)</f>
        <v/>
      </c>
      <c r="MY28">
        <f>IF('計算A'!DL$106=1,HK28,1)</f>
        <v/>
      </c>
      <c r="MZ28">
        <f>IF('計算A'!DM$106=1,HL28,1)</f>
        <v/>
      </c>
      <c r="NA28">
        <f>IF('計算A'!DN$106=1,HM28,1)</f>
        <v/>
      </c>
      <c r="NB28">
        <f>IF('計算A'!DO$106=1,HN28,1)</f>
        <v/>
      </c>
      <c r="NC28">
        <f>IF('計算A'!DP$106=1,HO28,1)</f>
        <v/>
      </c>
      <c r="ND28">
        <f>IF('計算A'!DQ$106=1,HP28,1)</f>
        <v/>
      </c>
      <c r="NE28">
        <f>IF('計算A'!DR$106=1,HQ28,1)</f>
        <v/>
      </c>
      <c r="NF28">
        <f>IF('計算A'!DS$106=1,HR28,1)</f>
        <v/>
      </c>
      <c r="NG28">
        <f>IF('計算A'!DT$106=1,HS28,1)</f>
        <v/>
      </c>
      <c r="NH28">
        <f>IF('計算A'!DU$106=1,HT28,1)</f>
        <v/>
      </c>
      <c r="NI28">
        <f>IF('計算A'!DV$106=1,HU28,1)</f>
        <v/>
      </c>
      <c r="NJ28">
        <f>IF('計算A'!DW$106=1,HV28,1)</f>
        <v/>
      </c>
      <c r="NK28">
        <f>IF('計算A'!DX$106=1,HW28,1)</f>
        <v/>
      </c>
      <c r="NL28">
        <f>IF('計算A'!DY$106=1,HX28,1)</f>
        <v/>
      </c>
      <c r="NM28">
        <f>IF('計算A'!DZ$106=1,HY28,1)</f>
        <v/>
      </c>
      <c r="NN28">
        <f>IF('計算A'!EA$106=1,HZ28,1)</f>
        <v/>
      </c>
      <c r="NO28">
        <f>IF('計算A'!EB$106=1,IA28,1)</f>
        <v/>
      </c>
      <c r="NP28">
        <f>IF('計算A'!EC$106=1,IB28,1)</f>
        <v/>
      </c>
      <c r="NQ28">
        <f>IF('計算A'!ED$106=1,IC28,1)</f>
        <v/>
      </c>
      <c r="NR28">
        <f>IF('計算A'!EE$106=1,ID28,1)</f>
        <v/>
      </c>
      <c r="NS28">
        <f>IF('計算A'!EF$106=1,IE28,1)</f>
        <v/>
      </c>
      <c r="NT28">
        <f>IF('計算A'!EG$106=1,IF28,1)</f>
        <v/>
      </c>
      <c r="NU28">
        <f>IF('計算A'!EH$106=1,IG28,1)</f>
        <v/>
      </c>
      <c r="NV28">
        <f>IF('計算A'!EI$106=1,IH28,1)</f>
        <v/>
      </c>
      <c r="NW28">
        <f>IF('計算A'!EJ$106=1,II28,1)</f>
        <v/>
      </c>
      <c r="NX28">
        <f>IF('計算A'!EK$106=1,IJ28,1)</f>
        <v/>
      </c>
      <c r="NY28">
        <f>IF('計算A'!EL$106=1,IK28,1)</f>
        <v/>
      </c>
      <c r="NZ28">
        <f>IF('計算A'!EM$106=1,IL28,1)</f>
        <v/>
      </c>
      <c r="OA28">
        <f>IF('計算A'!EN$106=1,IM28,1)</f>
        <v/>
      </c>
      <c r="OB28">
        <f>IF('計算A'!EO$106=1,IN28,1)</f>
        <v/>
      </c>
      <c r="OC28">
        <f>IF('計算A'!EP$106=1,IO28,1)</f>
        <v/>
      </c>
      <c r="OD28" t="n">
        <v>1</v>
      </c>
      <c r="OF28">
        <f>IF($B28=0,1000000,IF(INDEX('計算A'!$D$60:$EQ$104,$B28,1)*DB28=1,IF(AND($E28=2,IQ28=0),1000000,IF($I28&gt;0,IF(1=$J28,IF(OR(AND(1=$I28+1,OR($K28&lt;&gt;'計算A'!$A$3,'計算A'!$A$4=0)),AND(1=$I28-1,OR(1&lt;&gt;'計算A'!$A$3,'計算A'!$A$4=0))),0,IF(1=$K28,200000,ABS(1-$K28)*100)),100000+ABS(1-$J28)*1000+10)+'計算A'!D$5*50+IF(AND($E28=1,IQ28=0),25,0),INDEX('計算A'!D$110:D$114,$F28+1)+IF(AND($E28=1,IQ28=0),1000,0)+IF($H28=1,(IF('計算A'!D$117=1,INDEX('計算A'!E$10:E$54,$B28),0))*500,0)-IF(AND($L28=1,'計算A'!D$117=1,DC28=0),300,0))),1000000))</f>
        <v/>
      </c>
      <c r="OG28">
        <f>IF($B28=0,1000000,IF(INDEX('計算A'!$D$60:$EQ$104,$B28,2)*DC28=1,IF(AND($E28=2,IR28=0),1000000,IF($I28&gt;0,IF(1=$J28,IF(OR(AND(2=$I28+1,OR($K28&lt;&gt;'計算A'!$A$3,'計算A'!$A$4=0)),AND(2=$I28-1,OR(2&lt;&gt;'計算A'!$A$3,'計算A'!$A$4=0))),0,IF(2=$K28,200000,ABS(2-$K28)*100)),100000+ABS(1-$J28)*1000+20)+'計算A'!E$5*50+IF(AND($E28=1,IR28=0),25,0),INDEX('計算A'!E$110:E$114,$F28+1)+IF(AND($E28=1,IR28=0),1000,0)+IF($H28=1,(IF('計算A'!D$117=1,INDEX('計算A'!D$10:D$54,$B28),0)+IF('計算A'!E$117=1,INDEX('計算A'!F$10:F$54,$B28),0))*500,0)-IF(AND('計算A'!D$117=1,UB28&gt;0),300,0)-IF(AND($L28=1,'計算A'!E$117=1,DD28=0),300,0))),1000000))</f>
        <v/>
      </c>
      <c r="OH28">
        <f>IF($B28=0,1000000,IF(INDEX('計算A'!$D$60:$EQ$104,$B28,3)*DD28=1,IF(AND($E28=2,IS28=0),1000000,IF($I28&gt;0,IF(1=$J28,IF(OR(AND(3=$I28+1,OR($K28&lt;&gt;'計算A'!$A$3,'計算A'!$A$4=0)),AND(3=$I28-1,OR(3&lt;&gt;'計算A'!$A$3,'計算A'!$A$4=0))),0,IF(3=$K28,200000,ABS(3-$K28)*100)),100000+ABS(1-$J28)*1000+30)+'計算A'!F$5*50+IF(AND($E28=1,IS28=0),25,0),INDEX('計算A'!F$110:F$114,$F28+1)+IF(AND($E28=1,IS28=0),1000,0)+IF($H28=1,(IF('計算A'!E$117=1,INDEX('計算A'!E$10:E$54,$B28),0)+IF('計算A'!F$117=1,INDEX('計算A'!G$10:G$54,$B28),0))*500,0)-IF(AND('計算A'!E$117=1,UC28&gt;0),300,0)-IF(AND($L28=1,'計算A'!F$117=1,DE28=0),300,0))),1000000))</f>
        <v/>
      </c>
      <c r="OI28">
        <f>IF($B28=0,1000000,IF(INDEX('計算A'!$D$60:$EQ$104,$B28,4)*DE28=1,IF(AND($E28=2,IT28=0),1000000,IF($I28&gt;0,IF(1=$J28,IF(OR(AND(4=$I28+1,OR($K28&lt;&gt;'計算A'!$A$3,'計算A'!$A$4=0)),AND(4=$I28-1,OR(4&lt;&gt;'計算A'!$A$3,'計算A'!$A$4=0))),0,IF(4=$K28,200000,ABS(4-$K28)*100)),100000+ABS(1-$J28)*1000+40)+'計算A'!G$5*50+IF(AND($E28=1,IT28=0),25,0),INDEX('計算A'!G$110:G$114,$F28+1)+IF(AND($E28=1,IT28=0),1000,0)+IF($H28=1,(IF('計算A'!F$117=1,INDEX('計算A'!F$10:F$54,$B28),0)+IF('計算A'!G$117=1,INDEX('計算A'!H$10:H$54,$B28),0))*500,0)-IF(AND('計算A'!F$117=1,UD28&gt;0),300,0)-IF(AND($L28=1,'計算A'!G$117=1,DF28=0),300,0))),1000000))</f>
        <v/>
      </c>
      <c r="OJ28">
        <f>IF($B28=0,1000000,IF(INDEX('計算A'!$D$60:$EQ$104,$B28,5)*DF28=1,IF(AND($E28=2,IU28=0),1000000,IF($I28&gt;0,IF(1=$J28,IF(OR(AND(5=$I28+1,OR($K28&lt;&gt;'計算A'!$A$3,'計算A'!$A$4=0)),AND(5=$I28-1,OR(5&lt;&gt;'計算A'!$A$3,'計算A'!$A$4=0))),0,IF(5=$K28,200000,ABS(5-$K28)*100)),100000+ABS(1-$J28)*1000+50)+'計算A'!H$5*50+IF(AND($E28=1,IU28=0),25,0),INDEX('計算A'!H$110:H$114,$F28+1)+IF(AND($E28=1,IU28=0),1000,0)+IF($H28=1,(IF('計算A'!G$117=1,INDEX('計算A'!G$10:G$54,$B28),0)+IF('計算A'!H$117=1,INDEX('計算A'!I$10:I$54,$B28),0))*500,0)-IF(AND('計算A'!G$117=1,UE28&gt;0),300,0)-IF(AND($L28=1,'計算A'!H$117=1,DG28=0),300,0))),1000000))</f>
        <v/>
      </c>
      <c r="OK28">
        <f>IF($B28=0,1000000,IF(INDEX('計算A'!$D$60:$EQ$104,$B28,6)*DG28=1,IF(AND($E28=2,IV28=0),1000000,IF($I28&gt;0,IF(1=$J28,IF(OR(AND(6=$I28+1,OR($K28&lt;&gt;'計算A'!$A$3,'計算A'!$A$4=0)),AND(6=$I28-1,OR(6&lt;&gt;'計算A'!$A$3,'計算A'!$A$4=0))),0,IF(6=$K28,200000,ABS(6-$K28)*100)),100000+ABS(1-$J28)*1000+60)+'計算A'!I$5*50+IF(AND($E28=1,IV28=0),25,0),INDEX('計算A'!I$110:I$114,$F28+1)+IF(AND($E28=1,IV28=0),1000,0)+IF($H28=1,(IF('計算A'!H$117=1,INDEX('計算A'!H$10:H$54,$B28),0)+IF('計算A'!I$117=1,INDEX('計算A'!J$10:J$54,$B28),0))*500,0)-IF(AND('計算A'!H$117=1,UF28&gt;0),300,0)-IF(AND($L28=1,'計算A'!I$117=1,DH28=0),300,0))),1000000))</f>
        <v/>
      </c>
      <c r="OL28">
        <f>IF($B28=0,1000000,IF(INDEX('計算A'!$D$60:$EQ$104,$B28,7)*DH28=1,IF(AND($E28=2,IW28=0),1000000,IF($I28&gt;0,IF(1=$J28,IF(OR(AND(7=$I28+1,OR($K28&lt;&gt;'計算A'!$A$3,'計算A'!$A$4=0)),AND(7=$I28-1,OR(7&lt;&gt;'計算A'!$A$3,'計算A'!$A$4=0))),0,IF(7=$K28,200000,ABS(7-$K28)*100)),100000+ABS(1-$J28)*1000+70)+'計算A'!J$5*50+IF(AND($E28=1,IW28=0),25,0),INDEX('計算A'!J$110:J$114,$F28+1)+IF(AND($E28=1,IW28=0),1000,0)+IF($H28=1,(IF('計算A'!I$117=1,INDEX('計算A'!I$10:I$54,$B28),0)+IF('計算A'!J$117=1,INDEX('計算A'!K$10:K$54,$B28),0))*500,0)-IF(AND('計算A'!I$117=1,UG28&gt;0),300,0)-IF(AND($L28=1,'計算A'!J$117=1,DI28=0),300,0))),1000000))</f>
        <v/>
      </c>
      <c r="OM28">
        <f>IF($B28=0,1000000,IF(INDEX('計算A'!$D$60:$EQ$104,$B28,8)*DI28=1,IF(AND($E28=2,IX28=0),1000000,IF($I28&gt;0,IF(1=$J28,IF(OR(AND(8=$I28+1,OR($K28&lt;&gt;'計算A'!$A$3,'計算A'!$A$4=0)),AND(8=$I28-1,OR(8&lt;&gt;'計算A'!$A$3,'計算A'!$A$4=0))),0,IF(8=$K28,200000,ABS(8-$K28)*100)),100000+ABS(1-$J28)*1000+80)+'計算A'!K$5*50+IF(AND($E28=1,IX28=0),25,0),INDEX('計算A'!K$110:K$114,$F28+1)+IF(AND($E28=1,IX28=0),1000,0)+IF($H28=1,(IF('計算A'!J$117=1,INDEX('計算A'!J$10:J$54,$B28),0)+IF('計算A'!K$117=1,INDEX('計算A'!L$10:L$54,$B28),0))*500,0)-IF(AND('計算A'!J$117=1,UH28&gt;0),300,0)-IF(AND($L28=1,'計算A'!K$117=1,DJ28=0),300,0))),1000000))</f>
        <v/>
      </c>
      <c r="ON28">
        <f>IF($B28=0,1000000,IF(INDEX('計算A'!$D$60:$EQ$104,$B28,9)*DJ28=1,IF(AND($E28=2,IY28=0),1000000,IF($I28&gt;0,IF(1=$J28,IF(OR(AND(9=$I28+1,OR($K28&lt;&gt;'計算A'!$A$3,'計算A'!$A$4=0)),AND(9=$I28-1,OR(9&lt;&gt;'計算A'!$A$3,'計算A'!$A$4=0))),0,IF(9=$K28,200000,ABS(9-$K28)*100)),100000+ABS(1-$J28)*1000+90)+'計算A'!L$5*50+IF(AND($E28=1,IY28=0),25,0),INDEX('計算A'!L$110:L$114,$F28+1)+IF(AND($E28=1,IY28=0),1000,0)+IF($H28=1,(IF('計算A'!K$117=1,INDEX('計算A'!K$10:K$54,$B28),0)+IF('計算A'!L$117=1,INDEX('計算A'!M$10:M$54,$B28),0))*500,0)-IF(AND('計算A'!K$117=1,UI28&gt;0),300,0)-IF(AND($L28=1,'計算A'!L$117=1,DK28=0),300,0))),1000000))</f>
        <v/>
      </c>
      <c r="OO28">
        <f>IF($B28=0,1000000,IF(INDEX('計算A'!$D$60:$EQ$104,$B28,10)*DK28=1,IF(AND($E28=2,IZ28=0),1000000,IF($I28&gt;0,IF(1=$J28,IF(OR(AND(10=$I28+1,OR($K28&lt;&gt;'計算A'!$A$3,'計算A'!$A$4=0)),AND(10=$I28-1,OR(10&lt;&gt;'計算A'!$A$3,'計算A'!$A$4=0))),0,IF(10=$K28,200000,ABS(10-$K28)*100)),100000+ABS(1-$J28)*1000+100)+'計算A'!M$5*50+IF(AND($E28=1,IZ28=0),25,0),INDEX('計算A'!M$110:M$114,$F28+1)+IF(AND($E28=1,IZ28=0),1000,0)+IF($H28=1,(IF('計算A'!L$117=1,INDEX('計算A'!L$10:L$54,$B28),0)+IF('計算A'!M$117=1,INDEX('計算A'!N$10:N$54,$B28),0))*500,0)-IF(AND('計算A'!L$117=1,UJ28&gt;0),300,0)-IF(AND($L28=1,'計算A'!M$117=1,DL28=0),300,0))),1000000))</f>
        <v/>
      </c>
      <c r="OP28">
        <f>IF($B28=0,1000000,IF(INDEX('計算A'!$D$60:$EQ$104,$B28,11)*DL28=1,IF(AND($E28=2,JA28=0),1000000,IF($I28&gt;0,IF(1=$J28,IF(OR(AND(11=$I28+1,OR($K28&lt;&gt;'計算A'!$A$3,'計算A'!$A$4=0)),AND(11=$I28-1,OR(11&lt;&gt;'計算A'!$A$3,'計算A'!$A$4=0))),0,IF(11=$K28,200000,ABS(11-$K28)*100)),100000+ABS(1-$J28)*1000+110)+'計算A'!N$5*50+IF(AND($E28=1,JA28=0),25,0),INDEX('計算A'!N$110:N$114,$F28+1)+IF(AND($E28=1,JA28=0),1000,0)+IF($H28=1,(IF('計算A'!M$117=1,INDEX('計算A'!M$10:M$54,$B28),0)+IF('計算A'!N$117=1,INDEX('計算A'!O$10:O$54,$B28),0))*500,0)-IF(AND('計算A'!M$117=1,UK28&gt;0),300,0)-IF(AND($L28=1,'計算A'!N$117=1,DM28=0),300,0))),1000000))</f>
        <v/>
      </c>
      <c r="OQ28">
        <f>IF($B28=0,1000000,IF(INDEX('計算A'!$D$60:$EQ$104,$B28,12)*DM28=1,IF(AND($E28=2,JB28=0),1000000,IF($I28&gt;0,IF(1=$J28,IF(OR(AND(12=$I28+1,OR($K28&lt;&gt;'計算A'!$A$3,'計算A'!$A$4=0)),AND(12=$I28-1,OR(12&lt;&gt;'計算A'!$A$3,'計算A'!$A$4=0))),0,IF(12=$K28,200000,ABS(12-$K28)*100)),100000+ABS(1-$J28)*1000+120)+'計算A'!O$5*50+IF(AND($E28=1,JB28=0),25,0),INDEX('計算A'!O$110:O$114,$F28+1)+IF(AND($E28=1,JB28=0),1000,0)+IF($H28=1,(IF('計算A'!N$117=1,INDEX('計算A'!N$10:N$54,$B28),0)+IF('計算A'!O$117=1,INDEX('計算A'!P$10:P$54,$B28),0))*500,0)-IF(AND('計算A'!N$117=1,UL28&gt;0),300,0)-IF(AND($L28=1,'計算A'!O$117=1,DN28=0),300,0))),1000000))</f>
        <v/>
      </c>
      <c r="OR28">
        <f>IF($B28=0,1000000,IF(INDEX('計算A'!$D$60:$EQ$104,$B28,13)*DN28=1,IF(AND($E28=2,JC28=0),1000000,IF($I28&gt;0,IF(1=$J28,IF(OR(AND(13=$I28+1,OR($K28&lt;&gt;'計算A'!$A$3,'計算A'!$A$4=0)),AND(13=$I28-1,OR(13&lt;&gt;'計算A'!$A$3,'計算A'!$A$4=0))),0,IF(13=$K28,200000,ABS(13-$K28)*100)),100000+ABS(1-$J28)*1000+130)+'計算A'!P$5*50+IF(AND($E28=1,JC28=0),25,0),INDEX('計算A'!P$110:P$114,$F28+1)+IF(AND($E28=1,JC28=0),1000,0)+IF($H28=1,(IF('計算A'!O$117=1,INDEX('計算A'!O$10:O$54,$B28),0)+IF('計算A'!P$117=1,INDEX('計算A'!Q$10:Q$54,$B28),0))*500,0)-IF(AND('計算A'!O$117=1,UM28&gt;0),300,0)-IF(AND($L28=1,'計算A'!P$117=1,DO28=0),300,0))),1000000))</f>
        <v/>
      </c>
      <c r="OS28">
        <f>IF($B28=0,1000000,IF(INDEX('計算A'!$D$60:$EQ$104,$B28,14)*DO28=1,IF(AND($E28=2,JD28=0),1000000,IF($I28&gt;0,IF(1=$J28,IF(OR(AND(14=$I28+1,OR($K28&lt;&gt;'計算A'!$A$3,'計算A'!$A$4=0)),AND(14=$I28-1,OR(14&lt;&gt;'計算A'!$A$3,'計算A'!$A$4=0))),0,IF(14=$K28,200000,ABS(14-$K28)*100)),100000+ABS(1-$J28)*1000+140)+'計算A'!Q$5*50+IF(AND($E28=1,JD28=0),25,0),INDEX('計算A'!Q$110:Q$114,$F28+1)+IF(AND($E28=1,JD28=0),1000,0)+IF($H28=1,(IF('計算A'!P$117=1,INDEX('計算A'!P$10:P$54,$B28),0)+IF('計算A'!Q$117=1,INDEX('計算A'!R$10:R$54,$B28),0))*500,0)-IF(AND('計算A'!P$117=1,UN28&gt;0),300,0)-IF(AND($L28=1,'計算A'!Q$117=1,DP28=0),300,0))),1000000))</f>
        <v/>
      </c>
      <c r="OT28">
        <f>IF($B28=0,1000000,IF(INDEX('計算A'!$D$60:$EQ$104,$B28,15)*DP28=1,IF(AND($E28=2,JE28=0),1000000,IF($I28&gt;0,IF(1=$J28,IF(OR(AND(15=$I28+1,OR($K28&lt;&gt;'計算A'!$A$3,'計算A'!$A$4=0)),AND(15=$I28-1,OR(15&lt;&gt;'計算A'!$A$3,'計算A'!$A$4=0))),0,IF(15=$K28,200000,ABS(15-$K28)*100)),100000+ABS(1-$J28)*1000+150)+'計算A'!R$5*50+IF(AND($E28=1,JE28=0),25,0),INDEX('計算A'!R$110:R$114,$F28+1)+IF(AND($E28=1,JE28=0),1000,0)+IF($H28=1,(IF('計算A'!Q$117=1,INDEX('計算A'!Q$10:Q$54,$B28),0)+IF('計算A'!R$117=1,INDEX('計算A'!S$10:S$54,$B28),0))*500,0)-IF(AND('計算A'!Q$117=1,UO28&gt;0),300,0)-IF(AND($L28=1,'計算A'!R$117=1,DQ28=0),300,0))),1000000))</f>
        <v/>
      </c>
      <c r="OU28">
        <f>IF($B28=0,1000000,IF(INDEX('計算A'!$D$60:$EQ$104,$B28,16)*DQ28=1,IF(AND($E28=2,JF28=0),1000000,IF($I28&gt;0,IF(1=$J28,IF(OR(AND(16=$I28+1,OR($K28&lt;&gt;'計算A'!$A$3,'計算A'!$A$4=0)),AND(16=$I28-1,OR(16&lt;&gt;'計算A'!$A$3,'計算A'!$A$4=0))),0,IF(16=$K28,200000,ABS(16-$K28)*100)),100000+ABS(1-$J28)*1000+160)+'計算A'!S$5*50+IF(AND($E28=1,JF28=0),25,0),INDEX('計算A'!S$110:S$114,$F28+1)+IF(AND($E28=1,JF28=0),1000,0)+IF($H28=1,(IF('計算A'!R$117=1,INDEX('計算A'!R$10:R$54,$B28),0)+IF('計算A'!S$117=1,INDEX('計算A'!T$10:T$54,$B28),0))*500,0)-IF(AND('計算A'!R$117=1,UP28&gt;0),300,0)-IF(AND($L28=1,'計算A'!S$117=1,DR28=0),300,0))),1000000))</f>
        <v/>
      </c>
      <c r="OV28">
        <f>IF($B28=0,1000000,IF(INDEX('計算A'!$D$60:$EQ$104,$B28,17)*DR28=1,IF(AND($E28=2,JG28=0),1000000,IF($I28&gt;0,IF(1=$J28,IF(OR(AND(17=$I28+1,OR($K28&lt;&gt;'計算A'!$A$3,'計算A'!$A$4=0)),AND(17=$I28-1,OR(17&lt;&gt;'計算A'!$A$3,'計算A'!$A$4=0))),0,IF(17=$K28,200000,ABS(17-$K28)*100)),100000+ABS(1-$J28)*1000+170)+'計算A'!T$5*50+IF(AND($E28=1,JG28=0),25,0),INDEX('計算A'!T$110:T$114,$F28+1)+IF(AND($E28=1,JG28=0),1000,0)+IF($H28=1,(IF('計算A'!S$117=1,INDEX('計算A'!S$10:S$54,$B28),0)+IF('計算A'!T$117=1,INDEX('計算A'!U$10:U$54,$B28),0))*500,0)-IF(AND('計算A'!S$117=1,UQ28&gt;0),300,0)-IF(AND($L28=1,'計算A'!T$117=1,DS28=0),300,0))),1000000))</f>
        <v/>
      </c>
      <c r="OW28">
        <f>IF($B28=0,1000000,IF(INDEX('計算A'!$D$60:$EQ$104,$B28,18)*DS28=1,IF(AND($E28=2,JH28=0),1000000,IF($I28&gt;0,IF(1=$J28,IF(OR(AND(18=$I28+1,OR($K28&lt;&gt;'計算A'!$A$3,'計算A'!$A$4=0)),AND(18=$I28-1,OR(18&lt;&gt;'計算A'!$A$3,'計算A'!$A$4=0))),0,IF(18=$K28,200000,ABS(18-$K28)*100)),100000+ABS(1-$J28)*1000+180)+'計算A'!U$5*50+IF(AND($E28=1,JH28=0),25,0),INDEX('計算A'!U$110:U$114,$F28+1)+IF(AND($E28=1,JH28=0),1000,0)+IF($H28=1,(IF('計算A'!T$117=1,INDEX('計算A'!T$10:T$54,$B28),0)+IF('計算A'!U$117=1,INDEX('計算A'!V$10:V$54,$B28),0))*500,0)-IF(AND('計算A'!T$117=1,UR28&gt;0),300,0)-IF(AND($L28=1,'計算A'!U$117=1,DT28=0),300,0))),1000000))</f>
        <v/>
      </c>
      <c r="OX28">
        <f>IF($B28=0,1000000,IF(INDEX('計算A'!$D$60:$EQ$104,$B28,19)*DT28=1,IF(AND($E28=2,JI28=0),1000000,IF($I28&gt;0,IF(1=$J28,IF(OR(AND(19=$I28+1,OR($K28&lt;&gt;'計算A'!$A$3,'計算A'!$A$4=0)),AND(19=$I28-1,OR(19&lt;&gt;'計算A'!$A$3,'計算A'!$A$4=0))),0,IF(19=$K28,200000,ABS(19-$K28)*100)),100000+ABS(1-$J28)*1000+190)+'計算A'!V$5*50+IF(AND($E28=1,JI28=0),25,0),INDEX('計算A'!V$110:V$114,$F28+1)+IF(AND($E28=1,JI28=0),1000,0)+IF($H28=1,(IF('計算A'!U$117=1,INDEX('計算A'!U$10:U$54,$B28),0)+IF('計算A'!V$117=1,INDEX('計算A'!W$10:W$54,$B28),0))*500,0)-IF(AND('計算A'!U$117=1,US28&gt;0),300,0)-IF(AND($L28=1,'計算A'!V$117=1,DU28=0),300,0))),1000000))</f>
        <v/>
      </c>
      <c r="OY28">
        <f>IF($B28=0,1000000,IF(INDEX('計算A'!$D$60:$EQ$104,$B28,20)*DU28=1,IF(AND($E28=2,JJ28=0),1000000,IF($I28&gt;0,IF(1=$J28,IF(OR(AND(20=$I28+1,OR($K28&lt;&gt;'計算A'!$A$3,'計算A'!$A$4=0)),AND(20=$I28-1,OR(20&lt;&gt;'計算A'!$A$3,'計算A'!$A$4=0))),0,IF(20=$K28,200000,ABS(20-$K28)*100)),100000+ABS(1-$J28)*1000+200)+'計算A'!W$5*50+IF(AND($E28=1,JJ28=0),25,0),INDEX('計算A'!W$110:W$114,$F28+1)+IF(AND($E28=1,JJ28=0),1000,0)+IF($H28=1,(IF('計算A'!V$117=1,INDEX('計算A'!V$10:V$54,$B28),0)+IF('計算A'!W$117=1,INDEX('計算A'!X$10:X$54,$B28),0))*500,0)-IF(AND('計算A'!V$117=1,UT28&gt;0),300,0)-IF(AND($L28=1,'計算A'!W$117=1,DV28=0),300,0))),1000000))</f>
        <v/>
      </c>
      <c r="OZ28">
        <f>IF($B28=0,1000000,IF(INDEX('計算A'!$D$60:$EQ$104,$B28,21)*DV28=1,IF(AND($E28=2,JK28=0),1000000,IF($I28&gt;0,IF(1=$J28,IF(OR(AND(21=$I28+1,OR($K28&lt;&gt;'計算A'!$A$3,'計算A'!$A$4=0)),AND(21=$I28-1,OR(21&lt;&gt;'計算A'!$A$3,'計算A'!$A$4=0))),0,IF(21=$K28,200000,ABS(21-$K28)*100)),100000+ABS(1-$J28)*1000+210)+'計算A'!X$5*50+IF(AND($E28=1,JK28=0),25,0),INDEX('計算A'!X$110:X$114,$F28+1)+IF(AND($E28=1,JK28=0),1000,0)+IF($H28=1,(IF('計算A'!W$117=1,INDEX('計算A'!W$10:W$54,$B28),0)+IF('計算A'!X$117=1,INDEX('計算A'!Y$10:Y$54,$B28),0))*500,0)-IF(AND('計算A'!W$117=1,UU28&gt;0),300,0)-IF(AND($L28=1,'計算A'!X$117=1,DW28=0),300,0))),1000000))</f>
        <v/>
      </c>
      <c r="PA28">
        <f>IF($B28=0,1000000,IF(INDEX('計算A'!$D$60:$EQ$104,$B28,22)*DW28=1,IF(AND($E28=2,JL28=0),1000000,IF($I28&gt;0,IF(1=$J28,IF(OR(AND(22=$I28+1,OR($K28&lt;&gt;'計算A'!$A$3,'計算A'!$A$4=0)),AND(22=$I28-1,OR(22&lt;&gt;'計算A'!$A$3,'計算A'!$A$4=0))),0,IF(22=$K28,200000,ABS(22-$K28)*100)),100000+ABS(1-$J28)*1000+220)+'計算A'!Y$5*50+IF(AND($E28=1,JL28=0),25,0),INDEX('計算A'!Y$110:Y$114,$F28+1)+IF(AND($E28=1,JL28=0),1000,0)+IF($H28=1,(IF('計算A'!X$117=1,INDEX('計算A'!X$10:X$54,$B28),0)+IF('計算A'!Y$117=1,INDEX('計算A'!Z$10:Z$54,$B28),0))*500,0)-IF(AND('計算A'!X$117=1,UV28&gt;0),300,0)-IF(AND($L28=1,'計算A'!Y$117=1,DX28=0),300,0))),1000000))</f>
        <v/>
      </c>
      <c r="PB28">
        <f>IF($B28=0,1000000,IF(INDEX('計算A'!$D$60:$EQ$104,$B28,23)*DX28=1,IF(AND($E28=2,JM28=0),1000000,IF($I28&gt;0,IF(1=$J28,IF(OR(AND(23=$I28+1,OR($K28&lt;&gt;'計算A'!$A$3,'計算A'!$A$4=0)),AND(23=$I28-1,OR(23&lt;&gt;'計算A'!$A$3,'計算A'!$A$4=0))),0,IF(23=$K28,200000,ABS(23-$K28)*100)),100000+ABS(1-$J28)*1000+230)+'計算A'!Z$5*50+IF(AND($E28=1,JM28=0),25,0),INDEX('計算A'!Z$110:Z$114,$F28+1)+IF(AND($E28=1,JM28=0),1000,0)+IF($H28=1,(IF('計算A'!Y$117=1,INDEX('計算A'!Y$10:Y$54,$B28),0)+IF('計算A'!Z$117=1,INDEX('計算A'!AA$10:AA$54,$B28),0))*500,0)-IF(AND('計算A'!Y$117=1,UW28&gt;0),300,0)-IF(AND($L28=1,'計算A'!Z$117=1,DY28=0),300,0))),1000000))</f>
        <v/>
      </c>
      <c r="PC28">
        <f>IF($B28=0,1000000,IF(INDEX('計算A'!$D$60:$EQ$104,$B28,24)*DY28=1,IF(AND($E28=2,JN28=0),1000000,IF($I28&gt;0,IF(1=$J28,IF(OR(AND(24=$I28+1,OR($K28&lt;&gt;'計算A'!$A$3,'計算A'!$A$4=0)),AND(24=$I28-1,OR(24&lt;&gt;'計算A'!$A$3,'計算A'!$A$4=0))),0,IF(24=$K28,200000,ABS(24-$K28)*100)),100000+ABS(1-$J28)*1000+240)+'計算A'!AA$5*50+IF(AND($E28=1,JN28=0),25,0),INDEX('計算A'!AA$110:AA$114,$F28+1)+IF(AND($E28=1,JN28=0),1000,0)+IF($H28=1,(IF('計算A'!Z$117=1,INDEX('計算A'!Z$10:Z$54,$B28),0))*500,0)-IF(AND('計算A'!Z$117=1,UX28&gt;0),300,0))),1000000))</f>
        <v/>
      </c>
      <c r="PD28">
        <f>IF($B28=0,1000000,IF(INDEX('計算A'!$D$60:$EQ$104,$B28,25)*DZ28=1,IF(AND($E28=2,JO28=0),1000000,IF($I28&gt;0,IF(2=$J28,IF(OR(AND(25=$I28+1,OR($K28&lt;&gt;'計算A'!$A$3,'計算A'!$A$4=0)),AND(25=$I28-1,OR(1&lt;&gt;'計算A'!$A$3,'計算A'!$A$4=0))),0,IF(1=$K28,200000,ABS(1-$K28)*100)),100000+ABS(2-$J28)*1000+10)+'計算A'!AB$5*50+IF(AND($E28=1,JO28=0),25,0),INDEX('計算A'!AB$110:AB$114,$F28+1)+IF(AND($E28=1,JO28=0),1000,0)+IF($H28=1,(IF('計算A'!AB$117=1,INDEX('計算A'!AC$10:AC$54,$B28),0))*500,0)-IF(AND($L28=1,'計算A'!AB$117=1,EA28=0),300,0))),1000000))</f>
        <v/>
      </c>
      <c r="PE28">
        <f>IF($B28=0,1000000,IF(INDEX('計算A'!$D$60:$EQ$104,$B28,26)*EA28=1,IF(AND($E28=2,JP28=0),1000000,IF($I28&gt;0,IF(2=$J28,IF(OR(AND(26=$I28+1,OR($K28&lt;&gt;'計算A'!$A$3,'計算A'!$A$4=0)),AND(26=$I28-1,OR(2&lt;&gt;'計算A'!$A$3,'計算A'!$A$4=0))),0,IF(2=$K28,200000,ABS(2-$K28)*100)),100000+ABS(2-$J28)*1000+20)+'計算A'!AC$5*50+IF(AND($E28=1,JP28=0),25,0),INDEX('計算A'!AC$110:AC$114,$F28+1)+IF(AND($E28=1,JP28=0),1000,0)+IF($H28=1,(IF('計算A'!AB$117=1,INDEX('計算A'!AB$10:AB$54,$B28),0)+IF('計算A'!AC$117=1,INDEX('計算A'!AD$10:AD$54,$B28),0))*500,0)-IF(AND('計算A'!AB$117=1,UZ28&gt;0),300,0)-IF(AND($L28=1,'計算A'!AC$117=1,EB28=0),300,0))),1000000))</f>
        <v/>
      </c>
      <c r="PF28">
        <f>IF($B28=0,1000000,IF(INDEX('計算A'!$D$60:$EQ$104,$B28,27)*EB28=1,IF(AND($E28=2,JQ28=0),1000000,IF($I28&gt;0,IF(2=$J28,IF(OR(AND(27=$I28+1,OR($K28&lt;&gt;'計算A'!$A$3,'計算A'!$A$4=0)),AND(27=$I28-1,OR(3&lt;&gt;'計算A'!$A$3,'計算A'!$A$4=0))),0,IF(3=$K28,200000,ABS(3-$K28)*100)),100000+ABS(2-$J28)*1000+30)+'計算A'!AD$5*50+IF(AND($E28=1,JQ28=0),25,0),INDEX('計算A'!AD$110:AD$114,$F28+1)+IF(AND($E28=1,JQ28=0),1000,0)+IF($H28=1,(IF('計算A'!AC$117=1,INDEX('計算A'!AC$10:AC$54,$B28),0)+IF('計算A'!AD$117=1,INDEX('計算A'!AE$10:AE$54,$B28),0))*500,0)-IF(AND('計算A'!AC$117=1,VA28&gt;0),300,0)-IF(AND($L28=1,'計算A'!AD$117=1,EC28=0),300,0))),1000000))</f>
        <v/>
      </c>
      <c r="PG28">
        <f>IF($B28=0,1000000,IF(INDEX('計算A'!$D$60:$EQ$104,$B28,28)*EC28=1,IF(AND($E28=2,JR28=0),1000000,IF($I28&gt;0,IF(2=$J28,IF(OR(AND(28=$I28+1,OR($K28&lt;&gt;'計算A'!$A$3,'計算A'!$A$4=0)),AND(28=$I28-1,OR(4&lt;&gt;'計算A'!$A$3,'計算A'!$A$4=0))),0,IF(4=$K28,200000,ABS(4-$K28)*100)),100000+ABS(2-$J28)*1000+40)+'計算A'!AE$5*50+IF(AND($E28=1,JR28=0),25,0),INDEX('計算A'!AE$110:AE$114,$F28+1)+IF(AND($E28=1,JR28=0),1000,0)+IF($H28=1,(IF('計算A'!AD$117=1,INDEX('計算A'!AD$10:AD$54,$B28),0)+IF('計算A'!AE$117=1,INDEX('計算A'!AF$10:AF$54,$B28),0))*500,0)-IF(AND('計算A'!AD$117=1,VB28&gt;0),300,0)-IF(AND($L28=1,'計算A'!AE$117=1,ED28=0),300,0))),1000000))</f>
        <v/>
      </c>
      <c r="PH28">
        <f>IF($B28=0,1000000,IF(INDEX('計算A'!$D$60:$EQ$104,$B28,29)*ED28=1,IF(AND($E28=2,JS28=0),1000000,IF($I28&gt;0,IF(2=$J28,IF(OR(AND(29=$I28+1,OR($K28&lt;&gt;'計算A'!$A$3,'計算A'!$A$4=0)),AND(29=$I28-1,OR(5&lt;&gt;'計算A'!$A$3,'計算A'!$A$4=0))),0,IF(5=$K28,200000,ABS(5-$K28)*100)),100000+ABS(2-$J28)*1000+50)+'計算A'!AF$5*50+IF(AND($E28=1,JS28=0),25,0),INDEX('計算A'!AF$110:AF$114,$F28+1)+IF(AND($E28=1,JS28=0),1000,0)+IF($H28=1,(IF('計算A'!AE$117=1,INDEX('計算A'!AE$10:AE$54,$B28),0)+IF('計算A'!AF$117=1,INDEX('計算A'!AG$10:AG$54,$B28),0))*500,0)-IF(AND('計算A'!AE$117=1,VC28&gt;0),300,0)-IF(AND($L28=1,'計算A'!AF$117=1,EE28=0),300,0))),1000000))</f>
        <v/>
      </c>
      <c r="PI28">
        <f>IF($B28=0,1000000,IF(INDEX('計算A'!$D$60:$EQ$104,$B28,30)*EE28=1,IF(AND($E28=2,JT28=0),1000000,IF($I28&gt;0,IF(2=$J28,IF(OR(AND(30=$I28+1,OR($K28&lt;&gt;'計算A'!$A$3,'計算A'!$A$4=0)),AND(30=$I28-1,OR(6&lt;&gt;'計算A'!$A$3,'計算A'!$A$4=0))),0,IF(6=$K28,200000,ABS(6-$K28)*100)),100000+ABS(2-$J28)*1000+60)+'計算A'!AG$5*50+IF(AND($E28=1,JT28=0),25,0),INDEX('計算A'!AG$110:AG$114,$F28+1)+IF(AND($E28=1,JT28=0),1000,0)+IF($H28=1,(IF('計算A'!AF$117=1,INDEX('計算A'!AF$10:AF$54,$B28),0)+IF('計算A'!AG$117=1,INDEX('計算A'!AH$10:AH$54,$B28),0))*500,0)-IF(AND('計算A'!AF$117=1,VD28&gt;0),300,0)-IF(AND($L28=1,'計算A'!AG$117=1,EF28=0),300,0))),1000000))</f>
        <v/>
      </c>
      <c r="PJ28">
        <f>IF($B28=0,1000000,IF(INDEX('計算A'!$D$60:$EQ$104,$B28,31)*EF28=1,IF(AND($E28=2,JU28=0),1000000,IF($I28&gt;0,IF(2=$J28,IF(OR(AND(31=$I28+1,OR($K28&lt;&gt;'計算A'!$A$3,'計算A'!$A$4=0)),AND(31=$I28-1,OR(7&lt;&gt;'計算A'!$A$3,'計算A'!$A$4=0))),0,IF(7=$K28,200000,ABS(7-$K28)*100)),100000+ABS(2-$J28)*1000+70)+'計算A'!AH$5*50+IF(AND($E28=1,JU28=0),25,0),INDEX('計算A'!AH$110:AH$114,$F28+1)+IF(AND($E28=1,JU28=0),1000,0)+IF($H28=1,(IF('計算A'!AG$117=1,INDEX('計算A'!AG$10:AG$54,$B28),0)+IF('計算A'!AH$117=1,INDEX('計算A'!AI$10:AI$54,$B28),0))*500,0)-IF(AND('計算A'!AG$117=1,VE28&gt;0),300,0)-IF(AND($L28=1,'計算A'!AH$117=1,EG28=0),300,0))),1000000))</f>
        <v/>
      </c>
      <c r="PK28">
        <f>IF($B28=0,1000000,IF(INDEX('計算A'!$D$60:$EQ$104,$B28,32)*EG28=1,IF(AND($E28=2,JV28=0),1000000,IF($I28&gt;0,IF(2=$J28,IF(OR(AND(32=$I28+1,OR($K28&lt;&gt;'計算A'!$A$3,'計算A'!$A$4=0)),AND(32=$I28-1,OR(8&lt;&gt;'計算A'!$A$3,'計算A'!$A$4=0))),0,IF(8=$K28,200000,ABS(8-$K28)*100)),100000+ABS(2-$J28)*1000+80)+'計算A'!AI$5*50+IF(AND($E28=1,JV28=0),25,0),INDEX('計算A'!AI$110:AI$114,$F28+1)+IF(AND($E28=1,JV28=0),1000,0)+IF($H28=1,(IF('計算A'!AH$117=1,INDEX('計算A'!AH$10:AH$54,$B28),0)+IF('計算A'!AI$117=1,INDEX('計算A'!AJ$10:AJ$54,$B28),0))*500,0)-IF(AND('計算A'!AH$117=1,VF28&gt;0),300,0)-IF(AND($L28=1,'計算A'!AI$117=1,EH28=0),300,0))),1000000))</f>
        <v/>
      </c>
      <c r="PL28">
        <f>IF($B28=0,1000000,IF(INDEX('計算A'!$D$60:$EQ$104,$B28,33)*EH28=1,IF(AND($E28=2,JW28=0),1000000,IF($I28&gt;0,IF(2=$J28,IF(OR(AND(33=$I28+1,OR($K28&lt;&gt;'計算A'!$A$3,'計算A'!$A$4=0)),AND(33=$I28-1,OR(9&lt;&gt;'計算A'!$A$3,'計算A'!$A$4=0))),0,IF(9=$K28,200000,ABS(9-$K28)*100)),100000+ABS(2-$J28)*1000+90)+'計算A'!AJ$5*50+IF(AND($E28=1,JW28=0),25,0),INDEX('計算A'!AJ$110:AJ$114,$F28+1)+IF(AND($E28=1,JW28=0),1000,0)+IF($H28=1,(IF('計算A'!AI$117=1,INDEX('計算A'!AI$10:AI$54,$B28),0)+IF('計算A'!AJ$117=1,INDEX('計算A'!AK$10:AK$54,$B28),0))*500,0)-IF(AND('計算A'!AI$117=1,VG28&gt;0),300,0)-IF(AND($L28=1,'計算A'!AJ$117=1,EI28=0),300,0))),1000000))</f>
        <v/>
      </c>
      <c r="PM28">
        <f>IF($B28=0,1000000,IF(INDEX('計算A'!$D$60:$EQ$104,$B28,34)*EI28=1,IF(AND($E28=2,JX28=0),1000000,IF($I28&gt;0,IF(2=$J28,IF(OR(AND(34=$I28+1,OR($K28&lt;&gt;'計算A'!$A$3,'計算A'!$A$4=0)),AND(34=$I28-1,OR(10&lt;&gt;'計算A'!$A$3,'計算A'!$A$4=0))),0,IF(10=$K28,200000,ABS(10-$K28)*100)),100000+ABS(2-$J28)*1000+100)+'計算A'!AK$5*50+IF(AND($E28=1,JX28=0),25,0),INDEX('計算A'!AK$110:AK$114,$F28+1)+IF(AND($E28=1,JX28=0),1000,0)+IF($H28=1,(IF('計算A'!AJ$117=1,INDEX('計算A'!AJ$10:AJ$54,$B28),0)+IF('計算A'!AK$117=1,INDEX('計算A'!AL$10:AL$54,$B28),0))*500,0)-IF(AND('計算A'!AJ$117=1,VH28&gt;0),300,0)-IF(AND($L28=1,'計算A'!AK$117=1,EJ28=0),300,0))),1000000))</f>
        <v/>
      </c>
      <c r="PN28">
        <f>IF($B28=0,1000000,IF(INDEX('計算A'!$D$60:$EQ$104,$B28,35)*EJ28=1,IF(AND($E28=2,JY28=0),1000000,IF($I28&gt;0,IF(2=$J28,IF(OR(AND(35=$I28+1,OR($K28&lt;&gt;'計算A'!$A$3,'計算A'!$A$4=0)),AND(35=$I28-1,OR(11&lt;&gt;'計算A'!$A$3,'計算A'!$A$4=0))),0,IF(11=$K28,200000,ABS(11-$K28)*100)),100000+ABS(2-$J28)*1000+110)+'計算A'!AL$5*50+IF(AND($E28=1,JY28=0),25,0),INDEX('計算A'!AL$110:AL$114,$F28+1)+IF(AND($E28=1,JY28=0),1000,0)+IF($H28=1,(IF('計算A'!AK$117=1,INDEX('計算A'!AK$10:AK$54,$B28),0)+IF('計算A'!AL$117=1,INDEX('計算A'!AM$10:AM$54,$B28),0))*500,0)-IF(AND('計算A'!AK$117=1,VI28&gt;0),300,0)-IF(AND($L28=1,'計算A'!AL$117=1,EK28=0),300,0))),1000000))</f>
        <v/>
      </c>
      <c r="PO28">
        <f>IF($B28=0,1000000,IF(INDEX('計算A'!$D$60:$EQ$104,$B28,36)*EK28=1,IF(AND($E28=2,JZ28=0),1000000,IF($I28&gt;0,IF(2=$J28,IF(OR(AND(36=$I28+1,OR($K28&lt;&gt;'計算A'!$A$3,'計算A'!$A$4=0)),AND(36=$I28-1,OR(12&lt;&gt;'計算A'!$A$3,'計算A'!$A$4=0))),0,IF(12=$K28,200000,ABS(12-$K28)*100)),100000+ABS(2-$J28)*1000+120)+'計算A'!AM$5*50+IF(AND($E28=1,JZ28=0),25,0),INDEX('計算A'!AM$110:AM$114,$F28+1)+IF(AND($E28=1,JZ28=0),1000,0)+IF($H28=1,(IF('計算A'!AL$117=1,INDEX('計算A'!AL$10:AL$54,$B28),0)+IF('計算A'!AM$117=1,INDEX('計算A'!AN$10:AN$54,$B28),0))*500,0)-IF(AND('計算A'!AL$117=1,VJ28&gt;0),300,0)-IF(AND($L28=1,'計算A'!AM$117=1,EL28=0),300,0))),1000000))</f>
        <v/>
      </c>
      <c r="PP28">
        <f>IF($B28=0,1000000,IF(INDEX('計算A'!$D$60:$EQ$104,$B28,37)*EL28=1,IF(AND($E28=2,KA28=0),1000000,IF($I28&gt;0,IF(2=$J28,IF(OR(AND(37=$I28+1,OR($K28&lt;&gt;'計算A'!$A$3,'計算A'!$A$4=0)),AND(37=$I28-1,OR(13&lt;&gt;'計算A'!$A$3,'計算A'!$A$4=0))),0,IF(13=$K28,200000,ABS(13-$K28)*100)),100000+ABS(2-$J28)*1000+130)+'計算A'!AN$5*50+IF(AND($E28=1,KA28=0),25,0),INDEX('計算A'!AN$110:AN$114,$F28+1)+IF(AND($E28=1,KA28=0),1000,0)+IF($H28=1,(IF('計算A'!AM$117=1,INDEX('計算A'!AM$10:AM$54,$B28),0)+IF('計算A'!AN$117=1,INDEX('計算A'!AO$10:AO$54,$B28),0))*500,0)-IF(AND('計算A'!AM$117=1,VK28&gt;0),300,0)-IF(AND($L28=1,'計算A'!AN$117=1,EM28=0),300,0))),1000000))</f>
        <v/>
      </c>
      <c r="PQ28">
        <f>IF($B28=0,1000000,IF(INDEX('計算A'!$D$60:$EQ$104,$B28,38)*EM28=1,IF(AND($E28=2,KB28=0),1000000,IF($I28&gt;0,IF(2=$J28,IF(OR(AND(38=$I28+1,OR($K28&lt;&gt;'計算A'!$A$3,'計算A'!$A$4=0)),AND(38=$I28-1,OR(14&lt;&gt;'計算A'!$A$3,'計算A'!$A$4=0))),0,IF(14=$K28,200000,ABS(14-$K28)*100)),100000+ABS(2-$J28)*1000+140)+'計算A'!AO$5*50+IF(AND($E28=1,KB28=0),25,0),INDEX('計算A'!AO$110:AO$114,$F28+1)+IF(AND($E28=1,KB28=0),1000,0)+IF($H28=1,(IF('計算A'!AN$117=1,INDEX('計算A'!AN$10:AN$54,$B28),0)+IF('計算A'!AO$117=1,INDEX('計算A'!AP$10:AP$54,$B28),0))*500,0)-IF(AND('計算A'!AN$117=1,VL28&gt;0),300,0)-IF(AND($L28=1,'計算A'!AO$117=1,EN28=0),300,0))),1000000))</f>
        <v/>
      </c>
      <c r="PR28">
        <f>IF($B28=0,1000000,IF(INDEX('計算A'!$D$60:$EQ$104,$B28,39)*EN28=1,IF(AND($E28=2,KC28=0),1000000,IF($I28&gt;0,IF(2=$J28,IF(OR(AND(39=$I28+1,OR($K28&lt;&gt;'計算A'!$A$3,'計算A'!$A$4=0)),AND(39=$I28-1,OR(15&lt;&gt;'計算A'!$A$3,'計算A'!$A$4=0))),0,IF(15=$K28,200000,ABS(15-$K28)*100)),100000+ABS(2-$J28)*1000+150)+'計算A'!AP$5*50+IF(AND($E28=1,KC28=0),25,0),INDEX('計算A'!AP$110:AP$114,$F28+1)+IF(AND($E28=1,KC28=0),1000,0)+IF($H28=1,(IF('計算A'!AO$117=1,INDEX('計算A'!AO$10:AO$54,$B28),0)+IF('計算A'!AP$117=1,INDEX('計算A'!AQ$10:AQ$54,$B28),0))*500,0)-IF(AND('計算A'!AO$117=1,VM28&gt;0),300,0)-IF(AND($L28=1,'計算A'!AP$117=1,EO28=0),300,0))),1000000))</f>
        <v/>
      </c>
      <c r="PS28">
        <f>IF($B28=0,1000000,IF(INDEX('計算A'!$D$60:$EQ$104,$B28,40)*EO28=1,IF(AND($E28=2,KD28=0),1000000,IF($I28&gt;0,IF(2=$J28,IF(OR(AND(40=$I28+1,OR($K28&lt;&gt;'計算A'!$A$3,'計算A'!$A$4=0)),AND(40=$I28-1,OR(16&lt;&gt;'計算A'!$A$3,'計算A'!$A$4=0))),0,IF(16=$K28,200000,ABS(16-$K28)*100)),100000+ABS(2-$J28)*1000+160)+'計算A'!AQ$5*50+IF(AND($E28=1,KD28=0),25,0),INDEX('計算A'!AQ$110:AQ$114,$F28+1)+IF(AND($E28=1,KD28=0),1000,0)+IF($H28=1,(IF('計算A'!AP$117=1,INDEX('計算A'!AP$10:AP$54,$B28),0)+IF('計算A'!AQ$117=1,INDEX('計算A'!AR$10:AR$54,$B28),0))*500,0)-IF(AND('計算A'!AP$117=1,VN28&gt;0),300,0)-IF(AND($L28=1,'計算A'!AQ$117=1,EP28=0),300,0))),1000000))</f>
        <v/>
      </c>
      <c r="PT28">
        <f>IF($B28=0,1000000,IF(INDEX('計算A'!$D$60:$EQ$104,$B28,41)*EP28=1,IF(AND($E28=2,KE28=0),1000000,IF($I28&gt;0,IF(2=$J28,IF(OR(AND(41=$I28+1,OR($K28&lt;&gt;'計算A'!$A$3,'計算A'!$A$4=0)),AND(41=$I28-1,OR(17&lt;&gt;'計算A'!$A$3,'計算A'!$A$4=0))),0,IF(17=$K28,200000,ABS(17-$K28)*100)),100000+ABS(2-$J28)*1000+170)+'計算A'!AR$5*50+IF(AND($E28=1,KE28=0),25,0),INDEX('計算A'!AR$110:AR$114,$F28+1)+IF(AND($E28=1,KE28=0),1000,0)+IF($H28=1,(IF('計算A'!AQ$117=1,INDEX('計算A'!AQ$10:AQ$54,$B28),0)+IF('計算A'!AR$117=1,INDEX('計算A'!AS$10:AS$54,$B28),0))*500,0)-IF(AND('計算A'!AQ$117=1,VO28&gt;0),300,0)-IF(AND($L28=1,'計算A'!AR$117=1,EQ28=0),300,0))),1000000))</f>
        <v/>
      </c>
      <c r="PU28">
        <f>IF($B28=0,1000000,IF(INDEX('計算A'!$D$60:$EQ$104,$B28,42)*EQ28=1,IF(AND($E28=2,KF28=0),1000000,IF($I28&gt;0,IF(2=$J28,IF(OR(AND(42=$I28+1,OR($K28&lt;&gt;'計算A'!$A$3,'計算A'!$A$4=0)),AND(42=$I28-1,OR(18&lt;&gt;'計算A'!$A$3,'計算A'!$A$4=0))),0,IF(18=$K28,200000,ABS(18-$K28)*100)),100000+ABS(2-$J28)*1000+180)+'計算A'!AS$5*50+IF(AND($E28=1,KF28=0),25,0),INDEX('計算A'!AS$110:AS$114,$F28+1)+IF(AND($E28=1,KF28=0),1000,0)+IF($H28=1,(IF('計算A'!AR$117=1,INDEX('計算A'!AR$10:AR$54,$B28),0)+IF('計算A'!AS$117=1,INDEX('計算A'!AT$10:AT$54,$B28),0))*500,0)-IF(AND('計算A'!AR$117=1,VP28&gt;0),300,0)-IF(AND($L28=1,'計算A'!AS$117=1,ER28=0),300,0))),1000000))</f>
        <v/>
      </c>
      <c r="PV28">
        <f>IF($B28=0,1000000,IF(INDEX('計算A'!$D$60:$EQ$104,$B28,43)*ER28=1,IF(AND($E28=2,KG28=0),1000000,IF($I28&gt;0,IF(2=$J28,IF(OR(AND(43=$I28+1,OR($K28&lt;&gt;'計算A'!$A$3,'計算A'!$A$4=0)),AND(43=$I28-1,OR(19&lt;&gt;'計算A'!$A$3,'計算A'!$A$4=0))),0,IF(19=$K28,200000,ABS(19-$K28)*100)),100000+ABS(2-$J28)*1000+190)+'計算A'!AT$5*50+IF(AND($E28=1,KG28=0),25,0),INDEX('計算A'!AT$110:AT$114,$F28+1)+IF(AND($E28=1,KG28=0),1000,0)+IF($H28=1,(IF('計算A'!AS$117=1,INDEX('計算A'!AS$10:AS$54,$B28),0)+IF('計算A'!AT$117=1,INDEX('計算A'!AU$10:AU$54,$B28),0))*500,0)-IF(AND('計算A'!AS$117=1,VQ28&gt;0),300,0)-IF(AND($L28=1,'計算A'!AT$117=1,ES28=0),300,0))),1000000))</f>
        <v/>
      </c>
      <c r="PW28">
        <f>IF($B28=0,1000000,IF(INDEX('計算A'!$D$60:$EQ$104,$B28,44)*ES28=1,IF(AND($E28=2,KH28=0),1000000,IF($I28&gt;0,IF(2=$J28,IF(OR(AND(44=$I28+1,OR($K28&lt;&gt;'計算A'!$A$3,'計算A'!$A$4=0)),AND(44=$I28-1,OR(20&lt;&gt;'計算A'!$A$3,'計算A'!$A$4=0))),0,IF(20=$K28,200000,ABS(20-$K28)*100)),100000+ABS(2-$J28)*1000+200)+'計算A'!AU$5*50+IF(AND($E28=1,KH28=0),25,0),INDEX('計算A'!AU$110:AU$114,$F28+1)+IF(AND($E28=1,KH28=0),1000,0)+IF($H28=1,(IF('計算A'!AT$117=1,INDEX('計算A'!AT$10:AT$54,$B28),0)+IF('計算A'!AU$117=1,INDEX('計算A'!AV$10:AV$54,$B28),0))*500,0)-IF(AND('計算A'!AT$117=1,VR28&gt;0),300,0)-IF(AND($L28=1,'計算A'!AU$117=1,ET28=0),300,0))),1000000))</f>
        <v/>
      </c>
      <c r="PX28">
        <f>IF($B28=0,1000000,IF(INDEX('計算A'!$D$60:$EQ$104,$B28,45)*ET28=1,IF(AND($E28=2,KI28=0),1000000,IF($I28&gt;0,IF(2=$J28,IF(OR(AND(45=$I28+1,OR($K28&lt;&gt;'計算A'!$A$3,'計算A'!$A$4=0)),AND(45=$I28-1,OR(21&lt;&gt;'計算A'!$A$3,'計算A'!$A$4=0))),0,IF(21=$K28,200000,ABS(21-$K28)*100)),100000+ABS(2-$J28)*1000+210)+'計算A'!AV$5*50+IF(AND($E28=1,KI28=0),25,0),INDEX('計算A'!AV$110:AV$114,$F28+1)+IF(AND($E28=1,KI28=0),1000,0)+IF($H28=1,(IF('計算A'!AU$117=1,INDEX('計算A'!AU$10:AU$54,$B28),0)+IF('計算A'!AV$117=1,INDEX('計算A'!AW$10:AW$54,$B28),0))*500,0)-IF(AND('計算A'!AU$117=1,VS28&gt;0),300,0)-IF(AND($L28=1,'計算A'!AV$117=1,EU28=0),300,0))),1000000))</f>
        <v/>
      </c>
      <c r="PY28">
        <f>IF($B28=0,1000000,IF(INDEX('計算A'!$D$60:$EQ$104,$B28,46)*EU28=1,IF(AND($E28=2,KJ28=0),1000000,IF($I28&gt;0,IF(2=$J28,IF(OR(AND(46=$I28+1,OR($K28&lt;&gt;'計算A'!$A$3,'計算A'!$A$4=0)),AND(46=$I28-1,OR(22&lt;&gt;'計算A'!$A$3,'計算A'!$A$4=0))),0,IF(22=$K28,200000,ABS(22-$K28)*100)),100000+ABS(2-$J28)*1000+220)+'計算A'!AW$5*50+IF(AND($E28=1,KJ28=0),25,0),INDEX('計算A'!AW$110:AW$114,$F28+1)+IF(AND($E28=1,KJ28=0),1000,0)+IF($H28=1,(IF('計算A'!AV$117=1,INDEX('計算A'!AV$10:AV$54,$B28),0)+IF('計算A'!AW$117=1,INDEX('計算A'!AX$10:AX$54,$B28),0))*500,0)-IF(AND('計算A'!AV$117=1,VT28&gt;0),300,0)-IF(AND($L28=1,'計算A'!AW$117=1,EV28=0),300,0))),1000000))</f>
        <v/>
      </c>
      <c r="PZ28">
        <f>IF($B28=0,1000000,IF(INDEX('計算A'!$D$60:$EQ$104,$B28,47)*EV28=1,IF(AND($E28=2,KK28=0),1000000,IF($I28&gt;0,IF(2=$J28,IF(OR(AND(47=$I28+1,OR($K28&lt;&gt;'計算A'!$A$3,'計算A'!$A$4=0)),AND(47=$I28-1,OR(23&lt;&gt;'計算A'!$A$3,'計算A'!$A$4=0))),0,IF(23=$K28,200000,ABS(23-$K28)*100)),100000+ABS(2-$J28)*1000+230)+'計算A'!AX$5*50+IF(AND($E28=1,KK28=0),25,0),INDEX('計算A'!AX$110:AX$114,$F28+1)+IF(AND($E28=1,KK28=0),1000,0)+IF($H28=1,(IF('計算A'!AW$117=1,INDEX('計算A'!AW$10:AW$54,$B28),0)+IF('計算A'!AX$117=1,INDEX('計算A'!AY$10:AY$54,$B28),0))*500,0)-IF(AND('計算A'!AW$117=1,VU28&gt;0),300,0)-IF(AND($L28=1,'計算A'!AX$117=1,EW28=0),300,0))),1000000))</f>
        <v/>
      </c>
      <c r="QA28">
        <f>IF($B28=0,1000000,IF(INDEX('計算A'!$D$60:$EQ$104,$B28,48)*EW28=1,IF(AND($E28=2,KL28=0),1000000,IF($I28&gt;0,IF(2=$J28,IF(OR(AND(48=$I28+1,OR($K28&lt;&gt;'計算A'!$A$3,'計算A'!$A$4=0)),AND(48=$I28-1,OR(24&lt;&gt;'計算A'!$A$3,'計算A'!$A$4=0))),0,IF(24=$K28,200000,ABS(24-$K28)*100)),100000+ABS(2-$J28)*1000+240)+'計算A'!AY$5*50+IF(AND($E28=1,KL28=0),25,0),INDEX('計算A'!AY$110:AY$114,$F28+1)+IF(AND($E28=1,KL28=0),1000,0)+IF($H28=1,(IF('計算A'!AX$117=1,INDEX('計算A'!AX$10:AX$54,$B28),0))*500,0)-IF(AND('計算A'!AX$117=1,VV28&gt;0),300,0))),1000000))</f>
        <v/>
      </c>
      <c r="QB28">
        <f>IF($B28=0,1000000,IF(INDEX('計算A'!$D$60:$EQ$104,$B28,49)*EX28=1,IF(AND($E28=2,KM28=0),1000000,IF($I28&gt;0,IF(3=$J28,IF(OR(AND(49=$I28+1,OR($K28&lt;&gt;'計算A'!$A$3,'計算A'!$A$4=0)),AND(49=$I28-1,OR(1&lt;&gt;'計算A'!$A$3,'計算A'!$A$4=0))),0,IF(1=$K28,200000,ABS(1-$K28)*100)),100000+ABS(3-$J28)*1000+10)+'計算A'!AZ$5*50+IF(AND($E28=1,KM28=0),25,0),INDEX('計算A'!AZ$110:AZ$114,$F28+1)+IF(AND($E28=1,KM28=0),1000,0)+IF($H28=1,(IF('計算A'!AZ$117=1,INDEX('計算A'!BA$10:BA$54,$B28),0))*500,0)-IF(AND($L28=1,'計算A'!AZ$117=1,EY28=0),300,0))),1000000))</f>
        <v/>
      </c>
      <c r="QC28">
        <f>IF($B28=0,1000000,IF(INDEX('計算A'!$D$60:$EQ$104,$B28,50)*EY28=1,IF(AND($E28=2,KN28=0),1000000,IF($I28&gt;0,IF(3=$J28,IF(OR(AND(50=$I28+1,OR($K28&lt;&gt;'計算A'!$A$3,'計算A'!$A$4=0)),AND(50=$I28-1,OR(2&lt;&gt;'計算A'!$A$3,'計算A'!$A$4=0))),0,IF(2=$K28,200000,ABS(2-$K28)*100)),100000+ABS(3-$J28)*1000+20)+'計算A'!BA$5*50+IF(AND($E28=1,KN28=0),25,0),INDEX('計算A'!BA$110:BA$114,$F28+1)+IF(AND($E28=1,KN28=0),1000,0)+IF($H28=1,(IF('計算A'!AZ$117=1,INDEX('計算A'!AZ$10:AZ$54,$B28),0)+IF('計算A'!BA$117=1,INDEX('計算A'!BB$10:BB$54,$B28),0))*500,0)-IF(AND('計算A'!AZ$117=1,VX28&gt;0),300,0)-IF(AND($L28=1,'計算A'!BA$117=1,EZ28=0),300,0))),1000000))</f>
        <v/>
      </c>
      <c r="QD28">
        <f>IF($B28=0,1000000,IF(INDEX('計算A'!$D$60:$EQ$104,$B28,51)*EZ28=1,IF(AND($E28=2,KO28=0),1000000,IF($I28&gt;0,IF(3=$J28,IF(OR(AND(51=$I28+1,OR($K28&lt;&gt;'計算A'!$A$3,'計算A'!$A$4=0)),AND(51=$I28-1,OR(3&lt;&gt;'計算A'!$A$3,'計算A'!$A$4=0))),0,IF(3=$K28,200000,ABS(3-$K28)*100)),100000+ABS(3-$J28)*1000+30)+'計算A'!BB$5*50+IF(AND($E28=1,KO28=0),25,0),INDEX('計算A'!BB$110:BB$114,$F28+1)+IF(AND($E28=1,KO28=0),1000,0)+IF($H28=1,(IF('計算A'!BA$117=1,INDEX('計算A'!BA$10:BA$54,$B28),0)+IF('計算A'!BB$117=1,INDEX('計算A'!BC$10:BC$54,$B28),0))*500,0)-IF(AND('計算A'!BA$117=1,VY28&gt;0),300,0)-IF(AND($L28=1,'計算A'!BB$117=1,FA28=0),300,0))),1000000))</f>
        <v/>
      </c>
      <c r="QE28">
        <f>IF($B28=0,1000000,IF(INDEX('計算A'!$D$60:$EQ$104,$B28,52)*FA28=1,IF(AND($E28=2,KP28=0),1000000,IF($I28&gt;0,IF(3=$J28,IF(OR(AND(52=$I28+1,OR($K28&lt;&gt;'計算A'!$A$3,'計算A'!$A$4=0)),AND(52=$I28-1,OR(4&lt;&gt;'計算A'!$A$3,'計算A'!$A$4=0))),0,IF(4=$K28,200000,ABS(4-$K28)*100)),100000+ABS(3-$J28)*1000+40)+'計算A'!BC$5*50+IF(AND($E28=1,KP28=0),25,0),INDEX('計算A'!BC$110:BC$114,$F28+1)+IF(AND($E28=1,KP28=0),1000,0)+IF($H28=1,(IF('計算A'!BB$117=1,INDEX('計算A'!BB$10:BB$54,$B28),0)+IF('計算A'!BC$117=1,INDEX('計算A'!BD$10:BD$54,$B28),0))*500,0)-IF(AND('計算A'!BB$117=1,VZ28&gt;0),300,0)-IF(AND($L28=1,'計算A'!BC$117=1,FB28=0),300,0))),1000000))</f>
        <v/>
      </c>
      <c r="QF28">
        <f>IF($B28=0,1000000,IF(INDEX('計算A'!$D$60:$EQ$104,$B28,53)*FB28=1,IF(AND($E28=2,KQ28=0),1000000,IF($I28&gt;0,IF(3=$J28,IF(OR(AND(53=$I28+1,OR($K28&lt;&gt;'計算A'!$A$3,'計算A'!$A$4=0)),AND(53=$I28-1,OR(5&lt;&gt;'計算A'!$A$3,'計算A'!$A$4=0))),0,IF(5=$K28,200000,ABS(5-$K28)*100)),100000+ABS(3-$J28)*1000+50)+'計算A'!BD$5*50+IF(AND($E28=1,KQ28=0),25,0),INDEX('計算A'!BD$110:BD$114,$F28+1)+IF(AND($E28=1,KQ28=0),1000,0)+IF($H28=1,(IF('計算A'!BC$117=1,INDEX('計算A'!BC$10:BC$54,$B28),0)+IF('計算A'!BD$117=1,INDEX('計算A'!BE$10:BE$54,$B28),0))*500,0)-IF(AND('計算A'!BC$117=1,WA28&gt;0),300,0)-IF(AND($L28=1,'計算A'!BD$117=1,FC28=0),300,0))),1000000))</f>
        <v/>
      </c>
      <c r="QG28">
        <f>IF($B28=0,1000000,IF(INDEX('計算A'!$D$60:$EQ$104,$B28,54)*FC28=1,IF(AND($E28=2,KR28=0),1000000,IF($I28&gt;0,IF(3=$J28,IF(OR(AND(54=$I28+1,OR($K28&lt;&gt;'計算A'!$A$3,'計算A'!$A$4=0)),AND(54=$I28-1,OR(6&lt;&gt;'計算A'!$A$3,'計算A'!$A$4=0))),0,IF(6=$K28,200000,ABS(6-$K28)*100)),100000+ABS(3-$J28)*1000+60)+'計算A'!BE$5*50+IF(AND($E28=1,KR28=0),25,0),INDEX('計算A'!BE$110:BE$114,$F28+1)+IF(AND($E28=1,KR28=0),1000,0)+IF($H28=1,(IF('計算A'!BD$117=1,INDEX('計算A'!BD$10:BD$54,$B28),0)+IF('計算A'!BE$117=1,INDEX('計算A'!BF$10:BF$54,$B28),0))*500,0)-IF(AND('計算A'!BD$117=1,WB28&gt;0),300,0)-IF(AND($L28=1,'計算A'!BE$117=1,FD28=0),300,0))),1000000))</f>
        <v/>
      </c>
      <c r="QH28">
        <f>IF($B28=0,1000000,IF(INDEX('計算A'!$D$60:$EQ$104,$B28,55)*FD28=1,IF(AND($E28=2,KS28=0),1000000,IF($I28&gt;0,IF(3=$J28,IF(OR(AND(55=$I28+1,OR($K28&lt;&gt;'計算A'!$A$3,'計算A'!$A$4=0)),AND(55=$I28-1,OR(7&lt;&gt;'計算A'!$A$3,'計算A'!$A$4=0))),0,IF(7=$K28,200000,ABS(7-$K28)*100)),100000+ABS(3-$J28)*1000+70)+'計算A'!BF$5*50+IF(AND($E28=1,KS28=0),25,0),INDEX('計算A'!BF$110:BF$114,$F28+1)+IF(AND($E28=1,KS28=0),1000,0)+IF($H28=1,(IF('計算A'!BE$117=1,INDEX('計算A'!BE$10:BE$54,$B28),0)+IF('計算A'!BF$117=1,INDEX('計算A'!BG$10:BG$54,$B28),0))*500,0)-IF(AND('計算A'!BE$117=1,WC28&gt;0),300,0)-IF(AND($L28=1,'計算A'!BF$117=1,FE28=0),300,0))),1000000))</f>
        <v/>
      </c>
      <c r="QI28">
        <f>IF($B28=0,1000000,IF(INDEX('計算A'!$D$60:$EQ$104,$B28,56)*FE28=1,IF(AND($E28=2,KT28=0),1000000,IF($I28&gt;0,IF(3=$J28,IF(OR(AND(56=$I28+1,OR($K28&lt;&gt;'計算A'!$A$3,'計算A'!$A$4=0)),AND(56=$I28-1,OR(8&lt;&gt;'計算A'!$A$3,'計算A'!$A$4=0))),0,IF(8=$K28,200000,ABS(8-$K28)*100)),100000+ABS(3-$J28)*1000+80)+'計算A'!BG$5*50+IF(AND($E28=1,KT28=0),25,0),INDEX('計算A'!BG$110:BG$114,$F28+1)+IF(AND($E28=1,KT28=0),1000,0)+IF($H28=1,(IF('計算A'!BF$117=1,INDEX('計算A'!BF$10:BF$54,$B28),0)+IF('計算A'!BG$117=1,INDEX('計算A'!BH$10:BH$54,$B28),0))*500,0)-IF(AND('計算A'!BF$117=1,WD28&gt;0),300,0)-IF(AND($L28=1,'計算A'!BG$117=1,FF28=0),300,0))),1000000))</f>
        <v/>
      </c>
      <c r="QJ28">
        <f>IF($B28=0,1000000,IF(INDEX('計算A'!$D$60:$EQ$104,$B28,57)*FF28=1,IF(AND($E28=2,KU28=0),1000000,IF($I28&gt;0,IF(3=$J28,IF(OR(AND(57=$I28+1,OR($K28&lt;&gt;'計算A'!$A$3,'計算A'!$A$4=0)),AND(57=$I28-1,OR(9&lt;&gt;'計算A'!$A$3,'計算A'!$A$4=0))),0,IF(9=$K28,200000,ABS(9-$K28)*100)),100000+ABS(3-$J28)*1000+90)+'計算A'!BH$5*50+IF(AND($E28=1,KU28=0),25,0),INDEX('計算A'!BH$110:BH$114,$F28+1)+IF(AND($E28=1,KU28=0),1000,0)+IF($H28=1,(IF('計算A'!BG$117=1,INDEX('計算A'!BG$10:BG$54,$B28),0)+IF('計算A'!BH$117=1,INDEX('計算A'!BI$10:BI$54,$B28),0))*500,0)-IF(AND('計算A'!BG$117=1,WE28&gt;0),300,0)-IF(AND($L28=1,'計算A'!BH$117=1,FG28=0),300,0))),1000000))</f>
        <v/>
      </c>
      <c r="QK28">
        <f>IF($B28=0,1000000,IF(INDEX('計算A'!$D$60:$EQ$104,$B28,58)*FG28=1,IF(AND($E28=2,KV28=0),1000000,IF($I28&gt;0,IF(3=$J28,IF(OR(AND(58=$I28+1,OR($K28&lt;&gt;'計算A'!$A$3,'計算A'!$A$4=0)),AND(58=$I28-1,OR(10&lt;&gt;'計算A'!$A$3,'計算A'!$A$4=0))),0,IF(10=$K28,200000,ABS(10-$K28)*100)),100000+ABS(3-$J28)*1000+100)+'計算A'!BI$5*50+IF(AND($E28=1,KV28=0),25,0),INDEX('計算A'!BI$110:BI$114,$F28+1)+IF(AND($E28=1,KV28=0),1000,0)+IF($H28=1,(IF('計算A'!BH$117=1,INDEX('計算A'!BH$10:BH$54,$B28),0)+IF('計算A'!BI$117=1,INDEX('計算A'!BJ$10:BJ$54,$B28),0))*500,0)-IF(AND('計算A'!BH$117=1,WF28&gt;0),300,0)-IF(AND($L28=1,'計算A'!BI$117=1,FH28=0),300,0))),1000000))</f>
        <v/>
      </c>
      <c r="QL28">
        <f>IF($B28=0,1000000,IF(INDEX('計算A'!$D$60:$EQ$104,$B28,59)*FH28=1,IF(AND($E28=2,KW28=0),1000000,IF($I28&gt;0,IF(3=$J28,IF(OR(AND(59=$I28+1,OR($K28&lt;&gt;'計算A'!$A$3,'計算A'!$A$4=0)),AND(59=$I28-1,OR(11&lt;&gt;'計算A'!$A$3,'計算A'!$A$4=0))),0,IF(11=$K28,200000,ABS(11-$K28)*100)),100000+ABS(3-$J28)*1000+110)+'計算A'!BJ$5*50+IF(AND($E28=1,KW28=0),25,0),INDEX('計算A'!BJ$110:BJ$114,$F28+1)+IF(AND($E28=1,KW28=0),1000,0)+IF($H28=1,(IF('計算A'!BI$117=1,INDEX('計算A'!BI$10:BI$54,$B28),0)+IF('計算A'!BJ$117=1,INDEX('計算A'!BK$10:BK$54,$B28),0))*500,0)-IF(AND('計算A'!BI$117=1,WG28&gt;0),300,0)-IF(AND($L28=1,'計算A'!BJ$117=1,FI28=0),300,0))),1000000))</f>
        <v/>
      </c>
      <c r="QM28">
        <f>IF($B28=0,1000000,IF(INDEX('計算A'!$D$60:$EQ$104,$B28,60)*FI28=1,IF(AND($E28=2,KX28=0),1000000,IF($I28&gt;0,IF(3=$J28,IF(OR(AND(60=$I28+1,OR($K28&lt;&gt;'計算A'!$A$3,'計算A'!$A$4=0)),AND(60=$I28-1,OR(12&lt;&gt;'計算A'!$A$3,'計算A'!$A$4=0))),0,IF(12=$K28,200000,ABS(12-$K28)*100)),100000+ABS(3-$J28)*1000+120)+'計算A'!BK$5*50+IF(AND($E28=1,KX28=0),25,0),INDEX('計算A'!BK$110:BK$114,$F28+1)+IF(AND($E28=1,KX28=0),1000,0)+IF($H28=1,(IF('計算A'!BJ$117=1,INDEX('計算A'!BJ$10:BJ$54,$B28),0)+IF('計算A'!BK$117=1,INDEX('計算A'!BL$10:BL$54,$B28),0))*500,0)-IF(AND('計算A'!BJ$117=1,WH28&gt;0),300,0)-IF(AND($L28=1,'計算A'!BK$117=1,FJ28=0),300,0))),1000000))</f>
        <v/>
      </c>
      <c r="QN28">
        <f>IF($B28=0,1000000,IF(INDEX('計算A'!$D$60:$EQ$104,$B28,61)*FJ28=1,IF(AND($E28=2,KY28=0),1000000,IF($I28&gt;0,IF(3=$J28,IF(OR(AND(61=$I28+1,OR($K28&lt;&gt;'計算A'!$A$3,'計算A'!$A$4=0)),AND(61=$I28-1,OR(13&lt;&gt;'計算A'!$A$3,'計算A'!$A$4=0))),0,IF(13=$K28,200000,ABS(13-$K28)*100)),100000+ABS(3-$J28)*1000+130)+'計算A'!BL$5*50+IF(AND($E28=1,KY28=0),25,0),INDEX('計算A'!BL$110:BL$114,$F28+1)+IF(AND($E28=1,KY28=0),1000,0)+IF($H28=1,(IF('計算A'!BK$117=1,INDEX('計算A'!BK$10:BK$54,$B28),0)+IF('計算A'!BL$117=1,INDEX('計算A'!BM$10:BM$54,$B28),0))*500,0)-IF(AND('計算A'!BK$117=1,WI28&gt;0),300,0)-IF(AND($L28=1,'計算A'!BL$117=1,FK28=0),300,0))),1000000))</f>
        <v/>
      </c>
      <c r="QO28">
        <f>IF($B28=0,1000000,IF(INDEX('計算A'!$D$60:$EQ$104,$B28,62)*FK28=1,IF(AND($E28=2,KZ28=0),1000000,IF($I28&gt;0,IF(3=$J28,IF(OR(AND(62=$I28+1,OR($K28&lt;&gt;'計算A'!$A$3,'計算A'!$A$4=0)),AND(62=$I28-1,OR(14&lt;&gt;'計算A'!$A$3,'計算A'!$A$4=0))),0,IF(14=$K28,200000,ABS(14-$K28)*100)),100000+ABS(3-$J28)*1000+140)+'計算A'!BM$5*50+IF(AND($E28=1,KZ28=0),25,0),INDEX('計算A'!BM$110:BM$114,$F28+1)+IF(AND($E28=1,KZ28=0),1000,0)+IF($H28=1,(IF('計算A'!BL$117=1,INDEX('計算A'!BL$10:BL$54,$B28),0)+IF('計算A'!BM$117=1,INDEX('計算A'!BN$10:BN$54,$B28),0))*500,0)-IF(AND('計算A'!BL$117=1,WJ28&gt;0),300,0)-IF(AND($L28=1,'計算A'!BM$117=1,FL28=0),300,0))),1000000))</f>
        <v/>
      </c>
      <c r="QP28">
        <f>IF($B28=0,1000000,IF(INDEX('計算A'!$D$60:$EQ$104,$B28,63)*FL28=1,IF(AND($E28=2,LA28=0),1000000,IF($I28&gt;0,IF(3=$J28,IF(OR(AND(63=$I28+1,OR($K28&lt;&gt;'計算A'!$A$3,'計算A'!$A$4=0)),AND(63=$I28-1,OR(15&lt;&gt;'計算A'!$A$3,'計算A'!$A$4=0))),0,IF(15=$K28,200000,ABS(15-$K28)*100)),100000+ABS(3-$J28)*1000+150)+'計算A'!BN$5*50+IF(AND($E28=1,LA28=0),25,0),INDEX('計算A'!BN$110:BN$114,$F28+1)+IF(AND($E28=1,LA28=0),1000,0)+IF($H28=1,(IF('計算A'!BM$117=1,INDEX('計算A'!BM$10:BM$54,$B28),0)+IF('計算A'!BN$117=1,INDEX('計算A'!BO$10:BO$54,$B28),0))*500,0)-IF(AND('計算A'!BM$117=1,WK28&gt;0),300,0)-IF(AND($L28=1,'計算A'!BN$117=1,FM28=0),300,0))),1000000))</f>
        <v/>
      </c>
      <c r="QQ28">
        <f>IF($B28=0,1000000,IF(INDEX('計算A'!$D$60:$EQ$104,$B28,64)*FM28=1,IF(AND($E28=2,LB28=0),1000000,IF($I28&gt;0,IF(3=$J28,IF(OR(AND(64=$I28+1,OR($K28&lt;&gt;'計算A'!$A$3,'計算A'!$A$4=0)),AND(64=$I28-1,OR(16&lt;&gt;'計算A'!$A$3,'計算A'!$A$4=0))),0,IF(16=$K28,200000,ABS(16-$K28)*100)),100000+ABS(3-$J28)*1000+160)+'計算A'!BO$5*50+IF(AND($E28=1,LB28=0),25,0),INDEX('計算A'!BO$110:BO$114,$F28+1)+IF(AND($E28=1,LB28=0),1000,0)+IF($H28=1,(IF('計算A'!BN$117=1,INDEX('計算A'!BN$10:BN$54,$B28),0)+IF('計算A'!BO$117=1,INDEX('計算A'!BP$10:BP$54,$B28),0))*500,0)-IF(AND('計算A'!BN$117=1,WL28&gt;0),300,0)-IF(AND($L28=1,'計算A'!BO$117=1,FN28=0),300,0))),1000000))</f>
        <v/>
      </c>
      <c r="QR28">
        <f>IF($B28=0,1000000,IF(INDEX('計算A'!$D$60:$EQ$104,$B28,65)*FN28=1,IF(AND($E28=2,LC28=0),1000000,IF($I28&gt;0,IF(3=$J28,IF(OR(AND(65=$I28+1,OR($K28&lt;&gt;'計算A'!$A$3,'計算A'!$A$4=0)),AND(65=$I28-1,OR(17&lt;&gt;'計算A'!$A$3,'計算A'!$A$4=0))),0,IF(17=$K28,200000,ABS(17-$K28)*100)),100000+ABS(3-$J28)*1000+170)+'計算A'!BP$5*50+IF(AND($E28=1,LC28=0),25,0),INDEX('計算A'!BP$110:BP$114,$F28+1)+IF(AND($E28=1,LC28=0),1000,0)+IF($H28=1,(IF('計算A'!BO$117=1,INDEX('計算A'!BO$10:BO$54,$B28),0)+IF('計算A'!BP$117=1,INDEX('計算A'!BQ$10:BQ$54,$B28),0))*500,0)-IF(AND('計算A'!BO$117=1,WM28&gt;0),300,0)-IF(AND($L28=1,'計算A'!BP$117=1,FO28=0),300,0))),1000000))</f>
        <v/>
      </c>
      <c r="QS28">
        <f>IF($B28=0,1000000,IF(INDEX('計算A'!$D$60:$EQ$104,$B28,66)*FO28=1,IF(AND($E28=2,LD28=0),1000000,IF($I28&gt;0,IF(3=$J28,IF(OR(AND(66=$I28+1,OR($K28&lt;&gt;'計算A'!$A$3,'計算A'!$A$4=0)),AND(66=$I28-1,OR(18&lt;&gt;'計算A'!$A$3,'計算A'!$A$4=0))),0,IF(18=$K28,200000,ABS(18-$K28)*100)),100000+ABS(3-$J28)*1000+180)+'計算A'!BQ$5*50+IF(AND($E28=1,LD28=0),25,0),INDEX('計算A'!BQ$110:BQ$114,$F28+1)+IF(AND($E28=1,LD28=0),1000,0)+IF($H28=1,(IF('計算A'!BP$117=1,INDEX('計算A'!BP$10:BP$54,$B28),0)+IF('計算A'!BQ$117=1,INDEX('計算A'!BR$10:BR$54,$B28),0))*500,0)-IF(AND('計算A'!BP$117=1,WN28&gt;0),300,0)-IF(AND($L28=1,'計算A'!BQ$117=1,FP28=0),300,0))),1000000))</f>
        <v/>
      </c>
      <c r="QT28">
        <f>IF($B28=0,1000000,IF(INDEX('計算A'!$D$60:$EQ$104,$B28,67)*FP28=1,IF(AND($E28=2,LE28=0),1000000,IF($I28&gt;0,IF(3=$J28,IF(OR(AND(67=$I28+1,OR($K28&lt;&gt;'計算A'!$A$3,'計算A'!$A$4=0)),AND(67=$I28-1,OR(19&lt;&gt;'計算A'!$A$3,'計算A'!$A$4=0))),0,IF(19=$K28,200000,ABS(19-$K28)*100)),100000+ABS(3-$J28)*1000+190)+'計算A'!BR$5*50+IF(AND($E28=1,LE28=0),25,0),INDEX('計算A'!BR$110:BR$114,$F28+1)+IF(AND($E28=1,LE28=0),1000,0)+IF($H28=1,(IF('計算A'!BQ$117=1,INDEX('計算A'!BQ$10:BQ$54,$B28),0)+IF('計算A'!BR$117=1,INDEX('計算A'!BS$10:BS$54,$B28),0))*500,0)-IF(AND('計算A'!BQ$117=1,WO28&gt;0),300,0)-IF(AND($L28=1,'計算A'!BR$117=1,FQ28=0),300,0))),1000000))</f>
        <v/>
      </c>
      <c r="QU28">
        <f>IF($B28=0,1000000,IF(INDEX('計算A'!$D$60:$EQ$104,$B28,68)*FQ28=1,IF(AND($E28=2,LF28=0),1000000,IF($I28&gt;0,IF(3=$J28,IF(OR(AND(68=$I28+1,OR($K28&lt;&gt;'計算A'!$A$3,'計算A'!$A$4=0)),AND(68=$I28-1,OR(20&lt;&gt;'計算A'!$A$3,'計算A'!$A$4=0))),0,IF(20=$K28,200000,ABS(20-$K28)*100)),100000+ABS(3-$J28)*1000+200)+'計算A'!BS$5*50+IF(AND($E28=1,LF28=0),25,0),INDEX('計算A'!BS$110:BS$114,$F28+1)+IF(AND($E28=1,LF28=0),1000,0)+IF($H28=1,(IF('計算A'!BR$117=1,INDEX('計算A'!BR$10:BR$54,$B28),0)+IF('計算A'!BS$117=1,INDEX('計算A'!BT$10:BT$54,$B28),0))*500,0)-IF(AND('計算A'!BR$117=1,WP28&gt;0),300,0)-IF(AND($L28=1,'計算A'!BS$117=1,FR28=0),300,0))),1000000))</f>
        <v/>
      </c>
      <c r="QV28">
        <f>IF($B28=0,1000000,IF(INDEX('計算A'!$D$60:$EQ$104,$B28,69)*FR28=1,IF(AND($E28=2,LG28=0),1000000,IF($I28&gt;0,IF(3=$J28,IF(OR(AND(69=$I28+1,OR($K28&lt;&gt;'計算A'!$A$3,'計算A'!$A$4=0)),AND(69=$I28-1,OR(21&lt;&gt;'計算A'!$A$3,'計算A'!$A$4=0))),0,IF(21=$K28,200000,ABS(21-$K28)*100)),100000+ABS(3-$J28)*1000+210)+'計算A'!BT$5*50+IF(AND($E28=1,LG28=0),25,0),INDEX('計算A'!BT$110:BT$114,$F28+1)+IF(AND($E28=1,LG28=0),1000,0)+IF($H28=1,(IF('計算A'!BS$117=1,INDEX('計算A'!BS$10:BS$54,$B28),0)+IF('計算A'!BT$117=1,INDEX('計算A'!BU$10:BU$54,$B28),0))*500,0)-IF(AND('計算A'!BS$117=1,WQ28&gt;0),300,0)-IF(AND($L28=1,'計算A'!BT$117=1,FS28=0),300,0))),1000000))</f>
        <v/>
      </c>
      <c r="QW28">
        <f>IF($B28=0,1000000,IF(INDEX('計算A'!$D$60:$EQ$104,$B28,70)*FS28=1,IF(AND($E28=2,LH28=0),1000000,IF($I28&gt;0,IF(3=$J28,IF(OR(AND(70=$I28+1,OR($K28&lt;&gt;'計算A'!$A$3,'計算A'!$A$4=0)),AND(70=$I28-1,OR(22&lt;&gt;'計算A'!$A$3,'計算A'!$A$4=0))),0,IF(22=$K28,200000,ABS(22-$K28)*100)),100000+ABS(3-$J28)*1000+220)+'計算A'!BU$5*50+IF(AND($E28=1,LH28=0),25,0),INDEX('計算A'!BU$110:BU$114,$F28+1)+IF(AND($E28=1,LH28=0),1000,0)+IF($H28=1,(IF('計算A'!BT$117=1,INDEX('計算A'!BT$10:BT$54,$B28),0)+IF('計算A'!BU$117=1,INDEX('計算A'!BV$10:BV$54,$B28),0))*500,0)-IF(AND('計算A'!BT$117=1,WR28&gt;0),300,0)-IF(AND($L28=1,'計算A'!BU$117=1,FT28=0),300,0))),1000000))</f>
        <v/>
      </c>
      <c r="QX28">
        <f>IF($B28=0,1000000,IF(INDEX('計算A'!$D$60:$EQ$104,$B28,71)*FT28=1,IF(AND($E28=2,LI28=0),1000000,IF($I28&gt;0,IF(3=$J28,IF(OR(AND(71=$I28+1,OR($K28&lt;&gt;'計算A'!$A$3,'計算A'!$A$4=0)),AND(71=$I28-1,OR(23&lt;&gt;'計算A'!$A$3,'計算A'!$A$4=0))),0,IF(23=$K28,200000,ABS(23-$K28)*100)),100000+ABS(3-$J28)*1000+230)+'計算A'!BV$5*50+IF(AND($E28=1,LI28=0),25,0),INDEX('計算A'!BV$110:BV$114,$F28+1)+IF(AND($E28=1,LI28=0),1000,0)+IF($H28=1,(IF('計算A'!BU$117=1,INDEX('計算A'!BU$10:BU$54,$B28),0)+IF('計算A'!BV$117=1,INDEX('計算A'!BW$10:BW$54,$B28),0))*500,0)-IF(AND('計算A'!BU$117=1,WS28&gt;0),300,0)-IF(AND($L28=1,'計算A'!BV$117=1,FU28=0),300,0))),1000000))</f>
        <v/>
      </c>
      <c r="QY28">
        <f>IF($B28=0,1000000,IF(INDEX('計算A'!$D$60:$EQ$104,$B28,72)*FU28=1,IF(AND($E28=2,LJ28=0),1000000,IF($I28&gt;0,IF(3=$J28,IF(OR(AND(72=$I28+1,OR($K28&lt;&gt;'計算A'!$A$3,'計算A'!$A$4=0)),AND(72=$I28-1,OR(24&lt;&gt;'計算A'!$A$3,'計算A'!$A$4=0))),0,IF(24=$K28,200000,ABS(24-$K28)*100)),100000+ABS(3-$J28)*1000+240)+'計算A'!BW$5*50+IF(AND($E28=1,LJ28=0),25,0),INDEX('計算A'!BW$110:BW$114,$F28+1)+IF(AND($E28=1,LJ28=0),1000,0)+IF($H28=1,(IF('計算A'!BV$117=1,INDEX('計算A'!BV$10:BV$54,$B28),0))*500,0)-IF(AND('計算A'!BV$117=1,WT28&gt;0),300,0))),1000000))</f>
        <v/>
      </c>
      <c r="QZ28">
        <f>IF($B28=0,1000000,IF(INDEX('計算A'!$D$60:$EQ$104,$B28,73)*FV28=1,IF(AND($E28=2,LK28=0),1000000,IF($I28&gt;0,IF(4=$J28,IF(OR(AND(73=$I28+1,OR($K28&lt;&gt;'計算A'!$A$3,'計算A'!$A$4=0)),AND(73=$I28-1,OR(1&lt;&gt;'計算A'!$A$3,'計算A'!$A$4=0))),0,IF(1=$K28,200000,ABS(1-$K28)*100)),100000+ABS(4-$J28)*1000+10)+'計算A'!BX$5*50+IF(AND($E28=1,LK28=0),25,0),INDEX('計算A'!BX$110:BX$114,$F28+1)+IF(AND($E28=1,LK28=0),1000,0)+IF($H28=1,(IF('計算A'!BX$117=1,INDEX('計算A'!BY$10:BY$54,$B28),0))*500,0)-IF(AND($L28=1,'計算A'!BX$117=1,FW28=0),300,0))),1000000))</f>
        <v/>
      </c>
      <c r="RA28">
        <f>IF($B28=0,1000000,IF(INDEX('計算A'!$D$60:$EQ$104,$B28,74)*FW28=1,IF(AND($E28=2,LL28=0),1000000,IF($I28&gt;0,IF(4=$J28,IF(OR(AND(74=$I28+1,OR($K28&lt;&gt;'計算A'!$A$3,'計算A'!$A$4=0)),AND(74=$I28-1,OR(2&lt;&gt;'計算A'!$A$3,'計算A'!$A$4=0))),0,IF(2=$K28,200000,ABS(2-$K28)*100)),100000+ABS(4-$J28)*1000+20)+'計算A'!BY$5*50+IF(AND($E28=1,LL28=0),25,0),INDEX('計算A'!BY$110:BY$114,$F28+1)+IF(AND($E28=1,LL28=0),1000,0)+IF($H28=1,(IF('計算A'!BX$117=1,INDEX('計算A'!BX$10:BX$54,$B28),0)+IF('計算A'!BY$117=1,INDEX('計算A'!BZ$10:BZ$54,$B28),0))*500,0)-IF(AND('計算A'!BX$117=1,WV28&gt;0),300,0)-IF(AND($L28=1,'計算A'!BY$117=1,FX28=0),300,0))),1000000))</f>
        <v/>
      </c>
      <c r="RB28">
        <f>IF($B28=0,1000000,IF(INDEX('計算A'!$D$60:$EQ$104,$B28,75)*FX28=1,IF(AND($E28=2,LM28=0),1000000,IF($I28&gt;0,IF(4=$J28,IF(OR(AND(75=$I28+1,OR($K28&lt;&gt;'計算A'!$A$3,'計算A'!$A$4=0)),AND(75=$I28-1,OR(3&lt;&gt;'計算A'!$A$3,'計算A'!$A$4=0))),0,IF(3=$K28,200000,ABS(3-$K28)*100)),100000+ABS(4-$J28)*1000+30)+'計算A'!BZ$5*50+IF(AND($E28=1,LM28=0),25,0),INDEX('計算A'!BZ$110:BZ$114,$F28+1)+IF(AND($E28=1,LM28=0),1000,0)+IF($H28=1,(IF('計算A'!BY$117=1,INDEX('計算A'!BY$10:BY$54,$B28),0)+IF('計算A'!BZ$117=1,INDEX('計算A'!CA$10:CA$54,$B28),0))*500,0)-IF(AND('計算A'!BY$117=1,WW28&gt;0),300,0)-IF(AND($L28=1,'計算A'!BZ$117=1,FY28=0),300,0))),1000000))</f>
        <v/>
      </c>
      <c r="RC28">
        <f>IF($B28=0,1000000,IF(INDEX('計算A'!$D$60:$EQ$104,$B28,76)*FY28=1,IF(AND($E28=2,LN28=0),1000000,IF($I28&gt;0,IF(4=$J28,IF(OR(AND(76=$I28+1,OR($K28&lt;&gt;'計算A'!$A$3,'計算A'!$A$4=0)),AND(76=$I28-1,OR(4&lt;&gt;'計算A'!$A$3,'計算A'!$A$4=0))),0,IF(4=$K28,200000,ABS(4-$K28)*100)),100000+ABS(4-$J28)*1000+40)+'計算A'!CA$5*50+IF(AND($E28=1,LN28=0),25,0),INDEX('計算A'!CA$110:CA$114,$F28+1)+IF(AND($E28=1,LN28=0),1000,0)+IF($H28=1,(IF('計算A'!BZ$117=1,INDEX('計算A'!BZ$10:BZ$54,$B28),0)+IF('計算A'!CA$117=1,INDEX('計算A'!CB$10:CB$54,$B28),0))*500,0)-IF(AND('計算A'!BZ$117=1,WX28&gt;0),300,0)-IF(AND($L28=1,'計算A'!CA$117=1,FZ28=0),300,0))),1000000))</f>
        <v/>
      </c>
      <c r="RD28">
        <f>IF($B28=0,1000000,IF(INDEX('計算A'!$D$60:$EQ$104,$B28,77)*FZ28=1,IF(AND($E28=2,LO28=0),1000000,IF($I28&gt;0,IF(4=$J28,IF(OR(AND(77=$I28+1,OR($K28&lt;&gt;'計算A'!$A$3,'計算A'!$A$4=0)),AND(77=$I28-1,OR(5&lt;&gt;'計算A'!$A$3,'計算A'!$A$4=0))),0,IF(5=$K28,200000,ABS(5-$K28)*100)),100000+ABS(4-$J28)*1000+50)+'計算A'!CB$5*50+IF(AND($E28=1,LO28=0),25,0),INDEX('計算A'!CB$110:CB$114,$F28+1)+IF(AND($E28=1,LO28=0),1000,0)+IF($H28=1,(IF('計算A'!CA$117=1,INDEX('計算A'!CA$10:CA$54,$B28),0)+IF('計算A'!CB$117=1,INDEX('計算A'!CC$10:CC$54,$B28),0))*500,0)-IF(AND('計算A'!CA$117=1,WY28&gt;0),300,0)-IF(AND($L28=1,'計算A'!CB$117=1,GA28=0),300,0))),1000000))</f>
        <v/>
      </c>
      <c r="RE28">
        <f>IF($B28=0,1000000,IF(INDEX('計算A'!$D$60:$EQ$104,$B28,78)*GA28=1,IF(AND($E28=2,LP28=0),1000000,IF($I28&gt;0,IF(4=$J28,IF(OR(AND(78=$I28+1,OR($K28&lt;&gt;'計算A'!$A$3,'計算A'!$A$4=0)),AND(78=$I28-1,OR(6&lt;&gt;'計算A'!$A$3,'計算A'!$A$4=0))),0,IF(6=$K28,200000,ABS(6-$K28)*100)),100000+ABS(4-$J28)*1000+60)+'計算A'!CC$5*50+IF(AND($E28=1,LP28=0),25,0),INDEX('計算A'!CC$110:CC$114,$F28+1)+IF(AND($E28=1,LP28=0),1000,0)+IF($H28=1,(IF('計算A'!CB$117=1,INDEX('計算A'!CB$10:CB$54,$B28),0)+IF('計算A'!CC$117=1,INDEX('計算A'!CD$10:CD$54,$B28),0))*500,0)-IF(AND('計算A'!CB$117=1,WZ28&gt;0),300,0)-IF(AND($L28=1,'計算A'!CC$117=1,GB28=0),300,0))),1000000))</f>
        <v/>
      </c>
      <c r="RF28">
        <f>IF($B28=0,1000000,IF(INDEX('計算A'!$D$60:$EQ$104,$B28,79)*GB28=1,IF(AND($E28=2,LQ28=0),1000000,IF($I28&gt;0,IF(4=$J28,IF(OR(AND(79=$I28+1,OR($K28&lt;&gt;'計算A'!$A$3,'計算A'!$A$4=0)),AND(79=$I28-1,OR(7&lt;&gt;'計算A'!$A$3,'計算A'!$A$4=0))),0,IF(7=$K28,200000,ABS(7-$K28)*100)),100000+ABS(4-$J28)*1000+70)+'計算A'!CD$5*50+IF(AND($E28=1,LQ28=0),25,0),INDEX('計算A'!CD$110:CD$114,$F28+1)+IF(AND($E28=1,LQ28=0),1000,0)+IF($H28=1,(IF('計算A'!CC$117=1,INDEX('計算A'!CC$10:CC$54,$B28),0)+IF('計算A'!CD$117=1,INDEX('計算A'!CE$10:CE$54,$B28),0))*500,0)-IF(AND('計算A'!CC$117=1,XA28&gt;0),300,0)-IF(AND($L28=1,'計算A'!CD$117=1,GC28=0),300,0))),1000000))</f>
        <v/>
      </c>
      <c r="RG28">
        <f>IF($B28=0,1000000,IF(INDEX('計算A'!$D$60:$EQ$104,$B28,80)*GC28=1,IF(AND($E28=2,LR28=0),1000000,IF($I28&gt;0,IF(4=$J28,IF(OR(AND(80=$I28+1,OR($K28&lt;&gt;'計算A'!$A$3,'計算A'!$A$4=0)),AND(80=$I28-1,OR(8&lt;&gt;'計算A'!$A$3,'計算A'!$A$4=0))),0,IF(8=$K28,200000,ABS(8-$K28)*100)),100000+ABS(4-$J28)*1000+80)+'計算A'!CE$5*50+IF(AND($E28=1,LR28=0),25,0),INDEX('計算A'!CE$110:CE$114,$F28+1)+IF(AND($E28=1,LR28=0),1000,0)+IF($H28=1,(IF('計算A'!CD$117=1,INDEX('計算A'!CD$10:CD$54,$B28),0)+IF('計算A'!CE$117=1,INDEX('計算A'!CF$10:CF$54,$B28),0))*500,0)-IF(AND('計算A'!CD$117=1,XB28&gt;0),300,0)-IF(AND($L28=1,'計算A'!CE$117=1,GD28=0),300,0))),1000000))</f>
        <v/>
      </c>
      <c r="RH28">
        <f>IF($B28=0,1000000,IF(INDEX('計算A'!$D$60:$EQ$104,$B28,81)*GD28=1,IF(AND($E28=2,LS28=0),1000000,IF($I28&gt;0,IF(4=$J28,IF(OR(AND(81=$I28+1,OR($K28&lt;&gt;'計算A'!$A$3,'計算A'!$A$4=0)),AND(81=$I28-1,OR(9&lt;&gt;'計算A'!$A$3,'計算A'!$A$4=0))),0,IF(9=$K28,200000,ABS(9-$K28)*100)),100000+ABS(4-$J28)*1000+90)+'計算A'!CF$5*50+IF(AND($E28=1,LS28=0),25,0),INDEX('計算A'!CF$110:CF$114,$F28+1)+IF(AND($E28=1,LS28=0),1000,0)+IF($H28=1,(IF('計算A'!CE$117=1,INDEX('計算A'!CE$10:CE$54,$B28),0)+IF('計算A'!CF$117=1,INDEX('計算A'!CG$10:CG$54,$B28),0))*500,0)-IF(AND('計算A'!CE$117=1,XC28&gt;0),300,0)-IF(AND($L28=1,'計算A'!CF$117=1,GE28=0),300,0))),1000000))</f>
        <v/>
      </c>
      <c r="RI28">
        <f>IF($B28=0,1000000,IF(INDEX('計算A'!$D$60:$EQ$104,$B28,82)*GE28=1,IF(AND($E28=2,LT28=0),1000000,IF($I28&gt;0,IF(4=$J28,IF(OR(AND(82=$I28+1,OR($K28&lt;&gt;'計算A'!$A$3,'計算A'!$A$4=0)),AND(82=$I28-1,OR(10&lt;&gt;'計算A'!$A$3,'計算A'!$A$4=0))),0,IF(10=$K28,200000,ABS(10-$K28)*100)),100000+ABS(4-$J28)*1000+100)+'計算A'!CG$5*50+IF(AND($E28=1,LT28=0),25,0),INDEX('計算A'!CG$110:CG$114,$F28+1)+IF(AND($E28=1,LT28=0),1000,0)+IF($H28=1,(IF('計算A'!CF$117=1,INDEX('計算A'!CF$10:CF$54,$B28),0)+IF('計算A'!CG$117=1,INDEX('計算A'!CH$10:CH$54,$B28),0))*500,0)-IF(AND('計算A'!CF$117=1,XD28&gt;0),300,0)-IF(AND($L28=1,'計算A'!CG$117=1,GF28=0),300,0))),1000000))</f>
        <v/>
      </c>
      <c r="RJ28">
        <f>IF($B28=0,1000000,IF(INDEX('計算A'!$D$60:$EQ$104,$B28,83)*GF28=1,IF(AND($E28=2,LU28=0),1000000,IF($I28&gt;0,IF(4=$J28,IF(OR(AND(83=$I28+1,OR($K28&lt;&gt;'計算A'!$A$3,'計算A'!$A$4=0)),AND(83=$I28-1,OR(11&lt;&gt;'計算A'!$A$3,'計算A'!$A$4=0))),0,IF(11=$K28,200000,ABS(11-$K28)*100)),100000+ABS(4-$J28)*1000+110)+'計算A'!CH$5*50+IF(AND($E28=1,LU28=0),25,0),INDEX('計算A'!CH$110:CH$114,$F28+1)+IF(AND($E28=1,LU28=0),1000,0)+IF($H28=1,(IF('計算A'!CG$117=1,INDEX('計算A'!CG$10:CG$54,$B28),0)+IF('計算A'!CH$117=1,INDEX('計算A'!CI$10:CI$54,$B28),0))*500,0)-IF(AND('計算A'!CG$117=1,XE28&gt;0),300,0)-IF(AND($L28=1,'計算A'!CH$117=1,GG28=0),300,0))),1000000))</f>
        <v/>
      </c>
      <c r="RK28">
        <f>IF($B28=0,1000000,IF(INDEX('計算A'!$D$60:$EQ$104,$B28,84)*GG28=1,IF(AND($E28=2,LV28=0),1000000,IF($I28&gt;0,IF(4=$J28,IF(OR(AND(84=$I28+1,OR($K28&lt;&gt;'計算A'!$A$3,'計算A'!$A$4=0)),AND(84=$I28-1,OR(12&lt;&gt;'計算A'!$A$3,'計算A'!$A$4=0))),0,IF(12=$K28,200000,ABS(12-$K28)*100)),100000+ABS(4-$J28)*1000+120)+'計算A'!CI$5*50+IF(AND($E28=1,LV28=0),25,0),INDEX('計算A'!CI$110:CI$114,$F28+1)+IF(AND($E28=1,LV28=0),1000,0)+IF($H28=1,(IF('計算A'!CH$117=1,INDEX('計算A'!CH$10:CH$54,$B28),0)+IF('計算A'!CI$117=1,INDEX('計算A'!CJ$10:CJ$54,$B28),0))*500,0)-IF(AND('計算A'!CH$117=1,XF28&gt;0),300,0)-IF(AND($L28=1,'計算A'!CI$117=1,GH28=0),300,0))),1000000))</f>
        <v/>
      </c>
      <c r="RL28">
        <f>IF($B28=0,1000000,IF(INDEX('計算A'!$D$60:$EQ$104,$B28,85)*GH28=1,IF(AND($E28=2,LW28=0),1000000,IF($I28&gt;0,IF(4=$J28,IF(OR(AND(85=$I28+1,OR($K28&lt;&gt;'計算A'!$A$3,'計算A'!$A$4=0)),AND(85=$I28-1,OR(13&lt;&gt;'計算A'!$A$3,'計算A'!$A$4=0))),0,IF(13=$K28,200000,ABS(13-$K28)*100)),100000+ABS(4-$J28)*1000+130)+'計算A'!CJ$5*50+IF(AND($E28=1,LW28=0),25,0),INDEX('計算A'!CJ$110:CJ$114,$F28+1)+IF(AND($E28=1,LW28=0),1000,0)+IF($H28=1,(IF('計算A'!CI$117=1,INDEX('計算A'!CI$10:CI$54,$B28),0)+IF('計算A'!CJ$117=1,INDEX('計算A'!CK$10:CK$54,$B28),0))*500,0)-IF(AND('計算A'!CI$117=1,XG28&gt;0),300,0)-IF(AND($L28=1,'計算A'!CJ$117=1,GI28=0),300,0))),1000000))</f>
        <v/>
      </c>
      <c r="RM28">
        <f>IF($B28=0,1000000,IF(INDEX('計算A'!$D$60:$EQ$104,$B28,86)*GI28=1,IF(AND($E28=2,LX28=0),1000000,IF($I28&gt;0,IF(4=$J28,IF(OR(AND(86=$I28+1,OR($K28&lt;&gt;'計算A'!$A$3,'計算A'!$A$4=0)),AND(86=$I28-1,OR(14&lt;&gt;'計算A'!$A$3,'計算A'!$A$4=0))),0,IF(14=$K28,200000,ABS(14-$K28)*100)),100000+ABS(4-$J28)*1000+140)+'計算A'!CK$5*50+IF(AND($E28=1,LX28=0),25,0),INDEX('計算A'!CK$110:CK$114,$F28+1)+IF(AND($E28=1,LX28=0),1000,0)+IF($H28=1,(IF('計算A'!CJ$117=1,INDEX('計算A'!CJ$10:CJ$54,$B28),0)+IF('計算A'!CK$117=1,INDEX('計算A'!CL$10:CL$54,$B28),0))*500,0)-IF(AND('計算A'!CJ$117=1,XH28&gt;0),300,0)-IF(AND($L28=1,'計算A'!CK$117=1,GJ28=0),300,0))),1000000))</f>
        <v/>
      </c>
      <c r="RN28">
        <f>IF($B28=0,1000000,IF(INDEX('計算A'!$D$60:$EQ$104,$B28,87)*GJ28=1,IF(AND($E28=2,LY28=0),1000000,IF($I28&gt;0,IF(4=$J28,IF(OR(AND(87=$I28+1,OR($K28&lt;&gt;'計算A'!$A$3,'計算A'!$A$4=0)),AND(87=$I28-1,OR(15&lt;&gt;'計算A'!$A$3,'計算A'!$A$4=0))),0,IF(15=$K28,200000,ABS(15-$K28)*100)),100000+ABS(4-$J28)*1000+150)+'計算A'!CL$5*50+IF(AND($E28=1,LY28=0),25,0),INDEX('計算A'!CL$110:CL$114,$F28+1)+IF(AND($E28=1,LY28=0),1000,0)+IF($H28=1,(IF('計算A'!CK$117=1,INDEX('計算A'!CK$10:CK$54,$B28),0)+IF('計算A'!CL$117=1,INDEX('計算A'!CM$10:CM$54,$B28),0))*500,0)-IF(AND('計算A'!CK$117=1,XI28&gt;0),300,0)-IF(AND($L28=1,'計算A'!CL$117=1,GK28=0),300,0))),1000000))</f>
        <v/>
      </c>
      <c r="RO28">
        <f>IF($B28=0,1000000,IF(INDEX('計算A'!$D$60:$EQ$104,$B28,88)*GK28=1,IF(AND($E28=2,LZ28=0),1000000,IF($I28&gt;0,IF(4=$J28,IF(OR(AND(88=$I28+1,OR($K28&lt;&gt;'計算A'!$A$3,'計算A'!$A$4=0)),AND(88=$I28-1,OR(16&lt;&gt;'計算A'!$A$3,'計算A'!$A$4=0))),0,IF(16=$K28,200000,ABS(16-$K28)*100)),100000+ABS(4-$J28)*1000+160)+'計算A'!CM$5*50+IF(AND($E28=1,LZ28=0),25,0),INDEX('計算A'!CM$110:CM$114,$F28+1)+IF(AND($E28=1,LZ28=0),1000,0)+IF($H28=1,(IF('計算A'!CL$117=1,INDEX('計算A'!CL$10:CL$54,$B28),0)+IF('計算A'!CM$117=1,INDEX('計算A'!CN$10:CN$54,$B28),0))*500,0)-IF(AND('計算A'!CL$117=1,XJ28&gt;0),300,0)-IF(AND($L28=1,'計算A'!CM$117=1,GL28=0),300,0))),1000000))</f>
        <v/>
      </c>
      <c r="RP28">
        <f>IF($B28=0,1000000,IF(INDEX('計算A'!$D$60:$EQ$104,$B28,89)*GL28=1,IF(AND($E28=2,MA28=0),1000000,IF($I28&gt;0,IF(4=$J28,IF(OR(AND(89=$I28+1,OR($K28&lt;&gt;'計算A'!$A$3,'計算A'!$A$4=0)),AND(89=$I28-1,OR(17&lt;&gt;'計算A'!$A$3,'計算A'!$A$4=0))),0,IF(17=$K28,200000,ABS(17-$K28)*100)),100000+ABS(4-$J28)*1000+170)+'計算A'!CN$5*50+IF(AND($E28=1,MA28=0),25,0),INDEX('計算A'!CN$110:CN$114,$F28+1)+IF(AND($E28=1,MA28=0),1000,0)+IF($H28=1,(IF('計算A'!CM$117=1,INDEX('計算A'!CM$10:CM$54,$B28),0)+IF('計算A'!CN$117=1,INDEX('計算A'!CO$10:CO$54,$B28),0))*500,0)-IF(AND('計算A'!CM$117=1,XK28&gt;0),300,0)-IF(AND($L28=1,'計算A'!CN$117=1,GM28=0),300,0))),1000000))</f>
        <v/>
      </c>
      <c r="RQ28">
        <f>IF($B28=0,1000000,IF(INDEX('計算A'!$D$60:$EQ$104,$B28,90)*GM28=1,IF(AND($E28=2,MB28=0),1000000,IF($I28&gt;0,IF(4=$J28,IF(OR(AND(90=$I28+1,OR($K28&lt;&gt;'計算A'!$A$3,'計算A'!$A$4=0)),AND(90=$I28-1,OR(18&lt;&gt;'計算A'!$A$3,'計算A'!$A$4=0))),0,IF(18=$K28,200000,ABS(18-$K28)*100)),100000+ABS(4-$J28)*1000+180)+'計算A'!CO$5*50+IF(AND($E28=1,MB28=0),25,0),INDEX('計算A'!CO$110:CO$114,$F28+1)+IF(AND($E28=1,MB28=0),1000,0)+IF($H28=1,(IF('計算A'!CN$117=1,INDEX('計算A'!CN$10:CN$54,$B28),0)+IF('計算A'!CO$117=1,INDEX('計算A'!CP$10:CP$54,$B28),0))*500,0)-IF(AND('計算A'!CN$117=1,XL28&gt;0),300,0)-IF(AND($L28=1,'計算A'!CO$117=1,GN28=0),300,0))),1000000))</f>
        <v/>
      </c>
      <c r="RR28">
        <f>IF($B28=0,1000000,IF(INDEX('計算A'!$D$60:$EQ$104,$B28,91)*GN28=1,IF(AND($E28=2,MC28=0),1000000,IF($I28&gt;0,IF(4=$J28,IF(OR(AND(91=$I28+1,OR($K28&lt;&gt;'計算A'!$A$3,'計算A'!$A$4=0)),AND(91=$I28-1,OR(19&lt;&gt;'計算A'!$A$3,'計算A'!$A$4=0))),0,IF(19=$K28,200000,ABS(19-$K28)*100)),100000+ABS(4-$J28)*1000+190)+'計算A'!CP$5*50+IF(AND($E28=1,MC28=0),25,0),INDEX('計算A'!CP$110:CP$114,$F28+1)+IF(AND($E28=1,MC28=0),1000,0)+IF($H28=1,(IF('計算A'!CO$117=1,INDEX('計算A'!CO$10:CO$54,$B28),0)+IF('計算A'!CP$117=1,INDEX('計算A'!CQ$10:CQ$54,$B28),0))*500,0)-IF(AND('計算A'!CO$117=1,XM28&gt;0),300,0)-IF(AND($L28=1,'計算A'!CP$117=1,GO28=0),300,0))),1000000))</f>
        <v/>
      </c>
      <c r="RS28">
        <f>IF($B28=0,1000000,IF(INDEX('計算A'!$D$60:$EQ$104,$B28,92)*GO28=1,IF(AND($E28=2,MD28=0),1000000,IF($I28&gt;0,IF(4=$J28,IF(OR(AND(92=$I28+1,OR($K28&lt;&gt;'計算A'!$A$3,'計算A'!$A$4=0)),AND(92=$I28-1,OR(20&lt;&gt;'計算A'!$A$3,'計算A'!$A$4=0))),0,IF(20=$K28,200000,ABS(20-$K28)*100)),100000+ABS(4-$J28)*1000+200)+'計算A'!CQ$5*50+IF(AND($E28=1,MD28=0),25,0),INDEX('計算A'!CQ$110:CQ$114,$F28+1)+IF(AND($E28=1,MD28=0),1000,0)+IF($H28=1,(IF('計算A'!CP$117=1,INDEX('計算A'!CP$10:CP$54,$B28),0)+IF('計算A'!CQ$117=1,INDEX('計算A'!CR$10:CR$54,$B28),0))*500,0)-IF(AND('計算A'!CP$117=1,XN28&gt;0),300,0)-IF(AND($L28=1,'計算A'!CQ$117=1,GP28=0),300,0))),1000000))</f>
        <v/>
      </c>
      <c r="RT28">
        <f>IF($B28=0,1000000,IF(INDEX('計算A'!$D$60:$EQ$104,$B28,93)*GP28=1,IF(AND($E28=2,ME28=0),1000000,IF($I28&gt;0,IF(4=$J28,IF(OR(AND(93=$I28+1,OR($K28&lt;&gt;'計算A'!$A$3,'計算A'!$A$4=0)),AND(93=$I28-1,OR(21&lt;&gt;'計算A'!$A$3,'計算A'!$A$4=0))),0,IF(21=$K28,200000,ABS(21-$K28)*100)),100000+ABS(4-$J28)*1000+210)+'計算A'!CR$5*50+IF(AND($E28=1,ME28=0),25,0),INDEX('計算A'!CR$110:CR$114,$F28+1)+IF(AND($E28=1,ME28=0),1000,0)+IF($H28=1,(IF('計算A'!CQ$117=1,INDEX('計算A'!CQ$10:CQ$54,$B28),0)+IF('計算A'!CR$117=1,INDEX('計算A'!CS$10:CS$54,$B28),0))*500,0)-IF(AND('計算A'!CQ$117=1,XO28&gt;0),300,0)-IF(AND($L28=1,'計算A'!CR$117=1,GQ28=0),300,0))),1000000))</f>
        <v/>
      </c>
      <c r="RU28">
        <f>IF($B28=0,1000000,IF(INDEX('計算A'!$D$60:$EQ$104,$B28,94)*GQ28=1,IF(AND($E28=2,MF28=0),1000000,IF($I28&gt;0,IF(4=$J28,IF(OR(AND(94=$I28+1,OR($K28&lt;&gt;'計算A'!$A$3,'計算A'!$A$4=0)),AND(94=$I28-1,OR(22&lt;&gt;'計算A'!$A$3,'計算A'!$A$4=0))),0,IF(22=$K28,200000,ABS(22-$K28)*100)),100000+ABS(4-$J28)*1000+220)+'計算A'!CS$5*50+IF(AND($E28=1,MF28=0),25,0),INDEX('計算A'!CS$110:CS$114,$F28+1)+IF(AND($E28=1,MF28=0),1000,0)+IF($H28=1,(IF('計算A'!CR$117=1,INDEX('計算A'!CR$10:CR$54,$B28),0)+IF('計算A'!CS$117=1,INDEX('計算A'!CT$10:CT$54,$B28),0))*500,0)-IF(AND('計算A'!CR$117=1,XP28&gt;0),300,0)-IF(AND($L28=1,'計算A'!CS$117=1,GR28=0),300,0))),1000000))</f>
        <v/>
      </c>
      <c r="RV28">
        <f>IF($B28=0,1000000,IF(INDEX('計算A'!$D$60:$EQ$104,$B28,95)*GR28=1,IF(AND($E28=2,MG28=0),1000000,IF($I28&gt;0,IF(4=$J28,IF(OR(AND(95=$I28+1,OR($K28&lt;&gt;'計算A'!$A$3,'計算A'!$A$4=0)),AND(95=$I28-1,OR(23&lt;&gt;'計算A'!$A$3,'計算A'!$A$4=0))),0,IF(23=$K28,200000,ABS(23-$K28)*100)),100000+ABS(4-$J28)*1000+230)+'計算A'!CT$5*50+IF(AND($E28=1,MG28=0),25,0),INDEX('計算A'!CT$110:CT$114,$F28+1)+IF(AND($E28=1,MG28=0),1000,0)+IF($H28=1,(IF('計算A'!CS$117=1,INDEX('計算A'!CS$10:CS$54,$B28),0)+IF('計算A'!CT$117=1,INDEX('計算A'!CU$10:CU$54,$B28),0))*500,0)-IF(AND('計算A'!CS$117=1,XQ28&gt;0),300,0)-IF(AND($L28=1,'計算A'!CT$117=1,GS28=0),300,0))),1000000))</f>
        <v/>
      </c>
      <c r="RW28">
        <f>IF($B28=0,1000000,IF(INDEX('計算A'!$D$60:$EQ$104,$B28,96)*GS28=1,IF(AND($E28=2,MH28=0),1000000,IF($I28&gt;0,IF(4=$J28,IF(OR(AND(96=$I28+1,OR($K28&lt;&gt;'計算A'!$A$3,'計算A'!$A$4=0)),AND(96=$I28-1,OR(24&lt;&gt;'計算A'!$A$3,'計算A'!$A$4=0))),0,IF(24=$K28,200000,ABS(24-$K28)*100)),100000+ABS(4-$J28)*1000+240)+'計算A'!CU$5*50+IF(AND($E28=1,MH28=0),25,0),INDEX('計算A'!CU$110:CU$114,$F28+1)+IF(AND($E28=1,MH28=0),1000,0)+IF($H28=1,(IF('計算A'!CT$117=1,INDEX('計算A'!CT$10:CT$54,$B28),0))*500,0)-IF(AND('計算A'!CT$117=1,XR28&gt;0),300,0))),1000000))</f>
        <v/>
      </c>
      <c r="RX28">
        <f>IF($B28=0,1000000,IF(INDEX('計算A'!$D$60:$EQ$104,$B28,97)*GT28=1,IF(AND($E28=2,MI28=0),1000000,IF($I28&gt;0,IF(5=$J28,IF(OR(AND(97=$I28+1,OR($K28&lt;&gt;'計算A'!$A$3,'計算A'!$A$4=0)),AND(97=$I28-1,OR(1&lt;&gt;'計算A'!$A$3,'計算A'!$A$4=0))),0,IF(1=$K28,200000,ABS(1-$K28)*100)),100000+ABS(5-$J28)*1000+10)+'計算A'!CV$5*50+IF(AND($E28=1,MI28=0),25,0),INDEX('計算A'!CV$110:CV$114,$F28+1)+IF(AND($E28=1,MI28=0),1000,0)+IF($H28=1,(IF('計算A'!CV$117=1,INDEX('計算A'!CW$10:CW$54,$B28),0))*500,0)-IF(AND($L28=1,'計算A'!CV$117=1,GU28=0),300,0))),1000000))</f>
        <v/>
      </c>
      <c r="RY28">
        <f>IF($B28=0,1000000,IF(INDEX('計算A'!$D$60:$EQ$104,$B28,98)*GU28=1,IF(AND($E28=2,MJ28=0),1000000,IF($I28&gt;0,IF(5=$J28,IF(OR(AND(98=$I28+1,OR($K28&lt;&gt;'計算A'!$A$3,'計算A'!$A$4=0)),AND(98=$I28-1,OR(2&lt;&gt;'計算A'!$A$3,'計算A'!$A$4=0))),0,IF(2=$K28,200000,ABS(2-$K28)*100)),100000+ABS(5-$J28)*1000+20)+'計算A'!CW$5*50+IF(AND($E28=1,MJ28=0),25,0),INDEX('計算A'!CW$110:CW$114,$F28+1)+IF(AND($E28=1,MJ28=0),1000,0)+IF($H28=1,(IF('計算A'!CV$117=1,INDEX('計算A'!CV$10:CV$54,$B28),0)+IF('計算A'!CW$117=1,INDEX('計算A'!CX$10:CX$54,$B28),0))*500,0)-IF(AND('計算A'!CV$117=1,XT28&gt;0),300,0)-IF(AND($L28=1,'計算A'!CW$117=1,GV28=0),300,0))),1000000))</f>
        <v/>
      </c>
      <c r="RZ28">
        <f>IF($B28=0,1000000,IF(INDEX('計算A'!$D$60:$EQ$104,$B28,99)*GV28=1,IF(AND($E28=2,MK28=0),1000000,IF($I28&gt;0,IF(5=$J28,IF(OR(AND(99=$I28+1,OR($K28&lt;&gt;'計算A'!$A$3,'計算A'!$A$4=0)),AND(99=$I28-1,OR(3&lt;&gt;'計算A'!$A$3,'計算A'!$A$4=0))),0,IF(3=$K28,200000,ABS(3-$K28)*100)),100000+ABS(5-$J28)*1000+30)+'計算A'!CX$5*50+IF(AND($E28=1,MK28=0),25,0),INDEX('計算A'!CX$110:CX$114,$F28+1)+IF(AND($E28=1,MK28=0),1000,0)+IF($H28=1,(IF('計算A'!CW$117=1,INDEX('計算A'!CW$10:CW$54,$B28),0)+IF('計算A'!CX$117=1,INDEX('計算A'!CY$10:CY$54,$B28),0))*500,0)-IF(AND('計算A'!CW$117=1,XU28&gt;0),300,0)-IF(AND($L28=1,'計算A'!CX$117=1,GW28=0),300,0))),1000000))</f>
        <v/>
      </c>
      <c r="SA28">
        <f>IF($B28=0,1000000,IF(INDEX('計算A'!$D$60:$EQ$104,$B28,100)*GW28=1,IF(AND($E28=2,ML28=0),1000000,IF($I28&gt;0,IF(5=$J28,IF(OR(AND(100=$I28+1,OR($K28&lt;&gt;'計算A'!$A$3,'計算A'!$A$4=0)),AND(100=$I28-1,OR(4&lt;&gt;'計算A'!$A$3,'計算A'!$A$4=0))),0,IF(4=$K28,200000,ABS(4-$K28)*100)),100000+ABS(5-$J28)*1000+40)+'計算A'!CY$5*50+IF(AND($E28=1,ML28=0),25,0),INDEX('計算A'!CY$110:CY$114,$F28+1)+IF(AND($E28=1,ML28=0),1000,0)+IF($H28=1,(IF('計算A'!CX$117=1,INDEX('計算A'!CX$10:CX$54,$B28),0)+IF('計算A'!CY$117=1,INDEX('計算A'!CZ$10:CZ$54,$B28),0))*500,0)-IF(AND('計算A'!CX$117=1,XV28&gt;0),300,0)-IF(AND($L28=1,'計算A'!CY$117=1,GX28=0),300,0))),1000000))</f>
        <v/>
      </c>
      <c r="SB28">
        <f>IF($B28=0,1000000,IF(INDEX('計算A'!$D$60:$EQ$104,$B28,101)*GX28=1,IF(AND($E28=2,MM28=0),1000000,IF($I28&gt;0,IF(5=$J28,IF(OR(AND(101=$I28+1,OR($K28&lt;&gt;'計算A'!$A$3,'計算A'!$A$4=0)),AND(101=$I28-1,OR(5&lt;&gt;'計算A'!$A$3,'計算A'!$A$4=0))),0,IF(5=$K28,200000,ABS(5-$K28)*100)),100000+ABS(5-$J28)*1000+50)+'計算A'!CZ$5*50+IF(AND($E28=1,MM28=0),25,0),INDEX('計算A'!CZ$110:CZ$114,$F28+1)+IF(AND($E28=1,MM28=0),1000,0)+IF($H28=1,(IF('計算A'!CY$117=1,INDEX('計算A'!CY$10:CY$54,$B28),0)+IF('計算A'!CZ$117=1,INDEX('計算A'!DA$10:DA$54,$B28),0))*500,0)-IF(AND('計算A'!CY$117=1,XW28&gt;0),300,0)-IF(AND($L28=1,'計算A'!CZ$117=1,GY28=0),300,0))),1000000))</f>
        <v/>
      </c>
      <c r="SC28">
        <f>IF($B28=0,1000000,IF(INDEX('計算A'!$D$60:$EQ$104,$B28,102)*GY28=1,IF(AND($E28=2,MN28=0),1000000,IF($I28&gt;0,IF(5=$J28,IF(OR(AND(102=$I28+1,OR($K28&lt;&gt;'計算A'!$A$3,'計算A'!$A$4=0)),AND(102=$I28-1,OR(6&lt;&gt;'計算A'!$A$3,'計算A'!$A$4=0))),0,IF(6=$K28,200000,ABS(6-$K28)*100)),100000+ABS(5-$J28)*1000+60)+'計算A'!DA$5*50+IF(AND($E28=1,MN28=0),25,0),INDEX('計算A'!DA$110:DA$114,$F28+1)+IF(AND($E28=1,MN28=0),1000,0)+IF($H28=1,(IF('計算A'!CZ$117=1,INDEX('計算A'!CZ$10:CZ$54,$B28),0)+IF('計算A'!DA$117=1,INDEX('計算A'!DB$10:DB$54,$B28),0))*500,0)-IF(AND('計算A'!CZ$117=1,XX28&gt;0),300,0)-IF(AND($L28=1,'計算A'!DA$117=1,GZ28=0),300,0))),1000000))</f>
        <v/>
      </c>
      <c r="SD28">
        <f>IF($B28=0,1000000,IF(INDEX('計算A'!$D$60:$EQ$104,$B28,103)*GZ28=1,IF(AND($E28=2,MO28=0),1000000,IF($I28&gt;0,IF(5=$J28,IF(OR(AND(103=$I28+1,OR($K28&lt;&gt;'計算A'!$A$3,'計算A'!$A$4=0)),AND(103=$I28-1,OR(7&lt;&gt;'計算A'!$A$3,'計算A'!$A$4=0))),0,IF(7=$K28,200000,ABS(7-$K28)*100)),100000+ABS(5-$J28)*1000+70)+'計算A'!DB$5*50+IF(AND($E28=1,MO28=0),25,0),INDEX('計算A'!DB$110:DB$114,$F28+1)+IF(AND($E28=1,MO28=0),1000,0)+IF($H28=1,(IF('計算A'!DA$117=1,INDEX('計算A'!DA$10:DA$54,$B28),0)+IF('計算A'!DB$117=1,INDEX('計算A'!DC$10:DC$54,$B28),0))*500,0)-IF(AND('計算A'!DA$117=1,XY28&gt;0),300,0)-IF(AND($L28=1,'計算A'!DB$117=1,HA28=0),300,0))),1000000))</f>
        <v/>
      </c>
      <c r="SE28">
        <f>IF($B28=0,1000000,IF(INDEX('計算A'!$D$60:$EQ$104,$B28,104)*HA28=1,IF(AND($E28=2,MP28=0),1000000,IF($I28&gt;0,IF(5=$J28,IF(OR(AND(104=$I28+1,OR($K28&lt;&gt;'計算A'!$A$3,'計算A'!$A$4=0)),AND(104=$I28-1,OR(8&lt;&gt;'計算A'!$A$3,'計算A'!$A$4=0))),0,IF(8=$K28,200000,ABS(8-$K28)*100)),100000+ABS(5-$J28)*1000+80)+'計算A'!DC$5*50+IF(AND($E28=1,MP28=0),25,0),INDEX('計算A'!DC$110:DC$114,$F28+1)+IF(AND($E28=1,MP28=0),1000,0)+IF($H28=1,(IF('計算A'!DB$117=1,INDEX('計算A'!DB$10:DB$54,$B28),0)+IF('計算A'!DC$117=1,INDEX('計算A'!DD$10:DD$54,$B28),0))*500,0)-IF(AND('計算A'!DB$117=1,XZ28&gt;0),300,0)-IF(AND($L28=1,'計算A'!DC$117=1,HB28=0),300,0))),1000000))</f>
        <v/>
      </c>
      <c r="SF28">
        <f>IF($B28=0,1000000,IF(INDEX('計算A'!$D$60:$EQ$104,$B28,105)*HB28=1,IF(AND($E28=2,MQ28=0),1000000,IF($I28&gt;0,IF(5=$J28,IF(OR(AND(105=$I28+1,OR($K28&lt;&gt;'計算A'!$A$3,'計算A'!$A$4=0)),AND(105=$I28-1,OR(9&lt;&gt;'計算A'!$A$3,'計算A'!$A$4=0))),0,IF(9=$K28,200000,ABS(9-$K28)*100)),100000+ABS(5-$J28)*1000+90)+'計算A'!DD$5*50+IF(AND($E28=1,MQ28=0),25,0),INDEX('計算A'!DD$110:DD$114,$F28+1)+IF(AND($E28=1,MQ28=0),1000,0)+IF($H28=1,(IF('計算A'!DC$117=1,INDEX('計算A'!DC$10:DC$54,$B28),0)+IF('計算A'!DD$117=1,INDEX('計算A'!DE$10:DE$54,$B28),0))*500,0)-IF(AND('計算A'!DC$117=1,YA28&gt;0),300,0)-IF(AND($L28=1,'計算A'!DD$117=1,HC28=0),300,0))),1000000))</f>
        <v/>
      </c>
      <c r="SG28">
        <f>IF($B28=0,1000000,IF(INDEX('計算A'!$D$60:$EQ$104,$B28,106)*HC28=1,IF(AND($E28=2,MR28=0),1000000,IF($I28&gt;0,IF(5=$J28,IF(OR(AND(106=$I28+1,OR($K28&lt;&gt;'計算A'!$A$3,'計算A'!$A$4=0)),AND(106=$I28-1,OR(10&lt;&gt;'計算A'!$A$3,'計算A'!$A$4=0))),0,IF(10=$K28,200000,ABS(10-$K28)*100)),100000+ABS(5-$J28)*1000+100)+'計算A'!DE$5*50+IF(AND($E28=1,MR28=0),25,0),INDEX('計算A'!DE$110:DE$114,$F28+1)+IF(AND($E28=1,MR28=0),1000,0)+IF($H28=1,(IF('計算A'!DD$117=1,INDEX('計算A'!DD$10:DD$54,$B28),0)+IF('計算A'!DE$117=1,INDEX('計算A'!DF$10:DF$54,$B28),0))*500,0)-IF(AND('計算A'!DD$117=1,YB28&gt;0),300,0)-IF(AND($L28=1,'計算A'!DE$117=1,HD28=0),300,0))),1000000))</f>
        <v/>
      </c>
      <c r="SH28">
        <f>IF($B28=0,1000000,IF(INDEX('計算A'!$D$60:$EQ$104,$B28,107)*HD28=1,IF(AND($E28=2,MS28=0),1000000,IF($I28&gt;0,IF(5=$J28,IF(OR(AND(107=$I28+1,OR($K28&lt;&gt;'計算A'!$A$3,'計算A'!$A$4=0)),AND(107=$I28-1,OR(11&lt;&gt;'計算A'!$A$3,'計算A'!$A$4=0))),0,IF(11=$K28,200000,ABS(11-$K28)*100)),100000+ABS(5-$J28)*1000+110)+'計算A'!DF$5*50+IF(AND($E28=1,MS28=0),25,0),INDEX('計算A'!DF$110:DF$114,$F28+1)+IF(AND($E28=1,MS28=0),1000,0)+IF($H28=1,(IF('計算A'!DE$117=1,INDEX('計算A'!DE$10:DE$54,$B28),0)+IF('計算A'!DF$117=1,INDEX('計算A'!DG$10:DG$54,$B28),0))*500,0)-IF(AND('計算A'!DE$117=1,YC28&gt;0),300,0)-IF(AND($L28=1,'計算A'!DF$117=1,HE28=0),300,0))),1000000))</f>
        <v/>
      </c>
      <c r="SI28">
        <f>IF($B28=0,1000000,IF(INDEX('計算A'!$D$60:$EQ$104,$B28,108)*HE28=1,IF(AND($E28=2,MT28=0),1000000,IF($I28&gt;0,IF(5=$J28,IF(OR(AND(108=$I28+1,OR($K28&lt;&gt;'計算A'!$A$3,'計算A'!$A$4=0)),AND(108=$I28-1,OR(12&lt;&gt;'計算A'!$A$3,'計算A'!$A$4=0))),0,IF(12=$K28,200000,ABS(12-$K28)*100)),100000+ABS(5-$J28)*1000+120)+'計算A'!DG$5*50+IF(AND($E28=1,MT28=0),25,0),INDEX('計算A'!DG$110:DG$114,$F28+1)+IF(AND($E28=1,MT28=0),1000,0)+IF($H28=1,(IF('計算A'!DF$117=1,INDEX('計算A'!DF$10:DF$54,$B28),0)+IF('計算A'!DG$117=1,INDEX('計算A'!DH$10:DH$54,$B28),0))*500,0)-IF(AND('計算A'!DF$117=1,YD28&gt;0),300,0)-IF(AND($L28=1,'計算A'!DG$117=1,HF28=0),300,0))),1000000))</f>
        <v/>
      </c>
      <c r="SJ28">
        <f>IF($B28=0,1000000,IF(INDEX('計算A'!$D$60:$EQ$104,$B28,109)*HF28=1,IF(AND($E28=2,MU28=0),1000000,IF($I28&gt;0,IF(5=$J28,IF(OR(AND(109=$I28+1,OR($K28&lt;&gt;'計算A'!$A$3,'計算A'!$A$4=0)),AND(109=$I28-1,OR(13&lt;&gt;'計算A'!$A$3,'計算A'!$A$4=0))),0,IF(13=$K28,200000,ABS(13-$K28)*100)),100000+ABS(5-$J28)*1000+130)+'計算A'!DH$5*50+IF(AND($E28=1,MU28=0),25,0),INDEX('計算A'!DH$110:DH$114,$F28+1)+IF(AND($E28=1,MU28=0),1000,0)+IF($H28=1,(IF('計算A'!DG$117=1,INDEX('計算A'!DG$10:DG$54,$B28),0)+IF('計算A'!DH$117=1,INDEX('計算A'!DI$10:DI$54,$B28),0))*500,0)-IF(AND('計算A'!DG$117=1,YE28&gt;0),300,0)-IF(AND($L28=1,'計算A'!DH$117=1,HG28=0),300,0))),1000000))</f>
        <v/>
      </c>
      <c r="SK28">
        <f>IF($B28=0,1000000,IF(INDEX('計算A'!$D$60:$EQ$104,$B28,110)*HG28=1,IF(AND($E28=2,MV28=0),1000000,IF($I28&gt;0,IF(5=$J28,IF(OR(AND(110=$I28+1,OR($K28&lt;&gt;'計算A'!$A$3,'計算A'!$A$4=0)),AND(110=$I28-1,OR(14&lt;&gt;'計算A'!$A$3,'計算A'!$A$4=0))),0,IF(14=$K28,200000,ABS(14-$K28)*100)),100000+ABS(5-$J28)*1000+140)+'計算A'!DI$5*50+IF(AND($E28=1,MV28=0),25,0),INDEX('計算A'!DI$110:DI$114,$F28+1)+IF(AND($E28=1,MV28=0),1000,0)+IF($H28=1,(IF('計算A'!DH$117=1,INDEX('計算A'!DH$10:DH$54,$B28),0)+IF('計算A'!DI$117=1,INDEX('計算A'!DJ$10:DJ$54,$B28),0))*500,0)-IF(AND('計算A'!DH$117=1,YF28&gt;0),300,0)-IF(AND($L28=1,'計算A'!DI$117=1,HH28=0),300,0))),1000000))</f>
        <v/>
      </c>
      <c r="SL28">
        <f>IF($B28=0,1000000,IF(INDEX('計算A'!$D$60:$EQ$104,$B28,111)*HH28=1,IF(AND($E28=2,MW28=0),1000000,IF($I28&gt;0,IF(5=$J28,IF(OR(AND(111=$I28+1,OR($K28&lt;&gt;'計算A'!$A$3,'計算A'!$A$4=0)),AND(111=$I28-1,OR(15&lt;&gt;'計算A'!$A$3,'計算A'!$A$4=0))),0,IF(15=$K28,200000,ABS(15-$K28)*100)),100000+ABS(5-$J28)*1000+150)+'計算A'!DJ$5*50+IF(AND($E28=1,MW28=0),25,0),INDEX('計算A'!DJ$110:DJ$114,$F28+1)+IF(AND($E28=1,MW28=0),1000,0)+IF($H28=1,(IF('計算A'!DI$117=1,INDEX('計算A'!DI$10:DI$54,$B28),0)+IF('計算A'!DJ$117=1,INDEX('計算A'!DK$10:DK$54,$B28),0))*500,0)-IF(AND('計算A'!DI$117=1,YG28&gt;0),300,0)-IF(AND($L28=1,'計算A'!DJ$117=1,HI28=0),300,0))),1000000))</f>
        <v/>
      </c>
      <c r="SM28">
        <f>IF($B28=0,1000000,IF(INDEX('計算A'!$D$60:$EQ$104,$B28,112)*HI28=1,IF(AND($E28=2,MX28=0),1000000,IF($I28&gt;0,IF(5=$J28,IF(OR(AND(112=$I28+1,OR($K28&lt;&gt;'計算A'!$A$3,'計算A'!$A$4=0)),AND(112=$I28-1,OR(16&lt;&gt;'計算A'!$A$3,'計算A'!$A$4=0))),0,IF(16=$K28,200000,ABS(16-$K28)*100)),100000+ABS(5-$J28)*1000+160)+'計算A'!DK$5*50+IF(AND($E28=1,MX28=0),25,0),INDEX('計算A'!DK$110:DK$114,$F28+1)+IF(AND($E28=1,MX28=0),1000,0)+IF($H28=1,(IF('計算A'!DJ$117=1,INDEX('計算A'!DJ$10:DJ$54,$B28),0)+IF('計算A'!DK$117=1,INDEX('計算A'!DL$10:DL$54,$B28),0))*500,0)-IF(AND('計算A'!DJ$117=1,YH28&gt;0),300,0)-IF(AND($L28=1,'計算A'!DK$117=1,HJ28=0),300,0))),1000000))</f>
        <v/>
      </c>
      <c r="SN28">
        <f>IF($B28=0,1000000,IF(INDEX('計算A'!$D$60:$EQ$104,$B28,113)*HJ28=1,IF(AND($E28=2,MY28=0),1000000,IF($I28&gt;0,IF(5=$J28,IF(OR(AND(113=$I28+1,OR($K28&lt;&gt;'計算A'!$A$3,'計算A'!$A$4=0)),AND(113=$I28-1,OR(17&lt;&gt;'計算A'!$A$3,'計算A'!$A$4=0))),0,IF(17=$K28,200000,ABS(17-$K28)*100)),100000+ABS(5-$J28)*1000+170)+'計算A'!DL$5*50+IF(AND($E28=1,MY28=0),25,0),INDEX('計算A'!DL$110:DL$114,$F28+1)+IF(AND($E28=1,MY28=0),1000,0)+IF($H28=1,(IF('計算A'!DK$117=1,INDEX('計算A'!DK$10:DK$54,$B28),0)+IF('計算A'!DL$117=1,INDEX('計算A'!DM$10:DM$54,$B28),0))*500,0)-IF(AND('計算A'!DK$117=1,YI28&gt;0),300,0)-IF(AND($L28=1,'計算A'!DL$117=1,HK28=0),300,0))),1000000))</f>
        <v/>
      </c>
      <c r="SO28">
        <f>IF($B28=0,1000000,IF(INDEX('計算A'!$D$60:$EQ$104,$B28,114)*HK28=1,IF(AND($E28=2,MZ28=0),1000000,IF($I28&gt;0,IF(5=$J28,IF(OR(AND(114=$I28+1,OR($K28&lt;&gt;'計算A'!$A$3,'計算A'!$A$4=0)),AND(114=$I28-1,OR(18&lt;&gt;'計算A'!$A$3,'計算A'!$A$4=0))),0,IF(18=$K28,200000,ABS(18-$K28)*100)),100000+ABS(5-$J28)*1000+180)+'計算A'!DM$5*50+IF(AND($E28=1,MZ28=0),25,0),INDEX('計算A'!DM$110:DM$114,$F28+1)+IF(AND($E28=1,MZ28=0),1000,0)+IF($H28=1,(IF('計算A'!DL$117=1,INDEX('計算A'!DL$10:DL$54,$B28),0)+IF('計算A'!DM$117=1,INDEX('計算A'!DN$10:DN$54,$B28),0))*500,0)-IF(AND('計算A'!DL$117=1,YJ28&gt;0),300,0)-IF(AND($L28=1,'計算A'!DM$117=1,HL28=0),300,0))),1000000))</f>
        <v/>
      </c>
      <c r="SP28">
        <f>IF($B28=0,1000000,IF(INDEX('計算A'!$D$60:$EQ$104,$B28,115)*HL28=1,IF(AND($E28=2,NA28=0),1000000,IF($I28&gt;0,IF(5=$J28,IF(OR(AND(115=$I28+1,OR($K28&lt;&gt;'計算A'!$A$3,'計算A'!$A$4=0)),AND(115=$I28-1,OR(19&lt;&gt;'計算A'!$A$3,'計算A'!$A$4=0))),0,IF(19=$K28,200000,ABS(19-$K28)*100)),100000+ABS(5-$J28)*1000+190)+'計算A'!DN$5*50+IF(AND($E28=1,NA28=0),25,0),INDEX('計算A'!DN$110:DN$114,$F28+1)+IF(AND($E28=1,NA28=0),1000,0)+IF($H28=1,(IF('計算A'!DM$117=1,INDEX('計算A'!DM$10:DM$54,$B28),0)+IF('計算A'!DN$117=1,INDEX('計算A'!DO$10:DO$54,$B28),0))*500,0)-IF(AND('計算A'!DM$117=1,YK28&gt;0),300,0)-IF(AND($L28=1,'計算A'!DN$117=1,HM28=0),300,0))),1000000))</f>
        <v/>
      </c>
      <c r="SQ28">
        <f>IF($B28=0,1000000,IF(INDEX('計算A'!$D$60:$EQ$104,$B28,116)*HM28=1,IF(AND($E28=2,NB28=0),1000000,IF($I28&gt;0,IF(5=$J28,IF(OR(AND(116=$I28+1,OR($K28&lt;&gt;'計算A'!$A$3,'計算A'!$A$4=0)),AND(116=$I28-1,OR(20&lt;&gt;'計算A'!$A$3,'計算A'!$A$4=0))),0,IF(20=$K28,200000,ABS(20-$K28)*100)),100000+ABS(5-$J28)*1000+200)+'計算A'!DO$5*50+IF(AND($E28=1,NB28=0),25,0),INDEX('計算A'!DO$110:DO$114,$F28+1)+IF(AND($E28=1,NB28=0),1000,0)+IF($H28=1,(IF('計算A'!DN$117=1,INDEX('計算A'!DN$10:DN$54,$B28),0)+IF('計算A'!DO$117=1,INDEX('計算A'!DP$10:DP$54,$B28),0))*500,0)-IF(AND('計算A'!DN$117=1,YL28&gt;0),300,0)-IF(AND($L28=1,'計算A'!DO$117=1,HN28=0),300,0))),1000000))</f>
        <v/>
      </c>
      <c r="SR28">
        <f>IF($B28=0,1000000,IF(INDEX('計算A'!$D$60:$EQ$104,$B28,117)*HN28=1,IF(AND($E28=2,NC28=0),1000000,IF($I28&gt;0,IF(5=$J28,IF(OR(AND(117=$I28+1,OR($K28&lt;&gt;'計算A'!$A$3,'計算A'!$A$4=0)),AND(117=$I28-1,OR(21&lt;&gt;'計算A'!$A$3,'計算A'!$A$4=0))),0,IF(21=$K28,200000,ABS(21-$K28)*100)),100000+ABS(5-$J28)*1000+210)+'計算A'!DP$5*50+IF(AND($E28=1,NC28=0),25,0),INDEX('計算A'!DP$110:DP$114,$F28+1)+IF(AND($E28=1,NC28=0),1000,0)+IF($H28=1,(IF('計算A'!DO$117=1,INDEX('計算A'!DO$10:DO$54,$B28),0)+IF('計算A'!DP$117=1,INDEX('計算A'!DQ$10:DQ$54,$B28),0))*500,0)-IF(AND('計算A'!DO$117=1,YM28&gt;0),300,0)-IF(AND($L28=1,'計算A'!DP$117=1,HO28=0),300,0))),1000000))</f>
        <v/>
      </c>
      <c r="SS28">
        <f>IF($B28=0,1000000,IF(INDEX('計算A'!$D$60:$EQ$104,$B28,118)*HO28=1,IF(AND($E28=2,ND28=0),1000000,IF($I28&gt;0,IF(5=$J28,IF(OR(AND(118=$I28+1,OR($K28&lt;&gt;'計算A'!$A$3,'計算A'!$A$4=0)),AND(118=$I28-1,OR(22&lt;&gt;'計算A'!$A$3,'計算A'!$A$4=0))),0,IF(22=$K28,200000,ABS(22-$K28)*100)),100000+ABS(5-$J28)*1000+220)+'計算A'!DQ$5*50+IF(AND($E28=1,ND28=0),25,0),INDEX('計算A'!DQ$110:DQ$114,$F28+1)+IF(AND($E28=1,ND28=0),1000,0)+IF($H28=1,(IF('計算A'!DP$117=1,INDEX('計算A'!DP$10:DP$54,$B28),0)+IF('計算A'!DQ$117=1,INDEX('計算A'!DR$10:DR$54,$B28),0))*500,0)-IF(AND('計算A'!DP$117=1,YN28&gt;0),300,0)-IF(AND($L28=1,'計算A'!DQ$117=1,HP28=0),300,0))),1000000))</f>
        <v/>
      </c>
      <c r="ST28">
        <f>IF($B28=0,1000000,IF(INDEX('計算A'!$D$60:$EQ$104,$B28,119)*HP28=1,IF(AND($E28=2,NE28=0),1000000,IF($I28&gt;0,IF(5=$J28,IF(OR(AND(119=$I28+1,OR($K28&lt;&gt;'計算A'!$A$3,'計算A'!$A$4=0)),AND(119=$I28-1,OR(23&lt;&gt;'計算A'!$A$3,'計算A'!$A$4=0))),0,IF(23=$K28,200000,ABS(23-$K28)*100)),100000+ABS(5-$J28)*1000+230)+'計算A'!DR$5*50+IF(AND($E28=1,NE28=0),25,0),INDEX('計算A'!DR$110:DR$114,$F28+1)+IF(AND($E28=1,NE28=0),1000,0)+IF($H28=1,(IF('計算A'!DQ$117=1,INDEX('計算A'!DQ$10:DQ$54,$B28),0)+IF('計算A'!DR$117=1,INDEX('計算A'!DS$10:DS$54,$B28),0))*500,0)-IF(AND('計算A'!DQ$117=1,YO28&gt;0),300,0)-IF(AND($L28=1,'計算A'!DR$117=1,HQ28=0),300,0))),1000000))</f>
        <v/>
      </c>
      <c r="SU28">
        <f>IF($B28=0,1000000,IF(INDEX('計算A'!$D$60:$EQ$104,$B28,120)*HQ28=1,IF(AND($E28=2,NF28=0),1000000,IF($I28&gt;0,IF(5=$J28,IF(OR(AND(120=$I28+1,OR($K28&lt;&gt;'計算A'!$A$3,'計算A'!$A$4=0)),AND(120=$I28-1,OR(24&lt;&gt;'計算A'!$A$3,'計算A'!$A$4=0))),0,IF(24=$K28,200000,ABS(24-$K28)*100)),100000+ABS(5-$J28)*1000+240)+'計算A'!DS$5*50+IF(AND($E28=1,NF28=0),25,0),INDEX('計算A'!DS$110:DS$114,$F28+1)+IF(AND($E28=1,NF28=0),1000,0)+IF($H28=1,(IF('計算A'!DR$117=1,INDEX('計算A'!DR$10:DR$54,$B28),0))*500,0)-IF(AND('計算A'!DR$117=1,YP28&gt;0),300,0))),1000000))</f>
        <v/>
      </c>
      <c r="SV28">
        <f>IF($B28=0,1000000,IF(INDEX('計算A'!$D$60:$EQ$104,$B28,121)*HR28=1,IF(AND($E28=2,NG28=0),1000000,IF($I28&gt;0,IF(6=$J28,IF(OR(AND(121=$I28+1,OR($K28&lt;&gt;'計算A'!$A$3,'計算A'!$A$4=0)),AND(121=$I28-1,OR(1&lt;&gt;'計算A'!$A$3,'計算A'!$A$4=0))),0,IF(1=$K28,200000,ABS(1-$K28)*100)),100000+ABS(6-$J28)*1000+10)+'計算A'!DT$5*50+IF(AND($E28=1,NG28=0),25,0),INDEX('計算A'!DT$110:DT$114,$F28+1)+IF(AND($E28=1,NG28=0),1000,0)+IF($H28=1,(IF('計算A'!DT$117=1,INDEX('計算A'!DU$10:DU$54,$B28),0))*500,0)-IF(AND($L28=1,'計算A'!DT$117=1,HS28=0),300,0))),1000000))</f>
        <v/>
      </c>
      <c r="SW28">
        <f>IF($B28=0,1000000,IF(INDEX('計算A'!$D$60:$EQ$104,$B28,122)*HS28=1,IF(AND($E28=2,NH28=0),1000000,IF($I28&gt;0,IF(6=$J28,IF(OR(AND(122=$I28+1,OR($K28&lt;&gt;'計算A'!$A$3,'計算A'!$A$4=0)),AND(122=$I28-1,OR(2&lt;&gt;'計算A'!$A$3,'計算A'!$A$4=0))),0,IF(2=$K28,200000,ABS(2-$K28)*100)),100000+ABS(6-$J28)*1000+20)+'計算A'!DU$5*50+IF(AND($E28=1,NH28=0),25,0),INDEX('計算A'!DU$110:DU$114,$F28+1)+IF(AND($E28=1,NH28=0),1000,0)+IF($H28=1,(IF('計算A'!DT$117=1,INDEX('計算A'!DT$10:DT$54,$B28),0)+IF('計算A'!DU$117=1,INDEX('計算A'!DV$10:DV$54,$B28),0))*500,0)-IF(AND('計算A'!DT$117=1,YR28&gt;0),300,0)-IF(AND($L28=1,'計算A'!DU$117=1,HT28=0),300,0))),1000000))</f>
        <v/>
      </c>
      <c r="SX28">
        <f>IF($B28=0,1000000,IF(INDEX('計算A'!$D$60:$EQ$104,$B28,123)*HT28=1,IF(AND($E28=2,NI28=0),1000000,IF($I28&gt;0,IF(6=$J28,IF(OR(AND(123=$I28+1,OR($K28&lt;&gt;'計算A'!$A$3,'計算A'!$A$4=0)),AND(123=$I28-1,OR(3&lt;&gt;'計算A'!$A$3,'計算A'!$A$4=0))),0,IF(3=$K28,200000,ABS(3-$K28)*100)),100000+ABS(6-$J28)*1000+30)+'計算A'!DV$5*50+IF(AND($E28=1,NI28=0),25,0),INDEX('計算A'!DV$110:DV$114,$F28+1)+IF(AND($E28=1,NI28=0),1000,0)+IF($H28=1,(IF('計算A'!DU$117=1,INDEX('計算A'!DU$10:DU$54,$B28),0)+IF('計算A'!DV$117=1,INDEX('計算A'!DW$10:DW$54,$B28),0))*500,0)-IF(AND('計算A'!DU$117=1,YS28&gt;0),300,0)-IF(AND($L28=1,'計算A'!DV$117=1,HU28=0),300,0))),1000000))</f>
        <v/>
      </c>
      <c r="SY28">
        <f>IF($B28=0,1000000,IF(INDEX('計算A'!$D$60:$EQ$104,$B28,124)*HU28=1,IF(AND($E28=2,NJ28=0),1000000,IF($I28&gt;0,IF(6=$J28,IF(OR(AND(124=$I28+1,OR($K28&lt;&gt;'計算A'!$A$3,'計算A'!$A$4=0)),AND(124=$I28-1,OR(4&lt;&gt;'計算A'!$A$3,'計算A'!$A$4=0))),0,IF(4=$K28,200000,ABS(4-$K28)*100)),100000+ABS(6-$J28)*1000+40)+'計算A'!DW$5*50+IF(AND($E28=1,NJ28=0),25,0),INDEX('計算A'!DW$110:DW$114,$F28+1)+IF(AND($E28=1,NJ28=0),1000,0)+IF($H28=1,(IF('計算A'!DV$117=1,INDEX('計算A'!DV$10:DV$54,$B28),0)+IF('計算A'!DW$117=1,INDEX('計算A'!DX$10:DX$54,$B28),0))*500,0)-IF(AND('計算A'!DV$117=1,YT28&gt;0),300,0)-IF(AND($L28=1,'計算A'!DW$117=1,HV28=0),300,0))),1000000))</f>
        <v/>
      </c>
      <c r="SZ28">
        <f>IF($B28=0,1000000,IF(INDEX('計算A'!$D$60:$EQ$104,$B28,125)*HV28=1,IF(AND($E28=2,NK28=0),1000000,IF($I28&gt;0,IF(6=$J28,IF(OR(AND(125=$I28+1,OR($K28&lt;&gt;'計算A'!$A$3,'計算A'!$A$4=0)),AND(125=$I28-1,OR(5&lt;&gt;'計算A'!$A$3,'計算A'!$A$4=0))),0,IF(5=$K28,200000,ABS(5-$K28)*100)),100000+ABS(6-$J28)*1000+50)+'計算A'!DX$5*50+IF(AND($E28=1,NK28=0),25,0),INDEX('計算A'!DX$110:DX$114,$F28+1)+IF(AND($E28=1,NK28=0),1000,0)+IF($H28=1,(IF('計算A'!DW$117=1,INDEX('計算A'!DW$10:DW$54,$B28),0)+IF('計算A'!DX$117=1,INDEX('計算A'!DY$10:DY$54,$B28),0))*500,0)-IF(AND('計算A'!DW$117=1,YU28&gt;0),300,0)-IF(AND($L28=1,'計算A'!DX$117=1,HW28=0),300,0))),1000000))</f>
        <v/>
      </c>
      <c r="TA28">
        <f>IF($B28=0,1000000,IF(INDEX('計算A'!$D$60:$EQ$104,$B28,126)*HW28=1,IF(AND($E28=2,NL28=0),1000000,IF($I28&gt;0,IF(6=$J28,IF(OR(AND(126=$I28+1,OR($K28&lt;&gt;'計算A'!$A$3,'計算A'!$A$4=0)),AND(126=$I28-1,OR(6&lt;&gt;'計算A'!$A$3,'計算A'!$A$4=0))),0,IF(6=$K28,200000,ABS(6-$K28)*100)),100000+ABS(6-$J28)*1000+60)+'計算A'!DY$5*50+IF(AND($E28=1,NL28=0),25,0),INDEX('計算A'!DY$110:DY$114,$F28+1)+IF(AND($E28=1,NL28=0),1000,0)+IF($H28=1,(IF('計算A'!DX$117=1,INDEX('計算A'!DX$10:DX$54,$B28),0)+IF('計算A'!DY$117=1,INDEX('計算A'!DZ$10:DZ$54,$B28),0))*500,0)-IF(AND('計算A'!DX$117=1,YV28&gt;0),300,0)-IF(AND($L28=1,'計算A'!DY$117=1,HX28=0),300,0))),1000000))</f>
        <v/>
      </c>
      <c r="TB28">
        <f>IF($B28=0,1000000,IF(INDEX('計算A'!$D$60:$EQ$104,$B28,127)*HX28=1,IF(AND($E28=2,NM28=0),1000000,IF($I28&gt;0,IF(6=$J28,IF(OR(AND(127=$I28+1,OR($K28&lt;&gt;'計算A'!$A$3,'計算A'!$A$4=0)),AND(127=$I28-1,OR(7&lt;&gt;'計算A'!$A$3,'計算A'!$A$4=0))),0,IF(7=$K28,200000,ABS(7-$K28)*100)),100000+ABS(6-$J28)*1000+70)+'計算A'!DZ$5*50+IF(AND($E28=1,NM28=0),25,0),INDEX('計算A'!DZ$110:DZ$114,$F28+1)+IF(AND($E28=1,NM28=0),1000,0)+IF($H28=1,(IF('計算A'!DY$117=1,INDEX('計算A'!DY$10:DY$54,$B28),0)+IF('計算A'!DZ$117=1,INDEX('計算A'!EA$10:EA$54,$B28),0))*500,0)-IF(AND('計算A'!DY$117=1,YW28&gt;0),300,0)-IF(AND($L28=1,'計算A'!DZ$117=1,HY28=0),300,0))),1000000))</f>
        <v/>
      </c>
      <c r="TC28">
        <f>IF($B28=0,1000000,IF(INDEX('計算A'!$D$60:$EQ$104,$B28,128)*HY28=1,IF(AND($E28=2,NN28=0),1000000,IF($I28&gt;0,IF(6=$J28,IF(OR(AND(128=$I28+1,OR($K28&lt;&gt;'計算A'!$A$3,'計算A'!$A$4=0)),AND(128=$I28-1,OR(8&lt;&gt;'計算A'!$A$3,'計算A'!$A$4=0))),0,IF(8=$K28,200000,ABS(8-$K28)*100)),100000+ABS(6-$J28)*1000+80)+'計算A'!EA$5*50+IF(AND($E28=1,NN28=0),25,0),INDEX('計算A'!EA$110:EA$114,$F28+1)+IF(AND($E28=1,NN28=0),1000,0)+IF($H28=1,(IF('計算A'!DZ$117=1,INDEX('計算A'!DZ$10:DZ$54,$B28),0)+IF('計算A'!EA$117=1,INDEX('計算A'!EB$10:EB$54,$B28),0))*500,0)-IF(AND('計算A'!DZ$117=1,YX28&gt;0),300,0)-IF(AND($L28=1,'計算A'!EA$117=1,HZ28=0),300,0))),1000000))</f>
        <v/>
      </c>
      <c r="TD28">
        <f>IF($B28=0,1000000,IF(INDEX('計算A'!$D$60:$EQ$104,$B28,129)*HZ28=1,IF(AND($E28=2,NO28=0),1000000,IF($I28&gt;0,IF(6=$J28,IF(OR(AND(129=$I28+1,OR($K28&lt;&gt;'計算A'!$A$3,'計算A'!$A$4=0)),AND(129=$I28-1,OR(9&lt;&gt;'計算A'!$A$3,'計算A'!$A$4=0))),0,IF(9=$K28,200000,ABS(9-$K28)*100)),100000+ABS(6-$J28)*1000+90)+'計算A'!EB$5*50+IF(AND($E28=1,NO28=0),25,0),INDEX('計算A'!EB$110:EB$114,$F28+1)+IF(AND($E28=1,NO28=0),1000,0)+IF($H28=1,(IF('計算A'!EA$117=1,INDEX('計算A'!EA$10:EA$54,$B28),0)+IF('計算A'!EB$117=1,INDEX('計算A'!EC$10:EC$54,$B28),0))*500,0)-IF(AND('計算A'!EA$117=1,YY28&gt;0),300,0)-IF(AND($L28=1,'計算A'!EB$117=1,IA28=0),300,0))),1000000))</f>
        <v/>
      </c>
      <c r="TE28">
        <f>IF($B28=0,1000000,IF(INDEX('計算A'!$D$60:$EQ$104,$B28,130)*IA28=1,IF(AND($E28=2,NP28=0),1000000,IF($I28&gt;0,IF(6=$J28,IF(OR(AND(130=$I28+1,OR($K28&lt;&gt;'計算A'!$A$3,'計算A'!$A$4=0)),AND(130=$I28-1,OR(10&lt;&gt;'計算A'!$A$3,'計算A'!$A$4=0))),0,IF(10=$K28,200000,ABS(10-$K28)*100)),100000+ABS(6-$J28)*1000+100)+'計算A'!EC$5*50+IF(AND($E28=1,NP28=0),25,0),INDEX('計算A'!EC$110:EC$114,$F28+1)+IF(AND($E28=1,NP28=0),1000,0)+IF($H28=1,(IF('計算A'!EB$117=1,INDEX('計算A'!EB$10:EB$54,$B28),0)+IF('計算A'!EC$117=1,INDEX('計算A'!ED$10:ED$54,$B28),0))*500,0)-IF(AND('計算A'!EB$117=1,YZ28&gt;0),300,0)-IF(AND($L28=1,'計算A'!EC$117=1,IB28=0),300,0))),1000000))</f>
        <v/>
      </c>
      <c r="TF28">
        <f>IF($B28=0,1000000,IF(INDEX('計算A'!$D$60:$EQ$104,$B28,131)*IB28=1,IF(AND($E28=2,NQ28=0),1000000,IF($I28&gt;0,IF(6=$J28,IF(OR(AND(131=$I28+1,OR($K28&lt;&gt;'計算A'!$A$3,'計算A'!$A$4=0)),AND(131=$I28-1,OR(11&lt;&gt;'計算A'!$A$3,'計算A'!$A$4=0))),0,IF(11=$K28,200000,ABS(11-$K28)*100)),100000+ABS(6-$J28)*1000+110)+'計算A'!ED$5*50+IF(AND($E28=1,NQ28=0),25,0),INDEX('計算A'!ED$110:ED$114,$F28+1)+IF(AND($E28=1,NQ28=0),1000,0)+IF($H28=1,(IF('計算A'!EC$117=1,INDEX('計算A'!EC$10:EC$54,$B28),0)+IF('計算A'!ED$117=1,INDEX('計算A'!EE$10:EE$54,$B28),0))*500,0)-IF(AND('計算A'!EC$117=1,ZA28&gt;0),300,0)-IF(AND($L28=1,'計算A'!ED$117=1,IC28=0),300,0))),1000000))</f>
        <v/>
      </c>
      <c r="TG28">
        <f>IF($B28=0,1000000,IF(INDEX('計算A'!$D$60:$EQ$104,$B28,132)*IC28=1,IF(AND($E28=2,NR28=0),1000000,IF($I28&gt;0,IF(6=$J28,IF(OR(AND(132=$I28+1,OR($K28&lt;&gt;'計算A'!$A$3,'計算A'!$A$4=0)),AND(132=$I28-1,OR(12&lt;&gt;'計算A'!$A$3,'計算A'!$A$4=0))),0,IF(12=$K28,200000,ABS(12-$K28)*100)),100000+ABS(6-$J28)*1000+120)+'計算A'!EE$5*50+IF(AND($E28=1,NR28=0),25,0),INDEX('計算A'!EE$110:EE$114,$F28+1)+IF(AND($E28=1,NR28=0),1000,0)+IF($H28=1,(IF('計算A'!ED$117=1,INDEX('計算A'!ED$10:ED$54,$B28),0)+IF('計算A'!EE$117=1,INDEX('計算A'!EF$10:EF$54,$B28),0))*500,0)-IF(AND('計算A'!ED$117=1,ZB28&gt;0),300,0)-IF(AND($L28=1,'計算A'!EE$117=1,ID28=0),300,0))),1000000))</f>
        <v/>
      </c>
      <c r="TH28">
        <f>IF($B28=0,1000000,IF(INDEX('計算A'!$D$60:$EQ$104,$B28,133)*ID28=1,IF(AND($E28=2,NS28=0),1000000,IF($I28&gt;0,IF(6=$J28,IF(OR(AND(133=$I28+1,OR($K28&lt;&gt;'計算A'!$A$3,'計算A'!$A$4=0)),AND(133=$I28-1,OR(13&lt;&gt;'計算A'!$A$3,'計算A'!$A$4=0))),0,IF(13=$K28,200000,ABS(13-$K28)*100)),100000+ABS(6-$J28)*1000+130)+'計算A'!EF$5*50+IF(AND($E28=1,NS28=0),25,0),INDEX('計算A'!EF$110:EF$114,$F28+1)+IF(AND($E28=1,NS28=0),1000,0)+IF($H28=1,(IF('計算A'!EE$117=1,INDEX('計算A'!EE$10:EE$54,$B28),0)+IF('計算A'!EF$117=1,INDEX('計算A'!EG$10:EG$54,$B28),0))*500,0)-IF(AND('計算A'!EE$117=1,ZC28&gt;0),300,0)-IF(AND($L28=1,'計算A'!EF$117=1,IE28=0),300,0))),1000000))</f>
        <v/>
      </c>
      <c r="TI28">
        <f>IF($B28=0,1000000,IF(INDEX('計算A'!$D$60:$EQ$104,$B28,134)*IE28=1,IF(AND($E28=2,NT28=0),1000000,IF($I28&gt;0,IF(6=$J28,IF(OR(AND(134=$I28+1,OR($K28&lt;&gt;'計算A'!$A$3,'計算A'!$A$4=0)),AND(134=$I28-1,OR(14&lt;&gt;'計算A'!$A$3,'計算A'!$A$4=0))),0,IF(14=$K28,200000,ABS(14-$K28)*100)),100000+ABS(6-$J28)*1000+140)+'計算A'!EG$5*50+IF(AND($E28=1,NT28=0),25,0),INDEX('計算A'!EG$110:EG$114,$F28+1)+IF(AND($E28=1,NT28=0),1000,0)+IF($H28=1,(IF('計算A'!EF$117=1,INDEX('計算A'!EF$10:EF$54,$B28),0)+IF('計算A'!EG$117=1,INDEX('計算A'!EH$10:EH$54,$B28),0))*500,0)-IF(AND('計算A'!EF$117=1,ZD28&gt;0),300,0)-IF(AND($L28=1,'計算A'!EG$117=1,IF28=0),300,0))),1000000))</f>
        <v/>
      </c>
      <c r="TJ28">
        <f>IF($B28=0,1000000,IF(INDEX('計算A'!$D$60:$EQ$104,$B28,135)*IF28=1,IF(AND($E28=2,NU28=0),1000000,IF($I28&gt;0,IF(6=$J28,IF(OR(AND(135=$I28+1,OR($K28&lt;&gt;'計算A'!$A$3,'計算A'!$A$4=0)),AND(135=$I28-1,OR(15&lt;&gt;'計算A'!$A$3,'計算A'!$A$4=0))),0,IF(15=$K28,200000,ABS(15-$K28)*100)),100000+ABS(6-$J28)*1000+150)+'計算A'!EH$5*50+IF(AND($E28=1,NU28=0),25,0),INDEX('計算A'!EH$110:EH$114,$F28+1)+IF(AND($E28=1,NU28=0),1000,0)+IF($H28=1,(IF('計算A'!EG$117=1,INDEX('計算A'!EG$10:EG$54,$B28),0)+IF('計算A'!EH$117=1,INDEX('計算A'!EI$10:EI$54,$B28),0))*500,0)-IF(AND('計算A'!EG$117=1,ZE28&gt;0),300,0)-IF(AND($L28=1,'計算A'!EH$117=1,IG28=0),300,0))),1000000))</f>
        <v/>
      </c>
      <c r="TK28">
        <f>IF($B28=0,1000000,IF(INDEX('計算A'!$D$60:$EQ$104,$B28,136)*IG28=1,IF(AND($E28=2,NV28=0),1000000,IF($I28&gt;0,IF(6=$J28,IF(OR(AND(136=$I28+1,OR($K28&lt;&gt;'計算A'!$A$3,'計算A'!$A$4=0)),AND(136=$I28-1,OR(16&lt;&gt;'計算A'!$A$3,'計算A'!$A$4=0))),0,IF(16=$K28,200000,ABS(16-$K28)*100)),100000+ABS(6-$J28)*1000+160)+'計算A'!EI$5*50+IF(AND($E28=1,NV28=0),25,0),INDEX('計算A'!EI$110:EI$114,$F28+1)+IF(AND($E28=1,NV28=0),1000,0)+IF($H28=1,(IF('計算A'!EH$117=1,INDEX('計算A'!EH$10:EH$54,$B28),0)+IF('計算A'!EI$117=1,INDEX('計算A'!EJ$10:EJ$54,$B28),0))*500,0)-IF(AND('計算A'!EH$117=1,ZF28&gt;0),300,0)-IF(AND($L28=1,'計算A'!EI$117=1,IH28=0),300,0))),1000000))</f>
        <v/>
      </c>
      <c r="TL28">
        <f>IF($B28=0,1000000,IF(INDEX('計算A'!$D$60:$EQ$104,$B28,137)*IH28=1,IF(AND($E28=2,NW28=0),1000000,IF($I28&gt;0,IF(6=$J28,IF(OR(AND(137=$I28+1,OR($K28&lt;&gt;'計算A'!$A$3,'計算A'!$A$4=0)),AND(137=$I28-1,OR(17&lt;&gt;'計算A'!$A$3,'計算A'!$A$4=0))),0,IF(17=$K28,200000,ABS(17-$K28)*100)),100000+ABS(6-$J28)*1000+170)+'計算A'!EJ$5*50+IF(AND($E28=1,NW28=0),25,0),INDEX('計算A'!EJ$110:EJ$114,$F28+1)+IF(AND($E28=1,NW28=0),1000,0)+IF($H28=1,(IF('計算A'!EI$117=1,INDEX('計算A'!EI$10:EI$54,$B28),0)+IF('計算A'!EJ$117=1,INDEX('計算A'!EK$10:EK$54,$B28),0))*500,0)-IF(AND('計算A'!EI$117=1,ZG28&gt;0),300,0)-IF(AND($L28=1,'計算A'!EJ$117=1,II28=0),300,0))),1000000))</f>
        <v/>
      </c>
      <c r="TM28">
        <f>IF($B28=0,1000000,IF(INDEX('計算A'!$D$60:$EQ$104,$B28,138)*II28=1,IF(AND($E28=2,NX28=0),1000000,IF($I28&gt;0,IF(6=$J28,IF(OR(AND(138=$I28+1,OR($K28&lt;&gt;'計算A'!$A$3,'計算A'!$A$4=0)),AND(138=$I28-1,OR(18&lt;&gt;'計算A'!$A$3,'計算A'!$A$4=0))),0,IF(18=$K28,200000,ABS(18-$K28)*100)),100000+ABS(6-$J28)*1000+180)+'計算A'!EK$5*50+IF(AND($E28=1,NX28=0),25,0),INDEX('計算A'!EK$110:EK$114,$F28+1)+IF(AND($E28=1,NX28=0),1000,0)+IF($H28=1,(IF('計算A'!EJ$117=1,INDEX('計算A'!EJ$10:EJ$54,$B28),0)+IF('計算A'!EK$117=1,INDEX('計算A'!EL$10:EL$54,$B28),0))*500,0)-IF(AND('計算A'!EJ$117=1,ZH28&gt;0),300,0)-IF(AND($L28=1,'計算A'!EK$117=1,IJ28=0),300,0))),1000000))</f>
        <v/>
      </c>
      <c r="TN28">
        <f>IF($B28=0,1000000,IF(INDEX('計算A'!$D$60:$EQ$104,$B28,139)*IJ28=1,IF(AND($E28=2,NY28=0),1000000,IF($I28&gt;0,IF(6=$J28,IF(OR(AND(139=$I28+1,OR($K28&lt;&gt;'計算A'!$A$3,'計算A'!$A$4=0)),AND(139=$I28-1,OR(19&lt;&gt;'計算A'!$A$3,'計算A'!$A$4=0))),0,IF(19=$K28,200000,ABS(19-$K28)*100)),100000+ABS(6-$J28)*1000+190)+'計算A'!EL$5*50+IF(AND($E28=1,NY28=0),25,0),INDEX('計算A'!EL$110:EL$114,$F28+1)+IF(AND($E28=1,NY28=0),1000,0)+IF($H28=1,(IF('計算A'!EK$117=1,INDEX('計算A'!EK$10:EK$54,$B28),0)+IF('計算A'!EL$117=1,INDEX('計算A'!EM$10:EM$54,$B28),0))*500,0)-IF(AND('計算A'!EK$117=1,ZI28&gt;0),300,0)-IF(AND($L28=1,'計算A'!EL$117=1,IK28=0),300,0))),1000000))</f>
        <v/>
      </c>
      <c r="TO28">
        <f>IF($B28=0,1000000,IF(INDEX('計算A'!$D$60:$EQ$104,$B28,140)*IK28=1,IF(AND($E28=2,NZ28=0),1000000,IF($I28&gt;0,IF(6=$J28,IF(OR(AND(140=$I28+1,OR($K28&lt;&gt;'計算A'!$A$3,'計算A'!$A$4=0)),AND(140=$I28-1,OR(20&lt;&gt;'計算A'!$A$3,'計算A'!$A$4=0))),0,IF(20=$K28,200000,ABS(20-$K28)*100)),100000+ABS(6-$J28)*1000+200)+'計算A'!EM$5*50+IF(AND($E28=1,NZ28=0),25,0),INDEX('計算A'!EM$110:EM$114,$F28+1)+IF(AND($E28=1,NZ28=0),1000,0)+IF($H28=1,(IF('計算A'!EL$117=1,INDEX('計算A'!EL$10:EL$54,$B28),0)+IF('計算A'!EM$117=1,INDEX('計算A'!EN$10:EN$54,$B28),0))*500,0)-IF(AND('計算A'!EL$117=1,ZJ28&gt;0),300,0)-IF(AND($L28=1,'計算A'!EM$117=1,IL28=0),300,0))),1000000))</f>
        <v/>
      </c>
      <c r="TP28">
        <f>IF($B28=0,1000000,IF(INDEX('計算A'!$D$60:$EQ$104,$B28,141)*IL28=1,IF(AND($E28=2,OA28=0),1000000,IF($I28&gt;0,IF(6=$J28,IF(OR(AND(141=$I28+1,OR($K28&lt;&gt;'計算A'!$A$3,'計算A'!$A$4=0)),AND(141=$I28-1,OR(21&lt;&gt;'計算A'!$A$3,'計算A'!$A$4=0))),0,IF(21=$K28,200000,ABS(21-$K28)*100)),100000+ABS(6-$J28)*1000+210)+'計算A'!EN$5*50+IF(AND($E28=1,OA28=0),25,0),INDEX('計算A'!EN$110:EN$114,$F28+1)+IF(AND($E28=1,OA28=0),1000,0)+IF($H28=1,(IF('計算A'!EM$117=1,INDEX('計算A'!EM$10:EM$54,$B28),0)+IF('計算A'!EN$117=1,INDEX('計算A'!EO$10:EO$54,$B28),0))*500,0)-IF(AND('計算A'!EM$117=1,ZK28&gt;0),300,0)-IF(AND($L28=1,'計算A'!EN$117=1,IM28=0),300,0))),1000000))</f>
        <v/>
      </c>
      <c r="TQ28">
        <f>IF($B28=0,1000000,IF(INDEX('計算A'!$D$60:$EQ$104,$B28,142)*IM28=1,IF(AND($E28=2,OB28=0),1000000,IF($I28&gt;0,IF(6=$J28,IF(OR(AND(142=$I28+1,OR($K28&lt;&gt;'計算A'!$A$3,'計算A'!$A$4=0)),AND(142=$I28-1,OR(22&lt;&gt;'計算A'!$A$3,'計算A'!$A$4=0))),0,IF(22=$K28,200000,ABS(22-$K28)*100)),100000+ABS(6-$J28)*1000+220)+'計算A'!EO$5*50+IF(AND($E28=1,OB28=0),25,0),INDEX('計算A'!EO$110:EO$114,$F28+1)+IF(AND($E28=1,OB28=0),1000,0)+IF($H28=1,(IF('計算A'!EN$117=1,INDEX('計算A'!EN$10:EN$54,$B28),0)+IF('計算A'!EO$117=1,INDEX('計算A'!EP$10:EP$54,$B28),0))*500,0)-IF(AND('計算A'!EN$117=1,ZL28&gt;0),300,0)-IF(AND($L28=1,'計算A'!EO$117=1,IN28=0),300,0))),1000000))</f>
        <v/>
      </c>
      <c r="TR28">
        <f>IF($B28=0,1000000,IF(INDEX('計算A'!$D$60:$EQ$104,$B28,143)*IN28=1,IF(AND($E28=2,OC28=0),1000000,IF($I28&gt;0,IF(6=$J28,IF(OR(AND(143=$I28+1,OR($K28&lt;&gt;'計算A'!$A$3,'計算A'!$A$4=0)),AND(143=$I28-1,OR(23&lt;&gt;'計算A'!$A$3,'計算A'!$A$4=0))),0,IF(23=$K28,200000,ABS(23-$K28)*100)),100000+ABS(6-$J28)*1000+230)+'計算A'!EP$5*50+IF(AND($E28=1,OC28=0),25,0),INDEX('計算A'!EP$110:EP$114,$F28+1)+IF(AND($E28=1,OC28=0),1000,0)+IF($H28=1,(IF('計算A'!EO$117=1,INDEX('計算A'!EO$10:EO$54,$B28),0)+IF('計算A'!EP$117=1,INDEX('計算A'!EQ$10:EQ$54,$B28),0))*500,0)-IF(AND('計算A'!EO$117=1,ZM28&gt;0),300,0)-IF(AND($L28=1,'計算A'!EP$117=1,IO28=0),300,0))),1000000))</f>
        <v/>
      </c>
      <c r="TS28">
        <f>IF($B28=0,1000000,IF(INDEX('計算A'!$D$60:$EQ$104,$B28,144)*IO28=1,IF(AND($E28=2,OD28=0),1000000,IF($I28&gt;0,IF(6=$J28,IF(OR(AND(144=$I28+1,OR($K28&lt;&gt;'計算A'!$A$3,'計算A'!$A$4=0)),AND(144=$I28-1,OR(24&lt;&gt;'計算A'!$A$3,'計算A'!$A$4=0))),0,IF(24=$K28,200000,ABS(24-$K28)*100)),100000+ABS(6-$J28)*1000+240)+'計算A'!EQ$5*50+IF(AND($E28=1,OD28=0),25,0),INDEX('計算A'!EQ$110:EQ$114,$F28+1)+IF(AND($E28=1,OD28=0),1000,0)+IF($H28=1,(IF('計算A'!EP$117=1,INDEX('計算A'!EP$10:EP$54,$B28),0))*500,0)-IF(AND('計算A'!EP$117=1,ZN28&gt;0),300,0))),1000000))</f>
        <v/>
      </c>
      <c r="UB28">
        <f>UB27+IF(AND($C27=1,$L27=1),1,0)</f>
        <v/>
      </c>
      <c r="UC28">
        <f>UC27+IF(AND($C27=2,$L27=1),1,0)</f>
        <v/>
      </c>
      <c r="UD28">
        <f>UD27+IF(AND($C27=3,$L27=1),1,0)</f>
        <v/>
      </c>
      <c r="UE28">
        <f>UE27+IF(AND($C27=4,$L27=1),1,0)</f>
        <v/>
      </c>
      <c r="UF28">
        <f>UF27+IF(AND($C27=5,$L27=1),1,0)</f>
        <v/>
      </c>
      <c r="UG28">
        <f>UG27+IF(AND($C27=6,$L27=1),1,0)</f>
        <v/>
      </c>
      <c r="UH28">
        <f>UH27+IF(AND($C27=7,$L27=1),1,0)</f>
        <v/>
      </c>
      <c r="UI28">
        <f>UI27+IF(AND($C27=8,$L27=1),1,0)</f>
        <v/>
      </c>
      <c r="UJ28">
        <f>UJ27+IF(AND($C27=9,$L27=1),1,0)</f>
        <v/>
      </c>
      <c r="UK28">
        <f>UK27+IF(AND($C27=10,$L27=1),1,0)</f>
        <v/>
      </c>
      <c r="UL28">
        <f>UL27+IF(AND($C27=11,$L27=1),1,0)</f>
        <v/>
      </c>
      <c r="UM28">
        <f>UM27+IF(AND($C27=12,$L27=1),1,0)</f>
        <v/>
      </c>
      <c r="UN28">
        <f>UN27+IF(AND($C27=13,$L27=1),1,0)</f>
        <v/>
      </c>
      <c r="UO28">
        <f>UO27+IF(AND($C27=14,$L27=1),1,0)</f>
        <v/>
      </c>
      <c r="UP28">
        <f>UP27+IF(AND($C27=15,$L27=1),1,0)</f>
        <v/>
      </c>
      <c r="UQ28">
        <f>UQ27+IF(AND($C27=16,$L27=1),1,0)</f>
        <v/>
      </c>
      <c r="UR28">
        <f>UR27+IF(AND($C27=17,$L27=1),1,0)</f>
        <v/>
      </c>
      <c r="US28">
        <f>US27+IF(AND($C27=18,$L27=1),1,0)</f>
        <v/>
      </c>
      <c r="UT28">
        <f>UT27+IF(AND($C27=19,$L27=1),1,0)</f>
        <v/>
      </c>
      <c r="UU28">
        <f>UU27+IF(AND($C27=20,$L27=1),1,0)</f>
        <v/>
      </c>
      <c r="UV28">
        <f>UV27+IF(AND($C27=21,$L27=1),1,0)</f>
        <v/>
      </c>
      <c r="UW28">
        <f>UW27+IF(AND($C27=22,$L27=1),1,0)</f>
        <v/>
      </c>
      <c r="UX28">
        <f>UX27+IF(AND($C27=23,$L27=1),1,0)</f>
        <v/>
      </c>
      <c r="UY28">
        <f>UY27+IF(AND($C27=24,$L27=1),1,0)</f>
        <v/>
      </c>
      <c r="UZ28">
        <f>UZ27+IF(AND($C27=25,$L27=1),1,0)</f>
        <v/>
      </c>
      <c r="VA28">
        <f>VA27+IF(AND($C27=26,$L27=1),1,0)</f>
        <v/>
      </c>
      <c r="VB28">
        <f>VB27+IF(AND($C27=27,$L27=1),1,0)</f>
        <v/>
      </c>
      <c r="VC28">
        <f>VC27+IF(AND($C27=28,$L27=1),1,0)</f>
        <v/>
      </c>
      <c r="VD28">
        <f>VD27+IF(AND($C27=29,$L27=1),1,0)</f>
        <v/>
      </c>
      <c r="VE28">
        <f>VE27+IF(AND($C27=30,$L27=1),1,0)</f>
        <v/>
      </c>
      <c r="VF28">
        <f>VF27+IF(AND($C27=31,$L27=1),1,0)</f>
        <v/>
      </c>
      <c r="VG28">
        <f>VG27+IF(AND($C27=32,$L27=1),1,0)</f>
        <v/>
      </c>
      <c r="VH28">
        <f>VH27+IF(AND($C27=33,$L27=1),1,0)</f>
        <v/>
      </c>
      <c r="VI28">
        <f>VI27+IF(AND($C27=34,$L27=1),1,0)</f>
        <v/>
      </c>
      <c r="VJ28">
        <f>VJ27+IF(AND($C27=35,$L27=1),1,0)</f>
        <v/>
      </c>
      <c r="VK28">
        <f>VK27+IF(AND($C27=36,$L27=1),1,0)</f>
        <v/>
      </c>
      <c r="VL28">
        <f>VL27+IF(AND($C27=37,$L27=1),1,0)</f>
        <v/>
      </c>
      <c r="VM28">
        <f>VM27+IF(AND($C27=38,$L27=1),1,0)</f>
        <v/>
      </c>
      <c r="VN28">
        <f>VN27+IF(AND($C27=39,$L27=1),1,0)</f>
        <v/>
      </c>
      <c r="VO28">
        <f>VO27+IF(AND($C27=40,$L27=1),1,0)</f>
        <v/>
      </c>
      <c r="VP28">
        <f>VP27+IF(AND($C27=41,$L27=1),1,0)</f>
        <v/>
      </c>
      <c r="VQ28">
        <f>VQ27+IF(AND($C27=42,$L27=1),1,0)</f>
        <v/>
      </c>
      <c r="VR28">
        <f>VR27+IF(AND($C27=43,$L27=1),1,0)</f>
        <v/>
      </c>
      <c r="VS28">
        <f>VS27+IF(AND($C27=44,$L27=1),1,0)</f>
        <v/>
      </c>
      <c r="VT28">
        <f>VT27+IF(AND($C27=45,$L27=1),1,0)</f>
        <v/>
      </c>
      <c r="VU28">
        <f>VU27+IF(AND($C27=46,$L27=1),1,0)</f>
        <v/>
      </c>
      <c r="VV28">
        <f>VV27+IF(AND($C27=47,$L27=1),1,0)</f>
        <v/>
      </c>
      <c r="VW28">
        <f>VW27+IF(AND($C27=48,$L27=1),1,0)</f>
        <v/>
      </c>
      <c r="VX28">
        <f>VX27+IF(AND($C27=49,$L27=1),1,0)</f>
        <v/>
      </c>
      <c r="VY28">
        <f>VY27+IF(AND($C27=50,$L27=1),1,0)</f>
        <v/>
      </c>
      <c r="VZ28">
        <f>VZ27+IF(AND($C27=51,$L27=1),1,0)</f>
        <v/>
      </c>
      <c r="WA28">
        <f>WA27+IF(AND($C27=52,$L27=1),1,0)</f>
        <v/>
      </c>
      <c r="WB28">
        <f>WB27+IF(AND($C27=53,$L27=1),1,0)</f>
        <v/>
      </c>
      <c r="WC28">
        <f>WC27+IF(AND($C27=54,$L27=1),1,0)</f>
        <v/>
      </c>
      <c r="WD28">
        <f>WD27+IF(AND($C27=55,$L27=1),1,0)</f>
        <v/>
      </c>
      <c r="WE28">
        <f>WE27+IF(AND($C27=56,$L27=1),1,0)</f>
        <v/>
      </c>
      <c r="WF28">
        <f>WF27+IF(AND($C27=57,$L27=1),1,0)</f>
        <v/>
      </c>
      <c r="WG28">
        <f>WG27+IF(AND($C27=58,$L27=1),1,0)</f>
        <v/>
      </c>
      <c r="WH28">
        <f>WH27+IF(AND($C27=59,$L27=1),1,0)</f>
        <v/>
      </c>
      <c r="WI28">
        <f>WI27+IF(AND($C27=60,$L27=1),1,0)</f>
        <v/>
      </c>
      <c r="WJ28">
        <f>WJ27+IF(AND($C27=61,$L27=1),1,0)</f>
        <v/>
      </c>
      <c r="WK28">
        <f>WK27+IF(AND($C27=62,$L27=1),1,0)</f>
        <v/>
      </c>
      <c r="WL28">
        <f>WL27+IF(AND($C27=63,$L27=1),1,0)</f>
        <v/>
      </c>
      <c r="WM28">
        <f>WM27+IF(AND($C27=64,$L27=1),1,0)</f>
        <v/>
      </c>
      <c r="WN28">
        <f>WN27+IF(AND($C27=65,$L27=1),1,0)</f>
        <v/>
      </c>
      <c r="WO28">
        <f>WO27+IF(AND($C27=66,$L27=1),1,0)</f>
        <v/>
      </c>
      <c r="WP28">
        <f>WP27+IF(AND($C27=67,$L27=1),1,0)</f>
        <v/>
      </c>
      <c r="WQ28">
        <f>WQ27+IF(AND($C27=68,$L27=1),1,0)</f>
        <v/>
      </c>
      <c r="WR28">
        <f>WR27+IF(AND($C27=69,$L27=1),1,0)</f>
        <v/>
      </c>
      <c r="WS28">
        <f>WS27+IF(AND($C27=70,$L27=1),1,0)</f>
        <v/>
      </c>
      <c r="WT28">
        <f>WT27+IF(AND($C27=71,$L27=1),1,0)</f>
        <v/>
      </c>
      <c r="WU28">
        <f>WU27+IF(AND($C27=72,$L27=1),1,0)</f>
        <v/>
      </c>
      <c r="WV28">
        <f>WV27+IF(AND($C27=73,$L27=1),1,0)</f>
        <v/>
      </c>
      <c r="WW28">
        <f>WW27+IF(AND($C27=74,$L27=1),1,0)</f>
        <v/>
      </c>
      <c r="WX28">
        <f>WX27+IF(AND($C27=75,$L27=1),1,0)</f>
        <v/>
      </c>
      <c r="WY28">
        <f>WY27+IF(AND($C27=76,$L27=1),1,0)</f>
        <v/>
      </c>
      <c r="WZ28">
        <f>WZ27+IF(AND($C27=77,$L27=1),1,0)</f>
        <v/>
      </c>
      <c r="XA28">
        <f>XA27+IF(AND($C27=78,$L27=1),1,0)</f>
        <v/>
      </c>
      <c r="XB28">
        <f>XB27+IF(AND($C27=79,$L27=1),1,0)</f>
        <v/>
      </c>
      <c r="XC28">
        <f>XC27+IF(AND($C27=80,$L27=1),1,0)</f>
        <v/>
      </c>
      <c r="XD28">
        <f>XD27+IF(AND($C27=81,$L27=1),1,0)</f>
        <v/>
      </c>
      <c r="XE28">
        <f>XE27+IF(AND($C27=82,$L27=1),1,0)</f>
        <v/>
      </c>
      <c r="XF28">
        <f>XF27+IF(AND($C27=83,$L27=1),1,0)</f>
        <v/>
      </c>
      <c r="XG28">
        <f>XG27+IF(AND($C27=84,$L27=1),1,0)</f>
        <v/>
      </c>
      <c r="XH28">
        <f>XH27+IF(AND($C27=85,$L27=1),1,0)</f>
        <v/>
      </c>
      <c r="XI28">
        <f>XI27+IF(AND($C27=86,$L27=1),1,0)</f>
        <v/>
      </c>
      <c r="XJ28">
        <f>XJ27+IF(AND($C27=87,$L27=1),1,0)</f>
        <v/>
      </c>
      <c r="XK28">
        <f>XK27+IF(AND($C27=88,$L27=1),1,0)</f>
        <v/>
      </c>
      <c r="XL28">
        <f>XL27+IF(AND($C27=89,$L27=1),1,0)</f>
        <v/>
      </c>
      <c r="XM28">
        <f>XM27+IF(AND($C27=90,$L27=1),1,0)</f>
        <v/>
      </c>
      <c r="XN28">
        <f>XN27+IF(AND($C27=91,$L27=1),1,0)</f>
        <v/>
      </c>
      <c r="XO28">
        <f>XO27+IF(AND($C27=92,$L27=1),1,0)</f>
        <v/>
      </c>
      <c r="XP28">
        <f>XP27+IF(AND($C27=93,$L27=1),1,0)</f>
        <v/>
      </c>
      <c r="XQ28">
        <f>XQ27+IF(AND($C27=94,$L27=1),1,0)</f>
        <v/>
      </c>
      <c r="XR28">
        <f>XR27+IF(AND($C27=95,$L27=1),1,0)</f>
        <v/>
      </c>
      <c r="XS28">
        <f>XS27+IF(AND($C27=96,$L27=1),1,0)</f>
        <v/>
      </c>
      <c r="XT28">
        <f>XT27+IF(AND($C27=97,$L27=1),1,0)</f>
        <v/>
      </c>
      <c r="XU28">
        <f>XU27+IF(AND($C27=98,$L27=1),1,0)</f>
        <v/>
      </c>
      <c r="XV28">
        <f>XV27+IF(AND($C27=99,$L27=1),1,0)</f>
        <v/>
      </c>
      <c r="XW28">
        <f>XW27+IF(AND($C27=100,$L27=1),1,0)</f>
        <v/>
      </c>
      <c r="XX28">
        <f>XX27+IF(AND($C27=101,$L27=1),1,0)</f>
        <v/>
      </c>
      <c r="XY28">
        <f>XY27+IF(AND($C27=102,$L27=1),1,0)</f>
        <v/>
      </c>
      <c r="XZ28">
        <f>XZ27+IF(AND($C27=103,$L27=1),1,0)</f>
        <v/>
      </c>
      <c r="YA28">
        <f>YA27+IF(AND($C27=104,$L27=1),1,0)</f>
        <v/>
      </c>
      <c r="YB28">
        <f>YB27+IF(AND($C27=105,$L27=1),1,0)</f>
        <v/>
      </c>
      <c r="YC28">
        <f>YC27+IF(AND($C27=106,$L27=1),1,0)</f>
        <v/>
      </c>
      <c r="YD28">
        <f>YD27+IF(AND($C27=107,$L27=1),1,0)</f>
        <v/>
      </c>
      <c r="YE28">
        <f>YE27+IF(AND($C27=108,$L27=1),1,0)</f>
        <v/>
      </c>
      <c r="YF28">
        <f>YF27+IF(AND($C27=109,$L27=1),1,0)</f>
        <v/>
      </c>
      <c r="YG28">
        <f>YG27+IF(AND($C27=110,$L27=1),1,0)</f>
        <v/>
      </c>
      <c r="YH28">
        <f>YH27+IF(AND($C27=111,$L27=1),1,0)</f>
        <v/>
      </c>
      <c r="YI28">
        <f>YI27+IF(AND($C27=112,$L27=1),1,0)</f>
        <v/>
      </c>
      <c r="YJ28">
        <f>YJ27+IF(AND($C27=113,$L27=1),1,0)</f>
        <v/>
      </c>
      <c r="YK28">
        <f>YK27+IF(AND($C27=114,$L27=1),1,0)</f>
        <v/>
      </c>
      <c r="YL28">
        <f>YL27+IF(AND($C27=115,$L27=1),1,0)</f>
        <v/>
      </c>
      <c r="YM28">
        <f>YM27+IF(AND($C27=116,$L27=1),1,0)</f>
        <v/>
      </c>
      <c r="YN28">
        <f>YN27+IF(AND($C27=117,$L27=1),1,0)</f>
        <v/>
      </c>
      <c r="YO28">
        <f>YO27+IF(AND($C27=118,$L27=1),1,0)</f>
        <v/>
      </c>
      <c r="YP28">
        <f>YP27+IF(AND($C27=119,$L27=1),1,0)</f>
        <v/>
      </c>
      <c r="YQ28">
        <f>YQ27+IF(AND($C27=120,$L27=1),1,0)</f>
        <v/>
      </c>
      <c r="YR28">
        <f>YR27+IF(AND($C27=121,$L27=1),1,0)</f>
        <v/>
      </c>
      <c r="YS28">
        <f>YS27+IF(AND($C27=122,$L27=1),1,0)</f>
        <v/>
      </c>
      <c r="YT28">
        <f>YT27+IF(AND($C27=123,$L27=1),1,0)</f>
        <v/>
      </c>
      <c r="YU28">
        <f>YU27+IF(AND($C27=124,$L27=1),1,0)</f>
        <v/>
      </c>
      <c r="YV28">
        <f>YV27+IF(AND($C27=125,$L27=1),1,0)</f>
        <v/>
      </c>
      <c r="YW28">
        <f>YW27+IF(AND($C27=126,$L27=1),1,0)</f>
        <v/>
      </c>
      <c r="YX28">
        <f>YX27+IF(AND($C27=127,$L27=1),1,0)</f>
        <v/>
      </c>
      <c r="YY28">
        <f>YY27+IF(AND($C27=128,$L27=1),1,0)</f>
        <v/>
      </c>
      <c r="YZ28">
        <f>YZ27+IF(AND($C27=129,$L27=1),1,0)</f>
        <v/>
      </c>
      <c r="ZA28">
        <f>ZA27+IF(AND($C27=130,$L27=1),1,0)</f>
        <v/>
      </c>
      <c r="ZB28">
        <f>ZB27+IF(AND($C27=131,$L27=1),1,0)</f>
        <v/>
      </c>
      <c r="ZC28">
        <f>ZC27+IF(AND($C27=132,$L27=1),1,0)</f>
        <v/>
      </c>
      <c r="ZD28">
        <f>ZD27+IF(AND($C27=133,$L27=1),1,0)</f>
        <v/>
      </c>
      <c r="ZE28">
        <f>ZE27+IF(AND($C27=134,$L27=1),1,0)</f>
        <v/>
      </c>
      <c r="ZF28">
        <f>ZF27+IF(AND($C27=135,$L27=1),1,0)</f>
        <v/>
      </c>
      <c r="ZG28">
        <f>ZG27+IF(AND($C27=136,$L27=1),1,0)</f>
        <v/>
      </c>
      <c r="ZH28">
        <f>ZH27+IF(AND($C27=137,$L27=1),1,0)</f>
        <v/>
      </c>
      <c r="ZI28">
        <f>ZI27+IF(AND($C27=138,$L27=1),1,0)</f>
        <v/>
      </c>
      <c r="ZJ28">
        <f>ZJ27+IF(AND($C27=139,$L27=1),1,0)</f>
        <v/>
      </c>
      <c r="ZK28">
        <f>ZK27+IF(AND($C27=140,$L27=1),1,0)</f>
        <v/>
      </c>
      <c r="ZL28">
        <f>ZL27+IF(AND($C27=141,$L27=1),1,0)</f>
        <v/>
      </c>
      <c r="ZM28">
        <f>ZM27+IF(AND($C27=142,$L27=1),1,0)</f>
        <v/>
      </c>
      <c r="ZN28">
        <f>ZN27+IF(AND($C27=143,$L27=1),1,0)</f>
        <v/>
      </c>
      <c r="ZO28">
        <f>ZO27+IF(AND($C27=144,$L27=1),1,0)</f>
        <v/>
      </c>
    </row>
    <row r="29">
      <c r="A29" t="n">
        <v>27</v>
      </c>
      <c r="B29">
        <f>IF(MIN(BH29:CZ29)&gt;=1000000,0,MATCH(MIN(BH29:CZ29),BH29:CZ29,0))</f>
        <v/>
      </c>
      <c r="C29">
        <f>IF(MIN(OF29:TS29)&gt;=1000000,0,MATCH(MIN(OF29:TS29),OF29:TS29,0))</f>
        <v/>
      </c>
      <c r="D29">
        <f>IF(C29&gt;0,INDEX('計算A'!$D$5:$EQ$5,C29),0)</f>
        <v/>
      </c>
      <c r="E29">
        <f>IF(B29=0,0,INDEX('計算A'!$IQ$10:$IQ$54,B29))</f>
        <v/>
      </c>
      <c r="F29">
        <f>IF(B29=0,0,INDEX('計算A'!$IP$10:$IP$54,B29))</f>
        <v/>
      </c>
      <c r="G29">
        <f>IF(AND(C29&gt;0,E29&gt;0),IF(AND(INDEX('計算A'!$D$106:$EQ$106,C29)=1,INDEX($IQ29:$OD29,C29)=1),C29+1,0),0)</f>
        <v/>
      </c>
      <c r="H29">
        <f>IF(B29=0,0,INDEX('計算A'!$IW$10:$IW$54,B29))</f>
        <v/>
      </c>
      <c r="I29">
        <f>IF(B29=0,0,MAX(0,INDEX('計算A'!$IT$10:$IT$54,B29)))</f>
        <v/>
      </c>
      <c r="J29">
        <f>IF(I29=0,0,INDEX('計算A'!$D$2:$EQ$2,I29))</f>
        <v/>
      </c>
      <c r="K29">
        <f>IF(I29=0,0,INDEX('計算A'!$D$3:$EQ$3,I29))</f>
        <v/>
      </c>
      <c r="L29">
        <f>IF(B29=0,0,INDEX('計算A'!$IX$10:$IX$54,B29))</f>
        <v/>
      </c>
      <c r="N29">
        <f>MAX(N28,IF($B28=1,1,0))</f>
        <v/>
      </c>
      <c r="O29">
        <f>MAX(O28,IF($B28=2,1,0))</f>
        <v/>
      </c>
      <c r="P29">
        <f>MAX(P28,IF($B28=3,1,0))</f>
        <v/>
      </c>
      <c r="Q29">
        <f>MAX(Q28,IF($B28=4,1,0))</f>
        <v/>
      </c>
      <c r="R29">
        <f>MAX(R28,IF($B28=5,1,0))</f>
        <v/>
      </c>
      <c r="S29">
        <f>MAX(S28,IF($B28=6,1,0))</f>
        <v/>
      </c>
      <c r="T29">
        <f>MAX(T28,IF($B28=7,1,0))</f>
        <v/>
      </c>
      <c r="U29">
        <f>MAX(U28,IF($B28=8,1,0))</f>
        <v/>
      </c>
      <c r="V29">
        <f>MAX(V28,IF($B28=9,1,0))</f>
        <v/>
      </c>
      <c r="W29">
        <f>MAX(W28,IF($B28=10,1,0))</f>
        <v/>
      </c>
      <c r="X29">
        <f>MAX(X28,IF($B28=11,1,0))</f>
        <v/>
      </c>
      <c r="Y29">
        <f>MAX(Y28,IF($B28=12,1,0))</f>
        <v/>
      </c>
      <c r="Z29">
        <f>MAX(Z28,IF($B28=13,1,0))</f>
        <v/>
      </c>
      <c r="AA29">
        <f>MAX(AA28,IF($B28=14,1,0))</f>
        <v/>
      </c>
      <c r="AB29">
        <f>MAX(AB28,IF($B28=15,1,0))</f>
        <v/>
      </c>
      <c r="AC29">
        <f>MAX(AC28,IF($B28=16,1,0))</f>
        <v/>
      </c>
      <c r="AD29">
        <f>MAX(AD28,IF($B28=17,1,0))</f>
        <v/>
      </c>
      <c r="AE29">
        <f>MAX(AE28,IF($B28=18,1,0))</f>
        <v/>
      </c>
      <c r="AF29">
        <f>MAX(AF28,IF($B28=19,1,0))</f>
        <v/>
      </c>
      <c r="AG29">
        <f>MAX(AG28,IF($B28=20,1,0))</f>
        <v/>
      </c>
      <c r="AH29">
        <f>MAX(AH28,IF($B28=21,1,0))</f>
        <v/>
      </c>
      <c r="AI29">
        <f>MAX(AI28,IF($B28=22,1,0))</f>
        <v/>
      </c>
      <c r="AJ29">
        <f>MAX(AJ28,IF($B28=23,1,0))</f>
        <v/>
      </c>
      <c r="AK29">
        <f>MAX(AK28,IF($B28=24,1,0))</f>
        <v/>
      </c>
      <c r="AL29">
        <f>MAX(AL28,IF($B28=25,1,0))</f>
        <v/>
      </c>
      <c r="AM29">
        <f>MAX(AM28,IF($B28=26,1,0))</f>
        <v/>
      </c>
      <c r="AN29">
        <f>MAX(AN28,IF($B28=27,1,0))</f>
        <v/>
      </c>
      <c r="AO29">
        <f>MAX(AO28,IF($B28=28,1,0))</f>
        <v/>
      </c>
      <c r="AP29">
        <f>MAX(AP28,IF($B28=29,1,0))</f>
        <v/>
      </c>
      <c r="AQ29">
        <f>MAX(AQ28,IF($B28=30,1,0))</f>
        <v/>
      </c>
      <c r="AR29">
        <f>MAX(AR28,IF($B28=31,1,0))</f>
        <v/>
      </c>
      <c r="AS29">
        <f>MAX(AS28,IF($B28=32,1,0))</f>
        <v/>
      </c>
      <c r="AT29">
        <f>MAX(AT28,IF($B28=33,1,0))</f>
        <v/>
      </c>
      <c r="AU29">
        <f>MAX(AU28,IF($B28=34,1,0))</f>
        <v/>
      </c>
      <c r="AV29">
        <f>MAX(AV28,IF($B28=35,1,0))</f>
        <v/>
      </c>
      <c r="AW29">
        <f>MAX(AW28,IF($B28=36,1,0))</f>
        <v/>
      </c>
      <c r="AX29">
        <f>MAX(AX28,IF($B28=37,1,0))</f>
        <v/>
      </c>
      <c r="AY29">
        <f>MAX(AY28,IF($B28=38,1,0))</f>
        <v/>
      </c>
      <c r="AZ29">
        <f>MAX(AZ28,IF($B28=39,1,0))</f>
        <v/>
      </c>
      <c r="BA29">
        <f>MAX(BA28,IF($B28=40,1,0))</f>
        <v/>
      </c>
      <c r="BB29">
        <f>MAX(BB28,IF($B28=41,1,0))</f>
        <v/>
      </c>
      <c r="BC29">
        <f>MAX(BC28,IF($B28=42,1,0))</f>
        <v/>
      </c>
      <c r="BD29">
        <f>MAX(BD28,IF($B28=43,1,0))</f>
        <v/>
      </c>
      <c r="BE29">
        <f>MAX(BE28,IF($B28=44,1,0))</f>
        <v/>
      </c>
      <c r="BF29">
        <f>MAX(BF28,IF($B28=45,1,0))</f>
        <v/>
      </c>
      <c r="BH29">
        <f>IF(N29=1,1000000,IF('計算A'!$IT$10&gt;0,0,500000)+IF('計算A'!$IQ$10=2,SUMPRODUCT('計算A'!$D$60:$EQ$60,$DB29:$IO29,$IQ29:$OD29),SUMPRODUCT('計算A'!$D$60:$EQ$60,$DB29:$IO29))*1000+1)</f>
        <v/>
      </c>
      <c r="BI29">
        <f>IF(O29=1,1000000,IF('計算A'!$IT$11&gt;0,0,500000)+IF('計算A'!$IQ$11=2,SUMPRODUCT('計算A'!$D$61:$EQ$61,$DB29:$IO29,$IQ29:$OD29),SUMPRODUCT('計算A'!$D$61:$EQ$61,$DB29:$IO29))*1000+2)</f>
        <v/>
      </c>
      <c r="BJ29">
        <f>IF(P29=1,1000000,IF('計算A'!$IT$12&gt;0,0,500000)+IF('計算A'!$IQ$12=2,SUMPRODUCT('計算A'!$D$62:$EQ$62,$DB29:$IO29,$IQ29:$OD29),SUMPRODUCT('計算A'!$D$62:$EQ$62,$DB29:$IO29))*1000+3)</f>
        <v/>
      </c>
      <c r="BK29">
        <f>IF(Q29=1,1000000,IF('計算A'!$IT$13&gt;0,0,500000)+IF('計算A'!$IQ$13=2,SUMPRODUCT('計算A'!$D$63:$EQ$63,$DB29:$IO29,$IQ29:$OD29),SUMPRODUCT('計算A'!$D$63:$EQ$63,$DB29:$IO29))*1000+4)</f>
        <v/>
      </c>
      <c r="BL29">
        <f>IF(R29=1,1000000,IF('計算A'!$IT$14&gt;0,0,500000)+IF('計算A'!$IQ$14=2,SUMPRODUCT('計算A'!$D$64:$EQ$64,$DB29:$IO29,$IQ29:$OD29),SUMPRODUCT('計算A'!$D$64:$EQ$64,$DB29:$IO29))*1000+5)</f>
        <v/>
      </c>
      <c r="BM29">
        <f>IF(S29=1,1000000,IF('計算A'!$IT$15&gt;0,0,500000)+IF('計算A'!$IQ$15=2,SUMPRODUCT('計算A'!$D$65:$EQ$65,$DB29:$IO29,$IQ29:$OD29),SUMPRODUCT('計算A'!$D$65:$EQ$65,$DB29:$IO29))*1000+6)</f>
        <v/>
      </c>
      <c r="BN29">
        <f>IF(T29=1,1000000,IF('計算A'!$IT$16&gt;0,0,500000)+IF('計算A'!$IQ$16=2,SUMPRODUCT('計算A'!$D$66:$EQ$66,$DB29:$IO29,$IQ29:$OD29),SUMPRODUCT('計算A'!$D$66:$EQ$66,$DB29:$IO29))*1000+7)</f>
        <v/>
      </c>
      <c r="BO29">
        <f>IF(U29=1,1000000,IF('計算A'!$IT$17&gt;0,0,500000)+IF('計算A'!$IQ$17=2,SUMPRODUCT('計算A'!$D$67:$EQ$67,$DB29:$IO29,$IQ29:$OD29),SUMPRODUCT('計算A'!$D$67:$EQ$67,$DB29:$IO29))*1000+8)</f>
        <v/>
      </c>
      <c r="BP29">
        <f>IF(V29=1,1000000,IF('計算A'!$IT$18&gt;0,0,500000)+IF('計算A'!$IQ$18=2,SUMPRODUCT('計算A'!$D$68:$EQ$68,$DB29:$IO29,$IQ29:$OD29),SUMPRODUCT('計算A'!$D$68:$EQ$68,$DB29:$IO29))*1000+9)</f>
        <v/>
      </c>
      <c r="BQ29">
        <f>IF(W29=1,1000000,IF('計算A'!$IT$19&gt;0,0,500000)+IF('計算A'!$IQ$19=2,SUMPRODUCT('計算A'!$D$69:$EQ$69,$DB29:$IO29,$IQ29:$OD29),SUMPRODUCT('計算A'!$D$69:$EQ$69,$DB29:$IO29))*1000+10)</f>
        <v/>
      </c>
      <c r="BR29">
        <f>IF(X29=1,1000000,IF('計算A'!$IT$20&gt;0,0,500000)+IF('計算A'!$IQ$20=2,SUMPRODUCT('計算A'!$D$70:$EQ$70,$DB29:$IO29,$IQ29:$OD29),SUMPRODUCT('計算A'!$D$70:$EQ$70,$DB29:$IO29))*1000+11)</f>
        <v/>
      </c>
      <c r="BS29">
        <f>IF(Y29=1,1000000,IF('計算A'!$IT$21&gt;0,0,500000)+IF('計算A'!$IQ$21=2,SUMPRODUCT('計算A'!$D$71:$EQ$71,$DB29:$IO29,$IQ29:$OD29),SUMPRODUCT('計算A'!$D$71:$EQ$71,$DB29:$IO29))*1000+12)</f>
        <v/>
      </c>
      <c r="BT29">
        <f>IF(Z29=1,1000000,IF('計算A'!$IT$22&gt;0,0,500000)+IF('計算A'!$IQ$22=2,SUMPRODUCT('計算A'!$D$72:$EQ$72,$DB29:$IO29,$IQ29:$OD29),SUMPRODUCT('計算A'!$D$72:$EQ$72,$DB29:$IO29))*1000+13)</f>
        <v/>
      </c>
      <c r="BU29">
        <f>IF(AA29=1,1000000,IF('計算A'!$IT$23&gt;0,0,500000)+IF('計算A'!$IQ$23=2,SUMPRODUCT('計算A'!$D$73:$EQ$73,$DB29:$IO29,$IQ29:$OD29),SUMPRODUCT('計算A'!$D$73:$EQ$73,$DB29:$IO29))*1000+14)</f>
        <v/>
      </c>
      <c r="BV29">
        <f>IF(AB29=1,1000000,IF('計算A'!$IT$24&gt;0,0,500000)+IF('計算A'!$IQ$24=2,SUMPRODUCT('計算A'!$D$74:$EQ$74,$DB29:$IO29,$IQ29:$OD29),SUMPRODUCT('計算A'!$D$74:$EQ$74,$DB29:$IO29))*1000+15)</f>
        <v/>
      </c>
      <c r="BW29">
        <f>IF(AC29=1,1000000,IF('計算A'!$IT$25&gt;0,0,500000)+IF('計算A'!$IQ$25=2,SUMPRODUCT('計算A'!$D$75:$EQ$75,$DB29:$IO29,$IQ29:$OD29),SUMPRODUCT('計算A'!$D$75:$EQ$75,$DB29:$IO29))*1000+16)</f>
        <v/>
      </c>
      <c r="BX29">
        <f>IF(AD29=1,1000000,IF('計算A'!$IT$26&gt;0,0,500000)+IF('計算A'!$IQ$26=2,SUMPRODUCT('計算A'!$D$76:$EQ$76,$DB29:$IO29,$IQ29:$OD29),SUMPRODUCT('計算A'!$D$76:$EQ$76,$DB29:$IO29))*1000+17)</f>
        <v/>
      </c>
      <c r="BY29">
        <f>IF(AE29=1,1000000,IF('計算A'!$IT$27&gt;0,0,500000)+IF('計算A'!$IQ$27=2,SUMPRODUCT('計算A'!$D$77:$EQ$77,$DB29:$IO29,$IQ29:$OD29),SUMPRODUCT('計算A'!$D$77:$EQ$77,$DB29:$IO29))*1000+18)</f>
        <v/>
      </c>
      <c r="BZ29">
        <f>IF(AF29=1,1000000,IF('計算A'!$IT$28&gt;0,0,500000)+IF('計算A'!$IQ$28=2,SUMPRODUCT('計算A'!$D$78:$EQ$78,$DB29:$IO29,$IQ29:$OD29),SUMPRODUCT('計算A'!$D$78:$EQ$78,$DB29:$IO29))*1000+19)</f>
        <v/>
      </c>
      <c r="CA29">
        <f>IF(AG29=1,1000000,IF('計算A'!$IT$29&gt;0,0,500000)+IF('計算A'!$IQ$29=2,SUMPRODUCT('計算A'!$D$79:$EQ$79,$DB29:$IO29,$IQ29:$OD29),SUMPRODUCT('計算A'!$D$79:$EQ$79,$DB29:$IO29))*1000+20)</f>
        <v/>
      </c>
      <c r="CB29">
        <f>IF(AH29=1,1000000,IF('計算A'!$IT$30&gt;0,0,500000)+IF('計算A'!$IQ$30=2,SUMPRODUCT('計算A'!$D$80:$EQ$80,$DB29:$IO29,$IQ29:$OD29),SUMPRODUCT('計算A'!$D$80:$EQ$80,$DB29:$IO29))*1000+21)</f>
        <v/>
      </c>
      <c r="CC29">
        <f>IF(AI29=1,1000000,IF('計算A'!$IT$31&gt;0,0,500000)+IF('計算A'!$IQ$31=2,SUMPRODUCT('計算A'!$D$81:$EQ$81,$DB29:$IO29,$IQ29:$OD29),SUMPRODUCT('計算A'!$D$81:$EQ$81,$DB29:$IO29))*1000+22)</f>
        <v/>
      </c>
      <c r="CD29">
        <f>IF(AJ29=1,1000000,IF('計算A'!$IT$32&gt;0,0,500000)+IF('計算A'!$IQ$32=2,SUMPRODUCT('計算A'!$D$82:$EQ$82,$DB29:$IO29,$IQ29:$OD29),SUMPRODUCT('計算A'!$D$82:$EQ$82,$DB29:$IO29))*1000+23)</f>
        <v/>
      </c>
      <c r="CE29">
        <f>IF(AK29=1,1000000,IF('計算A'!$IT$33&gt;0,0,500000)+IF('計算A'!$IQ$33=2,SUMPRODUCT('計算A'!$D$83:$EQ$83,$DB29:$IO29,$IQ29:$OD29),SUMPRODUCT('計算A'!$D$83:$EQ$83,$DB29:$IO29))*1000+24)</f>
        <v/>
      </c>
      <c r="CF29">
        <f>IF(AL29=1,1000000,IF('計算A'!$IT$34&gt;0,0,500000)+IF('計算A'!$IQ$34=2,SUMPRODUCT('計算A'!$D$84:$EQ$84,$DB29:$IO29,$IQ29:$OD29),SUMPRODUCT('計算A'!$D$84:$EQ$84,$DB29:$IO29))*1000+25)</f>
        <v/>
      </c>
      <c r="CG29">
        <f>IF(AM29=1,1000000,IF('計算A'!$IT$35&gt;0,0,500000)+IF('計算A'!$IQ$35=2,SUMPRODUCT('計算A'!$D$85:$EQ$85,$DB29:$IO29,$IQ29:$OD29),SUMPRODUCT('計算A'!$D$85:$EQ$85,$DB29:$IO29))*1000+26)</f>
        <v/>
      </c>
      <c r="CH29">
        <f>IF(AN29=1,1000000,IF('計算A'!$IT$36&gt;0,0,500000)+IF('計算A'!$IQ$36=2,SUMPRODUCT('計算A'!$D$86:$EQ$86,$DB29:$IO29,$IQ29:$OD29),SUMPRODUCT('計算A'!$D$86:$EQ$86,$DB29:$IO29))*1000+27)</f>
        <v/>
      </c>
      <c r="CI29">
        <f>IF(AO29=1,1000000,IF('計算A'!$IT$37&gt;0,0,500000)+IF('計算A'!$IQ$37=2,SUMPRODUCT('計算A'!$D$87:$EQ$87,$DB29:$IO29,$IQ29:$OD29),SUMPRODUCT('計算A'!$D$87:$EQ$87,$DB29:$IO29))*1000+28)</f>
        <v/>
      </c>
      <c r="CJ29">
        <f>IF(AP29=1,1000000,IF('計算A'!$IT$38&gt;0,0,500000)+IF('計算A'!$IQ$38=2,SUMPRODUCT('計算A'!$D$88:$EQ$88,$DB29:$IO29,$IQ29:$OD29),SUMPRODUCT('計算A'!$D$88:$EQ$88,$DB29:$IO29))*1000+29)</f>
        <v/>
      </c>
      <c r="CK29">
        <f>IF(AQ29=1,1000000,IF('計算A'!$IT$39&gt;0,0,500000)+IF('計算A'!$IQ$39=2,SUMPRODUCT('計算A'!$D$89:$EQ$89,$DB29:$IO29,$IQ29:$OD29),SUMPRODUCT('計算A'!$D$89:$EQ$89,$DB29:$IO29))*1000+30)</f>
        <v/>
      </c>
      <c r="CL29">
        <f>IF(AR29=1,1000000,IF('計算A'!$IT$40&gt;0,0,500000)+IF('計算A'!$IQ$40=2,SUMPRODUCT('計算A'!$D$90:$EQ$90,$DB29:$IO29,$IQ29:$OD29),SUMPRODUCT('計算A'!$D$90:$EQ$90,$DB29:$IO29))*1000+31)</f>
        <v/>
      </c>
      <c r="CM29">
        <f>IF(AS29=1,1000000,IF('計算A'!$IT$41&gt;0,0,500000)+IF('計算A'!$IQ$41=2,SUMPRODUCT('計算A'!$D$91:$EQ$91,$DB29:$IO29,$IQ29:$OD29),SUMPRODUCT('計算A'!$D$91:$EQ$91,$DB29:$IO29))*1000+32)</f>
        <v/>
      </c>
      <c r="CN29">
        <f>IF(AT29=1,1000000,IF('計算A'!$IT$42&gt;0,0,500000)+IF('計算A'!$IQ$42=2,SUMPRODUCT('計算A'!$D$92:$EQ$92,$DB29:$IO29,$IQ29:$OD29),SUMPRODUCT('計算A'!$D$92:$EQ$92,$DB29:$IO29))*1000+33)</f>
        <v/>
      </c>
      <c r="CO29">
        <f>IF(AU29=1,1000000,IF('計算A'!$IT$43&gt;0,0,500000)+IF('計算A'!$IQ$43=2,SUMPRODUCT('計算A'!$D$93:$EQ$93,$DB29:$IO29,$IQ29:$OD29),SUMPRODUCT('計算A'!$D$93:$EQ$93,$DB29:$IO29))*1000+34)</f>
        <v/>
      </c>
      <c r="CP29">
        <f>IF(AV29=1,1000000,IF('計算A'!$IT$44&gt;0,0,500000)+IF('計算A'!$IQ$44=2,SUMPRODUCT('計算A'!$D$94:$EQ$94,$DB29:$IO29,$IQ29:$OD29),SUMPRODUCT('計算A'!$D$94:$EQ$94,$DB29:$IO29))*1000+35)</f>
        <v/>
      </c>
      <c r="CQ29">
        <f>IF(AW29=1,1000000,IF('計算A'!$IT$45&gt;0,0,500000)+IF('計算A'!$IQ$45=2,SUMPRODUCT('計算A'!$D$95:$EQ$95,$DB29:$IO29,$IQ29:$OD29),SUMPRODUCT('計算A'!$D$95:$EQ$95,$DB29:$IO29))*1000+36)</f>
        <v/>
      </c>
      <c r="CR29">
        <f>IF(AX29=1,1000000,IF('計算A'!$IT$46&gt;0,0,500000)+IF('計算A'!$IQ$46=2,SUMPRODUCT('計算A'!$D$96:$EQ$96,$DB29:$IO29,$IQ29:$OD29),SUMPRODUCT('計算A'!$D$96:$EQ$96,$DB29:$IO29))*1000+37)</f>
        <v/>
      </c>
      <c r="CS29">
        <f>IF(AY29=1,1000000,IF('計算A'!$IT$47&gt;0,0,500000)+IF('計算A'!$IQ$47=2,SUMPRODUCT('計算A'!$D$97:$EQ$97,$DB29:$IO29,$IQ29:$OD29),SUMPRODUCT('計算A'!$D$97:$EQ$97,$DB29:$IO29))*1000+38)</f>
        <v/>
      </c>
      <c r="CT29">
        <f>IF(AZ29=1,1000000,IF('計算A'!$IT$48&gt;0,0,500000)+IF('計算A'!$IQ$48=2,SUMPRODUCT('計算A'!$D$98:$EQ$98,$DB29:$IO29,$IQ29:$OD29),SUMPRODUCT('計算A'!$D$98:$EQ$98,$DB29:$IO29))*1000+39)</f>
        <v/>
      </c>
      <c r="CU29">
        <f>IF(BA29=1,1000000,IF('計算A'!$IT$49&gt;0,0,500000)+IF('計算A'!$IQ$49=2,SUMPRODUCT('計算A'!$D$99:$EQ$99,$DB29:$IO29,$IQ29:$OD29),SUMPRODUCT('計算A'!$D$99:$EQ$99,$DB29:$IO29))*1000+40)</f>
        <v/>
      </c>
      <c r="CV29">
        <f>IF(BB29=1,1000000,IF('計算A'!$IT$50&gt;0,0,500000)+IF('計算A'!$IQ$50=2,SUMPRODUCT('計算A'!$D$100:$EQ$100,$DB29:$IO29,$IQ29:$OD29),SUMPRODUCT('計算A'!$D$100:$EQ$100,$DB29:$IO29))*1000+41)</f>
        <v/>
      </c>
      <c r="CW29">
        <f>IF(BC29=1,1000000,IF('計算A'!$IT$51&gt;0,0,500000)+IF('計算A'!$IQ$51=2,SUMPRODUCT('計算A'!$D$101:$EQ$101,$DB29:$IO29,$IQ29:$OD29),SUMPRODUCT('計算A'!$D$101:$EQ$101,$DB29:$IO29))*1000+42)</f>
        <v/>
      </c>
      <c r="CX29">
        <f>IF(BD29=1,1000000,IF('計算A'!$IT$52&gt;0,0,500000)+IF('計算A'!$IQ$52=2,SUMPRODUCT('計算A'!$D$102:$EQ$102,$DB29:$IO29,$IQ29:$OD29),SUMPRODUCT('計算A'!$D$102:$EQ$102,$DB29:$IO29))*1000+43)</f>
        <v/>
      </c>
      <c r="CY29">
        <f>IF(BE29=1,1000000,IF('計算A'!$IT$53&gt;0,0,500000)+IF('計算A'!$IQ$53=2,SUMPRODUCT('計算A'!$D$103:$EQ$103,$DB29:$IO29,$IQ29:$OD29),SUMPRODUCT('計算A'!$D$103:$EQ$103,$DB29:$IO29))*1000+44)</f>
        <v/>
      </c>
      <c r="CZ29">
        <f>IF(BF29=1,1000000,IF('計算A'!$IT$54&gt;0,0,500000)+IF('計算A'!$IQ$54=2,SUMPRODUCT('計算A'!$D$104:$EQ$104,$DB29:$IO29,$IQ29:$OD29),SUMPRODUCT('計算A'!$D$104:$EQ$104,$DB29:$IO29))*1000+45)</f>
        <v/>
      </c>
      <c r="DB29">
        <f>DB28*IF(OR($C28=1,$G28=1),0,1)</f>
        <v/>
      </c>
      <c r="DC29">
        <f>DC28*IF(OR($C28=2,$G28=2),0,1)</f>
        <v/>
      </c>
      <c r="DD29">
        <f>DD28*IF(OR($C28=3,$G28=3),0,1)</f>
        <v/>
      </c>
      <c r="DE29">
        <f>DE28*IF(OR($C28=4,$G28=4),0,1)</f>
        <v/>
      </c>
      <c r="DF29">
        <f>DF28*IF(OR($C28=5,$G28=5),0,1)</f>
        <v/>
      </c>
      <c r="DG29">
        <f>DG28*IF(OR($C28=6,$G28=6),0,1)</f>
        <v/>
      </c>
      <c r="DH29">
        <f>DH28*IF(OR($C28=7,$G28=7),0,1)</f>
        <v/>
      </c>
      <c r="DI29">
        <f>DI28*IF(OR($C28=8,$G28=8),0,1)</f>
        <v/>
      </c>
      <c r="DJ29">
        <f>DJ28*IF(OR($C28=9,$G28=9),0,1)</f>
        <v/>
      </c>
      <c r="DK29">
        <f>DK28*IF(OR($C28=10,$G28=10),0,1)</f>
        <v/>
      </c>
      <c r="DL29">
        <f>DL28*IF(OR($C28=11,$G28=11),0,1)</f>
        <v/>
      </c>
      <c r="DM29">
        <f>DM28*IF(OR($C28=12,$G28=12),0,1)</f>
        <v/>
      </c>
      <c r="DN29">
        <f>DN28*IF(OR($C28=13,$G28=13),0,1)</f>
        <v/>
      </c>
      <c r="DO29">
        <f>DO28*IF(OR($C28=14,$G28=14),0,1)</f>
        <v/>
      </c>
      <c r="DP29">
        <f>DP28*IF(OR($C28=15,$G28=15),0,1)</f>
        <v/>
      </c>
      <c r="DQ29">
        <f>DQ28*IF(OR($C28=16,$G28=16),0,1)</f>
        <v/>
      </c>
      <c r="DR29">
        <f>DR28*IF(OR($C28=17,$G28=17),0,1)</f>
        <v/>
      </c>
      <c r="DS29">
        <f>DS28*IF(OR($C28=18,$G28=18),0,1)</f>
        <v/>
      </c>
      <c r="DT29">
        <f>DT28*IF(OR($C28=19,$G28=19),0,1)</f>
        <v/>
      </c>
      <c r="DU29">
        <f>DU28*IF(OR($C28=20,$G28=20),0,1)</f>
        <v/>
      </c>
      <c r="DV29">
        <f>DV28*IF(OR($C28=21,$G28=21),0,1)</f>
        <v/>
      </c>
      <c r="DW29">
        <f>DW28*IF(OR($C28=22,$G28=22),0,1)</f>
        <v/>
      </c>
      <c r="DX29">
        <f>DX28*IF(OR($C28=23,$G28=23),0,1)</f>
        <v/>
      </c>
      <c r="DY29">
        <f>DY28*IF(OR($C28=24,$G28=24),0,1)</f>
        <v/>
      </c>
      <c r="DZ29">
        <f>DZ28*IF(OR($C28=25,$G28=25),0,1)</f>
        <v/>
      </c>
      <c r="EA29">
        <f>EA28*IF(OR($C28=26,$G28=26),0,1)</f>
        <v/>
      </c>
      <c r="EB29">
        <f>EB28*IF(OR($C28=27,$G28=27),0,1)</f>
        <v/>
      </c>
      <c r="EC29">
        <f>EC28*IF(OR($C28=28,$G28=28),0,1)</f>
        <v/>
      </c>
      <c r="ED29">
        <f>ED28*IF(OR($C28=29,$G28=29),0,1)</f>
        <v/>
      </c>
      <c r="EE29">
        <f>EE28*IF(OR($C28=30,$G28=30),0,1)</f>
        <v/>
      </c>
      <c r="EF29">
        <f>EF28*IF(OR($C28=31,$G28=31),0,1)</f>
        <v/>
      </c>
      <c r="EG29">
        <f>EG28*IF(OR($C28=32,$G28=32),0,1)</f>
        <v/>
      </c>
      <c r="EH29">
        <f>EH28*IF(OR($C28=33,$G28=33),0,1)</f>
        <v/>
      </c>
      <c r="EI29">
        <f>EI28*IF(OR($C28=34,$G28=34),0,1)</f>
        <v/>
      </c>
      <c r="EJ29">
        <f>EJ28*IF(OR($C28=35,$G28=35),0,1)</f>
        <v/>
      </c>
      <c r="EK29">
        <f>EK28*IF(OR($C28=36,$G28=36),0,1)</f>
        <v/>
      </c>
      <c r="EL29">
        <f>EL28*IF(OR($C28=37,$G28=37),0,1)</f>
        <v/>
      </c>
      <c r="EM29">
        <f>EM28*IF(OR($C28=38,$G28=38),0,1)</f>
        <v/>
      </c>
      <c r="EN29">
        <f>EN28*IF(OR($C28=39,$G28=39),0,1)</f>
        <v/>
      </c>
      <c r="EO29">
        <f>EO28*IF(OR($C28=40,$G28=40),0,1)</f>
        <v/>
      </c>
      <c r="EP29">
        <f>EP28*IF(OR($C28=41,$G28=41),0,1)</f>
        <v/>
      </c>
      <c r="EQ29">
        <f>EQ28*IF(OR($C28=42,$G28=42),0,1)</f>
        <v/>
      </c>
      <c r="ER29">
        <f>ER28*IF(OR($C28=43,$G28=43),0,1)</f>
        <v/>
      </c>
      <c r="ES29">
        <f>ES28*IF(OR($C28=44,$G28=44),0,1)</f>
        <v/>
      </c>
      <c r="ET29">
        <f>ET28*IF(OR($C28=45,$G28=45),0,1)</f>
        <v/>
      </c>
      <c r="EU29">
        <f>EU28*IF(OR($C28=46,$G28=46),0,1)</f>
        <v/>
      </c>
      <c r="EV29">
        <f>EV28*IF(OR($C28=47,$G28=47),0,1)</f>
        <v/>
      </c>
      <c r="EW29">
        <f>EW28*IF(OR($C28=48,$G28=48),0,1)</f>
        <v/>
      </c>
      <c r="EX29">
        <f>EX28*IF(OR($C28=49,$G28=49),0,1)</f>
        <v/>
      </c>
      <c r="EY29">
        <f>EY28*IF(OR($C28=50,$G28=50),0,1)</f>
        <v/>
      </c>
      <c r="EZ29">
        <f>EZ28*IF(OR($C28=51,$G28=51),0,1)</f>
        <v/>
      </c>
      <c r="FA29">
        <f>FA28*IF(OR($C28=52,$G28=52),0,1)</f>
        <v/>
      </c>
      <c r="FB29">
        <f>FB28*IF(OR($C28=53,$G28=53),0,1)</f>
        <v/>
      </c>
      <c r="FC29">
        <f>FC28*IF(OR($C28=54,$G28=54),0,1)</f>
        <v/>
      </c>
      <c r="FD29">
        <f>FD28*IF(OR($C28=55,$G28=55),0,1)</f>
        <v/>
      </c>
      <c r="FE29">
        <f>FE28*IF(OR($C28=56,$G28=56),0,1)</f>
        <v/>
      </c>
      <c r="FF29">
        <f>FF28*IF(OR($C28=57,$G28=57),0,1)</f>
        <v/>
      </c>
      <c r="FG29">
        <f>FG28*IF(OR($C28=58,$G28=58),0,1)</f>
        <v/>
      </c>
      <c r="FH29">
        <f>FH28*IF(OR($C28=59,$G28=59),0,1)</f>
        <v/>
      </c>
      <c r="FI29">
        <f>FI28*IF(OR($C28=60,$G28=60),0,1)</f>
        <v/>
      </c>
      <c r="FJ29">
        <f>FJ28*IF(OR($C28=61,$G28=61),0,1)</f>
        <v/>
      </c>
      <c r="FK29">
        <f>FK28*IF(OR($C28=62,$G28=62),0,1)</f>
        <v/>
      </c>
      <c r="FL29">
        <f>FL28*IF(OR($C28=63,$G28=63),0,1)</f>
        <v/>
      </c>
      <c r="FM29">
        <f>FM28*IF(OR($C28=64,$G28=64),0,1)</f>
        <v/>
      </c>
      <c r="FN29">
        <f>FN28*IF(OR($C28=65,$G28=65),0,1)</f>
        <v/>
      </c>
      <c r="FO29">
        <f>FO28*IF(OR($C28=66,$G28=66),0,1)</f>
        <v/>
      </c>
      <c r="FP29">
        <f>FP28*IF(OR($C28=67,$G28=67),0,1)</f>
        <v/>
      </c>
      <c r="FQ29">
        <f>FQ28*IF(OR($C28=68,$G28=68),0,1)</f>
        <v/>
      </c>
      <c r="FR29">
        <f>FR28*IF(OR($C28=69,$G28=69),0,1)</f>
        <v/>
      </c>
      <c r="FS29">
        <f>FS28*IF(OR($C28=70,$G28=70),0,1)</f>
        <v/>
      </c>
      <c r="FT29">
        <f>FT28*IF(OR($C28=71,$G28=71),0,1)</f>
        <v/>
      </c>
      <c r="FU29">
        <f>FU28*IF(OR($C28=72,$G28=72),0,1)</f>
        <v/>
      </c>
      <c r="FV29">
        <f>FV28*IF(OR($C28=73,$G28=73),0,1)</f>
        <v/>
      </c>
      <c r="FW29">
        <f>FW28*IF(OR($C28=74,$G28=74),0,1)</f>
        <v/>
      </c>
      <c r="FX29">
        <f>FX28*IF(OR($C28=75,$G28=75),0,1)</f>
        <v/>
      </c>
      <c r="FY29">
        <f>FY28*IF(OR($C28=76,$G28=76),0,1)</f>
        <v/>
      </c>
      <c r="FZ29">
        <f>FZ28*IF(OR($C28=77,$G28=77),0,1)</f>
        <v/>
      </c>
      <c r="GA29">
        <f>GA28*IF(OR($C28=78,$G28=78),0,1)</f>
        <v/>
      </c>
      <c r="GB29">
        <f>GB28*IF(OR($C28=79,$G28=79),0,1)</f>
        <v/>
      </c>
      <c r="GC29">
        <f>GC28*IF(OR($C28=80,$G28=80),0,1)</f>
        <v/>
      </c>
      <c r="GD29">
        <f>GD28*IF(OR($C28=81,$G28=81),0,1)</f>
        <v/>
      </c>
      <c r="GE29">
        <f>GE28*IF(OR($C28=82,$G28=82),0,1)</f>
        <v/>
      </c>
      <c r="GF29">
        <f>GF28*IF(OR($C28=83,$G28=83),0,1)</f>
        <v/>
      </c>
      <c r="GG29">
        <f>GG28*IF(OR($C28=84,$G28=84),0,1)</f>
        <v/>
      </c>
      <c r="GH29">
        <f>GH28*IF(OR($C28=85,$G28=85),0,1)</f>
        <v/>
      </c>
      <c r="GI29">
        <f>GI28*IF(OR($C28=86,$G28=86),0,1)</f>
        <v/>
      </c>
      <c r="GJ29">
        <f>GJ28*IF(OR($C28=87,$G28=87),0,1)</f>
        <v/>
      </c>
      <c r="GK29">
        <f>GK28*IF(OR($C28=88,$G28=88),0,1)</f>
        <v/>
      </c>
      <c r="GL29">
        <f>GL28*IF(OR($C28=89,$G28=89),0,1)</f>
        <v/>
      </c>
      <c r="GM29">
        <f>GM28*IF(OR($C28=90,$G28=90),0,1)</f>
        <v/>
      </c>
      <c r="GN29">
        <f>GN28*IF(OR($C28=91,$G28=91),0,1)</f>
        <v/>
      </c>
      <c r="GO29">
        <f>GO28*IF(OR($C28=92,$G28=92),0,1)</f>
        <v/>
      </c>
      <c r="GP29">
        <f>GP28*IF(OR($C28=93,$G28=93),0,1)</f>
        <v/>
      </c>
      <c r="GQ29">
        <f>GQ28*IF(OR($C28=94,$G28=94),0,1)</f>
        <v/>
      </c>
      <c r="GR29">
        <f>GR28*IF(OR($C28=95,$G28=95),0,1)</f>
        <v/>
      </c>
      <c r="GS29">
        <f>GS28*IF(OR($C28=96,$G28=96),0,1)</f>
        <v/>
      </c>
      <c r="GT29">
        <f>GT28*IF(OR($C28=97,$G28=97),0,1)</f>
        <v/>
      </c>
      <c r="GU29">
        <f>GU28*IF(OR($C28=98,$G28=98),0,1)</f>
        <v/>
      </c>
      <c r="GV29">
        <f>GV28*IF(OR($C28=99,$G28=99),0,1)</f>
        <v/>
      </c>
      <c r="GW29">
        <f>GW28*IF(OR($C28=100,$G28=100),0,1)</f>
        <v/>
      </c>
      <c r="GX29">
        <f>GX28*IF(OR($C28=101,$G28=101),0,1)</f>
        <v/>
      </c>
      <c r="GY29">
        <f>GY28*IF(OR($C28=102,$G28=102),0,1)</f>
        <v/>
      </c>
      <c r="GZ29">
        <f>GZ28*IF(OR($C28=103,$G28=103),0,1)</f>
        <v/>
      </c>
      <c r="HA29">
        <f>HA28*IF(OR($C28=104,$G28=104),0,1)</f>
        <v/>
      </c>
      <c r="HB29">
        <f>HB28*IF(OR($C28=105,$G28=105),0,1)</f>
        <v/>
      </c>
      <c r="HC29">
        <f>HC28*IF(OR($C28=106,$G28=106),0,1)</f>
        <v/>
      </c>
      <c r="HD29">
        <f>HD28*IF(OR($C28=107,$G28=107),0,1)</f>
        <v/>
      </c>
      <c r="HE29">
        <f>HE28*IF(OR($C28=108,$G28=108),0,1)</f>
        <v/>
      </c>
      <c r="HF29">
        <f>HF28*IF(OR($C28=109,$G28=109),0,1)</f>
        <v/>
      </c>
      <c r="HG29">
        <f>HG28*IF(OR($C28=110,$G28=110),0,1)</f>
        <v/>
      </c>
      <c r="HH29">
        <f>HH28*IF(OR($C28=111,$G28=111),0,1)</f>
        <v/>
      </c>
      <c r="HI29">
        <f>HI28*IF(OR($C28=112,$G28=112),0,1)</f>
        <v/>
      </c>
      <c r="HJ29">
        <f>HJ28*IF(OR($C28=113,$G28=113),0,1)</f>
        <v/>
      </c>
      <c r="HK29">
        <f>HK28*IF(OR($C28=114,$G28=114),0,1)</f>
        <v/>
      </c>
      <c r="HL29">
        <f>HL28*IF(OR($C28=115,$G28=115),0,1)</f>
        <v/>
      </c>
      <c r="HM29">
        <f>HM28*IF(OR($C28=116,$G28=116),0,1)</f>
        <v/>
      </c>
      <c r="HN29">
        <f>HN28*IF(OR($C28=117,$G28=117),0,1)</f>
        <v/>
      </c>
      <c r="HO29">
        <f>HO28*IF(OR($C28=118,$G28=118),0,1)</f>
        <v/>
      </c>
      <c r="HP29">
        <f>HP28*IF(OR($C28=119,$G28=119),0,1)</f>
        <v/>
      </c>
      <c r="HQ29">
        <f>HQ28*IF(OR($C28=120,$G28=120),0,1)</f>
        <v/>
      </c>
      <c r="HR29">
        <f>HR28*IF(OR($C28=121,$G28=121),0,1)</f>
        <v/>
      </c>
      <c r="HS29">
        <f>HS28*IF(OR($C28=122,$G28=122),0,1)</f>
        <v/>
      </c>
      <c r="HT29">
        <f>HT28*IF(OR($C28=123,$G28=123),0,1)</f>
        <v/>
      </c>
      <c r="HU29">
        <f>HU28*IF(OR($C28=124,$G28=124),0,1)</f>
        <v/>
      </c>
      <c r="HV29">
        <f>HV28*IF(OR($C28=125,$G28=125),0,1)</f>
        <v/>
      </c>
      <c r="HW29">
        <f>HW28*IF(OR($C28=126,$G28=126),0,1)</f>
        <v/>
      </c>
      <c r="HX29">
        <f>HX28*IF(OR($C28=127,$G28=127),0,1)</f>
        <v/>
      </c>
      <c r="HY29">
        <f>HY28*IF(OR($C28=128,$G28=128),0,1)</f>
        <v/>
      </c>
      <c r="HZ29">
        <f>HZ28*IF(OR($C28=129,$G28=129),0,1)</f>
        <v/>
      </c>
      <c r="IA29">
        <f>IA28*IF(OR($C28=130,$G28=130),0,1)</f>
        <v/>
      </c>
      <c r="IB29">
        <f>IB28*IF(OR($C28=131,$G28=131),0,1)</f>
        <v/>
      </c>
      <c r="IC29">
        <f>IC28*IF(OR($C28=132,$G28=132),0,1)</f>
        <v/>
      </c>
      <c r="ID29">
        <f>ID28*IF(OR($C28=133,$G28=133),0,1)</f>
        <v/>
      </c>
      <c r="IE29">
        <f>IE28*IF(OR($C28=134,$G28=134),0,1)</f>
        <v/>
      </c>
      <c r="IF29">
        <f>IF28*IF(OR($C28=135,$G28=135),0,1)</f>
        <v/>
      </c>
      <c r="IG29">
        <f>IG28*IF(OR($C28=136,$G28=136),0,1)</f>
        <v/>
      </c>
      <c r="IH29">
        <f>IH28*IF(OR($C28=137,$G28=137),0,1)</f>
        <v/>
      </c>
      <c r="II29">
        <f>II28*IF(OR($C28=138,$G28=138),0,1)</f>
        <v/>
      </c>
      <c r="IJ29">
        <f>IJ28*IF(OR($C28=139,$G28=139),0,1)</f>
        <v/>
      </c>
      <c r="IK29">
        <f>IK28*IF(OR($C28=140,$G28=140),0,1)</f>
        <v/>
      </c>
      <c r="IL29">
        <f>IL28*IF(OR($C28=141,$G28=141),0,1)</f>
        <v/>
      </c>
      <c r="IM29">
        <f>IM28*IF(OR($C28=142,$G28=142),0,1)</f>
        <v/>
      </c>
      <c r="IN29">
        <f>IN28*IF(OR($C28=143,$G28=143),0,1)</f>
        <v/>
      </c>
      <c r="IO29">
        <f>IO28*IF(OR($C28=144,$G28=144),0,1)</f>
        <v/>
      </c>
      <c r="IQ29">
        <f>IF('計算A'!D$106=1,DC29,1)</f>
        <v/>
      </c>
      <c r="IR29">
        <f>IF('計算A'!E$106=1,DD29,1)</f>
        <v/>
      </c>
      <c r="IS29">
        <f>IF('計算A'!F$106=1,DE29,1)</f>
        <v/>
      </c>
      <c r="IT29">
        <f>IF('計算A'!G$106=1,DF29,1)</f>
        <v/>
      </c>
      <c r="IU29">
        <f>IF('計算A'!H$106=1,DG29,1)</f>
        <v/>
      </c>
      <c r="IV29">
        <f>IF('計算A'!I$106=1,DH29,1)</f>
        <v/>
      </c>
      <c r="IW29">
        <f>IF('計算A'!J$106=1,DI29,1)</f>
        <v/>
      </c>
      <c r="IX29">
        <f>IF('計算A'!K$106=1,DJ29,1)</f>
        <v/>
      </c>
      <c r="IY29">
        <f>IF('計算A'!L$106=1,DK29,1)</f>
        <v/>
      </c>
      <c r="IZ29">
        <f>IF('計算A'!M$106=1,DL29,1)</f>
        <v/>
      </c>
      <c r="JA29">
        <f>IF('計算A'!N$106=1,DM29,1)</f>
        <v/>
      </c>
      <c r="JB29">
        <f>IF('計算A'!O$106=1,DN29,1)</f>
        <v/>
      </c>
      <c r="JC29">
        <f>IF('計算A'!P$106=1,DO29,1)</f>
        <v/>
      </c>
      <c r="JD29">
        <f>IF('計算A'!Q$106=1,DP29,1)</f>
        <v/>
      </c>
      <c r="JE29">
        <f>IF('計算A'!R$106=1,DQ29,1)</f>
        <v/>
      </c>
      <c r="JF29">
        <f>IF('計算A'!S$106=1,DR29,1)</f>
        <v/>
      </c>
      <c r="JG29">
        <f>IF('計算A'!T$106=1,DS29,1)</f>
        <v/>
      </c>
      <c r="JH29">
        <f>IF('計算A'!U$106=1,DT29,1)</f>
        <v/>
      </c>
      <c r="JI29">
        <f>IF('計算A'!V$106=1,DU29,1)</f>
        <v/>
      </c>
      <c r="JJ29">
        <f>IF('計算A'!W$106=1,DV29,1)</f>
        <v/>
      </c>
      <c r="JK29">
        <f>IF('計算A'!X$106=1,DW29,1)</f>
        <v/>
      </c>
      <c r="JL29">
        <f>IF('計算A'!Y$106=1,DX29,1)</f>
        <v/>
      </c>
      <c r="JM29">
        <f>IF('計算A'!Z$106=1,DY29,1)</f>
        <v/>
      </c>
      <c r="JN29">
        <f>IF('計算A'!AA$106=1,DZ29,1)</f>
        <v/>
      </c>
      <c r="JO29">
        <f>IF('計算A'!AB$106=1,EA29,1)</f>
        <v/>
      </c>
      <c r="JP29">
        <f>IF('計算A'!AC$106=1,EB29,1)</f>
        <v/>
      </c>
      <c r="JQ29">
        <f>IF('計算A'!AD$106=1,EC29,1)</f>
        <v/>
      </c>
      <c r="JR29">
        <f>IF('計算A'!AE$106=1,ED29,1)</f>
        <v/>
      </c>
      <c r="JS29">
        <f>IF('計算A'!AF$106=1,EE29,1)</f>
        <v/>
      </c>
      <c r="JT29">
        <f>IF('計算A'!AG$106=1,EF29,1)</f>
        <v/>
      </c>
      <c r="JU29">
        <f>IF('計算A'!AH$106=1,EG29,1)</f>
        <v/>
      </c>
      <c r="JV29">
        <f>IF('計算A'!AI$106=1,EH29,1)</f>
        <v/>
      </c>
      <c r="JW29">
        <f>IF('計算A'!AJ$106=1,EI29,1)</f>
        <v/>
      </c>
      <c r="JX29">
        <f>IF('計算A'!AK$106=1,EJ29,1)</f>
        <v/>
      </c>
      <c r="JY29">
        <f>IF('計算A'!AL$106=1,EK29,1)</f>
        <v/>
      </c>
      <c r="JZ29">
        <f>IF('計算A'!AM$106=1,EL29,1)</f>
        <v/>
      </c>
      <c r="KA29">
        <f>IF('計算A'!AN$106=1,EM29,1)</f>
        <v/>
      </c>
      <c r="KB29">
        <f>IF('計算A'!AO$106=1,EN29,1)</f>
        <v/>
      </c>
      <c r="KC29">
        <f>IF('計算A'!AP$106=1,EO29,1)</f>
        <v/>
      </c>
      <c r="KD29">
        <f>IF('計算A'!AQ$106=1,EP29,1)</f>
        <v/>
      </c>
      <c r="KE29">
        <f>IF('計算A'!AR$106=1,EQ29,1)</f>
        <v/>
      </c>
      <c r="KF29">
        <f>IF('計算A'!AS$106=1,ER29,1)</f>
        <v/>
      </c>
      <c r="KG29">
        <f>IF('計算A'!AT$106=1,ES29,1)</f>
        <v/>
      </c>
      <c r="KH29">
        <f>IF('計算A'!AU$106=1,ET29,1)</f>
        <v/>
      </c>
      <c r="KI29">
        <f>IF('計算A'!AV$106=1,EU29,1)</f>
        <v/>
      </c>
      <c r="KJ29">
        <f>IF('計算A'!AW$106=1,EV29,1)</f>
        <v/>
      </c>
      <c r="KK29">
        <f>IF('計算A'!AX$106=1,EW29,1)</f>
        <v/>
      </c>
      <c r="KL29">
        <f>IF('計算A'!AY$106=1,EX29,1)</f>
        <v/>
      </c>
      <c r="KM29">
        <f>IF('計算A'!AZ$106=1,EY29,1)</f>
        <v/>
      </c>
      <c r="KN29">
        <f>IF('計算A'!BA$106=1,EZ29,1)</f>
        <v/>
      </c>
      <c r="KO29">
        <f>IF('計算A'!BB$106=1,FA29,1)</f>
        <v/>
      </c>
      <c r="KP29">
        <f>IF('計算A'!BC$106=1,FB29,1)</f>
        <v/>
      </c>
      <c r="KQ29">
        <f>IF('計算A'!BD$106=1,FC29,1)</f>
        <v/>
      </c>
      <c r="KR29">
        <f>IF('計算A'!BE$106=1,FD29,1)</f>
        <v/>
      </c>
      <c r="KS29">
        <f>IF('計算A'!BF$106=1,FE29,1)</f>
        <v/>
      </c>
      <c r="KT29">
        <f>IF('計算A'!BG$106=1,FF29,1)</f>
        <v/>
      </c>
      <c r="KU29">
        <f>IF('計算A'!BH$106=1,FG29,1)</f>
        <v/>
      </c>
      <c r="KV29">
        <f>IF('計算A'!BI$106=1,FH29,1)</f>
        <v/>
      </c>
      <c r="KW29">
        <f>IF('計算A'!BJ$106=1,FI29,1)</f>
        <v/>
      </c>
      <c r="KX29">
        <f>IF('計算A'!BK$106=1,FJ29,1)</f>
        <v/>
      </c>
      <c r="KY29">
        <f>IF('計算A'!BL$106=1,FK29,1)</f>
        <v/>
      </c>
      <c r="KZ29">
        <f>IF('計算A'!BM$106=1,FL29,1)</f>
        <v/>
      </c>
      <c r="LA29">
        <f>IF('計算A'!BN$106=1,FM29,1)</f>
        <v/>
      </c>
      <c r="LB29">
        <f>IF('計算A'!BO$106=1,FN29,1)</f>
        <v/>
      </c>
      <c r="LC29">
        <f>IF('計算A'!BP$106=1,FO29,1)</f>
        <v/>
      </c>
      <c r="LD29">
        <f>IF('計算A'!BQ$106=1,FP29,1)</f>
        <v/>
      </c>
      <c r="LE29">
        <f>IF('計算A'!BR$106=1,FQ29,1)</f>
        <v/>
      </c>
      <c r="LF29">
        <f>IF('計算A'!BS$106=1,FR29,1)</f>
        <v/>
      </c>
      <c r="LG29">
        <f>IF('計算A'!BT$106=1,FS29,1)</f>
        <v/>
      </c>
      <c r="LH29">
        <f>IF('計算A'!BU$106=1,FT29,1)</f>
        <v/>
      </c>
      <c r="LI29">
        <f>IF('計算A'!BV$106=1,FU29,1)</f>
        <v/>
      </c>
      <c r="LJ29">
        <f>IF('計算A'!BW$106=1,FV29,1)</f>
        <v/>
      </c>
      <c r="LK29">
        <f>IF('計算A'!BX$106=1,FW29,1)</f>
        <v/>
      </c>
      <c r="LL29">
        <f>IF('計算A'!BY$106=1,FX29,1)</f>
        <v/>
      </c>
      <c r="LM29">
        <f>IF('計算A'!BZ$106=1,FY29,1)</f>
        <v/>
      </c>
      <c r="LN29">
        <f>IF('計算A'!CA$106=1,FZ29,1)</f>
        <v/>
      </c>
      <c r="LO29">
        <f>IF('計算A'!CB$106=1,GA29,1)</f>
        <v/>
      </c>
      <c r="LP29">
        <f>IF('計算A'!CC$106=1,GB29,1)</f>
        <v/>
      </c>
      <c r="LQ29">
        <f>IF('計算A'!CD$106=1,GC29,1)</f>
        <v/>
      </c>
      <c r="LR29">
        <f>IF('計算A'!CE$106=1,GD29,1)</f>
        <v/>
      </c>
      <c r="LS29">
        <f>IF('計算A'!CF$106=1,GE29,1)</f>
        <v/>
      </c>
      <c r="LT29">
        <f>IF('計算A'!CG$106=1,GF29,1)</f>
        <v/>
      </c>
      <c r="LU29">
        <f>IF('計算A'!CH$106=1,GG29,1)</f>
        <v/>
      </c>
      <c r="LV29">
        <f>IF('計算A'!CI$106=1,GH29,1)</f>
        <v/>
      </c>
      <c r="LW29">
        <f>IF('計算A'!CJ$106=1,GI29,1)</f>
        <v/>
      </c>
      <c r="LX29">
        <f>IF('計算A'!CK$106=1,GJ29,1)</f>
        <v/>
      </c>
      <c r="LY29">
        <f>IF('計算A'!CL$106=1,GK29,1)</f>
        <v/>
      </c>
      <c r="LZ29">
        <f>IF('計算A'!CM$106=1,GL29,1)</f>
        <v/>
      </c>
      <c r="MA29">
        <f>IF('計算A'!CN$106=1,GM29,1)</f>
        <v/>
      </c>
      <c r="MB29">
        <f>IF('計算A'!CO$106=1,GN29,1)</f>
        <v/>
      </c>
      <c r="MC29">
        <f>IF('計算A'!CP$106=1,GO29,1)</f>
        <v/>
      </c>
      <c r="MD29">
        <f>IF('計算A'!CQ$106=1,GP29,1)</f>
        <v/>
      </c>
      <c r="ME29">
        <f>IF('計算A'!CR$106=1,GQ29,1)</f>
        <v/>
      </c>
      <c r="MF29">
        <f>IF('計算A'!CS$106=1,GR29,1)</f>
        <v/>
      </c>
      <c r="MG29">
        <f>IF('計算A'!CT$106=1,GS29,1)</f>
        <v/>
      </c>
      <c r="MH29">
        <f>IF('計算A'!CU$106=1,GT29,1)</f>
        <v/>
      </c>
      <c r="MI29">
        <f>IF('計算A'!CV$106=1,GU29,1)</f>
        <v/>
      </c>
      <c r="MJ29">
        <f>IF('計算A'!CW$106=1,GV29,1)</f>
        <v/>
      </c>
      <c r="MK29">
        <f>IF('計算A'!CX$106=1,GW29,1)</f>
        <v/>
      </c>
      <c r="ML29">
        <f>IF('計算A'!CY$106=1,GX29,1)</f>
        <v/>
      </c>
      <c r="MM29">
        <f>IF('計算A'!CZ$106=1,GY29,1)</f>
        <v/>
      </c>
      <c r="MN29">
        <f>IF('計算A'!DA$106=1,GZ29,1)</f>
        <v/>
      </c>
      <c r="MO29">
        <f>IF('計算A'!DB$106=1,HA29,1)</f>
        <v/>
      </c>
      <c r="MP29">
        <f>IF('計算A'!DC$106=1,HB29,1)</f>
        <v/>
      </c>
      <c r="MQ29">
        <f>IF('計算A'!DD$106=1,HC29,1)</f>
        <v/>
      </c>
      <c r="MR29">
        <f>IF('計算A'!DE$106=1,HD29,1)</f>
        <v/>
      </c>
      <c r="MS29">
        <f>IF('計算A'!DF$106=1,HE29,1)</f>
        <v/>
      </c>
      <c r="MT29">
        <f>IF('計算A'!DG$106=1,HF29,1)</f>
        <v/>
      </c>
      <c r="MU29">
        <f>IF('計算A'!DH$106=1,HG29,1)</f>
        <v/>
      </c>
      <c r="MV29">
        <f>IF('計算A'!DI$106=1,HH29,1)</f>
        <v/>
      </c>
      <c r="MW29">
        <f>IF('計算A'!DJ$106=1,HI29,1)</f>
        <v/>
      </c>
      <c r="MX29">
        <f>IF('計算A'!DK$106=1,HJ29,1)</f>
        <v/>
      </c>
      <c r="MY29">
        <f>IF('計算A'!DL$106=1,HK29,1)</f>
        <v/>
      </c>
      <c r="MZ29">
        <f>IF('計算A'!DM$106=1,HL29,1)</f>
        <v/>
      </c>
      <c r="NA29">
        <f>IF('計算A'!DN$106=1,HM29,1)</f>
        <v/>
      </c>
      <c r="NB29">
        <f>IF('計算A'!DO$106=1,HN29,1)</f>
        <v/>
      </c>
      <c r="NC29">
        <f>IF('計算A'!DP$106=1,HO29,1)</f>
        <v/>
      </c>
      <c r="ND29">
        <f>IF('計算A'!DQ$106=1,HP29,1)</f>
        <v/>
      </c>
      <c r="NE29">
        <f>IF('計算A'!DR$106=1,HQ29,1)</f>
        <v/>
      </c>
      <c r="NF29">
        <f>IF('計算A'!DS$106=1,HR29,1)</f>
        <v/>
      </c>
      <c r="NG29">
        <f>IF('計算A'!DT$106=1,HS29,1)</f>
        <v/>
      </c>
      <c r="NH29">
        <f>IF('計算A'!DU$106=1,HT29,1)</f>
        <v/>
      </c>
      <c r="NI29">
        <f>IF('計算A'!DV$106=1,HU29,1)</f>
        <v/>
      </c>
      <c r="NJ29">
        <f>IF('計算A'!DW$106=1,HV29,1)</f>
        <v/>
      </c>
      <c r="NK29">
        <f>IF('計算A'!DX$106=1,HW29,1)</f>
        <v/>
      </c>
      <c r="NL29">
        <f>IF('計算A'!DY$106=1,HX29,1)</f>
        <v/>
      </c>
      <c r="NM29">
        <f>IF('計算A'!DZ$106=1,HY29,1)</f>
        <v/>
      </c>
      <c r="NN29">
        <f>IF('計算A'!EA$106=1,HZ29,1)</f>
        <v/>
      </c>
      <c r="NO29">
        <f>IF('計算A'!EB$106=1,IA29,1)</f>
        <v/>
      </c>
      <c r="NP29">
        <f>IF('計算A'!EC$106=1,IB29,1)</f>
        <v/>
      </c>
      <c r="NQ29">
        <f>IF('計算A'!ED$106=1,IC29,1)</f>
        <v/>
      </c>
      <c r="NR29">
        <f>IF('計算A'!EE$106=1,ID29,1)</f>
        <v/>
      </c>
      <c r="NS29">
        <f>IF('計算A'!EF$106=1,IE29,1)</f>
        <v/>
      </c>
      <c r="NT29">
        <f>IF('計算A'!EG$106=1,IF29,1)</f>
        <v/>
      </c>
      <c r="NU29">
        <f>IF('計算A'!EH$106=1,IG29,1)</f>
        <v/>
      </c>
      <c r="NV29">
        <f>IF('計算A'!EI$106=1,IH29,1)</f>
        <v/>
      </c>
      <c r="NW29">
        <f>IF('計算A'!EJ$106=1,II29,1)</f>
        <v/>
      </c>
      <c r="NX29">
        <f>IF('計算A'!EK$106=1,IJ29,1)</f>
        <v/>
      </c>
      <c r="NY29">
        <f>IF('計算A'!EL$106=1,IK29,1)</f>
        <v/>
      </c>
      <c r="NZ29">
        <f>IF('計算A'!EM$106=1,IL29,1)</f>
        <v/>
      </c>
      <c r="OA29">
        <f>IF('計算A'!EN$106=1,IM29,1)</f>
        <v/>
      </c>
      <c r="OB29">
        <f>IF('計算A'!EO$106=1,IN29,1)</f>
        <v/>
      </c>
      <c r="OC29">
        <f>IF('計算A'!EP$106=1,IO29,1)</f>
        <v/>
      </c>
      <c r="OD29" t="n">
        <v>1</v>
      </c>
      <c r="OF29">
        <f>IF($B29=0,1000000,IF(INDEX('計算A'!$D$60:$EQ$104,$B29,1)*DB29=1,IF(AND($E29=2,IQ29=0),1000000,IF($I29&gt;0,IF(1=$J29,IF(OR(AND(1=$I29+1,OR($K29&lt;&gt;'計算A'!$A$3,'計算A'!$A$4=0)),AND(1=$I29-1,OR(1&lt;&gt;'計算A'!$A$3,'計算A'!$A$4=0))),0,IF(1=$K29,200000,ABS(1-$K29)*100)),100000+ABS(1-$J29)*1000+10)+'計算A'!D$5*50+IF(AND($E29=1,IQ29=0),25,0),INDEX('計算A'!D$110:D$114,$F29+1)+IF(AND($E29=1,IQ29=0),1000,0)+IF($H29=1,(IF('計算A'!D$117=1,INDEX('計算A'!E$10:E$54,$B29),0))*500,0)-IF(AND($L29=1,'計算A'!D$117=1,DC29=0),300,0))),1000000))</f>
        <v/>
      </c>
      <c r="OG29">
        <f>IF($B29=0,1000000,IF(INDEX('計算A'!$D$60:$EQ$104,$B29,2)*DC29=1,IF(AND($E29=2,IR29=0),1000000,IF($I29&gt;0,IF(1=$J29,IF(OR(AND(2=$I29+1,OR($K29&lt;&gt;'計算A'!$A$3,'計算A'!$A$4=0)),AND(2=$I29-1,OR(2&lt;&gt;'計算A'!$A$3,'計算A'!$A$4=0))),0,IF(2=$K29,200000,ABS(2-$K29)*100)),100000+ABS(1-$J29)*1000+20)+'計算A'!E$5*50+IF(AND($E29=1,IR29=0),25,0),INDEX('計算A'!E$110:E$114,$F29+1)+IF(AND($E29=1,IR29=0),1000,0)+IF($H29=1,(IF('計算A'!D$117=1,INDEX('計算A'!D$10:D$54,$B29),0)+IF('計算A'!E$117=1,INDEX('計算A'!F$10:F$54,$B29),0))*500,0)-IF(AND('計算A'!D$117=1,UB29&gt;0),300,0)-IF(AND($L29=1,'計算A'!E$117=1,DD29=0),300,0))),1000000))</f>
        <v/>
      </c>
      <c r="OH29">
        <f>IF($B29=0,1000000,IF(INDEX('計算A'!$D$60:$EQ$104,$B29,3)*DD29=1,IF(AND($E29=2,IS29=0),1000000,IF($I29&gt;0,IF(1=$J29,IF(OR(AND(3=$I29+1,OR($K29&lt;&gt;'計算A'!$A$3,'計算A'!$A$4=0)),AND(3=$I29-1,OR(3&lt;&gt;'計算A'!$A$3,'計算A'!$A$4=0))),0,IF(3=$K29,200000,ABS(3-$K29)*100)),100000+ABS(1-$J29)*1000+30)+'計算A'!F$5*50+IF(AND($E29=1,IS29=0),25,0),INDEX('計算A'!F$110:F$114,$F29+1)+IF(AND($E29=1,IS29=0),1000,0)+IF($H29=1,(IF('計算A'!E$117=1,INDEX('計算A'!E$10:E$54,$B29),0)+IF('計算A'!F$117=1,INDEX('計算A'!G$10:G$54,$B29),0))*500,0)-IF(AND('計算A'!E$117=1,UC29&gt;0),300,0)-IF(AND($L29=1,'計算A'!F$117=1,DE29=0),300,0))),1000000))</f>
        <v/>
      </c>
      <c r="OI29">
        <f>IF($B29=0,1000000,IF(INDEX('計算A'!$D$60:$EQ$104,$B29,4)*DE29=1,IF(AND($E29=2,IT29=0),1000000,IF($I29&gt;0,IF(1=$J29,IF(OR(AND(4=$I29+1,OR($K29&lt;&gt;'計算A'!$A$3,'計算A'!$A$4=0)),AND(4=$I29-1,OR(4&lt;&gt;'計算A'!$A$3,'計算A'!$A$4=0))),0,IF(4=$K29,200000,ABS(4-$K29)*100)),100000+ABS(1-$J29)*1000+40)+'計算A'!G$5*50+IF(AND($E29=1,IT29=0),25,0),INDEX('計算A'!G$110:G$114,$F29+1)+IF(AND($E29=1,IT29=0),1000,0)+IF($H29=1,(IF('計算A'!F$117=1,INDEX('計算A'!F$10:F$54,$B29),0)+IF('計算A'!G$117=1,INDEX('計算A'!H$10:H$54,$B29),0))*500,0)-IF(AND('計算A'!F$117=1,UD29&gt;0),300,0)-IF(AND($L29=1,'計算A'!G$117=1,DF29=0),300,0))),1000000))</f>
        <v/>
      </c>
      <c r="OJ29">
        <f>IF($B29=0,1000000,IF(INDEX('計算A'!$D$60:$EQ$104,$B29,5)*DF29=1,IF(AND($E29=2,IU29=0),1000000,IF($I29&gt;0,IF(1=$J29,IF(OR(AND(5=$I29+1,OR($K29&lt;&gt;'計算A'!$A$3,'計算A'!$A$4=0)),AND(5=$I29-1,OR(5&lt;&gt;'計算A'!$A$3,'計算A'!$A$4=0))),0,IF(5=$K29,200000,ABS(5-$K29)*100)),100000+ABS(1-$J29)*1000+50)+'計算A'!H$5*50+IF(AND($E29=1,IU29=0),25,0),INDEX('計算A'!H$110:H$114,$F29+1)+IF(AND($E29=1,IU29=0),1000,0)+IF($H29=1,(IF('計算A'!G$117=1,INDEX('計算A'!G$10:G$54,$B29),0)+IF('計算A'!H$117=1,INDEX('計算A'!I$10:I$54,$B29),0))*500,0)-IF(AND('計算A'!G$117=1,UE29&gt;0),300,0)-IF(AND($L29=1,'計算A'!H$117=1,DG29=0),300,0))),1000000))</f>
        <v/>
      </c>
      <c r="OK29">
        <f>IF($B29=0,1000000,IF(INDEX('計算A'!$D$60:$EQ$104,$B29,6)*DG29=1,IF(AND($E29=2,IV29=0),1000000,IF($I29&gt;0,IF(1=$J29,IF(OR(AND(6=$I29+1,OR($K29&lt;&gt;'計算A'!$A$3,'計算A'!$A$4=0)),AND(6=$I29-1,OR(6&lt;&gt;'計算A'!$A$3,'計算A'!$A$4=0))),0,IF(6=$K29,200000,ABS(6-$K29)*100)),100000+ABS(1-$J29)*1000+60)+'計算A'!I$5*50+IF(AND($E29=1,IV29=0),25,0),INDEX('計算A'!I$110:I$114,$F29+1)+IF(AND($E29=1,IV29=0),1000,0)+IF($H29=1,(IF('計算A'!H$117=1,INDEX('計算A'!H$10:H$54,$B29),0)+IF('計算A'!I$117=1,INDEX('計算A'!J$10:J$54,$B29),0))*500,0)-IF(AND('計算A'!H$117=1,UF29&gt;0),300,0)-IF(AND($L29=1,'計算A'!I$117=1,DH29=0),300,0))),1000000))</f>
        <v/>
      </c>
      <c r="OL29">
        <f>IF($B29=0,1000000,IF(INDEX('計算A'!$D$60:$EQ$104,$B29,7)*DH29=1,IF(AND($E29=2,IW29=0),1000000,IF($I29&gt;0,IF(1=$J29,IF(OR(AND(7=$I29+1,OR($K29&lt;&gt;'計算A'!$A$3,'計算A'!$A$4=0)),AND(7=$I29-1,OR(7&lt;&gt;'計算A'!$A$3,'計算A'!$A$4=0))),0,IF(7=$K29,200000,ABS(7-$K29)*100)),100000+ABS(1-$J29)*1000+70)+'計算A'!J$5*50+IF(AND($E29=1,IW29=0),25,0),INDEX('計算A'!J$110:J$114,$F29+1)+IF(AND($E29=1,IW29=0),1000,0)+IF($H29=1,(IF('計算A'!I$117=1,INDEX('計算A'!I$10:I$54,$B29),0)+IF('計算A'!J$117=1,INDEX('計算A'!K$10:K$54,$B29),0))*500,0)-IF(AND('計算A'!I$117=1,UG29&gt;0),300,0)-IF(AND($L29=1,'計算A'!J$117=1,DI29=0),300,0))),1000000))</f>
        <v/>
      </c>
      <c r="OM29">
        <f>IF($B29=0,1000000,IF(INDEX('計算A'!$D$60:$EQ$104,$B29,8)*DI29=1,IF(AND($E29=2,IX29=0),1000000,IF($I29&gt;0,IF(1=$J29,IF(OR(AND(8=$I29+1,OR($K29&lt;&gt;'計算A'!$A$3,'計算A'!$A$4=0)),AND(8=$I29-1,OR(8&lt;&gt;'計算A'!$A$3,'計算A'!$A$4=0))),0,IF(8=$K29,200000,ABS(8-$K29)*100)),100000+ABS(1-$J29)*1000+80)+'計算A'!K$5*50+IF(AND($E29=1,IX29=0),25,0),INDEX('計算A'!K$110:K$114,$F29+1)+IF(AND($E29=1,IX29=0),1000,0)+IF($H29=1,(IF('計算A'!J$117=1,INDEX('計算A'!J$10:J$54,$B29),0)+IF('計算A'!K$117=1,INDEX('計算A'!L$10:L$54,$B29),0))*500,0)-IF(AND('計算A'!J$117=1,UH29&gt;0),300,0)-IF(AND($L29=1,'計算A'!K$117=1,DJ29=0),300,0))),1000000))</f>
        <v/>
      </c>
      <c r="ON29">
        <f>IF($B29=0,1000000,IF(INDEX('計算A'!$D$60:$EQ$104,$B29,9)*DJ29=1,IF(AND($E29=2,IY29=0),1000000,IF($I29&gt;0,IF(1=$J29,IF(OR(AND(9=$I29+1,OR($K29&lt;&gt;'計算A'!$A$3,'計算A'!$A$4=0)),AND(9=$I29-1,OR(9&lt;&gt;'計算A'!$A$3,'計算A'!$A$4=0))),0,IF(9=$K29,200000,ABS(9-$K29)*100)),100000+ABS(1-$J29)*1000+90)+'計算A'!L$5*50+IF(AND($E29=1,IY29=0),25,0),INDEX('計算A'!L$110:L$114,$F29+1)+IF(AND($E29=1,IY29=0),1000,0)+IF($H29=1,(IF('計算A'!K$117=1,INDEX('計算A'!K$10:K$54,$B29),0)+IF('計算A'!L$117=1,INDEX('計算A'!M$10:M$54,$B29),0))*500,0)-IF(AND('計算A'!K$117=1,UI29&gt;0),300,0)-IF(AND($L29=1,'計算A'!L$117=1,DK29=0),300,0))),1000000))</f>
        <v/>
      </c>
      <c r="OO29">
        <f>IF($B29=0,1000000,IF(INDEX('計算A'!$D$60:$EQ$104,$B29,10)*DK29=1,IF(AND($E29=2,IZ29=0),1000000,IF($I29&gt;0,IF(1=$J29,IF(OR(AND(10=$I29+1,OR($K29&lt;&gt;'計算A'!$A$3,'計算A'!$A$4=0)),AND(10=$I29-1,OR(10&lt;&gt;'計算A'!$A$3,'計算A'!$A$4=0))),0,IF(10=$K29,200000,ABS(10-$K29)*100)),100000+ABS(1-$J29)*1000+100)+'計算A'!M$5*50+IF(AND($E29=1,IZ29=0),25,0),INDEX('計算A'!M$110:M$114,$F29+1)+IF(AND($E29=1,IZ29=0),1000,0)+IF($H29=1,(IF('計算A'!L$117=1,INDEX('計算A'!L$10:L$54,$B29),0)+IF('計算A'!M$117=1,INDEX('計算A'!N$10:N$54,$B29),0))*500,0)-IF(AND('計算A'!L$117=1,UJ29&gt;0),300,0)-IF(AND($L29=1,'計算A'!M$117=1,DL29=0),300,0))),1000000))</f>
        <v/>
      </c>
      <c r="OP29">
        <f>IF($B29=0,1000000,IF(INDEX('計算A'!$D$60:$EQ$104,$B29,11)*DL29=1,IF(AND($E29=2,JA29=0),1000000,IF($I29&gt;0,IF(1=$J29,IF(OR(AND(11=$I29+1,OR($K29&lt;&gt;'計算A'!$A$3,'計算A'!$A$4=0)),AND(11=$I29-1,OR(11&lt;&gt;'計算A'!$A$3,'計算A'!$A$4=0))),0,IF(11=$K29,200000,ABS(11-$K29)*100)),100000+ABS(1-$J29)*1000+110)+'計算A'!N$5*50+IF(AND($E29=1,JA29=0),25,0),INDEX('計算A'!N$110:N$114,$F29+1)+IF(AND($E29=1,JA29=0),1000,0)+IF($H29=1,(IF('計算A'!M$117=1,INDEX('計算A'!M$10:M$54,$B29),0)+IF('計算A'!N$117=1,INDEX('計算A'!O$10:O$54,$B29),0))*500,0)-IF(AND('計算A'!M$117=1,UK29&gt;0),300,0)-IF(AND($L29=1,'計算A'!N$117=1,DM29=0),300,0))),1000000))</f>
        <v/>
      </c>
      <c r="OQ29">
        <f>IF($B29=0,1000000,IF(INDEX('計算A'!$D$60:$EQ$104,$B29,12)*DM29=1,IF(AND($E29=2,JB29=0),1000000,IF($I29&gt;0,IF(1=$J29,IF(OR(AND(12=$I29+1,OR($K29&lt;&gt;'計算A'!$A$3,'計算A'!$A$4=0)),AND(12=$I29-1,OR(12&lt;&gt;'計算A'!$A$3,'計算A'!$A$4=0))),0,IF(12=$K29,200000,ABS(12-$K29)*100)),100000+ABS(1-$J29)*1000+120)+'計算A'!O$5*50+IF(AND($E29=1,JB29=0),25,0),INDEX('計算A'!O$110:O$114,$F29+1)+IF(AND($E29=1,JB29=0),1000,0)+IF($H29=1,(IF('計算A'!N$117=1,INDEX('計算A'!N$10:N$54,$B29),0)+IF('計算A'!O$117=1,INDEX('計算A'!P$10:P$54,$B29),0))*500,0)-IF(AND('計算A'!N$117=1,UL29&gt;0),300,0)-IF(AND($L29=1,'計算A'!O$117=1,DN29=0),300,0))),1000000))</f>
        <v/>
      </c>
      <c r="OR29">
        <f>IF($B29=0,1000000,IF(INDEX('計算A'!$D$60:$EQ$104,$B29,13)*DN29=1,IF(AND($E29=2,JC29=0),1000000,IF($I29&gt;0,IF(1=$J29,IF(OR(AND(13=$I29+1,OR($K29&lt;&gt;'計算A'!$A$3,'計算A'!$A$4=0)),AND(13=$I29-1,OR(13&lt;&gt;'計算A'!$A$3,'計算A'!$A$4=0))),0,IF(13=$K29,200000,ABS(13-$K29)*100)),100000+ABS(1-$J29)*1000+130)+'計算A'!P$5*50+IF(AND($E29=1,JC29=0),25,0),INDEX('計算A'!P$110:P$114,$F29+1)+IF(AND($E29=1,JC29=0),1000,0)+IF($H29=1,(IF('計算A'!O$117=1,INDEX('計算A'!O$10:O$54,$B29),0)+IF('計算A'!P$117=1,INDEX('計算A'!Q$10:Q$54,$B29),0))*500,0)-IF(AND('計算A'!O$117=1,UM29&gt;0),300,0)-IF(AND($L29=1,'計算A'!P$117=1,DO29=0),300,0))),1000000))</f>
        <v/>
      </c>
      <c r="OS29">
        <f>IF($B29=0,1000000,IF(INDEX('計算A'!$D$60:$EQ$104,$B29,14)*DO29=1,IF(AND($E29=2,JD29=0),1000000,IF($I29&gt;0,IF(1=$J29,IF(OR(AND(14=$I29+1,OR($K29&lt;&gt;'計算A'!$A$3,'計算A'!$A$4=0)),AND(14=$I29-1,OR(14&lt;&gt;'計算A'!$A$3,'計算A'!$A$4=0))),0,IF(14=$K29,200000,ABS(14-$K29)*100)),100000+ABS(1-$J29)*1000+140)+'計算A'!Q$5*50+IF(AND($E29=1,JD29=0),25,0),INDEX('計算A'!Q$110:Q$114,$F29+1)+IF(AND($E29=1,JD29=0),1000,0)+IF($H29=1,(IF('計算A'!P$117=1,INDEX('計算A'!P$10:P$54,$B29),0)+IF('計算A'!Q$117=1,INDEX('計算A'!R$10:R$54,$B29),0))*500,0)-IF(AND('計算A'!P$117=1,UN29&gt;0),300,0)-IF(AND($L29=1,'計算A'!Q$117=1,DP29=0),300,0))),1000000))</f>
        <v/>
      </c>
      <c r="OT29">
        <f>IF($B29=0,1000000,IF(INDEX('計算A'!$D$60:$EQ$104,$B29,15)*DP29=1,IF(AND($E29=2,JE29=0),1000000,IF($I29&gt;0,IF(1=$J29,IF(OR(AND(15=$I29+1,OR($K29&lt;&gt;'計算A'!$A$3,'計算A'!$A$4=0)),AND(15=$I29-1,OR(15&lt;&gt;'計算A'!$A$3,'計算A'!$A$4=0))),0,IF(15=$K29,200000,ABS(15-$K29)*100)),100000+ABS(1-$J29)*1000+150)+'計算A'!R$5*50+IF(AND($E29=1,JE29=0),25,0),INDEX('計算A'!R$110:R$114,$F29+1)+IF(AND($E29=1,JE29=0),1000,0)+IF($H29=1,(IF('計算A'!Q$117=1,INDEX('計算A'!Q$10:Q$54,$B29),0)+IF('計算A'!R$117=1,INDEX('計算A'!S$10:S$54,$B29),0))*500,0)-IF(AND('計算A'!Q$117=1,UO29&gt;0),300,0)-IF(AND($L29=1,'計算A'!R$117=1,DQ29=0),300,0))),1000000))</f>
        <v/>
      </c>
      <c r="OU29">
        <f>IF($B29=0,1000000,IF(INDEX('計算A'!$D$60:$EQ$104,$B29,16)*DQ29=1,IF(AND($E29=2,JF29=0),1000000,IF($I29&gt;0,IF(1=$J29,IF(OR(AND(16=$I29+1,OR($K29&lt;&gt;'計算A'!$A$3,'計算A'!$A$4=0)),AND(16=$I29-1,OR(16&lt;&gt;'計算A'!$A$3,'計算A'!$A$4=0))),0,IF(16=$K29,200000,ABS(16-$K29)*100)),100000+ABS(1-$J29)*1000+160)+'計算A'!S$5*50+IF(AND($E29=1,JF29=0),25,0),INDEX('計算A'!S$110:S$114,$F29+1)+IF(AND($E29=1,JF29=0),1000,0)+IF($H29=1,(IF('計算A'!R$117=1,INDEX('計算A'!R$10:R$54,$B29),0)+IF('計算A'!S$117=1,INDEX('計算A'!T$10:T$54,$B29),0))*500,0)-IF(AND('計算A'!R$117=1,UP29&gt;0),300,0)-IF(AND($L29=1,'計算A'!S$117=1,DR29=0),300,0))),1000000))</f>
        <v/>
      </c>
      <c r="OV29">
        <f>IF($B29=0,1000000,IF(INDEX('計算A'!$D$60:$EQ$104,$B29,17)*DR29=1,IF(AND($E29=2,JG29=0),1000000,IF($I29&gt;0,IF(1=$J29,IF(OR(AND(17=$I29+1,OR($K29&lt;&gt;'計算A'!$A$3,'計算A'!$A$4=0)),AND(17=$I29-1,OR(17&lt;&gt;'計算A'!$A$3,'計算A'!$A$4=0))),0,IF(17=$K29,200000,ABS(17-$K29)*100)),100000+ABS(1-$J29)*1000+170)+'計算A'!T$5*50+IF(AND($E29=1,JG29=0),25,0),INDEX('計算A'!T$110:T$114,$F29+1)+IF(AND($E29=1,JG29=0),1000,0)+IF($H29=1,(IF('計算A'!S$117=1,INDEX('計算A'!S$10:S$54,$B29),0)+IF('計算A'!T$117=1,INDEX('計算A'!U$10:U$54,$B29),0))*500,0)-IF(AND('計算A'!S$117=1,UQ29&gt;0),300,0)-IF(AND($L29=1,'計算A'!T$117=1,DS29=0),300,0))),1000000))</f>
        <v/>
      </c>
      <c r="OW29">
        <f>IF($B29=0,1000000,IF(INDEX('計算A'!$D$60:$EQ$104,$B29,18)*DS29=1,IF(AND($E29=2,JH29=0),1000000,IF($I29&gt;0,IF(1=$J29,IF(OR(AND(18=$I29+1,OR($K29&lt;&gt;'計算A'!$A$3,'計算A'!$A$4=0)),AND(18=$I29-1,OR(18&lt;&gt;'計算A'!$A$3,'計算A'!$A$4=0))),0,IF(18=$K29,200000,ABS(18-$K29)*100)),100000+ABS(1-$J29)*1000+180)+'計算A'!U$5*50+IF(AND($E29=1,JH29=0),25,0),INDEX('計算A'!U$110:U$114,$F29+1)+IF(AND($E29=1,JH29=0),1000,0)+IF($H29=1,(IF('計算A'!T$117=1,INDEX('計算A'!T$10:T$54,$B29),0)+IF('計算A'!U$117=1,INDEX('計算A'!V$10:V$54,$B29),0))*500,0)-IF(AND('計算A'!T$117=1,UR29&gt;0),300,0)-IF(AND($L29=1,'計算A'!U$117=1,DT29=0),300,0))),1000000))</f>
        <v/>
      </c>
      <c r="OX29">
        <f>IF($B29=0,1000000,IF(INDEX('計算A'!$D$60:$EQ$104,$B29,19)*DT29=1,IF(AND($E29=2,JI29=0),1000000,IF($I29&gt;0,IF(1=$J29,IF(OR(AND(19=$I29+1,OR($K29&lt;&gt;'計算A'!$A$3,'計算A'!$A$4=0)),AND(19=$I29-1,OR(19&lt;&gt;'計算A'!$A$3,'計算A'!$A$4=0))),0,IF(19=$K29,200000,ABS(19-$K29)*100)),100000+ABS(1-$J29)*1000+190)+'計算A'!V$5*50+IF(AND($E29=1,JI29=0),25,0),INDEX('計算A'!V$110:V$114,$F29+1)+IF(AND($E29=1,JI29=0),1000,0)+IF($H29=1,(IF('計算A'!U$117=1,INDEX('計算A'!U$10:U$54,$B29),0)+IF('計算A'!V$117=1,INDEX('計算A'!W$10:W$54,$B29),0))*500,0)-IF(AND('計算A'!U$117=1,US29&gt;0),300,0)-IF(AND($L29=1,'計算A'!V$117=1,DU29=0),300,0))),1000000))</f>
        <v/>
      </c>
      <c r="OY29">
        <f>IF($B29=0,1000000,IF(INDEX('計算A'!$D$60:$EQ$104,$B29,20)*DU29=1,IF(AND($E29=2,JJ29=0),1000000,IF($I29&gt;0,IF(1=$J29,IF(OR(AND(20=$I29+1,OR($K29&lt;&gt;'計算A'!$A$3,'計算A'!$A$4=0)),AND(20=$I29-1,OR(20&lt;&gt;'計算A'!$A$3,'計算A'!$A$4=0))),0,IF(20=$K29,200000,ABS(20-$K29)*100)),100000+ABS(1-$J29)*1000+200)+'計算A'!W$5*50+IF(AND($E29=1,JJ29=0),25,0),INDEX('計算A'!W$110:W$114,$F29+1)+IF(AND($E29=1,JJ29=0),1000,0)+IF($H29=1,(IF('計算A'!V$117=1,INDEX('計算A'!V$10:V$54,$B29),0)+IF('計算A'!W$117=1,INDEX('計算A'!X$10:X$54,$B29),0))*500,0)-IF(AND('計算A'!V$117=1,UT29&gt;0),300,0)-IF(AND($L29=1,'計算A'!W$117=1,DV29=0),300,0))),1000000))</f>
        <v/>
      </c>
      <c r="OZ29">
        <f>IF($B29=0,1000000,IF(INDEX('計算A'!$D$60:$EQ$104,$B29,21)*DV29=1,IF(AND($E29=2,JK29=0),1000000,IF($I29&gt;0,IF(1=$J29,IF(OR(AND(21=$I29+1,OR($K29&lt;&gt;'計算A'!$A$3,'計算A'!$A$4=0)),AND(21=$I29-1,OR(21&lt;&gt;'計算A'!$A$3,'計算A'!$A$4=0))),0,IF(21=$K29,200000,ABS(21-$K29)*100)),100000+ABS(1-$J29)*1000+210)+'計算A'!X$5*50+IF(AND($E29=1,JK29=0),25,0),INDEX('計算A'!X$110:X$114,$F29+1)+IF(AND($E29=1,JK29=0),1000,0)+IF($H29=1,(IF('計算A'!W$117=1,INDEX('計算A'!W$10:W$54,$B29),0)+IF('計算A'!X$117=1,INDEX('計算A'!Y$10:Y$54,$B29),0))*500,0)-IF(AND('計算A'!W$117=1,UU29&gt;0),300,0)-IF(AND($L29=1,'計算A'!X$117=1,DW29=0),300,0))),1000000))</f>
        <v/>
      </c>
      <c r="PA29">
        <f>IF($B29=0,1000000,IF(INDEX('計算A'!$D$60:$EQ$104,$B29,22)*DW29=1,IF(AND($E29=2,JL29=0),1000000,IF($I29&gt;0,IF(1=$J29,IF(OR(AND(22=$I29+1,OR($K29&lt;&gt;'計算A'!$A$3,'計算A'!$A$4=0)),AND(22=$I29-1,OR(22&lt;&gt;'計算A'!$A$3,'計算A'!$A$4=0))),0,IF(22=$K29,200000,ABS(22-$K29)*100)),100000+ABS(1-$J29)*1000+220)+'計算A'!Y$5*50+IF(AND($E29=1,JL29=0),25,0),INDEX('計算A'!Y$110:Y$114,$F29+1)+IF(AND($E29=1,JL29=0),1000,0)+IF($H29=1,(IF('計算A'!X$117=1,INDEX('計算A'!X$10:X$54,$B29),0)+IF('計算A'!Y$117=1,INDEX('計算A'!Z$10:Z$54,$B29),0))*500,0)-IF(AND('計算A'!X$117=1,UV29&gt;0),300,0)-IF(AND($L29=1,'計算A'!Y$117=1,DX29=0),300,0))),1000000))</f>
        <v/>
      </c>
      <c r="PB29">
        <f>IF($B29=0,1000000,IF(INDEX('計算A'!$D$60:$EQ$104,$B29,23)*DX29=1,IF(AND($E29=2,JM29=0),1000000,IF($I29&gt;0,IF(1=$J29,IF(OR(AND(23=$I29+1,OR($K29&lt;&gt;'計算A'!$A$3,'計算A'!$A$4=0)),AND(23=$I29-1,OR(23&lt;&gt;'計算A'!$A$3,'計算A'!$A$4=0))),0,IF(23=$K29,200000,ABS(23-$K29)*100)),100000+ABS(1-$J29)*1000+230)+'計算A'!Z$5*50+IF(AND($E29=1,JM29=0),25,0),INDEX('計算A'!Z$110:Z$114,$F29+1)+IF(AND($E29=1,JM29=0),1000,0)+IF($H29=1,(IF('計算A'!Y$117=1,INDEX('計算A'!Y$10:Y$54,$B29),0)+IF('計算A'!Z$117=1,INDEX('計算A'!AA$10:AA$54,$B29),0))*500,0)-IF(AND('計算A'!Y$117=1,UW29&gt;0),300,0)-IF(AND($L29=1,'計算A'!Z$117=1,DY29=0),300,0))),1000000))</f>
        <v/>
      </c>
      <c r="PC29">
        <f>IF($B29=0,1000000,IF(INDEX('計算A'!$D$60:$EQ$104,$B29,24)*DY29=1,IF(AND($E29=2,JN29=0),1000000,IF($I29&gt;0,IF(1=$J29,IF(OR(AND(24=$I29+1,OR($K29&lt;&gt;'計算A'!$A$3,'計算A'!$A$4=0)),AND(24=$I29-1,OR(24&lt;&gt;'計算A'!$A$3,'計算A'!$A$4=0))),0,IF(24=$K29,200000,ABS(24-$K29)*100)),100000+ABS(1-$J29)*1000+240)+'計算A'!AA$5*50+IF(AND($E29=1,JN29=0),25,0),INDEX('計算A'!AA$110:AA$114,$F29+1)+IF(AND($E29=1,JN29=0),1000,0)+IF($H29=1,(IF('計算A'!Z$117=1,INDEX('計算A'!Z$10:Z$54,$B29),0))*500,0)-IF(AND('計算A'!Z$117=1,UX29&gt;0),300,0))),1000000))</f>
        <v/>
      </c>
      <c r="PD29">
        <f>IF($B29=0,1000000,IF(INDEX('計算A'!$D$60:$EQ$104,$B29,25)*DZ29=1,IF(AND($E29=2,JO29=0),1000000,IF($I29&gt;0,IF(2=$J29,IF(OR(AND(25=$I29+1,OR($K29&lt;&gt;'計算A'!$A$3,'計算A'!$A$4=0)),AND(25=$I29-1,OR(1&lt;&gt;'計算A'!$A$3,'計算A'!$A$4=0))),0,IF(1=$K29,200000,ABS(1-$K29)*100)),100000+ABS(2-$J29)*1000+10)+'計算A'!AB$5*50+IF(AND($E29=1,JO29=0),25,0),INDEX('計算A'!AB$110:AB$114,$F29+1)+IF(AND($E29=1,JO29=0),1000,0)+IF($H29=1,(IF('計算A'!AB$117=1,INDEX('計算A'!AC$10:AC$54,$B29),0))*500,0)-IF(AND($L29=1,'計算A'!AB$117=1,EA29=0),300,0))),1000000))</f>
        <v/>
      </c>
      <c r="PE29">
        <f>IF($B29=0,1000000,IF(INDEX('計算A'!$D$60:$EQ$104,$B29,26)*EA29=1,IF(AND($E29=2,JP29=0),1000000,IF($I29&gt;0,IF(2=$J29,IF(OR(AND(26=$I29+1,OR($K29&lt;&gt;'計算A'!$A$3,'計算A'!$A$4=0)),AND(26=$I29-1,OR(2&lt;&gt;'計算A'!$A$3,'計算A'!$A$4=0))),0,IF(2=$K29,200000,ABS(2-$K29)*100)),100000+ABS(2-$J29)*1000+20)+'計算A'!AC$5*50+IF(AND($E29=1,JP29=0),25,0),INDEX('計算A'!AC$110:AC$114,$F29+1)+IF(AND($E29=1,JP29=0),1000,0)+IF($H29=1,(IF('計算A'!AB$117=1,INDEX('計算A'!AB$10:AB$54,$B29),0)+IF('計算A'!AC$117=1,INDEX('計算A'!AD$10:AD$54,$B29),0))*500,0)-IF(AND('計算A'!AB$117=1,UZ29&gt;0),300,0)-IF(AND($L29=1,'計算A'!AC$117=1,EB29=0),300,0))),1000000))</f>
        <v/>
      </c>
      <c r="PF29">
        <f>IF($B29=0,1000000,IF(INDEX('計算A'!$D$60:$EQ$104,$B29,27)*EB29=1,IF(AND($E29=2,JQ29=0),1000000,IF($I29&gt;0,IF(2=$J29,IF(OR(AND(27=$I29+1,OR($K29&lt;&gt;'計算A'!$A$3,'計算A'!$A$4=0)),AND(27=$I29-1,OR(3&lt;&gt;'計算A'!$A$3,'計算A'!$A$4=0))),0,IF(3=$K29,200000,ABS(3-$K29)*100)),100000+ABS(2-$J29)*1000+30)+'計算A'!AD$5*50+IF(AND($E29=1,JQ29=0),25,0),INDEX('計算A'!AD$110:AD$114,$F29+1)+IF(AND($E29=1,JQ29=0),1000,0)+IF($H29=1,(IF('計算A'!AC$117=1,INDEX('計算A'!AC$10:AC$54,$B29),0)+IF('計算A'!AD$117=1,INDEX('計算A'!AE$10:AE$54,$B29),0))*500,0)-IF(AND('計算A'!AC$117=1,VA29&gt;0),300,0)-IF(AND($L29=1,'計算A'!AD$117=1,EC29=0),300,0))),1000000))</f>
        <v/>
      </c>
      <c r="PG29">
        <f>IF($B29=0,1000000,IF(INDEX('計算A'!$D$60:$EQ$104,$B29,28)*EC29=1,IF(AND($E29=2,JR29=0),1000000,IF($I29&gt;0,IF(2=$J29,IF(OR(AND(28=$I29+1,OR($K29&lt;&gt;'計算A'!$A$3,'計算A'!$A$4=0)),AND(28=$I29-1,OR(4&lt;&gt;'計算A'!$A$3,'計算A'!$A$4=0))),0,IF(4=$K29,200000,ABS(4-$K29)*100)),100000+ABS(2-$J29)*1000+40)+'計算A'!AE$5*50+IF(AND($E29=1,JR29=0),25,0),INDEX('計算A'!AE$110:AE$114,$F29+1)+IF(AND($E29=1,JR29=0),1000,0)+IF($H29=1,(IF('計算A'!AD$117=1,INDEX('計算A'!AD$10:AD$54,$B29),0)+IF('計算A'!AE$117=1,INDEX('計算A'!AF$10:AF$54,$B29),0))*500,0)-IF(AND('計算A'!AD$117=1,VB29&gt;0),300,0)-IF(AND($L29=1,'計算A'!AE$117=1,ED29=0),300,0))),1000000))</f>
        <v/>
      </c>
      <c r="PH29">
        <f>IF($B29=0,1000000,IF(INDEX('計算A'!$D$60:$EQ$104,$B29,29)*ED29=1,IF(AND($E29=2,JS29=0),1000000,IF($I29&gt;0,IF(2=$J29,IF(OR(AND(29=$I29+1,OR($K29&lt;&gt;'計算A'!$A$3,'計算A'!$A$4=0)),AND(29=$I29-1,OR(5&lt;&gt;'計算A'!$A$3,'計算A'!$A$4=0))),0,IF(5=$K29,200000,ABS(5-$K29)*100)),100000+ABS(2-$J29)*1000+50)+'計算A'!AF$5*50+IF(AND($E29=1,JS29=0),25,0),INDEX('計算A'!AF$110:AF$114,$F29+1)+IF(AND($E29=1,JS29=0),1000,0)+IF($H29=1,(IF('計算A'!AE$117=1,INDEX('計算A'!AE$10:AE$54,$B29),0)+IF('計算A'!AF$117=1,INDEX('計算A'!AG$10:AG$54,$B29),0))*500,0)-IF(AND('計算A'!AE$117=1,VC29&gt;0),300,0)-IF(AND($L29=1,'計算A'!AF$117=1,EE29=0),300,0))),1000000))</f>
        <v/>
      </c>
      <c r="PI29">
        <f>IF($B29=0,1000000,IF(INDEX('計算A'!$D$60:$EQ$104,$B29,30)*EE29=1,IF(AND($E29=2,JT29=0),1000000,IF($I29&gt;0,IF(2=$J29,IF(OR(AND(30=$I29+1,OR($K29&lt;&gt;'計算A'!$A$3,'計算A'!$A$4=0)),AND(30=$I29-1,OR(6&lt;&gt;'計算A'!$A$3,'計算A'!$A$4=0))),0,IF(6=$K29,200000,ABS(6-$K29)*100)),100000+ABS(2-$J29)*1000+60)+'計算A'!AG$5*50+IF(AND($E29=1,JT29=0),25,0),INDEX('計算A'!AG$110:AG$114,$F29+1)+IF(AND($E29=1,JT29=0),1000,0)+IF($H29=1,(IF('計算A'!AF$117=1,INDEX('計算A'!AF$10:AF$54,$B29),0)+IF('計算A'!AG$117=1,INDEX('計算A'!AH$10:AH$54,$B29),0))*500,0)-IF(AND('計算A'!AF$117=1,VD29&gt;0),300,0)-IF(AND($L29=1,'計算A'!AG$117=1,EF29=0),300,0))),1000000))</f>
        <v/>
      </c>
      <c r="PJ29">
        <f>IF($B29=0,1000000,IF(INDEX('計算A'!$D$60:$EQ$104,$B29,31)*EF29=1,IF(AND($E29=2,JU29=0),1000000,IF($I29&gt;0,IF(2=$J29,IF(OR(AND(31=$I29+1,OR($K29&lt;&gt;'計算A'!$A$3,'計算A'!$A$4=0)),AND(31=$I29-1,OR(7&lt;&gt;'計算A'!$A$3,'計算A'!$A$4=0))),0,IF(7=$K29,200000,ABS(7-$K29)*100)),100000+ABS(2-$J29)*1000+70)+'計算A'!AH$5*50+IF(AND($E29=1,JU29=0),25,0),INDEX('計算A'!AH$110:AH$114,$F29+1)+IF(AND($E29=1,JU29=0),1000,0)+IF($H29=1,(IF('計算A'!AG$117=1,INDEX('計算A'!AG$10:AG$54,$B29),0)+IF('計算A'!AH$117=1,INDEX('計算A'!AI$10:AI$54,$B29),0))*500,0)-IF(AND('計算A'!AG$117=1,VE29&gt;0),300,0)-IF(AND($L29=1,'計算A'!AH$117=1,EG29=0),300,0))),1000000))</f>
        <v/>
      </c>
      <c r="PK29">
        <f>IF($B29=0,1000000,IF(INDEX('計算A'!$D$60:$EQ$104,$B29,32)*EG29=1,IF(AND($E29=2,JV29=0),1000000,IF($I29&gt;0,IF(2=$J29,IF(OR(AND(32=$I29+1,OR($K29&lt;&gt;'計算A'!$A$3,'計算A'!$A$4=0)),AND(32=$I29-1,OR(8&lt;&gt;'計算A'!$A$3,'計算A'!$A$4=0))),0,IF(8=$K29,200000,ABS(8-$K29)*100)),100000+ABS(2-$J29)*1000+80)+'計算A'!AI$5*50+IF(AND($E29=1,JV29=0),25,0),INDEX('計算A'!AI$110:AI$114,$F29+1)+IF(AND($E29=1,JV29=0),1000,0)+IF($H29=1,(IF('計算A'!AH$117=1,INDEX('計算A'!AH$10:AH$54,$B29),0)+IF('計算A'!AI$117=1,INDEX('計算A'!AJ$10:AJ$54,$B29),0))*500,0)-IF(AND('計算A'!AH$117=1,VF29&gt;0),300,0)-IF(AND($L29=1,'計算A'!AI$117=1,EH29=0),300,0))),1000000))</f>
        <v/>
      </c>
      <c r="PL29">
        <f>IF($B29=0,1000000,IF(INDEX('計算A'!$D$60:$EQ$104,$B29,33)*EH29=1,IF(AND($E29=2,JW29=0),1000000,IF($I29&gt;0,IF(2=$J29,IF(OR(AND(33=$I29+1,OR($K29&lt;&gt;'計算A'!$A$3,'計算A'!$A$4=0)),AND(33=$I29-1,OR(9&lt;&gt;'計算A'!$A$3,'計算A'!$A$4=0))),0,IF(9=$K29,200000,ABS(9-$K29)*100)),100000+ABS(2-$J29)*1000+90)+'計算A'!AJ$5*50+IF(AND($E29=1,JW29=0),25,0),INDEX('計算A'!AJ$110:AJ$114,$F29+1)+IF(AND($E29=1,JW29=0),1000,0)+IF($H29=1,(IF('計算A'!AI$117=1,INDEX('計算A'!AI$10:AI$54,$B29),0)+IF('計算A'!AJ$117=1,INDEX('計算A'!AK$10:AK$54,$B29),0))*500,0)-IF(AND('計算A'!AI$117=1,VG29&gt;0),300,0)-IF(AND($L29=1,'計算A'!AJ$117=1,EI29=0),300,0))),1000000))</f>
        <v/>
      </c>
      <c r="PM29">
        <f>IF($B29=0,1000000,IF(INDEX('計算A'!$D$60:$EQ$104,$B29,34)*EI29=1,IF(AND($E29=2,JX29=0),1000000,IF($I29&gt;0,IF(2=$J29,IF(OR(AND(34=$I29+1,OR($K29&lt;&gt;'計算A'!$A$3,'計算A'!$A$4=0)),AND(34=$I29-1,OR(10&lt;&gt;'計算A'!$A$3,'計算A'!$A$4=0))),0,IF(10=$K29,200000,ABS(10-$K29)*100)),100000+ABS(2-$J29)*1000+100)+'計算A'!AK$5*50+IF(AND($E29=1,JX29=0),25,0),INDEX('計算A'!AK$110:AK$114,$F29+1)+IF(AND($E29=1,JX29=0),1000,0)+IF($H29=1,(IF('計算A'!AJ$117=1,INDEX('計算A'!AJ$10:AJ$54,$B29),0)+IF('計算A'!AK$117=1,INDEX('計算A'!AL$10:AL$54,$B29),0))*500,0)-IF(AND('計算A'!AJ$117=1,VH29&gt;0),300,0)-IF(AND($L29=1,'計算A'!AK$117=1,EJ29=0),300,0))),1000000))</f>
        <v/>
      </c>
      <c r="PN29">
        <f>IF($B29=0,1000000,IF(INDEX('計算A'!$D$60:$EQ$104,$B29,35)*EJ29=1,IF(AND($E29=2,JY29=0),1000000,IF($I29&gt;0,IF(2=$J29,IF(OR(AND(35=$I29+1,OR($K29&lt;&gt;'計算A'!$A$3,'計算A'!$A$4=0)),AND(35=$I29-1,OR(11&lt;&gt;'計算A'!$A$3,'計算A'!$A$4=0))),0,IF(11=$K29,200000,ABS(11-$K29)*100)),100000+ABS(2-$J29)*1000+110)+'計算A'!AL$5*50+IF(AND($E29=1,JY29=0),25,0),INDEX('計算A'!AL$110:AL$114,$F29+1)+IF(AND($E29=1,JY29=0),1000,0)+IF($H29=1,(IF('計算A'!AK$117=1,INDEX('計算A'!AK$10:AK$54,$B29),0)+IF('計算A'!AL$117=1,INDEX('計算A'!AM$10:AM$54,$B29),0))*500,0)-IF(AND('計算A'!AK$117=1,VI29&gt;0),300,0)-IF(AND($L29=1,'計算A'!AL$117=1,EK29=0),300,0))),1000000))</f>
        <v/>
      </c>
      <c r="PO29">
        <f>IF($B29=0,1000000,IF(INDEX('計算A'!$D$60:$EQ$104,$B29,36)*EK29=1,IF(AND($E29=2,JZ29=0),1000000,IF($I29&gt;0,IF(2=$J29,IF(OR(AND(36=$I29+1,OR($K29&lt;&gt;'計算A'!$A$3,'計算A'!$A$4=0)),AND(36=$I29-1,OR(12&lt;&gt;'計算A'!$A$3,'計算A'!$A$4=0))),0,IF(12=$K29,200000,ABS(12-$K29)*100)),100000+ABS(2-$J29)*1000+120)+'計算A'!AM$5*50+IF(AND($E29=1,JZ29=0),25,0),INDEX('計算A'!AM$110:AM$114,$F29+1)+IF(AND($E29=1,JZ29=0),1000,0)+IF($H29=1,(IF('計算A'!AL$117=1,INDEX('計算A'!AL$10:AL$54,$B29),0)+IF('計算A'!AM$117=1,INDEX('計算A'!AN$10:AN$54,$B29),0))*500,0)-IF(AND('計算A'!AL$117=1,VJ29&gt;0),300,0)-IF(AND($L29=1,'計算A'!AM$117=1,EL29=0),300,0))),1000000))</f>
        <v/>
      </c>
      <c r="PP29">
        <f>IF($B29=0,1000000,IF(INDEX('計算A'!$D$60:$EQ$104,$B29,37)*EL29=1,IF(AND($E29=2,KA29=0),1000000,IF($I29&gt;0,IF(2=$J29,IF(OR(AND(37=$I29+1,OR($K29&lt;&gt;'計算A'!$A$3,'計算A'!$A$4=0)),AND(37=$I29-1,OR(13&lt;&gt;'計算A'!$A$3,'計算A'!$A$4=0))),0,IF(13=$K29,200000,ABS(13-$K29)*100)),100000+ABS(2-$J29)*1000+130)+'計算A'!AN$5*50+IF(AND($E29=1,KA29=0),25,0),INDEX('計算A'!AN$110:AN$114,$F29+1)+IF(AND($E29=1,KA29=0),1000,0)+IF($H29=1,(IF('計算A'!AM$117=1,INDEX('計算A'!AM$10:AM$54,$B29),0)+IF('計算A'!AN$117=1,INDEX('計算A'!AO$10:AO$54,$B29),0))*500,0)-IF(AND('計算A'!AM$117=1,VK29&gt;0),300,0)-IF(AND($L29=1,'計算A'!AN$117=1,EM29=0),300,0))),1000000))</f>
        <v/>
      </c>
      <c r="PQ29">
        <f>IF($B29=0,1000000,IF(INDEX('計算A'!$D$60:$EQ$104,$B29,38)*EM29=1,IF(AND($E29=2,KB29=0),1000000,IF($I29&gt;0,IF(2=$J29,IF(OR(AND(38=$I29+1,OR($K29&lt;&gt;'計算A'!$A$3,'計算A'!$A$4=0)),AND(38=$I29-1,OR(14&lt;&gt;'計算A'!$A$3,'計算A'!$A$4=0))),0,IF(14=$K29,200000,ABS(14-$K29)*100)),100000+ABS(2-$J29)*1000+140)+'計算A'!AO$5*50+IF(AND($E29=1,KB29=0),25,0),INDEX('計算A'!AO$110:AO$114,$F29+1)+IF(AND($E29=1,KB29=0),1000,0)+IF($H29=1,(IF('計算A'!AN$117=1,INDEX('計算A'!AN$10:AN$54,$B29),0)+IF('計算A'!AO$117=1,INDEX('計算A'!AP$10:AP$54,$B29),0))*500,0)-IF(AND('計算A'!AN$117=1,VL29&gt;0),300,0)-IF(AND($L29=1,'計算A'!AO$117=1,EN29=0),300,0))),1000000))</f>
        <v/>
      </c>
      <c r="PR29">
        <f>IF($B29=0,1000000,IF(INDEX('計算A'!$D$60:$EQ$104,$B29,39)*EN29=1,IF(AND($E29=2,KC29=0),1000000,IF($I29&gt;0,IF(2=$J29,IF(OR(AND(39=$I29+1,OR($K29&lt;&gt;'計算A'!$A$3,'計算A'!$A$4=0)),AND(39=$I29-1,OR(15&lt;&gt;'計算A'!$A$3,'計算A'!$A$4=0))),0,IF(15=$K29,200000,ABS(15-$K29)*100)),100000+ABS(2-$J29)*1000+150)+'計算A'!AP$5*50+IF(AND($E29=1,KC29=0),25,0),INDEX('計算A'!AP$110:AP$114,$F29+1)+IF(AND($E29=1,KC29=0),1000,0)+IF($H29=1,(IF('計算A'!AO$117=1,INDEX('計算A'!AO$10:AO$54,$B29),0)+IF('計算A'!AP$117=1,INDEX('計算A'!AQ$10:AQ$54,$B29),0))*500,0)-IF(AND('計算A'!AO$117=1,VM29&gt;0),300,0)-IF(AND($L29=1,'計算A'!AP$117=1,EO29=0),300,0))),1000000))</f>
        <v/>
      </c>
      <c r="PS29">
        <f>IF($B29=0,1000000,IF(INDEX('計算A'!$D$60:$EQ$104,$B29,40)*EO29=1,IF(AND($E29=2,KD29=0),1000000,IF($I29&gt;0,IF(2=$J29,IF(OR(AND(40=$I29+1,OR($K29&lt;&gt;'計算A'!$A$3,'計算A'!$A$4=0)),AND(40=$I29-1,OR(16&lt;&gt;'計算A'!$A$3,'計算A'!$A$4=0))),0,IF(16=$K29,200000,ABS(16-$K29)*100)),100000+ABS(2-$J29)*1000+160)+'計算A'!AQ$5*50+IF(AND($E29=1,KD29=0),25,0),INDEX('計算A'!AQ$110:AQ$114,$F29+1)+IF(AND($E29=1,KD29=0),1000,0)+IF($H29=1,(IF('計算A'!AP$117=1,INDEX('計算A'!AP$10:AP$54,$B29),0)+IF('計算A'!AQ$117=1,INDEX('計算A'!AR$10:AR$54,$B29),0))*500,0)-IF(AND('計算A'!AP$117=1,VN29&gt;0),300,0)-IF(AND($L29=1,'計算A'!AQ$117=1,EP29=0),300,0))),1000000))</f>
        <v/>
      </c>
      <c r="PT29">
        <f>IF($B29=0,1000000,IF(INDEX('計算A'!$D$60:$EQ$104,$B29,41)*EP29=1,IF(AND($E29=2,KE29=0),1000000,IF($I29&gt;0,IF(2=$J29,IF(OR(AND(41=$I29+1,OR($K29&lt;&gt;'計算A'!$A$3,'計算A'!$A$4=0)),AND(41=$I29-1,OR(17&lt;&gt;'計算A'!$A$3,'計算A'!$A$4=0))),0,IF(17=$K29,200000,ABS(17-$K29)*100)),100000+ABS(2-$J29)*1000+170)+'計算A'!AR$5*50+IF(AND($E29=1,KE29=0),25,0),INDEX('計算A'!AR$110:AR$114,$F29+1)+IF(AND($E29=1,KE29=0),1000,0)+IF($H29=1,(IF('計算A'!AQ$117=1,INDEX('計算A'!AQ$10:AQ$54,$B29),0)+IF('計算A'!AR$117=1,INDEX('計算A'!AS$10:AS$54,$B29),0))*500,0)-IF(AND('計算A'!AQ$117=1,VO29&gt;0),300,0)-IF(AND($L29=1,'計算A'!AR$117=1,EQ29=0),300,0))),1000000))</f>
        <v/>
      </c>
      <c r="PU29">
        <f>IF($B29=0,1000000,IF(INDEX('計算A'!$D$60:$EQ$104,$B29,42)*EQ29=1,IF(AND($E29=2,KF29=0),1000000,IF($I29&gt;0,IF(2=$J29,IF(OR(AND(42=$I29+1,OR($K29&lt;&gt;'計算A'!$A$3,'計算A'!$A$4=0)),AND(42=$I29-1,OR(18&lt;&gt;'計算A'!$A$3,'計算A'!$A$4=0))),0,IF(18=$K29,200000,ABS(18-$K29)*100)),100000+ABS(2-$J29)*1000+180)+'計算A'!AS$5*50+IF(AND($E29=1,KF29=0),25,0),INDEX('計算A'!AS$110:AS$114,$F29+1)+IF(AND($E29=1,KF29=0),1000,0)+IF($H29=1,(IF('計算A'!AR$117=1,INDEX('計算A'!AR$10:AR$54,$B29),0)+IF('計算A'!AS$117=1,INDEX('計算A'!AT$10:AT$54,$B29),0))*500,0)-IF(AND('計算A'!AR$117=1,VP29&gt;0),300,0)-IF(AND($L29=1,'計算A'!AS$117=1,ER29=0),300,0))),1000000))</f>
        <v/>
      </c>
      <c r="PV29">
        <f>IF($B29=0,1000000,IF(INDEX('計算A'!$D$60:$EQ$104,$B29,43)*ER29=1,IF(AND($E29=2,KG29=0),1000000,IF($I29&gt;0,IF(2=$J29,IF(OR(AND(43=$I29+1,OR($K29&lt;&gt;'計算A'!$A$3,'計算A'!$A$4=0)),AND(43=$I29-1,OR(19&lt;&gt;'計算A'!$A$3,'計算A'!$A$4=0))),0,IF(19=$K29,200000,ABS(19-$K29)*100)),100000+ABS(2-$J29)*1000+190)+'計算A'!AT$5*50+IF(AND($E29=1,KG29=0),25,0),INDEX('計算A'!AT$110:AT$114,$F29+1)+IF(AND($E29=1,KG29=0),1000,0)+IF($H29=1,(IF('計算A'!AS$117=1,INDEX('計算A'!AS$10:AS$54,$B29),0)+IF('計算A'!AT$117=1,INDEX('計算A'!AU$10:AU$54,$B29),0))*500,0)-IF(AND('計算A'!AS$117=1,VQ29&gt;0),300,0)-IF(AND($L29=1,'計算A'!AT$117=1,ES29=0),300,0))),1000000))</f>
        <v/>
      </c>
      <c r="PW29">
        <f>IF($B29=0,1000000,IF(INDEX('計算A'!$D$60:$EQ$104,$B29,44)*ES29=1,IF(AND($E29=2,KH29=0),1000000,IF($I29&gt;0,IF(2=$J29,IF(OR(AND(44=$I29+1,OR($K29&lt;&gt;'計算A'!$A$3,'計算A'!$A$4=0)),AND(44=$I29-1,OR(20&lt;&gt;'計算A'!$A$3,'計算A'!$A$4=0))),0,IF(20=$K29,200000,ABS(20-$K29)*100)),100000+ABS(2-$J29)*1000+200)+'計算A'!AU$5*50+IF(AND($E29=1,KH29=0),25,0),INDEX('計算A'!AU$110:AU$114,$F29+1)+IF(AND($E29=1,KH29=0),1000,0)+IF($H29=1,(IF('計算A'!AT$117=1,INDEX('計算A'!AT$10:AT$54,$B29),0)+IF('計算A'!AU$117=1,INDEX('計算A'!AV$10:AV$54,$B29),0))*500,0)-IF(AND('計算A'!AT$117=1,VR29&gt;0),300,0)-IF(AND($L29=1,'計算A'!AU$117=1,ET29=0),300,0))),1000000))</f>
        <v/>
      </c>
      <c r="PX29">
        <f>IF($B29=0,1000000,IF(INDEX('計算A'!$D$60:$EQ$104,$B29,45)*ET29=1,IF(AND($E29=2,KI29=0),1000000,IF($I29&gt;0,IF(2=$J29,IF(OR(AND(45=$I29+1,OR($K29&lt;&gt;'計算A'!$A$3,'計算A'!$A$4=0)),AND(45=$I29-1,OR(21&lt;&gt;'計算A'!$A$3,'計算A'!$A$4=0))),0,IF(21=$K29,200000,ABS(21-$K29)*100)),100000+ABS(2-$J29)*1000+210)+'計算A'!AV$5*50+IF(AND($E29=1,KI29=0),25,0),INDEX('計算A'!AV$110:AV$114,$F29+1)+IF(AND($E29=1,KI29=0),1000,0)+IF($H29=1,(IF('計算A'!AU$117=1,INDEX('計算A'!AU$10:AU$54,$B29),0)+IF('計算A'!AV$117=1,INDEX('計算A'!AW$10:AW$54,$B29),0))*500,0)-IF(AND('計算A'!AU$117=1,VS29&gt;0),300,0)-IF(AND($L29=1,'計算A'!AV$117=1,EU29=0),300,0))),1000000))</f>
        <v/>
      </c>
      <c r="PY29">
        <f>IF($B29=0,1000000,IF(INDEX('計算A'!$D$60:$EQ$104,$B29,46)*EU29=1,IF(AND($E29=2,KJ29=0),1000000,IF($I29&gt;0,IF(2=$J29,IF(OR(AND(46=$I29+1,OR($K29&lt;&gt;'計算A'!$A$3,'計算A'!$A$4=0)),AND(46=$I29-1,OR(22&lt;&gt;'計算A'!$A$3,'計算A'!$A$4=0))),0,IF(22=$K29,200000,ABS(22-$K29)*100)),100000+ABS(2-$J29)*1000+220)+'計算A'!AW$5*50+IF(AND($E29=1,KJ29=0),25,0),INDEX('計算A'!AW$110:AW$114,$F29+1)+IF(AND($E29=1,KJ29=0),1000,0)+IF($H29=1,(IF('計算A'!AV$117=1,INDEX('計算A'!AV$10:AV$54,$B29),0)+IF('計算A'!AW$117=1,INDEX('計算A'!AX$10:AX$54,$B29),0))*500,0)-IF(AND('計算A'!AV$117=1,VT29&gt;0),300,0)-IF(AND($L29=1,'計算A'!AW$117=1,EV29=0),300,0))),1000000))</f>
        <v/>
      </c>
      <c r="PZ29">
        <f>IF($B29=0,1000000,IF(INDEX('計算A'!$D$60:$EQ$104,$B29,47)*EV29=1,IF(AND($E29=2,KK29=0),1000000,IF($I29&gt;0,IF(2=$J29,IF(OR(AND(47=$I29+1,OR($K29&lt;&gt;'計算A'!$A$3,'計算A'!$A$4=0)),AND(47=$I29-1,OR(23&lt;&gt;'計算A'!$A$3,'計算A'!$A$4=0))),0,IF(23=$K29,200000,ABS(23-$K29)*100)),100000+ABS(2-$J29)*1000+230)+'計算A'!AX$5*50+IF(AND($E29=1,KK29=0),25,0),INDEX('計算A'!AX$110:AX$114,$F29+1)+IF(AND($E29=1,KK29=0),1000,0)+IF($H29=1,(IF('計算A'!AW$117=1,INDEX('計算A'!AW$10:AW$54,$B29),0)+IF('計算A'!AX$117=1,INDEX('計算A'!AY$10:AY$54,$B29),0))*500,0)-IF(AND('計算A'!AW$117=1,VU29&gt;0),300,0)-IF(AND($L29=1,'計算A'!AX$117=1,EW29=0),300,0))),1000000))</f>
        <v/>
      </c>
      <c r="QA29">
        <f>IF($B29=0,1000000,IF(INDEX('計算A'!$D$60:$EQ$104,$B29,48)*EW29=1,IF(AND($E29=2,KL29=0),1000000,IF($I29&gt;0,IF(2=$J29,IF(OR(AND(48=$I29+1,OR($K29&lt;&gt;'計算A'!$A$3,'計算A'!$A$4=0)),AND(48=$I29-1,OR(24&lt;&gt;'計算A'!$A$3,'計算A'!$A$4=0))),0,IF(24=$K29,200000,ABS(24-$K29)*100)),100000+ABS(2-$J29)*1000+240)+'計算A'!AY$5*50+IF(AND($E29=1,KL29=0),25,0),INDEX('計算A'!AY$110:AY$114,$F29+1)+IF(AND($E29=1,KL29=0),1000,0)+IF($H29=1,(IF('計算A'!AX$117=1,INDEX('計算A'!AX$10:AX$54,$B29),0))*500,0)-IF(AND('計算A'!AX$117=1,VV29&gt;0),300,0))),1000000))</f>
        <v/>
      </c>
      <c r="QB29">
        <f>IF($B29=0,1000000,IF(INDEX('計算A'!$D$60:$EQ$104,$B29,49)*EX29=1,IF(AND($E29=2,KM29=0),1000000,IF($I29&gt;0,IF(3=$J29,IF(OR(AND(49=$I29+1,OR($K29&lt;&gt;'計算A'!$A$3,'計算A'!$A$4=0)),AND(49=$I29-1,OR(1&lt;&gt;'計算A'!$A$3,'計算A'!$A$4=0))),0,IF(1=$K29,200000,ABS(1-$K29)*100)),100000+ABS(3-$J29)*1000+10)+'計算A'!AZ$5*50+IF(AND($E29=1,KM29=0),25,0),INDEX('計算A'!AZ$110:AZ$114,$F29+1)+IF(AND($E29=1,KM29=0),1000,0)+IF($H29=1,(IF('計算A'!AZ$117=1,INDEX('計算A'!BA$10:BA$54,$B29),0))*500,0)-IF(AND($L29=1,'計算A'!AZ$117=1,EY29=0),300,0))),1000000))</f>
        <v/>
      </c>
      <c r="QC29">
        <f>IF($B29=0,1000000,IF(INDEX('計算A'!$D$60:$EQ$104,$B29,50)*EY29=1,IF(AND($E29=2,KN29=0),1000000,IF($I29&gt;0,IF(3=$J29,IF(OR(AND(50=$I29+1,OR($K29&lt;&gt;'計算A'!$A$3,'計算A'!$A$4=0)),AND(50=$I29-1,OR(2&lt;&gt;'計算A'!$A$3,'計算A'!$A$4=0))),0,IF(2=$K29,200000,ABS(2-$K29)*100)),100000+ABS(3-$J29)*1000+20)+'計算A'!BA$5*50+IF(AND($E29=1,KN29=0),25,0),INDEX('計算A'!BA$110:BA$114,$F29+1)+IF(AND($E29=1,KN29=0),1000,0)+IF($H29=1,(IF('計算A'!AZ$117=1,INDEX('計算A'!AZ$10:AZ$54,$B29),0)+IF('計算A'!BA$117=1,INDEX('計算A'!BB$10:BB$54,$B29),0))*500,0)-IF(AND('計算A'!AZ$117=1,VX29&gt;0),300,0)-IF(AND($L29=1,'計算A'!BA$117=1,EZ29=0),300,0))),1000000))</f>
        <v/>
      </c>
      <c r="QD29">
        <f>IF($B29=0,1000000,IF(INDEX('計算A'!$D$60:$EQ$104,$B29,51)*EZ29=1,IF(AND($E29=2,KO29=0),1000000,IF($I29&gt;0,IF(3=$J29,IF(OR(AND(51=$I29+1,OR($K29&lt;&gt;'計算A'!$A$3,'計算A'!$A$4=0)),AND(51=$I29-1,OR(3&lt;&gt;'計算A'!$A$3,'計算A'!$A$4=0))),0,IF(3=$K29,200000,ABS(3-$K29)*100)),100000+ABS(3-$J29)*1000+30)+'計算A'!BB$5*50+IF(AND($E29=1,KO29=0),25,0),INDEX('計算A'!BB$110:BB$114,$F29+1)+IF(AND($E29=1,KO29=0),1000,0)+IF($H29=1,(IF('計算A'!BA$117=1,INDEX('計算A'!BA$10:BA$54,$B29),0)+IF('計算A'!BB$117=1,INDEX('計算A'!BC$10:BC$54,$B29),0))*500,0)-IF(AND('計算A'!BA$117=1,VY29&gt;0),300,0)-IF(AND($L29=1,'計算A'!BB$117=1,FA29=0),300,0))),1000000))</f>
        <v/>
      </c>
      <c r="QE29">
        <f>IF($B29=0,1000000,IF(INDEX('計算A'!$D$60:$EQ$104,$B29,52)*FA29=1,IF(AND($E29=2,KP29=0),1000000,IF($I29&gt;0,IF(3=$J29,IF(OR(AND(52=$I29+1,OR($K29&lt;&gt;'計算A'!$A$3,'計算A'!$A$4=0)),AND(52=$I29-1,OR(4&lt;&gt;'計算A'!$A$3,'計算A'!$A$4=0))),0,IF(4=$K29,200000,ABS(4-$K29)*100)),100000+ABS(3-$J29)*1000+40)+'計算A'!BC$5*50+IF(AND($E29=1,KP29=0),25,0),INDEX('計算A'!BC$110:BC$114,$F29+1)+IF(AND($E29=1,KP29=0),1000,0)+IF($H29=1,(IF('計算A'!BB$117=1,INDEX('計算A'!BB$10:BB$54,$B29),0)+IF('計算A'!BC$117=1,INDEX('計算A'!BD$10:BD$54,$B29),0))*500,0)-IF(AND('計算A'!BB$117=1,VZ29&gt;0),300,0)-IF(AND($L29=1,'計算A'!BC$117=1,FB29=0),300,0))),1000000))</f>
        <v/>
      </c>
      <c r="QF29">
        <f>IF($B29=0,1000000,IF(INDEX('計算A'!$D$60:$EQ$104,$B29,53)*FB29=1,IF(AND($E29=2,KQ29=0),1000000,IF($I29&gt;0,IF(3=$J29,IF(OR(AND(53=$I29+1,OR($K29&lt;&gt;'計算A'!$A$3,'計算A'!$A$4=0)),AND(53=$I29-1,OR(5&lt;&gt;'計算A'!$A$3,'計算A'!$A$4=0))),0,IF(5=$K29,200000,ABS(5-$K29)*100)),100000+ABS(3-$J29)*1000+50)+'計算A'!BD$5*50+IF(AND($E29=1,KQ29=0),25,0),INDEX('計算A'!BD$110:BD$114,$F29+1)+IF(AND($E29=1,KQ29=0),1000,0)+IF($H29=1,(IF('計算A'!BC$117=1,INDEX('計算A'!BC$10:BC$54,$B29),0)+IF('計算A'!BD$117=1,INDEX('計算A'!BE$10:BE$54,$B29),0))*500,0)-IF(AND('計算A'!BC$117=1,WA29&gt;0),300,0)-IF(AND($L29=1,'計算A'!BD$117=1,FC29=0),300,0))),1000000))</f>
        <v/>
      </c>
      <c r="QG29">
        <f>IF($B29=0,1000000,IF(INDEX('計算A'!$D$60:$EQ$104,$B29,54)*FC29=1,IF(AND($E29=2,KR29=0),1000000,IF($I29&gt;0,IF(3=$J29,IF(OR(AND(54=$I29+1,OR($K29&lt;&gt;'計算A'!$A$3,'計算A'!$A$4=0)),AND(54=$I29-1,OR(6&lt;&gt;'計算A'!$A$3,'計算A'!$A$4=0))),0,IF(6=$K29,200000,ABS(6-$K29)*100)),100000+ABS(3-$J29)*1000+60)+'計算A'!BE$5*50+IF(AND($E29=1,KR29=0),25,0),INDEX('計算A'!BE$110:BE$114,$F29+1)+IF(AND($E29=1,KR29=0),1000,0)+IF($H29=1,(IF('計算A'!BD$117=1,INDEX('計算A'!BD$10:BD$54,$B29),0)+IF('計算A'!BE$117=1,INDEX('計算A'!BF$10:BF$54,$B29),0))*500,0)-IF(AND('計算A'!BD$117=1,WB29&gt;0),300,0)-IF(AND($L29=1,'計算A'!BE$117=1,FD29=0),300,0))),1000000))</f>
        <v/>
      </c>
      <c r="QH29">
        <f>IF($B29=0,1000000,IF(INDEX('計算A'!$D$60:$EQ$104,$B29,55)*FD29=1,IF(AND($E29=2,KS29=0),1000000,IF($I29&gt;0,IF(3=$J29,IF(OR(AND(55=$I29+1,OR($K29&lt;&gt;'計算A'!$A$3,'計算A'!$A$4=0)),AND(55=$I29-1,OR(7&lt;&gt;'計算A'!$A$3,'計算A'!$A$4=0))),0,IF(7=$K29,200000,ABS(7-$K29)*100)),100000+ABS(3-$J29)*1000+70)+'計算A'!BF$5*50+IF(AND($E29=1,KS29=0),25,0),INDEX('計算A'!BF$110:BF$114,$F29+1)+IF(AND($E29=1,KS29=0),1000,0)+IF($H29=1,(IF('計算A'!BE$117=1,INDEX('計算A'!BE$10:BE$54,$B29),0)+IF('計算A'!BF$117=1,INDEX('計算A'!BG$10:BG$54,$B29),0))*500,0)-IF(AND('計算A'!BE$117=1,WC29&gt;0),300,0)-IF(AND($L29=1,'計算A'!BF$117=1,FE29=0),300,0))),1000000))</f>
        <v/>
      </c>
      <c r="QI29">
        <f>IF($B29=0,1000000,IF(INDEX('計算A'!$D$60:$EQ$104,$B29,56)*FE29=1,IF(AND($E29=2,KT29=0),1000000,IF($I29&gt;0,IF(3=$J29,IF(OR(AND(56=$I29+1,OR($K29&lt;&gt;'計算A'!$A$3,'計算A'!$A$4=0)),AND(56=$I29-1,OR(8&lt;&gt;'計算A'!$A$3,'計算A'!$A$4=0))),0,IF(8=$K29,200000,ABS(8-$K29)*100)),100000+ABS(3-$J29)*1000+80)+'計算A'!BG$5*50+IF(AND($E29=1,KT29=0),25,0),INDEX('計算A'!BG$110:BG$114,$F29+1)+IF(AND($E29=1,KT29=0),1000,0)+IF($H29=1,(IF('計算A'!BF$117=1,INDEX('計算A'!BF$10:BF$54,$B29),0)+IF('計算A'!BG$117=1,INDEX('計算A'!BH$10:BH$54,$B29),0))*500,0)-IF(AND('計算A'!BF$117=1,WD29&gt;0),300,0)-IF(AND($L29=1,'計算A'!BG$117=1,FF29=0),300,0))),1000000))</f>
        <v/>
      </c>
      <c r="QJ29">
        <f>IF($B29=0,1000000,IF(INDEX('計算A'!$D$60:$EQ$104,$B29,57)*FF29=1,IF(AND($E29=2,KU29=0),1000000,IF($I29&gt;0,IF(3=$J29,IF(OR(AND(57=$I29+1,OR($K29&lt;&gt;'計算A'!$A$3,'計算A'!$A$4=0)),AND(57=$I29-1,OR(9&lt;&gt;'計算A'!$A$3,'計算A'!$A$4=0))),0,IF(9=$K29,200000,ABS(9-$K29)*100)),100000+ABS(3-$J29)*1000+90)+'計算A'!BH$5*50+IF(AND($E29=1,KU29=0),25,0),INDEX('計算A'!BH$110:BH$114,$F29+1)+IF(AND($E29=1,KU29=0),1000,0)+IF($H29=1,(IF('計算A'!BG$117=1,INDEX('計算A'!BG$10:BG$54,$B29),0)+IF('計算A'!BH$117=1,INDEX('計算A'!BI$10:BI$54,$B29),0))*500,0)-IF(AND('計算A'!BG$117=1,WE29&gt;0),300,0)-IF(AND($L29=1,'計算A'!BH$117=1,FG29=0),300,0))),1000000))</f>
        <v/>
      </c>
      <c r="QK29">
        <f>IF($B29=0,1000000,IF(INDEX('計算A'!$D$60:$EQ$104,$B29,58)*FG29=1,IF(AND($E29=2,KV29=0),1000000,IF($I29&gt;0,IF(3=$J29,IF(OR(AND(58=$I29+1,OR($K29&lt;&gt;'計算A'!$A$3,'計算A'!$A$4=0)),AND(58=$I29-1,OR(10&lt;&gt;'計算A'!$A$3,'計算A'!$A$4=0))),0,IF(10=$K29,200000,ABS(10-$K29)*100)),100000+ABS(3-$J29)*1000+100)+'計算A'!BI$5*50+IF(AND($E29=1,KV29=0),25,0),INDEX('計算A'!BI$110:BI$114,$F29+1)+IF(AND($E29=1,KV29=0),1000,0)+IF($H29=1,(IF('計算A'!BH$117=1,INDEX('計算A'!BH$10:BH$54,$B29),0)+IF('計算A'!BI$117=1,INDEX('計算A'!BJ$10:BJ$54,$B29),0))*500,0)-IF(AND('計算A'!BH$117=1,WF29&gt;0),300,0)-IF(AND($L29=1,'計算A'!BI$117=1,FH29=0),300,0))),1000000))</f>
        <v/>
      </c>
      <c r="QL29">
        <f>IF($B29=0,1000000,IF(INDEX('計算A'!$D$60:$EQ$104,$B29,59)*FH29=1,IF(AND($E29=2,KW29=0),1000000,IF($I29&gt;0,IF(3=$J29,IF(OR(AND(59=$I29+1,OR($K29&lt;&gt;'計算A'!$A$3,'計算A'!$A$4=0)),AND(59=$I29-1,OR(11&lt;&gt;'計算A'!$A$3,'計算A'!$A$4=0))),0,IF(11=$K29,200000,ABS(11-$K29)*100)),100000+ABS(3-$J29)*1000+110)+'計算A'!BJ$5*50+IF(AND($E29=1,KW29=0),25,0),INDEX('計算A'!BJ$110:BJ$114,$F29+1)+IF(AND($E29=1,KW29=0),1000,0)+IF($H29=1,(IF('計算A'!BI$117=1,INDEX('計算A'!BI$10:BI$54,$B29),0)+IF('計算A'!BJ$117=1,INDEX('計算A'!BK$10:BK$54,$B29),0))*500,0)-IF(AND('計算A'!BI$117=1,WG29&gt;0),300,0)-IF(AND($L29=1,'計算A'!BJ$117=1,FI29=0),300,0))),1000000))</f>
        <v/>
      </c>
      <c r="QM29">
        <f>IF($B29=0,1000000,IF(INDEX('計算A'!$D$60:$EQ$104,$B29,60)*FI29=1,IF(AND($E29=2,KX29=0),1000000,IF($I29&gt;0,IF(3=$J29,IF(OR(AND(60=$I29+1,OR($K29&lt;&gt;'計算A'!$A$3,'計算A'!$A$4=0)),AND(60=$I29-1,OR(12&lt;&gt;'計算A'!$A$3,'計算A'!$A$4=0))),0,IF(12=$K29,200000,ABS(12-$K29)*100)),100000+ABS(3-$J29)*1000+120)+'計算A'!BK$5*50+IF(AND($E29=1,KX29=0),25,0),INDEX('計算A'!BK$110:BK$114,$F29+1)+IF(AND($E29=1,KX29=0),1000,0)+IF($H29=1,(IF('計算A'!BJ$117=1,INDEX('計算A'!BJ$10:BJ$54,$B29),0)+IF('計算A'!BK$117=1,INDEX('計算A'!BL$10:BL$54,$B29),0))*500,0)-IF(AND('計算A'!BJ$117=1,WH29&gt;0),300,0)-IF(AND($L29=1,'計算A'!BK$117=1,FJ29=0),300,0))),1000000))</f>
        <v/>
      </c>
      <c r="QN29">
        <f>IF($B29=0,1000000,IF(INDEX('計算A'!$D$60:$EQ$104,$B29,61)*FJ29=1,IF(AND($E29=2,KY29=0),1000000,IF($I29&gt;0,IF(3=$J29,IF(OR(AND(61=$I29+1,OR($K29&lt;&gt;'計算A'!$A$3,'計算A'!$A$4=0)),AND(61=$I29-1,OR(13&lt;&gt;'計算A'!$A$3,'計算A'!$A$4=0))),0,IF(13=$K29,200000,ABS(13-$K29)*100)),100000+ABS(3-$J29)*1000+130)+'計算A'!BL$5*50+IF(AND($E29=1,KY29=0),25,0),INDEX('計算A'!BL$110:BL$114,$F29+1)+IF(AND($E29=1,KY29=0),1000,0)+IF($H29=1,(IF('計算A'!BK$117=1,INDEX('計算A'!BK$10:BK$54,$B29),0)+IF('計算A'!BL$117=1,INDEX('計算A'!BM$10:BM$54,$B29),0))*500,0)-IF(AND('計算A'!BK$117=1,WI29&gt;0),300,0)-IF(AND($L29=1,'計算A'!BL$117=1,FK29=0),300,0))),1000000))</f>
        <v/>
      </c>
      <c r="QO29">
        <f>IF($B29=0,1000000,IF(INDEX('計算A'!$D$60:$EQ$104,$B29,62)*FK29=1,IF(AND($E29=2,KZ29=0),1000000,IF($I29&gt;0,IF(3=$J29,IF(OR(AND(62=$I29+1,OR($K29&lt;&gt;'計算A'!$A$3,'計算A'!$A$4=0)),AND(62=$I29-1,OR(14&lt;&gt;'計算A'!$A$3,'計算A'!$A$4=0))),0,IF(14=$K29,200000,ABS(14-$K29)*100)),100000+ABS(3-$J29)*1000+140)+'計算A'!BM$5*50+IF(AND($E29=1,KZ29=0),25,0),INDEX('計算A'!BM$110:BM$114,$F29+1)+IF(AND($E29=1,KZ29=0),1000,0)+IF($H29=1,(IF('計算A'!BL$117=1,INDEX('計算A'!BL$10:BL$54,$B29),0)+IF('計算A'!BM$117=1,INDEX('計算A'!BN$10:BN$54,$B29),0))*500,0)-IF(AND('計算A'!BL$117=1,WJ29&gt;0),300,0)-IF(AND($L29=1,'計算A'!BM$117=1,FL29=0),300,0))),1000000))</f>
        <v/>
      </c>
      <c r="QP29">
        <f>IF($B29=0,1000000,IF(INDEX('計算A'!$D$60:$EQ$104,$B29,63)*FL29=1,IF(AND($E29=2,LA29=0),1000000,IF($I29&gt;0,IF(3=$J29,IF(OR(AND(63=$I29+1,OR($K29&lt;&gt;'計算A'!$A$3,'計算A'!$A$4=0)),AND(63=$I29-1,OR(15&lt;&gt;'計算A'!$A$3,'計算A'!$A$4=0))),0,IF(15=$K29,200000,ABS(15-$K29)*100)),100000+ABS(3-$J29)*1000+150)+'計算A'!BN$5*50+IF(AND($E29=1,LA29=0),25,0),INDEX('計算A'!BN$110:BN$114,$F29+1)+IF(AND($E29=1,LA29=0),1000,0)+IF($H29=1,(IF('計算A'!BM$117=1,INDEX('計算A'!BM$10:BM$54,$B29),0)+IF('計算A'!BN$117=1,INDEX('計算A'!BO$10:BO$54,$B29),0))*500,0)-IF(AND('計算A'!BM$117=1,WK29&gt;0),300,0)-IF(AND($L29=1,'計算A'!BN$117=1,FM29=0),300,0))),1000000))</f>
        <v/>
      </c>
      <c r="QQ29">
        <f>IF($B29=0,1000000,IF(INDEX('計算A'!$D$60:$EQ$104,$B29,64)*FM29=1,IF(AND($E29=2,LB29=0),1000000,IF($I29&gt;0,IF(3=$J29,IF(OR(AND(64=$I29+1,OR($K29&lt;&gt;'計算A'!$A$3,'計算A'!$A$4=0)),AND(64=$I29-1,OR(16&lt;&gt;'計算A'!$A$3,'計算A'!$A$4=0))),0,IF(16=$K29,200000,ABS(16-$K29)*100)),100000+ABS(3-$J29)*1000+160)+'計算A'!BO$5*50+IF(AND($E29=1,LB29=0),25,0),INDEX('計算A'!BO$110:BO$114,$F29+1)+IF(AND($E29=1,LB29=0),1000,0)+IF($H29=1,(IF('計算A'!BN$117=1,INDEX('計算A'!BN$10:BN$54,$B29),0)+IF('計算A'!BO$117=1,INDEX('計算A'!BP$10:BP$54,$B29),0))*500,0)-IF(AND('計算A'!BN$117=1,WL29&gt;0),300,0)-IF(AND($L29=1,'計算A'!BO$117=1,FN29=0),300,0))),1000000))</f>
        <v/>
      </c>
      <c r="QR29">
        <f>IF($B29=0,1000000,IF(INDEX('計算A'!$D$60:$EQ$104,$B29,65)*FN29=1,IF(AND($E29=2,LC29=0),1000000,IF($I29&gt;0,IF(3=$J29,IF(OR(AND(65=$I29+1,OR($K29&lt;&gt;'計算A'!$A$3,'計算A'!$A$4=0)),AND(65=$I29-1,OR(17&lt;&gt;'計算A'!$A$3,'計算A'!$A$4=0))),0,IF(17=$K29,200000,ABS(17-$K29)*100)),100000+ABS(3-$J29)*1000+170)+'計算A'!BP$5*50+IF(AND($E29=1,LC29=0),25,0),INDEX('計算A'!BP$110:BP$114,$F29+1)+IF(AND($E29=1,LC29=0),1000,0)+IF($H29=1,(IF('計算A'!BO$117=1,INDEX('計算A'!BO$10:BO$54,$B29),0)+IF('計算A'!BP$117=1,INDEX('計算A'!BQ$10:BQ$54,$B29),0))*500,0)-IF(AND('計算A'!BO$117=1,WM29&gt;0),300,0)-IF(AND($L29=1,'計算A'!BP$117=1,FO29=0),300,0))),1000000))</f>
        <v/>
      </c>
      <c r="QS29">
        <f>IF($B29=0,1000000,IF(INDEX('計算A'!$D$60:$EQ$104,$B29,66)*FO29=1,IF(AND($E29=2,LD29=0),1000000,IF($I29&gt;0,IF(3=$J29,IF(OR(AND(66=$I29+1,OR($K29&lt;&gt;'計算A'!$A$3,'計算A'!$A$4=0)),AND(66=$I29-1,OR(18&lt;&gt;'計算A'!$A$3,'計算A'!$A$4=0))),0,IF(18=$K29,200000,ABS(18-$K29)*100)),100000+ABS(3-$J29)*1000+180)+'計算A'!BQ$5*50+IF(AND($E29=1,LD29=0),25,0),INDEX('計算A'!BQ$110:BQ$114,$F29+1)+IF(AND($E29=1,LD29=0),1000,0)+IF($H29=1,(IF('計算A'!BP$117=1,INDEX('計算A'!BP$10:BP$54,$B29),0)+IF('計算A'!BQ$117=1,INDEX('計算A'!BR$10:BR$54,$B29),0))*500,0)-IF(AND('計算A'!BP$117=1,WN29&gt;0),300,0)-IF(AND($L29=1,'計算A'!BQ$117=1,FP29=0),300,0))),1000000))</f>
        <v/>
      </c>
      <c r="QT29">
        <f>IF($B29=0,1000000,IF(INDEX('計算A'!$D$60:$EQ$104,$B29,67)*FP29=1,IF(AND($E29=2,LE29=0),1000000,IF($I29&gt;0,IF(3=$J29,IF(OR(AND(67=$I29+1,OR($K29&lt;&gt;'計算A'!$A$3,'計算A'!$A$4=0)),AND(67=$I29-1,OR(19&lt;&gt;'計算A'!$A$3,'計算A'!$A$4=0))),0,IF(19=$K29,200000,ABS(19-$K29)*100)),100000+ABS(3-$J29)*1000+190)+'計算A'!BR$5*50+IF(AND($E29=1,LE29=0),25,0),INDEX('計算A'!BR$110:BR$114,$F29+1)+IF(AND($E29=1,LE29=0),1000,0)+IF($H29=1,(IF('計算A'!BQ$117=1,INDEX('計算A'!BQ$10:BQ$54,$B29),0)+IF('計算A'!BR$117=1,INDEX('計算A'!BS$10:BS$54,$B29),0))*500,0)-IF(AND('計算A'!BQ$117=1,WO29&gt;0),300,0)-IF(AND($L29=1,'計算A'!BR$117=1,FQ29=0),300,0))),1000000))</f>
        <v/>
      </c>
      <c r="QU29">
        <f>IF($B29=0,1000000,IF(INDEX('計算A'!$D$60:$EQ$104,$B29,68)*FQ29=1,IF(AND($E29=2,LF29=0),1000000,IF($I29&gt;0,IF(3=$J29,IF(OR(AND(68=$I29+1,OR($K29&lt;&gt;'計算A'!$A$3,'計算A'!$A$4=0)),AND(68=$I29-1,OR(20&lt;&gt;'計算A'!$A$3,'計算A'!$A$4=0))),0,IF(20=$K29,200000,ABS(20-$K29)*100)),100000+ABS(3-$J29)*1000+200)+'計算A'!BS$5*50+IF(AND($E29=1,LF29=0),25,0),INDEX('計算A'!BS$110:BS$114,$F29+1)+IF(AND($E29=1,LF29=0),1000,0)+IF($H29=1,(IF('計算A'!BR$117=1,INDEX('計算A'!BR$10:BR$54,$B29),0)+IF('計算A'!BS$117=1,INDEX('計算A'!BT$10:BT$54,$B29),0))*500,0)-IF(AND('計算A'!BR$117=1,WP29&gt;0),300,0)-IF(AND($L29=1,'計算A'!BS$117=1,FR29=0),300,0))),1000000))</f>
        <v/>
      </c>
      <c r="QV29">
        <f>IF($B29=0,1000000,IF(INDEX('計算A'!$D$60:$EQ$104,$B29,69)*FR29=1,IF(AND($E29=2,LG29=0),1000000,IF($I29&gt;0,IF(3=$J29,IF(OR(AND(69=$I29+1,OR($K29&lt;&gt;'計算A'!$A$3,'計算A'!$A$4=0)),AND(69=$I29-1,OR(21&lt;&gt;'計算A'!$A$3,'計算A'!$A$4=0))),0,IF(21=$K29,200000,ABS(21-$K29)*100)),100000+ABS(3-$J29)*1000+210)+'計算A'!BT$5*50+IF(AND($E29=1,LG29=0),25,0),INDEX('計算A'!BT$110:BT$114,$F29+1)+IF(AND($E29=1,LG29=0),1000,0)+IF($H29=1,(IF('計算A'!BS$117=1,INDEX('計算A'!BS$10:BS$54,$B29),0)+IF('計算A'!BT$117=1,INDEX('計算A'!BU$10:BU$54,$B29),0))*500,0)-IF(AND('計算A'!BS$117=1,WQ29&gt;0),300,0)-IF(AND($L29=1,'計算A'!BT$117=1,FS29=0),300,0))),1000000))</f>
        <v/>
      </c>
      <c r="QW29">
        <f>IF($B29=0,1000000,IF(INDEX('計算A'!$D$60:$EQ$104,$B29,70)*FS29=1,IF(AND($E29=2,LH29=0),1000000,IF($I29&gt;0,IF(3=$J29,IF(OR(AND(70=$I29+1,OR($K29&lt;&gt;'計算A'!$A$3,'計算A'!$A$4=0)),AND(70=$I29-1,OR(22&lt;&gt;'計算A'!$A$3,'計算A'!$A$4=0))),0,IF(22=$K29,200000,ABS(22-$K29)*100)),100000+ABS(3-$J29)*1000+220)+'計算A'!BU$5*50+IF(AND($E29=1,LH29=0),25,0),INDEX('計算A'!BU$110:BU$114,$F29+1)+IF(AND($E29=1,LH29=0),1000,0)+IF($H29=1,(IF('計算A'!BT$117=1,INDEX('計算A'!BT$10:BT$54,$B29),0)+IF('計算A'!BU$117=1,INDEX('計算A'!BV$10:BV$54,$B29),0))*500,0)-IF(AND('計算A'!BT$117=1,WR29&gt;0),300,0)-IF(AND($L29=1,'計算A'!BU$117=1,FT29=0),300,0))),1000000))</f>
        <v/>
      </c>
      <c r="QX29">
        <f>IF($B29=0,1000000,IF(INDEX('計算A'!$D$60:$EQ$104,$B29,71)*FT29=1,IF(AND($E29=2,LI29=0),1000000,IF($I29&gt;0,IF(3=$J29,IF(OR(AND(71=$I29+1,OR($K29&lt;&gt;'計算A'!$A$3,'計算A'!$A$4=0)),AND(71=$I29-1,OR(23&lt;&gt;'計算A'!$A$3,'計算A'!$A$4=0))),0,IF(23=$K29,200000,ABS(23-$K29)*100)),100000+ABS(3-$J29)*1000+230)+'計算A'!BV$5*50+IF(AND($E29=1,LI29=0),25,0),INDEX('計算A'!BV$110:BV$114,$F29+1)+IF(AND($E29=1,LI29=0),1000,0)+IF($H29=1,(IF('計算A'!BU$117=1,INDEX('計算A'!BU$10:BU$54,$B29),0)+IF('計算A'!BV$117=1,INDEX('計算A'!BW$10:BW$54,$B29),0))*500,0)-IF(AND('計算A'!BU$117=1,WS29&gt;0),300,0)-IF(AND($L29=1,'計算A'!BV$117=1,FU29=0),300,0))),1000000))</f>
        <v/>
      </c>
      <c r="QY29">
        <f>IF($B29=0,1000000,IF(INDEX('計算A'!$D$60:$EQ$104,$B29,72)*FU29=1,IF(AND($E29=2,LJ29=0),1000000,IF($I29&gt;0,IF(3=$J29,IF(OR(AND(72=$I29+1,OR($K29&lt;&gt;'計算A'!$A$3,'計算A'!$A$4=0)),AND(72=$I29-1,OR(24&lt;&gt;'計算A'!$A$3,'計算A'!$A$4=0))),0,IF(24=$K29,200000,ABS(24-$K29)*100)),100000+ABS(3-$J29)*1000+240)+'計算A'!BW$5*50+IF(AND($E29=1,LJ29=0),25,0),INDEX('計算A'!BW$110:BW$114,$F29+1)+IF(AND($E29=1,LJ29=0),1000,0)+IF($H29=1,(IF('計算A'!BV$117=1,INDEX('計算A'!BV$10:BV$54,$B29),0))*500,0)-IF(AND('計算A'!BV$117=1,WT29&gt;0),300,0))),1000000))</f>
        <v/>
      </c>
      <c r="QZ29">
        <f>IF($B29=0,1000000,IF(INDEX('計算A'!$D$60:$EQ$104,$B29,73)*FV29=1,IF(AND($E29=2,LK29=0),1000000,IF($I29&gt;0,IF(4=$J29,IF(OR(AND(73=$I29+1,OR($K29&lt;&gt;'計算A'!$A$3,'計算A'!$A$4=0)),AND(73=$I29-1,OR(1&lt;&gt;'計算A'!$A$3,'計算A'!$A$4=0))),0,IF(1=$K29,200000,ABS(1-$K29)*100)),100000+ABS(4-$J29)*1000+10)+'計算A'!BX$5*50+IF(AND($E29=1,LK29=0),25,0),INDEX('計算A'!BX$110:BX$114,$F29+1)+IF(AND($E29=1,LK29=0),1000,0)+IF($H29=1,(IF('計算A'!BX$117=1,INDEX('計算A'!BY$10:BY$54,$B29),0))*500,0)-IF(AND($L29=1,'計算A'!BX$117=1,FW29=0),300,0))),1000000))</f>
        <v/>
      </c>
      <c r="RA29">
        <f>IF($B29=0,1000000,IF(INDEX('計算A'!$D$60:$EQ$104,$B29,74)*FW29=1,IF(AND($E29=2,LL29=0),1000000,IF($I29&gt;0,IF(4=$J29,IF(OR(AND(74=$I29+1,OR($K29&lt;&gt;'計算A'!$A$3,'計算A'!$A$4=0)),AND(74=$I29-1,OR(2&lt;&gt;'計算A'!$A$3,'計算A'!$A$4=0))),0,IF(2=$K29,200000,ABS(2-$K29)*100)),100000+ABS(4-$J29)*1000+20)+'計算A'!BY$5*50+IF(AND($E29=1,LL29=0),25,0),INDEX('計算A'!BY$110:BY$114,$F29+1)+IF(AND($E29=1,LL29=0),1000,0)+IF($H29=1,(IF('計算A'!BX$117=1,INDEX('計算A'!BX$10:BX$54,$B29),0)+IF('計算A'!BY$117=1,INDEX('計算A'!BZ$10:BZ$54,$B29),0))*500,0)-IF(AND('計算A'!BX$117=1,WV29&gt;0),300,0)-IF(AND($L29=1,'計算A'!BY$117=1,FX29=0),300,0))),1000000))</f>
        <v/>
      </c>
      <c r="RB29">
        <f>IF($B29=0,1000000,IF(INDEX('計算A'!$D$60:$EQ$104,$B29,75)*FX29=1,IF(AND($E29=2,LM29=0),1000000,IF($I29&gt;0,IF(4=$J29,IF(OR(AND(75=$I29+1,OR($K29&lt;&gt;'計算A'!$A$3,'計算A'!$A$4=0)),AND(75=$I29-1,OR(3&lt;&gt;'計算A'!$A$3,'計算A'!$A$4=0))),0,IF(3=$K29,200000,ABS(3-$K29)*100)),100000+ABS(4-$J29)*1000+30)+'計算A'!BZ$5*50+IF(AND($E29=1,LM29=0),25,0),INDEX('計算A'!BZ$110:BZ$114,$F29+1)+IF(AND($E29=1,LM29=0),1000,0)+IF($H29=1,(IF('計算A'!BY$117=1,INDEX('計算A'!BY$10:BY$54,$B29),0)+IF('計算A'!BZ$117=1,INDEX('計算A'!CA$10:CA$54,$B29),0))*500,0)-IF(AND('計算A'!BY$117=1,WW29&gt;0),300,0)-IF(AND($L29=1,'計算A'!BZ$117=1,FY29=0),300,0))),1000000))</f>
        <v/>
      </c>
      <c r="RC29">
        <f>IF($B29=0,1000000,IF(INDEX('計算A'!$D$60:$EQ$104,$B29,76)*FY29=1,IF(AND($E29=2,LN29=0),1000000,IF($I29&gt;0,IF(4=$J29,IF(OR(AND(76=$I29+1,OR($K29&lt;&gt;'計算A'!$A$3,'計算A'!$A$4=0)),AND(76=$I29-1,OR(4&lt;&gt;'計算A'!$A$3,'計算A'!$A$4=0))),0,IF(4=$K29,200000,ABS(4-$K29)*100)),100000+ABS(4-$J29)*1000+40)+'計算A'!CA$5*50+IF(AND($E29=1,LN29=0),25,0),INDEX('計算A'!CA$110:CA$114,$F29+1)+IF(AND($E29=1,LN29=0),1000,0)+IF($H29=1,(IF('計算A'!BZ$117=1,INDEX('計算A'!BZ$10:BZ$54,$B29),0)+IF('計算A'!CA$117=1,INDEX('計算A'!CB$10:CB$54,$B29),0))*500,0)-IF(AND('計算A'!BZ$117=1,WX29&gt;0),300,0)-IF(AND($L29=1,'計算A'!CA$117=1,FZ29=0),300,0))),1000000))</f>
        <v/>
      </c>
      <c r="RD29">
        <f>IF($B29=0,1000000,IF(INDEX('計算A'!$D$60:$EQ$104,$B29,77)*FZ29=1,IF(AND($E29=2,LO29=0),1000000,IF($I29&gt;0,IF(4=$J29,IF(OR(AND(77=$I29+1,OR($K29&lt;&gt;'計算A'!$A$3,'計算A'!$A$4=0)),AND(77=$I29-1,OR(5&lt;&gt;'計算A'!$A$3,'計算A'!$A$4=0))),0,IF(5=$K29,200000,ABS(5-$K29)*100)),100000+ABS(4-$J29)*1000+50)+'計算A'!CB$5*50+IF(AND($E29=1,LO29=0),25,0),INDEX('計算A'!CB$110:CB$114,$F29+1)+IF(AND($E29=1,LO29=0),1000,0)+IF($H29=1,(IF('計算A'!CA$117=1,INDEX('計算A'!CA$10:CA$54,$B29),0)+IF('計算A'!CB$117=1,INDEX('計算A'!CC$10:CC$54,$B29),0))*500,0)-IF(AND('計算A'!CA$117=1,WY29&gt;0),300,0)-IF(AND($L29=1,'計算A'!CB$117=1,GA29=0),300,0))),1000000))</f>
        <v/>
      </c>
      <c r="RE29">
        <f>IF($B29=0,1000000,IF(INDEX('計算A'!$D$60:$EQ$104,$B29,78)*GA29=1,IF(AND($E29=2,LP29=0),1000000,IF($I29&gt;0,IF(4=$J29,IF(OR(AND(78=$I29+1,OR($K29&lt;&gt;'計算A'!$A$3,'計算A'!$A$4=0)),AND(78=$I29-1,OR(6&lt;&gt;'計算A'!$A$3,'計算A'!$A$4=0))),0,IF(6=$K29,200000,ABS(6-$K29)*100)),100000+ABS(4-$J29)*1000+60)+'計算A'!CC$5*50+IF(AND($E29=1,LP29=0),25,0),INDEX('計算A'!CC$110:CC$114,$F29+1)+IF(AND($E29=1,LP29=0),1000,0)+IF($H29=1,(IF('計算A'!CB$117=1,INDEX('計算A'!CB$10:CB$54,$B29),0)+IF('計算A'!CC$117=1,INDEX('計算A'!CD$10:CD$54,$B29),0))*500,0)-IF(AND('計算A'!CB$117=1,WZ29&gt;0),300,0)-IF(AND($L29=1,'計算A'!CC$117=1,GB29=0),300,0))),1000000))</f>
        <v/>
      </c>
      <c r="RF29">
        <f>IF($B29=0,1000000,IF(INDEX('計算A'!$D$60:$EQ$104,$B29,79)*GB29=1,IF(AND($E29=2,LQ29=0),1000000,IF($I29&gt;0,IF(4=$J29,IF(OR(AND(79=$I29+1,OR($K29&lt;&gt;'計算A'!$A$3,'計算A'!$A$4=0)),AND(79=$I29-1,OR(7&lt;&gt;'計算A'!$A$3,'計算A'!$A$4=0))),0,IF(7=$K29,200000,ABS(7-$K29)*100)),100000+ABS(4-$J29)*1000+70)+'計算A'!CD$5*50+IF(AND($E29=1,LQ29=0),25,0),INDEX('計算A'!CD$110:CD$114,$F29+1)+IF(AND($E29=1,LQ29=0),1000,0)+IF($H29=1,(IF('計算A'!CC$117=1,INDEX('計算A'!CC$10:CC$54,$B29),0)+IF('計算A'!CD$117=1,INDEX('計算A'!CE$10:CE$54,$B29),0))*500,0)-IF(AND('計算A'!CC$117=1,XA29&gt;0),300,0)-IF(AND($L29=1,'計算A'!CD$117=1,GC29=0),300,0))),1000000))</f>
        <v/>
      </c>
      <c r="RG29">
        <f>IF($B29=0,1000000,IF(INDEX('計算A'!$D$60:$EQ$104,$B29,80)*GC29=1,IF(AND($E29=2,LR29=0),1000000,IF($I29&gt;0,IF(4=$J29,IF(OR(AND(80=$I29+1,OR($K29&lt;&gt;'計算A'!$A$3,'計算A'!$A$4=0)),AND(80=$I29-1,OR(8&lt;&gt;'計算A'!$A$3,'計算A'!$A$4=0))),0,IF(8=$K29,200000,ABS(8-$K29)*100)),100000+ABS(4-$J29)*1000+80)+'計算A'!CE$5*50+IF(AND($E29=1,LR29=0),25,0),INDEX('計算A'!CE$110:CE$114,$F29+1)+IF(AND($E29=1,LR29=0),1000,0)+IF($H29=1,(IF('計算A'!CD$117=1,INDEX('計算A'!CD$10:CD$54,$B29),0)+IF('計算A'!CE$117=1,INDEX('計算A'!CF$10:CF$54,$B29),0))*500,0)-IF(AND('計算A'!CD$117=1,XB29&gt;0),300,0)-IF(AND($L29=1,'計算A'!CE$117=1,GD29=0),300,0))),1000000))</f>
        <v/>
      </c>
      <c r="RH29">
        <f>IF($B29=0,1000000,IF(INDEX('計算A'!$D$60:$EQ$104,$B29,81)*GD29=1,IF(AND($E29=2,LS29=0),1000000,IF($I29&gt;0,IF(4=$J29,IF(OR(AND(81=$I29+1,OR($K29&lt;&gt;'計算A'!$A$3,'計算A'!$A$4=0)),AND(81=$I29-1,OR(9&lt;&gt;'計算A'!$A$3,'計算A'!$A$4=0))),0,IF(9=$K29,200000,ABS(9-$K29)*100)),100000+ABS(4-$J29)*1000+90)+'計算A'!CF$5*50+IF(AND($E29=1,LS29=0),25,0),INDEX('計算A'!CF$110:CF$114,$F29+1)+IF(AND($E29=1,LS29=0),1000,0)+IF($H29=1,(IF('計算A'!CE$117=1,INDEX('計算A'!CE$10:CE$54,$B29),0)+IF('計算A'!CF$117=1,INDEX('計算A'!CG$10:CG$54,$B29),0))*500,0)-IF(AND('計算A'!CE$117=1,XC29&gt;0),300,0)-IF(AND($L29=1,'計算A'!CF$117=1,GE29=0),300,0))),1000000))</f>
        <v/>
      </c>
      <c r="RI29">
        <f>IF($B29=0,1000000,IF(INDEX('計算A'!$D$60:$EQ$104,$B29,82)*GE29=1,IF(AND($E29=2,LT29=0),1000000,IF($I29&gt;0,IF(4=$J29,IF(OR(AND(82=$I29+1,OR($K29&lt;&gt;'計算A'!$A$3,'計算A'!$A$4=0)),AND(82=$I29-1,OR(10&lt;&gt;'計算A'!$A$3,'計算A'!$A$4=0))),0,IF(10=$K29,200000,ABS(10-$K29)*100)),100000+ABS(4-$J29)*1000+100)+'計算A'!CG$5*50+IF(AND($E29=1,LT29=0),25,0),INDEX('計算A'!CG$110:CG$114,$F29+1)+IF(AND($E29=1,LT29=0),1000,0)+IF($H29=1,(IF('計算A'!CF$117=1,INDEX('計算A'!CF$10:CF$54,$B29),0)+IF('計算A'!CG$117=1,INDEX('計算A'!CH$10:CH$54,$B29),0))*500,0)-IF(AND('計算A'!CF$117=1,XD29&gt;0),300,0)-IF(AND($L29=1,'計算A'!CG$117=1,GF29=0),300,0))),1000000))</f>
        <v/>
      </c>
      <c r="RJ29">
        <f>IF($B29=0,1000000,IF(INDEX('計算A'!$D$60:$EQ$104,$B29,83)*GF29=1,IF(AND($E29=2,LU29=0),1000000,IF($I29&gt;0,IF(4=$J29,IF(OR(AND(83=$I29+1,OR($K29&lt;&gt;'計算A'!$A$3,'計算A'!$A$4=0)),AND(83=$I29-1,OR(11&lt;&gt;'計算A'!$A$3,'計算A'!$A$4=0))),0,IF(11=$K29,200000,ABS(11-$K29)*100)),100000+ABS(4-$J29)*1000+110)+'計算A'!CH$5*50+IF(AND($E29=1,LU29=0),25,0),INDEX('計算A'!CH$110:CH$114,$F29+1)+IF(AND($E29=1,LU29=0),1000,0)+IF($H29=1,(IF('計算A'!CG$117=1,INDEX('計算A'!CG$10:CG$54,$B29),0)+IF('計算A'!CH$117=1,INDEX('計算A'!CI$10:CI$54,$B29),0))*500,0)-IF(AND('計算A'!CG$117=1,XE29&gt;0),300,0)-IF(AND($L29=1,'計算A'!CH$117=1,GG29=0),300,0))),1000000))</f>
        <v/>
      </c>
      <c r="RK29">
        <f>IF($B29=0,1000000,IF(INDEX('計算A'!$D$60:$EQ$104,$B29,84)*GG29=1,IF(AND($E29=2,LV29=0),1000000,IF($I29&gt;0,IF(4=$J29,IF(OR(AND(84=$I29+1,OR($K29&lt;&gt;'計算A'!$A$3,'計算A'!$A$4=0)),AND(84=$I29-1,OR(12&lt;&gt;'計算A'!$A$3,'計算A'!$A$4=0))),0,IF(12=$K29,200000,ABS(12-$K29)*100)),100000+ABS(4-$J29)*1000+120)+'計算A'!CI$5*50+IF(AND($E29=1,LV29=0),25,0),INDEX('計算A'!CI$110:CI$114,$F29+1)+IF(AND($E29=1,LV29=0),1000,0)+IF($H29=1,(IF('計算A'!CH$117=1,INDEX('計算A'!CH$10:CH$54,$B29),0)+IF('計算A'!CI$117=1,INDEX('計算A'!CJ$10:CJ$54,$B29),0))*500,0)-IF(AND('計算A'!CH$117=1,XF29&gt;0),300,0)-IF(AND($L29=1,'計算A'!CI$117=1,GH29=0),300,0))),1000000))</f>
        <v/>
      </c>
      <c r="RL29">
        <f>IF($B29=0,1000000,IF(INDEX('計算A'!$D$60:$EQ$104,$B29,85)*GH29=1,IF(AND($E29=2,LW29=0),1000000,IF($I29&gt;0,IF(4=$J29,IF(OR(AND(85=$I29+1,OR($K29&lt;&gt;'計算A'!$A$3,'計算A'!$A$4=0)),AND(85=$I29-1,OR(13&lt;&gt;'計算A'!$A$3,'計算A'!$A$4=0))),0,IF(13=$K29,200000,ABS(13-$K29)*100)),100000+ABS(4-$J29)*1000+130)+'計算A'!CJ$5*50+IF(AND($E29=1,LW29=0),25,0),INDEX('計算A'!CJ$110:CJ$114,$F29+1)+IF(AND($E29=1,LW29=0),1000,0)+IF($H29=1,(IF('計算A'!CI$117=1,INDEX('計算A'!CI$10:CI$54,$B29),0)+IF('計算A'!CJ$117=1,INDEX('計算A'!CK$10:CK$54,$B29),0))*500,0)-IF(AND('計算A'!CI$117=1,XG29&gt;0),300,0)-IF(AND($L29=1,'計算A'!CJ$117=1,GI29=0),300,0))),1000000))</f>
        <v/>
      </c>
      <c r="RM29">
        <f>IF($B29=0,1000000,IF(INDEX('計算A'!$D$60:$EQ$104,$B29,86)*GI29=1,IF(AND($E29=2,LX29=0),1000000,IF($I29&gt;0,IF(4=$J29,IF(OR(AND(86=$I29+1,OR($K29&lt;&gt;'計算A'!$A$3,'計算A'!$A$4=0)),AND(86=$I29-1,OR(14&lt;&gt;'計算A'!$A$3,'計算A'!$A$4=0))),0,IF(14=$K29,200000,ABS(14-$K29)*100)),100000+ABS(4-$J29)*1000+140)+'計算A'!CK$5*50+IF(AND($E29=1,LX29=0),25,0),INDEX('計算A'!CK$110:CK$114,$F29+1)+IF(AND($E29=1,LX29=0),1000,0)+IF($H29=1,(IF('計算A'!CJ$117=1,INDEX('計算A'!CJ$10:CJ$54,$B29),0)+IF('計算A'!CK$117=1,INDEX('計算A'!CL$10:CL$54,$B29),0))*500,0)-IF(AND('計算A'!CJ$117=1,XH29&gt;0),300,0)-IF(AND($L29=1,'計算A'!CK$117=1,GJ29=0),300,0))),1000000))</f>
        <v/>
      </c>
      <c r="RN29">
        <f>IF($B29=0,1000000,IF(INDEX('計算A'!$D$60:$EQ$104,$B29,87)*GJ29=1,IF(AND($E29=2,LY29=0),1000000,IF($I29&gt;0,IF(4=$J29,IF(OR(AND(87=$I29+1,OR($K29&lt;&gt;'計算A'!$A$3,'計算A'!$A$4=0)),AND(87=$I29-1,OR(15&lt;&gt;'計算A'!$A$3,'計算A'!$A$4=0))),0,IF(15=$K29,200000,ABS(15-$K29)*100)),100000+ABS(4-$J29)*1000+150)+'計算A'!CL$5*50+IF(AND($E29=1,LY29=0),25,0),INDEX('計算A'!CL$110:CL$114,$F29+1)+IF(AND($E29=1,LY29=0),1000,0)+IF($H29=1,(IF('計算A'!CK$117=1,INDEX('計算A'!CK$10:CK$54,$B29),0)+IF('計算A'!CL$117=1,INDEX('計算A'!CM$10:CM$54,$B29),0))*500,0)-IF(AND('計算A'!CK$117=1,XI29&gt;0),300,0)-IF(AND($L29=1,'計算A'!CL$117=1,GK29=0),300,0))),1000000))</f>
        <v/>
      </c>
      <c r="RO29">
        <f>IF($B29=0,1000000,IF(INDEX('計算A'!$D$60:$EQ$104,$B29,88)*GK29=1,IF(AND($E29=2,LZ29=0),1000000,IF($I29&gt;0,IF(4=$J29,IF(OR(AND(88=$I29+1,OR($K29&lt;&gt;'計算A'!$A$3,'計算A'!$A$4=0)),AND(88=$I29-1,OR(16&lt;&gt;'計算A'!$A$3,'計算A'!$A$4=0))),0,IF(16=$K29,200000,ABS(16-$K29)*100)),100000+ABS(4-$J29)*1000+160)+'計算A'!CM$5*50+IF(AND($E29=1,LZ29=0),25,0),INDEX('計算A'!CM$110:CM$114,$F29+1)+IF(AND($E29=1,LZ29=0),1000,0)+IF($H29=1,(IF('計算A'!CL$117=1,INDEX('計算A'!CL$10:CL$54,$B29),0)+IF('計算A'!CM$117=1,INDEX('計算A'!CN$10:CN$54,$B29),0))*500,0)-IF(AND('計算A'!CL$117=1,XJ29&gt;0),300,0)-IF(AND($L29=1,'計算A'!CM$117=1,GL29=0),300,0))),1000000))</f>
        <v/>
      </c>
      <c r="RP29">
        <f>IF($B29=0,1000000,IF(INDEX('計算A'!$D$60:$EQ$104,$B29,89)*GL29=1,IF(AND($E29=2,MA29=0),1000000,IF($I29&gt;0,IF(4=$J29,IF(OR(AND(89=$I29+1,OR($K29&lt;&gt;'計算A'!$A$3,'計算A'!$A$4=0)),AND(89=$I29-1,OR(17&lt;&gt;'計算A'!$A$3,'計算A'!$A$4=0))),0,IF(17=$K29,200000,ABS(17-$K29)*100)),100000+ABS(4-$J29)*1000+170)+'計算A'!CN$5*50+IF(AND($E29=1,MA29=0),25,0),INDEX('計算A'!CN$110:CN$114,$F29+1)+IF(AND($E29=1,MA29=0),1000,0)+IF($H29=1,(IF('計算A'!CM$117=1,INDEX('計算A'!CM$10:CM$54,$B29),0)+IF('計算A'!CN$117=1,INDEX('計算A'!CO$10:CO$54,$B29),0))*500,0)-IF(AND('計算A'!CM$117=1,XK29&gt;0),300,0)-IF(AND($L29=1,'計算A'!CN$117=1,GM29=0),300,0))),1000000))</f>
        <v/>
      </c>
      <c r="RQ29">
        <f>IF($B29=0,1000000,IF(INDEX('計算A'!$D$60:$EQ$104,$B29,90)*GM29=1,IF(AND($E29=2,MB29=0),1000000,IF($I29&gt;0,IF(4=$J29,IF(OR(AND(90=$I29+1,OR($K29&lt;&gt;'計算A'!$A$3,'計算A'!$A$4=0)),AND(90=$I29-1,OR(18&lt;&gt;'計算A'!$A$3,'計算A'!$A$4=0))),0,IF(18=$K29,200000,ABS(18-$K29)*100)),100000+ABS(4-$J29)*1000+180)+'計算A'!CO$5*50+IF(AND($E29=1,MB29=0),25,0),INDEX('計算A'!CO$110:CO$114,$F29+1)+IF(AND($E29=1,MB29=0),1000,0)+IF($H29=1,(IF('計算A'!CN$117=1,INDEX('計算A'!CN$10:CN$54,$B29),0)+IF('計算A'!CO$117=1,INDEX('計算A'!CP$10:CP$54,$B29),0))*500,0)-IF(AND('計算A'!CN$117=1,XL29&gt;0),300,0)-IF(AND($L29=1,'計算A'!CO$117=1,GN29=0),300,0))),1000000))</f>
        <v/>
      </c>
      <c r="RR29">
        <f>IF($B29=0,1000000,IF(INDEX('計算A'!$D$60:$EQ$104,$B29,91)*GN29=1,IF(AND($E29=2,MC29=0),1000000,IF($I29&gt;0,IF(4=$J29,IF(OR(AND(91=$I29+1,OR($K29&lt;&gt;'計算A'!$A$3,'計算A'!$A$4=0)),AND(91=$I29-1,OR(19&lt;&gt;'計算A'!$A$3,'計算A'!$A$4=0))),0,IF(19=$K29,200000,ABS(19-$K29)*100)),100000+ABS(4-$J29)*1000+190)+'計算A'!CP$5*50+IF(AND($E29=1,MC29=0),25,0),INDEX('計算A'!CP$110:CP$114,$F29+1)+IF(AND($E29=1,MC29=0),1000,0)+IF($H29=1,(IF('計算A'!CO$117=1,INDEX('計算A'!CO$10:CO$54,$B29),0)+IF('計算A'!CP$117=1,INDEX('計算A'!CQ$10:CQ$54,$B29),0))*500,0)-IF(AND('計算A'!CO$117=1,XM29&gt;0),300,0)-IF(AND($L29=1,'計算A'!CP$117=1,GO29=0),300,0))),1000000))</f>
        <v/>
      </c>
      <c r="RS29">
        <f>IF($B29=0,1000000,IF(INDEX('計算A'!$D$60:$EQ$104,$B29,92)*GO29=1,IF(AND($E29=2,MD29=0),1000000,IF($I29&gt;0,IF(4=$J29,IF(OR(AND(92=$I29+1,OR($K29&lt;&gt;'計算A'!$A$3,'計算A'!$A$4=0)),AND(92=$I29-1,OR(20&lt;&gt;'計算A'!$A$3,'計算A'!$A$4=0))),0,IF(20=$K29,200000,ABS(20-$K29)*100)),100000+ABS(4-$J29)*1000+200)+'計算A'!CQ$5*50+IF(AND($E29=1,MD29=0),25,0),INDEX('計算A'!CQ$110:CQ$114,$F29+1)+IF(AND($E29=1,MD29=0),1000,0)+IF($H29=1,(IF('計算A'!CP$117=1,INDEX('計算A'!CP$10:CP$54,$B29),0)+IF('計算A'!CQ$117=1,INDEX('計算A'!CR$10:CR$54,$B29),0))*500,0)-IF(AND('計算A'!CP$117=1,XN29&gt;0),300,0)-IF(AND($L29=1,'計算A'!CQ$117=1,GP29=0),300,0))),1000000))</f>
        <v/>
      </c>
      <c r="RT29">
        <f>IF($B29=0,1000000,IF(INDEX('計算A'!$D$60:$EQ$104,$B29,93)*GP29=1,IF(AND($E29=2,ME29=0),1000000,IF($I29&gt;0,IF(4=$J29,IF(OR(AND(93=$I29+1,OR($K29&lt;&gt;'計算A'!$A$3,'計算A'!$A$4=0)),AND(93=$I29-1,OR(21&lt;&gt;'計算A'!$A$3,'計算A'!$A$4=0))),0,IF(21=$K29,200000,ABS(21-$K29)*100)),100000+ABS(4-$J29)*1000+210)+'計算A'!CR$5*50+IF(AND($E29=1,ME29=0),25,0),INDEX('計算A'!CR$110:CR$114,$F29+1)+IF(AND($E29=1,ME29=0),1000,0)+IF($H29=1,(IF('計算A'!CQ$117=1,INDEX('計算A'!CQ$10:CQ$54,$B29),0)+IF('計算A'!CR$117=1,INDEX('計算A'!CS$10:CS$54,$B29),0))*500,0)-IF(AND('計算A'!CQ$117=1,XO29&gt;0),300,0)-IF(AND($L29=1,'計算A'!CR$117=1,GQ29=0),300,0))),1000000))</f>
        <v/>
      </c>
      <c r="RU29">
        <f>IF($B29=0,1000000,IF(INDEX('計算A'!$D$60:$EQ$104,$B29,94)*GQ29=1,IF(AND($E29=2,MF29=0),1000000,IF($I29&gt;0,IF(4=$J29,IF(OR(AND(94=$I29+1,OR($K29&lt;&gt;'計算A'!$A$3,'計算A'!$A$4=0)),AND(94=$I29-1,OR(22&lt;&gt;'計算A'!$A$3,'計算A'!$A$4=0))),0,IF(22=$K29,200000,ABS(22-$K29)*100)),100000+ABS(4-$J29)*1000+220)+'計算A'!CS$5*50+IF(AND($E29=1,MF29=0),25,0),INDEX('計算A'!CS$110:CS$114,$F29+1)+IF(AND($E29=1,MF29=0),1000,0)+IF($H29=1,(IF('計算A'!CR$117=1,INDEX('計算A'!CR$10:CR$54,$B29),0)+IF('計算A'!CS$117=1,INDEX('計算A'!CT$10:CT$54,$B29),0))*500,0)-IF(AND('計算A'!CR$117=1,XP29&gt;0),300,0)-IF(AND($L29=1,'計算A'!CS$117=1,GR29=0),300,0))),1000000))</f>
        <v/>
      </c>
      <c r="RV29">
        <f>IF($B29=0,1000000,IF(INDEX('計算A'!$D$60:$EQ$104,$B29,95)*GR29=1,IF(AND($E29=2,MG29=0),1000000,IF($I29&gt;0,IF(4=$J29,IF(OR(AND(95=$I29+1,OR($K29&lt;&gt;'計算A'!$A$3,'計算A'!$A$4=0)),AND(95=$I29-1,OR(23&lt;&gt;'計算A'!$A$3,'計算A'!$A$4=0))),0,IF(23=$K29,200000,ABS(23-$K29)*100)),100000+ABS(4-$J29)*1000+230)+'計算A'!CT$5*50+IF(AND($E29=1,MG29=0),25,0),INDEX('計算A'!CT$110:CT$114,$F29+1)+IF(AND($E29=1,MG29=0),1000,0)+IF($H29=1,(IF('計算A'!CS$117=1,INDEX('計算A'!CS$10:CS$54,$B29),0)+IF('計算A'!CT$117=1,INDEX('計算A'!CU$10:CU$54,$B29),0))*500,0)-IF(AND('計算A'!CS$117=1,XQ29&gt;0),300,0)-IF(AND($L29=1,'計算A'!CT$117=1,GS29=0),300,0))),1000000))</f>
        <v/>
      </c>
      <c r="RW29">
        <f>IF($B29=0,1000000,IF(INDEX('計算A'!$D$60:$EQ$104,$B29,96)*GS29=1,IF(AND($E29=2,MH29=0),1000000,IF($I29&gt;0,IF(4=$J29,IF(OR(AND(96=$I29+1,OR($K29&lt;&gt;'計算A'!$A$3,'計算A'!$A$4=0)),AND(96=$I29-1,OR(24&lt;&gt;'計算A'!$A$3,'計算A'!$A$4=0))),0,IF(24=$K29,200000,ABS(24-$K29)*100)),100000+ABS(4-$J29)*1000+240)+'計算A'!CU$5*50+IF(AND($E29=1,MH29=0),25,0),INDEX('計算A'!CU$110:CU$114,$F29+1)+IF(AND($E29=1,MH29=0),1000,0)+IF($H29=1,(IF('計算A'!CT$117=1,INDEX('計算A'!CT$10:CT$54,$B29),0))*500,0)-IF(AND('計算A'!CT$117=1,XR29&gt;0),300,0))),1000000))</f>
        <v/>
      </c>
      <c r="RX29">
        <f>IF($B29=0,1000000,IF(INDEX('計算A'!$D$60:$EQ$104,$B29,97)*GT29=1,IF(AND($E29=2,MI29=0),1000000,IF($I29&gt;0,IF(5=$J29,IF(OR(AND(97=$I29+1,OR($K29&lt;&gt;'計算A'!$A$3,'計算A'!$A$4=0)),AND(97=$I29-1,OR(1&lt;&gt;'計算A'!$A$3,'計算A'!$A$4=0))),0,IF(1=$K29,200000,ABS(1-$K29)*100)),100000+ABS(5-$J29)*1000+10)+'計算A'!CV$5*50+IF(AND($E29=1,MI29=0),25,0),INDEX('計算A'!CV$110:CV$114,$F29+1)+IF(AND($E29=1,MI29=0),1000,0)+IF($H29=1,(IF('計算A'!CV$117=1,INDEX('計算A'!CW$10:CW$54,$B29),0))*500,0)-IF(AND($L29=1,'計算A'!CV$117=1,GU29=0),300,0))),1000000))</f>
        <v/>
      </c>
      <c r="RY29">
        <f>IF($B29=0,1000000,IF(INDEX('計算A'!$D$60:$EQ$104,$B29,98)*GU29=1,IF(AND($E29=2,MJ29=0),1000000,IF($I29&gt;0,IF(5=$J29,IF(OR(AND(98=$I29+1,OR($K29&lt;&gt;'計算A'!$A$3,'計算A'!$A$4=0)),AND(98=$I29-1,OR(2&lt;&gt;'計算A'!$A$3,'計算A'!$A$4=0))),0,IF(2=$K29,200000,ABS(2-$K29)*100)),100000+ABS(5-$J29)*1000+20)+'計算A'!CW$5*50+IF(AND($E29=1,MJ29=0),25,0),INDEX('計算A'!CW$110:CW$114,$F29+1)+IF(AND($E29=1,MJ29=0),1000,0)+IF($H29=1,(IF('計算A'!CV$117=1,INDEX('計算A'!CV$10:CV$54,$B29),0)+IF('計算A'!CW$117=1,INDEX('計算A'!CX$10:CX$54,$B29),0))*500,0)-IF(AND('計算A'!CV$117=1,XT29&gt;0),300,0)-IF(AND($L29=1,'計算A'!CW$117=1,GV29=0),300,0))),1000000))</f>
        <v/>
      </c>
      <c r="RZ29">
        <f>IF($B29=0,1000000,IF(INDEX('計算A'!$D$60:$EQ$104,$B29,99)*GV29=1,IF(AND($E29=2,MK29=0),1000000,IF($I29&gt;0,IF(5=$J29,IF(OR(AND(99=$I29+1,OR($K29&lt;&gt;'計算A'!$A$3,'計算A'!$A$4=0)),AND(99=$I29-1,OR(3&lt;&gt;'計算A'!$A$3,'計算A'!$A$4=0))),0,IF(3=$K29,200000,ABS(3-$K29)*100)),100000+ABS(5-$J29)*1000+30)+'計算A'!CX$5*50+IF(AND($E29=1,MK29=0),25,0),INDEX('計算A'!CX$110:CX$114,$F29+1)+IF(AND($E29=1,MK29=0),1000,0)+IF($H29=1,(IF('計算A'!CW$117=1,INDEX('計算A'!CW$10:CW$54,$B29),0)+IF('計算A'!CX$117=1,INDEX('計算A'!CY$10:CY$54,$B29),0))*500,0)-IF(AND('計算A'!CW$117=1,XU29&gt;0),300,0)-IF(AND($L29=1,'計算A'!CX$117=1,GW29=0),300,0))),1000000))</f>
        <v/>
      </c>
      <c r="SA29">
        <f>IF($B29=0,1000000,IF(INDEX('計算A'!$D$60:$EQ$104,$B29,100)*GW29=1,IF(AND($E29=2,ML29=0),1000000,IF($I29&gt;0,IF(5=$J29,IF(OR(AND(100=$I29+1,OR($K29&lt;&gt;'計算A'!$A$3,'計算A'!$A$4=0)),AND(100=$I29-1,OR(4&lt;&gt;'計算A'!$A$3,'計算A'!$A$4=0))),0,IF(4=$K29,200000,ABS(4-$K29)*100)),100000+ABS(5-$J29)*1000+40)+'計算A'!CY$5*50+IF(AND($E29=1,ML29=0),25,0),INDEX('計算A'!CY$110:CY$114,$F29+1)+IF(AND($E29=1,ML29=0),1000,0)+IF($H29=1,(IF('計算A'!CX$117=1,INDEX('計算A'!CX$10:CX$54,$B29),0)+IF('計算A'!CY$117=1,INDEX('計算A'!CZ$10:CZ$54,$B29),0))*500,0)-IF(AND('計算A'!CX$117=1,XV29&gt;0),300,0)-IF(AND($L29=1,'計算A'!CY$117=1,GX29=0),300,0))),1000000))</f>
        <v/>
      </c>
      <c r="SB29">
        <f>IF($B29=0,1000000,IF(INDEX('計算A'!$D$60:$EQ$104,$B29,101)*GX29=1,IF(AND($E29=2,MM29=0),1000000,IF($I29&gt;0,IF(5=$J29,IF(OR(AND(101=$I29+1,OR($K29&lt;&gt;'計算A'!$A$3,'計算A'!$A$4=0)),AND(101=$I29-1,OR(5&lt;&gt;'計算A'!$A$3,'計算A'!$A$4=0))),0,IF(5=$K29,200000,ABS(5-$K29)*100)),100000+ABS(5-$J29)*1000+50)+'計算A'!CZ$5*50+IF(AND($E29=1,MM29=0),25,0),INDEX('計算A'!CZ$110:CZ$114,$F29+1)+IF(AND($E29=1,MM29=0),1000,0)+IF($H29=1,(IF('計算A'!CY$117=1,INDEX('計算A'!CY$10:CY$54,$B29),0)+IF('計算A'!CZ$117=1,INDEX('計算A'!DA$10:DA$54,$B29),0))*500,0)-IF(AND('計算A'!CY$117=1,XW29&gt;0),300,0)-IF(AND($L29=1,'計算A'!CZ$117=1,GY29=0),300,0))),1000000))</f>
        <v/>
      </c>
      <c r="SC29">
        <f>IF($B29=0,1000000,IF(INDEX('計算A'!$D$60:$EQ$104,$B29,102)*GY29=1,IF(AND($E29=2,MN29=0),1000000,IF($I29&gt;0,IF(5=$J29,IF(OR(AND(102=$I29+1,OR($K29&lt;&gt;'計算A'!$A$3,'計算A'!$A$4=0)),AND(102=$I29-1,OR(6&lt;&gt;'計算A'!$A$3,'計算A'!$A$4=0))),0,IF(6=$K29,200000,ABS(6-$K29)*100)),100000+ABS(5-$J29)*1000+60)+'計算A'!DA$5*50+IF(AND($E29=1,MN29=0),25,0),INDEX('計算A'!DA$110:DA$114,$F29+1)+IF(AND($E29=1,MN29=0),1000,0)+IF($H29=1,(IF('計算A'!CZ$117=1,INDEX('計算A'!CZ$10:CZ$54,$B29),0)+IF('計算A'!DA$117=1,INDEX('計算A'!DB$10:DB$54,$B29),0))*500,0)-IF(AND('計算A'!CZ$117=1,XX29&gt;0),300,0)-IF(AND($L29=1,'計算A'!DA$117=1,GZ29=0),300,0))),1000000))</f>
        <v/>
      </c>
      <c r="SD29">
        <f>IF($B29=0,1000000,IF(INDEX('計算A'!$D$60:$EQ$104,$B29,103)*GZ29=1,IF(AND($E29=2,MO29=0),1000000,IF($I29&gt;0,IF(5=$J29,IF(OR(AND(103=$I29+1,OR($K29&lt;&gt;'計算A'!$A$3,'計算A'!$A$4=0)),AND(103=$I29-1,OR(7&lt;&gt;'計算A'!$A$3,'計算A'!$A$4=0))),0,IF(7=$K29,200000,ABS(7-$K29)*100)),100000+ABS(5-$J29)*1000+70)+'計算A'!DB$5*50+IF(AND($E29=1,MO29=0),25,0),INDEX('計算A'!DB$110:DB$114,$F29+1)+IF(AND($E29=1,MO29=0),1000,0)+IF($H29=1,(IF('計算A'!DA$117=1,INDEX('計算A'!DA$10:DA$54,$B29),0)+IF('計算A'!DB$117=1,INDEX('計算A'!DC$10:DC$54,$B29),0))*500,0)-IF(AND('計算A'!DA$117=1,XY29&gt;0),300,0)-IF(AND($L29=1,'計算A'!DB$117=1,HA29=0),300,0))),1000000))</f>
        <v/>
      </c>
      <c r="SE29">
        <f>IF($B29=0,1000000,IF(INDEX('計算A'!$D$60:$EQ$104,$B29,104)*HA29=1,IF(AND($E29=2,MP29=0),1000000,IF($I29&gt;0,IF(5=$J29,IF(OR(AND(104=$I29+1,OR($K29&lt;&gt;'計算A'!$A$3,'計算A'!$A$4=0)),AND(104=$I29-1,OR(8&lt;&gt;'計算A'!$A$3,'計算A'!$A$4=0))),0,IF(8=$K29,200000,ABS(8-$K29)*100)),100000+ABS(5-$J29)*1000+80)+'計算A'!DC$5*50+IF(AND($E29=1,MP29=0),25,0),INDEX('計算A'!DC$110:DC$114,$F29+1)+IF(AND($E29=1,MP29=0),1000,0)+IF($H29=1,(IF('計算A'!DB$117=1,INDEX('計算A'!DB$10:DB$54,$B29),0)+IF('計算A'!DC$117=1,INDEX('計算A'!DD$10:DD$54,$B29),0))*500,0)-IF(AND('計算A'!DB$117=1,XZ29&gt;0),300,0)-IF(AND($L29=1,'計算A'!DC$117=1,HB29=0),300,0))),1000000))</f>
        <v/>
      </c>
      <c r="SF29">
        <f>IF($B29=0,1000000,IF(INDEX('計算A'!$D$60:$EQ$104,$B29,105)*HB29=1,IF(AND($E29=2,MQ29=0),1000000,IF($I29&gt;0,IF(5=$J29,IF(OR(AND(105=$I29+1,OR($K29&lt;&gt;'計算A'!$A$3,'計算A'!$A$4=0)),AND(105=$I29-1,OR(9&lt;&gt;'計算A'!$A$3,'計算A'!$A$4=0))),0,IF(9=$K29,200000,ABS(9-$K29)*100)),100000+ABS(5-$J29)*1000+90)+'計算A'!DD$5*50+IF(AND($E29=1,MQ29=0),25,0),INDEX('計算A'!DD$110:DD$114,$F29+1)+IF(AND($E29=1,MQ29=0),1000,0)+IF($H29=1,(IF('計算A'!DC$117=1,INDEX('計算A'!DC$10:DC$54,$B29),0)+IF('計算A'!DD$117=1,INDEX('計算A'!DE$10:DE$54,$B29),0))*500,0)-IF(AND('計算A'!DC$117=1,YA29&gt;0),300,0)-IF(AND($L29=1,'計算A'!DD$117=1,HC29=0),300,0))),1000000))</f>
        <v/>
      </c>
      <c r="SG29">
        <f>IF($B29=0,1000000,IF(INDEX('計算A'!$D$60:$EQ$104,$B29,106)*HC29=1,IF(AND($E29=2,MR29=0),1000000,IF($I29&gt;0,IF(5=$J29,IF(OR(AND(106=$I29+1,OR($K29&lt;&gt;'計算A'!$A$3,'計算A'!$A$4=0)),AND(106=$I29-1,OR(10&lt;&gt;'計算A'!$A$3,'計算A'!$A$4=0))),0,IF(10=$K29,200000,ABS(10-$K29)*100)),100000+ABS(5-$J29)*1000+100)+'計算A'!DE$5*50+IF(AND($E29=1,MR29=0),25,0),INDEX('計算A'!DE$110:DE$114,$F29+1)+IF(AND($E29=1,MR29=0),1000,0)+IF($H29=1,(IF('計算A'!DD$117=1,INDEX('計算A'!DD$10:DD$54,$B29),0)+IF('計算A'!DE$117=1,INDEX('計算A'!DF$10:DF$54,$B29),0))*500,0)-IF(AND('計算A'!DD$117=1,YB29&gt;0),300,0)-IF(AND($L29=1,'計算A'!DE$117=1,HD29=0),300,0))),1000000))</f>
        <v/>
      </c>
      <c r="SH29">
        <f>IF($B29=0,1000000,IF(INDEX('計算A'!$D$60:$EQ$104,$B29,107)*HD29=1,IF(AND($E29=2,MS29=0),1000000,IF($I29&gt;0,IF(5=$J29,IF(OR(AND(107=$I29+1,OR($K29&lt;&gt;'計算A'!$A$3,'計算A'!$A$4=0)),AND(107=$I29-1,OR(11&lt;&gt;'計算A'!$A$3,'計算A'!$A$4=0))),0,IF(11=$K29,200000,ABS(11-$K29)*100)),100000+ABS(5-$J29)*1000+110)+'計算A'!DF$5*50+IF(AND($E29=1,MS29=0),25,0),INDEX('計算A'!DF$110:DF$114,$F29+1)+IF(AND($E29=1,MS29=0),1000,0)+IF($H29=1,(IF('計算A'!DE$117=1,INDEX('計算A'!DE$10:DE$54,$B29),0)+IF('計算A'!DF$117=1,INDEX('計算A'!DG$10:DG$54,$B29),0))*500,0)-IF(AND('計算A'!DE$117=1,YC29&gt;0),300,0)-IF(AND($L29=1,'計算A'!DF$117=1,HE29=0),300,0))),1000000))</f>
        <v/>
      </c>
      <c r="SI29">
        <f>IF($B29=0,1000000,IF(INDEX('計算A'!$D$60:$EQ$104,$B29,108)*HE29=1,IF(AND($E29=2,MT29=0),1000000,IF($I29&gt;0,IF(5=$J29,IF(OR(AND(108=$I29+1,OR($K29&lt;&gt;'計算A'!$A$3,'計算A'!$A$4=0)),AND(108=$I29-1,OR(12&lt;&gt;'計算A'!$A$3,'計算A'!$A$4=0))),0,IF(12=$K29,200000,ABS(12-$K29)*100)),100000+ABS(5-$J29)*1000+120)+'計算A'!DG$5*50+IF(AND($E29=1,MT29=0),25,0),INDEX('計算A'!DG$110:DG$114,$F29+1)+IF(AND($E29=1,MT29=0),1000,0)+IF($H29=1,(IF('計算A'!DF$117=1,INDEX('計算A'!DF$10:DF$54,$B29),0)+IF('計算A'!DG$117=1,INDEX('計算A'!DH$10:DH$54,$B29),0))*500,0)-IF(AND('計算A'!DF$117=1,YD29&gt;0),300,0)-IF(AND($L29=1,'計算A'!DG$117=1,HF29=0),300,0))),1000000))</f>
        <v/>
      </c>
      <c r="SJ29">
        <f>IF($B29=0,1000000,IF(INDEX('計算A'!$D$60:$EQ$104,$B29,109)*HF29=1,IF(AND($E29=2,MU29=0),1000000,IF($I29&gt;0,IF(5=$J29,IF(OR(AND(109=$I29+1,OR($K29&lt;&gt;'計算A'!$A$3,'計算A'!$A$4=0)),AND(109=$I29-1,OR(13&lt;&gt;'計算A'!$A$3,'計算A'!$A$4=0))),0,IF(13=$K29,200000,ABS(13-$K29)*100)),100000+ABS(5-$J29)*1000+130)+'計算A'!DH$5*50+IF(AND($E29=1,MU29=0),25,0),INDEX('計算A'!DH$110:DH$114,$F29+1)+IF(AND($E29=1,MU29=0),1000,0)+IF($H29=1,(IF('計算A'!DG$117=1,INDEX('計算A'!DG$10:DG$54,$B29),0)+IF('計算A'!DH$117=1,INDEX('計算A'!DI$10:DI$54,$B29),0))*500,0)-IF(AND('計算A'!DG$117=1,YE29&gt;0),300,0)-IF(AND($L29=1,'計算A'!DH$117=1,HG29=0),300,0))),1000000))</f>
        <v/>
      </c>
      <c r="SK29">
        <f>IF($B29=0,1000000,IF(INDEX('計算A'!$D$60:$EQ$104,$B29,110)*HG29=1,IF(AND($E29=2,MV29=0),1000000,IF($I29&gt;0,IF(5=$J29,IF(OR(AND(110=$I29+1,OR($K29&lt;&gt;'計算A'!$A$3,'計算A'!$A$4=0)),AND(110=$I29-1,OR(14&lt;&gt;'計算A'!$A$3,'計算A'!$A$4=0))),0,IF(14=$K29,200000,ABS(14-$K29)*100)),100000+ABS(5-$J29)*1000+140)+'計算A'!DI$5*50+IF(AND($E29=1,MV29=0),25,0),INDEX('計算A'!DI$110:DI$114,$F29+1)+IF(AND($E29=1,MV29=0),1000,0)+IF($H29=1,(IF('計算A'!DH$117=1,INDEX('計算A'!DH$10:DH$54,$B29),0)+IF('計算A'!DI$117=1,INDEX('計算A'!DJ$10:DJ$54,$B29),0))*500,0)-IF(AND('計算A'!DH$117=1,YF29&gt;0),300,0)-IF(AND($L29=1,'計算A'!DI$117=1,HH29=0),300,0))),1000000))</f>
        <v/>
      </c>
      <c r="SL29">
        <f>IF($B29=0,1000000,IF(INDEX('計算A'!$D$60:$EQ$104,$B29,111)*HH29=1,IF(AND($E29=2,MW29=0),1000000,IF($I29&gt;0,IF(5=$J29,IF(OR(AND(111=$I29+1,OR($K29&lt;&gt;'計算A'!$A$3,'計算A'!$A$4=0)),AND(111=$I29-1,OR(15&lt;&gt;'計算A'!$A$3,'計算A'!$A$4=0))),0,IF(15=$K29,200000,ABS(15-$K29)*100)),100000+ABS(5-$J29)*1000+150)+'計算A'!DJ$5*50+IF(AND($E29=1,MW29=0),25,0),INDEX('計算A'!DJ$110:DJ$114,$F29+1)+IF(AND($E29=1,MW29=0),1000,0)+IF($H29=1,(IF('計算A'!DI$117=1,INDEX('計算A'!DI$10:DI$54,$B29),0)+IF('計算A'!DJ$117=1,INDEX('計算A'!DK$10:DK$54,$B29),0))*500,0)-IF(AND('計算A'!DI$117=1,YG29&gt;0),300,0)-IF(AND($L29=1,'計算A'!DJ$117=1,HI29=0),300,0))),1000000))</f>
        <v/>
      </c>
      <c r="SM29">
        <f>IF($B29=0,1000000,IF(INDEX('計算A'!$D$60:$EQ$104,$B29,112)*HI29=1,IF(AND($E29=2,MX29=0),1000000,IF($I29&gt;0,IF(5=$J29,IF(OR(AND(112=$I29+1,OR($K29&lt;&gt;'計算A'!$A$3,'計算A'!$A$4=0)),AND(112=$I29-1,OR(16&lt;&gt;'計算A'!$A$3,'計算A'!$A$4=0))),0,IF(16=$K29,200000,ABS(16-$K29)*100)),100000+ABS(5-$J29)*1000+160)+'計算A'!DK$5*50+IF(AND($E29=1,MX29=0),25,0),INDEX('計算A'!DK$110:DK$114,$F29+1)+IF(AND($E29=1,MX29=0),1000,0)+IF($H29=1,(IF('計算A'!DJ$117=1,INDEX('計算A'!DJ$10:DJ$54,$B29),0)+IF('計算A'!DK$117=1,INDEX('計算A'!DL$10:DL$54,$B29),0))*500,0)-IF(AND('計算A'!DJ$117=1,YH29&gt;0),300,0)-IF(AND($L29=1,'計算A'!DK$117=1,HJ29=0),300,0))),1000000))</f>
        <v/>
      </c>
      <c r="SN29">
        <f>IF($B29=0,1000000,IF(INDEX('計算A'!$D$60:$EQ$104,$B29,113)*HJ29=1,IF(AND($E29=2,MY29=0),1000000,IF($I29&gt;0,IF(5=$J29,IF(OR(AND(113=$I29+1,OR($K29&lt;&gt;'計算A'!$A$3,'計算A'!$A$4=0)),AND(113=$I29-1,OR(17&lt;&gt;'計算A'!$A$3,'計算A'!$A$4=0))),0,IF(17=$K29,200000,ABS(17-$K29)*100)),100000+ABS(5-$J29)*1000+170)+'計算A'!DL$5*50+IF(AND($E29=1,MY29=0),25,0),INDEX('計算A'!DL$110:DL$114,$F29+1)+IF(AND($E29=1,MY29=0),1000,0)+IF($H29=1,(IF('計算A'!DK$117=1,INDEX('計算A'!DK$10:DK$54,$B29),0)+IF('計算A'!DL$117=1,INDEX('計算A'!DM$10:DM$54,$B29),0))*500,0)-IF(AND('計算A'!DK$117=1,YI29&gt;0),300,0)-IF(AND($L29=1,'計算A'!DL$117=1,HK29=0),300,0))),1000000))</f>
        <v/>
      </c>
      <c r="SO29">
        <f>IF($B29=0,1000000,IF(INDEX('計算A'!$D$60:$EQ$104,$B29,114)*HK29=1,IF(AND($E29=2,MZ29=0),1000000,IF($I29&gt;0,IF(5=$J29,IF(OR(AND(114=$I29+1,OR($K29&lt;&gt;'計算A'!$A$3,'計算A'!$A$4=0)),AND(114=$I29-1,OR(18&lt;&gt;'計算A'!$A$3,'計算A'!$A$4=0))),0,IF(18=$K29,200000,ABS(18-$K29)*100)),100000+ABS(5-$J29)*1000+180)+'計算A'!DM$5*50+IF(AND($E29=1,MZ29=0),25,0),INDEX('計算A'!DM$110:DM$114,$F29+1)+IF(AND($E29=1,MZ29=0),1000,0)+IF($H29=1,(IF('計算A'!DL$117=1,INDEX('計算A'!DL$10:DL$54,$B29),0)+IF('計算A'!DM$117=1,INDEX('計算A'!DN$10:DN$54,$B29),0))*500,0)-IF(AND('計算A'!DL$117=1,YJ29&gt;0),300,0)-IF(AND($L29=1,'計算A'!DM$117=1,HL29=0),300,0))),1000000))</f>
        <v/>
      </c>
      <c r="SP29">
        <f>IF($B29=0,1000000,IF(INDEX('計算A'!$D$60:$EQ$104,$B29,115)*HL29=1,IF(AND($E29=2,NA29=0),1000000,IF($I29&gt;0,IF(5=$J29,IF(OR(AND(115=$I29+1,OR($K29&lt;&gt;'計算A'!$A$3,'計算A'!$A$4=0)),AND(115=$I29-1,OR(19&lt;&gt;'計算A'!$A$3,'計算A'!$A$4=0))),0,IF(19=$K29,200000,ABS(19-$K29)*100)),100000+ABS(5-$J29)*1000+190)+'計算A'!DN$5*50+IF(AND($E29=1,NA29=0),25,0),INDEX('計算A'!DN$110:DN$114,$F29+1)+IF(AND($E29=1,NA29=0),1000,0)+IF($H29=1,(IF('計算A'!DM$117=1,INDEX('計算A'!DM$10:DM$54,$B29),0)+IF('計算A'!DN$117=1,INDEX('計算A'!DO$10:DO$54,$B29),0))*500,0)-IF(AND('計算A'!DM$117=1,YK29&gt;0),300,0)-IF(AND($L29=1,'計算A'!DN$117=1,HM29=0),300,0))),1000000))</f>
        <v/>
      </c>
      <c r="SQ29">
        <f>IF($B29=0,1000000,IF(INDEX('計算A'!$D$60:$EQ$104,$B29,116)*HM29=1,IF(AND($E29=2,NB29=0),1000000,IF($I29&gt;0,IF(5=$J29,IF(OR(AND(116=$I29+1,OR($K29&lt;&gt;'計算A'!$A$3,'計算A'!$A$4=0)),AND(116=$I29-1,OR(20&lt;&gt;'計算A'!$A$3,'計算A'!$A$4=0))),0,IF(20=$K29,200000,ABS(20-$K29)*100)),100000+ABS(5-$J29)*1000+200)+'計算A'!DO$5*50+IF(AND($E29=1,NB29=0),25,0),INDEX('計算A'!DO$110:DO$114,$F29+1)+IF(AND($E29=1,NB29=0),1000,0)+IF($H29=1,(IF('計算A'!DN$117=1,INDEX('計算A'!DN$10:DN$54,$B29),0)+IF('計算A'!DO$117=1,INDEX('計算A'!DP$10:DP$54,$B29),0))*500,0)-IF(AND('計算A'!DN$117=1,YL29&gt;0),300,0)-IF(AND($L29=1,'計算A'!DO$117=1,HN29=0),300,0))),1000000))</f>
        <v/>
      </c>
      <c r="SR29">
        <f>IF($B29=0,1000000,IF(INDEX('計算A'!$D$60:$EQ$104,$B29,117)*HN29=1,IF(AND($E29=2,NC29=0),1000000,IF($I29&gt;0,IF(5=$J29,IF(OR(AND(117=$I29+1,OR($K29&lt;&gt;'計算A'!$A$3,'計算A'!$A$4=0)),AND(117=$I29-1,OR(21&lt;&gt;'計算A'!$A$3,'計算A'!$A$4=0))),0,IF(21=$K29,200000,ABS(21-$K29)*100)),100000+ABS(5-$J29)*1000+210)+'計算A'!DP$5*50+IF(AND($E29=1,NC29=0),25,0),INDEX('計算A'!DP$110:DP$114,$F29+1)+IF(AND($E29=1,NC29=0),1000,0)+IF($H29=1,(IF('計算A'!DO$117=1,INDEX('計算A'!DO$10:DO$54,$B29),0)+IF('計算A'!DP$117=1,INDEX('計算A'!DQ$10:DQ$54,$B29),0))*500,0)-IF(AND('計算A'!DO$117=1,YM29&gt;0),300,0)-IF(AND($L29=1,'計算A'!DP$117=1,HO29=0),300,0))),1000000))</f>
        <v/>
      </c>
      <c r="SS29">
        <f>IF($B29=0,1000000,IF(INDEX('計算A'!$D$60:$EQ$104,$B29,118)*HO29=1,IF(AND($E29=2,ND29=0),1000000,IF($I29&gt;0,IF(5=$J29,IF(OR(AND(118=$I29+1,OR($K29&lt;&gt;'計算A'!$A$3,'計算A'!$A$4=0)),AND(118=$I29-1,OR(22&lt;&gt;'計算A'!$A$3,'計算A'!$A$4=0))),0,IF(22=$K29,200000,ABS(22-$K29)*100)),100000+ABS(5-$J29)*1000+220)+'計算A'!DQ$5*50+IF(AND($E29=1,ND29=0),25,0),INDEX('計算A'!DQ$110:DQ$114,$F29+1)+IF(AND($E29=1,ND29=0),1000,0)+IF($H29=1,(IF('計算A'!DP$117=1,INDEX('計算A'!DP$10:DP$54,$B29),0)+IF('計算A'!DQ$117=1,INDEX('計算A'!DR$10:DR$54,$B29),0))*500,0)-IF(AND('計算A'!DP$117=1,YN29&gt;0),300,0)-IF(AND($L29=1,'計算A'!DQ$117=1,HP29=0),300,0))),1000000))</f>
        <v/>
      </c>
      <c r="ST29">
        <f>IF($B29=0,1000000,IF(INDEX('計算A'!$D$60:$EQ$104,$B29,119)*HP29=1,IF(AND($E29=2,NE29=0),1000000,IF($I29&gt;0,IF(5=$J29,IF(OR(AND(119=$I29+1,OR($K29&lt;&gt;'計算A'!$A$3,'計算A'!$A$4=0)),AND(119=$I29-1,OR(23&lt;&gt;'計算A'!$A$3,'計算A'!$A$4=0))),0,IF(23=$K29,200000,ABS(23-$K29)*100)),100000+ABS(5-$J29)*1000+230)+'計算A'!DR$5*50+IF(AND($E29=1,NE29=0),25,0),INDEX('計算A'!DR$110:DR$114,$F29+1)+IF(AND($E29=1,NE29=0),1000,0)+IF($H29=1,(IF('計算A'!DQ$117=1,INDEX('計算A'!DQ$10:DQ$54,$B29),0)+IF('計算A'!DR$117=1,INDEX('計算A'!DS$10:DS$54,$B29),0))*500,0)-IF(AND('計算A'!DQ$117=1,YO29&gt;0),300,0)-IF(AND($L29=1,'計算A'!DR$117=1,HQ29=0),300,0))),1000000))</f>
        <v/>
      </c>
      <c r="SU29">
        <f>IF($B29=0,1000000,IF(INDEX('計算A'!$D$60:$EQ$104,$B29,120)*HQ29=1,IF(AND($E29=2,NF29=0),1000000,IF($I29&gt;0,IF(5=$J29,IF(OR(AND(120=$I29+1,OR($K29&lt;&gt;'計算A'!$A$3,'計算A'!$A$4=0)),AND(120=$I29-1,OR(24&lt;&gt;'計算A'!$A$3,'計算A'!$A$4=0))),0,IF(24=$K29,200000,ABS(24-$K29)*100)),100000+ABS(5-$J29)*1000+240)+'計算A'!DS$5*50+IF(AND($E29=1,NF29=0),25,0),INDEX('計算A'!DS$110:DS$114,$F29+1)+IF(AND($E29=1,NF29=0),1000,0)+IF($H29=1,(IF('計算A'!DR$117=1,INDEX('計算A'!DR$10:DR$54,$B29),0))*500,0)-IF(AND('計算A'!DR$117=1,YP29&gt;0),300,0))),1000000))</f>
        <v/>
      </c>
      <c r="SV29">
        <f>IF($B29=0,1000000,IF(INDEX('計算A'!$D$60:$EQ$104,$B29,121)*HR29=1,IF(AND($E29=2,NG29=0),1000000,IF($I29&gt;0,IF(6=$J29,IF(OR(AND(121=$I29+1,OR($K29&lt;&gt;'計算A'!$A$3,'計算A'!$A$4=0)),AND(121=$I29-1,OR(1&lt;&gt;'計算A'!$A$3,'計算A'!$A$4=0))),0,IF(1=$K29,200000,ABS(1-$K29)*100)),100000+ABS(6-$J29)*1000+10)+'計算A'!DT$5*50+IF(AND($E29=1,NG29=0),25,0),INDEX('計算A'!DT$110:DT$114,$F29+1)+IF(AND($E29=1,NG29=0),1000,0)+IF($H29=1,(IF('計算A'!DT$117=1,INDEX('計算A'!DU$10:DU$54,$B29),0))*500,0)-IF(AND($L29=1,'計算A'!DT$117=1,HS29=0),300,0))),1000000))</f>
        <v/>
      </c>
      <c r="SW29">
        <f>IF($B29=0,1000000,IF(INDEX('計算A'!$D$60:$EQ$104,$B29,122)*HS29=1,IF(AND($E29=2,NH29=0),1000000,IF($I29&gt;0,IF(6=$J29,IF(OR(AND(122=$I29+1,OR($K29&lt;&gt;'計算A'!$A$3,'計算A'!$A$4=0)),AND(122=$I29-1,OR(2&lt;&gt;'計算A'!$A$3,'計算A'!$A$4=0))),0,IF(2=$K29,200000,ABS(2-$K29)*100)),100000+ABS(6-$J29)*1000+20)+'計算A'!DU$5*50+IF(AND($E29=1,NH29=0),25,0),INDEX('計算A'!DU$110:DU$114,$F29+1)+IF(AND($E29=1,NH29=0),1000,0)+IF($H29=1,(IF('計算A'!DT$117=1,INDEX('計算A'!DT$10:DT$54,$B29),0)+IF('計算A'!DU$117=1,INDEX('計算A'!DV$10:DV$54,$B29),0))*500,0)-IF(AND('計算A'!DT$117=1,YR29&gt;0),300,0)-IF(AND($L29=1,'計算A'!DU$117=1,HT29=0),300,0))),1000000))</f>
        <v/>
      </c>
      <c r="SX29">
        <f>IF($B29=0,1000000,IF(INDEX('計算A'!$D$60:$EQ$104,$B29,123)*HT29=1,IF(AND($E29=2,NI29=0),1000000,IF($I29&gt;0,IF(6=$J29,IF(OR(AND(123=$I29+1,OR($K29&lt;&gt;'計算A'!$A$3,'計算A'!$A$4=0)),AND(123=$I29-1,OR(3&lt;&gt;'計算A'!$A$3,'計算A'!$A$4=0))),0,IF(3=$K29,200000,ABS(3-$K29)*100)),100000+ABS(6-$J29)*1000+30)+'計算A'!DV$5*50+IF(AND($E29=1,NI29=0),25,0),INDEX('計算A'!DV$110:DV$114,$F29+1)+IF(AND($E29=1,NI29=0),1000,0)+IF($H29=1,(IF('計算A'!DU$117=1,INDEX('計算A'!DU$10:DU$54,$B29),0)+IF('計算A'!DV$117=1,INDEX('計算A'!DW$10:DW$54,$B29),0))*500,0)-IF(AND('計算A'!DU$117=1,YS29&gt;0),300,0)-IF(AND($L29=1,'計算A'!DV$117=1,HU29=0),300,0))),1000000))</f>
        <v/>
      </c>
      <c r="SY29">
        <f>IF($B29=0,1000000,IF(INDEX('計算A'!$D$60:$EQ$104,$B29,124)*HU29=1,IF(AND($E29=2,NJ29=0),1000000,IF($I29&gt;0,IF(6=$J29,IF(OR(AND(124=$I29+1,OR($K29&lt;&gt;'計算A'!$A$3,'計算A'!$A$4=0)),AND(124=$I29-1,OR(4&lt;&gt;'計算A'!$A$3,'計算A'!$A$4=0))),0,IF(4=$K29,200000,ABS(4-$K29)*100)),100000+ABS(6-$J29)*1000+40)+'計算A'!DW$5*50+IF(AND($E29=1,NJ29=0),25,0),INDEX('計算A'!DW$110:DW$114,$F29+1)+IF(AND($E29=1,NJ29=0),1000,0)+IF($H29=1,(IF('計算A'!DV$117=1,INDEX('計算A'!DV$10:DV$54,$B29),0)+IF('計算A'!DW$117=1,INDEX('計算A'!DX$10:DX$54,$B29),0))*500,0)-IF(AND('計算A'!DV$117=1,YT29&gt;0),300,0)-IF(AND($L29=1,'計算A'!DW$117=1,HV29=0),300,0))),1000000))</f>
        <v/>
      </c>
      <c r="SZ29">
        <f>IF($B29=0,1000000,IF(INDEX('計算A'!$D$60:$EQ$104,$B29,125)*HV29=1,IF(AND($E29=2,NK29=0),1000000,IF($I29&gt;0,IF(6=$J29,IF(OR(AND(125=$I29+1,OR($K29&lt;&gt;'計算A'!$A$3,'計算A'!$A$4=0)),AND(125=$I29-1,OR(5&lt;&gt;'計算A'!$A$3,'計算A'!$A$4=0))),0,IF(5=$K29,200000,ABS(5-$K29)*100)),100000+ABS(6-$J29)*1000+50)+'計算A'!DX$5*50+IF(AND($E29=1,NK29=0),25,0),INDEX('計算A'!DX$110:DX$114,$F29+1)+IF(AND($E29=1,NK29=0),1000,0)+IF($H29=1,(IF('計算A'!DW$117=1,INDEX('計算A'!DW$10:DW$54,$B29),0)+IF('計算A'!DX$117=1,INDEX('計算A'!DY$10:DY$54,$B29),0))*500,0)-IF(AND('計算A'!DW$117=1,YU29&gt;0),300,0)-IF(AND($L29=1,'計算A'!DX$117=1,HW29=0),300,0))),1000000))</f>
        <v/>
      </c>
      <c r="TA29">
        <f>IF($B29=0,1000000,IF(INDEX('計算A'!$D$60:$EQ$104,$B29,126)*HW29=1,IF(AND($E29=2,NL29=0),1000000,IF($I29&gt;0,IF(6=$J29,IF(OR(AND(126=$I29+1,OR($K29&lt;&gt;'計算A'!$A$3,'計算A'!$A$4=0)),AND(126=$I29-1,OR(6&lt;&gt;'計算A'!$A$3,'計算A'!$A$4=0))),0,IF(6=$K29,200000,ABS(6-$K29)*100)),100000+ABS(6-$J29)*1000+60)+'計算A'!DY$5*50+IF(AND($E29=1,NL29=0),25,0),INDEX('計算A'!DY$110:DY$114,$F29+1)+IF(AND($E29=1,NL29=0),1000,0)+IF($H29=1,(IF('計算A'!DX$117=1,INDEX('計算A'!DX$10:DX$54,$B29),0)+IF('計算A'!DY$117=1,INDEX('計算A'!DZ$10:DZ$54,$B29),0))*500,0)-IF(AND('計算A'!DX$117=1,YV29&gt;0),300,0)-IF(AND($L29=1,'計算A'!DY$117=1,HX29=0),300,0))),1000000))</f>
        <v/>
      </c>
      <c r="TB29">
        <f>IF($B29=0,1000000,IF(INDEX('計算A'!$D$60:$EQ$104,$B29,127)*HX29=1,IF(AND($E29=2,NM29=0),1000000,IF($I29&gt;0,IF(6=$J29,IF(OR(AND(127=$I29+1,OR($K29&lt;&gt;'計算A'!$A$3,'計算A'!$A$4=0)),AND(127=$I29-1,OR(7&lt;&gt;'計算A'!$A$3,'計算A'!$A$4=0))),0,IF(7=$K29,200000,ABS(7-$K29)*100)),100000+ABS(6-$J29)*1000+70)+'計算A'!DZ$5*50+IF(AND($E29=1,NM29=0),25,0),INDEX('計算A'!DZ$110:DZ$114,$F29+1)+IF(AND($E29=1,NM29=0),1000,0)+IF($H29=1,(IF('計算A'!DY$117=1,INDEX('計算A'!DY$10:DY$54,$B29),0)+IF('計算A'!DZ$117=1,INDEX('計算A'!EA$10:EA$54,$B29),0))*500,0)-IF(AND('計算A'!DY$117=1,YW29&gt;0),300,0)-IF(AND($L29=1,'計算A'!DZ$117=1,HY29=0),300,0))),1000000))</f>
        <v/>
      </c>
      <c r="TC29">
        <f>IF($B29=0,1000000,IF(INDEX('計算A'!$D$60:$EQ$104,$B29,128)*HY29=1,IF(AND($E29=2,NN29=0),1000000,IF($I29&gt;0,IF(6=$J29,IF(OR(AND(128=$I29+1,OR($K29&lt;&gt;'計算A'!$A$3,'計算A'!$A$4=0)),AND(128=$I29-1,OR(8&lt;&gt;'計算A'!$A$3,'計算A'!$A$4=0))),0,IF(8=$K29,200000,ABS(8-$K29)*100)),100000+ABS(6-$J29)*1000+80)+'計算A'!EA$5*50+IF(AND($E29=1,NN29=0),25,0),INDEX('計算A'!EA$110:EA$114,$F29+1)+IF(AND($E29=1,NN29=0),1000,0)+IF($H29=1,(IF('計算A'!DZ$117=1,INDEX('計算A'!DZ$10:DZ$54,$B29),0)+IF('計算A'!EA$117=1,INDEX('計算A'!EB$10:EB$54,$B29),0))*500,0)-IF(AND('計算A'!DZ$117=1,YX29&gt;0),300,0)-IF(AND($L29=1,'計算A'!EA$117=1,HZ29=0),300,0))),1000000))</f>
        <v/>
      </c>
      <c r="TD29">
        <f>IF($B29=0,1000000,IF(INDEX('計算A'!$D$60:$EQ$104,$B29,129)*HZ29=1,IF(AND($E29=2,NO29=0),1000000,IF($I29&gt;0,IF(6=$J29,IF(OR(AND(129=$I29+1,OR($K29&lt;&gt;'計算A'!$A$3,'計算A'!$A$4=0)),AND(129=$I29-1,OR(9&lt;&gt;'計算A'!$A$3,'計算A'!$A$4=0))),0,IF(9=$K29,200000,ABS(9-$K29)*100)),100000+ABS(6-$J29)*1000+90)+'計算A'!EB$5*50+IF(AND($E29=1,NO29=0),25,0),INDEX('計算A'!EB$110:EB$114,$F29+1)+IF(AND($E29=1,NO29=0),1000,0)+IF($H29=1,(IF('計算A'!EA$117=1,INDEX('計算A'!EA$10:EA$54,$B29),0)+IF('計算A'!EB$117=1,INDEX('計算A'!EC$10:EC$54,$B29),0))*500,0)-IF(AND('計算A'!EA$117=1,YY29&gt;0),300,0)-IF(AND($L29=1,'計算A'!EB$117=1,IA29=0),300,0))),1000000))</f>
        <v/>
      </c>
      <c r="TE29">
        <f>IF($B29=0,1000000,IF(INDEX('計算A'!$D$60:$EQ$104,$B29,130)*IA29=1,IF(AND($E29=2,NP29=0),1000000,IF($I29&gt;0,IF(6=$J29,IF(OR(AND(130=$I29+1,OR($K29&lt;&gt;'計算A'!$A$3,'計算A'!$A$4=0)),AND(130=$I29-1,OR(10&lt;&gt;'計算A'!$A$3,'計算A'!$A$4=0))),0,IF(10=$K29,200000,ABS(10-$K29)*100)),100000+ABS(6-$J29)*1000+100)+'計算A'!EC$5*50+IF(AND($E29=1,NP29=0),25,0),INDEX('計算A'!EC$110:EC$114,$F29+1)+IF(AND($E29=1,NP29=0),1000,0)+IF($H29=1,(IF('計算A'!EB$117=1,INDEX('計算A'!EB$10:EB$54,$B29),0)+IF('計算A'!EC$117=1,INDEX('計算A'!ED$10:ED$54,$B29),0))*500,0)-IF(AND('計算A'!EB$117=1,YZ29&gt;0),300,0)-IF(AND($L29=1,'計算A'!EC$117=1,IB29=0),300,0))),1000000))</f>
        <v/>
      </c>
      <c r="TF29">
        <f>IF($B29=0,1000000,IF(INDEX('計算A'!$D$60:$EQ$104,$B29,131)*IB29=1,IF(AND($E29=2,NQ29=0),1000000,IF($I29&gt;0,IF(6=$J29,IF(OR(AND(131=$I29+1,OR($K29&lt;&gt;'計算A'!$A$3,'計算A'!$A$4=0)),AND(131=$I29-1,OR(11&lt;&gt;'計算A'!$A$3,'計算A'!$A$4=0))),0,IF(11=$K29,200000,ABS(11-$K29)*100)),100000+ABS(6-$J29)*1000+110)+'計算A'!ED$5*50+IF(AND($E29=1,NQ29=0),25,0),INDEX('計算A'!ED$110:ED$114,$F29+1)+IF(AND($E29=1,NQ29=0),1000,0)+IF($H29=1,(IF('計算A'!EC$117=1,INDEX('計算A'!EC$10:EC$54,$B29),0)+IF('計算A'!ED$117=1,INDEX('計算A'!EE$10:EE$54,$B29),0))*500,0)-IF(AND('計算A'!EC$117=1,ZA29&gt;0),300,0)-IF(AND($L29=1,'計算A'!ED$117=1,IC29=0),300,0))),1000000))</f>
        <v/>
      </c>
      <c r="TG29">
        <f>IF($B29=0,1000000,IF(INDEX('計算A'!$D$60:$EQ$104,$B29,132)*IC29=1,IF(AND($E29=2,NR29=0),1000000,IF($I29&gt;0,IF(6=$J29,IF(OR(AND(132=$I29+1,OR($K29&lt;&gt;'計算A'!$A$3,'計算A'!$A$4=0)),AND(132=$I29-1,OR(12&lt;&gt;'計算A'!$A$3,'計算A'!$A$4=0))),0,IF(12=$K29,200000,ABS(12-$K29)*100)),100000+ABS(6-$J29)*1000+120)+'計算A'!EE$5*50+IF(AND($E29=1,NR29=0),25,0),INDEX('計算A'!EE$110:EE$114,$F29+1)+IF(AND($E29=1,NR29=0),1000,0)+IF($H29=1,(IF('計算A'!ED$117=1,INDEX('計算A'!ED$10:ED$54,$B29),0)+IF('計算A'!EE$117=1,INDEX('計算A'!EF$10:EF$54,$B29),0))*500,0)-IF(AND('計算A'!ED$117=1,ZB29&gt;0),300,0)-IF(AND($L29=1,'計算A'!EE$117=1,ID29=0),300,0))),1000000))</f>
        <v/>
      </c>
      <c r="TH29">
        <f>IF($B29=0,1000000,IF(INDEX('計算A'!$D$60:$EQ$104,$B29,133)*ID29=1,IF(AND($E29=2,NS29=0),1000000,IF($I29&gt;0,IF(6=$J29,IF(OR(AND(133=$I29+1,OR($K29&lt;&gt;'計算A'!$A$3,'計算A'!$A$4=0)),AND(133=$I29-1,OR(13&lt;&gt;'計算A'!$A$3,'計算A'!$A$4=0))),0,IF(13=$K29,200000,ABS(13-$K29)*100)),100000+ABS(6-$J29)*1000+130)+'計算A'!EF$5*50+IF(AND($E29=1,NS29=0),25,0),INDEX('計算A'!EF$110:EF$114,$F29+1)+IF(AND($E29=1,NS29=0),1000,0)+IF($H29=1,(IF('計算A'!EE$117=1,INDEX('計算A'!EE$10:EE$54,$B29),0)+IF('計算A'!EF$117=1,INDEX('計算A'!EG$10:EG$54,$B29),0))*500,0)-IF(AND('計算A'!EE$117=1,ZC29&gt;0),300,0)-IF(AND($L29=1,'計算A'!EF$117=1,IE29=0),300,0))),1000000))</f>
        <v/>
      </c>
      <c r="TI29">
        <f>IF($B29=0,1000000,IF(INDEX('計算A'!$D$60:$EQ$104,$B29,134)*IE29=1,IF(AND($E29=2,NT29=0),1000000,IF($I29&gt;0,IF(6=$J29,IF(OR(AND(134=$I29+1,OR($K29&lt;&gt;'計算A'!$A$3,'計算A'!$A$4=0)),AND(134=$I29-1,OR(14&lt;&gt;'計算A'!$A$3,'計算A'!$A$4=0))),0,IF(14=$K29,200000,ABS(14-$K29)*100)),100000+ABS(6-$J29)*1000+140)+'計算A'!EG$5*50+IF(AND($E29=1,NT29=0),25,0),INDEX('計算A'!EG$110:EG$114,$F29+1)+IF(AND($E29=1,NT29=0),1000,0)+IF($H29=1,(IF('計算A'!EF$117=1,INDEX('計算A'!EF$10:EF$54,$B29),0)+IF('計算A'!EG$117=1,INDEX('計算A'!EH$10:EH$54,$B29),0))*500,0)-IF(AND('計算A'!EF$117=1,ZD29&gt;0),300,0)-IF(AND($L29=1,'計算A'!EG$117=1,IF29=0),300,0))),1000000))</f>
        <v/>
      </c>
      <c r="TJ29">
        <f>IF($B29=0,1000000,IF(INDEX('計算A'!$D$60:$EQ$104,$B29,135)*IF29=1,IF(AND($E29=2,NU29=0),1000000,IF($I29&gt;0,IF(6=$J29,IF(OR(AND(135=$I29+1,OR($K29&lt;&gt;'計算A'!$A$3,'計算A'!$A$4=0)),AND(135=$I29-1,OR(15&lt;&gt;'計算A'!$A$3,'計算A'!$A$4=0))),0,IF(15=$K29,200000,ABS(15-$K29)*100)),100000+ABS(6-$J29)*1000+150)+'計算A'!EH$5*50+IF(AND($E29=1,NU29=0),25,0),INDEX('計算A'!EH$110:EH$114,$F29+1)+IF(AND($E29=1,NU29=0),1000,0)+IF($H29=1,(IF('計算A'!EG$117=1,INDEX('計算A'!EG$10:EG$54,$B29),0)+IF('計算A'!EH$117=1,INDEX('計算A'!EI$10:EI$54,$B29),0))*500,0)-IF(AND('計算A'!EG$117=1,ZE29&gt;0),300,0)-IF(AND($L29=1,'計算A'!EH$117=1,IG29=0),300,0))),1000000))</f>
        <v/>
      </c>
      <c r="TK29">
        <f>IF($B29=0,1000000,IF(INDEX('計算A'!$D$60:$EQ$104,$B29,136)*IG29=1,IF(AND($E29=2,NV29=0),1000000,IF($I29&gt;0,IF(6=$J29,IF(OR(AND(136=$I29+1,OR($K29&lt;&gt;'計算A'!$A$3,'計算A'!$A$4=0)),AND(136=$I29-1,OR(16&lt;&gt;'計算A'!$A$3,'計算A'!$A$4=0))),0,IF(16=$K29,200000,ABS(16-$K29)*100)),100000+ABS(6-$J29)*1000+160)+'計算A'!EI$5*50+IF(AND($E29=1,NV29=0),25,0),INDEX('計算A'!EI$110:EI$114,$F29+1)+IF(AND($E29=1,NV29=0),1000,0)+IF($H29=1,(IF('計算A'!EH$117=1,INDEX('計算A'!EH$10:EH$54,$B29),0)+IF('計算A'!EI$117=1,INDEX('計算A'!EJ$10:EJ$54,$B29),0))*500,0)-IF(AND('計算A'!EH$117=1,ZF29&gt;0),300,0)-IF(AND($L29=1,'計算A'!EI$117=1,IH29=0),300,0))),1000000))</f>
        <v/>
      </c>
      <c r="TL29">
        <f>IF($B29=0,1000000,IF(INDEX('計算A'!$D$60:$EQ$104,$B29,137)*IH29=1,IF(AND($E29=2,NW29=0),1000000,IF($I29&gt;0,IF(6=$J29,IF(OR(AND(137=$I29+1,OR($K29&lt;&gt;'計算A'!$A$3,'計算A'!$A$4=0)),AND(137=$I29-1,OR(17&lt;&gt;'計算A'!$A$3,'計算A'!$A$4=0))),0,IF(17=$K29,200000,ABS(17-$K29)*100)),100000+ABS(6-$J29)*1000+170)+'計算A'!EJ$5*50+IF(AND($E29=1,NW29=0),25,0),INDEX('計算A'!EJ$110:EJ$114,$F29+1)+IF(AND($E29=1,NW29=0),1000,0)+IF($H29=1,(IF('計算A'!EI$117=1,INDEX('計算A'!EI$10:EI$54,$B29),0)+IF('計算A'!EJ$117=1,INDEX('計算A'!EK$10:EK$54,$B29),0))*500,0)-IF(AND('計算A'!EI$117=1,ZG29&gt;0),300,0)-IF(AND($L29=1,'計算A'!EJ$117=1,II29=0),300,0))),1000000))</f>
        <v/>
      </c>
      <c r="TM29">
        <f>IF($B29=0,1000000,IF(INDEX('計算A'!$D$60:$EQ$104,$B29,138)*II29=1,IF(AND($E29=2,NX29=0),1000000,IF($I29&gt;0,IF(6=$J29,IF(OR(AND(138=$I29+1,OR($K29&lt;&gt;'計算A'!$A$3,'計算A'!$A$4=0)),AND(138=$I29-1,OR(18&lt;&gt;'計算A'!$A$3,'計算A'!$A$4=0))),0,IF(18=$K29,200000,ABS(18-$K29)*100)),100000+ABS(6-$J29)*1000+180)+'計算A'!EK$5*50+IF(AND($E29=1,NX29=0),25,0),INDEX('計算A'!EK$110:EK$114,$F29+1)+IF(AND($E29=1,NX29=0),1000,0)+IF($H29=1,(IF('計算A'!EJ$117=1,INDEX('計算A'!EJ$10:EJ$54,$B29),0)+IF('計算A'!EK$117=1,INDEX('計算A'!EL$10:EL$54,$B29),0))*500,0)-IF(AND('計算A'!EJ$117=1,ZH29&gt;0),300,0)-IF(AND($L29=1,'計算A'!EK$117=1,IJ29=0),300,0))),1000000))</f>
        <v/>
      </c>
      <c r="TN29">
        <f>IF($B29=0,1000000,IF(INDEX('計算A'!$D$60:$EQ$104,$B29,139)*IJ29=1,IF(AND($E29=2,NY29=0),1000000,IF($I29&gt;0,IF(6=$J29,IF(OR(AND(139=$I29+1,OR($K29&lt;&gt;'計算A'!$A$3,'計算A'!$A$4=0)),AND(139=$I29-1,OR(19&lt;&gt;'計算A'!$A$3,'計算A'!$A$4=0))),0,IF(19=$K29,200000,ABS(19-$K29)*100)),100000+ABS(6-$J29)*1000+190)+'計算A'!EL$5*50+IF(AND($E29=1,NY29=0),25,0),INDEX('計算A'!EL$110:EL$114,$F29+1)+IF(AND($E29=1,NY29=0),1000,0)+IF($H29=1,(IF('計算A'!EK$117=1,INDEX('計算A'!EK$10:EK$54,$B29),0)+IF('計算A'!EL$117=1,INDEX('計算A'!EM$10:EM$54,$B29),0))*500,0)-IF(AND('計算A'!EK$117=1,ZI29&gt;0),300,0)-IF(AND($L29=1,'計算A'!EL$117=1,IK29=0),300,0))),1000000))</f>
        <v/>
      </c>
      <c r="TO29">
        <f>IF($B29=0,1000000,IF(INDEX('計算A'!$D$60:$EQ$104,$B29,140)*IK29=1,IF(AND($E29=2,NZ29=0),1000000,IF($I29&gt;0,IF(6=$J29,IF(OR(AND(140=$I29+1,OR($K29&lt;&gt;'計算A'!$A$3,'計算A'!$A$4=0)),AND(140=$I29-1,OR(20&lt;&gt;'計算A'!$A$3,'計算A'!$A$4=0))),0,IF(20=$K29,200000,ABS(20-$K29)*100)),100000+ABS(6-$J29)*1000+200)+'計算A'!EM$5*50+IF(AND($E29=1,NZ29=0),25,0),INDEX('計算A'!EM$110:EM$114,$F29+1)+IF(AND($E29=1,NZ29=0),1000,0)+IF($H29=1,(IF('計算A'!EL$117=1,INDEX('計算A'!EL$10:EL$54,$B29),0)+IF('計算A'!EM$117=1,INDEX('計算A'!EN$10:EN$54,$B29),0))*500,0)-IF(AND('計算A'!EL$117=1,ZJ29&gt;0),300,0)-IF(AND($L29=1,'計算A'!EM$117=1,IL29=0),300,0))),1000000))</f>
        <v/>
      </c>
      <c r="TP29">
        <f>IF($B29=0,1000000,IF(INDEX('計算A'!$D$60:$EQ$104,$B29,141)*IL29=1,IF(AND($E29=2,OA29=0),1000000,IF($I29&gt;0,IF(6=$J29,IF(OR(AND(141=$I29+1,OR($K29&lt;&gt;'計算A'!$A$3,'計算A'!$A$4=0)),AND(141=$I29-1,OR(21&lt;&gt;'計算A'!$A$3,'計算A'!$A$4=0))),0,IF(21=$K29,200000,ABS(21-$K29)*100)),100000+ABS(6-$J29)*1000+210)+'計算A'!EN$5*50+IF(AND($E29=1,OA29=0),25,0),INDEX('計算A'!EN$110:EN$114,$F29+1)+IF(AND($E29=1,OA29=0),1000,0)+IF($H29=1,(IF('計算A'!EM$117=1,INDEX('計算A'!EM$10:EM$54,$B29),0)+IF('計算A'!EN$117=1,INDEX('計算A'!EO$10:EO$54,$B29),0))*500,0)-IF(AND('計算A'!EM$117=1,ZK29&gt;0),300,0)-IF(AND($L29=1,'計算A'!EN$117=1,IM29=0),300,0))),1000000))</f>
        <v/>
      </c>
      <c r="TQ29">
        <f>IF($B29=0,1000000,IF(INDEX('計算A'!$D$60:$EQ$104,$B29,142)*IM29=1,IF(AND($E29=2,OB29=0),1000000,IF($I29&gt;0,IF(6=$J29,IF(OR(AND(142=$I29+1,OR($K29&lt;&gt;'計算A'!$A$3,'計算A'!$A$4=0)),AND(142=$I29-1,OR(22&lt;&gt;'計算A'!$A$3,'計算A'!$A$4=0))),0,IF(22=$K29,200000,ABS(22-$K29)*100)),100000+ABS(6-$J29)*1000+220)+'計算A'!EO$5*50+IF(AND($E29=1,OB29=0),25,0),INDEX('計算A'!EO$110:EO$114,$F29+1)+IF(AND($E29=1,OB29=0),1000,0)+IF($H29=1,(IF('計算A'!EN$117=1,INDEX('計算A'!EN$10:EN$54,$B29),0)+IF('計算A'!EO$117=1,INDEX('計算A'!EP$10:EP$54,$B29),0))*500,0)-IF(AND('計算A'!EN$117=1,ZL29&gt;0),300,0)-IF(AND($L29=1,'計算A'!EO$117=1,IN29=0),300,0))),1000000))</f>
        <v/>
      </c>
      <c r="TR29">
        <f>IF($B29=0,1000000,IF(INDEX('計算A'!$D$60:$EQ$104,$B29,143)*IN29=1,IF(AND($E29=2,OC29=0),1000000,IF($I29&gt;0,IF(6=$J29,IF(OR(AND(143=$I29+1,OR($K29&lt;&gt;'計算A'!$A$3,'計算A'!$A$4=0)),AND(143=$I29-1,OR(23&lt;&gt;'計算A'!$A$3,'計算A'!$A$4=0))),0,IF(23=$K29,200000,ABS(23-$K29)*100)),100000+ABS(6-$J29)*1000+230)+'計算A'!EP$5*50+IF(AND($E29=1,OC29=0),25,0),INDEX('計算A'!EP$110:EP$114,$F29+1)+IF(AND($E29=1,OC29=0),1000,0)+IF($H29=1,(IF('計算A'!EO$117=1,INDEX('計算A'!EO$10:EO$54,$B29),0)+IF('計算A'!EP$117=1,INDEX('計算A'!EQ$10:EQ$54,$B29),0))*500,0)-IF(AND('計算A'!EO$117=1,ZM29&gt;0),300,0)-IF(AND($L29=1,'計算A'!EP$117=1,IO29=0),300,0))),1000000))</f>
        <v/>
      </c>
      <c r="TS29">
        <f>IF($B29=0,1000000,IF(INDEX('計算A'!$D$60:$EQ$104,$B29,144)*IO29=1,IF(AND($E29=2,OD29=0),1000000,IF($I29&gt;0,IF(6=$J29,IF(OR(AND(144=$I29+1,OR($K29&lt;&gt;'計算A'!$A$3,'計算A'!$A$4=0)),AND(144=$I29-1,OR(24&lt;&gt;'計算A'!$A$3,'計算A'!$A$4=0))),0,IF(24=$K29,200000,ABS(24-$K29)*100)),100000+ABS(6-$J29)*1000+240)+'計算A'!EQ$5*50+IF(AND($E29=1,OD29=0),25,0),INDEX('計算A'!EQ$110:EQ$114,$F29+1)+IF(AND($E29=1,OD29=0),1000,0)+IF($H29=1,(IF('計算A'!EP$117=1,INDEX('計算A'!EP$10:EP$54,$B29),0))*500,0)-IF(AND('計算A'!EP$117=1,ZN29&gt;0),300,0))),1000000))</f>
        <v/>
      </c>
      <c r="UB29">
        <f>UB28+IF(AND($C28=1,$L28=1),1,0)</f>
        <v/>
      </c>
      <c r="UC29">
        <f>UC28+IF(AND($C28=2,$L28=1),1,0)</f>
        <v/>
      </c>
      <c r="UD29">
        <f>UD28+IF(AND($C28=3,$L28=1),1,0)</f>
        <v/>
      </c>
      <c r="UE29">
        <f>UE28+IF(AND($C28=4,$L28=1),1,0)</f>
        <v/>
      </c>
      <c r="UF29">
        <f>UF28+IF(AND($C28=5,$L28=1),1,0)</f>
        <v/>
      </c>
      <c r="UG29">
        <f>UG28+IF(AND($C28=6,$L28=1),1,0)</f>
        <v/>
      </c>
      <c r="UH29">
        <f>UH28+IF(AND($C28=7,$L28=1),1,0)</f>
        <v/>
      </c>
      <c r="UI29">
        <f>UI28+IF(AND($C28=8,$L28=1),1,0)</f>
        <v/>
      </c>
      <c r="UJ29">
        <f>UJ28+IF(AND($C28=9,$L28=1),1,0)</f>
        <v/>
      </c>
      <c r="UK29">
        <f>UK28+IF(AND($C28=10,$L28=1),1,0)</f>
        <v/>
      </c>
      <c r="UL29">
        <f>UL28+IF(AND($C28=11,$L28=1),1,0)</f>
        <v/>
      </c>
      <c r="UM29">
        <f>UM28+IF(AND($C28=12,$L28=1),1,0)</f>
        <v/>
      </c>
      <c r="UN29">
        <f>UN28+IF(AND($C28=13,$L28=1),1,0)</f>
        <v/>
      </c>
      <c r="UO29">
        <f>UO28+IF(AND($C28=14,$L28=1),1,0)</f>
        <v/>
      </c>
      <c r="UP29">
        <f>UP28+IF(AND($C28=15,$L28=1),1,0)</f>
        <v/>
      </c>
      <c r="UQ29">
        <f>UQ28+IF(AND($C28=16,$L28=1),1,0)</f>
        <v/>
      </c>
      <c r="UR29">
        <f>UR28+IF(AND($C28=17,$L28=1),1,0)</f>
        <v/>
      </c>
      <c r="US29">
        <f>US28+IF(AND($C28=18,$L28=1),1,0)</f>
        <v/>
      </c>
      <c r="UT29">
        <f>UT28+IF(AND($C28=19,$L28=1),1,0)</f>
        <v/>
      </c>
      <c r="UU29">
        <f>UU28+IF(AND($C28=20,$L28=1),1,0)</f>
        <v/>
      </c>
      <c r="UV29">
        <f>UV28+IF(AND($C28=21,$L28=1),1,0)</f>
        <v/>
      </c>
      <c r="UW29">
        <f>UW28+IF(AND($C28=22,$L28=1),1,0)</f>
        <v/>
      </c>
      <c r="UX29">
        <f>UX28+IF(AND($C28=23,$L28=1),1,0)</f>
        <v/>
      </c>
      <c r="UY29">
        <f>UY28+IF(AND($C28=24,$L28=1),1,0)</f>
        <v/>
      </c>
      <c r="UZ29">
        <f>UZ28+IF(AND($C28=25,$L28=1),1,0)</f>
        <v/>
      </c>
      <c r="VA29">
        <f>VA28+IF(AND($C28=26,$L28=1),1,0)</f>
        <v/>
      </c>
      <c r="VB29">
        <f>VB28+IF(AND($C28=27,$L28=1),1,0)</f>
        <v/>
      </c>
      <c r="VC29">
        <f>VC28+IF(AND($C28=28,$L28=1),1,0)</f>
        <v/>
      </c>
      <c r="VD29">
        <f>VD28+IF(AND($C28=29,$L28=1),1,0)</f>
        <v/>
      </c>
      <c r="VE29">
        <f>VE28+IF(AND($C28=30,$L28=1),1,0)</f>
        <v/>
      </c>
      <c r="VF29">
        <f>VF28+IF(AND($C28=31,$L28=1),1,0)</f>
        <v/>
      </c>
      <c r="VG29">
        <f>VG28+IF(AND($C28=32,$L28=1),1,0)</f>
        <v/>
      </c>
      <c r="VH29">
        <f>VH28+IF(AND($C28=33,$L28=1),1,0)</f>
        <v/>
      </c>
      <c r="VI29">
        <f>VI28+IF(AND($C28=34,$L28=1),1,0)</f>
        <v/>
      </c>
      <c r="VJ29">
        <f>VJ28+IF(AND($C28=35,$L28=1),1,0)</f>
        <v/>
      </c>
      <c r="VK29">
        <f>VK28+IF(AND($C28=36,$L28=1),1,0)</f>
        <v/>
      </c>
      <c r="VL29">
        <f>VL28+IF(AND($C28=37,$L28=1),1,0)</f>
        <v/>
      </c>
      <c r="VM29">
        <f>VM28+IF(AND($C28=38,$L28=1),1,0)</f>
        <v/>
      </c>
      <c r="VN29">
        <f>VN28+IF(AND($C28=39,$L28=1),1,0)</f>
        <v/>
      </c>
      <c r="VO29">
        <f>VO28+IF(AND($C28=40,$L28=1),1,0)</f>
        <v/>
      </c>
      <c r="VP29">
        <f>VP28+IF(AND($C28=41,$L28=1),1,0)</f>
        <v/>
      </c>
      <c r="VQ29">
        <f>VQ28+IF(AND($C28=42,$L28=1),1,0)</f>
        <v/>
      </c>
      <c r="VR29">
        <f>VR28+IF(AND($C28=43,$L28=1),1,0)</f>
        <v/>
      </c>
      <c r="VS29">
        <f>VS28+IF(AND($C28=44,$L28=1),1,0)</f>
        <v/>
      </c>
      <c r="VT29">
        <f>VT28+IF(AND($C28=45,$L28=1),1,0)</f>
        <v/>
      </c>
      <c r="VU29">
        <f>VU28+IF(AND($C28=46,$L28=1),1,0)</f>
        <v/>
      </c>
      <c r="VV29">
        <f>VV28+IF(AND($C28=47,$L28=1),1,0)</f>
        <v/>
      </c>
      <c r="VW29">
        <f>VW28+IF(AND($C28=48,$L28=1),1,0)</f>
        <v/>
      </c>
      <c r="VX29">
        <f>VX28+IF(AND($C28=49,$L28=1),1,0)</f>
        <v/>
      </c>
      <c r="VY29">
        <f>VY28+IF(AND($C28=50,$L28=1),1,0)</f>
        <v/>
      </c>
      <c r="VZ29">
        <f>VZ28+IF(AND($C28=51,$L28=1),1,0)</f>
        <v/>
      </c>
      <c r="WA29">
        <f>WA28+IF(AND($C28=52,$L28=1),1,0)</f>
        <v/>
      </c>
      <c r="WB29">
        <f>WB28+IF(AND($C28=53,$L28=1),1,0)</f>
        <v/>
      </c>
      <c r="WC29">
        <f>WC28+IF(AND($C28=54,$L28=1),1,0)</f>
        <v/>
      </c>
      <c r="WD29">
        <f>WD28+IF(AND($C28=55,$L28=1),1,0)</f>
        <v/>
      </c>
      <c r="WE29">
        <f>WE28+IF(AND($C28=56,$L28=1),1,0)</f>
        <v/>
      </c>
      <c r="WF29">
        <f>WF28+IF(AND($C28=57,$L28=1),1,0)</f>
        <v/>
      </c>
      <c r="WG29">
        <f>WG28+IF(AND($C28=58,$L28=1),1,0)</f>
        <v/>
      </c>
      <c r="WH29">
        <f>WH28+IF(AND($C28=59,$L28=1),1,0)</f>
        <v/>
      </c>
      <c r="WI29">
        <f>WI28+IF(AND($C28=60,$L28=1),1,0)</f>
        <v/>
      </c>
      <c r="WJ29">
        <f>WJ28+IF(AND($C28=61,$L28=1),1,0)</f>
        <v/>
      </c>
      <c r="WK29">
        <f>WK28+IF(AND($C28=62,$L28=1),1,0)</f>
        <v/>
      </c>
      <c r="WL29">
        <f>WL28+IF(AND($C28=63,$L28=1),1,0)</f>
        <v/>
      </c>
      <c r="WM29">
        <f>WM28+IF(AND($C28=64,$L28=1),1,0)</f>
        <v/>
      </c>
      <c r="WN29">
        <f>WN28+IF(AND($C28=65,$L28=1),1,0)</f>
        <v/>
      </c>
      <c r="WO29">
        <f>WO28+IF(AND($C28=66,$L28=1),1,0)</f>
        <v/>
      </c>
      <c r="WP29">
        <f>WP28+IF(AND($C28=67,$L28=1),1,0)</f>
        <v/>
      </c>
      <c r="WQ29">
        <f>WQ28+IF(AND($C28=68,$L28=1),1,0)</f>
        <v/>
      </c>
      <c r="WR29">
        <f>WR28+IF(AND($C28=69,$L28=1),1,0)</f>
        <v/>
      </c>
      <c r="WS29">
        <f>WS28+IF(AND($C28=70,$L28=1),1,0)</f>
        <v/>
      </c>
      <c r="WT29">
        <f>WT28+IF(AND($C28=71,$L28=1),1,0)</f>
        <v/>
      </c>
      <c r="WU29">
        <f>WU28+IF(AND($C28=72,$L28=1),1,0)</f>
        <v/>
      </c>
      <c r="WV29">
        <f>WV28+IF(AND($C28=73,$L28=1),1,0)</f>
        <v/>
      </c>
      <c r="WW29">
        <f>WW28+IF(AND($C28=74,$L28=1),1,0)</f>
        <v/>
      </c>
      <c r="WX29">
        <f>WX28+IF(AND($C28=75,$L28=1),1,0)</f>
        <v/>
      </c>
      <c r="WY29">
        <f>WY28+IF(AND($C28=76,$L28=1),1,0)</f>
        <v/>
      </c>
      <c r="WZ29">
        <f>WZ28+IF(AND($C28=77,$L28=1),1,0)</f>
        <v/>
      </c>
      <c r="XA29">
        <f>XA28+IF(AND($C28=78,$L28=1),1,0)</f>
        <v/>
      </c>
      <c r="XB29">
        <f>XB28+IF(AND($C28=79,$L28=1),1,0)</f>
        <v/>
      </c>
      <c r="XC29">
        <f>XC28+IF(AND($C28=80,$L28=1),1,0)</f>
        <v/>
      </c>
      <c r="XD29">
        <f>XD28+IF(AND($C28=81,$L28=1),1,0)</f>
        <v/>
      </c>
      <c r="XE29">
        <f>XE28+IF(AND($C28=82,$L28=1),1,0)</f>
        <v/>
      </c>
      <c r="XF29">
        <f>XF28+IF(AND($C28=83,$L28=1),1,0)</f>
        <v/>
      </c>
      <c r="XG29">
        <f>XG28+IF(AND($C28=84,$L28=1),1,0)</f>
        <v/>
      </c>
      <c r="XH29">
        <f>XH28+IF(AND($C28=85,$L28=1),1,0)</f>
        <v/>
      </c>
      <c r="XI29">
        <f>XI28+IF(AND($C28=86,$L28=1),1,0)</f>
        <v/>
      </c>
      <c r="XJ29">
        <f>XJ28+IF(AND($C28=87,$L28=1),1,0)</f>
        <v/>
      </c>
      <c r="XK29">
        <f>XK28+IF(AND($C28=88,$L28=1),1,0)</f>
        <v/>
      </c>
      <c r="XL29">
        <f>XL28+IF(AND($C28=89,$L28=1),1,0)</f>
        <v/>
      </c>
      <c r="XM29">
        <f>XM28+IF(AND($C28=90,$L28=1),1,0)</f>
        <v/>
      </c>
      <c r="XN29">
        <f>XN28+IF(AND($C28=91,$L28=1),1,0)</f>
        <v/>
      </c>
      <c r="XO29">
        <f>XO28+IF(AND($C28=92,$L28=1),1,0)</f>
        <v/>
      </c>
      <c r="XP29">
        <f>XP28+IF(AND($C28=93,$L28=1),1,0)</f>
        <v/>
      </c>
      <c r="XQ29">
        <f>XQ28+IF(AND($C28=94,$L28=1),1,0)</f>
        <v/>
      </c>
      <c r="XR29">
        <f>XR28+IF(AND($C28=95,$L28=1),1,0)</f>
        <v/>
      </c>
      <c r="XS29">
        <f>XS28+IF(AND($C28=96,$L28=1),1,0)</f>
        <v/>
      </c>
      <c r="XT29">
        <f>XT28+IF(AND($C28=97,$L28=1),1,0)</f>
        <v/>
      </c>
      <c r="XU29">
        <f>XU28+IF(AND($C28=98,$L28=1),1,0)</f>
        <v/>
      </c>
      <c r="XV29">
        <f>XV28+IF(AND($C28=99,$L28=1),1,0)</f>
        <v/>
      </c>
      <c r="XW29">
        <f>XW28+IF(AND($C28=100,$L28=1),1,0)</f>
        <v/>
      </c>
      <c r="XX29">
        <f>XX28+IF(AND($C28=101,$L28=1),1,0)</f>
        <v/>
      </c>
      <c r="XY29">
        <f>XY28+IF(AND($C28=102,$L28=1),1,0)</f>
        <v/>
      </c>
      <c r="XZ29">
        <f>XZ28+IF(AND($C28=103,$L28=1),1,0)</f>
        <v/>
      </c>
      <c r="YA29">
        <f>YA28+IF(AND($C28=104,$L28=1),1,0)</f>
        <v/>
      </c>
      <c r="YB29">
        <f>YB28+IF(AND($C28=105,$L28=1),1,0)</f>
        <v/>
      </c>
      <c r="YC29">
        <f>YC28+IF(AND($C28=106,$L28=1),1,0)</f>
        <v/>
      </c>
      <c r="YD29">
        <f>YD28+IF(AND($C28=107,$L28=1),1,0)</f>
        <v/>
      </c>
      <c r="YE29">
        <f>YE28+IF(AND($C28=108,$L28=1),1,0)</f>
        <v/>
      </c>
      <c r="YF29">
        <f>YF28+IF(AND($C28=109,$L28=1),1,0)</f>
        <v/>
      </c>
      <c r="YG29">
        <f>YG28+IF(AND($C28=110,$L28=1),1,0)</f>
        <v/>
      </c>
      <c r="YH29">
        <f>YH28+IF(AND($C28=111,$L28=1),1,0)</f>
        <v/>
      </c>
      <c r="YI29">
        <f>YI28+IF(AND($C28=112,$L28=1),1,0)</f>
        <v/>
      </c>
      <c r="YJ29">
        <f>YJ28+IF(AND($C28=113,$L28=1),1,0)</f>
        <v/>
      </c>
      <c r="YK29">
        <f>YK28+IF(AND($C28=114,$L28=1),1,0)</f>
        <v/>
      </c>
      <c r="YL29">
        <f>YL28+IF(AND($C28=115,$L28=1),1,0)</f>
        <v/>
      </c>
      <c r="YM29">
        <f>YM28+IF(AND($C28=116,$L28=1),1,0)</f>
        <v/>
      </c>
      <c r="YN29">
        <f>YN28+IF(AND($C28=117,$L28=1),1,0)</f>
        <v/>
      </c>
      <c r="YO29">
        <f>YO28+IF(AND($C28=118,$L28=1),1,0)</f>
        <v/>
      </c>
      <c r="YP29">
        <f>YP28+IF(AND($C28=119,$L28=1),1,0)</f>
        <v/>
      </c>
      <c r="YQ29">
        <f>YQ28+IF(AND($C28=120,$L28=1),1,0)</f>
        <v/>
      </c>
      <c r="YR29">
        <f>YR28+IF(AND($C28=121,$L28=1),1,0)</f>
        <v/>
      </c>
      <c r="YS29">
        <f>YS28+IF(AND($C28=122,$L28=1),1,0)</f>
        <v/>
      </c>
      <c r="YT29">
        <f>YT28+IF(AND($C28=123,$L28=1),1,0)</f>
        <v/>
      </c>
      <c r="YU29">
        <f>YU28+IF(AND($C28=124,$L28=1),1,0)</f>
        <v/>
      </c>
      <c r="YV29">
        <f>YV28+IF(AND($C28=125,$L28=1),1,0)</f>
        <v/>
      </c>
      <c r="YW29">
        <f>YW28+IF(AND($C28=126,$L28=1),1,0)</f>
        <v/>
      </c>
      <c r="YX29">
        <f>YX28+IF(AND($C28=127,$L28=1),1,0)</f>
        <v/>
      </c>
      <c r="YY29">
        <f>YY28+IF(AND($C28=128,$L28=1),1,0)</f>
        <v/>
      </c>
      <c r="YZ29">
        <f>YZ28+IF(AND($C28=129,$L28=1),1,0)</f>
        <v/>
      </c>
      <c r="ZA29">
        <f>ZA28+IF(AND($C28=130,$L28=1),1,0)</f>
        <v/>
      </c>
      <c r="ZB29">
        <f>ZB28+IF(AND($C28=131,$L28=1),1,0)</f>
        <v/>
      </c>
      <c r="ZC29">
        <f>ZC28+IF(AND($C28=132,$L28=1),1,0)</f>
        <v/>
      </c>
      <c r="ZD29">
        <f>ZD28+IF(AND($C28=133,$L28=1),1,0)</f>
        <v/>
      </c>
      <c r="ZE29">
        <f>ZE28+IF(AND($C28=134,$L28=1),1,0)</f>
        <v/>
      </c>
      <c r="ZF29">
        <f>ZF28+IF(AND($C28=135,$L28=1),1,0)</f>
        <v/>
      </c>
      <c r="ZG29">
        <f>ZG28+IF(AND($C28=136,$L28=1),1,0)</f>
        <v/>
      </c>
      <c r="ZH29">
        <f>ZH28+IF(AND($C28=137,$L28=1),1,0)</f>
        <v/>
      </c>
      <c r="ZI29">
        <f>ZI28+IF(AND($C28=138,$L28=1),1,0)</f>
        <v/>
      </c>
      <c r="ZJ29">
        <f>ZJ28+IF(AND($C28=139,$L28=1),1,0)</f>
        <v/>
      </c>
      <c r="ZK29">
        <f>ZK28+IF(AND($C28=140,$L28=1),1,0)</f>
        <v/>
      </c>
      <c r="ZL29">
        <f>ZL28+IF(AND($C28=141,$L28=1),1,0)</f>
        <v/>
      </c>
      <c r="ZM29">
        <f>ZM28+IF(AND($C28=142,$L28=1),1,0)</f>
        <v/>
      </c>
      <c r="ZN29">
        <f>ZN28+IF(AND($C28=143,$L28=1),1,0)</f>
        <v/>
      </c>
      <c r="ZO29">
        <f>ZO28+IF(AND($C28=144,$L28=1),1,0)</f>
        <v/>
      </c>
    </row>
    <row r="30">
      <c r="A30" t="n">
        <v>28</v>
      </c>
      <c r="B30">
        <f>IF(MIN(BH30:CZ30)&gt;=1000000,0,MATCH(MIN(BH30:CZ30),BH30:CZ30,0))</f>
        <v/>
      </c>
      <c r="C30">
        <f>IF(MIN(OF30:TS30)&gt;=1000000,0,MATCH(MIN(OF30:TS30),OF30:TS30,0))</f>
        <v/>
      </c>
      <c r="D30">
        <f>IF(C30&gt;0,INDEX('計算A'!$D$5:$EQ$5,C30),0)</f>
        <v/>
      </c>
      <c r="E30">
        <f>IF(B30=0,0,INDEX('計算A'!$IQ$10:$IQ$54,B30))</f>
        <v/>
      </c>
      <c r="F30">
        <f>IF(B30=0,0,INDEX('計算A'!$IP$10:$IP$54,B30))</f>
        <v/>
      </c>
      <c r="G30">
        <f>IF(AND(C30&gt;0,E30&gt;0),IF(AND(INDEX('計算A'!$D$106:$EQ$106,C30)=1,INDEX($IQ30:$OD30,C30)=1),C30+1,0),0)</f>
        <v/>
      </c>
      <c r="H30">
        <f>IF(B30=0,0,INDEX('計算A'!$IW$10:$IW$54,B30))</f>
        <v/>
      </c>
      <c r="I30">
        <f>IF(B30=0,0,MAX(0,INDEX('計算A'!$IT$10:$IT$54,B30)))</f>
        <v/>
      </c>
      <c r="J30">
        <f>IF(I30=0,0,INDEX('計算A'!$D$2:$EQ$2,I30))</f>
        <v/>
      </c>
      <c r="K30">
        <f>IF(I30=0,0,INDEX('計算A'!$D$3:$EQ$3,I30))</f>
        <v/>
      </c>
      <c r="L30">
        <f>IF(B30=0,0,INDEX('計算A'!$IX$10:$IX$54,B30))</f>
        <v/>
      </c>
      <c r="N30">
        <f>MAX(N29,IF($B29=1,1,0))</f>
        <v/>
      </c>
      <c r="O30">
        <f>MAX(O29,IF($B29=2,1,0))</f>
        <v/>
      </c>
      <c r="P30">
        <f>MAX(P29,IF($B29=3,1,0))</f>
        <v/>
      </c>
      <c r="Q30">
        <f>MAX(Q29,IF($B29=4,1,0))</f>
        <v/>
      </c>
      <c r="R30">
        <f>MAX(R29,IF($B29=5,1,0))</f>
        <v/>
      </c>
      <c r="S30">
        <f>MAX(S29,IF($B29=6,1,0))</f>
        <v/>
      </c>
      <c r="T30">
        <f>MAX(T29,IF($B29=7,1,0))</f>
        <v/>
      </c>
      <c r="U30">
        <f>MAX(U29,IF($B29=8,1,0))</f>
        <v/>
      </c>
      <c r="V30">
        <f>MAX(V29,IF($B29=9,1,0))</f>
        <v/>
      </c>
      <c r="W30">
        <f>MAX(W29,IF($B29=10,1,0))</f>
        <v/>
      </c>
      <c r="X30">
        <f>MAX(X29,IF($B29=11,1,0))</f>
        <v/>
      </c>
      <c r="Y30">
        <f>MAX(Y29,IF($B29=12,1,0))</f>
        <v/>
      </c>
      <c r="Z30">
        <f>MAX(Z29,IF($B29=13,1,0))</f>
        <v/>
      </c>
      <c r="AA30">
        <f>MAX(AA29,IF($B29=14,1,0))</f>
        <v/>
      </c>
      <c r="AB30">
        <f>MAX(AB29,IF($B29=15,1,0))</f>
        <v/>
      </c>
      <c r="AC30">
        <f>MAX(AC29,IF($B29=16,1,0))</f>
        <v/>
      </c>
      <c r="AD30">
        <f>MAX(AD29,IF($B29=17,1,0))</f>
        <v/>
      </c>
      <c r="AE30">
        <f>MAX(AE29,IF($B29=18,1,0))</f>
        <v/>
      </c>
      <c r="AF30">
        <f>MAX(AF29,IF($B29=19,1,0))</f>
        <v/>
      </c>
      <c r="AG30">
        <f>MAX(AG29,IF($B29=20,1,0))</f>
        <v/>
      </c>
      <c r="AH30">
        <f>MAX(AH29,IF($B29=21,1,0))</f>
        <v/>
      </c>
      <c r="AI30">
        <f>MAX(AI29,IF($B29=22,1,0))</f>
        <v/>
      </c>
      <c r="AJ30">
        <f>MAX(AJ29,IF($B29=23,1,0))</f>
        <v/>
      </c>
      <c r="AK30">
        <f>MAX(AK29,IF($B29=24,1,0))</f>
        <v/>
      </c>
      <c r="AL30">
        <f>MAX(AL29,IF($B29=25,1,0))</f>
        <v/>
      </c>
      <c r="AM30">
        <f>MAX(AM29,IF($B29=26,1,0))</f>
        <v/>
      </c>
      <c r="AN30">
        <f>MAX(AN29,IF($B29=27,1,0))</f>
        <v/>
      </c>
      <c r="AO30">
        <f>MAX(AO29,IF($B29=28,1,0))</f>
        <v/>
      </c>
      <c r="AP30">
        <f>MAX(AP29,IF($B29=29,1,0))</f>
        <v/>
      </c>
      <c r="AQ30">
        <f>MAX(AQ29,IF($B29=30,1,0))</f>
        <v/>
      </c>
      <c r="AR30">
        <f>MAX(AR29,IF($B29=31,1,0))</f>
        <v/>
      </c>
      <c r="AS30">
        <f>MAX(AS29,IF($B29=32,1,0))</f>
        <v/>
      </c>
      <c r="AT30">
        <f>MAX(AT29,IF($B29=33,1,0))</f>
        <v/>
      </c>
      <c r="AU30">
        <f>MAX(AU29,IF($B29=34,1,0))</f>
        <v/>
      </c>
      <c r="AV30">
        <f>MAX(AV29,IF($B29=35,1,0))</f>
        <v/>
      </c>
      <c r="AW30">
        <f>MAX(AW29,IF($B29=36,1,0))</f>
        <v/>
      </c>
      <c r="AX30">
        <f>MAX(AX29,IF($B29=37,1,0))</f>
        <v/>
      </c>
      <c r="AY30">
        <f>MAX(AY29,IF($B29=38,1,0))</f>
        <v/>
      </c>
      <c r="AZ30">
        <f>MAX(AZ29,IF($B29=39,1,0))</f>
        <v/>
      </c>
      <c r="BA30">
        <f>MAX(BA29,IF($B29=40,1,0))</f>
        <v/>
      </c>
      <c r="BB30">
        <f>MAX(BB29,IF($B29=41,1,0))</f>
        <v/>
      </c>
      <c r="BC30">
        <f>MAX(BC29,IF($B29=42,1,0))</f>
        <v/>
      </c>
      <c r="BD30">
        <f>MAX(BD29,IF($B29=43,1,0))</f>
        <v/>
      </c>
      <c r="BE30">
        <f>MAX(BE29,IF($B29=44,1,0))</f>
        <v/>
      </c>
      <c r="BF30">
        <f>MAX(BF29,IF($B29=45,1,0))</f>
        <v/>
      </c>
      <c r="BH30">
        <f>IF(N30=1,1000000,IF('計算A'!$IT$10&gt;0,0,500000)+IF('計算A'!$IQ$10=2,SUMPRODUCT('計算A'!$D$60:$EQ$60,$DB30:$IO30,$IQ30:$OD30),SUMPRODUCT('計算A'!$D$60:$EQ$60,$DB30:$IO30))*1000+1)</f>
        <v/>
      </c>
      <c r="BI30">
        <f>IF(O30=1,1000000,IF('計算A'!$IT$11&gt;0,0,500000)+IF('計算A'!$IQ$11=2,SUMPRODUCT('計算A'!$D$61:$EQ$61,$DB30:$IO30,$IQ30:$OD30),SUMPRODUCT('計算A'!$D$61:$EQ$61,$DB30:$IO30))*1000+2)</f>
        <v/>
      </c>
      <c r="BJ30">
        <f>IF(P30=1,1000000,IF('計算A'!$IT$12&gt;0,0,500000)+IF('計算A'!$IQ$12=2,SUMPRODUCT('計算A'!$D$62:$EQ$62,$DB30:$IO30,$IQ30:$OD30),SUMPRODUCT('計算A'!$D$62:$EQ$62,$DB30:$IO30))*1000+3)</f>
        <v/>
      </c>
      <c r="BK30">
        <f>IF(Q30=1,1000000,IF('計算A'!$IT$13&gt;0,0,500000)+IF('計算A'!$IQ$13=2,SUMPRODUCT('計算A'!$D$63:$EQ$63,$DB30:$IO30,$IQ30:$OD30),SUMPRODUCT('計算A'!$D$63:$EQ$63,$DB30:$IO30))*1000+4)</f>
        <v/>
      </c>
      <c r="BL30">
        <f>IF(R30=1,1000000,IF('計算A'!$IT$14&gt;0,0,500000)+IF('計算A'!$IQ$14=2,SUMPRODUCT('計算A'!$D$64:$EQ$64,$DB30:$IO30,$IQ30:$OD30),SUMPRODUCT('計算A'!$D$64:$EQ$64,$DB30:$IO30))*1000+5)</f>
        <v/>
      </c>
      <c r="BM30">
        <f>IF(S30=1,1000000,IF('計算A'!$IT$15&gt;0,0,500000)+IF('計算A'!$IQ$15=2,SUMPRODUCT('計算A'!$D$65:$EQ$65,$DB30:$IO30,$IQ30:$OD30),SUMPRODUCT('計算A'!$D$65:$EQ$65,$DB30:$IO30))*1000+6)</f>
        <v/>
      </c>
      <c r="BN30">
        <f>IF(T30=1,1000000,IF('計算A'!$IT$16&gt;0,0,500000)+IF('計算A'!$IQ$16=2,SUMPRODUCT('計算A'!$D$66:$EQ$66,$DB30:$IO30,$IQ30:$OD30),SUMPRODUCT('計算A'!$D$66:$EQ$66,$DB30:$IO30))*1000+7)</f>
        <v/>
      </c>
      <c r="BO30">
        <f>IF(U30=1,1000000,IF('計算A'!$IT$17&gt;0,0,500000)+IF('計算A'!$IQ$17=2,SUMPRODUCT('計算A'!$D$67:$EQ$67,$DB30:$IO30,$IQ30:$OD30),SUMPRODUCT('計算A'!$D$67:$EQ$67,$DB30:$IO30))*1000+8)</f>
        <v/>
      </c>
      <c r="BP30">
        <f>IF(V30=1,1000000,IF('計算A'!$IT$18&gt;0,0,500000)+IF('計算A'!$IQ$18=2,SUMPRODUCT('計算A'!$D$68:$EQ$68,$DB30:$IO30,$IQ30:$OD30),SUMPRODUCT('計算A'!$D$68:$EQ$68,$DB30:$IO30))*1000+9)</f>
        <v/>
      </c>
      <c r="BQ30">
        <f>IF(W30=1,1000000,IF('計算A'!$IT$19&gt;0,0,500000)+IF('計算A'!$IQ$19=2,SUMPRODUCT('計算A'!$D$69:$EQ$69,$DB30:$IO30,$IQ30:$OD30),SUMPRODUCT('計算A'!$D$69:$EQ$69,$DB30:$IO30))*1000+10)</f>
        <v/>
      </c>
      <c r="BR30">
        <f>IF(X30=1,1000000,IF('計算A'!$IT$20&gt;0,0,500000)+IF('計算A'!$IQ$20=2,SUMPRODUCT('計算A'!$D$70:$EQ$70,$DB30:$IO30,$IQ30:$OD30),SUMPRODUCT('計算A'!$D$70:$EQ$70,$DB30:$IO30))*1000+11)</f>
        <v/>
      </c>
      <c r="BS30">
        <f>IF(Y30=1,1000000,IF('計算A'!$IT$21&gt;0,0,500000)+IF('計算A'!$IQ$21=2,SUMPRODUCT('計算A'!$D$71:$EQ$71,$DB30:$IO30,$IQ30:$OD30),SUMPRODUCT('計算A'!$D$71:$EQ$71,$DB30:$IO30))*1000+12)</f>
        <v/>
      </c>
      <c r="BT30">
        <f>IF(Z30=1,1000000,IF('計算A'!$IT$22&gt;0,0,500000)+IF('計算A'!$IQ$22=2,SUMPRODUCT('計算A'!$D$72:$EQ$72,$DB30:$IO30,$IQ30:$OD30),SUMPRODUCT('計算A'!$D$72:$EQ$72,$DB30:$IO30))*1000+13)</f>
        <v/>
      </c>
      <c r="BU30">
        <f>IF(AA30=1,1000000,IF('計算A'!$IT$23&gt;0,0,500000)+IF('計算A'!$IQ$23=2,SUMPRODUCT('計算A'!$D$73:$EQ$73,$DB30:$IO30,$IQ30:$OD30),SUMPRODUCT('計算A'!$D$73:$EQ$73,$DB30:$IO30))*1000+14)</f>
        <v/>
      </c>
      <c r="BV30">
        <f>IF(AB30=1,1000000,IF('計算A'!$IT$24&gt;0,0,500000)+IF('計算A'!$IQ$24=2,SUMPRODUCT('計算A'!$D$74:$EQ$74,$DB30:$IO30,$IQ30:$OD30),SUMPRODUCT('計算A'!$D$74:$EQ$74,$DB30:$IO30))*1000+15)</f>
        <v/>
      </c>
      <c r="BW30">
        <f>IF(AC30=1,1000000,IF('計算A'!$IT$25&gt;0,0,500000)+IF('計算A'!$IQ$25=2,SUMPRODUCT('計算A'!$D$75:$EQ$75,$DB30:$IO30,$IQ30:$OD30),SUMPRODUCT('計算A'!$D$75:$EQ$75,$DB30:$IO30))*1000+16)</f>
        <v/>
      </c>
      <c r="BX30">
        <f>IF(AD30=1,1000000,IF('計算A'!$IT$26&gt;0,0,500000)+IF('計算A'!$IQ$26=2,SUMPRODUCT('計算A'!$D$76:$EQ$76,$DB30:$IO30,$IQ30:$OD30),SUMPRODUCT('計算A'!$D$76:$EQ$76,$DB30:$IO30))*1000+17)</f>
        <v/>
      </c>
      <c r="BY30">
        <f>IF(AE30=1,1000000,IF('計算A'!$IT$27&gt;0,0,500000)+IF('計算A'!$IQ$27=2,SUMPRODUCT('計算A'!$D$77:$EQ$77,$DB30:$IO30,$IQ30:$OD30),SUMPRODUCT('計算A'!$D$77:$EQ$77,$DB30:$IO30))*1000+18)</f>
        <v/>
      </c>
      <c r="BZ30">
        <f>IF(AF30=1,1000000,IF('計算A'!$IT$28&gt;0,0,500000)+IF('計算A'!$IQ$28=2,SUMPRODUCT('計算A'!$D$78:$EQ$78,$DB30:$IO30,$IQ30:$OD30),SUMPRODUCT('計算A'!$D$78:$EQ$78,$DB30:$IO30))*1000+19)</f>
        <v/>
      </c>
      <c r="CA30">
        <f>IF(AG30=1,1000000,IF('計算A'!$IT$29&gt;0,0,500000)+IF('計算A'!$IQ$29=2,SUMPRODUCT('計算A'!$D$79:$EQ$79,$DB30:$IO30,$IQ30:$OD30),SUMPRODUCT('計算A'!$D$79:$EQ$79,$DB30:$IO30))*1000+20)</f>
        <v/>
      </c>
      <c r="CB30">
        <f>IF(AH30=1,1000000,IF('計算A'!$IT$30&gt;0,0,500000)+IF('計算A'!$IQ$30=2,SUMPRODUCT('計算A'!$D$80:$EQ$80,$DB30:$IO30,$IQ30:$OD30),SUMPRODUCT('計算A'!$D$80:$EQ$80,$DB30:$IO30))*1000+21)</f>
        <v/>
      </c>
      <c r="CC30">
        <f>IF(AI30=1,1000000,IF('計算A'!$IT$31&gt;0,0,500000)+IF('計算A'!$IQ$31=2,SUMPRODUCT('計算A'!$D$81:$EQ$81,$DB30:$IO30,$IQ30:$OD30),SUMPRODUCT('計算A'!$D$81:$EQ$81,$DB30:$IO30))*1000+22)</f>
        <v/>
      </c>
      <c r="CD30">
        <f>IF(AJ30=1,1000000,IF('計算A'!$IT$32&gt;0,0,500000)+IF('計算A'!$IQ$32=2,SUMPRODUCT('計算A'!$D$82:$EQ$82,$DB30:$IO30,$IQ30:$OD30),SUMPRODUCT('計算A'!$D$82:$EQ$82,$DB30:$IO30))*1000+23)</f>
        <v/>
      </c>
      <c r="CE30">
        <f>IF(AK30=1,1000000,IF('計算A'!$IT$33&gt;0,0,500000)+IF('計算A'!$IQ$33=2,SUMPRODUCT('計算A'!$D$83:$EQ$83,$DB30:$IO30,$IQ30:$OD30),SUMPRODUCT('計算A'!$D$83:$EQ$83,$DB30:$IO30))*1000+24)</f>
        <v/>
      </c>
      <c r="CF30">
        <f>IF(AL30=1,1000000,IF('計算A'!$IT$34&gt;0,0,500000)+IF('計算A'!$IQ$34=2,SUMPRODUCT('計算A'!$D$84:$EQ$84,$DB30:$IO30,$IQ30:$OD30),SUMPRODUCT('計算A'!$D$84:$EQ$84,$DB30:$IO30))*1000+25)</f>
        <v/>
      </c>
      <c r="CG30">
        <f>IF(AM30=1,1000000,IF('計算A'!$IT$35&gt;0,0,500000)+IF('計算A'!$IQ$35=2,SUMPRODUCT('計算A'!$D$85:$EQ$85,$DB30:$IO30,$IQ30:$OD30),SUMPRODUCT('計算A'!$D$85:$EQ$85,$DB30:$IO30))*1000+26)</f>
        <v/>
      </c>
      <c r="CH30">
        <f>IF(AN30=1,1000000,IF('計算A'!$IT$36&gt;0,0,500000)+IF('計算A'!$IQ$36=2,SUMPRODUCT('計算A'!$D$86:$EQ$86,$DB30:$IO30,$IQ30:$OD30),SUMPRODUCT('計算A'!$D$86:$EQ$86,$DB30:$IO30))*1000+27)</f>
        <v/>
      </c>
      <c r="CI30">
        <f>IF(AO30=1,1000000,IF('計算A'!$IT$37&gt;0,0,500000)+IF('計算A'!$IQ$37=2,SUMPRODUCT('計算A'!$D$87:$EQ$87,$DB30:$IO30,$IQ30:$OD30),SUMPRODUCT('計算A'!$D$87:$EQ$87,$DB30:$IO30))*1000+28)</f>
        <v/>
      </c>
      <c r="CJ30">
        <f>IF(AP30=1,1000000,IF('計算A'!$IT$38&gt;0,0,500000)+IF('計算A'!$IQ$38=2,SUMPRODUCT('計算A'!$D$88:$EQ$88,$DB30:$IO30,$IQ30:$OD30),SUMPRODUCT('計算A'!$D$88:$EQ$88,$DB30:$IO30))*1000+29)</f>
        <v/>
      </c>
      <c r="CK30">
        <f>IF(AQ30=1,1000000,IF('計算A'!$IT$39&gt;0,0,500000)+IF('計算A'!$IQ$39=2,SUMPRODUCT('計算A'!$D$89:$EQ$89,$DB30:$IO30,$IQ30:$OD30),SUMPRODUCT('計算A'!$D$89:$EQ$89,$DB30:$IO30))*1000+30)</f>
        <v/>
      </c>
      <c r="CL30">
        <f>IF(AR30=1,1000000,IF('計算A'!$IT$40&gt;0,0,500000)+IF('計算A'!$IQ$40=2,SUMPRODUCT('計算A'!$D$90:$EQ$90,$DB30:$IO30,$IQ30:$OD30),SUMPRODUCT('計算A'!$D$90:$EQ$90,$DB30:$IO30))*1000+31)</f>
        <v/>
      </c>
      <c r="CM30">
        <f>IF(AS30=1,1000000,IF('計算A'!$IT$41&gt;0,0,500000)+IF('計算A'!$IQ$41=2,SUMPRODUCT('計算A'!$D$91:$EQ$91,$DB30:$IO30,$IQ30:$OD30),SUMPRODUCT('計算A'!$D$91:$EQ$91,$DB30:$IO30))*1000+32)</f>
        <v/>
      </c>
      <c r="CN30">
        <f>IF(AT30=1,1000000,IF('計算A'!$IT$42&gt;0,0,500000)+IF('計算A'!$IQ$42=2,SUMPRODUCT('計算A'!$D$92:$EQ$92,$DB30:$IO30,$IQ30:$OD30),SUMPRODUCT('計算A'!$D$92:$EQ$92,$DB30:$IO30))*1000+33)</f>
        <v/>
      </c>
      <c r="CO30">
        <f>IF(AU30=1,1000000,IF('計算A'!$IT$43&gt;0,0,500000)+IF('計算A'!$IQ$43=2,SUMPRODUCT('計算A'!$D$93:$EQ$93,$DB30:$IO30,$IQ30:$OD30),SUMPRODUCT('計算A'!$D$93:$EQ$93,$DB30:$IO30))*1000+34)</f>
        <v/>
      </c>
      <c r="CP30">
        <f>IF(AV30=1,1000000,IF('計算A'!$IT$44&gt;0,0,500000)+IF('計算A'!$IQ$44=2,SUMPRODUCT('計算A'!$D$94:$EQ$94,$DB30:$IO30,$IQ30:$OD30),SUMPRODUCT('計算A'!$D$94:$EQ$94,$DB30:$IO30))*1000+35)</f>
        <v/>
      </c>
      <c r="CQ30">
        <f>IF(AW30=1,1000000,IF('計算A'!$IT$45&gt;0,0,500000)+IF('計算A'!$IQ$45=2,SUMPRODUCT('計算A'!$D$95:$EQ$95,$DB30:$IO30,$IQ30:$OD30),SUMPRODUCT('計算A'!$D$95:$EQ$95,$DB30:$IO30))*1000+36)</f>
        <v/>
      </c>
      <c r="CR30">
        <f>IF(AX30=1,1000000,IF('計算A'!$IT$46&gt;0,0,500000)+IF('計算A'!$IQ$46=2,SUMPRODUCT('計算A'!$D$96:$EQ$96,$DB30:$IO30,$IQ30:$OD30),SUMPRODUCT('計算A'!$D$96:$EQ$96,$DB30:$IO30))*1000+37)</f>
        <v/>
      </c>
      <c r="CS30">
        <f>IF(AY30=1,1000000,IF('計算A'!$IT$47&gt;0,0,500000)+IF('計算A'!$IQ$47=2,SUMPRODUCT('計算A'!$D$97:$EQ$97,$DB30:$IO30,$IQ30:$OD30),SUMPRODUCT('計算A'!$D$97:$EQ$97,$DB30:$IO30))*1000+38)</f>
        <v/>
      </c>
      <c r="CT30">
        <f>IF(AZ30=1,1000000,IF('計算A'!$IT$48&gt;0,0,500000)+IF('計算A'!$IQ$48=2,SUMPRODUCT('計算A'!$D$98:$EQ$98,$DB30:$IO30,$IQ30:$OD30),SUMPRODUCT('計算A'!$D$98:$EQ$98,$DB30:$IO30))*1000+39)</f>
        <v/>
      </c>
      <c r="CU30">
        <f>IF(BA30=1,1000000,IF('計算A'!$IT$49&gt;0,0,500000)+IF('計算A'!$IQ$49=2,SUMPRODUCT('計算A'!$D$99:$EQ$99,$DB30:$IO30,$IQ30:$OD30),SUMPRODUCT('計算A'!$D$99:$EQ$99,$DB30:$IO30))*1000+40)</f>
        <v/>
      </c>
      <c r="CV30">
        <f>IF(BB30=1,1000000,IF('計算A'!$IT$50&gt;0,0,500000)+IF('計算A'!$IQ$50=2,SUMPRODUCT('計算A'!$D$100:$EQ$100,$DB30:$IO30,$IQ30:$OD30),SUMPRODUCT('計算A'!$D$100:$EQ$100,$DB30:$IO30))*1000+41)</f>
        <v/>
      </c>
      <c r="CW30">
        <f>IF(BC30=1,1000000,IF('計算A'!$IT$51&gt;0,0,500000)+IF('計算A'!$IQ$51=2,SUMPRODUCT('計算A'!$D$101:$EQ$101,$DB30:$IO30,$IQ30:$OD30),SUMPRODUCT('計算A'!$D$101:$EQ$101,$DB30:$IO30))*1000+42)</f>
        <v/>
      </c>
      <c r="CX30">
        <f>IF(BD30=1,1000000,IF('計算A'!$IT$52&gt;0,0,500000)+IF('計算A'!$IQ$52=2,SUMPRODUCT('計算A'!$D$102:$EQ$102,$DB30:$IO30,$IQ30:$OD30),SUMPRODUCT('計算A'!$D$102:$EQ$102,$DB30:$IO30))*1000+43)</f>
        <v/>
      </c>
      <c r="CY30">
        <f>IF(BE30=1,1000000,IF('計算A'!$IT$53&gt;0,0,500000)+IF('計算A'!$IQ$53=2,SUMPRODUCT('計算A'!$D$103:$EQ$103,$DB30:$IO30,$IQ30:$OD30),SUMPRODUCT('計算A'!$D$103:$EQ$103,$DB30:$IO30))*1000+44)</f>
        <v/>
      </c>
      <c r="CZ30">
        <f>IF(BF30=1,1000000,IF('計算A'!$IT$54&gt;0,0,500000)+IF('計算A'!$IQ$54=2,SUMPRODUCT('計算A'!$D$104:$EQ$104,$DB30:$IO30,$IQ30:$OD30),SUMPRODUCT('計算A'!$D$104:$EQ$104,$DB30:$IO30))*1000+45)</f>
        <v/>
      </c>
      <c r="DB30">
        <f>DB29*IF(OR($C29=1,$G29=1),0,1)</f>
        <v/>
      </c>
      <c r="DC30">
        <f>DC29*IF(OR($C29=2,$G29=2),0,1)</f>
        <v/>
      </c>
      <c r="DD30">
        <f>DD29*IF(OR($C29=3,$G29=3),0,1)</f>
        <v/>
      </c>
      <c r="DE30">
        <f>DE29*IF(OR($C29=4,$G29=4),0,1)</f>
        <v/>
      </c>
      <c r="DF30">
        <f>DF29*IF(OR($C29=5,$G29=5),0,1)</f>
        <v/>
      </c>
      <c r="DG30">
        <f>DG29*IF(OR($C29=6,$G29=6),0,1)</f>
        <v/>
      </c>
      <c r="DH30">
        <f>DH29*IF(OR($C29=7,$G29=7),0,1)</f>
        <v/>
      </c>
      <c r="DI30">
        <f>DI29*IF(OR($C29=8,$G29=8),0,1)</f>
        <v/>
      </c>
      <c r="DJ30">
        <f>DJ29*IF(OR($C29=9,$G29=9),0,1)</f>
        <v/>
      </c>
      <c r="DK30">
        <f>DK29*IF(OR($C29=10,$G29=10),0,1)</f>
        <v/>
      </c>
      <c r="DL30">
        <f>DL29*IF(OR($C29=11,$G29=11),0,1)</f>
        <v/>
      </c>
      <c r="DM30">
        <f>DM29*IF(OR($C29=12,$G29=12),0,1)</f>
        <v/>
      </c>
      <c r="DN30">
        <f>DN29*IF(OR($C29=13,$G29=13),0,1)</f>
        <v/>
      </c>
      <c r="DO30">
        <f>DO29*IF(OR($C29=14,$G29=14),0,1)</f>
        <v/>
      </c>
      <c r="DP30">
        <f>DP29*IF(OR($C29=15,$G29=15),0,1)</f>
        <v/>
      </c>
      <c r="DQ30">
        <f>DQ29*IF(OR($C29=16,$G29=16),0,1)</f>
        <v/>
      </c>
      <c r="DR30">
        <f>DR29*IF(OR($C29=17,$G29=17),0,1)</f>
        <v/>
      </c>
      <c r="DS30">
        <f>DS29*IF(OR($C29=18,$G29=18),0,1)</f>
        <v/>
      </c>
      <c r="DT30">
        <f>DT29*IF(OR($C29=19,$G29=19),0,1)</f>
        <v/>
      </c>
      <c r="DU30">
        <f>DU29*IF(OR($C29=20,$G29=20),0,1)</f>
        <v/>
      </c>
      <c r="DV30">
        <f>DV29*IF(OR($C29=21,$G29=21),0,1)</f>
        <v/>
      </c>
      <c r="DW30">
        <f>DW29*IF(OR($C29=22,$G29=22),0,1)</f>
        <v/>
      </c>
      <c r="DX30">
        <f>DX29*IF(OR($C29=23,$G29=23),0,1)</f>
        <v/>
      </c>
      <c r="DY30">
        <f>DY29*IF(OR($C29=24,$G29=24),0,1)</f>
        <v/>
      </c>
      <c r="DZ30">
        <f>DZ29*IF(OR($C29=25,$G29=25),0,1)</f>
        <v/>
      </c>
      <c r="EA30">
        <f>EA29*IF(OR($C29=26,$G29=26),0,1)</f>
        <v/>
      </c>
      <c r="EB30">
        <f>EB29*IF(OR($C29=27,$G29=27),0,1)</f>
        <v/>
      </c>
      <c r="EC30">
        <f>EC29*IF(OR($C29=28,$G29=28),0,1)</f>
        <v/>
      </c>
      <c r="ED30">
        <f>ED29*IF(OR($C29=29,$G29=29),0,1)</f>
        <v/>
      </c>
      <c r="EE30">
        <f>EE29*IF(OR($C29=30,$G29=30),0,1)</f>
        <v/>
      </c>
      <c r="EF30">
        <f>EF29*IF(OR($C29=31,$G29=31),0,1)</f>
        <v/>
      </c>
      <c r="EG30">
        <f>EG29*IF(OR($C29=32,$G29=32),0,1)</f>
        <v/>
      </c>
      <c r="EH30">
        <f>EH29*IF(OR($C29=33,$G29=33),0,1)</f>
        <v/>
      </c>
      <c r="EI30">
        <f>EI29*IF(OR($C29=34,$G29=34),0,1)</f>
        <v/>
      </c>
      <c r="EJ30">
        <f>EJ29*IF(OR($C29=35,$G29=35),0,1)</f>
        <v/>
      </c>
      <c r="EK30">
        <f>EK29*IF(OR($C29=36,$G29=36),0,1)</f>
        <v/>
      </c>
      <c r="EL30">
        <f>EL29*IF(OR($C29=37,$G29=37),0,1)</f>
        <v/>
      </c>
      <c r="EM30">
        <f>EM29*IF(OR($C29=38,$G29=38),0,1)</f>
        <v/>
      </c>
      <c r="EN30">
        <f>EN29*IF(OR($C29=39,$G29=39),0,1)</f>
        <v/>
      </c>
      <c r="EO30">
        <f>EO29*IF(OR($C29=40,$G29=40),0,1)</f>
        <v/>
      </c>
      <c r="EP30">
        <f>EP29*IF(OR($C29=41,$G29=41),0,1)</f>
        <v/>
      </c>
      <c r="EQ30">
        <f>EQ29*IF(OR($C29=42,$G29=42),0,1)</f>
        <v/>
      </c>
      <c r="ER30">
        <f>ER29*IF(OR($C29=43,$G29=43),0,1)</f>
        <v/>
      </c>
      <c r="ES30">
        <f>ES29*IF(OR($C29=44,$G29=44),0,1)</f>
        <v/>
      </c>
      <c r="ET30">
        <f>ET29*IF(OR($C29=45,$G29=45),0,1)</f>
        <v/>
      </c>
      <c r="EU30">
        <f>EU29*IF(OR($C29=46,$G29=46),0,1)</f>
        <v/>
      </c>
      <c r="EV30">
        <f>EV29*IF(OR($C29=47,$G29=47),0,1)</f>
        <v/>
      </c>
      <c r="EW30">
        <f>EW29*IF(OR($C29=48,$G29=48),0,1)</f>
        <v/>
      </c>
      <c r="EX30">
        <f>EX29*IF(OR($C29=49,$G29=49),0,1)</f>
        <v/>
      </c>
      <c r="EY30">
        <f>EY29*IF(OR($C29=50,$G29=50),0,1)</f>
        <v/>
      </c>
      <c r="EZ30">
        <f>EZ29*IF(OR($C29=51,$G29=51),0,1)</f>
        <v/>
      </c>
      <c r="FA30">
        <f>FA29*IF(OR($C29=52,$G29=52),0,1)</f>
        <v/>
      </c>
      <c r="FB30">
        <f>FB29*IF(OR($C29=53,$G29=53),0,1)</f>
        <v/>
      </c>
      <c r="FC30">
        <f>FC29*IF(OR($C29=54,$G29=54),0,1)</f>
        <v/>
      </c>
      <c r="FD30">
        <f>FD29*IF(OR($C29=55,$G29=55),0,1)</f>
        <v/>
      </c>
      <c r="FE30">
        <f>FE29*IF(OR($C29=56,$G29=56),0,1)</f>
        <v/>
      </c>
      <c r="FF30">
        <f>FF29*IF(OR($C29=57,$G29=57),0,1)</f>
        <v/>
      </c>
      <c r="FG30">
        <f>FG29*IF(OR($C29=58,$G29=58),0,1)</f>
        <v/>
      </c>
      <c r="FH30">
        <f>FH29*IF(OR($C29=59,$G29=59),0,1)</f>
        <v/>
      </c>
      <c r="FI30">
        <f>FI29*IF(OR($C29=60,$G29=60),0,1)</f>
        <v/>
      </c>
      <c r="FJ30">
        <f>FJ29*IF(OR($C29=61,$G29=61),0,1)</f>
        <v/>
      </c>
      <c r="FK30">
        <f>FK29*IF(OR($C29=62,$G29=62),0,1)</f>
        <v/>
      </c>
      <c r="FL30">
        <f>FL29*IF(OR($C29=63,$G29=63),0,1)</f>
        <v/>
      </c>
      <c r="FM30">
        <f>FM29*IF(OR($C29=64,$G29=64),0,1)</f>
        <v/>
      </c>
      <c r="FN30">
        <f>FN29*IF(OR($C29=65,$G29=65),0,1)</f>
        <v/>
      </c>
      <c r="FO30">
        <f>FO29*IF(OR($C29=66,$G29=66),0,1)</f>
        <v/>
      </c>
      <c r="FP30">
        <f>FP29*IF(OR($C29=67,$G29=67),0,1)</f>
        <v/>
      </c>
      <c r="FQ30">
        <f>FQ29*IF(OR($C29=68,$G29=68),0,1)</f>
        <v/>
      </c>
      <c r="FR30">
        <f>FR29*IF(OR($C29=69,$G29=69),0,1)</f>
        <v/>
      </c>
      <c r="FS30">
        <f>FS29*IF(OR($C29=70,$G29=70),0,1)</f>
        <v/>
      </c>
      <c r="FT30">
        <f>FT29*IF(OR($C29=71,$G29=71),0,1)</f>
        <v/>
      </c>
      <c r="FU30">
        <f>FU29*IF(OR($C29=72,$G29=72),0,1)</f>
        <v/>
      </c>
      <c r="FV30">
        <f>FV29*IF(OR($C29=73,$G29=73),0,1)</f>
        <v/>
      </c>
      <c r="FW30">
        <f>FW29*IF(OR($C29=74,$G29=74),0,1)</f>
        <v/>
      </c>
      <c r="FX30">
        <f>FX29*IF(OR($C29=75,$G29=75),0,1)</f>
        <v/>
      </c>
      <c r="FY30">
        <f>FY29*IF(OR($C29=76,$G29=76),0,1)</f>
        <v/>
      </c>
      <c r="FZ30">
        <f>FZ29*IF(OR($C29=77,$G29=77),0,1)</f>
        <v/>
      </c>
      <c r="GA30">
        <f>GA29*IF(OR($C29=78,$G29=78),0,1)</f>
        <v/>
      </c>
      <c r="GB30">
        <f>GB29*IF(OR($C29=79,$G29=79),0,1)</f>
        <v/>
      </c>
      <c r="GC30">
        <f>GC29*IF(OR($C29=80,$G29=80),0,1)</f>
        <v/>
      </c>
      <c r="GD30">
        <f>GD29*IF(OR($C29=81,$G29=81),0,1)</f>
        <v/>
      </c>
      <c r="GE30">
        <f>GE29*IF(OR($C29=82,$G29=82),0,1)</f>
        <v/>
      </c>
      <c r="GF30">
        <f>GF29*IF(OR($C29=83,$G29=83),0,1)</f>
        <v/>
      </c>
      <c r="GG30">
        <f>GG29*IF(OR($C29=84,$G29=84),0,1)</f>
        <v/>
      </c>
      <c r="GH30">
        <f>GH29*IF(OR($C29=85,$G29=85),0,1)</f>
        <v/>
      </c>
      <c r="GI30">
        <f>GI29*IF(OR($C29=86,$G29=86),0,1)</f>
        <v/>
      </c>
      <c r="GJ30">
        <f>GJ29*IF(OR($C29=87,$G29=87),0,1)</f>
        <v/>
      </c>
      <c r="GK30">
        <f>GK29*IF(OR($C29=88,$G29=88),0,1)</f>
        <v/>
      </c>
      <c r="GL30">
        <f>GL29*IF(OR($C29=89,$G29=89),0,1)</f>
        <v/>
      </c>
      <c r="GM30">
        <f>GM29*IF(OR($C29=90,$G29=90),0,1)</f>
        <v/>
      </c>
      <c r="GN30">
        <f>GN29*IF(OR($C29=91,$G29=91),0,1)</f>
        <v/>
      </c>
      <c r="GO30">
        <f>GO29*IF(OR($C29=92,$G29=92),0,1)</f>
        <v/>
      </c>
      <c r="GP30">
        <f>GP29*IF(OR($C29=93,$G29=93),0,1)</f>
        <v/>
      </c>
      <c r="GQ30">
        <f>GQ29*IF(OR($C29=94,$G29=94),0,1)</f>
        <v/>
      </c>
      <c r="GR30">
        <f>GR29*IF(OR($C29=95,$G29=95),0,1)</f>
        <v/>
      </c>
      <c r="GS30">
        <f>GS29*IF(OR($C29=96,$G29=96),0,1)</f>
        <v/>
      </c>
      <c r="GT30">
        <f>GT29*IF(OR($C29=97,$G29=97),0,1)</f>
        <v/>
      </c>
      <c r="GU30">
        <f>GU29*IF(OR($C29=98,$G29=98),0,1)</f>
        <v/>
      </c>
      <c r="GV30">
        <f>GV29*IF(OR($C29=99,$G29=99),0,1)</f>
        <v/>
      </c>
      <c r="GW30">
        <f>GW29*IF(OR($C29=100,$G29=100),0,1)</f>
        <v/>
      </c>
      <c r="GX30">
        <f>GX29*IF(OR($C29=101,$G29=101),0,1)</f>
        <v/>
      </c>
      <c r="GY30">
        <f>GY29*IF(OR($C29=102,$G29=102),0,1)</f>
        <v/>
      </c>
      <c r="GZ30">
        <f>GZ29*IF(OR($C29=103,$G29=103),0,1)</f>
        <v/>
      </c>
      <c r="HA30">
        <f>HA29*IF(OR($C29=104,$G29=104),0,1)</f>
        <v/>
      </c>
      <c r="HB30">
        <f>HB29*IF(OR($C29=105,$G29=105),0,1)</f>
        <v/>
      </c>
      <c r="HC30">
        <f>HC29*IF(OR($C29=106,$G29=106),0,1)</f>
        <v/>
      </c>
      <c r="HD30">
        <f>HD29*IF(OR($C29=107,$G29=107),0,1)</f>
        <v/>
      </c>
      <c r="HE30">
        <f>HE29*IF(OR($C29=108,$G29=108),0,1)</f>
        <v/>
      </c>
      <c r="HF30">
        <f>HF29*IF(OR($C29=109,$G29=109),0,1)</f>
        <v/>
      </c>
      <c r="HG30">
        <f>HG29*IF(OR($C29=110,$G29=110),0,1)</f>
        <v/>
      </c>
      <c r="HH30">
        <f>HH29*IF(OR($C29=111,$G29=111),0,1)</f>
        <v/>
      </c>
      <c r="HI30">
        <f>HI29*IF(OR($C29=112,$G29=112),0,1)</f>
        <v/>
      </c>
      <c r="HJ30">
        <f>HJ29*IF(OR($C29=113,$G29=113),0,1)</f>
        <v/>
      </c>
      <c r="HK30">
        <f>HK29*IF(OR($C29=114,$G29=114),0,1)</f>
        <v/>
      </c>
      <c r="HL30">
        <f>HL29*IF(OR($C29=115,$G29=115),0,1)</f>
        <v/>
      </c>
      <c r="HM30">
        <f>HM29*IF(OR($C29=116,$G29=116),0,1)</f>
        <v/>
      </c>
      <c r="HN30">
        <f>HN29*IF(OR($C29=117,$G29=117),0,1)</f>
        <v/>
      </c>
      <c r="HO30">
        <f>HO29*IF(OR($C29=118,$G29=118),0,1)</f>
        <v/>
      </c>
      <c r="HP30">
        <f>HP29*IF(OR($C29=119,$G29=119),0,1)</f>
        <v/>
      </c>
      <c r="HQ30">
        <f>HQ29*IF(OR($C29=120,$G29=120),0,1)</f>
        <v/>
      </c>
      <c r="HR30">
        <f>HR29*IF(OR($C29=121,$G29=121),0,1)</f>
        <v/>
      </c>
      <c r="HS30">
        <f>HS29*IF(OR($C29=122,$G29=122),0,1)</f>
        <v/>
      </c>
      <c r="HT30">
        <f>HT29*IF(OR($C29=123,$G29=123),0,1)</f>
        <v/>
      </c>
      <c r="HU30">
        <f>HU29*IF(OR($C29=124,$G29=124),0,1)</f>
        <v/>
      </c>
      <c r="HV30">
        <f>HV29*IF(OR($C29=125,$G29=125),0,1)</f>
        <v/>
      </c>
      <c r="HW30">
        <f>HW29*IF(OR($C29=126,$G29=126),0,1)</f>
        <v/>
      </c>
      <c r="HX30">
        <f>HX29*IF(OR($C29=127,$G29=127),0,1)</f>
        <v/>
      </c>
      <c r="HY30">
        <f>HY29*IF(OR($C29=128,$G29=128),0,1)</f>
        <v/>
      </c>
      <c r="HZ30">
        <f>HZ29*IF(OR($C29=129,$G29=129),0,1)</f>
        <v/>
      </c>
      <c r="IA30">
        <f>IA29*IF(OR($C29=130,$G29=130),0,1)</f>
        <v/>
      </c>
      <c r="IB30">
        <f>IB29*IF(OR($C29=131,$G29=131),0,1)</f>
        <v/>
      </c>
      <c r="IC30">
        <f>IC29*IF(OR($C29=132,$G29=132),0,1)</f>
        <v/>
      </c>
      <c r="ID30">
        <f>ID29*IF(OR($C29=133,$G29=133),0,1)</f>
        <v/>
      </c>
      <c r="IE30">
        <f>IE29*IF(OR($C29=134,$G29=134),0,1)</f>
        <v/>
      </c>
      <c r="IF30">
        <f>IF29*IF(OR($C29=135,$G29=135),0,1)</f>
        <v/>
      </c>
      <c r="IG30">
        <f>IG29*IF(OR($C29=136,$G29=136),0,1)</f>
        <v/>
      </c>
      <c r="IH30">
        <f>IH29*IF(OR($C29=137,$G29=137),0,1)</f>
        <v/>
      </c>
      <c r="II30">
        <f>II29*IF(OR($C29=138,$G29=138),0,1)</f>
        <v/>
      </c>
      <c r="IJ30">
        <f>IJ29*IF(OR($C29=139,$G29=139),0,1)</f>
        <v/>
      </c>
      <c r="IK30">
        <f>IK29*IF(OR($C29=140,$G29=140),0,1)</f>
        <v/>
      </c>
      <c r="IL30">
        <f>IL29*IF(OR($C29=141,$G29=141),0,1)</f>
        <v/>
      </c>
      <c r="IM30">
        <f>IM29*IF(OR($C29=142,$G29=142),0,1)</f>
        <v/>
      </c>
      <c r="IN30">
        <f>IN29*IF(OR($C29=143,$G29=143),0,1)</f>
        <v/>
      </c>
      <c r="IO30">
        <f>IO29*IF(OR($C29=144,$G29=144),0,1)</f>
        <v/>
      </c>
      <c r="IQ30">
        <f>IF('計算A'!D$106=1,DC30,1)</f>
        <v/>
      </c>
      <c r="IR30">
        <f>IF('計算A'!E$106=1,DD30,1)</f>
        <v/>
      </c>
      <c r="IS30">
        <f>IF('計算A'!F$106=1,DE30,1)</f>
        <v/>
      </c>
      <c r="IT30">
        <f>IF('計算A'!G$106=1,DF30,1)</f>
        <v/>
      </c>
      <c r="IU30">
        <f>IF('計算A'!H$106=1,DG30,1)</f>
        <v/>
      </c>
      <c r="IV30">
        <f>IF('計算A'!I$106=1,DH30,1)</f>
        <v/>
      </c>
      <c r="IW30">
        <f>IF('計算A'!J$106=1,DI30,1)</f>
        <v/>
      </c>
      <c r="IX30">
        <f>IF('計算A'!K$106=1,DJ30,1)</f>
        <v/>
      </c>
      <c r="IY30">
        <f>IF('計算A'!L$106=1,DK30,1)</f>
        <v/>
      </c>
      <c r="IZ30">
        <f>IF('計算A'!M$106=1,DL30,1)</f>
        <v/>
      </c>
      <c r="JA30">
        <f>IF('計算A'!N$106=1,DM30,1)</f>
        <v/>
      </c>
      <c r="JB30">
        <f>IF('計算A'!O$106=1,DN30,1)</f>
        <v/>
      </c>
      <c r="JC30">
        <f>IF('計算A'!P$106=1,DO30,1)</f>
        <v/>
      </c>
      <c r="JD30">
        <f>IF('計算A'!Q$106=1,DP30,1)</f>
        <v/>
      </c>
      <c r="JE30">
        <f>IF('計算A'!R$106=1,DQ30,1)</f>
        <v/>
      </c>
      <c r="JF30">
        <f>IF('計算A'!S$106=1,DR30,1)</f>
        <v/>
      </c>
      <c r="JG30">
        <f>IF('計算A'!T$106=1,DS30,1)</f>
        <v/>
      </c>
      <c r="JH30">
        <f>IF('計算A'!U$106=1,DT30,1)</f>
        <v/>
      </c>
      <c r="JI30">
        <f>IF('計算A'!V$106=1,DU30,1)</f>
        <v/>
      </c>
      <c r="JJ30">
        <f>IF('計算A'!W$106=1,DV30,1)</f>
        <v/>
      </c>
      <c r="JK30">
        <f>IF('計算A'!X$106=1,DW30,1)</f>
        <v/>
      </c>
      <c r="JL30">
        <f>IF('計算A'!Y$106=1,DX30,1)</f>
        <v/>
      </c>
      <c r="JM30">
        <f>IF('計算A'!Z$106=1,DY30,1)</f>
        <v/>
      </c>
      <c r="JN30">
        <f>IF('計算A'!AA$106=1,DZ30,1)</f>
        <v/>
      </c>
      <c r="JO30">
        <f>IF('計算A'!AB$106=1,EA30,1)</f>
        <v/>
      </c>
      <c r="JP30">
        <f>IF('計算A'!AC$106=1,EB30,1)</f>
        <v/>
      </c>
      <c r="JQ30">
        <f>IF('計算A'!AD$106=1,EC30,1)</f>
        <v/>
      </c>
      <c r="JR30">
        <f>IF('計算A'!AE$106=1,ED30,1)</f>
        <v/>
      </c>
      <c r="JS30">
        <f>IF('計算A'!AF$106=1,EE30,1)</f>
        <v/>
      </c>
      <c r="JT30">
        <f>IF('計算A'!AG$106=1,EF30,1)</f>
        <v/>
      </c>
      <c r="JU30">
        <f>IF('計算A'!AH$106=1,EG30,1)</f>
        <v/>
      </c>
      <c r="JV30">
        <f>IF('計算A'!AI$106=1,EH30,1)</f>
        <v/>
      </c>
      <c r="JW30">
        <f>IF('計算A'!AJ$106=1,EI30,1)</f>
        <v/>
      </c>
      <c r="JX30">
        <f>IF('計算A'!AK$106=1,EJ30,1)</f>
        <v/>
      </c>
      <c r="JY30">
        <f>IF('計算A'!AL$106=1,EK30,1)</f>
        <v/>
      </c>
      <c r="JZ30">
        <f>IF('計算A'!AM$106=1,EL30,1)</f>
        <v/>
      </c>
      <c r="KA30">
        <f>IF('計算A'!AN$106=1,EM30,1)</f>
        <v/>
      </c>
      <c r="KB30">
        <f>IF('計算A'!AO$106=1,EN30,1)</f>
        <v/>
      </c>
      <c r="KC30">
        <f>IF('計算A'!AP$106=1,EO30,1)</f>
        <v/>
      </c>
      <c r="KD30">
        <f>IF('計算A'!AQ$106=1,EP30,1)</f>
        <v/>
      </c>
      <c r="KE30">
        <f>IF('計算A'!AR$106=1,EQ30,1)</f>
        <v/>
      </c>
      <c r="KF30">
        <f>IF('計算A'!AS$106=1,ER30,1)</f>
        <v/>
      </c>
      <c r="KG30">
        <f>IF('計算A'!AT$106=1,ES30,1)</f>
        <v/>
      </c>
      <c r="KH30">
        <f>IF('計算A'!AU$106=1,ET30,1)</f>
        <v/>
      </c>
      <c r="KI30">
        <f>IF('計算A'!AV$106=1,EU30,1)</f>
        <v/>
      </c>
      <c r="KJ30">
        <f>IF('計算A'!AW$106=1,EV30,1)</f>
        <v/>
      </c>
      <c r="KK30">
        <f>IF('計算A'!AX$106=1,EW30,1)</f>
        <v/>
      </c>
      <c r="KL30">
        <f>IF('計算A'!AY$106=1,EX30,1)</f>
        <v/>
      </c>
      <c r="KM30">
        <f>IF('計算A'!AZ$106=1,EY30,1)</f>
        <v/>
      </c>
      <c r="KN30">
        <f>IF('計算A'!BA$106=1,EZ30,1)</f>
        <v/>
      </c>
      <c r="KO30">
        <f>IF('計算A'!BB$106=1,FA30,1)</f>
        <v/>
      </c>
      <c r="KP30">
        <f>IF('計算A'!BC$106=1,FB30,1)</f>
        <v/>
      </c>
      <c r="KQ30">
        <f>IF('計算A'!BD$106=1,FC30,1)</f>
        <v/>
      </c>
      <c r="KR30">
        <f>IF('計算A'!BE$106=1,FD30,1)</f>
        <v/>
      </c>
      <c r="KS30">
        <f>IF('計算A'!BF$106=1,FE30,1)</f>
        <v/>
      </c>
      <c r="KT30">
        <f>IF('計算A'!BG$106=1,FF30,1)</f>
        <v/>
      </c>
      <c r="KU30">
        <f>IF('計算A'!BH$106=1,FG30,1)</f>
        <v/>
      </c>
      <c r="KV30">
        <f>IF('計算A'!BI$106=1,FH30,1)</f>
        <v/>
      </c>
      <c r="KW30">
        <f>IF('計算A'!BJ$106=1,FI30,1)</f>
        <v/>
      </c>
      <c r="KX30">
        <f>IF('計算A'!BK$106=1,FJ30,1)</f>
        <v/>
      </c>
      <c r="KY30">
        <f>IF('計算A'!BL$106=1,FK30,1)</f>
        <v/>
      </c>
      <c r="KZ30">
        <f>IF('計算A'!BM$106=1,FL30,1)</f>
        <v/>
      </c>
      <c r="LA30">
        <f>IF('計算A'!BN$106=1,FM30,1)</f>
        <v/>
      </c>
      <c r="LB30">
        <f>IF('計算A'!BO$106=1,FN30,1)</f>
        <v/>
      </c>
      <c r="LC30">
        <f>IF('計算A'!BP$106=1,FO30,1)</f>
        <v/>
      </c>
      <c r="LD30">
        <f>IF('計算A'!BQ$106=1,FP30,1)</f>
        <v/>
      </c>
      <c r="LE30">
        <f>IF('計算A'!BR$106=1,FQ30,1)</f>
        <v/>
      </c>
      <c r="LF30">
        <f>IF('計算A'!BS$106=1,FR30,1)</f>
        <v/>
      </c>
      <c r="LG30">
        <f>IF('計算A'!BT$106=1,FS30,1)</f>
        <v/>
      </c>
      <c r="LH30">
        <f>IF('計算A'!BU$106=1,FT30,1)</f>
        <v/>
      </c>
      <c r="LI30">
        <f>IF('計算A'!BV$106=1,FU30,1)</f>
        <v/>
      </c>
      <c r="LJ30">
        <f>IF('計算A'!BW$106=1,FV30,1)</f>
        <v/>
      </c>
      <c r="LK30">
        <f>IF('計算A'!BX$106=1,FW30,1)</f>
        <v/>
      </c>
      <c r="LL30">
        <f>IF('計算A'!BY$106=1,FX30,1)</f>
        <v/>
      </c>
      <c r="LM30">
        <f>IF('計算A'!BZ$106=1,FY30,1)</f>
        <v/>
      </c>
      <c r="LN30">
        <f>IF('計算A'!CA$106=1,FZ30,1)</f>
        <v/>
      </c>
      <c r="LO30">
        <f>IF('計算A'!CB$106=1,GA30,1)</f>
        <v/>
      </c>
      <c r="LP30">
        <f>IF('計算A'!CC$106=1,GB30,1)</f>
        <v/>
      </c>
      <c r="LQ30">
        <f>IF('計算A'!CD$106=1,GC30,1)</f>
        <v/>
      </c>
      <c r="LR30">
        <f>IF('計算A'!CE$106=1,GD30,1)</f>
        <v/>
      </c>
      <c r="LS30">
        <f>IF('計算A'!CF$106=1,GE30,1)</f>
        <v/>
      </c>
      <c r="LT30">
        <f>IF('計算A'!CG$106=1,GF30,1)</f>
        <v/>
      </c>
      <c r="LU30">
        <f>IF('計算A'!CH$106=1,GG30,1)</f>
        <v/>
      </c>
      <c r="LV30">
        <f>IF('計算A'!CI$106=1,GH30,1)</f>
        <v/>
      </c>
      <c r="LW30">
        <f>IF('計算A'!CJ$106=1,GI30,1)</f>
        <v/>
      </c>
      <c r="LX30">
        <f>IF('計算A'!CK$106=1,GJ30,1)</f>
        <v/>
      </c>
      <c r="LY30">
        <f>IF('計算A'!CL$106=1,GK30,1)</f>
        <v/>
      </c>
      <c r="LZ30">
        <f>IF('計算A'!CM$106=1,GL30,1)</f>
        <v/>
      </c>
      <c r="MA30">
        <f>IF('計算A'!CN$106=1,GM30,1)</f>
        <v/>
      </c>
      <c r="MB30">
        <f>IF('計算A'!CO$106=1,GN30,1)</f>
        <v/>
      </c>
      <c r="MC30">
        <f>IF('計算A'!CP$106=1,GO30,1)</f>
        <v/>
      </c>
      <c r="MD30">
        <f>IF('計算A'!CQ$106=1,GP30,1)</f>
        <v/>
      </c>
      <c r="ME30">
        <f>IF('計算A'!CR$106=1,GQ30,1)</f>
        <v/>
      </c>
      <c r="MF30">
        <f>IF('計算A'!CS$106=1,GR30,1)</f>
        <v/>
      </c>
      <c r="MG30">
        <f>IF('計算A'!CT$106=1,GS30,1)</f>
        <v/>
      </c>
      <c r="MH30">
        <f>IF('計算A'!CU$106=1,GT30,1)</f>
        <v/>
      </c>
      <c r="MI30">
        <f>IF('計算A'!CV$106=1,GU30,1)</f>
        <v/>
      </c>
      <c r="MJ30">
        <f>IF('計算A'!CW$106=1,GV30,1)</f>
        <v/>
      </c>
      <c r="MK30">
        <f>IF('計算A'!CX$106=1,GW30,1)</f>
        <v/>
      </c>
      <c r="ML30">
        <f>IF('計算A'!CY$106=1,GX30,1)</f>
        <v/>
      </c>
      <c r="MM30">
        <f>IF('計算A'!CZ$106=1,GY30,1)</f>
        <v/>
      </c>
      <c r="MN30">
        <f>IF('計算A'!DA$106=1,GZ30,1)</f>
        <v/>
      </c>
      <c r="MO30">
        <f>IF('計算A'!DB$106=1,HA30,1)</f>
        <v/>
      </c>
      <c r="MP30">
        <f>IF('計算A'!DC$106=1,HB30,1)</f>
        <v/>
      </c>
      <c r="MQ30">
        <f>IF('計算A'!DD$106=1,HC30,1)</f>
        <v/>
      </c>
      <c r="MR30">
        <f>IF('計算A'!DE$106=1,HD30,1)</f>
        <v/>
      </c>
      <c r="MS30">
        <f>IF('計算A'!DF$106=1,HE30,1)</f>
        <v/>
      </c>
      <c r="MT30">
        <f>IF('計算A'!DG$106=1,HF30,1)</f>
        <v/>
      </c>
      <c r="MU30">
        <f>IF('計算A'!DH$106=1,HG30,1)</f>
        <v/>
      </c>
      <c r="MV30">
        <f>IF('計算A'!DI$106=1,HH30,1)</f>
        <v/>
      </c>
      <c r="MW30">
        <f>IF('計算A'!DJ$106=1,HI30,1)</f>
        <v/>
      </c>
      <c r="MX30">
        <f>IF('計算A'!DK$106=1,HJ30,1)</f>
        <v/>
      </c>
      <c r="MY30">
        <f>IF('計算A'!DL$106=1,HK30,1)</f>
        <v/>
      </c>
      <c r="MZ30">
        <f>IF('計算A'!DM$106=1,HL30,1)</f>
        <v/>
      </c>
      <c r="NA30">
        <f>IF('計算A'!DN$106=1,HM30,1)</f>
        <v/>
      </c>
      <c r="NB30">
        <f>IF('計算A'!DO$106=1,HN30,1)</f>
        <v/>
      </c>
      <c r="NC30">
        <f>IF('計算A'!DP$106=1,HO30,1)</f>
        <v/>
      </c>
      <c r="ND30">
        <f>IF('計算A'!DQ$106=1,HP30,1)</f>
        <v/>
      </c>
      <c r="NE30">
        <f>IF('計算A'!DR$106=1,HQ30,1)</f>
        <v/>
      </c>
      <c r="NF30">
        <f>IF('計算A'!DS$106=1,HR30,1)</f>
        <v/>
      </c>
      <c r="NG30">
        <f>IF('計算A'!DT$106=1,HS30,1)</f>
        <v/>
      </c>
      <c r="NH30">
        <f>IF('計算A'!DU$106=1,HT30,1)</f>
        <v/>
      </c>
      <c r="NI30">
        <f>IF('計算A'!DV$106=1,HU30,1)</f>
        <v/>
      </c>
      <c r="NJ30">
        <f>IF('計算A'!DW$106=1,HV30,1)</f>
        <v/>
      </c>
      <c r="NK30">
        <f>IF('計算A'!DX$106=1,HW30,1)</f>
        <v/>
      </c>
      <c r="NL30">
        <f>IF('計算A'!DY$106=1,HX30,1)</f>
        <v/>
      </c>
      <c r="NM30">
        <f>IF('計算A'!DZ$106=1,HY30,1)</f>
        <v/>
      </c>
      <c r="NN30">
        <f>IF('計算A'!EA$106=1,HZ30,1)</f>
        <v/>
      </c>
      <c r="NO30">
        <f>IF('計算A'!EB$106=1,IA30,1)</f>
        <v/>
      </c>
      <c r="NP30">
        <f>IF('計算A'!EC$106=1,IB30,1)</f>
        <v/>
      </c>
      <c r="NQ30">
        <f>IF('計算A'!ED$106=1,IC30,1)</f>
        <v/>
      </c>
      <c r="NR30">
        <f>IF('計算A'!EE$106=1,ID30,1)</f>
        <v/>
      </c>
      <c r="NS30">
        <f>IF('計算A'!EF$106=1,IE30,1)</f>
        <v/>
      </c>
      <c r="NT30">
        <f>IF('計算A'!EG$106=1,IF30,1)</f>
        <v/>
      </c>
      <c r="NU30">
        <f>IF('計算A'!EH$106=1,IG30,1)</f>
        <v/>
      </c>
      <c r="NV30">
        <f>IF('計算A'!EI$106=1,IH30,1)</f>
        <v/>
      </c>
      <c r="NW30">
        <f>IF('計算A'!EJ$106=1,II30,1)</f>
        <v/>
      </c>
      <c r="NX30">
        <f>IF('計算A'!EK$106=1,IJ30,1)</f>
        <v/>
      </c>
      <c r="NY30">
        <f>IF('計算A'!EL$106=1,IK30,1)</f>
        <v/>
      </c>
      <c r="NZ30">
        <f>IF('計算A'!EM$106=1,IL30,1)</f>
        <v/>
      </c>
      <c r="OA30">
        <f>IF('計算A'!EN$106=1,IM30,1)</f>
        <v/>
      </c>
      <c r="OB30">
        <f>IF('計算A'!EO$106=1,IN30,1)</f>
        <v/>
      </c>
      <c r="OC30">
        <f>IF('計算A'!EP$106=1,IO30,1)</f>
        <v/>
      </c>
      <c r="OD30" t="n">
        <v>1</v>
      </c>
      <c r="OF30">
        <f>IF($B30=0,1000000,IF(INDEX('計算A'!$D$60:$EQ$104,$B30,1)*DB30=1,IF(AND($E30=2,IQ30=0),1000000,IF($I30&gt;0,IF(1=$J30,IF(OR(AND(1=$I30+1,OR($K30&lt;&gt;'計算A'!$A$3,'計算A'!$A$4=0)),AND(1=$I30-1,OR(1&lt;&gt;'計算A'!$A$3,'計算A'!$A$4=0))),0,IF(1=$K30,200000,ABS(1-$K30)*100)),100000+ABS(1-$J30)*1000+10)+'計算A'!D$5*50+IF(AND($E30=1,IQ30=0),25,0),INDEX('計算A'!D$110:D$114,$F30+1)+IF(AND($E30=1,IQ30=0),1000,0)+IF($H30=1,(IF('計算A'!D$117=1,INDEX('計算A'!E$10:E$54,$B30),0))*500,0)-IF(AND($L30=1,'計算A'!D$117=1,DC30=0),300,0))),1000000))</f>
        <v/>
      </c>
      <c r="OG30">
        <f>IF($B30=0,1000000,IF(INDEX('計算A'!$D$60:$EQ$104,$B30,2)*DC30=1,IF(AND($E30=2,IR30=0),1000000,IF($I30&gt;0,IF(1=$J30,IF(OR(AND(2=$I30+1,OR($K30&lt;&gt;'計算A'!$A$3,'計算A'!$A$4=0)),AND(2=$I30-1,OR(2&lt;&gt;'計算A'!$A$3,'計算A'!$A$4=0))),0,IF(2=$K30,200000,ABS(2-$K30)*100)),100000+ABS(1-$J30)*1000+20)+'計算A'!E$5*50+IF(AND($E30=1,IR30=0),25,0),INDEX('計算A'!E$110:E$114,$F30+1)+IF(AND($E30=1,IR30=0),1000,0)+IF($H30=1,(IF('計算A'!D$117=1,INDEX('計算A'!D$10:D$54,$B30),0)+IF('計算A'!E$117=1,INDEX('計算A'!F$10:F$54,$B30),0))*500,0)-IF(AND('計算A'!D$117=1,UB30&gt;0),300,0)-IF(AND($L30=1,'計算A'!E$117=1,DD30=0),300,0))),1000000))</f>
        <v/>
      </c>
      <c r="OH30">
        <f>IF($B30=0,1000000,IF(INDEX('計算A'!$D$60:$EQ$104,$B30,3)*DD30=1,IF(AND($E30=2,IS30=0),1000000,IF($I30&gt;0,IF(1=$J30,IF(OR(AND(3=$I30+1,OR($K30&lt;&gt;'計算A'!$A$3,'計算A'!$A$4=0)),AND(3=$I30-1,OR(3&lt;&gt;'計算A'!$A$3,'計算A'!$A$4=0))),0,IF(3=$K30,200000,ABS(3-$K30)*100)),100000+ABS(1-$J30)*1000+30)+'計算A'!F$5*50+IF(AND($E30=1,IS30=0),25,0),INDEX('計算A'!F$110:F$114,$F30+1)+IF(AND($E30=1,IS30=0),1000,0)+IF($H30=1,(IF('計算A'!E$117=1,INDEX('計算A'!E$10:E$54,$B30),0)+IF('計算A'!F$117=1,INDEX('計算A'!G$10:G$54,$B30),0))*500,0)-IF(AND('計算A'!E$117=1,UC30&gt;0),300,0)-IF(AND($L30=1,'計算A'!F$117=1,DE30=0),300,0))),1000000))</f>
        <v/>
      </c>
      <c r="OI30">
        <f>IF($B30=0,1000000,IF(INDEX('計算A'!$D$60:$EQ$104,$B30,4)*DE30=1,IF(AND($E30=2,IT30=0),1000000,IF($I30&gt;0,IF(1=$J30,IF(OR(AND(4=$I30+1,OR($K30&lt;&gt;'計算A'!$A$3,'計算A'!$A$4=0)),AND(4=$I30-1,OR(4&lt;&gt;'計算A'!$A$3,'計算A'!$A$4=0))),0,IF(4=$K30,200000,ABS(4-$K30)*100)),100000+ABS(1-$J30)*1000+40)+'計算A'!G$5*50+IF(AND($E30=1,IT30=0),25,0),INDEX('計算A'!G$110:G$114,$F30+1)+IF(AND($E30=1,IT30=0),1000,0)+IF($H30=1,(IF('計算A'!F$117=1,INDEX('計算A'!F$10:F$54,$B30),0)+IF('計算A'!G$117=1,INDEX('計算A'!H$10:H$54,$B30),0))*500,0)-IF(AND('計算A'!F$117=1,UD30&gt;0),300,0)-IF(AND($L30=1,'計算A'!G$117=1,DF30=0),300,0))),1000000))</f>
        <v/>
      </c>
      <c r="OJ30">
        <f>IF($B30=0,1000000,IF(INDEX('計算A'!$D$60:$EQ$104,$B30,5)*DF30=1,IF(AND($E30=2,IU30=0),1000000,IF($I30&gt;0,IF(1=$J30,IF(OR(AND(5=$I30+1,OR($K30&lt;&gt;'計算A'!$A$3,'計算A'!$A$4=0)),AND(5=$I30-1,OR(5&lt;&gt;'計算A'!$A$3,'計算A'!$A$4=0))),0,IF(5=$K30,200000,ABS(5-$K30)*100)),100000+ABS(1-$J30)*1000+50)+'計算A'!H$5*50+IF(AND($E30=1,IU30=0),25,0),INDEX('計算A'!H$110:H$114,$F30+1)+IF(AND($E30=1,IU30=0),1000,0)+IF($H30=1,(IF('計算A'!G$117=1,INDEX('計算A'!G$10:G$54,$B30),0)+IF('計算A'!H$117=1,INDEX('計算A'!I$10:I$54,$B30),0))*500,0)-IF(AND('計算A'!G$117=1,UE30&gt;0),300,0)-IF(AND($L30=1,'計算A'!H$117=1,DG30=0),300,0))),1000000))</f>
        <v/>
      </c>
      <c r="OK30">
        <f>IF($B30=0,1000000,IF(INDEX('計算A'!$D$60:$EQ$104,$B30,6)*DG30=1,IF(AND($E30=2,IV30=0),1000000,IF($I30&gt;0,IF(1=$J30,IF(OR(AND(6=$I30+1,OR($K30&lt;&gt;'計算A'!$A$3,'計算A'!$A$4=0)),AND(6=$I30-1,OR(6&lt;&gt;'計算A'!$A$3,'計算A'!$A$4=0))),0,IF(6=$K30,200000,ABS(6-$K30)*100)),100000+ABS(1-$J30)*1000+60)+'計算A'!I$5*50+IF(AND($E30=1,IV30=0),25,0),INDEX('計算A'!I$110:I$114,$F30+1)+IF(AND($E30=1,IV30=0),1000,0)+IF($H30=1,(IF('計算A'!H$117=1,INDEX('計算A'!H$10:H$54,$B30),0)+IF('計算A'!I$117=1,INDEX('計算A'!J$10:J$54,$B30),0))*500,0)-IF(AND('計算A'!H$117=1,UF30&gt;0),300,0)-IF(AND($L30=1,'計算A'!I$117=1,DH30=0),300,0))),1000000))</f>
        <v/>
      </c>
      <c r="OL30">
        <f>IF($B30=0,1000000,IF(INDEX('計算A'!$D$60:$EQ$104,$B30,7)*DH30=1,IF(AND($E30=2,IW30=0),1000000,IF($I30&gt;0,IF(1=$J30,IF(OR(AND(7=$I30+1,OR($K30&lt;&gt;'計算A'!$A$3,'計算A'!$A$4=0)),AND(7=$I30-1,OR(7&lt;&gt;'計算A'!$A$3,'計算A'!$A$4=0))),0,IF(7=$K30,200000,ABS(7-$K30)*100)),100000+ABS(1-$J30)*1000+70)+'計算A'!J$5*50+IF(AND($E30=1,IW30=0),25,0),INDEX('計算A'!J$110:J$114,$F30+1)+IF(AND($E30=1,IW30=0),1000,0)+IF($H30=1,(IF('計算A'!I$117=1,INDEX('計算A'!I$10:I$54,$B30),0)+IF('計算A'!J$117=1,INDEX('計算A'!K$10:K$54,$B30),0))*500,0)-IF(AND('計算A'!I$117=1,UG30&gt;0),300,0)-IF(AND($L30=1,'計算A'!J$117=1,DI30=0),300,0))),1000000))</f>
        <v/>
      </c>
      <c r="OM30">
        <f>IF($B30=0,1000000,IF(INDEX('計算A'!$D$60:$EQ$104,$B30,8)*DI30=1,IF(AND($E30=2,IX30=0),1000000,IF($I30&gt;0,IF(1=$J30,IF(OR(AND(8=$I30+1,OR($K30&lt;&gt;'計算A'!$A$3,'計算A'!$A$4=0)),AND(8=$I30-1,OR(8&lt;&gt;'計算A'!$A$3,'計算A'!$A$4=0))),0,IF(8=$K30,200000,ABS(8-$K30)*100)),100000+ABS(1-$J30)*1000+80)+'計算A'!K$5*50+IF(AND($E30=1,IX30=0),25,0),INDEX('計算A'!K$110:K$114,$F30+1)+IF(AND($E30=1,IX30=0),1000,0)+IF($H30=1,(IF('計算A'!J$117=1,INDEX('計算A'!J$10:J$54,$B30),0)+IF('計算A'!K$117=1,INDEX('計算A'!L$10:L$54,$B30),0))*500,0)-IF(AND('計算A'!J$117=1,UH30&gt;0),300,0)-IF(AND($L30=1,'計算A'!K$117=1,DJ30=0),300,0))),1000000))</f>
        <v/>
      </c>
      <c r="ON30">
        <f>IF($B30=0,1000000,IF(INDEX('計算A'!$D$60:$EQ$104,$B30,9)*DJ30=1,IF(AND($E30=2,IY30=0),1000000,IF($I30&gt;0,IF(1=$J30,IF(OR(AND(9=$I30+1,OR($K30&lt;&gt;'計算A'!$A$3,'計算A'!$A$4=0)),AND(9=$I30-1,OR(9&lt;&gt;'計算A'!$A$3,'計算A'!$A$4=0))),0,IF(9=$K30,200000,ABS(9-$K30)*100)),100000+ABS(1-$J30)*1000+90)+'計算A'!L$5*50+IF(AND($E30=1,IY30=0),25,0),INDEX('計算A'!L$110:L$114,$F30+1)+IF(AND($E30=1,IY30=0),1000,0)+IF($H30=1,(IF('計算A'!K$117=1,INDEX('計算A'!K$10:K$54,$B30),0)+IF('計算A'!L$117=1,INDEX('計算A'!M$10:M$54,$B30),0))*500,0)-IF(AND('計算A'!K$117=1,UI30&gt;0),300,0)-IF(AND($L30=1,'計算A'!L$117=1,DK30=0),300,0))),1000000))</f>
        <v/>
      </c>
      <c r="OO30">
        <f>IF($B30=0,1000000,IF(INDEX('計算A'!$D$60:$EQ$104,$B30,10)*DK30=1,IF(AND($E30=2,IZ30=0),1000000,IF($I30&gt;0,IF(1=$J30,IF(OR(AND(10=$I30+1,OR($K30&lt;&gt;'計算A'!$A$3,'計算A'!$A$4=0)),AND(10=$I30-1,OR(10&lt;&gt;'計算A'!$A$3,'計算A'!$A$4=0))),0,IF(10=$K30,200000,ABS(10-$K30)*100)),100000+ABS(1-$J30)*1000+100)+'計算A'!M$5*50+IF(AND($E30=1,IZ30=0),25,0),INDEX('計算A'!M$110:M$114,$F30+1)+IF(AND($E30=1,IZ30=0),1000,0)+IF($H30=1,(IF('計算A'!L$117=1,INDEX('計算A'!L$10:L$54,$B30),0)+IF('計算A'!M$117=1,INDEX('計算A'!N$10:N$54,$B30),0))*500,0)-IF(AND('計算A'!L$117=1,UJ30&gt;0),300,0)-IF(AND($L30=1,'計算A'!M$117=1,DL30=0),300,0))),1000000))</f>
        <v/>
      </c>
      <c r="OP30">
        <f>IF($B30=0,1000000,IF(INDEX('計算A'!$D$60:$EQ$104,$B30,11)*DL30=1,IF(AND($E30=2,JA30=0),1000000,IF($I30&gt;0,IF(1=$J30,IF(OR(AND(11=$I30+1,OR($K30&lt;&gt;'計算A'!$A$3,'計算A'!$A$4=0)),AND(11=$I30-1,OR(11&lt;&gt;'計算A'!$A$3,'計算A'!$A$4=0))),0,IF(11=$K30,200000,ABS(11-$K30)*100)),100000+ABS(1-$J30)*1000+110)+'計算A'!N$5*50+IF(AND($E30=1,JA30=0),25,0),INDEX('計算A'!N$110:N$114,$F30+1)+IF(AND($E30=1,JA30=0),1000,0)+IF($H30=1,(IF('計算A'!M$117=1,INDEX('計算A'!M$10:M$54,$B30),0)+IF('計算A'!N$117=1,INDEX('計算A'!O$10:O$54,$B30),0))*500,0)-IF(AND('計算A'!M$117=1,UK30&gt;0),300,0)-IF(AND($L30=1,'計算A'!N$117=1,DM30=0),300,0))),1000000))</f>
        <v/>
      </c>
      <c r="OQ30">
        <f>IF($B30=0,1000000,IF(INDEX('計算A'!$D$60:$EQ$104,$B30,12)*DM30=1,IF(AND($E30=2,JB30=0),1000000,IF($I30&gt;0,IF(1=$J30,IF(OR(AND(12=$I30+1,OR($K30&lt;&gt;'計算A'!$A$3,'計算A'!$A$4=0)),AND(12=$I30-1,OR(12&lt;&gt;'計算A'!$A$3,'計算A'!$A$4=0))),0,IF(12=$K30,200000,ABS(12-$K30)*100)),100000+ABS(1-$J30)*1000+120)+'計算A'!O$5*50+IF(AND($E30=1,JB30=0),25,0),INDEX('計算A'!O$110:O$114,$F30+1)+IF(AND($E30=1,JB30=0),1000,0)+IF($H30=1,(IF('計算A'!N$117=1,INDEX('計算A'!N$10:N$54,$B30),0)+IF('計算A'!O$117=1,INDEX('計算A'!P$10:P$54,$B30),0))*500,0)-IF(AND('計算A'!N$117=1,UL30&gt;0),300,0)-IF(AND($L30=1,'計算A'!O$117=1,DN30=0),300,0))),1000000))</f>
        <v/>
      </c>
      <c r="OR30">
        <f>IF($B30=0,1000000,IF(INDEX('計算A'!$D$60:$EQ$104,$B30,13)*DN30=1,IF(AND($E30=2,JC30=0),1000000,IF($I30&gt;0,IF(1=$J30,IF(OR(AND(13=$I30+1,OR($K30&lt;&gt;'計算A'!$A$3,'計算A'!$A$4=0)),AND(13=$I30-1,OR(13&lt;&gt;'計算A'!$A$3,'計算A'!$A$4=0))),0,IF(13=$K30,200000,ABS(13-$K30)*100)),100000+ABS(1-$J30)*1000+130)+'計算A'!P$5*50+IF(AND($E30=1,JC30=0),25,0),INDEX('計算A'!P$110:P$114,$F30+1)+IF(AND($E30=1,JC30=0),1000,0)+IF($H30=1,(IF('計算A'!O$117=1,INDEX('計算A'!O$10:O$54,$B30),0)+IF('計算A'!P$117=1,INDEX('計算A'!Q$10:Q$54,$B30),0))*500,0)-IF(AND('計算A'!O$117=1,UM30&gt;0),300,0)-IF(AND($L30=1,'計算A'!P$117=1,DO30=0),300,0))),1000000))</f>
        <v/>
      </c>
      <c r="OS30">
        <f>IF($B30=0,1000000,IF(INDEX('計算A'!$D$60:$EQ$104,$B30,14)*DO30=1,IF(AND($E30=2,JD30=0),1000000,IF($I30&gt;0,IF(1=$J30,IF(OR(AND(14=$I30+1,OR($K30&lt;&gt;'計算A'!$A$3,'計算A'!$A$4=0)),AND(14=$I30-1,OR(14&lt;&gt;'計算A'!$A$3,'計算A'!$A$4=0))),0,IF(14=$K30,200000,ABS(14-$K30)*100)),100000+ABS(1-$J30)*1000+140)+'計算A'!Q$5*50+IF(AND($E30=1,JD30=0),25,0),INDEX('計算A'!Q$110:Q$114,$F30+1)+IF(AND($E30=1,JD30=0),1000,0)+IF($H30=1,(IF('計算A'!P$117=1,INDEX('計算A'!P$10:P$54,$B30),0)+IF('計算A'!Q$117=1,INDEX('計算A'!R$10:R$54,$B30),0))*500,0)-IF(AND('計算A'!P$117=1,UN30&gt;0),300,0)-IF(AND($L30=1,'計算A'!Q$117=1,DP30=0),300,0))),1000000))</f>
        <v/>
      </c>
      <c r="OT30">
        <f>IF($B30=0,1000000,IF(INDEX('計算A'!$D$60:$EQ$104,$B30,15)*DP30=1,IF(AND($E30=2,JE30=0),1000000,IF($I30&gt;0,IF(1=$J30,IF(OR(AND(15=$I30+1,OR($K30&lt;&gt;'計算A'!$A$3,'計算A'!$A$4=0)),AND(15=$I30-1,OR(15&lt;&gt;'計算A'!$A$3,'計算A'!$A$4=0))),0,IF(15=$K30,200000,ABS(15-$K30)*100)),100000+ABS(1-$J30)*1000+150)+'計算A'!R$5*50+IF(AND($E30=1,JE30=0),25,0),INDEX('計算A'!R$110:R$114,$F30+1)+IF(AND($E30=1,JE30=0),1000,0)+IF($H30=1,(IF('計算A'!Q$117=1,INDEX('計算A'!Q$10:Q$54,$B30),0)+IF('計算A'!R$117=1,INDEX('計算A'!S$10:S$54,$B30),0))*500,0)-IF(AND('計算A'!Q$117=1,UO30&gt;0),300,0)-IF(AND($L30=1,'計算A'!R$117=1,DQ30=0),300,0))),1000000))</f>
        <v/>
      </c>
      <c r="OU30">
        <f>IF($B30=0,1000000,IF(INDEX('計算A'!$D$60:$EQ$104,$B30,16)*DQ30=1,IF(AND($E30=2,JF30=0),1000000,IF($I30&gt;0,IF(1=$J30,IF(OR(AND(16=$I30+1,OR($K30&lt;&gt;'計算A'!$A$3,'計算A'!$A$4=0)),AND(16=$I30-1,OR(16&lt;&gt;'計算A'!$A$3,'計算A'!$A$4=0))),0,IF(16=$K30,200000,ABS(16-$K30)*100)),100000+ABS(1-$J30)*1000+160)+'計算A'!S$5*50+IF(AND($E30=1,JF30=0),25,0),INDEX('計算A'!S$110:S$114,$F30+1)+IF(AND($E30=1,JF30=0),1000,0)+IF($H30=1,(IF('計算A'!R$117=1,INDEX('計算A'!R$10:R$54,$B30),0)+IF('計算A'!S$117=1,INDEX('計算A'!T$10:T$54,$B30),0))*500,0)-IF(AND('計算A'!R$117=1,UP30&gt;0),300,0)-IF(AND($L30=1,'計算A'!S$117=1,DR30=0),300,0))),1000000))</f>
        <v/>
      </c>
      <c r="OV30">
        <f>IF($B30=0,1000000,IF(INDEX('計算A'!$D$60:$EQ$104,$B30,17)*DR30=1,IF(AND($E30=2,JG30=0),1000000,IF($I30&gt;0,IF(1=$J30,IF(OR(AND(17=$I30+1,OR($K30&lt;&gt;'計算A'!$A$3,'計算A'!$A$4=0)),AND(17=$I30-1,OR(17&lt;&gt;'計算A'!$A$3,'計算A'!$A$4=0))),0,IF(17=$K30,200000,ABS(17-$K30)*100)),100000+ABS(1-$J30)*1000+170)+'計算A'!T$5*50+IF(AND($E30=1,JG30=0),25,0),INDEX('計算A'!T$110:T$114,$F30+1)+IF(AND($E30=1,JG30=0),1000,0)+IF($H30=1,(IF('計算A'!S$117=1,INDEX('計算A'!S$10:S$54,$B30),0)+IF('計算A'!T$117=1,INDEX('計算A'!U$10:U$54,$B30),0))*500,0)-IF(AND('計算A'!S$117=1,UQ30&gt;0),300,0)-IF(AND($L30=1,'計算A'!T$117=1,DS30=0),300,0))),1000000))</f>
        <v/>
      </c>
      <c r="OW30">
        <f>IF($B30=0,1000000,IF(INDEX('計算A'!$D$60:$EQ$104,$B30,18)*DS30=1,IF(AND($E30=2,JH30=0),1000000,IF($I30&gt;0,IF(1=$J30,IF(OR(AND(18=$I30+1,OR($K30&lt;&gt;'計算A'!$A$3,'計算A'!$A$4=0)),AND(18=$I30-1,OR(18&lt;&gt;'計算A'!$A$3,'計算A'!$A$4=0))),0,IF(18=$K30,200000,ABS(18-$K30)*100)),100000+ABS(1-$J30)*1000+180)+'計算A'!U$5*50+IF(AND($E30=1,JH30=0),25,0),INDEX('計算A'!U$110:U$114,$F30+1)+IF(AND($E30=1,JH30=0),1000,0)+IF($H30=1,(IF('計算A'!T$117=1,INDEX('計算A'!T$10:T$54,$B30),0)+IF('計算A'!U$117=1,INDEX('計算A'!V$10:V$54,$B30),0))*500,0)-IF(AND('計算A'!T$117=1,UR30&gt;0),300,0)-IF(AND($L30=1,'計算A'!U$117=1,DT30=0),300,0))),1000000))</f>
        <v/>
      </c>
      <c r="OX30">
        <f>IF($B30=0,1000000,IF(INDEX('計算A'!$D$60:$EQ$104,$B30,19)*DT30=1,IF(AND($E30=2,JI30=0),1000000,IF($I30&gt;0,IF(1=$J30,IF(OR(AND(19=$I30+1,OR($K30&lt;&gt;'計算A'!$A$3,'計算A'!$A$4=0)),AND(19=$I30-1,OR(19&lt;&gt;'計算A'!$A$3,'計算A'!$A$4=0))),0,IF(19=$K30,200000,ABS(19-$K30)*100)),100000+ABS(1-$J30)*1000+190)+'計算A'!V$5*50+IF(AND($E30=1,JI30=0),25,0),INDEX('計算A'!V$110:V$114,$F30+1)+IF(AND($E30=1,JI30=0),1000,0)+IF($H30=1,(IF('計算A'!U$117=1,INDEX('計算A'!U$10:U$54,$B30),0)+IF('計算A'!V$117=1,INDEX('計算A'!W$10:W$54,$B30),0))*500,0)-IF(AND('計算A'!U$117=1,US30&gt;0),300,0)-IF(AND($L30=1,'計算A'!V$117=1,DU30=0),300,0))),1000000))</f>
        <v/>
      </c>
      <c r="OY30">
        <f>IF($B30=0,1000000,IF(INDEX('計算A'!$D$60:$EQ$104,$B30,20)*DU30=1,IF(AND($E30=2,JJ30=0),1000000,IF($I30&gt;0,IF(1=$J30,IF(OR(AND(20=$I30+1,OR($K30&lt;&gt;'計算A'!$A$3,'計算A'!$A$4=0)),AND(20=$I30-1,OR(20&lt;&gt;'計算A'!$A$3,'計算A'!$A$4=0))),0,IF(20=$K30,200000,ABS(20-$K30)*100)),100000+ABS(1-$J30)*1000+200)+'計算A'!W$5*50+IF(AND($E30=1,JJ30=0),25,0),INDEX('計算A'!W$110:W$114,$F30+1)+IF(AND($E30=1,JJ30=0),1000,0)+IF($H30=1,(IF('計算A'!V$117=1,INDEX('計算A'!V$10:V$54,$B30),0)+IF('計算A'!W$117=1,INDEX('計算A'!X$10:X$54,$B30),0))*500,0)-IF(AND('計算A'!V$117=1,UT30&gt;0),300,0)-IF(AND($L30=1,'計算A'!W$117=1,DV30=0),300,0))),1000000))</f>
        <v/>
      </c>
      <c r="OZ30">
        <f>IF($B30=0,1000000,IF(INDEX('計算A'!$D$60:$EQ$104,$B30,21)*DV30=1,IF(AND($E30=2,JK30=0),1000000,IF($I30&gt;0,IF(1=$J30,IF(OR(AND(21=$I30+1,OR($K30&lt;&gt;'計算A'!$A$3,'計算A'!$A$4=0)),AND(21=$I30-1,OR(21&lt;&gt;'計算A'!$A$3,'計算A'!$A$4=0))),0,IF(21=$K30,200000,ABS(21-$K30)*100)),100000+ABS(1-$J30)*1000+210)+'計算A'!X$5*50+IF(AND($E30=1,JK30=0),25,0),INDEX('計算A'!X$110:X$114,$F30+1)+IF(AND($E30=1,JK30=0),1000,0)+IF($H30=1,(IF('計算A'!W$117=1,INDEX('計算A'!W$10:W$54,$B30),0)+IF('計算A'!X$117=1,INDEX('計算A'!Y$10:Y$54,$B30),0))*500,0)-IF(AND('計算A'!W$117=1,UU30&gt;0),300,0)-IF(AND($L30=1,'計算A'!X$117=1,DW30=0),300,0))),1000000))</f>
        <v/>
      </c>
      <c r="PA30">
        <f>IF($B30=0,1000000,IF(INDEX('計算A'!$D$60:$EQ$104,$B30,22)*DW30=1,IF(AND($E30=2,JL30=0),1000000,IF($I30&gt;0,IF(1=$J30,IF(OR(AND(22=$I30+1,OR($K30&lt;&gt;'計算A'!$A$3,'計算A'!$A$4=0)),AND(22=$I30-1,OR(22&lt;&gt;'計算A'!$A$3,'計算A'!$A$4=0))),0,IF(22=$K30,200000,ABS(22-$K30)*100)),100000+ABS(1-$J30)*1000+220)+'計算A'!Y$5*50+IF(AND($E30=1,JL30=0),25,0),INDEX('計算A'!Y$110:Y$114,$F30+1)+IF(AND($E30=1,JL30=0),1000,0)+IF($H30=1,(IF('計算A'!X$117=1,INDEX('計算A'!X$10:X$54,$B30),0)+IF('計算A'!Y$117=1,INDEX('計算A'!Z$10:Z$54,$B30),0))*500,0)-IF(AND('計算A'!X$117=1,UV30&gt;0),300,0)-IF(AND($L30=1,'計算A'!Y$117=1,DX30=0),300,0))),1000000))</f>
        <v/>
      </c>
      <c r="PB30">
        <f>IF($B30=0,1000000,IF(INDEX('計算A'!$D$60:$EQ$104,$B30,23)*DX30=1,IF(AND($E30=2,JM30=0),1000000,IF($I30&gt;0,IF(1=$J30,IF(OR(AND(23=$I30+1,OR($K30&lt;&gt;'計算A'!$A$3,'計算A'!$A$4=0)),AND(23=$I30-1,OR(23&lt;&gt;'計算A'!$A$3,'計算A'!$A$4=0))),0,IF(23=$K30,200000,ABS(23-$K30)*100)),100000+ABS(1-$J30)*1000+230)+'計算A'!Z$5*50+IF(AND($E30=1,JM30=0),25,0),INDEX('計算A'!Z$110:Z$114,$F30+1)+IF(AND($E30=1,JM30=0),1000,0)+IF($H30=1,(IF('計算A'!Y$117=1,INDEX('計算A'!Y$10:Y$54,$B30),0)+IF('計算A'!Z$117=1,INDEX('計算A'!AA$10:AA$54,$B30),0))*500,0)-IF(AND('計算A'!Y$117=1,UW30&gt;0),300,0)-IF(AND($L30=1,'計算A'!Z$117=1,DY30=0),300,0))),1000000))</f>
        <v/>
      </c>
      <c r="PC30">
        <f>IF($B30=0,1000000,IF(INDEX('計算A'!$D$60:$EQ$104,$B30,24)*DY30=1,IF(AND($E30=2,JN30=0),1000000,IF($I30&gt;0,IF(1=$J30,IF(OR(AND(24=$I30+1,OR($K30&lt;&gt;'計算A'!$A$3,'計算A'!$A$4=0)),AND(24=$I30-1,OR(24&lt;&gt;'計算A'!$A$3,'計算A'!$A$4=0))),0,IF(24=$K30,200000,ABS(24-$K30)*100)),100000+ABS(1-$J30)*1000+240)+'計算A'!AA$5*50+IF(AND($E30=1,JN30=0),25,0),INDEX('計算A'!AA$110:AA$114,$F30+1)+IF(AND($E30=1,JN30=0),1000,0)+IF($H30=1,(IF('計算A'!Z$117=1,INDEX('計算A'!Z$10:Z$54,$B30),0))*500,0)-IF(AND('計算A'!Z$117=1,UX30&gt;0),300,0))),1000000))</f>
        <v/>
      </c>
      <c r="PD30">
        <f>IF($B30=0,1000000,IF(INDEX('計算A'!$D$60:$EQ$104,$B30,25)*DZ30=1,IF(AND($E30=2,JO30=0),1000000,IF($I30&gt;0,IF(2=$J30,IF(OR(AND(25=$I30+1,OR($K30&lt;&gt;'計算A'!$A$3,'計算A'!$A$4=0)),AND(25=$I30-1,OR(1&lt;&gt;'計算A'!$A$3,'計算A'!$A$4=0))),0,IF(1=$K30,200000,ABS(1-$K30)*100)),100000+ABS(2-$J30)*1000+10)+'計算A'!AB$5*50+IF(AND($E30=1,JO30=0),25,0),INDEX('計算A'!AB$110:AB$114,$F30+1)+IF(AND($E30=1,JO30=0),1000,0)+IF($H30=1,(IF('計算A'!AB$117=1,INDEX('計算A'!AC$10:AC$54,$B30),0))*500,0)-IF(AND($L30=1,'計算A'!AB$117=1,EA30=0),300,0))),1000000))</f>
        <v/>
      </c>
      <c r="PE30">
        <f>IF($B30=0,1000000,IF(INDEX('計算A'!$D$60:$EQ$104,$B30,26)*EA30=1,IF(AND($E30=2,JP30=0),1000000,IF($I30&gt;0,IF(2=$J30,IF(OR(AND(26=$I30+1,OR($K30&lt;&gt;'計算A'!$A$3,'計算A'!$A$4=0)),AND(26=$I30-1,OR(2&lt;&gt;'計算A'!$A$3,'計算A'!$A$4=0))),0,IF(2=$K30,200000,ABS(2-$K30)*100)),100000+ABS(2-$J30)*1000+20)+'計算A'!AC$5*50+IF(AND($E30=1,JP30=0),25,0),INDEX('計算A'!AC$110:AC$114,$F30+1)+IF(AND($E30=1,JP30=0),1000,0)+IF($H30=1,(IF('計算A'!AB$117=1,INDEX('計算A'!AB$10:AB$54,$B30),0)+IF('計算A'!AC$117=1,INDEX('計算A'!AD$10:AD$54,$B30),0))*500,0)-IF(AND('計算A'!AB$117=1,UZ30&gt;0),300,0)-IF(AND($L30=1,'計算A'!AC$117=1,EB30=0),300,0))),1000000))</f>
        <v/>
      </c>
      <c r="PF30">
        <f>IF($B30=0,1000000,IF(INDEX('計算A'!$D$60:$EQ$104,$B30,27)*EB30=1,IF(AND($E30=2,JQ30=0),1000000,IF($I30&gt;0,IF(2=$J30,IF(OR(AND(27=$I30+1,OR($K30&lt;&gt;'計算A'!$A$3,'計算A'!$A$4=0)),AND(27=$I30-1,OR(3&lt;&gt;'計算A'!$A$3,'計算A'!$A$4=0))),0,IF(3=$K30,200000,ABS(3-$K30)*100)),100000+ABS(2-$J30)*1000+30)+'計算A'!AD$5*50+IF(AND($E30=1,JQ30=0),25,0),INDEX('計算A'!AD$110:AD$114,$F30+1)+IF(AND($E30=1,JQ30=0),1000,0)+IF($H30=1,(IF('計算A'!AC$117=1,INDEX('計算A'!AC$10:AC$54,$B30),0)+IF('計算A'!AD$117=1,INDEX('計算A'!AE$10:AE$54,$B30),0))*500,0)-IF(AND('計算A'!AC$117=1,VA30&gt;0),300,0)-IF(AND($L30=1,'計算A'!AD$117=1,EC30=0),300,0))),1000000))</f>
        <v/>
      </c>
      <c r="PG30">
        <f>IF($B30=0,1000000,IF(INDEX('計算A'!$D$60:$EQ$104,$B30,28)*EC30=1,IF(AND($E30=2,JR30=0),1000000,IF($I30&gt;0,IF(2=$J30,IF(OR(AND(28=$I30+1,OR($K30&lt;&gt;'計算A'!$A$3,'計算A'!$A$4=0)),AND(28=$I30-1,OR(4&lt;&gt;'計算A'!$A$3,'計算A'!$A$4=0))),0,IF(4=$K30,200000,ABS(4-$K30)*100)),100000+ABS(2-$J30)*1000+40)+'計算A'!AE$5*50+IF(AND($E30=1,JR30=0),25,0),INDEX('計算A'!AE$110:AE$114,$F30+1)+IF(AND($E30=1,JR30=0),1000,0)+IF($H30=1,(IF('計算A'!AD$117=1,INDEX('計算A'!AD$10:AD$54,$B30),0)+IF('計算A'!AE$117=1,INDEX('計算A'!AF$10:AF$54,$B30),0))*500,0)-IF(AND('計算A'!AD$117=1,VB30&gt;0),300,0)-IF(AND($L30=1,'計算A'!AE$117=1,ED30=0),300,0))),1000000))</f>
        <v/>
      </c>
      <c r="PH30">
        <f>IF($B30=0,1000000,IF(INDEX('計算A'!$D$60:$EQ$104,$B30,29)*ED30=1,IF(AND($E30=2,JS30=0),1000000,IF($I30&gt;0,IF(2=$J30,IF(OR(AND(29=$I30+1,OR($K30&lt;&gt;'計算A'!$A$3,'計算A'!$A$4=0)),AND(29=$I30-1,OR(5&lt;&gt;'計算A'!$A$3,'計算A'!$A$4=0))),0,IF(5=$K30,200000,ABS(5-$K30)*100)),100000+ABS(2-$J30)*1000+50)+'計算A'!AF$5*50+IF(AND($E30=1,JS30=0),25,0),INDEX('計算A'!AF$110:AF$114,$F30+1)+IF(AND($E30=1,JS30=0),1000,0)+IF($H30=1,(IF('計算A'!AE$117=1,INDEX('計算A'!AE$10:AE$54,$B30),0)+IF('計算A'!AF$117=1,INDEX('計算A'!AG$10:AG$54,$B30),0))*500,0)-IF(AND('計算A'!AE$117=1,VC30&gt;0),300,0)-IF(AND($L30=1,'計算A'!AF$117=1,EE30=0),300,0))),1000000))</f>
        <v/>
      </c>
      <c r="PI30">
        <f>IF($B30=0,1000000,IF(INDEX('計算A'!$D$60:$EQ$104,$B30,30)*EE30=1,IF(AND($E30=2,JT30=0),1000000,IF($I30&gt;0,IF(2=$J30,IF(OR(AND(30=$I30+1,OR($K30&lt;&gt;'計算A'!$A$3,'計算A'!$A$4=0)),AND(30=$I30-1,OR(6&lt;&gt;'計算A'!$A$3,'計算A'!$A$4=0))),0,IF(6=$K30,200000,ABS(6-$K30)*100)),100000+ABS(2-$J30)*1000+60)+'計算A'!AG$5*50+IF(AND($E30=1,JT30=0),25,0),INDEX('計算A'!AG$110:AG$114,$F30+1)+IF(AND($E30=1,JT30=0),1000,0)+IF($H30=1,(IF('計算A'!AF$117=1,INDEX('計算A'!AF$10:AF$54,$B30),0)+IF('計算A'!AG$117=1,INDEX('計算A'!AH$10:AH$54,$B30),0))*500,0)-IF(AND('計算A'!AF$117=1,VD30&gt;0),300,0)-IF(AND($L30=1,'計算A'!AG$117=1,EF30=0),300,0))),1000000))</f>
        <v/>
      </c>
      <c r="PJ30">
        <f>IF($B30=0,1000000,IF(INDEX('計算A'!$D$60:$EQ$104,$B30,31)*EF30=1,IF(AND($E30=2,JU30=0),1000000,IF($I30&gt;0,IF(2=$J30,IF(OR(AND(31=$I30+1,OR($K30&lt;&gt;'計算A'!$A$3,'計算A'!$A$4=0)),AND(31=$I30-1,OR(7&lt;&gt;'計算A'!$A$3,'計算A'!$A$4=0))),0,IF(7=$K30,200000,ABS(7-$K30)*100)),100000+ABS(2-$J30)*1000+70)+'計算A'!AH$5*50+IF(AND($E30=1,JU30=0),25,0),INDEX('計算A'!AH$110:AH$114,$F30+1)+IF(AND($E30=1,JU30=0),1000,0)+IF($H30=1,(IF('計算A'!AG$117=1,INDEX('計算A'!AG$10:AG$54,$B30),0)+IF('計算A'!AH$117=1,INDEX('計算A'!AI$10:AI$54,$B30),0))*500,0)-IF(AND('計算A'!AG$117=1,VE30&gt;0),300,0)-IF(AND($L30=1,'計算A'!AH$117=1,EG30=0),300,0))),1000000))</f>
        <v/>
      </c>
      <c r="PK30">
        <f>IF($B30=0,1000000,IF(INDEX('計算A'!$D$60:$EQ$104,$B30,32)*EG30=1,IF(AND($E30=2,JV30=0),1000000,IF($I30&gt;0,IF(2=$J30,IF(OR(AND(32=$I30+1,OR($K30&lt;&gt;'計算A'!$A$3,'計算A'!$A$4=0)),AND(32=$I30-1,OR(8&lt;&gt;'計算A'!$A$3,'計算A'!$A$4=0))),0,IF(8=$K30,200000,ABS(8-$K30)*100)),100000+ABS(2-$J30)*1000+80)+'計算A'!AI$5*50+IF(AND($E30=1,JV30=0),25,0),INDEX('計算A'!AI$110:AI$114,$F30+1)+IF(AND($E30=1,JV30=0),1000,0)+IF($H30=1,(IF('計算A'!AH$117=1,INDEX('計算A'!AH$10:AH$54,$B30),0)+IF('計算A'!AI$117=1,INDEX('計算A'!AJ$10:AJ$54,$B30),0))*500,0)-IF(AND('計算A'!AH$117=1,VF30&gt;0),300,0)-IF(AND($L30=1,'計算A'!AI$117=1,EH30=0),300,0))),1000000))</f>
        <v/>
      </c>
      <c r="PL30">
        <f>IF($B30=0,1000000,IF(INDEX('計算A'!$D$60:$EQ$104,$B30,33)*EH30=1,IF(AND($E30=2,JW30=0),1000000,IF($I30&gt;0,IF(2=$J30,IF(OR(AND(33=$I30+1,OR($K30&lt;&gt;'計算A'!$A$3,'計算A'!$A$4=0)),AND(33=$I30-1,OR(9&lt;&gt;'計算A'!$A$3,'計算A'!$A$4=0))),0,IF(9=$K30,200000,ABS(9-$K30)*100)),100000+ABS(2-$J30)*1000+90)+'計算A'!AJ$5*50+IF(AND($E30=1,JW30=0),25,0),INDEX('計算A'!AJ$110:AJ$114,$F30+1)+IF(AND($E30=1,JW30=0),1000,0)+IF($H30=1,(IF('計算A'!AI$117=1,INDEX('計算A'!AI$10:AI$54,$B30),0)+IF('計算A'!AJ$117=1,INDEX('計算A'!AK$10:AK$54,$B30),0))*500,0)-IF(AND('計算A'!AI$117=1,VG30&gt;0),300,0)-IF(AND($L30=1,'計算A'!AJ$117=1,EI30=0),300,0))),1000000))</f>
        <v/>
      </c>
      <c r="PM30">
        <f>IF($B30=0,1000000,IF(INDEX('計算A'!$D$60:$EQ$104,$B30,34)*EI30=1,IF(AND($E30=2,JX30=0),1000000,IF($I30&gt;0,IF(2=$J30,IF(OR(AND(34=$I30+1,OR($K30&lt;&gt;'計算A'!$A$3,'計算A'!$A$4=0)),AND(34=$I30-1,OR(10&lt;&gt;'計算A'!$A$3,'計算A'!$A$4=0))),0,IF(10=$K30,200000,ABS(10-$K30)*100)),100000+ABS(2-$J30)*1000+100)+'計算A'!AK$5*50+IF(AND($E30=1,JX30=0),25,0),INDEX('計算A'!AK$110:AK$114,$F30+1)+IF(AND($E30=1,JX30=0),1000,0)+IF($H30=1,(IF('計算A'!AJ$117=1,INDEX('計算A'!AJ$10:AJ$54,$B30),0)+IF('計算A'!AK$117=1,INDEX('計算A'!AL$10:AL$54,$B30),0))*500,0)-IF(AND('計算A'!AJ$117=1,VH30&gt;0),300,0)-IF(AND($L30=1,'計算A'!AK$117=1,EJ30=0),300,0))),1000000))</f>
        <v/>
      </c>
      <c r="PN30">
        <f>IF($B30=0,1000000,IF(INDEX('計算A'!$D$60:$EQ$104,$B30,35)*EJ30=1,IF(AND($E30=2,JY30=0),1000000,IF($I30&gt;0,IF(2=$J30,IF(OR(AND(35=$I30+1,OR($K30&lt;&gt;'計算A'!$A$3,'計算A'!$A$4=0)),AND(35=$I30-1,OR(11&lt;&gt;'計算A'!$A$3,'計算A'!$A$4=0))),0,IF(11=$K30,200000,ABS(11-$K30)*100)),100000+ABS(2-$J30)*1000+110)+'計算A'!AL$5*50+IF(AND($E30=1,JY30=0),25,0),INDEX('計算A'!AL$110:AL$114,$F30+1)+IF(AND($E30=1,JY30=0),1000,0)+IF($H30=1,(IF('計算A'!AK$117=1,INDEX('計算A'!AK$10:AK$54,$B30),0)+IF('計算A'!AL$117=1,INDEX('計算A'!AM$10:AM$54,$B30),0))*500,0)-IF(AND('計算A'!AK$117=1,VI30&gt;0),300,0)-IF(AND($L30=1,'計算A'!AL$117=1,EK30=0),300,0))),1000000))</f>
        <v/>
      </c>
      <c r="PO30">
        <f>IF($B30=0,1000000,IF(INDEX('計算A'!$D$60:$EQ$104,$B30,36)*EK30=1,IF(AND($E30=2,JZ30=0),1000000,IF($I30&gt;0,IF(2=$J30,IF(OR(AND(36=$I30+1,OR($K30&lt;&gt;'計算A'!$A$3,'計算A'!$A$4=0)),AND(36=$I30-1,OR(12&lt;&gt;'計算A'!$A$3,'計算A'!$A$4=0))),0,IF(12=$K30,200000,ABS(12-$K30)*100)),100000+ABS(2-$J30)*1000+120)+'計算A'!AM$5*50+IF(AND($E30=1,JZ30=0),25,0),INDEX('計算A'!AM$110:AM$114,$F30+1)+IF(AND($E30=1,JZ30=0),1000,0)+IF($H30=1,(IF('計算A'!AL$117=1,INDEX('計算A'!AL$10:AL$54,$B30),0)+IF('計算A'!AM$117=1,INDEX('計算A'!AN$10:AN$54,$B30),0))*500,0)-IF(AND('計算A'!AL$117=1,VJ30&gt;0),300,0)-IF(AND($L30=1,'計算A'!AM$117=1,EL30=0),300,0))),1000000))</f>
        <v/>
      </c>
      <c r="PP30">
        <f>IF($B30=0,1000000,IF(INDEX('計算A'!$D$60:$EQ$104,$B30,37)*EL30=1,IF(AND($E30=2,KA30=0),1000000,IF($I30&gt;0,IF(2=$J30,IF(OR(AND(37=$I30+1,OR($K30&lt;&gt;'計算A'!$A$3,'計算A'!$A$4=0)),AND(37=$I30-1,OR(13&lt;&gt;'計算A'!$A$3,'計算A'!$A$4=0))),0,IF(13=$K30,200000,ABS(13-$K30)*100)),100000+ABS(2-$J30)*1000+130)+'計算A'!AN$5*50+IF(AND($E30=1,KA30=0),25,0),INDEX('計算A'!AN$110:AN$114,$F30+1)+IF(AND($E30=1,KA30=0),1000,0)+IF($H30=1,(IF('計算A'!AM$117=1,INDEX('計算A'!AM$10:AM$54,$B30),0)+IF('計算A'!AN$117=1,INDEX('計算A'!AO$10:AO$54,$B30),0))*500,0)-IF(AND('計算A'!AM$117=1,VK30&gt;0),300,0)-IF(AND($L30=1,'計算A'!AN$117=1,EM30=0),300,0))),1000000))</f>
        <v/>
      </c>
      <c r="PQ30">
        <f>IF($B30=0,1000000,IF(INDEX('計算A'!$D$60:$EQ$104,$B30,38)*EM30=1,IF(AND($E30=2,KB30=0),1000000,IF($I30&gt;0,IF(2=$J30,IF(OR(AND(38=$I30+1,OR($K30&lt;&gt;'計算A'!$A$3,'計算A'!$A$4=0)),AND(38=$I30-1,OR(14&lt;&gt;'計算A'!$A$3,'計算A'!$A$4=0))),0,IF(14=$K30,200000,ABS(14-$K30)*100)),100000+ABS(2-$J30)*1000+140)+'計算A'!AO$5*50+IF(AND($E30=1,KB30=0),25,0),INDEX('計算A'!AO$110:AO$114,$F30+1)+IF(AND($E30=1,KB30=0),1000,0)+IF($H30=1,(IF('計算A'!AN$117=1,INDEX('計算A'!AN$10:AN$54,$B30),0)+IF('計算A'!AO$117=1,INDEX('計算A'!AP$10:AP$54,$B30),0))*500,0)-IF(AND('計算A'!AN$117=1,VL30&gt;0),300,0)-IF(AND($L30=1,'計算A'!AO$117=1,EN30=0),300,0))),1000000))</f>
        <v/>
      </c>
      <c r="PR30">
        <f>IF($B30=0,1000000,IF(INDEX('計算A'!$D$60:$EQ$104,$B30,39)*EN30=1,IF(AND($E30=2,KC30=0),1000000,IF($I30&gt;0,IF(2=$J30,IF(OR(AND(39=$I30+1,OR($K30&lt;&gt;'計算A'!$A$3,'計算A'!$A$4=0)),AND(39=$I30-1,OR(15&lt;&gt;'計算A'!$A$3,'計算A'!$A$4=0))),0,IF(15=$K30,200000,ABS(15-$K30)*100)),100000+ABS(2-$J30)*1000+150)+'計算A'!AP$5*50+IF(AND($E30=1,KC30=0),25,0),INDEX('計算A'!AP$110:AP$114,$F30+1)+IF(AND($E30=1,KC30=0),1000,0)+IF($H30=1,(IF('計算A'!AO$117=1,INDEX('計算A'!AO$10:AO$54,$B30),0)+IF('計算A'!AP$117=1,INDEX('計算A'!AQ$10:AQ$54,$B30),0))*500,0)-IF(AND('計算A'!AO$117=1,VM30&gt;0),300,0)-IF(AND($L30=1,'計算A'!AP$117=1,EO30=0),300,0))),1000000))</f>
        <v/>
      </c>
      <c r="PS30">
        <f>IF($B30=0,1000000,IF(INDEX('計算A'!$D$60:$EQ$104,$B30,40)*EO30=1,IF(AND($E30=2,KD30=0),1000000,IF($I30&gt;0,IF(2=$J30,IF(OR(AND(40=$I30+1,OR($K30&lt;&gt;'計算A'!$A$3,'計算A'!$A$4=0)),AND(40=$I30-1,OR(16&lt;&gt;'計算A'!$A$3,'計算A'!$A$4=0))),0,IF(16=$K30,200000,ABS(16-$K30)*100)),100000+ABS(2-$J30)*1000+160)+'計算A'!AQ$5*50+IF(AND($E30=1,KD30=0),25,0),INDEX('計算A'!AQ$110:AQ$114,$F30+1)+IF(AND($E30=1,KD30=0),1000,0)+IF($H30=1,(IF('計算A'!AP$117=1,INDEX('計算A'!AP$10:AP$54,$B30),0)+IF('計算A'!AQ$117=1,INDEX('計算A'!AR$10:AR$54,$B30),0))*500,0)-IF(AND('計算A'!AP$117=1,VN30&gt;0),300,0)-IF(AND($L30=1,'計算A'!AQ$117=1,EP30=0),300,0))),1000000))</f>
        <v/>
      </c>
      <c r="PT30">
        <f>IF($B30=0,1000000,IF(INDEX('計算A'!$D$60:$EQ$104,$B30,41)*EP30=1,IF(AND($E30=2,KE30=0),1000000,IF($I30&gt;0,IF(2=$J30,IF(OR(AND(41=$I30+1,OR($K30&lt;&gt;'計算A'!$A$3,'計算A'!$A$4=0)),AND(41=$I30-1,OR(17&lt;&gt;'計算A'!$A$3,'計算A'!$A$4=0))),0,IF(17=$K30,200000,ABS(17-$K30)*100)),100000+ABS(2-$J30)*1000+170)+'計算A'!AR$5*50+IF(AND($E30=1,KE30=0),25,0),INDEX('計算A'!AR$110:AR$114,$F30+1)+IF(AND($E30=1,KE30=0),1000,0)+IF($H30=1,(IF('計算A'!AQ$117=1,INDEX('計算A'!AQ$10:AQ$54,$B30),0)+IF('計算A'!AR$117=1,INDEX('計算A'!AS$10:AS$54,$B30),0))*500,0)-IF(AND('計算A'!AQ$117=1,VO30&gt;0),300,0)-IF(AND($L30=1,'計算A'!AR$117=1,EQ30=0),300,0))),1000000))</f>
        <v/>
      </c>
      <c r="PU30">
        <f>IF($B30=0,1000000,IF(INDEX('計算A'!$D$60:$EQ$104,$B30,42)*EQ30=1,IF(AND($E30=2,KF30=0),1000000,IF($I30&gt;0,IF(2=$J30,IF(OR(AND(42=$I30+1,OR($K30&lt;&gt;'計算A'!$A$3,'計算A'!$A$4=0)),AND(42=$I30-1,OR(18&lt;&gt;'計算A'!$A$3,'計算A'!$A$4=0))),0,IF(18=$K30,200000,ABS(18-$K30)*100)),100000+ABS(2-$J30)*1000+180)+'計算A'!AS$5*50+IF(AND($E30=1,KF30=0),25,0),INDEX('計算A'!AS$110:AS$114,$F30+1)+IF(AND($E30=1,KF30=0),1000,0)+IF($H30=1,(IF('計算A'!AR$117=1,INDEX('計算A'!AR$10:AR$54,$B30),0)+IF('計算A'!AS$117=1,INDEX('計算A'!AT$10:AT$54,$B30),0))*500,0)-IF(AND('計算A'!AR$117=1,VP30&gt;0),300,0)-IF(AND($L30=1,'計算A'!AS$117=1,ER30=0),300,0))),1000000))</f>
        <v/>
      </c>
      <c r="PV30">
        <f>IF($B30=0,1000000,IF(INDEX('計算A'!$D$60:$EQ$104,$B30,43)*ER30=1,IF(AND($E30=2,KG30=0),1000000,IF($I30&gt;0,IF(2=$J30,IF(OR(AND(43=$I30+1,OR($K30&lt;&gt;'計算A'!$A$3,'計算A'!$A$4=0)),AND(43=$I30-1,OR(19&lt;&gt;'計算A'!$A$3,'計算A'!$A$4=0))),0,IF(19=$K30,200000,ABS(19-$K30)*100)),100000+ABS(2-$J30)*1000+190)+'計算A'!AT$5*50+IF(AND($E30=1,KG30=0),25,0),INDEX('計算A'!AT$110:AT$114,$F30+1)+IF(AND($E30=1,KG30=0),1000,0)+IF($H30=1,(IF('計算A'!AS$117=1,INDEX('計算A'!AS$10:AS$54,$B30),0)+IF('計算A'!AT$117=1,INDEX('計算A'!AU$10:AU$54,$B30),0))*500,0)-IF(AND('計算A'!AS$117=1,VQ30&gt;0),300,0)-IF(AND($L30=1,'計算A'!AT$117=1,ES30=0),300,0))),1000000))</f>
        <v/>
      </c>
      <c r="PW30">
        <f>IF($B30=0,1000000,IF(INDEX('計算A'!$D$60:$EQ$104,$B30,44)*ES30=1,IF(AND($E30=2,KH30=0),1000000,IF($I30&gt;0,IF(2=$J30,IF(OR(AND(44=$I30+1,OR($K30&lt;&gt;'計算A'!$A$3,'計算A'!$A$4=0)),AND(44=$I30-1,OR(20&lt;&gt;'計算A'!$A$3,'計算A'!$A$4=0))),0,IF(20=$K30,200000,ABS(20-$K30)*100)),100000+ABS(2-$J30)*1000+200)+'計算A'!AU$5*50+IF(AND($E30=1,KH30=0),25,0),INDEX('計算A'!AU$110:AU$114,$F30+1)+IF(AND($E30=1,KH30=0),1000,0)+IF($H30=1,(IF('計算A'!AT$117=1,INDEX('計算A'!AT$10:AT$54,$B30),0)+IF('計算A'!AU$117=1,INDEX('計算A'!AV$10:AV$54,$B30),0))*500,0)-IF(AND('計算A'!AT$117=1,VR30&gt;0),300,0)-IF(AND($L30=1,'計算A'!AU$117=1,ET30=0),300,0))),1000000))</f>
        <v/>
      </c>
      <c r="PX30">
        <f>IF($B30=0,1000000,IF(INDEX('計算A'!$D$60:$EQ$104,$B30,45)*ET30=1,IF(AND($E30=2,KI30=0),1000000,IF($I30&gt;0,IF(2=$J30,IF(OR(AND(45=$I30+1,OR($K30&lt;&gt;'計算A'!$A$3,'計算A'!$A$4=0)),AND(45=$I30-1,OR(21&lt;&gt;'計算A'!$A$3,'計算A'!$A$4=0))),0,IF(21=$K30,200000,ABS(21-$K30)*100)),100000+ABS(2-$J30)*1000+210)+'計算A'!AV$5*50+IF(AND($E30=1,KI30=0),25,0),INDEX('計算A'!AV$110:AV$114,$F30+1)+IF(AND($E30=1,KI30=0),1000,0)+IF($H30=1,(IF('計算A'!AU$117=1,INDEX('計算A'!AU$10:AU$54,$B30),0)+IF('計算A'!AV$117=1,INDEX('計算A'!AW$10:AW$54,$B30),0))*500,0)-IF(AND('計算A'!AU$117=1,VS30&gt;0),300,0)-IF(AND($L30=1,'計算A'!AV$117=1,EU30=0),300,0))),1000000))</f>
        <v/>
      </c>
      <c r="PY30">
        <f>IF($B30=0,1000000,IF(INDEX('計算A'!$D$60:$EQ$104,$B30,46)*EU30=1,IF(AND($E30=2,KJ30=0),1000000,IF($I30&gt;0,IF(2=$J30,IF(OR(AND(46=$I30+1,OR($K30&lt;&gt;'計算A'!$A$3,'計算A'!$A$4=0)),AND(46=$I30-1,OR(22&lt;&gt;'計算A'!$A$3,'計算A'!$A$4=0))),0,IF(22=$K30,200000,ABS(22-$K30)*100)),100000+ABS(2-$J30)*1000+220)+'計算A'!AW$5*50+IF(AND($E30=1,KJ30=0),25,0),INDEX('計算A'!AW$110:AW$114,$F30+1)+IF(AND($E30=1,KJ30=0),1000,0)+IF($H30=1,(IF('計算A'!AV$117=1,INDEX('計算A'!AV$10:AV$54,$B30),0)+IF('計算A'!AW$117=1,INDEX('計算A'!AX$10:AX$54,$B30),0))*500,0)-IF(AND('計算A'!AV$117=1,VT30&gt;0),300,0)-IF(AND($L30=1,'計算A'!AW$117=1,EV30=0),300,0))),1000000))</f>
        <v/>
      </c>
      <c r="PZ30">
        <f>IF($B30=0,1000000,IF(INDEX('計算A'!$D$60:$EQ$104,$B30,47)*EV30=1,IF(AND($E30=2,KK30=0),1000000,IF($I30&gt;0,IF(2=$J30,IF(OR(AND(47=$I30+1,OR($K30&lt;&gt;'計算A'!$A$3,'計算A'!$A$4=0)),AND(47=$I30-1,OR(23&lt;&gt;'計算A'!$A$3,'計算A'!$A$4=0))),0,IF(23=$K30,200000,ABS(23-$K30)*100)),100000+ABS(2-$J30)*1000+230)+'計算A'!AX$5*50+IF(AND($E30=1,KK30=0),25,0),INDEX('計算A'!AX$110:AX$114,$F30+1)+IF(AND($E30=1,KK30=0),1000,0)+IF($H30=1,(IF('計算A'!AW$117=1,INDEX('計算A'!AW$10:AW$54,$B30),0)+IF('計算A'!AX$117=1,INDEX('計算A'!AY$10:AY$54,$B30),0))*500,0)-IF(AND('計算A'!AW$117=1,VU30&gt;0),300,0)-IF(AND($L30=1,'計算A'!AX$117=1,EW30=0),300,0))),1000000))</f>
        <v/>
      </c>
      <c r="QA30">
        <f>IF($B30=0,1000000,IF(INDEX('計算A'!$D$60:$EQ$104,$B30,48)*EW30=1,IF(AND($E30=2,KL30=0),1000000,IF($I30&gt;0,IF(2=$J30,IF(OR(AND(48=$I30+1,OR($K30&lt;&gt;'計算A'!$A$3,'計算A'!$A$4=0)),AND(48=$I30-1,OR(24&lt;&gt;'計算A'!$A$3,'計算A'!$A$4=0))),0,IF(24=$K30,200000,ABS(24-$K30)*100)),100000+ABS(2-$J30)*1000+240)+'計算A'!AY$5*50+IF(AND($E30=1,KL30=0),25,0),INDEX('計算A'!AY$110:AY$114,$F30+1)+IF(AND($E30=1,KL30=0),1000,0)+IF($H30=1,(IF('計算A'!AX$117=1,INDEX('計算A'!AX$10:AX$54,$B30),0))*500,0)-IF(AND('計算A'!AX$117=1,VV30&gt;0),300,0))),1000000))</f>
        <v/>
      </c>
      <c r="QB30">
        <f>IF($B30=0,1000000,IF(INDEX('計算A'!$D$60:$EQ$104,$B30,49)*EX30=1,IF(AND($E30=2,KM30=0),1000000,IF($I30&gt;0,IF(3=$J30,IF(OR(AND(49=$I30+1,OR($K30&lt;&gt;'計算A'!$A$3,'計算A'!$A$4=0)),AND(49=$I30-1,OR(1&lt;&gt;'計算A'!$A$3,'計算A'!$A$4=0))),0,IF(1=$K30,200000,ABS(1-$K30)*100)),100000+ABS(3-$J30)*1000+10)+'計算A'!AZ$5*50+IF(AND($E30=1,KM30=0),25,0),INDEX('計算A'!AZ$110:AZ$114,$F30+1)+IF(AND($E30=1,KM30=0),1000,0)+IF($H30=1,(IF('計算A'!AZ$117=1,INDEX('計算A'!BA$10:BA$54,$B30),0))*500,0)-IF(AND($L30=1,'計算A'!AZ$117=1,EY30=0),300,0))),1000000))</f>
        <v/>
      </c>
      <c r="QC30">
        <f>IF($B30=0,1000000,IF(INDEX('計算A'!$D$60:$EQ$104,$B30,50)*EY30=1,IF(AND($E30=2,KN30=0),1000000,IF($I30&gt;0,IF(3=$J30,IF(OR(AND(50=$I30+1,OR($K30&lt;&gt;'計算A'!$A$3,'計算A'!$A$4=0)),AND(50=$I30-1,OR(2&lt;&gt;'計算A'!$A$3,'計算A'!$A$4=0))),0,IF(2=$K30,200000,ABS(2-$K30)*100)),100000+ABS(3-$J30)*1000+20)+'計算A'!BA$5*50+IF(AND($E30=1,KN30=0),25,0),INDEX('計算A'!BA$110:BA$114,$F30+1)+IF(AND($E30=1,KN30=0),1000,0)+IF($H30=1,(IF('計算A'!AZ$117=1,INDEX('計算A'!AZ$10:AZ$54,$B30),0)+IF('計算A'!BA$117=1,INDEX('計算A'!BB$10:BB$54,$B30),0))*500,0)-IF(AND('計算A'!AZ$117=1,VX30&gt;0),300,0)-IF(AND($L30=1,'計算A'!BA$117=1,EZ30=0),300,0))),1000000))</f>
        <v/>
      </c>
      <c r="QD30">
        <f>IF($B30=0,1000000,IF(INDEX('計算A'!$D$60:$EQ$104,$B30,51)*EZ30=1,IF(AND($E30=2,KO30=0),1000000,IF($I30&gt;0,IF(3=$J30,IF(OR(AND(51=$I30+1,OR($K30&lt;&gt;'計算A'!$A$3,'計算A'!$A$4=0)),AND(51=$I30-1,OR(3&lt;&gt;'計算A'!$A$3,'計算A'!$A$4=0))),0,IF(3=$K30,200000,ABS(3-$K30)*100)),100000+ABS(3-$J30)*1000+30)+'計算A'!BB$5*50+IF(AND($E30=1,KO30=0),25,0),INDEX('計算A'!BB$110:BB$114,$F30+1)+IF(AND($E30=1,KO30=0),1000,0)+IF($H30=1,(IF('計算A'!BA$117=1,INDEX('計算A'!BA$10:BA$54,$B30),0)+IF('計算A'!BB$117=1,INDEX('計算A'!BC$10:BC$54,$B30),0))*500,0)-IF(AND('計算A'!BA$117=1,VY30&gt;0),300,0)-IF(AND($L30=1,'計算A'!BB$117=1,FA30=0),300,0))),1000000))</f>
        <v/>
      </c>
      <c r="QE30">
        <f>IF($B30=0,1000000,IF(INDEX('計算A'!$D$60:$EQ$104,$B30,52)*FA30=1,IF(AND($E30=2,KP30=0),1000000,IF($I30&gt;0,IF(3=$J30,IF(OR(AND(52=$I30+1,OR($K30&lt;&gt;'計算A'!$A$3,'計算A'!$A$4=0)),AND(52=$I30-1,OR(4&lt;&gt;'計算A'!$A$3,'計算A'!$A$4=0))),0,IF(4=$K30,200000,ABS(4-$K30)*100)),100000+ABS(3-$J30)*1000+40)+'計算A'!BC$5*50+IF(AND($E30=1,KP30=0),25,0),INDEX('計算A'!BC$110:BC$114,$F30+1)+IF(AND($E30=1,KP30=0),1000,0)+IF($H30=1,(IF('計算A'!BB$117=1,INDEX('計算A'!BB$10:BB$54,$B30),0)+IF('計算A'!BC$117=1,INDEX('計算A'!BD$10:BD$54,$B30),0))*500,0)-IF(AND('計算A'!BB$117=1,VZ30&gt;0),300,0)-IF(AND($L30=1,'計算A'!BC$117=1,FB30=0),300,0))),1000000))</f>
        <v/>
      </c>
      <c r="QF30">
        <f>IF($B30=0,1000000,IF(INDEX('計算A'!$D$60:$EQ$104,$B30,53)*FB30=1,IF(AND($E30=2,KQ30=0),1000000,IF($I30&gt;0,IF(3=$J30,IF(OR(AND(53=$I30+1,OR($K30&lt;&gt;'計算A'!$A$3,'計算A'!$A$4=0)),AND(53=$I30-1,OR(5&lt;&gt;'計算A'!$A$3,'計算A'!$A$4=0))),0,IF(5=$K30,200000,ABS(5-$K30)*100)),100000+ABS(3-$J30)*1000+50)+'計算A'!BD$5*50+IF(AND($E30=1,KQ30=0),25,0),INDEX('計算A'!BD$110:BD$114,$F30+1)+IF(AND($E30=1,KQ30=0),1000,0)+IF($H30=1,(IF('計算A'!BC$117=1,INDEX('計算A'!BC$10:BC$54,$B30),0)+IF('計算A'!BD$117=1,INDEX('計算A'!BE$10:BE$54,$B30),0))*500,0)-IF(AND('計算A'!BC$117=1,WA30&gt;0),300,0)-IF(AND($L30=1,'計算A'!BD$117=1,FC30=0),300,0))),1000000))</f>
        <v/>
      </c>
      <c r="QG30">
        <f>IF($B30=0,1000000,IF(INDEX('計算A'!$D$60:$EQ$104,$B30,54)*FC30=1,IF(AND($E30=2,KR30=0),1000000,IF($I30&gt;0,IF(3=$J30,IF(OR(AND(54=$I30+1,OR($K30&lt;&gt;'計算A'!$A$3,'計算A'!$A$4=0)),AND(54=$I30-1,OR(6&lt;&gt;'計算A'!$A$3,'計算A'!$A$4=0))),0,IF(6=$K30,200000,ABS(6-$K30)*100)),100000+ABS(3-$J30)*1000+60)+'計算A'!BE$5*50+IF(AND($E30=1,KR30=0),25,0),INDEX('計算A'!BE$110:BE$114,$F30+1)+IF(AND($E30=1,KR30=0),1000,0)+IF($H30=1,(IF('計算A'!BD$117=1,INDEX('計算A'!BD$10:BD$54,$B30),0)+IF('計算A'!BE$117=1,INDEX('計算A'!BF$10:BF$54,$B30),0))*500,0)-IF(AND('計算A'!BD$117=1,WB30&gt;0),300,0)-IF(AND($L30=1,'計算A'!BE$117=1,FD30=0),300,0))),1000000))</f>
        <v/>
      </c>
      <c r="QH30">
        <f>IF($B30=0,1000000,IF(INDEX('計算A'!$D$60:$EQ$104,$B30,55)*FD30=1,IF(AND($E30=2,KS30=0),1000000,IF($I30&gt;0,IF(3=$J30,IF(OR(AND(55=$I30+1,OR($K30&lt;&gt;'計算A'!$A$3,'計算A'!$A$4=0)),AND(55=$I30-1,OR(7&lt;&gt;'計算A'!$A$3,'計算A'!$A$4=0))),0,IF(7=$K30,200000,ABS(7-$K30)*100)),100000+ABS(3-$J30)*1000+70)+'計算A'!BF$5*50+IF(AND($E30=1,KS30=0),25,0),INDEX('計算A'!BF$110:BF$114,$F30+1)+IF(AND($E30=1,KS30=0),1000,0)+IF($H30=1,(IF('計算A'!BE$117=1,INDEX('計算A'!BE$10:BE$54,$B30),0)+IF('計算A'!BF$117=1,INDEX('計算A'!BG$10:BG$54,$B30),0))*500,0)-IF(AND('計算A'!BE$117=1,WC30&gt;0),300,0)-IF(AND($L30=1,'計算A'!BF$117=1,FE30=0),300,0))),1000000))</f>
        <v/>
      </c>
      <c r="QI30">
        <f>IF($B30=0,1000000,IF(INDEX('計算A'!$D$60:$EQ$104,$B30,56)*FE30=1,IF(AND($E30=2,KT30=0),1000000,IF($I30&gt;0,IF(3=$J30,IF(OR(AND(56=$I30+1,OR($K30&lt;&gt;'計算A'!$A$3,'計算A'!$A$4=0)),AND(56=$I30-1,OR(8&lt;&gt;'計算A'!$A$3,'計算A'!$A$4=0))),0,IF(8=$K30,200000,ABS(8-$K30)*100)),100000+ABS(3-$J30)*1000+80)+'計算A'!BG$5*50+IF(AND($E30=1,KT30=0),25,0),INDEX('計算A'!BG$110:BG$114,$F30+1)+IF(AND($E30=1,KT30=0),1000,0)+IF($H30=1,(IF('計算A'!BF$117=1,INDEX('計算A'!BF$10:BF$54,$B30),0)+IF('計算A'!BG$117=1,INDEX('計算A'!BH$10:BH$54,$B30),0))*500,0)-IF(AND('計算A'!BF$117=1,WD30&gt;0),300,0)-IF(AND($L30=1,'計算A'!BG$117=1,FF30=0),300,0))),1000000))</f>
        <v/>
      </c>
      <c r="QJ30">
        <f>IF($B30=0,1000000,IF(INDEX('計算A'!$D$60:$EQ$104,$B30,57)*FF30=1,IF(AND($E30=2,KU30=0),1000000,IF($I30&gt;0,IF(3=$J30,IF(OR(AND(57=$I30+1,OR($K30&lt;&gt;'計算A'!$A$3,'計算A'!$A$4=0)),AND(57=$I30-1,OR(9&lt;&gt;'計算A'!$A$3,'計算A'!$A$4=0))),0,IF(9=$K30,200000,ABS(9-$K30)*100)),100000+ABS(3-$J30)*1000+90)+'計算A'!BH$5*50+IF(AND($E30=1,KU30=0),25,0),INDEX('計算A'!BH$110:BH$114,$F30+1)+IF(AND($E30=1,KU30=0),1000,0)+IF($H30=1,(IF('計算A'!BG$117=1,INDEX('計算A'!BG$10:BG$54,$B30),0)+IF('計算A'!BH$117=1,INDEX('計算A'!BI$10:BI$54,$B30),0))*500,0)-IF(AND('計算A'!BG$117=1,WE30&gt;0),300,0)-IF(AND($L30=1,'計算A'!BH$117=1,FG30=0),300,0))),1000000))</f>
        <v/>
      </c>
      <c r="QK30">
        <f>IF($B30=0,1000000,IF(INDEX('計算A'!$D$60:$EQ$104,$B30,58)*FG30=1,IF(AND($E30=2,KV30=0),1000000,IF($I30&gt;0,IF(3=$J30,IF(OR(AND(58=$I30+1,OR($K30&lt;&gt;'計算A'!$A$3,'計算A'!$A$4=0)),AND(58=$I30-1,OR(10&lt;&gt;'計算A'!$A$3,'計算A'!$A$4=0))),0,IF(10=$K30,200000,ABS(10-$K30)*100)),100000+ABS(3-$J30)*1000+100)+'計算A'!BI$5*50+IF(AND($E30=1,KV30=0),25,0),INDEX('計算A'!BI$110:BI$114,$F30+1)+IF(AND($E30=1,KV30=0),1000,0)+IF($H30=1,(IF('計算A'!BH$117=1,INDEX('計算A'!BH$10:BH$54,$B30),0)+IF('計算A'!BI$117=1,INDEX('計算A'!BJ$10:BJ$54,$B30),0))*500,0)-IF(AND('計算A'!BH$117=1,WF30&gt;0),300,0)-IF(AND($L30=1,'計算A'!BI$117=1,FH30=0),300,0))),1000000))</f>
        <v/>
      </c>
      <c r="QL30">
        <f>IF($B30=0,1000000,IF(INDEX('計算A'!$D$60:$EQ$104,$B30,59)*FH30=1,IF(AND($E30=2,KW30=0),1000000,IF($I30&gt;0,IF(3=$J30,IF(OR(AND(59=$I30+1,OR($K30&lt;&gt;'計算A'!$A$3,'計算A'!$A$4=0)),AND(59=$I30-1,OR(11&lt;&gt;'計算A'!$A$3,'計算A'!$A$4=0))),0,IF(11=$K30,200000,ABS(11-$K30)*100)),100000+ABS(3-$J30)*1000+110)+'計算A'!BJ$5*50+IF(AND($E30=1,KW30=0),25,0),INDEX('計算A'!BJ$110:BJ$114,$F30+1)+IF(AND($E30=1,KW30=0),1000,0)+IF($H30=1,(IF('計算A'!BI$117=1,INDEX('計算A'!BI$10:BI$54,$B30),0)+IF('計算A'!BJ$117=1,INDEX('計算A'!BK$10:BK$54,$B30),0))*500,0)-IF(AND('計算A'!BI$117=1,WG30&gt;0),300,0)-IF(AND($L30=1,'計算A'!BJ$117=1,FI30=0),300,0))),1000000))</f>
        <v/>
      </c>
      <c r="QM30">
        <f>IF($B30=0,1000000,IF(INDEX('計算A'!$D$60:$EQ$104,$B30,60)*FI30=1,IF(AND($E30=2,KX30=0),1000000,IF($I30&gt;0,IF(3=$J30,IF(OR(AND(60=$I30+1,OR($K30&lt;&gt;'計算A'!$A$3,'計算A'!$A$4=0)),AND(60=$I30-1,OR(12&lt;&gt;'計算A'!$A$3,'計算A'!$A$4=0))),0,IF(12=$K30,200000,ABS(12-$K30)*100)),100000+ABS(3-$J30)*1000+120)+'計算A'!BK$5*50+IF(AND($E30=1,KX30=0),25,0),INDEX('計算A'!BK$110:BK$114,$F30+1)+IF(AND($E30=1,KX30=0),1000,0)+IF($H30=1,(IF('計算A'!BJ$117=1,INDEX('計算A'!BJ$10:BJ$54,$B30),0)+IF('計算A'!BK$117=1,INDEX('計算A'!BL$10:BL$54,$B30),0))*500,0)-IF(AND('計算A'!BJ$117=1,WH30&gt;0),300,0)-IF(AND($L30=1,'計算A'!BK$117=1,FJ30=0),300,0))),1000000))</f>
        <v/>
      </c>
      <c r="QN30">
        <f>IF($B30=0,1000000,IF(INDEX('計算A'!$D$60:$EQ$104,$B30,61)*FJ30=1,IF(AND($E30=2,KY30=0),1000000,IF($I30&gt;0,IF(3=$J30,IF(OR(AND(61=$I30+1,OR($K30&lt;&gt;'計算A'!$A$3,'計算A'!$A$4=0)),AND(61=$I30-1,OR(13&lt;&gt;'計算A'!$A$3,'計算A'!$A$4=0))),0,IF(13=$K30,200000,ABS(13-$K30)*100)),100000+ABS(3-$J30)*1000+130)+'計算A'!BL$5*50+IF(AND($E30=1,KY30=0),25,0),INDEX('計算A'!BL$110:BL$114,$F30+1)+IF(AND($E30=1,KY30=0),1000,0)+IF($H30=1,(IF('計算A'!BK$117=1,INDEX('計算A'!BK$10:BK$54,$B30),0)+IF('計算A'!BL$117=1,INDEX('計算A'!BM$10:BM$54,$B30),0))*500,0)-IF(AND('計算A'!BK$117=1,WI30&gt;0),300,0)-IF(AND($L30=1,'計算A'!BL$117=1,FK30=0),300,0))),1000000))</f>
        <v/>
      </c>
      <c r="QO30">
        <f>IF($B30=0,1000000,IF(INDEX('計算A'!$D$60:$EQ$104,$B30,62)*FK30=1,IF(AND($E30=2,KZ30=0),1000000,IF($I30&gt;0,IF(3=$J30,IF(OR(AND(62=$I30+1,OR($K30&lt;&gt;'計算A'!$A$3,'計算A'!$A$4=0)),AND(62=$I30-1,OR(14&lt;&gt;'計算A'!$A$3,'計算A'!$A$4=0))),0,IF(14=$K30,200000,ABS(14-$K30)*100)),100000+ABS(3-$J30)*1000+140)+'計算A'!BM$5*50+IF(AND($E30=1,KZ30=0),25,0),INDEX('計算A'!BM$110:BM$114,$F30+1)+IF(AND($E30=1,KZ30=0),1000,0)+IF($H30=1,(IF('計算A'!BL$117=1,INDEX('計算A'!BL$10:BL$54,$B30),0)+IF('計算A'!BM$117=1,INDEX('計算A'!BN$10:BN$54,$B30),0))*500,0)-IF(AND('計算A'!BL$117=1,WJ30&gt;0),300,0)-IF(AND($L30=1,'計算A'!BM$117=1,FL30=0),300,0))),1000000))</f>
        <v/>
      </c>
      <c r="QP30">
        <f>IF($B30=0,1000000,IF(INDEX('計算A'!$D$60:$EQ$104,$B30,63)*FL30=1,IF(AND($E30=2,LA30=0),1000000,IF($I30&gt;0,IF(3=$J30,IF(OR(AND(63=$I30+1,OR($K30&lt;&gt;'計算A'!$A$3,'計算A'!$A$4=0)),AND(63=$I30-1,OR(15&lt;&gt;'計算A'!$A$3,'計算A'!$A$4=0))),0,IF(15=$K30,200000,ABS(15-$K30)*100)),100000+ABS(3-$J30)*1000+150)+'計算A'!BN$5*50+IF(AND($E30=1,LA30=0),25,0),INDEX('計算A'!BN$110:BN$114,$F30+1)+IF(AND($E30=1,LA30=0),1000,0)+IF($H30=1,(IF('計算A'!BM$117=1,INDEX('計算A'!BM$10:BM$54,$B30),0)+IF('計算A'!BN$117=1,INDEX('計算A'!BO$10:BO$54,$B30),0))*500,0)-IF(AND('計算A'!BM$117=1,WK30&gt;0),300,0)-IF(AND($L30=1,'計算A'!BN$117=1,FM30=0),300,0))),1000000))</f>
        <v/>
      </c>
      <c r="QQ30">
        <f>IF($B30=0,1000000,IF(INDEX('計算A'!$D$60:$EQ$104,$B30,64)*FM30=1,IF(AND($E30=2,LB30=0),1000000,IF($I30&gt;0,IF(3=$J30,IF(OR(AND(64=$I30+1,OR($K30&lt;&gt;'計算A'!$A$3,'計算A'!$A$4=0)),AND(64=$I30-1,OR(16&lt;&gt;'計算A'!$A$3,'計算A'!$A$4=0))),0,IF(16=$K30,200000,ABS(16-$K30)*100)),100000+ABS(3-$J30)*1000+160)+'計算A'!BO$5*50+IF(AND($E30=1,LB30=0),25,0),INDEX('計算A'!BO$110:BO$114,$F30+1)+IF(AND($E30=1,LB30=0),1000,0)+IF($H30=1,(IF('計算A'!BN$117=1,INDEX('計算A'!BN$10:BN$54,$B30),0)+IF('計算A'!BO$117=1,INDEX('計算A'!BP$10:BP$54,$B30),0))*500,0)-IF(AND('計算A'!BN$117=1,WL30&gt;0),300,0)-IF(AND($L30=1,'計算A'!BO$117=1,FN30=0),300,0))),1000000))</f>
        <v/>
      </c>
      <c r="QR30">
        <f>IF($B30=0,1000000,IF(INDEX('計算A'!$D$60:$EQ$104,$B30,65)*FN30=1,IF(AND($E30=2,LC30=0),1000000,IF($I30&gt;0,IF(3=$J30,IF(OR(AND(65=$I30+1,OR($K30&lt;&gt;'計算A'!$A$3,'計算A'!$A$4=0)),AND(65=$I30-1,OR(17&lt;&gt;'計算A'!$A$3,'計算A'!$A$4=0))),0,IF(17=$K30,200000,ABS(17-$K30)*100)),100000+ABS(3-$J30)*1000+170)+'計算A'!BP$5*50+IF(AND($E30=1,LC30=0),25,0),INDEX('計算A'!BP$110:BP$114,$F30+1)+IF(AND($E30=1,LC30=0),1000,0)+IF($H30=1,(IF('計算A'!BO$117=1,INDEX('計算A'!BO$10:BO$54,$B30),0)+IF('計算A'!BP$117=1,INDEX('計算A'!BQ$10:BQ$54,$B30),0))*500,0)-IF(AND('計算A'!BO$117=1,WM30&gt;0),300,0)-IF(AND($L30=1,'計算A'!BP$117=1,FO30=0),300,0))),1000000))</f>
        <v/>
      </c>
      <c r="QS30">
        <f>IF($B30=0,1000000,IF(INDEX('計算A'!$D$60:$EQ$104,$B30,66)*FO30=1,IF(AND($E30=2,LD30=0),1000000,IF($I30&gt;0,IF(3=$J30,IF(OR(AND(66=$I30+1,OR($K30&lt;&gt;'計算A'!$A$3,'計算A'!$A$4=0)),AND(66=$I30-1,OR(18&lt;&gt;'計算A'!$A$3,'計算A'!$A$4=0))),0,IF(18=$K30,200000,ABS(18-$K30)*100)),100000+ABS(3-$J30)*1000+180)+'計算A'!BQ$5*50+IF(AND($E30=1,LD30=0),25,0),INDEX('計算A'!BQ$110:BQ$114,$F30+1)+IF(AND($E30=1,LD30=0),1000,0)+IF($H30=1,(IF('計算A'!BP$117=1,INDEX('計算A'!BP$10:BP$54,$B30),0)+IF('計算A'!BQ$117=1,INDEX('計算A'!BR$10:BR$54,$B30),0))*500,0)-IF(AND('計算A'!BP$117=1,WN30&gt;0),300,0)-IF(AND($L30=1,'計算A'!BQ$117=1,FP30=0),300,0))),1000000))</f>
        <v/>
      </c>
      <c r="QT30">
        <f>IF($B30=0,1000000,IF(INDEX('計算A'!$D$60:$EQ$104,$B30,67)*FP30=1,IF(AND($E30=2,LE30=0),1000000,IF($I30&gt;0,IF(3=$J30,IF(OR(AND(67=$I30+1,OR($K30&lt;&gt;'計算A'!$A$3,'計算A'!$A$4=0)),AND(67=$I30-1,OR(19&lt;&gt;'計算A'!$A$3,'計算A'!$A$4=0))),0,IF(19=$K30,200000,ABS(19-$K30)*100)),100000+ABS(3-$J30)*1000+190)+'計算A'!BR$5*50+IF(AND($E30=1,LE30=0),25,0),INDEX('計算A'!BR$110:BR$114,$F30+1)+IF(AND($E30=1,LE30=0),1000,0)+IF($H30=1,(IF('計算A'!BQ$117=1,INDEX('計算A'!BQ$10:BQ$54,$B30),0)+IF('計算A'!BR$117=1,INDEX('計算A'!BS$10:BS$54,$B30),0))*500,0)-IF(AND('計算A'!BQ$117=1,WO30&gt;0),300,0)-IF(AND($L30=1,'計算A'!BR$117=1,FQ30=0),300,0))),1000000))</f>
        <v/>
      </c>
      <c r="QU30">
        <f>IF($B30=0,1000000,IF(INDEX('計算A'!$D$60:$EQ$104,$B30,68)*FQ30=1,IF(AND($E30=2,LF30=0),1000000,IF($I30&gt;0,IF(3=$J30,IF(OR(AND(68=$I30+1,OR($K30&lt;&gt;'計算A'!$A$3,'計算A'!$A$4=0)),AND(68=$I30-1,OR(20&lt;&gt;'計算A'!$A$3,'計算A'!$A$4=0))),0,IF(20=$K30,200000,ABS(20-$K30)*100)),100000+ABS(3-$J30)*1000+200)+'計算A'!BS$5*50+IF(AND($E30=1,LF30=0),25,0),INDEX('計算A'!BS$110:BS$114,$F30+1)+IF(AND($E30=1,LF30=0),1000,0)+IF($H30=1,(IF('計算A'!BR$117=1,INDEX('計算A'!BR$10:BR$54,$B30),0)+IF('計算A'!BS$117=1,INDEX('計算A'!BT$10:BT$54,$B30),0))*500,0)-IF(AND('計算A'!BR$117=1,WP30&gt;0),300,0)-IF(AND($L30=1,'計算A'!BS$117=1,FR30=0),300,0))),1000000))</f>
        <v/>
      </c>
      <c r="QV30">
        <f>IF($B30=0,1000000,IF(INDEX('計算A'!$D$60:$EQ$104,$B30,69)*FR30=1,IF(AND($E30=2,LG30=0),1000000,IF($I30&gt;0,IF(3=$J30,IF(OR(AND(69=$I30+1,OR($K30&lt;&gt;'計算A'!$A$3,'計算A'!$A$4=0)),AND(69=$I30-1,OR(21&lt;&gt;'計算A'!$A$3,'計算A'!$A$4=0))),0,IF(21=$K30,200000,ABS(21-$K30)*100)),100000+ABS(3-$J30)*1000+210)+'計算A'!BT$5*50+IF(AND($E30=1,LG30=0),25,0),INDEX('計算A'!BT$110:BT$114,$F30+1)+IF(AND($E30=1,LG30=0),1000,0)+IF($H30=1,(IF('計算A'!BS$117=1,INDEX('計算A'!BS$10:BS$54,$B30),0)+IF('計算A'!BT$117=1,INDEX('計算A'!BU$10:BU$54,$B30),0))*500,0)-IF(AND('計算A'!BS$117=1,WQ30&gt;0),300,0)-IF(AND($L30=1,'計算A'!BT$117=1,FS30=0),300,0))),1000000))</f>
        <v/>
      </c>
      <c r="QW30">
        <f>IF($B30=0,1000000,IF(INDEX('計算A'!$D$60:$EQ$104,$B30,70)*FS30=1,IF(AND($E30=2,LH30=0),1000000,IF($I30&gt;0,IF(3=$J30,IF(OR(AND(70=$I30+1,OR($K30&lt;&gt;'計算A'!$A$3,'計算A'!$A$4=0)),AND(70=$I30-1,OR(22&lt;&gt;'計算A'!$A$3,'計算A'!$A$4=0))),0,IF(22=$K30,200000,ABS(22-$K30)*100)),100000+ABS(3-$J30)*1000+220)+'計算A'!BU$5*50+IF(AND($E30=1,LH30=0),25,0),INDEX('計算A'!BU$110:BU$114,$F30+1)+IF(AND($E30=1,LH30=0),1000,0)+IF($H30=1,(IF('計算A'!BT$117=1,INDEX('計算A'!BT$10:BT$54,$B30),0)+IF('計算A'!BU$117=1,INDEX('計算A'!BV$10:BV$54,$B30),0))*500,0)-IF(AND('計算A'!BT$117=1,WR30&gt;0),300,0)-IF(AND($L30=1,'計算A'!BU$117=1,FT30=0),300,0))),1000000))</f>
        <v/>
      </c>
      <c r="QX30">
        <f>IF($B30=0,1000000,IF(INDEX('計算A'!$D$60:$EQ$104,$B30,71)*FT30=1,IF(AND($E30=2,LI30=0),1000000,IF($I30&gt;0,IF(3=$J30,IF(OR(AND(71=$I30+1,OR($K30&lt;&gt;'計算A'!$A$3,'計算A'!$A$4=0)),AND(71=$I30-1,OR(23&lt;&gt;'計算A'!$A$3,'計算A'!$A$4=0))),0,IF(23=$K30,200000,ABS(23-$K30)*100)),100000+ABS(3-$J30)*1000+230)+'計算A'!BV$5*50+IF(AND($E30=1,LI30=0),25,0),INDEX('計算A'!BV$110:BV$114,$F30+1)+IF(AND($E30=1,LI30=0),1000,0)+IF($H30=1,(IF('計算A'!BU$117=1,INDEX('計算A'!BU$10:BU$54,$B30),0)+IF('計算A'!BV$117=1,INDEX('計算A'!BW$10:BW$54,$B30),0))*500,0)-IF(AND('計算A'!BU$117=1,WS30&gt;0),300,0)-IF(AND($L30=1,'計算A'!BV$117=1,FU30=0),300,0))),1000000))</f>
        <v/>
      </c>
      <c r="QY30">
        <f>IF($B30=0,1000000,IF(INDEX('計算A'!$D$60:$EQ$104,$B30,72)*FU30=1,IF(AND($E30=2,LJ30=0),1000000,IF($I30&gt;0,IF(3=$J30,IF(OR(AND(72=$I30+1,OR($K30&lt;&gt;'計算A'!$A$3,'計算A'!$A$4=0)),AND(72=$I30-1,OR(24&lt;&gt;'計算A'!$A$3,'計算A'!$A$4=0))),0,IF(24=$K30,200000,ABS(24-$K30)*100)),100000+ABS(3-$J30)*1000+240)+'計算A'!BW$5*50+IF(AND($E30=1,LJ30=0),25,0),INDEX('計算A'!BW$110:BW$114,$F30+1)+IF(AND($E30=1,LJ30=0),1000,0)+IF($H30=1,(IF('計算A'!BV$117=1,INDEX('計算A'!BV$10:BV$54,$B30),0))*500,0)-IF(AND('計算A'!BV$117=1,WT30&gt;0),300,0))),1000000))</f>
        <v/>
      </c>
      <c r="QZ30">
        <f>IF($B30=0,1000000,IF(INDEX('計算A'!$D$60:$EQ$104,$B30,73)*FV30=1,IF(AND($E30=2,LK30=0),1000000,IF($I30&gt;0,IF(4=$J30,IF(OR(AND(73=$I30+1,OR($K30&lt;&gt;'計算A'!$A$3,'計算A'!$A$4=0)),AND(73=$I30-1,OR(1&lt;&gt;'計算A'!$A$3,'計算A'!$A$4=0))),0,IF(1=$K30,200000,ABS(1-$K30)*100)),100000+ABS(4-$J30)*1000+10)+'計算A'!BX$5*50+IF(AND($E30=1,LK30=0),25,0),INDEX('計算A'!BX$110:BX$114,$F30+1)+IF(AND($E30=1,LK30=0),1000,0)+IF($H30=1,(IF('計算A'!BX$117=1,INDEX('計算A'!BY$10:BY$54,$B30),0))*500,0)-IF(AND($L30=1,'計算A'!BX$117=1,FW30=0),300,0))),1000000))</f>
        <v/>
      </c>
      <c r="RA30">
        <f>IF($B30=0,1000000,IF(INDEX('計算A'!$D$60:$EQ$104,$B30,74)*FW30=1,IF(AND($E30=2,LL30=0),1000000,IF($I30&gt;0,IF(4=$J30,IF(OR(AND(74=$I30+1,OR($K30&lt;&gt;'計算A'!$A$3,'計算A'!$A$4=0)),AND(74=$I30-1,OR(2&lt;&gt;'計算A'!$A$3,'計算A'!$A$4=0))),0,IF(2=$K30,200000,ABS(2-$K30)*100)),100000+ABS(4-$J30)*1000+20)+'計算A'!BY$5*50+IF(AND($E30=1,LL30=0),25,0),INDEX('計算A'!BY$110:BY$114,$F30+1)+IF(AND($E30=1,LL30=0),1000,0)+IF($H30=1,(IF('計算A'!BX$117=1,INDEX('計算A'!BX$10:BX$54,$B30),0)+IF('計算A'!BY$117=1,INDEX('計算A'!BZ$10:BZ$54,$B30),0))*500,0)-IF(AND('計算A'!BX$117=1,WV30&gt;0),300,0)-IF(AND($L30=1,'計算A'!BY$117=1,FX30=0),300,0))),1000000))</f>
        <v/>
      </c>
      <c r="RB30">
        <f>IF($B30=0,1000000,IF(INDEX('計算A'!$D$60:$EQ$104,$B30,75)*FX30=1,IF(AND($E30=2,LM30=0),1000000,IF($I30&gt;0,IF(4=$J30,IF(OR(AND(75=$I30+1,OR($K30&lt;&gt;'計算A'!$A$3,'計算A'!$A$4=0)),AND(75=$I30-1,OR(3&lt;&gt;'計算A'!$A$3,'計算A'!$A$4=0))),0,IF(3=$K30,200000,ABS(3-$K30)*100)),100000+ABS(4-$J30)*1000+30)+'計算A'!BZ$5*50+IF(AND($E30=1,LM30=0),25,0),INDEX('計算A'!BZ$110:BZ$114,$F30+1)+IF(AND($E30=1,LM30=0),1000,0)+IF($H30=1,(IF('計算A'!BY$117=1,INDEX('計算A'!BY$10:BY$54,$B30),0)+IF('計算A'!BZ$117=1,INDEX('計算A'!CA$10:CA$54,$B30),0))*500,0)-IF(AND('計算A'!BY$117=1,WW30&gt;0),300,0)-IF(AND($L30=1,'計算A'!BZ$117=1,FY30=0),300,0))),1000000))</f>
        <v/>
      </c>
      <c r="RC30">
        <f>IF($B30=0,1000000,IF(INDEX('計算A'!$D$60:$EQ$104,$B30,76)*FY30=1,IF(AND($E30=2,LN30=0),1000000,IF($I30&gt;0,IF(4=$J30,IF(OR(AND(76=$I30+1,OR($K30&lt;&gt;'計算A'!$A$3,'計算A'!$A$4=0)),AND(76=$I30-1,OR(4&lt;&gt;'計算A'!$A$3,'計算A'!$A$4=0))),0,IF(4=$K30,200000,ABS(4-$K30)*100)),100000+ABS(4-$J30)*1000+40)+'計算A'!CA$5*50+IF(AND($E30=1,LN30=0),25,0),INDEX('計算A'!CA$110:CA$114,$F30+1)+IF(AND($E30=1,LN30=0),1000,0)+IF($H30=1,(IF('計算A'!BZ$117=1,INDEX('計算A'!BZ$10:BZ$54,$B30),0)+IF('計算A'!CA$117=1,INDEX('計算A'!CB$10:CB$54,$B30),0))*500,0)-IF(AND('計算A'!BZ$117=1,WX30&gt;0),300,0)-IF(AND($L30=1,'計算A'!CA$117=1,FZ30=0),300,0))),1000000))</f>
        <v/>
      </c>
      <c r="RD30">
        <f>IF($B30=0,1000000,IF(INDEX('計算A'!$D$60:$EQ$104,$B30,77)*FZ30=1,IF(AND($E30=2,LO30=0),1000000,IF($I30&gt;0,IF(4=$J30,IF(OR(AND(77=$I30+1,OR($K30&lt;&gt;'計算A'!$A$3,'計算A'!$A$4=0)),AND(77=$I30-1,OR(5&lt;&gt;'計算A'!$A$3,'計算A'!$A$4=0))),0,IF(5=$K30,200000,ABS(5-$K30)*100)),100000+ABS(4-$J30)*1000+50)+'計算A'!CB$5*50+IF(AND($E30=1,LO30=0),25,0),INDEX('計算A'!CB$110:CB$114,$F30+1)+IF(AND($E30=1,LO30=0),1000,0)+IF($H30=1,(IF('計算A'!CA$117=1,INDEX('計算A'!CA$10:CA$54,$B30),0)+IF('計算A'!CB$117=1,INDEX('計算A'!CC$10:CC$54,$B30),0))*500,0)-IF(AND('計算A'!CA$117=1,WY30&gt;0),300,0)-IF(AND($L30=1,'計算A'!CB$117=1,GA30=0),300,0))),1000000))</f>
        <v/>
      </c>
      <c r="RE30">
        <f>IF($B30=0,1000000,IF(INDEX('計算A'!$D$60:$EQ$104,$B30,78)*GA30=1,IF(AND($E30=2,LP30=0),1000000,IF($I30&gt;0,IF(4=$J30,IF(OR(AND(78=$I30+1,OR($K30&lt;&gt;'計算A'!$A$3,'計算A'!$A$4=0)),AND(78=$I30-1,OR(6&lt;&gt;'計算A'!$A$3,'計算A'!$A$4=0))),0,IF(6=$K30,200000,ABS(6-$K30)*100)),100000+ABS(4-$J30)*1000+60)+'計算A'!CC$5*50+IF(AND($E30=1,LP30=0),25,0),INDEX('計算A'!CC$110:CC$114,$F30+1)+IF(AND($E30=1,LP30=0),1000,0)+IF($H30=1,(IF('計算A'!CB$117=1,INDEX('計算A'!CB$10:CB$54,$B30),0)+IF('計算A'!CC$117=1,INDEX('計算A'!CD$10:CD$54,$B30),0))*500,0)-IF(AND('計算A'!CB$117=1,WZ30&gt;0),300,0)-IF(AND($L30=1,'計算A'!CC$117=1,GB30=0),300,0))),1000000))</f>
        <v/>
      </c>
      <c r="RF30">
        <f>IF($B30=0,1000000,IF(INDEX('計算A'!$D$60:$EQ$104,$B30,79)*GB30=1,IF(AND($E30=2,LQ30=0),1000000,IF($I30&gt;0,IF(4=$J30,IF(OR(AND(79=$I30+1,OR($K30&lt;&gt;'計算A'!$A$3,'計算A'!$A$4=0)),AND(79=$I30-1,OR(7&lt;&gt;'計算A'!$A$3,'計算A'!$A$4=0))),0,IF(7=$K30,200000,ABS(7-$K30)*100)),100000+ABS(4-$J30)*1000+70)+'計算A'!CD$5*50+IF(AND($E30=1,LQ30=0),25,0),INDEX('計算A'!CD$110:CD$114,$F30+1)+IF(AND($E30=1,LQ30=0),1000,0)+IF($H30=1,(IF('計算A'!CC$117=1,INDEX('計算A'!CC$10:CC$54,$B30),0)+IF('計算A'!CD$117=1,INDEX('計算A'!CE$10:CE$54,$B30),0))*500,0)-IF(AND('計算A'!CC$117=1,XA30&gt;0),300,0)-IF(AND($L30=1,'計算A'!CD$117=1,GC30=0),300,0))),1000000))</f>
        <v/>
      </c>
      <c r="RG30">
        <f>IF($B30=0,1000000,IF(INDEX('計算A'!$D$60:$EQ$104,$B30,80)*GC30=1,IF(AND($E30=2,LR30=0),1000000,IF($I30&gt;0,IF(4=$J30,IF(OR(AND(80=$I30+1,OR($K30&lt;&gt;'計算A'!$A$3,'計算A'!$A$4=0)),AND(80=$I30-1,OR(8&lt;&gt;'計算A'!$A$3,'計算A'!$A$4=0))),0,IF(8=$K30,200000,ABS(8-$K30)*100)),100000+ABS(4-$J30)*1000+80)+'計算A'!CE$5*50+IF(AND($E30=1,LR30=0),25,0),INDEX('計算A'!CE$110:CE$114,$F30+1)+IF(AND($E30=1,LR30=0),1000,0)+IF($H30=1,(IF('計算A'!CD$117=1,INDEX('計算A'!CD$10:CD$54,$B30),0)+IF('計算A'!CE$117=1,INDEX('計算A'!CF$10:CF$54,$B30),0))*500,0)-IF(AND('計算A'!CD$117=1,XB30&gt;0),300,0)-IF(AND($L30=1,'計算A'!CE$117=1,GD30=0),300,0))),1000000))</f>
        <v/>
      </c>
      <c r="RH30">
        <f>IF($B30=0,1000000,IF(INDEX('計算A'!$D$60:$EQ$104,$B30,81)*GD30=1,IF(AND($E30=2,LS30=0),1000000,IF($I30&gt;0,IF(4=$J30,IF(OR(AND(81=$I30+1,OR($K30&lt;&gt;'計算A'!$A$3,'計算A'!$A$4=0)),AND(81=$I30-1,OR(9&lt;&gt;'計算A'!$A$3,'計算A'!$A$4=0))),0,IF(9=$K30,200000,ABS(9-$K30)*100)),100000+ABS(4-$J30)*1000+90)+'計算A'!CF$5*50+IF(AND($E30=1,LS30=0),25,0),INDEX('計算A'!CF$110:CF$114,$F30+1)+IF(AND($E30=1,LS30=0),1000,0)+IF($H30=1,(IF('計算A'!CE$117=1,INDEX('計算A'!CE$10:CE$54,$B30),0)+IF('計算A'!CF$117=1,INDEX('計算A'!CG$10:CG$54,$B30),0))*500,0)-IF(AND('計算A'!CE$117=1,XC30&gt;0),300,0)-IF(AND($L30=1,'計算A'!CF$117=1,GE30=0),300,0))),1000000))</f>
        <v/>
      </c>
      <c r="RI30">
        <f>IF($B30=0,1000000,IF(INDEX('計算A'!$D$60:$EQ$104,$B30,82)*GE30=1,IF(AND($E30=2,LT30=0),1000000,IF($I30&gt;0,IF(4=$J30,IF(OR(AND(82=$I30+1,OR($K30&lt;&gt;'計算A'!$A$3,'計算A'!$A$4=0)),AND(82=$I30-1,OR(10&lt;&gt;'計算A'!$A$3,'計算A'!$A$4=0))),0,IF(10=$K30,200000,ABS(10-$K30)*100)),100000+ABS(4-$J30)*1000+100)+'計算A'!CG$5*50+IF(AND($E30=1,LT30=0),25,0),INDEX('計算A'!CG$110:CG$114,$F30+1)+IF(AND($E30=1,LT30=0),1000,0)+IF($H30=1,(IF('計算A'!CF$117=1,INDEX('計算A'!CF$10:CF$54,$B30),0)+IF('計算A'!CG$117=1,INDEX('計算A'!CH$10:CH$54,$B30),0))*500,0)-IF(AND('計算A'!CF$117=1,XD30&gt;0),300,0)-IF(AND($L30=1,'計算A'!CG$117=1,GF30=0),300,0))),1000000))</f>
        <v/>
      </c>
      <c r="RJ30">
        <f>IF($B30=0,1000000,IF(INDEX('計算A'!$D$60:$EQ$104,$B30,83)*GF30=1,IF(AND($E30=2,LU30=0),1000000,IF($I30&gt;0,IF(4=$J30,IF(OR(AND(83=$I30+1,OR($K30&lt;&gt;'計算A'!$A$3,'計算A'!$A$4=0)),AND(83=$I30-1,OR(11&lt;&gt;'計算A'!$A$3,'計算A'!$A$4=0))),0,IF(11=$K30,200000,ABS(11-$K30)*100)),100000+ABS(4-$J30)*1000+110)+'計算A'!CH$5*50+IF(AND($E30=1,LU30=0),25,0),INDEX('計算A'!CH$110:CH$114,$F30+1)+IF(AND($E30=1,LU30=0),1000,0)+IF($H30=1,(IF('計算A'!CG$117=1,INDEX('計算A'!CG$10:CG$54,$B30),0)+IF('計算A'!CH$117=1,INDEX('計算A'!CI$10:CI$54,$B30),0))*500,0)-IF(AND('計算A'!CG$117=1,XE30&gt;0),300,0)-IF(AND($L30=1,'計算A'!CH$117=1,GG30=0),300,0))),1000000))</f>
        <v/>
      </c>
      <c r="RK30">
        <f>IF($B30=0,1000000,IF(INDEX('計算A'!$D$60:$EQ$104,$B30,84)*GG30=1,IF(AND($E30=2,LV30=0),1000000,IF($I30&gt;0,IF(4=$J30,IF(OR(AND(84=$I30+1,OR($K30&lt;&gt;'計算A'!$A$3,'計算A'!$A$4=0)),AND(84=$I30-1,OR(12&lt;&gt;'計算A'!$A$3,'計算A'!$A$4=0))),0,IF(12=$K30,200000,ABS(12-$K30)*100)),100000+ABS(4-$J30)*1000+120)+'計算A'!CI$5*50+IF(AND($E30=1,LV30=0),25,0),INDEX('計算A'!CI$110:CI$114,$F30+1)+IF(AND($E30=1,LV30=0),1000,0)+IF($H30=1,(IF('計算A'!CH$117=1,INDEX('計算A'!CH$10:CH$54,$B30),0)+IF('計算A'!CI$117=1,INDEX('計算A'!CJ$10:CJ$54,$B30),0))*500,0)-IF(AND('計算A'!CH$117=1,XF30&gt;0),300,0)-IF(AND($L30=1,'計算A'!CI$117=1,GH30=0),300,0))),1000000))</f>
        <v/>
      </c>
      <c r="RL30">
        <f>IF($B30=0,1000000,IF(INDEX('計算A'!$D$60:$EQ$104,$B30,85)*GH30=1,IF(AND($E30=2,LW30=0),1000000,IF($I30&gt;0,IF(4=$J30,IF(OR(AND(85=$I30+1,OR($K30&lt;&gt;'計算A'!$A$3,'計算A'!$A$4=0)),AND(85=$I30-1,OR(13&lt;&gt;'計算A'!$A$3,'計算A'!$A$4=0))),0,IF(13=$K30,200000,ABS(13-$K30)*100)),100000+ABS(4-$J30)*1000+130)+'計算A'!CJ$5*50+IF(AND($E30=1,LW30=0),25,0),INDEX('計算A'!CJ$110:CJ$114,$F30+1)+IF(AND($E30=1,LW30=0),1000,0)+IF($H30=1,(IF('計算A'!CI$117=1,INDEX('計算A'!CI$10:CI$54,$B30),0)+IF('計算A'!CJ$117=1,INDEX('計算A'!CK$10:CK$54,$B30),0))*500,0)-IF(AND('計算A'!CI$117=1,XG30&gt;0),300,0)-IF(AND($L30=1,'計算A'!CJ$117=1,GI30=0),300,0))),1000000))</f>
        <v/>
      </c>
      <c r="RM30">
        <f>IF($B30=0,1000000,IF(INDEX('計算A'!$D$60:$EQ$104,$B30,86)*GI30=1,IF(AND($E30=2,LX30=0),1000000,IF($I30&gt;0,IF(4=$J30,IF(OR(AND(86=$I30+1,OR($K30&lt;&gt;'計算A'!$A$3,'計算A'!$A$4=0)),AND(86=$I30-1,OR(14&lt;&gt;'計算A'!$A$3,'計算A'!$A$4=0))),0,IF(14=$K30,200000,ABS(14-$K30)*100)),100000+ABS(4-$J30)*1000+140)+'計算A'!CK$5*50+IF(AND($E30=1,LX30=0),25,0),INDEX('計算A'!CK$110:CK$114,$F30+1)+IF(AND($E30=1,LX30=0),1000,0)+IF($H30=1,(IF('計算A'!CJ$117=1,INDEX('計算A'!CJ$10:CJ$54,$B30),0)+IF('計算A'!CK$117=1,INDEX('計算A'!CL$10:CL$54,$B30),0))*500,0)-IF(AND('計算A'!CJ$117=1,XH30&gt;0),300,0)-IF(AND($L30=1,'計算A'!CK$117=1,GJ30=0),300,0))),1000000))</f>
        <v/>
      </c>
      <c r="RN30">
        <f>IF($B30=0,1000000,IF(INDEX('計算A'!$D$60:$EQ$104,$B30,87)*GJ30=1,IF(AND($E30=2,LY30=0),1000000,IF($I30&gt;0,IF(4=$J30,IF(OR(AND(87=$I30+1,OR($K30&lt;&gt;'計算A'!$A$3,'計算A'!$A$4=0)),AND(87=$I30-1,OR(15&lt;&gt;'計算A'!$A$3,'計算A'!$A$4=0))),0,IF(15=$K30,200000,ABS(15-$K30)*100)),100000+ABS(4-$J30)*1000+150)+'計算A'!CL$5*50+IF(AND($E30=1,LY30=0),25,0),INDEX('計算A'!CL$110:CL$114,$F30+1)+IF(AND($E30=1,LY30=0),1000,0)+IF($H30=1,(IF('計算A'!CK$117=1,INDEX('計算A'!CK$10:CK$54,$B30),0)+IF('計算A'!CL$117=1,INDEX('計算A'!CM$10:CM$54,$B30),0))*500,0)-IF(AND('計算A'!CK$117=1,XI30&gt;0),300,0)-IF(AND($L30=1,'計算A'!CL$117=1,GK30=0),300,0))),1000000))</f>
        <v/>
      </c>
      <c r="RO30">
        <f>IF($B30=0,1000000,IF(INDEX('計算A'!$D$60:$EQ$104,$B30,88)*GK30=1,IF(AND($E30=2,LZ30=0),1000000,IF($I30&gt;0,IF(4=$J30,IF(OR(AND(88=$I30+1,OR($K30&lt;&gt;'計算A'!$A$3,'計算A'!$A$4=0)),AND(88=$I30-1,OR(16&lt;&gt;'計算A'!$A$3,'計算A'!$A$4=0))),0,IF(16=$K30,200000,ABS(16-$K30)*100)),100000+ABS(4-$J30)*1000+160)+'計算A'!CM$5*50+IF(AND($E30=1,LZ30=0),25,0),INDEX('計算A'!CM$110:CM$114,$F30+1)+IF(AND($E30=1,LZ30=0),1000,0)+IF($H30=1,(IF('計算A'!CL$117=1,INDEX('計算A'!CL$10:CL$54,$B30),0)+IF('計算A'!CM$117=1,INDEX('計算A'!CN$10:CN$54,$B30),0))*500,0)-IF(AND('計算A'!CL$117=1,XJ30&gt;0),300,0)-IF(AND($L30=1,'計算A'!CM$117=1,GL30=0),300,0))),1000000))</f>
        <v/>
      </c>
      <c r="RP30">
        <f>IF($B30=0,1000000,IF(INDEX('計算A'!$D$60:$EQ$104,$B30,89)*GL30=1,IF(AND($E30=2,MA30=0),1000000,IF($I30&gt;0,IF(4=$J30,IF(OR(AND(89=$I30+1,OR($K30&lt;&gt;'計算A'!$A$3,'計算A'!$A$4=0)),AND(89=$I30-1,OR(17&lt;&gt;'計算A'!$A$3,'計算A'!$A$4=0))),0,IF(17=$K30,200000,ABS(17-$K30)*100)),100000+ABS(4-$J30)*1000+170)+'計算A'!CN$5*50+IF(AND($E30=1,MA30=0),25,0),INDEX('計算A'!CN$110:CN$114,$F30+1)+IF(AND($E30=1,MA30=0),1000,0)+IF($H30=1,(IF('計算A'!CM$117=1,INDEX('計算A'!CM$10:CM$54,$B30),0)+IF('計算A'!CN$117=1,INDEX('計算A'!CO$10:CO$54,$B30),0))*500,0)-IF(AND('計算A'!CM$117=1,XK30&gt;0),300,0)-IF(AND($L30=1,'計算A'!CN$117=1,GM30=0),300,0))),1000000))</f>
        <v/>
      </c>
      <c r="RQ30">
        <f>IF($B30=0,1000000,IF(INDEX('計算A'!$D$60:$EQ$104,$B30,90)*GM30=1,IF(AND($E30=2,MB30=0),1000000,IF($I30&gt;0,IF(4=$J30,IF(OR(AND(90=$I30+1,OR($K30&lt;&gt;'計算A'!$A$3,'計算A'!$A$4=0)),AND(90=$I30-1,OR(18&lt;&gt;'計算A'!$A$3,'計算A'!$A$4=0))),0,IF(18=$K30,200000,ABS(18-$K30)*100)),100000+ABS(4-$J30)*1000+180)+'計算A'!CO$5*50+IF(AND($E30=1,MB30=0),25,0),INDEX('計算A'!CO$110:CO$114,$F30+1)+IF(AND($E30=1,MB30=0),1000,0)+IF($H30=1,(IF('計算A'!CN$117=1,INDEX('計算A'!CN$10:CN$54,$B30),0)+IF('計算A'!CO$117=1,INDEX('計算A'!CP$10:CP$54,$B30),0))*500,0)-IF(AND('計算A'!CN$117=1,XL30&gt;0),300,0)-IF(AND($L30=1,'計算A'!CO$117=1,GN30=0),300,0))),1000000))</f>
        <v/>
      </c>
      <c r="RR30">
        <f>IF($B30=0,1000000,IF(INDEX('計算A'!$D$60:$EQ$104,$B30,91)*GN30=1,IF(AND($E30=2,MC30=0),1000000,IF($I30&gt;0,IF(4=$J30,IF(OR(AND(91=$I30+1,OR($K30&lt;&gt;'計算A'!$A$3,'計算A'!$A$4=0)),AND(91=$I30-1,OR(19&lt;&gt;'計算A'!$A$3,'計算A'!$A$4=0))),0,IF(19=$K30,200000,ABS(19-$K30)*100)),100000+ABS(4-$J30)*1000+190)+'計算A'!CP$5*50+IF(AND($E30=1,MC30=0),25,0),INDEX('計算A'!CP$110:CP$114,$F30+1)+IF(AND($E30=1,MC30=0),1000,0)+IF($H30=1,(IF('計算A'!CO$117=1,INDEX('計算A'!CO$10:CO$54,$B30),0)+IF('計算A'!CP$117=1,INDEX('計算A'!CQ$10:CQ$54,$B30),0))*500,0)-IF(AND('計算A'!CO$117=1,XM30&gt;0),300,0)-IF(AND($L30=1,'計算A'!CP$117=1,GO30=0),300,0))),1000000))</f>
        <v/>
      </c>
      <c r="RS30">
        <f>IF($B30=0,1000000,IF(INDEX('計算A'!$D$60:$EQ$104,$B30,92)*GO30=1,IF(AND($E30=2,MD30=0),1000000,IF($I30&gt;0,IF(4=$J30,IF(OR(AND(92=$I30+1,OR($K30&lt;&gt;'計算A'!$A$3,'計算A'!$A$4=0)),AND(92=$I30-1,OR(20&lt;&gt;'計算A'!$A$3,'計算A'!$A$4=0))),0,IF(20=$K30,200000,ABS(20-$K30)*100)),100000+ABS(4-$J30)*1000+200)+'計算A'!CQ$5*50+IF(AND($E30=1,MD30=0),25,0),INDEX('計算A'!CQ$110:CQ$114,$F30+1)+IF(AND($E30=1,MD30=0),1000,0)+IF($H30=1,(IF('計算A'!CP$117=1,INDEX('計算A'!CP$10:CP$54,$B30),0)+IF('計算A'!CQ$117=1,INDEX('計算A'!CR$10:CR$54,$B30),0))*500,0)-IF(AND('計算A'!CP$117=1,XN30&gt;0),300,0)-IF(AND($L30=1,'計算A'!CQ$117=1,GP30=0),300,0))),1000000))</f>
        <v/>
      </c>
      <c r="RT30">
        <f>IF($B30=0,1000000,IF(INDEX('計算A'!$D$60:$EQ$104,$B30,93)*GP30=1,IF(AND($E30=2,ME30=0),1000000,IF($I30&gt;0,IF(4=$J30,IF(OR(AND(93=$I30+1,OR($K30&lt;&gt;'計算A'!$A$3,'計算A'!$A$4=0)),AND(93=$I30-1,OR(21&lt;&gt;'計算A'!$A$3,'計算A'!$A$4=0))),0,IF(21=$K30,200000,ABS(21-$K30)*100)),100000+ABS(4-$J30)*1000+210)+'計算A'!CR$5*50+IF(AND($E30=1,ME30=0),25,0),INDEX('計算A'!CR$110:CR$114,$F30+1)+IF(AND($E30=1,ME30=0),1000,0)+IF($H30=1,(IF('計算A'!CQ$117=1,INDEX('計算A'!CQ$10:CQ$54,$B30),0)+IF('計算A'!CR$117=1,INDEX('計算A'!CS$10:CS$54,$B30),0))*500,0)-IF(AND('計算A'!CQ$117=1,XO30&gt;0),300,0)-IF(AND($L30=1,'計算A'!CR$117=1,GQ30=0),300,0))),1000000))</f>
        <v/>
      </c>
      <c r="RU30">
        <f>IF($B30=0,1000000,IF(INDEX('計算A'!$D$60:$EQ$104,$B30,94)*GQ30=1,IF(AND($E30=2,MF30=0),1000000,IF($I30&gt;0,IF(4=$J30,IF(OR(AND(94=$I30+1,OR($K30&lt;&gt;'計算A'!$A$3,'計算A'!$A$4=0)),AND(94=$I30-1,OR(22&lt;&gt;'計算A'!$A$3,'計算A'!$A$4=0))),0,IF(22=$K30,200000,ABS(22-$K30)*100)),100000+ABS(4-$J30)*1000+220)+'計算A'!CS$5*50+IF(AND($E30=1,MF30=0),25,0),INDEX('計算A'!CS$110:CS$114,$F30+1)+IF(AND($E30=1,MF30=0),1000,0)+IF($H30=1,(IF('計算A'!CR$117=1,INDEX('計算A'!CR$10:CR$54,$B30),0)+IF('計算A'!CS$117=1,INDEX('計算A'!CT$10:CT$54,$B30),0))*500,0)-IF(AND('計算A'!CR$117=1,XP30&gt;0),300,0)-IF(AND($L30=1,'計算A'!CS$117=1,GR30=0),300,0))),1000000))</f>
        <v/>
      </c>
      <c r="RV30">
        <f>IF($B30=0,1000000,IF(INDEX('計算A'!$D$60:$EQ$104,$B30,95)*GR30=1,IF(AND($E30=2,MG30=0),1000000,IF($I30&gt;0,IF(4=$J30,IF(OR(AND(95=$I30+1,OR($K30&lt;&gt;'計算A'!$A$3,'計算A'!$A$4=0)),AND(95=$I30-1,OR(23&lt;&gt;'計算A'!$A$3,'計算A'!$A$4=0))),0,IF(23=$K30,200000,ABS(23-$K30)*100)),100000+ABS(4-$J30)*1000+230)+'計算A'!CT$5*50+IF(AND($E30=1,MG30=0),25,0),INDEX('計算A'!CT$110:CT$114,$F30+1)+IF(AND($E30=1,MG30=0),1000,0)+IF($H30=1,(IF('計算A'!CS$117=1,INDEX('計算A'!CS$10:CS$54,$B30),0)+IF('計算A'!CT$117=1,INDEX('計算A'!CU$10:CU$54,$B30),0))*500,0)-IF(AND('計算A'!CS$117=1,XQ30&gt;0),300,0)-IF(AND($L30=1,'計算A'!CT$117=1,GS30=0),300,0))),1000000))</f>
        <v/>
      </c>
      <c r="RW30">
        <f>IF($B30=0,1000000,IF(INDEX('計算A'!$D$60:$EQ$104,$B30,96)*GS30=1,IF(AND($E30=2,MH30=0),1000000,IF($I30&gt;0,IF(4=$J30,IF(OR(AND(96=$I30+1,OR($K30&lt;&gt;'計算A'!$A$3,'計算A'!$A$4=0)),AND(96=$I30-1,OR(24&lt;&gt;'計算A'!$A$3,'計算A'!$A$4=0))),0,IF(24=$K30,200000,ABS(24-$K30)*100)),100000+ABS(4-$J30)*1000+240)+'計算A'!CU$5*50+IF(AND($E30=1,MH30=0),25,0),INDEX('計算A'!CU$110:CU$114,$F30+1)+IF(AND($E30=1,MH30=0),1000,0)+IF($H30=1,(IF('計算A'!CT$117=1,INDEX('計算A'!CT$10:CT$54,$B30),0))*500,0)-IF(AND('計算A'!CT$117=1,XR30&gt;0),300,0))),1000000))</f>
        <v/>
      </c>
      <c r="RX30">
        <f>IF($B30=0,1000000,IF(INDEX('計算A'!$D$60:$EQ$104,$B30,97)*GT30=1,IF(AND($E30=2,MI30=0),1000000,IF($I30&gt;0,IF(5=$J30,IF(OR(AND(97=$I30+1,OR($K30&lt;&gt;'計算A'!$A$3,'計算A'!$A$4=0)),AND(97=$I30-1,OR(1&lt;&gt;'計算A'!$A$3,'計算A'!$A$4=0))),0,IF(1=$K30,200000,ABS(1-$K30)*100)),100000+ABS(5-$J30)*1000+10)+'計算A'!CV$5*50+IF(AND($E30=1,MI30=0),25,0),INDEX('計算A'!CV$110:CV$114,$F30+1)+IF(AND($E30=1,MI30=0),1000,0)+IF($H30=1,(IF('計算A'!CV$117=1,INDEX('計算A'!CW$10:CW$54,$B30),0))*500,0)-IF(AND($L30=1,'計算A'!CV$117=1,GU30=0),300,0))),1000000))</f>
        <v/>
      </c>
      <c r="RY30">
        <f>IF($B30=0,1000000,IF(INDEX('計算A'!$D$60:$EQ$104,$B30,98)*GU30=1,IF(AND($E30=2,MJ30=0),1000000,IF($I30&gt;0,IF(5=$J30,IF(OR(AND(98=$I30+1,OR($K30&lt;&gt;'計算A'!$A$3,'計算A'!$A$4=0)),AND(98=$I30-1,OR(2&lt;&gt;'計算A'!$A$3,'計算A'!$A$4=0))),0,IF(2=$K30,200000,ABS(2-$K30)*100)),100000+ABS(5-$J30)*1000+20)+'計算A'!CW$5*50+IF(AND($E30=1,MJ30=0),25,0),INDEX('計算A'!CW$110:CW$114,$F30+1)+IF(AND($E30=1,MJ30=0),1000,0)+IF($H30=1,(IF('計算A'!CV$117=1,INDEX('計算A'!CV$10:CV$54,$B30),0)+IF('計算A'!CW$117=1,INDEX('計算A'!CX$10:CX$54,$B30),0))*500,0)-IF(AND('計算A'!CV$117=1,XT30&gt;0),300,0)-IF(AND($L30=1,'計算A'!CW$117=1,GV30=0),300,0))),1000000))</f>
        <v/>
      </c>
      <c r="RZ30">
        <f>IF($B30=0,1000000,IF(INDEX('計算A'!$D$60:$EQ$104,$B30,99)*GV30=1,IF(AND($E30=2,MK30=0),1000000,IF($I30&gt;0,IF(5=$J30,IF(OR(AND(99=$I30+1,OR($K30&lt;&gt;'計算A'!$A$3,'計算A'!$A$4=0)),AND(99=$I30-1,OR(3&lt;&gt;'計算A'!$A$3,'計算A'!$A$4=0))),0,IF(3=$K30,200000,ABS(3-$K30)*100)),100000+ABS(5-$J30)*1000+30)+'計算A'!CX$5*50+IF(AND($E30=1,MK30=0),25,0),INDEX('計算A'!CX$110:CX$114,$F30+1)+IF(AND($E30=1,MK30=0),1000,0)+IF($H30=1,(IF('計算A'!CW$117=1,INDEX('計算A'!CW$10:CW$54,$B30),0)+IF('計算A'!CX$117=1,INDEX('計算A'!CY$10:CY$54,$B30),0))*500,0)-IF(AND('計算A'!CW$117=1,XU30&gt;0),300,0)-IF(AND($L30=1,'計算A'!CX$117=1,GW30=0),300,0))),1000000))</f>
        <v/>
      </c>
      <c r="SA30">
        <f>IF($B30=0,1000000,IF(INDEX('計算A'!$D$60:$EQ$104,$B30,100)*GW30=1,IF(AND($E30=2,ML30=0),1000000,IF($I30&gt;0,IF(5=$J30,IF(OR(AND(100=$I30+1,OR($K30&lt;&gt;'計算A'!$A$3,'計算A'!$A$4=0)),AND(100=$I30-1,OR(4&lt;&gt;'計算A'!$A$3,'計算A'!$A$4=0))),0,IF(4=$K30,200000,ABS(4-$K30)*100)),100000+ABS(5-$J30)*1000+40)+'計算A'!CY$5*50+IF(AND($E30=1,ML30=0),25,0),INDEX('計算A'!CY$110:CY$114,$F30+1)+IF(AND($E30=1,ML30=0),1000,0)+IF($H30=1,(IF('計算A'!CX$117=1,INDEX('計算A'!CX$10:CX$54,$B30),0)+IF('計算A'!CY$117=1,INDEX('計算A'!CZ$10:CZ$54,$B30),0))*500,0)-IF(AND('計算A'!CX$117=1,XV30&gt;0),300,0)-IF(AND($L30=1,'計算A'!CY$117=1,GX30=0),300,0))),1000000))</f>
        <v/>
      </c>
      <c r="SB30">
        <f>IF($B30=0,1000000,IF(INDEX('計算A'!$D$60:$EQ$104,$B30,101)*GX30=1,IF(AND($E30=2,MM30=0),1000000,IF($I30&gt;0,IF(5=$J30,IF(OR(AND(101=$I30+1,OR($K30&lt;&gt;'計算A'!$A$3,'計算A'!$A$4=0)),AND(101=$I30-1,OR(5&lt;&gt;'計算A'!$A$3,'計算A'!$A$4=0))),0,IF(5=$K30,200000,ABS(5-$K30)*100)),100000+ABS(5-$J30)*1000+50)+'計算A'!CZ$5*50+IF(AND($E30=1,MM30=0),25,0),INDEX('計算A'!CZ$110:CZ$114,$F30+1)+IF(AND($E30=1,MM30=0),1000,0)+IF($H30=1,(IF('計算A'!CY$117=1,INDEX('計算A'!CY$10:CY$54,$B30),0)+IF('計算A'!CZ$117=1,INDEX('計算A'!DA$10:DA$54,$B30),0))*500,0)-IF(AND('計算A'!CY$117=1,XW30&gt;0),300,0)-IF(AND($L30=1,'計算A'!CZ$117=1,GY30=0),300,0))),1000000))</f>
        <v/>
      </c>
      <c r="SC30">
        <f>IF($B30=0,1000000,IF(INDEX('計算A'!$D$60:$EQ$104,$B30,102)*GY30=1,IF(AND($E30=2,MN30=0),1000000,IF($I30&gt;0,IF(5=$J30,IF(OR(AND(102=$I30+1,OR($K30&lt;&gt;'計算A'!$A$3,'計算A'!$A$4=0)),AND(102=$I30-1,OR(6&lt;&gt;'計算A'!$A$3,'計算A'!$A$4=0))),0,IF(6=$K30,200000,ABS(6-$K30)*100)),100000+ABS(5-$J30)*1000+60)+'計算A'!DA$5*50+IF(AND($E30=1,MN30=0),25,0),INDEX('計算A'!DA$110:DA$114,$F30+1)+IF(AND($E30=1,MN30=0),1000,0)+IF($H30=1,(IF('計算A'!CZ$117=1,INDEX('計算A'!CZ$10:CZ$54,$B30),0)+IF('計算A'!DA$117=1,INDEX('計算A'!DB$10:DB$54,$B30),0))*500,0)-IF(AND('計算A'!CZ$117=1,XX30&gt;0),300,0)-IF(AND($L30=1,'計算A'!DA$117=1,GZ30=0),300,0))),1000000))</f>
        <v/>
      </c>
      <c r="SD30">
        <f>IF($B30=0,1000000,IF(INDEX('計算A'!$D$60:$EQ$104,$B30,103)*GZ30=1,IF(AND($E30=2,MO30=0),1000000,IF($I30&gt;0,IF(5=$J30,IF(OR(AND(103=$I30+1,OR($K30&lt;&gt;'計算A'!$A$3,'計算A'!$A$4=0)),AND(103=$I30-1,OR(7&lt;&gt;'計算A'!$A$3,'計算A'!$A$4=0))),0,IF(7=$K30,200000,ABS(7-$K30)*100)),100000+ABS(5-$J30)*1000+70)+'計算A'!DB$5*50+IF(AND($E30=1,MO30=0),25,0),INDEX('計算A'!DB$110:DB$114,$F30+1)+IF(AND($E30=1,MO30=0),1000,0)+IF($H30=1,(IF('計算A'!DA$117=1,INDEX('計算A'!DA$10:DA$54,$B30),0)+IF('計算A'!DB$117=1,INDEX('計算A'!DC$10:DC$54,$B30),0))*500,0)-IF(AND('計算A'!DA$117=1,XY30&gt;0),300,0)-IF(AND($L30=1,'計算A'!DB$117=1,HA30=0),300,0))),1000000))</f>
        <v/>
      </c>
      <c r="SE30">
        <f>IF($B30=0,1000000,IF(INDEX('計算A'!$D$60:$EQ$104,$B30,104)*HA30=1,IF(AND($E30=2,MP30=0),1000000,IF($I30&gt;0,IF(5=$J30,IF(OR(AND(104=$I30+1,OR($K30&lt;&gt;'計算A'!$A$3,'計算A'!$A$4=0)),AND(104=$I30-1,OR(8&lt;&gt;'計算A'!$A$3,'計算A'!$A$4=0))),0,IF(8=$K30,200000,ABS(8-$K30)*100)),100000+ABS(5-$J30)*1000+80)+'計算A'!DC$5*50+IF(AND($E30=1,MP30=0),25,0),INDEX('計算A'!DC$110:DC$114,$F30+1)+IF(AND($E30=1,MP30=0),1000,0)+IF($H30=1,(IF('計算A'!DB$117=1,INDEX('計算A'!DB$10:DB$54,$B30),0)+IF('計算A'!DC$117=1,INDEX('計算A'!DD$10:DD$54,$B30),0))*500,0)-IF(AND('計算A'!DB$117=1,XZ30&gt;0),300,0)-IF(AND($L30=1,'計算A'!DC$117=1,HB30=0),300,0))),1000000))</f>
        <v/>
      </c>
      <c r="SF30">
        <f>IF($B30=0,1000000,IF(INDEX('計算A'!$D$60:$EQ$104,$B30,105)*HB30=1,IF(AND($E30=2,MQ30=0),1000000,IF($I30&gt;0,IF(5=$J30,IF(OR(AND(105=$I30+1,OR($K30&lt;&gt;'計算A'!$A$3,'計算A'!$A$4=0)),AND(105=$I30-1,OR(9&lt;&gt;'計算A'!$A$3,'計算A'!$A$4=0))),0,IF(9=$K30,200000,ABS(9-$K30)*100)),100000+ABS(5-$J30)*1000+90)+'計算A'!DD$5*50+IF(AND($E30=1,MQ30=0),25,0),INDEX('計算A'!DD$110:DD$114,$F30+1)+IF(AND($E30=1,MQ30=0),1000,0)+IF($H30=1,(IF('計算A'!DC$117=1,INDEX('計算A'!DC$10:DC$54,$B30),0)+IF('計算A'!DD$117=1,INDEX('計算A'!DE$10:DE$54,$B30),0))*500,0)-IF(AND('計算A'!DC$117=1,YA30&gt;0),300,0)-IF(AND($L30=1,'計算A'!DD$117=1,HC30=0),300,0))),1000000))</f>
        <v/>
      </c>
      <c r="SG30">
        <f>IF($B30=0,1000000,IF(INDEX('計算A'!$D$60:$EQ$104,$B30,106)*HC30=1,IF(AND($E30=2,MR30=0),1000000,IF($I30&gt;0,IF(5=$J30,IF(OR(AND(106=$I30+1,OR($K30&lt;&gt;'計算A'!$A$3,'計算A'!$A$4=0)),AND(106=$I30-1,OR(10&lt;&gt;'計算A'!$A$3,'計算A'!$A$4=0))),0,IF(10=$K30,200000,ABS(10-$K30)*100)),100000+ABS(5-$J30)*1000+100)+'計算A'!DE$5*50+IF(AND($E30=1,MR30=0),25,0),INDEX('計算A'!DE$110:DE$114,$F30+1)+IF(AND($E30=1,MR30=0),1000,0)+IF($H30=1,(IF('計算A'!DD$117=1,INDEX('計算A'!DD$10:DD$54,$B30),0)+IF('計算A'!DE$117=1,INDEX('計算A'!DF$10:DF$54,$B30),0))*500,0)-IF(AND('計算A'!DD$117=1,YB30&gt;0),300,0)-IF(AND($L30=1,'計算A'!DE$117=1,HD30=0),300,0))),1000000))</f>
        <v/>
      </c>
      <c r="SH30">
        <f>IF($B30=0,1000000,IF(INDEX('計算A'!$D$60:$EQ$104,$B30,107)*HD30=1,IF(AND($E30=2,MS30=0),1000000,IF($I30&gt;0,IF(5=$J30,IF(OR(AND(107=$I30+1,OR($K30&lt;&gt;'計算A'!$A$3,'計算A'!$A$4=0)),AND(107=$I30-1,OR(11&lt;&gt;'計算A'!$A$3,'計算A'!$A$4=0))),0,IF(11=$K30,200000,ABS(11-$K30)*100)),100000+ABS(5-$J30)*1000+110)+'計算A'!DF$5*50+IF(AND($E30=1,MS30=0),25,0),INDEX('計算A'!DF$110:DF$114,$F30+1)+IF(AND($E30=1,MS30=0),1000,0)+IF($H30=1,(IF('計算A'!DE$117=1,INDEX('計算A'!DE$10:DE$54,$B30),0)+IF('計算A'!DF$117=1,INDEX('計算A'!DG$10:DG$54,$B30),0))*500,0)-IF(AND('計算A'!DE$117=1,YC30&gt;0),300,0)-IF(AND($L30=1,'計算A'!DF$117=1,HE30=0),300,0))),1000000))</f>
        <v/>
      </c>
      <c r="SI30">
        <f>IF($B30=0,1000000,IF(INDEX('計算A'!$D$60:$EQ$104,$B30,108)*HE30=1,IF(AND($E30=2,MT30=0),1000000,IF($I30&gt;0,IF(5=$J30,IF(OR(AND(108=$I30+1,OR($K30&lt;&gt;'計算A'!$A$3,'計算A'!$A$4=0)),AND(108=$I30-1,OR(12&lt;&gt;'計算A'!$A$3,'計算A'!$A$4=0))),0,IF(12=$K30,200000,ABS(12-$K30)*100)),100000+ABS(5-$J30)*1000+120)+'計算A'!DG$5*50+IF(AND($E30=1,MT30=0),25,0),INDEX('計算A'!DG$110:DG$114,$F30+1)+IF(AND($E30=1,MT30=0),1000,0)+IF($H30=1,(IF('計算A'!DF$117=1,INDEX('計算A'!DF$10:DF$54,$B30),0)+IF('計算A'!DG$117=1,INDEX('計算A'!DH$10:DH$54,$B30),0))*500,0)-IF(AND('計算A'!DF$117=1,YD30&gt;0),300,0)-IF(AND($L30=1,'計算A'!DG$117=1,HF30=0),300,0))),1000000))</f>
        <v/>
      </c>
      <c r="SJ30">
        <f>IF($B30=0,1000000,IF(INDEX('計算A'!$D$60:$EQ$104,$B30,109)*HF30=1,IF(AND($E30=2,MU30=0),1000000,IF($I30&gt;0,IF(5=$J30,IF(OR(AND(109=$I30+1,OR($K30&lt;&gt;'計算A'!$A$3,'計算A'!$A$4=0)),AND(109=$I30-1,OR(13&lt;&gt;'計算A'!$A$3,'計算A'!$A$4=0))),0,IF(13=$K30,200000,ABS(13-$K30)*100)),100000+ABS(5-$J30)*1000+130)+'計算A'!DH$5*50+IF(AND($E30=1,MU30=0),25,0),INDEX('計算A'!DH$110:DH$114,$F30+1)+IF(AND($E30=1,MU30=0),1000,0)+IF($H30=1,(IF('計算A'!DG$117=1,INDEX('計算A'!DG$10:DG$54,$B30),0)+IF('計算A'!DH$117=1,INDEX('計算A'!DI$10:DI$54,$B30),0))*500,0)-IF(AND('計算A'!DG$117=1,YE30&gt;0),300,0)-IF(AND($L30=1,'計算A'!DH$117=1,HG30=0),300,0))),1000000))</f>
        <v/>
      </c>
      <c r="SK30">
        <f>IF($B30=0,1000000,IF(INDEX('計算A'!$D$60:$EQ$104,$B30,110)*HG30=1,IF(AND($E30=2,MV30=0),1000000,IF($I30&gt;0,IF(5=$J30,IF(OR(AND(110=$I30+1,OR($K30&lt;&gt;'計算A'!$A$3,'計算A'!$A$4=0)),AND(110=$I30-1,OR(14&lt;&gt;'計算A'!$A$3,'計算A'!$A$4=0))),0,IF(14=$K30,200000,ABS(14-$K30)*100)),100000+ABS(5-$J30)*1000+140)+'計算A'!DI$5*50+IF(AND($E30=1,MV30=0),25,0),INDEX('計算A'!DI$110:DI$114,$F30+1)+IF(AND($E30=1,MV30=0),1000,0)+IF($H30=1,(IF('計算A'!DH$117=1,INDEX('計算A'!DH$10:DH$54,$B30),0)+IF('計算A'!DI$117=1,INDEX('計算A'!DJ$10:DJ$54,$B30),0))*500,0)-IF(AND('計算A'!DH$117=1,YF30&gt;0),300,0)-IF(AND($L30=1,'計算A'!DI$117=1,HH30=0),300,0))),1000000))</f>
        <v/>
      </c>
      <c r="SL30">
        <f>IF($B30=0,1000000,IF(INDEX('計算A'!$D$60:$EQ$104,$B30,111)*HH30=1,IF(AND($E30=2,MW30=0),1000000,IF($I30&gt;0,IF(5=$J30,IF(OR(AND(111=$I30+1,OR($K30&lt;&gt;'計算A'!$A$3,'計算A'!$A$4=0)),AND(111=$I30-1,OR(15&lt;&gt;'計算A'!$A$3,'計算A'!$A$4=0))),0,IF(15=$K30,200000,ABS(15-$K30)*100)),100000+ABS(5-$J30)*1000+150)+'計算A'!DJ$5*50+IF(AND($E30=1,MW30=0),25,0),INDEX('計算A'!DJ$110:DJ$114,$F30+1)+IF(AND($E30=1,MW30=0),1000,0)+IF($H30=1,(IF('計算A'!DI$117=1,INDEX('計算A'!DI$10:DI$54,$B30),0)+IF('計算A'!DJ$117=1,INDEX('計算A'!DK$10:DK$54,$B30),0))*500,0)-IF(AND('計算A'!DI$117=1,YG30&gt;0),300,0)-IF(AND($L30=1,'計算A'!DJ$117=1,HI30=0),300,0))),1000000))</f>
        <v/>
      </c>
      <c r="SM30">
        <f>IF($B30=0,1000000,IF(INDEX('計算A'!$D$60:$EQ$104,$B30,112)*HI30=1,IF(AND($E30=2,MX30=0),1000000,IF($I30&gt;0,IF(5=$J30,IF(OR(AND(112=$I30+1,OR($K30&lt;&gt;'計算A'!$A$3,'計算A'!$A$4=0)),AND(112=$I30-1,OR(16&lt;&gt;'計算A'!$A$3,'計算A'!$A$4=0))),0,IF(16=$K30,200000,ABS(16-$K30)*100)),100000+ABS(5-$J30)*1000+160)+'計算A'!DK$5*50+IF(AND($E30=1,MX30=0),25,0),INDEX('計算A'!DK$110:DK$114,$F30+1)+IF(AND($E30=1,MX30=0),1000,0)+IF($H30=1,(IF('計算A'!DJ$117=1,INDEX('計算A'!DJ$10:DJ$54,$B30),0)+IF('計算A'!DK$117=1,INDEX('計算A'!DL$10:DL$54,$B30),0))*500,0)-IF(AND('計算A'!DJ$117=1,YH30&gt;0),300,0)-IF(AND($L30=1,'計算A'!DK$117=1,HJ30=0),300,0))),1000000))</f>
        <v/>
      </c>
      <c r="SN30">
        <f>IF($B30=0,1000000,IF(INDEX('計算A'!$D$60:$EQ$104,$B30,113)*HJ30=1,IF(AND($E30=2,MY30=0),1000000,IF($I30&gt;0,IF(5=$J30,IF(OR(AND(113=$I30+1,OR($K30&lt;&gt;'計算A'!$A$3,'計算A'!$A$4=0)),AND(113=$I30-1,OR(17&lt;&gt;'計算A'!$A$3,'計算A'!$A$4=0))),0,IF(17=$K30,200000,ABS(17-$K30)*100)),100000+ABS(5-$J30)*1000+170)+'計算A'!DL$5*50+IF(AND($E30=1,MY30=0),25,0),INDEX('計算A'!DL$110:DL$114,$F30+1)+IF(AND($E30=1,MY30=0),1000,0)+IF($H30=1,(IF('計算A'!DK$117=1,INDEX('計算A'!DK$10:DK$54,$B30),0)+IF('計算A'!DL$117=1,INDEX('計算A'!DM$10:DM$54,$B30),0))*500,0)-IF(AND('計算A'!DK$117=1,YI30&gt;0),300,0)-IF(AND($L30=1,'計算A'!DL$117=1,HK30=0),300,0))),1000000))</f>
        <v/>
      </c>
      <c r="SO30">
        <f>IF($B30=0,1000000,IF(INDEX('計算A'!$D$60:$EQ$104,$B30,114)*HK30=1,IF(AND($E30=2,MZ30=0),1000000,IF($I30&gt;0,IF(5=$J30,IF(OR(AND(114=$I30+1,OR($K30&lt;&gt;'計算A'!$A$3,'計算A'!$A$4=0)),AND(114=$I30-1,OR(18&lt;&gt;'計算A'!$A$3,'計算A'!$A$4=0))),0,IF(18=$K30,200000,ABS(18-$K30)*100)),100000+ABS(5-$J30)*1000+180)+'計算A'!DM$5*50+IF(AND($E30=1,MZ30=0),25,0),INDEX('計算A'!DM$110:DM$114,$F30+1)+IF(AND($E30=1,MZ30=0),1000,0)+IF($H30=1,(IF('計算A'!DL$117=1,INDEX('計算A'!DL$10:DL$54,$B30),0)+IF('計算A'!DM$117=1,INDEX('計算A'!DN$10:DN$54,$B30),0))*500,0)-IF(AND('計算A'!DL$117=1,YJ30&gt;0),300,0)-IF(AND($L30=1,'計算A'!DM$117=1,HL30=0),300,0))),1000000))</f>
        <v/>
      </c>
      <c r="SP30">
        <f>IF($B30=0,1000000,IF(INDEX('計算A'!$D$60:$EQ$104,$B30,115)*HL30=1,IF(AND($E30=2,NA30=0),1000000,IF($I30&gt;0,IF(5=$J30,IF(OR(AND(115=$I30+1,OR($K30&lt;&gt;'計算A'!$A$3,'計算A'!$A$4=0)),AND(115=$I30-1,OR(19&lt;&gt;'計算A'!$A$3,'計算A'!$A$4=0))),0,IF(19=$K30,200000,ABS(19-$K30)*100)),100000+ABS(5-$J30)*1000+190)+'計算A'!DN$5*50+IF(AND($E30=1,NA30=0),25,0),INDEX('計算A'!DN$110:DN$114,$F30+1)+IF(AND($E30=1,NA30=0),1000,0)+IF($H30=1,(IF('計算A'!DM$117=1,INDEX('計算A'!DM$10:DM$54,$B30),0)+IF('計算A'!DN$117=1,INDEX('計算A'!DO$10:DO$54,$B30),0))*500,0)-IF(AND('計算A'!DM$117=1,YK30&gt;0),300,0)-IF(AND($L30=1,'計算A'!DN$117=1,HM30=0),300,0))),1000000))</f>
        <v/>
      </c>
      <c r="SQ30">
        <f>IF($B30=0,1000000,IF(INDEX('計算A'!$D$60:$EQ$104,$B30,116)*HM30=1,IF(AND($E30=2,NB30=0),1000000,IF($I30&gt;0,IF(5=$J30,IF(OR(AND(116=$I30+1,OR($K30&lt;&gt;'計算A'!$A$3,'計算A'!$A$4=0)),AND(116=$I30-1,OR(20&lt;&gt;'計算A'!$A$3,'計算A'!$A$4=0))),0,IF(20=$K30,200000,ABS(20-$K30)*100)),100000+ABS(5-$J30)*1000+200)+'計算A'!DO$5*50+IF(AND($E30=1,NB30=0),25,0),INDEX('計算A'!DO$110:DO$114,$F30+1)+IF(AND($E30=1,NB30=0),1000,0)+IF($H30=1,(IF('計算A'!DN$117=1,INDEX('計算A'!DN$10:DN$54,$B30),0)+IF('計算A'!DO$117=1,INDEX('計算A'!DP$10:DP$54,$B30),0))*500,0)-IF(AND('計算A'!DN$117=1,YL30&gt;0),300,0)-IF(AND($L30=1,'計算A'!DO$117=1,HN30=0),300,0))),1000000))</f>
        <v/>
      </c>
      <c r="SR30">
        <f>IF($B30=0,1000000,IF(INDEX('計算A'!$D$60:$EQ$104,$B30,117)*HN30=1,IF(AND($E30=2,NC30=0),1000000,IF($I30&gt;0,IF(5=$J30,IF(OR(AND(117=$I30+1,OR($K30&lt;&gt;'計算A'!$A$3,'計算A'!$A$4=0)),AND(117=$I30-1,OR(21&lt;&gt;'計算A'!$A$3,'計算A'!$A$4=0))),0,IF(21=$K30,200000,ABS(21-$K30)*100)),100000+ABS(5-$J30)*1000+210)+'計算A'!DP$5*50+IF(AND($E30=1,NC30=0),25,0),INDEX('計算A'!DP$110:DP$114,$F30+1)+IF(AND($E30=1,NC30=0),1000,0)+IF($H30=1,(IF('計算A'!DO$117=1,INDEX('計算A'!DO$10:DO$54,$B30),0)+IF('計算A'!DP$117=1,INDEX('計算A'!DQ$10:DQ$54,$B30),0))*500,0)-IF(AND('計算A'!DO$117=1,YM30&gt;0),300,0)-IF(AND($L30=1,'計算A'!DP$117=1,HO30=0),300,0))),1000000))</f>
        <v/>
      </c>
      <c r="SS30">
        <f>IF($B30=0,1000000,IF(INDEX('計算A'!$D$60:$EQ$104,$B30,118)*HO30=1,IF(AND($E30=2,ND30=0),1000000,IF($I30&gt;0,IF(5=$J30,IF(OR(AND(118=$I30+1,OR($K30&lt;&gt;'計算A'!$A$3,'計算A'!$A$4=0)),AND(118=$I30-1,OR(22&lt;&gt;'計算A'!$A$3,'計算A'!$A$4=0))),0,IF(22=$K30,200000,ABS(22-$K30)*100)),100000+ABS(5-$J30)*1000+220)+'計算A'!DQ$5*50+IF(AND($E30=1,ND30=0),25,0),INDEX('計算A'!DQ$110:DQ$114,$F30+1)+IF(AND($E30=1,ND30=0),1000,0)+IF($H30=1,(IF('計算A'!DP$117=1,INDEX('計算A'!DP$10:DP$54,$B30),0)+IF('計算A'!DQ$117=1,INDEX('計算A'!DR$10:DR$54,$B30),0))*500,0)-IF(AND('計算A'!DP$117=1,YN30&gt;0),300,0)-IF(AND($L30=1,'計算A'!DQ$117=1,HP30=0),300,0))),1000000))</f>
        <v/>
      </c>
      <c r="ST30">
        <f>IF($B30=0,1000000,IF(INDEX('計算A'!$D$60:$EQ$104,$B30,119)*HP30=1,IF(AND($E30=2,NE30=0),1000000,IF($I30&gt;0,IF(5=$J30,IF(OR(AND(119=$I30+1,OR($K30&lt;&gt;'計算A'!$A$3,'計算A'!$A$4=0)),AND(119=$I30-1,OR(23&lt;&gt;'計算A'!$A$3,'計算A'!$A$4=0))),0,IF(23=$K30,200000,ABS(23-$K30)*100)),100000+ABS(5-$J30)*1000+230)+'計算A'!DR$5*50+IF(AND($E30=1,NE30=0),25,0),INDEX('計算A'!DR$110:DR$114,$F30+1)+IF(AND($E30=1,NE30=0),1000,0)+IF($H30=1,(IF('計算A'!DQ$117=1,INDEX('計算A'!DQ$10:DQ$54,$B30),0)+IF('計算A'!DR$117=1,INDEX('計算A'!DS$10:DS$54,$B30),0))*500,0)-IF(AND('計算A'!DQ$117=1,YO30&gt;0),300,0)-IF(AND($L30=1,'計算A'!DR$117=1,HQ30=0),300,0))),1000000))</f>
        <v/>
      </c>
      <c r="SU30">
        <f>IF($B30=0,1000000,IF(INDEX('計算A'!$D$60:$EQ$104,$B30,120)*HQ30=1,IF(AND($E30=2,NF30=0),1000000,IF($I30&gt;0,IF(5=$J30,IF(OR(AND(120=$I30+1,OR($K30&lt;&gt;'計算A'!$A$3,'計算A'!$A$4=0)),AND(120=$I30-1,OR(24&lt;&gt;'計算A'!$A$3,'計算A'!$A$4=0))),0,IF(24=$K30,200000,ABS(24-$K30)*100)),100000+ABS(5-$J30)*1000+240)+'計算A'!DS$5*50+IF(AND($E30=1,NF30=0),25,0),INDEX('計算A'!DS$110:DS$114,$F30+1)+IF(AND($E30=1,NF30=0),1000,0)+IF($H30=1,(IF('計算A'!DR$117=1,INDEX('計算A'!DR$10:DR$54,$B30),0))*500,0)-IF(AND('計算A'!DR$117=1,YP30&gt;0),300,0))),1000000))</f>
        <v/>
      </c>
      <c r="SV30">
        <f>IF($B30=0,1000000,IF(INDEX('計算A'!$D$60:$EQ$104,$B30,121)*HR30=1,IF(AND($E30=2,NG30=0),1000000,IF($I30&gt;0,IF(6=$J30,IF(OR(AND(121=$I30+1,OR($K30&lt;&gt;'計算A'!$A$3,'計算A'!$A$4=0)),AND(121=$I30-1,OR(1&lt;&gt;'計算A'!$A$3,'計算A'!$A$4=0))),0,IF(1=$K30,200000,ABS(1-$K30)*100)),100000+ABS(6-$J30)*1000+10)+'計算A'!DT$5*50+IF(AND($E30=1,NG30=0),25,0),INDEX('計算A'!DT$110:DT$114,$F30+1)+IF(AND($E30=1,NG30=0),1000,0)+IF($H30=1,(IF('計算A'!DT$117=1,INDEX('計算A'!DU$10:DU$54,$B30),0))*500,0)-IF(AND($L30=1,'計算A'!DT$117=1,HS30=0),300,0))),1000000))</f>
        <v/>
      </c>
      <c r="SW30">
        <f>IF($B30=0,1000000,IF(INDEX('計算A'!$D$60:$EQ$104,$B30,122)*HS30=1,IF(AND($E30=2,NH30=0),1000000,IF($I30&gt;0,IF(6=$J30,IF(OR(AND(122=$I30+1,OR($K30&lt;&gt;'計算A'!$A$3,'計算A'!$A$4=0)),AND(122=$I30-1,OR(2&lt;&gt;'計算A'!$A$3,'計算A'!$A$4=0))),0,IF(2=$K30,200000,ABS(2-$K30)*100)),100000+ABS(6-$J30)*1000+20)+'計算A'!DU$5*50+IF(AND($E30=1,NH30=0),25,0),INDEX('計算A'!DU$110:DU$114,$F30+1)+IF(AND($E30=1,NH30=0),1000,0)+IF($H30=1,(IF('計算A'!DT$117=1,INDEX('計算A'!DT$10:DT$54,$B30),0)+IF('計算A'!DU$117=1,INDEX('計算A'!DV$10:DV$54,$B30),0))*500,0)-IF(AND('計算A'!DT$117=1,YR30&gt;0),300,0)-IF(AND($L30=1,'計算A'!DU$117=1,HT30=0),300,0))),1000000))</f>
        <v/>
      </c>
      <c r="SX30">
        <f>IF($B30=0,1000000,IF(INDEX('計算A'!$D$60:$EQ$104,$B30,123)*HT30=1,IF(AND($E30=2,NI30=0),1000000,IF($I30&gt;0,IF(6=$J30,IF(OR(AND(123=$I30+1,OR($K30&lt;&gt;'計算A'!$A$3,'計算A'!$A$4=0)),AND(123=$I30-1,OR(3&lt;&gt;'計算A'!$A$3,'計算A'!$A$4=0))),0,IF(3=$K30,200000,ABS(3-$K30)*100)),100000+ABS(6-$J30)*1000+30)+'計算A'!DV$5*50+IF(AND($E30=1,NI30=0),25,0),INDEX('計算A'!DV$110:DV$114,$F30+1)+IF(AND($E30=1,NI30=0),1000,0)+IF($H30=1,(IF('計算A'!DU$117=1,INDEX('計算A'!DU$10:DU$54,$B30),0)+IF('計算A'!DV$117=1,INDEX('計算A'!DW$10:DW$54,$B30),0))*500,0)-IF(AND('計算A'!DU$117=1,YS30&gt;0),300,0)-IF(AND($L30=1,'計算A'!DV$117=1,HU30=0),300,0))),1000000))</f>
        <v/>
      </c>
      <c r="SY30">
        <f>IF($B30=0,1000000,IF(INDEX('計算A'!$D$60:$EQ$104,$B30,124)*HU30=1,IF(AND($E30=2,NJ30=0),1000000,IF($I30&gt;0,IF(6=$J30,IF(OR(AND(124=$I30+1,OR($K30&lt;&gt;'計算A'!$A$3,'計算A'!$A$4=0)),AND(124=$I30-1,OR(4&lt;&gt;'計算A'!$A$3,'計算A'!$A$4=0))),0,IF(4=$K30,200000,ABS(4-$K30)*100)),100000+ABS(6-$J30)*1000+40)+'計算A'!DW$5*50+IF(AND($E30=1,NJ30=0),25,0),INDEX('計算A'!DW$110:DW$114,$F30+1)+IF(AND($E30=1,NJ30=0),1000,0)+IF($H30=1,(IF('計算A'!DV$117=1,INDEX('計算A'!DV$10:DV$54,$B30),0)+IF('計算A'!DW$117=1,INDEX('計算A'!DX$10:DX$54,$B30),0))*500,0)-IF(AND('計算A'!DV$117=1,YT30&gt;0),300,0)-IF(AND($L30=1,'計算A'!DW$117=1,HV30=0),300,0))),1000000))</f>
        <v/>
      </c>
      <c r="SZ30">
        <f>IF($B30=0,1000000,IF(INDEX('計算A'!$D$60:$EQ$104,$B30,125)*HV30=1,IF(AND($E30=2,NK30=0),1000000,IF($I30&gt;0,IF(6=$J30,IF(OR(AND(125=$I30+1,OR($K30&lt;&gt;'計算A'!$A$3,'計算A'!$A$4=0)),AND(125=$I30-1,OR(5&lt;&gt;'計算A'!$A$3,'計算A'!$A$4=0))),0,IF(5=$K30,200000,ABS(5-$K30)*100)),100000+ABS(6-$J30)*1000+50)+'計算A'!DX$5*50+IF(AND($E30=1,NK30=0),25,0),INDEX('計算A'!DX$110:DX$114,$F30+1)+IF(AND($E30=1,NK30=0),1000,0)+IF($H30=1,(IF('計算A'!DW$117=1,INDEX('計算A'!DW$10:DW$54,$B30),0)+IF('計算A'!DX$117=1,INDEX('計算A'!DY$10:DY$54,$B30),0))*500,0)-IF(AND('計算A'!DW$117=1,YU30&gt;0),300,0)-IF(AND($L30=1,'計算A'!DX$117=1,HW30=0),300,0))),1000000))</f>
        <v/>
      </c>
      <c r="TA30">
        <f>IF($B30=0,1000000,IF(INDEX('計算A'!$D$60:$EQ$104,$B30,126)*HW30=1,IF(AND($E30=2,NL30=0),1000000,IF($I30&gt;0,IF(6=$J30,IF(OR(AND(126=$I30+1,OR($K30&lt;&gt;'計算A'!$A$3,'計算A'!$A$4=0)),AND(126=$I30-1,OR(6&lt;&gt;'計算A'!$A$3,'計算A'!$A$4=0))),0,IF(6=$K30,200000,ABS(6-$K30)*100)),100000+ABS(6-$J30)*1000+60)+'計算A'!DY$5*50+IF(AND($E30=1,NL30=0),25,0),INDEX('計算A'!DY$110:DY$114,$F30+1)+IF(AND($E30=1,NL30=0),1000,0)+IF($H30=1,(IF('計算A'!DX$117=1,INDEX('計算A'!DX$10:DX$54,$B30),0)+IF('計算A'!DY$117=1,INDEX('計算A'!DZ$10:DZ$54,$B30),0))*500,0)-IF(AND('計算A'!DX$117=1,YV30&gt;0),300,0)-IF(AND($L30=1,'計算A'!DY$117=1,HX30=0),300,0))),1000000))</f>
        <v/>
      </c>
      <c r="TB30">
        <f>IF($B30=0,1000000,IF(INDEX('計算A'!$D$60:$EQ$104,$B30,127)*HX30=1,IF(AND($E30=2,NM30=0),1000000,IF($I30&gt;0,IF(6=$J30,IF(OR(AND(127=$I30+1,OR($K30&lt;&gt;'計算A'!$A$3,'計算A'!$A$4=0)),AND(127=$I30-1,OR(7&lt;&gt;'計算A'!$A$3,'計算A'!$A$4=0))),0,IF(7=$K30,200000,ABS(7-$K30)*100)),100000+ABS(6-$J30)*1000+70)+'計算A'!DZ$5*50+IF(AND($E30=1,NM30=0),25,0),INDEX('計算A'!DZ$110:DZ$114,$F30+1)+IF(AND($E30=1,NM30=0),1000,0)+IF($H30=1,(IF('計算A'!DY$117=1,INDEX('計算A'!DY$10:DY$54,$B30),0)+IF('計算A'!DZ$117=1,INDEX('計算A'!EA$10:EA$54,$B30),0))*500,0)-IF(AND('計算A'!DY$117=1,YW30&gt;0),300,0)-IF(AND($L30=1,'計算A'!DZ$117=1,HY30=0),300,0))),1000000))</f>
        <v/>
      </c>
      <c r="TC30">
        <f>IF($B30=0,1000000,IF(INDEX('計算A'!$D$60:$EQ$104,$B30,128)*HY30=1,IF(AND($E30=2,NN30=0),1000000,IF($I30&gt;0,IF(6=$J30,IF(OR(AND(128=$I30+1,OR($K30&lt;&gt;'計算A'!$A$3,'計算A'!$A$4=0)),AND(128=$I30-1,OR(8&lt;&gt;'計算A'!$A$3,'計算A'!$A$4=0))),0,IF(8=$K30,200000,ABS(8-$K30)*100)),100000+ABS(6-$J30)*1000+80)+'計算A'!EA$5*50+IF(AND($E30=1,NN30=0),25,0),INDEX('計算A'!EA$110:EA$114,$F30+1)+IF(AND($E30=1,NN30=0),1000,0)+IF($H30=1,(IF('計算A'!DZ$117=1,INDEX('計算A'!DZ$10:DZ$54,$B30),0)+IF('計算A'!EA$117=1,INDEX('計算A'!EB$10:EB$54,$B30),0))*500,0)-IF(AND('計算A'!DZ$117=1,YX30&gt;0),300,0)-IF(AND($L30=1,'計算A'!EA$117=1,HZ30=0),300,0))),1000000))</f>
        <v/>
      </c>
      <c r="TD30">
        <f>IF($B30=0,1000000,IF(INDEX('計算A'!$D$60:$EQ$104,$B30,129)*HZ30=1,IF(AND($E30=2,NO30=0),1000000,IF($I30&gt;0,IF(6=$J30,IF(OR(AND(129=$I30+1,OR($K30&lt;&gt;'計算A'!$A$3,'計算A'!$A$4=0)),AND(129=$I30-1,OR(9&lt;&gt;'計算A'!$A$3,'計算A'!$A$4=0))),0,IF(9=$K30,200000,ABS(9-$K30)*100)),100000+ABS(6-$J30)*1000+90)+'計算A'!EB$5*50+IF(AND($E30=1,NO30=0),25,0),INDEX('計算A'!EB$110:EB$114,$F30+1)+IF(AND($E30=1,NO30=0),1000,0)+IF($H30=1,(IF('計算A'!EA$117=1,INDEX('計算A'!EA$10:EA$54,$B30),0)+IF('計算A'!EB$117=1,INDEX('計算A'!EC$10:EC$54,$B30),0))*500,0)-IF(AND('計算A'!EA$117=1,YY30&gt;0),300,0)-IF(AND($L30=1,'計算A'!EB$117=1,IA30=0),300,0))),1000000))</f>
        <v/>
      </c>
      <c r="TE30">
        <f>IF($B30=0,1000000,IF(INDEX('計算A'!$D$60:$EQ$104,$B30,130)*IA30=1,IF(AND($E30=2,NP30=0),1000000,IF($I30&gt;0,IF(6=$J30,IF(OR(AND(130=$I30+1,OR($K30&lt;&gt;'計算A'!$A$3,'計算A'!$A$4=0)),AND(130=$I30-1,OR(10&lt;&gt;'計算A'!$A$3,'計算A'!$A$4=0))),0,IF(10=$K30,200000,ABS(10-$K30)*100)),100000+ABS(6-$J30)*1000+100)+'計算A'!EC$5*50+IF(AND($E30=1,NP30=0),25,0),INDEX('計算A'!EC$110:EC$114,$F30+1)+IF(AND($E30=1,NP30=0),1000,0)+IF($H30=1,(IF('計算A'!EB$117=1,INDEX('計算A'!EB$10:EB$54,$B30),0)+IF('計算A'!EC$117=1,INDEX('計算A'!ED$10:ED$54,$B30),0))*500,0)-IF(AND('計算A'!EB$117=1,YZ30&gt;0),300,0)-IF(AND($L30=1,'計算A'!EC$117=1,IB30=0),300,0))),1000000))</f>
        <v/>
      </c>
      <c r="TF30">
        <f>IF($B30=0,1000000,IF(INDEX('計算A'!$D$60:$EQ$104,$B30,131)*IB30=1,IF(AND($E30=2,NQ30=0),1000000,IF($I30&gt;0,IF(6=$J30,IF(OR(AND(131=$I30+1,OR($K30&lt;&gt;'計算A'!$A$3,'計算A'!$A$4=0)),AND(131=$I30-1,OR(11&lt;&gt;'計算A'!$A$3,'計算A'!$A$4=0))),0,IF(11=$K30,200000,ABS(11-$K30)*100)),100000+ABS(6-$J30)*1000+110)+'計算A'!ED$5*50+IF(AND($E30=1,NQ30=0),25,0),INDEX('計算A'!ED$110:ED$114,$F30+1)+IF(AND($E30=1,NQ30=0),1000,0)+IF($H30=1,(IF('計算A'!EC$117=1,INDEX('計算A'!EC$10:EC$54,$B30),0)+IF('計算A'!ED$117=1,INDEX('計算A'!EE$10:EE$54,$B30),0))*500,0)-IF(AND('計算A'!EC$117=1,ZA30&gt;0),300,0)-IF(AND($L30=1,'計算A'!ED$117=1,IC30=0),300,0))),1000000))</f>
        <v/>
      </c>
      <c r="TG30">
        <f>IF($B30=0,1000000,IF(INDEX('計算A'!$D$60:$EQ$104,$B30,132)*IC30=1,IF(AND($E30=2,NR30=0),1000000,IF($I30&gt;0,IF(6=$J30,IF(OR(AND(132=$I30+1,OR($K30&lt;&gt;'計算A'!$A$3,'計算A'!$A$4=0)),AND(132=$I30-1,OR(12&lt;&gt;'計算A'!$A$3,'計算A'!$A$4=0))),0,IF(12=$K30,200000,ABS(12-$K30)*100)),100000+ABS(6-$J30)*1000+120)+'計算A'!EE$5*50+IF(AND($E30=1,NR30=0),25,0),INDEX('計算A'!EE$110:EE$114,$F30+1)+IF(AND($E30=1,NR30=0),1000,0)+IF($H30=1,(IF('計算A'!ED$117=1,INDEX('計算A'!ED$10:ED$54,$B30),0)+IF('計算A'!EE$117=1,INDEX('計算A'!EF$10:EF$54,$B30),0))*500,0)-IF(AND('計算A'!ED$117=1,ZB30&gt;0),300,0)-IF(AND($L30=1,'計算A'!EE$117=1,ID30=0),300,0))),1000000))</f>
        <v/>
      </c>
      <c r="TH30">
        <f>IF($B30=0,1000000,IF(INDEX('計算A'!$D$60:$EQ$104,$B30,133)*ID30=1,IF(AND($E30=2,NS30=0),1000000,IF($I30&gt;0,IF(6=$J30,IF(OR(AND(133=$I30+1,OR($K30&lt;&gt;'計算A'!$A$3,'計算A'!$A$4=0)),AND(133=$I30-1,OR(13&lt;&gt;'計算A'!$A$3,'計算A'!$A$4=0))),0,IF(13=$K30,200000,ABS(13-$K30)*100)),100000+ABS(6-$J30)*1000+130)+'計算A'!EF$5*50+IF(AND($E30=1,NS30=0),25,0),INDEX('計算A'!EF$110:EF$114,$F30+1)+IF(AND($E30=1,NS30=0),1000,0)+IF($H30=1,(IF('計算A'!EE$117=1,INDEX('計算A'!EE$10:EE$54,$B30),0)+IF('計算A'!EF$117=1,INDEX('計算A'!EG$10:EG$54,$B30),0))*500,0)-IF(AND('計算A'!EE$117=1,ZC30&gt;0),300,0)-IF(AND($L30=1,'計算A'!EF$117=1,IE30=0),300,0))),1000000))</f>
        <v/>
      </c>
      <c r="TI30">
        <f>IF($B30=0,1000000,IF(INDEX('計算A'!$D$60:$EQ$104,$B30,134)*IE30=1,IF(AND($E30=2,NT30=0),1000000,IF($I30&gt;0,IF(6=$J30,IF(OR(AND(134=$I30+1,OR($K30&lt;&gt;'計算A'!$A$3,'計算A'!$A$4=0)),AND(134=$I30-1,OR(14&lt;&gt;'計算A'!$A$3,'計算A'!$A$4=0))),0,IF(14=$K30,200000,ABS(14-$K30)*100)),100000+ABS(6-$J30)*1000+140)+'計算A'!EG$5*50+IF(AND($E30=1,NT30=0),25,0),INDEX('計算A'!EG$110:EG$114,$F30+1)+IF(AND($E30=1,NT30=0),1000,0)+IF($H30=1,(IF('計算A'!EF$117=1,INDEX('計算A'!EF$10:EF$54,$B30),0)+IF('計算A'!EG$117=1,INDEX('計算A'!EH$10:EH$54,$B30),0))*500,0)-IF(AND('計算A'!EF$117=1,ZD30&gt;0),300,0)-IF(AND($L30=1,'計算A'!EG$117=1,IF30=0),300,0))),1000000))</f>
        <v/>
      </c>
      <c r="TJ30">
        <f>IF($B30=0,1000000,IF(INDEX('計算A'!$D$60:$EQ$104,$B30,135)*IF30=1,IF(AND($E30=2,NU30=0),1000000,IF($I30&gt;0,IF(6=$J30,IF(OR(AND(135=$I30+1,OR($K30&lt;&gt;'計算A'!$A$3,'計算A'!$A$4=0)),AND(135=$I30-1,OR(15&lt;&gt;'計算A'!$A$3,'計算A'!$A$4=0))),0,IF(15=$K30,200000,ABS(15-$K30)*100)),100000+ABS(6-$J30)*1000+150)+'計算A'!EH$5*50+IF(AND($E30=1,NU30=0),25,0),INDEX('計算A'!EH$110:EH$114,$F30+1)+IF(AND($E30=1,NU30=0),1000,0)+IF($H30=1,(IF('計算A'!EG$117=1,INDEX('計算A'!EG$10:EG$54,$B30),0)+IF('計算A'!EH$117=1,INDEX('計算A'!EI$10:EI$54,$B30),0))*500,0)-IF(AND('計算A'!EG$117=1,ZE30&gt;0),300,0)-IF(AND($L30=1,'計算A'!EH$117=1,IG30=0),300,0))),1000000))</f>
        <v/>
      </c>
      <c r="TK30">
        <f>IF($B30=0,1000000,IF(INDEX('計算A'!$D$60:$EQ$104,$B30,136)*IG30=1,IF(AND($E30=2,NV30=0),1000000,IF($I30&gt;0,IF(6=$J30,IF(OR(AND(136=$I30+1,OR($K30&lt;&gt;'計算A'!$A$3,'計算A'!$A$4=0)),AND(136=$I30-1,OR(16&lt;&gt;'計算A'!$A$3,'計算A'!$A$4=0))),0,IF(16=$K30,200000,ABS(16-$K30)*100)),100000+ABS(6-$J30)*1000+160)+'計算A'!EI$5*50+IF(AND($E30=1,NV30=0),25,0),INDEX('計算A'!EI$110:EI$114,$F30+1)+IF(AND($E30=1,NV30=0),1000,0)+IF($H30=1,(IF('計算A'!EH$117=1,INDEX('計算A'!EH$10:EH$54,$B30),0)+IF('計算A'!EI$117=1,INDEX('計算A'!EJ$10:EJ$54,$B30),0))*500,0)-IF(AND('計算A'!EH$117=1,ZF30&gt;0),300,0)-IF(AND($L30=1,'計算A'!EI$117=1,IH30=0),300,0))),1000000))</f>
        <v/>
      </c>
      <c r="TL30">
        <f>IF($B30=0,1000000,IF(INDEX('計算A'!$D$60:$EQ$104,$B30,137)*IH30=1,IF(AND($E30=2,NW30=0),1000000,IF($I30&gt;0,IF(6=$J30,IF(OR(AND(137=$I30+1,OR($K30&lt;&gt;'計算A'!$A$3,'計算A'!$A$4=0)),AND(137=$I30-1,OR(17&lt;&gt;'計算A'!$A$3,'計算A'!$A$4=0))),0,IF(17=$K30,200000,ABS(17-$K30)*100)),100000+ABS(6-$J30)*1000+170)+'計算A'!EJ$5*50+IF(AND($E30=1,NW30=0),25,0),INDEX('計算A'!EJ$110:EJ$114,$F30+1)+IF(AND($E30=1,NW30=0),1000,0)+IF($H30=1,(IF('計算A'!EI$117=1,INDEX('計算A'!EI$10:EI$54,$B30),0)+IF('計算A'!EJ$117=1,INDEX('計算A'!EK$10:EK$54,$B30),0))*500,0)-IF(AND('計算A'!EI$117=1,ZG30&gt;0),300,0)-IF(AND($L30=1,'計算A'!EJ$117=1,II30=0),300,0))),1000000))</f>
        <v/>
      </c>
      <c r="TM30">
        <f>IF($B30=0,1000000,IF(INDEX('計算A'!$D$60:$EQ$104,$B30,138)*II30=1,IF(AND($E30=2,NX30=0),1000000,IF($I30&gt;0,IF(6=$J30,IF(OR(AND(138=$I30+1,OR($K30&lt;&gt;'計算A'!$A$3,'計算A'!$A$4=0)),AND(138=$I30-1,OR(18&lt;&gt;'計算A'!$A$3,'計算A'!$A$4=0))),0,IF(18=$K30,200000,ABS(18-$K30)*100)),100000+ABS(6-$J30)*1000+180)+'計算A'!EK$5*50+IF(AND($E30=1,NX30=0),25,0),INDEX('計算A'!EK$110:EK$114,$F30+1)+IF(AND($E30=1,NX30=0),1000,0)+IF($H30=1,(IF('計算A'!EJ$117=1,INDEX('計算A'!EJ$10:EJ$54,$B30),0)+IF('計算A'!EK$117=1,INDEX('計算A'!EL$10:EL$54,$B30),0))*500,0)-IF(AND('計算A'!EJ$117=1,ZH30&gt;0),300,0)-IF(AND($L30=1,'計算A'!EK$117=1,IJ30=0),300,0))),1000000))</f>
        <v/>
      </c>
      <c r="TN30">
        <f>IF($B30=0,1000000,IF(INDEX('計算A'!$D$60:$EQ$104,$B30,139)*IJ30=1,IF(AND($E30=2,NY30=0),1000000,IF($I30&gt;0,IF(6=$J30,IF(OR(AND(139=$I30+1,OR($K30&lt;&gt;'計算A'!$A$3,'計算A'!$A$4=0)),AND(139=$I30-1,OR(19&lt;&gt;'計算A'!$A$3,'計算A'!$A$4=0))),0,IF(19=$K30,200000,ABS(19-$K30)*100)),100000+ABS(6-$J30)*1000+190)+'計算A'!EL$5*50+IF(AND($E30=1,NY30=0),25,0),INDEX('計算A'!EL$110:EL$114,$F30+1)+IF(AND($E30=1,NY30=0),1000,0)+IF($H30=1,(IF('計算A'!EK$117=1,INDEX('計算A'!EK$10:EK$54,$B30),0)+IF('計算A'!EL$117=1,INDEX('計算A'!EM$10:EM$54,$B30),0))*500,0)-IF(AND('計算A'!EK$117=1,ZI30&gt;0),300,0)-IF(AND($L30=1,'計算A'!EL$117=1,IK30=0),300,0))),1000000))</f>
        <v/>
      </c>
      <c r="TO30">
        <f>IF($B30=0,1000000,IF(INDEX('計算A'!$D$60:$EQ$104,$B30,140)*IK30=1,IF(AND($E30=2,NZ30=0),1000000,IF($I30&gt;0,IF(6=$J30,IF(OR(AND(140=$I30+1,OR($K30&lt;&gt;'計算A'!$A$3,'計算A'!$A$4=0)),AND(140=$I30-1,OR(20&lt;&gt;'計算A'!$A$3,'計算A'!$A$4=0))),0,IF(20=$K30,200000,ABS(20-$K30)*100)),100000+ABS(6-$J30)*1000+200)+'計算A'!EM$5*50+IF(AND($E30=1,NZ30=0),25,0),INDEX('計算A'!EM$110:EM$114,$F30+1)+IF(AND($E30=1,NZ30=0),1000,0)+IF($H30=1,(IF('計算A'!EL$117=1,INDEX('計算A'!EL$10:EL$54,$B30),0)+IF('計算A'!EM$117=1,INDEX('計算A'!EN$10:EN$54,$B30),0))*500,0)-IF(AND('計算A'!EL$117=1,ZJ30&gt;0),300,0)-IF(AND($L30=1,'計算A'!EM$117=1,IL30=0),300,0))),1000000))</f>
        <v/>
      </c>
      <c r="TP30">
        <f>IF($B30=0,1000000,IF(INDEX('計算A'!$D$60:$EQ$104,$B30,141)*IL30=1,IF(AND($E30=2,OA30=0),1000000,IF($I30&gt;0,IF(6=$J30,IF(OR(AND(141=$I30+1,OR($K30&lt;&gt;'計算A'!$A$3,'計算A'!$A$4=0)),AND(141=$I30-1,OR(21&lt;&gt;'計算A'!$A$3,'計算A'!$A$4=0))),0,IF(21=$K30,200000,ABS(21-$K30)*100)),100000+ABS(6-$J30)*1000+210)+'計算A'!EN$5*50+IF(AND($E30=1,OA30=0),25,0),INDEX('計算A'!EN$110:EN$114,$F30+1)+IF(AND($E30=1,OA30=0),1000,0)+IF($H30=1,(IF('計算A'!EM$117=1,INDEX('計算A'!EM$10:EM$54,$B30),0)+IF('計算A'!EN$117=1,INDEX('計算A'!EO$10:EO$54,$B30),0))*500,0)-IF(AND('計算A'!EM$117=1,ZK30&gt;0),300,0)-IF(AND($L30=1,'計算A'!EN$117=1,IM30=0),300,0))),1000000))</f>
        <v/>
      </c>
      <c r="TQ30">
        <f>IF($B30=0,1000000,IF(INDEX('計算A'!$D$60:$EQ$104,$B30,142)*IM30=1,IF(AND($E30=2,OB30=0),1000000,IF($I30&gt;0,IF(6=$J30,IF(OR(AND(142=$I30+1,OR($K30&lt;&gt;'計算A'!$A$3,'計算A'!$A$4=0)),AND(142=$I30-1,OR(22&lt;&gt;'計算A'!$A$3,'計算A'!$A$4=0))),0,IF(22=$K30,200000,ABS(22-$K30)*100)),100000+ABS(6-$J30)*1000+220)+'計算A'!EO$5*50+IF(AND($E30=1,OB30=0),25,0),INDEX('計算A'!EO$110:EO$114,$F30+1)+IF(AND($E30=1,OB30=0),1000,0)+IF($H30=1,(IF('計算A'!EN$117=1,INDEX('計算A'!EN$10:EN$54,$B30),0)+IF('計算A'!EO$117=1,INDEX('計算A'!EP$10:EP$54,$B30),0))*500,0)-IF(AND('計算A'!EN$117=1,ZL30&gt;0),300,0)-IF(AND($L30=1,'計算A'!EO$117=1,IN30=0),300,0))),1000000))</f>
        <v/>
      </c>
      <c r="TR30">
        <f>IF($B30=0,1000000,IF(INDEX('計算A'!$D$60:$EQ$104,$B30,143)*IN30=1,IF(AND($E30=2,OC30=0),1000000,IF($I30&gt;0,IF(6=$J30,IF(OR(AND(143=$I30+1,OR($K30&lt;&gt;'計算A'!$A$3,'計算A'!$A$4=0)),AND(143=$I30-1,OR(23&lt;&gt;'計算A'!$A$3,'計算A'!$A$4=0))),0,IF(23=$K30,200000,ABS(23-$K30)*100)),100000+ABS(6-$J30)*1000+230)+'計算A'!EP$5*50+IF(AND($E30=1,OC30=0),25,0),INDEX('計算A'!EP$110:EP$114,$F30+1)+IF(AND($E30=1,OC30=0),1000,0)+IF($H30=1,(IF('計算A'!EO$117=1,INDEX('計算A'!EO$10:EO$54,$B30),0)+IF('計算A'!EP$117=1,INDEX('計算A'!EQ$10:EQ$54,$B30),0))*500,0)-IF(AND('計算A'!EO$117=1,ZM30&gt;0),300,0)-IF(AND($L30=1,'計算A'!EP$117=1,IO30=0),300,0))),1000000))</f>
        <v/>
      </c>
      <c r="TS30">
        <f>IF($B30=0,1000000,IF(INDEX('計算A'!$D$60:$EQ$104,$B30,144)*IO30=1,IF(AND($E30=2,OD30=0),1000000,IF($I30&gt;0,IF(6=$J30,IF(OR(AND(144=$I30+1,OR($K30&lt;&gt;'計算A'!$A$3,'計算A'!$A$4=0)),AND(144=$I30-1,OR(24&lt;&gt;'計算A'!$A$3,'計算A'!$A$4=0))),0,IF(24=$K30,200000,ABS(24-$K30)*100)),100000+ABS(6-$J30)*1000+240)+'計算A'!EQ$5*50+IF(AND($E30=1,OD30=0),25,0),INDEX('計算A'!EQ$110:EQ$114,$F30+1)+IF(AND($E30=1,OD30=0),1000,0)+IF($H30=1,(IF('計算A'!EP$117=1,INDEX('計算A'!EP$10:EP$54,$B30),0))*500,0)-IF(AND('計算A'!EP$117=1,ZN30&gt;0),300,0))),1000000))</f>
        <v/>
      </c>
      <c r="UB30">
        <f>UB29+IF(AND($C29=1,$L29=1),1,0)</f>
        <v/>
      </c>
      <c r="UC30">
        <f>UC29+IF(AND($C29=2,$L29=1),1,0)</f>
        <v/>
      </c>
      <c r="UD30">
        <f>UD29+IF(AND($C29=3,$L29=1),1,0)</f>
        <v/>
      </c>
      <c r="UE30">
        <f>UE29+IF(AND($C29=4,$L29=1),1,0)</f>
        <v/>
      </c>
      <c r="UF30">
        <f>UF29+IF(AND($C29=5,$L29=1),1,0)</f>
        <v/>
      </c>
      <c r="UG30">
        <f>UG29+IF(AND($C29=6,$L29=1),1,0)</f>
        <v/>
      </c>
      <c r="UH30">
        <f>UH29+IF(AND($C29=7,$L29=1),1,0)</f>
        <v/>
      </c>
      <c r="UI30">
        <f>UI29+IF(AND($C29=8,$L29=1),1,0)</f>
        <v/>
      </c>
      <c r="UJ30">
        <f>UJ29+IF(AND($C29=9,$L29=1),1,0)</f>
        <v/>
      </c>
      <c r="UK30">
        <f>UK29+IF(AND($C29=10,$L29=1),1,0)</f>
        <v/>
      </c>
      <c r="UL30">
        <f>UL29+IF(AND($C29=11,$L29=1),1,0)</f>
        <v/>
      </c>
      <c r="UM30">
        <f>UM29+IF(AND($C29=12,$L29=1),1,0)</f>
        <v/>
      </c>
      <c r="UN30">
        <f>UN29+IF(AND($C29=13,$L29=1),1,0)</f>
        <v/>
      </c>
      <c r="UO30">
        <f>UO29+IF(AND($C29=14,$L29=1),1,0)</f>
        <v/>
      </c>
      <c r="UP30">
        <f>UP29+IF(AND($C29=15,$L29=1),1,0)</f>
        <v/>
      </c>
      <c r="UQ30">
        <f>UQ29+IF(AND($C29=16,$L29=1),1,0)</f>
        <v/>
      </c>
      <c r="UR30">
        <f>UR29+IF(AND($C29=17,$L29=1),1,0)</f>
        <v/>
      </c>
      <c r="US30">
        <f>US29+IF(AND($C29=18,$L29=1),1,0)</f>
        <v/>
      </c>
      <c r="UT30">
        <f>UT29+IF(AND($C29=19,$L29=1),1,0)</f>
        <v/>
      </c>
      <c r="UU30">
        <f>UU29+IF(AND($C29=20,$L29=1),1,0)</f>
        <v/>
      </c>
      <c r="UV30">
        <f>UV29+IF(AND($C29=21,$L29=1),1,0)</f>
        <v/>
      </c>
      <c r="UW30">
        <f>UW29+IF(AND($C29=22,$L29=1),1,0)</f>
        <v/>
      </c>
      <c r="UX30">
        <f>UX29+IF(AND($C29=23,$L29=1),1,0)</f>
        <v/>
      </c>
      <c r="UY30">
        <f>UY29+IF(AND($C29=24,$L29=1),1,0)</f>
        <v/>
      </c>
      <c r="UZ30">
        <f>UZ29+IF(AND($C29=25,$L29=1),1,0)</f>
        <v/>
      </c>
      <c r="VA30">
        <f>VA29+IF(AND($C29=26,$L29=1),1,0)</f>
        <v/>
      </c>
      <c r="VB30">
        <f>VB29+IF(AND($C29=27,$L29=1),1,0)</f>
        <v/>
      </c>
      <c r="VC30">
        <f>VC29+IF(AND($C29=28,$L29=1),1,0)</f>
        <v/>
      </c>
      <c r="VD30">
        <f>VD29+IF(AND($C29=29,$L29=1),1,0)</f>
        <v/>
      </c>
      <c r="VE30">
        <f>VE29+IF(AND($C29=30,$L29=1),1,0)</f>
        <v/>
      </c>
      <c r="VF30">
        <f>VF29+IF(AND($C29=31,$L29=1),1,0)</f>
        <v/>
      </c>
      <c r="VG30">
        <f>VG29+IF(AND($C29=32,$L29=1),1,0)</f>
        <v/>
      </c>
      <c r="VH30">
        <f>VH29+IF(AND($C29=33,$L29=1),1,0)</f>
        <v/>
      </c>
      <c r="VI30">
        <f>VI29+IF(AND($C29=34,$L29=1),1,0)</f>
        <v/>
      </c>
      <c r="VJ30">
        <f>VJ29+IF(AND($C29=35,$L29=1),1,0)</f>
        <v/>
      </c>
      <c r="VK30">
        <f>VK29+IF(AND($C29=36,$L29=1),1,0)</f>
        <v/>
      </c>
      <c r="VL30">
        <f>VL29+IF(AND($C29=37,$L29=1),1,0)</f>
        <v/>
      </c>
      <c r="VM30">
        <f>VM29+IF(AND($C29=38,$L29=1),1,0)</f>
        <v/>
      </c>
      <c r="VN30">
        <f>VN29+IF(AND($C29=39,$L29=1),1,0)</f>
        <v/>
      </c>
      <c r="VO30">
        <f>VO29+IF(AND($C29=40,$L29=1),1,0)</f>
        <v/>
      </c>
      <c r="VP30">
        <f>VP29+IF(AND($C29=41,$L29=1),1,0)</f>
        <v/>
      </c>
      <c r="VQ30">
        <f>VQ29+IF(AND($C29=42,$L29=1),1,0)</f>
        <v/>
      </c>
      <c r="VR30">
        <f>VR29+IF(AND($C29=43,$L29=1),1,0)</f>
        <v/>
      </c>
      <c r="VS30">
        <f>VS29+IF(AND($C29=44,$L29=1),1,0)</f>
        <v/>
      </c>
      <c r="VT30">
        <f>VT29+IF(AND($C29=45,$L29=1),1,0)</f>
        <v/>
      </c>
      <c r="VU30">
        <f>VU29+IF(AND($C29=46,$L29=1),1,0)</f>
        <v/>
      </c>
      <c r="VV30">
        <f>VV29+IF(AND($C29=47,$L29=1),1,0)</f>
        <v/>
      </c>
      <c r="VW30">
        <f>VW29+IF(AND($C29=48,$L29=1),1,0)</f>
        <v/>
      </c>
      <c r="VX30">
        <f>VX29+IF(AND($C29=49,$L29=1),1,0)</f>
        <v/>
      </c>
      <c r="VY30">
        <f>VY29+IF(AND($C29=50,$L29=1),1,0)</f>
        <v/>
      </c>
      <c r="VZ30">
        <f>VZ29+IF(AND($C29=51,$L29=1),1,0)</f>
        <v/>
      </c>
      <c r="WA30">
        <f>WA29+IF(AND($C29=52,$L29=1),1,0)</f>
        <v/>
      </c>
      <c r="WB30">
        <f>WB29+IF(AND($C29=53,$L29=1),1,0)</f>
        <v/>
      </c>
      <c r="WC30">
        <f>WC29+IF(AND($C29=54,$L29=1),1,0)</f>
        <v/>
      </c>
      <c r="WD30">
        <f>WD29+IF(AND($C29=55,$L29=1),1,0)</f>
        <v/>
      </c>
      <c r="WE30">
        <f>WE29+IF(AND($C29=56,$L29=1),1,0)</f>
        <v/>
      </c>
      <c r="WF30">
        <f>WF29+IF(AND($C29=57,$L29=1),1,0)</f>
        <v/>
      </c>
      <c r="WG30">
        <f>WG29+IF(AND($C29=58,$L29=1),1,0)</f>
        <v/>
      </c>
      <c r="WH30">
        <f>WH29+IF(AND($C29=59,$L29=1),1,0)</f>
        <v/>
      </c>
      <c r="WI30">
        <f>WI29+IF(AND($C29=60,$L29=1),1,0)</f>
        <v/>
      </c>
      <c r="WJ30">
        <f>WJ29+IF(AND($C29=61,$L29=1),1,0)</f>
        <v/>
      </c>
      <c r="WK30">
        <f>WK29+IF(AND($C29=62,$L29=1),1,0)</f>
        <v/>
      </c>
      <c r="WL30">
        <f>WL29+IF(AND($C29=63,$L29=1),1,0)</f>
        <v/>
      </c>
      <c r="WM30">
        <f>WM29+IF(AND($C29=64,$L29=1),1,0)</f>
        <v/>
      </c>
      <c r="WN30">
        <f>WN29+IF(AND($C29=65,$L29=1),1,0)</f>
        <v/>
      </c>
      <c r="WO30">
        <f>WO29+IF(AND($C29=66,$L29=1),1,0)</f>
        <v/>
      </c>
      <c r="WP30">
        <f>WP29+IF(AND($C29=67,$L29=1),1,0)</f>
        <v/>
      </c>
      <c r="WQ30">
        <f>WQ29+IF(AND($C29=68,$L29=1),1,0)</f>
        <v/>
      </c>
      <c r="WR30">
        <f>WR29+IF(AND($C29=69,$L29=1),1,0)</f>
        <v/>
      </c>
      <c r="WS30">
        <f>WS29+IF(AND($C29=70,$L29=1),1,0)</f>
        <v/>
      </c>
      <c r="WT30">
        <f>WT29+IF(AND($C29=71,$L29=1),1,0)</f>
        <v/>
      </c>
      <c r="WU30">
        <f>WU29+IF(AND($C29=72,$L29=1),1,0)</f>
        <v/>
      </c>
      <c r="WV30">
        <f>WV29+IF(AND($C29=73,$L29=1),1,0)</f>
        <v/>
      </c>
      <c r="WW30">
        <f>WW29+IF(AND($C29=74,$L29=1),1,0)</f>
        <v/>
      </c>
      <c r="WX30">
        <f>WX29+IF(AND($C29=75,$L29=1),1,0)</f>
        <v/>
      </c>
      <c r="WY30">
        <f>WY29+IF(AND($C29=76,$L29=1),1,0)</f>
        <v/>
      </c>
      <c r="WZ30">
        <f>WZ29+IF(AND($C29=77,$L29=1),1,0)</f>
        <v/>
      </c>
      <c r="XA30">
        <f>XA29+IF(AND($C29=78,$L29=1),1,0)</f>
        <v/>
      </c>
      <c r="XB30">
        <f>XB29+IF(AND($C29=79,$L29=1),1,0)</f>
        <v/>
      </c>
      <c r="XC30">
        <f>XC29+IF(AND($C29=80,$L29=1),1,0)</f>
        <v/>
      </c>
      <c r="XD30">
        <f>XD29+IF(AND($C29=81,$L29=1),1,0)</f>
        <v/>
      </c>
      <c r="XE30">
        <f>XE29+IF(AND($C29=82,$L29=1),1,0)</f>
        <v/>
      </c>
      <c r="XF30">
        <f>XF29+IF(AND($C29=83,$L29=1),1,0)</f>
        <v/>
      </c>
      <c r="XG30">
        <f>XG29+IF(AND($C29=84,$L29=1),1,0)</f>
        <v/>
      </c>
      <c r="XH30">
        <f>XH29+IF(AND($C29=85,$L29=1),1,0)</f>
        <v/>
      </c>
      <c r="XI30">
        <f>XI29+IF(AND($C29=86,$L29=1),1,0)</f>
        <v/>
      </c>
      <c r="XJ30">
        <f>XJ29+IF(AND($C29=87,$L29=1),1,0)</f>
        <v/>
      </c>
      <c r="XK30">
        <f>XK29+IF(AND($C29=88,$L29=1),1,0)</f>
        <v/>
      </c>
      <c r="XL30">
        <f>XL29+IF(AND($C29=89,$L29=1),1,0)</f>
        <v/>
      </c>
      <c r="XM30">
        <f>XM29+IF(AND($C29=90,$L29=1),1,0)</f>
        <v/>
      </c>
      <c r="XN30">
        <f>XN29+IF(AND($C29=91,$L29=1),1,0)</f>
        <v/>
      </c>
      <c r="XO30">
        <f>XO29+IF(AND($C29=92,$L29=1),1,0)</f>
        <v/>
      </c>
      <c r="XP30">
        <f>XP29+IF(AND($C29=93,$L29=1),1,0)</f>
        <v/>
      </c>
      <c r="XQ30">
        <f>XQ29+IF(AND($C29=94,$L29=1),1,0)</f>
        <v/>
      </c>
      <c r="XR30">
        <f>XR29+IF(AND($C29=95,$L29=1),1,0)</f>
        <v/>
      </c>
      <c r="XS30">
        <f>XS29+IF(AND($C29=96,$L29=1),1,0)</f>
        <v/>
      </c>
      <c r="XT30">
        <f>XT29+IF(AND($C29=97,$L29=1),1,0)</f>
        <v/>
      </c>
      <c r="XU30">
        <f>XU29+IF(AND($C29=98,$L29=1),1,0)</f>
        <v/>
      </c>
      <c r="XV30">
        <f>XV29+IF(AND($C29=99,$L29=1),1,0)</f>
        <v/>
      </c>
      <c r="XW30">
        <f>XW29+IF(AND($C29=100,$L29=1),1,0)</f>
        <v/>
      </c>
      <c r="XX30">
        <f>XX29+IF(AND($C29=101,$L29=1),1,0)</f>
        <v/>
      </c>
      <c r="XY30">
        <f>XY29+IF(AND($C29=102,$L29=1),1,0)</f>
        <v/>
      </c>
      <c r="XZ30">
        <f>XZ29+IF(AND($C29=103,$L29=1),1,0)</f>
        <v/>
      </c>
      <c r="YA30">
        <f>YA29+IF(AND($C29=104,$L29=1),1,0)</f>
        <v/>
      </c>
      <c r="YB30">
        <f>YB29+IF(AND($C29=105,$L29=1),1,0)</f>
        <v/>
      </c>
      <c r="YC30">
        <f>YC29+IF(AND($C29=106,$L29=1),1,0)</f>
        <v/>
      </c>
      <c r="YD30">
        <f>YD29+IF(AND($C29=107,$L29=1),1,0)</f>
        <v/>
      </c>
      <c r="YE30">
        <f>YE29+IF(AND($C29=108,$L29=1),1,0)</f>
        <v/>
      </c>
      <c r="YF30">
        <f>YF29+IF(AND($C29=109,$L29=1),1,0)</f>
        <v/>
      </c>
      <c r="YG30">
        <f>YG29+IF(AND($C29=110,$L29=1),1,0)</f>
        <v/>
      </c>
      <c r="YH30">
        <f>YH29+IF(AND($C29=111,$L29=1),1,0)</f>
        <v/>
      </c>
      <c r="YI30">
        <f>YI29+IF(AND($C29=112,$L29=1),1,0)</f>
        <v/>
      </c>
      <c r="YJ30">
        <f>YJ29+IF(AND($C29=113,$L29=1),1,0)</f>
        <v/>
      </c>
      <c r="YK30">
        <f>YK29+IF(AND($C29=114,$L29=1),1,0)</f>
        <v/>
      </c>
      <c r="YL30">
        <f>YL29+IF(AND($C29=115,$L29=1),1,0)</f>
        <v/>
      </c>
      <c r="YM30">
        <f>YM29+IF(AND($C29=116,$L29=1),1,0)</f>
        <v/>
      </c>
      <c r="YN30">
        <f>YN29+IF(AND($C29=117,$L29=1),1,0)</f>
        <v/>
      </c>
      <c r="YO30">
        <f>YO29+IF(AND($C29=118,$L29=1),1,0)</f>
        <v/>
      </c>
      <c r="YP30">
        <f>YP29+IF(AND($C29=119,$L29=1),1,0)</f>
        <v/>
      </c>
      <c r="YQ30">
        <f>YQ29+IF(AND($C29=120,$L29=1),1,0)</f>
        <v/>
      </c>
      <c r="YR30">
        <f>YR29+IF(AND($C29=121,$L29=1),1,0)</f>
        <v/>
      </c>
      <c r="YS30">
        <f>YS29+IF(AND($C29=122,$L29=1),1,0)</f>
        <v/>
      </c>
      <c r="YT30">
        <f>YT29+IF(AND($C29=123,$L29=1),1,0)</f>
        <v/>
      </c>
      <c r="YU30">
        <f>YU29+IF(AND($C29=124,$L29=1),1,0)</f>
        <v/>
      </c>
      <c r="YV30">
        <f>YV29+IF(AND($C29=125,$L29=1),1,0)</f>
        <v/>
      </c>
      <c r="YW30">
        <f>YW29+IF(AND($C29=126,$L29=1),1,0)</f>
        <v/>
      </c>
      <c r="YX30">
        <f>YX29+IF(AND($C29=127,$L29=1),1,0)</f>
        <v/>
      </c>
      <c r="YY30">
        <f>YY29+IF(AND($C29=128,$L29=1),1,0)</f>
        <v/>
      </c>
      <c r="YZ30">
        <f>YZ29+IF(AND($C29=129,$L29=1),1,0)</f>
        <v/>
      </c>
      <c r="ZA30">
        <f>ZA29+IF(AND($C29=130,$L29=1),1,0)</f>
        <v/>
      </c>
      <c r="ZB30">
        <f>ZB29+IF(AND($C29=131,$L29=1),1,0)</f>
        <v/>
      </c>
      <c r="ZC30">
        <f>ZC29+IF(AND($C29=132,$L29=1),1,0)</f>
        <v/>
      </c>
      <c r="ZD30">
        <f>ZD29+IF(AND($C29=133,$L29=1),1,0)</f>
        <v/>
      </c>
      <c r="ZE30">
        <f>ZE29+IF(AND($C29=134,$L29=1),1,0)</f>
        <v/>
      </c>
      <c r="ZF30">
        <f>ZF29+IF(AND($C29=135,$L29=1),1,0)</f>
        <v/>
      </c>
      <c r="ZG30">
        <f>ZG29+IF(AND($C29=136,$L29=1),1,0)</f>
        <v/>
      </c>
      <c r="ZH30">
        <f>ZH29+IF(AND($C29=137,$L29=1),1,0)</f>
        <v/>
      </c>
      <c r="ZI30">
        <f>ZI29+IF(AND($C29=138,$L29=1),1,0)</f>
        <v/>
      </c>
      <c r="ZJ30">
        <f>ZJ29+IF(AND($C29=139,$L29=1),1,0)</f>
        <v/>
      </c>
      <c r="ZK30">
        <f>ZK29+IF(AND($C29=140,$L29=1),1,0)</f>
        <v/>
      </c>
      <c r="ZL30">
        <f>ZL29+IF(AND($C29=141,$L29=1),1,0)</f>
        <v/>
      </c>
      <c r="ZM30">
        <f>ZM29+IF(AND($C29=142,$L29=1),1,0)</f>
        <v/>
      </c>
      <c r="ZN30">
        <f>ZN29+IF(AND($C29=143,$L29=1),1,0)</f>
        <v/>
      </c>
      <c r="ZO30">
        <f>ZO29+IF(AND($C29=144,$L29=1),1,0)</f>
        <v/>
      </c>
    </row>
    <row r="31">
      <c r="A31" t="n">
        <v>29</v>
      </c>
      <c r="B31">
        <f>IF(MIN(BH31:CZ31)&gt;=1000000,0,MATCH(MIN(BH31:CZ31),BH31:CZ31,0))</f>
        <v/>
      </c>
      <c r="C31">
        <f>IF(MIN(OF31:TS31)&gt;=1000000,0,MATCH(MIN(OF31:TS31),OF31:TS31,0))</f>
        <v/>
      </c>
      <c r="D31">
        <f>IF(C31&gt;0,INDEX('計算A'!$D$5:$EQ$5,C31),0)</f>
        <v/>
      </c>
      <c r="E31">
        <f>IF(B31=0,0,INDEX('計算A'!$IQ$10:$IQ$54,B31))</f>
        <v/>
      </c>
      <c r="F31">
        <f>IF(B31=0,0,INDEX('計算A'!$IP$10:$IP$54,B31))</f>
        <v/>
      </c>
      <c r="G31">
        <f>IF(AND(C31&gt;0,E31&gt;0),IF(AND(INDEX('計算A'!$D$106:$EQ$106,C31)=1,INDEX($IQ31:$OD31,C31)=1),C31+1,0),0)</f>
        <v/>
      </c>
      <c r="H31">
        <f>IF(B31=0,0,INDEX('計算A'!$IW$10:$IW$54,B31))</f>
        <v/>
      </c>
      <c r="I31">
        <f>IF(B31=0,0,MAX(0,INDEX('計算A'!$IT$10:$IT$54,B31)))</f>
        <v/>
      </c>
      <c r="J31">
        <f>IF(I31=0,0,INDEX('計算A'!$D$2:$EQ$2,I31))</f>
        <v/>
      </c>
      <c r="K31">
        <f>IF(I31=0,0,INDEX('計算A'!$D$3:$EQ$3,I31))</f>
        <v/>
      </c>
      <c r="L31">
        <f>IF(B31=0,0,INDEX('計算A'!$IX$10:$IX$54,B31))</f>
        <v/>
      </c>
      <c r="N31">
        <f>MAX(N30,IF($B30=1,1,0))</f>
        <v/>
      </c>
      <c r="O31">
        <f>MAX(O30,IF($B30=2,1,0))</f>
        <v/>
      </c>
      <c r="P31">
        <f>MAX(P30,IF($B30=3,1,0))</f>
        <v/>
      </c>
      <c r="Q31">
        <f>MAX(Q30,IF($B30=4,1,0))</f>
        <v/>
      </c>
      <c r="R31">
        <f>MAX(R30,IF($B30=5,1,0))</f>
        <v/>
      </c>
      <c r="S31">
        <f>MAX(S30,IF($B30=6,1,0))</f>
        <v/>
      </c>
      <c r="T31">
        <f>MAX(T30,IF($B30=7,1,0))</f>
        <v/>
      </c>
      <c r="U31">
        <f>MAX(U30,IF($B30=8,1,0))</f>
        <v/>
      </c>
      <c r="V31">
        <f>MAX(V30,IF($B30=9,1,0))</f>
        <v/>
      </c>
      <c r="W31">
        <f>MAX(W30,IF($B30=10,1,0))</f>
        <v/>
      </c>
      <c r="X31">
        <f>MAX(X30,IF($B30=11,1,0))</f>
        <v/>
      </c>
      <c r="Y31">
        <f>MAX(Y30,IF($B30=12,1,0))</f>
        <v/>
      </c>
      <c r="Z31">
        <f>MAX(Z30,IF($B30=13,1,0))</f>
        <v/>
      </c>
      <c r="AA31">
        <f>MAX(AA30,IF($B30=14,1,0))</f>
        <v/>
      </c>
      <c r="AB31">
        <f>MAX(AB30,IF($B30=15,1,0))</f>
        <v/>
      </c>
      <c r="AC31">
        <f>MAX(AC30,IF($B30=16,1,0))</f>
        <v/>
      </c>
      <c r="AD31">
        <f>MAX(AD30,IF($B30=17,1,0))</f>
        <v/>
      </c>
      <c r="AE31">
        <f>MAX(AE30,IF($B30=18,1,0))</f>
        <v/>
      </c>
      <c r="AF31">
        <f>MAX(AF30,IF($B30=19,1,0))</f>
        <v/>
      </c>
      <c r="AG31">
        <f>MAX(AG30,IF($B30=20,1,0))</f>
        <v/>
      </c>
      <c r="AH31">
        <f>MAX(AH30,IF($B30=21,1,0))</f>
        <v/>
      </c>
      <c r="AI31">
        <f>MAX(AI30,IF($B30=22,1,0))</f>
        <v/>
      </c>
      <c r="AJ31">
        <f>MAX(AJ30,IF($B30=23,1,0))</f>
        <v/>
      </c>
      <c r="AK31">
        <f>MAX(AK30,IF($B30=24,1,0))</f>
        <v/>
      </c>
      <c r="AL31">
        <f>MAX(AL30,IF($B30=25,1,0))</f>
        <v/>
      </c>
      <c r="AM31">
        <f>MAX(AM30,IF($B30=26,1,0))</f>
        <v/>
      </c>
      <c r="AN31">
        <f>MAX(AN30,IF($B30=27,1,0))</f>
        <v/>
      </c>
      <c r="AO31">
        <f>MAX(AO30,IF($B30=28,1,0))</f>
        <v/>
      </c>
      <c r="AP31">
        <f>MAX(AP30,IF($B30=29,1,0))</f>
        <v/>
      </c>
      <c r="AQ31">
        <f>MAX(AQ30,IF($B30=30,1,0))</f>
        <v/>
      </c>
      <c r="AR31">
        <f>MAX(AR30,IF($B30=31,1,0))</f>
        <v/>
      </c>
      <c r="AS31">
        <f>MAX(AS30,IF($B30=32,1,0))</f>
        <v/>
      </c>
      <c r="AT31">
        <f>MAX(AT30,IF($B30=33,1,0))</f>
        <v/>
      </c>
      <c r="AU31">
        <f>MAX(AU30,IF($B30=34,1,0))</f>
        <v/>
      </c>
      <c r="AV31">
        <f>MAX(AV30,IF($B30=35,1,0))</f>
        <v/>
      </c>
      <c r="AW31">
        <f>MAX(AW30,IF($B30=36,1,0))</f>
        <v/>
      </c>
      <c r="AX31">
        <f>MAX(AX30,IF($B30=37,1,0))</f>
        <v/>
      </c>
      <c r="AY31">
        <f>MAX(AY30,IF($B30=38,1,0))</f>
        <v/>
      </c>
      <c r="AZ31">
        <f>MAX(AZ30,IF($B30=39,1,0))</f>
        <v/>
      </c>
      <c r="BA31">
        <f>MAX(BA30,IF($B30=40,1,0))</f>
        <v/>
      </c>
      <c r="BB31">
        <f>MAX(BB30,IF($B30=41,1,0))</f>
        <v/>
      </c>
      <c r="BC31">
        <f>MAX(BC30,IF($B30=42,1,0))</f>
        <v/>
      </c>
      <c r="BD31">
        <f>MAX(BD30,IF($B30=43,1,0))</f>
        <v/>
      </c>
      <c r="BE31">
        <f>MAX(BE30,IF($B30=44,1,0))</f>
        <v/>
      </c>
      <c r="BF31">
        <f>MAX(BF30,IF($B30=45,1,0))</f>
        <v/>
      </c>
      <c r="BH31">
        <f>IF(N31=1,1000000,IF('計算A'!$IT$10&gt;0,0,500000)+IF('計算A'!$IQ$10=2,SUMPRODUCT('計算A'!$D$60:$EQ$60,$DB31:$IO31,$IQ31:$OD31),SUMPRODUCT('計算A'!$D$60:$EQ$60,$DB31:$IO31))*1000+1)</f>
        <v/>
      </c>
      <c r="BI31">
        <f>IF(O31=1,1000000,IF('計算A'!$IT$11&gt;0,0,500000)+IF('計算A'!$IQ$11=2,SUMPRODUCT('計算A'!$D$61:$EQ$61,$DB31:$IO31,$IQ31:$OD31),SUMPRODUCT('計算A'!$D$61:$EQ$61,$DB31:$IO31))*1000+2)</f>
        <v/>
      </c>
      <c r="BJ31">
        <f>IF(P31=1,1000000,IF('計算A'!$IT$12&gt;0,0,500000)+IF('計算A'!$IQ$12=2,SUMPRODUCT('計算A'!$D$62:$EQ$62,$DB31:$IO31,$IQ31:$OD31),SUMPRODUCT('計算A'!$D$62:$EQ$62,$DB31:$IO31))*1000+3)</f>
        <v/>
      </c>
      <c r="BK31">
        <f>IF(Q31=1,1000000,IF('計算A'!$IT$13&gt;0,0,500000)+IF('計算A'!$IQ$13=2,SUMPRODUCT('計算A'!$D$63:$EQ$63,$DB31:$IO31,$IQ31:$OD31),SUMPRODUCT('計算A'!$D$63:$EQ$63,$DB31:$IO31))*1000+4)</f>
        <v/>
      </c>
      <c r="BL31">
        <f>IF(R31=1,1000000,IF('計算A'!$IT$14&gt;0,0,500000)+IF('計算A'!$IQ$14=2,SUMPRODUCT('計算A'!$D$64:$EQ$64,$DB31:$IO31,$IQ31:$OD31),SUMPRODUCT('計算A'!$D$64:$EQ$64,$DB31:$IO31))*1000+5)</f>
        <v/>
      </c>
      <c r="BM31">
        <f>IF(S31=1,1000000,IF('計算A'!$IT$15&gt;0,0,500000)+IF('計算A'!$IQ$15=2,SUMPRODUCT('計算A'!$D$65:$EQ$65,$DB31:$IO31,$IQ31:$OD31),SUMPRODUCT('計算A'!$D$65:$EQ$65,$DB31:$IO31))*1000+6)</f>
        <v/>
      </c>
      <c r="BN31">
        <f>IF(T31=1,1000000,IF('計算A'!$IT$16&gt;0,0,500000)+IF('計算A'!$IQ$16=2,SUMPRODUCT('計算A'!$D$66:$EQ$66,$DB31:$IO31,$IQ31:$OD31),SUMPRODUCT('計算A'!$D$66:$EQ$66,$DB31:$IO31))*1000+7)</f>
        <v/>
      </c>
      <c r="BO31">
        <f>IF(U31=1,1000000,IF('計算A'!$IT$17&gt;0,0,500000)+IF('計算A'!$IQ$17=2,SUMPRODUCT('計算A'!$D$67:$EQ$67,$DB31:$IO31,$IQ31:$OD31),SUMPRODUCT('計算A'!$D$67:$EQ$67,$DB31:$IO31))*1000+8)</f>
        <v/>
      </c>
      <c r="BP31">
        <f>IF(V31=1,1000000,IF('計算A'!$IT$18&gt;0,0,500000)+IF('計算A'!$IQ$18=2,SUMPRODUCT('計算A'!$D$68:$EQ$68,$DB31:$IO31,$IQ31:$OD31),SUMPRODUCT('計算A'!$D$68:$EQ$68,$DB31:$IO31))*1000+9)</f>
        <v/>
      </c>
      <c r="BQ31">
        <f>IF(W31=1,1000000,IF('計算A'!$IT$19&gt;0,0,500000)+IF('計算A'!$IQ$19=2,SUMPRODUCT('計算A'!$D$69:$EQ$69,$DB31:$IO31,$IQ31:$OD31),SUMPRODUCT('計算A'!$D$69:$EQ$69,$DB31:$IO31))*1000+10)</f>
        <v/>
      </c>
      <c r="BR31">
        <f>IF(X31=1,1000000,IF('計算A'!$IT$20&gt;0,0,500000)+IF('計算A'!$IQ$20=2,SUMPRODUCT('計算A'!$D$70:$EQ$70,$DB31:$IO31,$IQ31:$OD31),SUMPRODUCT('計算A'!$D$70:$EQ$70,$DB31:$IO31))*1000+11)</f>
        <v/>
      </c>
      <c r="BS31">
        <f>IF(Y31=1,1000000,IF('計算A'!$IT$21&gt;0,0,500000)+IF('計算A'!$IQ$21=2,SUMPRODUCT('計算A'!$D$71:$EQ$71,$DB31:$IO31,$IQ31:$OD31),SUMPRODUCT('計算A'!$D$71:$EQ$71,$DB31:$IO31))*1000+12)</f>
        <v/>
      </c>
      <c r="BT31">
        <f>IF(Z31=1,1000000,IF('計算A'!$IT$22&gt;0,0,500000)+IF('計算A'!$IQ$22=2,SUMPRODUCT('計算A'!$D$72:$EQ$72,$DB31:$IO31,$IQ31:$OD31),SUMPRODUCT('計算A'!$D$72:$EQ$72,$DB31:$IO31))*1000+13)</f>
        <v/>
      </c>
      <c r="BU31">
        <f>IF(AA31=1,1000000,IF('計算A'!$IT$23&gt;0,0,500000)+IF('計算A'!$IQ$23=2,SUMPRODUCT('計算A'!$D$73:$EQ$73,$DB31:$IO31,$IQ31:$OD31),SUMPRODUCT('計算A'!$D$73:$EQ$73,$DB31:$IO31))*1000+14)</f>
        <v/>
      </c>
      <c r="BV31">
        <f>IF(AB31=1,1000000,IF('計算A'!$IT$24&gt;0,0,500000)+IF('計算A'!$IQ$24=2,SUMPRODUCT('計算A'!$D$74:$EQ$74,$DB31:$IO31,$IQ31:$OD31),SUMPRODUCT('計算A'!$D$74:$EQ$74,$DB31:$IO31))*1000+15)</f>
        <v/>
      </c>
      <c r="BW31">
        <f>IF(AC31=1,1000000,IF('計算A'!$IT$25&gt;0,0,500000)+IF('計算A'!$IQ$25=2,SUMPRODUCT('計算A'!$D$75:$EQ$75,$DB31:$IO31,$IQ31:$OD31),SUMPRODUCT('計算A'!$D$75:$EQ$75,$DB31:$IO31))*1000+16)</f>
        <v/>
      </c>
      <c r="BX31">
        <f>IF(AD31=1,1000000,IF('計算A'!$IT$26&gt;0,0,500000)+IF('計算A'!$IQ$26=2,SUMPRODUCT('計算A'!$D$76:$EQ$76,$DB31:$IO31,$IQ31:$OD31),SUMPRODUCT('計算A'!$D$76:$EQ$76,$DB31:$IO31))*1000+17)</f>
        <v/>
      </c>
      <c r="BY31">
        <f>IF(AE31=1,1000000,IF('計算A'!$IT$27&gt;0,0,500000)+IF('計算A'!$IQ$27=2,SUMPRODUCT('計算A'!$D$77:$EQ$77,$DB31:$IO31,$IQ31:$OD31),SUMPRODUCT('計算A'!$D$77:$EQ$77,$DB31:$IO31))*1000+18)</f>
        <v/>
      </c>
      <c r="BZ31">
        <f>IF(AF31=1,1000000,IF('計算A'!$IT$28&gt;0,0,500000)+IF('計算A'!$IQ$28=2,SUMPRODUCT('計算A'!$D$78:$EQ$78,$DB31:$IO31,$IQ31:$OD31),SUMPRODUCT('計算A'!$D$78:$EQ$78,$DB31:$IO31))*1000+19)</f>
        <v/>
      </c>
      <c r="CA31">
        <f>IF(AG31=1,1000000,IF('計算A'!$IT$29&gt;0,0,500000)+IF('計算A'!$IQ$29=2,SUMPRODUCT('計算A'!$D$79:$EQ$79,$DB31:$IO31,$IQ31:$OD31),SUMPRODUCT('計算A'!$D$79:$EQ$79,$DB31:$IO31))*1000+20)</f>
        <v/>
      </c>
      <c r="CB31">
        <f>IF(AH31=1,1000000,IF('計算A'!$IT$30&gt;0,0,500000)+IF('計算A'!$IQ$30=2,SUMPRODUCT('計算A'!$D$80:$EQ$80,$DB31:$IO31,$IQ31:$OD31),SUMPRODUCT('計算A'!$D$80:$EQ$80,$DB31:$IO31))*1000+21)</f>
        <v/>
      </c>
      <c r="CC31">
        <f>IF(AI31=1,1000000,IF('計算A'!$IT$31&gt;0,0,500000)+IF('計算A'!$IQ$31=2,SUMPRODUCT('計算A'!$D$81:$EQ$81,$DB31:$IO31,$IQ31:$OD31),SUMPRODUCT('計算A'!$D$81:$EQ$81,$DB31:$IO31))*1000+22)</f>
        <v/>
      </c>
      <c r="CD31">
        <f>IF(AJ31=1,1000000,IF('計算A'!$IT$32&gt;0,0,500000)+IF('計算A'!$IQ$32=2,SUMPRODUCT('計算A'!$D$82:$EQ$82,$DB31:$IO31,$IQ31:$OD31),SUMPRODUCT('計算A'!$D$82:$EQ$82,$DB31:$IO31))*1000+23)</f>
        <v/>
      </c>
      <c r="CE31">
        <f>IF(AK31=1,1000000,IF('計算A'!$IT$33&gt;0,0,500000)+IF('計算A'!$IQ$33=2,SUMPRODUCT('計算A'!$D$83:$EQ$83,$DB31:$IO31,$IQ31:$OD31),SUMPRODUCT('計算A'!$D$83:$EQ$83,$DB31:$IO31))*1000+24)</f>
        <v/>
      </c>
      <c r="CF31">
        <f>IF(AL31=1,1000000,IF('計算A'!$IT$34&gt;0,0,500000)+IF('計算A'!$IQ$34=2,SUMPRODUCT('計算A'!$D$84:$EQ$84,$DB31:$IO31,$IQ31:$OD31),SUMPRODUCT('計算A'!$D$84:$EQ$84,$DB31:$IO31))*1000+25)</f>
        <v/>
      </c>
      <c r="CG31">
        <f>IF(AM31=1,1000000,IF('計算A'!$IT$35&gt;0,0,500000)+IF('計算A'!$IQ$35=2,SUMPRODUCT('計算A'!$D$85:$EQ$85,$DB31:$IO31,$IQ31:$OD31),SUMPRODUCT('計算A'!$D$85:$EQ$85,$DB31:$IO31))*1000+26)</f>
        <v/>
      </c>
      <c r="CH31">
        <f>IF(AN31=1,1000000,IF('計算A'!$IT$36&gt;0,0,500000)+IF('計算A'!$IQ$36=2,SUMPRODUCT('計算A'!$D$86:$EQ$86,$DB31:$IO31,$IQ31:$OD31),SUMPRODUCT('計算A'!$D$86:$EQ$86,$DB31:$IO31))*1000+27)</f>
        <v/>
      </c>
      <c r="CI31">
        <f>IF(AO31=1,1000000,IF('計算A'!$IT$37&gt;0,0,500000)+IF('計算A'!$IQ$37=2,SUMPRODUCT('計算A'!$D$87:$EQ$87,$DB31:$IO31,$IQ31:$OD31),SUMPRODUCT('計算A'!$D$87:$EQ$87,$DB31:$IO31))*1000+28)</f>
        <v/>
      </c>
      <c r="CJ31">
        <f>IF(AP31=1,1000000,IF('計算A'!$IT$38&gt;0,0,500000)+IF('計算A'!$IQ$38=2,SUMPRODUCT('計算A'!$D$88:$EQ$88,$DB31:$IO31,$IQ31:$OD31),SUMPRODUCT('計算A'!$D$88:$EQ$88,$DB31:$IO31))*1000+29)</f>
        <v/>
      </c>
      <c r="CK31">
        <f>IF(AQ31=1,1000000,IF('計算A'!$IT$39&gt;0,0,500000)+IF('計算A'!$IQ$39=2,SUMPRODUCT('計算A'!$D$89:$EQ$89,$DB31:$IO31,$IQ31:$OD31),SUMPRODUCT('計算A'!$D$89:$EQ$89,$DB31:$IO31))*1000+30)</f>
        <v/>
      </c>
      <c r="CL31">
        <f>IF(AR31=1,1000000,IF('計算A'!$IT$40&gt;0,0,500000)+IF('計算A'!$IQ$40=2,SUMPRODUCT('計算A'!$D$90:$EQ$90,$DB31:$IO31,$IQ31:$OD31),SUMPRODUCT('計算A'!$D$90:$EQ$90,$DB31:$IO31))*1000+31)</f>
        <v/>
      </c>
      <c r="CM31">
        <f>IF(AS31=1,1000000,IF('計算A'!$IT$41&gt;0,0,500000)+IF('計算A'!$IQ$41=2,SUMPRODUCT('計算A'!$D$91:$EQ$91,$DB31:$IO31,$IQ31:$OD31),SUMPRODUCT('計算A'!$D$91:$EQ$91,$DB31:$IO31))*1000+32)</f>
        <v/>
      </c>
      <c r="CN31">
        <f>IF(AT31=1,1000000,IF('計算A'!$IT$42&gt;0,0,500000)+IF('計算A'!$IQ$42=2,SUMPRODUCT('計算A'!$D$92:$EQ$92,$DB31:$IO31,$IQ31:$OD31),SUMPRODUCT('計算A'!$D$92:$EQ$92,$DB31:$IO31))*1000+33)</f>
        <v/>
      </c>
      <c r="CO31">
        <f>IF(AU31=1,1000000,IF('計算A'!$IT$43&gt;0,0,500000)+IF('計算A'!$IQ$43=2,SUMPRODUCT('計算A'!$D$93:$EQ$93,$DB31:$IO31,$IQ31:$OD31),SUMPRODUCT('計算A'!$D$93:$EQ$93,$DB31:$IO31))*1000+34)</f>
        <v/>
      </c>
      <c r="CP31">
        <f>IF(AV31=1,1000000,IF('計算A'!$IT$44&gt;0,0,500000)+IF('計算A'!$IQ$44=2,SUMPRODUCT('計算A'!$D$94:$EQ$94,$DB31:$IO31,$IQ31:$OD31),SUMPRODUCT('計算A'!$D$94:$EQ$94,$DB31:$IO31))*1000+35)</f>
        <v/>
      </c>
      <c r="CQ31">
        <f>IF(AW31=1,1000000,IF('計算A'!$IT$45&gt;0,0,500000)+IF('計算A'!$IQ$45=2,SUMPRODUCT('計算A'!$D$95:$EQ$95,$DB31:$IO31,$IQ31:$OD31),SUMPRODUCT('計算A'!$D$95:$EQ$95,$DB31:$IO31))*1000+36)</f>
        <v/>
      </c>
      <c r="CR31">
        <f>IF(AX31=1,1000000,IF('計算A'!$IT$46&gt;0,0,500000)+IF('計算A'!$IQ$46=2,SUMPRODUCT('計算A'!$D$96:$EQ$96,$DB31:$IO31,$IQ31:$OD31),SUMPRODUCT('計算A'!$D$96:$EQ$96,$DB31:$IO31))*1000+37)</f>
        <v/>
      </c>
      <c r="CS31">
        <f>IF(AY31=1,1000000,IF('計算A'!$IT$47&gt;0,0,500000)+IF('計算A'!$IQ$47=2,SUMPRODUCT('計算A'!$D$97:$EQ$97,$DB31:$IO31,$IQ31:$OD31),SUMPRODUCT('計算A'!$D$97:$EQ$97,$DB31:$IO31))*1000+38)</f>
        <v/>
      </c>
      <c r="CT31">
        <f>IF(AZ31=1,1000000,IF('計算A'!$IT$48&gt;0,0,500000)+IF('計算A'!$IQ$48=2,SUMPRODUCT('計算A'!$D$98:$EQ$98,$DB31:$IO31,$IQ31:$OD31),SUMPRODUCT('計算A'!$D$98:$EQ$98,$DB31:$IO31))*1000+39)</f>
        <v/>
      </c>
      <c r="CU31">
        <f>IF(BA31=1,1000000,IF('計算A'!$IT$49&gt;0,0,500000)+IF('計算A'!$IQ$49=2,SUMPRODUCT('計算A'!$D$99:$EQ$99,$DB31:$IO31,$IQ31:$OD31),SUMPRODUCT('計算A'!$D$99:$EQ$99,$DB31:$IO31))*1000+40)</f>
        <v/>
      </c>
      <c r="CV31">
        <f>IF(BB31=1,1000000,IF('計算A'!$IT$50&gt;0,0,500000)+IF('計算A'!$IQ$50=2,SUMPRODUCT('計算A'!$D$100:$EQ$100,$DB31:$IO31,$IQ31:$OD31),SUMPRODUCT('計算A'!$D$100:$EQ$100,$DB31:$IO31))*1000+41)</f>
        <v/>
      </c>
      <c r="CW31">
        <f>IF(BC31=1,1000000,IF('計算A'!$IT$51&gt;0,0,500000)+IF('計算A'!$IQ$51=2,SUMPRODUCT('計算A'!$D$101:$EQ$101,$DB31:$IO31,$IQ31:$OD31),SUMPRODUCT('計算A'!$D$101:$EQ$101,$DB31:$IO31))*1000+42)</f>
        <v/>
      </c>
      <c r="CX31">
        <f>IF(BD31=1,1000000,IF('計算A'!$IT$52&gt;0,0,500000)+IF('計算A'!$IQ$52=2,SUMPRODUCT('計算A'!$D$102:$EQ$102,$DB31:$IO31,$IQ31:$OD31),SUMPRODUCT('計算A'!$D$102:$EQ$102,$DB31:$IO31))*1000+43)</f>
        <v/>
      </c>
      <c r="CY31">
        <f>IF(BE31=1,1000000,IF('計算A'!$IT$53&gt;0,0,500000)+IF('計算A'!$IQ$53=2,SUMPRODUCT('計算A'!$D$103:$EQ$103,$DB31:$IO31,$IQ31:$OD31),SUMPRODUCT('計算A'!$D$103:$EQ$103,$DB31:$IO31))*1000+44)</f>
        <v/>
      </c>
      <c r="CZ31">
        <f>IF(BF31=1,1000000,IF('計算A'!$IT$54&gt;0,0,500000)+IF('計算A'!$IQ$54=2,SUMPRODUCT('計算A'!$D$104:$EQ$104,$DB31:$IO31,$IQ31:$OD31),SUMPRODUCT('計算A'!$D$104:$EQ$104,$DB31:$IO31))*1000+45)</f>
        <v/>
      </c>
      <c r="DB31">
        <f>DB30*IF(OR($C30=1,$G30=1),0,1)</f>
        <v/>
      </c>
      <c r="DC31">
        <f>DC30*IF(OR($C30=2,$G30=2),0,1)</f>
        <v/>
      </c>
      <c r="DD31">
        <f>DD30*IF(OR($C30=3,$G30=3),0,1)</f>
        <v/>
      </c>
      <c r="DE31">
        <f>DE30*IF(OR($C30=4,$G30=4),0,1)</f>
        <v/>
      </c>
      <c r="DF31">
        <f>DF30*IF(OR($C30=5,$G30=5),0,1)</f>
        <v/>
      </c>
      <c r="DG31">
        <f>DG30*IF(OR($C30=6,$G30=6),0,1)</f>
        <v/>
      </c>
      <c r="DH31">
        <f>DH30*IF(OR($C30=7,$G30=7),0,1)</f>
        <v/>
      </c>
      <c r="DI31">
        <f>DI30*IF(OR($C30=8,$G30=8),0,1)</f>
        <v/>
      </c>
      <c r="DJ31">
        <f>DJ30*IF(OR($C30=9,$G30=9),0,1)</f>
        <v/>
      </c>
      <c r="DK31">
        <f>DK30*IF(OR($C30=10,$G30=10),0,1)</f>
        <v/>
      </c>
      <c r="DL31">
        <f>DL30*IF(OR($C30=11,$G30=11),0,1)</f>
        <v/>
      </c>
      <c r="DM31">
        <f>DM30*IF(OR($C30=12,$G30=12),0,1)</f>
        <v/>
      </c>
      <c r="DN31">
        <f>DN30*IF(OR($C30=13,$G30=13),0,1)</f>
        <v/>
      </c>
      <c r="DO31">
        <f>DO30*IF(OR($C30=14,$G30=14),0,1)</f>
        <v/>
      </c>
      <c r="DP31">
        <f>DP30*IF(OR($C30=15,$G30=15),0,1)</f>
        <v/>
      </c>
      <c r="DQ31">
        <f>DQ30*IF(OR($C30=16,$G30=16),0,1)</f>
        <v/>
      </c>
      <c r="DR31">
        <f>DR30*IF(OR($C30=17,$G30=17),0,1)</f>
        <v/>
      </c>
      <c r="DS31">
        <f>DS30*IF(OR($C30=18,$G30=18),0,1)</f>
        <v/>
      </c>
      <c r="DT31">
        <f>DT30*IF(OR($C30=19,$G30=19),0,1)</f>
        <v/>
      </c>
      <c r="DU31">
        <f>DU30*IF(OR($C30=20,$G30=20),0,1)</f>
        <v/>
      </c>
      <c r="DV31">
        <f>DV30*IF(OR($C30=21,$G30=21),0,1)</f>
        <v/>
      </c>
      <c r="DW31">
        <f>DW30*IF(OR($C30=22,$G30=22),0,1)</f>
        <v/>
      </c>
      <c r="DX31">
        <f>DX30*IF(OR($C30=23,$G30=23),0,1)</f>
        <v/>
      </c>
      <c r="DY31">
        <f>DY30*IF(OR($C30=24,$G30=24),0,1)</f>
        <v/>
      </c>
      <c r="DZ31">
        <f>DZ30*IF(OR($C30=25,$G30=25),0,1)</f>
        <v/>
      </c>
      <c r="EA31">
        <f>EA30*IF(OR($C30=26,$G30=26),0,1)</f>
        <v/>
      </c>
      <c r="EB31">
        <f>EB30*IF(OR($C30=27,$G30=27),0,1)</f>
        <v/>
      </c>
      <c r="EC31">
        <f>EC30*IF(OR($C30=28,$G30=28),0,1)</f>
        <v/>
      </c>
      <c r="ED31">
        <f>ED30*IF(OR($C30=29,$G30=29),0,1)</f>
        <v/>
      </c>
      <c r="EE31">
        <f>EE30*IF(OR($C30=30,$G30=30),0,1)</f>
        <v/>
      </c>
      <c r="EF31">
        <f>EF30*IF(OR($C30=31,$G30=31),0,1)</f>
        <v/>
      </c>
      <c r="EG31">
        <f>EG30*IF(OR($C30=32,$G30=32),0,1)</f>
        <v/>
      </c>
      <c r="EH31">
        <f>EH30*IF(OR($C30=33,$G30=33),0,1)</f>
        <v/>
      </c>
      <c r="EI31">
        <f>EI30*IF(OR($C30=34,$G30=34),0,1)</f>
        <v/>
      </c>
      <c r="EJ31">
        <f>EJ30*IF(OR($C30=35,$G30=35),0,1)</f>
        <v/>
      </c>
      <c r="EK31">
        <f>EK30*IF(OR($C30=36,$G30=36),0,1)</f>
        <v/>
      </c>
      <c r="EL31">
        <f>EL30*IF(OR($C30=37,$G30=37),0,1)</f>
        <v/>
      </c>
      <c r="EM31">
        <f>EM30*IF(OR($C30=38,$G30=38),0,1)</f>
        <v/>
      </c>
      <c r="EN31">
        <f>EN30*IF(OR($C30=39,$G30=39),0,1)</f>
        <v/>
      </c>
      <c r="EO31">
        <f>EO30*IF(OR($C30=40,$G30=40),0,1)</f>
        <v/>
      </c>
      <c r="EP31">
        <f>EP30*IF(OR($C30=41,$G30=41),0,1)</f>
        <v/>
      </c>
      <c r="EQ31">
        <f>EQ30*IF(OR($C30=42,$G30=42),0,1)</f>
        <v/>
      </c>
      <c r="ER31">
        <f>ER30*IF(OR($C30=43,$G30=43),0,1)</f>
        <v/>
      </c>
      <c r="ES31">
        <f>ES30*IF(OR($C30=44,$G30=44),0,1)</f>
        <v/>
      </c>
      <c r="ET31">
        <f>ET30*IF(OR($C30=45,$G30=45),0,1)</f>
        <v/>
      </c>
      <c r="EU31">
        <f>EU30*IF(OR($C30=46,$G30=46),0,1)</f>
        <v/>
      </c>
      <c r="EV31">
        <f>EV30*IF(OR($C30=47,$G30=47),0,1)</f>
        <v/>
      </c>
      <c r="EW31">
        <f>EW30*IF(OR($C30=48,$G30=48),0,1)</f>
        <v/>
      </c>
      <c r="EX31">
        <f>EX30*IF(OR($C30=49,$G30=49),0,1)</f>
        <v/>
      </c>
      <c r="EY31">
        <f>EY30*IF(OR($C30=50,$G30=50),0,1)</f>
        <v/>
      </c>
      <c r="EZ31">
        <f>EZ30*IF(OR($C30=51,$G30=51),0,1)</f>
        <v/>
      </c>
      <c r="FA31">
        <f>FA30*IF(OR($C30=52,$G30=52),0,1)</f>
        <v/>
      </c>
      <c r="FB31">
        <f>FB30*IF(OR($C30=53,$G30=53),0,1)</f>
        <v/>
      </c>
      <c r="FC31">
        <f>FC30*IF(OR($C30=54,$G30=54),0,1)</f>
        <v/>
      </c>
      <c r="FD31">
        <f>FD30*IF(OR($C30=55,$G30=55),0,1)</f>
        <v/>
      </c>
      <c r="FE31">
        <f>FE30*IF(OR($C30=56,$G30=56),0,1)</f>
        <v/>
      </c>
      <c r="FF31">
        <f>FF30*IF(OR($C30=57,$G30=57),0,1)</f>
        <v/>
      </c>
      <c r="FG31">
        <f>FG30*IF(OR($C30=58,$G30=58),0,1)</f>
        <v/>
      </c>
      <c r="FH31">
        <f>FH30*IF(OR($C30=59,$G30=59),0,1)</f>
        <v/>
      </c>
      <c r="FI31">
        <f>FI30*IF(OR($C30=60,$G30=60),0,1)</f>
        <v/>
      </c>
      <c r="FJ31">
        <f>FJ30*IF(OR($C30=61,$G30=61),0,1)</f>
        <v/>
      </c>
      <c r="FK31">
        <f>FK30*IF(OR($C30=62,$G30=62),0,1)</f>
        <v/>
      </c>
      <c r="FL31">
        <f>FL30*IF(OR($C30=63,$G30=63),0,1)</f>
        <v/>
      </c>
      <c r="FM31">
        <f>FM30*IF(OR($C30=64,$G30=64),0,1)</f>
        <v/>
      </c>
      <c r="FN31">
        <f>FN30*IF(OR($C30=65,$G30=65),0,1)</f>
        <v/>
      </c>
      <c r="FO31">
        <f>FO30*IF(OR($C30=66,$G30=66),0,1)</f>
        <v/>
      </c>
      <c r="FP31">
        <f>FP30*IF(OR($C30=67,$G30=67),0,1)</f>
        <v/>
      </c>
      <c r="FQ31">
        <f>FQ30*IF(OR($C30=68,$G30=68),0,1)</f>
        <v/>
      </c>
      <c r="FR31">
        <f>FR30*IF(OR($C30=69,$G30=69),0,1)</f>
        <v/>
      </c>
      <c r="FS31">
        <f>FS30*IF(OR($C30=70,$G30=70),0,1)</f>
        <v/>
      </c>
      <c r="FT31">
        <f>FT30*IF(OR($C30=71,$G30=71),0,1)</f>
        <v/>
      </c>
      <c r="FU31">
        <f>FU30*IF(OR($C30=72,$G30=72),0,1)</f>
        <v/>
      </c>
      <c r="FV31">
        <f>FV30*IF(OR($C30=73,$G30=73),0,1)</f>
        <v/>
      </c>
      <c r="FW31">
        <f>FW30*IF(OR($C30=74,$G30=74),0,1)</f>
        <v/>
      </c>
      <c r="FX31">
        <f>FX30*IF(OR($C30=75,$G30=75),0,1)</f>
        <v/>
      </c>
      <c r="FY31">
        <f>FY30*IF(OR($C30=76,$G30=76),0,1)</f>
        <v/>
      </c>
      <c r="FZ31">
        <f>FZ30*IF(OR($C30=77,$G30=77),0,1)</f>
        <v/>
      </c>
      <c r="GA31">
        <f>GA30*IF(OR($C30=78,$G30=78),0,1)</f>
        <v/>
      </c>
      <c r="GB31">
        <f>GB30*IF(OR($C30=79,$G30=79),0,1)</f>
        <v/>
      </c>
      <c r="GC31">
        <f>GC30*IF(OR($C30=80,$G30=80),0,1)</f>
        <v/>
      </c>
      <c r="GD31">
        <f>GD30*IF(OR($C30=81,$G30=81),0,1)</f>
        <v/>
      </c>
      <c r="GE31">
        <f>GE30*IF(OR($C30=82,$G30=82),0,1)</f>
        <v/>
      </c>
      <c r="GF31">
        <f>GF30*IF(OR($C30=83,$G30=83),0,1)</f>
        <v/>
      </c>
      <c r="GG31">
        <f>GG30*IF(OR($C30=84,$G30=84),0,1)</f>
        <v/>
      </c>
      <c r="GH31">
        <f>GH30*IF(OR($C30=85,$G30=85),0,1)</f>
        <v/>
      </c>
      <c r="GI31">
        <f>GI30*IF(OR($C30=86,$G30=86),0,1)</f>
        <v/>
      </c>
      <c r="GJ31">
        <f>GJ30*IF(OR($C30=87,$G30=87),0,1)</f>
        <v/>
      </c>
      <c r="GK31">
        <f>GK30*IF(OR($C30=88,$G30=88),0,1)</f>
        <v/>
      </c>
      <c r="GL31">
        <f>GL30*IF(OR($C30=89,$G30=89),0,1)</f>
        <v/>
      </c>
      <c r="GM31">
        <f>GM30*IF(OR($C30=90,$G30=90),0,1)</f>
        <v/>
      </c>
      <c r="GN31">
        <f>GN30*IF(OR($C30=91,$G30=91),0,1)</f>
        <v/>
      </c>
      <c r="GO31">
        <f>GO30*IF(OR($C30=92,$G30=92),0,1)</f>
        <v/>
      </c>
      <c r="GP31">
        <f>GP30*IF(OR($C30=93,$G30=93),0,1)</f>
        <v/>
      </c>
      <c r="GQ31">
        <f>GQ30*IF(OR($C30=94,$G30=94),0,1)</f>
        <v/>
      </c>
      <c r="GR31">
        <f>GR30*IF(OR($C30=95,$G30=95),0,1)</f>
        <v/>
      </c>
      <c r="GS31">
        <f>GS30*IF(OR($C30=96,$G30=96),0,1)</f>
        <v/>
      </c>
      <c r="GT31">
        <f>GT30*IF(OR($C30=97,$G30=97),0,1)</f>
        <v/>
      </c>
      <c r="GU31">
        <f>GU30*IF(OR($C30=98,$G30=98),0,1)</f>
        <v/>
      </c>
      <c r="GV31">
        <f>GV30*IF(OR($C30=99,$G30=99),0,1)</f>
        <v/>
      </c>
      <c r="GW31">
        <f>GW30*IF(OR($C30=100,$G30=100),0,1)</f>
        <v/>
      </c>
      <c r="GX31">
        <f>GX30*IF(OR($C30=101,$G30=101),0,1)</f>
        <v/>
      </c>
      <c r="GY31">
        <f>GY30*IF(OR($C30=102,$G30=102),0,1)</f>
        <v/>
      </c>
      <c r="GZ31">
        <f>GZ30*IF(OR($C30=103,$G30=103),0,1)</f>
        <v/>
      </c>
      <c r="HA31">
        <f>HA30*IF(OR($C30=104,$G30=104),0,1)</f>
        <v/>
      </c>
      <c r="HB31">
        <f>HB30*IF(OR($C30=105,$G30=105),0,1)</f>
        <v/>
      </c>
      <c r="HC31">
        <f>HC30*IF(OR($C30=106,$G30=106),0,1)</f>
        <v/>
      </c>
      <c r="HD31">
        <f>HD30*IF(OR($C30=107,$G30=107),0,1)</f>
        <v/>
      </c>
      <c r="HE31">
        <f>HE30*IF(OR($C30=108,$G30=108),0,1)</f>
        <v/>
      </c>
      <c r="HF31">
        <f>HF30*IF(OR($C30=109,$G30=109),0,1)</f>
        <v/>
      </c>
      <c r="HG31">
        <f>HG30*IF(OR($C30=110,$G30=110),0,1)</f>
        <v/>
      </c>
      <c r="HH31">
        <f>HH30*IF(OR($C30=111,$G30=111),0,1)</f>
        <v/>
      </c>
      <c r="HI31">
        <f>HI30*IF(OR($C30=112,$G30=112),0,1)</f>
        <v/>
      </c>
      <c r="HJ31">
        <f>HJ30*IF(OR($C30=113,$G30=113),0,1)</f>
        <v/>
      </c>
      <c r="HK31">
        <f>HK30*IF(OR($C30=114,$G30=114),0,1)</f>
        <v/>
      </c>
      <c r="HL31">
        <f>HL30*IF(OR($C30=115,$G30=115),0,1)</f>
        <v/>
      </c>
      <c r="HM31">
        <f>HM30*IF(OR($C30=116,$G30=116),0,1)</f>
        <v/>
      </c>
      <c r="HN31">
        <f>HN30*IF(OR($C30=117,$G30=117),0,1)</f>
        <v/>
      </c>
      <c r="HO31">
        <f>HO30*IF(OR($C30=118,$G30=118),0,1)</f>
        <v/>
      </c>
      <c r="HP31">
        <f>HP30*IF(OR($C30=119,$G30=119),0,1)</f>
        <v/>
      </c>
      <c r="HQ31">
        <f>HQ30*IF(OR($C30=120,$G30=120),0,1)</f>
        <v/>
      </c>
      <c r="HR31">
        <f>HR30*IF(OR($C30=121,$G30=121),0,1)</f>
        <v/>
      </c>
      <c r="HS31">
        <f>HS30*IF(OR($C30=122,$G30=122),0,1)</f>
        <v/>
      </c>
      <c r="HT31">
        <f>HT30*IF(OR($C30=123,$G30=123),0,1)</f>
        <v/>
      </c>
      <c r="HU31">
        <f>HU30*IF(OR($C30=124,$G30=124),0,1)</f>
        <v/>
      </c>
      <c r="HV31">
        <f>HV30*IF(OR($C30=125,$G30=125),0,1)</f>
        <v/>
      </c>
      <c r="HW31">
        <f>HW30*IF(OR($C30=126,$G30=126),0,1)</f>
        <v/>
      </c>
      <c r="HX31">
        <f>HX30*IF(OR($C30=127,$G30=127),0,1)</f>
        <v/>
      </c>
      <c r="HY31">
        <f>HY30*IF(OR($C30=128,$G30=128),0,1)</f>
        <v/>
      </c>
      <c r="HZ31">
        <f>HZ30*IF(OR($C30=129,$G30=129),0,1)</f>
        <v/>
      </c>
      <c r="IA31">
        <f>IA30*IF(OR($C30=130,$G30=130),0,1)</f>
        <v/>
      </c>
      <c r="IB31">
        <f>IB30*IF(OR($C30=131,$G30=131),0,1)</f>
        <v/>
      </c>
      <c r="IC31">
        <f>IC30*IF(OR($C30=132,$G30=132),0,1)</f>
        <v/>
      </c>
      <c r="ID31">
        <f>ID30*IF(OR($C30=133,$G30=133),0,1)</f>
        <v/>
      </c>
      <c r="IE31">
        <f>IE30*IF(OR($C30=134,$G30=134),0,1)</f>
        <v/>
      </c>
      <c r="IF31">
        <f>IF30*IF(OR($C30=135,$G30=135),0,1)</f>
        <v/>
      </c>
      <c r="IG31">
        <f>IG30*IF(OR($C30=136,$G30=136),0,1)</f>
        <v/>
      </c>
      <c r="IH31">
        <f>IH30*IF(OR($C30=137,$G30=137),0,1)</f>
        <v/>
      </c>
      <c r="II31">
        <f>II30*IF(OR($C30=138,$G30=138),0,1)</f>
        <v/>
      </c>
      <c r="IJ31">
        <f>IJ30*IF(OR($C30=139,$G30=139),0,1)</f>
        <v/>
      </c>
      <c r="IK31">
        <f>IK30*IF(OR($C30=140,$G30=140),0,1)</f>
        <v/>
      </c>
      <c r="IL31">
        <f>IL30*IF(OR($C30=141,$G30=141),0,1)</f>
        <v/>
      </c>
      <c r="IM31">
        <f>IM30*IF(OR($C30=142,$G30=142),0,1)</f>
        <v/>
      </c>
      <c r="IN31">
        <f>IN30*IF(OR($C30=143,$G30=143),0,1)</f>
        <v/>
      </c>
      <c r="IO31">
        <f>IO30*IF(OR($C30=144,$G30=144),0,1)</f>
        <v/>
      </c>
      <c r="IQ31">
        <f>IF('計算A'!D$106=1,DC31,1)</f>
        <v/>
      </c>
      <c r="IR31">
        <f>IF('計算A'!E$106=1,DD31,1)</f>
        <v/>
      </c>
      <c r="IS31">
        <f>IF('計算A'!F$106=1,DE31,1)</f>
        <v/>
      </c>
      <c r="IT31">
        <f>IF('計算A'!G$106=1,DF31,1)</f>
        <v/>
      </c>
      <c r="IU31">
        <f>IF('計算A'!H$106=1,DG31,1)</f>
        <v/>
      </c>
      <c r="IV31">
        <f>IF('計算A'!I$106=1,DH31,1)</f>
        <v/>
      </c>
      <c r="IW31">
        <f>IF('計算A'!J$106=1,DI31,1)</f>
        <v/>
      </c>
      <c r="IX31">
        <f>IF('計算A'!K$106=1,DJ31,1)</f>
        <v/>
      </c>
      <c r="IY31">
        <f>IF('計算A'!L$106=1,DK31,1)</f>
        <v/>
      </c>
      <c r="IZ31">
        <f>IF('計算A'!M$106=1,DL31,1)</f>
        <v/>
      </c>
      <c r="JA31">
        <f>IF('計算A'!N$106=1,DM31,1)</f>
        <v/>
      </c>
      <c r="JB31">
        <f>IF('計算A'!O$106=1,DN31,1)</f>
        <v/>
      </c>
      <c r="JC31">
        <f>IF('計算A'!P$106=1,DO31,1)</f>
        <v/>
      </c>
      <c r="JD31">
        <f>IF('計算A'!Q$106=1,DP31,1)</f>
        <v/>
      </c>
      <c r="JE31">
        <f>IF('計算A'!R$106=1,DQ31,1)</f>
        <v/>
      </c>
      <c r="JF31">
        <f>IF('計算A'!S$106=1,DR31,1)</f>
        <v/>
      </c>
      <c r="JG31">
        <f>IF('計算A'!T$106=1,DS31,1)</f>
        <v/>
      </c>
      <c r="JH31">
        <f>IF('計算A'!U$106=1,DT31,1)</f>
        <v/>
      </c>
      <c r="JI31">
        <f>IF('計算A'!V$106=1,DU31,1)</f>
        <v/>
      </c>
      <c r="JJ31">
        <f>IF('計算A'!W$106=1,DV31,1)</f>
        <v/>
      </c>
      <c r="JK31">
        <f>IF('計算A'!X$106=1,DW31,1)</f>
        <v/>
      </c>
      <c r="JL31">
        <f>IF('計算A'!Y$106=1,DX31,1)</f>
        <v/>
      </c>
      <c r="JM31">
        <f>IF('計算A'!Z$106=1,DY31,1)</f>
        <v/>
      </c>
      <c r="JN31">
        <f>IF('計算A'!AA$106=1,DZ31,1)</f>
        <v/>
      </c>
      <c r="JO31">
        <f>IF('計算A'!AB$106=1,EA31,1)</f>
        <v/>
      </c>
      <c r="JP31">
        <f>IF('計算A'!AC$106=1,EB31,1)</f>
        <v/>
      </c>
      <c r="JQ31">
        <f>IF('計算A'!AD$106=1,EC31,1)</f>
        <v/>
      </c>
      <c r="JR31">
        <f>IF('計算A'!AE$106=1,ED31,1)</f>
        <v/>
      </c>
      <c r="JS31">
        <f>IF('計算A'!AF$106=1,EE31,1)</f>
        <v/>
      </c>
      <c r="JT31">
        <f>IF('計算A'!AG$106=1,EF31,1)</f>
        <v/>
      </c>
      <c r="JU31">
        <f>IF('計算A'!AH$106=1,EG31,1)</f>
        <v/>
      </c>
      <c r="JV31">
        <f>IF('計算A'!AI$106=1,EH31,1)</f>
        <v/>
      </c>
      <c r="JW31">
        <f>IF('計算A'!AJ$106=1,EI31,1)</f>
        <v/>
      </c>
      <c r="JX31">
        <f>IF('計算A'!AK$106=1,EJ31,1)</f>
        <v/>
      </c>
      <c r="JY31">
        <f>IF('計算A'!AL$106=1,EK31,1)</f>
        <v/>
      </c>
      <c r="JZ31">
        <f>IF('計算A'!AM$106=1,EL31,1)</f>
        <v/>
      </c>
      <c r="KA31">
        <f>IF('計算A'!AN$106=1,EM31,1)</f>
        <v/>
      </c>
      <c r="KB31">
        <f>IF('計算A'!AO$106=1,EN31,1)</f>
        <v/>
      </c>
      <c r="KC31">
        <f>IF('計算A'!AP$106=1,EO31,1)</f>
        <v/>
      </c>
      <c r="KD31">
        <f>IF('計算A'!AQ$106=1,EP31,1)</f>
        <v/>
      </c>
      <c r="KE31">
        <f>IF('計算A'!AR$106=1,EQ31,1)</f>
        <v/>
      </c>
      <c r="KF31">
        <f>IF('計算A'!AS$106=1,ER31,1)</f>
        <v/>
      </c>
      <c r="KG31">
        <f>IF('計算A'!AT$106=1,ES31,1)</f>
        <v/>
      </c>
      <c r="KH31">
        <f>IF('計算A'!AU$106=1,ET31,1)</f>
        <v/>
      </c>
      <c r="KI31">
        <f>IF('計算A'!AV$106=1,EU31,1)</f>
        <v/>
      </c>
      <c r="KJ31">
        <f>IF('計算A'!AW$106=1,EV31,1)</f>
        <v/>
      </c>
      <c r="KK31">
        <f>IF('計算A'!AX$106=1,EW31,1)</f>
        <v/>
      </c>
      <c r="KL31">
        <f>IF('計算A'!AY$106=1,EX31,1)</f>
        <v/>
      </c>
      <c r="KM31">
        <f>IF('計算A'!AZ$106=1,EY31,1)</f>
        <v/>
      </c>
      <c r="KN31">
        <f>IF('計算A'!BA$106=1,EZ31,1)</f>
        <v/>
      </c>
      <c r="KO31">
        <f>IF('計算A'!BB$106=1,FA31,1)</f>
        <v/>
      </c>
      <c r="KP31">
        <f>IF('計算A'!BC$106=1,FB31,1)</f>
        <v/>
      </c>
      <c r="KQ31">
        <f>IF('計算A'!BD$106=1,FC31,1)</f>
        <v/>
      </c>
      <c r="KR31">
        <f>IF('計算A'!BE$106=1,FD31,1)</f>
        <v/>
      </c>
      <c r="KS31">
        <f>IF('計算A'!BF$106=1,FE31,1)</f>
        <v/>
      </c>
      <c r="KT31">
        <f>IF('計算A'!BG$106=1,FF31,1)</f>
        <v/>
      </c>
      <c r="KU31">
        <f>IF('計算A'!BH$106=1,FG31,1)</f>
        <v/>
      </c>
      <c r="KV31">
        <f>IF('計算A'!BI$106=1,FH31,1)</f>
        <v/>
      </c>
      <c r="KW31">
        <f>IF('計算A'!BJ$106=1,FI31,1)</f>
        <v/>
      </c>
      <c r="KX31">
        <f>IF('計算A'!BK$106=1,FJ31,1)</f>
        <v/>
      </c>
      <c r="KY31">
        <f>IF('計算A'!BL$106=1,FK31,1)</f>
        <v/>
      </c>
      <c r="KZ31">
        <f>IF('計算A'!BM$106=1,FL31,1)</f>
        <v/>
      </c>
      <c r="LA31">
        <f>IF('計算A'!BN$106=1,FM31,1)</f>
        <v/>
      </c>
      <c r="LB31">
        <f>IF('計算A'!BO$106=1,FN31,1)</f>
        <v/>
      </c>
      <c r="LC31">
        <f>IF('計算A'!BP$106=1,FO31,1)</f>
        <v/>
      </c>
      <c r="LD31">
        <f>IF('計算A'!BQ$106=1,FP31,1)</f>
        <v/>
      </c>
      <c r="LE31">
        <f>IF('計算A'!BR$106=1,FQ31,1)</f>
        <v/>
      </c>
      <c r="LF31">
        <f>IF('計算A'!BS$106=1,FR31,1)</f>
        <v/>
      </c>
      <c r="LG31">
        <f>IF('計算A'!BT$106=1,FS31,1)</f>
        <v/>
      </c>
      <c r="LH31">
        <f>IF('計算A'!BU$106=1,FT31,1)</f>
        <v/>
      </c>
      <c r="LI31">
        <f>IF('計算A'!BV$106=1,FU31,1)</f>
        <v/>
      </c>
      <c r="LJ31">
        <f>IF('計算A'!BW$106=1,FV31,1)</f>
        <v/>
      </c>
      <c r="LK31">
        <f>IF('計算A'!BX$106=1,FW31,1)</f>
        <v/>
      </c>
      <c r="LL31">
        <f>IF('計算A'!BY$106=1,FX31,1)</f>
        <v/>
      </c>
      <c r="LM31">
        <f>IF('計算A'!BZ$106=1,FY31,1)</f>
        <v/>
      </c>
      <c r="LN31">
        <f>IF('計算A'!CA$106=1,FZ31,1)</f>
        <v/>
      </c>
      <c r="LO31">
        <f>IF('計算A'!CB$106=1,GA31,1)</f>
        <v/>
      </c>
      <c r="LP31">
        <f>IF('計算A'!CC$106=1,GB31,1)</f>
        <v/>
      </c>
      <c r="LQ31">
        <f>IF('計算A'!CD$106=1,GC31,1)</f>
        <v/>
      </c>
      <c r="LR31">
        <f>IF('計算A'!CE$106=1,GD31,1)</f>
        <v/>
      </c>
      <c r="LS31">
        <f>IF('計算A'!CF$106=1,GE31,1)</f>
        <v/>
      </c>
      <c r="LT31">
        <f>IF('計算A'!CG$106=1,GF31,1)</f>
        <v/>
      </c>
      <c r="LU31">
        <f>IF('計算A'!CH$106=1,GG31,1)</f>
        <v/>
      </c>
      <c r="LV31">
        <f>IF('計算A'!CI$106=1,GH31,1)</f>
        <v/>
      </c>
      <c r="LW31">
        <f>IF('計算A'!CJ$106=1,GI31,1)</f>
        <v/>
      </c>
      <c r="LX31">
        <f>IF('計算A'!CK$106=1,GJ31,1)</f>
        <v/>
      </c>
      <c r="LY31">
        <f>IF('計算A'!CL$106=1,GK31,1)</f>
        <v/>
      </c>
      <c r="LZ31">
        <f>IF('計算A'!CM$106=1,GL31,1)</f>
        <v/>
      </c>
      <c r="MA31">
        <f>IF('計算A'!CN$106=1,GM31,1)</f>
        <v/>
      </c>
      <c r="MB31">
        <f>IF('計算A'!CO$106=1,GN31,1)</f>
        <v/>
      </c>
      <c r="MC31">
        <f>IF('計算A'!CP$106=1,GO31,1)</f>
        <v/>
      </c>
      <c r="MD31">
        <f>IF('計算A'!CQ$106=1,GP31,1)</f>
        <v/>
      </c>
      <c r="ME31">
        <f>IF('計算A'!CR$106=1,GQ31,1)</f>
        <v/>
      </c>
      <c r="MF31">
        <f>IF('計算A'!CS$106=1,GR31,1)</f>
        <v/>
      </c>
      <c r="MG31">
        <f>IF('計算A'!CT$106=1,GS31,1)</f>
        <v/>
      </c>
      <c r="MH31">
        <f>IF('計算A'!CU$106=1,GT31,1)</f>
        <v/>
      </c>
      <c r="MI31">
        <f>IF('計算A'!CV$106=1,GU31,1)</f>
        <v/>
      </c>
      <c r="MJ31">
        <f>IF('計算A'!CW$106=1,GV31,1)</f>
        <v/>
      </c>
      <c r="MK31">
        <f>IF('計算A'!CX$106=1,GW31,1)</f>
        <v/>
      </c>
      <c r="ML31">
        <f>IF('計算A'!CY$106=1,GX31,1)</f>
        <v/>
      </c>
      <c r="MM31">
        <f>IF('計算A'!CZ$106=1,GY31,1)</f>
        <v/>
      </c>
      <c r="MN31">
        <f>IF('計算A'!DA$106=1,GZ31,1)</f>
        <v/>
      </c>
      <c r="MO31">
        <f>IF('計算A'!DB$106=1,HA31,1)</f>
        <v/>
      </c>
      <c r="MP31">
        <f>IF('計算A'!DC$106=1,HB31,1)</f>
        <v/>
      </c>
      <c r="MQ31">
        <f>IF('計算A'!DD$106=1,HC31,1)</f>
        <v/>
      </c>
      <c r="MR31">
        <f>IF('計算A'!DE$106=1,HD31,1)</f>
        <v/>
      </c>
      <c r="MS31">
        <f>IF('計算A'!DF$106=1,HE31,1)</f>
        <v/>
      </c>
      <c r="MT31">
        <f>IF('計算A'!DG$106=1,HF31,1)</f>
        <v/>
      </c>
      <c r="MU31">
        <f>IF('計算A'!DH$106=1,HG31,1)</f>
        <v/>
      </c>
      <c r="MV31">
        <f>IF('計算A'!DI$106=1,HH31,1)</f>
        <v/>
      </c>
      <c r="MW31">
        <f>IF('計算A'!DJ$106=1,HI31,1)</f>
        <v/>
      </c>
      <c r="MX31">
        <f>IF('計算A'!DK$106=1,HJ31,1)</f>
        <v/>
      </c>
      <c r="MY31">
        <f>IF('計算A'!DL$106=1,HK31,1)</f>
        <v/>
      </c>
      <c r="MZ31">
        <f>IF('計算A'!DM$106=1,HL31,1)</f>
        <v/>
      </c>
      <c r="NA31">
        <f>IF('計算A'!DN$106=1,HM31,1)</f>
        <v/>
      </c>
      <c r="NB31">
        <f>IF('計算A'!DO$106=1,HN31,1)</f>
        <v/>
      </c>
      <c r="NC31">
        <f>IF('計算A'!DP$106=1,HO31,1)</f>
        <v/>
      </c>
      <c r="ND31">
        <f>IF('計算A'!DQ$106=1,HP31,1)</f>
        <v/>
      </c>
      <c r="NE31">
        <f>IF('計算A'!DR$106=1,HQ31,1)</f>
        <v/>
      </c>
      <c r="NF31">
        <f>IF('計算A'!DS$106=1,HR31,1)</f>
        <v/>
      </c>
      <c r="NG31">
        <f>IF('計算A'!DT$106=1,HS31,1)</f>
        <v/>
      </c>
      <c r="NH31">
        <f>IF('計算A'!DU$106=1,HT31,1)</f>
        <v/>
      </c>
      <c r="NI31">
        <f>IF('計算A'!DV$106=1,HU31,1)</f>
        <v/>
      </c>
      <c r="NJ31">
        <f>IF('計算A'!DW$106=1,HV31,1)</f>
        <v/>
      </c>
      <c r="NK31">
        <f>IF('計算A'!DX$106=1,HW31,1)</f>
        <v/>
      </c>
      <c r="NL31">
        <f>IF('計算A'!DY$106=1,HX31,1)</f>
        <v/>
      </c>
      <c r="NM31">
        <f>IF('計算A'!DZ$106=1,HY31,1)</f>
        <v/>
      </c>
      <c r="NN31">
        <f>IF('計算A'!EA$106=1,HZ31,1)</f>
        <v/>
      </c>
      <c r="NO31">
        <f>IF('計算A'!EB$106=1,IA31,1)</f>
        <v/>
      </c>
      <c r="NP31">
        <f>IF('計算A'!EC$106=1,IB31,1)</f>
        <v/>
      </c>
      <c r="NQ31">
        <f>IF('計算A'!ED$106=1,IC31,1)</f>
        <v/>
      </c>
      <c r="NR31">
        <f>IF('計算A'!EE$106=1,ID31,1)</f>
        <v/>
      </c>
      <c r="NS31">
        <f>IF('計算A'!EF$106=1,IE31,1)</f>
        <v/>
      </c>
      <c r="NT31">
        <f>IF('計算A'!EG$106=1,IF31,1)</f>
        <v/>
      </c>
      <c r="NU31">
        <f>IF('計算A'!EH$106=1,IG31,1)</f>
        <v/>
      </c>
      <c r="NV31">
        <f>IF('計算A'!EI$106=1,IH31,1)</f>
        <v/>
      </c>
      <c r="NW31">
        <f>IF('計算A'!EJ$106=1,II31,1)</f>
        <v/>
      </c>
      <c r="NX31">
        <f>IF('計算A'!EK$106=1,IJ31,1)</f>
        <v/>
      </c>
      <c r="NY31">
        <f>IF('計算A'!EL$106=1,IK31,1)</f>
        <v/>
      </c>
      <c r="NZ31">
        <f>IF('計算A'!EM$106=1,IL31,1)</f>
        <v/>
      </c>
      <c r="OA31">
        <f>IF('計算A'!EN$106=1,IM31,1)</f>
        <v/>
      </c>
      <c r="OB31">
        <f>IF('計算A'!EO$106=1,IN31,1)</f>
        <v/>
      </c>
      <c r="OC31">
        <f>IF('計算A'!EP$106=1,IO31,1)</f>
        <v/>
      </c>
      <c r="OD31" t="n">
        <v>1</v>
      </c>
      <c r="OF31">
        <f>IF($B31=0,1000000,IF(INDEX('計算A'!$D$60:$EQ$104,$B31,1)*DB31=1,IF(AND($E31=2,IQ31=0),1000000,IF($I31&gt;0,IF(1=$J31,IF(OR(AND(1=$I31+1,OR($K31&lt;&gt;'計算A'!$A$3,'計算A'!$A$4=0)),AND(1=$I31-1,OR(1&lt;&gt;'計算A'!$A$3,'計算A'!$A$4=0))),0,IF(1=$K31,200000,ABS(1-$K31)*100)),100000+ABS(1-$J31)*1000+10)+'計算A'!D$5*50+IF(AND($E31=1,IQ31=0),25,0),INDEX('計算A'!D$110:D$114,$F31+1)+IF(AND($E31=1,IQ31=0),1000,0)+IF($H31=1,(IF('計算A'!D$117=1,INDEX('計算A'!E$10:E$54,$B31),0))*500,0)-IF(AND($L31=1,'計算A'!D$117=1,DC31=0),300,0))),1000000))</f>
        <v/>
      </c>
      <c r="OG31">
        <f>IF($B31=0,1000000,IF(INDEX('計算A'!$D$60:$EQ$104,$B31,2)*DC31=1,IF(AND($E31=2,IR31=0),1000000,IF($I31&gt;0,IF(1=$J31,IF(OR(AND(2=$I31+1,OR($K31&lt;&gt;'計算A'!$A$3,'計算A'!$A$4=0)),AND(2=$I31-1,OR(2&lt;&gt;'計算A'!$A$3,'計算A'!$A$4=0))),0,IF(2=$K31,200000,ABS(2-$K31)*100)),100000+ABS(1-$J31)*1000+20)+'計算A'!E$5*50+IF(AND($E31=1,IR31=0),25,0),INDEX('計算A'!E$110:E$114,$F31+1)+IF(AND($E31=1,IR31=0),1000,0)+IF($H31=1,(IF('計算A'!D$117=1,INDEX('計算A'!D$10:D$54,$B31),0)+IF('計算A'!E$117=1,INDEX('計算A'!F$10:F$54,$B31),0))*500,0)-IF(AND('計算A'!D$117=1,UB31&gt;0),300,0)-IF(AND($L31=1,'計算A'!E$117=1,DD31=0),300,0))),1000000))</f>
        <v/>
      </c>
      <c r="OH31">
        <f>IF($B31=0,1000000,IF(INDEX('計算A'!$D$60:$EQ$104,$B31,3)*DD31=1,IF(AND($E31=2,IS31=0),1000000,IF($I31&gt;0,IF(1=$J31,IF(OR(AND(3=$I31+1,OR($K31&lt;&gt;'計算A'!$A$3,'計算A'!$A$4=0)),AND(3=$I31-1,OR(3&lt;&gt;'計算A'!$A$3,'計算A'!$A$4=0))),0,IF(3=$K31,200000,ABS(3-$K31)*100)),100000+ABS(1-$J31)*1000+30)+'計算A'!F$5*50+IF(AND($E31=1,IS31=0),25,0),INDEX('計算A'!F$110:F$114,$F31+1)+IF(AND($E31=1,IS31=0),1000,0)+IF($H31=1,(IF('計算A'!E$117=1,INDEX('計算A'!E$10:E$54,$B31),0)+IF('計算A'!F$117=1,INDEX('計算A'!G$10:G$54,$B31),0))*500,0)-IF(AND('計算A'!E$117=1,UC31&gt;0),300,0)-IF(AND($L31=1,'計算A'!F$117=1,DE31=0),300,0))),1000000))</f>
        <v/>
      </c>
      <c r="OI31">
        <f>IF($B31=0,1000000,IF(INDEX('計算A'!$D$60:$EQ$104,$B31,4)*DE31=1,IF(AND($E31=2,IT31=0),1000000,IF($I31&gt;0,IF(1=$J31,IF(OR(AND(4=$I31+1,OR($K31&lt;&gt;'計算A'!$A$3,'計算A'!$A$4=0)),AND(4=$I31-1,OR(4&lt;&gt;'計算A'!$A$3,'計算A'!$A$4=0))),0,IF(4=$K31,200000,ABS(4-$K31)*100)),100000+ABS(1-$J31)*1000+40)+'計算A'!G$5*50+IF(AND($E31=1,IT31=0),25,0),INDEX('計算A'!G$110:G$114,$F31+1)+IF(AND($E31=1,IT31=0),1000,0)+IF($H31=1,(IF('計算A'!F$117=1,INDEX('計算A'!F$10:F$54,$B31),0)+IF('計算A'!G$117=1,INDEX('計算A'!H$10:H$54,$B31),0))*500,0)-IF(AND('計算A'!F$117=1,UD31&gt;0),300,0)-IF(AND($L31=1,'計算A'!G$117=1,DF31=0),300,0))),1000000))</f>
        <v/>
      </c>
      <c r="OJ31">
        <f>IF($B31=0,1000000,IF(INDEX('計算A'!$D$60:$EQ$104,$B31,5)*DF31=1,IF(AND($E31=2,IU31=0),1000000,IF($I31&gt;0,IF(1=$J31,IF(OR(AND(5=$I31+1,OR($K31&lt;&gt;'計算A'!$A$3,'計算A'!$A$4=0)),AND(5=$I31-1,OR(5&lt;&gt;'計算A'!$A$3,'計算A'!$A$4=0))),0,IF(5=$K31,200000,ABS(5-$K31)*100)),100000+ABS(1-$J31)*1000+50)+'計算A'!H$5*50+IF(AND($E31=1,IU31=0),25,0),INDEX('計算A'!H$110:H$114,$F31+1)+IF(AND($E31=1,IU31=0),1000,0)+IF($H31=1,(IF('計算A'!G$117=1,INDEX('計算A'!G$10:G$54,$B31),0)+IF('計算A'!H$117=1,INDEX('計算A'!I$10:I$54,$B31),0))*500,0)-IF(AND('計算A'!G$117=1,UE31&gt;0),300,0)-IF(AND($L31=1,'計算A'!H$117=1,DG31=0),300,0))),1000000))</f>
        <v/>
      </c>
      <c r="OK31">
        <f>IF($B31=0,1000000,IF(INDEX('計算A'!$D$60:$EQ$104,$B31,6)*DG31=1,IF(AND($E31=2,IV31=0),1000000,IF($I31&gt;0,IF(1=$J31,IF(OR(AND(6=$I31+1,OR($K31&lt;&gt;'計算A'!$A$3,'計算A'!$A$4=0)),AND(6=$I31-1,OR(6&lt;&gt;'計算A'!$A$3,'計算A'!$A$4=0))),0,IF(6=$K31,200000,ABS(6-$K31)*100)),100000+ABS(1-$J31)*1000+60)+'計算A'!I$5*50+IF(AND($E31=1,IV31=0),25,0),INDEX('計算A'!I$110:I$114,$F31+1)+IF(AND($E31=1,IV31=0),1000,0)+IF($H31=1,(IF('計算A'!H$117=1,INDEX('計算A'!H$10:H$54,$B31),0)+IF('計算A'!I$117=1,INDEX('計算A'!J$10:J$54,$B31),0))*500,0)-IF(AND('計算A'!H$117=1,UF31&gt;0),300,0)-IF(AND($L31=1,'計算A'!I$117=1,DH31=0),300,0))),1000000))</f>
        <v/>
      </c>
      <c r="OL31">
        <f>IF($B31=0,1000000,IF(INDEX('計算A'!$D$60:$EQ$104,$B31,7)*DH31=1,IF(AND($E31=2,IW31=0),1000000,IF($I31&gt;0,IF(1=$J31,IF(OR(AND(7=$I31+1,OR($K31&lt;&gt;'計算A'!$A$3,'計算A'!$A$4=0)),AND(7=$I31-1,OR(7&lt;&gt;'計算A'!$A$3,'計算A'!$A$4=0))),0,IF(7=$K31,200000,ABS(7-$K31)*100)),100000+ABS(1-$J31)*1000+70)+'計算A'!J$5*50+IF(AND($E31=1,IW31=0),25,0),INDEX('計算A'!J$110:J$114,$F31+1)+IF(AND($E31=1,IW31=0),1000,0)+IF($H31=1,(IF('計算A'!I$117=1,INDEX('計算A'!I$10:I$54,$B31),0)+IF('計算A'!J$117=1,INDEX('計算A'!K$10:K$54,$B31),0))*500,0)-IF(AND('計算A'!I$117=1,UG31&gt;0),300,0)-IF(AND($L31=1,'計算A'!J$117=1,DI31=0),300,0))),1000000))</f>
        <v/>
      </c>
      <c r="OM31">
        <f>IF($B31=0,1000000,IF(INDEX('計算A'!$D$60:$EQ$104,$B31,8)*DI31=1,IF(AND($E31=2,IX31=0),1000000,IF($I31&gt;0,IF(1=$J31,IF(OR(AND(8=$I31+1,OR($K31&lt;&gt;'計算A'!$A$3,'計算A'!$A$4=0)),AND(8=$I31-1,OR(8&lt;&gt;'計算A'!$A$3,'計算A'!$A$4=0))),0,IF(8=$K31,200000,ABS(8-$K31)*100)),100000+ABS(1-$J31)*1000+80)+'計算A'!K$5*50+IF(AND($E31=1,IX31=0),25,0),INDEX('計算A'!K$110:K$114,$F31+1)+IF(AND($E31=1,IX31=0),1000,0)+IF($H31=1,(IF('計算A'!J$117=1,INDEX('計算A'!J$10:J$54,$B31),0)+IF('計算A'!K$117=1,INDEX('計算A'!L$10:L$54,$B31),0))*500,0)-IF(AND('計算A'!J$117=1,UH31&gt;0),300,0)-IF(AND($L31=1,'計算A'!K$117=1,DJ31=0),300,0))),1000000))</f>
        <v/>
      </c>
      <c r="ON31">
        <f>IF($B31=0,1000000,IF(INDEX('計算A'!$D$60:$EQ$104,$B31,9)*DJ31=1,IF(AND($E31=2,IY31=0),1000000,IF($I31&gt;0,IF(1=$J31,IF(OR(AND(9=$I31+1,OR($K31&lt;&gt;'計算A'!$A$3,'計算A'!$A$4=0)),AND(9=$I31-1,OR(9&lt;&gt;'計算A'!$A$3,'計算A'!$A$4=0))),0,IF(9=$K31,200000,ABS(9-$K31)*100)),100000+ABS(1-$J31)*1000+90)+'計算A'!L$5*50+IF(AND($E31=1,IY31=0),25,0),INDEX('計算A'!L$110:L$114,$F31+1)+IF(AND($E31=1,IY31=0),1000,0)+IF($H31=1,(IF('計算A'!K$117=1,INDEX('計算A'!K$10:K$54,$B31),0)+IF('計算A'!L$117=1,INDEX('計算A'!M$10:M$54,$B31),0))*500,0)-IF(AND('計算A'!K$117=1,UI31&gt;0),300,0)-IF(AND($L31=1,'計算A'!L$117=1,DK31=0),300,0))),1000000))</f>
        <v/>
      </c>
      <c r="OO31">
        <f>IF($B31=0,1000000,IF(INDEX('計算A'!$D$60:$EQ$104,$B31,10)*DK31=1,IF(AND($E31=2,IZ31=0),1000000,IF($I31&gt;0,IF(1=$J31,IF(OR(AND(10=$I31+1,OR($K31&lt;&gt;'計算A'!$A$3,'計算A'!$A$4=0)),AND(10=$I31-1,OR(10&lt;&gt;'計算A'!$A$3,'計算A'!$A$4=0))),0,IF(10=$K31,200000,ABS(10-$K31)*100)),100000+ABS(1-$J31)*1000+100)+'計算A'!M$5*50+IF(AND($E31=1,IZ31=0),25,0),INDEX('計算A'!M$110:M$114,$F31+1)+IF(AND($E31=1,IZ31=0),1000,0)+IF($H31=1,(IF('計算A'!L$117=1,INDEX('計算A'!L$10:L$54,$B31),0)+IF('計算A'!M$117=1,INDEX('計算A'!N$10:N$54,$B31),0))*500,0)-IF(AND('計算A'!L$117=1,UJ31&gt;0),300,0)-IF(AND($L31=1,'計算A'!M$117=1,DL31=0),300,0))),1000000))</f>
        <v/>
      </c>
      <c r="OP31">
        <f>IF($B31=0,1000000,IF(INDEX('計算A'!$D$60:$EQ$104,$B31,11)*DL31=1,IF(AND($E31=2,JA31=0),1000000,IF($I31&gt;0,IF(1=$J31,IF(OR(AND(11=$I31+1,OR($K31&lt;&gt;'計算A'!$A$3,'計算A'!$A$4=0)),AND(11=$I31-1,OR(11&lt;&gt;'計算A'!$A$3,'計算A'!$A$4=0))),0,IF(11=$K31,200000,ABS(11-$K31)*100)),100000+ABS(1-$J31)*1000+110)+'計算A'!N$5*50+IF(AND($E31=1,JA31=0),25,0),INDEX('計算A'!N$110:N$114,$F31+1)+IF(AND($E31=1,JA31=0),1000,0)+IF($H31=1,(IF('計算A'!M$117=1,INDEX('計算A'!M$10:M$54,$B31),0)+IF('計算A'!N$117=1,INDEX('計算A'!O$10:O$54,$B31),0))*500,0)-IF(AND('計算A'!M$117=1,UK31&gt;0),300,0)-IF(AND($L31=1,'計算A'!N$117=1,DM31=0),300,0))),1000000))</f>
        <v/>
      </c>
      <c r="OQ31">
        <f>IF($B31=0,1000000,IF(INDEX('計算A'!$D$60:$EQ$104,$B31,12)*DM31=1,IF(AND($E31=2,JB31=0),1000000,IF($I31&gt;0,IF(1=$J31,IF(OR(AND(12=$I31+1,OR($K31&lt;&gt;'計算A'!$A$3,'計算A'!$A$4=0)),AND(12=$I31-1,OR(12&lt;&gt;'計算A'!$A$3,'計算A'!$A$4=0))),0,IF(12=$K31,200000,ABS(12-$K31)*100)),100000+ABS(1-$J31)*1000+120)+'計算A'!O$5*50+IF(AND($E31=1,JB31=0),25,0),INDEX('計算A'!O$110:O$114,$F31+1)+IF(AND($E31=1,JB31=0),1000,0)+IF($H31=1,(IF('計算A'!N$117=1,INDEX('計算A'!N$10:N$54,$B31),0)+IF('計算A'!O$117=1,INDEX('計算A'!P$10:P$54,$B31),0))*500,0)-IF(AND('計算A'!N$117=1,UL31&gt;0),300,0)-IF(AND($L31=1,'計算A'!O$117=1,DN31=0),300,0))),1000000))</f>
        <v/>
      </c>
      <c r="OR31">
        <f>IF($B31=0,1000000,IF(INDEX('計算A'!$D$60:$EQ$104,$B31,13)*DN31=1,IF(AND($E31=2,JC31=0),1000000,IF($I31&gt;0,IF(1=$J31,IF(OR(AND(13=$I31+1,OR($K31&lt;&gt;'計算A'!$A$3,'計算A'!$A$4=0)),AND(13=$I31-1,OR(13&lt;&gt;'計算A'!$A$3,'計算A'!$A$4=0))),0,IF(13=$K31,200000,ABS(13-$K31)*100)),100000+ABS(1-$J31)*1000+130)+'計算A'!P$5*50+IF(AND($E31=1,JC31=0),25,0),INDEX('計算A'!P$110:P$114,$F31+1)+IF(AND($E31=1,JC31=0),1000,0)+IF($H31=1,(IF('計算A'!O$117=1,INDEX('計算A'!O$10:O$54,$B31),0)+IF('計算A'!P$117=1,INDEX('計算A'!Q$10:Q$54,$B31),0))*500,0)-IF(AND('計算A'!O$117=1,UM31&gt;0),300,0)-IF(AND($L31=1,'計算A'!P$117=1,DO31=0),300,0))),1000000))</f>
        <v/>
      </c>
      <c r="OS31">
        <f>IF($B31=0,1000000,IF(INDEX('計算A'!$D$60:$EQ$104,$B31,14)*DO31=1,IF(AND($E31=2,JD31=0),1000000,IF($I31&gt;0,IF(1=$J31,IF(OR(AND(14=$I31+1,OR($K31&lt;&gt;'計算A'!$A$3,'計算A'!$A$4=0)),AND(14=$I31-1,OR(14&lt;&gt;'計算A'!$A$3,'計算A'!$A$4=0))),0,IF(14=$K31,200000,ABS(14-$K31)*100)),100000+ABS(1-$J31)*1000+140)+'計算A'!Q$5*50+IF(AND($E31=1,JD31=0),25,0),INDEX('計算A'!Q$110:Q$114,$F31+1)+IF(AND($E31=1,JD31=0),1000,0)+IF($H31=1,(IF('計算A'!P$117=1,INDEX('計算A'!P$10:P$54,$B31),0)+IF('計算A'!Q$117=1,INDEX('計算A'!R$10:R$54,$B31),0))*500,0)-IF(AND('計算A'!P$117=1,UN31&gt;0),300,0)-IF(AND($L31=1,'計算A'!Q$117=1,DP31=0),300,0))),1000000))</f>
        <v/>
      </c>
      <c r="OT31">
        <f>IF($B31=0,1000000,IF(INDEX('計算A'!$D$60:$EQ$104,$B31,15)*DP31=1,IF(AND($E31=2,JE31=0),1000000,IF($I31&gt;0,IF(1=$J31,IF(OR(AND(15=$I31+1,OR($K31&lt;&gt;'計算A'!$A$3,'計算A'!$A$4=0)),AND(15=$I31-1,OR(15&lt;&gt;'計算A'!$A$3,'計算A'!$A$4=0))),0,IF(15=$K31,200000,ABS(15-$K31)*100)),100000+ABS(1-$J31)*1000+150)+'計算A'!R$5*50+IF(AND($E31=1,JE31=0),25,0),INDEX('計算A'!R$110:R$114,$F31+1)+IF(AND($E31=1,JE31=0),1000,0)+IF($H31=1,(IF('計算A'!Q$117=1,INDEX('計算A'!Q$10:Q$54,$B31),0)+IF('計算A'!R$117=1,INDEX('計算A'!S$10:S$54,$B31),0))*500,0)-IF(AND('計算A'!Q$117=1,UO31&gt;0),300,0)-IF(AND($L31=1,'計算A'!R$117=1,DQ31=0),300,0))),1000000))</f>
        <v/>
      </c>
      <c r="OU31">
        <f>IF($B31=0,1000000,IF(INDEX('計算A'!$D$60:$EQ$104,$B31,16)*DQ31=1,IF(AND($E31=2,JF31=0),1000000,IF($I31&gt;0,IF(1=$J31,IF(OR(AND(16=$I31+1,OR($K31&lt;&gt;'計算A'!$A$3,'計算A'!$A$4=0)),AND(16=$I31-1,OR(16&lt;&gt;'計算A'!$A$3,'計算A'!$A$4=0))),0,IF(16=$K31,200000,ABS(16-$K31)*100)),100000+ABS(1-$J31)*1000+160)+'計算A'!S$5*50+IF(AND($E31=1,JF31=0),25,0),INDEX('計算A'!S$110:S$114,$F31+1)+IF(AND($E31=1,JF31=0),1000,0)+IF($H31=1,(IF('計算A'!R$117=1,INDEX('計算A'!R$10:R$54,$B31),0)+IF('計算A'!S$117=1,INDEX('計算A'!T$10:T$54,$B31),0))*500,0)-IF(AND('計算A'!R$117=1,UP31&gt;0),300,0)-IF(AND($L31=1,'計算A'!S$117=1,DR31=0),300,0))),1000000))</f>
        <v/>
      </c>
      <c r="OV31">
        <f>IF($B31=0,1000000,IF(INDEX('計算A'!$D$60:$EQ$104,$B31,17)*DR31=1,IF(AND($E31=2,JG31=0),1000000,IF($I31&gt;0,IF(1=$J31,IF(OR(AND(17=$I31+1,OR($K31&lt;&gt;'計算A'!$A$3,'計算A'!$A$4=0)),AND(17=$I31-1,OR(17&lt;&gt;'計算A'!$A$3,'計算A'!$A$4=0))),0,IF(17=$K31,200000,ABS(17-$K31)*100)),100000+ABS(1-$J31)*1000+170)+'計算A'!T$5*50+IF(AND($E31=1,JG31=0),25,0),INDEX('計算A'!T$110:T$114,$F31+1)+IF(AND($E31=1,JG31=0),1000,0)+IF($H31=1,(IF('計算A'!S$117=1,INDEX('計算A'!S$10:S$54,$B31),0)+IF('計算A'!T$117=1,INDEX('計算A'!U$10:U$54,$B31),0))*500,0)-IF(AND('計算A'!S$117=1,UQ31&gt;0),300,0)-IF(AND($L31=1,'計算A'!T$117=1,DS31=0),300,0))),1000000))</f>
        <v/>
      </c>
      <c r="OW31">
        <f>IF($B31=0,1000000,IF(INDEX('計算A'!$D$60:$EQ$104,$B31,18)*DS31=1,IF(AND($E31=2,JH31=0),1000000,IF($I31&gt;0,IF(1=$J31,IF(OR(AND(18=$I31+1,OR($K31&lt;&gt;'計算A'!$A$3,'計算A'!$A$4=0)),AND(18=$I31-1,OR(18&lt;&gt;'計算A'!$A$3,'計算A'!$A$4=0))),0,IF(18=$K31,200000,ABS(18-$K31)*100)),100000+ABS(1-$J31)*1000+180)+'計算A'!U$5*50+IF(AND($E31=1,JH31=0),25,0),INDEX('計算A'!U$110:U$114,$F31+1)+IF(AND($E31=1,JH31=0),1000,0)+IF($H31=1,(IF('計算A'!T$117=1,INDEX('計算A'!T$10:T$54,$B31),0)+IF('計算A'!U$117=1,INDEX('計算A'!V$10:V$54,$B31),0))*500,0)-IF(AND('計算A'!T$117=1,UR31&gt;0),300,0)-IF(AND($L31=1,'計算A'!U$117=1,DT31=0),300,0))),1000000))</f>
        <v/>
      </c>
      <c r="OX31">
        <f>IF($B31=0,1000000,IF(INDEX('計算A'!$D$60:$EQ$104,$B31,19)*DT31=1,IF(AND($E31=2,JI31=0),1000000,IF($I31&gt;0,IF(1=$J31,IF(OR(AND(19=$I31+1,OR($K31&lt;&gt;'計算A'!$A$3,'計算A'!$A$4=0)),AND(19=$I31-1,OR(19&lt;&gt;'計算A'!$A$3,'計算A'!$A$4=0))),0,IF(19=$K31,200000,ABS(19-$K31)*100)),100000+ABS(1-$J31)*1000+190)+'計算A'!V$5*50+IF(AND($E31=1,JI31=0),25,0),INDEX('計算A'!V$110:V$114,$F31+1)+IF(AND($E31=1,JI31=0),1000,0)+IF($H31=1,(IF('計算A'!U$117=1,INDEX('計算A'!U$10:U$54,$B31),0)+IF('計算A'!V$117=1,INDEX('計算A'!W$10:W$54,$B31),0))*500,0)-IF(AND('計算A'!U$117=1,US31&gt;0),300,0)-IF(AND($L31=1,'計算A'!V$117=1,DU31=0),300,0))),1000000))</f>
        <v/>
      </c>
      <c r="OY31">
        <f>IF($B31=0,1000000,IF(INDEX('計算A'!$D$60:$EQ$104,$B31,20)*DU31=1,IF(AND($E31=2,JJ31=0),1000000,IF($I31&gt;0,IF(1=$J31,IF(OR(AND(20=$I31+1,OR($K31&lt;&gt;'計算A'!$A$3,'計算A'!$A$4=0)),AND(20=$I31-1,OR(20&lt;&gt;'計算A'!$A$3,'計算A'!$A$4=0))),0,IF(20=$K31,200000,ABS(20-$K31)*100)),100000+ABS(1-$J31)*1000+200)+'計算A'!W$5*50+IF(AND($E31=1,JJ31=0),25,0),INDEX('計算A'!W$110:W$114,$F31+1)+IF(AND($E31=1,JJ31=0),1000,0)+IF($H31=1,(IF('計算A'!V$117=1,INDEX('計算A'!V$10:V$54,$B31),0)+IF('計算A'!W$117=1,INDEX('計算A'!X$10:X$54,$B31),0))*500,0)-IF(AND('計算A'!V$117=1,UT31&gt;0),300,0)-IF(AND($L31=1,'計算A'!W$117=1,DV31=0),300,0))),1000000))</f>
        <v/>
      </c>
      <c r="OZ31">
        <f>IF($B31=0,1000000,IF(INDEX('計算A'!$D$60:$EQ$104,$B31,21)*DV31=1,IF(AND($E31=2,JK31=0),1000000,IF($I31&gt;0,IF(1=$J31,IF(OR(AND(21=$I31+1,OR($K31&lt;&gt;'計算A'!$A$3,'計算A'!$A$4=0)),AND(21=$I31-1,OR(21&lt;&gt;'計算A'!$A$3,'計算A'!$A$4=0))),0,IF(21=$K31,200000,ABS(21-$K31)*100)),100000+ABS(1-$J31)*1000+210)+'計算A'!X$5*50+IF(AND($E31=1,JK31=0),25,0),INDEX('計算A'!X$110:X$114,$F31+1)+IF(AND($E31=1,JK31=0),1000,0)+IF($H31=1,(IF('計算A'!W$117=1,INDEX('計算A'!W$10:W$54,$B31),0)+IF('計算A'!X$117=1,INDEX('計算A'!Y$10:Y$54,$B31),0))*500,0)-IF(AND('計算A'!W$117=1,UU31&gt;0),300,0)-IF(AND($L31=1,'計算A'!X$117=1,DW31=0),300,0))),1000000))</f>
        <v/>
      </c>
      <c r="PA31">
        <f>IF($B31=0,1000000,IF(INDEX('計算A'!$D$60:$EQ$104,$B31,22)*DW31=1,IF(AND($E31=2,JL31=0),1000000,IF($I31&gt;0,IF(1=$J31,IF(OR(AND(22=$I31+1,OR($K31&lt;&gt;'計算A'!$A$3,'計算A'!$A$4=0)),AND(22=$I31-1,OR(22&lt;&gt;'計算A'!$A$3,'計算A'!$A$4=0))),0,IF(22=$K31,200000,ABS(22-$K31)*100)),100000+ABS(1-$J31)*1000+220)+'計算A'!Y$5*50+IF(AND($E31=1,JL31=0),25,0),INDEX('計算A'!Y$110:Y$114,$F31+1)+IF(AND($E31=1,JL31=0),1000,0)+IF($H31=1,(IF('計算A'!X$117=1,INDEX('計算A'!X$10:X$54,$B31),0)+IF('計算A'!Y$117=1,INDEX('計算A'!Z$10:Z$54,$B31),0))*500,0)-IF(AND('計算A'!X$117=1,UV31&gt;0),300,0)-IF(AND($L31=1,'計算A'!Y$117=1,DX31=0),300,0))),1000000))</f>
        <v/>
      </c>
      <c r="PB31">
        <f>IF($B31=0,1000000,IF(INDEX('計算A'!$D$60:$EQ$104,$B31,23)*DX31=1,IF(AND($E31=2,JM31=0),1000000,IF($I31&gt;0,IF(1=$J31,IF(OR(AND(23=$I31+1,OR($K31&lt;&gt;'計算A'!$A$3,'計算A'!$A$4=0)),AND(23=$I31-1,OR(23&lt;&gt;'計算A'!$A$3,'計算A'!$A$4=0))),0,IF(23=$K31,200000,ABS(23-$K31)*100)),100000+ABS(1-$J31)*1000+230)+'計算A'!Z$5*50+IF(AND($E31=1,JM31=0),25,0),INDEX('計算A'!Z$110:Z$114,$F31+1)+IF(AND($E31=1,JM31=0),1000,0)+IF($H31=1,(IF('計算A'!Y$117=1,INDEX('計算A'!Y$10:Y$54,$B31),0)+IF('計算A'!Z$117=1,INDEX('計算A'!AA$10:AA$54,$B31),0))*500,0)-IF(AND('計算A'!Y$117=1,UW31&gt;0),300,0)-IF(AND($L31=1,'計算A'!Z$117=1,DY31=0),300,0))),1000000))</f>
        <v/>
      </c>
      <c r="PC31">
        <f>IF($B31=0,1000000,IF(INDEX('計算A'!$D$60:$EQ$104,$B31,24)*DY31=1,IF(AND($E31=2,JN31=0),1000000,IF($I31&gt;0,IF(1=$J31,IF(OR(AND(24=$I31+1,OR($K31&lt;&gt;'計算A'!$A$3,'計算A'!$A$4=0)),AND(24=$I31-1,OR(24&lt;&gt;'計算A'!$A$3,'計算A'!$A$4=0))),0,IF(24=$K31,200000,ABS(24-$K31)*100)),100000+ABS(1-$J31)*1000+240)+'計算A'!AA$5*50+IF(AND($E31=1,JN31=0),25,0),INDEX('計算A'!AA$110:AA$114,$F31+1)+IF(AND($E31=1,JN31=0),1000,0)+IF($H31=1,(IF('計算A'!Z$117=1,INDEX('計算A'!Z$10:Z$54,$B31),0))*500,0)-IF(AND('計算A'!Z$117=1,UX31&gt;0),300,0))),1000000))</f>
        <v/>
      </c>
      <c r="PD31">
        <f>IF($B31=0,1000000,IF(INDEX('計算A'!$D$60:$EQ$104,$B31,25)*DZ31=1,IF(AND($E31=2,JO31=0),1000000,IF($I31&gt;0,IF(2=$J31,IF(OR(AND(25=$I31+1,OR($K31&lt;&gt;'計算A'!$A$3,'計算A'!$A$4=0)),AND(25=$I31-1,OR(1&lt;&gt;'計算A'!$A$3,'計算A'!$A$4=0))),0,IF(1=$K31,200000,ABS(1-$K31)*100)),100000+ABS(2-$J31)*1000+10)+'計算A'!AB$5*50+IF(AND($E31=1,JO31=0),25,0),INDEX('計算A'!AB$110:AB$114,$F31+1)+IF(AND($E31=1,JO31=0),1000,0)+IF($H31=1,(IF('計算A'!AB$117=1,INDEX('計算A'!AC$10:AC$54,$B31),0))*500,0)-IF(AND($L31=1,'計算A'!AB$117=1,EA31=0),300,0))),1000000))</f>
        <v/>
      </c>
      <c r="PE31">
        <f>IF($B31=0,1000000,IF(INDEX('計算A'!$D$60:$EQ$104,$B31,26)*EA31=1,IF(AND($E31=2,JP31=0),1000000,IF($I31&gt;0,IF(2=$J31,IF(OR(AND(26=$I31+1,OR($K31&lt;&gt;'計算A'!$A$3,'計算A'!$A$4=0)),AND(26=$I31-1,OR(2&lt;&gt;'計算A'!$A$3,'計算A'!$A$4=0))),0,IF(2=$K31,200000,ABS(2-$K31)*100)),100000+ABS(2-$J31)*1000+20)+'計算A'!AC$5*50+IF(AND($E31=1,JP31=0),25,0),INDEX('計算A'!AC$110:AC$114,$F31+1)+IF(AND($E31=1,JP31=0),1000,0)+IF($H31=1,(IF('計算A'!AB$117=1,INDEX('計算A'!AB$10:AB$54,$B31),0)+IF('計算A'!AC$117=1,INDEX('計算A'!AD$10:AD$54,$B31),0))*500,0)-IF(AND('計算A'!AB$117=1,UZ31&gt;0),300,0)-IF(AND($L31=1,'計算A'!AC$117=1,EB31=0),300,0))),1000000))</f>
        <v/>
      </c>
      <c r="PF31">
        <f>IF($B31=0,1000000,IF(INDEX('計算A'!$D$60:$EQ$104,$B31,27)*EB31=1,IF(AND($E31=2,JQ31=0),1000000,IF($I31&gt;0,IF(2=$J31,IF(OR(AND(27=$I31+1,OR($K31&lt;&gt;'計算A'!$A$3,'計算A'!$A$4=0)),AND(27=$I31-1,OR(3&lt;&gt;'計算A'!$A$3,'計算A'!$A$4=0))),0,IF(3=$K31,200000,ABS(3-$K31)*100)),100000+ABS(2-$J31)*1000+30)+'計算A'!AD$5*50+IF(AND($E31=1,JQ31=0),25,0),INDEX('計算A'!AD$110:AD$114,$F31+1)+IF(AND($E31=1,JQ31=0),1000,0)+IF($H31=1,(IF('計算A'!AC$117=1,INDEX('計算A'!AC$10:AC$54,$B31),0)+IF('計算A'!AD$117=1,INDEX('計算A'!AE$10:AE$54,$B31),0))*500,0)-IF(AND('計算A'!AC$117=1,VA31&gt;0),300,0)-IF(AND($L31=1,'計算A'!AD$117=1,EC31=0),300,0))),1000000))</f>
        <v/>
      </c>
      <c r="PG31">
        <f>IF($B31=0,1000000,IF(INDEX('計算A'!$D$60:$EQ$104,$B31,28)*EC31=1,IF(AND($E31=2,JR31=0),1000000,IF($I31&gt;0,IF(2=$J31,IF(OR(AND(28=$I31+1,OR($K31&lt;&gt;'計算A'!$A$3,'計算A'!$A$4=0)),AND(28=$I31-1,OR(4&lt;&gt;'計算A'!$A$3,'計算A'!$A$4=0))),0,IF(4=$K31,200000,ABS(4-$K31)*100)),100000+ABS(2-$J31)*1000+40)+'計算A'!AE$5*50+IF(AND($E31=1,JR31=0),25,0),INDEX('計算A'!AE$110:AE$114,$F31+1)+IF(AND($E31=1,JR31=0),1000,0)+IF($H31=1,(IF('計算A'!AD$117=1,INDEX('計算A'!AD$10:AD$54,$B31),0)+IF('計算A'!AE$117=1,INDEX('計算A'!AF$10:AF$54,$B31),0))*500,0)-IF(AND('計算A'!AD$117=1,VB31&gt;0),300,0)-IF(AND($L31=1,'計算A'!AE$117=1,ED31=0),300,0))),1000000))</f>
        <v/>
      </c>
      <c r="PH31">
        <f>IF($B31=0,1000000,IF(INDEX('計算A'!$D$60:$EQ$104,$B31,29)*ED31=1,IF(AND($E31=2,JS31=0),1000000,IF($I31&gt;0,IF(2=$J31,IF(OR(AND(29=$I31+1,OR($K31&lt;&gt;'計算A'!$A$3,'計算A'!$A$4=0)),AND(29=$I31-1,OR(5&lt;&gt;'計算A'!$A$3,'計算A'!$A$4=0))),0,IF(5=$K31,200000,ABS(5-$K31)*100)),100000+ABS(2-$J31)*1000+50)+'計算A'!AF$5*50+IF(AND($E31=1,JS31=0),25,0),INDEX('計算A'!AF$110:AF$114,$F31+1)+IF(AND($E31=1,JS31=0),1000,0)+IF($H31=1,(IF('計算A'!AE$117=1,INDEX('計算A'!AE$10:AE$54,$B31),0)+IF('計算A'!AF$117=1,INDEX('計算A'!AG$10:AG$54,$B31),0))*500,0)-IF(AND('計算A'!AE$117=1,VC31&gt;0),300,0)-IF(AND($L31=1,'計算A'!AF$117=1,EE31=0),300,0))),1000000))</f>
        <v/>
      </c>
      <c r="PI31">
        <f>IF($B31=0,1000000,IF(INDEX('計算A'!$D$60:$EQ$104,$B31,30)*EE31=1,IF(AND($E31=2,JT31=0),1000000,IF($I31&gt;0,IF(2=$J31,IF(OR(AND(30=$I31+1,OR($K31&lt;&gt;'計算A'!$A$3,'計算A'!$A$4=0)),AND(30=$I31-1,OR(6&lt;&gt;'計算A'!$A$3,'計算A'!$A$4=0))),0,IF(6=$K31,200000,ABS(6-$K31)*100)),100000+ABS(2-$J31)*1000+60)+'計算A'!AG$5*50+IF(AND($E31=1,JT31=0),25,0),INDEX('計算A'!AG$110:AG$114,$F31+1)+IF(AND($E31=1,JT31=0),1000,0)+IF($H31=1,(IF('計算A'!AF$117=1,INDEX('計算A'!AF$10:AF$54,$B31),0)+IF('計算A'!AG$117=1,INDEX('計算A'!AH$10:AH$54,$B31),0))*500,0)-IF(AND('計算A'!AF$117=1,VD31&gt;0),300,0)-IF(AND($L31=1,'計算A'!AG$117=1,EF31=0),300,0))),1000000))</f>
        <v/>
      </c>
      <c r="PJ31">
        <f>IF($B31=0,1000000,IF(INDEX('計算A'!$D$60:$EQ$104,$B31,31)*EF31=1,IF(AND($E31=2,JU31=0),1000000,IF($I31&gt;0,IF(2=$J31,IF(OR(AND(31=$I31+1,OR($K31&lt;&gt;'計算A'!$A$3,'計算A'!$A$4=0)),AND(31=$I31-1,OR(7&lt;&gt;'計算A'!$A$3,'計算A'!$A$4=0))),0,IF(7=$K31,200000,ABS(7-$K31)*100)),100000+ABS(2-$J31)*1000+70)+'計算A'!AH$5*50+IF(AND($E31=1,JU31=0),25,0),INDEX('計算A'!AH$110:AH$114,$F31+1)+IF(AND($E31=1,JU31=0),1000,0)+IF($H31=1,(IF('計算A'!AG$117=1,INDEX('計算A'!AG$10:AG$54,$B31),0)+IF('計算A'!AH$117=1,INDEX('計算A'!AI$10:AI$54,$B31),0))*500,0)-IF(AND('計算A'!AG$117=1,VE31&gt;0),300,0)-IF(AND($L31=1,'計算A'!AH$117=1,EG31=0),300,0))),1000000))</f>
        <v/>
      </c>
      <c r="PK31">
        <f>IF($B31=0,1000000,IF(INDEX('計算A'!$D$60:$EQ$104,$B31,32)*EG31=1,IF(AND($E31=2,JV31=0),1000000,IF($I31&gt;0,IF(2=$J31,IF(OR(AND(32=$I31+1,OR($K31&lt;&gt;'計算A'!$A$3,'計算A'!$A$4=0)),AND(32=$I31-1,OR(8&lt;&gt;'計算A'!$A$3,'計算A'!$A$4=0))),0,IF(8=$K31,200000,ABS(8-$K31)*100)),100000+ABS(2-$J31)*1000+80)+'計算A'!AI$5*50+IF(AND($E31=1,JV31=0),25,0),INDEX('計算A'!AI$110:AI$114,$F31+1)+IF(AND($E31=1,JV31=0),1000,0)+IF($H31=1,(IF('計算A'!AH$117=1,INDEX('計算A'!AH$10:AH$54,$B31),0)+IF('計算A'!AI$117=1,INDEX('計算A'!AJ$10:AJ$54,$B31),0))*500,0)-IF(AND('計算A'!AH$117=1,VF31&gt;0),300,0)-IF(AND($L31=1,'計算A'!AI$117=1,EH31=0),300,0))),1000000))</f>
        <v/>
      </c>
      <c r="PL31">
        <f>IF($B31=0,1000000,IF(INDEX('計算A'!$D$60:$EQ$104,$B31,33)*EH31=1,IF(AND($E31=2,JW31=0),1000000,IF($I31&gt;0,IF(2=$J31,IF(OR(AND(33=$I31+1,OR($K31&lt;&gt;'計算A'!$A$3,'計算A'!$A$4=0)),AND(33=$I31-1,OR(9&lt;&gt;'計算A'!$A$3,'計算A'!$A$4=0))),0,IF(9=$K31,200000,ABS(9-$K31)*100)),100000+ABS(2-$J31)*1000+90)+'計算A'!AJ$5*50+IF(AND($E31=1,JW31=0),25,0),INDEX('計算A'!AJ$110:AJ$114,$F31+1)+IF(AND($E31=1,JW31=0),1000,0)+IF($H31=1,(IF('計算A'!AI$117=1,INDEX('計算A'!AI$10:AI$54,$B31),0)+IF('計算A'!AJ$117=1,INDEX('計算A'!AK$10:AK$54,$B31),0))*500,0)-IF(AND('計算A'!AI$117=1,VG31&gt;0),300,0)-IF(AND($L31=1,'計算A'!AJ$117=1,EI31=0),300,0))),1000000))</f>
        <v/>
      </c>
      <c r="PM31">
        <f>IF($B31=0,1000000,IF(INDEX('計算A'!$D$60:$EQ$104,$B31,34)*EI31=1,IF(AND($E31=2,JX31=0),1000000,IF($I31&gt;0,IF(2=$J31,IF(OR(AND(34=$I31+1,OR($K31&lt;&gt;'計算A'!$A$3,'計算A'!$A$4=0)),AND(34=$I31-1,OR(10&lt;&gt;'計算A'!$A$3,'計算A'!$A$4=0))),0,IF(10=$K31,200000,ABS(10-$K31)*100)),100000+ABS(2-$J31)*1000+100)+'計算A'!AK$5*50+IF(AND($E31=1,JX31=0),25,0),INDEX('計算A'!AK$110:AK$114,$F31+1)+IF(AND($E31=1,JX31=0),1000,0)+IF($H31=1,(IF('計算A'!AJ$117=1,INDEX('計算A'!AJ$10:AJ$54,$B31),0)+IF('計算A'!AK$117=1,INDEX('計算A'!AL$10:AL$54,$B31),0))*500,0)-IF(AND('計算A'!AJ$117=1,VH31&gt;0),300,0)-IF(AND($L31=1,'計算A'!AK$117=1,EJ31=0),300,0))),1000000))</f>
        <v/>
      </c>
      <c r="PN31">
        <f>IF($B31=0,1000000,IF(INDEX('計算A'!$D$60:$EQ$104,$B31,35)*EJ31=1,IF(AND($E31=2,JY31=0),1000000,IF($I31&gt;0,IF(2=$J31,IF(OR(AND(35=$I31+1,OR($K31&lt;&gt;'計算A'!$A$3,'計算A'!$A$4=0)),AND(35=$I31-1,OR(11&lt;&gt;'計算A'!$A$3,'計算A'!$A$4=0))),0,IF(11=$K31,200000,ABS(11-$K31)*100)),100000+ABS(2-$J31)*1000+110)+'計算A'!AL$5*50+IF(AND($E31=1,JY31=0),25,0),INDEX('計算A'!AL$110:AL$114,$F31+1)+IF(AND($E31=1,JY31=0),1000,0)+IF($H31=1,(IF('計算A'!AK$117=1,INDEX('計算A'!AK$10:AK$54,$B31),0)+IF('計算A'!AL$117=1,INDEX('計算A'!AM$10:AM$54,$B31),0))*500,0)-IF(AND('計算A'!AK$117=1,VI31&gt;0),300,0)-IF(AND($L31=1,'計算A'!AL$117=1,EK31=0),300,0))),1000000))</f>
        <v/>
      </c>
      <c r="PO31">
        <f>IF($B31=0,1000000,IF(INDEX('計算A'!$D$60:$EQ$104,$B31,36)*EK31=1,IF(AND($E31=2,JZ31=0),1000000,IF($I31&gt;0,IF(2=$J31,IF(OR(AND(36=$I31+1,OR($K31&lt;&gt;'計算A'!$A$3,'計算A'!$A$4=0)),AND(36=$I31-1,OR(12&lt;&gt;'計算A'!$A$3,'計算A'!$A$4=0))),0,IF(12=$K31,200000,ABS(12-$K31)*100)),100000+ABS(2-$J31)*1000+120)+'計算A'!AM$5*50+IF(AND($E31=1,JZ31=0),25,0),INDEX('計算A'!AM$110:AM$114,$F31+1)+IF(AND($E31=1,JZ31=0),1000,0)+IF($H31=1,(IF('計算A'!AL$117=1,INDEX('計算A'!AL$10:AL$54,$B31),0)+IF('計算A'!AM$117=1,INDEX('計算A'!AN$10:AN$54,$B31),0))*500,0)-IF(AND('計算A'!AL$117=1,VJ31&gt;0),300,0)-IF(AND($L31=1,'計算A'!AM$117=1,EL31=0),300,0))),1000000))</f>
        <v/>
      </c>
      <c r="PP31">
        <f>IF($B31=0,1000000,IF(INDEX('計算A'!$D$60:$EQ$104,$B31,37)*EL31=1,IF(AND($E31=2,KA31=0),1000000,IF($I31&gt;0,IF(2=$J31,IF(OR(AND(37=$I31+1,OR($K31&lt;&gt;'計算A'!$A$3,'計算A'!$A$4=0)),AND(37=$I31-1,OR(13&lt;&gt;'計算A'!$A$3,'計算A'!$A$4=0))),0,IF(13=$K31,200000,ABS(13-$K31)*100)),100000+ABS(2-$J31)*1000+130)+'計算A'!AN$5*50+IF(AND($E31=1,KA31=0),25,0),INDEX('計算A'!AN$110:AN$114,$F31+1)+IF(AND($E31=1,KA31=0),1000,0)+IF($H31=1,(IF('計算A'!AM$117=1,INDEX('計算A'!AM$10:AM$54,$B31),0)+IF('計算A'!AN$117=1,INDEX('計算A'!AO$10:AO$54,$B31),0))*500,0)-IF(AND('計算A'!AM$117=1,VK31&gt;0),300,0)-IF(AND($L31=1,'計算A'!AN$117=1,EM31=0),300,0))),1000000))</f>
        <v/>
      </c>
      <c r="PQ31">
        <f>IF($B31=0,1000000,IF(INDEX('計算A'!$D$60:$EQ$104,$B31,38)*EM31=1,IF(AND($E31=2,KB31=0),1000000,IF($I31&gt;0,IF(2=$J31,IF(OR(AND(38=$I31+1,OR($K31&lt;&gt;'計算A'!$A$3,'計算A'!$A$4=0)),AND(38=$I31-1,OR(14&lt;&gt;'計算A'!$A$3,'計算A'!$A$4=0))),0,IF(14=$K31,200000,ABS(14-$K31)*100)),100000+ABS(2-$J31)*1000+140)+'計算A'!AO$5*50+IF(AND($E31=1,KB31=0),25,0),INDEX('計算A'!AO$110:AO$114,$F31+1)+IF(AND($E31=1,KB31=0),1000,0)+IF($H31=1,(IF('計算A'!AN$117=1,INDEX('計算A'!AN$10:AN$54,$B31),0)+IF('計算A'!AO$117=1,INDEX('計算A'!AP$10:AP$54,$B31),0))*500,0)-IF(AND('計算A'!AN$117=1,VL31&gt;0),300,0)-IF(AND($L31=1,'計算A'!AO$117=1,EN31=0),300,0))),1000000))</f>
        <v/>
      </c>
      <c r="PR31">
        <f>IF($B31=0,1000000,IF(INDEX('計算A'!$D$60:$EQ$104,$B31,39)*EN31=1,IF(AND($E31=2,KC31=0),1000000,IF($I31&gt;0,IF(2=$J31,IF(OR(AND(39=$I31+1,OR($K31&lt;&gt;'計算A'!$A$3,'計算A'!$A$4=0)),AND(39=$I31-1,OR(15&lt;&gt;'計算A'!$A$3,'計算A'!$A$4=0))),0,IF(15=$K31,200000,ABS(15-$K31)*100)),100000+ABS(2-$J31)*1000+150)+'計算A'!AP$5*50+IF(AND($E31=1,KC31=0),25,0),INDEX('計算A'!AP$110:AP$114,$F31+1)+IF(AND($E31=1,KC31=0),1000,0)+IF($H31=1,(IF('計算A'!AO$117=1,INDEX('計算A'!AO$10:AO$54,$B31),0)+IF('計算A'!AP$117=1,INDEX('計算A'!AQ$10:AQ$54,$B31),0))*500,0)-IF(AND('計算A'!AO$117=1,VM31&gt;0),300,0)-IF(AND($L31=1,'計算A'!AP$117=1,EO31=0),300,0))),1000000))</f>
        <v/>
      </c>
      <c r="PS31">
        <f>IF($B31=0,1000000,IF(INDEX('計算A'!$D$60:$EQ$104,$B31,40)*EO31=1,IF(AND($E31=2,KD31=0),1000000,IF($I31&gt;0,IF(2=$J31,IF(OR(AND(40=$I31+1,OR($K31&lt;&gt;'計算A'!$A$3,'計算A'!$A$4=0)),AND(40=$I31-1,OR(16&lt;&gt;'計算A'!$A$3,'計算A'!$A$4=0))),0,IF(16=$K31,200000,ABS(16-$K31)*100)),100000+ABS(2-$J31)*1000+160)+'計算A'!AQ$5*50+IF(AND($E31=1,KD31=0),25,0),INDEX('計算A'!AQ$110:AQ$114,$F31+1)+IF(AND($E31=1,KD31=0),1000,0)+IF($H31=1,(IF('計算A'!AP$117=1,INDEX('計算A'!AP$10:AP$54,$B31),0)+IF('計算A'!AQ$117=1,INDEX('計算A'!AR$10:AR$54,$B31),0))*500,0)-IF(AND('計算A'!AP$117=1,VN31&gt;0),300,0)-IF(AND($L31=1,'計算A'!AQ$117=1,EP31=0),300,0))),1000000))</f>
        <v/>
      </c>
      <c r="PT31">
        <f>IF($B31=0,1000000,IF(INDEX('計算A'!$D$60:$EQ$104,$B31,41)*EP31=1,IF(AND($E31=2,KE31=0),1000000,IF($I31&gt;0,IF(2=$J31,IF(OR(AND(41=$I31+1,OR($K31&lt;&gt;'計算A'!$A$3,'計算A'!$A$4=0)),AND(41=$I31-1,OR(17&lt;&gt;'計算A'!$A$3,'計算A'!$A$4=0))),0,IF(17=$K31,200000,ABS(17-$K31)*100)),100000+ABS(2-$J31)*1000+170)+'計算A'!AR$5*50+IF(AND($E31=1,KE31=0),25,0),INDEX('計算A'!AR$110:AR$114,$F31+1)+IF(AND($E31=1,KE31=0),1000,0)+IF($H31=1,(IF('計算A'!AQ$117=1,INDEX('計算A'!AQ$10:AQ$54,$B31),0)+IF('計算A'!AR$117=1,INDEX('計算A'!AS$10:AS$54,$B31),0))*500,0)-IF(AND('計算A'!AQ$117=1,VO31&gt;0),300,0)-IF(AND($L31=1,'計算A'!AR$117=1,EQ31=0),300,0))),1000000))</f>
        <v/>
      </c>
      <c r="PU31">
        <f>IF($B31=0,1000000,IF(INDEX('計算A'!$D$60:$EQ$104,$B31,42)*EQ31=1,IF(AND($E31=2,KF31=0),1000000,IF($I31&gt;0,IF(2=$J31,IF(OR(AND(42=$I31+1,OR($K31&lt;&gt;'計算A'!$A$3,'計算A'!$A$4=0)),AND(42=$I31-1,OR(18&lt;&gt;'計算A'!$A$3,'計算A'!$A$4=0))),0,IF(18=$K31,200000,ABS(18-$K31)*100)),100000+ABS(2-$J31)*1000+180)+'計算A'!AS$5*50+IF(AND($E31=1,KF31=0),25,0),INDEX('計算A'!AS$110:AS$114,$F31+1)+IF(AND($E31=1,KF31=0),1000,0)+IF($H31=1,(IF('計算A'!AR$117=1,INDEX('計算A'!AR$10:AR$54,$B31),0)+IF('計算A'!AS$117=1,INDEX('計算A'!AT$10:AT$54,$B31),0))*500,0)-IF(AND('計算A'!AR$117=1,VP31&gt;0),300,0)-IF(AND($L31=1,'計算A'!AS$117=1,ER31=0),300,0))),1000000))</f>
        <v/>
      </c>
      <c r="PV31">
        <f>IF($B31=0,1000000,IF(INDEX('計算A'!$D$60:$EQ$104,$B31,43)*ER31=1,IF(AND($E31=2,KG31=0),1000000,IF($I31&gt;0,IF(2=$J31,IF(OR(AND(43=$I31+1,OR($K31&lt;&gt;'計算A'!$A$3,'計算A'!$A$4=0)),AND(43=$I31-1,OR(19&lt;&gt;'計算A'!$A$3,'計算A'!$A$4=0))),0,IF(19=$K31,200000,ABS(19-$K31)*100)),100000+ABS(2-$J31)*1000+190)+'計算A'!AT$5*50+IF(AND($E31=1,KG31=0),25,0),INDEX('計算A'!AT$110:AT$114,$F31+1)+IF(AND($E31=1,KG31=0),1000,0)+IF($H31=1,(IF('計算A'!AS$117=1,INDEX('計算A'!AS$10:AS$54,$B31),0)+IF('計算A'!AT$117=1,INDEX('計算A'!AU$10:AU$54,$B31),0))*500,0)-IF(AND('計算A'!AS$117=1,VQ31&gt;0),300,0)-IF(AND($L31=1,'計算A'!AT$117=1,ES31=0),300,0))),1000000))</f>
        <v/>
      </c>
      <c r="PW31">
        <f>IF($B31=0,1000000,IF(INDEX('計算A'!$D$60:$EQ$104,$B31,44)*ES31=1,IF(AND($E31=2,KH31=0),1000000,IF($I31&gt;0,IF(2=$J31,IF(OR(AND(44=$I31+1,OR($K31&lt;&gt;'計算A'!$A$3,'計算A'!$A$4=0)),AND(44=$I31-1,OR(20&lt;&gt;'計算A'!$A$3,'計算A'!$A$4=0))),0,IF(20=$K31,200000,ABS(20-$K31)*100)),100000+ABS(2-$J31)*1000+200)+'計算A'!AU$5*50+IF(AND($E31=1,KH31=0),25,0),INDEX('計算A'!AU$110:AU$114,$F31+1)+IF(AND($E31=1,KH31=0),1000,0)+IF($H31=1,(IF('計算A'!AT$117=1,INDEX('計算A'!AT$10:AT$54,$B31),0)+IF('計算A'!AU$117=1,INDEX('計算A'!AV$10:AV$54,$B31),0))*500,0)-IF(AND('計算A'!AT$117=1,VR31&gt;0),300,0)-IF(AND($L31=1,'計算A'!AU$117=1,ET31=0),300,0))),1000000))</f>
        <v/>
      </c>
      <c r="PX31">
        <f>IF($B31=0,1000000,IF(INDEX('計算A'!$D$60:$EQ$104,$B31,45)*ET31=1,IF(AND($E31=2,KI31=0),1000000,IF($I31&gt;0,IF(2=$J31,IF(OR(AND(45=$I31+1,OR($K31&lt;&gt;'計算A'!$A$3,'計算A'!$A$4=0)),AND(45=$I31-1,OR(21&lt;&gt;'計算A'!$A$3,'計算A'!$A$4=0))),0,IF(21=$K31,200000,ABS(21-$K31)*100)),100000+ABS(2-$J31)*1000+210)+'計算A'!AV$5*50+IF(AND($E31=1,KI31=0),25,0),INDEX('計算A'!AV$110:AV$114,$F31+1)+IF(AND($E31=1,KI31=0),1000,0)+IF($H31=1,(IF('計算A'!AU$117=1,INDEX('計算A'!AU$10:AU$54,$B31),0)+IF('計算A'!AV$117=1,INDEX('計算A'!AW$10:AW$54,$B31),0))*500,0)-IF(AND('計算A'!AU$117=1,VS31&gt;0),300,0)-IF(AND($L31=1,'計算A'!AV$117=1,EU31=0),300,0))),1000000))</f>
        <v/>
      </c>
      <c r="PY31">
        <f>IF($B31=0,1000000,IF(INDEX('計算A'!$D$60:$EQ$104,$B31,46)*EU31=1,IF(AND($E31=2,KJ31=0),1000000,IF($I31&gt;0,IF(2=$J31,IF(OR(AND(46=$I31+1,OR($K31&lt;&gt;'計算A'!$A$3,'計算A'!$A$4=0)),AND(46=$I31-1,OR(22&lt;&gt;'計算A'!$A$3,'計算A'!$A$4=0))),0,IF(22=$K31,200000,ABS(22-$K31)*100)),100000+ABS(2-$J31)*1000+220)+'計算A'!AW$5*50+IF(AND($E31=1,KJ31=0),25,0),INDEX('計算A'!AW$110:AW$114,$F31+1)+IF(AND($E31=1,KJ31=0),1000,0)+IF($H31=1,(IF('計算A'!AV$117=1,INDEX('計算A'!AV$10:AV$54,$B31),0)+IF('計算A'!AW$117=1,INDEX('計算A'!AX$10:AX$54,$B31),0))*500,0)-IF(AND('計算A'!AV$117=1,VT31&gt;0),300,0)-IF(AND($L31=1,'計算A'!AW$117=1,EV31=0),300,0))),1000000))</f>
        <v/>
      </c>
      <c r="PZ31">
        <f>IF($B31=0,1000000,IF(INDEX('計算A'!$D$60:$EQ$104,$B31,47)*EV31=1,IF(AND($E31=2,KK31=0),1000000,IF($I31&gt;0,IF(2=$J31,IF(OR(AND(47=$I31+1,OR($K31&lt;&gt;'計算A'!$A$3,'計算A'!$A$4=0)),AND(47=$I31-1,OR(23&lt;&gt;'計算A'!$A$3,'計算A'!$A$4=0))),0,IF(23=$K31,200000,ABS(23-$K31)*100)),100000+ABS(2-$J31)*1000+230)+'計算A'!AX$5*50+IF(AND($E31=1,KK31=0),25,0),INDEX('計算A'!AX$110:AX$114,$F31+1)+IF(AND($E31=1,KK31=0),1000,0)+IF($H31=1,(IF('計算A'!AW$117=1,INDEX('計算A'!AW$10:AW$54,$B31),0)+IF('計算A'!AX$117=1,INDEX('計算A'!AY$10:AY$54,$B31),0))*500,0)-IF(AND('計算A'!AW$117=1,VU31&gt;0),300,0)-IF(AND($L31=1,'計算A'!AX$117=1,EW31=0),300,0))),1000000))</f>
        <v/>
      </c>
      <c r="QA31">
        <f>IF($B31=0,1000000,IF(INDEX('計算A'!$D$60:$EQ$104,$B31,48)*EW31=1,IF(AND($E31=2,KL31=0),1000000,IF($I31&gt;0,IF(2=$J31,IF(OR(AND(48=$I31+1,OR($K31&lt;&gt;'計算A'!$A$3,'計算A'!$A$4=0)),AND(48=$I31-1,OR(24&lt;&gt;'計算A'!$A$3,'計算A'!$A$4=0))),0,IF(24=$K31,200000,ABS(24-$K31)*100)),100000+ABS(2-$J31)*1000+240)+'計算A'!AY$5*50+IF(AND($E31=1,KL31=0),25,0),INDEX('計算A'!AY$110:AY$114,$F31+1)+IF(AND($E31=1,KL31=0),1000,0)+IF($H31=1,(IF('計算A'!AX$117=1,INDEX('計算A'!AX$10:AX$54,$B31),0))*500,0)-IF(AND('計算A'!AX$117=1,VV31&gt;0),300,0))),1000000))</f>
        <v/>
      </c>
      <c r="QB31">
        <f>IF($B31=0,1000000,IF(INDEX('計算A'!$D$60:$EQ$104,$B31,49)*EX31=1,IF(AND($E31=2,KM31=0),1000000,IF($I31&gt;0,IF(3=$J31,IF(OR(AND(49=$I31+1,OR($K31&lt;&gt;'計算A'!$A$3,'計算A'!$A$4=0)),AND(49=$I31-1,OR(1&lt;&gt;'計算A'!$A$3,'計算A'!$A$4=0))),0,IF(1=$K31,200000,ABS(1-$K31)*100)),100000+ABS(3-$J31)*1000+10)+'計算A'!AZ$5*50+IF(AND($E31=1,KM31=0),25,0),INDEX('計算A'!AZ$110:AZ$114,$F31+1)+IF(AND($E31=1,KM31=0),1000,0)+IF($H31=1,(IF('計算A'!AZ$117=1,INDEX('計算A'!BA$10:BA$54,$B31),0))*500,0)-IF(AND($L31=1,'計算A'!AZ$117=1,EY31=0),300,0))),1000000))</f>
        <v/>
      </c>
      <c r="QC31">
        <f>IF($B31=0,1000000,IF(INDEX('計算A'!$D$60:$EQ$104,$B31,50)*EY31=1,IF(AND($E31=2,KN31=0),1000000,IF($I31&gt;0,IF(3=$J31,IF(OR(AND(50=$I31+1,OR($K31&lt;&gt;'計算A'!$A$3,'計算A'!$A$4=0)),AND(50=$I31-1,OR(2&lt;&gt;'計算A'!$A$3,'計算A'!$A$4=0))),0,IF(2=$K31,200000,ABS(2-$K31)*100)),100000+ABS(3-$J31)*1000+20)+'計算A'!BA$5*50+IF(AND($E31=1,KN31=0),25,0),INDEX('計算A'!BA$110:BA$114,$F31+1)+IF(AND($E31=1,KN31=0),1000,0)+IF($H31=1,(IF('計算A'!AZ$117=1,INDEX('計算A'!AZ$10:AZ$54,$B31),0)+IF('計算A'!BA$117=1,INDEX('計算A'!BB$10:BB$54,$B31),0))*500,0)-IF(AND('計算A'!AZ$117=1,VX31&gt;0),300,0)-IF(AND($L31=1,'計算A'!BA$117=1,EZ31=0),300,0))),1000000))</f>
        <v/>
      </c>
      <c r="QD31">
        <f>IF($B31=0,1000000,IF(INDEX('計算A'!$D$60:$EQ$104,$B31,51)*EZ31=1,IF(AND($E31=2,KO31=0),1000000,IF($I31&gt;0,IF(3=$J31,IF(OR(AND(51=$I31+1,OR($K31&lt;&gt;'計算A'!$A$3,'計算A'!$A$4=0)),AND(51=$I31-1,OR(3&lt;&gt;'計算A'!$A$3,'計算A'!$A$4=0))),0,IF(3=$K31,200000,ABS(3-$K31)*100)),100000+ABS(3-$J31)*1000+30)+'計算A'!BB$5*50+IF(AND($E31=1,KO31=0),25,0),INDEX('計算A'!BB$110:BB$114,$F31+1)+IF(AND($E31=1,KO31=0),1000,0)+IF($H31=1,(IF('計算A'!BA$117=1,INDEX('計算A'!BA$10:BA$54,$B31),0)+IF('計算A'!BB$117=1,INDEX('計算A'!BC$10:BC$54,$B31),0))*500,0)-IF(AND('計算A'!BA$117=1,VY31&gt;0),300,0)-IF(AND($L31=1,'計算A'!BB$117=1,FA31=0),300,0))),1000000))</f>
        <v/>
      </c>
      <c r="QE31">
        <f>IF($B31=0,1000000,IF(INDEX('計算A'!$D$60:$EQ$104,$B31,52)*FA31=1,IF(AND($E31=2,KP31=0),1000000,IF($I31&gt;0,IF(3=$J31,IF(OR(AND(52=$I31+1,OR($K31&lt;&gt;'計算A'!$A$3,'計算A'!$A$4=0)),AND(52=$I31-1,OR(4&lt;&gt;'計算A'!$A$3,'計算A'!$A$4=0))),0,IF(4=$K31,200000,ABS(4-$K31)*100)),100000+ABS(3-$J31)*1000+40)+'計算A'!BC$5*50+IF(AND($E31=1,KP31=0),25,0),INDEX('計算A'!BC$110:BC$114,$F31+1)+IF(AND($E31=1,KP31=0),1000,0)+IF($H31=1,(IF('計算A'!BB$117=1,INDEX('計算A'!BB$10:BB$54,$B31),0)+IF('計算A'!BC$117=1,INDEX('計算A'!BD$10:BD$54,$B31),0))*500,0)-IF(AND('計算A'!BB$117=1,VZ31&gt;0),300,0)-IF(AND($L31=1,'計算A'!BC$117=1,FB31=0),300,0))),1000000))</f>
        <v/>
      </c>
      <c r="QF31">
        <f>IF($B31=0,1000000,IF(INDEX('計算A'!$D$60:$EQ$104,$B31,53)*FB31=1,IF(AND($E31=2,KQ31=0),1000000,IF($I31&gt;0,IF(3=$J31,IF(OR(AND(53=$I31+1,OR($K31&lt;&gt;'計算A'!$A$3,'計算A'!$A$4=0)),AND(53=$I31-1,OR(5&lt;&gt;'計算A'!$A$3,'計算A'!$A$4=0))),0,IF(5=$K31,200000,ABS(5-$K31)*100)),100000+ABS(3-$J31)*1000+50)+'計算A'!BD$5*50+IF(AND($E31=1,KQ31=0),25,0),INDEX('計算A'!BD$110:BD$114,$F31+1)+IF(AND($E31=1,KQ31=0),1000,0)+IF($H31=1,(IF('計算A'!BC$117=1,INDEX('計算A'!BC$10:BC$54,$B31),0)+IF('計算A'!BD$117=1,INDEX('計算A'!BE$10:BE$54,$B31),0))*500,0)-IF(AND('計算A'!BC$117=1,WA31&gt;0),300,0)-IF(AND($L31=1,'計算A'!BD$117=1,FC31=0),300,0))),1000000))</f>
        <v/>
      </c>
      <c r="QG31">
        <f>IF($B31=0,1000000,IF(INDEX('計算A'!$D$60:$EQ$104,$B31,54)*FC31=1,IF(AND($E31=2,KR31=0),1000000,IF($I31&gt;0,IF(3=$J31,IF(OR(AND(54=$I31+1,OR($K31&lt;&gt;'計算A'!$A$3,'計算A'!$A$4=0)),AND(54=$I31-1,OR(6&lt;&gt;'計算A'!$A$3,'計算A'!$A$4=0))),0,IF(6=$K31,200000,ABS(6-$K31)*100)),100000+ABS(3-$J31)*1000+60)+'計算A'!BE$5*50+IF(AND($E31=1,KR31=0),25,0),INDEX('計算A'!BE$110:BE$114,$F31+1)+IF(AND($E31=1,KR31=0),1000,0)+IF($H31=1,(IF('計算A'!BD$117=1,INDEX('計算A'!BD$10:BD$54,$B31),0)+IF('計算A'!BE$117=1,INDEX('計算A'!BF$10:BF$54,$B31),0))*500,0)-IF(AND('計算A'!BD$117=1,WB31&gt;0),300,0)-IF(AND($L31=1,'計算A'!BE$117=1,FD31=0),300,0))),1000000))</f>
        <v/>
      </c>
      <c r="QH31">
        <f>IF($B31=0,1000000,IF(INDEX('計算A'!$D$60:$EQ$104,$B31,55)*FD31=1,IF(AND($E31=2,KS31=0),1000000,IF($I31&gt;0,IF(3=$J31,IF(OR(AND(55=$I31+1,OR($K31&lt;&gt;'計算A'!$A$3,'計算A'!$A$4=0)),AND(55=$I31-1,OR(7&lt;&gt;'計算A'!$A$3,'計算A'!$A$4=0))),0,IF(7=$K31,200000,ABS(7-$K31)*100)),100000+ABS(3-$J31)*1000+70)+'計算A'!BF$5*50+IF(AND($E31=1,KS31=0),25,0),INDEX('計算A'!BF$110:BF$114,$F31+1)+IF(AND($E31=1,KS31=0),1000,0)+IF($H31=1,(IF('計算A'!BE$117=1,INDEX('計算A'!BE$10:BE$54,$B31),0)+IF('計算A'!BF$117=1,INDEX('計算A'!BG$10:BG$54,$B31),0))*500,0)-IF(AND('計算A'!BE$117=1,WC31&gt;0),300,0)-IF(AND($L31=1,'計算A'!BF$117=1,FE31=0),300,0))),1000000))</f>
        <v/>
      </c>
      <c r="QI31">
        <f>IF($B31=0,1000000,IF(INDEX('計算A'!$D$60:$EQ$104,$B31,56)*FE31=1,IF(AND($E31=2,KT31=0),1000000,IF($I31&gt;0,IF(3=$J31,IF(OR(AND(56=$I31+1,OR($K31&lt;&gt;'計算A'!$A$3,'計算A'!$A$4=0)),AND(56=$I31-1,OR(8&lt;&gt;'計算A'!$A$3,'計算A'!$A$4=0))),0,IF(8=$K31,200000,ABS(8-$K31)*100)),100000+ABS(3-$J31)*1000+80)+'計算A'!BG$5*50+IF(AND($E31=1,KT31=0),25,0),INDEX('計算A'!BG$110:BG$114,$F31+1)+IF(AND($E31=1,KT31=0),1000,0)+IF($H31=1,(IF('計算A'!BF$117=1,INDEX('計算A'!BF$10:BF$54,$B31),0)+IF('計算A'!BG$117=1,INDEX('計算A'!BH$10:BH$54,$B31),0))*500,0)-IF(AND('計算A'!BF$117=1,WD31&gt;0),300,0)-IF(AND($L31=1,'計算A'!BG$117=1,FF31=0),300,0))),1000000))</f>
        <v/>
      </c>
      <c r="QJ31">
        <f>IF($B31=0,1000000,IF(INDEX('計算A'!$D$60:$EQ$104,$B31,57)*FF31=1,IF(AND($E31=2,KU31=0),1000000,IF($I31&gt;0,IF(3=$J31,IF(OR(AND(57=$I31+1,OR($K31&lt;&gt;'計算A'!$A$3,'計算A'!$A$4=0)),AND(57=$I31-1,OR(9&lt;&gt;'計算A'!$A$3,'計算A'!$A$4=0))),0,IF(9=$K31,200000,ABS(9-$K31)*100)),100000+ABS(3-$J31)*1000+90)+'計算A'!BH$5*50+IF(AND($E31=1,KU31=0),25,0),INDEX('計算A'!BH$110:BH$114,$F31+1)+IF(AND($E31=1,KU31=0),1000,0)+IF($H31=1,(IF('計算A'!BG$117=1,INDEX('計算A'!BG$10:BG$54,$B31),0)+IF('計算A'!BH$117=1,INDEX('計算A'!BI$10:BI$54,$B31),0))*500,0)-IF(AND('計算A'!BG$117=1,WE31&gt;0),300,0)-IF(AND($L31=1,'計算A'!BH$117=1,FG31=0),300,0))),1000000))</f>
        <v/>
      </c>
      <c r="QK31">
        <f>IF($B31=0,1000000,IF(INDEX('計算A'!$D$60:$EQ$104,$B31,58)*FG31=1,IF(AND($E31=2,KV31=0),1000000,IF($I31&gt;0,IF(3=$J31,IF(OR(AND(58=$I31+1,OR($K31&lt;&gt;'計算A'!$A$3,'計算A'!$A$4=0)),AND(58=$I31-1,OR(10&lt;&gt;'計算A'!$A$3,'計算A'!$A$4=0))),0,IF(10=$K31,200000,ABS(10-$K31)*100)),100000+ABS(3-$J31)*1000+100)+'計算A'!BI$5*50+IF(AND($E31=1,KV31=0),25,0),INDEX('計算A'!BI$110:BI$114,$F31+1)+IF(AND($E31=1,KV31=0),1000,0)+IF($H31=1,(IF('計算A'!BH$117=1,INDEX('計算A'!BH$10:BH$54,$B31),0)+IF('計算A'!BI$117=1,INDEX('計算A'!BJ$10:BJ$54,$B31),0))*500,0)-IF(AND('計算A'!BH$117=1,WF31&gt;0),300,0)-IF(AND($L31=1,'計算A'!BI$117=1,FH31=0),300,0))),1000000))</f>
        <v/>
      </c>
      <c r="QL31">
        <f>IF($B31=0,1000000,IF(INDEX('計算A'!$D$60:$EQ$104,$B31,59)*FH31=1,IF(AND($E31=2,KW31=0),1000000,IF($I31&gt;0,IF(3=$J31,IF(OR(AND(59=$I31+1,OR($K31&lt;&gt;'計算A'!$A$3,'計算A'!$A$4=0)),AND(59=$I31-1,OR(11&lt;&gt;'計算A'!$A$3,'計算A'!$A$4=0))),0,IF(11=$K31,200000,ABS(11-$K31)*100)),100000+ABS(3-$J31)*1000+110)+'計算A'!BJ$5*50+IF(AND($E31=1,KW31=0),25,0),INDEX('計算A'!BJ$110:BJ$114,$F31+1)+IF(AND($E31=1,KW31=0),1000,0)+IF($H31=1,(IF('計算A'!BI$117=1,INDEX('計算A'!BI$10:BI$54,$B31),0)+IF('計算A'!BJ$117=1,INDEX('計算A'!BK$10:BK$54,$B31),0))*500,0)-IF(AND('計算A'!BI$117=1,WG31&gt;0),300,0)-IF(AND($L31=1,'計算A'!BJ$117=1,FI31=0),300,0))),1000000))</f>
        <v/>
      </c>
      <c r="QM31">
        <f>IF($B31=0,1000000,IF(INDEX('計算A'!$D$60:$EQ$104,$B31,60)*FI31=1,IF(AND($E31=2,KX31=0),1000000,IF($I31&gt;0,IF(3=$J31,IF(OR(AND(60=$I31+1,OR($K31&lt;&gt;'計算A'!$A$3,'計算A'!$A$4=0)),AND(60=$I31-1,OR(12&lt;&gt;'計算A'!$A$3,'計算A'!$A$4=0))),0,IF(12=$K31,200000,ABS(12-$K31)*100)),100000+ABS(3-$J31)*1000+120)+'計算A'!BK$5*50+IF(AND($E31=1,KX31=0),25,0),INDEX('計算A'!BK$110:BK$114,$F31+1)+IF(AND($E31=1,KX31=0),1000,0)+IF($H31=1,(IF('計算A'!BJ$117=1,INDEX('計算A'!BJ$10:BJ$54,$B31),0)+IF('計算A'!BK$117=1,INDEX('計算A'!BL$10:BL$54,$B31),0))*500,0)-IF(AND('計算A'!BJ$117=1,WH31&gt;0),300,0)-IF(AND($L31=1,'計算A'!BK$117=1,FJ31=0),300,0))),1000000))</f>
        <v/>
      </c>
      <c r="QN31">
        <f>IF($B31=0,1000000,IF(INDEX('計算A'!$D$60:$EQ$104,$B31,61)*FJ31=1,IF(AND($E31=2,KY31=0),1000000,IF($I31&gt;0,IF(3=$J31,IF(OR(AND(61=$I31+1,OR($K31&lt;&gt;'計算A'!$A$3,'計算A'!$A$4=0)),AND(61=$I31-1,OR(13&lt;&gt;'計算A'!$A$3,'計算A'!$A$4=0))),0,IF(13=$K31,200000,ABS(13-$K31)*100)),100000+ABS(3-$J31)*1000+130)+'計算A'!BL$5*50+IF(AND($E31=1,KY31=0),25,0),INDEX('計算A'!BL$110:BL$114,$F31+1)+IF(AND($E31=1,KY31=0),1000,0)+IF($H31=1,(IF('計算A'!BK$117=1,INDEX('計算A'!BK$10:BK$54,$B31),0)+IF('計算A'!BL$117=1,INDEX('計算A'!BM$10:BM$54,$B31),0))*500,0)-IF(AND('計算A'!BK$117=1,WI31&gt;0),300,0)-IF(AND($L31=1,'計算A'!BL$117=1,FK31=0),300,0))),1000000))</f>
        <v/>
      </c>
      <c r="QO31">
        <f>IF($B31=0,1000000,IF(INDEX('計算A'!$D$60:$EQ$104,$B31,62)*FK31=1,IF(AND($E31=2,KZ31=0),1000000,IF($I31&gt;0,IF(3=$J31,IF(OR(AND(62=$I31+1,OR($K31&lt;&gt;'計算A'!$A$3,'計算A'!$A$4=0)),AND(62=$I31-1,OR(14&lt;&gt;'計算A'!$A$3,'計算A'!$A$4=0))),0,IF(14=$K31,200000,ABS(14-$K31)*100)),100000+ABS(3-$J31)*1000+140)+'計算A'!BM$5*50+IF(AND($E31=1,KZ31=0),25,0),INDEX('計算A'!BM$110:BM$114,$F31+1)+IF(AND($E31=1,KZ31=0),1000,0)+IF($H31=1,(IF('計算A'!BL$117=1,INDEX('計算A'!BL$10:BL$54,$B31),0)+IF('計算A'!BM$117=1,INDEX('計算A'!BN$10:BN$54,$B31),0))*500,0)-IF(AND('計算A'!BL$117=1,WJ31&gt;0),300,0)-IF(AND($L31=1,'計算A'!BM$117=1,FL31=0),300,0))),1000000))</f>
        <v/>
      </c>
      <c r="QP31">
        <f>IF($B31=0,1000000,IF(INDEX('計算A'!$D$60:$EQ$104,$B31,63)*FL31=1,IF(AND($E31=2,LA31=0),1000000,IF($I31&gt;0,IF(3=$J31,IF(OR(AND(63=$I31+1,OR($K31&lt;&gt;'計算A'!$A$3,'計算A'!$A$4=0)),AND(63=$I31-1,OR(15&lt;&gt;'計算A'!$A$3,'計算A'!$A$4=0))),0,IF(15=$K31,200000,ABS(15-$K31)*100)),100000+ABS(3-$J31)*1000+150)+'計算A'!BN$5*50+IF(AND($E31=1,LA31=0),25,0),INDEX('計算A'!BN$110:BN$114,$F31+1)+IF(AND($E31=1,LA31=0),1000,0)+IF($H31=1,(IF('計算A'!BM$117=1,INDEX('計算A'!BM$10:BM$54,$B31),0)+IF('計算A'!BN$117=1,INDEX('計算A'!BO$10:BO$54,$B31),0))*500,0)-IF(AND('計算A'!BM$117=1,WK31&gt;0),300,0)-IF(AND($L31=1,'計算A'!BN$117=1,FM31=0),300,0))),1000000))</f>
        <v/>
      </c>
      <c r="QQ31">
        <f>IF($B31=0,1000000,IF(INDEX('計算A'!$D$60:$EQ$104,$B31,64)*FM31=1,IF(AND($E31=2,LB31=0),1000000,IF($I31&gt;0,IF(3=$J31,IF(OR(AND(64=$I31+1,OR($K31&lt;&gt;'計算A'!$A$3,'計算A'!$A$4=0)),AND(64=$I31-1,OR(16&lt;&gt;'計算A'!$A$3,'計算A'!$A$4=0))),0,IF(16=$K31,200000,ABS(16-$K31)*100)),100000+ABS(3-$J31)*1000+160)+'計算A'!BO$5*50+IF(AND($E31=1,LB31=0),25,0),INDEX('計算A'!BO$110:BO$114,$F31+1)+IF(AND($E31=1,LB31=0),1000,0)+IF($H31=1,(IF('計算A'!BN$117=1,INDEX('計算A'!BN$10:BN$54,$B31),0)+IF('計算A'!BO$117=1,INDEX('計算A'!BP$10:BP$54,$B31),0))*500,0)-IF(AND('計算A'!BN$117=1,WL31&gt;0),300,0)-IF(AND($L31=1,'計算A'!BO$117=1,FN31=0),300,0))),1000000))</f>
        <v/>
      </c>
      <c r="QR31">
        <f>IF($B31=0,1000000,IF(INDEX('計算A'!$D$60:$EQ$104,$B31,65)*FN31=1,IF(AND($E31=2,LC31=0),1000000,IF($I31&gt;0,IF(3=$J31,IF(OR(AND(65=$I31+1,OR($K31&lt;&gt;'計算A'!$A$3,'計算A'!$A$4=0)),AND(65=$I31-1,OR(17&lt;&gt;'計算A'!$A$3,'計算A'!$A$4=0))),0,IF(17=$K31,200000,ABS(17-$K31)*100)),100000+ABS(3-$J31)*1000+170)+'計算A'!BP$5*50+IF(AND($E31=1,LC31=0),25,0),INDEX('計算A'!BP$110:BP$114,$F31+1)+IF(AND($E31=1,LC31=0),1000,0)+IF($H31=1,(IF('計算A'!BO$117=1,INDEX('計算A'!BO$10:BO$54,$B31),0)+IF('計算A'!BP$117=1,INDEX('計算A'!BQ$10:BQ$54,$B31),0))*500,0)-IF(AND('計算A'!BO$117=1,WM31&gt;0),300,0)-IF(AND($L31=1,'計算A'!BP$117=1,FO31=0),300,0))),1000000))</f>
        <v/>
      </c>
      <c r="QS31">
        <f>IF($B31=0,1000000,IF(INDEX('計算A'!$D$60:$EQ$104,$B31,66)*FO31=1,IF(AND($E31=2,LD31=0),1000000,IF($I31&gt;0,IF(3=$J31,IF(OR(AND(66=$I31+1,OR($K31&lt;&gt;'計算A'!$A$3,'計算A'!$A$4=0)),AND(66=$I31-1,OR(18&lt;&gt;'計算A'!$A$3,'計算A'!$A$4=0))),0,IF(18=$K31,200000,ABS(18-$K31)*100)),100000+ABS(3-$J31)*1000+180)+'計算A'!BQ$5*50+IF(AND($E31=1,LD31=0),25,0),INDEX('計算A'!BQ$110:BQ$114,$F31+1)+IF(AND($E31=1,LD31=0),1000,0)+IF($H31=1,(IF('計算A'!BP$117=1,INDEX('計算A'!BP$10:BP$54,$B31),0)+IF('計算A'!BQ$117=1,INDEX('計算A'!BR$10:BR$54,$B31),0))*500,0)-IF(AND('計算A'!BP$117=1,WN31&gt;0),300,0)-IF(AND($L31=1,'計算A'!BQ$117=1,FP31=0),300,0))),1000000))</f>
        <v/>
      </c>
      <c r="QT31">
        <f>IF($B31=0,1000000,IF(INDEX('計算A'!$D$60:$EQ$104,$B31,67)*FP31=1,IF(AND($E31=2,LE31=0),1000000,IF($I31&gt;0,IF(3=$J31,IF(OR(AND(67=$I31+1,OR($K31&lt;&gt;'計算A'!$A$3,'計算A'!$A$4=0)),AND(67=$I31-1,OR(19&lt;&gt;'計算A'!$A$3,'計算A'!$A$4=0))),0,IF(19=$K31,200000,ABS(19-$K31)*100)),100000+ABS(3-$J31)*1000+190)+'計算A'!BR$5*50+IF(AND($E31=1,LE31=0),25,0),INDEX('計算A'!BR$110:BR$114,$F31+1)+IF(AND($E31=1,LE31=0),1000,0)+IF($H31=1,(IF('計算A'!BQ$117=1,INDEX('計算A'!BQ$10:BQ$54,$B31),0)+IF('計算A'!BR$117=1,INDEX('計算A'!BS$10:BS$54,$B31),0))*500,0)-IF(AND('計算A'!BQ$117=1,WO31&gt;0),300,0)-IF(AND($L31=1,'計算A'!BR$117=1,FQ31=0),300,0))),1000000))</f>
        <v/>
      </c>
      <c r="QU31">
        <f>IF($B31=0,1000000,IF(INDEX('計算A'!$D$60:$EQ$104,$B31,68)*FQ31=1,IF(AND($E31=2,LF31=0),1000000,IF($I31&gt;0,IF(3=$J31,IF(OR(AND(68=$I31+1,OR($K31&lt;&gt;'計算A'!$A$3,'計算A'!$A$4=0)),AND(68=$I31-1,OR(20&lt;&gt;'計算A'!$A$3,'計算A'!$A$4=0))),0,IF(20=$K31,200000,ABS(20-$K31)*100)),100000+ABS(3-$J31)*1000+200)+'計算A'!BS$5*50+IF(AND($E31=1,LF31=0),25,0),INDEX('計算A'!BS$110:BS$114,$F31+1)+IF(AND($E31=1,LF31=0),1000,0)+IF($H31=1,(IF('計算A'!BR$117=1,INDEX('計算A'!BR$10:BR$54,$B31),0)+IF('計算A'!BS$117=1,INDEX('計算A'!BT$10:BT$54,$B31),0))*500,0)-IF(AND('計算A'!BR$117=1,WP31&gt;0),300,0)-IF(AND($L31=1,'計算A'!BS$117=1,FR31=0),300,0))),1000000))</f>
        <v/>
      </c>
      <c r="QV31">
        <f>IF($B31=0,1000000,IF(INDEX('計算A'!$D$60:$EQ$104,$B31,69)*FR31=1,IF(AND($E31=2,LG31=0),1000000,IF($I31&gt;0,IF(3=$J31,IF(OR(AND(69=$I31+1,OR($K31&lt;&gt;'計算A'!$A$3,'計算A'!$A$4=0)),AND(69=$I31-1,OR(21&lt;&gt;'計算A'!$A$3,'計算A'!$A$4=0))),0,IF(21=$K31,200000,ABS(21-$K31)*100)),100000+ABS(3-$J31)*1000+210)+'計算A'!BT$5*50+IF(AND($E31=1,LG31=0),25,0),INDEX('計算A'!BT$110:BT$114,$F31+1)+IF(AND($E31=1,LG31=0),1000,0)+IF($H31=1,(IF('計算A'!BS$117=1,INDEX('計算A'!BS$10:BS$54,$B31),0)+IF('計算A'!BT$117=1,INDEX('計算A'!BU$10:BU$54,$B31),0))*500,0)-IF(AND('計算A'!BS$117=1,WQ31&gt;0),300,0)-IF(AND($L31=1,'計算A'!BT$117=1,FS31=0),300,0))),1000000))</f>
        <v/>
      </c>
      <c r="QW31">
        <f>IF($B31=0,1000000,IF(INDEX('計算A'!$D$60:$EQ$104,$B31,70)*FS31=1,IF(AND($E31=2,LH31=0),1000000,IF($I31&gt;0,IF(3=$J31,IF(OR(AND(70=$I31+1,OR($K31&lt;&gt;'計算A'!$A$3,'計算A'!$A$4=0)),AND(70=$I31-1,OR(22&lt;&gt;'計算A'!$A$3,'計算A'!$A$4=0))),0,IF(22=$K31,200000,ABS(22-$K31)*100)),100000+ABS(3-$J31)*1000+220)+'計算A'!BU$5*50+IF(AND($E31=1,LH31=0),25,0),INDEX('計算A'!BU$110:BU$114,$F31+1)+IF(AND($E31=1,LH31=0),1000,0)+IF($H31=1,(IF('計算A'!BT$117=1,INDEX('計算A'!BT$10:BT$54,$B31),0)+IF('計算A'!BU$117=1,INDEX('計算A'!BV$10:BV$54,$B31),0))*500,0)-IF(AND('計算A'!BT$117=1,WR31&gt;0),300,0)-IF(AND($L31=1,'計算A'!BU$117=1,FT31=0),300,0))),1000000))</f>
        <v/>
      </c>
      <c r="QX31">
        <f>IF($B31=0,1000000,IF(INDEX('計算A'!$D$60:$EQ$104,$B31,71)*FT31=1,IF(AND($E31=2,LI31=0),1000000,IF($I31&gt;0,IF(3=$J31,IF(OR(AND(71=$I31+1,OR($K31&lt;&gt;'計算A'!$A$3,'計算A'!$A$4=0)),AND(71=$I31-1,OR(23&lt;&gt;'計算A'!$A$3,'計算A'!$A$4=0))),0,IF(23=$K31,200000,ABS(23-$K31)*100)),100000+ABS(3-$J31)*1000+230)+'計算A'!BV$5*50+IF(AND($E31=1,LI31=0),25,0),INDEX('計算A'!BV$110:BV$114,$F31+1)+IF(AND($E31=1,LI31=0),1000,0)+IF($H31=1,(IF('計算A'!BU$117=1,INDEX('計算A'!BU$10:BU$54,$B31),0)+IF('計算A'!BV$117=1,INDEX('計算A'!BW$10:BW$54,$B31),0))*500,0)-IF(AND('計算A'!BU$117=1,WS31&gt;0),300,0)-IF(AND($L31=1,'計算A'!BV$117=1,FU31=0),300,0))),1000000))</f>
        <v/>
      </c>
      <c r="QY31">
        <f>IF($B31=0,1000000,IF(INDEX('計算A'!$D$60:$EQ$104,$B31,72)*FU31=1,IF(AND($E31=2,LJ31=0),1000000,IF($I31&gt;0,IF(3=$J31,IF(OR(AND(72=$I31+1,OR($K31&lt;&gt;'計算A'!$A$3,'計算A'!$A$4=0)),AND(72=$I31-1,OR(24&lt;&gt;'計算A'!$A$3,'計算A'!$A$4=0))),0,IF(24=$K31,200000,ABS(24-$K31)*100)),100000+ABS(3-$J31)*1000+240)+'計算A'!BW$5*50+IF(AND($E31=1,LJ31=0),25,0),INDEX('計算A'!BW$110:BW$114,$F31+1)+IF(AND($E31=1,LJ31=0),1000,0)+IF($H31=1,(IF('計算A'!BV$117=1,INDEX('計算A'!BV$10:BV$54,$B31),0))*500,0)-IF(AND('計算A'!BV$117=1,WT31&gt;0),300,0))),1000000))</f>
        <v/>
      </c>
      <c r="QZ31">
        <f>IF($B31=0,1000000,IF(INDEX('計算A'!$D$60:$EQ$104,$B31,73)*FV31=1,IF(AND($E31=2,LK31=0),1000000,IF($I31&gt;0,IF(4=$J31,IF(OR(AND(73=$I31+1,OR($K31&lt;&gt;'計算A'!$A$3,'計算A'!$A$4=0)),AND(73=$I31-1,OR(1&lt;&gt;'計算A'!$A$3,'計算A'!$A$4=0))),0,IF(1=$K31,200000,ABS(1-$K31)*100)),100000+ABS(4-$J31)*1000+10)+'計算A'!BX$5*50+IF(AND($E31=1,LK31=0),25,0),INDEX('計算A'!BX$110:BX$114,$F31+1)+IF(AND($E31=1,LK31=0),1000,0)+IF($H31=1,(IF('計算A'!BX$117=1,INDEX('計算A'!BY$10:BY$54,$B31),0))*500,0)-IF(AND($L31=1,'計算A'!BX$117=1,FW31=0),300,0))),1000000))</f>
        <v/>
      </c>
      <c r="RA31">
        <f>IF($B31=0,1000000,IF(INDEX('計算A'!$D$60:$EQ$104,$B31,74)*FW31=1,IF(AND($E31=2,LL31=0),1000000,IF($I31&gt;0,IF(4=$J31,IF(OR(AND(74=$I31+1,OR($K31&lt;&gt;'計算A'!$A$3,'計算A'!$A$4=0)),AND(74=$I31-1,OR(2&lt;&gt;'計算A'!$A$3,'計算A'!$A$4=0))),0,IF(2=$K31,200000,ABS(2-$K31)*100)),100000+ABS(4-$J31)*1000+20)+'計算A'!BY$5*50+IF(AND($E31=1,LL31=0),25,0),INDEX('計算A'!BY$110:BY$114,$F31+1)+IF(AND($E31=1,LL31=0),1000,0)+IF($H31=1,(IF('計算A'!BX$117=1,INDEX('計算A'!BX$10:BX$54,$B31),0)+IF('計算A'!BY$117=1,INDEX('計算A'!BZ$10:BZ$54,$B31),0))*500,0)-IF(AND('計算A'!BX$117=1,WV31&gt;0),300,0)-IF(AND($L31=1,'計算A'!BY$117=1,FX31=0),300,0))),1000000))</f>
        <v/>
      </c>
      <c r="RB31">
        <f>IF($B31=0,1000000,IF(INDEX('計算A'!$D$60:$EQ$104,$B31,75)*FX31=1,IF(AND($E31=2,LM31=0),1000000,IF($I31&gt;0,IF(4=$J31,IF(OR(AND(75=$I31+1,OR($K31&lt;&gt;'計算A'!$A$3,'計算A'!$A$4=0)),AND(75=$I31-1,OR(3&lt;&gt;'計算A'!$A$3,'計算A'!$A$4=0))),0,IF(3=$K31,200000,ABS(3-$K31)*100)),100000+ABS(4-$J31)*1000+30)+'計算A'!BZ$5*50+IF(AND($E31=1,LM31=0),25,0),INDEX('計算A'!BZ$110:BZ$114,$F31+1)+IF(AND($E31=1,LM31=0),1000,0)+IF($H31=1,(IF('計算A'!BY$117=1,INDEX('計算A'!BY$10:BY$54,$B31),0)+IF('計算A'!BZ$117=1,INDEX('計算A'!CA$10:CA$54,$B31),0))*500,0)-IF(AND('計算A'!BY$117=1,WW31&gt;0),300,0)-IF(AND($L31=1,'計算A'!BZ$117=1,FY31=0),300,0))),1000000))</f>
        <v/>
      </c>
      <c r="RC31">
        <f>IF($B31=0,1000000,IF(INDEX('計算A'!$D$60:$EQ$104,$B31,76)*FY31=1,IF(AND($E31=2,LN31=0),1000000,IF($I31&gt;0,IF(4=$J31,IF(OR(AND(76=$I31+1,OR($K31&lt;&gt;'計算A'!$A$3,'計算A'!$A$4=0)),AND(76=$I31-1,OR(4&lt;&gt;'計算A'!$A$3,'計算A'!$A$4=0))),0,IF(4=$K31,200000,ABS(4-$K31)*100)),100000+ABS(4-$J31)*1000+40)+'計算A'!CA$5*50+IF(AND($E31=1,LN31=0),25,0),INDEX('計算A'!CA$110:CA$114,$F31+1)+IF(AND($E31=1,LN31=0),1000,0)+IF($H31=1,(IF('計算A'!BZ$117=1,INDEX('計算A'!BZ$10:BZ$54,$B31),0)+IF('計算A'!CA$117=1,INDEX('計算A'!CB$10:CB$54,$B31),0))*500,0)-IF(AND('計算A'!BZ$117=1,WX31&gt;0),300,0)-IF(AND($L31=1,'計算A'!CA$117=1,FZ31=0),300,0))),1000000))</f>
        <v/>
      </c>
      <c r="RD31">
        <f>IF($B31=0,1000000,IF(INDEX('計算A'!$D$60:$EQ$104,$B31,77)*FZ31=1,IF(AND($E31=2,LO31=0),1000000,IF($I31&gt;0,IF(4=$J31,IF(OR(AND(77=$I31+1,OR($K31&lt;&gt;'計算A'!$A$3,'計算A'!$A$4=0)),AND(77=$I31-1,OR(5&lt;&gt;'計算A'!$A$3,'計算A'!$A$4=0))),0,IF(5=$K31,200000,ABS(5-$K31)*100)),100000+ABS(4-$J31)*1000+50)+'計算A'!CB$5*50+IF(AND($E31=1,LO31=0),25,0),INDEX('計算A'!CB$110:CB$114,$F31+1)+IF(AND($E31=1,LO31=0),1000,0)+IF($H31=1,(IF('計算A'!CA$117=1,INDEX('計算A'!CA$10:CA$54,$B31),0)+IF('計算A'!CB$117=1,INDEX('計算A'!CC$10:CC$54,$B31),0))*500,0)-IF(AND('計算A'!CA$117=1,WY31&gt;0),300,0)-IF(AND($L31=1,'計算A'!CB$117=1,GA31=0),300,0))),1000000))</f>
        <v/>
      </c>
      <c r="RE31">
        <f>IF($B31=0,1000000,IF(INDEX('計算A'!$D$60:$EQ$104,$B31,78)*GA31=1,IF(AND($E31=2,LP31=0),1000000,IF($I31&gt;0,IF(4=$J31,IF(OR(AND(78=$I31+1,OR($K31&lt;&gt;'計算A'!$A$3,'計算A'!$A$4=0)),AND(78=$I31-1,OR(6&lt;&gt;'計算A'!$A$3,'計算A'!$A$4=0))),0,IF(6=$K31,200000,ABS(6-$K31)*100)),100000+ABS(4-$J31)*1000+60)+'計算A'!CC$5*50+IF(AND($E31=1,LP31=0),25,0),INDEX('計算A'!CC$110:CC$114,$F31+1)+IF(AND($E31=1,LP31=0),1000,0)+IF($H31=1,(IF('計算A'!CB$117=1,INDEX('計算A'!CB$10:CB$54,$B31),0)+IF('計算A'!CC$117=1,INDEX('計算A'!CD$10:CD$54,$B31),0))*500,0)-IF(AND('計算A'!CB$117=1,WZ31&gt;0),300,0)-IF(AND($L31=1,'計算A'!CC$117=1,GB31=0),300,0))),1000000))</f>
        <v/>
      </c>
      <c r="RF31">
        <f>IF($B31=0,1000000,IF(INDEX('計算A'!$D$60:$EQ$104,$B31,79)*GB31=1,IF(AND($E31=2,LQ31=0),1000000,IF($I31&gt;0,IF(4=$J31,IF(OR(AND(79=$I31+1,OR($K31&lt;&gt;'計算A'!$A$3,'計算A'!$A$4=0)),AND(79=$I31-1,OR(7&lt;&gt;'計算A'!$A$3,'計算A'!$A$4=0))),0,IF(7=$K31,200000,ABS(7-$K31)*100)),100000+ABS(4-$J31)*1000+70)+'計算A'!CD$5*50+IF(AND($E31=1,LQ31=0),25,0),INDEX('計算A'!CD$110:CD$114,$F31+1)+IF(AND($E31=1,LQ31=0),1000,0)+IF($H31=1,(IF('計算A'!CC$117=1,INDEX('計算A'!CC$10:CC$54,$B31),0)+IF('計算A'!CD$117=1,INDEX('計算A'!CE$10:CE$54,$B31),0))*500,0)-IF(AND('計算A'!CC$117=1,XA31&gt;0),300,0)-IF(AND($L31=1,'計算A'!CD$117=1,GC31=0),300,0))),1000000))</f>
        <v/>
      </c>
      <c r="RG31">
        <f>IF($B31=0,1000000,IF(INDEX('計算A'!$D$60:$EQ$104,$B31,80)*GC31=1,IF(AND($E31=2,LR31=0),1000000,IF($I31&gt;0,IF(4=$J31,IF(OR(AND(80=$I31+1,OR($K31&lt;&gt;'計算A'!$A$3,'計算A'!$A$4=0)),AND(80=$I31-1,OR(8&lt;&gt;'計算A'!$A$3,'計算A'!$A$4=0))),0,IF(8=$K31,200000,ABS(8-$K31)*100)),100000+ABS(4-$J31)*1000+80)+'計算A'!CE$5*50+IF(AND($E31=1,LR31=0),25,0),INDEX('計算A'!CE$110:CE$114,$F31+1)+IF(AND($E31=1,LR31=0),1000,0)+IF($H31=1,(IF('計算A'!CD$117=1,INDEX('計算A'!CD$10:CD$54,$B31),0)+IF('計算A'!CE$117=1,INDEX('計算A'!CF$10:CF$54,$B31),0))*500,0)-IF(AND('計算A'!CD$117=1,XB31&gt;0),300,0)-IF(AND($L31=1,'計算A'!CE$117=1,GD31=0),300,0))),1000000))</f>
        <v/>
      </c>
      <c r="RH31">
        <f>IF($B31=0,1000000,IF(INDEX('計算A'!$D$60:$EQ$104,$B31,81)*GD31=1,IF(AND($E31=2,LS31=0),1000000,IF($I31&gt;0,IF(4=$J31,IF(OR(AND(81=$I31+1,OR($K31&lt;&gt;'計算A'!$A$3,'計算A'!$A$4=0)),AND(81=$I31-1,OR(9&lt;&gt;'計算A'!$A$3,'計算A'!$A$4=0))),0,IF(9=$K31,200000,ABS(9-$K31)*100)),100000+ABS(4-$J31)*1000+90)+'計算A'!CF$5*50+IF(AND($E31=1,LS31=0),25,0),INDEX('計算A'!CF$110:CF$114,$F31+1)+IF(AND($E31=1,LS31=0),1000,0)+IF($H31=1,(IF('計算A'!CE$117=1,INDEX('計算A'!CE$10:CE$54,$B31),0)+IF('計算A'!CF$117=1,INDEX('計算A'!CG$10:CG$54,$B31),0))*500,0)-IF(AND('計算A'!CE$117=1,XC31&gt;0),300,0)-IF(AND($L31=1,'計算A'!CF$117=1,GE31=0),300,0))),1000000))</f>
        <v/>
      </c>
      <c r="RI31">
        <f>IF($B31=0,1000000,IF(INDEX('計算A'!$D$60:$EQ$104,$B31,82)*GE31=1,IF(AND($E31=2,LT31=0),1000000,IF($I31&gt;0,IF(4=$J31,IF(OR(AND(82=$I31+1,OR($K31&lt;&gt;'計算A'!$A$3,'計算A'!$A$4=0)),AND(82=$I31-1,OR(10&lt;&gt;'計算A'!$A$3,'計算A'!$A$4=0))),0,IF(10=$K31,200000,ABS(10-$K31)*100)),100000+ABS(4-$J31)*1000+100)+'計算A'!CG$5*50+IF(AND($E31=1,LT31=0),25,0),INDEX('計算A'!CG$110:CG$114,$F31+1)+IF(AND($E31=1,LT31=0),1000,0)+IF($H31=1,(IF('計算A'!CF$117=1,INDEX('計算A'!CF$10:CF$54,$B31),0)+IF('計算A'!CG$117=1,INDEX('計算A'!CH$10:CH$54,$B31),0))*500,0)-IF(AND('計算A'!CF$117=1,XD31&gt;0),300,0)-IF(AND($L31=1,'計算A'!CG$117=1,GF31=0),300,0))),1000000))</f>
        <v/>
      </c>
      <c r="RJ31">
        <f>IF($B31=0,1000000,IF(INDEX('計算A'!$D$60:$EQ$104,$B31,83)*GF31=1,IF(AND($E31=2,LU31=0),1000000,IF($I31&gt;0,IF(4=$J31,IF(OR(AND(83=$I31+1,OR($K31&lt;&gt;'計算A'!$A$3,'計算A'!$A$4=0)),AND(83=$I31-1,OR(11&lt;&gt;'計算A'!$A$3,'計算A'!$A$4=0))),0,IF(11=$K31,200000,ABS(11-$K31)*100)),100000+ABS(4-$J31)*1000+110)+'計算A'!CH$5*50+IF(AND($E31=1,LU31=0),25,0),INDEX('計算A'!CH$110:CH$114,$F31+1)+IF(AND($E31=1,LU31=0),1000,0)+IF($H31=1,(IF('計算A'!CG$117=1,INDEX('計算A'!CG$10:CG$54,$B31),0)+IF('計算A'!CH$117=1,INDEX('計算A'!CI$10:CI$54,$B31),0))*500,0)-IF(AND('計算A'!CG$117=1,XE31&gt;0),300,0)-IF(AND($L31=1,'計算A'!CH$117=1,GG31=0),300,0))),1000000))</f>
        <v/>
      </c>
      <c r="RK31">
        <f>IF($B31=0,1000000,IF(INDEX('計算A'!$D$60:$EQ$104,$B31,84)*GG31=1,IF(AND($E31=2,LV31=0),1000000,IF($I31&gt;0,IF(4=$J31,IF(OR(AND(84=$I31+1,OR($K31&lt;&gt;'計算A'!$A$3,'計算A'!$A$4=0)),AND(84=$I31-1,OR(12&lt;&gt;'計算A'!$A$3,'計算A'!$A$4=0))),0,IF(12=$K31,200000,ABS(12-$K31)*100)),100000+ABS(4-$J31)*1000+120)+'計算A'!CI$5*50+IF(AND($E31=1,LV31=0),25,0),INDEX('計算A'!CI$110:CI$114,$F31+1)+IF(AND($E31=1,LV31=0),1000,0)+IF($H31=1,(IF('計算A'!CH$117=1,INDEX('計算A'!CH$10:CH$54,$B31),0)+IF('計算A'!CI$117=1,INDEX('計算A'!CJ$10:CJ$54,$B31),0))*500,0)-IF(AND('計算A'!CH$117=1,XF31&gt;0),300,0)-IF(AND($L31=1,'計算A'!CI$117=1,GH31=0),300,0))),1000000))</f>
        <v/>
      </c>
      <c r="RL31">
        <f>IF($B31=0,1000000,IF(INDEX('計算A'!$D$60:$EQ$104,$B31,85)*GH31=1,IF(AND($E31=2,LW31=0),1000000,IF($I31&gt;0,IF(4=$J31,IF(OR(AND(85=$I31+1,OR($K31&lt;&gt;'計算A'!$A$3,'計算A'!$A$4=0)),AND(85=$I31-1,OR(13&lt;&gt;'計算A'!$A$3,'計算A'!$A$4=0))),0,IF(13=$K31,200000,ABS(13-$K31)*100)),100000+ABS(4-$J31)*1000+130)+'計算A'!CJ$5*50+IF(AND($E31=1,LW31=0),25,0),INDEX('計算A'!CJ$110:CJ$114,$F31+1)+IF(AND($E31=1,LW31=0),1000,0)+IF($H31=1,(IF('計算A'!CI$117=1,INDEX('計算A'!CI$10:CI$54,$B31),0)+IF('計算A'!CJ$117=1,INDEX('計算A'!CK$10:CK$54,$B31),0))*500,0)-IF(AND('計算A'!CI$117=1,XG31&gt;0),300,0)-IF(AND($L31=1,'計算A'!CJ$117=1,GI31=0),300,0))),1000000))</f>
        <v/>
      </c>
      <c r="RM31">
        <f>IF($B31=0,1000000,IF(INDEX('計算A'!$D$60:$EQ$104,$B31,86)*GI31=1,IF(AND($E31=2,LX31=0),1000000,IF($I31&gt;0,IF(4=$J31,IF(OR(AND(86=$I31+1,OR($K31&lt;&gt;'計算A'!$A$3,'計算A'!$A$4=0)),AND(86=$I31-1,OR(14&lt;&gt;'計算A'!$A$3,'計算A'!$A$4=0))),0,IF(14=$K31,200000,ABS(14-$K31)*100)),100000+ABS(4-$J31)*1000+140)+'計算A'!CK$5*50+IF(AND($E31=1,LX31=0),25,0),INDEX('計算A'!CK$110:CK$114,$F31+1)+IF(AND($E31=1,LX31=0),1000,0)+IF($H31=1,(IF('計算A'!CJ$117=1,INDEX('計算A'!CJ$10:CJ$54,$B31),0)+IF('計算A'!CK$117=1,INDEX('計算A'!CL$10:CL$54,$B31),0))*500,0)-IF(AND('計算A'!CJ$117=1,XH31&gt;0),300,0)-IF(AND($L31=1,'計算A'!CK$117=1,GJ31=0),300,0))),1000000))</f>
        <v/>
      </c>
      <c r="RN31">
        <f>IF($B31=0,1000000,IF(INDEX('計算A'!$D$60:$EQ$104,$B31,87)*GJ31=1,IF(AND($E31=2,LY31=0),1000000,IF($I31&gt;0,IF(4=$J31,IF(OR(AND(87=$I31+1,OR($K31&lt;&gt;'計算A'!$A$3,'計算A'!$A$4=0)),AND(87=$I31-1,OR(15&lt;&gt;'計算A'!$A$3,'計算A'!$A$4=0))),0,IF(15=$K31,200000,ABS(15-$K31)*100)),100000+ABS(4-$J31)*1000+150)+'計算A'!CL$5*50+IF(AND($E31=1,LY31=0),25,0),INDEX('計算A'!CL$110:CL$114,$F31+1)+IF(AND($E31=1,LY31=0),1000,0)+IF($H31=1,(IF('計算A'!CK$117=1,INDEX('計算A'!CK$10:CK$54,$B31),0)+IF('計算A'!CL$117=1,INDEX('計算A'!CM$10:CM$54,$B31),0))*500,0)-IF(AND('計算A'!CK$117=1,XI31&gt;0),300,0)-IF(AND($L31=1,'計算A'!CL$117=1,GK31=0),300,0))),1000000))</f>
        <v/>
      </c>
      <c r="RO31">
        <f>IF($B31=0,1000000,IF(INDEX('計算A'!$D$60:$EQ$104,$B31,88)*GK31=1,IF(AND($E31=2,LZ31=0),1000000,IF($I31&gt;0,IF(4=$J31,IF(OR(AND(88=$I31+1,OR($K31&lt;&gt;'計算A'!$A$3,'計算A'!$A$4=0)),AND(88=$I31-1,OR(16&lt;&gt;'計算A'!$A$3,'計算A'!$A$4=0))),0,IF(16=$K31,200000,ABS(16-$K31)*100)),100000+ABS(4-$J31)*1000+160)+'計算A'!CM$5*50+IF(AND($E31=1,LZ31=0),25,0),INDEX('計算A'!CM$110:CM$114,$F31+1)+IF(AND($E31=1,LZ31=0),1000,0)+IF($H31=1,(IF('計算A'!CL$117=1,INDEX('計算A'!CL$10:CL$54,$B31),0)+IF('計算A'!CM$117=1,INDEX('計算A'!CN$10:CN$54,$B31),0))*500,0)-IF(AND('計算A'!CL$117=1,XJ31&gt;0),300,0)-IF(AND($L31=1,'計算A'!CM$117=1,GL31=0),300,0))),1000000))</f>
        <v/>
      </c>
      <c r="RP31">
        <f>IF($B31=0,1000000,IF(INDEX('計算A'!$D$60:$EQ$104,$B31,89)*GL31=1,IF(AND($E31=2,MA31=0),1000000,IF($I31&gt;0,IF(4=$J31,IF(OR(AND(89=$I31+1,OR($K31&lt;&gt;'計算A'!$A$3,'計算A'!$A$4=0)),AND(89=$I31-1,OR(17&lt;&gt;'計算A'!$A$3,'計算A'!$A$4=0))),0,IF(17=$K31,200000,ABS(17-$K31)*100)),100000+ABS(4-$J31)*1000+170)+'計算A'!CN$5*50+IF(AND($E31=1,MA31=0),25,0),INDEX('計算A'!CN$110:CN$114,$F31+1)+IF(AND($E31=1,MA31=0),1000,0)+IF($H31=1,(IF('計算A'!CM$117=1,INDEX('計算A'!CM$10:CM$54,$B31),0)+IF('計算A'!CN$117=1,INDEX('計算A'!CO$10:CO$54,$B31),0))*500,0)-IF(AND('計算A'!CM$117=1,XK31&gt;0),300,0)-IF(AND($L31=1,'計算A'!CN$117=1,GM31=0),300,0))),1000000))</f>
        <v/>
      </c>
      <c r="RQ31">
        <f>IF($B31=0,1000000,IF(INDEX('計算A'!$D$60:$EQ$104,$B31,90)*GM31=1,IF(AND($E31=2,MB31=0),1000000,IF($I31&gt;0,IF(4=$J31,IF(OR(AND(90=$I31+1,OR($K31&lt;&gt;'計算A'!$A$3,'計算A'!$A$4=0)),AND(90=$I31-1,OR(18&lt;&gt;'計算A'!$A$3,'計算A'!$A$4=0))),0,IF(18=$K31,200000,ABS(18-$K31)*100)),100000+ABS(4-$J31)*1000+180)+'計算A'!CO$5*50+IF(AND($E31=1,MB31=0),25,0),INDEX('計算A'!CO$110:CO$114,$F31+1)+IF(AND($E31=1,MB31=0),1000,0)+IF($H31=1,(IF('計算A'!CN$117=1,INDEX('計算A'!CN$10:CN$54,$B31),0)+IF('計算A'!CO$117=1,INDEX('計算A'!CP$10:CP$54,$B31),0))*500,0)-IF(AND('計算A'!CN$117=1,XL31&gt;0),300,0)-IF(AND($L31=1,'計算A'!CO$117=1,GN31=0),300,0))),1000000))</f>
        <v/>
      </c>
      <c r="RR31">
        <f>IF($B31=0,1000000,IF(INDEX('計算A'!$D$60:$EQ$104,$B31,91)*GN31=1,IF(AND($E31=2,MC31=0),1000000,IF($I31&gt;0,IF(4=$J31,IF(OR(AND(91=$I31+1,OR($K31&lt;&gt;'計算A'!$A$3,'計算A'!$A$4=0)),AND(91=$I31-1,OR(19&lt;&gt;'計算A'!$A$3,'計算A'!$A$4=0))),0,IF(19=$K31,200000,ABS(19-$K31)*100)),100000+ABS(4-$J31)*1000+190)+'計算A'!CP$5*50+IF(AND($E31=1,MC31=0),25,0),INDEX('計算A'!CP$110:CP$114,$F31+1)+IF(AND($E31=1,MC31=0),1000,0)+IF($H31=1,(IF('計算A'!CO$117=1,INDEX('計算A'!CO$10:CO$54,$B31),0)+IF('計算A'!CP$117=1,INDEX('計算A'!CQ$10:CQ$54,$B31),0))*500,0)-IF(AND('計算A'!CO$117=1,XM31&gt;0),300,0)-IF(AND($L31=1,'計算A'!CP$117=1,GO31=0),300,0))),1000000))</f>
        <v/>
      </c>
      <c r="RS31">
        <f>IF($B31=0,1000000,IF(INDEX('計算A'!$D$60:$EQ$104,$B31,92)*GO31=1,IF(AND($E31=2,MD31=0),1000000,IF($I31&gt;0,IF(4=$J31,IF(OR(AND(92=$I31+1,OR($K31&lt;&gt;'計算A'!$A$3,'計算A'!$A$4=0)),AND(92=$I31-1,OR(20&lt;&gt;'計算A'!$A$3,'計算A'!$A$4=0))),0,IF(20=$K31,200000,ABS(20-$K31)*100)),100000+ABS(4-$J31)*1000+200)+'計算A'!CQ$5*50+IF(AND($E31=1,MD31=0),25,0),INDEX('計算A'!CQ$110:CQ$114,$F31+1)+IF(AND($E31=1,MD31=0),1000,0)+IF($H31=1,(IF('計算A'!CP$117=1,INDEX('計算A'!CP$10:CP$54,$B31),0)+IF('計算A'!CQ$117=1,INDEX('計算A'!CR$10:CR$54,$B31),0))*500,0)-IF(AND('計算A'!CP$117=1,XN31&gt;0),300,0)-IF(AND($L31=1,'計算A'!CQ$117=1,GP31=0),300,0))),1000000))</f>
        <v/>
      </c>
      <c r="RT31">
        <f>IF($B31=0,1000000,IF(INDEX('計算A'!$D$60:$EQ$104,$B31,93)*GP31=1,IF(AND($E31=2,ME31=0),1000000,IF($I31&gt;0,IF(4=$J31,IF(OR(AND(93=$I31+1,OR($K31&lt;&gt;'計算A'!$A$3,'計算A'!$A$4=0)),AND(93=$I31-1,OR(21&lt;&gt;'計算A'!$A$3,'計算A'!$A$4=0))),0,IF(21=$K31,200000,ABS(21-$K31)*100)),100000+ABS(4-$J31)*1000+210)+'計算A'!CR$5*50+IF(AND($E31=1,ME31=0),25,0),INDEX('計算A'!CR$110:CR$114,$F31+1)+IF(AND($E31=1,ME31=0),1000,0)+IF($H31=1,(IF('計算A'!CQ$117=1,INDEX('計算A'!CQ$10:CQ$54,$B31),0)+IF('計算A'!CR$117=1,INDEX('計算A'!CS$10:CS$54,$B31),0))*500,0)-IF(AND('計算A'!CQ$117=1,XO31&gt;0),300,0)-IF(AND($L31=1,'計算A'!CR$117=1,GQ31=0),300,0))),1000000))</f>
        <v/>
      </c>
      <c r="RU31">
        <f>IF($B31=0,1000000,IF(INDEX('計算A'!$D$60:$EQ$104,$B31,94)*GQ31=1,IF(AND($E31=2,MF31=0),1000000,IF($I31&gt;0,IF(4=$J31,IF(OR(AND(94=$I31+1,OR($K31&lt;&gt;'計算A'!$A$3,'計算A'!$A$4=0)),AND(94=$I31-1,OR(22&lt;&gt;'計算A'!$A$3,'計算A'!$A$4=0))),0,IF(22=$K31,200000,ABS(22-$K31)*100)),100000+ABS(4-$J31)*1000+220)+'計算A'!CS$5*50+IF(AND($E31=1,MF31=0),25,0),INDEX('計算A'!CS$110:CS$114,$F31+1)+IF(AND($E31=1,MF31=0),1000,0)+IF($H31=1,(IF('計算A'!CR$117=1,INDEX('計算A'!CR$10:CR$54,$B31),0)+IF('計算A'!CS$117=1,INDEX('計算A'!CT$10:CT$54,$B31),0))*500,0)-IF(AND('計算A'!CR$117=1,XP31&gt;0),300,0)-IF(AND($L31=1,'計算A'!CS$117=1,GR31=0),300,0))),1000000))</f>
        <v/>
      </c>
      <c r="RV31">
        <f>IF($B31=0,1000000,IF(INDEX('計算A'!$D$60:$EQ$104,$B31,95)*GR31=1,IF(AND($E31=2,MG31=0),1000000,IF($I31&gt;0,IF(4=$J31,IF(OR(AND(95=$I31+1,OR($K31&lt;&gt;'計算A'!$A$3,'計算A'!$A$4=0)),AND(95=$I31-1,OR(23&lt;&gt;'計算A'!$A$3,'計算A'!$A$4=0))),0,IF(23=$K31,200000,ABS(23-$K31)*100)),100000+ABS(4-$J31)*1000+230)+'計算A'!CT$5*50+IF(AND($E31=1,MG31=0),25,0),INDEX('計算A'!CT$110:CT$114,$F31+1)+IF(AND($E31=1,MG31=0),1000,0)+IF($H31=1,(IF('計算A'!CS$117=1,INDEX('計算A'!CS$10:CS$54,$B31),0)+IF('計算A'!CT$117=1,INDEX('計算A'!CU$10:CU$54,$B31),0))*500,0)-IF(AND('計算A'!CS$117=1,XQ31&gt;0),300,0)-IF(AND($L31=1,'計算A'!CT$117=1,GS31=0),300,0))),1000000))</f>
        <v/>
      </c>
      <c r="RW31">
        <f>IF($B31=0,1000000,IF(INDEX('計算A'!$D$60:$EQ$104,$B31,96)*GS31=1,IF(AND($E31=2,MH31=0),1000000,IF($I31&gt;0,IF(4=$J31,IF(OR(AND(96=$I31+1,OR($K31&lt;&gt;'計算A'!$A$3,'計算A'!$A$4=0)),AND(96=$I31-1,OR(24&lt;&gt;'計算A'!$A$3,'計算A'!$A$4=0))),0,IF(24=$K31,200000,ABS(24-$K31)*100)),100000+ABS(4-$J31)*1000+240)+'計算A'!CU$5*50+IF(AND($E31=1,MH31=0),25,0),INDEX('計算A'!CU$110:CU$114,$F31+1)+IF(AND($E31=1,MH31=0),1000,0)+IF($H31=1,(IF('計算A'!CT$117=1,INDEX('計算A'!CT$10:CT$54,$B31),0))*500,0)-IF(AND('計算A'!CT$117=1,XR31&gt;0),300,0))),1000000))</f>
        <v/>
      </c>
      <c r="RX31">
        <f>IF($B31=0,1000000,IF(INDEX('計算A'!$D$60:$EQ$104,$B31,97)*GT31=1,IF(AND($E31=2,MI31=0),1000000,IF($I31&gt;0,IF(5=$J31,IF(OR(AND(97=$I31+1,OR($K31&lt;&gt;'計算A'!$A$3,'計算A'!$A$4=0)),AND(97=$I31-1,OR(1&lt;&gt;'計算A'!$A$3,'計算A'!$A$4=0))),0,IF(1=$K31,200000,ABS(1-$K31)*100)),100000+ABS(5-$J31)*1000+10)+'計算A'!CV$5*50+IF(AND($E31=1,MI31=0),25,0),INDEX('計算A'!CV$110:CV$114,$F31+1)+IF(AND($E31=1,MI31=0),1000,0)+IF($H31=1,(IF('計算A'!CV$117=1,INDEX('計算A'!CW$10:CW$54,$B31),0))*500,0)-IF(AND($L31=1,'計算A'!CV$117=1,GU31=0),300,0))),1000000))</f>
        <v/>
      </c>
      <c r="RY31">
        <f>IF($B31=0,1000000,IF(INDEX('計算A'!$D$60:$EQ$104,$B31,98)*GU31=1,IF(AND($E31=2,MJ31=0),1000000,IF($I31&gt;0,IF(5=$J31,IF(OR(AND(98=$I31+1,OR($K31&lt;&gt;'計算A'!$A$3,'計算A'!$A$4=0)),AND(98=$I31-1,OR(2&lt;&gt;'計算A'!$A$3,'計算A'!$A$4=0))),0,IF(2=$K31,200000,ABS(2-$K31)*100)),100000+ABS(5-$J31)*1000+20)+'計算A'!CW$5*50+IF(AND($E31=1,MJ31=0),25,0),INDEX('計算A'!CW$110:CW$114,$F31+1)+IF(AND($E31=1,MJ31=0),1000,0)+IF($H31=1,(IF('計算A'!CV$117=1,INDEX('計算A'!CV$10:CV$54,$B31),0)+IF('計算A'!CW$117=1,INDEX('計算A'!CX$10:CX$54,$B31),0))*500,0)-IF(AND('計算A'!CV$117=1,XT31&gt;0),300,0)-IF(AND($L31=1,'計算A'!CW$117=1,GV31=0),300,0))),1000000))</f>
        <v/>
      </c>
      <c r="RZ31">
        <f>IF($B31=0,1000000,IF(INDEX('計算A'!$D$60:$EQ$104,$B31,99)*GV31=1,IF(AND($E31=2,MK31=0),1000000,IF($I31&gt;0,IF(5=$J31,IF(OR(AND(99=$I31+1,OR($K31&lt;&gt;'計算A'!$A$3,'計算A'!$A$4=0)),AND(99=$I31-1,OR(3&lt;&gt;'計算A'!$A$3,'計算A'!$A$4=0))),0,IF(3=$K31,200000,ABS(3-$K31)*100)),100000+ABS(5-$J31)*1000+30)+'計算A'!CX$5*50+IF(AND($E31=1,MK31=0),25,0),INDEX('計算A'!CX$110:CX$114,$F31+1)+IF(AND($E31=1,MK31=0),1000,0)+IF($H31=1,(IF('計算A'!CW$117=1,INDEX('計算A'!CW$10:CW$54,$B31),0)+IF('計算A'!CX$117=1,INDEX('計算A'!CY$10:CY$54,$B31),0))*500,0)-IF(AND('計算A'!CW$117=1,XU31&gt;0),300,0)-IF(AND($L31=1,'計算A'!CX$117=1,GW31=0),300,0))),1000000))</f>
        <v/>
      </c>
      <c r="SA31">
        <f>IF($B31=0,1000000,IF(INDEX('計算A'!$D$60:$EQ$104,$B31,100)*GW31=1,IF(AND($E31=2,ML31=0),1000000,IF($I31&gt;0,IF(5=$J31,IF(OR(AND(100=$I31+1,OR($K31&lt;&gt;'計算A'!$A$3,'計算A'!$A$4=0)),AND(100=$I31-1,OR(4&lt;&gt;'計算A'!$A$3,'計算A'!$A$4=0))),0,IF(4=$K31,200000,ABS(4-$K31)*100)),100000+ABS(5-$J31)*1000+40)+'計算A'!CY$5*50+IF(AND($E31=1,ML31=0),25,0),INDEX('計算A'!CY$110:CY$114,$F31+1)+IF(AND($E31=1,ML31=0),1000,0)+IF($H31=1,(IF('計算A'!CX$117=1,INDEX('計算A'!CX$10:CX$54,$B31),0)+IF('計算A'!CY$117=1,INDEX('計算A'!CZ$10:CZ$54,$B31),0))*500,0)-IF(AND('計算A'!CX$117=1,XV31&gt;0),300,0)-IF(AND($L31=1,'計算A'!CY$117=1,GX31=0),300,0))),1000000))</f>
        <v/>
      </c>
      <c r="SB31">
        <f>IF($B31=0,1000000,IF(INDEX('計算A'!$D$60:$EQ$104,$B31,101)*GX31=1,IF(AND($E31=2,MM31=0),1000000,IF($I31&gt;0,IF(5=$J31,IF(OR(AND(101=$I31+1,OR($K31&lt;&gt;'計算A'!$A$3,'計算A'!$A$4=0)),AND(101=$I31-1,OR(5&lt;&gt;'計算A'!$A$3,'計算A'!$A$4=0))),0,IF(5=$K31,200000,ABS(5-$K31)*100)),100000+ABS(5-$J31)*1000+50)+'計算A'!CZ$5*50+IF(AND($E31=1,MM31=0),25,0),INDEX('計算A'!CZ$110:CZ$114,$F31+1)+IF(AND($E31=1,MM31=0),1000,0)+IF($H31=1,(IF('計算A'!CY$117=1,INDEX('計算A'!CY$10:CY$54,$B31),0)+IF('計算A'!CZ$117=1,INDEX('計算A'!DA$10:DA$54,$B31),0))*500,0)-IF(AND('計算A'!CY$117=1,XW31&gt;0),300,0)-IF(AND($L31=1,'計算A'!CZ$117=1,GY31=0),300,0))),1000000))</f>
        <v/>
      </c>
      <c r="SC31">
        <f>IF($B31=0,1000000,IF(INDEX('計算A'!$D$60:$EQ$104,$B31,102)*GY31=1,IF(AND($E31=2,MN31=0),1000000,IF($I31&gt;0,IF(5=$J31,IF(OR(AND(102=$I31+1,OR($K31&lt;&gt;'計算A'!$A$3,'計算A'!$A$4=0)),AND(102=$I31-1,OR(6&lt;&gt;'計算A'!$A$3,'計算A'!$A$4=0))),0,IF(6=$K31,200000,ABS(6-$K31)*100)),100000+ABS(5-$J31)*1000+60)+'計算A'!DA$5*50+IF(AND($E31=1,MN31=0),25,0),INDEX('計算A'!DA$110:DA$114,$F31+1)+IF(AND($E31=1,MN31=0),1000,0)+IF($H31=1,(IF('計算A'!CZ$117=1,INDEX('計算A'!CZ$10:CZ$54,$B31),0)+IF('計算A'!DA$117=1,INDEX('計算A'!DB$10:DB$54,$B31),0))*500,0)-IF(AND('計算A'!CZ$117=1,XX31&gt;0),300,0)-IF(AND($L31=1,'計算A'!DA$117=1,GZ31=0),300,0))),1000000))</f>
        <v/>
      </c>
      <c r="SD31">
        <f>IF($B31=0,1000000,IF(INDEX('計算A'!$D$60:$EQ$104,$B31,103)*GZ31=1,IF(AND($E31=2,MO31=0),1000000,IF($I31&gt;0,IF(5=$J31,IF(OR(AND(103=$I31+1,OR($K31&lt;&gt;'計算A'!$A$3,'計算A'!$A$4=0)),AND(103=$I31-1,OR(7&lt;&gt;'計算A'!$A$3,'計算A'!$A$4=0))),0,IF(7=$K31,200000,ABS(7-$K31)*100)),100000+ABS(5-$J31)*1000+70)+'計算A'!DB$5*50+IF(AND($E31=1,MO31=0),25,0),INDEX('計算A'!DB$110:DB$114,$F31+1)+IF(AND($E31=1,MO31=0),1000,0)+IF($H31=1,(IF('計算A'!DA$117=1,INDEX('計算A'!DA$10:DA$54,$B31),0)+IF('計算A'!DB$117=1,INDEX('計算A'!DC$10:DC$54,$B31),0))*500,0)-IF(AND('計算A'!DA$117=1,XY31&gt;0),300,0)-IF(AND($L31=1,'計算A'!DB$117=1,HA31=0),300,0))),1000000))</f>
        <v/>
      </c>
      <c r="SE31">
        <f>IF($B31=0,1000000,IF(INDEX('計算A'!$D$60:$EQ$104,$B31,104)*HA31=1,IF(AND($E31=2,MP31=0),1000000,IF($I31&gt;0,IF(5=$J31,IF(OR(AND(104=$I31+1,OR($K31&lt;&gt;'計算A'!$A$3,'計算A'!$A$4=0)),AND(104=$I31-1,OR(8&lt;&gt;'計算A'!$A$3,'計算A'!$A$4=0))),0,IF(8=$K31,200000,ABS(8-$K31)*100)),100000+ABS(5-$J31)*1000+80)+'計算A'!DC$5*50+IF(AND($E31=1,MP31=0),25,0),INDEX('計算A'!DC$110:DC$114,$F31+1)+IF(AND($E31=1,MP31=0),1000,0)+IF($H31=1,(IF('計算A'!DB$117=1,INDEX('計算A'!DB$10:DB$54,$B31),0)+IF('計算A'!DC$117=1,INDEX('計算A'!DD$10:DD$54,$B31),0))*500,0)-IF(AND('計算A'!DB$117=1,XZ31&gt;0),300,0)-IF(AND($L31=1,'計算A'!DC$117=1,HB31=0),300,0))),1000000))</f>
        <v/>
      </c>
      <c r="SF31">
        <f>IF($B31=0,1000000,IF(INDEX('計算A'!$D$60:$EQ$104,$B31,105)*HB31=1,IF(AND($E31=2,MQ31=0),1000000,IF($I31&gt;0,IF(5=$J31,IF(OR(AND(105=$I31+1,OR($K31&lt;&gt;'計算A'!$A$3,'計算A'!$A$4=0)),AND(105=$I31-1,OR(9&lt;&gt;'計算A'!$A$3,'計算A'!$A$4=0))),0,IF(9=$K31,200000,ABS(9-$K31)*100)),100000+ABS(5-$J31)*1000+90)+'計算A'!DD$5*50+IF(AND($E31=1,MQ31=0),25,0),INDEX('計算A'!DD$110:DD$114,$F31+1)+IF(AND($E31=1,MQ31=0),1000,0)+IF($H31=1,(IF('計算A'!DC$117=1,INDEX('計算A'!DC$10:DC$54,$B31),0)+IF('計算A'!DD$117=1,INDEX('計算A'!DE$10:DE$54,$B31),0))*500,0)-IF(AND('計算A'!DC$117=1,YA31&gt;0),300,0)-IF(AND($L31=1,'計算A'!DD$117=1,HC31=0),300,0))),1000000))</f>
        <v/>
      </c>
      <c r="SG31">
        <f>IF($B31=0,1000000,IF(INDEX('計算A'!$D$60:$EQ$104,$B31,106)*HC31=1,IF(AND($E31=2,MR31=0),1000000,IF($I31&gt;0,IF(5=$J31,IF(OR(AND(106=$I31+1,OR($K31&lt;&gt;'計算A'!$A$3,'計算A'!$A$4=0)),AND(106=$I31-1,OR(10&lt;&gt;'計算A'!$A$3,'計算A'!$A$4=0))),0,IF(10=$K31,200000,ABS(10-$K31)*100)),100000+ABS(5-$J31)*1000+100)+'計算A'!DE$5*50+IF(AND($E31=1,MR31=0),25,0),INDEX('計算A'!DE$110:DE$114,$F31+1)+IF(AND($E31=1,MR31=0),1000,0)+IF($H31=1,(IF('計算A'!DD$117=1,INDEX('計算A'!DD$10:DD$54,$B31),0)+IF('計算A'!DE$117=1,INDEX('計算A'!DF$10:DF$54,$B31),0))*500,0)-IF(AND('計算A'!DD$117=1,YB31&gt;0),300,0)-IF(AND($L31=1,'計算A'!DE$117=1,HD31=0),300,0))),1000000))</f>
        <v/>
      </c>
      <c r="SH31">
        <f>IF($B31=0,1000000,IF(INDEX('計算A'!$D$60:$EQ$104,$B31,107)*HD31=1,IF(AND($E31=2,MS31=0),1000000,IF($I31&gt;0,IF(5=$J31,IF(OR(AND(107=$I31+1,OR($K31&lt;&gt;'計算A'!$A$3,'計算A'!$A$4=0)),AND(107=$I31-1,OR(11&lt;&gt;'計算A'!$A$3,'計算A'!$A$4=0))),0,IF(11=$K31,200000,ABS(11-$K31)*100)),100000+ABS(5-$J31)*1000+110)+'計算A'!DF$5*50+IF(AND($E31=1,MS31=0),25,0),INDEX('計算A'!DF$110:DF$114,$F31+1)+IF(AND($E31=1,MS31=0),1000,0)+IF($H31=1,(IF('計算A'!DE$117=1,INDEX('計算A'!DE$10:DE$54,$B31),0)+IF('計算A'!DF$117=1,INDEX('計算A'!DG$10:DG$54,$B31),0))*500,0)-IF(AND('計算A'!DE$117=1,YC31&gt;0),300,0)-IF(AND($L31=1,'計算A'!DF$117=1,HE31=0),300,0))),1000000))</f>
        <v/>
      </c>
      <c r="SI31">
        <f>IF($B31=0,1000000,IF(INDEX('計算A'!$D$60:$EQ$104,$B31,108)*HE31=1,IF(AND($E31=2,MT31=0),1000000,IF($I31&gt;0,IF(5=$J31,IF(OR(AND(108=$I31+1,OR($K31&lt;&gt;'計算A'!$A$3,'計算A'!$A$4=0)),AND(108=$I31-1,OR(12&lt;&gt;'計算A'!$A$3,'計算A'!$A$4=0))),0,IF(12=$K31,200000,ABS(12-$K31)*100)),100000+ABS(5-$J31)*1000+120)+'計算A'!DG$5*50+IF(AND($E31=1,MT31=0),25,0),INDEX('計算A'!DG$110:DG$114,$F31+1)+IF(AND($E31=1,MT31=0),1000,0)+IF($H31=1,(IF('計算A'!DF$117=1,INDEX('計算A'!DF$10:DF$54,$B31),0)+IF('計算A'!DG$117=1,INDEX('計算A'!DH$10:DH$54,$B31),0))*500,0)-IF(AND('計算A'!DF$117=1,YD31&gt;0),300,0)-IF(AND($L31=1,'計算A'!DG$117=1,HF31=0),300,0))),1000000))</f>
        <v/>
      </c>
      <c r="SJ31">
        <f>IF($B31=0,1000000,IF(INDEX('計算A'!$D$60:$EQ$104,$B31,109)*HF31=1,IF(AND($E31=2,MU31=0),1000000,IF($I31&gt;0,IF(5=$J31,IF(OR(AND(109=$I31+1,OR($K31&lt;&gt;'計算A'!$A$3,'計算A'!$A$4=0)),AND(109=$I31-1,OR(13&lt;&gt;'計算A'!$A$3,'計算A'!$A$4=0))),0,IF(13=$K31,200000,ABS(13-$K31)*100)),100000+ABS(5-$J31)*1000+130)+'計算A'!DH$5*50+IF(AND($E31=1,MU31=0),25,0),INDEX('計算A'!DH$110:DH$114,$F31+1)+IF(AND($E31=1,MU31=0),1000,0)+IF($H31=1,(IF('計算A'!DG$117=1,INDEX('計算A'!DG$10:DG$54,$B31),0)+IF('計算A'!DH$117=1,INDEX('計算A'!DI$10:DI$54,$B31),0))*500,0)-IF(AND('計算A'!DG$117=1,YE31&gt;0),300,0)-IF(AND($L31=1,'計算A'!DH$117=1,HG31=0),300,0))),1000000))</f>
        <v/>
      </c>
      <c r="SK31">
        <f>IF($B31=0,1000000,IF(INDEX('計算A'!$D$60:$EQ$104,$B31,110)*HG31=1,IF(AND($E31=2,MV31=0),1000000,IF($I31&gt;0,IF(5=$J31,IF(OR(AND(110=$I31+1,OR($K31&lt;&gt;'計算A'!$A$3,'計算A'!$A$4=0)),AND(110=$I31-1,OR(14&lt;&gt;'計算A'!$A$3,'計算A'!$A$4=0))),0,IF(14=$K31,200000,ABS(14-$K31)*100)),100000+ABS(5-$J31)*1000+140)+'計算A'!DI$5*50+IF(AND($E31=1,MV31=0),25,0),INDEX('計算A'!DI$110:DI$114,$F31+1)+IF(AND($E31=1,MV31=0),1000,0)+IF($H31=1,(IF('計算A'!DH$117=1,INDEX('計算A'!DH$10:DH$54,$B31),0)+IF('計算A'!DI$117=1,INDEX('計算A'!DJ$10:DJ$54,$B31),0))*500,0)-IF(AND('計算A'!DH$117=1,YF31&gt;0),300,0)-IF(AND($L31=1,'計算A'!DI$117=1,HH31=0),300,0))),1000000))</f>
        <v/>
      </c>
      <c r="SL31">
        <f>IF($B31=0,1000000,IF(INDEX('計算A'!$D$60:$EQ$104,$B31,111)*HH31=1,IF(AND($E31=2,MW31=0),1000000,IF($I31&gt;0,IF(5=$J31,IF(OR(AND(111=$I31+1,OR($K31&lt;&gt;'計算A'!$A$3,'計算A'!$A$4=0)),AND(111=$I31-1,OR(15&lt;&gt;'計算A'!$A$3,'計算A'!$A$4=0))),0,IF(15=$K31,200000,ABS(15-$K31)*100)),100000+ABS(5-$J31)*1000+150)+'計算A'!DJ$5*50+IF(AND($E31=1,MW31=0),25,0),INDEX('計算A'!DJ$110:DJ$114,$F31+1)+IF(AND($E31=1,MW31=0),1000,0)+IF($H31=1,(IF('計算A'!DI$117=1,INDEX('計算A'!DI$10:DI$54,$B31),0)+IF('計算A'!DJ$117=1,INDEX('計算A'!DK$10:DK$54,$B31),0))*500,0)-IF(AND('計算A'!DI$117=1,YG31&gt;0),300,0)-IF(AND($L31=1,'計算A'!DJ$117=1,HI31=0),300,0))),1000000))</f>
        <v/>
      </c>
      <c r="SM31">
        <f>IF($B31=0,1000000,IF(INDEX('計算A'!$D$60:$EQ$104,$B31,112)*HI31=1,IF(AND($E31=2,MX31=0),1000000,IF($I31&gt;0,IF(5=$J31,IF(OR(AND(112=$I31+1,OR($K31&lt;&gt;'計算A'!$A$3,'計算A'!$A$4=0)),AND(112=$I31-1,OR(16&lt;&gt;'計算A'!$A$3,'計算A'!$A$4=0))),0,IF(16=$K31,200000,ABS(16-$K31)*100)),100000+ABS(5-$J31)*1000+160)+'計算A'!DK$5*50+IF(AND($E31=1,MX31=0),25,0),INDEX('計算A'!DK$110:DK$114,$F31+1)+IF(AND($E31=1,MX31=0),1000,0)+IF($H31=1,(IF('計算A'!DJ$117=1,INDEX('計算A'!DJ$10:DJ$54,$B31),0)+IF('計算A'!DK$117=1,INDEX('計算A'!DL$10:DL$54,$B31),0))*500,0)-IF(AND('計算A'!DJ$117=1,YH31&gt;0),300,0)-IF(AND($L31=1,'計算A'!DK$117=1,HJ31=0),300,0))),1000000))</f>
        <v/>
      </c>
      <c r="SN31">
        <f>IF($B31=0,1000000,IF(INDEX('計算A'!$D$60:$EQ$104,$B31,113)*HJ31=1,IF(AND($E31=2,MY31=0),1000000,IF($I31&gt;0,IF(5=$J31,IF(OR(AND(113=$I31+1,OR($K31&lt;&gt;'計算A'!$A$3,'計算A'!$A$4=0)),AND(113=$I31-1,OR(17&lt;&gt;'計算A'!$A$3,'計算A'!$A$4=0))),0,IF(17=$K31,200000,ABS(17-$K31)*100)),100000+ABS(5-$J31)*1000+170)+'計算A'!DL$5*50+IF(AND($E31=1,MY31=0),25,0),INDEX('計算A'!DL$110:DL$114,$F31+1)+IF(AND($E31=1,MY31=0),1000,0)+IF($H31=1,(IF('計算A'!DK$117=1,INDEX('計算A'!DK$10:DK$54,$B31),0)+IF('計算A'!DL$117=1,INDEX('計算A'!DM$10:DM$54,$B31),0))*500,0)-IF(AND('計算A'!DK$117=1,YI31&gt;0),300,0)-IF(AND($L31=1,'計算A'!DL$117=1,HK31=0),300,0))),1000000))</f>
        <v/>
      </c>
      <c r="SO31">
        <f>IF($B31=0,1000000,IF(INDEX('計算A'!$D$60:$EQ$104,$B31,114)*HK31=1,IF(AND($E31=2,MZ31=0),1000000,IF($I31&gt;0,IF(5=$J31,IF(OR(AND(114=$I31+1,OR($K31&lt;&gt;'計算A'!$A$3,'計算A'!$A$4=0)),AND(114=$I31-1,OR(18&lt;&gt;'計算A'!$A$3,'計算A'!$A$4=0))),0,IF(18=$K31,200000,ABS(18-$K31)*100)),100000+ABS(5-$J31)*1000+180)+'計算A'!DM$5*50+IF(AND($E31=1,MZ31=0),25,0),INDEX('計算A'!DM$110:DM$114,$F31+1)+IF(AND($E31=1,MZ31=0),1000,0)+IF($H31=1,(IF('計算A'!DL$117=1,INDEX('計算A'!DL$10:DL$54,$B31),0)+IF('計算A'!DM$117=1,INDEX('計算A'!DN$10:DN$54,$B31),0))*500,0)-IF(AND('計算A'!DL$117=1,YJ31&gt;0),300,0)-IF(AND($L31=1,'計算A'!DM$117=1,HL31=0),300,0))),1000000))</f>
        <v/>
      </c>
      <c r="SP31">
        <f>IF($B31=0,1000000,IF(INDEX('計算A'!$D$60:$EQ$104,$B31,115)*HL31=1,IF(AND($E31=2,NA31=0),1000000,IF($I31&gt;0,IF(5=$J31,IF(OR(AND(115=$I31+1,OR($K31&lt;&gt;'計算A'!$A$3,'計算A'!$A$4=0)),AND(115=$I31-1,OR(19&lt;&gt;'計算A'!$A$3,'計算A'!$A$4=0))),0,IF(19=$K31,200000,ABS(19-$K31)*100)),100000+ABS(5-$J31)*1000+190)+'計算A'!DN$5*50+IF(AND($E31=1,NA31=0),25,0),INDEX('計算A'!DN$110:DN$114,$F31+1)+IF(AND($E31=1,NA31=0),1000,0)+IF($H31=1,(IF('計算A'!DM$117=1,INDEX('計算A'!DM$10:DM$54,$B31),0)+IF('計算A'!DN$117=1,INDEX('計算A'!DO$10:DO$54,$B31),0))*500,0)-IF(AND('計算A'!DM$117=1,YK31&gt;0),300,0)-IF(AND($L31=1,'計算A'!DN$117=1,HM31=0),300,0))),1000000))</f>
        <v/>
      </c>
      <c r="SQ31">
        <f>IF($B31=0,1000000,IF(INDEX('計算A'!$D$60:$EQ$104,$B31,116)*HM31=1,IF(AND($E31=2,NB31=0),1000000,IF($I31&gt;0,IF(5=$J31,IF(OR(AND(116=$I31+1,OR($K31&lt;&gt;'計算A'!$A$3,'計算A'!$A$4=0)),AND(116=$I31-1,OR(20&lt;&gt;'計算A'!$A$3,'計算A'!$A$4=0))),0,IF(20=$K31,200000,ABS(20-$K31)*100)),100000+ABS(5-$J31)*1000+200)+'計算A'!DO$5*50+IF(AND($E31=1,NB31=0),25,0),INDEX('計算A'!DO$110:DO$114,$F31+1)+IF(AND($E31=1,NB31=0),1000,0)+IF($H31=1,(IF('計算A'!DN$117=1,INDEX('計算A'!DN$10:DN$54,$B31),0)+IF('計算A'!DO$117=1,INDEX('計算A'!DP$10:DP$54,$B31),0))*500,0)-IF(AND('計算A'!DN$117=1,YL31&gt;0),300,0)-IF(AND($L31=1,'計算A'!DO$117=1,HN31=0),300,0))),1000000))</f>
        <v/>
      </c>
      <c r="SR31">
        <f>IF($B31=0,1000000,IF(INDEX('計算A'!$D$60:$EQ$104,$B31,117)*HN31=1,IF(AND($E31=2,NC31=0),1000000,IF($I31&gt;0,IF(5=$J31,IF(OR(AND(117=$I31+1,OR($K31&lt;&gt;'計算A'!$A$3,'計算A'!$A$4=0)),AND(117=$I31-1,OR(21&lt;&gt;'計算A'!$A$3,'計算A'!$A$4=0))),0,IF(21=$K31,200000,ABS(21-$K31)*100)),100000+ABS(5-$J31)*1000+210)+'計算A'!DP$5*50+IF(AND($E31=1,NC31=0),25,0),INDEX('計算A'!DP$110:DP$114,$F31+1)+IF(AND($E31=1,NC31=0),1000,0)+IF($H31=1,(IF('計算A'!DO$117=1,INDEX('計算A'!DO$10:DO$54,$B31),0)+IF('計算A'!DP$117=1,INDEX('計算A'!DQ$10:DQ$54,$B31),0))*500,0)-IF(AND('計算A'!DO$117=1,YM31&gt;0),300,0)-IF(AND($L31=1,'計算A'!DP$117=1,HO31=0),300,0))),1000000))</f>
        <v/>
      </c>
      <c r="SS31">
        <f>IF($B31=0,1000000,IF(INDEX('計算A'!$D$60:$EQ$104,$B31,118)*HO31=1,IF(AND($E31=2,ND31=0),1000000,IF($I31&gt;0,IF(5=$J31,IF(OR(AND(118=$I31+1,OR($K31&lt;&gt;'計算A'!$A$3,'計算A'!$A$4=0)),AND(118=$I31-1,OR(22&lt;&gt;'計算A'!$A$3,'計算A'!$A$4=0))),0,IF(22=$K31,200000,ABS(22-$K31)*100)),100000+ABS(5-$J31)*1000+220)+'計算A'!DQ$5*50+IF(AND($E31=1,ND31=0),25,0),INDEX('計算A'!DQ$110:DQ$114,$F31+1)+IF(AND($E31=1,ND31=0),1000,0)+IF($H31=1,(IF('計算A'!DP$117=1,INDEX('計算A'!DP$10:DP$54,$B31),0)+IF('計算A'!DQ$117=1,INDEX('計算A'!DR$10:DR$54,$B31),0))*500,0)-IF(AND('計算A'!DP$117=1,YN31&gt;0),300,0)-IF(AND($L31=1,'計算A'!DQ$117=1,HP31=0),300,0))),1000000))</f>
        <v/>
      </c>
      <c r="ST31">
        <f>IF($B31=0,1000000,IF(INDEX('計算A'!$D$60:$EQ$104,$B31,119)*HP31=1,IF(AND($E31=2,NE31=0),1000000,IF($I31&gt;0,IF(5=$J31,IF(OR(AND(119=$I31+1,OR($K31&lt;&gt;'計算A'!$A$3,'計算A'!$A$4=0)),AND(119=$I31-1,OR(23&lt;&gt;'計算A'!$A$3,'計算A'!$A$4=0))),0,IF(23=$K31,200000,ABS(23-$K31)*100)),100000+ABS(5-$J31)*1000+230)+'計算A'!DR$5*50+IF(AND($E31=1,NE31=0),25,0),INDEX('計算A'!DR$110:DR$114,$F31+1)+IF(AND($E31=1,NE31=0),1000,0)+IF($H31=1,(IF('計算A'!DQ$117=1,INDEX('計算A'!DQ$10:DQ$54,$B31),0)+IF('計算A'!DR$117=1,INDEX('計算A'!DS$10:DS$54,$B31),0))*500,0)-IF(AND('計算A'!DQ$117=1,YO31&gt;0),300,0)-IF(AND($L31=1,'計算A'!DR$117=1,HQ31=0),300,0))),1000000))</f>
        <v/>
      </c>
      <c r="SU31">
        <f>IF($B31=0,1000000,IF(INDEX('計算A'!$D$60:$EQ$104,$B31,120)*HQ31=1,IF(AND($E31=2,NF31=0),1000000,IF($I31&gt;0,IF(5=$J31,IF(OR(AND(120=$I31+1,OR($K31&lt;&gt;'計算A'!$A$3,'計算A'!$A$4=0)),AND(120=$I31-1,OR(24&lt;&gt;'計算A'!$A$3,'計算A'!$A$4=0))),0,IF(24=$K31,200000,ABS(24-$K31)*100)),100000+ABS(5-$J31)*1000+240)+'計算A'!DS$5*50+IF(AND($E31=1,NF31=0),25,0),INDEX('計算A'!DS$110:DS$114,$F31+1)+IF(AND($E31=1,NF31=0),1000,0)+IF($H31=1,(IF('計算A'!DR$117=1,INDEX('計算A'!DR$10:DR$54,$B31),0))*500,0)-IF(AND('計算A'!DR$117=1,YP31&gt;0),300,0))),1000000))</f>
        <v/>
      </c>
      <c r="SV31">
        <f>IF($B31=0,1000000,IF(INDEX('計算A'!$D$60:$EQ$104,$B31,121)*HR31=1,IF(AND($E31=2,NG31=0),1000000,IF($I31&gt;0,IF(6=$J31,IF(OR(AND(121=$I31+1,OR($K31&lt;&gt;'計算A'!$A$3,'計算A'!$A$4=0)),AND(121=$I31-1,OR(1&lt;&gt;'計算A'!$A$3,'計算A'!$A$4=0))),0,IF(1=$K31,200000,ABS(1-$K31)*100)),100000+ABS(6-$J31)*1000+10)+'計算A'!DT$5*50+IF(AND($E31=1,NG31=0),25,0),INDEX('計算A'!DT$110:DT$114,$F31+1)+IF(AND($E31=1,NG31=0),1000,0)+IF($H31=1,(IF('計算A'!DT$117=1,INDEX('計算A'!DU$10:DU$54,$B31),0))*500,0)-IF(AND($L31=1,'計算A'!DT$117=1,HS31=0),300,0))),1000000))</f>
        <v/>
      </c>
      <c r="SW31">
        <f>IF($B31=0,1000000,IF(INDEX('計算A'!$D$60:$EQ$104,$B31,122)*HS31=1,IF(AND($E31=2,NH31=0),1000000,IF($I31&gt;0,IF(6=$J31,IF(OR(AND(122=$I31+1,OR($K31&lt;&gt;'計算A'!$A$3,'計算A'!$A$4=0)),AND(122=$I31-1,OR(2&lt;&gt;'計算A'!$A$3,'計算A'!$A$4=0))),0,IF(2=$K31,200000,ABS(2-$K31)*100)),100000+ABS(6-$J31)*1000+20)+'計算A'!DU$5*50+IF(AND($E31=1,NH31=0),25,0),INDEX('計算A'!DU$110:DU$114,$F31+1)+IF(AND($E31=1,NH31=0),1000,0)+IF($H31=1,(IF('計算A'!DT$117=1,INDEX('計算A'!DT$10:DT$54,$B31),0)+IF('計算A'!DU$117=1,INDEX('計算A'!DV$10:DV$54,$B31),0))*500,0)-IF(AND('計算A'!DT$117=1,YR31&gt;0),300,0)-IF(AND($L31=1,'計算A'!DU$117=1,HT31=0),300,0))),1000000))</f>
        <v/>
      </c>
      <c r="SX31">
        <f>IF($B31=0,1000000,IF(INDEX('計算A'!$D$60:$EQ$104,$B31,123)*HT31=1,IF(AND($E31=2,NI31=0),1000000,IF($I31&gt;0,IF(6=$J31,IF(OR(AND(123=$I31+1,OR($K31&lt;&gt;'計算A'!$A$3,'計算A'!$A$4=0)),AND(123=$I31-1,OR(3&lt;&gt;'計算A'!$A$3,'計算A'!$A$4=0))),0,IF(3=$K31,200000,ABS(3-$K31)*100)),100000+ABS(6-$J31)*1000+30)+'計算A'!DV$5*50+IF(AND($E31=1,NI31=0),25,0),INDEX('計算A'!DV$110:DV$114,$F31+1)+IF(AND($E31=1,NI31=0),1000,0)+IF($H31=1,(IF('計算A'!DU$117=1,INDEX('計算A'!DU$10:DU$54,$B31),0)+IF('計算A'!DV$117=1,INDEX('計算A'!DW$10:DW$54,$B31),0))*500,0)-IF(AND('計算A'!DU$117=1,YS31&gt;0),300,0)-IF(AND($L31=1,'計算A'!DV$117=1,HU31=0),300,0))),1000000))</f>
        <v/>
      </c>
      <c r="SY31">
        <f>IF($B31=0,1000000,IF(INDEX('計算A'!$D$60:$EQ$104,$B31,124)*HU31=1,IF(AND($E31=2,NJ31=0),1000000,IF($I31&gt;0,IF(6=$J31,IF(OR(AND(124=$I31+1,OR($K31&lt;&gt;'計算A'!$A$3,'計算A'!$A$4=0)),AND(124=$I31-1,OR(4&lt;&gt;'計算A'!$A$3,'計算A'!$A$4=0))),0,IF(4=$K31,200000,ABS(4-$K31)*100)),100000+ABS(6-$J31)*1000+40)+'計算A'!DW$5*50+IF(AND($E31=1,NJ31=0),25,0),INDEX('計算A'!DW$110:DW$114,$F31+1)+IF(AND($E31=1,NJ31=0),1000,0)+IF($H31=1,(IF('計算A'!DV$117=1,INDEX('計算A'!DV$10:DV$54,$B31),0)+IF('計算A'!DW$117=1,INDEX('計算A'!DX$10:DX$54,$B31),0))*500,0)-IF(AND('計算A'!DV$117=1,YT31&gt;0),300,0)-IF(AND($L31=1,'計算A'!DW$117=1,HV31=0),300,0))),1000000))</f>
        <v/>
      </c>
      <c r="SZ31">
        <f>IF($B31=0,1000000,IF(INDEX('計算A'!$D$60:$EQ$104,$B31,125)*HV31=1,IF(AND($E31=2,NK31=0),1000000,IF($I31&gt;0,IF(6=$J31,IF(OR(AND(125=$I31+1,OR($K31&lt;&gt;'計算A'!$A$3,'計算A'!$A$4=0)),AND(125=$I31-1,OR(5&lt;&gt;'計算A'!$A$3,'計算A'!$A$4=0))),0,IF(5=$K31,200000,ABS(5-$K31)*100)),100000+ABS(6-$J31)*1000+50)+'計算A'!DX$5*50+IF(AND($E31=1,NK31=0),25,0),INDEX('計算A'!DX$110:DX$114,$F31+1)+IF(AND($E31=1,NK31=0),1000,0)+IF($H31=1,(IF('計算A'!DW$117=1,INDEX('計算A'!DW$10:DW$54,$B31),0)+IF('計算A'!DX$117=1,INDEX('計算A'!DY$10:DY$54,$B31),0))*500,0)-IF(AND('計算A'!DW$117=1,YU31&gt;0),300,0)-IF(AND($L31=1,'計算A'!DX$117=1,HW31=0),300,0))),1000000))</f>
        <v/>
      </c>
      <c r="TA31">
        <f>IF($B31=0,1000000,IF(INDEX('計算A'!$D$60:$EQ$104,$B31,126)*HW31=1,IF(AND($E31=2,NL31=0),1000000,IF($I31&gt;0,IF(6=$J31,IF(OR(AND(126=$I31+1,OR($K31&lt;&gt;'計算A'!$A$3,'計算A'!$A$4=0)),AND(126=$I31-1,OR(6&lt;&gt;'計算A'!$A$3,'計算A'!$A$4=0))),0,IF(6=$K31,200000,ABS(6-$K31)*100)),100000+ABS(6-$J31)*1000+60)+'計算A'!DY$5*50+IF(AND($E31=1,NL31=0),25,0),INDEX('計算A'!DY$110:DY$114,$F31+1)+IF(AND($E31=1,NL31=0),1000,0)+IF($H31=1,(IF('計算A'!DX$117=1,INDEX('計算A'!DX$10:DX$54,$B31),0)+IF('計算A'!DY$117=1,INDEX('計算A'!DZ$10:DZ$54,$B31),0))*500,0)-IF(AND('計算A'!DX$117=1,YV31&gt;0),300,0)-IF(AND($L31=1,'計算A'!DY$117=1,HX31=0),300,0))),1000000))</f>
        <v/>
      </c>
      <c r="TB31">
        <f>IF($B31=0,1000000,IF(INDEX('計算A'!$D$60:$EQ$104,$B31,127)*HX31=1,IF(AND($E31=2,NM31=0),1000000,IF($I31&gt;0,IF(6=$J31,IF(OR(AND(127=$I31+1,OR($K31&lt;&gt;'計算A'!$A$3,'計算A'!$A$4=0)),AND(127=$I31-1,OR(7&lt;&gt;'計算A'!$A$3,'計算A'!$A$4=0))),0,IF(7=$K31,200000,ABS(7-$K31)*100)),100000+ABS(6-$J31)*1000+70)+'計算A'!DZ$5*50+IF(AND($E31=1,NM31=0),25,0),INDEX('計算A'!DZ$110:DZ$114,$F31+1)+IF(AND($E31=1,NM31=0),1000,0)+IF($H31=1,(IF('計算A'!DY$117=1,INDEX('計算A'!DY$10:DY$54,$B31),0)+IF('計算A'!DZ$117=1,INDEX('計算A'!EA$10:EA$54,$B31),0))*500,0)-IF(AND('計算A'!DY$117=1,YW31&gt;0),300,0)-IF(AND($L31=1,'計算A'!DZ$117=1,HY31=0),300,0))),1000000))</f>
        <v/>
      </c>
      <c r="TC31">
        <f>IF($B31=0,1000000,IF(INDEX('計算A'!$D$60:$EQ$104,$B31,128)*HY31=1,IF(AND($E31=2,NN31=0),1000000,IF($I31&gt;0,IF(6=$J31,IF(OR(AND(128=$I31+1,OR($K31&lt;&gt;'計算A'!$A$3,'計算A'!$A$4=0)),AND(128=$I31-1,OR(8&lt;&gt;'計算A'!$A$3,'計算A'!$A$4=0))),0,IF(8=$K31,200000,ABS(8-$K31)*100)),100000+ABS(6-$J31)*1000+80)+'計算A'!EA$5*50+IF(AND($E31=1,NN31=0),25,0),INDEX('計算A'!EA$110:EA$114,$F31+1)+IF(AND($E31=1,NN31=0),1000,0)+IF($H31=1,(IF('計算A'!DZ$117=1,INDEX('計算A'!DZ$10:DZ$54,$B31),0)+IF('計算A'!EA$117=1,INDEX('計算A'!EB$10:EB$54,$B31),0))*500,0)-IF(AND('計算A'!DZ$117=1,YX31&gt;0),300,0)-IF(AND($L31=1,'計算A'!EA$117=1,HZ31=0),300,0))),1000000))</f>
        <v/>
      </c>
      <c r="TD31">
        <f>IF($B31=0,1000000,IF(INDEX('計算A'!$D$60:$EQ$104,$B31,129)*HZ31=1,IF(AND($E31=2,NO31=0),1000000,IF($I31&gt;0,IF(6=$J31,IF(OR(AND(129=$I31+1,OR($K31&lt;&gt;'計算A'!$A$3,'計算A'!$A$4=0)),AND(129=$I31-1,OR(9&lt;&gt;'計算A'!$A$3,'計算A'!$A$4=0))),0,IF(9=$K31,200000,ABS(9-$K31)*100)),100000+ABS(6-$J31)*1000+90)+'計算A'!EB$5*50+IF(AND($E31=1,NO31=0),25,0),INDEX('計算A'!EB$110:EB$114,$F31+1)+IF(AND($E31=1,NO31=0),1000,0)+IF($H31=1,(IF('計算A'!EA$117=1,INDEX('計算A'!EA$10:EA$54,$B31),0)+IF('計算A'!EB$117=1,INDEX('計算A'!EC$10:EC$54,$B31),0))*500,0)-IF(AND('計算A'!EA$117=1,YY31&gt;0),300,0)-IF(AND($L31=1,'計算A'!EB$117=1,IA31=0),300,0))),1000000))</f>
        <v/>
      </c>
      <c r="TE31">
        <f>IF($B31=0,1000000,IF(INDEX('計算A'!$D$60:$EQ$104,$B31,130)*IA31=1,IF(AND($E31=2,NP31=0),1000000,IF($I31&gt;0,IF(6=$J31,IF(OR(AND(130=$I31+1,OR($K31&lt;&gt;'計算A'!$A$3,'計算A'!$A$4=0)),AND(130=$I31-1,OR(10&lt;&gt;'計算A'!$A$3,'計算A'!$A$4=0))),0,IF(10=$K31,200000,ABS(10-$K31)*100)),100000+ABS(6-$J31)*1000+100)+'計算A'!EC$5*50+IF(AND($E31=1,NP31=0),25,0),INDEX('計算A'!EC$110:EC$114,$F31+1)+IF(AND($E31=1,NP31=0),1000,0)+IF($H31=1,(IF('計算A'!EB$117=1,INDEX('計算A'!EB$10:EB$54,$B31),0)+IF('計算A'!EC$117=1,INDEX('計算A'!ED$10:ED$54,$B31),0))*500,0)-IF(AND('計算A'!EB$117=1,YZ31&gt;0),300,0)-IF(AND($L31=1,'計算A'!EC$117=1,IB31=0),300,0))),1000000))</f>
        <v/>
      </c>
      <c r="TF31">
        <f>IF($B31=0,1000000,IF(INDEX('計算A'!$D$60:$EQ$104,$B31,131)*IB31=1,IF(AND($E31=2,NQ31=0),1000000,IF($I31&gt;0,IF(6=$J31,IF(OR(AND(131=$I31+1,OR($K31&lt;&gt;'計算A'!$A$3,'計算A'!$A$4=0)),AND(131=$I31-1,OR(11&lt;&gt;'計算A'!$A$3,'計算A'!$A$4=0))),0,IF(11=$K31,200000,ABS(11-$K31)*100)),100000+ABS(6-$J31)*1000+110)+'計算A'!ED$5*50+IF(AND($E31=1,NQ31=0),25,0),INDEX('計算A'!ED$110:ED$114,$F31+1)+IF(AND($E31=1,NQ31=0),1000,0)+IF($H31=1,(IF('計算A'!EC$117=1,INDEX('計算A'!EC$10:EC$54,$B31),0)+IF('計算A'!ED$117=1,INDEX('計算A'!EE$10:EE$54,$B31),0))*500,0)-IF(AND('計算A'!EC$117=1,ZA31&gt;0),300,0)-IF(AND($L31=1,'計算A'!ED$117=1,IC31=0),300,0))),1000000))</f>
        <v/>
      </c>
      <c r="TG31">
        <f>IF($B31=0,1000000,IF(INDEX('計算A'!$D$60:$EQ$104,$B31,132)*IC31=1,IF(AND($E31=2,NR31=0),1000000,IF($I31&gt;0,IF(6=$J31,IF(OR(AND(132=$I31+1,OR($K31&lt;&gt;'計算A'!$A$3,'計算A'!$A$4=0)),AND(132=$I31-1,OR(12&lt;&gt;'計算A'!$A$3,'計算A'!$A$4=0))),0,IF(12=$K31,200000,ABS(12-$K31)*100)),100000+ABS(6-$J31)*1000+120)+'計算A'!EE$5*50+IF(AND($E31=1,NR31=0),25,0),INDEX('計算A'!EE$110:EE$114,$F31+1)+IF(AND($E31=1,NR31=0),1000,0)+IF($H31=1,(IF('計算A'!ED$117=1,INDEX('計算A'!ED$10:ED$54,$B31),0)+IF('計算A'!EE$117=1,INDEX('計算A'!EF$10:EF$54,$B31),0))*500,0)-IF(AND('計算A'!ED$117=1,ZB31&gt;0),300,0)-IF(AND($L31=1,'計算A'!EE$117=1,ID31=0),300,0))),1000000))</f>
        <v/>
      </c>
      <c r="TH31">
        <f>IF($B31=0,1000000,IF(INDEX('計算A'!$D$60:$EQ$104,$B31,133)*ID31=1,IF(AND($E31=2,NS31=0),1000000,IF($I31&gt;0,IF(6=$J31,IF(OR(AND(133=$I31+1,OR($K31&lt;&gt;'計算A'!$A$3,'計算A'!$A$4=0)),AND(133=$I31-1,OR(13&lt;&gt;'計算A'!$A$3,'計算A'!$A$4=0))),0,IF(13=$K31,200000,ABS(13-$K31)*100)),100000+ABS(6-$J31)*1000+130)+'計算A'!EF$5*50+IF(AND($E31=1,NS31=0),25,0),INDEX('計算A'!EF$110:EF$114,$F31+1)+IF(AND($E31=1,NS31=0),1000,0)+IF($H31=1,(IF('計算A'!EE$117=1,INDEX('計算A'!EE$10:EE$54,$B31),0)+IF('計算A'!EF$117=1,INDEX('計算A'!EG$10:EG$54,$B31),0))*500,0)-IF(AND('計算A'!EE$117=1,ZC31&gt;0),300,0)-IF(AND($L31=1,'計算A'!EF$117=1,IE31=0),300,0))),1000000))</f>
        <v/>
      </c>
      <c r="TI31">
        <f>IF($B31=0,1000000,IF(INDEX('計算A'!$D$60:$EQ$104,$B31,134)*IE31=1,IF(AND($E31=2,NT31=0),1000000,IF($I31&gt;0,IF(6=$J31,IF(OR(AND(134=$I31+1,OR($K31&lt;&gt;'計算A'!$A$3,'計算A'!$A$4=0)),AND(134=$I31-1,OR(14&lt;&gt;'計算A'!$A$3,'計算A'!$A$4=0))),0,IF(14=$K31,200000,ABS(14-$K31)*100)),100000+ABS(6-$J31)*1000+140)+'計算A'!EG$5*50+IF(AND($E31=1,NT31=0),25,0),INDEX('計算A'!EG$110:EG$114,$F31+1)+IF(AND($E31=1,NT31=0),1000,0)+IF($H31=1,(IF('計算A'!EF$117=1,INDEX('計算A'!EF$10:EF$54,$B31),0)+IF('計算A'!EG$117=1,INDEX('計算A'!EH$10:EH$54,$B31),0))*500,0)-IF(AND('計算A'!EF$117=1,ZD31&gt;0),300,0)-IF(AND($L31=1,'計算A'!EG$117=1,IF31=0),300,0))),1000000))</f>
        <v/>
      </c>
      <c r="TJ31">
        <f>IF($B31=0,1000000,IF(INDEX('計算A'!$D$60:$EQ$104,$B31,135)*IF31=1,IF(AND($E31=2,NU31=0),1000000,IF($I31&gt;0,IF(6=$J31,IF(OR(AND(135=$I31+1,OR($K31&lt;&gt;'計算A'!$A$3,'計算A'!$A$4=0)),AND(135=$I31-1,OR(15&lt;&gt;'計算A'!$A$3,'計算A'!$A$4=0))),0,IF(15=$K31,200000,ABS(15-$K31)*100)),100000+ABS(6-$J31)*1000+150)+'計算A'!EH$5*50+IF(AND($E31=1,NU31=0),25,0),INDEX('計算A'!EH$110:EH$114,$F31+1)+IF(AND($E31=1,NU31=0),1000,0)+IF($H31=1,(IF('計算A'!EG$117=1,INDEX('計算A'!EG$10:EG$54,$B31),0)+IF('計算A'!EH$117=1,INDEX('計算A'!EI$10:EI$54,$B31),0))*500,0)-IF(AND('計算A'!EG$117=1,ZE31&gt;0),300,0)-IF(AND($L31=1,'計算A'!EH$117=1,IG31=0),300,0))),1000000))</f>
        <v/>
      </c>
      <c r="TK31">
        <f>IF($B31=0,1000000,IF(INDEX('計算A'!$D$60:$EQ$104,$B31,136)*IG31=1,IF(AND($E31=2,NV31=0),1000000,IF($I31&gt;0,IF(6=$J31,IF(OR(AND(136=$I31+1,OR($K31&lt;&gt;'計算A'!$A$3,'計算A'!$A$4=0)),AND(136=$I31-1,OR(16&lt;&gt;'計算A'!$A$3,'計算A'!$A$4=0))),0,IF(16=$K31,200000,ABS(16-$K31)*100)),100000+ABS(6-$J31)*1000+160)+'計算A'!EI$5*50+IF(AND($E31=1,NV31=0),25,0),INDEX('計算A'!EI$110:EI$114,$F31+1)+IF(AND($E31=1,NV31=0),1000,0)+IF($H31=1,(IF('計算A'!EH$117=1,INDEX('計算A'!EH$10:EH$54,$B31),0)+IF('計算A'!EI$117=1,INDEX('計算A'!EJ$10:EJ$54,$B31),0))*500,0)-IF(AND('計算A'!EH$117=1,ZF31&gt;0),300,0)-IF(AND($L31=1,'計算A'!EI$117=1,IH31=0),300,0))),1000000))</f>
        <v/>
      </c>
      <c r="TL31">
        <f>IF($B31=0,1000000,IF(INDEX('計算A'!$D$60:$EQ$104,$B31,137)*IH31=1,IF(AND($E31=2,NW31=0),1000000,IF($I31&gt;0,IF(6=$J31,IF(OR(AND(137=$I31+1,OR($K31&lt;&gt;'計算A'!$A$3,'計算A'!$A$4=0)),AND(137=$I31-1,OR(17&lt;&gt;'計算A'!$A$3,'計算A'!$A$4=0))),0,IF(17=$K31,200000,ABS(17-$K31)*100)),100000+ABS(6-$J31)*1000+170)+'計算A'!EJ$5*50+IF(AND($E31=1,NW31=0),25,0),INDEX('計算A'!EJ$110:EJ$114,$F31+1)+IF(AND($E31=1,NW31=0),1000,0)+IF($H31=1,(IF('計算A'!EI$117=1,INDEX('計算A'!EI$10:EI$54,$B31),0)+IF('計算A'!EJ$117=1,INDEX('計算A'!EK$10:EK$54,$B31),0))*500,0)-IF(AND('計算A'!EI$117=1,ZG31&gt;0),300,0)-IF(AND($L31=1,'計算A'!EJ$117=1,II31=0),300,0))),1000000))</f>
        <v/>
      </c>
      <c r="TM31">
        <f>IF($B31=0,1000000,IF(INDEX('計算A'!$D$60:$EQ$104,$B31,138)*II31=1,IF(AND($E31=2,NX31=0),1000000,IF($I31&gt;0,IF(6=$J31,IF(OR(AND(138=$I31+1,OR($K31&lt;&gt;'計算A'!$A$3,'計算A'!$A$4=0)),AND(138=$I31-1,OR(18&lt;&gt;'計算A'!$A$3,'計算A'!$A$4=0))),0,IF(18=$K31,200000,ABS(18-$K31)*100)),100000+ABS(6-$J31)*1000+180)+'計算A'!EK$5*50+IF(AND($E31=1,NX31=0),25,0),INDEX('計算A'!EK$110:EK$114,$F31+1)+IF(AND($E31=1,NX31=0),1000,0)+IF($H31=1,(IF('計算A'!EJ$117=1,INDEX('計算A'!EJ$10:EJ$54,$B31),0)+IF('計算A'!EK$117=1,INDEX('計算A'!EL$10:EL$54,$B31),0))*500,0)-IF(AND('計算A'!EJ$117=1,ZH31&gt;0),300,0)-IF(AND($L31=1,'計算A'!EK$117=1,IJ31=0),300,0))),1000000))</f>
        <v/>
      </c>
      <c r="TN31">
        <f>IF($B31=0,1000000,IF(INDEX('計算A'!$D$60:$EQ$104,$B31,139)*IJ31=1,IF(AND($E31=2,NY31=0),1000000,IF($I31&gt;0,IF(6=$J31,IF(OR(AND(139=$I31+1,OR($K31&lt;&gt;'計算A'!$A$3,'計算A'!$A$4=0)),AND(139=$I31-1,OR(19&lt;&gt;'計算A'!$A$3,'計算A'!$A$4=0))),0,IF(19=$K31,200000,ABS(19-$K31)*100)),100000+ABS(6-$J31)*1000+190)+'計算A'!EL$5*50+IF(AND($E31=1,NY31=0),25,0),INDEX('計算A'!EL$110:EL$114,$F31+1)+IF(AND($E31=1,NY31=0),1000,0)+IF($H31=1,(IF('計算A'!EK$117=1,INDEX('計算A'!EK$10:EK$54,$B31),0)+IF('計算A'!EL$117=1,INDEX('計算A'!EM$10:EM$54,$B31),0))*500,0)-IF(AND('計算A'!EK$117=1,ZI31&gt;0),300,0)-IF(AND($L31=1,'計算A'!EL$117=1,IK31=0),300,0))),1000000))</f>
        <v/>
      </c>
      <c r="TO31">
        <f>IF($B31=0,1000000,IF(INDEX('計算A'!$D$60:$EQ$104,$B31,140)*IK31=1,IF(AND($E31=2,NZ31=0),1000000,IF($I31&gt;0,IF(6=$J31,IF(OR(AND(140=$I31+1,OR($K31&lt;&gt;'計算A'!$A$3,'計算A'!$A$4=0)),AND(140=$I31-1,OR(20&lt;&gt;'計算A'!$A$3,'計算A'!$A$4=0))),0,IF(20=$K31,200000,ABS(20-$K31)*100)),100000+ABS(6-$J31)*1000+200)+'計算A'!EM$5*50+IF(AND($E31=1,NZ31=0),25,0),INDEX('計算A'!EM$110:EM$114,$F31+1)+IF(AND($E31=1,NZ31=0),1000,0)+IF($H31=1,(IF('計算A'!EL$117=1,INDEX('計算A'!EL$10:EL$54,$B31),0)+IF('計算A'!EM$117=1,INDEX('計算A'!EN$10:EN$54,$B31),0))*500,0)-IF(AND('計算A'!EL$117=1,ZJ31&gt;0),300,0)-IF(AND($L31=1,'計算A'!EM$117=1,IL31=0),300,0))),1000000))</f>
        <v/>
      </c>
      <c r="TP31">
        <f>IF($B31=0,1000000,IF(INDEX('計算A'!$D$60:$EQ$104,$B31,141)*IL31=1,IF(AND($E31=2,OA31=0),1000000,IF($I31&gt;0,IF(6=$J31,IF(OR(AND(141=$I31+1,OR($K31&lt;&gt;'計算A'!$A$3,'計算A'!$A$4=0)),AND(141=$I31-1,OR(21&lt;&gt;'計算A'!$A$3,'計算A'!$A$4=0))),0,IF(21=$K31,200000,ABS(21-$K31)*100)),100000+ABS(6-$J31)*1000+210)+'計算A'!EN$5*50+IF(AND($E31=1,OA31=0),25,0),INDEX('計算A'!EN$110:EN$114,$F31+1)+IF(AND($E31=1,OA31=0),1000,0)+IF($H31=1,(IF('計算A'!EM$117=1,INDEX('計算A'!EM$10:EM$54,$B31),0)+IF('計算A'!EN$117=1,INDEX('計算A'!EO$10:EO$54,$B31),0))*500,0)-IF(AND('計算A'!EM$117=1,ZK31&gt;0),300,0)-IF(AND($L31=1,'計算A'!EN$117=1,IM31=0),300,0))),1000000))</f>
        <v/>
      </c>
      <c r="TQ31">
        <f>IF($B31=0,1000000,IF(INDEX('計算A'!$D$60:$EQ$104,$B31,142)*IM31=1,IF(AND($E31=2,OB31=0),1000000,IF($I31&gt;0,IF(6=$J31,IF(OR(AND(142=$I31+1,OR($K31&lt;&gt;'計算A'!$A$3,'計算A'!$A$4=0)),AND(142=$I31-1,OR(22&lt;&gt;'計算A'!$A$3,'計算A'!$A$4=0))),0,IF(22=$K31,200000,ABS(22-$K31)*100)),100000+ABS(6-$J31)*1000+220)+'計算A'!EO$5*50+IF(AND($E31=1,OB31=0),25,0),INDEX('計算A'!EO$110:EO$114,$F31+1)+IF(AND($E31=1,OB31=0),1000,0)+IF($H31=1,(IF('計算A'!EN$117=1,INDEX('計算A'!EN$10:EN$54,$B31),0)+IF('計算A'!EO$117=1,INDEX('計算A'!EP$10:EP$54,$B31),0))*500,0)-IF(AND('計算A'!EN$117=1,ZL31&gt;0),300,0)-IF(AND($L31=1,'計算A'!EO$117=1,IN31=0),300,0))),1000000))</f>
        <v/>
      </c>
      <c r="TR31">
        <f>IF($B31=0,1000000,IF(INDEX('計算A'!$D$60:$EQ$104,$B31,143)*IN31=1,IF(AND($E31=2,OC31=0),1000000,IF($I31&gt;0,IF(6=$J31,IF(OR(AND(143=$I31+1,OR($K31&lt;&gt;'計算A'!$A$3,'計算A'!$A$4=0)),AND(143=$I31-1,OR(23&lt;&gt;'計算A'!$A$3,'計算A'!$A$4=0))),0,IF(23=$K31,200000,ABS(23-$K31)*100)),100000+ABS(6-$J31)*1000+230)+'計算A'!EP$5*50+IF(AND($E31=1,OC31=0),25,0),INDEX('計算A'!EP$110:EP$114,$F31+1)+IF(AND($E31=1,OC31=0),1000,0)+IF($H31=1,(IF('計算A'!EO$117=1,INDEX('計算A'!EO$10:EO$54,$B31),0)+IF('計算A'!EP$117=1,INDEX('計算A'!EQ$10:EQ$54,$B31),0))*500,0)-IF(AND('計算A'!EO$117=1,ZM31&gt;0),300,0)-IF(AND($L31=1,'計算A'!EP$117=1,IO31=0),300,0))),1000000))</f>
        <v/>
      </c>
      <c r="TS31">
        <f>IF($B31=0,1000000,IF(INDEX('計算A'!$D$60:$EQ$104,$B31,144)*IO31=1,IF(AND($E31=2,OD31=0),1000000,IF($I31&gt;0,IF(6=$J31,IF(OR(AND(144=$I31+1,OR($K31&lt;&gt;'計算A'!$A$3,'計算A'!$A$4=0)),AND(144=$I31-1,OR(24&lt;&gt;'計算A'!$A$3,'計算A'!$A$4=0))),0,IF(24=$K31,200000,ABS(24-$K31)*100)),100000+ABS(6-$J31)*1000+240)+'計算A'!EQ$5*50+IF(AND($E31=1,OD31=0),25,0),INDEX('計算A'!EQ$110:EQ$114,$F31+1)+IF(AND($E31=1,OD31=0),1000,0)+IF($H31=1,(IF('計算A'!EP$117=1,INDEX('計算A'!EP$10:EP$54,$B31),0))*500,0)-IF(AND('計算A'!EP$117=1,ZN31&gt;0),300,0))),1000000))</f>
        <v/>
      </c>
      <c r="UB31">
        <f>UB30+IF(AND($C30=1,$L30=1),1,0)</f>
        <v/>
      </c>
      <c r="UC31">
        <f>UC30+IF(AND($C30=2,$L30=1),1,0)</f>
        <v/>
      </c>
      <c r="UD31">
        <f>UD30+IF(AND($C30=3,$L30=1),1,0)</f>
        <v/>
      </c>
      <c r="UE31">
        <f>UE30+IF(AND($C30=4,$L30=1),1,0)</f>
        <v/>
      </c>
      <c r="UF31">
        <f>UF30+IF(AND($C30=5,$L30=1),1,0)</f>
        <v/>
      </c>
      <c r="UG31">
        <f>UG30+IF(AND($C30=6,$L30=1),1,0)</f>
        <v/>
      </c>
      <c r="UH31">
        <f>UH30+IF(AND($C30=7,$L30=1),1,0)</f>
        <v/>
      </c>
      <c r="UI31">
        <f>UI30+IF(AND($C30=8,$L30=1),1,0)</f>
        <v/>
      </c>
      <c r="UJ31">
        <f>UJ30+IF(AND($C30=9,$L30=1),1,0)</f>
        <v/>
      </c>
      <c r="UK31">
        <f>UK30+IF(AND($C30=10,$L30=1),1,0)</f>
        <v/>
      </c>
      <c r="UL31">
        <f>UL30+IF(AND($C30=11,$L30=1),1,0)</f>
        <v/>
      </c>
      <c r="UM31">
        <f>UM30+IF(AND($C30=12,$L30=1),1,0)</f>
        <v/>
      </c>
      <c r="UN31">
        <f>UN30+IF(AND($C30=13,$L30=1),1,0)</f>
        <v/>
      </c>
      <c r="UO31">
        <f>UO30+IF(AND($C30=14,$L30=1),1,0)</f>
        <v/>
      </c>
      <c r="UP31">
        <f>UP30+IF(AND($C30=15,$L30=1),1,0)</f>
        <v/>
      </c>
      <c r="UQ31">
        <f>UQ30+IF(AND($C30=16,$L30=1),1,0)</f>
        <v/>
      </c>
      <c r="UR31">
        <f>UR30+IF(AND($C30=17,$L30=1),1,0)</f>
        <v/>
      </c>
      <c r="US31">
        <f>US30+IF(AND($C30=18,$L30=1),1,0)</f>
        <v/>
      </c>
      <c r="UT31">
        <f>UT30+IF(AND($C30=19,$L30=1),1,0)</f>
        <v/>
      </c>
      <c r="UU31">
        <f>UU30+IF(AND($C30=20,$L30=1),1,0)</f>
        <v/>
      </c>
      <c r="UV31">
        <f>UV30+IF(AND($C30=21,$L30=1),1,0)</f>
        <v/>
      </c>
      <c r="UW31">
        <f>UW30+IF(AND($C30=22,$L30=1),1,0)</f>
        <v/>
      </c>
      <c r="UX31">
        <f>UX30+IF(AND($C30=23,$L30=1),1,0)</f>
        <v/>
      </c>
      <c r="UY31">
        <f>UY30+IF(AND($C30=24,$L30=1),1,0)</f>
        <v/>
      </c>
      <c r="UZ31">
        <f>UZ30+IF(AND($C30=25,$L30=1),1,0)</f>
        <v/>
      </c>
      <c r="VA31">
        <f>VA30+IF(AND($C30=26,$L30=1),1,0)</f>
        <v/>
      </c>
      <c r="VB31">
        <f>VB30+IF(AND($C30=27,$L30=1),1,0)</f>
        <v/>
      </c>
      <c r="VC31">
        <f>VC30+IF(AND($C30=28,$L30=1),1,0)</f>
        <v/>
      </c>
      <c r="VD31">
        <f>VD30+IF(AND($C30=29,$L30=1),1,0)</f>
        <v/>
      </c>
      <c r="VE31">
        <f>VE30+IF(AND($C30=30,$L30=1),1,0)</f>
        <v/>
      </c>
      <c r="VF31">
        <f>VF30+IF(AND($C30=31,$L30=1),1,0)</f>
        <v/>
      </c>
      <c r="VG31">
        <f>VG30+IF(AND($C30=32,$L30=1),1,0)</f>
        <v/>
      </c>
      <c r="VH31">
        <f>VH30+IF(AND($C30=33,$L30=1),1,0)</f>
        <v/>
      </c>
      <c r="VI31">
        <f>VI30+IF(AND($C30=34,$L30=1),1,0)</f>
        <v/>
      </c>
      <c r="VJ31">
        <f>VJ30+IF(AND($C30=35,$L30=1),1,0)</f>
        <v/>
      </c>
      <c r="VK31">
        <f>VK30+IF(AND($C30=36,$L30=1),1,0)</f>
        <v/>
      </c>
      <c r="VL31">
        <f>VL30+IF(AND($C30=37,$L30=1),1,0)</f>
        <v/>
      </c>
      <c r="VM31">
        <f>VM30+IF(AND($C30=38,$L30=1),1,0)</f>
        <v/>
      </c>
      <c r="VN31">
        <f>VN30+IF(AND($C30=39,$L30=1),1,0)</f>
        <v/>
      </c>
      <c r="VO31">
        <f>VO30+IF(AND($C30=40,$L30=1),1,0)</f>
        <v/>
      </c>
      <c r="VP31">
        <f>VP30+IF(AND($C30=41,$L30=1),1,0)</f>
        <v/>
      </c>
      <c r="VQ31">
        <f>VQ30+IF(AND($C30=42,$L30=1),1,0)</f>
        <v/>
      </c>
      <c r="VR31">
        <f>VR30+IF(AND($C30=43,$L30=1),1,0)</f>
        <v/>
      </c>
      <c r="VS31">
        <f>VS30+IF(AND($C30=44,$L30=1),1,0)</f>
        <v/>
      </c>
      <c r="VT31">
        <f>VT30+IF(AND($C30=45,$L30=1),1,0)</f>
        <v/>
      </c>
      <c r="VU31">
        <f>VU30+IF(AND($C30=46,$L30=1),1,0)</f>
        <v/>
      </c>
      <c r="VV31">
        <f>VV30+IF(AND($C30=47,$L30=1),1,0)</f>
        <v/>
      </c>
      <c r="VW31">
        <f>VW30+IF(AND($C30=48,$L30=1),1,0)</f>
        <v/>
      </c>
      <c r="VX31">
        <f>VX30+IF(AND($C30=49,$L30=1),1,0)</f>
        <v/>
      </c>
      <c r="VY31">
        <f>VY30+IF(AND($C30=50,$L30=1),1,0)</f>
        <v/>
      </c>
      <c r="VZ31">
        <f>VZ30+IF(AND($C30=51,$L30=1),1,0)</f>
        <v/>
      </c>
      <c r="WA31">
        <f>WA30+IF(AND($C30=52,$L30=1),1,0)</f>
        <v/>
      </c>
      <c r="WB31">
        <f>WB30+IF(AND($C30=53,$L30=1),1,0)</f>
        <v/>
      </c>
      <c r="WC31">
        <f>WC30+IF(AND($C30=54,$L30=1),1,0)</f>
        <v/>
      </c>
      <c r="WD31">
        <f>WD30+IF(AND($C30=55,$L30=1),1,0)</f>
        <v/>
      </c>
      <c r="WE31">
        <f>WE30+IF(AND($C30=56,$L30=1),1,0)</f>
        <v/>
      </c>
      <c r="WF31">
        <f>WF30+IF(AND($C30=57,$L30=1),1,0)</f>
        <v/>
      </c>
      <c r="WG31">
        <f>WG30+IF(AND($C30=58,$L30=1),1,0)</f>
        <v/>
      </c>
      <c r="WH31">
        <f>WH30+IF(AND($C30=59,$L30=1),1,0)</f>
        <v/>
      </c>
      <c r="WI31">
        <f>WI30+IF(AND($C30=60,$L30=1),1,0)</f>
        <v/>
      </c>
      <c r="WJ31">
        <f>WJ30+IF(AND($C30=61,$L30=1),1,0)</f>
        <v/>
      </c>
      <c r="WK31">
        <f>WK30+IF(AND($C30=62,$L30=1),1,0)</f>
        <v/>
      </c>
      <c r="WL31">
        <f>WL30+IF(AND($C30=63,$L30=1),1,0)</f>
        <v/>
      </c>
      <c r="WM31">
        <f>WM30+IF(AND($C30=64,$L30=1),1,0)</f>
        <v/>
      </c>
      <c r="WN31">
        <f>WN30+IF(AND($C30=65,$L30=1),1,0)</f>
        <v/>
      </c>
      <c r="WO31">
        <f>WO30+IF(AND($C30=66,$L30=1),1,0)</f>
        <v/>
      </c>
      <c r="WP31">
        <f>WP30+IF(AND($C30=67,$L30=1),1,0)</f>
        <v/>
      </c>
      <c r="WQ31">
        <f>WQ30+IF(AND($C30=68,$L30=1),1,0)</f>
        <v/>
      </c>
      <c r="WR31">
        <f>WR30+IF(AND($C30=69,$L30=1),1,0)</f>
        <v/>
      </c>
      <c r="WS31">
        <f>WS30+IF(AND($C30=70,$L30=1),1,0)</f>
        <v/>
      </c>
      <c r="WT31">
        <f>WT30+IF(AND($C30=71,$L30=1),1,0)</f>
        <v/>
      </c>
      <c r="WU31">
        <f>WU30+IF(AND($C30=72,$L30=1),1,0)</f>
        <v/>
      </c>
      <c r="WV31">
        <f>WV30+IF(AND($C30=73,$L30=1),1,0)</f>
        <v/>
      </c>
      <c r="WW31">
        <f>WW30+IF(AND($C30=74,$L30=1),1,0)</f>
        <v/>
      </c>
      <c r="WX31">
        <f>WX30+IF(AND($C30=75,$L30=1),1,0)</f>
        <v/>
      </c>
      <c r="WY31">
        <f>WY30+IF(AND($C30=76,$L30=1),1,0)</f>
        <v/>
      </c>
      <c r="WZ31">
        <f>WZ30+IF(AND($C30=77,$L30=1),1,0)</f>
        <v/>
      </c>
      <c r="XA31">
        <f>XA30+IF(AND($C30=78,$L30=1),1,0)</f>
        <v/>
      </c>
      <c r="XB31">
        <f>XB30+IF(AND($C30=79,$L30=1),1,0)</f>
        <v/>
      </c>
      <c r="XC31">
        <f>XC30+IF(AND($C30=80,$L30=1),1,0)</f>
        <v/>
      </c>
      <c r="XD31">
        <f>XD30+IF(AND($C30=81,$L30=1),1,0)</f>
        <v/>
      </c>
      <c r="XE31">
        <f>XE30+IF(AND($C30=82,$L30=1),1,0)</f>
        <v/>
      </c>
      <c r="XF31">
        <f>XF30+IF(AND($C30=83,$L30=1),1,0)</f>
        <v/>
      </c>
      <c r="XG31">
        <f>XG30+IF(AND($C30=84,$L30=1),1,0)</f>
        <v/>
      </c>
      <c r="XH31">
        <f>XH30+IF(AND($C30=85,$L30=1),1,0)</f>
        <v/>
      </c>
      <c r="XI31">
        <f>XI30+IF(AND($C30=86,$L30=1),1,0)</f>
        <v/>
      </c>
      <c r="XJ31">
        <f>XJ30+IF(AND($C30=87,$L30=1),1,0)</f>
        <v/>
      </c>
      <c r="XK31">
        <f>XK30+IF(AND($C30=88,$L30=1),1,0)</f>
        <v/>
      </c>
      <c r="XL31">
        <f>XL30+IF(AND($C30=89,$L30=1),1,0)</f>
        <v/>
      </c>
      <c r="XM31">
        <f>XM30+IF(AND($C30=90,$L30=1),1,0)</f>
        <v/>
      </c>
      <c r="XN31">
        <f>XN30+IF(AND($C30=91,$L30=1),1,0)</f>
        <v/>
      </c>
      <c r="XO31">
        <f>XO30+IF(AND($C30=92,$L30=1),1,0)</f>
        <v/>
      </c>
      <c r="XP31">
        <f>XP30+IF(AND($C30=93,$L30=1),1,0)</f>
        <v/>
      </c>
      <c r="XQ31">
        <f>XQ30+IF(AND($C30=94,$L30=1),1,0)</f>
        <v/>
      </c>
      <c r="XR31">
        <f>XR30+IF(AND($C30=95,$L30=1),1,0)</f>
        <v/>
      </c>
      <c r="XS31">
        <f>XS30+IF(AND($C30=96,$L30=1),1,0)</f>
        <v/>
      </c>
      <c r="XT31">
        <f>XT30+IF(AND($C30=97,$L30=1),1,0)</f>
        <v/>
      </c>
      <c r="XU31">
        <f>XU30+IF(AND($C30=98,$L30=1),1,0)</f>
        <v/>
      </c>
      <c r="XV31">
        <f>XV30+IF(AND($C30=99,$L30=1),1,0)</f>
        <v/>
      </c>
      <c r="XW31">
        <f>XW30+IF(AND($C30=100,$L30=1),1,0)</f>
        <v/>
      </c>
      <c r="XX31">
        <f>XX30+IF(AND($C30=101,$L30=1),1,0)</f>
        <v/>
      </c>
      <c r="XY31">
        <f>XY30+IF(AND($C30=102,$L30=1),1,0)</f>
        <v/>
      </c>
      <c r="XZ31">
        <f>XZ30+IF(AND($C30=103,$L30=1),1,0)</f>
        <v/>
      </c>
      <c r="YA31">
        <f>YA30+IF(AND($C30=104,$L30=1),1,0)</f>
        <v/>
      </c>
      <c r="YB31">
        <f>YB30+IF(AND($C30=105,$L30=1),1,0)</f>
        <v/>
      </c>
      <c r="YC31">
        <f>YC30+IF(AND($C30=106,$L30=1),1,0)</f>
        <v/>
      </c>
      <c r="YD31">
        <f>YD30+IF(AND($C30=107,$L30=1),1,0)</f>
        <v/>
      </c>
      <c r="YE31">
        <f>YE30+IF(AND($C30=108,$L30=1),1,0)</f>
        <v/>
      </c>
      <c r="YF31">
        <f>YF30+IF(AND($C30=109,$L30=1),1,0)</f>
        <v/>
      </c>
      <c r="YG31">
        <f>YG30+IF(AND($C30=110,$L30=1),1,0)</f>
        <v/>
      </c>
      <c r="YH31">
        <f>YH30+IF(AND($C30=111,$L30=1),1,0)</f>
        <v/>
      </c>
      <c r="YI31">
        <f>YI30+IF(AND($C30=112,$L30=1),1,0)</f>
        <v/>
      </c>
      <c r="YJ31">
        <f>YJ30+IF(AND($C30=113,$L30=1),1,0)</f>
        <v/>
      </c>
      <c r="YK31">
        <f>YK30+IF(AND($C30=114,$L30=1),1,0)</f>
        <v/>
      </c>
      <c r="YL31">
        <f>YL30+IF(AND($C30=115,$L30=1),1,0)</f>
        <v/>
      </c>
      <c r="YM31">
        <f>YM30+IF(AND($C30=116,$L30=1),1,0)</f>
        <v/>
      </c>
      <c r="YN31">
        <f>YN30+IF(AND($C30=117,$L30=1),1,0)</f>
        <v/>
      </c>
      <c r="YO31">
        <f>YO30+IF(AND($C30=118,$L30=1),1,0)</f>
        <v/>
      </c>
      <c r="YP31">
        <f>YP30+IF(AND($C30=119,$L30=1),1,0)</f>
        <v/>
      </c>
      <c r="YQ31">
        <f>YQ30+IF(AND($C30=120,$L30=1),1,0)</f>
        <v/>
      </c>
      <c r="YR31">
        <f>YR30+IF(AND($C30=121,$L30=1),1,0)</f>
        <v/>
      </c>
      <c r="YS31">
        <f>YS30+IF(AND($C30=122,$L30=1),1,0)</f>
        <v/>
      </c>
      <c r="YT31">
        <f>YT30+IF(AND($C30=123,$L30=1),1,0)</f>
        <v/>
      </c>
      <c r="YU31">
        <f>YU30+IF(AND($C30=124,$L30=1),1,0)</f>
        <v/>
      </c>
      <c r="YV31">
        <f>YV30+IF(AND($C30=125,$L30=1),1,0)</f>
        <v/>
      </c>
      <c r="YW31">
        <f>YW30+IF(AND($C30=126,$L30=1),1,0)</f>
        <v/>
      </c>
      <c r="YX31">
        <f>YX30+IF(AND($C30=127,$L30=1),1,0)</f>
        <v/>
      </c>
      <c r="YY31">
        <f>YY30+IF(AND($C30=128,$L30=1),1,0)</f>
        <v/>
      </c>
      <c r="YZ31">
        <f>YZ30+IF(AND($C30=129,$L30=1),1,0)</f>
        <v/>
      </c>
      <c r="ZA31">
        <f>ZA30+IF(AND($C30=130,$L30=1),1,0)</f>
        <v/>
      </c>
      <c r="ZB31">
        <f>ZB30+IF(AND($C30=131,$L30=1),1,0)</f>
        <v/>
      </c>
      <c r="ZC31">
        <f>ZC30+IF(AND($C30=132,$L30=1),1,0)</f>
        <v/>
      </c>
      <c r="ZD31">
        <f>ZD30+IF(AND($C30=133,$L30=1),1,0)</f>
        <v/>
      </c>
      <c r="ZE31">
        <f>ZE30+IF(AND($C30=134,$L30=1),1,0)</f>
        <v/>
      </c>
      <c r="ZF31">
        <f>ZF30+IF(AND($C30=135,$L30=1),1,0)</f>
        <v/>
      </c>
      <c r="ZG31">
        <f>ZG30+IF(AND($C30=136,$L30=1),1,0)</f>
        <v/>
      </c>
      <c r="ZH31">
        <f>ZH30+IF(AND($C30=137,$L30=1),1,0)</f>
        <v/>
      </c>
      <c r="ZI31">
        <f>ZI30+IF(AND($C30=138,$L30=1),1,0)</f>
        <v/>
      </c>
      <c r="ZJ31">
        <f>ZJ30+IF(AND($C30=139,$L30=1),1,0)</f>
        <v/>
      </c>
      <c r="ZK31">
        <f>ZK30+IF(AND($C30=140,$L30=1),1,0)</f>
        <v/>
      </c>
      <c r="ZL31">
        <f>ZL30+IF(AND($C30=141,$L30=1),1,0)</f>
        <v/>
      </c>
      <c r="ZM31">
        <f>ZM30+IF(AND($C30=142,$L30=1),1,0)</f>
        <v/>
      </c>
      <c r="ZN31">
        <f>ZN30+IF(AND($C30=143,$L30=1),1,0)</f>
        <v/>
      </c>
      <c r="ZO31">
        <f>ZO30+IF(AND($C30=144,$L30=1),1,0)</f>
        <v/>
      </c>
    </row>
    <row r="32">
      <c r="A32" t="n">
        <v>30</v>
      </c>
      <c r="B32">
        <f>IF(MIN(BH32:CZ32)&gt;=1000000,0,MATCH(MIN(BH32:CZ32),BH32:CZ32,0))</f>
        <v/>
      </c>
      <c r="C32">
        <f>IF(MIN(OF32:TS32)&gt;=1000000,0,MATCH(MIN(OF32:TS32),OF32:TS32,0))</f>
        <v/>
      </c>
      <c r="D32">
        <f>IF(C32&gt;0,INDEX('計算A'!$D$5:$EQ$5,C32),0)</f>
        <v/>
      </c>
      <c r="E32">
        <f>IF(B32=0,0,INDEX('計算A'!$IQ$10:$IQ$54,B32))</f>
        <v/>
      </c>
      <c r="F32">
        <f>IF(B32=0,0,INDEX('計算A'!$IP$10:$IP$54,B32))</f>
        <v/>
      </c>
      <c r="G32">
        <f>IF(AND(C32&gt;0,E32&gt;0),IF(AND(INDEX('計算A'!$D$106:$EQ$106,C32)=1,INDEX($IQ32:$OD32,C32)=1),C32+1,0),0)</f>
        <v/>
      </c>
      <c r="H32">
        <f>IF(B32=0,0,INDEX('計算A'!$IW$10:$IW$54,B32))</f>
        <v/>
      </c>
      <c r="I32">
        <f>IF(B32=0,0,MAX(0,INDEX('計算A'!$IT$10:$IT$54,B32)))</f>
        <v/>
      </c>
      <c r="J32">
        <f>IF(I32=0,0,INDEX('計算A'!$D$2:$EQ$2,I32))</f>
        <v/>
      </c>
      <c r="K32">
        <f>IF(I32=0,0,INDEX('計算A'!$D$3:$EQ$3,I32))</f>
        <v/>
      </c>
      <c r="L32">
        <f>IF(B32=0,0,INDEX('計算A'!$IX$10:$IX$54,B32))</f>
        <v/>
      </c>
      <c r="N32">
        <f>MAX(N31,IF($B31=1,1,0))</f>
        <v/>
      </c>
      <c r="O32">
        <f>MAX(O31,IF($B31=2,1,0))</f>
        <v/>
      </c>
      <c r="P32">
        <f>MAX(P31,IF($B31=3,1,0))</f>
        <v/>
      </c>
      <c r="Q32">
        <f>MAX(Q31,IF($B31=4,1,0))</f>
        <v/>
      </c>
      <c r="R32">
        <f>MAX(R31,IF($B31=5,1,0))</f>
        <v/>
      </c>
      <c r="S32">
        <f>MAX(S31,IF($B31=6,1,0))</f>
        <v/>
      </c>
      <c r="T32">
        <f>MAX(T31,IF($B31=7,1,0))</f>
        <v/>
      </c>
      <c r="U32">
        <f>MAX(U31,IF($B31=8,1,0))</f>
        <v/>
      </c>
      <c r="V32">
        <f>MAX(V31,IF($B31=9,1,0))</f>
        <v/>
      </c>
      <c r="W32">
        <f>MAX(W31,IF($B31=10,1,0))</f>
        <v/>
      </c>
      <c r="X32">
        <f>MAX(X31,IF($B31=11,1,0))</f>
        <v/>
      </c>
      <c r="Y32">
        <f>MAX(Y31,IF($B31=12,1,0))</f>
        <v/>
      </c>
      <c r="Z32">
        <f>MAX(Z31,IF($B31=13,1,0))</f>
        <v/>
      </c>
      <c r="AA32">
        <f>MAX(AA31,IF($B31=14,1,0))</f>
        <v/>
      </c>
      <c r="AB32">
        <f>MAX(AB31,IF($B31=15,1,0))</f>
        <v/>
      </c>
      <c r="AC32">
        <f>MAX(AC31,IF($B31=16,1,0))</f>
        <v/>
      </c>
      <c r="AD32">
        <f>MAX(AD31,IF($B31=17,1,0))</f>
        <v/>
      </c>
      <c r="AE32">
        <f>MAX(AE31,IF($B31=18,1,0))</f>
        <v/>
      </c>
      <c r="AF32">
        <f>MAX(AF31,IF($B31=19,1,0))</f>
        <v/>
      </c>
      <c r="AG32">
        <f>MAX(AG31,IF($B31=20,1,0))</f>
        <v/>
      </c>
      <c r="AH32">
        <f>MAX(AH31,IF($B31=21,1,0))</f>
        <v/>
      </c>
      <c r="AI32">
        <f>MAX(AI31,IF($B31=22,1,0))</f>
        <v/>
      </c>
      <c r="AJ32">
        <f>MAX(AJ31,IF($B31=23,1,0))</f>
        <v/>
      </c>
      <c r="AK32">
        <f>MAX(AK31,IF($B31=24,1,0))</f>
        <v/>
      </c>
      <c r="AL32">
        <f>MAX(AL31,IF($B31=25,1,0))</f>
        <v/>
      </c>
      <c r="AM32">
        <f>MAX(AM31,IF($B31=26,1,0))</f>
        <v/>
      </c>
      <c r="AN32">
        <f>MAX(AN31,IF($B31=27,1,0))</f>
        <v/>
      </c>
      <c r="AO32">
        <f>MAX(AO31,IF($B31=28,1,0))</f>
        <v/>
      </c>
      <c r="AP32">
        <f>MAX(AP31,IF($B31=29,1,0))</f>
        <v/>
      </c>
      <c r="AQ32">
        <f>MAX(AQ31,IF($B31=30,1,0))</f>
        <v/>
      </c>
      <c r="AR32">
        <f>MAX(AR31,IF($B31=31,1,0))</f>
        <v/>
      </c>
      <c r="AS32">
        <f>MAX(AS31,IF($B31=32,1,0))</f>
        <v/>
      </c>
      <c r="AT32">
        <f>MAX(AT31,IF($B31=33,1,0))</f>
        <v/>
      </c>
      <c r="AU32">
        <f>MAX(AU31,IF($B31=34,1,0))</f>
        <v/>
      </c>
      <c r="AV32">
        <f>MAX(AV31,IF($B31=35,1,0))</f>
        <v/>
      </c>
      <c r="AW32">
        <f>MAX(AW31,IF($B31=36,1,0))</f>
        <v/>
      </c>
      <c r="AX32">
        <f>MAX(AX31,IF($B31=37,1,0))</f>
        <v/>
      </c>
      <c r="AY32">
        <f>MAX(AY31,IF($B31=38,1,0))</f>
        <v/>
      </c>
      <c r="AZ32">
        <f>MAX(AZ31,IF($B31=39,1,0))</f>
        <v/>
      </c>
      <c r="BA32">
        <f>MAX(BA31,IF($B31=40,1,0))</f>
        <v/>
      </c>
      <c r="BB32">
        <f>MAX(BB31,IF($B31=41,1,0))</f>
        <v/>
      </c>
      <c r="BC32">
        <f>MAX(BC31,IF($B31=42,1,0))</f>
        <v/>
      </c>
      <c r="BD32">
        <f>MAX(BD31,IF($B31=43,1,0))</f>
        <v/>
      </c>
      <c r="BE32">
        <f>MAX(BE31,IF($B31=44,1,0))</f>
        <v/>
      </c>
      <c r="BF32">
        <f>MAX(BF31,IF($B31=45,1,0))</f>
        <v/>
      </c>
      <c r="BH32">
        <f>IF(N32=1,1000000,IF('計算A'!$IT$10&gt;0,0,500000)+IF('計算A'!$IQ$10=2,SUMPRODUCT('計算A'!$D$60:$EQ$60,$DB32:$IO32,$IQ32:$OD32),SUMPRODUCT('計算A'!$D$60:$EQ$60,$DB32:$IO32))*1000+1)</f>
        <v/>
      </c>
      <c r="BI32">
        <f>IF(O32=1,1000000,IF('計算A'!$IT$11&gt;0,0,500000)+IF('計算A'!$IQ$11=2,SUMPRODUCT('計算A'!$D$61:$EQ$61,$DB32:$IO32,$IQ32:$OD32),SUMPRODUCT('計算A'!$D$61:$EQ$61,$DB32:$IO32))*1000+2)</f>
        <v/>
      </c>
      <c r="BJ32">
        <f>IF(P32=1,1000000,IF('計算A'!$IT$12&gt;0,0,500000)+IF('計算A'!$IQ$12=2,SUMPRODUCT('計算A'!$D$62:$EQ$62,$DB32:$IO32,$IQ32:$OD32),SUMPRODUCT('計算A'!$D$62:$EQ$62,$DB32:$IO32))*1000+3)</f>
        <v/>
      </c>
      <c r="BK32">
        <f>IF(Q32=1,1000000,IF('計算A'!$IT$13&gt;0,0,500000)+IF('計算A'!$IQ$13=2,SUMPRODUCT('計算A'!$D$63:$EQ$63,$DB32:$IO32,$IQ32:$OD32),SUMPRODUCT('計算A'!$D$63:$EQ$63,$DB32:$IO32))*1000+4)</f>
        <v/>
      </c>
      <c r="BL32">
        <f>IF(R32=1,1000000,IF('計算A'!$IT$14&gt;0,0,500000)+IF('計算A'!$IQ$14=2,SUMPRODUCT('計算A'!$D$64:$EQ$64,$DB32:$IO32,$IQ32:$OD32),SUMPRODUCT('計算A'!$D$64:$EQ$64,$DB32:$IO32))*1000+5)</f>
        <v/>
      </c>
      <c r="BM32">
        <f>IF(S32=1,1000000,IF('計算A'!$IT$15&gt;0,0,500000)+IF('計算A'!$IQ$15=2,SUMPRODUCT('計算A'!$D$65:$EQ$65,$DB32:$IO32,$IQ32:$OD32),SUMPRODUCT('計算A'!$D$65:$EQ$65,$DB32:$IO32))*1000+6)</f>
        <v/>
      </c>
      <c r="BN32">
        <f>IF(T32=1,1000000,IF('計算A'!$IT$16&gt;0,0,500000)+IF('計算A'!$IQ$16=2,SUMPRODUCT('計算A'!$D$66:$EQ$66,$DB32:$IO32,$IQ32:$OD32),SUMPRODUCT('計算A'!$D$66:$EQ$66,$DB32:$IO32))*1000+7)</f>
        <v/>
      </c>
      <c r="BO32">
        <f>IF(U32=1,1000000,IF('計算A'!$IT$17&gt;0,0,500000)+IF('計算A'!$IQ$17=2,SUMPRODUCT('計算A'!$D$67:$EQ$67,$DB32:$IO32,$IQ32:$OD32),SUMPRODUCT('計算A'!$D$67:$EQ$67,$DB32:$IO32))*1000+8)</f>
        <v/>
      </c>
      <c r="BP32">
        <f>IF(V32=1,1000000,IF('計算A'!$IT$18&gt;0,0,500000)+IF('計算A'!$IQ$18=2,SUMPRODUCT('計算A'!$D$68:$EQ$68,$DB32:$IO32,$IQ32:$OD32),SUMPRODUCT('計算A'!$D$68:$EQ$68,$DB32:$IO32))*1000+9)</f>
        <v/>
      </c>
      <c r="BQ32">
        <f>IF(W32=1,1000000,IF('計算A'!$IT$19&gt;0,0,500000)+IF('計算A'!$IQ$19=2,SUMPRODUCT('計算A'!$D$69:$EQ$69,$DB32:$IO32,$IQ32:$OD32),SUMPRODUCT('計算A'!$D$69:$EQ$69,$DB32:$IO32))*1000+10)</f>
        <v/>
      </c>
      <c r="BR32">
        <f>IF(X32=1,1000000,IF('計算A'!$IT$20&gt;0,0,500000)+IF('計算A'!$IQ$20=2,SUMPRODUCT('計算A'!$D$70:$EQ$70,$DB32:$IO32,$IQ32:$OD32),SUMPRODUCT('計算A'!$D$70:$EQ$70,$DB32:$IO32))*1000+11)</f>
        <v/>
      </c>
      <c r="BS32">
        <f>IF(Y32=1,1000000,IF('計算A'!$IT$21&gt;0,0,500000)+IF('計算A'!$IQ$21=2,SUMPRODUCT('計算A'!$D$71:$EQ$71,$DB32:$IO32,$IQ32:$OD32),SUMPRODUCT('計算A'!$D$71:$EQ$71,$DB32:$IO32))*1000+12)</f>
        <v/>
      </c>
      <c r="BT32">
        <f>IF(Z32=1,1000000,IF('計算A'!$IT$22&gt;0,0,500000)+IF('計算A'!$IQ$22=2,SUMPRODUCT('計算A'!$D$72:$EQ$72,$DB32:$IO32,$IQ32:$OD32),SUMPRODUCT('計算A'!$D$72:$EQ$72,$DB32:$IO32))*1000+13)</f>
        <v/>
      </c>
      <c r="BU32">
        <f>IF(AA32=1,1000000,IF('計算A'!$IT$23&gt;0,0,500000)+IF('計算A'!$IQ$23=2,SUMPRODUCT('計算A'!$D$73:$EQ$73,$DB32:$IO32,$IQ32:$OD32),SUMPRODUCT('計算A'!$D$73:$EQ$73,$DB32:$IO32))*1000+14)</f>
        <v/>
      </c>
      <c r="BV32">
        <f>IF(AB32=1,1000000,IF('計算A'!$IT$24&gt;0,0,500000)+IF('計算A'!$IQ$24=2,SUMPRODUCT('計算A'!$D$74:$EQ$74,$DB32:$IO32,$IQ32:$OD32),SUMPRODUCT('計算A'!$D$74:$EQ$74,$DB32:$IO32))*1000+15)</f>
        <v/>
      </c>
      <c r="BW32">
        <f>IF(AC32=1,1000000,IF('計算A'!$IT$25&gt;0,0,500000)+IF('計算A'!$IQ$25=2,SUMPRODUCT('計算A'!$D$75:$EQ$75,$DB32:$IO32,$IQ32:$OD32),SUMPRODUCT('計算A'!$D$75:$EQ$75,$DB32:$IO32))*1000+16)</f>
        <v/>
      </c>
      <c r="BX32">
        <f>IF(AD32=1,1000000,IF('計算A'!$IT$26&gt;0,0,500000)+IF('計算A'!$IQ$26=2,SUMPRODUCT('計算A'!$D$76:$EQ$76,$DB32:$IO32,$IQ32:$OD32),SUMPRODUCT('計算A'!$D$76:$EQ$76,$DB32:$IO32))*1000+17)</f>
        <v/>
      </c>
      <c r="BY32">
        <f>IF(AE32=1,1000000,IF('計算A'!$IT$27&gt;0,0,500000)+IF('計算A'!$IQ$27=2,SUMPRODUCT('計算A'!$D$77:$EQ$77,$DB32:$IO32,$IQ32:$OD32),SUMPRODUCT('計算A'!$D$77:$EQ$77,$DB32:$IO32))*1000+18)</f>
        <v/>
      </c>
      <c r="BZ32">
        <f>IF(AF32=1,1000000,IF('計算A'!$IT$28&gt;0,0,500000)+IF('計算A'!$IQ$28=2,SUMPRODUCT('計算A'!$D$78:$EQ$78,$DB32:$IO32,$IQ32:$OD32),SUMPRODUCT('計算A'!$D$78:$EQ$78,$DB32:$IO32))*1000+19)</f>
        <v/>
      </c>
      <c r="CA32">
        <f>IF(AG32=1,1000000,IF('計算A'!$IT$29&gt;0,0,500000)+IF('計算A'!$IQ$29=2,SUMPRODUCT('計算A'!$D$79:$EQ$79,$DB32:$IO32,$IQ32:$OD32),SUMPRODUCT('計算A'!$D$79:$EQ$79,$DB32:$IO32))*1000+20)</f>
        <v/>
      </c>
      <c r="CB32">
        <f>IF(AH32=1,1000000,IF('計算A'!$IT$30&gt;0,0,500000)+IF('計算A'!$IQ$30=2,SUMPRODUCT('計算A'!$D$80:$EQ$80,$DB32:$IO32,$IQ32:$OD32),SUMPRODUCT('計算A'!$D$80:$EQ$80,$DB32:$IO32))*1000+21)</f>
        <v/>
      </c>
      <c r="CC32">
        <f>IF(AI32=1,1000000,IF('計算A'!$IT$31&gt;0,0,500000)+IF('計算A'!$IQ$31=2,SUMPRODUCT('計算A'!$D$81:$EQ$81,$DB32:$IO32,$IQ32:$OD32),SUMPRODUCT('計算A'!$D$81:$EQ$81,$DB32:$IO32))*1000+22)</f>
        <v/>
      </c>
      <c r="CD32">
        <f>IF(AJ32=1,1000000,IF('計算A'!$IT$32&gt;0,0,500000)+IF('計算A'!$IQ$32=2,SUMPRODUCT('計算A'!$D$82:$EQ$82,$DB32:$IO32,$IQ32:$OD32),SUMPRODUCT('計算A'!$D$82:$EQ$82,$DB32:$IO32))*1000+23)</f>
        <v/>
      </c>
      <c r="CE32">
        <f>IF(AK32=1,1000000,IF('計算A'!$IT$33&gt;0,0,500000)+IF('計算A'!$IQ$33=2,SUMPRODUCT('計算A'!$D$83:$EQ$83,$DB32:$IO32,$IQ32:$OD32),SUMPRODUCT('計算A'!$D$83:$EQ$83,$DB32:$IO32))*1000+24)</f>
        <v/>
      </c>
      <c r="CF32">
        <f>IF(AL32=1,1000000,IF('計算A'!$IT$34&gt;0,0,500000)+IF('計算A'!$IQ$34=2,SUMPRODUCT('計算A'!$D$84:$EQ$84,$DB32:$IO32,$IQ32:$OD32),SUMPRODUCT('計算A'!$D$84:$EQ$84,$DB32:$IO32))*1000+25)</f>
        <v/>
      </c>
      <c r="CG32">
        <f>IF(AM32=1,1000000,IF('計算A'!$IT$35&gt;0,0,500000)+IF('計算A'!$IQ$35=2,SUMPRODUCT('計算A'!$D$85:$EQ$85,$DB32:$IO32,$IQ32:$OD32),SUMPRODUCT('計算A'!$D$85:$EQ$85,$DB32:$IO32))*1000+26)</f>
        <v/>
      </c>
      <c r="CH32">
        <f>IF(AN32=1,1000000,IF('計算A'!$IT$36&gt;0,0,500000)+IF('計算A'!$IQ$36=2,SUMPRODUCT('計算A'!$D$86:$EQ$86,$DB32:$IO32,$IQ32:$OD32),SUMPRODUCT('計算A'!$D$86:$EQ$86,$DB32:$IO32))*1000+27)</f>
        <v/>
      </c>
      <c r="CI32">
        <f>IF(AO32=1,1000000,IF('計算A'!$IT$37&gt;0,0,500000)+IF('計算A'!$IQ$37=2,SUMPRODUCT('計算A'!$D$87:$EQ$87,$DB32:$IO32,$IQ32:$OD32),SUMPRODUCT('計算A'!$D$87:$EQ$87,$DB32:$IO32))*1000+28)</f>
        <v/>
      </c>
      <c r="CJ32">
        <f>IF(AP32=1,1000000,IF('計算A'!$IT$38&gt;0,0,500000)+IF('計算A'!$IQ$38=2,SUMPRODUCT('計算A'!$D$88:$EQ$88,$DB32:$IO32,$IQ32:$OD32),SUMPRODUCT('計算A'!$D$88:$EQ$88,$DB32:$IO32))*1000+29)</f>
        <v/>
      </c>
      <c r="CK32">
        <f>IF(AQ32=1,1000000,IF('計算A'!$IT$39&gt;0,0,500000)+IF('計算A'!$IQ$39=2,SUMPRODUCT('計算A'!$D$89:$EQ$89,$DB32:$IO32,$IQ32:$OD32),SUMPRODUCT('計算A'!$D$89:$EQ$89,$DB32:$IO32))*1000+30)</f>
        <v/>
      </c>
      <c r="CL32">
        <f>IF(AR32=1,1000000,IF('計算A'!$IT$40&gt;0,0,500000)+IF('計算A'!$IQ$40=2,SUMPRODUCT('計算A'!$D$90:$EQ$90,$DB32:$IO32,$IQ32:$OD32),SUMPRODUCT('計算A'!$D$90:$EQ$90,$DB32:$IO32))*1000+31)</f>
        <v/>
      </c>
      <c r="CM32">
        <f>IF(AS32=1,1000000,IF('計算A'!$IT$41&gt;0,0,500000)+IF('計算A'!$IQ$41=2,SUMPRODUCT('計算A'!$D$91:$EQ$91,$DB32:$IO32,$IQ32:$OD32),SUMPRODUCT('計算A'!$D$91:$EQ$91,$DB32:$IO32))*1000+32)</f>
        <v/>
      </c>
      <c r="CN32">
        <f>IF(AT32=1,1000000,IF('計算A'!$IT$42&gt;0,0,500000)+IF('計算A'!$IQ$42=2,SUMPRODUCT('計算A'!$D$92:$EQ$92,$DB32:$IO32,$IQ32:$OD32),SUMPRODUCT('計算A'!$D$92:$EQ$92,$DB32:$IO32))*1000+33)</f>
        <v/>
      </c>
      <c r="CO32">
        <f>IF(AU32=1,1000000,IF('計算A'!$IT$43&gt;0,0,500000)+IF('計算A'!$IQ$43=2,SUMPRODUCT('計算A'!$D$93:$EQ$93,$DB32:$IO32,$IQ32:$OD32),SUMPRODUCT('計算A'!$D$93:$EQ$93,$DB32:$IO32))*1000+34)</f>
        <v/>
      </c>
      <c r="CP32">
        <f>IF(AV32=1,1000000,IF('計算A'!$IT$44&gt;0,0,500000)+IF('計算A'!$IQ$44=2,SUMPRODUCT('計算A'!$D$94:$EQ$94,$DB32:$IO32,$IQ32:$OD32),SUMPRODUCT('計算A'!$D$94:$EQ$94,$DB32:$IO32))*1000+35)</f>
        <v/>
      </c>
      <c r="CQ32">
        <f>IF(AW32=1,1000000,IF('計算A'!$IT$45&gt;0,0,500000)+IF('計算A'!$IQ$45=2,SUMPRODUCT('計算A'!$D$95:$EQ$95,$DB32:$IO32,$IQ32:$OD32),SUMPRODUCT('計算A'!$D$95:$EQ$95,$DB32:$IO32))*1000+36)</f>
        <v/>
      </c>
      <c r="CR32">
        <f>IF(AX32=1,1000000,IF('計算A'!$IT$46&gt;0,0,500000)+IF('計算A'!$IQ$46=2,SUMPRODUCT('計算A'!$D$96:$EQ$96,$DB32:$IO32,$IQ32:$OD32),SUMPRODUCT('計算A'!$D$96:$EQ$96,$DB32:$IO32))*1000+37)</f>
        <v/>
      </c>
      <c r="CS32">
        <f>IF(AY32=1,1000000,IF('計算A'!$IT$47&gt;0,0,500000)+IF('計算A'!$IQ$47=2,SUMPRODUCT('計算A'!$D$97:$EQ$97,$DB32:$IO32,$IQ32:$OD32),SUMPRODUCT('計算A'!$D$97:$EQ$97,$DB32:$IO32))*1000+38)</f>
        <v/>
      </c>
      <c r="CT32">
        <f>IF(AZ32=1,1000000,IF('計算A'!$IT$48&gt;0,0,500000)+IF('計算A'!$IQ$48=2,SUMPRODUCT('計算A'!$D$98:$EQ$98,$DB32:$IO32,$IQ32:$OD32),SUMPRODUCT('計算A'!$D$98:$EQ$98,$DB32:$IO32))*1000+39)</f>
        <v/>
      </c>
      <c r="CU32">
        <f>IF(BA32=1,1000000,IF('計算A'!$IT$49&gt;0,0,500000)+IF('計算A'!$IQ$49=2,SUMPRODUCT('計算A'!$D$99:$EQ$99,$DB32:$IO32,$IQ32:$OD32),SUMPRODUCT('計算A'!$D$99:$EQ$99,$DB32:$IO32))*1000+40)</f>
        <v/>
      </c>
      <c r="CV32">
        <f>IF(BB32=1,1000000,IF('計算A'!$IT$50&gt;0,0,500000)+IF('計算A'!$IQ$50=2,SUMPRODUCT('計算A'!$D$100:$EQ$100,$DB32:$IO32,$IQ32:$OD32),SUMPRODUCT('計算A'!$D$100:$EQ$100,$DB32:$IO32))*1000+41)</f>
        <v/>
      </c>
      <c r="CW32">
        <f>IF(BC32=1,1000000,IF('計算A'!$IT$51&gt;0,0,500000)+IF('計算A'!$IQ$51=2,SUMPRODUCT('計算A'!$D$101:$EQ$101,$DB32:$IO32,$IQ32:$OD32),SUMPRODUCT('計算A'!$D$101:$EQ$101,$DB32:$IO32))*1000+42)</f>
        <v/>
      </c>
      <c r="CX32">
        <f>IF(BD32=1,1000000,IF('計算A'!$IT$52&gt;0,0,500000)+IF('計算A'!$IQ$52=2,SUMPRODUCT('計算A'!$D$102:$EQ$102,$DB32:$IO32,$IQ32:$OD32),SUMPRODUCT('計算A'!$D$102:$EQ$102,$DB32:$IO32))*1000+43)</f>
        <v/>
      </c>
      <c r="CY32">
        <f>IF(BE32=1,1000000,IF('計算A'!$IT$53&gt;0,0,500000)+IF('計算A'!$IQ$53=2,SUMPRODUCT('計算A'!$D$103:$EQ$103,$DB32:$IO32,$IQ32:$OD32),SUMPRODUCT('計算A'!$D$103:$EQ$103,$DB32:$IO32))*1000+44)</f>
        <v/>
      </c>
      <c r="CZ32">
        <f>IF(BF32=1,1000000,IF('計算A'!$IT$54&gt;0,0,500000)+IF('計算A'!$IQ$54=2,SUMPRODUCT('計算A'!$D$104:$EQ$104,$DB32:$IO32,$IQ32:$OD32),SUMPRODUCT('計算A'!$D$104:$EQ$104,$DB32:$IO32))*1000+45)</f>
        <v/>
      </c>
      <c r="DB32">
        <f>DB31*IF(OR($C31=1,$G31=1),0,1)</f>
        <v/>
      </c>
      <c r="DC32">
        <f>DC31*IF(OR($C31=2,$G31=2),0,1)</f>
        <v/>
      </c>
      <c r="DD32">
        <f>DD31*IF(OR($C31=3,$G31=3),0,1)</f>
        <v/>
      </c>
      <c r="DE32">
        <f>DE31*IF(OR($C31=4,$G31=4),0,1)</f>
        <v/>
      </c>
      <c r="DF32">
        <f>DF31*IF(OR($C31=5,$G31=5),0,1)</f>
        <v/>
      </c>
      <c r="DG32">
        <f>DG31*IF(OR($C31=6,$G31=6),0,1)</f>
        <v/>
      </c>
      <c r="DH32">
        <f>DH31*IF(OR($C31=7,$G31=7),0,1)</f>
        <v/>
      </c>
      <c r="DI32">
        <f>DI31*IF(OR($C31=8,$G31=8),0,1)</f>
        <v/>
      </c>
      <c r="DJ32">
        <f>DJ31*IF(OR($C31=9,$G31=9),0,1)</f>
        <v/>
      </c>
      <c r="DK32">
        <f>DK31*IF(OR($C31=10,$G31=10),0,1)</f>
        <v/>
      </c>
      <c r="DL32">
        <f>DL31*IF(OR($C31=11,$G31=11),0,1)</f>
        <v/>
      </c>
      <c r="DM32">
        <f>DM31*IF(OR($C31=12,$G31=12),0,1)</f>
        <v/>
      </c>
      <c r="DN32">
        <f>DN31*IF(OR($C31=13,$G31=13),0,1)</f>
        <v/>
      </c>
      <c r="DO32">
        <f>DO31*IF(OR($C31=14,$G31=14),0,1)</f>
        <v/>
      </c>
      <c r="DP32">
        <f>DP31*IF(OR($C31=15,$G31=15),0,1)</f>
        <v/>
      </c>
      <c r="DQ32">
        <f>DQ31*IF(OR($C31=16,$G31=16),0,1)</f>
        <v/>
      </c>
      <c r="DR32">
        <f>DR31*IF(OR($C31=17,$G31=17),0,1)</f>
        <v/>
      </c>
      <c r="DS32">
        <f>DS31*IF(OR($C31=18,$G31=18),0,1)</f>
        <v/>
      </c>
      <c r="DT32">
        <f>DT31*IF(OR($C31=19,$G31=19),0,1)</f>
        <v/>
      </c>
      <c r="DU32">
        <f>DU31*IF(OR($C31=20,$G31=20),0,1)</f>
        <v/>
      </c>
      <c r="DV32">
        <f>DV31*IF(OR($C31=21,$G31=21),0,1)</f>
        <v/>
      </c>
      <c r="DW32">
        <f>DW31*IF(OR($C31=22,$G31=22),0,1)</f>
        <v/>
      </c>
      <c r="DX32">
        <f>DX31*IF(OR($C31=23,$G31=23),0,1)</f>
        <v/>
      </c>
      <c r="DY32">
        <f>DY31*IF(OR($C31=24,$G31=24),0,1)</f>
        <v/>
      </c>
      <c r="DZ32">
        <f>DZ31*IF(OR($C31=25,$G31=25),0,1)</f>
        <v/>
      </c>
      <c r="EA32">
        <f>EA31*IF(OR($C31=26,$G31=26),0,1)</f>
        <v/>
      </c>
      <c r="EB32">
        <f>EB31*IF(OR($C31=27,$G31=27),0,1)</f>
        <v/>
      </c>
      <c r="EC32">
        <f>EC31*IF(OR($C31=28,$G31=28),0,1)</f>
        <v/>
      </c>
      <c r="ED32">
        <f>ED31*IF(OR($C31=29,$G31=29),0,1)</f>
        <v/>
      </c>
      <c r="EE32">
        <f>EE31*IF(OR($C31=30,$G31=30),0,1)</f>
        <v/>
      </c>
      <c r="EF32">
        <f>EF31*IF(OR($C31=31,$G31=31),0,1)</f>
        <v/>
      </c>
      <c r="EG32">
        <f>EG31*IF(OR($C31=32,$G31=32),0,1)</f>
        <v/>
      </c>
      <c r="EH32">
        <f>EH31*IF(OR($C31=33,$G31=33),0,1)</f>
        <v/>
      </c>
      <c r="EI32">
        <f>EI31*IF(OR($C31=34,$G31=34),0,1)</f>
        <v/>
      </c>
      <c r="EJ32">
        <f>EJ31*IF(OR($C31=35,$G31=35),0,1)</f>
        <v/>
      </c>
      <c r="EK32">
        <f>EK31*IF(OR($C31=36,$G31=36),0,1)</f>
        <v/>
      </c>
      <c r="EL32">
        <f>EL31*IF(OR($C31=37,$G31=37),0,1)</f>
        <v/>
      </c>
      <c r="EM32">
        <f>EM31*IF(OR($C31=38,$G31=38),0,1)</f>
        <v/>
      </c>
      <c r="EN32">
        <f>EN31*IF(OR($C31=39,$G31=39),0,1)</f>
        <v/>
      </c>
      <c r="EO32">
        <f>EO31*IF(OR($C31=40,$G31=40),0,1)</f>
        <v/>
      </c>
      <c r="EP32">
        <f>EP31*IF(OR($C31=41,$G31=41),0,1)</f>
        <v/>
      </c>
      <c r="EQ32">
        <f>EQ31*IF(OR($C31=42,$G31=42),0,1)</f>
        <v/>
      </c>
      <c r="ER32">
        <f>ER31*IF(OR($C31=43,$G31=43),0,1)</f>
        <v/>
      </c>
      <c r="ES32">
        <f>ES31*IF(OR($C31=44,$G31=44),0,1)</f>
        <v/>
      </c>
      <c r="ET32">
        <f>ET31*IF(OR($C31=45,$G31=45),0,1)</f>
        <v/>
      </c>
      <c r="EU32">
        <f>EU31*IF(OR($C31=46,$G31=46),0,1)</f>
        <v/>
      </c>
      <c r="EV32">
        <f>EV31*IF(OR($C31=47,$G31=47),0,1)</f>
        <v/>
      </c>
      <c r="EW32">
        <f>EW31*IF(OR($C31=48,$G31=48),0,1)</f>
        <v/>
      </c>
      <c r="EX32">
        <f>EX31*IF(OR($C31=49,$G31=49),0,1)</f>
        <v/>
      </c>
      <c r="EY32">
        <f>EY31*IF(OR($C31=50,$G31=50),0,1)</f>
        <v/>
      </c>
      <c r="EZ32">
        <f>EZ31*IF(OR($C31=51,$G31=51),0,1)</f>
        <v/>
      </c>
      <c r="FA32">
        <f>FA31*IF(OR($C31=52,$G31=52),0,1)</f>
        <v/>
      </c>
      <c r="FB32">
        <f>FB31*IF(OR($C31=53,$G31=53),0,1)</f>
        <v/>
      </c>
      <c r="FC32">
        <f>FC31*IF(OR($C31=54,$G31=54),0,1)</f>
        <v/>
      </c>
      <c r="FD32">
        <f>FD31*IF(OR($C31=55,$G31=55),0,1)</f>
        <v/>
      </c>
      <c r="FE32">
        <f>FE31*IF(OR($C31=56,$G31=56),0,1)</f>
        <v/>
      </c>
      <c r="FF32">
        <f>FF31*IF(OR($C31=57,$G31=57),0,1)</f>
        <v/>
      </c>
      <c r="FG32">
        <f>FG31*IF(OR($C31=58,$G31=58),0,1)</f>
        <v/>
      </c>
      <c r="FH32">
        <f>FH31*IF(OR($C31=59,$G31=59),0,1)</f>
        <v/>
      </c>
      <c r="FI32">
        <f>FI31*IF(OR($C31=60,$G31=60),0,1)</f>
        <v/>
      </c>
      <c r="FJ32">
        <f>FJ31*IF(OR($C31=61,$G31=61),0,1)</f>
        <v/>
      </c>
      <c r="FK32">
        <f>FK31*IF(OR($C31=62,$G31=62),0,1)</f>
        <v/>
      </c>
      <c r="FL32">
        <f>FL31*IF(OR($C31=63,$G31=63),0,1)</f>
        <v/>
      </c>
      <c r="FM32">
        <f>FM31*IF(OR($C31=64,$G31=64),0,1)</f>
        <v/>
      </c>
      <c r="FN32">
        <f>FN31*IF(OR($C31=65,$G31=65),0,1)</f>
        <v/>
      </c>
      <c r="FO32">
        <f>FO31*IF(OR($C31=66,$G31=66),0,1)</f>
        <v/>
      </c>
      <c r="FP32">
        <f>FP31*IF(OR($C31=67,$G31=67),0,1)</f>
        <v/>
      </c>
      <c r="FQ32">
        <f>FQ31*IF(OR($C31=68,$G31=68),0,1)</f>
        <v/>
      </c>
      <c r="FR32">
        <f>FR31*IF(OR($C31=69,$G31=69),0,1)</f>
        <v/>
      </c>
      <c r="FS32">
        <f>FS31*IF(OR($C31=70,$G31=70),0,1)</f>
        <v/>
      </c>
      <c r="FT32">
        <f>FT31*IF(OR($C31=71,$G31=71),0,1)</f>
        <v/>
      </c>
      <c r="FU32">
        <f>FU31*IF(OR($C31=72,$G31=72),0,1)</f>
        <v/>
      </c>
      <c r="FV32">
        <f>FV31*IF(OR($C31=73,$G31=73),0,1)</f>
        <v/>
      </c>
      <c r="FW32">
        <f>FW31*IF(OR($C31=74,$G31=74),0,1)</f>
        <v/>
      </c>
      <c r="FX32">
        <f>FX31*IF(OR($C31=75,$G31=75),0,1)</f>
        <v/>
      </c>
      <c r="FY32">
        <f>FY31*IF(OR($C31=76,$G31=76),0,1)</f>
        <v/>
      </c>
      <c r="FZ32">
        <f>FZ31*IF(OR($C31=77,$G31=77),0,1)</f>
        <v/>
      </c>
      <c r="GA32">
        <f>GA31*IF(OR($C31=78,$G31=78),0,1)</f>
        <v/>
      </c>
      <c r="GB32">
        <f>GB31*IF(OR($C31=79,$G31=79),0,1)</f>
        <v/>
      </c>
      <c r="GC32">
        <f>GC31*IF(OR($C31=80,$G31=80),0,1)</f>
        <v/>
      </c>
      <c r="GD32">
        <f>GD31*IF(OR($C31=81,$G31=81),0,1)</f>
        <v/>
      </c>
      <c r="GE32">
        <f>GE31*IF(OR($C31=82,$G31=82),0,1)</f>
        <v/>
      </c>
      <c r="GF32">
        <f>GF31*IF(OR($C31=83,$G31=83),0,1)</f>
        <v/>
      </c>
      <c r="GG32">
        <f>GG31*IF(OR($C31=84,$G31=84),0,1)</f>
        <v/>
      </c>
      <c r="GH32">
        <f>GH31*IF(OR($C31=85,$G31=85),0,1)</f>
        <v/>
      </c>
      <c r="GI32">
        <f>GI31*IF(OR($C31=86,$G31=86),0,1)</f>
        <v/>
      </c>
      <c r="GJ32">
        <f>GJ31*IF(OR($C31=87,$G31=87),0,1)</f>
        <v/>
      </c>
      <c r="GK32">
        <f>GK31*IF(OR($C31=88,$G31=88),0,1)</f>
        <v/>
      </c>
      <c r="GL32">
        <f>GL31*IF(OR($C31=89,$G31=89),0,1)</f>
        <v/>
      </c>
      <c r="GM32">
        <f>GM31*IF(OR($C31=90,$G31=90),0,1)</f>
        <v/>
      </c>
      <c r="GN32">
        <f>GN31*IF(OR($C31=91,$G31=91),0,1)</f>
        <v/>
      </c>
      <c r="GO32">
        <f>GO31*IF(OR($C31=92,$G31=92),0,1)</f>
        <v/>
      </c>
      <c r="GP32">
        <f>GP31*IF(OR($C31=93,$G31=93),0,1)</f>
        <v/>
      </c>
      <c r="GQ32">
        <f>GQ31*IF(OR($C31=94,$G31=94),0,1)</f>
        <v/>
      </c>
      <c r="GR32">
        <f>GR31*IF(OR($C31=95,$G31=95),0,1)</f>
        <v/>
      </c>
      <c r="GS32">
        <f>GS31*IF(OR($C31=96,$G31=96),0,1)</f>
        <v/>
      </c>
      <c r="GT32">
        <f>GT31*IF(OR($C31=97,$G31=97),0,1)</f>
        <v/>
      </c>
      <c r="GU32">
        <f>GU31*IF(OR($C31=98,$G31=98),0,1)</f>
        <v/>
      </c>
      <c r="GV32">
        <f>GV31*IF(OR($C31=99,$G31=99),0,1)</f>
        <v/>
      </c>
      <c r="GW32">
        <f>GW31*IF(OR($C31=100,$G31=100),0,1)</f>
        <v/>
      </c>
      <c r="GX32">
        <f>GX31*IF(OR($C31=101,$G31=101),0,1)</f>
        <v/>
      </c>
      <c r="GY32">
        <f>GY31*IF(OR($C31=102,$G31=102),0,1)</f>
        <v/>
      </c>
      <c r="GZ32">
        <f>GZ31*IF(OR($C31=103,$G31=103),0,1)</f>
        <v/>
      </c>
      <c r="HA32">
        <f>HA31*IF(OR($C31=104,$G31=104),0,1)</f>
        <v/>
      </c>
      <c r="HB32">
        <f>HB31*IF(OR($C31=105,$G31=105),0,1)</f>
        <v/>
      </c>
      <c r="HC32">
        <f>HC31*IF(OR($C31=106,$G31=106),0,1)</f>
        <v/>
      </c>
      <c r="HD32">
        <f>HD31*IF(OR($C31=107,$G31=107),0,1)</f>
        <v/>
      </c>
      <c r="HE32">
        <f>HE31*IF(OR($C31=108,$G31=108),0,1)</f>
        <v/>
      </c>
      <c r="HF32">
        <f>HF31*IF(OR($C31=109,$G31=109),0,1)</f>
        <v/>
      </c>
      <c r="HG32">
        <f>HG31*IF(OR($C31=110,$G31=110),0,1)</f>
        <v/>
      </c>
      <c r="HH32">
        <f>HH31*IF(OR($C31=111,$G31=111),0,1)</f>
        <v/>
      </c>
      <c r="HI32">
        <f>HI31*IF(OR($C31=112,$G31=112),0,1)</f>
        <v/>
      </c>
      <c r="HJ32">
        <f>HJ31*IF(OR($C31=113,$G31=113),0,1)</f>
        <v/>
      </c>
      <c r="HK32">
        <f>HK31*IF(OR($C31=114,$G31=114),0,1)</f>
        <v/>
      </c>
      <c r="HL32">
        <f>HL31*IF(OR($C31=115,$G31=115),0,1)</f>
        <v/>
      </c>
      <c r="HM32">
        <f>HM31*IF(OR($C31=116,$G31=116),0,1)</f>
        <v/>
      </c>
      <c r="HN32">
        <f>HN31*IF(OR($C31=117,$G31=117),0,1)</f>
        <v/>
      </c>
      <c r="HO32">
        <f>HO31*IF(OR($C31=118,$G31=118),0,1)</f>
        <v/>
      </c>
      <c r="HP32">
        <f>HP31*IF(OR($C31=119,$G31=119),0,1)</f>
        <v/>
      </c>
      <c r="HQ32">
        <f>HQ31*IF(OR($C31=120,$G31=120),0,1)</f>
        <v/>
      </c>
      <c r="HR32">
        <f>HR31*IF(OR($C31=121,$G31=121),0,1)</f>
        <v/>
      </c>
      <c r="HS32">
        <f>HS31*IF(OR($C31=122,$G31=122),0,1)</f>
        <v/>
      </c>
      <c r="HT32">
        <f>HT31*IF(OR($C31=123,$G31=123),0,1)</f>
        <v/>
      </c>
      <c r="HU32">
        <f>HU31*IF(OR($C31=124,$G31=124),0,1)</f>
        <v/>
      </c>
      <c r="HV32">
        <f>HV31*IF(OR($C31=125,$G31=125),0,1)</f>
        <v/>
      </c>
      <c r="HW32">
        <f>HW31*IF(OR($C31=126,$G31=126),0,1)</f>
        <v/>
      </c>
      <c r="HX32">
        <f>HX31*IF(OR($C31=127,$G31=127),0,1)</f>
        <v/>
      </c>
      <c r="HY32">
        <f>HY31*IF(OR($C31=128,$G31=128),0,1)</f>
        <v/>
      </c>
      <c r="HZ32">
        <f>HZ31*IF(OR($C31=129,$G31=129),0,1)</f>
        <v/>
      </c>
      <c r="IA32">
        <f>IA31*IF(OR($C31=130,$G31=130),0,1)</f>
        <v/>
      </c>
      <c r="IB32">
        <f>IB31*IF(OR($C31=131,$G31=131),0,1)</f>
        <v/>
      </c>
      <c r="IC32">
        <f>IC31*IF(OR($C31=132,$G31=132),0,1)</f>
        <v/>
      </c>
      <c r="ID32">
        <f>ID31*IF(OR($C31=133,$G31=133),0,1)</f>
        <v/>
      </c>
      <c r="IE32">
        <f>IE31*IF(OR($C31=134,$G31=134),0,1)</f>
        <v/>
      </c>
      <c r="IF32">
        <f>IF31*IF(OR($C31=135,$G31=135),0,1)</f>
        <v/>
      </c>
      <c r="IG32">
        <f>IG31*IF(OR($C31=136,$G31=136),0,1)</f>
        <v/>
      </c>
      <c r="IH32">
        <f>IH31*IF(OR($C31=137,$G31=137),0,1)</f>
        <v/>
      </c>
      <c r="II32">
        <f>II31*IF(OR($C31=138,$G31=138),0,1)</f>
        <v/>
      </c>
      <c r="IJ32">
        <f>IJ31*IF(OR($C31=139,$G31=139),0,1)</f>
        <v/>
      </c>
      <c r="IK32">
        <f>IK31*IF(OR($C31=140,$G31=140),0,1)</f>
        <v/>
      </c>
      <c r="IL32">
        <f>IL31*IF(OR($C31=141,$G31=141),0,1)</f>
        <v/>
      </c>
      <c r="IM32">
        <f>IM31*IF(OR($C31=142,$G31=142),0,1)</f>
        <v/>
      </c>
      <c r="IN32">
        <f>IN31*IF(OR($C31=143,$G31=143),0,1)</f>
        <v/>
      </c>
      <c r="IO32">
        <f>IO31*IF(OR($C31=144,$G31=144),0,1)</f>
        <v/>
      </c>
      <c r="IQ32">
        <f>IF('計算A'!D$106=1,DC32,1)</f>
        <v/>
      </c>
      <c r="IR32">
        <f>IF('計算A'!E$106=1,DD32,1)</f>
        <v/>
      </c>
      <c r="IS32">
        <f>IF('計算A'!F$106=1,DE32,1)</f>
        <v/>
      </c>
      <c r="IT32">
        <f>IF('計算A'!G$106=1,DF32,1)</f>
        <v/>
      </c>
      <c r="IU32">
        <f>IF('計算A'!H$106=1,DG32,1)</f>
        <v/>
      </c>
      <c r="IV32">
        <f>IF('計算A'!I$106=1,DH32,1)</f>
        <v/>
      </c>
      <c r="IW32">
        <f>IF('計算A'!J$106=1,DI32,1)</f>
        <v/>
      </c>
      <c r="IX32">
        <f>IF('計算A'!K$106=1,DJ32,1)</f>
        <v/>
      </c>
      <c r="IY32">
        <f>IF('計算A'!L$106=1,DK32,1)</f>
        <v/>
      </c>
      <c r="IZ32">
        <f>IF('計算A'!M$106=1,DL32,1)</f>
        <v/>
      </c>
      <c r="JA32">
        <f>IF('計算A'!N$106=1,DM32,1)</f>
        <v/>
      </c>
      <c r="JB32">
        <f>IF('計算A'!O$106=1,DN32,1)</f>
        <v/>
      </c>
      <c r="JC32">
        <f>IF('計算A'!P$106=1,DO32,1)</f>
        <v/>
      </c>
      <c r="JD32">
        <f>IF('計算A'!Q$106=1,DP32,1)</f>
        <v/>
      </c>
      <c r="JE32">
        <f>IF('計算A'!R$106=1,DQ32,1)</f>
        <v/>
      </c>
      <c r="JF32">
        <f>IF('計算A'!S$106=1,DR32,1)</f>
        <v/>
      </c>
      <c r="JG32">
        <f>IF('計算A'!T$106=1,DS32,1)</f>
        <v/>
      </c>
      <c r="JH32">
        <f>IF('計算A'!U$106=1,DT32,1)</f>
        <v/>
      </c>
      <c r="JI32">
        <f>IF('計算A'!V$106=1,DU32,1)</f>
        <v/>
      </c>
      <c r="JJ32">
        <f>IF('計算A'!W$106=1,DV32,1)</f>
        <v/>
      </c>
      <c r="JK32">
        <f>IF('計算A'!X$106=1,DW32,1)</f>
        <v/>
      </c>
      <c r="JL32">
        <f>IF('計算A'!Y$106=1,DX32,1)</f>
        <v/>
      </c>
      <c r="JM32">
        <f>IF('計算A'!Z$106=1,DY32,1)</f>
        <v/>
      </c>
      <c r="JN32">
        <f>IF('計算A'!AA$106=1,DZ32,1)</f>
        <v/>
      </c>
      <c r="JO32">
        <f>IF('計算A'!AB$106=1,EA32,1)</f>
        <v/>
      </c>
      <c r="JP32">
        <f>IF('計算A'!AC$106=1,EB32,1)</f>
        <v/>
      </c>
      <c r="JQ32">
        <f>IF('計算A'!AD$106=1,EC32,1)</f>
        <v/>
      </c>
      <c r="JR32">
        <f>IF('計算A'!AE$106=1,ED32,1)</f>
        <v/>
      </c>
      <c r="JS32">
        <f>IF('計算A'!AF$106=1,EE32,1)</f>
        <v/>
      </c>
      <c r="JT32">
        <f>IF('計算A'!AG$106=1,EF32,1)</f>
        <v/>
      </c>
      <c r="JU32">
        <f>IF('計算A'!AH$106=1,EG32,1)</f>
        <v/>
      </c>
      <c r="JV32">
        <f>IF('計算A'!AI$106=1,EH32,1)</f>
        <v/>
      </c>
      <c r="JW32">
        <f>IF('計算A'!AJ$106=1,EI32,1)</f>
        <v/>
      </c>
      <c r="JX32">
        <f>IF('計算A'!AK$106=1,EJ32,1)</f>
        <v/>
      </c>
      <c r="JY32">
        <f>IF('計算A'!AL$106=1,EK32,1)</f>
        <v/>
      </c>
      <c r="JZ32">
        <f>IF('計算A'!AM$106=1,EL32,1)</f>
        <v/>
      </c>
      <c r="KA32">
        <f>IF('計算A'!AN$106=1,EM32,1)</f>
        <v/>
      </c>
      <c r="KB32">
        <f>IF('計算A'!AO$106=1,EN32,1)</f>
        <v/>
      </c>
      <c r="KC32">
        <f>IF('計算A'!AP$106=1,EO32,1)</f>
        <v/>
      </c>
      <c r="KD32">
        <f>IF('計算A'!AQ$106=1,EP32,1)</f>
        <v/>
      </c>
      <c r="KE32">
        <f>IF('計算A'!AR$106=1,EQ32,1)</f>
        <v/>
      </c>
      <c r="KF32">
        <f>IF('計算A'!AS$106=1,ER32,1)</f>
        <v/>
      </c>
      <c r="KG32">
        <f>IF('計算A'!AT$106=1,ES32,1)</f>
        <v/>
      </c>
      <c r="KH32">
        <f>IF('計算A'!AU$106=1,ET32,1)</f>
        <v/>
      </c>
      <c r="KI32">
        <f>IF('計算A'!AV$106=1,EU32,1)</f>
        <v/>
      </c>
      <c r="KJ32">
        <f>IF('計算A'!AW$106=1,EV32,1)</f>
        <v/>
      </c>
      <c r="KK32">
        <f>IF('計算A'!AX$106=1,EW32,1)</f>
        <v/>
      </c>
      <c r="KL32">
        <f>IF('計算A'!AY$106=1,EX32,1)</f>
        <v/>
      </c>
      <c r="KM32">
        <f>IF('計算A'!AZ$106=1,EY32,1)</f>
        <v/>
      </c>
      <c r="KN32">
        <f>IF('計算A'!BA$106=1,EZ32,1)</f>
        <v/>
      </c>
      <c r="KO32">
        <f>IF('計算A'!BB$106=1,FA32,1)</f>
        <v/>
      </c>
      <c r="KP32">
        <f>IF('計算A'!BC$106=1,FB32,1)</f>
        <v/>
      </c>
      <c r="KQ32">
        <f>IF('計算A'!BD$106=1,FC32,1)</f>
        <v/>
      </c>
      <c r="KR32">
        <f>IF('計算A'!BE$106=1,FD32,1)</f>
        <v/>
      </c>
      <c r="KS32">
        <f>IF('計算A'!BF$106=1,FE32,1)</f>
        <v/>
      </c>
      <c r="KT32">
        <f>IF('計算A'!BG$106=1,FF32,1)</f>
        <v/>
      </c>
      <c r="KU32">
        <f>IF('計算A'!BH$106=1,FG32,1)</f>
        <v/>
      </c>
      <c r="KV32">
        <f>IF('計算A'!BI$106=1,FH32,1)</f>
        <v/>
      </c>
      <c r="KW32">
        <f>IF('計算A'!BJ$106=1,FI32,1)</f>
        <v/>
      </c>
      <c r="KX32">
        <f>IF('計算A'!BK$106=1,FJ32,1)</f>
        <v/>
      </c>
      <c r="KY32">
        <f>IF('計算A'!BL$106=1,FK32,1)</f>
        <v/>
      </c>
      <c r="KZ32">
        <f>IF('計算A'!BM$106=1,FL32,1)</f>
        <v/>
      </c>
      <c r="LA32">
        <f>IF('計算A'!BN$106=1,FM32,1)</f>
        <v/>
      </c>
      <c r="LB32">
        <f>IF('計算A'!BO$106=1,FN32,1)</f>
        <v/>
      </c>
      <c r="LC32">
        <f>IF('計算A'!BP$106=1,FO32,1)</f>
        <v/>
      </c>
      <c r="LD32">
        <f>IF('計算A'!BQ$106=1,FP32,1)</f>
        <v/>
      </c>
      <c r="LE32">
        <f>IF('計算A'!BR$106=1,FQ32,1)</f>
        <v/>
      </c>
      <c r="LF32">
        <f>IF('計算A'!BS$106=1,FR32,1)</f>
        <v/>
      </c>
      <c r="LG32">
        <f>IF('計算A'!BT$106=1,FS32,1)</f>
        <v/>
      </c>
      <c r="LH32">
        <f>IF('計算A'!BU$106=1,FT32,1)</f>
        <v/>
      </c>
      <c r="LI32">
        <f>IF('計算A'!BV$106=1,FU32,1)</f>
        <v/>
      </c>
      <c r="LJ32">
        <f>IF('計算A'!BW$106=1,FV32,1)</f>
        <v/>
      </c>
      <c r="LK32">
        <f>IF('計算A'!BX$106=1,FW32,1)</f>
        <v/>
      </c>
      <c r="LL32">
        <f>IF('計算A'!BY$106=1,FX32,1)</f>
        <v/>
      </c>
      <c r="LM32">
        <f>IF('計算A'!BZ$106=1,FY32,1)</f>
        <v/>
      </c>
      <c r="LN32">
        <f>IF('計算A'!CA$106=1,FZ32,1)</f>
        <v/>
      </c>
      <c r="LO32">
        <f>IF('計算A'!CB$106=1,GA32,1)</f>
        <v/>
      </c>
      <c r="LP32">
        <f>IF('計算A'!CC$106=1,GB32,1)</f>
        <v/>
      </c>
      <c r="LQ32">
        <f>IF('計算A'!CD$106=1,GC32,1)</f>
        <v/>
      </c>
      <c r="LR32">
        <f>IF('計算A'!CE$106=1,GD32,1)</f>
        <v/>
      </c>
      <c r="LS32">
        <f>IF('計算A'!CF$106=1,GE32,1)</f>
        <v/>
      </c>
      <c r="LT32">
        <f>IF('計算A'!CG$106=1,GF32,1)</f>
        <v/>
      </c>
      <c r="LU32">
        <f>IF('計算A'!CH$106=1,GG32,1)</f>
        <v/>
      </c>
      <c r="LV32">
        <f>IF('計算A'!CI$106=1,GH32,1)</f>
        <v/>
      </c>
      <c r="LW32">
        <f>IF('計算A'!CJ$106=1,GI32,1)</f>
        <v/>
      </c>
      <c r="LX32">
        <f>IF('計算A'!CK$106=1,GJ32,1)</f>
        <v/>
      </c>
      <c r="LY32">
        <f>IF('計算A'!CL$106=1,GK32,1)</f>
        <v/>
      </c>
      <c r="LZ32">
        <f>IF('計算A'!CM$106=1,GL32,1)</f>
        <v/>
      </c>
      <c r="MA32">
        <f>IF('計算A'!CN$106=1,GM32,1)</f>
        <v/>
      </c>
      <c r="MB32">
        <f>IF('計算A'!CO$106=1,GN32,1)</f>
        <v/>
      </c>
      <c r="MC32">
        <f>IF('計算A'!CP$106=1,GO32,1)</f>
        <v/>
      </c>
      <c r="MD32">
        <f>IF('計算A'!CQ$106=1,GP32,1)</f>
        <v/>
      </c>
      <c r="ME32">
        <f>IF('計算A'!CR$106=1,GQ32,1)</f>
        <v/>
      </c>
      <c r="MF32">
        <f>IF('計算A'!CS$106=1,GR32,1)</f>
        <v/>
      </c>
      <c r="MG32">
        <f>IF('計算A'!CT$106=1,GS32,1)</f>
        <v/>
      </c>
      <c r="MH32">
        <f>IF('計算A'!CU$106=1,GT32,1)</f>
        <v/>
      </c>
      <c r="MI32">
        <f>IF('計算A'!CV$106=1,GU32,1)</f>
        <v/>
      </c>
      <c r="MJ32">
        <f>IF('計算A'!CW$106=1,GV32,1)</f>
        <v/>
      </c>
      <c r="MK32">
        <f>IF('計算A'!CX$106=1,GW32,1)</f>
        <v/>
      </c>
      <c r="ML32">
        <f>IF('計算A'!CY$106=1,GX32,1)</f>
        <v/>
      </c>
      <c r="MM32">
        <f>IF('計算A'!CZ$106=1,GY32,1)</f>
        <v/>
      </c>
      <c r="MN32">
        <f>IF('計算A'!DA$106=1,GZ32,1)</f>
        <v/>
      </c>
      <c r="MO32">
        <f>IF('計算A'!DB$106=1,HA32,1)</f>
        <v/>
      </c>
      <c r="MP32">
        <f>IF('計算A'!DC$106=1,HB32,1)</f>
        <v/>
      </c>
      <c r="MQ32">
        <f>IF('計算A'!DD$106=1,HC32,1)</f>
        <v/>
      </c>
      <c r="MR32">
        <f>IF('計算A'!DE$106=1,HD32,1)</f>
        <v/>
      </c>
      <c r="MS32">
        <f>IF('計算A'!DF$106=1,HE32,1)</f>
        <v/>
      </c>
      <c r="MT32">
        <f>IF('計算A'!DG$106=1,HF32,1)</f>
        <v/>
      </c>
      <c r="MU32">
        <f>IF('計算A'!DH$106=1,HG32,1)</f>
        <v/>
      </c>
      <c r="MV32">
        <f>IF('計算A'!DI$106=1,HH32,1)</f>
        <v/>
      </c>
      <c r="MW32">
        <f>IF('計算A'!DJ$106=1,HI32,1)</f>
        <v/>
      </c>
      <c r="MX32">
        <f>IF('計算A'!DK$106=1,HJ32,1)</f>
        <v/>
      </c>
      <c r="MY32">
        <f>IF('計算A'!DL$106=1,HK32,1)</f>
        <v/>
      </c>
      <c r="MZ32">
        <f>IF('計算A'!DM$106=1,HL32,1)</f>
        <v/>
      </c>
      <c r="NA32">
        <f>IF('計算A'!DN$106=1,HM32,1)</f>
        <v/>
      </c>
      <c r="NB32">
        <f>IF('計算A'!DO$106=1,HN32,1)</f>
        <v/>
      </c>
      <c r="NC32">
        <f>IF('計算A'!DP$106=1,HO32,1)</f>
        <v/>
      </c>
      <c r="ND32">
        <f>IF('計算A'!DQ$106=1,HP32,1)</f>
        <v/>
      </c>
      <c r="NE32">
        <f>IF('計算A'!DR$106=1,HQ32,1)</f>
        <v/>
      </c>
      <c r="NF32">
        <f>IF('計算A'!DS$106=1,HR32,1)</f>
        <v/>
      </c>
      <c r="NG32">
        <f>IF('計算A'!DT$106=1,HS32,1)</f>
        <v/>
      </c>
      <c r="NH32">
        <f>IF('計算A'!DU$106=1,HT32,1)</f>
        <v/>
      </c>
      <c r="NI32">
        <f>IF('計算A'!DV$106=1,HU32,1)</f>
        <v/>
      </c>
      <c r="NJ32">
        <f>IF('計算A'!DW$106=1,HV32,1)</f>
        <v/>
      </c>
      <c r="NK32">
        <f>IF('計算A'!DX$106=1,HW32,1)</f>
        <v/>
      </c>
      <c r="NL32">
        <f>IF('計算A'!DY$106=1,HX32,1)</f>
        <v/>
      </c>
      <c r="NM32">
        <f>IF('計算A'!DZ$106=1,HY32,1)</f>
        <v/>
      </c>
      <c r="NN32">
        <f>IF('計算A'!EA$106=1,HZ32,1)</f>
        <v/>
      </c>
      <c r="NO32">
        <f>IF('計算A'!EB$106=1,IA32,1)</f>
        <v/>
      </c>
      <c r="NP32">
        <f>IF('計算A'!EC$106=1,IB32,1)</f>
        <v/>
      </c>
      <c r="NQ32">
        <f>IF('計算A'!ED$106=1,IC32,1)</f>
        <v/>
      </c>
      <c r="NR32">
        <f>IF('計算A'!EE$106=1,ID32,1)</f>
        <v/>
      </c>
      <c r="NS32">
        <f>IF('計算A'!EF$106=1,IE32,1)</f>
        <v/>
      </c>
      <c r="NT32">
        <f>IF('計算A'!EG$106=1,IF32,1)</f>
        <v/>
      </c>
      <c r="NU32">
        <f>IF('計算A'!EH$106=1,IG32,1)</f>
        <v/>
      </c>
      <c r="NV32">
        <f>IF('計算A'!EI$106=1,IH32,1)</f>
        <v/>
      </c>
      <c r="NW32">
        <f>IF('計算A'!EJ$106=1,II32,1)</f>
        <v/>
      </c>
      <c r="NX32">
        <f>IF('計算A'!EK$106=1,IJ32,1)</f>
        <v/>
      </c>
      <c r="NY32">
        <f>IF('計算A'!EL$106=1,IK32,1)</f>
        <v/>
      </c>
      <c r="NZ32">
        <f>IF('計算A'!EM$106=1,IL32,1)</f>
        <v/>
      </c>
      <c r="OA32">
        <f>IF('計算A'!EN$106=1,IM32,1)</f>
        <v/>
      </c>
      <c r="OB32">
        <f>IF('計算A'!EO$106=1,IN32,1)</f>
        <v/>
      </c>
      <c r="OC32">
        <f>IF('計算A'!EP$106=1,IO32,1)</f>
        <v/>
      </c>
      <c r="OD32" t="n">
        <v>1</v>
      </c>
      <c r="OF32">
        <f>IF($B32=0,1000000,IF(INDEX('計算A'!$D$60:$EQ$104,$B32,1)*DB32=1,IF(AND($E32=2,IQ32=0),1000000,IF($I32&gt;0,IF(1=$J32,IF(OR(AND(1=$I32+1,OR($K32&lt;&gt;'計算A'!$A$3,'計算A'!$A$4=0)),AND(1=$I32-1,OR(1&lt;&gt;'計算A'!$A$3,'計算A'!$A$4=0))),0,IF(1=$K32,200000,ABS(1-$K32)*100)),100000+ABS(1-$J32)*1000+10)+'計算A'!D$5*50+IF(AND($E32=1,IQ32=0),25,0),INDEX('計算A'!D$110:D$114,$F32+1)+IF(AND($E32=1,IQ32=0),1000,0)+IF($H32=1,(IF('計算A'!D$117=1,INDEX('計算A'!E$10:E$54,$B32),0))*500,0)-IF(AND($L32=1,'計算A'!D$117=1,DC32=0),300,0))),1000000))</f>
        <v/>
      </c>
      <c r="OG32">
        <f>IF($B32=0,1000000,IF(INDEX('計算A'!$D$60:$EQ$104,$B32,2)*DC32=1,IF(AND($E32=2,IR32=0),1000000,IF($I32&gt;0,IF(1=$J32,IF(OR(AND(2=$I32+1,OR($K32&lt;&gt;'計算A'!$A$3,'計算A'!$A$4=0)),AND(2=$I32-1,OR(2&lt;&gt;'計算A'!$A$3,'計算A'!$A$4=0))),0,IF(2=$K32,200000,ABS(2-$K32)*100)),100000+ABS(1-$J32)*1000+20)+'計算A'!E$5*50+IF(AND($E32=1,IR32=0),25,0),INDEX('計算A'!E$110:E$114,$F32+1)+IF(AND($E32=1,IR32=0),1000,0)+IF($H32=1,(IF('計算A'!D$117=1,INDEX('計算A'!D$10:D$54,$B32),0)+IF('計算A'!E$117=1,INDEX('計算A'!F$10:F$54,$B32),0))*500,0)-IF(AND('計算A'!D$117=1,UB32&gt;0),300,0)-IF(AND($L32=1,'計算A'!E$117=1,DD32=0),300,0))),1000000))</f>
        <v/>
      </c>
      <c r="OH32">
        <f>IF($B32=0,1000000,IF(INDEX('計算A'!$D$60:$EQ$104,$B32,3)*DD32=1,IF(AND($E32=2,IS32=0),1000000,IF($I32&gt;0,IF(1=$J32,IF(OR(AND(3=$I32+1,OR($K32&lt;&gt;'計算A'!$A$3,'計算A'!$A$4=0)),AND(3=$I32-1,OR(3&lt;&gt;'計算A'!$A$3,'計算A'!$A$4=0))),0,IF(3=$K32,200000,ABS(3-$K32)*100)),100000+ABS(1-$J32)*1000+30)+'計算A'!F$5*50+IF(AND($E32=1,IS32=0),25,0),INDEX('計算A'!F$110:F$114,$F32+1)+IF(AND($E32=1,IS32=0),1000,0)+IF($H32=1,(IF('計算A'!E$117=1,INDEX('計算A'!E$10:E$54,$B32),0)+IF('計算A'!F$117=1,INDEX('計算A'!G$10:G$54,$B32),0))*500,0)-IF(AND('計算A'!E$117=1,UC32&gt;0),300,0)-IF(AND($L32=1,'計算A'!F$117=1,DE32=0),300,0))),1000000))</f>
        <v/>
      </c>
      <c r="OI32">
        <f>IF($B32=0,1000000,IF(INDEX('計算A'!$D$60:$EQ$104,$B32,4)*DE32=1,IF(AND($E32=2,IT32=0),1000000,IF($I32&gt;0,IF(1=$J32,IF(OR(AND(4=$I32+1,OR($K32&lt;&gt;'計算A'!$A$3,'計算A'!$A$4=0)),AND(4=$I32-1,OR(4&lt;&gt;'計算A'!$A$3,'計算A'!$A$4=0))),0,IF(4=$K32,200000,ABS(4-$K32)*100)),100000+ABS(1-$J32)*1000+40)+'計算A'!G$5*50+IF(AND($E32=1,IT32=0),25,0),INDEX('計算A'!G$110:G$114,$F32+1)+IF(AND($E32=1,IT32=0),1000,0)+IF($H32=1,(IF('計算A'!F$117=1,INDEX('計算A'!F$10:F$54,$B32),0)+IF('計算A'!G$117=1,INDEX('計算A'!H$10:H$54,$B32),0))*500,0)-IF(AND('計算A'!F$117=1,UD32&gt;0),300,0)-IF(AND($L32=1,'計算A'!G$117=1,DF32=0),300,0))),1000000))</f>
        <v/>
      </c>
      <c r="OJ32">
        <f>IF($B32=0,1000000,IF(INDEX('計算A'!$D$60:$EQ$104,$B32,5)*DF32=1,IF(AND($E32=2,IU32=0),1000000,IF($I32&gt;0,IF(1=$J32,IF(OR(AND(5=$I32+1,OR($K32&lt;&gt;'計算A'!$A$3,'計算A'!$A$4=0)),AND(5=$I32-1,OR(5&lt;&gt;'計算A'!$A$3,'計算A'!$A$4=0))),0,IF(5=$K32,200000,ABS(5-$K32)*100)),100000+ABS(1-$J32)*1000+50)+'計算A'!H$5*50+IF(AND($E32=1,IU32=0),25,0),INDEX('計算A'!H$110:H$114,$F32+1)+IF(AND($E32=1,IU32=0),1000,0)+IF($H32=1,(IF('計算A'!G$117=1,INDEX('計算A'!G$10:G$54,$B32),0)+IF('計算A'!H$117=1,INDEX('計算A'!I$10:I$54,$B32),0))*500,0)-IF(AND('計算A'!G$117=1,UE32&gt;0),300,0)-IF(AND($L32=1,'計算A'!H$117=1,DG32=0),300,0))),1000000))</f>
        <v/>
      </c>
      <c r="OK32">
        <f>IF($B32=0,1000000,IF(INDEX('計算A'!$D$60:$EQ$104,$B32,6)*DG32=1,IF(AND($E32=2,IV32=0),1000000,IF($I32&gt;0,IF(1=$J32,IF(OR(AND(6=$I32+1,OR($K32&lt;&gt;'計算A'!$A$3,'計算A'!$A$4=0)),AND(6=$I32-1,OR(6&lt;&gt;'計算A'!$A$3,'計算A'!$A$4=0))),0,IF(6=$K32,200000,ABS(6-$K32)*100)),100000+ABS(1-$J32)*1000+60)+'計算A'!I$5*50+IF(AND($E32=1,IV32=0),25,0),INDEX('計算A'!I$110:I$114,$F32+1)+IF(AND($E32=1,IV32=0),1000,0)+IF($H32=1,(IF('計算A'!H$117=1,INDEX('計算A'!H$10:H$54,$B32),0)+IF('計算A'!I$117=1,INDEX('計算A'!J$10:J$54,$B32),0))*500,0)-IF(AND('計算A'!H$117=1,UF32&gt;0),300,0)-IF(AND($L32=1,'計算A'!I$117=1,DH32=0),300,0))),1000000))</f>
        <v/>
      </c>
      <c r="OL32">
        <f>IF($B32=0,1000000,IF(INDEX('計算A'!$D$60:$EQ$104,$B32,7)*DH32=1,IF(AND($E32=2,IW32=0),1000000,IF($I32&gt;0,IF(1=$J32,IF(OR(AND(7=$I32+1,OR($K32&lt;&gt;'計算A'!$A$3,'計算A'!$A$4=0)),AND(7=$I32-1,OR(7&lt;&gt;'計算A'!$A$3,'計算A'!$A$4=0))),0,IF(7=$K32,200000,ABS(7-$K32)*100)),100000+ABS(1-$J32)*1000+70)+'計算A'!J$5*50+IF(AND($E32=1,IW32=0),25,0),INDEX('計算A'!J$110:J$114,$F32+1)+IF(AND($E32=1,IW32=0),1000,0)+IF($H32=1,(IF('計算A'!I$117=1,INDEX('計算A'!I$10:I$54,$B32),0)+IF('計算A'!J$117=1,INDEX('計算A'!K$10:K$54,$B32),0))*500,0)-IF(AND('計算A'!I$117=1,UG32&gt;0),300,0)-IF(AND($L32=1,'計算A'!J$117=1,DI32=0),300,0))),1000000))</f>
        <v/>
      </c>
      <c r="OM32">
        <f>IF($B32=0,1000000,IF(INDEX('計算A'!$D$60:$EQ$104,$B32,8)*DI32=1,IF(AND($E32=2,IX32=0),1000000,IF($I32&gt;0,IF(1=$J32,IF(OR(AND(8=$I32+1,OR($K32&lt;&gt;'計算A'!$A$3,'計算A'!$A$4=0)),AND(8=$I32-1,OR(8&lt;&gt;'計算A'!$A$3,'計算A'!$A$4=0))),0,IF(8=$K32,200000,ABS(8-$K32)*100)),100000+ABS(1-$J32)*1000+80)+'計算A'!K$5*50+IF(AND($E32=1,IX32=0),25,0),INDEX('計算A'!K$110:K$114,$F32+1)+IF(AND($E32=1,IX32=0),1000,0)+IF($H32=1,(IF('計算A'!J$117=1,INDEX('計算A'!J$10:J$54,$B32),0)+IF('計算A'!K$117=1,INDEX('計算A'!L$10:L$54,$B32),0))*500,0)-IF(AND('計算A'!J$117=1,UH32&gt;0),300,0)-IF(AND($L32=1,'計算A'!K$117=1,DJ32=0),300,0))),1000000))</f>
        <v/>
      </c>
      <c r="ON32">
        <f>IF($B32=0,1000000,IF(INDEX('計算A'!$D$60:$EQ$104,$B32,9)*DJ32=1,IF(AND($E32=2,IY32=0),1000000,IF($I32&gt;0,IF(1=$J32,IF(OR(AND(9=$I32+1,OR($K32&lt;&gt;'計算A'!$A$3,'計算A'!$A$4=0)),AND(9=$I32-1,OR(9&lt;&gt;'計算A'!$A$3,'計算A'!$A$4=0))),0,IF(9=$K32,200000,ABS(9-$K32)*100)),100000+ABS(1-$J32)*1000+90)+'計算A'!L$5*50+IF(AND($E32=1,IY32=0),25,0),INDEX('計算A'!L$110:L$114,$F32+1)+IF(AND($E32=1,IY32=0),1000,0)+IF($H32=1,(IF('計算A'!K$117=1,INDEX('計算A'!K$10:K$54,$B32),0)+IF('計算A'!L$117=1,INDEX('計算A'!M$10:M$54,$B32),0))*500,0)-IF(AND('計算A'!K$117=1,UI32&gt;0),300,0)-IF(AND($L32=1,'計算A'!L$117=1,DK32=0),300,0))),1000000))</f>
        <v/>
      </c>
      <c r="OO32">
        <f>IF($B32=0,1000000,IF(INDEX('計算A'!$D$60:$EQ$104,$B32,10)*DK32=1,IF(AND($E32=2,IZ32=0),1000000,IF($I32&gt;0,IF(1=$J32,IF(OR(AND(10=$I32+1,OR($K32&lt;&gt;'計算A'!$A$3,'計算A'!$A$4=0)),AND(10=$I32-1,OR(10&lt;&gt;'計算A'!$A$3,'計算A'!$A$4=0))),0,IF(10=$K32,200000,ABS(10-$K32)*100)),100000+ABS(1-$J32)*1000+100)+'計算A'!M$5*50+IF(AND($E32=1,IZ32=0),25,0),INDEX('計算A'!M$110:M$114,$F32+1)+IF(AND($E32=1,IZ32=0),1000,0)+IF($H32=1,(IF('計算A'!L$117=1,INDEX('計算A'!L$10:L$54,$B32),0)+IF('計算A'!M$117=1,INDEX('計算A'!N$10:N$54,$B32),0))*500,0)-IF(AND('計算A'!L$117=1,UJ32&gt;0),300,0)-IF(AND($L32=1,'計算A'!M$117=1,DL32=0),300,0))),1000000))</f>
        <v/>
      </c>
      <c r="OP32">
        <f>IF($B32=0,1000000,IF(INDEX('計算A'!$D$60:$EQ$104,$B32,11)*DL32=1,IF(AND($E32=2,JA32=0),1000000,IF($I32&gt;0,IF(1=$J32,IF(OR(AND(11=$I32+1,OR($K32&lt;&gt;'計算A'!$A$3,'計算A'!$A$4=0)),AND(11=$I32-1,OR(11&lt;&gt;'計算A'!$A$3,'計算A'!$A$4=0))),0,IF(11=$K32,200000,ABS(11-$K32)*100)),100000+ABS(1-$J32)*1000+110)+'計算A'!N$5*50+IF(AND($E32=1,JA32=0),25,0),INDEX('計算A'!N$110:N$114,$F32+1)+IF(AND($E32=1,JA32=0),1000,0)+IF($H32=1,(IF('計算A'!M$117=1,INDEX('計算A'!M$10:M$54,$B32),0)+IF('計算A'!N$117=1,INDEX('計算A'!O$10:O$54,$B32),0))*500,0)-IF(AND('計算A'!M$117=1,UK32&gt;0),300,0)-IF(AND($L32=1,'計算A'!N$117=1,DM32=0),300,0))),1000000))</f>
        <v/>
      </c>
      <c r="OQ32">
        <f>IF($B32=0,1000000,IF(INDEX('計算A'!$D$60:$EQ$104,$B32,12)*DM32=1,IF(AND($E32=2,JB32=0),1000000,IF($I32&gt;0,IF(1=$J32,IF(OR(AND(12=$I32+1,OR($K32&lt;&gt;'計算A'!$A$3,'計算A'!$A$4=0)),AND(12=$I32-1,OR(12&lt;&gt;'計算A'!$A$3,'計算A'!$A$4=0))),0,IF(12=$K32,200000,ABS(12-$K32)*100)),100000+ABS(1-$J32)*1000+120)+'計算A'!O$5*50+IF(AND($E32=1,JB32=0),25,0),INDEX('計算A'!O$110:O$114,$F32+1)+IF(AND($E32=1,JB32=0),1000,0)+IF($H32=1,(IF('計算A'!N$117=1,INDEX('計算A'!N$10:N$54,$B32),0)+IF('計算A'!O$117=1,INDEX('計算A'!P$10:P$54,$B32),0))*500,0)-IF(AND('計算A'!N$117=1,UL32&gt;0),300,0)-IF(AND($L32=1,'計算A'!O$117=1,DN32=0),300,0))),1000000))</f>
        <v/>
      </c>
      <c r="OR32">
        <f>IF($B32=0,1000000,IF(INDEX('計算A'!$D$60:$EQ$104,$B32,13)*DN32=1,IF(AND($E32=2,JC32=0),1000000,IF($I32&gt;0,IF(1=$J32,IF(OR(AND(13=$I32+1,OR($K32&lt;&gt;'計算A'!$A$3,'計算A'!$A$4=0)),AND(13=$I32-1,OR(13&lt;&gt;'計算A'!$A$3,'計算A'!$A$4=0))),0,IF(13=$K32,200000,ABS(13-$K32)*100)),100000+ABS(1-$J32)*1000+130)+'計算A'!P$5*50+IF(AND($E32=1,JC32=0),25,0),INDEX('計算A'!P$110:P$114,$F32+1)+IF(AND($E32=1,JC32=0),1000,0)+IF($H32=1,(IF('計算A'!O$117=1,INDEX('計算A'!O$10:O$54,$B32),0)+IF('計算A'!P$117=1,INDEX('計算A'!Q$10:Q$54,$B32),0))*500,0)-IF(AND('計算A'!O$117=1,UM32&gt;0),300,0)-IF(AND($L32=1,'計算A'!P$117=1,DO32=0),300,0))),1000000))</f>
        <v/>
      </c>
      <c r="OS32">
        <f>IF($B32=0,1000000,IF(INDEX('計算A'!$D$60:$EQ$104,$B32,14)*DO32=1,IF(AND($E32=2,JD32=0),1000000,IF($I32&gt;0,IF(1=$J32,IF(OR(AND(14=$I32+1,OR($K32&lt;&gt;'計算A'!$A$3,'計算A'!$A$4=0)),AND(14=$I32-1,OR(14&lt;&gt;'計算A'!$A$3,'計算A'!$A$4=0))),0,IF(14=$K32,200000,ABS(14-$K32)*100)),100000+ABS(1-$J32)*1000+140)+'計算A'!Q$5*50+IF(AND($E32=1,JD32=0),25,0),INDEX('計算A'!Q$110:Q$114,$F32+1)+IF(AND($E32=1,JD32=0),1000,0)+IF($H32=1,(IF('計算A'!P$117=1,INDEX('計算A'!P$10:P$54,$B32),0)+IF('計算A'!Q$117=1,INDEX('計算A'!R$10:R$54,$B32),0))*500,0)-IF(AND('計算A'!P$117=1,UN32&gt;0),300,0)-IF(AND($L32=1,'計算A'!Q$117=1,DP32=0),300,0))),1000000))</f>
        <v/>
      </c>
      <c r="OT32">
        <f>IF($B32=0,1000000,IF(INDEX('計算A'!$D$60:$EQ$104,$B32,15)*DP32=1,IF(AND($E32=2,JE32=0),1000000,IF($I32&gt;0,IF(1=$J32,IF(OR(AND(15=$I32+1,OR($K32&lt;&gt;'計算A'!$A$3,'計算A'!$A$4=0)),AND(15=$I32-1,OR(15&lt;&gt;'計算A'!$A$3,'計算A'!$A$4=0))),0,IF(15=$K32,200000,ABS(15-$K32)*100)),100000+ABS(1-$J32)*1000+150)+'計算A'!R$5*50+IF(AND($E32=1,JE32=0),25,0),INDEX('計算A'!R$110:R$114,$F32+1)+IF(AND($E32=1,JE32=0),1000,0)+IF($H32=1,(IF('計算A'!Q$117=1,INDEX('計算A'!Q$10:Q$54,$B32),0)+IF('計算A'!R$117=1,INDEX('計算A'!S$10:S$54,$B32),0))*500,0)-IF(AND('計算A'!Q$117=1,UO32&gt;0),300,0)-IF(AND($L32=1,'計算A'!R$117=1,DQ32=0),300,0))),1000000))</f>
        <v/>
      </c>
      <c r="OU32">
        <f>IF($B32=0,1000000,IF(INDEX('計算A'!$D$60:$EQ$104,$B32,16)*DQ32=1,IF(AND($E32=2,JF32=0),1000000,IF($I32&gt;0,IF(1=$J32,IF(OR(AND(16=$I32+1,OR($K32&lt;&gt;'計算A'!$A$3,'計算A'!$A$4=0)),AND(16=$I32-1,OR(16&lt;&gt;'計算A'!$A$3,'計算A'!$A$4=0))),0,IF(16=$K32,200000,ABS(16-$K32)*100)),100000+ABS(1-$J32)*1000+160)+'計算A'!S$5*50+IF(AND($E32=1,JF32=0),25,0),INDEX('計算A'!S$110:S$114,$F32+1)+IF(AND($E32=1,JF32=0),1000,0)+IF($H32=1,(IF('計算A'!R$117=1,INDEX('計算A'!R$10:R$54,$B32),0)+IF('計算A'!S$117=1,INDEX('計算A'!T$10:T$54,$B32),0))*500,0)-IF(AND('計算A'!R$117=1,UP32&gt;0),300,0)-IF(AND($L32=1,'計算A'!S$117=1,DR32=0),300,0))),1000000))</f>
        <v/>
      </c>
      <c r="OV32">
        <f>IF($B32=0,1000000,IF(INDEX('計算A'!$D$60:$EQ$104,$B32,17)*DR32=1,IF(AND($E32=2,JG32=0),1000000,IF($I32&gt;0,IF(1=$J32,IF(OR(AND(17=$I32+1,OR($K32&lt;&gt;'計算A'!$A$3,'計算A'!$A$4=0)),AND(17=$I32-1,OR(17&lt;&gt;'計算A'!$A$3,'計算A'!$A$4=0))),0,IF(17=$K32,200000,ABS(17-$K32)*100)),100000+ABS(1-$J32)*1000+170)+'計算A'!T$5*50+IF(AND($E32=1,JG32=0),25,0),INDEX('計算A'!T$110:T$114,$F32+1)+IF(AND($E32=1,JG32=0),1000,0)+IF($H32=1,(IF('計算A'!S$117=1,INDEX('計算A'!S$10:S$54,$B32),0)+IF('計算A'!T$117=1,INDEX('計算A'!U$10:U$54,$B32),0))*500,0)-IF(AND('計算A'!S$117=1,UQ32&gt;0),300,0)-IF(AND($L32=1,'計算A'!T$117=1,DS32=0),300,0))),1000000))</f>
        <v/>
      </c>
      <c r="OW32">
        <f>IF($B32=0,1000000,IF(INDEX('計算A'!$D$60:$EQ$104,$B32,18)*DS32=1,IF(AND($E32=2,JH32=0),1000000,IF($I32&gt;0,IF(1=$J32,IF(OR(AND(18=$I32+1,OR($K32&lt;&gt;'計算A'!$A$3,'計算A'!$A$4=0)),AND(18=$I32-1,OR(18&lt;&gt;'計算A'!$A$3,'計算A'!$A$4=0))),0,IF(18=$K32,200000,ABS(18-$K32)*100)),100000+ABS(1-$J32)*1000+180)+'計算A'!U$5*50+IF(AND($E32=1,JH32=0),25,0),INDEX('計算A'!U$110:U$114,$F32+1)+IF(AND($E32=1,JH32=0),1000,0)+IF($H32=1,(IF('計算A'!T$117=1,INDEX('計算A'!T$10:T$54,$B32),0)+IF('計算A'!U$117=1,INDEX('計算A'!V$10:V$54,$B32),0))*500,0)-IF(AND('計算A'!T$117=1,UR32&gt;0),300,0)-IF(AND($L32=1,'計算A'!U$117=1,DT32=0),300,0))),1000000))</f>
        <v/>
      </c>
      <c r="OX32">
        <f>IF($B32=0,1000000,IF(INDEX('計算A'!$D$60:$EQ$104,$B32,19)*DT32=1,IF(AND($E32=2,JI32=0),1000000,IF($I32&gt;0,IF(1=$J32,IF(OR(AND(19=$I32+1,OR($K32&lt;&gt;'計算A'!$A$3,'計算A'!$A$4=0)),AND(19=$I32-1,OR(19&lt;&gt;'計算A'!$A$3,'計算A'!$A$4=0))),0,IF(19=$K32,200000,ABS(19-$K32)*100)),100000+ABS(1-$J32)*1000+190)+'計算A'!V$5*50+IF(AND($E32=1,JI32=0),25,0),INDEX('計算A'!V$110:V$114,$F32+1)+IF(AND($E32=1,JI32=0),1000,0)+IF($H32=1,(IF('計算A'!U$117=1,INDEX('計算A'!U$10:U$54,$B32),0)+IF('計算A'!V$117=1,INDEX('計算A'!W$10:W$54,$B32),0))*500,0)-IF(AND('計算A'!U$117=1,US32&gt;0),300,0)-IF(AND($L32=1,'計算A'!V$117=1,DU32=0),300,0))),1000000))</f>
        <v/>
      </c>
      <c r="OY32">
        <f>IF($B32=0,1000000,IF(INDEX('計算A'!$D$60:$EQ$104,$B32,20)*DU32=1,IF(AND($E32=2,JJ32=0),1000000,IF($I32&gt;0,IF(1=$J32,IF(OR(AND(20=$I32+1,OR($K32&lt;&gt;'計算A'!$A$3,'計算A'!$A$4=0)),AND(20=$I32-1,OR(20&lt;&gt;'計算A'!$A$3,'計算A'!$A$4=0))),0,IF(20=$K32,200000,ABS(20-$K32)*100)),100000+ABS(1-$J32)*1000+200)+'計算A'!W$5*50+IF(AND($E32=1,JJ32=0),25,0),INDEX('計算A'!W$110:W$114,$F32+1)+IF(AND($E32=1,JJ32=0),1000,0)+IF($H32=1,(IF('計算A'!V$117=1,INDEX('計算A'!V$10:V$54,$B32),0)+IF('計算A'!W$117=1,INDEX('計算A'!X$10:X$54,$B32),0))*500,0)-IF(AND('計算A'!V$117=1,UT32&gt;0),300,0)-IF(AND($L32=1,'計算A'!W$117=1,DV32=0),300,0))),1000000))</f>
        <v/>
      </c>
      <c r="OZ32">
        <f>IF($B32=0,1000000,IF(INDEX('計算A'!$D$60:$EQ$104,$B32,21)*DV32=1,IF(AND($E32=2,JK32=0),1000000,IF($I32&gt;0,IF(1=$J32,IF(OR(AND(21=$I32+1,OR($K32&lt;&gt;'計算A'!$A$3,'計算A'!$A$4=0)),AND(21=$I32-1,OR(21&lt;&gt;'計算A'!$A$3,'計算A'!$A$4=0))),0,IF(21=$K32,200000,ABS(21-$K32)*100)),100000+ABS(1-$J32)*1000+210)+'計算A'!X$5*50+IF(AND($E32=1,JK32=0),25,0),INDEX('計算A'!X$110:X$114,$F32+1)+IF(AND($E32=1,JK32=0),1000,0)+IF($H32=1,(IF('計算A'!W$117=1,INDEX('計算A'!W$10:W$54,$B32),0)+IF('計算A'!X$117=1,INDEX('計算A'!Y$10:Y$54,$B32),0))*500,0)-IF(AND('計算A'!W$117=1,UU32&gt;0),300,0)-IF(AND($L32=1,'計算A'!X$117=1,DW32=0),300,0))),1000000))</f>
        <v/>
      </c>
      <c r="PA32">
        <f>IF($B32=0,1000000,IF(INDEX('計算A'!$D$60:$EQ$104,$B32,22)*DW32=1,IF(AND($E32=2,JL32=0),1000000,IF($I32&gt;0,IF(1=$J32,IF(OR(AND(22=$I32+1,OR($K32&lt;&gt;'計算A'!$A$3,'計算A'!$A$4=0)),AND(22=$I32-1,OR(22&lt;&gt;'計算A'!$A$3,'計算A'!$A$4=0))),0,IF(22=$K32,200000,ABS(22-$K32)*100)),100000+ABS(1-$J32)*1000+220)+'計算A'!Y$5*50+IF(AND($E32=1,JL32=0),25,0),INDEX('計算A'!Y$110:Y$114,$F32+1)+IF(AND($E32=1,JL32=0),1000,0)+IF($H32=1,(IF('計算A'!X$117=1,INDEX('計算A'!X$10:X$54,$B32),0)+IF('計算A'!Y$117=1,INDEX('計算A'!Z$10:Z$54,$B32),0))*500,0)-IF(AND('計算A'!X$117=1,UV32&gt;0),300,0)-IF(AND($L32=1,'計算A'!Y$117=1,DX32=0),300,0))),1000000))</f>
        <v/>
      </c>
      <c r="PB32">
        <f>IF($B32=0,1000000,IF(INDEX('計算A'!$D$60:$EQ$104,$B32,23)*DX32=1,IF(AND($E32=2,JM32=0),1000000,IF($I32&gt;0,IF(1=$J32,IF(OR(AND(23=$I32+1,OR($K32&lt;&gt;'計算A'!$A$3,'計算A'!$A$4=0)),AND(23=$I32-1,OR(23&lt;&gt;'計算A'!$A$3,'計算A'!$A$4=0))),0,IF(23=$K32,200000,ABS(23-$K32)*100)),100000+ABS(1-$J32)*1000+230)+'計算A'!Z$5*50+IF(AND($E32=1,JM32=0),25,0),INDEX('計算A'!Z$110:Z$114,$F32+1)+IF(AND($E32=1,JM32=0),1000,0)+IF($H32=1,(IF('計算A'!Y$117=1,INDEX('計算A'!Y$10:Y$54,$B32),0)+IF('計算A'!Z$117=1,INDEX('計算A'!AA$10:AA$54,$B32),0))*500,0)-IF(AND('計算A'!Y$117=1,UW32&gt;0),300,0)-IF(AND($L32=1,'計算A'!Z$117=1,DY32=0),300,0))),1000000))</f>
        <v/>
      </c>
      <c r="PC32">
        <f>IF($B32=0,1000000,IF(INDEX('計算A'!$D$60:$EQ$104,$B32,24)*DY32=1,IF(AND($E32=2,JN32=0),1000000,IF($I32&gt;0,IF(1=$J32,IF(OR(AND(24=$I32+1,OR($K32&lt;&gt;'計算A'!$A$3,'計算A'!$A$4=0)),AND(24=$I32-1,OR(24&lt;&gt;'計算A'!$A$3,'計算A'!$A$4=0))),0,IF(24=$K32,200000,ABS(24-$K32)*100)),100000+ABS(1-$J32)*1000+240)+'計算A'!AA$5*50+IF(AND($E32=1,JN32=0),25,0),INDEX('計算A'!AA$110:AA$114,$F32+1)+IF(AND($E32=1,JN32=0),1000,0)+IF($H32=1,(IF('計算A'!Z$117=1,INDEX('計算A'!Z$10:Z$54,$B32),0))*500,0)-IF(AND('計算A'!Z$117=1,UX32&gt;0),300,0))),1000000))</f>
        <v/>
      </c>
      <c r="PD32">
        <f>IF($B32=0,1000000,IF(INDEX('計算A'!$D$60:$EQ$104,$B32,25)*DZ32=1,IF(AND($E32=2,JO32=0),1000000,IF($I32&gt;0,IF(2=$J32,IF(OR(AND(25=$I32+1,OR($K32&lt;&gt;'計算A'!$A$3,'計算A'!$A$4=0)),AND(25=$I32-1,OR(1&lt;&gt;'計算A'!$A$3,'計算A'!$A$4=0))),0,IF(1=$K32,200000,ABS(1-$K32)*100)),100000+ABS(2-$J32)*1000+10)+'計算A'!AB$5*50+IF(AND($E32=1,JO32=0),25,0),INDEX('計算A'!AB$110:AB$114,$F32+1)+IF(AND($E32=1,JO32=0),1000,0)+IF($H32=1,(IF('計算A'!AB$117=1,INDEX('計算A'!AC$10:AC$54,$B32),0))*500,0)-IF(AND($L32=1,'計算A'!AB$117=1,EA32=0),300,0))),1000000))</f>
        <v/>
      </c>
      <c r="PE32">
        <f>IF($B32=0,1000000,IF(INDEX('計算A'!$D$60:$EQ$104,$B32,26)*EA32=1,IF(AND($E32=2,JP32=0),1000000,IF($I32&gt;0,IF(2=$J32,IF(OR(AND(26=$I32+1,OR($K32&lt;&gt;'計算A'!$A$3,'計算A'!$A$4=0)),AND(26=$I32-1,OR(2&lt;&gt;'計算A'!$A$3,'計算A'!$A$4=0))),0,IF(2=$K32,200000,ABS(2-$K32)*100)),100000+ABS(2-$J32)*1000+20)+'計算A'!AC$5*50+IF(AND($E32=1,JP32=0),25,0),INDEX('計算A'!AC$110:AC$114,$F32+1)+IF(AND($E32=1,JP32=0),1000,0)+IF($H32=1,(IF('計算A'!AB$117=1,INDEX('計算A'!AB$10:AB$54,$B32),0)+IF('計算A'!AC$117=1,INDEX('計算A'!AD$10:AD$54,$B32),0))*500,0)-IF(AND('計算A'!AB$117=1,UZ32&gt;0),300,0)-IF(AND($L32=1,'計算A'!AC$117=1,EB32=0),300,0))),1000000))</f>
        <v/>
      </c>
      <c r="PF32">
        <f>IF($B32=0,1000000,IF(INDEX('計算A'!$D$60:$EQ$104,$B32,27)*EB32=1,IF(AND($E32=2,JQ32=0),1000000,IF($I32&gt;0,IF(2=$J32,IF(OR(AND(27=$I32+1,OR($K32&lt;&gt;'計算A'!$A$3,'計算A'!$A$4=0)),AND(27=$I32-1,OR(3&lt;&gt;'計算A'!$A$3,'計算A'!$A$4=0))),0,IF(3=$K32,200000,ABS(3-$K32)*100)),100000+ABS(2-$J32)*1000+30)+'計算A'!AD$5*50+IF(AND($E32=1,JQ32=0),25,0),INDEX('計算A'!AD$110:AD$114,$F32+1)+IF(AND($E32=1,JQ32=0),1000,0)+IF($H32=1,(IF('計算A'!AC$117=1,INDEX('計算A'!AC$10:AC$54,$B32),0)+IF('計算A'!AD$117=1,INDEX('計算A'!AE$10:AE$54,$B32),0))*500,0)-IF(AND('計算A'!AC$117=1,VA32&gt;0),300,0)-IF(AND($L32=1,'計算A'!AD$117=1,EC32=0),300,0))),1000000))</f>
        <v/>
      </c>
      <c r="PG32">
        <f>IF($B32=0,1000000,IF(INDEX('計算A'!$D$60:$EQ$104,$B32,28)*EC32=1,IF(AND($E32=2,JR32=0),1000000,IF($I32&gt;0,IF(2=$J32,IF(OR(AND(28=$I32+1,OR($K32&lt;&gt;'計算A'!$A$3,'計算A'!$A$4=0)),AND(28=$I32-1,OR(4&lt;&gt;'計算A'!$A$3,'計算A'!$A$4=0))),0,IF(4=$K32,200000,ABS(4-$K32)*100)),100000+ABS(2-$J32)*1000+40)+'計算A'!AE$5*50+IF(AND($E32=1,JR32=0),25,0),INDEX('計算A'!AE$110:AE$114,$F32+1)+IF(AND($E32=1,JR32=0),1000,0)+IF($H32=1,(IF('計算A'!AD$117=1,INDEX('計算A'!AD$10:AD$54,$B32),0)+IF('計算A'!AE$117=1,INDEX('計算A'!AF$10:AF$54,$B32),0))*500,0)-IF(AND('計算A'!AD$117=1,VB32&gt;0),300,0)-IF(AND($L32=1,'計算A'!AE$117=1,ED32=0),300,0))),1000000))</f>
        <v/>
      </c>
      <c r="PH32">
        <f>IF($B32=0,1000000,IF(INDEX('計算A'!$D$60:$EQ$104,$B32,29)*ED32=1,IF(AND($E32=2,JS32=0),1000000,IF($I32&gt;0,IF(2=$J32,IF(OR(AND(29=$I32+1,OR($K32&lt;&gt;'計算A'!$A$3,'計算A'!$A$4=0)),AND(29=$I32-1,OR(5&lt;&gt;'計算A'!$A$3,'計算A'!$A$4=0))),0,IF(5=$K32,200000,ABS(5-$K32)*100)),100000+ABS(2-$J32)*1000+50)+'計算A'!AF$5*50+IF(AND($E32=1,JS32=0),25,0),INDEX('計算A'!AF$110:AF$114,$F32+1)+IF(AND($E32=1,JS32=0),1000,0)+IF($H32=1,(IF('計算A'!AE$117=1,INDEX('計算A'!AE$10:AE$54,$B32),0)+IF('計算A'!AF$117=1,INDEX('計算A'!AG$10:AG$54,$B32),0))*500,0)-IF(AND('計算A'!AE$117=1,VC32&gt;0),300,0)-IF(AND($L32=1,'計算A'!AF$117=1,EE32=0),300,0))),1000000))</f>
        <v/>
      </c>
      <c r="PI32">
        <f>IF($B32=0,1000000,IF(INDEX('計算A'!$D$60:$EQ$104,$B32,30)*EE32=1,IF(AND($E32=2,JT32=0),1000000,IF($I32&gt;0,IF(2=$J32,IF(OR(AND(30=$I32+1,OR($K32&lt;&gt;'計算A'!$A$3,'計算A'!$A$4=0)),AND(30=$I32-1,OR(6&lt;&gt;'計算A'!$A$3,'計算A'!$A$4=0))),0,IF(6=$K32,200000,ABS(6-$K32)*100)),100000+ABS(2-$J32)*1000+60)+'計算A'!AG$5*50+IF(AND($E32=1,JT32=0),25,0),INDEX('計算A'!AG$110:AG$114,$F32+1)+IF(AND($E32=1,JT32=0),1000,0)+IF($H32=1,(IF('計算A'!AF$117=1,INDEX('計算A'!AF$10:AF$54,$B32),0)+IF('計算A'!AG$117=1,INDEX('計算A'!AH$10:AH$54,$B32),0))*500,0)-IF(AND('計算A'!AF$117=1,VD32&gt;0),300,0)-IF(AND($L32=1,'計算A'!AG$117=1,EF32=0),300,0))),1000000))</f>
        <v/>
      </c>
      <c r="PJ32">
        <f>IF($B32=0,1000000,IF(INDEX('計算A'!$D$60:$EQ$104,$B32,31)*EF32=1,IF(AND($E32=2,JU32=0),1000000,IF($I32&gt;0,IF(2=$J32,IF(OR(AND(31=$I32+1,OR($K32&lt;&gt;'計算A'!$A$3,'計算A'!$A$4=0)),AND(31=$I32-1,OR(7&lt;&gt;'計算A'!$A$3,'計算A'!$A$4=0))),0,IF(7=$K32,200000,ABS(7-$K32)*100)),100000+ABS(2-$J32)*1000+70)+'計算A'!AH$5*50+IF(AND($E32=1,JU32=0),25,0),INDEX('計算A'!AH$110:AH$114,$F32+1)+IF(AND($E32=1,JU32=0),1000,0)+IF($H32=1,(IF('計算A'!AG$117=1,INDEX('計算A'!AG$10:AG$54,$B32),0)+IF('計算A'!AH$117=1,INDEX('計算A'!AI$10:AI$54,$B32),0))*500,0)-IF(AND('計算A'!AG$117=1,VE32&gt;0),300,0)-IF(AND($L32=1,'計算A'!AH$117=1,EG32=0),300,0))),1000000))</f>
        <v/>
      </c>
      <c r="PK32">
        <f>IF($B32=0,1000000,IF(INDEX('計算A'!$D$60:$EQ$104,$B32,32)*EG32=1,IF(AND($E32=2,JV32=0),1000000,IF($I32&gt;0,IF(2=$J32,IF(OR(AND(32=$I32+1,OR($K32&lt;&gt;'計算A'!$A$3,'計算A'!$A$4=0)),AND(32=$I32-1,OR(8&lt;&gt;'計算A'!$A$3,'計算A'!$A$4=0))),0,IF(8=$K32,200000,ABS(8-$K32)*100)),100000+ABS(2-$J32)*1000+80)+'計算A'!AI$5*50+IF(AND($E32=1,JV32=0),25,0),INDEX('計算A'!AI$110:AI$114,$F32+1)+IF(AND($E32=1,JV32=0),1000,0)+IF($H32=1,(IF('計算A'!AH$117=1,INDEX('計算A'!AH$10:AH$54,$B32),0)+IF('計算A'!AI$117=1,INDEX('計算A'!AJ$10:AJ$54,$B32),0))*500,0)-IF(AND('計算A'!AH$117=1,VF32&gt;0),300,0)-IF(AND($L32=1,'計算A'!AI$117=1,EH32=0),300,0))),1000000))</f>
        <v/>
      </c>
      <c r="PL32">
        <f>IF($B32=0,1000000,IF(INDEX('計算A'!$D$60:$EQ$104,$B32,33)*EH32=1,IF(AND($E32=2,JW32=0),1000000,IF($I32&gt;0,IF(2=$J32,IF(OR(AND(33=$I32+1,OR($K32&lt;&gt;'計算A'!$A$3,'計算A'!$A$4=0)),AND(33=$I32-1,OR(9&lt;&gt;'計算A'!$A$3,'計算A'!$A$4=0))),0,IF(9=$K32,200000,ABS(9-$K32)*100)),100000+ABS(2-$J32)*1000+90)+'計算A'!AJ$5*50+IF(AND($E32=1,JW32=0),25,0),INDEX('計算A'!AJ$110:AJ$114,$F32+1)+IF(AND($E32=1,JW32=0),1000,0)+IF($H32=1,(IF('計算A'!AI$117=1,INDEX('計算A'!AI$10:AI$54,$B32),0)+IF('計算A'!AJ$117=1,INDEX('計算A'!AK$10:AK$54,$B32),0))*500,0)-IF(AND('計算A'!AI$117=1,VG32&gt;0),300,0)-IF(AND($L32=1,'計算A'!AJ$117=1,EI32=0),300,0))),1000000))</f>
        <v/>
      </c>
      <c r="PM32">
        <f>IF($B32=0,1000000,IF(INDEX('計算A'!$D$60:$EQ$104,$B32,34)*EI32=1,IF(AND($E32=2,JX32=0),1000000,IF($I32&gt;0,IF(2=$J32,IF(OR(AND(34=$I32+1,OR($K32&lt;&gt;'計算A'!$A$3,'計算A'!$A$4=0)),AND(34=$I32-1,OR(10&lt;&gt;'計算A'!$A$3,'計算A'!$A$4=0))),0,IF(10=$K32,200000,ABS(10-$K32)*100)),100000+ABS(2-$J32)*1000+100)+'計算A'!AK$5*50+IF(AND($E32=1,JX32=0),25,0),INDEX('計算A'!AK$110:AK$114,$F32+1)+IF(AND($E32=1,JX32=0),1000,0)+IF($H32=1,(IF('計算A'!AJ$117=1,INDEX('計算A'!AJ$10:AJ$54,$B32),0)+IF('計算A'!AK$117=1,INDEX('計算A'!AL$10:AL$54,$B32),0))*500,0)-IF(AND('計算A'!AJ$117=1,VH32&gt;0),300,0)-IF(AND($L32=1,'計算A'!AK$117=1,EJ32=0),300,0))),1000000))</f>
        <v/>
      </c>
      <c r="PN32">
        <f>IF($B32=0,1000000,IF(INDEX('計算A'!$D$60:$EQ$104,$B32,35)*EJ32=1,IF(AND($E32=2,JY32=0),1000000,IF($I32&gt;0,IF(2=$J32,IF(OR(AND(35=$I32+1,OR($K32&lt;&gt;'計算A'!$A$3,'計算A'!$A$4=0)),AND(35=$I32-1,OR(11&lt;&gt;'計算A'!$A$3,'計算A'!$A$4=0))),0,IF(11=$K32,200000,ABS(11-$K32)*100)),100000+ABS(2-$J32)*1000+110)+'計算A'!AL$5*50+IF(AND($E32=1,JY32=0),25,0),INDEX('計算A'!AL$110:AL$114,$F32+1)+IF(AND($E32=1,JY32=0),1000,0)+IF($H32=1,(IF('計算A'!AK$117=1,INDEX('計算A'!AK$10:AK$54,$B32),0)+IF('計算A'!AL$117=1,INDEX('計算A'!AM$10:AM$54,$B32),0))*500,0)-IF(AND('計算A'!AK$117=1,VI32&gt;0),300,0)-IF(AND($L32=1,'計算A'!AL$117=1,EK32=0),300,0))),1000000))</f>
        <v/>
      </c>
      <c r="PO32">
        <f>IF($B32=0,1000000,IF(INDEX('計算A'!$D$60:$EQ$104,$B32,36)*EK32=1,IF(AND($E32=2,JZ32=0),1000000,IF($I32&gt;0,IF(2=$J32,IF(OR(AND(36=$I32+1,OR($K32&lt;&gt;'計算A'!$A$3,'計算A'!$A$4=0)),AND(36=$I32-1,OR(12&lt;&gt;'計算A'!$A$3,'計算A'!$A$4=0))),0,IF(12=$K32,200000,ABS(12-$K32)*100)),100000+ABS(2-$J32)*1000+120)+'計算A'!AM$5*50+IF(AND($E32=1,JZ32=0),25,0),INDEX('計算A'!AM$110:AM$114,$F32+1)+IF(AND($E32=1,JZ32=0),1000,0)+IF($H32=1,(IF('計算A'!AL$117=1,INDEX('計算A'!AL$10:AL$54,$B32),0)+IF('計算A'!AM$117=1,INDEX('計算A'!AN$10:AN$54,$B32),0))*500,0)-IF(AND('計算A'!AL$117=1,VJ32&gt;0),300,0)-IF(AND($L32=1,'計算A'!AM$117=1,EL32=0),300,0))),1000000))</f>
        <v/>
      </c>
      <c r="PP32">
        <f>IF($B32=0,1000000,IF(INDEX('計算A'!$D$60:$EQ$104,$B32,37)*EL32=1,IF(AND($E32=2,KA32=0),1000000,IF($I32&gt;0,IF(2=$J32,IF(OR(AND(37=$I32+1,OR($K32&lt;&gt;'計算A'!$A$3,'計算A'!$A$4=0)),AND(37=$I32-1,OR(13&lt;&gt;'計算A'!$A$3,'計算A'!$A$4=0))),0,IF(13=$K32,200000,ABS(13-$K32)*100)),100000+ABS(2-$J32)*1000+130)+'計算A'!AN$5*50+IF(AND($E32=1,KA32=0),25,0),INDEX('計算A'!AN$110:AN$114,$F32+1)+IF(AND($E32=1,KA32=0),1000,0)+IF($H32=1,(IF('計算A'!AM$117=1,INDEX('計算A'!AM$10:AM$54,$B32),0)+IF('計算A'!AN$117=1,INDEX('計算A'!AO$10:AO$54,$B32),0))*500,0)-IF(AND('計算A'!AM$117=1,VK32&gt;0),300,0)-IF(AND($L32=1,'計算A'!AN$117=1,EM32=0),300,0))),1000000))</f>
        <v/>
      </c>
      <c r="PQ32">
        <f>IF($B32=0,1000000,IF(INDEX('計算A'!$D$60:$EQ$104,$B32,38)*EM32=1,IF(AND($E32=2,KB32=0),1000000,IF($I32&gt;0,IF(2=$J32,IF(OR(AND(38=$I32+1,OR($K32&lt;&gt;'計算A'!$A$3,'計算A'!$A$4=0)),AND(38=$I32-1,OR(14&lt;&gt;'計算A'!$A$3,'計算A'!$A$4=0))),0,IF(14=$K32,200000,ABS(14-$K32)*100)),100000+ABS(2-$J32)*1000+140)+'計算A'!AO$5*50+IF(AND($E32=1,KB32=0),25,0),INDEX('計算A'!AO$110:AO$114,$F32+1)+IF(AND($E32=1,KB32=0),1000,0)+IF($H32=1,(IF('計算A'!AN$117=1,INDEX('計算A'!AN$10:AN$54,$B32),0)+IF('計算A'!AO$117=1,INDEX('計算A'!AP$10:AP$54,$B32),0))*500,0)-IF(AND('計算A'!AN$117=1,VL32&gt;0),300,0)-IF(AND($L32=1,'計算A'!AO$117=1,EN32=0),300,0))),1000000))</f>
        <v/>
      </c>
      <c r="PR32">
        <f>IF($B32=0,1000000,IF(INDEX('計算A'!$D$60:$EQ$104,$B32,39)*EN32=1,IF(AND($E32=2,KC32=0),1000000,IF($I32&gt;0,IF(2=$J32,IF(OR(AND(39=$I32+1,OR($K32&lt;&gt;'計算A'!$A$3,'計算A'!$A$4=0)),AND(39=$I32-1,OR(15&lt;&gt;'計算A'!$A$3,'計算A'!$A$4=0))),0,IF(15=$K32,200000,ABS(15-$K32)*100)),100000+ABS(2-$J32)*1000+150)+'計算A'!AP$5*50+IF(AND($E32=1,KC32=0),25,0),INDEX('計算A'!AP$110:AP$114,$F32+1)+IF(AND($E32=1,KC32=0),1000,0)+IF($H32=1,(IF('計算A'!AO$117=1,INDEX('計算A'!AO$10:AO$54,$B32),0)+IF('計算A'!AP$117=1,INDEX('計算A'!AQ$10:AQ$54,$B32),0))*500,0)-IF(AND('計算A'!AO$117=1,VM32&gt;0),300,0)-IF(AND($L32=1,'計算A'!AP$117=1,EO32=0),300,0))),1000000))</f>
        <v/>
      </c>
      <c r="PS32">
        <f>IF($B32=0,1000000,IF(INDEX('計算A'!$D$60:$EQ$104,$B32,40)*EO32=1,IF(AND($E32=2,KD32=0),1000000,IF($I32&gt;0,IF(2=$J32,IF(OR(AND(40=$I32+1,OR($K32&lt;&gt;'計算A'!$A$3,'計算A'!$A$4=0)),AND(40=$I32-1,OR(16&lt;&gt;'計算A'!$A$3,'計算A'!$A$4=0))),0,IF(16=$K32,200000,ABS(16-$K32)*100)),100000+ABS(2-$J32)*1000+160)+'計算A'!AQ$5*50+IF(AND($E32=1,KD32=0),25,0),INDEX('計算A'!AQ$110:AQ$114,$F32+1)+IF(AND($E32=1,KD32=0),1000,0)+IF($H32=1,(IF('計算A'!AP$117=1,INDEX('計算A'!AP$10:AP$54,$B32),0)+IF('計算A'!AQ$117=1,INDEX('計算A'!AR$10:AR$54,$B32),0))*500,0)-IF(AND('計算A'!AP$117=1,VN32&gt;0),300,0)-IF(AND($L32=1,'計算A'!AQ$117=1,EP32=0),300,0))),1000000))</f>
        <v/>
      </c>
      <c r="PT32">
        <f>IF($B32=0,1000000,IF(INDEX('計算A'!$D$60:$EQ$104,$B32,41)*EP32=1,IF(AND($E32=2,KE32=0),1000000,IF($I32&gt;0,IF(2=$J32,IF(OR(AND(41=$I32+1,OR($K32&lt;&gt;'計算A'!$A$3,'計算A'!$A$4=0)),AND(41=$I32-1,OR(17&lt;&gt;'計算A'!$A$3,'計算A'!$A$4=0))),0,IF(17=$K32,200000,ABS(17-$K32)*100)),100000+ABS(2-$J32)*1000+170)+'計算A'!AR$5*50+IF(AND($E32=1,KE32=0),25,0),INDEX('計算A'!AR$110:AR$114,$F32+1)+IF(AND($E32=1,KE32=0),1000,0)+IF($H32=1,(IF('計算A'!AQ$117=1,INDEX('計算A'!AQ$10:AQ$54,$B32),0)+IF('計算A'!AR$117=1,INDEX('計算A'!AS$10:AS$54,$B32),0))*500,0)-IF(AND('計算A'!AQ$117=1,VO32&gt;0),300,0)-IF(AND($L32=1,'計算A'!AR$117=1,EQ32=0),300,0))),1000000))</f>
        <v/>
      </c>
      <c r="PU32">
        <f>IF($B32=0,1000000,IF(INDEX('計算A'!$D$60:$EQ$104,$B32,42)*EQ32=1,IF(AND($E32=2,KF32=0),1000000,IF($I32&gt;0,IF(2=$J32,IF(OR(AND(42=$I32+1,OR($K32&lt;&gt;'計算A'!$A$3,'計算A'!$A$4=0)),AND(42=$I32-1,OR(18&lt;&gt;'計算A'!$A$3,'計算A'!$A$4=0))),0,IF(18=$K32,200000,ABS(18-$K32)*100)),100000+ABS(2-$J32)*1000+180)+'計算A'!AS$5*50+IF(AND($E32=1,KF32=0),25,0),INDEX('計算A'!AS$110:AS$114,$F32+1)+IF(AND($E32=1,KF32=0),1000,0)+IF($H32=1,(IF('計算A'!AR$117=1,INDEX('計算A'!AR$10:AR$54,$B32),0)+IF('計算A'!AS$117=1,INDEX('計算A'!AT$10:AT$54,$B32),0))*500,0)-IF(AND('計算A'!AR$117=1,VP32&gt;0),300,0)-IF(AND($L32=1,'計算A'!AS$117=1,ER32=0),300,0))),1000000))</f>
        <v/>
      </c>
      <c r="PV32">
        <f>IF($B32=0,1000000,IF(INDEX('計算A'!$D$60:$EQ$104,$B32,43)*ER32=1,IF(AND($E32=2,KG32=0),1000000,IF($I32&gt;0,IF(2=$J32,IF(OR(AND(43=$I32+1,OR($K32&lt;&gt;'計算A'!$A$3,'計算A'!$A$4=0)),AND(43=$I32-1,OR(19&lt;&gt;'計算A'!$A$3,'計算A'!$A$4=0))),0,IF(19=$K32,200000,ABS(19-$K32)*100)),100000+ABS(2-$J32)*1000+190)+'計算A'!AT$5*50+IF(AND($E32=1,KG32=0),25,0),INDEX('計算A'!AT$110:AT$114,$F32+1)+IF(AND($E32=1,KG32=0),1000,0)+IF($H32=1,(IF('計算A'!AS$117=1,INDEX('計算A'!AS$10:AS$54,$B32),0)+IF('計算A'!AT$117=1,INDEX('計算A'!AU$10:AU$54,$B32),0))*500,0)-IF(AND('計算A'!AS$117=1,VQ32&gt;0),300,0)-IF(AND($L32=1,'計算A'!AT$117=1,ES32=0),300,0))),1000000))</f>
        <v/>
      </c>
      <c r="PW32">
        <f>IF($B32=0,1000000,IF(INDEX('計算A'!$D$60:$EQ$104,$B32,44)*ES32=1,IF(AND($E32=2,KH32=0),1000000,IF($I32&gt;0,IF(2=$J32,IF(OR(AND(44=$I32+1,OR($K32&lt;&gt;'計算A'!$A$3,'計算A'!$A$4=0)),AND(44=$I32-1,OR(20&lt;&gt;'計算A'!$A$3,'計算A'!$A$4=0))),0,IF(20=$K32,200000,ABS(20-$K32)*100)),100000+ABS(2-$J32)*1000+200)+'計算A'!AU$5*50+IF(AND($E32=1,KH32=0),25,0),INDEX('計算A'!AU$110:AU$114,$F32+1)+IF(AND($E32=1,KH32=0),1000,0)+IF($H32=1,(IF('計算A'!AT$117=1,INDEX('計算A'!AT$10:AT$54,$B32),0)+IF('計算A'!AU$117=1,INDEX('計算A'!AV$10:AV$54,$B32),0))*500,0)-IF(AND('計算A'!AT$117=1,VR32&gt;0),300,0)-IF(AND($L32=1,'計算A'!AU$117=1,ET32=0),300,0))),1000000))</f>
        <v/>
      </c>
      <c r="PX32">
        <f>IF($B32=0,1000000,IF(INDEX('計算A'!$D$60:$EQ$104,$B32,45)*ET32=1,IF(AND($E32=2,KI32=0),1000000,IF($I32&gt;0,IF(2=$J32,IF(OR(AND(45=$I32+1,OR($K32&lt;&gt;'計算A'!$A$3,'計算A'!$A$4=0)),AND(45=$I32-1,OR(21&lt;&gt;'計算A'!$A$3,'計算A'!$A$4=0))),0,IF(21=$K32,200000,ABS(21-$K32)*100)),100000+ABS(2-$J32)*1000+210)+'計算A'!AV$5*50+IF(AND($E32=1,KI32=0),25,0),INDEX('計算A'!AV$110:AV$114,$F32+1)+IF(AND($E32=1,KI32=0),1000,0)+IF($H32=1,(IF('計算A'!AU$117=1,INDEX('計算A'!AU$10:AU$54,$B32),0)+IF('計算A'!AV$117=1,INDEX('計算A'!AW$10:AW$54,$B32),0))*500,0)-IF(AND('計算A'!AU$117=1,VS32&gt;0),300,0)-IF(AND($L32=1,'計算A'!AV$117=1,EU32=0),300,0))),1000000))</f>
        <v/>
      </c>
      <c r="PY32">
        <f>IF($B32=0,1000000,IF(INDEX('計算A'!$D$60:$EQ$104,$B32,46)*EU32=1,IF(AND($E32=2,KJ32=0),1000000,IF($I32&gt;0,IF(2=$J32,IF(OR(AND(46=$I32+1,OR($K32&lt;&gt;'計算A'!$A$3,'計算A'!$A$4=0)),AND(46=$I32-1,OR(22&lt;&gt;'計算A'!$A$3,'計算A'!$A$4=0))),0,IF(22=$K32,200000,ABS(22-$K32)*100)),100000+ABS(2-$J32)*1000+220)+'計算A'!AW$5*50+IF(AND($E32=1,KJ32=0),25,0),INDEX('計算A'!AW$110:AW$114,$F32+1)+IF(AND($E32=1,KJ32=0),1000,0)+IF($H32=1,(IF('計算A'!AV$117=1,INDEX('計算A'!AV$10:AV$54,$B32),0)+IF('計算A'!AW$117=1,INDEX('計算A'!AX$10:AX$54,$B32),0))*500,0)-IF(AND('計算A'!AV$117=1,VT32&gt;0),300,0)-IF(AND($L32=1,'計算A'!AW$117=1,EV32=0),300,0))),1000000))</f>
        <v/>
      </c>
      <c r="PZ32">
        <f>IF($B32=0,1000000,IF(INDEX('計算A'!$D$60:$EQ$104,$B32,47)*EV32=1,IF(AND($E32=2,KK32=0),1000000,IF($I32&gt;0,IF(2=$J32,IF(OR(AND(47=$I32+1,OR($K32&lt;&gt;'計算A'!$A$3,'計算A'!$A$4=0)),AND(47=$I32-1,OR(23&lt;&gt;'計算A'!$A$3,'計算A'!$A$4=0))),0,IF(23=$K32,200000,ABS(23-$K32)*100)),100000+ABS(2-$J32)*1000+230)+'計算A'!AX$5*50+IF(AND($E32=1,KK32=0),25,0),INDEX('計算A'!AX$110:AX$114,$F32+1)+IF(AND($E32=1,KK32=0),1000,0)+IF($H32=1,(IF('計算A'!AW$117=1,INDEX('計算A'!AW$10:AW$54,$B32),0)+IF('計算A'!AX$117=1,INDEX('計算A'!AY$10:AY$54,$B32),0))*500,0)-IF(AND('計算A'!AW$117=1,VU32&gt;0),300,0)-IF(AND($L32=1,'計算A'!AX$117=1,EW32=0),300,0))),1000000))</f>
        <v/>
      </c>
      <c r="QA32">
        <f>IF($B32=0,1000000,IF(INDEX('計算A'!$D$60:$EQ$104,$B32,48)*EW32=1,IF(AND($E32=2,KL32=0),1000000,IF($I32&gt;0,IF(2=$J32,IF(OR(AND(48=$I32+1,OR($K32&lt;&gt;'計算A'!$A$3,'計算A'!$A$4=0)),AND(48=$I32-1,OR(24&lt;&gt;'計算A'!$A$3,'計算A'!$A$4=0))),0,IF(24=$K32,200000,ABS(24-$K32)*100)),100000+ABS(2-$J32)*1000+240)+'計算A'!AY$5*50+IF(AND($E32=1,KL32=0),25,0),INDEX('計算A'!AY$110:AY$114,$F32+1)+IF(AND($E32=1,KL32=0),1000,0)+IF($H32=1,(IF('計算A'!AX$117=1,INDEX('計算A'!AX$10:AX$54,$B32),0))*500,0)-IF(AND('計算A'!AX$117=1,VV32&gt;0),300,0))),1000000))</f>
        <v/>
      </c>
      <c r="QB32">
        <f>IF($B32=0,1000000,IF(INDEX('計算A'!$D$60:$EQ$104,$B32,49)*EX32=1,IF(AND($E32=2,KM32=0),1000000,IF($I32&gt;0,IF(3=$J32,IF(OR(AND(49=$I32+1,OR($K32&lt;&gt;'計算A'!$A$3,'計算A'!$A$4=0)),AND(49=$I32-1,OR(1&lt;&gt;'計算A'!$A$3,'計算A'!$A$4=0))),0,IF(1=$K32,200000,ABS(1-$K32)*100)),100000+ABS(3-$J32)*1000+10)+'計算A'!AZ$5*50+IF(AND($E32=1,KM32=0),25,0),INDEX('計算A'!AZ$110:AZ$114,$F32+1)+IF(AND($E32=1,KM32=0),1000,0)+IF($H32=1,(IF('計算A'!AZ$117=1,INDEX('計算A'!BA$10:BA$54,$B32),0))*500,0)-IF(AND($L32=1,'計算A'!AZ$117=1,EY32=0),300,0))),1000000))</f>
        <v/>
      </c>
      <c r="QC32">
        <f>IF($B32=0,1000000,IF(INDEX('計算A'!$D$60:$EQ$104,$B32,50)*EY32=1,IF(AND($E32=2,KN32=0),1000000,IF($I32&gt;0,IF(3=$J32,IF(OR(AND(50=$I32+1,OR($K32&lt;&gt;'計算A'!$A$3,'計算A'!$A$4=0)),AND(50=$I32-1,OR(2&lt;&gt;'計算A'!$A$3,'計算A'!$A$4=0))),0,IF(2=$K32,200000,ABS(2-$K32)*100)),100000+ABS(3-$J32)*1000+20)+'計算A'!BA$5*50+IF(AND($E32=1,KN32=0),25,0),INDEX('計算A'!BA$110:BA$114,$F32+1)+IF(AND($E32=1,KN32=0),1000,0)+IF($H32=1,(IF('計算A'!AZ$117=1,INDEX('計算A'!AZ$10:AZ$54,$B32),0)+IF('計算A'!BA$117=1,INDEX('計算A'!BB$10:BB$54,$B32),0))*500,0)-IF(AND('計算A'!AZ$117=1,VX32&gt;0),300,0)-IF(AND($L32=1,'計算A'!BA$117=1,EZ32=0),300,0))),1000000))</f>
        <v/>
      </c>
      <c r="QD32">
        <f>IF($B32=0,1000000,IF(INDEX('計算A'!$D$60:$EQ$104,$B32,51)*EZ32=1,IF(AND($E32=2,KO32=0),1000000,IF($I32&gt;0,IF(3=$J32,IF(OR(AND(51=$I32+1,OR($K32&lt;&gt;'計算A'!$A$3,'計算A'!$A$4=0)),AND(51=$I32-1,OR(3&lt;&gt;'計算A'!$A$3,'計算A'!$A$4=0))),0,IF(3=$K32,200000,ABS(3-$K32)*100)),100000+ABS(3-$J32)*1000+30)+'計算A'!BB$5*50+IF(AND($E32=1,KO32=0),25,0),INDEX('計算A'!BB$110:BB$114,$F32+1)+IF(AND($E32=1,KO32=0),1000,0)+IF($H32=1,(IF('計算A'!BA$117=1,INDEX('計算A'!BA$10:BA$54,$B32),0)+IF('計算A'!BB$117=1,INDEX('計算A'!BC$10:BC$54,$B32),0))*500,0)-IF(AND('計算A'!BA$117=1,VY32&gt;0),300,0)-IF(AND($L32=1,'計算A'!BB$117=1,FA32=0),300,0))),1000000))</f>
        <v/>
      </c>
      <c r="QE32">
        <f>IF($B32=0,1000000,IF(INDEX('計算A'!$D$60:$EQ$104,$B32,52)*FA32=1,IF(AND($E32=2,KP32=0),1000000,IF($I32&gt;0,IF(3=$J32,IF(OR(AND(52=$I32+1,OR($K32&lt;&gt;'計算A'!$A$3,'計算A'!$A$4=0)),AND(52=$I32-1,OR(4&lt;&gt;'計算A'!$A$3,'計算A'!$A$4=0))),0,IF(4=$K32,200000,ABS(4-$K32)*100)),100000+ABS(3-$J32)*1000+40)+'計算A'!BC$5*50+IF(AND($E32=1,KP32=0),25,0),INDEX('計算A'!BC$110:BC$114,$F32+1)+IF(AND($E32=1,KP32=0),1000,0)+IF($H32=1,(IF('計算A'!BB$117=1,INDEX('計算A'!BB$10:BB$54,$B32),0)+IF('計算A'!BC$117=1,INDEX('計算A'!BD$10:BD$54,$B32),0))*500,0)-IF(AND('計算A'!BB$117=1,VZ32&gt;0),300,0)-IF(AND($L32=1,'計算A'!BC$117=1,FB32=0),300,0))),1000000))</f>
        <v/>
      </c>
      <c r="QF32">
        <f>IF($B32=0,1000000,IF(INDEX('計算A'!$D$60:$EQ$104,$B32,53)*FB32=1,IF(AND($E32=2,KQ32=0),1000000,IF($I32&gt;0,IF(3=$J32,IF(OR(AND(53=$I32+1,OR($K32&lt;&gt;'計算A'!$A$3,'計算A'!$A$4=0)),AND(53=$I32-1,OR(5&lt;&gt;'計算A'!$A$3,'計算A'!$A$4=0))),0,IF(5=$K32,200000,ABS(5-$K32)*100)),100000+ABS(3-$J32)*1000+50)+'計算A'!BD$5*50+IF(AND($E32=1,KQ32=0),25,0),INDEX('計算A'!BD$110:BD$114,$F32+1)+IF(AND($E32=1,KQ32=0),1000,0)+IF($H32=1,(IF('計算A'!BC$117=1,INDEX('計算A'!BC$10:BC$54,$B32),0)+IF('計算A'!BD$117=1,INDEX('計算A'!BE$10:BE$54,$B32),0))*500,0)-IF(AND('計算A'!BC$117=1,WA32&gt;0),300,0)-IF(AND($L32=1,'計算A'!BD$117=1,FC32=0),300,0))),1000000))</f>
        <v/>
      </c>
      <c r="QG32">
        <f>IF($B32=0,1000000,IF(INDEX('計算A'!$D$60:$EQ$104,$B32,54)*FC32=1,IF(AND($E32=2,KR32=0),1000000,IF($I32&gt;0,IF(3=$J32,IF(OR(AND(54=$I32+1,OR($K32&lt;&gt;'計算A'!$A$3,'計算A'!$A$4=0)),AND(54=$I32-1,OR(6&lt;&gt;'計算A'!$A$3,'計算A'!$A$4=0))),0,IF(6=$K32,200000,ABS(6-$K32)*100)),100000+ABS(3-$J32)*1000+60)+'計算A'!BE$5*50+IF(AND($E32=1,KR32=0),25,0),INDEX('計算A'!BE$110:BE$114,$F32+1)+IF(AND($E32=1,KR32=0),1000,0)+IF($H32=1,(IF('計算A'!BD$117=1,INDEX('計算A'!BD$10:BD$54,$B32),0)+IF('計算A'!BE$117=1,INDEX('計算A'!BF$10:BF$54,$B32),0))*500,0)-IF(AND('計算A'!BD$117=1,WB32&gt;0),300,0)-IF(AND($L32=1,'計算A'!BE$117=1,FD32=0),300,0))),1000000))</f>
        <v/>
      </c>
      <c r="QH32">
        <f>IF($B32=0,1000000,IF(INDEX('計算A'!$D$60:$EQ$104,$B32,55)*FD32=1,IF(AND($E32=2,KS32=0),1000000,IF($I32&gt;0,IF(3=$J32,IF(OR(AND(55=$I32+1,OR($K32&lt;&gt;'計算A'!$A$3,'計算A'!$A$4=0)),AND(55=$I32-1,OR(7&lt;&gt;'計算A'!$A$3,'計算A'!$A$4=0))),0,IF(7=$K32,200000,ABS(7-$K32)*100)),100000+ABS(3-$J32)*1000+70)+'計算A'!BF$5*50+IF(AND($E32=1,KS32=0),25,0),INDEX('計算A'!BF$110:BF$114,$F32+1)+IF(AND($E32=1,KS32=0),1000,0)+IF($H32=1,(IF('計算A'!BE$117=1,INDEX('計算A'!BE$10:BE$54,$B32),0)+IF('計算A'!BF$117=1,INDEX('計算A'!BG$10:BG$54,$B32),0))*500,0)-IF(AND('計算A'!BE$117=1,WC32&gt;0),300,0)-IF(AND($L32=1,'計算A'!BF$117=1,FE32=0),300,0))),1000000))</f>
        <v/>
      </c>
      <c r="QI32">
        <f>IF($B32=0,1000000,IF(INDEX('計算A'!$D$60:$EQ$104,$B32,56)*FE32=1,IF(AND($E32=2,KT32=0),1000000,IF($I32&gt;0,IF(3=$J32,IF(OR(AND(56=$I32+1,OR($K32&lt;&gt;'計算A'!$A$3,'計算A'!$A$4=0)),AND(56=$I32-1,OR(8&lt;&gt;'計算A'!$A$3,'計算A'!$A$4=0))),0,IF(8=$K32,200000,ABS(8-$K32)*100)),100000+ABS(3-$J32)*1000+80)+'計算A'!BG$5*50+IF(AND($E32=1,KT32=0),25,0),INDEX('計算A'!BG$110:BG$114,$F32+1)+IF(AND($E32=1,KT32=0),1000,0)+IF($H32=1,(IF('計算A'!BF$117=1,INDEX('計算A'!BF$10:BF$54,$B32),0)+IF('計算A'!BG$117=1,INDEX('計算A'!BH$10:BH$54,$B32),0))*500,0)-IF(AND('計算A'!BF$117=1,WD32&gt;0),300,0)-IF(AND($L32=1,'計算A'!BG$117=1,FF32=0),300,0))),1000000))</f>
        <v/>
      </c>
      <c r="QJ32">
        <f>IF($B32=0,1000000,IF(INDEX('計算A'!$D$60:$EQ$104,$B32,57)*FF32=1,IF(AND($E32=2,KU32=0),1000000,IF($I32&gt;0,IF(3=$J32,IF(OR(AND(57=$I32+1,OR($K32&lt;&gt;'計算A'!$A$3,'計算A'!$A$4=0)),AND(57=$I32-1,OR(9&lt;&gt;'計算A'!$A$3,'計算A'!$A$4=0))),0,IF(9=$K32,200000,ABS(9-$K32)*100)),100000+ABS(3-$J32)*1000+90)+'計算A'!BH$5*50+IF(AND($E32=1,KU32=0),25,0),INDEX('計算A'!BH$110:BH$114,$F32+1)+IF(AND($E32=1,KU32=0),1000,0)+IF($H32=1,(IF('計算A'!BG$117=1,INDEX('計算A'!BG$10:BG$54,$B32),0)+IF('計算A'!BH$117=1,INDEX('計算A'!BI$10:BI$54,$B32),0))*500,0)-IF(AND('計算A'!BG$117=1,WE32&gt;0),300,0)-IF(AND($L32=1,'計算A'!BH$117=1,FG32=0),300,0))),1000000))</f>
        <v/>
      </c>
      <c r="QK32">
        <f>IF($B32=0,1000000,IF(INDEX('計算A'!$D$60:$EQ$104,$B32,58)*FG32=1,IF(AND($E32=2,KV32=0),1000000,IF($I32&gt;0,IF(3=$J32,IF(OR(AND(58=$I32+1,OR($K32&lt;&gt;'計算A'!$A$3,'計算A'!$A$4=0)),AND(58=$I32-1,OR(10&lt;&gt;'計算A'!$A$3,'計算A'!$A$4=0))),0,IF(10=$K32,200000,ABS(10-$K32)*100)),100000+ABS(3-$J32)*1000+100)+'計算A'!BI$5*50+IF(AND($E32=1,KV32=0),25,0),INDEX('計算A'!BI$110:BI$114,$F32+1)+IF(AND($E32=1,KV32=0),1000,0)+IF($H32=1,(IF('計算A'!BH$117=1,INDEX('計算A'!BH$10:BH$54,$B32),0)+IF('計算A'!BI$117=1,INDEX('計算A'!BJ$10:BJ$54,$B32),0))*500,0)-IF(AND('計算A'!BH$117=1,WF32&gt;0),300,0)-IF(AND($L32=1,'計算A'!BI$117=1,FH32=0),300,0))),1000000))</f>
        <v/>
      </c>
      <c r="QL32">
        <f>IF($B32=0,1000000,IF(INDEX('計算A'!$D$60:$EQ$104,$B32,59)*FH32=1,IF(AND($E32=2,KW32=0),1000000,IF($I32&gt;0,IF(3=$J32,IF(OR(AND(59=$I32+1,OR($K32&lt;&gt;'計算A'!$A$3,'計算A'!$A$4=0)),AND(59=$I32-1,OR(11&lt;&gt;'計算A'!$A$3,'計算A'!$A$4=0))),0,IF(11=$K32,200000,ABS(11-$K32)*100)),100000+ABS(3-$J32)*1000+110)+'計算A'!BJ$5*50+IF(AND($E32=1,KW32=0),25,0),INDEX('計算A'!BJ$110:BJ$114,$F32+1)+IF(AND($E32=1,KW32=0),1000,0)+IF($H32=1,(IF('計算A'!BI$117=1,INDEX('計算A'!BI$10:BI$54,$B32),0)+IF('計算A'!BJ$117=1,INDEX('計算A'!BK$10:BK$54,$B32),0))*500,0)-IF(AND('計算A'!BI$117=1,WG32&gt;0),300,0)-IF(AND($L32=1,'計算A'!BJ$117=1,FI32=0),300,0))),1000000))</f>
        <v/>
      </c>
      <c r="QM32">
        <f>IF($B32=0,1000000,IF(INDEX('計算A'!$D$60:$EQ$104,$B32,60)*FI32=1,IF(AND($E32=2,KX32=0),1000000,IF($I32&gt;0,IF(3=$J32,IF(OR(AND(60=$I32+1,OR($K32&lt;&gt;'計算A'!$A$3,'計算A'!$A$4=0)),AND(60=$I32-1,OR(12&lt;&gt;'計算A'!$A$3,'計算A'!$A$4=0))),0,IF(12=$K32,200000,ABS(12-$K32)*100)),100000+ABS(3-$J32)*1000+120)+'計算A'!BK$5*50+IF(AND($E32=1,KX32=0),25,0),INDEX('計算A'!BK$110:BK$114,$F32+1)+IF(AND($E32=1,KX32=0),1000,0)+IF($H32=1,(IF('計算A'!BJ$117=1,INDEX('計算A'!BJ$10:BJ$54,$B32),0)+IF('計算A'!BK$117=1,INDEX('計算A'!BL$10:BL$54,$B32),0))*500,0)-IF(AND('計算A'!BJ$117=1,WH32&gt;0),300,0)-IF(AND($L32=1,'計算A'!BK$117=1,FJ32=0),300,0))),1000000))</f>
        <v/>
      </c>
      <c r="QN32">
        <f>IF($B32=0,1000000,IF(INDEX('計算A'!$D$60:$EQ$104,$B32,61)*FJ32=1,IF(AND($E32=2,KY32=0),1000000,IF($I32&gt;0,IF(3=$J32,IF(OR(AND(61=$I32+1,OR($K32&lt;&gt;'計算A'!$A$3,'計算A'!$A$4=0)),AND(61=$I32-1,OR(13&lt;&gt;'計算A'!$A$3,'計算A'!$A$4=0))),0,IF(13=$K32,200000,ABS(13-$K32)*100)),100000+ABS(3-$J32)*1000+130)+'計算A'!BL$5*50+IF(AND($E32=1,KY32=0),25,0),INDEX('計算A'!BL$110:BL$114,$F32+1)+IF(AND($E32=1,KY32=0),1000,0)+IF($H32=1,(IF('計算A'!BK$117=1,INDEX('計算A'!BK$10:BK$54,$B32),0)+IF('計算A'!BL$117=1,INDEX('計算A'!BM$10:BM$54,$B32),0))*500,0)-IF(AND('計算A'!BK$117=1,WI32&gt;0),300,0)-IF(AND($L32=1,'計算A'!BL$117=1,FK32=0),300,0))),1000000))</f>
        <v/>
      </c>
      <c r="QO32">
        <f>IF($B32=0,1000000,IF(INDEX('計算A'!$D$60:$EQ$104,$B32,62)*FK32=1,IF(AND($E32=2,KZ32=0),1000000,IF($I32&gt;0,IF(3=$J32,IF(OR(AND(62=$I32+1,OR($K32&lt;&gt;'計算A'!$A$3,'計算A'!$A$4=0)),AND(62=$I32-1,OR(14&lt;&gt;'計算A'!$A$3,'計算A'!$A$4=0))),0,IF(14=$K32,200000,ABS(14-$K32)*100)),100000+ABS(3-$J32)*1000+140)+'計算A'!BM$5*50+IF(AND($E32=1,KZ32=0),25,0),INDEX('計算A'!BM$110:BM$114,$F32+1)+IF(AND($E32=1,KZ32=0),1000,0)+IF($H32=1,(IF('計算A'!BL$117=1,INDEX('計算A'!BL$10:BL$54,$B32),0)+IF('計算A'!BM$117=1,INDEX('計算A'!BN$10:BN$54,$B32),0))*500,0)-IF(AND('計算A'!BL$117=1,WJ32&gt;0),300,0)-IF(AND($L32=1,'計算A'!BM$117=1,FL32=0),300,0))),1000000))</f>
        <v/>
      </c>
      <c r="QP32">
        <f>IF($B32=0,1000000,IF(INDEX('計算A'!$D$60:$EQ$104,$B32,63)*FL32=1,IF(AND($E32=2,LA32=0),1000000,IF($I32&gt;0,IF(3=$J32,IF(OR(AND(63=$I32+1,OR($K32&lt;&gt;'計算A'!$A$3,'計算A'!$A$4=0)),AND(63=$I32-1,OR(15&lt;&gt;'計算A'!$A$3,'計算A'!$A$4=0))),0,IF(15=$K32,200000,ABS(15-$K32)*100)),100000+ABS(3-$J32)*1000+150)+'計算A'!BN$5*50+IF(AND($E32=1,LA32=0),25,0),INDEX('計算A'!BN$110:BN$114,$F32+1)+IF(AND($E32=1,LA32=0),1000,0)+IF($H32=1,(IF('計算A'!BM$117=1,INDEX('計算A'!BM$10:BM$54,$B32),0)+IF('計算A'!BN$117=1,INDEX('計算A'!BO$10:BO$54,$B32),0))*500,0)-IF(AND('計算A'!BM$117=1,WK32&gt;0),300,0)-IF(AND($L32=1,'計算A'!BN$117=1,FM32=0),300,0))),1000000))</f>
        <v/>
      </c>
      <c r="QQ32">
        <f>IF($B32=0,1000000,IF(INDEX('計算A'!$D$60:$EQ$104,$B32,64)*FM32=1,IF(AND($E32=2,LB32=0),1000000,IF($I32&gt;0,IF(3=$J32,IF(OR(AND(64=$I32+1,OR($K32&lt;&gt;'計算A'!$A$3,'計算A'!$A$4=0)),AND(64=$I32-1,OR(16&lt;&gt;'計算A'!$A$3,'計算A'!$A$4=0))),0,IF(16=$K32,200000,ABS(16-$K32)*100)),100000+ABS(3-$J32)*1000+160)+'計算A'!BO$5*50+IF(AND($E32=1,LB32=0),25,0),INDEX('計算A'!BO$110:BO$114,$F32+1)+IF(AND($E32=1,LB32=0),1000,0)+IF($H32=1,(IF('計算A'!BN$117=1,INDEX('計算A'!BN$10:BN$54,$B32),0)+IF('計算A'!BO$117=1,INDEX('計算A'!BP$10:BP$54,$B32),0))*500,0)-IF(AND('計算A'!BN$117=1,WL32&gt;0),300,0)-IF(AND($L32=1,'計算A'!BO$117=1,FN32=0),300,0))),1000000))</f>
        <v/>
      </c>
      <c r="QR32">
        <f>IF($B32=0,1000000,IF(INDEX('計算A'!$D$60:$EQ$104,$B32,65)*FN32=1,IF(AND($E32=2,LC32=0),1000000,IF($I32&gt;0,IF(3=$J32,IF(OR(AND(65=$I32+1,OR($K32&lt;&gt;'計算A'!$A$3,'計算A'!$A$4=0)),AND(65=$I32-1,OR(17&lt;&gt;'計算A'!$A$3,'計算A'!$A$4=0))),0,IF(17=$K32,200000,ABS(17-$K32)*100)),100000+ABS(3-$J32)*1000+170)+'計算A'!BP$5*50+IF(AND($E32=1,LC32=0),25,0),INDEX('計算A'!BP$110:BP$114,$F32+1)+IF(AND($E32=1,LC32=0),1000,0)+IF($H32=1,(IF('計算A'!BO$117=1,INDEX('計算A'!BO$10:BO$54,$B32),0)+IF('計算A'!BP$117=1,INDEX('計算A'!BQ$10:BQ$54,$B32),0))*500,0)-IF(AND('計算A'!BO$117=1,WM32&gt;0),300,0)-IF(AND($L32=1,'計算A'!BP$117=1,FO32=0),300,0))),1000000))</f>
        <v/>
      </c>
      <c r="QS32">
        <f>IF($B32=0,1000000,IF(INDEX('計算A'!$D$60:$EQ$104,$B32,66)*FO32=1,IF(AND($E32=2,LD32=0),1000000,IF($I32&gt;0,IF(3=$J32,IF(OR(AND(66=$I32+1,OR($K32&lt;&gt;'計算A'!$A$3,'計算A'!$A$4=0)),AND(66=$I32-1,OR(18&lt;&gt;'計算A'!$A$3,'計算A'!$A$4=0))),0,IF(18=$K32,200000,ABS(18-$K32)*100)),100000+ABS(3-$J32)*1000+180)+'計算A'!BQ$5*50+IF(AND($E32=1,LD32=0),25,0),INDEX('計算A'!BQ$110:BQ$114,$F32+1)+IF(AND($E32=1,LD32=0),1000,0)+IF($H32=1,(IF('計算A'!BP$117=1,INDEX('計算A'!BP$10:BP$54,$B32),0)+IF('計算A'!BQ$117=1,INDEX('計算A'!BR$10:BR$54,$B32),0))*500,0)-IF(AND('計算A'!BP$117=1,WN32&gt;0),300,0)-IF(AND($L32=1,'計算A'!BQ$117=1,FP32=0),300,0))),1000000))</f>
        <v/>
      </c>
      <c r="QT32">
        <f>IF($B32=0,1000000,IF(INDEX('計算A'!$D$60:$EQ$104,$B32,67)*FP32=1,IF(AND($E32=2,LE32=0),1000000,IF($I32&gt;0,IF(3=$J32,IF(OR(AND(67=$I32+1,OR($K32&lt;&gt;'計算A'!$A$3,'計算A'!$A$4=0)),AND(67=$I32-1,OR(19&lt;&gt;'計算A'!$A$3,'計算A'!$A$4=0))),0,IF(19=$K32,200000,ABS(19-$K32)*100)),100000+ABS(3-$J32)*1000+190)+'計算A'!BR$5*50+IF(AND($E32=1,LE32=0),25,0),INDEX('計算A'!BR$110:BR$114,$F32+1)+IF(AND($E32=1,LE32=0),1000,0)+IF($H32=1,(IF('計算A'!BQ$117=1,INDEX('計算A'!BQ$10:BQ$54,$B32),0)+IF('計算A'!BR$117=1,INDEX('計算A'!BS$10:BS$54,$B32),0))*500,0)-IF(AND('計算A'!BQ$117=1,WO32&gt;0),300,0)-IF(AND($L32=1,'計算A'!BR$117=1,FQ32=0),300,0))),1000000))</f>
        <v/>
      </c>
      <c r="QU32">
        <f>IF($B32=0,1000000,IF(INDEX('計算A'!$D$60:$EQ$104,$B32,68)*FQ32=1,IF(AND($E32=2,LF32=0),1000000,IF($I32&gt;0,IF(3=$J32,IF(OR(AND(68=$I32+1,OR($K32&lt;&gt;'計算A'!$A$3,'計算A'!$A$4=0)),AND(68=$I32-1,OR(20&lt;&gt;'計算A'!$A$3,'計算A'!$A$4=0))),0,IF(20=$K32,200000,ABS(20-$K32)*100)),100000+ABS(3-$J32)*1000+200)+'計算A'!BS$5*50+IF(AND($E32=1,LF32=0),25,0),INDEX('計算A'!BS$110:BS$114,$F32+1)+IF(AND($E32=1,LF32=0),1000,0)+IF($H32=1,(IF('計算A'!BR$117=1,INDEX('計算A'!BR$10:BR$54,$B32),0)+IF('計算A'!BS$117=1,INDEX('計算A'!BT$10:BT$54,$B32),0))*500,0)-IF(AND('計算A'!BR$117=1,WP32&gt;0),300,0)-IF(AND($L32=1,'計算A'!BS$117=1,FR32=0),300,0))),1000000))</f>
        <v/>
      </c>
      <c r="QV32">
        <f>IF($B32=0,1000000,IF(INDEX('計算A'!$D$60:$EQ$104,$B32,69)*FR32=1,IF(AND($E32=2,LG32=0),1000000,IF($I32&gt;0,IF(3=$J32,IF(OR(AND(69=$I32+1,OR($K32&lt;&gt;'計算A'!$A$3,'計算A'!$A$4=0)),AND(69=$I32-1,OR(21&lt;&gt;'計算A'!$A$3,'計算A'!$A$4=0))),0,IF(21=$K32,200000,ABS(21-$K32)*100)),100000+ABS(3-$J32)*1000+210)+'計算A'!BT$5*50+IF(AND($E32=1,LG32=0),25,0),INDEX('計算A'!BT$110:BT$114,$F32+1)+IF(AND($E32=1,LG32=0),1000,0)+IF($H32=1,(IF('計算A'!BS$117=1,INDEX('計算A'!BS$10:BS$54,$B32),0)+IF('計算A'!BT$117=1,INDEX('計算A'!BU$10:BU$54,$B32),0))*500,0)-IF(AND('計算A'!BS$117=1,WQ32&gt;0),300,0)-IF(AND($L32=1,'計算A'!BT$117=1,FS32=0),300,0))),1000000))</f>
        <v/>
      </c>
      <c r="QW32">
        <f>IF($B32=0,1000000,IF(INDEX('計算A'!$D$60:$EQ$104,$B32,70)*FS32=1,IF(AND($E32=2,LH32=0),1000000,IF($I32&gt;0,IF(3=$J32,IF(OR(AND(70=$I32+1,OR($K32&lt;&gt;'計算A'!$A$3,'計算A'!$A$4=0)),AND(70=$I32-1,OR(22&lt;&gt;'計算A'!$A$3,'計算A'!$A$4=0))),0,IF(22=$K32,200000,ABS(22-$K32)*100)),100000+ABS(3-$J32)*1000+220)+'計算A'!BU$5*50+IF(AND($E32=1,LH32=0),25,0),INDEX('計算A'!BU$110:BU$114,$F32+1)+IF(AND($E32=1,LH32=0),1000,0)+IF($H32=1,(IF('計算A'!BT$117=1,INDEX('計算A'!BT$10:BT$54,$B32),0)+IF('計算A'!BU$117=1,INDEX('計算A'!BV$10:BV$54,$B32),0))*500,0)-IF(AND('計算A'!BT$117=1,WR32&gt;0),300,0)-IF(AND($L32=1,'計算A'!BU$117=1,FT32=0),300,0))),1000000))</f>
        <v/>
      </c>
      <c r="QX32">
        <f>IF($B32=0,1000000,IF(INDEX('計算A'!$D$60:$EQ$104,$B32,71)*FT32=1,IF(AND($E32=2,LI32=0),1000000,IF($I32&gt;0,IF(3=$J32,IF(OR(AND(71=$I32+1,OR($K32&lt;&gt;'計算A'!$A$3,'計算A'!$A$4=0)),AND(71=$I32-1,OR(23&lt;&gt;'計算A'!$A$3,'計算A'!$A$4=0))),0,IF(23=$K32,200000,ABS(23-$K32)*100)),100000+ABS(3-$J32)*1000+230)+'計算A'!BV$5*50+IF(AND($E32=1,LI32=0),25,0),INDEX('計算A'!BV$110:BV$114,$F32+1)+IF(AND($E32=1,LI32=0),1000,0)+IF($H32=1,(IF('計算A'!BU$117=1,INDEX('計算A'!BU$10:BU$54,$B32),0)+IF('計算A'!BV$117=1,INDEX('計算A'!BW$10:BW$54,$B32),0))*500,0)-IF(AND('計算A'!BU$117=1,WS32&gt;0),300,0)-IF(AND($L32=1,'計算A'!BV$117=1,FU32=0),300,0))),1000000))</f>
        <v/>
      </c>
      <c r="QY32">
        <f>IF($B32=0,1000000,IF(INDEX('計算A'!$D$60:$EQ$104,$B32,72)*FU32=1,IF(AND($E32=2,LJ32=0),1000000,IF($I32&gt;0,IF(3=$J32,IF(OR(AND(72=$I32+1,OR($K32&lt;&gt;'計算A'!$A$3,'計算A'!$A$4=0)),AND(72=$I32-1,OR(24&lt;&gt;'計算A'!$A$3,'計算A'!$A$4=0))),0,IF(24=$K32,200000,ABS(24-$K32)*100)),100000+ABS(3-$J32)*1000+240)+'計算A'!BW$5*50+IF(AND($E32=1,LJ32=0),25,0),INDEX('計算A'!BW$110:BW$114,$F32+1)+IF(AND($E32=1,LJ32=0),1000,0)+IF($H32=1,(IF('計算A'!BV$117=1,INDEX('計算A'!BV$10:BV$54,$B32),0))*500,0)-IF(AND('計算A'!BV$117=1,WT32&gt;0),300,0))),1000000))</f>
        <v/>
      </c>
      <c r="QZ32">
        <f>IF($B32=0,1000000,IF(INDEX('計算A'!$D$60:$EQ$104,$B32,73)*FV32=1,IF(AND($E32=2,LK32=0),1000000,IF($I32&gt;0,IF(4=$J32,IF(OR(AND(73=$I32+1,OR($K32&lt;&gt;'計算A'!$A$3,'計算A'!$A$4=0)),AND(73=$I32-1,OR(1&lt;&gt;'計算A'!$A$3,'計算A'!$A$4=0))),0,IF(1=$K32,200000,ABS(1-$K32)*100)),100000+ABS(4-$J32)*1000+10)+'計算A'!BX$5*50+IF(AND($E32=1,LK32=0),25,0),INDEX('計算A'!BX$110:BX$114,$F32+1)+IF(AND($E32=1,LK32=0),1000,0)+IF($H32=1,(IF('計算A'!BX$117=1,INDEX('計算A'!BY$10:BY$54,$B32),0))*500,0)-IF(AND($L32=1,'計算A'!BX$117=1,FW32=0),300,0))),1000000))</f>
        <v/>
      </c>
      <c r="RA32">
        <f>IF($B32=0,1000000,IF(INDEX('計算A'!$D$60:$EQ$104,$B32,74)*FW32=1,IF(AND($E32=2,LL32=0),1000000,IF($I32&gt;0,IF(4=$J32,IF(OR(AND(74=$I32+1,OR($K32&lt;&gt;'計算A'!$A$3,'計算A'!$A$4=0)),AND(74=$I32-1,OR(2&lt;&gt;'計算A'!$A$3,'計算A'!$A$4=0))),0,IF(2=$K32,200000,ABS(2-$K32)*100)),100000+ABS(4-$J32)*1000+20)+'計算A'!BY$5*50+IF(AND($E32=1,LL32=0),25,0),INDEX('計算A'!BY$110:BY$114,$F32+1)+IF(AND($E32=1,LL32=0),1000,0)+IF($H32=1,(IF('計算A'!BX$117=1,INDEX('計算A'!BX$10:BX$54,$B32),0)+IF('計算A'!BY$117=1,INDEX('計算A'!BZ$10:BZ$54,$B32),0))*500,0)-IF(AND('計算A'!BX$117=1,WV32&gt;0),300,0)-IF(AND($L32=1,'計算A'!BY$117=1,FX32=0),300,0))),1000000))</f>
        <v/>
      </c>
      <c r="RB32">
        <f>IF($B32=0,1000000,IF(INDEX('計算A'!$D$60:$EQ$104,$B32,75)*FX32=1,IF(AND($E32=2,LM32=0),1000000,IF($I32&gt;0,IF(4=$J32,IF(OR(AND(75=$I32+1,OR($K32&lt;&gt;'計算A'!$A$3,'計算A'!$A$4=0)),AND(75=$I32-1,OR(3&lt;&gt;'計算A'!$A$3,'計算A'!$A$4=0))),0,IF(3=$K32,200000,ABS(3-$K32)*100)),100000+ABS(4-$J32)*1000+30)+'計算A'!BZ$5*50+IF(AND($E32=1,LM32=0),25,0),INDEX('計算A'!BZ$110:BZ$114,$F32+1)+IF(AND($E32=1,LM32=0),1000,0)+IF($H32=1,(IF('計算A'!BY$117=1,INDEX('計算A'!BY$10:BY$54,$B32),0)+IF('計算A'!BZ$117=1,INDEX('計算A'!CA$10:CA$54,$B32),0))*500,0)-IF(AND('計算A'!BY$117=1,WW32&gt;0),300,0)-IF(AND($L32=1,'計算A'!BZ$117=1,FY32=0),300,0))),1000000))</f>
        <v/>
      </c>
      <c r="RC32">
        <f>IF($B32=0,1000000,IF(INDEX('計算A'!$D$60:$EQ$104,$B32,76)*FY32=1,IF(AND($E32=2,LN32=0),1000000,IF($I32&gt;0,IF(4=$J32,IF(OR(AND(76=$I32+1,OR($K32&lt;&gt;'計算A'!$A$3,'計算A'!$A$4=0)),AND(76=$I32-1,OR(4&lt;&gt;'計算A'!$A$3,'計算A'!$A$4=0))),0,IF(4=$K32,200000,ABS(4-$K32)*100)),100000+ABS(4-$J32)*1000+40)+'計算A'!CA$5*50+IF(AND($E32=1,LN32=0),25,0),INDEX('計算A'!CA$110:CA$114,$F32+1)+IF(AND($E32=1,LN32=0),1000,0)+IF($H32=1,(IF('計算A'!BZ$117=1,INDEX('計算A'!BZ$10:BZ$54,$B32),0)+IF('計算A'!CA$117=1,INDEX('計算A'!CB$10:CB$54,$B32),0))*500,0)-IF(AND('計算A'!BZ$117=1,WX32&gt;0),300,0)-IF(AND($L32=1,'計算A'!CA$117=1,FZ32=0),300,0))),1000000))</f>
        <v/>
      </c>
      <c r="RD32">
        <f>IF($B32=0,1000000,IF(INDEX('計算A'!$D$60:$EQ$104,$B32,77)*FZ32=1,IF(AND($E32=2,LO32=0),1000000,IF($I32&gt;0,IF(4=$J32,IF(OR(AND(77=$I32+1,OR($K32&lt;&gt;'計算A'!$A$3,'計算A'!$A$4=0)),AND(77=$I32-1,OR(5&lt;&gt;'計算A'!$A$3,'計算A'!$A$4=0))),0,IF(5=$K32,200000,ABS(5-$K32)*100)),100000+ABS(4-$J32)*1000+50)+'計算A'!CB$5*50+IF(AND($E32=1,LO32=0),25,0),INDEX('計算A'!CB$110:CB$114,$F32+1)+IF(AND($E32=1,LO32=0),1000,0)+IF($H32=1,(IF('計算A'!CA$117=1,INDEX('計算A'!CA$10:CA$54,$B32),0)+IF('計算A'!CB$117=1,INDEX('計算A'!CC$10:CC$54,$B32),0))*500,0)-IF(AND('計算A'!CA$117=1,WY32&gt;0),300,0)-IF(AND($L32=1,'計算A'!CB$117=1,GA32=0),300,0))),1000000))</f>
        <v/>
      </c>
      <c r="RE32">
        <f>IF($B32=0,1000000,IF(INDEX('計算A'!$D$60:$EQ$104,$B32,78)*GA32=1,IF(AND($E32=2,LP32=0),1000000,IF($I32&gt;0,IF(4=$J32,IF(OR(AND(78=$I32+1,OR($K32&lt;&gt;'計算A'!$A$3,'計算A'!$A$4=0)),AND(78=$I32-1,OR(6&lt;&gt;'計算A'!$A$3,'計算A'!$A$4=0))),0,IF(6=$K32,200000,ABS(6-$K32)*100)),100000+ABS(4-$J32)*1000+60)+'計算A'!CC$5*50+IF(AND($E32=1,LP32=0),25,0),INDEX('計算A'!CC$110:CC$114,$F32+1)+IF(AND($E32=1,LP32=0),1000,0)+IF($H32=1,(IF('計算A'!CB$117=1,INDEX('計算A'!CB$10:CB$54,$B32),0)+IF('計算A'!CC$117=1,INDEX('計算A'!CD$10:CD$54,$B32),0))*500,0)-IF(AND('計算A'!CB$117=1,WZ32&gt;0),300,0)-IF(AND($L32=1,'計算A'!CC$117=1,GB32=0),300,0))),1000000))</f>
        <v/>
      </c>
      <c r="RF32">
        <f>IF($B32=0,1000000,IF(INDEX('計算A'!$D$60:$EQ$104,$B32,79)*GB32=1,IF(AND($E32=2,LQ32=0),1000000,IF($I32&gt;0,IF(4=$J32,IF(OR(AND(79=$I32+1,OR($K32&lt;&gt;'計算A'!$A$3,'計算A'!$A$4=0)),AND(79=$I32-1,OR(7&lt;&gt;'計算A'!$A$3,'計算A'!$A$4=0))),0,IF(7=$K32,200000,ABS(7-$K32)*100)),100000+ABS(4-$J32)*1000+70)+'計算A'!CD$5*50+IF(AND($E32=1,LQ32=0),25,0),INDEX('計算A'!CD$110:CD$114,$F32+1)+IF(AND($E32=1,LQ32=0),1000,0)+IF($H32=1,(IF('計算A'!CC$117=1,INDEX('計算A'!CC$10:CC$54,$B32),0)+IF('計算A'!CD$117=1,INDEX('計算A'!CE$10:CE$54,$B32),0))*500,0)-IF(AND('計算A'!CC$117=1,XA32&gt;0),300,0)-IF(AND($L32=1,'計算A'!CD$117=1,GC32=0),300,0))),1000000))</f>
        <v/>
      </c>
      <c r="RG32">
        <f>IF($B32=0,1000000,IF(INDEX('計算A'!$D$60:$EQ$104,$B32,80)*GC32=1,IF(AND($E32=2,LR32=0),1000000,IF($I32&gt;0,IF(4=$J32,IF(OR(AND(80=$I32+1,OR($K32&lt;&gt;'計算A'!$A$3,'計算A'!$A$4=0)),AND(80=$I32-1,OR(8&lt;&gt;'計算A'!$A$3,'計算A'!$A$4=0))),0,IF(8=$K32,200000,ABS(8-$K32)*100)),100000+ABS(4-$J32)*1000+80)+'計算A'!CE$5*50+IF(AND($E32=1,LR32=0),25,0),INDEX('計算A'!CE$110:CE$114,$F32+1)+IF(AND($E32=1,LR32=0),1000,0)+IF($H32=1,(IF('計算A'!CD$117=1,INDEX('計算A'!CD$10:CD$54,$B32),0)+IF('計算A'!CE$117=1,INDEX('計算A'!CF$10:CF$54,$B32),0))*500,0)-IF(AND('計算A'!CD$117=1,XB32&gt;0),300,0)-IF(AND($L32=1,'計算A'!CE$117=1,GD32=0),300,0))),1000000))</f>
        <v/>
      </c>
      <c r="RH32">
        <f>IF($B32=0,1000000,IF(INDEX('計算A'!$D$60:$EQ$104,$B32,81)*GD32=1,IF(AND($E32=2,LS32=0),1000000,IF($I32&gt;0,IF(4=$J32,IF(OR(AND(81=$I32+1,OR($K32&lt;&gt;'計算A'!$A$3,'計算A'!$A$4=0)),AND(81=$I32-1,OR(9&lt;&gt;'計算A'!$A$3,'計算A'!$A$4=0))),0,IF(9=$K32,200000,ABS(9-$K32)*100)),100000+ABS(4-$J32)*1000+90)+'計算A'!CF$5*50+IF(AND($E32=1,LS32=0),25,0),INDEX('計算A'!CF$110:CF$114,$F32+1)+IF(AND($E32=1,LS32=0),1000,0)+IF($H32=1,(IF('計算A'!CE$117=1,INDEX('計算A'!CE$10:CE$54,$B32),0)+IF('計算A'!CF$117=1,INDEX('計算A'!CG$10:CG$54,$B32),0))*500,0)-IF(AND('計算A'!CE$117=1,XC32&gt;0),300,0)-IF(AND($L32=1,'計算A'!CF$117=1,GE32=0),300,0))),1000000))</f>
        <v/>
      </c>
      <c r="RI32">
        <f>IF($B32=0,1000000,IF(INDEX('計算A'!$D$60:$EQ$104,$B32,82)*GE32=1,IF(AND($E32=2,LT32=0),1000000,IF($I32&gt;0,IF(4=$J32,IF(OR(AND(82=$I32+1,OR($K32&lt;&gt;'計算A'!$A$3,'計算A'!$A$4=0)),AND(82=$I32-1,OR(10&lt;&gt;'計算A'!$A$3,'計算A'!$A$4=0))),0,IF(10=$K32,200000,ABS(10-$K32)*100)),100000+ABS(4-$J32)*1000+100)+'計算A'!CG$5*50+IF(AND($E32=1,LT32=0),25,0),INDEX('計算A'!CG$110:CG$114,$F32+1)+IF(AND($E32=1,LT32=0),1000,0)+IF($H32=1,(IF('計算A'!CF$117=1,INDEX('計算A'!CF$10:CF$54,$B32),0)+IF('計算A'!CG$117=1,INDEX('計算A'!CH$10:CH$54,$B32),0))*500,0)-IF(AND('計算A'!CF$117=1,XD32&gt;0),300,0)-IF(AND($L32=1,'計算A'!CG$117=1,GF32=0),300,0))),1000000))</f>
        <v/>
      </c>
      <c r="RJ32">
        <f>IF($B32=0,1000000,IF(INDEX('計算A'!$D$60:$EQ$104,$B32,83)*GF32=1,IF(AND($E32=2,LU32=0),1000000,IF($I32&gt;0,IF(4=$J32,IF(OR(AND(83=$I32+1,OR($K32&lt;&gt;'計算A'!$A$3,'計算A'!$A$4=0)),AND(83=$I32-1,OR(11&lt;&gt;'計算A'!$A$3,'計算A'!$A$4=0))),0,IF(11=$K32,200000,ABS(11-$K32)*100)),100000+ABS(4-$J32)*1000+110)+'計算A'!CH$5*50+IF(AND($E32=1,LU32=0),25,0),INDEX('計算A'!CH$110:CH$114,$F32+1)+IF(AND($E32=1,LU32=0),1000,0)+IF($H32=1,(IF('計算A'!CG$117=1,INDEX('計算A'!CG$10:CG$54,$B32),0)+IF('計算A'!CH$117=1,INDEX('計算A'!CI$10:CI$54,$B32),0))*500,0)-IF(AND('計算A'!CG$117=1,XE32&gt;0),300,0)-IF(AND($L32=1,'計算A'!CH$117=1,GG32=0),300,0))),1000000))</f>
        <v/>
      </c>
      <c r="RK32">
        <f>IF($B32=0,1000000,IF(INDEX('計算A'!$D$60:$EQ$104,$B32,84)*GG32=1,IF(AND($E32=2,LV32=0),1000000,IF($I32&gt;0,IF(4=$J32,IF(OR(AND(84=$I32+1,OR($K32&lt;&gt;'計算A'!$A$3,'計算A'!$A$4=0)),AND(84=$I32-1,OR(12&lt;&gt;'計算A'!$A$3,'計算A'!$A$4=0))),0,IF(12=$K32,200000,ABS(12-$K32)*100)),100000+ABS(4-$J32)*1000+120)+'計算A'!CI$5*50+IF(AND($E32=1,LV32=0),25,0),INDEX('計算A'!CI$110:CI$114,$F32+1)+IF(AND($E32=1,LV32=0),1000,0)+IF($H32=1,(IF('計算A'!CH$117=1,INDEX('計算A'!CH$10:CH$54,$B32),0)+IF('計算A'!CI$117=1,INDEX('計算A'!CJ$10:CJ$54,$B32),0))*500,0)-IF(AND('計算A'!CH$117=1,XF32&gt;0),300,0)-IF(AND($L32=1,'計算A'!CI$117=1,GH32=0),300,0))),1000000))</f>
        <v/>
      </c>
      <c r="RL32">
        <f>IF($B32=0,1000000,IF(INDEX('計算A'!$D$60:$EQ$104,$B32,85)*GH32=1,IF(AND($E32=2,LW32=0),1000000,IF($I32&gt;0,IF(4=$J32,IF(OR(AND(85=$I32+1,OR($K32&lt;&gt;'計算A'!$A$3,'計算A'!$A$4=0)),AND(85=$I32-1,OR(13&lt;&gt;'計算A'!$A$3,'計算A'!$A$4=0))),0,IF(13=$K32,200000,ABS(13-$K32)*100)),100000+ABS(4-$J32)*1000+130)+'計算A'!CJ$5*50+IF(AND($E32=1,LW32=0),25,0),INDEX('計算A'!CJ$110:CJ$114,$F32+1)+IF(AND($E32=1,LW32=0),1000,0)+IF($H32=1,(IF('計算A'!CI$117=1,INDEX('計算A'!CI$10:CI$54,$B32),0)+IF('計算A'!CJ$117=1,INDEX('計算A'!CK$10:CK$54,$B32),0))*500,0)-IF(AND('計算A'!CI$117=1,XG32&gt;0),300,0)-IF(AND($L32=1,'計算A'!CJ$117=1,GI32=0),300,0))),1000000))</f>
        <v/>
      </c>
      <c r="RM32">
        <f>IF($B32=0,1000000,IF(INDEX('計算A'!$D$60:$EQ$104,$B32,86)*GI32=1,IF(AND($E32=2,LX32=0),1000000,IF($I32&gt;0,IF(4=$J32,IF(OR(AND(86=$I32+1,OR($K32&lt;&gt;'計算A'!$A$3,'計算A'!$A$4=0)),AND(86=$I32-1,OR(14&lt;&gt;'計算A'!$A$3,'計算A'!$A$4=0))),0,IF(14=$K32,200000,ABS(14-$K32)*100)),100000+ABS(4-$J32)*1000+140)+'計算A'!CK$5*50+IF(AND($E32=1,LX32=0),25,0),INDEX('計算A'!CK$110:CK$114,$F32+1)+IF(AND($E32=1,LX32=0),1000,0)+IF($H32=1,(IF('計算A'!CJ$117=1,INDEX('計算A'!CJ$10:CJ$54,$B32),0)+IF('計算A'!CK$117=1,INDEX('計算A'!CL$10:CL$54,$B32),0))*500,0)-IF(AND('計算A'!CJ$117=1,XH32&gt;0),300,0)-IF(AND($L32=1,'計算A'!CK$117=1,GJ32=0),300,0))),1000000))</f>
        <v/>
      </c>
      <c r="RN32">
        <f>IF($B32=0,1000000,IF(INDEX('計算A'!$D$60:$EQ$104,$B32,87)*GJ32=1,IF(AND($E32=2,LY32=0),1000000,IF($I32&gt;0,IF(4=$J32,IF(OR(AND(87=$I32+1,OR($K32&lt;&gt;'計算A'!$A$3,'計算A'!$A$4=0)),AND(87=$I32-1,OR(15&lt;&gt;'計算A'!$A$3,'計算A'!$A$4=0))),0,IF(15=$K32,200000,ABS(15-$K32)*100)),100000+ABS(4-$J32)*1000+150)+'計算A'!CL$5*50+IF(AND($E32=1,LY32=0),25,0),INDEX('計算A'!CL$110:CL$114,$F32+1)+IF(AND($E32=1,LY32=0),1000,0)+IF($H32=1,(IF('計算A'!CK$117=1,INDEX('計算A'!CK$10:CK$54,$B32),0)+IF('計算A'!CL$117=1,INDEX('計算A'!CM$10:CM$54,$B32),0))*500,0)-IF(AND('計算A'!CK$117=1,XI32&gt;0),300,0)-IF(AND($L32=1,'計算A'!CL$117=1,GK32=0),300,0))),1000000))</f>
        <v/>
      </c>
      <c r="RO32">
        <f>IF($B32=0,1000000,IF(INDEX('計算A'!$D$60:$EQ$104,$B32,88)*GK32=1,IF(AND($E32=2,LZ32=0),1000000,IF($I32&gt;0,IF(4=$J32,IF(OR(AND(88=$I32+1,OR($K32&lt;&gt;'計算A'!$A$3,'計算A'!$A$4=0)),AND(88=$I32-1,OR(16&lt;&gt;'計算A'!$A$3,'計算A'!$A$4=0))),0,IF(16=$K32,200000,ABS(16-$K32)*100)),100000+ABS(4-$J32)*1000+160)+'計算A'!CM$5*50+IF(AND($E32=1,LZ32=0),25,0),INDEX('計算A'!CM$110:CM$114,$F32+1)+IF(AND($E32=1,LZ32=0),1000,0)+IF($H32=1,(IF('計算A'!CL$117=1,INDEX('計算A'!CL$10:CL$54,$B32),0)+IF('計算A'!CM$117=1,INDEX('計算A'!CN$10:CN$54,$B32),0))*500,0)-IF(AND('計算A'!CL$117=1,XJ32&gt;0),300,0)-IF(AND($L32=1,'計算A'!CM$117=1,GL32=0),300,0))),1000000))</f>
        <v/>
      </c>
      <c r="RP32">
        <f>IF($B32=0,1000000,IF(INDEX('計算A'!$D$60:$EQ$104,$B32,89)*GL32=1,IF(AND($E32=2,MA32=0),1000000,IF($I32&gt;0,IF(4=$J32,IF(OR(AND(89=$I32+1,OR($K32&lt;&gt;'計算A'!$A$3,'計算A'!$A$4=0)),AND(89=$I32-1,OR(17&lt;&gt;'計算A'!$A$3,'計算A'!$A$4=0))),0,IF(17=$K32,200000,ABS(17-$K32)*100)),100000+ABS(4-$J32)*1000+170)+'計算A'!CN$5*50+IF(AND($E32=1,MA32=0),25,0),INDEX('計算A'!CN$110:CN$114,$F32+1)+IF(AND($E32=1,MA32=0),1000,0)+IF($H32=1,(IF('計算A'!CM$117=1,INDEX('計算A'!CM$10:CM$54,$B32),0)+IF('計算A'!CN$117=1,INDEX('計算A'!CO$10:CO$54,$B32),0))*500,0)-IF(AND('計算A'!CM$117=1,XK32&gt;0),300,0)-IF(AND($L32=1,'計算A'!CN$117=1,GM32=0),300,0))),1000000))</f>
        <v/>
      </c>
      <c r="RQ32">
        <f>IF($B32=0,1000000,IF(INDEX('計算A'!$D$60:$EQ$104,$B32,90)*GM32=1,IF(AND($E32=2,MB32=0),1000000,IF($I32&gt;0,IF(4=$J32,IF(OR(AND(90=$I32+1,OR($K32&lt;&gt;'計算A'!$A$3,'計算A'!$A$4=0)),AND(90=$I32-1,OR(18&lt;&gt;'計算A'!$A$3,'計算A'!$A$4=0))),0,IF(18=$K32,200000,ABS(18-$K32)*100)),100000+ABS(4-$J32)*1000+180)+'計算A'!CO$5*50+IF(AND($E32=1,MB32=0),25,0),INDEX('計算A'!CO$110:CO$114,$F32+1)+IF(AND($E32=1,MB32=0),1000,0)+IF($H32=1,(IF('計算A'!CN$117=1,INDEX('計算A'!CN$10:CN$54,$B32),0)+IF('計算A'!CO$117=1,INDEX('計算A'!CP$10:CP$54,$B32),0))*500,0)-IF(AND('計算A'!CN$117=1,XL32&gt;0),300,0)-IF(AND($L32=1,'計算A'!CO$117=1,GN32=0),300,0))),1000000))</f>
        <v/>
      </c>
      <c r="RR32">
        <f>IF($B32=0,1000000,IF(INDEX('計算A'!$D$60:$EQ$104,$B32,91)*GN32=1,IF(AND($E32=2,MC32=0),1000000,IF($I32&gt;0,IF(4=$J32,IF(OR(AND(91=$I32+1,OR($K32&lt;&gt;'計算A'!$A$3,'計算A'!$A$4=0)),AND(91=$I32-1,OR(19&lt;&gt;'計算A'!$A$3,'計算A'!$A$4=0))),0,IF(19=$K32,200000,ABS(19-$K32)*100)),100000+ABS(4-$J32)*1000+190)+'計算A'!CP$5*50+IF(AND($E32=1,MC32=0),25,0),INDEX('計算A'!CP$110:CP$114,$F32+1)+IF(AND($E32=1,MC32=0),1000,0)+IF($H32=1,(IF('計算A'!CO$117=1,INDEX('計算A'!CO$10:CO$54,$B32),0)+IF('計算A'!CP$117=1,INDEX('計算A'!CQ$10:CQ$54,$B32),0))*500,0)-IF(AND('計算A'!CO$117=1,XM32&gt;0),300,0)-IF(AND($L32=1,'計算A'!CP$117=1,GO32=0),300,0))),1000000))</f>
        <v/>
      </c>
      <c r="RS32">
        <f>IF($B32=0,1000000,IF(INDEX('計算A'!$D$60:$EQ$104,$B32,92)*GO32=1,IF(AND($E32=2,MD32=0),1000000,IF($I32&gt;0,IF(4=$J32,IF(OR(AND(92=$I32+1,OR($K32&lt;&gt;'計算A'!$A$3,'計算A'!$A$4=0)),AND(92=$I32-1,OR(20&lt;&gt;'計算A'!$A$3,'計算A'!$A$4=0))),0,IF(20=$K32,200000,ABS(20-$K32)*100)),100000+ABS(4-$J32)*1000+200)+'計算A'!CQ$5*50+IF(AND($E32=1,MD32=0),25,0),INDEX('計算A'!CQ$110:CQ$114,$F32+1)+IF(AND($E32=1,MD32=0),1000,0)+IF($H32=1,(IF('計算A'!CP$117=1,INDEX('計算A'!CP$10:CP$54,$B32),0)+IF('計算A'!CQ$117=1,INDEX('計算A'!CR$10:CR$54,$B32),0))*500,0)-IF(AND('計算A'!CP$117=1,XN32&gt;0),300,0)-IF(AND($L32=1,'計算A'!CQ$117=1,GP32=0),300,0))),1000000))</f>
        <v/>
      </c>
      <c r="RT32">
        <f>IF($B32=0,1000000,IF(INDEX('計算A'!$D$60:$EQ$104,$B32,93)*GP32=1,IF(AND($E32=2,ME32=0),1000000,IF($I32&gt;0,IF(4=$J32,IF(OR(AND(93=$I32+1,OR($K32&lt;&gt;'計算A'!$A$3,'計算A'!$A$4=0)),AND(93=$I32-1,OR(21&lt;&gt;'計算A'!$A$3,'計算A'!$A$4=0))),0,IF(21=$K32,200000,ABS(21-$K32)*100)),100000+ABS(4-$J32)*1000+210)+'計算A'!CR$5*50+IF(AND($E32=1,ME32=0),25,0),INDEX('計算A'!CR$110:CR$114,$F32+1)+IF(AND($E32=1,ME32=0),1000,0)+IF($H32=1,(IF('計算A'!CQ$117=1,INDEX('計算A'!CQ$10:CQ$54,$B32),0)+IF('計算A'!CR$117=1,INDEX('計算A'!CS$10:CS$54,$B32),0))*500,0)-IF(AND('計算A'!CQ$117=1,XO32&gt;0),300,0)-IF(AND($L32=1,'計算A'!CR$117=1,GQ32=0),300,0))),1000000))</f>
        <v/>
      </c>
      <c r="RU32">
        <f>IF($B32=0,1000000,IF(INDEX('計算A'!$D$60:$EQ$104,$B32,94)*GQ32=1,IF(AND($E32=2,MF32=0),1000000,IF($I32&gt;0,IF(4=$J32,IF(OR(AND(94=$I32+1,OR($K32&lt;&gt;'計算A'!$A$3,'計算A'!$A$4=0)),AND(94=$I32-1,OR(22&lt;&gt;'計算A'!$A$3,'計算A'!$A$4=0))),0,IF(22=$K32,200000,ABS(22-$K32)*100)),100000+ABS(4-$J32)*1000+220)+'計算A'!CS$5*50+IF(AND($E32=1,MF32=0),25,0),INDEX('計算A'!CS$110:CS$114,$F32+1)+IF(AND($E32=1,MF32=0),1000,0)+IF($H32=1,(IF('計算A'!CR$117=1,INDEX('計算A'!CR$10:CR$54,$B32),0)+IF('計算A'!CS$117=1,INDEX('計算A'!CT$10:CT$54,$B32),0))*500,0)-IF(AND('計算A'!CR$117=1,XP32&gt;0),300,0)-IF(AND($L32=1,'計算A'!CS$117=1,GR32=0),300,0))),1000000))</f>
        <v/>
      </c>
      <c r="RV32">
        <f>IF($B32=0,1000000,IF(INDEX('計算A'!$D$60:$EQ$104,$B32,95)*GR32=1,IF(AND($E32=2,MG32=0),1000000,IF($I32&gt;0,IF(4=$J32,IF(OR(AND(95=$I32+1,OR($K32&lt;&gt;'計算A'!$A$3,'計算A'!$A$4=0)),AND(95=$I32-1,OR(23&lt;&gt;'計算A'!$A$3,'計算A'!$A$4=0))),0,IF(23=$K32,200000,ABS(23-$K32)*100)),100000+ABS(4-$J32)*1000+230)+'計算A'!CT$5*50+IF(AND($E32=1,MG32=0),25,0),INDEX('計算A'!CT$110:CT$114,$F32+1)+IF(AND($E32=1,MG32=0),1000,0)+IF($H32=1,(IF('計算A'!CS$117=1,INDEX('計算A'!CS$10:CS$54,$B32),0)+IF('計算A'!CT$117=1,INDEX('計算A'!CU$10:CU$54,$B32),0))*500,0)-IF(AND('計算A'!CS$117=1,XQ32&gt;0),300,0)-IF(AND($L32=1,'計算A'!CT$117=1,GS32=0),300,0))),1000000))</f>
        <v/>
      </c>
      <c r="RW32">
        <f>IF($B32=0,1000000,IF(INDEX('計算A'!$D$60:$EQ$104,$B32,96)*GS32=1,IF(AND($E32=2,MH32=0),1000000,IF($I32&gt;0,IF(4=$J32,IF(OR(AND(96=$I32+1,OR($K32&lt;&gt;'計算A'!$A$3,'計算A'!$A$4=0)),AND(96=$I32-1,OR(24&lt;&gt;'計算A'!$A$3,'計算A'!$A$4=0))),0,IF(24=$K32,200000,ABS(24-$K32)*100)),100000+ABS(4-$J32)*1000+240)+'計算A'!CU$5*50+IF(AND($E32=1,MH32=0),25,0),INDEX('計算A'!CU$110:CU$114,$F32+1)+IF(AND($E32=1,MH32=0),1000,0)+IF($H32=1,(IF('計算A'!CT$117=1,INDEX('計算A'!CT$10:CT$54,$B32),0))*500,0)-IF(AND('計算A'!CT$117=1,XR32&gt;0),300,0))),1000000))</f>
        <v/>
      </c>
      <c r="RX32">
        <f>IF($B32=0,1000000,IF(INDEX('計算A'!$D$60:$EQ$104,$B32,97)*GT32=1,IF(AND($E32=2,MI32=0),1000000,IF($I32&gt;0,IF(5=$J32,IF(OR(AND(97=$I32+1,OR($K32&lt;&gt;'計算A'!$A$3,'計算A'!$A$4=0)),AND(97=$I32-1,OR(1&lt;&gt;'計算A'!$A$3,'計算A'!$A$4=0))),0,IF(1=$K32,200000,ABS(1-$K32)*100)),100000+ABS(5-$J32)*1000+10)+'計算A'!CV$5*50+IF(AND($E32=1,MI32=0),25,0),INDEX('計算A'!CV$110:CV$114,$F32+1)+IF(AND($E32=1,MI32=0),1000,0)+IF($H32=1,(IF('計算A'!CV$117=1,INDEX('計算A'!CW$10:CW$54,$B32),0))*500,0)-IF(AND($L32=1,'計算A'!CV$117=1,GU32=0),300,0))),1000000))</f>
        <v/>
      </c>
      <c r="RY32">
        <f>IF($B32=0,1000000,IF(INDEX('計算A'!$D$60:$EQ$104,$B32,98)*GU32=1,IF(AND($E32=2,MJ32=0),1000000,IF($I32&gt;0,IF(5=$J32,IF(OR(AND(98=$I32+1,OR($K32&lt;&gt;'計算A'!$A$3,'計算A'!$A$4=0)),AND(98=$I32-1,OR(2&lt;&gt;'計算A'!$A$3,'計算A'!$A$4=0))),0,IF(2=$K32,200000,ABS(2-$K32)*100)),100000+ABS(5-$J32)*1000+20)+'計算A'!CW$5*50+IF(AND($E32=1,MJ32=0),25,0),INDEX('計算A'!CW$110:CW$114,$F32+1)+IF(AND($E32=1,MJ32=0),1000,0)+IF($H32=1,(IF('計算A'!CV$117=1,INDEX('計算A'!CV$10:CV$54,$B32),0)+IF('計算A'!CW$117=1,INDEX('計算A'!CX$10:CX$54,$B32),0))*500,0)-IF(AND('計算A'!CV$117=1,XT32&gt;0),300,0)-IF(AND($L32=1,'計算A'!CW$117=1,GV32=0),300,0))),1000000))</f>
        <v/>
      </c>
      <c r="RZ32">
        <f>IF($B32=0,1000000,IF(INDEX('計算A'!$D$60:$EQ$104,$B32,99)*GV32=1,IF(AND($E32=2,MK32=0),1000000,IF($I32&gt;0,IF(5=$J32,IF(OR(AND(99=$I32+1,OR($K32&lt;&gt;'計算A'!$A$3,'計算A'!$A$4=0)),AND(99=$I32-1,OR(3&lt;&gt;'計算A'!$A$3,'計算A'!$A$4=0))),0,IF(3=$K32,200000,ABS(3-$K32)*100)),100000+ABS(5-$J32)*1000+30)+'計算A'!CX$5*50+IF(AND($E32=1,MK32=0),25,0),INDEX('計算A'!CX$110:CX$114,$F32+1)+IF(AND($E32=1,MK32=0),1000,0)+IF($H32=1,(IF('計算A'!CW$117=1,INDEX('計算A'!CW$10:CW$54,$B32),0)+IF('計算A'!CX$117=1,INDEX('計算A'!CY$10:CY$54,$B32),0))*500,0)-IF(AND('計算A'!CW$117=1,XU32&gt;0),300,0)-IF(AND($L32=1,'計算A'!CX$117=1,GW32=0),300,0))),1000000))</f>
        <v/>
      </c>
      <c r="SA32">
        <f>IF($B32=0,1000000,IF(INDEX('計算A'!$D$60:$EQ$104,$B32,100)*GW32=1,IF(AND($E32=2,ML32=0),1000000,IF($I32&gt;0,IF(5=$J32,IF(OR(AND(100=$I32+1,OR($K32&lt;&gt;'計算A'!$A$3,'計算A'!$A$4=0)),AND(100=$I32-1,OR(4&lt;&gt;'計算A'!$A$3,'計算A'!$A$4=0))),0,IF(4=$K32,200000,ABS(4-$K32)*100)),100000+ABS(5-$J32)*1000+40)+'計算A'!CY$5*50+IF(AND($E32=1,ML32=0),25,0),INDEX('計算A'!CY$110:CY$114,$F32+1)+IF(AND($E32=1,ML32=0),1000,0)+IF($H32=1,(IF('計算A'!CX$117=1,INDEX('計算A'!CX$10:CX$54,$B32),0)+IF('計算A'!CY$117=1,INDEX('計算A'!CZ$10:CZ$54,$B32),0))*500,0)-IF(AND('計算A'!CX$117=1,XV32&gt;0),300,0)-IF(AND($L32=1,'計算A'!CY$117=1,GX32=0),300,0))),1000000))</f>
        <v/>
      </c>
      <c r="SB32">
        <f>IF($B32=0,1000000,IF(INDEX('計算A'!$D$60:$EQ$104,$B32,101)*GX32=1,IF(AND($E32=2,MM32=0),1000000,IF($I32&gt;0,IF(5=$J32,IF(OR(AND(101=$I32+1,OR($K32&lt;&gt;'計算A'!$A$3,'計算A'!$A$4=0)),AND(101=$I32-1,OR(5&lt;&gt;'計算A'!$A$3,'計算A'!$A$4=0))),0,IF(5=$K32,200000,ABS(5-$K32)*100)),100000+ABS(5-$J32)*1000+50)+'計算A'!CZ$5*50+IF(AND($E32=1,MM32=0),25,0),INDEX('計算A'!CZ$110:CZ$114,$F32+1)+IF(AND($E32=1,MM32=0),1000,0)+IF($H32=1,(IF('計算A'!CY$117=1,INDEX('計算A'!CY$10:CY$54,$B32),0)+IF('計算A'!CZ$117=1,INDEX('計算A'!DA$10:DA$54,$B32),0))*500,0)-IF(AND('計算A'!CY$117=1,XW32&gt;0),300,0)-IF(AND($L32=1,'計算A'!CZ$117=1,GY32=0),300,0))),1000000))</f>
        <v/>
      </c>
      <c r="SC32">
        <f>IF($B32=0,1000000,IF(INDEX('計算A'!$D$60:$EQ$104,$B32,102)*GY32=1,IF(AND($E32=2,MN32=0),1000000,IF($I32&gt;0,IF(5=$J32,IF(OR(AND(102=$I32+1,OR($K32&lt;&gt;'計算A'!$A$3,'計算A'!$A$4=0)),AND(102=$I32-1,OR(6&lt;&gt;'計算A'!$A$3,'計算A'!$A$4=0))),0,IF(6=$K32,200000,ABS(6-$K32)*100)),100000+ABS(5-$J32)*1000+60)+'計算A'!DA$5*50+IF(AND($E32=1,MN32=0),25,0),INDEX('計算A'!DA$110:DA$114,$F32+1)+IF(AND($E32=1,MN32=0),1000,0)+IF($H32=1,(IF('計算A'!CZ$117=1,INDEX('計算A'!CZ$10:CZ$54,$B32),0)+IF('計算A'!DA$117=1,INDEX('計算A'!DB$10:DB$54,$B32),0))*500,0)-IF(AND('計算A'!CZ$117=1,XX32&gt;0),300,0)-IF(AND($L32=1,'計算A'!DA$117=1,GZ32=0),300,0))),1000000))</f>
        <v/>
      </c>
      <c r="SD32">
        <f>IF($B32=0,1000000,IF(INDEX('計算A'!$D$60:$EQ$104,$B32,103)*GZ32=1,IF(AND($E32=2,MO32=0),1000000,IF($I32&gt;0,IF(5=$J32,IF(OR(AND(103=$I32+1,OR($K32&lt;&gt;'計算A'!$A$3,'計算A'!$A$4=0)),AND(103=$I32-1,OR(7&lt;&gt;'計算A'!$A$3,'計算A'!$A$4=0))),0,IF(7=$K32,200000,ABS(7-$K32)*100)),100000+ABS(5-$J32)*1000+70)+'計算A'!DB$5*50+IF(AND($E32=1,MO32=0),25,0),INDEX('計算A'!DB$110:DB$114,$F32+1)+IF(AND($E32=1,MO32=0),1000,0)+IF($H32=1,(IF('計算A'!DA$117=1,INDEX('計算A'!DA$10:DA$54,$B32),0)+IF('計算A'!DB$117=1,INDEX('計算A'!DC$10:DC$54,$B32),0))*500,0)-IF(AND('計算A'!DA$117=1,XY32&gt;0),300,0)-IF(AND($L32=1,'計算A'!DB$117=1,HA32=0),300,0))),1000000))</f>
        <v/>
      </c>
      <c r="SE32">
        <f>IF($B32=0,1000000,IF(INDEX('計算A'!$D$60:$EQ$104,$B32,104)*HA32=1,IF(AND($E32=2,MP32=0),1000000,IF($I32&gt;0,IF(5=$J32,IF(OR(AND(104=$I32+1,OR($K32&lt;&gt;'計算A'!$A$3,'計算A'!$A$4=0)),AND(104=$I32-1,OR(8&lt;&gt;'計算A'!$A$3,'計算A'!$A$4=0))),0,IF(8=$K32,200000,ABS(8-$K32)*100)),100000+ABS(5-$J32)*1000+80)+'計算A'!DC$5*50+IF(AND($E32=1,MP32=0),25,0),INDEX('計算A'!DC$110:DC$114,$F32+1)+IF(AND($E32=1,MP32=0),1000,0)+IF($H32=1,(IF('計算A'!DB$117=1,INDEX('計算A'!DB$10:DB$54,$B32),0)+IF('計算A'!DC$117=1,INDEX('計算A'!DD$10:DD$54,$B32),0))*500,0)-IF(AND('計算A'!DB$117=1,XZ32&gt;0),300,0)-IF(AND($L32=1,'計算A'!DC$117=1,HB32=0),300,0))),1000000))</f>
        <v/>
      </c>
      <c r="SF32">
        <f>IF($B32=0,1000000,IF(INDEX('計算A'!$D$60:$EQ$104,$B32,105)*HB32=1,IF(AND($E32=2,MQ32=0),1000000,IF($I32&gt;0,IF(5=$J32,IF(OR(AND(105=$I32+1,OR($K32&lt;&gt;'計算A'!$A$3,'計算A'!$A$4=0)),AND(105=$I32-1,OR(9&lt;&gt;'計算A'!$A$3,'計算A'!$A$4=0))),0,IF(9=$K32,200000,ABS(9-$K32)*100)),100000+ABS(5-$J32)*1000+90)+'計算A'!DD$5*50+IF(AND($E32=1,MQ32=0),25,0),INDEX('計算A'!DD$110:DD$114,$F32+1)+IF(AND($E32=1,MQ32=0),1000,0)+IF($H32=1,(IF('計算A'!DC$117=1,INDEX('計算A'!DC$10:DC$54,$B32),0)+IF('計算A'!DD$117=1,INDEX('計算A'!DE$10:DE$54,$B32),0))*500,0)-IF(AND('計算A'!DC$117=1,YA32&gt;0),300,0)-IF(AND($L32=1,'計算A'!DD$117=1,HC32=0),300,0))),1000000))</f>
        <v/>
      </c>
      <c r="SG32">
        <f>IF($B32=0,1000000,IF(INDEX('計算A'!$D$60:$EQ$104,$B32,106)*HC32=1,IF(AND($E32=2,MR32=0),1000000,IF($I32&gt;0,IF(5=$J32,IF(OR(AND(106=$I32+1,OR($K32&lt;&gt;'計算A'!$A$3,'計算A'!$A$4=0)),AND(106=$I32-1,OR(10&lt;&gt;'計算A'!$A$3,'計算A'!$A$4=0))),0,IF(10=$K32,200000,ABS(10-$K32)*100)),100000+ABS(5-$J32)*1000+100)+'計算A'!DE$5*50+IF(AND($E32=1,MR32=0),25,0),INDEX('計算A'!DE$110:DE$114,$F32+1)+IF(AND($E32=1,MR32=0),1000,0)+IF($H32=1,(IF('計算A'!DD$117=1,INDEX('計算A'!DD$10:DD$54,$B32),0)+IF('計算A'!DE$117=1,INDEX('計算A'!DF$10:DF$54,$B32),0))*500,0)-IF(AND('計算A'!DD$117=1,YB32&gt;0),300,0)-IF(AND($L32=1,'計算A'!DE$117=1,HD32=0),300,0))),1000000))</f>
        <v/>
      </c>
      <c r="SH32">
        <f>IF($B32=0,1000000,IF(INDEX('計算A'!$D$60:$EQ$104,$B32,107)*HD32=1,IF(AND($E32=2,MS32=0),1000000,IF($I32&gt;0,IF(5=$J32,IF(OR(AND(107=$I32+1,OR($K32&lt;&gt;'計算A'!$A$3,'計算A'!$A$4=0)),AND(107=$I32-1,OR(11&lt;&gt;'計算A'!$A$3,'計算A'!$A$4=0))),0,IF(11=$K32,200000,ABS(11-$K32)*100)),100000+ABS(5-$J32)*1000+110)+'計算A'!DF$5*50+IF(AND($E32=1,MS32=0),25,0),INDEX('計算A'!DF$110:DF$114,$F32+1)+IF(AND($E32=1,MS32=0),1000,0)+IF($H32=1,(IF('計算A'!DE$117=1,INDEX('計算A'!DE$10:DE$54,$B32),0)+IF('計算A'!DF$117=1,INDEX('計算A'!DG$10:DG$54,$B32),0))*500,0)-IF(AND('計算A'!DE$117=1,YC32&gt;0),300,0)-IF(AND($L32=1,'計算A'!DF$117=1,HE32=0),300,0))),1000000))</f>
        <v/>
      </c>
      <c r="SI32">
        <f>IF($B32=0,1000000,IF(INDEX('計算A'!$D$60:$EQ$104,$B32,108)*HE32=1,IF(AND($E32=2,MT32=0),1000000,IF($I32&gt;0,IF(5=$J32,IF(OR(AND(108=$I32+1,OR($K32&lt;&gt;'計算A'!$A$3,'計算A'!$A$4=0)),AND(108=$I32-1,OR(12&lt;&gt;'計算A'!$A$3,'計算A'!$A$4=0))),0,IF(12=$K32,200000,ABS(12-$K32)*100)),100000+ABS(5-$J32)*1000+120)+'計算A'!DG$5*50+IF(AND($E32=1,MT32=0),25,0),INDEX('計算A'!DG$110:DG$114,$F32+1)+IF(AND($E32=1,MT32=0),1000,0)+IF($H32=1,(IF('計算A'!DF$117=1,INDEX('計算A'!DF$10:DF$54,$B32),0)+IF('計算A'!DG$117=1,INDEX('計算A'!DH$10:DH$54,$B32),0))*500,0)-IF(AND('計算A'!DF$117=1,YD32&gt;0),300,0)-IF(AND($L32=1,'計算A'!DG$117=1,HF32=0),300,0))),1000000))</f>
        <v/>
      </c>
      <c r="SJ32">
        <f>IF($B32=0,1000000,IF(INDEX('計算A'!$D$60:$EQ$104,$B32,109)*HF32=1,IF(AND($E32=2,MU32=0),1000000,IF($I32&gt;0,IF(5=$J32,IF(OR(AND(109=$I32+1,OR($K32&lt;&gt;'計算A'!$A$3,'計算A'!$A$4=0)),AND(109=$I32-1,OR(13&lt;&gt;'計算A'!$A$3,'計算A'!$A$4=0))),0,IF(13=$K32,200000,ABS(13-$K32)*100)),100000+ABS(5-$J32)*1000+130)+'計算A'!DH$5*50+IF(AND($E32=1,MU32=0),25,0),INDEX('計算A'!DH$110:DH$114,$F32+1)+IF(AND($E32=1,MU32=0),1000,0)+IF($H32=1,(IF('計算A'!DG$117=1,INDEX('計算A'!DG$10:DG$54,$B32),0)+IF('計算A'!DH$117=1,INDEX('計算A'!DI$10:DI$54,$B32),0))*500,0)-IF(AND('計算A'!DG$117=1,YE32&gt;0),300,0)-IF(AND($L32=1,'計算A'!DH$117=1,HG32=0),300,0))),1000000))</f>
        <v/>
      </c>
      <c r="SK32">
        <f>IF($B32=0,1000000,IF(INDEX('計算A'!$D$60:$EQ$104,$B32,110)*HG32=1,IF(AND($E32=2,MV32=0),1000000,IF($I32&gt;0,IF(5=$J32,IF(OR(AND(110=$I32+1,OR($K32&lt;&gt;'計算A'!$A$3,'計算A'!$A$4=0)),AND(110=$I32-1,OR(14&lt;&gt;'計算A'!$A$3,'計算A'!$A$4=0))),0,IF(14=$K32,200000,ABS(14-$K32)*100)),100000+ABS(5-$J32)*1000+140)+'計算A'!DI$5*50+IF(AND($E32=1,MV32=0),25,0),INDEX('計算A'!DI$110:DI$114,$F32+1)+IF(AND($E32=1,MV32=0),1000,0)+IF($H32=1,(IF('計算A'!DH$117=1,INDEX('計算A'!DH$10:DH$54,$B32),0)+IF('計算A'!DI$117=1,INDEX('計算A'!DJ$10:DJ$54,$B32),0))*500,0)-IF(AND('計算A'!DH$117=1,YF32&gt;0),300,0)-IF(AND($L32=1,'計算A'!DI$117=1,HH32=0),300,0))),1000000))</f>
        <v/>
      </c>
      <c r="SL32">
        <f>IF($B32=0,1000000,IF(INDEX('計算A'!$D$60:$EQ$104,$B32,111)*HH32=1,IF(AND($E32=2,MW32=0),1000000,IF($I32&gt;0,IF(5=$J32,IF(OR(AND(111=$I32+1,OR($K32&lt;&gt;'計算A'!$A$3,'計算A'!$A$4=0)),AND(111=$I32-1,OR(15&lt;&gt;'計算A'!$A$3,'計算A'!$A$4=0))),0,IF(15=$K32,200000,ABS(15-$K32)*100)),100000+ABS(5-$J32)*1000+150)+'計算A'!DJ$5*50+IF(AND($E32=1,MW32=0),25,0),INDEX('計算A'!DJ$110:DJ$114,$F32+1)+IF(AND($E32=1,MW32=0),1000,0)+IF($H32=1,(IF('計算A'!DI$117=1,INDEX('計算A'!DI$10:DI$54,$B32),0)+IF('計算A'!DJ$117=1,INDEX('計算A'!DK$10:DK$54,$B32),0))*500,0)-IF(AND('計算A'!DI$117=1,YG32&gt;0),300,0)-IF(AND($L32=1,'計算A'!DJ$117=1,HI32=0),300,0))),1000000))</f>
        <v/>
      </c>
      <c r="SM32">
        <f>IF($B32=0,1000000,IF(INDEX('計算A'!$D$60:$EQ$104,$B32,112)*HI32=1,IF(AND($E32=2,MX32=0),1000000,IF($I32&gt;0,IF(5=$J32,IF(OR(AND(112=$I32+1,OR($K32&lt;&gt;'計算A'!$A$3,'計算A'!$A$4=0)),AND(112=$I32-1,OR(16&lt;&gt;'計算A'!$A$3,'計算A'!$A$4=0))),0,IF(16=$K32,200000,ABS(16-$K32)*100)),100000+ABS(5-$J32)*1000+160)+'計算A'!DK$5*50+IF(AND($E32=1,MX32=0),25,0),INDEX('計算A'!DK$110:DK$114,$F32+1)+IF(AND($E32=1,MX32=0),1000,0)+IF($H32=1,(IF('計算A'!DJ$117=1,INDEX('計算A'!DJ$10:DJ$54,$B32),0)+IF('計算A'!DK$117=1,INDEX('計算A'!DL$10:DL$54,$B32),0))*500,0)-IF(AND('計算A'!DJ$117=1,YH32&gt;0),300,0)-IF(AND($L32=1,'計算A'!DK$117=1,HJ32=0),300,0))),1000000))</f>
        <v/>
      </c>
      <c r="SN32">
        <f>IF($B32=0,1000000,IF(INDEX('計算A'!$D$60:$EQ$104,$B32,113)*HJ32=1,IF(AND($E32=2,MY32=0),1000000,IF($I32&gt;0,IF(5=$J32,IF(OR(AND(113=$I32+1,OR($K32&lt;&gt;'計算A'!$A$3,'計算A'!$A$4=0)),AND(113=$I32-1,OR(17&lt;&gt;'計算A'!$A$3,'計算A'!$A$4=0))),0,IF(17=$K32,200000,ABS(17-$K32)*100)),100000+ABS(5-$J32)*1000+170)+'計算A'!DL$5*50+IF(AND($E32=1,MY32=0),25,0),INDEX('計算A'!DL$110:DL$114,$F32+1)+IF(AND($E32=1,MY32=0),1000,0)+IF($H32=1,(IF('計算A'!DK$117=1,INDEX('計算A'!DK$10:DK$54,$B32),0)+IF('計算A'!DL$117=1,INDEX('計算A'!DM$10:DM$54,$B32),0))*500,0)-IF(AND('計算A'!DK$117=1,YI32&gt;0),300,0)-IF(AND($L32=1,'計算A'!DL$117=1,HK32=0),300,0))),1000000))</f>
        <v/>
      </c>
      <c r="SO32">
        <f>IF($B32=0,1000000,IF(INDEX('計算A'!$D$60:$EQ$104,$B32,114)*HK32=1,IF(AND($E32=2,MZ32=0),1000000,IF($I32&gt;0,IF(5=$J32,IF(OR(AND(114=$I32+1,OR($K32&lt;&gt;'計算A'!$A$3,'計算A'!$A$4=0)),AND(114=$I32-1,OR(18&lt;&gt;'計算A'!$A$3,'計算A'!$A$4=0))),0,IF(18=$K32,200000,ABS(18-$K32)*100)),100000+ABS(5-$J32)*1000+180)+'計算A'!DM$5*50+IF(AND($E32=1,MZ32=0),25,0),INDEX('計算A'!DM$110:DM$114,$F32+1)+IF(AND($E32=1,MZ32=0),1000,0)+IF($H32=1,(IF('計算A'!DL$117=1,INDEX('計算A'!DL$10:DL$54,$B32),0)+IF('計算A'!DM$117=1,INDEX('計算A'!DN$10:DN$54,$B32),0))*500,0)-IF(AND('計算A'!DL$117=1,YJ32&gt;0),300,0)-IF(AND($L32=1,'計算A'!DM$117=1,HL32=0),300,0))),1000000))</f>
        <v/>
      </c>
      <c r="SP32">
        <f>IF($B32=0,1000000,IF(INDEX('計算A'!$D$60:$EQ$104,$B32,115)*HL32=1,IF(AND($E32=2,NA32=0),1000000,IF($I32&gt;0,IF(5=$J32,IF(OR(AND(115=$I32+1,OR($K32&lt;&gt;'計算A'!$A$3,'計算A'!$A$4=0)),AND(115=$I32-1,OR(19&lt;&gt;'計算A'!$A$3,'計算A'!$A$4=0))),0,IF(19=$K32,200000,ABS(19-$K32)*100)),100000+ABS(5-$J32)*1000+190)+'計算A'!DN$5*50+IF(AND($E32=1,NA32=0),25,0),INDEX('計算A'!DN$110:DN$114,$F32+1)+IF(AND($E32=1,NA32=0),1000,0)+IF($H32=1,(IF('計算A'!DM$117=1,INDEX('計算A'!DM$10:DM$54,$B32),0)+IF('計算A'!DN$117=1,INDEX('計算A'!DO$10:DO$54,$B32),0))*500,0)-IF(AND('計算A'!DM$117=1,YK32&gt;0),300,0)-IF(AND($L32=1,'計算A'!DN$117=1,HM32=0),300,0))),1000000))</f>
        <v/>
      </c>
      <c r="SQ32">
        <f>IF($B32=0,1000000,IF(INDEX('計算A'!$D$60:$EQ$104,$B32,116)*HM32=1,IF(AND($E32=2,NB32=0),1000000,IF($I32&gt;0,IF(5=$J32,IF(OR(AND(116=$I32+1,OR($K32&lt;&gt;'計算A'!$A$3,'計算A'!$A$4=0)),AND(116=$I32-1,OR(20&lt;&gt;'計算A'!$A$3,'計算A'!$A$4=0))),0,IF(20=$K32,200000,ABS(20-$K32)*100)),100000+ABS(5-$J32)*1000+200)+'計算A'!DO$5*50+IF(AND($E32=1,NB32=0),25,0),INDEX('計算A'!DO$110:DO$114,$F32+1)+IF(AND($E32=1,NB32=0),1000,0)+IF($H32=1,(IF('計算A'!DN$117=1,INDEX('計算A'!DN$10:DN$54,$B32),0)+IF('計算A'!DO$117=1,INDEX('計算A'!DP$10:DP$54,$B32),0))*500,0)-IF(AND('計算A'!DN$117=1,YL32&gt;0),300,0)-IF(AND($L32=1,'計算A'!DO$117=1,HN32=0),300,0))),1000000))</f>
        <v/>
      </c>
      <c r="SR32">
        <f>IF($B32=0,1000000,IF(INDEX('計算A'!$D$60:$EQ$104,$B32,117)*HN32=1,IF(AND($E32=2,NC32=0),1000000,IF($I32&gt;0,IF(5=$J32,IF(OR(AND(117=$I32+1,OR($K32&lt;&gt;'計算A'!$A$3,'計算A'!$A$4=0)),AND(117=$I32-1,OR(21&lt;&gt;'計算A'!$A$3,'計算A'!$A$4=0))),0,IF(21=$K32,200000,ABS(21-$K32)*100)),100000+ABS(5-$J32)*1000+210)+'計算A'!DP$5*50+IF(AND($E32=1,NC32=0),25,0),INDEX('計算A'!DP$110:DP$114,$F32+1)+IF(AND($E32=1,NC32=0),1000,0)+IF($H32=1,(IF('計算A'!DO$117=1,INDEX('計算A'!DO$10:DO$54,$B32),0)+IF('計算A'!DP$117=1,INDEX('計算A'!DQ$10:DQ$54,$B32),0))*500,0)-IF(AND('計算A'!DO$117=1,YM32&gt;0),300,0)-IF(AND($L32=1,'計算A'!DP$117=1,HO32=0),300,0))),1000000))</f>
        <v/>
      </c>
      <c r="SS32">
        <f>IF($B32=0,1000000,IF(INDEX('計算A'!$D$60:$EQ$104,$B32,118)*HO32=1,IF(AND($E32=2,ND32=0),1000000,IF($I32&gt;0,IF(5=$J32,IF(OR(AND(118=$I32+1,OR($K32&lt;&gt;'計算A'!$A$3,'計算A'!$A$4=0)),AND(118=$I32-1,OR(22&lt;&gt;'計算A'!$A$3,'計算A'!$A$4=0))),0,IF(22=$K32,200000,ABS(22-$K32)*100)),100000+ABS(5-$J32)*1000+220)+'計算A'!DQ$5*50+IF(AND($E32=1,ND32=0),25,0),INDEX('計算A'!DQ$110:DQ$114,$F32+1)+IF(AND($E32=1,ND32=0),1000,0)+IF($H32=1,(IF('計算A'!DP$117=1,INDEX('計算A'!DP$10:DP$54,$B32),0)+IF('計算A'!DQ$117=1,INDEX('計算A'!DR$10:DR$54,$B32),0))*500,0)-IF(AND('計算A'!DP$117=1,YN32&gt;0),300,0)-IF(AND($L32=1,'計算A'!DQ$117=1,HP32=0),300,0))),1000000))</f>
        <v/>
      </c>
      <c r="ST32">
        <f>IF($B32=0,1000000,IF(INDEX('計算A'!$D$60:$EQ$104,$B32,119)*HP32=1,IF(AND($E32=2,NE32=0),1000000,IF($I32&gt;0,IF(5=$J32,IF(OR(AND(119=$I32+1,OR($K32&lt;&gt;'計算A'!$A$3,'計算A'!$A$4=0)),AND(119=$I32-1,OR(23&lt;&gt;'計算A'!$A$3,'計算A'!$A$4=0))),0,IF(23=$K32,200000,ABS(23-$K32)*100)),100000+ABS(5-$J32)*1000+230)+'計算A'!DR$5*50+IF(AND($E32=1,NE32=0),25,0),INDEX('計算A'!DR$110:DR$114,$F32+1)+IF(AND($E32=1,NE32=0),1000,0)+IF($H32=1,(IF('計算A'!DQ$117=1,INDEX('計算A'!DQ$10:DQ$54,$B32),0)+IF('計算A'!DR$117=1,INDEX('計算A'!DS$10:DS$54,$B32),0))*500,0)-IF(AND('計算A'!DQ$117=1,YO32&gt;0),300,0)-IF(AND($L32=1,'計算A'!DR$117=1,HQ32=0),300,0))),1000000))</f>
        <v/>
      </c>
      <c r="SU32">
        <f>IF($B32=0,1000000,IF(INDEX('計算A'!$D$60:$EQ$104,$B32,120)*HQ32=1,IF(AND($E32=2,NF32=0),1000000,IF($I32&gt;0,IF(5=$J32,IF(OR(AND(120=$I32+1,OR($K32&lt;&gt;'計算A'!$A$3,'計算A'!$A$4=0)),AND(120=$I32-1,OR(24&lt;&gt;'計算A'!$A$3,'計算A'!$A$4=0))),0,IF(24=$K32,200000,ABS(24-$K32)*100)),100000+ABS(5-$J32)*1000+240)+'計算A'!DS$5*50+IF(AND($E32=1,NF32=0),25,0),INDEX('計算A'!DS$110:DS$114,$F32+1)+IF(AND($E32=1,NF32=0),1000,0)+IF($H32=1,(IF('計算A'!DR$117=1,INDEX('計算A'!DR$10:DR$54,$B32),0))*500,0)-IF(AND('計算A'!DR$117=1,YP32&gt;0),300,0))),1000000))</f>
        <v/>
      </c>
      <c r="SV32">
        <f>IF($B32=0,1000000,IF(INDEX('計算A'!$D$60:$EQ$104,$B32,121)*HR32=1,IF(AND($E32=2,NG32=0),1000000,IF($I32&gt;0,IF(6=$J32,IF(OR(AND(121=$I32+1,OR($K32&lt;&gt;'計算A'!$A$3,'計算A'!$A$4=0)),AND(121=$I32-1,OR(1&lt;&gt;'計算A'!$A$3,'計算A'!$A$4=0))),0,IF(1=$K32,200000,ABS(1-$K32)*100)),100000+ABS(6-$J32)*1000+10)+'計算A'!DT$5*50+IF(AND($E32=1,NG32=0),25,0),INDEX('計算A'!DT$110:DT$114,$F32+1)+IF(AND($E32=1,NG32=0),1000,0)+IF($H32=1,(IF('計算A'!DT$117=1,INDEX('計算A'!DU$10:DU$54,$B32),0))*500,0)-IF(AND($L32=1,'計算A'!DT$117=1,HS32=0),300,0))),1000000))</f>
        <v/>
      </c>
      <c r="SW32">
        <f>IF($B32=0,1000000,IF(INDEX('計算A'!$D$60:$EQ$104,$B32,122)*HS32=1,IF(AND($E32=2,NH32=0),1000000,IF($I32&gt;0,IF(6=$J32,IF(OR(AND(122=$I32+1,OR($K32&lt;&gt;'計算A'!$A$3,'計算A'!$A$4=0)),AND(122=$I32-1,OR(2&lt;&gt;'計算A'!$A$3,'計算A'!$A$4=0))),0,IF(2=$K32,200000,ABS(2-$K32)*100)),100000+ABS(6-$J32)*1000+20)+'計算A'!DU$5*50+IF(AND($E32=1,NH32=0),25,0),INDEX('計算A'!DU$110:DU$114,$F32+1)+IF(AND($E32=1,NH32=0),1000,0)+IF($H32=1,(IF('計算A'!DT$117=1,INDEX('計算A'!DT$10:DT$54,$B32),0)+IF('計算A'!DU$117=1,INDEX('計算A'!DV$10:DV$54,$B32),0))*500,0)-IF(AND('計算A'!DT$117=1,YR32&gt;0),300,0)-IF(AND($L32=1,'計算A'!DU$117=1,HT32=0),300,0))),1000000))</f>
        <v/>
      </c>
      <c r="SX32">
        <f>IF($B32=0,1000000,IF(INDEX('計算A'!$D$60:$EQ$104,$B32,123)*HT32=1,IF(AND($E32=2,NI32=0),1000000,IF($I32&gt;0,IF(6=$J32,IF(OR(AND(123=$I32+1,OR($K32&lt;&gt;'計算A'!$A$3,'計算A'!$A$4=0)),AND(123=$I32-1,OR(3&lt;&gt;'計算A'!$A$3,'計算A'!$A$4=0))),0,IF(3=$K32,200000,ABS(3-$K32)*100)),100000+ABS(6-$J32)*1000+30)+'計算A'!DV$5*50+IF(AND($E32=1,NI32=0),25,0),INDEX('計算A'!DV$110:DV$114,$F32+1)+IF(AND($E32=1,NI32=0),1000,0)+IF($H32=1,(IF('計算A'!DU$117=1,INDEX('計算A'!DU$10:DU$54,$B32),0)+IF('計算A'!DV$117=1,INDEX('計算A'!DW$10:DW$54,$B32),0))*500,0)-IF(AND('計算A'!DU$117=1,YS32&gt;0),300,0)-IF(AND($L32=1,'計算A'!DV$117=1,HU32=0),300,0))),1000000))</f>
        <v/>
      </c>
      <c r="SY32">
        <f>IF($B32=0,1000000,IF(INDEX('計算A'!$D$60:$EQ$104,$B32,124)*HU32=1,IF(AND($E32=2,NJ32=0),1000000,IF($I32&gt;0,IF(6=$J32,IF(OR(AND(124=$I32+1,OR($K32&lt;&gt;'計算A'!$A$3,'計算A'!$A$4=0)),AND(124=$I32-1,OR(4&lt;&gt;'計算A'!$A$3,'計算A'!$A$4=0))),0,IF(4=$K32,200000,ABS(4-$K32)*100)),100000+ABS(6-$J32)*1000+40)+'計算A'!DW$5*50+IF(AND($E32=1,NJ32=0),25,0),INDEX('計算A'!DW$110:DW$114,$F32+1)+IF(AND($E32=1,NJ32=0),1000,0)+IF($H32=1,(IF('計算A'!DV$117=1,INDEX('計算A'!DV$10:DV$54,$B32),0)+IF('計算A'!DW$117=1,INDEX('計算A'!DX$10:DX$54,$B32),0))*500,0)-IF(AND('計算A'!DV$117=1,YT32&gt;0),300,0)-IF(AND($L32=1,'計算A'!DW$117=1,HV32=0),300,0))),1000000))</f>
        <v/>
      </c>
      <c r="SZ32">
        <f>IF($B32=0,1000000,IF(INDEX('計算A'!$D$60:$EQ$104,$B32,125)*HV32=1,IF(AND($E32=2,NK32=0),1000000,IF($I32&gt;0,IF(6=$J32,IF(OR(AND(125=$I32+1,OR($K32&lt;&gt;'計算A'!$A$3,'計算A'!$A$4=0)),AND(125=$I32-1,OR(5&lt;&gt;'計算A'!$A$3,'計算A'!$A$4=0))),0,IF(5=$K32,200000,ABS(5-$K32)*100)),100000+ABS(6-$J32)*1000+50)+'計算A'!DX$5*50+IF(AND($E32=1,NK32=0),25,0),INDEX('計算A'!DX$110:DX$114,$F32+1)+IF(AND($E32=1,NK32=0),1000,0)+IF($H32=1,(IF('計算A'!DW$117=1,INDEX('計算A'!DW$10:DW$54,$B32),0)+IF('計算A'!DX$117=1,INDEX('計算A'!DY$10:DY$54,$B32),0))*500,0)-IF(AND('計算A'!DW$117=1,YU32&gt;0),300,0)-IF(AND($L32=1,'計算A'!DX$117=1,HW32=0),300,0))),1000000))</f>
        <v/>
      </c>
      <c r="TA32">
        <f>IF($B32=0,1000000,IF(INDEX('計算A'!$D$60:$EQ$104,$B32,126)*HW32=1,IF(AND($E32=2,NL32=0),1000000,IF($I32&gt;0,IF(6=$J32,IF(OR(AND(126=$I32+1,OR($K32&lt;&gt;'計算A'!$A$3,'計算A'!$A$4=0)),AND(126=$I32-1,OR(6&lt;&gt;'計算A'!$A$3,'計算A'!$A$4=0))),0,IF(6=$K32,200000,ABS(6-$K32)*100)),100000+ABS(6-$J32)*1000+60)+'計算A'!DY$5*50+IF(AND($E32=1,NL32=0),25,0),INDEX('計算A'!DY$110:DY$114,$F32+1)+IF(AND($E32=1,NL32=0),1000,0)+IF($H32=1,(IF('計算A'!DX$117=1,INDEX('計算A'!DX$10:DX$54,$B32),0)+IF('計算A'!DY$117=1,INDEX('計算A'!DZ$10:DZ$54,$B32),0))*500,0)-IF(AND('計算A'!DX$117=1,YV32&gt;0),300,0)-IF(AND($L32=1,'計算A'!DY$117=1,HX32=0),300,0))),1000000))</f>
        <v/>
      </c>
      <c r="TB32">
        <f>IF($B32=0,1000000,IF(INDEX('計算A'!$D$60:$EQ$104,$B32,127)*HX32=1,IF(AND($E32=2,NM32=0),1000000,IF($I32&gt;0,IF(6=$J32,IF(OR(AND(127=$I32+1,OR($K32&lt;&gt;'計算A'!$A$3,'計算A'!$A$4=0)),AND(127=$I32-1,OR(7&lt;&gt;'計算A'!$A$3,'計算A'!$A$4=0))),0,IF(7=$K32,200000,ABS(7-$K32)*100)),100000+ABS(6-$J32)*1000+70)+'計算A'!DZ$5*50+IF(AND($E32=1,NM32=0),25,0),INDEX('計算A'!DZ$110:DZ$114,$F32+1)+IF(AND($E32=1,NM32=0),1000,0)+IF($H32=1,(IF('計算A'!DY$117=1,INDEX('計算A'!DY$10:DY$54,$B32),0)+IF('計算A'!DZ$117=1,INDEX('計算A'!EA$10:EA$54,$B32),0))*500,0)-IF(AND('計算A'!DY$117=1,YW32&gt;0),300,0)-IF(AND($L32=1,'計算A'!DZ$117=1,HY32=0),300,0))),1000000))</f>
        <v/>
      </c>
      <c r="TC32">
        <f>IF($B32=0,1000000,IF(INDEX('計算A'!$D$60:$EQ$104,$B32,128)*HY32=1,IF(AND($E32=2,NN32=0),1000000,IF($I32&gt;0,IF(6=$J32,IF(OR(AND(128=$I32+1,OR($K32&lt;&gt;'計算A'!$A$3,'計算A'!$A$4=0)),AND(128=$I32-1,OR(8&lt;&gt;'計算A'!$A$3,'計算A'!$A$4=0))),0,IF(8=$K32,200000,ABS(8-$K32)*100)),100000+ABS(6-$J32)*1000+80)+'計算A'!EA$5*50+IF(AND($E32=1,NN32=0),25,0),INDEX('計算A'!EA$110:EA$114,$F32+1)+IF(AND($E32=1,NN32=0),1000,0)+IF($H32=1,(IF('計算A'!DZ$117=1,INDEX('計算A'!DZ$10:DZ$54,$B32),0)+IF('計算A'!EA$117=1,INDEX('計算A'!EB$10:EB$54,$B32),0))*500,0)-IF(AND('計算A'!DZ$117=1,YX32&gt;0),300,0)-IF(AND($L32=1,'計算A'!EA$117=1,HZ32=0),300,0))),1000000))</f>
        <v/>
      </c>
      <c r="TD32">
        <f>IF($B32=0,1000000,IF(INDEX('計算A'!$D$60:$EQ$104,$B32,129)*HZ32=1,IF(AND($E32=2,NO32=0),1000000,IF($I32&gt;0,IF(6=$J32,IF(OR(AND(129=$I32+1,OR($K32&lt;&gt;'計算A'!$A$3,'計算A'!$A$4=0)),AND(129=$I32-1,OR(9&lt;&gt;'計算A'!$A$3,'計算A'!$A$4=0))),0,IF(9=$K32,200000,ABS(9-$K32)*100)),100000+ABS(6-$J32)*1000+90)+'計算A'!EB$5*50+IF(AND($E32=1,NO32=0),25,0),INDEX('計算A'!EB$110:EB$114,$F32+1)+IF(AND($E32=1,NO32=0),1000,0)+IF($H32=1,(IF('計算A'!EA$117=1,INDEX('計算A'!EA$10:EA$54,$B32),0)+IF('計算A'!EB$117=1,INDEX('計算A'!EC$10:EC$54,$B32),0))*500,0)-IF(AND('計算A'!EA$117=1,YY32&gt;0),300,0)-IF(AND($L32=1,'計算A'!EB$117=1,IA32=0),300,0))),1000000))</f>
        <v/>
      </c>
      <c r="TE32">
        <f>IF($B32=0,1000000,IF(INDEX('計算A'!$D$60:$EQ$104,$B32,130)*IA32=1,IF(AND($E32=2,NP32=0),1000000,IF($I32&gt;0,IF(6=$J32,IF(OR(AND(130=$I32+1,OR($K32&lt;&gt;'計算A'!$A$3,'計算A'!$A$4=0)),AND(130=$I32-1,OR(10&lt;&gt;'計算A'!$A$3,'計算A'!$A$4=0))),0,IF(10=$K32,200000,ABS(10-$K32)*100)),100000+ABS(6-$J32)*1000+100)+'計算A'!EC$5*50+IF(AND($E32=1,NP32=0),25,0),INDEX('計算A'!EC$110:EC$114,$F32+1)+IF(AND($E32=1,NP32=0),1000,0)+IF($H32=1,(IF('計算A'!EB$117=1,INDEX('計算A'!EB$10:EB$54,$B32),0)+IF('計算A'!EC$117=1,INDEX('計算A'!ED$10:ED$54,$B32),0))*500,0)-IF(AND('計算A'!EB$117=1,YZ32&gt;0),300,0)-IF(AND($L32=1,'計算A'!EC$117=1,IB32=0),300,0))),1000000))</f>
        <v/>
      </c>
      <c r="TF32">
        <f>IF($B32=0,1000000,IF(INDEX('計算A'!$D$60:$EQ$104,$B32,131)*IB32=1,IF(AND($E32=2,NQ32=0),1000000,IF($I32&gt;0,IF(6=$J32,IF(OR(AND(131=$I32+1,OR($K32&lt;&gt;'計算A'!$A$3,'計算A'!$A$4=0)),AND(131=$I32-1,OR(11&lt;&gt;'計算A'!$A$3,'計算A'!$A$4=0))),0,IF(11=$K32,200000,ABS(11-$K32)*100)),100000+ABS(6-$J32)*1000+110)+'計算A'!ED$5*50+IF(AND($E32=1,NQ32=0),25,0),INDEX('計算A'!ED$110:ED$114,$F32+1)+IF(AND($E32=1,NQ32=0),1000,0)+IF($H32=1,(IF('計算A'!EC$117=1,INDEX('計算A'!EC$10:EC$54,$B32),0)+IF('計算A'!ED$117=1,INDEX('計算A'!EE$10:EE$54,$B32),0))*500,0)-IF(AND('計算A'!EC$117=1,ZA32&gt;0),300,0)-IF(AND($L32=1,'計算A'!ED$117=1,IC32=0),300,0))),1000000))</f>
        <v/>
      </c>
      <c r="TG32">
        <f>IF($B32=0,1000000,IF(INDEX('計算A'!$D$60:$EQ$104,$B32,132)*IC32=1,IF(AND($E32=2,NR32=0),1000000,IF($I32&gt;0,IF(6=$J32,IF(OR(AND(132=$I32+1,OR($K32&lt;&gt;'計算A'!$A$3,'計算A'!$A$4=0)),AND(132=$I32-1,OR(12&lt;&gt;'計算A'!$A$3,'計算A'!$A$4=0))),0,IF(12=$K32,200000,ABS(12-$K32)*100)),100000+ABS(6-$J32)*1000+120)+'計算A'!EE$5*50+IF(AND($E32=1,NR32=0),25,0),INDEX('計算A'!EE$110:EE$114,$F32+1)+IF(AND($E32=1,NR32=0),1000,0)+IF($H32=1,(IF('計算A'!ED$117=1,INDEX('計算A'!ED$10:ED$54,$B32),0)+IF('計算A'!EE$117=1,INDEX('計算A'!EF$10:EF$54,$B32),0))*500,0)-IF(AND('計算A'!ED$117=1,ZB32&gt;0),300,0)-IF(AND($L32=1,'計算A'!EE$117=1,ID32=0),300,0))),1000000))</f>
        <v/>
      </c>
      <c r="TH32">
        <f>IF($B32=0,1000000,IF(INDEX('計算A'!$D$60:$EQ$104,$B32,133)*ID32=1,IF(AND($E32=2,NS32=0),1000000,IF($I32&gt;0,IF(6=$J32,IF(OR(AND(133=$I32+1,OR($K32&lt;&gt;'計算A'!$A$3,'計算A'!$A$4=0)),AND(133=$I32-1,OR(13&lt;&gt;'計算A'!$A$3,'計算A'!$A$4=0))),0,IF(13=$K32,200000,ABS(13-$K32)*100)),100000+ABS(6-$J32)*1000+130)+'計算A'!EF$5*50+IF(AND($E32=1,NS32=0),25,0),INDEX('計算A'!EF$110:EF$114,$F32+1)+IF(AND($E32=1,NS32=0),1000,0)+IF($H32=1,(IF('計算A'!EE$117=1,INDEX('計算A'!EE$10:EE$54,$B32),0)+IF('計算A'!EF$117=1,INDEX('計算A'!EG$10:EG$54,$B32),0))*500,0)-IF(AND('計算A'!EE$117=1,ZC32&gt;0),300,0)-IF(AND($L32=1,'計算A'!EF$117=1,IE32=0),300,0))),1000000))</f>
        <v/>
      </c>
      <c r="TI32">
        <f>IF($B32=0,1000000,IF(INDEX('計算A'!$D$60:$EQ$104,$B32,134)*IE32=1,IF(AND($E32=2,NT32=0),1000000,IF($I32&gt;0,IF(6=$J32,IF(OR(AND(134=$I32+1,OR($K32&lt;&gt;'計算A'!$A$3,'計算A'!$A$4=0)),AND(134=$I32-1,OR(14&lt;&gt;'計算A'!$A$3,'計算A'!$A$4=0))),0,IF(14=$K32,200000,ABS(14-$K32)*100)),100000+ABS(6-$J32)*1000+140)+'計算A'!EG$5*50+IF(AND($E32=1,NT32=0),25,0),INDEX('計算A'!EG$110:EG$114,$F32+1)+IF(AND($E32=1,NT32=0),1000,0)+IF($H32=1,(IF('計算A'!EF$117=1,INDEX('計算A'!EF$10:EF$54,$B32),0)+IF('計算A'!EG$117=1,INDEX('計算A'!EH$10:EH$54,$B32),0))*500,0)-IF(AND('計算A'!EF$117=1,ZD32&gt;0),300,0)-IF(AND($L32=1,'計算A'!EG$117=1,IF32=0),300,0))),1000000))</f>
        <v/>
      </c>
      <c r="TJ32">
        <f>IF($B32=0,1000000,IF(INDEX('計算A'!$D$60:$EQ$104,$B32,135)*IF32=1,IF(AND($E32=2,NU32=0),1000000,IF($I32&gt;0,IF(6=$J32,IF(OR(AND(135=$I32+1,OR($K32&lt;&gt;'計算A'!$A$3,'計算A'!$A$4=0)),AND(135=$I32-1,OR(15&lt;&gt;'計算A'!$A$3,'計算A'!$A$4=0))),0,IF(15=$K32,200000,ABS(15-$K32)*100)),100000+ABS(6-$J32)*1000+150)+'計算A'!EH$5*50+IF(AND($E32=1,NU32=0),25,0),INDEX('計算A'!EH$110:EH$114,$F32+1)+IF(AND($E32=1,NU32=0),1000,0)+IF($H32=1,(IF('計算A'!EG$117=1,INDEX('計算A'!EG$10:EG$54,$B32),0)+IF('計算A'!EH$117=1,INDEX('計算A'!EI$10:EI$54,$B32),0))*500,0)-IF(AND('計算A'!EG$117=1,ZE32&gt;0),300,0)-IF(AND($L32=1,'計算A'!EH$117=1,IG32=0),300,0))),1000000))</f>
        <v/>
      </c>
      <c r="TK32">
        <f>IF($B32=0,1000000,IF(INDEX('計算A'!$D$60:$EQ$104,$B32,136)*IG32=1,IF(AND($E32=2,NV32=0),1000000,IF($I32&gt;0,IF(6=$J32,IF(OR(AND(136=$I32+1,OR($K32&lt;&gt;'計算A'!$A$3,'計算A'!$A$4=0)),AND(136=$I32-1,OR(16&lt;&gt;'計算A'!$A$3,'計算A'!$A$4=0))),0,IF(16=$K32,200000,ABS(16-$K32)*100)),100000+ABS(6-$J32)*1000+160)+'計算A'!EI$5*50+IF(AND($E32=1,NV32=0),25,0),INDEX('計算A'!EI$110:EI$114,$F32+1)+IF(AND($E32=1,NV32=0),1000,0)+IF($H32=1,(IF('計算A'!EH$117=1,INDEX('計算A'!EH$10:EH$54,$B32),0)+IF('計算A'!EI$117=1,INDEX('計算A'!EJ$10:EJ$54,$B32),0))*500,0)-IF(AND('計算A'!EH$117=1,ZF32&gt;0),300,0)-IF(AND($L32=1,'計算A'!EI$117=1,IH32=0),300,0))),1000000))</f>
        <v/>
      </c>
      <c r="TL32">
        <f>IF($B32=0,1000000,IF(INDEX('計算A'!$D$60:$EQ$104,$B32,137)*IH32=1,IF(AND($E32=2,NW32=0),1000000,IF($I32&gt;0,IF(6=$J32,IF(OR(AND(137=$I32+1,OR($K32&lt;&gt;'計算A'!$A$3,'計算A'!$A$4=0)),AND(137=$I32-1,OR(17&lt;&gt;'計算A'!$A$3,'計算A'!$A$4=0))),0,IF(17=$K32,200000,ABS(17-$K32)*100)),100000+ABS(6-$J32)*1000+170)+'計算A'!EJ$5*50+IF(AND($E32=1,NW32=0),25,0),INDEX('計算A'!EJ$110:EJ$114,$F32+1)+IF(AND($E32=1,NW32=0),1000,0)+IF($H32=1,(IF('計算A'!EI$117=1,INDEX('計算A'!EI$10:EI$54,$B32),0)+IF('計算A'!EJ$117=1,INDEX('計算A'!EK$10:EK$54,$B32),0))*500,0)-IF(AND('計算A'!EI$117=1,ZG32&gt;0),300,0)-IF(AND($L32=1,'計算A'!EJ$117=1,II32=0),300,0))),1000000))</f>
        <v/>
      </c>
      <c r="TM32">
        <f>IF($B32=0,1000000,IF(INDEX('計算A'!$D$60:$EQ$104,$B32,138)*II32=1,IF(AND($E32=2,NX32=0),1000000,IF($I32&gt;0,IF(6=$J32,IF(OR(AND(138=$I32+1,OR($K32&lt;&gt;'計算A'!$A$3,'計算A'!$A$4=0)),AND(138=$I32-1,OR(18&lt;&gt;'計算A'!$A$3,'計算A'!$A$4=0))),0,IF(18=$K32,200000,ABS(18-$K32)*100)),100000+ABS(6-$J32)*1000+180)+'計算A'!EK$5*50+IF(AND($E32=1,NX32=0),25,0),INDEX('計算A'!EK$110:EK$114,$F32+1)+IF(AND($E32=1,NX32=0),1000,0)+IF($H32=1,(IF('計算A'!EJ$117=1,INDEX('計算A'!EJ$10:EJ$54,$B32),0)+IF('計算A'!EK$117=1,INDEX('計算A'!EL$10:EL$54,$B32),0))*500,0)-IF(AND('計算A'!EJ$117=1,ZH32&gt;0),300,0)-IF(AND($L32=1,'計算A'!EK$117=1,IJ32=0),300,0))),1000000))</f>
        <v/>
      </c>
      <c r="TN32">
        <f>IF($B32=0,1000000,IF(INDEX('計算A'!$D$60:$EQ$104,$B32,139)*IJ32=1,IF(AND($E32=2,NY32=0),1000000,IF($I32&gt;0,IF(6=$J32,IF(OR(AND(139=$I32+1,OR($K32&lt;&gt;'計算A'!$A$3,'計算A'!$A$4=0)),AND(139=$I32-1,OR(19&lt;&gt;'計算A'!$A$3,'計算A'!$A$4=0))),0,IF(19=$K32,200000,ABS(19-$K32)*100)),100000+ABS(6-$J32)*1000+190)+'計算A'!EL$5*50+IF(AND($E32=1,NY32=0),25,0),INDEX('計算A'!EL$110:EL$114,$F32+1)+IF(AND($E32=1,NY32=0),1000,0)+IF($H32=1,(IF('計算A'!EK$117=1,INDEX('計算A'!EK$10:EK$54,$B32),0)+IF('計算A'!EL$117=1,INDEX('計算A'!EM$10:EM$54,$B32),0))*500,0)-IF(AND('計算A'!EK$117=1,ZI32&gt;0),300,0)-IF(AND($L32=1,'計算A'!EL$117=1,IK32=0),300,0))),1000000))</f>
        <v/>
      </c>
      <c r="TO32">
        <f>IF($B32=0,1000000,IF(INDEX('計算A'!$D$60:$EQ$104,$B32,140)*IK32=1,IF(AND($E32=2,NZ32=0),1000000,IF($I32&gt;0,IF(6=$J32,IF(OR(AND(140=$I32+1,OR($K32&lt;&gt;'計算A'!$A$3,'計算A'!$A$4=0)),AND(140=$I32-1,OR(20&lt;&gt;'計算A'!$A$3,'計算A'!$A$4=0))),0,IF(20=$K32,200000,ABS(20-$K32)*100)),100000+ABS(6-$J32)*1000+200)+'計算A'!EM$5*50+IF(AND($E32=1,NZ32=0),25,0),INDEX('計算A'!EM$110:EM$114,$F32+1)+IF(AND($E32=1,NZ32=0),1000,0)+IF($H32=1,(IF('計算A'!EL$117=1,INDEX('計算A'!EL$10:EL$54,$B32),0)+IF('計算A'!EM$117=1,INDEX('計算A'!EN$10:EN$54,$B32),0))*500,0)-IF(AND('計算A'!EL$117=1,ZJ32&gt;0),300,0)-IF(AND($L32=1,'計算A'!EM$117=1,IL32=0),300,0))),1000000))</f>
        <v/>
      </c>
      <c r="TP32">
        <f>IF($B32=0,1000000,IF(INDEX('計算A'!$D$60:$EQ$104,$B32,141)*IL32=1,IF(AND($E32=2,OA32=0),1000000,IF($I32&gt;0,IF(6=$J32,IF(OR(AND(141=$I32+1,OR($K32&lt;&gt;'計算A'!$A$3,'計算A'!$A$4=0)),AND(141=$I32-1,OR(21&lt;&gt;'計算A'!$A$3,'計算A'!$A$4=0))),0,IF(21=$K32,200000,ABS(21-$K32)*100)),100000+ABS(6-$J32)*1000+210)+'計算A'!EN$5*50+IF(AND($E32=1,OA32=0),25,0),INDEX('計算A'!EN$110:EN$114,$F32+1)+IF(AND($E32=1,OA32=0),1000,0)+IF($H32=1,(IF('計算A'!EM$117=1,INDEX('計算A'!EM$10:EM$54,$B32),0)+IF('計算A'!EN$117=1,INDEX('計算A'!EO$10:EO$54,$B32),0))*500,0)-IF(AND('計算A'!EM$117=1,ZK32&gt;0),300,0)-IF(AND($L32=1,'計算A'!EN$117=1,IM32=0),300,0))),1000000))</f>
        <v/>
      </c>
      <c r="TQ32">
        <f>IF($B32=0,1000000,IF(INDEX('計算A'!$D$60:$EQ$104,$B32,142)*IM32=1,IF(AND($E32=2,OB32=0),1000000,IF($I32&gt;0,IF(6=$J32,IF(OR(AND(142=$I32+1,OR($K32&lt;&gt;'計算A'!$A$3,'計算A'!$A$4=0)),AND(142=$I32-1,OR(22&lt;&gt;'計算A'!$A$3,'計算A'!$A$4=0))),0,IF(22=$K32,200000,ABS(22-$K32)*100)),100000+ABS(6-$J32)*1000+220)+'計算A'!EO$5*50+IF(AND($E32=1,OB32=0),25,0),INDEX('計算A'!EO$110:EO$114,$F32+1)+IF(AND($E32=1,OB32=0),1000,0)+IF($H32=1,(IF('計算A'!EN$117=1,INDEX('計算A'!EN$10:EN$54,$B32),0)+IF('計算A'!EO$117=1,INDEX('計算A'!EP$10:EP$54,$B32),0))*500,0)-IF(AND('計算A'!EN$117=1,ZL32&gt;0),300,0)-IF(AND($L32=1,'計算A'!EO$117=1,IN32=0),300,0))),1000000))</f>
        <v/>
      </c>
      <c r="TR32">
        <f>IF($B32=0,1000000,IF(INDEX('計算A'!$D$60:$EQ$104,$B32,143)*IN32=1,IF(AND($E32=2,OC32=0),1000000,IF($I32&gt;0,IF(6=$J32,IF(OR(AND(143=$I32+1,OR($K32&lt;&gt;'計算A'!$A$3,'計算A'!$A$4=0)),AND(143=$I32-1,OR(23&lt;&gt;'計算A'!$A$3,'計算A'!$A$4=0))),0,IF(23=$K32,200000,ABS(23-$K32)*100)),100000+ABS(6-$J32)*1000+230)+'計算A'!EP$5*50+IF(AND($E32=1,OC32=0),25,0),INDEX('計算A'!EP$110:EP$114,$F32+1)+IF(AND($E32=1,OC32=0),1000,0)+IF($H32=1,(IF('計算A'!EO$117=1,INDEX('計算A'!EO$10:EO$54,$B32),0)+IF('計算A'!EP$117=1,INDEX('計算A'!EQ$10:EQ$54,$B32),0))*500,0)-IF(AND('計算A'!EO$117=1,ZM32&gt;0),300,0)-IF(AND($L32=1,'計算A'!EP$117=1,IO32=0),300,0))),1000000))</f>
        <v/>
      </c>
      <c r="TS32">
        <f>IF($B32=0,1000000,IF(INDEX('計算A'!$D$60:$EQ$104,$B32,144)*IO32=1,IF(AND($E32=2,OD32=0),1000000,IF($I32&gt;0,IF(6=$J32,IF(OR(AND(144=$I32+1,OR($K32&lt;&gt;'計算A'!$A$3,'計算A'!$A$4=0)),AND(144=$I32-1,OR(24&lt;&gt;'計算A'!$A$3,'計算A'!$A$4=0))),0,IF(24=$K32,200000,ABS(24-$K32)*100)),100000+ABS(6-$J32)*1000+240)+'計算A'!EQ$5*50+IF(AND($E32=1,OD32=0),25,0),INDEX('計算A'!EQ$110:EQ$114,$F32+1)+IF(AND($E32=1,OD32=0),1000,0)+IF($H32=1,(IF('計算A'!EP$117=1,INDEX('計算A'!EP$10:EP$54,$B32),0))*500,0)-IF(AND('計算A'!EP$117=1,ZN32&gt;0),300,0))),1000000))</f>
        <v/>
      </c>
      <c r="UB32">
        <f>UB31+IF(AND($C31=1,$L31=1),1,0)</f>
        <v/>
      </c>
      <c r="UC32">
        <f>UC31+IF(AND($C31=2,$L31=1),1,0)</f>
        <v/>
      </c>
      <c r="UD32">
        <f>UD31+IF(AND($C31=3,$L31=1),1,0)</f>
        <v/>
      </c>
      <c r="UE32">
        <f>UE31+IF(AND($C31=4,$L31=1),1,0)</f>
        <v/>
      </c>
      <c r="UF32">
        <f>UF31+IF(AND($C31=5,$L31=1),1,0)</f>
        <v/>
      </c>
      <c r="UG32">
        <f>UG31+IF(AND($C31=6,$L31=1),1,0)</f>
        <v/>
      </c>
      <c r="UH32">
        <f>UH31+IF(AND($C31=7,$L31=1),1,0)</f>
        <v/>
      </c>
      <c r="UI32">
        <f>UI31+IF(AND($C31=8,$L31=1),1,0)</f>
        <v/>
      </c>
      <c r="UJ32">
        <f>UJ31+IF(AND($C31=9,$L31=1),1,0)</f>
        <v/>
      </c>
      <c r="UK32">
        <f>UK31+IF(AND($C31=10,$L31=1),1,0)</f>
        <v/>
      </c>
      <c r="UL32">
        <f>UL31+IF(AND($C31=11,$L31=1),1,0)</f>
        <v/>
      </c>
      <c r="UM32">
        <f>UM31+IF(AND($C31=12,$L31=1),1,0)</f>
        <v/>
      </c>
      <c r="UN32">
        <f>UN31+IF(AND($C31=13,$L31=1),1,0)</f>
        <v/>
      </c>
      <c r="UO32">
        <f>UO31+IF(AND($C31=14,$L31=1),1,0)</f>
        <v/>
      </c>
      <c r="UP32">
        <f>UP31+IF(AND($C31=15,$L31=1),1,0)</f>
        <v/>
      </c>
      <c r="UQ32">
        <f>UQ31+IF(AND($C31=16,$L31=1),1,0)</f>
        <v/>
      </c>
      <c r="UR32">
        <f>UR31+IF(AND($C31=17,$L31=1),1,0)</f>
        <v/>
      </c>
      <c r="US32">
        <f>US31+IF(AND($C31=18,$L31=1),1,0)</f>
        <v/>
      </c>
      <c r="UT32">
        <f>UT31+IF(AND($C31=19,$L31=1),1,0)</f>
        <v/>
      </c>
      <c r="UU32">
        <f>UU31+IF(AND($C31=20,$L31=1),1,0)</f>
        <v/>
      </c>
      <c r="UV32">
        <f>UV31+IF(AND($C31=21,$L31=1),1,0)</f>
        <v/>
      </c>
      <c r="UW32">
        <f>UW31+IF(AND($C31=22,$L31=1),1,0)</f>
        <v/>
      </c>
      <c r="UX32">
        <f>UX31+IF(AND($C31=23,$L31=1),1,0)</f>
        <v/>
      </c>
      <c r="UY32">
        <f>UY31+IF(AND($C31=24,$L31=1),1,0)</f>
        <v/>
      </c>
      <c r="UZ32">
        <f>UZ31+IF(AND($C31=25,$L31=1),1,0)</f>
        <v/>
      </c>
      <c r="VA32">
        <f>VA31+IF(AND($C31=26,$L31=1),1,0)</f>
        <v/>
      </c>
      <c r="VB32">
        <f>VB31+IF(AND($C31=27,$L31=1),1,0)</f>
        <v/>
      </c>
      <c r="VC32">
        <f>VC31+IF(AND($C31=28,$L31=1),1,0)</f>
        <v/>
      </c>
      <c r="VD32">
        <f>VD31+IF(AND($C31=29,$L31=1),1,0)</f>
        <v/>
      </c>
      <c r="VE32">
        <f>VE31+IF(AND($C31=30,$L31=1),1,0)</f>
        <v/>
      </c>
      <c r="VF32">
        <f>VF31+IF(AND($C31=31,$L31=1),1,0)</f>
        <v/>
      </c>
      <c r="VG32">
        <f>VG31+IF(AND($C31=32,$L31=1),1,0)</f>
        <v/>
      </c>
      <c r="VH32">
        <f>VH31+IF(AND($C31=33,$L31=1),1,0)</f>
        <v/>
      </c>
      <c r="VI32">
        <f>VI31+IF(AND($C31=34,$L31=1),1,0)</f>
        <v/>
      </c>
      <c r="VJ32">
        <f>VJ31+IF(AND($C31=35,$L31=1),1,0)</f>
        <v/>
      </c>
      <c r="VK32">
        <f>VK31+IF(AND($C31=36,$L31=1),1,0)</f>
        <v/>
      </c>
      <c r="VL32">
        <f>VL31+IF(AND($C31=37,$L31=1),1,0)</f>
        <v/>
      </c>
      <c r="VM32">
        <f>VM31+IF(AND($C31=38,$L31=1),1,0)</f>
        <v/>
      </c>
      <c r="VN32">
        <f>VN31+IF(AND($C31=39,$L31=1),1,0)</f>
        <v/>
      </c>
      <c r="VO32">
        <f>VO31+IF(AND($C31=40,$L31=1),1,0)</f>
        <v/>
      </c>
      <c r="VP32">
        <f>VP31+IF(AND($C31=41,$L31=1),1,0)</f>
        <v/>
      </c>
      <c r="VQ32">
        <f>VQ31+IF(AND($C31=42,$L31=1),1,0)</f>
        <v/>
      </c>
      <c r="VR32">
        <f>VR31+IF(AND($C31=43,$L31=1),1,0)</f>
        <v/>
      </c>
      <c r="VS32">
        <f>VS31+IF(AND($C31=44,$L31=1),1,0)</f>
        <v/>
      </c>
      <c r="VT32">
        <f>VT31+IF(AND($C31=45,$L31=1),1,0)</f>
        <v/>
      </c>
      <c r="VU32">
        <f>VU31+IF(AND($C31=46,$L31=1),1,0)</f>
        <v/>
      </c>
      <c r="VV32">
        <f>VV31+IF(AND($C31=47,$L31=1),1,0)</f>
        <v/>
      </c>
      <c r="VW32">
        <f>VW31+IF(AND($C31=48,$L31=1),1,0)</f>
        <v/>
      </c>
      <c r="VX32">
        <f>VX31+IF(AND($C31=49,$L31=1),1,0)</f>
        <v/>
      </c>
      <c r="VY32">
        <f>VY31+IF(AND($C31=50,$L31=1),1,0)</f>
        <v/>
      </c>
      <c r="VZ32">
        <f>VZ31+IF(AND($C31=51,$L31=1),1,0)</f>
        <v/>
      </c>
      <c r="WA32">
        <f>WA31+IF(AND($C31=52,$L31=1),1,0)</f>
        <v/>
      </c>
      <c r="WB32">
        <f>WB31+IF(AND($C31=53,$L31=1),1,0)</f>
        <v/>
      </c>
      <c r="WC32">
        <f>WC31+IF(AND($C31=54,$L31=1),1,0)</f>
        <v/>
      </c>
      <c r="WD32">
        <f>WD31+IF(AND($C31=55,$L31=1),1,0)</f>
        <v/>
      </c>
      <c r="WE32">
        <f>WE31+IF(AND($C31=56,$L31=1),1,0)</f>
        <v/>
      </c>
      <c r="WF32">
        <f>WF31+IF(AND($C31=57,$L31=1),1,0)</f>
        <v/>
      </c>
      <c r="WG32">
        <f>WG31+IF(AND($C31=58,$L31=1),1,0)</f>
        <v/>
      </c>
      <c r="WH32">
        <f>WH31+IF(AND($C31=59,$L31=1),1,0)</f>
        <v/>
      </c>
      <c r="WI32">
        <f>WI31+IF(AND($C31=60,$L31=1),1,0)</f>
        <v/>
      </c>
      <c r="WJ32">
        <f>WJ31+IF(AND($C31=61,$L31=1),1,0)</f>
        <v/>
      </c>
      <c r="WK32">
        <f>WK31+IF(AND($C31=62,$L31=1),1,0)</f>
        <v/>
      </c>
      <c r="WL32">
        <f>WL31+IF(AND($C31=63,$L31=1),1,0)</f>
        <v/>
      </c>
      <c r="WM32">
        <f>WM31+IF(AND($C31=64,$L31=1),1,0)</f>
        <v/>
      </c>
      <c r="WN32">
        <f>WN31+IF(AND($C31=65,$L31=1),1,0)</f>
        <v/>
      </c>
      <c r="WO32">
        <f>WO31+IF(AND($C31=66,$L31=1),1,0)</f>
        <v/>
      </c>
      <c r="WP32">
        <f>WP31+IF(AND($C31=67,$L31=1),1,0)</f>
        <v/>
      </c>
      <c r="WQ32">
        <f>WQ31+IF(AND($C31=68,$L31=1),1,0)</f>
        <v/>
      </c>
      <c r="WR32">
        <f>WR31+IF(AND($C31=69,$L31=1),1,0)</f>
        <v/>
      </c>
      <c r="WS32">
        <f>WS31+IF(AND($C31=70,$L31=1),1,0)</f>
        <v/>
      </c>
      <c r="WT32">
        <f>WT31+IF(AND($C31=71,$L31=1),1,0)</f>
        <v/>
      </c>
      <c r="WU32">
        <f>WU31+IF(AND($C31=72,$L31=1),1,0)</f>
        <v/>
      </c>
      <c r="WV32">
        <f>WV31+IF(AND($C31=73,$L31=1),1,0)</f>
        <v/>
      </c>
      <c r="WW32">
        <f>WW31+IF(AND($C31=74,$L31=1),1,0)</f>
        <v/>
      </c>
      <c r="WX32">
        <f>WX31+IF(AND($C31=75,$L31=1),1,0)</f>
        <v/>
      </c>
      <c r="WY32">
        <f>WY31+IF(AND($C31=76,$L31=1),1,0)</f>
        <v/>
      </c>
      <c r="WZ32">
        <f>WZ31+IF(AND($C31=77,$L31=1),1,0)</f>
        <v/>
      </c>
      <c r="XA32">
        <f>XA31+IF(AND($C31=78,$L31=1),1,0)</f>
        <v/>
      </c>
      <c r="XB32">
        <f>XB31+IF(AND($C31=79,$L31=1),1,0)</f>
        <v/>
      </c>
      <c r="XC32">
        <f>XC31+IF(AND($C31=80,$L31=1),1,0)</f>
        <v/>
      </c>
      <c r="XD32">
        <f>XD31+IF(AND($C31=81,$L31=1),1,0)</f>
        <v/>
      </c>
      <c r="XE32">
        <f>XE31+IF(AND($C31=82,$L31=1),1,0)</f>
        <v/>
      </c>
      <c r="XF32">
        <f>XF31+IF(AND($C31=83,$L31=1),1,0)</f>
        <v/>
      </c>
      <c r="XG32">
        <f>XG31+IF(AND($C31=84,$L31=1),1,0)</f>
        <v/>
      </c>
      <c r="XH32">
        <f>XH31+IF(AND($C31=85,$L31=1),1,0)</f>
        <v/>
      </c>
      <c r="XI32">
        <f>XI31+IF(AND($C31=86,$L31=1),1,0)</f>
        <v/>
      </c>
      <c r="XJ32">
        <f>XJ31+IF(AND($C31=87,$L31=1),1,0)</f>
        <v/>
      </c>
      <c r="XK32">
        <f>XK31+IF(AND($C31=88,$L31=1),1,0)</f>
        <v/>
      </c>
      <c r="XL32">
        <f>XL31+IF(AND($C31=89,$L31=1),1,0)</f>
        <v/>
      </c>
      <c r="XM32">
        <f>XM31+IF(AND($C31=90,$L31=1),1,0)</f>
        <v/>
      </c>
      <c r="XN32">
        <f>XN31+IF(AND($C31=91,$L31=1),1,0)</f>
        <v/>
      </c>
      <c r="XO32">
        <f>XO31+IF(AND($C31=92,$L31=1),1,0)</f>
        <v/>
      </c>
      <c r="XP32">
        <f>XP31+IF(AND($C31=93,$L31=1),1,0)</f>
        <v/>
      </c>
      <c r="XQ32">
        <f>XQ31+IF(AND($C31=94,$L31=1),1,0)</f>
        <v/>
      </c>
      <c r="XR32">
        <f>XR31+IF(AND($C31=95,$L31=1),1,0)</f>
        <v/>
      </c>
      <c r="XS32">
        <f>XS31+IF(AND($C31=96,$L31=1),1,0)</f>
        <v/>
      </c>
      <c r="XT32">
        <f>XT31+IF(AND($C31=97,$L31=1),1,0)</f>
        <v/>
      </c>
      <c r="XU32">
        <f>XU31+IF(AND($C31=98,$L31=1),1,0)</f>
        <v/>
      </c>
      <c r="XV32">
        <f>XV31+IF(AND($C31=99,$L31=1),1,0)</f>
        <v/>
      </c>
      <c r="XW32">
        <f>XW31+IF(AND($C31=100,$L31=1),1,0)</f>
        <v/>
      </c>
      <c r="XX32">
        <f>XX31+IF(AND($C31=101,$L31=1),1,0)</f>
        <v/>
      </c>
      <c r="XY32">
        <f>XY31+IF(AND($C31=102,$L31=1),1,0)</f>
        <v/>
      </c>
      <c r="XZ32">
        <f>XZ31+IF(AND($C31=103,$L31=1),1,0)</f>
        <v/>
      </c>
      <c r="YA32">
        <f>YA31+IF(AND($C31=104,$L31=1),1,0)</f>
        <v/>
      </c>
      <c r="YB32">
        <f>YB31+IF(AND($C31=105,$L31=1),1,0)</f>
        <v/>
      </c>
      <c r="YC32">
        <f>YC31+IF(AND($C31=106,$L31=1),1,0)</f>
        <v/>
      </c>
      <c r="YD32">
        <f>YD31+IF(AND($C31=107,$L31=1),1,0)</f>
        <v/>
      </c>
      <c r="YE32">
        <f>YE31+IF(AND($C31=108,$L31=1),1,0)</f>
        <v/>
      </c>
      <c r="YF32">
        <f>YF31+IF(AND($C31=109,$L31=1),1,0)</f>
        <v/>
      </c>
      <c r="YG32">
        <f>YG31+IF(AND($C31=110,$L31=1),1,0)</f>
        <v/>
      </c>
      <c r="YH32">
        <f>YH31+IF(AND($C31=111,$L31=1),1,0)</f>
        <v/>
      </c>
      <c r="YI32">
        <f>YI31+IF(AND($C31=112,$L31=1),1,0)</f>
        <v/>
      </c>
      <c r="YJ32">
        <f>YJ31+IF(AND($C31=113,$L31=1),1,0)</f>
        <v/>
      </c>
      <c r="YK32">
        <f>YK31+IF(AND($C31=114,$L31=1),1,0)</f>
        <v/>
      </c>
      <c r="YL32">
        <f>YL31+IF(AND($C31=115,$L31=1),1,0)</f>
        <v/>
      </c>
      <c r="YM32">
        <f>YM31+IF(AND($C31=116,$L31=1),1,0)</f>
        <v/>
      </c>
      <c r="YN32">
        <f>YN31+IF(AND($C31=117,$L31=1),1,0)</f>
        <v/>
      </c>
      <c r="YO32">
        <f>YO31+IF(AND($C31=118,$L31=1),1,0)</f>
        <v/>
      </c>
      <c r="YP32">
        <f>YP31+IF(AND($C31=119,$L31=1),1,0)</f>
        <v/>
      </c>
      <c r="YQ32">
        <f>YQ31+IF(AND($C31=120,$L31=1),1,0)</f>
        <v/>
      </c>
      <c r="YR32">
        <f>YR31+IF(AND($C31=121,$L31=1),1,0)</f>
        <v/>
      </c>
      <c r="YS32">
        <f>YS31+IF(AND($C31=122,$L31=1),1,0)</f>
        <v/>
      </c>
      <c r="YT32">
        <f>YT31+IF(AND($C31=123,$L31=1),1,0)</f>
        <v/>
      </c>
      <c r="YU32">
        <f>YU31+IF(AND($C31=124,$L31=1),1,0)</f>
        <v/>
      </c>
      <c r="YV32">
        <f>YV31+IF(AND($C31=125,$L31=1),1,0)</f>
        <v/>
      </c>
      <c r="YW32">
        <f>YW31+IF(AND($C31=126,$L31=1),1,0)</f>
        <v/>
      </c>
      <c r="YX32">
        <f>YX31+IF(AND($C31=127,$L31=1),1,0)</f>
        <v/>
      </c>
      <c r="YY32">
        <f>YY31+IF(AND($C31=128,$L31=1),1,0)</f>
        <v/>
      </c>
      <c r="YZ32">
        <f>YZ31+IF(AND($C31=129,$L31=1),1,0)</f>
        <v/>
      </c>
      <c r="ZA32">
        <f>ZA31+IF(AND($C31=130,$L31=1),1,0)</f>
        <v/>
      </c>
      <c r="ZB32">
        <f>ZB31+IF(AND($C31=131,$L31=1),1,0)</f>
        <v/>
      </c>
      <c r="ZC32">
        <f>ZC31+IF(AND($C31=132,$L31=1),1,0)</f>
        <v/>
      </c>
      <c r="ZD32">
        <f>ZD31+IF(AND($C31=133,$L31=1),1,0)</f>
        <v/>
      </c>
      <c r="ZE32">
        <f>ZE31+IF(AND($C31=134,$L31=1),1,0)</f>
        <v/>
      </c>
      <c r="ZF32">
        <f>ZF31+IF(AND($C31=135,$L31=1),1,0)</f>
        <v/>
      </c>
      <c r="ZG32">
        <f>ZG31+IF(AND($C31=136,$L31=1),1,0)</f>
        <v/>
      </c>
      <c r="ZH32">
        <f>ZH31+IF(AND($C31=137,$L31=1),1,0)</f>
        <v/>
      </c>
      <c r="ZI32">
        <f>ZI31+IF(AND($C31=138,$L31=1),1,0)</f>
        <v/>
      </c>
      <c r="ZJ32">
        <f>ZJ31+IF(AND($C31=139,$L31=1),1,0)</f>
        <v/>
      </c>
      <c r="ZK32">
        <f>ZK31+IF(AND($C31=140,$L31=1),1,0)</f>
        <v/>
      </c>
      <c r="ZL32">
        <f>ZL31+IF(AND($C31=141,$L31=1),1,0)</f>
        <v/>
      </c>
      <c r="ZM32">
        <f>ZM31+IF(AND($C31=142,$L31=1),1,0)</f>
        <v/>
      </c>
      <c r="ZN32">
        <f>ZN31+IF(AND($C31=143,$L31=1),1,0)</f>
        <v/>
      </c>
      <c r="ZO32">
        <f>ZO31+IF(AND($C31=144,$L31=1),1,0)</f>
        <v/>
      </c>
    </row>
    <row r="33">
      <c r="A33" t="n">
        <v>31</v>
      </c>
      <c r="B33">
        <f>IF(MIN(BH33:CZ33)&gt;=1000000,0,MATCH(MIN(BH33:CZ33),BH33:CZ33,0))</f>
        <v/>
      </c>
      <c r="C33">
        <f>IF(MIN(OF33:TS33)&gt;=1000000,0,MATCH(MIN(OF33:TS33),OF33:TS33,0))</f>
        <v/>
      </c>
      <c r="D33">
        <f>IF(C33&gt;0,INDEX('計算A'!$D$5:$EQ$5,C33),0)</f>
        <v/>
      </c>
      <c r="E33">
        <f>IF(B33=0,0,INDEX('計算A'!$IQ$10:$IQ$54,B33))</f>
        <v/>
      </c>
      <c r="F33">
        <f>IF(B33=0,0,INDEX('計算A'!$IP$10:$IP$54,B33))</f>
        <v/>
      </c>
      <c r="G33">
        <f>IF(AND(C33&gt;0,E33&gt;0),IF(AND(INDEX('計算A'!$D$106:$EQ$106,C33)=1,INDEX($IQ33:$OD33,C33)=1),C33+1,0),0)</f>
        <v/>
      </c>
      <c r="H33">
        <f>IF(B33=0,0,INDEX('計算A'!$IW$10:$IW$54,B33))</f>
        <v/>
      </c>
      <c r="I33">
        <f>IF(B33=0,0,MAX(0,INDEX('計算A'!$IT$10:$IT$54,B33)))</f>
        <v/>
      </c>
      <c r="J33">
        <f>IF(I33=0,0,INDEX('計算A'!$D$2:$EQ$2,I33))</f>
        <v/>
      </c>
      <c r="K33">
        <f>IF(I33=0,0,INDEX('計算A'!$D$3:$EQ$3,I33))</f>
        <v/>
      </c>
      <c r="L33">
        <f>IF(B33=0,0,INDEX('計算A'!$IX$10:$IX$54,B33))</f>
        <v/>
      </c>
      <c r="N33">
        <f>MAX(N32,IF($B32=1,1,0))</f>
        <v/>
      </c>
      <c r="O33">
        <f>MAX(O32,IF($B32=2,1,0))</f>
        <v/>
      </c>
      <c r="P33">
        <f>MAX(P32,IF($B32=3,1,0))</f>
        <v/>
      </c>
      <c r="Q33">
        <f>MAX(Q32,IF($B32=4,1,0))</f>
        <v/>
      </c>
      <c r="R33">
        <f>MAX(R32,IF($B32=5,1,0))</f>
        <v/>
      </c>
      <c r="S33">
        <f>MAX(S32,IF($B32=6,1,0))</f>
        <v/>
      </c>
      <c r="T33">
        <f>MAX(T32,IF($B32=7,1,0))</f>
        <v/>
      </c>
      <c r="U33">
        <f>MAX(U32,IF($B32=8,1,0))</f>
        <v/>
      </c>
      <c r="V33">
        <f>MAX(V32,IF($B32=9,1,0))</f>
        <v/>
      </c>
      <c r="W33">
        <f>MAX(W32,IF($B32=10,1,0))</f>
        <v/>
      </c>
      <c r="X33">
        <f>MAX(X32,IF($B32=11,1,0))</f>
        <v/>
      </c>
      <c r="Y33">
        <f>MAX(Y32,IF($B32=12,1,0))</f>
        <v/>
      </c>
      <c r="Z33">
        <f>MAX(Z32,IF($B32=13,1,0))</f>
        <v/>
      </c>
      <c r="AA33">
        <f>MAX(AA32,IF($B32=14,1,0))</f>
        <v/>
      </c>
      <c r="AB33">
        <f>MAX(AB32,IF($B32=15,1,0))</f>
        <v/>
      </c>
      <c r="AC33">
        <f>MAX(AC32,IF($B32=16,1,0))</f>
        <v/>
      </c>
      <c r="AD33">
        <f>MAX(AD32,IF($B32=17,1,0))</f>
        <v/>
      </c>
      <c r="AE33">
        <f>MAX(AE32,IF($B32=18,1,0))</f>
        <v/>
      </c>
      <c r="AF33">
        <f>MAX(AF32,IF($B32=19,1,0))</f>
        <v/>
      </c>
      <c r="AG33">
        <f>MAX(AG32,IF($B32=20,1,0))</f>
        <v/>
      </c>
      <c r="AH33">
        <f>MAX(AH32,IF($B32=21,1,0))</f>
        <v/>
      </c>
      <c r="AI33">
        <f>MAX(AI32,IF($B32=22,1,0))</f>
        <v/>
      </c>
      <c r="AJ33">
        <f>MAX(AJ32,IF($B32=23,1,0))</f>
        <v/>
      </c>
      <c r="AK33">
        <f>MAX(AK32,IF($B32=24,1,0))</f>
        <v/>
      </c>
      <c r="AL33">
        <f>MAX(AL32,IF($B32=25,1,0))</f>
        <v/>
      </c>
      <c r="AM33">
        <f>MAX(AM32,IF($B32=26,1,0))</f>
        <v/>
      </c>
      <c r="AN33">
        <f>MAX(AN32,IF($B32=27,1,0))</f>
        <v/>
      </c>
      <c r="AO33">
        <f>MAX(AO32,IF($B32=28,1,0))</f>
        <v/>
      </c>
      <c r="AP33">
        <f>MAX(AP32,IF($B32=29,1,0))</f>
        <v/>
      </c>
      <c r="AQ33">
        <f>MAX(AQ32,IF($B32=30,1,0))</f>
        <v/>
      </c>
      <c r="AR33">
        <f>MAX(AR32,IF($B32=31,1,0))</f>
        <v/>
      </c>
      <c r="AS33">
        <f>MAX(AS32,IF($B32=32,1,0))</f>
        <v/>
      </c>
      <c r="AT33">
        <f>MAX(AT32,IF($B32=33,1,0))</f>
        <v/>
      </c>
      <c r="AU33">
        <f>MAX(AU32,IF($B32=34,1,0))</f>
        <v/>
      </c>
      <c r="AV33">
        <f>MAX(AV32,IF($B32=35,1,0))</f>
        <v/>
      </c>
      <c r="AW33">
        <f>MAX(AW32,IF($B32=36,1,0))</f>
        <v/>
      </c>
      <c r="AX33">
        <f>MAX(AX32,IF($B32=37,1,0))</f>
        <v/>
      </c>
      <c r="AY33">
        <f>MAX(AY32,IF($B32=38,1,0))</f>
        <v/>
      </c>
      <c r="AZ33">
        <f>MAX(AZ32,IF($B32=39,1,0))</f>
        <v/>
      </c>
      <c r="BA33">
        <f>MAX(BA32,IF($B32=40,1,0))</f>
        <v/>
      </c>
      <c r="BB33">
        <f>MAX(BB32,IF($B32=41,1,0))</f>
        <v/>
      </c>
      <c r="BC33">
        <f>MAX(BC32,IF($B32=42,1,0))</f>
        <v/>
      </c>
      <c r="BD33">
        <f>MAX(BD32,IF($B32=43,1,0))</f>
        <v/>
      </c>
      <c r="BE33">
        <f>MAX(BE32,IF($B32=44,1,0))</f>
        <v/>
      </c>
      <c r="BF33">
        <f>MAX(BF32,IF($B32=45,1,0))</f>
        <v/>
      </c>
      <c r="BH33">
        <f>IF(N33=1,1000000,IF('計算A'!$IT$10&gt;0,0,500000)+IF('計算A'!$IQ$10=2,SUMPRODUCT('計算A'!$D$60:$EQ$60,$DB33:$IO33,$IQ33:$OD33),SUMPRODUCT('計算A'!$D$60:$EQ$60,$DB33:$IO33))*1000+1)</f>
        <v/>
      </c>
      <c r="BI33">
        <f>IF(O33=1,1000000,IF('計算A'!$IT$11&gt;0,0,500000)+IF('計算A'!$IQ$11=2,SUMPRODUCT('計算A'!$D$61:$EQ$61,$DB33:$IO33,$IQ33:$OD33),SUMPRODUCT('計算A'!$D$61:$EQ$61,$DB33:$IO33))*1000+2)</f>
        <v/>
      </c>
      <c r="BJ33">
        <f>IF(P33=1,1000000,IF('計算A'!$IT$12&gt;0,0,500000)+IF('計算A'!$IQ$12=2,SUMPRODUCT('計算A'!$D$62:$EQ$62,$DB33:$IO33,$IQ33:$OD33),SUMPRODUCT('計算A'!$D$62:$EQ$62,$DB33:$IO33))*1000+3)</f>
        <v/>
      </c>
      <c r="BK33">
        <f>IF(Q33=1,1000000,IF('計算A'!$IT$13&gt;0,0,500000)+IF('計算A'!$IQ$13=2,SUMPRODUCT('計算A'!$D$63:$EQ$63,$DB33:$IO33,$IQ33:$OD33),SUMPRODUCT('計算A'!$D$63:$EQ$63,$DB33:$IO33))*1000+4)</f>
        <v/>
      </c>
      <c r="BL33">
        <f>IF(R33=1,1000000,IF('計算A'!$IT$14&gt;0,0,500000)+IF('計算A'!$IQ$14=2,SUMPRODUCT('計算A'!$D$64:$EQ$64,$DB33:$IO33,$IQ33:$OD33),SUMPRODUCT('計算A'!$D$64:$EQ$64,$DB33:$IO33))*1000+5)</f>
        <v/>
      </c>
      <c r="BM33">
        <f>IF(S33=1,1000000,IF('計算A'!$IT$15&gt;0,0,500000)+IF('計算A'!$IQ$15=2,SUMPRODUCT('計算A'!$D$65:$EQ$65,$DB33:$IO33,$IQ33:$OD33),SUMPRODUCT('計算A'!$D$65:$EQ$65,$DB33:$IO33))*1000+6)</f>
        <v/>
      </c>
      <c r="BN33">
        <f>IF(T33=1,1000000,IF('計算A'!$IT$16&gt;0,0,500000)+IF('計算A'!$IQ$16=2,SUMPRODUCT('計算A'!$D$66:$EQ$66,$DB33:$IO33,$IQ33:$OD33),SUMPRODUCT('計算A'!$D$66:$EQ$66,$DB33:$IO33))*1000+7)</f>
        <v/>
      </c>
      <c r="BO33">
        <f>IF(U33=1,1000000,IF('計算A'!$IT$17&gt;0,0,500000)+IF('計算A'!$IQ$17=2,SUMPRODUCT('計算A'!$D$67:$EQ$67,$DB33:$IO33,$IQ33:$OD33),SUMPRODUCT('計算A'!$D$67:$EQ$67,$DB33:$IO33))*1000+8)</f>
        <v/>
      </c>
      <c r="BP33">
        <f>IF(V33=1,1000000,IF('計算A'!$IT$18&gt;0,0,500000)+IF('計算A'!$IQ$18=2,SUMPRODUCT('計算A'!$D$68:$EQ$68,$DB33:$IO33,$IQ33:$OD33),SUMPRODUCT('計算A'!$D$68:$EQ$68,$DB33:$IO33))*1000+9)</f>
        <v/>
      </c>
      <c r="BQ33">
        <f>IF(W33=1,1000000,IF('計算A'!$IT$19&gt;0,0,500000)+IF('計算A'!$IQ$19=2,SUMPRODUCT('計算A'!$D$69:$EQ$69,$DB33:$IO33,$IQ33:$OD33),SUMPRODUCT('計算A'!$D$69:$EQ$69,$DB33:$IO33))*1000+10)</f>
        <v/>
      </c>
      <c r="BR33">
        <f>IF(X33=1,1000000,IF('計算A'!$IT$20&gt;0,0,500000)+IF('計算A'!$IQ$20=2,SUMPRODUCT('計算A'!$D$70:$EQ$70,$DB33:$IO33,$IQ33:$OD33),SUMPRODUCT('計算A'!$D$70:$EQ$70,$DB33:$IO33))*1000+11)</f>
        <v/>
      </c>
      <c r="BS33">
        <f>IF(Y33=1,1000000,IF('計算A'!$IT$21&gt;0,0,500000)+IF('計算A'!$IQ$21=2,SUMPRODUCT('計算A'!$D$71:$EQ$71,$DB33:$IO33,$IQ33:$OD33),SUMPRODUCT('計算A'!$D$71:$EQ$71,$DB33:$IO33))*1000+12)</f>
        <v/>
      </c>
      <c r="BT33">
        <f>IF(Z33=1,1000000,IF('計算A'!$IT$22&gt;0,0,500000)+IF('計算A'!$IQ$22=2,SUMPRODUCT('計算A'!$D$72:$EQ$72,$DB33:$IO33,$IQ33:$OD33),SUMPRODUCT('計算A'!$D$72:$EQ$72,$DB33:$IO33))*1000+13)</f>
        <v/>
      </c>
      <c r="BU33">
        <f>IF(AA33=1,1000000,IF('計算A'!$IT$23&gt;0,0,500000)+IF('計算A'!$IQ$23=2,SUMPRODUCT('計算A'!$D$73:$EQ$73,$DB33:$IO33,$IQ33:$OD33),SUMPRODUCT('計算A'!$D$73:$EQ$73,$DB33:$IO33))*1000+14)</f>
        <v/>
      </c>
      <c r="BV33">
        <f>IF(AB33=1,1000000,IF('計算A'!$IT$24&gt;0,0,500000)+IF('計算A'!$IQ$24=2,SUMPRODUCT('計算A'!$D$74:$EQ$74,$DB33:$IO33,$IQ33:$OD33),SUMPRODUCT('計算A'!$D$74:$EQ$74,$DB33:$IO33))*1000+15)</f>
        <v/>
      </c>
      <c r="BW33">
        <f>IF(AC33=1,1000000,IF('計算A'!$IT$25&gt;0,0,500000)+IF('計算A'!$IQ$25=2,SUMPRODUCT('計算A'!$D$75:$EQ$75,$DB33:$IO33,$IQ33:$OD33),SUMPRODUCT('計算A'!$D$75:$EQ$75,$DB33:$IO33))*1000+16)</f>
        <v/>
      </c>
      <c r="BX33">
        <f>IF(AD33=1,1000000,IF('計算A'!$IT$26&gt;0,0,500000)+IF('計算A'!$IQ$26=2,SUMPRODUCT('計算A'!$D$76:$EQ$76,$DB33:$IO33,$IQ33:$OD33),SUMPRODUCT('計算A'!$D$76:$EQ$76,$DB33:$IO33))*1000+17)</f>
        <v/>
      </c>
      <c r="BY33">
        <f>IF(AE33=1,1000000,IF('計算A'!$IT$27&gt;0,0,500000)+IF('計算A'!$IQ$27=2,SUMPRODUCT('計算A'!$D$77:$EQ$77,$DB33:$IO33,$IQ33:$OD33),SUMPRODUCT('計算A'!$D$77:$EQ$77,$DB33:$IO33))*1000+18)</f>
        <v/>
      </c>
      <c r="BZ33">
        <f>IF(AF33=1,1000000,IF('計算A'!$IT$28&gt;0,0,500000)+IF('計算A'!$IQ$28=2,SUMPRODUCT('計算A'!$D$78:$EQ$78,$DB33:$IO33,$IQ33:$OD33),SUMPRODUCT('計算A'!$D$78:$EQ$78,$DB33:$IO33))*1000+19)</f>
        <v/>
      </c>
      <c r="CA33">
        <f>IF(AG33=1,1000000,IF('計算A'!$IT$29&gt;0,0,500000)+IF('計算A'!$IQ$29=2,SUMPRODUCT('計算A'!$D$79:$EQ$79,$DB33:$IO33,$IQ33:$OD33),SUMPRODUCT('計算A'!$D$79:$EQ$79,$DB33:$IO33))*1000+20)</f>
        <v/>
      </c>
      <c r="CB33">
        <f>IF(AH33=1,1000000,IF('計算A'!$IT$30&gt;0,0,500000)+IF('計算A'!$IQ$30=2,SUMPRODUCT('計算A'!$D$80:$EQ$80,$DB33:$IO33,$IQ33:$OD33),SUMPRODUCT('計算A'!$D$80:$EQ$80,$DB33:$IO33))*1000+21)</f>
        <v/>
      </c>
      <c r="CC33">
        <f>IF(AI33=1,1000000,IF('計算A'!$IT$31&gt;0,0,500000)+IF('計算A'!$IQ$31=2,SUMPRODUCT('計算A'!$D$81:$EQ$81,$DB33:$IO33,$IQ33:$OD33),SUMPRODUCT('計算A'!$D$81:$EQ$81,$DB33:$IO33))*1000+22)</f>
        <v/>
      </c>
      <c r="CD33">
        <f>IF(AJ33=1,1000000,IF('計算A'!$IT$32&gt;0,0,500000)+IF('計算A'!$IQ$32=2,SUMPRODUCT('計算A'!$D$82:$EQ$82,$DB33:$IO33,$IQ33:$OD33),SUMPRODUCT('計算A'!$D$82:$EQ$82,$DB33:$IO33))*1000+23)</f>
        <v/>
      </c>
      <c r="CE33">
        <f>IF(AK33=1,1000000,IF('計算A'!$IT$33&gt;0,0,500000)+IF('計算A'!$IQ$33=2,SUMPRODUCT('計算A'!$D$83:$EQ$83,$DB33:$IO33,$IQ33:$OD33),SUMPRODUCT('計算A'!$D$83:$EQ$83,$DB33:$IO33))*1000+24)</f>
        <v/>
      </c>
      <c r="CF33">
        <f>IF(AL33=1,1000000,IF('計算A'!$IT$34&gt;0,0,500000)+IF('計算A'!$IQ$34=2,SUMPRODUCT('計算A'!$D$84:$EQ$84,$DB33:$IO33,$IQ33:$OD33),SUMPRODUCT('計算A'!$D$84:$EQ$84,$DB33:$IO33))*1000+25)</f>
        <v/>
      </c>
      <c r="CG33">
        <f>IF(AM33=1,1000000,IF('計算A'!$IT$35&gt;0,0,500000)+IF('計算A'!$IQ$35=2,SUMPRODUCT('計算A'!$D$85:$EQ$85,$DB33:$IO33,$IQ33:$OD33),SUMPRODUCT('計算A'!$D$85:$EQ$85,$DB33:$IO33))*1000+26)</f>
        <v/>
      </c>
      <c r="CH33">
        <f>IF(AN33=1,1000000,IF('計算A'!$IT$36&gt;0,0,500000)+IF('計算A'!$IQ$36=2,SUMPRODUCT('計算A'!$D$86:$EQ$86,$DB33:$IO33,$IQ33:$OD33),SUMPRODUCT('計算A'!$D$86:$EQ$86,$DB33:$IO33))*1000+27)</f>
        <v/>
      </c>
      <c r="CI33">
        <f>IF(AO33=1,1000000,IF('計算A'!$IT$37&gt;0,0,500000)+IF('計算A'!$IQ$37=2,SUMPRODUCT('計算A'!$D$87:$EQ$87,$DB33:$IO33,$IQ33:$OD33),SUMPRODUCT('計算A'!$D$87:$EQ$87,$DB33:$IO33))*1000+28)</f>
        <v/>
      </c>
      <c r="CJ33">
        <f>IF(AP33=1,1000000,IF('計算A'!$IT$38&gt;0,0,500000)+IF('計算A'!$IQ$38=2,SUMPRODUCT('計算A'!$D$88:$EQ$88,$DB33:$IO33,$IQ33:$OD33),SUMPRODUCT('計算A'!$D$88:$EQ$88,$DB33:$IO33))*1000+29)</f>
        <v/>
      </c>
      <c r="CK33">
        <f>IF(AQ33=1,1000000,IF('計算A'!$IT$39&gt;0,0,500000)+IF('計算A'!$IQ$39=2,SUMPRODUCT('計算A'!$D$89:$EQ$89,$DB33:$IO33,$IQ33:$OD33),SUMPRODUCT('計算A'!$D$89:$EQ$89,$DB33:$IO33))*1000+30)</f>
        <v/>
      </c>
      <c r="CL33">
        <f>IF(AR33=1,1000000,IF('計算A'!$IT$40&gt;0,0,500000)+IF('計算A'!$IQ$40=2,SUMPRODUCT('計算A'!$D$90:$EQ$90,$DB33:$IO33,$IQ33:$OD33),SUMPRODUCT('計算A'!$D$90:$EQ$90,$DB33:$IO33))*1000+31)</f>
        <v/>
      </c>
      <c r="CM33">
        <f>IF(AS33=1,1000000,IF('計算A'!$IT$41&gt;0,0,500000)+IF('計算A'!$IQ$41=2,SUMPRODUCT('計算A'!$D$91:$EQ$91,$DB33:$IO33,$IQ33:$OD33),SUMPRODUCT('計算A'!$D$91:$EQ$91,$DB33:$IO33))*1000+32)</f>
        <v/>
      </c>
      <c r="CN33">
        <f>IF(AT33=1,1000000,IF('計算A'!$IT$42&gt;0,0,500000)+IF('計算A'!$IQ$42=2,SUMPRODUCT('計算A'!$D$92:$EQ$92,$DB33:$IO33,$IQ33:$OD33),SUMPRODUCT('計算A'!$D$92:$EQ$92,$DB33:$IO33))*1000+33)</f>
        <v/>
      </c>
      <c r="CO33">
        <f>IF(AU33=1,1000000,IF('計算A'!$IT$43&gt;0,0,500000)+IF('計算A'!$IQ$43=2,SUMPRODUCT('計算A'!$D$93:$EQ$93,$DB33:$IO33,$IQ33:$OD33),SUMPRODUCT('計算A'!$D$93:$EQ$93,$DB33:$IO33))*1000+34)</f>
        <v/>
      </c>
      <c r="CP33">
        <f>IF(AV33=1,1000000,IF('計算A'!$IT$44&gt;0,0,500000)+IF('計算A'!$IQ$44=2,SUMPRODUCT('計算A'!$D$94:$EQ$94,$DB33:$IO33,$IQ33:$OD33),SUMPRODUCT('計算A'!$D$94:$EQ$94,$DB33:$IO33))*1000+35)</f>
        <v/>
      </c>
      <c r="CQ33">
        <f>IF(AW33=1,1000000,IF('計算A'!$IT$45&gt;0,0,500000)+IF('計算A'!$IQ$45=2,SUMPRODUCT('計算A'!$D$95:$EQ$95,$DB33:$IO33,$IQ33:$OD33),SUMPRODUCT('計算A'!$D$95:$EQ$95,$DB33:$IO33))*1000+36)</f>
        <v/>
      </c>
      <c r="CR33">
        <f>IF(AX33=1,1000000,IF('計算A'!$IT$46&gt;0,0,500000)+IF('計算A'!$IQ$46=2,SUMPRODUCT('計算A'!$D$96:$EQ$96,$DB33:$IO33,$IQ33:$OD33),SUMPRODUCT('計算A'!$D$96:$EQ$96,$DB33:$IO33))*1000+37)</f>
        <v/>
      </c>
      <c r="CS33">
        <f>IF(AY33=1,1000000,IF('計算A'!$IT$47&gt;0,0,500000)+IF('計算A'!$IQ$47=2,SUMPRODUCT('計算A'!$D$97:$EQ$97,$DB33:$IO33,$IQ33:$OD33),SUMPRODUCT('計算A'!$D$97:$EQ$97,$DB33:$IO33))*1000+38)</f>
        <v/>
      </c>
      <c r="CT33">
        <f>IF(AZ33=1,1000000,IF('計算A'!$IT$48&gt;0,0,500000)+IF('計算A'!$IQ$48=2,SUMPRODUCT('計算A'!$D$98:$EQ$98,$DB33:$IO33,$IQ33:$OD33),SUMPRODUCT('計算A'!$D$98:$EQ$98,$DB33:$IO33))*1000+39)</f>
        <v/>
      </c>
      <c r="CU33">
        <f>IF(BA33=1,1000000,IF('計算A'!$IT$49&gt;0,0,500000)+IF('計算A'!$IQ$49=2,SUMPRODUCT('計算A'!$D$99:$EQ$99,$DB33:$IO33,$IQ33:$OD33),SUMPRODUCT('計算A'!$D$99:$EQ$99,$DB33:$IO33))*1000+40)</f>
        <v/>
      </c>
      <c r="CV33">
        <f>IF(BB33=1,1000000,IF('計算A'!$IT$50&gt;0,0,500000)+IF('計算A'!$IQ$50=2,SUMPRODUCT('計算A'!$D$100:$EQ$100,$DB33:$IO33,$IQ33:$OD33),SUMPRODUCT('計算A'!$D$100:$EQ$100,$DB33:$IO33))*1000+41)</f>
        <v/>
      </c>
      <c r="CW33">
        <f>IF(BC33=1,1000000,IF('計算A'!$IT$51&gt;0,0,500000)+IF('計算A'!$IQ$51=2,SUMPRODUCT('計算A'!$D$101:$EQ$101,$DB33:$IO33,$IQ33:$OD33),SUMPRODUCT('計算A'!$D$101:$EQ$101,$DB33:$IO33))*1000+42)</f>
        <v/>
      </c>
      <c r="CX33">
        <f>IF(BD33=1,1000000,IF('計算A'!$IT$52&gt;0,0,500000)+IF('計算A'!$IQ$52=2,SUMPRODUCT('計算A'!$D$102:$EQ$102,$DB33:$IO33,$IQ33:$OD33),SUMPRODUCT('計算A'!$D$102:$EQ$102,$DB33:$IO33))*1000+43)</f>
        <v/>
      </c>
      <c r="CY33">
        <f>IF(BE33=1,1000000,IF('計算A'!$IT$53&gt;0,0,500000)+IF('計算A'!$IQ$53=2,SUMPRODUCT('計算A'!$D$103:$EQ$103,$DB33:$IO33,$IQ33:$OD33),SUMPRODUCT('計算A'!$D$103:$EQ$103,$DB33:$IO33))*1000+44)</f>
        <v/>
      </c>
      <c r="CZ33">
        <f>IF(BF33=1,1000000,IF('計算A'!$IT$54&gt;0,0,500000)+IF('計算A'!$IQ$54=2,SUMPRODUCT('計算A'!$D$104:$EQ$104,$DB33:$IO33,$IQ33:$OD33),SUMPRODUCT('計算A'!$D$104:$EQ$104,$DB33:$IO33))*1000+45)</f>
        <v/>
      </c>
      <c r="DB33">
        <f>DB32*IF(OR($C32=1,$G32=1),0,1)</f>
        <v/>
      </c>
      <c r="DC33">
        <f>DC32*IF(OR($C32=2,$G32=2),0,1)</f>
        <v/>
      </c>
      <c r="DD33">
        <f>DD32*IF(OR($C32=3,$G32=3),0,1)</f>
        <v/>
      </c>
      <c r="DE33">
        <f>DE32*IF(OR($C32=4,$G32=4),0,1)</f>
        <v/>
      </c>
      <c r="DF33">
        <f>DF32*IF(OR($C32=5,$G32=5),0,1)</f>
        <v/>
      </c>
      <c r="DG33">
        <f>DG32*IF(OR($C32=6,$G32=6),0,1)</f>
        <v/>
      </c>
      <c r="DH33">
        <f>DH32*IF(OR($C32=7,$G32=7),0,1)</f>
        <v/>
      </c>
      <c r="DI33">
        <f>DI32*IF(OR($C32=8,$G32=8),0,1)</f>
        <v/>
      </c>
      <c r="DJ33">
        <f>DJ32*IF(OR($C32=9,$G32=9),0,1)</f>
        <v/>
      </c>
      <c r="DK33">
        <f>DK32*IF(OR($C32=10,$G32=10),0,1)</f>
        <v/>
      </c>
      <c r="DL33">
        <f>DL32*IF(OR($C32=11,$G32=11),0,1)</f>
        <v/>
      </c>
      <c r="DM33">
        <f>DM32*IF(OR($C32=12,$G32=12),0,1)</f>
        <v/>
      </c>
      <c r="DN33">
        <f>DN32*IF(OR($C32=13,$G32=13),0,1)</f>
        <v/>
      </c>
      <c r="DO33">
        <f>DO32*IF(OR($C32=14,$G32=14),0,1)</f>
        <v/>
      </c>
      <c r="DP33">
        <f>DP32*IF(OR($C32=15,$G32=15),0,1)</f>
        <v/>
      </c>
      <c r="DQ33">
        <f>DQ32*IF(OR($C32=16,$G32=16),0,1)</f>
        <v/>
      </c>
      <c r="DR33">
        <f>DR32*IF(OR($C32=17,$G32=17),0,1)</f>
        <v/>
      </c>
      <c r="DS33">
        <f>DS32*IF(OR($C32=18,$G32=18),0,1)</f>
        <v/>
      </c>
      <c r="DT33">
        <f>DT32*IF(OR($C32=19,$G32=19),0,1)</f>
        <v/>
      </c>
      <c r="DU33">
        <f>DU32*IF(OR($C32=20,$G32=20),0,1)</f>
        <v/>
      </c>
      <c r="DV33">
        <f>DV32*IF(OR($C32=21,$G32=21),0,1)</f>
        <v/>
      </c>
      <c r="DW33">
        <f>DW32*IF(OR($C32=22,$G32=22),0,1)</f>
        <v/>
      </c>
      <c r="DX33">
        <f>DX32*IF(OR($C32=23,$G32=23),0,1)</f>
        <v/>
      </c>
      <c r="DY33">
        <f>DY32*IF(OR($C32=24,$G32=24),0,1)</f>
        <v/>
      </c>
      <c r="DZ33">
        <f>DZ32*IF(OR($C32=25,$G32=25),0,1)</f>
        <v/>
      </c>
      <c r="EA33">
        <f>EA32*IF(OR($C32=26,$G32=26),0,1)</f>
        <v/>
      </c>
      <c r="EB33">
        <f>EB32*IF(OR($C32=27,$G32=27),0,1)</f>
        <v/>
      </c>
      <c r="EC33">
        <f>EC32*IF(OR($C32=28,$G32=28),0,1)</f>
        <v/>
      </c>
      <c r="ED33">
        <f>ED32*IF(OR($C32=29,$G32=29),0,1)</f>
        <v/>
      </c>
      <c r="EE33">
        <f>EE32*IF(OR($C32=30,$G32=30),0,1)</f>
        <v/>
      </c>
      <c r="EF33">
        <f>EF32*IF(OR($C32=31,$G32=31),0,1)</f>
        <v/>
      </c>
      <c r="EG33">
        <f>EG32*IF(OR($C32=32,$G32=32),0,1)</f>
        <v/>
      </c>
      <c r="EH33">
        <f>EH32*IF(OR($C32=33,$G32=33),0,1)</f>
        <v/>
      </c>
      <c r="EI33">
        <f>EI32*IF(OR($C32=34,$G32=34),0,1)</f>
        <v/>
      </c>
      <c r="EJ33">
        <f>EJ32*IF(OR($C32=35,$G32=35),0,1)</f>
        <v/>
      </c>
      <c r="EK33">
        <f>EK32*IF(OR($C32=36,$G32=36),0,1)</f>
        <v/>
      </c>
      <c r="EL33">
        <f>EL32*IF(OR($C32=37,$G32=37),0,1)</f>
        <v/>
      </c>
      <c r="EM33">
        <f>EM32*IF(OR($C32=38,$G32=38),0,1)</f>
        <v/>
      </c>
      <c r="EN33">
        <f>EN32*IF(OR($C32=39,$G32=39),0,1)</f>
        <v/>
      </c>
      <c r="EO33">
        <f>EO32*IF(OR($C32=40,$G32=40),0,1)</f>
        <v/>
      </c>
      <c r="EP33">
        <f>EP32*IF(OR($C32=41,$G32=41),0,1)</f>
        <v/>
      </c>
      <c r="EQ33">
        <f>EQ32*IF(OR($C32=42,$G32=42),0,1)</f>
        <v/>
      </c>
      <c r="ER33">
        <f>ER32*IF(OR($C32=43,$G32=43),0,1)</f>
        <v/>
      </c>
      <c r="ES33">
        <f>ES32*IF(OR($C32=44,$G32=44),0,1)</f>
        <v/>
      </c>
      <c r="ET33">
        <f>ET32*IF(OR($C32=45,$G32=45),0,1)</f>
        <v/>
      </c>
      <c r="EU33">
        <f>EU32*IF(OR($C32=46,$G32=46),0,1)</f>
        <v/>
      </c>
      <c r="EV33">
        <f>EV32*IF(OR($C32=47,$G32=47),0,1)</f>
        <v/>
      </c>
      <c r="EW33">
        <f>EW32*IF(OR($C32=48,$G32=48),0,1)</f>
        <v/>
      </c>
      <c r="EX33">
        <f>EX32*IF(OR($C32=49,$G32=49),0,1)</f>
        <v/>
      </c>
      <c r="EY33">
        <f>EY32*IF(OR($C32=50,$G32=50),0,1)</f>
        <v/>
      </c>
      <c r="EZ33">
        <f>EZ32*IF(OR($C32=51,$G32=51),0,1)</f>
        <v/>
      </c>
      <c r="FA33">
        <f>FA32*IF(OR($C32=52,$G32=52),0,1)</f>
        <v/>
      </c>
      <c r="FB33">
        <f>FB32*IF(OR($C32=53,$G32=53),0,1)</f>
        <v/>
      </c>
      <c r="FC33">
        <f>FC32*IF(OR($C32=54,$G32=54),0,1)</f>
        <v/>
      </c>
      <c r="FD33">
        <f>FD32*IF(OR($C32=55,$G32=55),0,1)</f>
        <v/>
      </c>
      <c r="FE33">
        <f>FE32*IF(OR($C32=56,$G32=56),0,1)</f>
        <v/>
      </c>
      <c r="FF33">
        <f>FF32*IF(OR($C32=57,$G32=57),0,1)</f>
        <v/>
      </c>
      <c r="FG33">
        <f>FG32*IF(OR($C32=58,$G32=58),0,1)</f>
        <v/>
      </c>
      <c r="FH33">
        <f>FH32*IF(OR($C32=59,$G32=59),0,1)</f>
        <v/>
      </c>
      <c r="FI33">
        <f>FI32*IF(OR($C32=60,$G32=60),0,1)</f>
        <v/>
      </c>
      <c r="FJ33">
        <f>FJ32*IF(OR($C32=61,$G32=61),0,1)</f>
        <v/>
      </c>
      <c r="FK33">
        <f>FK32*IF(OR($C32=62,$G32=62),0,1)</f>
        <v/>
      </c>
      <c r="FL33">
        <f>FL32*IF(OR($C32=63,$G32=63),0,1)</f>
        <v/>
      </c>
      <c r="FM33">
        <f>FM32*IF(OR($C32=64,$G32=64),0,1)</f>
        <v/>
      </c>
      <c r="FN33">
        <f>FN32*IF(OR($C32=65,$G32=65),0,1)</f>
        <v/>
      </c>
      <c r="FO33">
        <f>FO32*IF(OR($C32=66,$G32=66),0,1)</f>
        <v/>
      </c>
      <c r="FP33">
        <f>FP32*IF(OR($C32=67,$G32=67),0,1)</f>
        <v/>
      </c>
      <c r="FQ33">
        <f>FQ32*IF(OR($C32=68,$G32=68),0,1)</f>
        <v/>
      </c>
      <c r="FR33">
        <f>FR32*IF(OR($C32=69,$G32=69),0,1)</f>
        <v/>
      </c>
      <c r="FS33">
        <f>FS32*IF(OR($C32=70,$G32=70),0,1)</f>
        <v/>
      </c>
      <c r="FT33">
        <f>FT32*IF(OR($C32=71,$G32=71),0,1)</f>
        <v/>
      </c>
      <c r="FU33">
        <f>FU32*IF(OR($C32=72,$G32=72),0,1)</f>
        <v/>
      </c>
      <c r="FV33">
        <f>FV32*IF(OR($C32=73,$G32=73),0,1)</f>
        <v/>
      </c>
      <c r="FW33">
        <f>FW32*IF(OR($C32=74,$G32=74),0,1)</f>
        <v/>
      </c>
      <c r="FX33">
        <f>FX32*IF(OR($C32=75,$G32=75),0,1)</f>
        <v/>
      </c>
      <c r="FY33">
        <f>FY32*IF(OR($C32=76,$G32=76),0,1)</f>
        <v/>
      </c>
      <c r="FZ33">
        <f>FZ32*IF(OR($C32=77,$G32=77),0,1)</f>
        <v/>
      </c>
      <c r="GA33">
        <f>GA32*IF(OR($C32=78,$G32=78),0,1)</f>
        <v/>
      </c>
      <c r="GB33">
        <f>GB32*IF(OR($C32=79,$G32=79),0,1)</f>
        <v/>
      </c>
      <c r="GC33">
        <f>GC32*IF(OR($C32=80,$G32=80),0,1)</f>
        <v/>
      </c>
      <c r="GD33">
        <f>GD32*IF(OR($C32=81,$G32=81),0,1)</f>
        <v/>
      </c>
      <c r="GE33">
        <f>GE32*IF(OR($C32=82,$G32=82),0,1)</f>
        <v/>
      </c>
      <c r="GF33">
        <f>GF32*IF(OR($C32=83,$G32=83),0,1)</f>
        <v/>
      </c>
      <c r="GG33">
        <f>GG32*IF(OR($C32=84,$G32=84),0,1)</f>
        <v/>
      </c>
      <c r="GH33">
        <f>GH32*IF(OR($C32=85,$G32=85),0,1)</f>
        <v/>
      </c>
      <c r="GI33">
        <f>GI32*IF(OR($C32=86,$G32=86),0,1)</f>
        <v/>
      </c>
      <c r="GJ33">
        <f>GJ32*IF(OR($C32=87,$G32=87),0,1)</f>
        <v/>
      </c>
      <c r="GK33">
        <f>GK32*IF(OR($C32=88,$G32=88),0,1)</f>
        <v/>
      </c>
      <c r="GL33">
        <f>GL32*IF(OR($C32=89,$G32=89),0,1)</f>
        <v/>
      </c>
      <c r="GM33">
        <f>GM32*IF(OR($C32=90,$G32=90),0,1)</f>
        <v/>
      </c>
      <c r="GN33">
        <f>GN32*IF(OR($C32=91,$G32=91),0,1)</f>
        <v/>
      </c>
      <c r="GO33">
        <f>GO32*IF(OR($C32=92,$G32=92),0,1)</f>
        <v/>
      </c>
      <c r="GP33">
        <f>GP32*IF(OR($C32=93,$G32=93),0,1)</f>
        <v/>
      </c>
      <c r="GQ33">
        <f>GQ32*IF(OR($C32=94,$G32=94),0,1)</f>
        <v/>
      </c>
      <c r="GR33">
        <f>GR32*IF(OR($C32=95,$G32=95),0,1)</f>
        <v/>
      </c>
      <c r="GS33">
        <f>GS32*IF(OR($C32=96,$G32=96),0,1)</f>
        <v/>
      </c>
      <c r="GT33">
        <f>GT32*IF(OR($C32=97,$G32=97),0,1)</f>
        <v/>
      </c>
      <c r="GU33">
        <f>GU32*IF(OR($C32=98,$G32=98),0,1)</f>
        <v/>
      </c>
      <c r="GV33">
        <f>GV32*IF(OR($C32=99,$G32=99),0,1)</f>
        <v/>
      </c>
      <c r="GW33">
        <f>GW32*IF(OR($C32=100,$G32=100),0,1)</f>
        <v/>
      </c>
      <c r="GX33">
        <f>GX32*IF(OR($C32=101,$G32=101),0,1)</f>
        <v/>
      </c>
      <c r="GY33">
        <f>GY32*IF(OR($C32=102,$G32=102),0,1)</f>
        <v/>
      </c>
      <c r="GZ33">
        <f>GZ32*IF(OR($C32=103,$G32=103),0,1)</f>
        <v/>
      </c>
      <c r="HA33">
        <f>HA32*IF(OR($C32=104,$G32=104),0,1)</f>
        <v/>
      </c>
      <c r="HB33">
        <f>HB32*IF(OR($C32=105,$G32=105),0,1)</f>
        <v/>
      </c>
      <c r="HC33">
        <f>HC32*IF(OR($C32=106,$G32=106),0,1)</f>
        <v/>
      </c>
      <c r="HD33">
        <f>HD32*IF(OR($C32=107,$G32=107),0,1)</f>
        <v/>
      </c>
      <c r="HE33">
        <f>HE32*IF(OR($C32=108,$G32=108),0,1)</f>
        <v/>
      </c>
      <c r="HF33">
        <f>HF32*IF(OR($C32=109,$G32=109),0,1)</f>
        <v/>
      </c>
      <c r="HG33">
        <f>HG32*IF(OR($C32=110,$G32=110),0,1)</f>
        <v/>
      </c>
      <c r="HH33">
        <f>HH32*IF(OR($C32=111,$G32=111),0,1)</f>
        <v/>
      </c>
      <c r="HI33">
        <f>HI32*IF(OR($C32=112,$G32=112),0,1)</f>
        <v/>
      </c>
      <c r="HJ33">
        <f>HJ32*IF(OR($C32=113,$G32=113),0,1)</f>
        <v/>
      </c>
      <c r="HK33">
        <f>HK32*IF(OR($C32=114,$G32=114),0,1)</f>
        <v/>
      </c>
      <c r="HL33">
        <f>HL32*IF(OR($C32=115,$G32=115),0,1)</f>
        <v/>
      </c>
      <c r="HM33">
        <f>HM32*IF(OR($C32=116,$G32=116),0,1)</f>
        <v/>
      </c>
      <c r="HN33">
        <f>HN32*IF(OR($C32=117,$G32=117),0,1)</f>
        <v/>
      </c>
      <c r="HO33">
        <f>HO32*IF(OR($C32=118,$G32=118),0,1)</f>
        <v/>
      </c>
      <c r="HP33">
        <f>HP32*IF(OR($C32=119,$G32=119),0,1)</f>
        <v/>
      </c>
      <c r="HQ33">
        <f>HQ32*IF(OR($C32=120,$G32=120),0,1)</f>
        <v/>
      </c>
      <c r="HR33">
        <f>HR32*IF(OR($C32=121,$G32=121),0,1)</f>
        <v/>
      </c>
      <c r="HS33">
        <f>HS32*IF(OR($C32=122,$G32=122),0,1)</f>
        <v/>
      </c>
      <c r="HT33">
        <f>HT32*IF(OR($C32=123,$G32=123),0,1)</f>
        <v/>
      </c>
      <c r="HU33">
        <f>HU32*IF(OR($C32=124,$G32=124),0,1)</f>
        <v/>
      </c>
      <c r="HV33">
        <f>HV32*IF(OR($C32=125,$G32=125),0,1)</f>
        <v/>
      </c>
      <c r="HW33">
        <f>HW32*IF(OR($C32=126,$G32=126),0,1)</f>
        <v/>
      </c>
      <c r="HX33">
        <f>HX32*IF(OR($C32=127,$G32=127),0,1)</f>
        <v/>
      </c>
      <c r="HY33">
        <f>HY32*IF(OR($C32=128,$G32=128),0,1)</f>
        <v/>
      </c>
      <c r="HZ33">
        <f>HZ32*IF(OR($C32=129,$G32=129),0,1)</f>
        <v/>
      </c>
      <c r="IA33">
        <f>IA32*IF(OR($C32=130,$G32=130),0,1)</f>
        <v/>
      </c>
      <c r="IB33">
        <f>IB32*IF(OR($C32=131,$G32=131),0,1)</f>
        <v/>
      </c>
      <c r="IC33">
        <f>IC32*IF(OR($C32=132,$G32=132),0,1)</f>
        <v/>
      </c>
      <c r="ID33">
        <f>ID32*IF(OR($C32=133,$G32=133),0,1)</f>
        <v/>
      </c>
      <c r="IE33">
        <f>IE32*IF(OR($C32=134,$G32=134),0,1)</f>
        <v/>
      </c>
      <c r="IF33">
        <f>IF32*IF(OR($C32=135,$G32=135),0,1)</f>
        <v/>
      </c>
      <c r="IG33">
        <f>IG32*IF(OR($C32=136,$G32=136),0,1)</f>
        <v/>
      </c>
      <c r="IH33">
        <f>IH32*IF(OR($C32=137,$G32=137),0,1)</f>
        <v/>
      </c>
      <c r="II33">
        <f>II32*IF(OR($C32=138,$G32=138),0,1)</f>
        <v/>
      </c>
      <c r="IJ33">
        <f>IJ32*IF(OR($C32=139,$G32=139),0,1)</f>
        <v/>
      </c>
      <c r="IK33">
        <f>IK32*IF(OR($C32=140,$G32=140),0,1)</f>
        <v/>
      </c>
      <c r="IL33">
        <f>IL32*IF(OR($C32=141,$G32=141),0,1)</f>
        <v/>
      </c>
      <c r="IM33">
        <f>IM32*IF(OR($C32=142,$G32=142),0,1)</f>
        <v/>
      </c>
      <c r="IN33">
        <f>IN32*IF(OR($C32=143,$G32=143),0,1)</f>
        <v/>
      </c>
      <c r="IO33">
        <f>IO32*IF(OR($C32=144,$G32=144),0,1)</f>
        <v/>
      </c>
      <c r="IQ33">
        <f>IF('計算A'!D$106=1,DC33,1)</f>
        <v/>
      </c>
      <c r="IR33">
        <f>IF('計算A'!E$106=1,DD33,1)</f>
        <v/>
      </c>
      <c r="IS33">
        <f>IF('計算A'!F$106=1,DE33,1)</f>
        <v/>
      </c>
      <c r="IT33">
        <f>IF('計算A'!G$106=1,DF33,1)</f>
        <v/>
      </c>
      <c r="IU33">
        <f>IF('計算A'!H$106=1,DG33,1)</f>
        <v/>
      </c>
      <c r="IV33">
        <f>IF('計算A'!I$106=1,DH33,1)</f>
        <v/>
      </c>
      <c r="IW33">
        <f>IF('計算A'!J$106=1,DI33,1)</f>
        <v/>
      </c>
      <c r="IX33">
        <f>IF('計算A'!K$106=1,DJ33,1)</f>
        <v/>
      </c>
      <c r="IY33">
        <f>IF('計算A'!L$106=1,DK33,1)</f>
        <v/>
      </c>
      <c r="IZ33">
        <f>IF('計算A'!M$106=1,DL33,1)</f>
        <v/>
      </c>
      <c r="JA33">
        <f>IF('計算A'!N$106=1,DM33,1)</f>
        <v/>
      </c>
      <c r="JB33">
        <f>IF('計算A'!O$106=1,DN33,1)</f>
        <v/>
      </c>
      <c r="JC33">
        <f>IF('計算A'!P$106=1,DO33,1)</f>
        <v/>
      </c>
      <c r="JD33">
        <f>IF('計算A'!Q$106=1,DP33,1)</f>
        <v/>
      </c>
      <c r="JE33">
        <f>IF('計算A'!R$106=1,DQ33,1)</f>
        <v/>
      </c>
      <c r="JF33">
        <f>IF('計算A'!S$106=1,DR33,1)</f>
        <v/>
      </c>
      <c r="JG33">
        <f>IF('計算A'!T$106=1,DS33,1)</f>
        <v/>
      </c>
      <c r="JH33">
        <f>IF('計算A'!U$106=1,DT33,1)</f>
        <v/>
      </c>
      <c r="JI33">
        <f>IF('計算A'!V$106=1,DU33,1)</f>
        <v/>
      </c>
      <c r="JJ33">
        <f>IF('計算A'!W$106=1,DV33,1)</f>
        <v/>
      </c>
      <c r="JK33">
        <f>IF('計算A'!X$106=1,DW33,1)</f>
        <v/>
      </c>
      <c r="JL33">
        <f>IF('計算A'!Y$106=1,DX33,1)</f>
        <v/>
      </c>
      <c r="JM33">
        <f>IF('計算A'!Z$106=1,DY33,1)</f>
        <v/>
      </c>
      <c r="JN33">
        <f>IF('計算A'!AA$106=1,DZ33,1)</f>
        <v/>
      </c>
      <c r="JO33">
        <f>IF('計算A'!AB$106=1,EA33,1)</f>
        <v/>
      </c>
      <c r="JP33">
        <f>IF('計算A'!AC$106=1,EB33,1)</f>
        <v/>
      </c>
      <c r="JQ33">
        <f>IF('計算A'!AD$106=1,EC33,1)</f>
        <v/>
      </c>
      <c r="JR33">
        <f>IF('計算A'!AE$106=1,ED33,1)</f>
        <v/>
      </c>
      <c r="JS33">
        <f>IF('計算A'!AF$106=1,EE33,1)</f>
        <v/>
      </c>
      <c r="JT33">
        <f>IF('計算A'!AG$106=1,EF33,1)</f>
        <v/>
      </c>
      <c r="JU33">
        <f>IF('計算A'!AH$106=1,EG33,1)</f>
        <v/>
      </c>
      <c r="JV33">
        <f>IF('計算A'!AI$106=1,EH33,1)</f>
        <v/>
      </c>
      <c r="JW33">
        <f>IF('計算A'!AJ$106=1,EI33,1)</f>
        <v/>
      </c>
      <c r="JX33">
        <f>IF('計算A'!AK$106=1,EJ33,1)</f>
        <v/>
      </c>
      <c r="JY33">
        <f>IF('計算A'!AL$106=1,EK33,1)</f>
        <v/>
      </c>
      <c r="JZ33">
        <f>IF('計算A'!AM$106=1,EL33,1)</f>
        <v/>
      </c>
      <c r="KA33">
        <f>IF('計算A'!AN$106=1,EM33,1)</f>
        <v/>
      </c>
      <c r="KB33">
        <f>IF('計算A'!AO$106=1,EN33,1)</f>
        <v/>
      </c>
      <c r="KC33">
        <f>IF('計算A'!AP$106=1,EO33,1)</f>
        <v/>
      </c>
      <c r="KD33">
        <f>IF('計算A'!AQ$106=1,EP33,1)</f>
        <v/>
      </c>
      <c r="KE33">
        <f>IF('計算A'!AR$106=1,EQ33,1)</f>
        <v/>
      </c>
      <c r="KF33">
        <f>IF('計算A'!AS$106=1,ER33,1)</f>
        <v/>
      </c>
      <c r="KG33">
        <f>IF('計算A'!AT$106=1,ES33,1)</f>
        <v/>
      </c>
      <c r="KH33">
        <f>IF('計算A'!AU$106=1,ET33,1)</f>
        <v/>
      </c>
      <c r="KI33">
        <f>IF('計算A'!AV$106=1,EU33,1)</f>
        <v/>
      </c>
      <c r="KJ33">
        <f>IF('計算A'!AW$106=1,EV33,1)</f>
        <v/>
      </c>
      <c r="KK33">
        <f>IF('計算A'!AX$106=1,EW33,1)</f>
        <v/>
      </c>
      <c r="KL33">
        <f>IF('計算A'!AY$106=1,EX33,1)</f>
        <v/>
      </c>
      <c r="KM33">
        <f>IF('計算A'!AZ$106=1,EY33,1)</f>
        <v/>
      </c>
      <c r="KN33">
        <f>IF('計算A'!BA$106=1,EZ33,1)</f>
        <v/>
      </c>
      <c r="KO33">
        <f>IF('計算A'!BB$106=1,FA33,1)</f>
        <v/>
      </c>
      <c r="KP33">
        <f>IF('計算A'!BC$106=1,FB33,1)</f>
        <v/>
      </c>
      <c r="KQ33">
        <f>IF('計算A'!BD$106=1,FC33,1)</f>
        <v/>
      </c>
      <c r="KR33">
        <f>IF('計算A'!BE$106=1,FD33,1)</f>
        <v/>
      </c>
      <c r="KS33">
        <f>IF('計算A'!BF$106=1,FE33,1)</f>
        <v/>
      </c>
      <c r="KT33">
        <f>IF('計算A'!BG$106=1,FF33,1)</f>
        <v/>
      </c>
      <c r="KU33">
        <f>IF('計算A'!BH$106=1,FG33,1)</f>
        <v/>
      </c>
      <c r="KV33">
        <f>IF('計算A'!BI$106=1,FH33,1)</f>
        <v/>
      </c>
      <c r="KW33">
        <f>IF('計算A'!BJ$106=1,FI33,1)</f>
        <v/>
      </c>
      <c r="KX33">
        <f>IF('計算A'!BK$106=1,FJ33,1)</f>
        <v/>
      </c>
      <c r="KY33">
        <f>IF('計算A'!BL$106=1,FK33,1)</f>
        <v/>
      </c>
      <c r="KZ33">
        <f>IF('計算A'!BM$106=1,FL33,1)</f>
        <v/>
      </c>
      <c r="LA33">
        <f>IF('計算A'!BN$106=1,FM33,1)</f>
        <v/>
      </c>
      <c r="LB33">
        <f>IF('計算A'!BO$106=1,FN33,1)</f>
        <v/>
      </c>
      <c r="LC33">
        <f>IF('計算A'!BP$106=1,FO33,1)</f>
        <v/>
      </c>
      <c r="LD33">
        <f>IF('計算A'!BQ$106=1,FP33,1)</f>
        <v/>
      </c>
      <c r="LE33">
        <f>IF('計算A'!BR$106=1,FQ33,1)</f>
        <v/>
      </c>
      <c r="LF33">
        <f>IF('計算A'!BS$106=1,FR33,1)</f>
        <v/>
      </c>
      <c r="LG33">
        <f>IF('計算A'!BT$106=1,FS33,1)</f>
        <v/>
      </c>
      <c r="LH33">
        <f>IF('計算A'!BU$106=1,FT33,1)</f>
        <v/>
      </c>
      <c r="LI33">
        <f>IF('計算A'!BV$106=1,FU33,1)</f>
        <v/>
      </c>
      <c r="LJ33">
        <f>IF('計算A'!BW$106=1,FV33,1)</f>
        <v/>
      </c>
      <c r="LK33">
        <f>IF('計算A'!BX$106=1,FW33,1)</f>
        <v/>
      </c>
      <c r="LL33">
        <f>IF('計算A'!BY$106=1,FX33,1)</f>
        <v/>
      </c>
      <c r="LM33">
        <f>IF('計算A'!BZ$106=1,FY33,1)</f>
        <v/>
      </c>
      <c r="LN33">
        <f>IF('計算A'!CA$106=1,FZ33,1)</f>
        <v/>
      </c>
      <c r="LO33">
        <f>IF('計算A'!CB$106=1,GA33,1)</f>
        <v/>
      </c>
      <c r="LP33">
        <f>IF('計算A'!CC$106=1,GB33,1)</f>
        <v/>
      </c>
      <c r="LQ33">
        <f>IF('計算A'!CD$106=1,GC33,1)</f>
        <v/>
      </c>
      <c r="LR33">
        <f>IF('計算A'!CE$106=1,GD33,1)</f>
        <v/>
      </c>
      <c r="LS33">
        <f>IF('計算A'!CF$106=1,GE33,1)</f>
        <v/>
      </c>
      <c r="LT33">
        <f>IF('計算A'!CG$106=1,GF33,1)</f>
        <v/>
      </c>
      <c r="LU33">
        <f>IF('計算A'!CH$106=1,GG33,1)</f>
        <v/>
      </c>
      <c r="LV33">
        <f>IF('計算A'!CI$106=1,GH33,1)</f>
        <v/>
      </c>
      <c r="LW33">
        <f>IF('計算A'!CJ$106=1,GI33,1)</f>
        <v/>
      </c>
      <c r="LX33">
        <f>IF('計算A'!CK$106=1,GJ33,1)</f>
        <v/>
      </c>
      <c r="LY33">
        <f>IF('計算A'!CL$106=1,GK33,1)</f>
        <v/>
      </c>
      <c r="LZ33">
        <f>IF('計算A'!CM$106=1,GL33,1)</f>
        <v/>
      </c>
      <c r="MA33">
        <f>IF('計算A'!CN$106=1,GM33,1)</f>
        <v/>
      </c>
      <c r="MB33">
        <f>IF('計算A'!CO$106=1,GN33,1)</f>
        <v/>
      </c>
      <c r="MC33">
        <f>IF('計算A'!CP$106=1,GO33,1)</f>
        <v/>
      </c>
      <c r="MD33">
        <f>IF('計算A'!CQ$106=1,GP33,1)</f>
        <v/>
      </c>
      <c r="ME33">
        <f>IF('計算A'!CR$106=1,GQ33,1)</f>
        <v/>
      </c>
      <c r="MF33">
        <f>IF('計算A'!CS$106=1,GR33,1)</f>
        <v/>
      </c>
      <c r="MG33">
        <f>IF('計算A'!CT$106=1,GS33,1)</f>
        <v/>
      </c>
      <c r="MH33">
        <f>IF('計算A'!CU$106=1,GT33,1)</f>
        <v/>
      </c>
      <c r="MI33">
        <f>IF('計算A'!CV$106=1,GU33,1)</f>
        <v/>
      </c>
      <c r="MJ33">
        <f>IF('計算A'!CW$106=1,GV33,1)</f>
        <v/>
      </c>
      <c r="MK33">
        <f>IF('計算A'!CX$106=1,GW33,1)</f>
        <v/>
      </c>
      <c r="ML33">
        <f>IF('計算A'!CY$106=1,GX33,1)</f>
        <v/>
      </c>
      <c r="MM33">
        <f>IF('計算A'!CZ$106=1,GY33,1)</f>
        <v/>
      </c>
      <c r="MN33">
        <f>IF('計算A'!DA$106=1,GZ33,1)</f>
        <v/>
      </c>
      <c r="MO33">
        <f>IF('計算A'!DB$106=1,HA33,1)</f>
        <v/>
      </c>
      <c r="MP33">
        <f>IF('計算A'!DC$106=1,HB33,1)</f>
        <v/>
      </c>
      <c r="MQ33">
        <f>IF('計算A'!DD$106=1,HC33,1)</f>
        <v/>
      </c>
      <c r="MR33">
        <f>IF('計算A'!DE$106=1,HD33,1)</f>
        <v/>
      </c>
      <c r="MS33">
        <f>IF('計算A'!DF$106=1,HE33,1)</f>
        <v/>
      </c>
      <c r="MT33">
        <f>IF('計算A'!DG$106=1,HF33,1)</f>
        <v/>
      </c>
      <c r="MU33">
        <f>IF('計算A'!DH$106=1,HG33,1)</f>
        <v/>
      </c>
      <c r="MV33">
        <f>IF('計算A'!DI$106=1,HH33,1)</f>
        <v/>
      </c>
      <c r="MW33">
        <f>IF('計算A'!DJ$106=1,HI33,1)</f>
        <v/>
      </c>
      <c r="MX33">
        <f>IF('計算A'!DK$106=1,HJ33,1)</f>
        <v/>
      </c>
      <c r="MY33">
        <f>IF('計算A'!DL$106=1,HK33,1)</f>
        <v/>
      </c>
      <c r="MZ33">
        <f>IF('計算A'!DM$106=1,HL33,1)</f>
        <v/>
      </c>
      <c r="NA33">
        <f>IF('計算A'!DN$106=1,HM33,1)</f>
        <v/>
      </c>
      <c r="NB33">
        <f>IF('計算A'!DO$106=1,HN33,1)</f>
        <v/>
      </c>
      <c r="NC33">
        <f>IF('計算A'!DP$106=1,HO33,1)</f>
        <v/>
      </c>
      <c r="ND33">
        <f>IF('計算A'!DQ$106=1,HP33,1)</f>
        <v/>
      </c>
      <c r="NE33">
        <f>IF('計算A'!DR$106=1,HQ33,1)</f>
        <v/>
      </c>
      <c r="NF33">
        <f>IF('計算A'!DS$106=1,HR33,1)</f>
        <v/>
      </c>
      <c r="NG33">
        <f>IF('計算A'!DT$106=1,HS33,1)</f>
        <v/>
      </c>
      <c r="NH33">
        <f>IF('計算A'!DU$106=1,HT33,1)</f>
        <v/>
      </c>
      <c r="NI33">
        <f>IF('計算A'!DV$106=1,HU33,1)</f>
        <v/>
      </c>
      <c r="NJ33">
        <f>IF('計算A'!DW$106=1,HV33,1)</f>
        <v/>
      </c>
      <c r="NK33">
        <f>IF('計算A'!DX$106=1,HW33,1)</f>
        <v/>
      </c>
      <c r="NL33">
        <f>IF('計算A'!DY$106=1,HX33,1)</f>
        <v/>
      </c>
      <c r="NM33">
        <f>IF('計算A'!DZ$106=1,HY33,1)</f>
        <v/>
      </c>
      <c r="NN33">
        <f>IF('計算A'!EA$106=1,HZ33,1)</f>
        <v/>
      </c>
      <c r="NO33">
        <f>IF('計算A'!EB$106=1,IA33,1)</f>
        <v/>
      </c>
      <c r="NP33">
        <f>IF('計算A'!EC$106=1,IB33,1)</f>
        <v/>
      </c>
      <c r="NQ33">
        <f>IF('計算A'!ED$106=1,IC33,1)</f>
        <v/>
      </c>
      <c r="NR33">
        <f>IF('計算A'!EE$106=1,ID33,1)</f>
        <v/>
      </c>
      <c r="NS33">
        <f>IF('計算A'!EF$106=1,IE33,1)</f>
        <v/>
      </c>
      <c r="NT33">
        <f>IF('計算A'!EG$106=1,IF33,1)</f>
        <v/>
      </c>
      <c r="NU33">
        <f>IF('計算A'!EH$106=1,IG33,1)</f>
        <v/>
      </c>
      <c r="NV33">
        <f>IF('計算A'!EI$106=1,IH33,1)</f>
        <v/>
      </c>
      <c r="NW33">
        <f>IF('計算A'!EJ$106=1,II33,1)</f>
        <v/>
      </c>
      <c r="NX33">
        <f>IF('計算A'!EK$106=1,IJ33,1)</f>
        <v/>
      </c>
      <c r="NY33">
        <f>IF('計算A'!EL$106=1,IK33,1)</f>
        <v/>
      </c>
      <c r="NZ33">
        <f>IF('計算A'!EM$106=1,IL33,1)</f>
        <v/>
      </c>
      <c r="OA33">
        <f>IF('計算A'!EN$106=1,IM33,1)</f>
        <v/>
      </c>
      <c r="OB33">
        <f>IF('計算A'!EO$106=1,IN33,1)</f>
        <v/>
      </c>
      <c r="OC33">
        <f>IF('計算A'!EP$106=1,IO33,1)</f>
        <v/>
      </c>
      <c r="OD33" t="n">
        <v>1</v>
      </c>
      <c r="OF33">
        <f>IF($B33=0,1000000,IF(INDEX('計算A'!$D$60:$EQ$104,$B33,1)*DB33=1,IF(AND($E33=2,IQ33=0),1000000,IF($I33&gt;0,IF(1=$J33,IF(OR(AND(1=$I33+1,OR($K33&lt;&gt;'計算A'!$A$3,'計算A'!$A$4=0)),AND(1=$I33-1,OR(1&lt;&gt;'計算A'!$A$3,'計算A'!$A$4=0))),0,IF(1=$K33,200000,ABS(1-$K33)*100)),100000+ABS(1-$J33)*1000+10)+'計算A'!D$5*50+IF(AND($E33=1,IQ33=0),25,0),INDEX('計算A'!D$110:D$114,$F33+1)+IF(AND($E33=1,IQ33=0),1000,0)+IF($H33=1,(IF('計算A'!D$117=1,INDEX('計算A'!E$10:E$54,$B33),0))*500,0)-IF(AND($L33=1,'計算A'!D$117=1,DC33=0),300,0))),1000000))</f>
        <v/>
      </c>
      <c r="OG33">
        <f>IF($B33=0,1000000,IF(INDEX('計算A'!$D$60:$EQ$104,$B33,2)*DC33=1,IF(AND($E33=2,IR33=0),1000000,IF($I33&gt;0,IF(1=$J33,IF(OR(AND(2=$I33+1,OR($K33&lt;&gt;'計算A'!$A$3,'計算A'!$A$4=0)),AND(2=$I33-1,OR(2&lt;&gt;'計算A'!$A$3,'計算A'!$A$4=0))),0,IF(2=$K33,200000,ABS(2-$K33)*100)),100000+ABS(1-$J33)*1000+20)+'計算A'!E$5*50+IF(AND($E33=1,IR33=0),25,0),INDEX('計算A'!E$110:E$114,$F33+1)+IF(AND($E33=1,IR33=0),1000,0)+IF($H33=1,(IF('計算A'!D$117=1,INDEX('計算A'!D$10:D$54,$B33),0)+IF('計算A'!E$117=1,INDEX('計算A'!F$10:F$54,$B33),0))*500,0)-IF(AND('計算A'!D$117=1,UB33&gt;0),300,0)-IF(AND($L33=1,'計算A'!E$117=1,DD33=0),300,0))),1000000))</f>
        <v/>
      </c>
      <c r="OH33">
        <f>IF($B33=0,1000000,IF(INDEX('計算A'!$D$60:$EQ$104,$B33,3)*DD33=1,IF(AND($E33=2,IS33=0),1000000,IF($I33&gt;0,IF(1=$J33,IF(OR(AND(3=$I33+1,OR($K33&lt;&gt;'計算A'!$A$3,'計算A'!$A$4=0)),AND(3=$I33-1,OR(3&lt;&gt;'計算A'!$A$3,'計算A'!$A$4=0))),0,IF(3=$K33,200000,ABS(3-$K33)*100)),100000+ABS(1-$J33)*1000+30)+'計算A'!F$5*50+IF(AND($E33=1,IS33=0),25,0),INDEX('計算A'!F$110:F$114,$F33+1)+IF(AND($E33=1,IS33=0),1000,0)+IF($H33=1,(IF('計算A'!E$117=1,INDEX('計算A'!E$10:E$54,$B33),0)+IF('計算A'!F$117=1,INDEX('計算A'!G$10:G$54,$B33),0))*500,0)-IF(AND('計算A'!E$117=1,UC33&gt;0),300,0)-IF(AND($L33=1,'計算A'!F$117=1,DE33=0),300,0))),1000000))</f>
        <v/>
      </c>
      <c r="OI33">
        <f>IF($B33=0,1000000,IF(INDEX('計算A'!$D$60:$EQ$104,$B33,4)*DE33=1,IF(AND($E33=2,IT33=0),1000000,IF($I33&gt;0,IF(1=$J33,IF(OR(AND(4=$I33+1,OR($K33&lt;&gt;'計算A'!$A$3,'計算A'!$A$4=0)),AND(4=$I33-1,OR(4&lt;&gt;'計算A'!$A$3,'計算A'!$A$4=0))),0,IF(4=$K33,200000,ABS(4-$K33)*100)),100000+ABS(1-$J33)*1000+40)+'計算A'!G$5*50+IF(AND($E33=1,IT33=0),25,0),INDEX('計算A'!G$110:G$114,$F33+1)+IF(AND($E33=1,IT33=0),1000,0)+IF($H33=1,(IF('計算A'!F$117=1,INDEX('計算A'!F$10:F$54,$B33),0)+IF('計算A'!G$117=1,INDEX('計算A'!H$10:H$54,$B33),0))*500,0)-IF(AND('計算A'!F$117=1,UD33&gt;0),300,0)-IF(AND($L33=1,'計算A'!G$117=1,DF33=0),300,0))),1000000))</f>
        <v/>
      </c>
      <c r="OJ33">
        <f>IF($B33=0,1000000,IF(INDEX('計算A'!$D$60:$EQ$104,$B33,5)*DF33=1,IF(AND($E33=2,IU33=0),1000000,IF($I33&gt;0,IF(1=$J33,IF(OR(AND(5=$I33+1,OR($K33&lt;&gt;'計算A'!$A$3,'計算A'!$A$4=0)),AND(5=$I33-1,OR(5&lt;&gt;'計算A'!$A$3,'計算A'!$A$4=0))),0,IF(5=$K33,200000,ABS(5-$K33)*100)),100000+ABS(1-$J33)*1000+50)+'計算A'!H$5*50+IF(AND($E33=1,IU33=0),25,0),INDEX('計算A'!H$110:H$114,$F33+1)+IF(AND($E33=1,IU33=0),1000,0)+IF($H33=1,(IF('計算A'!G$117=1,INDEX('計算A'!G$10:G$54,$B33),0)+IF('計算A'!H$117=1,INDEX('計算A'!I$10:I$54,$B33),0))*500,0)-IF(AND('計算A'!G$117=1,UE33&gt;0),300,0)-IF(AND($L33=1,'計算A'!H$117=1,DG33=0),300,0))),1000000))</f>
        <v/>
      </c>
      <c r="OK33">
        <f>IF($B33=0,1000000,IF(INDEX('計算A'!$D$60:$EQ$104,$B33,6)*DG33=1,IF(AND($E33=2,IV33=0),1000000,IF($I33&gt;0,IF(1=$J33,IF(OR(AND(6=$I33+1,OR($K33&lt;&gt;'計算A'!$A$3,'計算A'!$A$4=0)),AND(6=$I33-1,OR(6&lt;&gt;'計算A'!$A$3,'計算A'!$A$4=0))),0,IF(6=$K33,200000,ABS(6-$K33)*100)),100000+ABS(1-$J33)*1000+60)+'計算A'!I$5*50+IF(AND($E33=1,IV33=0),25,0),INDEX('計算A'!I$110:I$114,$F33+1)+IF(AND($E33=1,IV33=0),1000,0)+IF($H33=1,(IF('計算A'!H$117=1,INDEX('計算A'!H$10:H$54,$B33),0)+IF('計算A'!I$117=1,INDEX('計算A'!J$10:J$54,$B33),0))*500,0)-IF(AND('計算A'!H$117=1,UF33&gt;0),300,0)-IF(AND($L33=1,'計算A'!I$117=1,DH33=0),300,0))),1000000))</f>
        <v/>
      </c>
      <c r="OL33">
        <f>IF($B33=0,1000000,IF(INDEX('計算A'!$D$60:$EQ$104,$B33,7)*DH33=1,IF(AND($E33=2,IW33=0),1000000,IF($I33&gt;0,IF(1=$J33,IF(OR(AND(7=$I33+1,OR($K33&lt;&gt;'計算A'!$A$3,'計算A'!$A$4=0)),AND(7=$I33-1,OR(7&lt;&gt;'計算A'!$A$3,'計算A'!$A$4=0))),0,IF(7=$K33,200000,ABS(7-$K33)*100)),100000+ABS(1-$J33)*1000+70)+'計算A'!J$5*50+IF(AND($E33=1,IW33=0),25,0),INDEX('計算A'!J$110:J$114,$F33+1)+IF(AND($E33=1,IW33=0),1000,0)+IF($H33=1,(IF('計算A'!I$117=1,INDEX('計算A'!I$10:I$54,$B33),0)+IF('計算A'!J$117=1,INDEX('計算A'!K$10:K$54,$B33),0))*500,0)-IF(AND('計算A'!I$117=1,UG33&gt;0),300,0)-IF(AND($L33=1,'計算A'!J$117=1,DI33=0),300,0))),1000000))</f>
        <v/>
      </c>
      <c r="OM33">
        <f>IF($B33=0,1000000,IF(INDEX('計算A'!$D$60:$EQ$104,$B33,8)*DI33=1,IF(AND($E33=2,IX33=0),1000000,IF($I33&gt;0,IF(1=$J33,IF(OR(AND(8=$I33+1,OR($K33&lt;&gt;'計算A'!$A$3,'計算A'!$A$4=0)),AND(8=$I33-1,OR(8&lt;&gt;'計算A'!$A$3,'計算A'!$A$4=0))),0,IF(8=$K33,200000,ABS(8-$K33)*100)),100000+ABS(1-$J33)*1000+80)+'計算A'!K$5*50+IF(AND($E33=1,IX33=0),25,0),INDEX('計算A'!K$110:K$114,$F33+1)+IF(AND($E33=1,IX33=0),1000,0)+IF($H33=1,(IF('計算A'!J$117=1,INDEX('計算A'!J$10:J$54,$B33),0)+IF('計算A'!K$117=1,INDEX('計算A'!L$10:L$54,$B33),0))*500,0)-IF(AND('計算A'!J$117=1,UH33&gt;0),300,0)-IF(AND($L33=1,'計算A'!K$117=1,DJ33=0),300,0))),1000000))</f>
        <v/>
      </c>
      <c r="ON33">
        <f>IF($B33=0,1000000,IF(INDEX('計算A'!$D$60:$EQ$104,$B33,9)*DJ33=1,IF(AND($E33=2,IY33=0),1000000,IF($I33&gt;0,IF(1=$J33,IF(OR(AND(9=$I33+1,OR($K33&lt;&gt;'計算A'!$A$3,'計算A'!$A$4=0)),AND(9=$I33-1,OR(9&lt;&gt;'計算A'!$A$3,'計算A'!$A$4=0))),0,IF(9=$K33,200000,ABS(9-$K33)*100)),100000+ABS(1-$J33)*1000+90)+'計算A'!L$5*50+IF(AND($E33=1,IY33=0),25,0),INDEX('計算A'!L$110:L$114,$F33+1)+IF(AND($E33=1,IY33=0),1000,0)+IF($H33=1,(IF('計算A'!K$117=1,INDEX('計算A'!K$10:K$54,$B33),0)+IF('計算A'!L$117=1,INDEX('計算A'!M$10:M$54,$B33),0))*500,0)-IF(AND('計算A'!K$117=1,UI33&gt;0),300,0)-IF(AND($L33=1,'計算A'!L$117=1,DK33=0),300,0))),1000000))</f>
        <v/>
      </c>
      <c r="OO33">
        <f>IF($B33=0,1000000,IF(INDEX('計算A'!$D$60:$EQ$104,$B33,10)*DK33=1,IF(AND($E33=2,IZ33=0),1000000,IF($I33&gt;0,IF(1=$J33,IF(OR(AND(10=$I33+1,OR($K33&lt;&gt;'計算A'!$A$3,'計算A'!$A$4=0)),AND(10=$I33-1,OR(10&lt;&gt;'計算A'!$A$3,'計算A'!$A$4=0))),0,IF(10=$K33,200000,ABS(10-$K33)*100)),100000+ABS(1-$J33)*1000+100)+'計算A'!M$5*50+IF(AND($E33=1,IZ33=0),25,0),INDEX('計算A'!M$110:M$114,$F33+1)+IF(AND($E33=1,IZ33=0),1000,0)+IF($H33=1,(IF('計算A'!L$117=1,INDEX('計算A'!L$10:L$54,$B33),0)+IF('計算A'!M$117=1,INDEX('計算A'!N$10:N$54,$B33),0))*500,0)-IF(AND('計算A'!L$117=1,UJ33&gt;0),300,0)-IF(AND($L33=1,'計算A'!M$117=1,DL33=0),300,0))),1000000))</f>
        <v/>
      </c>
      <c r="OP33">
        <f>IF($B33=0,1000000,IF(INDEX('計算A'!$D$60:$EQ$104,$B33,11)*DL33=1,IF(AND($E33=2,JA33=0),1000000,IF($I33&gt;0,IF(1=$J33,IF(OR(AND(11=$I33+1,OR($K33&lt;&gt;'計算A'!$A$3,'計算A'!$A$4=0)),AND(11=$I33-1,OR(11&lt;&gt;'計算A'!$A$3,'計算A'!$A$4=0))),0,IF(11=$K33,200000,ABS(11-$K33)*100)),100000+ABS(1-$J33)*1000+110)+'計算A'!N$5*50+IF(AND($E33=1,JA33=0),25,0),INDEX('計算A'!N$110:N$114,$F33+1)+IF(AND($E33=1,JA33=0),1000,0)+IF($H33=1,(IF('計算A'!M$117=1,INDEX('計算A'!M$10:M$54,$B33),0)+IF('計算A'!N$117=1,INDEX('計算A'!O$10:O$54,$B33),0))*500,0)-IF(AND('計算A'!M$117=1,UK33&gt;0),300,0)-IF(AND($L33=1,'計算A'!N$117=1,DM33=0),300,0))),1000000))</f>
        <v/>
      </c>
      <c r="OQ33">
        <f>IF($B33=0,1000000,IF(INDEX('計算A'!$D$60:$EQ$104,$B33,12)*DM33=1,IF(AND($E33=2,JB33=0),1000000,IF($I33&gt;0,IF(1=$J33,IF(OR(AND(12=$I33+1,OR($K33&lt;&gt;'計算A'!$A$3,'計算A'!$A$4=0)),AND(12=$I33-1,OR(12&lt;&gt;'計算A'!$A$3,'計算A'!$A$4=0))),0,IF(12=$K33,200000,ABS(12-$K33)*100)),100000+ABS(1-$J33)*1000+120)+'計算A'!O$5*50+IF(AND($E33=1,JB33=0),25,0),INDEX('計算A'!O$110:O$114,$F33+1)+IF(AND($E33=1,JB33=0),1000,0)+IF($H33=1,(IF('計算A'!N$117=1,INDEX('計算A'!N$10:N$54,$B33),0)+IF('計算A'!O$117=1,INDEX('計算A'!P$10:P$54,$B33),0))*500,0)-IF(AND('計算A'!N$117=1,UL33&gt;0),300,0)-IF(AND($L33=1,'計算A'!O$117=1,DN33=0),300,0))),1000000))</f>
        <v/>
      </c>
      <c r="OR33">
        <f>IF($B33=0,1000000,IF(INDEX('計算A'!$D$60:$EQ$104,$B33,13)*DN33=1,IF(AND($E33=2,JC33=0),1000000,IF($I33&gt;0,IF(1=$J33,IF(OR(AND(13=$I33+1,OR($K33&lt;&gt;'計算A'!$A$3,'計算A'!$A$4=0)),AND(13=$I33-1,OR(13&lt;&gt;'計算A'!$A$3,'計算A'!$A$4=0))),0,IF(13=$K33,200000,ABS(13-$K33)*100)),100000+ABS(1-$J33)*1000+130)+'計算A'!P$5*50+IF(AND($E33=1,JC33=0),25,0),INDEX('計算A'!P$110:P$114,$F33+1)+IF(AND($E33=1,JC33=0),1000,0)+IF($H33=1,(IF('計算A'!O$117=1,INDEX('計算A'!O$10:O$54,$B33),0)+IF('計算A'!P$117=1,INDEX('計算A'!Q$10:Q$54,$B33),0))*500,0)-IF(AND('計算A'!O$117=1,UM33&gt;0),300,0)-IF(AND($L33=1,'計算A'!P$117=1,DO33=0),300,0))),1000000))</f>
        <v/>
      </c>
      <c r="OS33">
        <f>IF($B33=0,1000000,IF(INDEX('計算A'!$D$60:$EQ$104,$B33,14)*DO33=1,IF(AND($E33=2,JD33=0),1000000,IF($I33&gt;0,IF(1=$J33,IF(OR(AND(14=$I33+1,OR($K33&lt;&gt;'計算A'!$A$3,'計算A'!$A$4=0)),AND(14=$I33-1,OR(14&lt;&gt;'計算A'!$A$3,'計算A'!$A$4=0))),0,IF(14=$K33,200000,ABS(14-$K33)*100)),100000+ABS(1-$J33)*1000+140)+'計算A'!Q$5*50+IF(AND($E33=1,JD33=0),25,0),INDEX('計算A'!Q$110:Q$114,$F33+1)+IF(AND($E33=1,JD33=0),1000,0)+IF($H33=1,(IF('計算A'!P$117=1,INDEX('計算A'!P$10:P$54,$B33),0)+IF('計算A'!Q$117=1,INDEX('計算A'!R$10:R$54,$B33),0))*500,0)-IF(AND('計算A'!P$117=1,UN33&gt;0),300,0)-IF(AND($L33=1,'計算A'!Q$117=1,DP33=0),300,0))),1000000))</f>
        <v/>
      </c>
      <c r="OT33">
        <f>IF($B33=0,1000000,IF(INDEX('計算A'!$D$60:$EQ$104,$B33,15)*DP33=1,IF(AND($E33=2,JE33=0),1000000,IF($I33&gt;0,IF(1=$J33,IF(OR(AND(15=$I33+1,OR($K33&lt;&gt;'計算A'!$A$3,'計算A'!$A$4=0)),AND(15=$I33-1,OR(15&lt;&gt;'計算A'!$A$3,'計算A'!$A$4=0))),0,IF(15=$K33,200000,ABS(15-$K33)*100)),100000+ABS(1-$J33)*1000+150)+'計算A'!R$5*50+IF(AND($E33=1,JE33=0),25,0),INDEX('計算A'!R$110:R$114,$F33+1)+IF(AND($E33=1,JE33=0),1000,0)+IF($H33=1,(IF('計算A'!Q$117=1,INDEX('計算A'!Q$10:Q$54,$B33),0)+IF('計算A'!R$117=1,INDEX('計算A'!S$10:S$54,$B33),0))*500,0)-IF(AND('計算A'!Q$117=1,UO33&gt;0),300,0)-IF(AND($L33=1,'計算A'!R$117=1,DQ33=0),300,0))),1000000))</f>
        <v/>
      </c>
      <c r="OU33">
        <f>IF($B33=0,1000000,IF(INDEX('計算A'!$D$60:$EQ$104,$B33,16)*DQ33=1,IF(AND($E33=2,JF33=0),1000000,IF($I33&gt;0,IF(1=$J33,IF(OR(AND(16=$I33+1,OR($K33&lt;&gt;'計算A'!$A$3,'計算A'!$A$4=0)),AND(16=$I33-1,OR(16&lt;&gt;'計算A'!$A$3,'計算A'!$A$4=0))),0,IF(16=$K33,200000,ABS(16-$K33)*100)),100000+ABS(1-$J33)*1000+160)+'計算A'!S$5*50+IF(AND($E33=1,JF33=0),25,0),INDEX('計算A'!S$110:S$114,$F33+1)+IF(AND($E33=1,JF33=0),1000,0)+IF($H33=1,(IF('計算A'!R$117=1,INDEX('計算A'!R$10:R$54,$B33),0)+IF('計算A'!S$117=1,INDEX('計算A'!T$10:T$54,$B33),0))*500,0)-IF(AND('計算A'!R$117=1,UP33&gt;0),300,0)-IF(AND($L33=1,'計算A'!S$117=1,DR33=0),300,0))),1000000))</f>
        <v/>
      </c>
      <c r="OV33">
        <f>IF($B33=0,1000000,IF(INDEX('計算A'!$D$60:$EQ$104,$B33,17)*DR33=1,IF(AND($E33=2,JG33=0),1000000,IF($I33&gt;0,IF(1=$J33,IF(OR(AND(17=$I33+1,OR($K33&lt;&gt;'計算A'!$A$3,'計算A'!$A$4=0)),AND(17=$I33-1,OR(17&lt;&gt;'計算A'!$A$3,'計算A'!$A$4=0))),0,IF(17=$K33,200000,ABS(17-$K33)*100)),100000+ABS(1-$J33)*1000+170)+'計算A'!T$5*50+IF(AND($E33=1,JG33=0),25,0),INDEX('計算A'!T$110:T$114,$F33+1)+IF(AND($E33=1,JG33=0),1000,0)+IF($H33=1,(IF('計算A'!S$117=1,INDEX('計算A'!S$10:S$54,$B33),0)+IF('計算A'!T$117=1,INDEX('計算A'!U$10:U$54,$B33),0))*500,0)-IF(AND('計算A'!S$117=1,UQ33&gt;0),300,0)-IF(AND($L33=1,'計算A'!T$117=1,DS33=0),300,0))),1000000))</f>
        <v/>
      </c>
      <c r="OW33">
        <f>IF($B33=0,1000000,IF(INDEX('計算A'!$D$60:$EQ$104,$B33,18)*DS33=1,IF(AND($E33=2,JH33=0),1000000,IF($I33&gt;0,IF(1=$J33,IF(OR(AND(18=$I33+1,OR($K33&lt;&gt;'計算A'!$A$3,'計算A'!$A$4=0)),AND(18=$I33-1,OR(18&lt;&gt;'計算A'!$A$3,'計算A'!$A$4=0))),0,IF(18=$K33,200000,ABS(18-$K33)*100)),100000+ABS(1-$J33)*1000+180)+'計算A'!U$5*50+IF(AND($E33=1,JH33=0),25,0),INDEX('計算A'!U$110:U$114,$F33+1)+IF(AND($E33=1,JH33=0),1000,0)+IF($H33=1,(IF('計算A'!T$117=1,INDEX('計算A'!T$10:T$54,$B33),0)+IF('計算A'!U$117=1,INDEX('計算A'!V$10:V$54,$B33),0))*500,0)-IF(AND('計算A'!T$117=1,UR33&gt;0),300,0)-IF(AND($L33=1,'計算A'!U$117=1,DT33=0),300,0))),1000000))</f>
        <v/>
      </c>
      <c r="OX33">
        <f>IF($B33=0,1000000,IF(INDEX('計算A'!$D$60:$EQ$104,$B33,19)*DT33=1,IF(AND($E33=2,JI33=0),1000000,IF($I33&gt;0,IF(1=$J33,IF(OR(AND(19=$I33+1,OR($K33&lt;&gt;'計算A'!$A$3,'計算A'!$A$4=0)),AND(19=$I33-1,OR(19&lt;&gt;'計算A'!$A$3,'計算A'!$A$4=0))),0,IF(19=$K33,200000,ABS(19-$K33)*100)),100000+ABS(1-$J33)*1000+190)+'計算A'!V$5*50+IF(AND($E33=1,JI33=0),25,0),INDEX('計算A'!V$110:V$114,$F33+1)+IF(AND($E33=1,JI33=0),1000,0)+IF($H33=1,(IF('計算A'!U$117=1,INDEX('計算A'!U$10:U$54,$B33),0)+IF('計算A'!V$117=1,INDEX('計算A'!W$10:W$54,$B33),0))*500,0)-IF(AND('計算A'!U$117=1,US33&gt;0),300,0)-IF(AND($L33=1,'計算A'!V$117=1,DU33=0),300,0))),1000000))</f>
        <v/>
      </c>
      <c r="OY33">
        <f>IF($B33=0,1000000,IF(INDEX('計算A'!$D$60:$EQ$104,$B33,20)*DU33=1,IF(AND($E33=2,JJ33=0),1000000,IF($I33&gt;0,IF(1=$J33,IF(OR(AND(20=$I33+1,OR($K33&lt;&gt;'計算A'!$A$3,'計算A'!$A$4=0)),AND(20=$I33-1,OR(20&lt;&gt;'計算A'!$A$3,'計算A'!$A$4=0))),0,IF(20=$K33,200000,ABS(20-$K33)*100)),100000+ABS(1-$J33)*1000+200)+'計算A'!W$5*50+IF(AND($E33=1,JJ33=0),25,0),INDEX('計算A'!W$110:W$114,$F33+1)+IF(AND($E33=1,JJ33=0),1000,0)+IF($H33=1,(IF('計算A'!V$117=1,INDEX('計算A'!V$10:V$54,$B33),0)+IF('計算A'!W$117=1,INDEX('計算A'!X$10:X$54,$B33),0))*500,0)-IF(AND('計算A'!V$117=1,UT33&gt;0),300,0)-IF(AND($L33=1,'計算A'!W$117=1,DV33=0),300,0))),1000000))</f>
        <v/>
      </c>
      <c r="OZ33">
        <f>IF($B33=0,1000000,IF(INDEX('計算A'!$D$60:$EQ$104,$B33,21)*DV33=1,IF(AND($E33=2,JK33=0),1000000,IF($I33&gt;0,IF(1=$J33,IF(OR(AND(21=$I33+1,OR($K33&lt;&gt;'計算A'!$A$3,'計算A'!$A$4=0)),AND(21=$I33-1,OR(21&lt;&gt;'計算A'!$A$3,'計算A'!$A$4=0))),0,IF(21=$K33,200000,ABS(21-$K33)*100)),100000+ABS(1-$J33)*1000+210)+'計算A'!X$5*50+IF(AND($E33=1,JK33=0),25,0),INDEX('計算A'!X$110:X$114,$F33+1)+IF(AND($E33=1,JK33=0),1000,0)+IF($H33=1,(IF('計算A'!W$117=1,INDEX('計算A'!W$10:W$54,$B33),0)+IF('計算A'!X$117=1,INDEX('計算A'!Y$10:Y$54,$B33),0))*500,0)-IF(AND('計算A'!W$117=1,UU33&gt;0),300,0)-IF(AND($L33=1,'計算A'!X$117=1,DW33=0),300,0))),1000000))</f>
        <v/>
      </c>
      <c r="PA33">
        <f>IF($B33=0,1000000,IF(INDEX('計算A'!$D$60:$EQ$104,$B33,22)*DW33=1,IF(AND($E33=2,JL33=0),1000000,IF($I33&gt;0,IF(1=$J33,IF(OR(AND(22=$I33+1,OR($K33&lt;&gt;'計算A'!$A$3,'計算A'!$A$4=0)),AND(22=$I33-1,OR(22&lt;&gt;'計算A'!$A$3,'計算A'!$A$4=0))),0,IF(22=$K33,200000,ABS(22-$K33)*100)),100000+ABS(1-$J33)*1000+220)+'計算A'!Y$5*50+IF(AND($E33=1,JL33=0),25,0),INDEX('計算A'!Y$110:Y$114,$F33+1)+IF(AND($E33=1,JL33=0),1000,0)+IF($H33=1,(IF('計算A'!X$117=1,INDEX('計算A'!X$10:X$54,$B33),0)+IF('計算A'!Y$117=1,INDEX('計算A'!Z$10:Z$54,$B33),0))*500,0)-IF(AND('計算A'!X$117=1,UV33&gt;0),300,0)-IF(AND($L33=1,'計算A'!Y$117=1,DX33=0),300,0))),1000000))</f>
        <v/>
      </c>
      <c r="PB33">
        <f>IF($B33=0,1000000,IF(INDEX('計算A'!$D$60:$EQ$104,$B33,23)*DX33=1,IF(AND($E33=2,JM33=0),1000000,IF($I33&gt;0,IF(1=$J33,IF(OR(AND(23=$I33+1,OR($K33&lt;&gt;'計算A'!$A$3,'計算A'!$A$4=0)),AND(23=$I33-1,OR(23&lt;&gt;'計算A'!$A$3,'計算A'!$A$4=0))),0,IF(23=$K33,200000,ABS(23-$K33)*100)),100000+ABS(1-$J33)*1000+230)+'計算A'!Z$5*50+IF(AND($E33=1,JM33=0),25,0),INDEX('計算A'!Z$110:Z$114,$F33+1)+IF(AND($E33=1,JM33=0),1000,0)+IF($H33=1,(IF('計算A'!Y$117=1,INDEX('計算A'!Y$10:Y$54,$B33),0)+IF('計算A'!Z$117=1,INDEX('計算A'!AA$10:AA$54,$B33),0))*500,0)-IF(AND('計算A'!Y$117=1,UW33&gt;0),300,0)-IF(AND($L33=1,'計算A'!Z$117=1,DY33=0),300,0))),1000000))</f>
        <v/>
      </c>
      <c r="PC33">
        <f>IF($B33=0,1000000,IF(INDEX('計算A'!$D$60:$EQ$104,$B33,24)*DY33=1,IF(AND($E33=2,JN33=0),1000000,IF($I33&gt;0,IF(1=$J33,IF(OR(AND(24=$I33+1,OR($K33&lt;&gt;'計算A'!$A$3,'計算A'!$A$4=0)),AND(24=$I33-1,OR(24&lt;&gt;'計算A'!$A$3,'計算A'!$A$4=0))),0,IF(24=$K33,200000,ABS(24-$K33)*100)),100000+ABS(1-$J33)*1000+240)+'計算A'!AA$5*50+IF(AND($E33=1,JN33=0),25,0),INDEX('計算A'!AA$110:AA$114,$F33+1)+IF(AND($E33=1,JN33=0),1000,0)+IF($H33=1,(IF('計算A'!Z$117=1,INDEX('計算A'!Z$10:Z$54,$B33),0))*500,0)-IF(AND('計算A'!Z$117=1,UX33&gt;0),300,0))),1000000))</f>
        <v/>
      </c>
      <c r="PD33">
        <f>IF($B33=0,1000000,IF(INDEX('計算A'!$D$60:$EQ$104,$B33,25)*DZ33=1,IF(AND($E33=2,JO33=0),1000000,IF($I33&gt;0,IF(2=$J33,IF(OR(AND(25=$I33+1,OR($K33&lt;&gt;'計算A'!$A$3,'計算A'!$A$4=0)),AND(25=$I33-1,OR(1&lt;&gt;'計算A'!$A$3,'計算A'!$A$4=0))),0,IF(1=$K33,200000,ABS(1-$K33)*100)),100000+ABS(2-$J33)*1000+10)+'計算A'!AB$5*50+IF(AND($E33=1,JO33=0),25,0),INDEX('計算A'!AB$110:AB$114,$F33+1)+IF(AND($E33=1,JO33=0),1000,0)+IF($H33=1,(IF('計算A'!AB$117=1,INDEX('計算A'!AC$10:AC$54,$B33),0))*500,0)-IF(AND($L33=1,'計算A'!AB$117=1,EA33=0),300,0))),1000000))</f>
        <v/>
      </c>
      <c r="PE33">
        <f>IF($B33=0,1000000,IF(INDEX('計算A'!$D$60:$EQ$104,$B33,26)*EA33=1,IF(AND($E33=2,JP33=0),1000000,IF($I33&gt;0,IF(2=$J33,IF(OR(AND(26=$I33+1,OR($K33&lt;&gt;'計算A'!$A$3,'計算A'!$A$4=0)),AND(26=$I33-1,OR(2&lt;&gt;'計算A'!$A$3,'計算A'!$A$4=0))),0,IF(2=$K33,200000,ABS(2-$K33)*100)),100000+ABS(2-$J33)*1000+20)+'計算A'!AC$5*50+IF(AND($E33=1,JP33=0),25,0),INDEX('計算A'!AC$110:AC$114,$F33+1)+IF(AND($E33=1,JP33=0),1000,0)+IF($H33=1,(IF('計算A'!AB$117=1,INDEX('計算A'!AB$10:AB$54,$B33),0)+IF('計算A'!AC$117=1,INDEX('計算A'!AD$10:AD$54,$B33),0))*500,0)-IF(AND('計算A'!AB$117=1,UZ33&gt;0),300,0)-IF(AND($L33=1,'計算A'!AC$117=1,EB33=0),300,0))),1000000))</f>
        <v/>
      </c>
      <c r="PF33">
        <f>IF($B33=0,1000000,IF(INDEX('計算A'!$D$60:$EQ$104,$B33,27)*EB33=1,IF(AND($E33=2,JQ33=0),1000000,IF($I33&gt;0,IF(2=$J33,IF(OR(AND(27=$I33+1,OR($K33&lt;&gt;'計算A'!$A$3,'計算A'!$A$4=0)),AND(27=$I33-1,OR(3&lt;&gt;'計算A'!$A$3,'計算A'!$A$4=0))),0,IF(3=$K33,200000,ABS(3-$K33)*100)),100000+ABS(2-$J33)*1000+30)+'計算A'!AD$5*50+IF(AND($E33=1,JQ33=0),25,0),INDEX('計算A'!AD$110:AD$114,$F33+1)+IF(AND($E33=1,JQ33=0),1000,0)+IF($H33=1,(IF('計算A'!AC$117=1,INDEX('計算A'!AC$10:AC$54,$B33),0)+IF('計算A'!AD$117=1,INDEX('計算A'!AE$10:AE$54,$B33),0))*500,0)-IF(AND('計算A'!AC$117=1,VA33&gt;0),300,0)-IF(AND($L33=1,'計算A'!AD$117=1,EC33=0),300,0))),1000000))</f>
        <v/>
      </c>
      <c r="PG33">
        <f>IF($B33=0,1000000,IF(INDEX('計算A'!$D$60:$EQ$104,$B33,28)*EC33=1,IF(AND($E33=2,JR33=0),1000000,IF($I33&gt;0,IF(2=$J33,IF(OR(AND(28=$I33+1,OR($K33&lt;&gt;'計算A'!$A$3,'計算A'!$A$4=0)),AND(28=$I33-1,OR(4&lt;&gt;'計算A'!$A$3,'計算A'!$A$4=0))),0,IF(4=$K33,200000,ABS(4-$K33)*100)),100000+ABS(2-$J33)*1000+40)+'計算A'!AE$5*50+IF(AND($E33=1,JR33=0),25,0),INDEX('計算A'!AE$110:AE$114,$F33+1)+IF(AND($E33=1,JR33=0),1000,0)+IF($H33=1,(IF('計算A'!AD$117=1,INDEX('計算A'!AD$10:AD$54,$B33),0)+IF('計算A'!AE$117=1,INDEX('計算A'!AF$10:AF$54,$B33),0))*500,0)-IF(AND('計算A'!AD$117=1,VB33&gt;0),300,0)-IF(AND($L33=1,'計算A'!AE$117=1,ED33=0),300,0))),1000000))</f>
        <v/>
      </c>
      <c r="PH33">
        <f>IF($B33=0,1000000,IF(INDEX('計算A'!$D$60:$EQ$104,$B33,29)*ED33=1,IF(AND($E33=2,JS33=0),1000000,IF($I33&gt;0,IF(2=$J33,IF(OR(AND(29=$I33+1,OR($K33&lt;&gt;'計算A'!$A$3,'計算A'!$A$4=0)),AND(29=$I33-1,OR(5&lt;&gt;'計算A'!$A$3,'計算A'!$A$4=0))),0,IF(5=$K33,200000,ABS(5-$K33)*100)),100000+ABS(2-$J33)*1000+50)+'計算A'!AF$5*50+IF(AND($E33=1,JS33=0),25,0),INDEX('計算A'!AF$110:AF$114,$F33+1)+IF(AND($E33=1,JS33=0),1000,0)+IF($H33=1,(IF('計算A'!AE$117=1,INDEX('計算A'!AE$10:AE$54,$B33),0)+IF('計算A'!AF$117=1,INDEX('計算A'!AG$10:AG$54,$B33),0))*500,0)-IF(AND('計算A'!AE$117=1,VC33&gt;0),300,0)-IF(AND($L33=1,'計算A'!AF$117=1,EE33=0),300,0))),1000000))</f>
        <v/>
      </c>
      <c r="PI33">
        <f>IF($B33=0,1000000,IF(INDEX('計算A'!$D$60:$EQ$104,$B33,30)*EE33=1,IF(AND($E33=2,JT33=0),1000000,IF($I33&gt;0,IF(2=$J33,IF(OR(AND(30=$I33+1,OR($K33&lt;&gt;'計算A'!$A$3,'計算A'!$A$4=0)),AND(30=$I33-1,OR(6&lt;&gt;'計算A'!$A$3,'計算A'!$A$4=0))),0,IF(6=$K33,200000,ABS(6-$K33)*100)),100000+ABS(2-$J33)*1000+60)+'計算A'!AG$5*50+IF(AND($E33=1,JT33=0),25,0),INDEX('計算A'!AG$110:AG$114,$F33+1)+IF(AND($E33=1,JT33=0),1000,0)+IF($H33=1,(IF('計算A'!AF$117=1,INDEX('計算A'!AF$10:AF$54,$B33),0)+IF('計算A'!AG$117=1,INDEX('計算A'!AH$10:AH$54,$B33),0))*500,0)-IF(AND('計算A'!AF$117=1,VD33&gt;0),300,0)-IF(AND($L33=1,'計算A'!AG$117=1,EF33=0),300,0))),1000000))</f>
        <v/>
      </c>
      <c r="PJ33">
        <f>IF($B33=0,1000000,IF(INDEX('計算A'!$D$60:$EQ$104,$B33,31)*EF33=1,IF(AND($E33=2,JU33=0),1000000,IF($I33&gt;0,IF(2=$J33,IF(OR(AND(31=$I33+1,OR($K33&lt;&gt;'計算A'!$A$3,'計算A'!$A$4=0)),AND(31=$I33-1,OR(7&lt;&gt;'計算A'!$A$3,'計算A'!$A$4=0))),0,IF(7=$K33,200000,ABS(7-$K33)*100)),100000+ABS(2-$J33)*1000+70)+'計算A'!AH$5*50+IF(AND($E33=1,JU33=0),25,0),INDEX('計算A'!AH$110:AH$114,$F33+1)+IF(AND($E33=1,JU33=0),1000,0)+IF($H33=1,(IF('計算A'!AG$117=1,INDEX('計算A'!AG$10:AG$54,$B33),0)+IF('計算A'!AH$117=1,INDEX('計算A'!AI$10:AI$54,$B33),0))*500,0)-IF(AND('計算A'!AG$117=1,VE33&gt;0),300,0)-IF(AND($L33=1,'計算A'!AH$117=1,EG33=0),300,0))),1000000))</f>
        <v/>
      </c>
      <c r="PK33">
        <f>IF($B33=0,1000000,IF(INDEX('計算A'!$D$60:$EQ$104,$B33,32)*EG33=1,IF(AND($E33=2,JV33=0),1000000,IF($I33&gt;0,IF(2=$J33,IF(OR(AND(32=$I33+1,OR($K33&lt;&gt;'計算A'!$A$3,'計算A'!$A$4=0)),AND(32=$I33-1,OR(8&lt;&gt;'計算A'!$A$3,'計算A'!$A$4=0))),0,IF(8=$K33,200000,ABS(8-$K33)*100)),100000+ABS(2-$J33)*1000+80)+'計算A'!AI$5*50+IF(AND($E33=1,JV33=0),25,0),INDEX('計算A'!AI$110:AI$114,$F33+1)+IF(AND($E33=1,JV33=0),1000,0)+IF($H33=1,(IF('計算A'!AH$117=1,INDEX('計算A'!AH$10:AH$54,$B33),0)+IF('計算A'!AI$117=1,INDEX('計算A'!AJ$10:AJ$54,$B33),0))*500,0)-IF(AND('計算A'!AH$117=1,VF33&gt;0),300,0)-IF(AND($L33=1,'計算A'!AI$117=1,EH33=0),300,0))),1000000))</f>
        <v/>
      </c>
      <c r="PL33">
        <f>IF($B33=0,1000000,IF(INDEX('計算A'!$D$60:$EQ$104,$B33,33)*EH33=1,IF(AND($E33=2,JW33=0),1000000,IF($I33&gt;0,IF(2=$J33,IF(OR(AND(33=$I33+1,OR($K33&lt;&gt;'計算A'!$A$3,'計算A'!$A$4=0)),AND(33=$I33-1,OR(9&lt;&gt;'計算A'!$A$3,'計算A'!$A$4=0))),0,IF(9=$K33,200000,ABS(9-$K33)*100)),100000+ABS(2-$J33)*1000+90)+'計算A'!AJ$5*50+IF(AND($E33=1,JW33=0),25,0),INDEX('計算A'!AJ$110:AJ$114,$F33+1)+IF(AND($E33=1,JW33=0),1000,0)+IF($H33=1,(IF('計算A'!AI$117=1,INDEX('計算A'!AI$10:AI$54,$B33),0)+IF('計算A'!AJ$117=1,INDEX('計算A'!AK$10:AK$54,$B33),0))*500,0)-IF(AND('計算A'!AI$117=1,VG33&gt;0),300,0)-IF(AND($L33=1,'計算A'!AJ$117=1,EI33=0),300,0))),1000000))</f>
        <v/>
      </c>
      <c r="PM33">
        <f>IF($B33=0,1000000,IF(INDEX('計算A'!$D$60:$EQ$104,$B33,34)*EI33=1,IF(AND($E33=2,JX33=0),1000000,IF($I33&gt;0,IF(2=$J33,IF(OR(AND(34=$I33+1,OR($K33&lt;&gt;'計算A'!$A$3,'計算A'!$A$4=0)),AND(34=$I33-1,OR(10&lt;&gt;'計算A'!$A$3,'計算A'!$A$4=0))),0,IF(10=$K33,200000,ABS(10-$K33)*100)),100000+ABS(2-$J33)*1000+100)+'計算A'!AK$5*50+IF(AND($E33=1,JX33=0),25,0),INDEX('計算A'!AK$110:AK$114,$F33+1)+IF(AND($E33=1,JX33=0),1000,0)+IF($H33=1,(IF('計算A'!AJ$117=1,INDEX('計算A'!AJ$10:AJ$54,$B33),0)+IF('計算A'!AK$117=1,INDEX('計算A'!AL$10:AL$54,$B33),0))*500,0)-IF(AND('計算A'!AJ$117=1,VH33&gt;0),300,0)-IF(AND($L33=1,'計算A'!AK$117=1,EJ33=0),300,0))),1000000))</f>
        <v/>
      </c>
      <c r="PN33">
        <f>IF($B33=0,1000000,IF(INDEX('計算A'!$D$60:$EQ$104,$B33,35)*EJ33=1,IF(AND($E33=2,JY33=0),1000000,IF($I33&gt;0,IF(2=$J33,IF(OR(AND(35=$I33+1,OR($K33&lt;&gt;'計算A'!$A$3,'計算A'!$A$4=0)),AND(35=$I33-1,OR(11&lt;&gt;'計算A'!$A$3,'計算A'!$A$4=0))),0,IF(11=$K33,200000,ABS(11-$K33)*100)),100000+ABS(2-$J33)*1000+110)+'計算A'!AL$5*50+IF(AND($E33=1,JY33=0),25,0),INDEX('計算A'!AL$110:AL$114,$F33+1)+IF(AND($E33=1,JY33=0),1000,0)+IF($H33=1,(IF('計算A'!AK$117=1,INDEX('計算A'!AK$10:AK$54,$B33),0)+IF('計算A'!AL$117=1,INDEX('計算A'!AM$10:AM$54,$B33),0))*500,0)-IF(AND('計算A'!AK$117=1,VI33&gt;0),300,0)-IF(AND($L33=1,'計算A'!AL$117=1,EK33=0),300,0))),1000000))</f>
        <v/>
      </c>
      <c r="PO33">
        <f>IF($B33=0,1000000,IF(INDEX('計算A'!$D$60:$EQ$104,$B33,36)*EK33=1,IF(AND($E33=2,JZ33=0),1000000,IF($I33&gt;0,IF(2=$J33,IF(OR(AND(36=$I33+1,OR($K33&lt;&gt;'計算A'!$A$3,'計算A'!$A$4=0)),AND(36=$I33-1,OR(12&lt;&gt;'計算A'!$A$3,'計算A'!$A$4=0))),0,IF(12=$K33,200000,ABS(12-$K33)*100)),100000+ABS(2-$J33)*1000+120)+'計算A'!AM$5*50+IF(AND($E33=1,JZ33=0),25,0),INDEX('計算A'!AM$110:AM$114,$F33+1)+IF(AND($E33=1,JZ33=0),1000,0)+IF($H33=1,(IF('計算A'!AL$117=1,INDEX('計算A'!AL$10:AL$54,$B33),0)+IF('計算A'!AM$117=1,INDEX('計算A'!AN$10:AN$54,$B33),0))*500,0)-IF(AND('計算A'!AL$117=1,VJ33&gt;0),300,0)-IF(AND($L33=1,'計算A'!AM$117=1,EL33=0),300,0))),1000000))</f>
        <v/>
      </c>
      <c r="PP33">
        <f>IF($B33=0,1000000,IF(INDEX('計算A'!$D$60:$EQ$104,$B33,37)*EL33=1,IF(AND($E33=2,KA33=0),1000000,IF($I33&gt;0,IF(2=$J33,IF(OR(AND(37=$I33+1,OR($K33&lt;&gt;'計算A'!$A$3,'計算A'!$A$4=0)),AND(37=$I33-1,OR(13&lt;&gt;'計算A'!$A$3,'計算A'!$A$4=0))),0,IF(13=$K33,200000,ABS(13-$K33)*100)),100000+ABS(2-$J33)*1000+130)+'計算A'!AN$5*50+IF(AND($E33=1,KA33=0),25,0),INDEX('計算A'!AN$110:AN$114,$F33+1)+IF(AND($E33=1,KA33=0),1000,0)+IF($H33=1,(IF('計算A'!AM$117=1,INDEX('計算A'!AM$10:AM$54,$B33),0)+IF('計算A'!AN$117=1,INDEX('計算A'!AO$10:AO$54,$B33),0))*500,0)-IF(AND('計算A'!AM$117=1,VK33&gt;0),300,0)-IF(AND($L33=1,'計算A'!AN$117=1,EM33=0),300,0))),1000000))</f>
        <v/>
      </c>
      <c r="PQ33">
        <f>IF($B33=0,1000000,IF(INDEX('計算A'!$D$60:$EQ$104,$B33,38)*EM33=1,IF(AND($E33=2,KB33=0),1000000,IF($I33&gt;0,IF(2=$J33,IF(OR(AND(38=$I33+1,OR($K33&lt;&gt;'計算A'!$A$3,'計算A'!$A$4=0)),AND(38=$I33-1,OR(14&lt;&gt;'計算A'!$A$3,'計算A'!$A$4=0))),0,IF(14=$K33,200000,ABS(14-$K33)*100)),100000+ABS(2-$J33)*1000+140)+'計算A'!AO$5*50+IF(AND($E33=1,KB33=0),25,0),INDEX('計算A'!AO$110:AO$114,$F33+1)+IF(AND($E33=1,KB33=0),1000,0)+IF($H33=1,(IF('計算A'!AN$117=1,INDEX('計算A'!AN$10:AN$54,$B33),0)+IF('計算A'!AO$117=1,INDEX('計算A'!AP$10:AP$54,$B33),0))*500,0)-IF(AND('計算A'!AN$117=1,VL33&gt;0),300,0)-IF(AND($L33=1,'計算A'!AO$117=1,EN33=0),300,0))),1000000))</f>
        <v/>
      </c>
      <c r="PR33">
        <f>IF($B33=0,1000000,IF(INDEX('計算A'!$D$60:$EQ$104,$B33,39)*EN33=1,IF(AND($E33=2,KC33=0),1000000,IF($I33&gt;0,IF(2=$J33,IF(OR(AND(39=$I33+1,OR($K33&lt;&gt;'計算A'!$A$3,'計算A'!$A$4=0)),AND(39=$I33-1,OR(15&lt;&gt;'計算A'!$A$3,'計算A'!$A$4=0))),0,IF(15=$K33,200000,ABS(15-$K33)*100)),100000+ABS(2-$J33)*1000+150)+'計算A'!AP$5*50+IF(AND($E33=1,KC33=0),25,0),INDEX('計算A'!AP$110:AP$114,$F33+1)+IF(AND($E33=1,KC33=0),1000,0)+IF($H33=1,(IF('計算A'!AO$117=1,INDEX('計算A'!AO$10:AO$54,$B33),0)+IF('計算A'!AP$117=1,INDEX('計算A'!AQ$10:AQ$54,$B33),0))*500,0)-IF(AND('計算A'!AO$117=1,VM33&gt;0),300,0)-IF(AND($L33=1,'計算A'!AP$117=1,EO33=0),300,0))),1000000))</f>
        <v/>
      </c>
      <c r="PS33">
        <f>IF($B33=0,1000000,IF(INDEX('計算A'!$D$60:$EQ$104,$B33,40)*EO33=1,IF(AND($E33=2,KD33=0),1000000,IF($I33&gt;0,IF(2=$J33,IF(OR(AND(40=$I33+1,OR($K33&lt;&gt;'計算A'!$A$3,'計算A'!$A$4=0)),AND(40=$I33-1,OR(16&lt;&gt;'計算A'!$A$3,'計算A'!$A$4=0))),0,IF(16=$K33,200000,ABS(16-$K33)*100)),100000+ABS(2-$J33)*1000+160)+'計算A'!AQ$5*50+IF(AND($E33=1,KD33=0),25,0),INDEX('計算A'!AQ$110:AQ$114,$F33+1)+IF(AND($E33=1,KD33=0),1000,0)+IF($H33=1,(IF('計算A'!AP$117=1,INDEX('計算A'!AP$10:AP$54,$B33),0)+IF('計算A'!AQ$117=1,INDEX('計算A'!AR$10:AR$54,$B33),0))*500,0)-IF(AND('計算A'!AP$117=1,VN33&gt;0),300,0)-IF(AND($L33=1,'計算A'!AQ$117=1,EP33=0),300,0))),1000000))</f>
        <v/>
      </c>
      <c r="PT33">
        <f>IF($B33=0,1000000,IF(INDEX('計算A'!$D$60:$EQ$104,$B33,41)*EP33=1,IF(AND($E33=2,KE33=0),1000000,IF($I33&gt;0,IF(2=$J33,IF(OR(AND(41=$I33+1,OR($K33&lt;&gt;'計算A'!$A$3,'計算A'!$A$4=0)),AND(41=$I33-1,OR(17&lt;&gt;'計算A'!$A$3,'計算A'!$A$4=0))),0,IF(17=$K33,200000,ABS(17-$K33)*100)),100000+ABS(2-$J33)*1000+170)+'計算A'!AR$5*50+IF(AND($E33=1,KE33=0),25,0),INDEX('計算A'!AR$110:AR$114,$F33+1)+IF(AND($E33=1,KE33=0),1000,0)+IF($H33=1,(IF('計算A'!AQ$117=1,INDEX('計算A'!AQ$10:AQ$54,$B33),0)+IF('計算A'!AR$117=1,INDEX('計算A'!AS$10:AS$54,$B33),0))*500,0)-IF(AND('計算A'!AQ$117=1,VO33&gt;0),300,0)-IF(AND($L33=1,'計算A'!AR$117=1,EQ33=0),300,0))),1000000))</f>
        <v/>
      </c>
      <c r="PU33">
        <f>IF($B33=0,1000000,IF(INDEX('計算A'!$D$60:$EQ$104,$B33,42)*EQ33=1,IF(AND($E33=2,KF33=0),1000000,IF($I33&gt;0,IF(2=$J33,IF(OR(AND(42=$I33+1,OR($K33&lt;&gt;'計算A'!$A$3,'計算A'!$A$4=0)),AND(42=$I33-1,OR(18&lt;&gt;'計算A'!$A$3,'計算A'!$A$4=0))),0,IF(18=$K33,200000,ABS(18-$K33)*100)),100000+ABS(2-$J33)*1000+180)+'計算A'!AS$5*50+IF(AND($E33=1,KF33=0),25,0),INDEX('計算A'!AS$110:AS$114,$F33+1)+IF(AND($E33=1,KF33=0),1000,0)+IF($H33=1,(IF('計算A'!AR$117=1,INDEX('計算A'!AR$10:AR$54,$B33),0)+IF('計算A'!AS$117=1,INDEX('計算A'!AT$10:AT$54,$B33),0))*500,0)-IF(AND('計算A'!AR$117=1,VP33&gt;0),300,0)-IF(AND($L33=1,'計算A'!AS$117=1,ER33=0),300,0))),1000000))</f>
        <v/>
      </c>
      <c r="PV33">
        <f>IF($B33=0,1000000,IF(INDEX('計算A'!$D$60:$EQ$104,$B33,43)*ER33=1,IF(AND($E33=2,KG33=0),1000000,IF($I33&gt;0,IF(2=$J33,IF(OR(AND(43=$I33+1,OR($K33&lt;&gt;'計算A'!$A$3,'計算A'!$A$4=0)),AND(43=$I33-1,OR(19&lt;&gt;'計算A'!$A$3,'計算A'!$A$4=0))),0,IF(19=$K33,200000,ABS(19-$K33)*100)),100000+ABS(2-$J33)*1000+190)+'計算A'!AT$5*50+IF(AND($E33=1,KG33=0),25,0),INDEX('計算A'!AT$110:AT$114,$F33+1)+IF(AND($E33=1,KG33=0),1000,0)+IF($H33=1,(IF('計算A'!AS$117=1,INDEX('計算A'!AS$10:AS$54,$B33),0)+IF('計算A'!AT$117=1,INDEX('計算A'!AU$10:AU$54,$B33),0))*500,0)-IF(AND('計算A'!AS$117=1,VQ33&gt;0),300,0)-IF(AND($L33=1,'計算A'!AT$117=1,ES33=0),300,0))),1000000))</f>
        <v/>
      </c>
      <c r="PW33">
        <f>IF($B33=0,1000000,IF(INDEX('計算A'!$D$60:$EQ$104,$B33,44)*ES33=1,IF(AND($E33=2,KH33=0),1000000,IF($I33&gt;0,IF(2=$J33,IF(OR(AND(44=$I33+1,OR($K33&lt;&gt;'計算A'!$A$3,'計算A'!$A$4=0)),AND(44=$I33-1,OR(20&lt;&gt;'計算A'!$A$3,'計算A'!$A$4=0))),0,IF(20=$K33,200000,ABS(20-$K33)*100)),100000+ABS(2-$J33)*1000+200)+'計算A'!AU$5*50+IF(AND($E33=1,KH33=0),25,0),INDEX('計算A'!AU$110:AU$114,$F33+1)+IF(AND($E33=1,KH33=0),1000,0)+IF($H33=1,(IF('計算A'!AT$117=1,INDEX('計算A'!AT$10:AT$54,$B33),0)+IF('計算A'!AU$117=1,INDEX('計算A'!AV$10:AV$54,$B33),0))*500,0)-IF(AND('計算A'!AT$117=1,VR33&gt;0),300,0)-IF(AND($L33=1,'計算A'!AU$117=1,ET33=0),300,0))),1000000))</f>
        <v/>
      </c>
      <c r="PX33">
        <f>IF($B33=0,1000000,IF(INDEX('計算A'!$D$60:$EQ$104,$B33,45)*ET33=1,IF(AND($E33=2,KI33=0),1000000,IF($I33&gt;0,IF(2=$J33,IF(OR(AND(45=$I33+1,OR($K33&lt;&gt;'計算A'!$A$3,'計算A'!$A$4=0)),AND(45=$I33-1,OR(21&lt;&gt;'計算A'!$A$3,'計算A'!$A$4=0))),0,IF(21=$K33,200000,ABS(21-$K33)*100)),100000+ABS(2-$J33)*1000+210)+'計算A'!AV$5*50+IF(AND($E33=1,KI33=0),25,0),INDEX('計算A'!AV$110:AV$114,$F33+1)+IF(AND($E33=1,KI33=0),1000,0)+IF($H33=1,(IF('計算A'!AU$117=1,INDEX('計算A'!AU$10:AU$54,$B33),0)+IF('計算A'!AV$117=1,INDEX('計算A'!AW$10:AW$54,$B33),0))*500,0)-IF(AND('計算A'!AU$117=1,VS33&gt;0),300,0)-IF(AND($L33=1,'計算A'!AV$117=1,EU33=0),300,0))),1000000))</f>
        <v/>
      </c>
      <c r="PY33">
        <f>IF($B33=0,1000000,IF(INDEX('計算A'!$D$60:$EQ$104,$B33,46)*EU33=1,IF(AND($E33=2,KJ33=0),1000000,IF($I33&gt;0,IF(2=$J33,IF(OR(AND(46=$I33+1,OR($K33&lt;&gt;'計算A'!$A$3,'計算A'!$A$4=0)),AND(46=$I33-1,OR(22&lt;&gt;'計算A'!$A$3,'計算A'!$A$4=0))),0,IF(22=$K33,200000,ABS(22-$K33)*100)),100000+ABS(2-$J33)*1000+220)+'計算A'!AW$5*50+IF(AND($E33=1,KJ33=0),25,0),INDEX('計算A'!AW$110:AW$114,$F33+1)+IF(AND($E33=1,KJ33=0),1000,0)+IF($H33=1,(IF('計算A'!AV$117=1,INDEX('計算A'!AV$10:AV$54,$B33),0)+IF('計算A'!AW$117=1,INDEX('計算A'!AX$10:AX$54,$B33),0))*500,0)-IF(AND('計算A'!AV$117=1,VT33&gt;0),300,0)-IF(AND($L33=1,'計算A'!AW$117=1,EV33=0),300,0))),1000000))</f>
        <v/>
      </c>
      <c r="PZ33">
        <f>IF($B33=0,1000000,IF(INDEX('計算A'!$D$60:$EQ$104,$B33,47)*EV33=1,IF(AND($E33=2,KK33=0),1000000,IF($I33&gt;0,IF(2=$J33,IF(OR(AND(47=$I33+1,OR($K33&lt;&gt;'計算A'!$A$3,'計算A'!$A$4=0)),AND(47=$I33-1,OR(23&lt;&gt;'計算A'!$A$3,'計算A'!$A$4=0))),0,IF(23=$K33,200000,ABS(23-$K33)*100)),100000+ABS(2-$J33)*1000+230)+'計算A'!AX$5*50+IF(AND($E33=1,KK33=0),25,0),INDEX('計算A'!AX$110:AX$114,$F33+1)+IF(AND($E33=1,KK33=0),1000,0)+IF($H33=1,(IF('計算A'!AW$117=1,INDEX('計算A'!AW$10:AW$54,$B33),0)+IF('計算A'!AX$117=1,INDEX('計算A'!AY$10:AY$54,$B33),0))*500,0)-IF(AND('計算A'!AW$117=1,VU33&gt;0),300,0)-IF(AND($L33=1,'計算A'!AX$117=1,EW33=0),300,0))),1000000))</f>
        <v/>
      </c>
      <c r="QA33">
        <f>IF($B33=0,1000000,IF(INDEX('計算A'!$D$60:$EQ$104,$B33,48)*EW33=1,IF(AND($E33=2,KL33=0),1000000,IF($I33&gt;0,IF(2=$J33,IF(OR(AND(48=$I33+1,OR($K33&lt;&gt;'計算A'!$A$3,'計算A'!$A$4=0)),AND(48=$I33-1,OR(24&lt;&gt;'計算A'!$A$3,'計算A'!$A$4=0))),0,IF(24=$K33,200000,ABS(24-$K33)*100)),100000+ABS(2-$J33)*1000+240)+'計算A'!AY$5*50+IF(AND($E33=1,KL33=0),25,0),INDEX('計算A'!AY$110:AY$114,$F33+1)+IF(AND($E33=1,KL33=0),1000,0)+IF($H33=1,(IF('計算A'!AX$117=1,INDEX('計算A'!AX$10:AX$54,$B33),0))*500,0)-IF(AND('計算A'!AX$117=1,VV33&gt;0),300,0))),1000000))</f>
        <v/>
      </c>
      <c r="QB33">
        <f>IF($B33=0,1000000,IF(INDEX('計算A'!$D$60:$EQ$104,$B33,49)*EX33=1,IF(AND($E33=2,KM33=0),1000000,IF($I33&gt;0,IF(3=$J33,IF(OR(AND(49=$I33+1,OR($K33&lt;&gt;'計算A'!$A$3,'計算A'!$A$4=0)),AND(49=$I33-1,OR(1&lt;&gt;'計算A'!$A$3,'計算A'!$A$4=0))),0,IF(1=$K33,200000,ABS(1-$K33)*100)),100000+ABS(3-$J33)*1000+10)+'計算A'!AZ$5*50+IF(AND($E33=1,KM33=0),25,0),INDEX('計算A'!AZ$110:AZ$114,$F33+1)+IF(AND($E33=1,KM33=0),1000,0)+IF($H33=1,(IF('計算A'!AZ$117=1,INDEX('計算A'!BA$10:BA$54,$B33),0))*500,0)-IF(AND($L33=1,'計算A'!AZ$117=1,EY33=0),300,0))),1000000))</f>
        <v/>
      </c>
      <c r="QC33">
        <f>IF($B33=0,1000000,IF(INDEX('計算A'!$D$60:$EQ$104,$B33,50)*EY33=1,IF(AND($E33=2,KN33=0),1000000,IF($I33&gt;0,IF(3=$J33,IF(OR(AND(50=$I33+1,OR($K33&lt;&gt;'計算A'!$A$3,'計算A'!$A$4=0)),AND(50=$I33-1,OR(2&lt;&gt;'計算A'!$A$3,'計算A'!$A$4=0))),0,IF(2=$K33,200000,ABS(2-$K33)*100)),100000+ABS(3-$J33)*1000+20)+'計算A'!BA$5*50+IF(AND($E33=1,KN33=0),25,0),INDEX('計算A'!BA$110:BA$114,$F33+1)+IF(AND($E33=1,KN33=0),1000,0)+IF($H33=1,(IF('計算A'!AZ$117=1,INDEX('計算A'!AZ$10:AZ$54,$B33),0)+IF('計算A'!BA$117=1,INDEX('計算A'!BB$10:BB$54,$B33),0))*500,0)-IF(AND('計算A'!AZ$117=1,VX33&gt;0),300,0)-IF(AND($L33=1,'計算A'!BA$117=1,EZ33=0),300,0))),1000000))</f>
        <v/>
      </c>
      <c r="QD33">
        <f>IF($B33=0,1000000,IF(INDEX('計算A'!$D$60:$EQ$104,$B33,51)*EZ33=1,IF(AND($E33=2,KO33=0),1000000,IF($I33&gt;0,IF(3=$J33,IF(OR(AND(51=$I33+1,OR($K33&lt;&gt;'計算A'!$A$3,'計算A'!$A$4=0)),AND(51=$I33-1,OR(3&lt;&gt;'計算A'!$A$3,'計算A'!$A$4=0))),0,IF(3=$K33,200000,ABS(3-$K33)*100)),100000+ABS(3-$J33)*1000+30)+'計算A'!BB$5*50+IF(AND($E33=1,KO33=0),25,0),INDEX('計算A'!BB$110:BB$114,$F33+1)+IF(AND($E33=1,KO33=0),1000,0)+IF($H33=1,(IF('計算A'!BA$117=1,INDEX('計算A'!BA$10:BA$54,$B33),0)+IF('計算A'!BB$117=1,INDEX('計算A'!BC$10:BC$54,$B33),0))*500,0)-IF(AND('計算A'!BA$117=1,VY33&gt;0),300,0)-IF(AND($L33=1,'計算A'!BB$117=1,FA33=0),300,0))),1000000))</f>
        <v/>
      </c>
      <c r="QE33">
        <f>IF($B33=0,1000000,IF(INDEX('計算A'!$D$60:$EQ$104,$B33,52)*FA33=1,IF(AND($E33=2,KP33=0),1000000,IF($I33&gt;0,IF(3=$J33,IF(OR(AND(52=$I33+1,OR($K33&lt;&gt;'計算A'!$A$3,'計算A'!$A$4=0)),AND(52=$I33-1,OR(4&lt;&gt;'計算A'!$A$3,'計算A'!$A$4=0))),0,IF(4=$K33,200000,ABS(4-$K33)*100)),100000+ABS(3-$J33)*1000+40)+'計算A'!BC$5*50+IF(AND($E33=1,KP33=0),25,0),INDEX('計算A'!BC$110:BC$114,$F33+1)+IF(AND($E33=1,KP33=0),1000,0)+IF($H33=1,(IF('計算A'!BB$117=1,INDEX('計算A'!BB$10:BB$54,$B33),0)+IF('計算A'!BC$117=1,INDEX('計算A'!BD$10:BD$54,$B33),0))*500,0)-IF(AND('計算A'!BB$117=1,VZ33&gt;0),300,0)-IF(AND($L33=1,'計算A'!BC$117=1,FB33=0),300,0))),1000000))</f>
        <v/>
      </c>
      <c r="QF33">
        <f>IF($B33=0,1000000,IF(INDEX('計算A'!$D$60:$EQ$104,$B33,53)*FB33=1,IF(AND($E33=2,KQ33=0),1000000,IF($I33&gt;0,IF(3=$J33,IF(OR(AND(53=$I33+1,OR($K33&lt;&gt;'計算A'!$A$3,'計算A'!$A$4=0)),AND(53=$I33-1,OR(5&lt;&gt;'計算A'!$A$3,'計算A'!$A$4=0))),0,IF(5=$K33,200000,ABS(5-$K33)*100)),100000+ABS(3-$J33)*1000+50)+'計算A'!BD$5*50+IF(AND($E33=1,KQ33=0),25,0),INDEX('計算A'!BD$110:BD$114,$F33+1)+IF(AND($E33=1,KQ33=0),1000,0)+IF($H33=1,(IF('計算A'!BC$117=1,INDEX('計算A'!BC$10:BC$54,$B33),0)+IF('計算A'!BD$117=1,INDEX('計算A'!BE$10:BE$54,$B33),0))*500,0)-IF(AND('計算A'!BC$117=1,WA33&gt;0),300,0)-IF(AND($L33=1,'計算A'!BD$117=1,FC33=0),300,0))),1000000))</f>
        <v/>
      </c>
      <c r="QG33">
        <f>IF($B33=0,1000000,IF(INDEX('計算A'!$D$60:$EQ$104,$B33,54)*FC33=1,IF(AND($E33=2,KR33=0),1000000,IF($I33&gt;0,IF(3=$J33,IF(OR(AND(54=$I33+1,OR($K33&lt;&gt;'計算A'!$A$3,'計算A'!$A$4=0)),AND(54=$I33-1,OR(6&lt;&gt;'計算A'!$A$3,'計算A'!$A$4=0))),0,IF(6=$K33,200000,ABS(6-$K33)*100)),100000+ABS(3-$J33)*1000+60)+'計算A'!BE$5*50+IF(AND($E33=1,KR33=0),25,0),INDEX('計算A'!BE$110:BE$114,$F33+1)+IF(AND($E33=1,KR33=0),1000,0)+IF($H33=1,(IF('計算A'!BD$117=1,INDEX('計算A'!BD$10:BD$54,$B33),0)+IF('計算A'!BE$117=1,INDEX('計算A'!BF$10:BF$54,$B33),0))*500,0)-IF(AND('計算A'!BD$117=1,WB33&gt;0),300,0)-IF(AND($L33=1,'計算A'!BE$117=1,FD33=0),300,0))),1000000))</f>
        <v/>
      </c>
      <c r="QH33">
        <f>IF($B33=0,1000000,IF(INDEX('計算A'!$D$60:$EQ$104,$B33,55)*FD33=1,IF(AND($E33=2,KS33=0),1000000,IF($I33&gt;0,IF(3=$J33,IF(OR(AND(55=$I33+1,OR($K33&lt;&gt;'計算A'!$A$3,'計算A'!$A$4=0)),AND(55=$I33-1,OR(7&lt;&gt;'計算A'!$A$3,'計算A'!$A$4=0))),0,IF(7=$K33,200000,ABS(7-$K33)*100)),100000+ABS(3-$J33)*1000+70)+'計算A'!BF$5*50+IF(AND($E33=1,KS33=0),25,0),INDEX('計算A'!BF$110:BF$114,$F33+1)+IF(AND($E33=1,KS33=0),1000,0)+IF($H33=1,(IF('計算A'!BE$117=1,INDEX('計算A'!BE$10:BE$54,$B33),0)+IF('計算A'!BF$117=1,INDEX('計算A'!BG$10:BG$54,$B33),0))*500,0)-IF(AND('計算A'!BE$117=1,WC33&gt;0),300,0)-IF(AND($L33=1,'計算A'!BF$117=1,FE33=0),300,0))),1000000))</f>
        <v/>
      </c>
      <c r="QI33">
        <f>IF($B33=0,1000000,IF(INDEX('計算A'!$D$60:$EQ$104,$B33,56)*FE33=1,IF(AND($E33=2,KT33=0),1000000,IF($I33&gt;0,IF(3=$J33,IF(OR(AND(56=$I33+1,OR($K33&lt;&gt;'計算A'!$A$3,'計算A'!$A$4=0)),AND(56=$I33-1,OR(8&lt;&gt;'計算A'!$A$3,'計算A'!$A$4=0))),0,IF(8=$K33,200000,ABS(8-$K33)*100)),100000+ABS(3-$J33)*1000+80)+'計算A'!BG$5*50+IF(AND($E33=1,KT33=0),25,0),INDEX('計算A'!BG$110:BG$114,$F33+1)+IF(AND($E33=1,KT33=0),1000,0)+IF($H33=1,(IF('計算A'!BF$117=1,INDEX('計算A'!BF$10:BF$54,$B33),0)+IF('計算A'!BG$117=1,INDEX('計算A'!BH$10:BH$54,$B33),0))*500,0)-IF(AND('計算A'!BF$117=1,WD33&gt;0),300,0)-IF(AND($L33=1,'計算A'!BG$117=1,FF33=0),300,0))),1000000))</f>
        <v/>
      </c>
      <c r="QJ33">
        <f>IF($B33=0,1000000,IF(INDEX('計算A'!$D$60:$EQ$104,$B33,57)*FF33=1,IF(AND($E33=2,KU33=0),1000000,IF($I33&gt;0,IF(3=$J33,IF(OR(AND(57=$I33+1,OR($K33&lt;&gt;'計算A'!$A$3,'計算A'!$A$4=0)),AND(57=$I33-1,OR(9&lt;&gt;'計算A'!$A$3,'計算A'!$A$4=0))),0,IF(9=$K33,200000,ABS(9-$K33)*100)),100000+ABS(3-$J33)*1000+90)+'計算A'!BH$5*50+IF(AND($E33=1,KU33=0),25,0),INDEX('計算A'!BH$110:BH$114,$F33+1)+IF(AND($E33=1,KU33=0),1000,0)+IF($H33=1,(IF('計算A'!BG$117=1,INDEX('計算A'!BG$10:BG$54,$B33),0)+IF('計算A'!BH$117=1,INDEX('計算A'!BI$10:BI$54,$B33),0))*500,0)-IF(AND('計算A'!BG$117=1,WE33&gt;0),300,0)-IF(AND($L33=1,'計算A'!BH$117=1,FG33=0),300,0))),1000000))</f>
        <v/>
      </c>
      <c r="QK33">
        <f>IF($B33=0,1000000,IF(INDEX('計算A'!$D$60:$EQ$104,$B33,58)*FG33=1,IF(AND($E33=2,KV33=0),1000000,IF($I33&gt;0,IF(3=$J33,IF(OR(AND(58=$I33+1,OR($K33&lt;&gt;'計算A'!$A$3,'計算A'!$A$4=0)),AND(58=$I33-1,OR(10&lt;&gt;'計算A'!$A$3,'計算A'!$A$4=0))),0,IF(10=$K33,200000,ABS(10-$K33)*100)),100000+ABS(3-$J33)*1000+100)+'計算A'!BI$5*50+IF(AND($E33=1,KV33=0),25,0),INDEX('計算A'!BI$110:BI$114,$F33+1)+IF(AND($E33=1,KV33=0),1000,0)+IF($H33=1,(IF('計算A'!BH$117=1,INDEX('計算A'!BH$10:BH$54,$B33),0)+IF('計算A'!BI$117=1,INDEX('計算A'!BJ$10:BJ$54,$B33),0))*500,0)-IF(AND('計算A'!BH$117=1,WF33&gt;0),300,0)-IF(AND($L33=1,'計算A'!BI$117=1,FH33=0),300,0))),1000000))</f>
        <v/>
      </c>
      <c r="QL33">
        <f>IF($B33=0,1000000,IF(INDEX('計算A'!$D$60:$EQ$104,$B33,59)*FH33=1,IF(AND($E33=2,KW33=0),1000000,IF($I33&gt;0,IF(3=$J33,IF(OR(AND(59=$I33+1,OR($K33&lt;&gt;'計算A'!$A$3,'計算A'!$A$4=0)),AND(59=$I33-1,OR(11&lt;&gt;'計算A'!$A$3,'計算A'!$A$4=0))),0,IF(11=$K33,200000,ABS(11-$K33)*100)),100000+ABS(3-$J33)*1000+110)+'計算A'!BJ$5*50+IF(AND($E33=1,KW33=0),25,0),INDEX('計算A'!BJ$110:BJ$114,$F33+1)+IF(AND($E33=1,KW33=0),1000,0)+IF($H33=1,(IF('計算A'!BI$117=1,INDEX('計算A'!BI$10:BI$54,$B33),0)+IF('計算A'!BJ$117=1,INDEX('計算A'!BK$10:BK$54,$B33),0))*500,0)-IF(AND('計算A'!BI$117=1,WG33&gt;0),300,0)-IF(AND($L33=1,'計算A'!BJ$117=1,FI33=0),300,0))),1000000))</f>
        <v/>
      </c>
      <c r="QM33">
        <f>IF($B33=0,1000000,IF(INDEX('計算A'!$D$60:$EQ$104,$B33,60)*FI33=1,IF(AND($E33=2,KX33=0),1000000,IF($I33&gt;0,IF(3=$J33,IF(OR(AND(60=$I33+1,OR($K33&lt;&gt;'計算A'!$A$3,'計算A'!$A$4=0)),AND(60=$I33-1,OR(12&lt;&gt;'計算A'!$A$3,'計算A'!$A$4=0))),0,IF(12=$K33,200000,ABS(12-$K33)*100)),100000+ABS(3-$J33)*1000+120)+'計算A'!BK$5*50+IF(AND($E33=1,KX33=0),25,0),INDEX('計算A'!BK$110:BK$114,$F33+1)+IF(AND($E33=1,KX33=0),1000,0)+IF($H33=1,(IF('計算A'!BJ$117=1,INDEX('計算A'!BJ$10:BJ$54,$B33),0)+IF('計算A'!BK$117=1,INDEX('計算A'!BL$10:BL$54,$B33),0))*500,0)-IF(AND('計算A'!BJ$117=1,WH33&gt;0),300,0)-IF(AND($L33=1,'計算A'!BK$117=1,FJ33=0),300,0))),1000000))</f>
        <v/>
      </c>
      <c r="QN33">
        <f>IF($B33=0,1000000,IF(INDEX('計算A'!$D$60:$EQ$104,$B33,61)*FJ33=1,IF(AND($E33=2,KY33=0),1000000,IF($I33&gt;0,IF(3=$J33,IF(OR(AND(61=$I33+1,OR($K33&lt;&gt;'計算A'!$A$3,'計算A'!$A$4=0)),AND(61=$I33-1,OR(13&lt;&gt;'計算A'!$A$3,'計算A'!$A$4=0))),0,IF(13=$K33,200000,ABS(13-$K33)*100)),100000+ABS(3-$J33)*1000+130)+'計算A'!BL$5*50+IF(AND($E33=1,KY33=0),25,0),INDEX('計算A'!BL$110:BL$114,$F33+1)+IF(AND($E33=1,KY33=0),1000,0)+IF($H33=1,(IF('計算A'!BK$117=1,INDEX('計算A'!BK$10:BK$54,$B33),0)+IF('計算A'!BL$117=1,INDEX('計算A'!BM$10:BM$54,$B33),0))*500,0)-IF(AND('計算A'!BK$117=1,WI33&gt;0),300,0)-IF(AND($L33=1,'計算A'!BL$117=1,FK33=0),300,0))),1000000))</f>
        <v/>
      </c>
      <c r="QO33">
        <f>IF($B33=0,1000000,IF(INDEX('計算A'!$D$60:$EQ$104,$B33,62)*FK33=1,IF(AND($E33=2,KZ33=0),1000000,IF($I33&gt;0,IF(3=$J33,IF(OR(AND(62=$I33+1,OR($K33&lt;&gt;'計算A'!$A$3,'計算A'!$A$4=0)),AND(62=$I33-1,OR(14&lt;&gt;'計算A'!$A$3,'計算A'!$A$4=0))),0,IF(14=$K33,200000,ABS(14-$K33)*100)),100000+ABS(3-$J33)*1000+140)+'計算A'!BM$5*50+IF(AND($E33=1,KZ33=0),25,0),INDEX('計算A'!BM$110:BM$114,$F33+1)+IF(AND($E33=1,KZ33=0),1000,0)+IF($H33=1,(IF('計算A'!BL$117=1,INDEX('計算A'!BL$10:BL$54,$B33),0)+IF('計算A'!BM$117=1,INDEX('計算A'!BN$10:BN$54,$B33),0))*500,0)-IF(AND('計算A'!BL$117=1,WJ33&gt;0),300,0)-IF(AND($L33=1,'計算A'!BM$117=1,FL33=0),300,0))),1000000))</f>
        <v/>
      </c>
      <c r="QP33">
        <f>IF($B33=0,1000000,IF(INDEX('計算A'!$D$60:$EQ$104,$B33,63)*FL33=1,IF(AND($E33=2,LA33=0),1000000,IF($I33&gt;0,IF(3=$J33,IF(OR(AND(63=$I33+1,OR($K33&lt;&gt;'計算A'!$A$3,'計算A'!$A$4=0)),AND(63=$I33-1,OR(15&lt;&gt;'計算A'!$A$3,'計算A'!$A$4=0))),0,IF(15=$K33,200000,ABS(15-$K33)*100)),100000+ABS(3-$J33)*1000+150)+'計算A'!BN$5*50+IF(AND($E33=1,LA33=0),25,0),INDEX('計算A'!BN$110:BN$114,$F33+1)+IF(AND($E33=1,LA33=0),1000,0)+IF($H33=1,(IF('計算A'!BM$117=1,INDEX('計算A'!BM$10:BM$54,$B33),0)+IF('計算A'!BN$117=1,INDEX('計算A'!BO$10:BO$54,$B33),0))*500,0)-IF(AND('計算A'!BM$117=1,WK33&gt;0),300,0)-IF(AND($L33=1,'計算A'!BN$117=1,FM33=0),300,0))),1000000))</f>
        <v/>
      </c>
      <c r="QQ33">
        <f>IF($B33=0,1000000,IF(INDEX('計算A'!$D$60:$EQ$104,$B33,64)*FM33=1,IF(AND($E33=2,LB33=0),1000000,IF($I33&gt;0,IF(3=$J33,IF(OR(AND(64=$I33+1,OR($K33&lt;&gt;'計算A'!$A$3,'計算A'!$A$4=0)),AND(64=$I33-1,OR(16&lt;&gt;'計算A'!$A$3,'計算A'!$A$4=0))),0,IF(16=$K33,200000,ABS(16-$K33)*100)),100000+ABS(3-$J33)*1000+160)+'計算A'!BO$5*50+IF(AND($E33=1,LB33=0),25,0),INDEX('計算A'!BO$110:BO$114,$F33+1)+IF(AND($E33=1,LB33=0),1000,0)+IF($H33=1,(IF('計算A'!BN$117=1,INDEX('計算A'!BN$10:BN$54,$B33),0)+IF('計算A'!BO$117=1,INDEX('計算A'!BP$10:BP$54,$B33),0))*500,0)-IF(AND('計算A'!BN$117=1,WL33&gt;0),300,0)-IF(AND($L33=1,'計算A'!BO$117=1,FN33=0),300,0))),1000000))</f>
        <v/>
      </c>
      <c r="QR33">
        <f>IF($B33=0,1000000,IF(INDEX('計算A'!$D$60:$EQ$104,$B33,65)*FN33=1,IF(AND($E33=2,LC33=0),1000000,IF($I33&gt;0,IF(3=$J33,IF(OR(AND(65=$I33+1,OR($K33&lt;&gt;'計算A'!$A$3,'計算A'!$A$4=0)),AND(65=$I33-1,OR(17&lt;&gt;'計算A'!$A$3,'計算A'!$A$4=0))),0,IF(17=$K33,200000,ABS(17-$K33)*100)),100000+ABS(3-$J33)*1000+170)+'計算A'!BP$5*50+IF(AND($E33=1,LC33=0),25,0),INDEX('計算A'!BP$110:BP$114,$F33+1)+IF(AND($E33=1,LC33=0),1000,0)+IF($H33=1,(IF('計算A'!BO$117=1,INDEX('計算A'!BO$10:BO$54,$B33),0)+IF('計算A'!BP$117=1,INDEX('計算A'!BQ$10:BQ$54,$B33),0))*500,0)-IF(AND('計算A'!BO$117=1,WM33&gt;0),300,0)-IF(AND($L33=1,'計算A'!BP$117=1,FO33=0),300,0))),1000000))</f>
        <v/>
      </c>
      <c r="QS33">
        <f>IF($B33=0,1000000,IF(INDEX('計算A'!$D$60:$EQ$104,$B33,66)*FO33=1,IF(AND($E33=2,LD33=0),1000000,IF($I33&gt;0,IF(3=$J33,IF(OR(AND(66=$I33+1,OR($K33&lt;&gt;'計算A'!$A$3,'計算A'!$A$4=0)),AND(66=$I33-1,OR(18&lt;&gt;'計算A'!$A$3,'計算A'!$A$4=0))),0,IF(18=$K33,200000,ABS(18-$K33)*100)),100000+ABS(3-$J33)*1000+180)+'計算A'!BQ$5*50+IF(AND($E33=1,LD33=0),25,0),INDEX('計算A'!BQ$110:BQ$114,$F33+1)+IF(AND($E33=1,LD33=0),1000,0)+IF($H33=1,(IF('計算A'!BP$117=1,INDEX('計算A'!BP$10:BP$54,$B33),0)+IF('計算A'!BQ$117=1,INDEX('計算A'!BR$10:BR$54,$B33),0))*500,0)-IF(AND('計算A'!BP$117=1,WN33&gt;0),300,0)-IF(AND($L33=1,'計算A'!BQ$117=1,FP33=0),300,0))),1000000))</f>
        <v/>
      </c>
      <c r="QT33">
        <f>IF($B33=0,1000000,IF(INDEX('計算A'!$D$60:$EQ$104,$B33,67)*FP33=1,IF(AND($E33=2,LE33=0),1000000,IF($I33&gt;0,IF(3=$J33,IF(OR(AND(67=$I33+1,OR($K33&lt;&gt;'計算A'!$A$3,'計算A'!$A$4=0)),AND(67=$I33-1,OR(19&lt;&gt;'計算A'!$A$3,'計算A'!$A$4=0))),0,IF(19=$K33,200000,ABS(19-$K33)*100)),100000+ABS(3-$J33)*1000+190)+'計算A'!BR$5*50+IF(AND($E33=1,LE33=0),25,0),INDEX('計算A'!BR$110:BR$114,$F33+1)+IF(AND($E33=1,LE33=0),1000,0)+IF($H33=1,(IF('計算A'!BQ$117=1,INDEX('計算A'!BQ$10:BQ$54,$B33),0)+IF('計算A'!BR$117=1,INDEX('計算A'!BS$10:BS$54,$B33),0))*500,0)-IF(AND('計算A'!BQ$117=1,WO33&gt;0),300,0)-IF(AND($L33=1,'計算A'!BR$117=1,FQ33=0),300,0))),1000000))</f>
        <v/>
      </c>
      <c r="QU33">
        <f>IF($B33=0,1000000,IF(INDEX('計算A'!$D$60:$EQ$104,$B33,68)*FQ33=1,IF(AND($E33=2,LF33=0),1000000,IF($I33&gt;0,IF(3=$J33,IF(OR(AND(68=$I33+1,OR($K33&lt;&gt;'計算A'!$A$3,'計算A'!$A$4=0)),AND(68=$I33-1,OR(20&lt;&gt;'計算A'!$A$3,'計算A'!$A$4=0))),0,IF(20=$K33,200000,ABS(20-$K33)*100)),100000+ABS(3-$J33)*1000+200)+'計算A'!BS$5*50+IF(AND($E33=1,LF33=0),25,0),INDEX('計算A'!BS$110:BS$114,$F33+1)+IF(AND($E33=1,LF33=0),1000,0)+IF($H33=1,(IF('計算A'!BR$117=1,INDEX('計算A'!BR$10:BR$54,$B33),0)+IF('計算A'!BS$117=1,INDEX('計算A'!BT$10:BT$54,$B33),0))*500,0)-IF(AND('計算A'!BR$117=1,WP33&gt;0),300,0)-IF(AND($L33=1,'計算A'!BS$117=1,FR33=0),300,0))),1000000))</f>
        <v/>
      </c>
      <c r="QV33">
        <f>IF($B33=0,1000000,IF(INDEX('計算A'!$D$60:$EQ$104,$B33,69)*FR33=1,IF(AND($E33=2,LG33=0),1000000,IF($I33&gt;0,IF(3=$J33,IF(OR(AND(69=$I33+1,OR($K33&lt;&gt;'計算A'!$A$3,'計算A'!$A$4=0)),AND(69=$I33-1,OR(21&lt;&gt;'計算A'!$A$3,'計算A'!$A$4=0))),0,IF(21=$K33,200000,ABS(21-$K33)*100)),100000+ABS(3-$J33)*1000+210)+'計算A'!BT$5*50+IF(AND($E33=1,LG33=0),25,0),INDEX('計算A'!BT$110:BT$114,$F33+1)+IF(AND($E33=1,LG33=0),1000,0)+IF($H33=1,(IF('計算A'!BS$117=1,INDEX('計算A'!BS$10:BS$54,$B33),0)+IF('計算A'!BT$117=1,INDEX('計算A'!BU$10:BU$54,$B33),0))*500,0)-IF(AND('計算A'!BS$117=1,WQ33&gt;0),300,0)-IF(AND($L33=1,'計算A'!BT$117=1,FS33=0),300,0))),1000000))</f>
        <v/>
      </c>
      <c r="QW33">
        <f>IF($B33=0,1000000,IF(INDEX('計算A'!$D$60:$EQ$104,$B33,70)*FS33=1,IF(AND($E33=2,LH33=0),1000000,IF($I33&gt;0,IF(3=$J33,IF(OR(AND(70=$I33+1,OR($K33&lt;&gt;'計算A'!$A$3,'計算A'!$A$4=0)),AND(70=$I33-1,OR(22&lt;&gt;'計算A'!$A$3,'計算A'!$A$4=0))),0,IF(22=$K33,200000,ABS(22-$K33)*100)),100000+ABS(3-$J33)*1000+220)+'計算A'!BU$5*50+IF(AND($E33=1,LH33=0),25,0),INDEX('計算A'!BU$110:BU$114,$F33+1)+IF(AND($E33=1,LH33=0),1000,0)+IF($H33=1,(IF('計算A'!BT$117=1,INDEX('計算A'!BT$10:BT$54,$B33),0)+IF('計算A'!BU$117=1,INDEX('計算A'!BV$10:BV$54,$B33),0))*500,0)-IF(AND('計算A'!BT$117=1,WR33&gt;0),300,0)-IF(AND($L33=1,'計算A'!BU$117=1,FT33=0),300,0))),1000000))</f>
        <v/>
      </c>
      <c r="QX33">
        <f>IF($B33=0,1000000,IF(INDEX('計算A'!$D$60:$EQ$104,$B33,71)*FT33=1,IF(AND($E33=2,LI33=0),1000000,IF($I33&gt;0,IF(3=$J33,IF(OR(AND(71=$I33+1,OR($K33&lt;&gt;'計算A'!$A$3,'計算A'!$A$4=0)),AND(71=$I33-1,OR(23&lt;&gt;'計算A'!$A$3,'計算A'!$A$4=0))),0,IF(23=$K33,200000,ABS(23-$K33)*100)),100000+ABS(3-$J33)*1000+230)+'計算A'!BV$5*50+IF(AND($E33=1,LI33=0),25,0),INDEX('計算A'!BV$110:BV$114,$F33+1)+IF(AND($E33=1,LI33=0),1000,0)+IF($H33=1,(IF('計算A'!BU$117=1,INDEX('計算A'!BU$10:BU$54,$B33),0)+IF('計算A'!BV$117=1,INDEX('計算A'!BW$10:BW$54,$B33),0))*500,0)-IF(AND('計算A'!BU$117=1,WS33&gt;0),300,0)-IF(AND($L33=1,'計算A'!BV$117=1,FU33=0),300,0))),1000000))</f>
        <v/>
      </c>
      <c r="QY33">
        <f>IF($B33=0,1000000,IF(INDEX('計算A'!$D$60:$EQ$104,$B33,72)*FU33=1,IF(AND($E33=2,LJ33=0),1000000,IF($I33&gt;0,IF(3=$J33,IF(OR(AND(72=$I33+1,OR($K33&lt;&gt;'計算A'!$A$3,'計算A'!$A$4=0)),AND(72=$I33-1,OR(24&lt;&gt;'計算A'!$A$3,'計算A'!$A$4=0))),0,IF(24=$K33,200000,ABS(24-$K33)*100)),100000+ABS(3-$J33)*1000+240)+'計算A'!BW$5*50+IF(AND($E33=1,LJ33=0),25,0),INDEX('計算A'!BW$110:BW$114,$F33+1)+IF(AND($E33=1,LJ33=0),1000,0)+IF($H33=1,(IF('計算A'!BV$117=1,INDEX('計算A'!BV$10:BV$54,$B33),0))*500,0)-IF(AND('計算A'!BV$117=1,WT33&gt;0),300,0))),1000000))</f>
        <v/>
      </c>
      <c r="QZ33">
        <f>IF($B33=0,1000000,IF(INDEX('計算A'!$D$60:$EQ$104,$B33,73)*FV33=1,IF(AND($E33=2,LK33=0),1000000,IF($I33&gt;0,IF(4=$J33,IF(OR(AND(73=$I33+1,OR($K33&lt;&gt;'計算A'!$A$3,'計算A'!$A$4=0)),AND(73=$I33-1,OR(1&lt;&gt;'計算A'!$A$3,'計算A'!$A$4=0))),0,IF(1=$K33,200000,ABS(1-$K33)*100)),100000+ABS(4-$J33)*1000+10)+'計算A'!BX$5*50+IF(AND($E33=1,LK33=0),25,0),INDEX('計算A'!BX$110:BX$114,$F33+1)+IF(AND($E33=1,LK33=0),1000,0)+IF($H33=1,(IF('計算A'!BX$117=1,INDEX('計算A'!BY$10:BY$54,$B33),0))*500,0)-IF(AND($L33=1,'計算A'!BX$117=1,FW33=0),300,0))),1000000))</f>
        <v/>
      </c>
      <c r="RA33">
        <f>IF($B33=0,1000000,IF(INDEX('計算A'!$D$60:$EQ$104,$B33,74)*FW33=1,IF(AND($E33=2,LL33=0),1000000,IF($I33&gt;0,IF(4=$J33,IF(OR(AND(74=$I33+1,OR($K33&lt;&gt;'計算A'!$A$3,'計算A'!$A$4=0)),AND(74=$I33-1,OR(2&lt;&gt;'計算A'!$A$3,'計算A'!$A$4=0))),0,IF(2=$K33,200000,ABS(2-$K33)*100)),100000+ABS(4-$J33)*1000+20)+'計算A'!BY$5*50+IF(AND($E33=1,LL33=0),25,0),INDEX('計算A'!BY$110:BY$114,$F33+1)+IF(AND($E33=1,LL33=0),1000,0)+IF($H33=1,(IF('計算A'!BX$117=1,INDEX('計算A'!BX$10:BX$54,$B33),0)+IF('計算A'!BY$117=1,INDEX('計算A'!BZ$10:BZ$54,$B33),0))*500,0)-IF(AND('計算A'!BX$117=1,WV33&gt;0),300,0)-IF(AND($L33=1,'計算A'!BY$117=1,FX33=0),300,0))),1000000))</f>
        <v/>
      </c>
      <c r="RB33">
        <f>IF($B33=0,1000000,IF(INDEX('計算A'!$D$60:$EQ$104,$B33,75)*FX33=1,IF(AND($E33=2,LM33=0),1000000,IF($I33&gt;0,IF(4=$J33,IF(OR(AND(75=$I33+1,OR($K33&lt;&gt;'計算A'!$A$3,'計算A'!$A$4=0)),AND(75=$I33-1,OR(3&lt;&gt;'計算A'!$A$3,'計算A'!$A$4=0))),0,IF(3=$K33,200000,ABS(3-$K33)*100)),100000+ABS(4-$J33)*1000+30)+'計算A'!BZ$5*50+IF(AND($E33=1,LM33=0),25,0),INDEX('計算A'!BZ$110:BZ$114,$F33+1)+IF(AND($E33=1,LM33=0),1000,0)+IF($H33=1,(IF('計算A'!BY$117=1,INDEX('計算A'!BY$10:BY$54,$B33),0)+IF('計算A'!BZ$117=1,INDEX('計算A'!CA$10:CA$54,$B33),0))*500,0)-IF(AND('計算A'!BY$117=1,WW33&gt;0),300,0)-IF(AND($L33=1,'計算A'!BZ$117=1,FY33=0),300,0))),1000000))</f>
        <v/>
      </c>
      <c r="RC33">
        <f>IF($B33=0,1000000,IF(INDEX('計算A'!$D$60:$EQ$104,$B33,76)*FY33=1,IF(AND($E33=2,LN33=0),1000000,IF($I33&gt;0,IF(4=$J33,IF(OR(AND(76=$I33+1,OR($K33&lt;&gt;'計算A'!$A$3,'計算A'!$A$4=0)),AND(76=$I33-1,OR(4&lt;&gt;'計算A'!$A$3,'計算A'!$A$4=0))),0,IF(4=$K33,200000,ABS(4-$K33)*100)),100000+ABS(4-$J33)*1000+40)+'計算A'!CA$5*50+IF(AND($E33=1,LN33=0),25,0),INDEX('計算A'!CA$110:CA$114,$F33+1)+IF(AND($E33=1,LN33=0),1000,0)+IF($H33=1,(IF('計算A'!BZ$117=1,INDEX('計算A'!BZ$10:BZ$54,$B33),0)+IF('計算A'!CA$117=1,INDEX('計算A'!CB$10:CB$54,$B33),0))*500,0)-IF(AND('計算A'!BZ$117=1,WX33&gt;0),300,0)-IF(AND($L33=1,'計算A'!CA$117=1,FZ33=0),300,0))),1000000))</f>
        <v/>
      </c>
      <c r="RD33">
        <f>IF($B33=0,1000000,IF(INDEX('計算A'!$D$60:$EQ$104,$B33,77)*FZ33=1,IF(AND($E33=2,LO33=0),1000000,IF($I33&gt;0,IF(4=$J33,IF(OR(AND(77=$I33+1,OR($K33&lt;&gt;'計算A'!$A$3,'計算A'!$A$4=0)),AND(77=$I33-1,OR(5&lt;&gt;'計算A'!$A$3,'計算A'!$A$4=0))),0,IF(5=$K33,200000,ABS(5-$K33)*100)),100000+ABS(4-$J33)*1000+50)+'計算A'!CB$5*50+IF(AND($E33=1,LO33=0),25,0),INDEX('計算A'!CB$110:CB$114,$F33+1)+IF(AND($E33=1,LO33=0),1000,0)+IF($H33=1,(IF('計算A'!CA$117=1,INDEX('計算A'!CA$10:CA$54,$B33),0)+IF('計算A'!CB$117=1,INDEX('計算A'!CC$10:CC$54,$B33),0))*500,0)-IF(AND('計算A'!CA$117=1,WY33&gt;0),300,0)-IF(AND($L33=1,'計算A'!CB$117=1,GA33=0),300,0))),1000000))</f>
        <v/>
      </c>
      <c r="RE33">
        <f>IF($B33=0,1000000,IF(INDEX('計算A'!$D$60:$EQ$104,$B33,78)*GA33=1,IF(AND($E33=2,LP33=0),1000000,IF($I33&gt;0,IF(4=$J33,IF(OR(AND(78=$I33+1,OR($K33&lt;&gt;'計算A'!$A$3,'計算A'!$A$4=0)),AND(78=$I33-1,OR(6&lt;&gt;'計算A'!$A$3,'計算A'!$A$4=0))),0,IF(6=$K33,200000,ABS(6-$K33)*100)),100000+ABS(4-$J33)*1000+60)+'計算A'!CC$5*50+IF(AND($E33=1,LP33=0),25,0),INDEX('計算A'!CC$110:CC$114,$F33+1)+IF(AND($E33=1,LP33=0),1000,0)+IF($H33=1,(IF('計算A'!CB$117=1,INDEX('計算A'!CB$10:CB$54,$B33),0)+IF('計算A'!CC$117=1,INDEX('計算A'!CD$10:CD$54,$B33),0))*500,0)-IF(AND('計算A'!CB$117=1,WZ33&gt;0),300,0)-IF(AND($L33=1,'計算A'!CC$117=1,GB33=0),300,0))),1000000))</f>
        <v/>
      </c>
      <c r="RF33">
        <f>IF($B33=0,1000000,IF(INDEX('計算A'!$D$60:$EQ$104,$B33,79)*GB33=1,IF(AND($E33=2,LQ33=0),1000000,IF($I33&gt;0,IF(4=$J33,IF(OR(AND(79=$I33+1,OR($K33&lt;&gt;'計算A'!$A$3,'計算A'!$A$4=0)),AND(79=$I33-1,OR(7&lt;&gt;'計算A'!$A$3,'計算A'!$A$4=0))),0,IF(7=$K33,200000,ABS(7-$K33)*100)),100000+ABS(4-$J33)*1000+70)+'計算A'!CD$5*50+IF(AND($E33=1,LQ33=0),25,0),INDEX('計算A'!CD$110:CD$114,$F33+1)+IF(AND($E33=1,LQ33=0),1000,0)+IF($H33=1,(IF('計算A'!CC$117=1,INDEX('計算A'!CC$10:CC$54,$B33),0)+IF('計算A'!CD$117=1,INDEX('計算A'!CE$10:CE$54,$B33),0))*500,0)-IF(AND('計算A'!CC$117=1,XA33&gt;0),300,0)-IF(AND($L33=1,'計算A'!CD$117=1,GC33=0),300,0))),1000000))</f>
        <v/>
      </c>
      <c r="RG33">
        <f>IF($B33=0,1000000,IF(INDEX('計算A'!$D$60:$EQ$104,$B33,80)*GC33=1,IF(AND($E33=2,LR33=0),1000000,IF($I33&gt;0,IF(4=$J33,IF(OR(AND(80=$I33+1,OR($K33&lt;&gt;'計算A'!$A$3,'計算A'!$A$4=0)),AND(80=$I33-1,OR(8&lt;&gt;'計算A'!$A$3,'計算A'!$A$4=0))),0,IF(8=$K33,200000,ABS(8-$K33)*100)),100000+ABS(4-$J33)*1000+80)+'計算A'!CE$5*50+IF(AND($E33=1,LR33=0),25,0),INDEX('計算A'!CE$110:CE$114,$F33+1)+IF(AND($E33=1,LR33=0),1000,0)+IF($H33=1,(IF('計算A'!CD$117=1,INDEX('計算A'!CD$10:CD$54,$B33),0)+IF('計算A'!CE$117=1,INDEX('計算A'!CF$10:CF$54,$B33),0))*500,0)-IF(AND('計算A'!CD$117=1,XB33&gt;0),300,0)-IF(AND($L33=1,'計算A'!CE$117=1,GD33=0),300,0))),1000000))</f>
        <v/>
      </c>
      <c r="RH33">
        <f>IF($B33=0,1000000,IF(INDEX('計算A'!$D$60:$EQ$104,$B33,81)*GD33=1,IF(AND($E33=2,LS33=0),1000000,IF($I33&gt;0,IF(4=$J33,IF(OR(AND(81=$I33+1,OR($K33&lt;&gt;'計算A'!$A$3,'計算A'!$A$4=0)),AND(81=$I33-1,OR(9&lt;&gt;'計算A'!$A$3,'計算A'!$A$4=0))),0,IF(9=$K33,200000,ABS(9-$K33)*100)),100000+ABS(4-$J33)*1000+90)+'計算A'!CF$5*50+IF(AND($E33=1,LS33=0),25,0),INDEX('計算A'!CF$110:CF$114,$F33+1)+IF(AND($E33=1,LS33=0),1000,0)+IF($H33=1,(IF('計算A'!CE$117=1,INDEX('計算A'!CE$10:CE$54,$B33),0)+IF('計算A'!CF$117=1,INDEX('計算A'!CG$10:CG$54,$B33),0))*500,0)-IF(AND('計算A'!CE$117=1,XC33&gt;0),300,0)-IF(AND($L33=1,'計算A'!CF$117=1,GE33=0),300,0))),1000000))</f>
        <v/>
      </c>
      <c r="RI33">
        <f>IF($B33=0,1000000,IF(INDEX('計算A'!$D$60:$EQ$104,$B33,82)*GE33=1,IF(AND($E33=2,LT33=0),1000000,IF($I33&gt;0,IF(4=$J33,IF(OR(AND(82=$I33+1,OR($K33&lt;&gt;'計算A'!$A$3,'計算A'!$A$4=0)),AND(82=$I33-1,OR(10&lt;&gt;'計算A'!$A$3,'計算A'!$A$4=0))),0,IF(10=$K33,200000,ABS(10-$K33)*100)),100000+ABS(4-$J33)*1000+100)+'計算A'!CG$5*50+IF(AND($E33=1,LT33=0),25,0),INDEX('計算A'!CG$110:CG$114,$F33+1)+IF(AND($E33=1,LT33=0),1000,0)+IF($H33=1,(IF('計算A'!CF$117=1,INDEX('計算A'!CF$10:CF$54,$B33),0)+IF('計算A'!CG$117=1,INDEX('計算A'!CH$10:CH$54,$B33),0))*500,0)-IF(AND('計算A'!CF$117=1,XD33&gt;0),300,0)-IF(AND($L33=1,'計算A'!CG$117=1,GF33=0),300,0))),1000000))</f>
        <v/>
      </c>
      <c r="RJ33">
        <f>IF($B33=0,1000000,IF(INDEX('計算A'!$D$60:$EQ$104,$B33,83)*GF33=1,IF(AND($E33=2,LU33=0),1000000,IF($I33&gt;0,IF(4=$J33,IF(OR(AND(83=$I33+1,OR($K33&lt;&gt;'計算A'!$A$3,'計算A'!$A$4=0)),AND(83=$I33-1,OR(11&lt;&gt;'計算A'!$A$3,'計算A'!$A$4=0))),0,IF(11=$K33,200000,ABS(11-$K33)*100)),100000+ABS(4-$J33)*1000+110)+'計算A'!CH$5*50+IF(AND($E33=1,LU33=0),25,0),INDEX('計算A'!CH$110:CH$114,$F33+1)+IF(AND($E33=1,LU33=0),1000,0)+IF($H33=1,(IF('計算A'!CG$117=1,INDEX('計算A'!CG$10:CG$54,$B33),0)+IF('計算A'!CH$117=1,INDEX('計算A'!CI$10:CI$54,$B33),0))*500,0)-IF(AND('計算A'!CG$117=1,XE33&gt;0),300,0)-IF(AND($L33=1,'計算A'!CH$117=1,GG33=0),300,0))),1000000))</f>
        <v/>
      </c>
      <c r="RK33">
        <f>IF($B33=0,1000000,IF(INDEX('計算A'!$D$60:$EQ$104,$B33,84)*GG33=1,IF(AND($E33=2,LV33=0),1000000,IF($I33&gt;0,IF(4=$J33,IF(OR(AND(84=$I33+1,OR($K33&lt;&gt;'計算A'!$A$3,'計算A'!$A$4=0)),AND(84=$I33-1,OR(12&lt;&gt;'計算A'!$A$3,'計算A'!$A$4=0))),0,IF(12=$K33,200000,ABS(12-$K33)*100)),100000+ABS(4-$J33)*1000+120)+'計算A'!CI$5*50+IF(AND($E33=1,LV33=0),25,0),INDEX('計算A'!CI$110:CI$114,$F33+1)+IF(AND($E33=1,LV33=0),1000,0)+IF($H33=1,(IF('計算A'!CH$117=1,INDEX('計算A'!CH$10:CH$54,$B33),0)+IF('計算A'!CI$117=1,INDEX('計算A'!CJ$10:CJ$54,$B33),0))*500,0)-IF(AND('計算A'!CH$117=1,XF33&gt;0),300,0)-IF(AND($L33=1,'計算A'!CI$117=1,GH33=0),300,0))),1000000))</f>
        <v/>
      </c>
      <c r="RL33">
        <f>IF($B33=0,1000000,IF(INDEX('計算A'!$D$60:$EQ$104,$B33,85)*GH33=1,IF(AND($E33=2,LW33=0),1000000,IF($I33&gt;0,IF(4=$J33,IF(OR(AND(85=$I33+1,OR($K33&lt;&gt;'計算A'!$A$3,'計算A'!$A$4=0)),AND(85=$I33-1,OR(13&lt;&gt;'計算A'!$A$3,'計算A'!$A$4=0))),0,IF(13=$K33,200000,ABS(13-$K33)*100)),100000+ABS(4-$J33)*1000+130)+'計算A'!CJ$5*50+IF(AND($E33=1,LW33=0),25,0),INDEX('計算A'!CJ$110:CJ$114,$F33+1)+IF(AND($E33=1,LW33=0),1000,0)+IF($H33=1,(IF('計算A'!CI$117=1,INDEX('計算A'!CI$10:CI$54,$B33),0)+IF('計算A'!CJ$117=1,INDEX('計算A'!CK$10:CK$54,$B33),0))*500,0)-IF(AND('計算A'!CI$117=1,XG33&gt;0),300,0)-IF(AND($L33=1,'計算A'!CJ$117=1,GI33=0),300,0))),1000000))</f>
        <v/>
      </c>
      <c r="RM33">
        <f>IF($B33=0,1000000,IF(INDEX('計算A'!$D$60:$EQ$104,$B33,86)*GI33=1,IF(AND($E33=2,LX33=0),1000000,IF($I33&gt;0,IF(4=$J33,IF(OR(AND(86=$I33+1,OR($K33&lt;&gt;'計算A'!$A$3,'計算A'!$A$4=0)),AND(86=$I33-1,OR(14&lt;&gt;'計算A'!$A$3,'計算A'!$A$4=0))),0,IF(14=$K33,200000,ABS(14-$K33)*100)),100000+ABS(4-$J33)*1000+140)+'計算A'!CK$5*50+IF(AND($E33=1,LX33=0),25,0),INDEX('計算A'!CK$110:CK$114,$F33+1)+IF(AND($E33=1,LX33=0),1000,0)+IF($H33=1,(IF('計算A'!CJ$117=1,INDEX('計算A'!CJ$10:CJ$54,$B33),0)+IF('計算A'!CK$117=1,INDEX('計算A'!CL$10:CL$54,$B33),0))*500,0)-IF(AND('計算A'!CJ$117=1,XH33&gt;0),300,0)-IF(AND($L33=1,'計算A'!CK$117=1,GJ33=0),300,0))),1000000))</f>
        <v/>
      </c>
      <c r="RN33">
        <f>IF($B33=0,1000000,IF(INDEX('計算A'!$D$60:$EQ$104,$B33,87)*GJ33=1,IF(AND($E33=2,LY33=0),1000000,IF($I33&gt;0,IF(4=$J33,IF(OR(AND(87=$I33+1,OR($K33&lt;&gt;'計算A'!$A$3,'計算A'!$A$4=0)),AND(87=$I33-1,OR(15&lt;&gt;'計算A'!$A$3,'計算A'!$A$4=0))),0,IF(15=$K33,200000,ABS(15-$K33)*100)),100000+ABS(4-$J33)*1000+150)+'計算A'!CL$5*50+IF(AND($E33=1,LY33=0),25,0),INDEX('計算A'!CL$110:CL$114,$F33+1)+IF(AND($E33=1,LY33=0),1000,0)+IF($H33=1,(IF('計算A'!CK$117=1,INDEX('計算A'!CK$10:CK$54,$B33),0)+IF('計算A'!CL$117=1,INDEX('計算A'!CM$10:CM$54,$B33),0))*500,0)-IF(AND('計算A'!CK$117=1,XI33&gt;0),300,0)-IF(AND($L33=1,'計算A'!CL$117=1,GK33=0),300,0))),1000000))</f>
        <v/>
      </c>
      <c r="RO33">
        <f>IF($B33=0,1000000,IF(INDEX('計算A'!$D$60:$EQ$104,$B33,88)*GK33=1,IF(AND($E33=2,LZ33=0),1000000,IF($I33&gt;0,IF(4=$J33,IF(OR(AND(88=$I33+1,OR($K33&lt;&gt;'計算A'!$A$3,'計算A'!$A$4=0)),AND(88=$I33-1,OR(16&lt;&gt;'計算A'!$A$3,'計算A'!$A$4=0))),0,IF(16=$K33,200000,ABS(16-$K33)*100)),100000+ABS(4-$J33)*1000+160)+'計算A'!CM$5*50+IF(AND($E33=1,LZ33=0),25,0),INDEX('計算A'!CM$110:CM$114,$F33+1)+IF(AND($E33=1,LZ33=0),1000,0)+IF($H33=1,(IF('計算A'!CL$117=1,INDEX('計算A'!CL$10:CL$54,$B33),0)+IF('計算A'!CM$117=1,INDEX('計算A'!CN$10:CN$54,$B33),0))*500,0)-IF(AND('計算A'!CL$117=1,XJ33&gt;0),300,0)-IF(AND($L33=1,'計算A'!CM$117=1,GL33=0),300,0))),1000000))</f>
        <v/>
      </c>
      <c r="RP33">
        <f>IF($B33=0,1000000,IF(INDEX('計算A'!$D$60:$EQ$104,$B33,89)*GL33=1,IF(AND($E33=2,MA33=0),1000000,IF($I33&gt;0,IF(4=$J33,IF(OR(AND(89=$I33+1,OR($K33&lt;&gt;'計算A'!$A$3,'計算A'!$A$4=0)),AND(89=$I33-1,OR(17&lt;&gt;'計算A'!$A$3,'計算A'!$A$4=0))),0,IF(17=$K33,200000,ABS(17-$K33)*100)),100000+ABS(4-$J33)*1000+170)+'計算A'!CN$5*50+IF(AND($E33=1,MA33=0),25,0),INDEX('計算A'!CN$110:CN$114,$F33+1)+IF(AND($E33=1,MA33=0),1000,0)+IF($H33=1,(IF('計算A'!CM$117=1,INDEX('計算A'!CM$10:CM$54,$B33),0)+IF('計算A'!CN$117=1,INDEX('計算A'!CO$10:CO$54,$B33),0))*500,0)-IF(AND('計算A'!CM$117=1,XK33&gt;0),300,0)-IF(AND($L33=1,'計算A'!CN$117=1,GM33=0),300,0))),1000000))</f>
        <v/>
      </c>
      <c r="RQ33">
        <f>IF($B33=0,1000000,IF(INDEX('計算A'!$D$60:$EQ$104,$B33,90)*GM33=1,IF(AND($E33=2,MB33=0),1000000,IF($I33&gt;0,IF(4=$J33,IF(OR(AND(90=$I33+1,OR($K33&lt;&gt;'計算A'!$A$3,'計算A'!$A$4=0)),AND(90=$I33-1,OR(18&lt;&gt;'計算A'!$A$3,'計算A'!$A$4=0))),0,IF(18=$K33,200000,ABS(18-$K33)*100)),100000+ABS(4-$J33)*1000+180)+'計算A'!CO$5*50+IF(AND($E33=1,MB33=0),25,0),INDEX('計算A'!CO$110:CO$114,$F33+1)+IF(AND($E33=1,MB33=0),1000,0)+IF($H33=1,(IF('計算A'!CN$117=1,INDEX('計算A'!CN$10:CN$54,$B33),0)+IF('計算A'!CO$117=1,INDEX('計算A'!CP$10:CP$54,$B33),0))*500,0)-IF(AND('計算A'!CN$117=1,XL33&gt;0),300,0)-IF(AND($L33=1,'計算A'!CO$117=1,GN33=0),300,0))),1000000))</f>
        <v/>
      </c>
      <c r="RR33">
        <f>IF($B33=0,1000000,IF(INDEX('計算A'!$D$60:$EQ$104,$B33,91)*GN33=1,IF(AND($E33=2,MC33=0),1000000,IF($I33&gt;0,IF(4=$J33,IF(OR(AND(91=$I33+1,OR($K33&lt;&gt;'計算A'!$A$3,'計算A'!$A$4=0)),AND(91=$I33-1,OR(19&lt;&gt;'計算A'!$A$3,'計算A'!$A$4=0))),0,IF(19=$K33,200000,ABS(19-$K33)*100)),100000+ABS(4-$J33)*1000+190)+'計算A'!CP$5*50+IF(AND($E33=1,MC33=0),25,0),INDEX('計算A'!CP$110:CP$114,$F33+1)+IF(AND($E33=1,MC33=0),1000,0)+IF($H33=1,(IF('計算A'!CO$117=1,INDEX('計算A'!CO$10:CO$54,$B33),0)+IF('計算A'!CP$117=1,INDEX('計算A'!CQ$10:CQ$54,$B33),0))*500,0)-IF(AND('計算A'!CO$117=1,XM33&gt;0),300,0)-IF(AND($L33=1,'計算A'!CP$117=1,GO33=0),300,0))),1000000))</f>
        <v/>
      </c>
      <c r="RS33">
        <f>IF($B33=0,1000000,IF(INDEX('計算A'!$D$60:$EQ$104,$B33,92)*GO33=1,IF(AND($E33=2,MD33=0),1000000,IF($I33&gt;0,IF(4=$J33,IF(OR(AND(92=$I33+1,OR($K33&lt;&gt;'計算A'!$A$3,'計算A'!$A$4=0)),AND(92=$I33-1,OR(20&lt;&gt;'計算A'!$A$3,'計算A'!$A$4=0))),0,IF(20=$K33,200000,ABS(20-$K33)*100)),100000+ABS(4-$J33)*1000+200)+'計算A'!CQ$5*50+IF(AND($E33=1,MD33=0),25,0),INDEX('計算A'!CQ$110:CQ$114,$F33+1)+IF(AND($E33=1,MD33=0),1000,0)+IF($H33=1,(IF('計算A'!CP$117=1,INDEX('計算A'!CP$10:CP$54,$B33),0)+IF('計算A'!CQ$117=1,INDEX('計算A'!CR$10:CR$54,$B33),0))*500,0)-IF(AND('計算A'!CP$117=1,XN33&gt;0),300,0)-IF(AND($L33=1,'計算A'!CQ$117=1,GP33=0),300,0))),1000000))</f>
        <v/>
      </c>
      <c r="RT33">
        <f>IF($B33=0,1000000,IF(INDEX('計算A'!$D$60:$EQ$104,$B33,93)*GP33=1,IF(AND($E33=2,ME33=0),1000000,IF($I33&gt;0,IF(4=$J33,IF(OR(AND(93=$I33+1,OR($K33&lt;&gt;'計算A'!$A$3,'計算A'!$A$4=0)),AND(93=$I33-1,OR(21&lt;&gt;'計算A'!$A$3,'計算A'!$A$4=0))),0,IF(21=$K33,200000,ABS(21-$K33)*100)),100000+ABS(4-$J33)*1000+210)+'計算A'!CR$5*50+IF(AND($E33=1,ME33=0),25,0),INDEX('計算A'!CR$110:CR$114,$F33+1)+IF(AND($E33=1,ME33=0),1000,0)+IF($H33=1,(IF('計算A'!CQ$117=1,INDEX('計算A'!CQ$10:CQ$54,$B33),0)+IF('計算A'!CR$117=1,INDEX('計算A'!CS$10:CS$54,$B33),0))*500,0)-IF(AND('計算A'!CQ$117=1,XO33&gt;0),300,0)-IF(AND($L33=1,'計算A'!CR$117=1,GQ33=0),300,0))),1000000))</f>
        <v/>
      </c>
      <c r="RU33">
        <f>IF($B33=0,1000000,IF(INDEX('計算A'!$D$60:$EQ$104,$B33,94)*GQ33=1,IF(AND($E33=2,MF33=0),1000000,IF($I33&gt;0,IF(4=$J33,IF(OR(AND(94=$I33+1,OR($K33&lt;&gt;'計算A'!$A$3,'計算A'!$A$4=0)),AND(94=$I33-1,OR(22&lt;&gt;'計算A'!$A$3,'計算A'!$A$4=0))),0,IF(22=$K33,200000,ABS(22-$K33)*100)),100000+ABS(4-$J33)*1000+220)+'計算A'!CS$5*50+IF(AND($E33=1,MF33=0),25,0),INDEX('計算A'!CS$110:CS$114,$F33+1)+IF(AND($E33=1,MF33=0),1000,0)+IF($H33=1,(IF('計算A'!CR$117=1,INDEX('計算A'!CR$10:CR$54,$B33),0)+IF('計算A'!CS$117=1,INDEX('計算A'!CT$10:CT$54,$B33),0))*500,0)-IF(AND('計算A'!CR$117=1,XP33&gt;0),300,0)-IF(AND($L33=1,'計算A'!CS$117=1,GR33=0),300,0))),1000000))</f>
        <v/>
      </c>
      <c r="RV33">
        <f>IF($B33=0,1000000,IF(INDEX('計算A'!$D$60:$EQ$104,$B33,95)*GR33=1,IF(AND($E33=2,MG33=0),1000000,IF($I33&gt;0,IF(4=$J33,IF(OR(AND(95=$I33+1,OR($K33&lt;&gt;'計算A'!$A$3,'計算A'!$A$4=0)),AND(95=$I33-1,OR(23&lt;&gt;'計算A'!$A$3,'計算A'!$A$4=0))),0,IF(23=$K33,200000,ABS(23-$K33)*100)),100000+ABS(4-$J33)*1000+230)+'計算A'!CT$5*50+IF(AND($E33=1,MG33=0),25,0),INDEX('計算A'!CT$110:CT$114,$F33+1)+IF(AND($E33=1,MG33=0),1000,0)+IF($H33=1,(IF('計算A'!CS$117=1,INDEX('計算A'!CS$10:CS$54,$B33),0)+IF('計算A'!CT$117=1,INDEX('計算A'!CU$10:CU$54,$B33),0))*500,0)-IF(AND('計算A'!CS$117=1,XQ33&gt;0),300,0)-IF(AND($L33=1,'計算A'!CT$117=1,GS33=0),300,0))),1000000))</f>
        <v/>
      </c>
      <c r="RW33">
        <f>IF($B33=0,1000000,IF(INDEX('計算A'!$D$60:$EQ$104,$B33,96)*GS33=1,IF(AND($E33=2,MH33=0),1000000,IF($I33&gt;0,IF(4=$J33,IF(OR(AND(96=$I33+1,OR($K33&lt;&gt;'計算A'!$A$3,'計算A'!$A$4=0)),AND(96=$I33-1,OR(24&lt;&gt;'計算A'!$A$3,'計算A'!$A$4=0))),0,IF(24=$K33,200000,ABS(24-$K33)*100)),100000+ABS(4-$J33)*1000+240)+'計算A'!CU$5*50+IF(AND($E33=1,MH33=0),25,0),INDEX('計算A'!CU$110:CU$114,$F33+1)+IF(AND($E33=1,MH33=0),1000,0)+IF($H33=1,(IF('計算A'!CT$117=1,INDEX('計算A'!CT$10:CT$54,$B33),0))*500,0)-IF(AND('計算A'!CT$117=1,XR33&gt;0),300,0))),1000000))</f>
        <v/>
      </c>
      <c r="RX33">
        <f>IF($B33=0,1000000,IF(INDEX('計算A'!$D$60:$EQ$104,$B33,97)*GT33=1,IF(AND($E33=2,MI33=0),1000000,IF($I33&gt;0,IF(5=$J33,IF(OR(AND(97=$I33+1,OR($K33&lt;&gt;'計算A'!$A$3,'計算A'!$A$4=0)),AND(97=$I33-1,OR(1&lt;&gt;'計算A'!$A$3,'計算A'!$A$4=0))),0,IF(1=$K33,200000,ABS(1-$K33)*100)),100000+ABS(5-$J33)*1000+10)+'計算A'!CV$5*50+IF(AND($E33=1,MI33=0),25,0),INDEX('計算A'!CV$110:CV$114,$F33+1)+IF(AND($E33=1,MI33=0),1000,0)+IF($H33=1,(IF('計算A'!CV$117=1,INDEX('計算A'!CW$10:CW$54,$B33),0))*500,0)-IF(AND($L33=1,'計算A'!CV$117=1,GU33=0),300,0))),1000000))</f>
        <v/>
      </c>
      <c r="RY33">
        <f>IF($B33=0,1000000,IF(INDEX('計算A'!$D$60:$EQ$104,$B33,98)*GU33=1,IF(AND($E33=2,MJ33=0),1000000,IF($I33&gt;0,IF(5=$J33,IF(OR(AND(98=$I33+1,OR($K33&lt;&gt;'計算A'!$A$3,'計算A'!$A$4=0)),AND(98=$I33-1,OR(2&lt;&gt;'計算A'!$A$3,'計算A'!$A$4=0))),0,IF(2=$K33,200000,ABS(2-$K33)*100)),100000+ABS(5-$J33)*1000+20)+'計算A'!CW$5*50+IF(AND($E33=1,MJ33=0),25,0),INDEX('計算A'!CW$110:CW$114,$F33+1)+IF(AND($E33=1,MJ33=0),1000,0)+IF($H33=1,(IF('計算A'!CV$117=1,INDEX('計算A'!CV$10:CV$54,$B33),0)+IF('計算A'!CW$117=1,INDEX('計算A'!CX$10:CX$54,$B33),0))*500,0)-IF(AND('計算A'!CV$117=1,XT33&gt;0),300,0)-IF(AND($L33=1,'計算A'!CW$117=1,GV33=0),300,0))),1000000))</f>
        <v/>
      </c>
      <c r="RZ33">
        <f>IF($B33=0,1000000,IF(INDEX('計算A'!$D$60:$EQ$104,$B33,99)*GV33=1,IF(AND($E33=2,MK33=0),1000000,IF($I33&gt;0,IF(5=$J33,IF(OR(AND(99=$I33+1,OR($K33&lt;&gt;'計算A'!$A$3,'計算A'!$A$4=0)),AND(99=$I33-1,OR(3&lt;&gt;'計算A'!$A$3,'計算A'!$A$4=0))),0,IF(3=$K33,200000,ABS(3-$K33)*100)),100000+ABS(5-$J33)*1000+30)+'計算A'!CX$5*50+IF(AND($E33=1,MK33=0),25,0),INDEX('計算A'!CX$110:CX$114,$F33+1)+IF(AND($E33=1,MK33=0),1000,0)+IF($H33=1,(IF('計算A'!CW$117=1,INDEX('計算A'!CW$10:CW$54,$B33),0)+IF('計算A'!CX$117=1,INDEX('計算A'!CY$10:CY$54,$B33),0))*500,0)-IF(AND('計算A'!CW$117=1,XU33&gt;0),300,0)-IF(AND($L33=1,'計算A'!CX$117=1,GW33=0),300,0))),1000000))</f>
        <v/>
      </c>
      <c r="SA33">
        <f>IF($B33=0,1000000,IF(INDEX('計算A'!$D$60:$EQ$104,$B33,100)*GW33=1,IF(AND($E33=2,ML33=0),1000000,IF($I33&gt;0,IF(5=$J33,IF(OR(AND(100=$I33+1,OR($K33&lt;&gt;'計算A'!$A$3,'計算A'!$A$4=0)),AND(100=$I33-1,OR(4&lt;&gt;'計算A'!$A$3,'計算A'!$A$4=0))),0,IF(4=$K33,200000,ABS(4-$K33)*100)),100000+ABS(5-$J33)*1000+40)+'計算A'!CY$5*50+IF(AND($E33=1,ML33=0),25,0),INDEX('計算A'!CY$110:CY$114,$F33+1)+IF(AND($E33=1,ML33=0),1000,0)+IF($H33=1,(IF('計算A'!CX$117=1,INDEX('計算A'!CX$10:CX$54,$B33),0)+IF('計算A'!CY$117=1,INDEX('計算A'!CZ$10:CZ$54,$B33),0))*500,0)-IF(AND('計算A'!CX$117=1,XV33&gt;0),300,0)-IF(AND($L33=1,'計算A'!CY$117=1,GX33=0),300,0))),1000000))</f>
        <v/>
      </c>
      <c r="SB33">
        <f>IF($B33=0,1000000,IF(INDEX('計算A'!$D$60:$EQ$104,$B33,101)*GX33=1,IF(AND($E33=2,MM33=0),1000000,IF($I33&gt;0,IF(5=$J33,IF(OR(AND(101=$I33+1,OR($K33&lt;&gt;'計算A'!$A$3,'計算A'!$A$4=0)),AND(101=$I33-1,OR(5&lt;&gt;'計算A'!$A$3,'計算A'!$A$4=0))),0,IF(5=$K33,200000,ABS(5-$K33)*100)),100000+ABS(5-$J33)*1000+50)+'計算A'!CZ$5*50+IF(AND($E33=1,MM33=0),25,0),INDEX('計算A'!CZ$110:CZ$114,$F33+1)+IF(AND($E33=1,MM33=0),1000,0)+IF($H33=1,(IF('計算A'!CY$117=1,INDEX('計算A'!CY$10:CY$54,$B33),0)+IF('計算A'!CZ$117=1,INDEX('計算A'!DA$10:DA$54,$B33),0))*500,0)-IF(AND('計算A'!CY$117=1,XW33&gt;0),300,0)-IF(AND($L33=1,'計算A'!CZ$117=1,GY33=0),300,0))),1000000))</f>
        <v/>
      </c>
      <c r="SC33">
        <f>IF($B33=0,1000000,IF(INDEX('計算A'!$D$60:$EQ$104,$B33,102)*GY33=1,IF(AND($E33=2,MN33=0),1000000,IF($I33&gt;0,IF(5=$J33,IF(OR(AND(102=$I33+1,OR($K33&lt;&gt;'計算A'!$A$3,'計算A'!$A$4=0)),AND(102=$I33-1,OR(6&lt;&gt;'計算A'!$A$3,'計算A'!$A$4=0))),0,IF(6=$K33,200000,ABS(6-$K33)*100)),100000+ABS(5-$J33)*1000+60)+'計算A'!DA$5*50+IF(AND($E33=1,MN33=0),25,0),INDEX('計算A'!DA$110:DA$114,$F33+1)+IF(AND($E33=1,MN33=0),1000,0)+IF($H33=1,(IF('計算A'!CZ$117=1,INDEX('計算A'!CZ$10:CZ$54,$B33),0)+IF('計算A'!DA$117=1,INDEX('計算A'!DB$10:DB$54,$B33),0))*500,0)-IF(AND('計算A'!CZ$117=1,XX33&gt;0),300,0)-IF(AND($L33=1,'計算A'!DA$117=1,GZ33=0),300,0))),1000000))</f>
        <v/>
      </c>
      <c r="SD33">
        <f>IF($B33=0,1000000,IF(INDEX('計算A'!$D$60:$EQ$104,$B33,103)*GZ33=1,IF(AND($E33=2,MO33=0),1000000,IF($I33&gt;0,IF(5=$J33,IF(OR(AND(103=$I33+1,OR($K33&lt;&gt;'計算A'!$A$3,'計算A'!$A$4=0)),AND(103=$I33-1,OR(7&lt;&gt;'計算A'!$A$3,'計算A'!$A$4=0))),0,IF(7=$K33,200000,ABS(7-$K33)*100)),100000+ABS(5-$J33)*1000+70)+'計算A'!DB$5*50+IF(AND($E33=1,MO33=0),25,0),INDEX('計算A'!DB$110:DB$114,$F33+1)+IF(AND($E33=1,MO33=0),1000,0)+IF($H33=1,(IF('計算A'!DA$117=1,INDEX('計算A'!DA$10:DA$54,$B33),0)+IF('計算A'!DB$117=1,INDEX('計算A'!DC$10:DC$54,$B33),0))*500,0)-IF(AND('計算A'!DA$117=1,XY33&gt;0),300,0)-IF(AND($L33=1,'計算A'!DB$117=1,HA33=0),300,0))),1000000))</f>
        <v/>
      </c>
      <c r="SE33">
        <f>IF($B33=0,1000000,IF(INDEX('計算A'!$D$60:$EQ$104,$B33,104)*HA33=1,IF(AND($E33=2,MP33=0),1000000,IF($I33&gt;0,IF(5=$J33,IF(OR(AND(104=$I33+1,OR($K33&lt;&gt;'計算A'!$A$3,'計算A'!$A$4=0)),AND(104=$I33-1,OR(8&lt;&gt;'計算A'!$A$3,'計算A'!$A$4=0))),0,IF(8=$K33,200000,ABS(8-$K33)*100)),100000+ABS(5-$J33)*1000+80)+'計算A'!DC$5*50+IF(AND($E33=1,MP33=0),25,0),INDEX('計算A'!DC$110:DC$114,$F33+1)+IF(AND($E33=1,MP33=0),1000,0)+IF($H33=1,(IF('計算A'!DB$117=1,INDEX('計算A'!DB$10:DB$54,$B33),0)+IF('計算A'!DC$117=1,INDEX('計算A'!DD$10:DD$54,$B33),0))*500,0)-IF(AND('計算A'!DB$117=1,XZ33&gt;0),300,0)-IF(AND($L33=1,'計算A'!DC$117=1,HB33=0),300,0))),1000000))</f>
        <v/>
      </c>
      <c r="SF33">
        <f>IF($B33=0,1000000,IF(INDEX('計算A'!$D$60:$EQ$104,$B33,105)*HB33=1,IF(AND($E33=2,MQ33=0),1000000,IF($I33&gt;0,IF(5=$J33,IF(OR(AND(105=$I33+1,OR($K33&lt;&gt;'計算A'!$A$3,'計算A'!$A$4=0)),AND(105=$I33-1,OR(9&lt;&gt;'計算A'!$A$3,'計算A'!$A$4=0))),0,IF(9=$K33,200000,ABS(9-$K33)*100)),100000+ABS(5-$J33)*1000+90)+'計算A'!DD$5*50+IF(AND($E33=1,MQ33=0),25,0),INDEX('計算A'!DD$110:DD$114,$F33+1)+IF(AND($E33=1,MQ33=0),1000,0)+IF($H33=1,(IF('計算A'!DC$117=1,INDEX('計算A'!DC$10:DC$54,$B33),0)+IF('計算A'!DD$117=1,INDEX('計算A'!DE$10:DE$54,$B33),0))*500,0)-IF(AND('計算A'!DC$117=1,YA33&gt;0),300,0)-IF(AND($L33=1,'計算A'!DD$117=1,HC33=0),300,0))),1000000))</f>
        <v/>
      </c>
      <c r="SG33">
        <f>IF($B33=0,1000000,IF(INDEX('計算A'!$D$60:$EQ$104,$B33,106)*HC33=1,IF(AND($E33=2,MR33=0),1000000,IF($I33&gt;0,IF(5=$J33,IF(OR(AND(106=$I33+1,OR($K33&lt;&gt;'計算A'!$A$3,'計算A'!$A$4=0)),AND(106=$I33-1,OR(10&lt;&gt;'計算A'!$A$3,'計算A'!$A$4=0))),0,IF(10=$K33,200000,ABS(10-$K33)*100)),100000+ABS(5-$J33)*1000+100)+'計算A'!DE$5*50+IF(AND($E33=1,MR33=0),25,0),INDEX('計算A'!DE$110:DE$114,$F33+1)+IF(AND($E33=1,MR33=0),1000,0)+IF($H33=1,(IF('計算A'!DD$117=1,INDEX('計算A'!DD$10:DD$54,$B33),0)+IF('計算A'!DE$117=1,INDEX('計算A'!DF$10:DF$54,$B33),0))*500,0)-IF(AND('計算A'!DD$117=1,YB33&gt;0),300,0)-IF(AND($L33=1,'計算A'!DE$117=1,HD33=0),300,0))),1000000))</f>
        <v/>
      </c>
      <c r="SH33">
        <f>IF($B33=0,1000000,IF(INDEX('計算A'!$D$60:$EQ$104,$B33,107)*HD33=1,IF(AND($E33=2,MS33=0),1000000,IF($I33&gt;0,IF(5=$J33,IF(OR(AND(107=$I33+1,OR($K33&lt;&gt;'計算A'!$A$3,'計算A'!$A$4=0)),AND(107=$I33-1,OR(11&lt;&gt;'計算A'!$A$3,'計算A'!$A$4=0))),0,IF(11=$K33,200000,ABS(11-$K33)*100)),100000+ABS(5-$J33)*1000+110)+'計算A'!DF$5*50+IF(AND($E33=1,MS33=0),25,0),INDEX('計算A'!DF$110:DF$114,$F33+1)+IF(AND($E33=1,MS33=0),1000,0)+IF($H33=1,(IF('計算A'!DE$117=1,INDEX('計算A'!DE$10:DE$54,$B33),0)+IF('計算A'!DF$117=1,INDEX('計算A'!DG$10:DG$54,$B33),0))*500,0)-IF(AND('計算A'!DE$117=1,YC33&gt;0),300,0)-IF(AND($L33=1,'計算A'!DF$117=1,HE33=0),300,0))),1000000))</f>
        <v/>
      </c>
      <c r="SI33">
        <f>IF($B33=0,1000000,IF(INDEX('計算A'!$D$60:$EQ$104,$B33,108)*HE33=1,IF(AND($E33=2,MT33=0),1000000,IF($I33&gt;0,IF(5=$J33,IF(OR(AND(108=$I33+1,OR($K33&lt;&gt;'計算A'!$A$3,'計算A'!$A$4=0)),AND(108=$I33-1,OR(12&lt;&gt;'計算A'!$A$3,'計算A'!$A$4=0))),0,IF(12=$K33,200000,ABS(12-$K33)*100)),100000+ABS(5-$J33)*1000+120)+'計算A'!DG$5*50+IF(AND($E33=1,MT33=0),25,0),INDEX('計算A'!DG$110:DG$114,$F33+1)+IF(AND($E33=1,MT33=0),1000,0)+IF($H33=1,(IF('計算A'!DF$117=1,INDEX('計算A'!DF$10:DF$54,$B33),0)+IF('計算A'!DG$117=1,INDEX('計算A'!DH$10:DH$54,$B33),0))*500,0)-IF(AND('計算A'!DF$117=1,YD33&gt;0),300,0)-IF(AND($L33=1,'計算A'!DG$117=1,HF33=0),300,0))),1000000))</f>
        <v/>
      </c>
      <c r="SJ33">
        <f>IF($B33=0,1000000,IF(INDEX('計算A'!$D$60:$EQ$104,$B33,109)*HF33=1,IF(AND($E33=2,MU33=0),1000000,IF($I33&gt;0,IF(5=$J33,IF(OR(AND(109=$I33+1,OR($K33&lt;&gt;'計算A'!$A$3,'計算A'!$A$4=0)),AND(109=$I33-1,OR(13&lt;&gt;'計算A'!$A$3,'計算A'!$A$4=0))),0,IF(13=$K33,200000,ABS(13-$K33)*100)),100000+ABS(5-$J33)*1000+130)+'計算A'!DH$5*50+IF(AND($E33=1,MU33=0),25,0),INDEX('計算A'!DH$110:DH$114,$F33+1)+IF(AND($E33=1,MU33=0),1000,0)+IF($H33=1,(IF('計算A'!DG$117=1,INDEX('計算A'!DG$10:DG$54,$B33),0)+IF('計算A'!DH$117=1,INDEX('計算A'!DI$10:DI$54,$B33),0))*500,0)-IF(AND('計算A'!DG$117=1,YE33&gt;0),300,0)-IF(AND($L33=1,'計算A'!DH$117=1,HG33=0),300,0))),1000000))</f>
        <v/>
      </c>
      <c r="SK33">
        <f>IF($B33=0,1000000,IF(INDEX('計算A'!$D$60:$EQ$104,$B33,110)*HG33=1,IF(AND($E33=2,MV33=0),1000000,IF($I33&gt;0,IF(5=$J33,IF(OR(AND(110=$I33+1,OR($K33&lt;&gt;'計算A'!$A$3,'計算A'!$A$4=0)),AND(110=$I33-1,OR(14&lt;&gt;'計算A'!$A$3,'計算A'!$A$4=0))),0,IF(14=$K33,200000,ABS(14-$K33)*100)),100000+ABS(5-$J33)*1000+140)+'計算A'!DI$5*50+IF(AND($E33=1,MV33=0),25,0),INDEX('計算A'!DI$110:DI$114,$F33+1)+IF(AND($E33=1,MV33=0),1000,0)+IF($H33=1,(IF('計算A'!DH$117=1,INDEX('計算A'!DH$10:DH$54,$B33),0)+IF('計算A'!DI$117=1,INDEX('計算A'!DJ$10:DJ$54,$B33),0))*500,0)-IF(AND('計算A'!DH$117=1,YF33&gt;0),300,0)-IF(AND($L33=1,'計算A'!DI$117=1,HH33=0),300,0))),1000000))</f>
        <v/>
      </c>
      <c r="SL33">
        <f>IF($B33=0,1000000,IF(INDEX('計算A'!$D$60:$EQ$104,$B33,111)*HH33=1,IF(AND($E33=2,MW33=0),1000000,IF($I33&gt;0,IF(5=$J33,IF(OR(AND(111=$I33+1,OR($K33&lt;&gt;'計算A'!$A$3,'計算A'!$A$4=0)),AND(111=$I33-1,OR(15&lt;&gt;'計算A'!$A$3,'計算A'!$A$4=0))),0,IF(15=$K33,200000,ABS(15-$K33)*100)),100000+ABS(5-$J33)*1000+150)+'計算A'!DJ$5*50+IF(AND($E33=1,MW33=0),25,0),INDEX('計算A'!DJ$110:DJ$114,$F33+1)+IF(AND($E33=1,MW33=0),1000,0)+IF($H33=1,(IF('計算A'!DI$117=1,INDEX('計算A'!DI$10:DI$54,$B33),0)+IF('計算A'!DJ$117=1,INDEX('計算A'!DK$10:DK$54,$B33),0))*500,0)-IF(AND('計算A'!DI$117=1,YG33&gt;0),300,0)-IF(AND($L33=1,'計算A'!DJ$117=1,HI33=0),300,0))),1000000))</f>
        <v/>
      </c>
      <c r="SM33">
        <f>IF($B33=0,1000000,IF(INDEX('計算A'!$D$60:$EQ$104,$B33,112)*HI33=1,IF(AND($E33=2,MX33=0),1000000,IF($I33&gt;0,IF(5=$J33,IF(OR(AND(112=$I33+1,OR($K33&lt;&gt;'計算A'!$A$3,'計算A'!$A$4=0)),AND(112=$I33-1,OR(16&lt;&gt;'計算A'!$A$3,'計算A'!$A$4=0))),0,IF(16=$K33,200000,ABS(16-$K33)*100)),100000+ABS(5-$J33)*1000+160)+'計算A'!DK$5*50+IF(AND($E33=1,MX33=0),25,0),INDEX('計算A'!DK$110:DK$114,$F33+1)+IF(AND($E33=1,MX33=0),1000,0)+IF($H33=1,(IF('計算A'!DJ$117=1,INDEX('計算A'!DJ$10:DJ$54,$B33),0)+IF('計算A'!DK$117=1,INDEX('計算A'!DL$10:DL$54,$B33),0))*500,0)-IF(AND('計算A'!DJ$117=1,YH33&gt;0),300,0)-IF(AND($L33=1,'計算A'!DK$117=1,HJ33=0),300,0))),1000000))</f>
        <v/>
      </c>
      <c r="SN33">
        <f>IF($B33=0,1000000,IF(INDEX('計算A'!$D$60:$EQ$104,$B33,113)*HJ33=1,IF(AND($E33=2,MY33=0),1000000,IF($I33&gt;0,IF(5=$J33,IF(OR(AND(113=$I33+1,OR($K33&lt;&gt;'計算A'!$A$3,'計算A'!$A$4=0)),AND(113=$I33-1,OR(17&lt;&gt;'計算A'!$A$3,'計算A'!$A$4=0))),0,IF(17=$K33,200000,ABS(17-$K33)*100)),100000+ABS(5-$J33)*1000+170)+'計算A'!DL$5*50+IF(AND($E33=1,MY33=0),25,0),INDEX('計算A'!DL$110:DL$114,$F33+1)+IF(AND($E33=1,MY33=0),1000,0)+IF($H33=1,(IF('計算A'!DK$117=1,INDEX('計算A'!DK$10:DK$54,$B33),0)+IF('計算A'!DL$117=1,INDEX('計算A'!DM$10:DM$54,$B33),0))*500,0)-IF(AND('計算A'!DK$117=1,YI33&gt;0),300,0)-IF(AND($L33=1,'計算A'!DL$117=1,HK33=0),300,0))),1000000))</f>
        <v/>
      </c>
      <c r="SO33">
        <f>IF($B33=0,1000000,IF(INDEX('計算A'!$D$60:$EQ$104,$B33,114)*HK33=1,IF(AND($E33=2,MZ33=0),1000000,IF($I33&gt;0,IF(5=$J33,IF(OR(AND(114=$I33+1,OR($K33&lt;&gt;'計算A'!$A$3,'計算A'!$A$4=0)),AND(114=$I33-1,OR(18&lt;&gt;'計算A'!$A$3,'計算A'!$A$4=0))),0,IF(18=$K33,200000,ABS(18-$K33)*100)),100000+ABS(5-$J33)*1000+180)+'計算A'!DM$5*50+IF(AND($E33=1,MZ33=0),25,0),INDEX('計算A'!DM$110:DM$114,$F33+1)+IF(AND($E33=1,MZ33=0),1000,0)+IF($H33=1,(IF('計算A'!DL$117=1,INDEX('計算A'!DL$10:DL$54,$B33),0)+IF('計算A'!DM$117=1,INDEX('計算A'!DN$10:DN$54,$B33),0))*500,0)-IF(AND('計算A'!DL$117=1,YJ33&gt;0),300,0)-IF(AND($L33=1,'計算A'!DM$117=1,HL33=0),300,0))),1000000))</f>
        <v/>
      </c>
      <c r="SP33">
        <f>IF($B33=0,1000000,IF(INDEX('計算A'!$D$60:$EQ$104,$B33,115)*HL33=1,IF(AND($E33=2,NA33=0),1000000,IF($I33&gt;0,IF(5=$J33,IF(OR(AND(115=$I33+1,OR($K33&lt;&gt;'計算A'!$A$3,'計算A'!$A$4=0)),AND(115=$I33-1,OR(19&lt;&gt;'計算A'!$A$3,'計算A'!$A$4=0))),0,IF(19=$K33,200000,ABS(19-$K33)*100)),100000+ABS(5-$J33)*1000+190)+'計算A'!DN$5*50+IF(AND($E33=1,NA33=0),25,0),INDEX('計算A'!DN$110:DN$114,$F33+1)+IF(AND($E33=1,NA33=0),1000,0)+IF($H33=1,(IF('計算A'!DM$117=1,INDEX('計算A'!DM$10:DM$54,$B33),0)+IF('計算A'!DN$117=1,INDEX('計算A'!DO$10:DO$54,$B33),0))*500,0)-IF(AND('計算A'!DM$117=1,YK33&gt;0),300,0)-IF(AND($L33=1,'計算A'!DN$117=1,HM33=0),300,0))),1000000))</f>
        <v/>
      </c>
      <c r="SQ33">
        <f>IF($B33=0,1000000,IF(INDEX('計算A'!$D$60:$EQ$104,$B33,116)*HM33=1,IF(AND($E33=2,NB33=0),1000000,IF($I33&gt;0,IF(5=$J33,IF(OR(AND(116=$I33+1,OR($K33&lt;&gt;'計算A'!$A$3,'計算A'!$A$4=0)),AND(116=$I33-1,OR(20&lt;&gt;'計算A'!$A$3,'計算A'!$A$4=0))),0,IF(20=$K33,200000,ABS(20-$K33)*100)),100000+ABS(5-$J33)*1000+200)+'計算A'!DO$5*50+IF(AND($E33=1,NB33=0),25,0),INDEX('計算A'!DO$110:DO$114,$F33+1)+IF(AND($E33=1,NB33=0),1000,0)+IF($H33=1,(IF('計算A'!DN$117=1,INDEX('計算A'!DN$10:DN$54,$B33),0)+IF('計算A'!DO$117=1,INDEX('計算A'!DP$10:DP$54,$B33),0))*500,0)-IF(AND('計算A'!DN$117=1,YL33&gt;0),300,0)-IF(AND($L33=1,'計算A'!DO$117=1,HN33=0),300,0))),1000000))</f>
        <v/>
      </c>
      <c r="SR33">
        <f>IF($B33=0,1000000,IF(INDEX('計算A'!$D$60:$EQ$104,$B33,117)*HN33=1,IF(AND($E33=2,NC33=0),1000000,IF($I33&gt;0,IF(5=$J33,IF(OR(AND(117=$I33+1,OR($K33&lt;&gt;'計算A'!$A$3,'計算A'!$A$4=0)),AND(117=$I33-1,OR(21&lt;&gt;'計算A'!$A$3,'計算A'!$A$4=0))),0,IF(21=$K33,200000,ABS(21-$K33)*100)),100000+ABS(5-$J33)*1000+210)+'計算A'!DP$5*50+IF(AND($E33=1,NC33=0),25,0),INDEX('計算A'!DP$110:DP$114,$F33+1)+IF(AND($E33=1,NC33=0),1000,0)+IF($H33=1,(IF('計算A'!DO$117=1,INDEX('計算A'!DO$10:DO$54,$B33),0)+IF('計算A'!DP$117=1,INDEX('計算A'!DQ$10:DQ$54,$B33),0))*500,0)-IF(AND('計算A'!DO$117=1,YM33&gt;0),300,0)-IF(AND($L33=1,'計算A'!DP$117=1,HO33=0),300,0))),1000000))</f>
        <v/>
      </c>
      <c r="SS33">
        <f>IF($B33=0,1000000,IF(INDEX('計算A'!$D$60:$EQ$104,$B33,118)*HO33=1,IF(AND($E33=2,ND33=0),1000000,IF($I33&gt;0,IF(5=$J33,IF(OR(AND(118=$I33+1,OR($K33&lt;&gt;'計算A'!$A$3,'計算A'!$A$4=0)),AND(118=$I33-1,OR(22&lt;&gt;'計算A'!$A$3,'計算A'!$A$4=0))),0,IF(22=$K33,200000,ABS(22-$K33)*100)),100000+ABS(5-$J33)*1000+220)+'計算A'!DQ$5*50+IF(AND($E33=1,ND33=0),25,0),INDEX('計算A'!DQ$110:DQ$114,$F33+1)+IF(AND($E33=1,ND33=0),1000,0)+IF($H33=1,(IF('計算A'!DP$117=1,INDEX('計算A'!DP$10:DP$54,$B33),0)+IF('計算A'!DQ$117=1,INDEX('計算A'!DR$10:DR$54,$B33),0))*500,0)-IF(AND('計算A'!DP$117=1,YN33&gt;0),300,0)-IF(AND($L33=1,'計算A'!DQ$117=1,HP33=0),300,0))),1000000))</f>
        <v/>
      </c>
      <c r="ST33">
        <f>IF($B33=0,1000000,IF(INDEX('計算A'!$D$60:$EQ$104,$B33,119)*HP33=1,IF(AND($E33=2,NE33=0),1000000,IF($I33&gt;0,IF(5=$J33,IF(OR(AND(119=$I33+1,OR($K33&lt;&gt;'計算A'!$A$3,'計算A'!$A$4=0)),AND(119=$I33-1,OR(23&lt;&gt;'計算A'!$A$3,'計算A'!$A$4=0))),0,IF(23=$K33,200000,ABS(23-$K33)*100)),100000+ABS(5-$J33)*1000+230)+'計算A'!DR$5*50+IF(AND($E33=1,NE33=0),25,0),INDEX('計算A'!DR$110:DR$114,$F33+1)+IF(AND($E33=1,NE33=0),1000,0)+IF($H33=1,(IF('計算A'!DQ$117=1,INDEX('計算A'!DQ$10:DQ$54,$B33),0)+IF('計算A'!DR$117=1,INDEX('計算A'!DS$10:DS$54,$B33),0))*500,0)-IF(AND('計算A'!DQ$117=1,YO33&gt;0),300,0)-IF(AND($L33=1,'計算A'!DR$117=1,HQ33=0),300,0))),1000000))</f>
        <v/>
      </c>
      <c r="SU33">
        <f>IF($B33=0,1000000,IF(INDEX('計算A'!$D$60:$EQ$104,$B33,120)*HQ33=1,IF(AND($E33=2,NF33=0),1000000,IF($I33&gt;0,IF(5=$J33,IF(OR(AND(120=$I33+1,OR($K33&lt;&gt;'計算A'!$A$3,'計算A'!$A$4=0)),AND(120=$I33-1,OR(24&lt;&gt;'計算A'!$A$3,'計算A'!$A$4=0))),0,IF(24=$K33,200000,ABS(24-$K33)*100)),100000+ABS(5-$J33)*1000+240)+'計算A'!DS$5*50+IF(AND($E33=1,NF33=0),25,0),INDEX('計算A'!DS$110:DS$114,$F33+1)+IF(AND($E33=1,NF33=0),1000,0)+IF($H33=1,(IF('計算A'!DR$117=1,INDEX('計算A'!DR$10:DR$54,$B33),0))*500,0)-IF(AND('計算A'!DR$117=1,YP33&gt;0),300,0))),1000000))</f>
        <v/>
      </c>
      <c r="SV33">
        <f>IF($B33=0,1000000,IF(INDEX('計算A'!$D$60:$EQ$104,$B33,121)*HR33=1,IF(AND($E33=2,NG33=0),1000000,IF($I33&gt;0,IF(6=$J33,IF(OR(AND(121=$I33+1,OR($K33&lt;&gt;'計算A'!$A$3,'計算A'!$A$4=0)),AND(121=$I33-1,OR(1&lt;&gt;'計算A'!$A$3,'計算A'!$A$4=0))),0,IF(1=$K33,200000,ABS(1-$K33)*100)),100000+ABS(6-$J33)*1000+10)+'計算A'!DT$5*50+IF(AND($E33=1,NG33=0),25,0),INDEX('計算A'!DT$110:DT$114,$F33+1)+IF(AND($E33=1,NG33=0),1000,0)+IF($H33=1,(IF('計算A'!DT$117=1,INDEX('計算A'!DU$10:DU$54,$B33),0))*500,0)-IF(AND($L33=1,'計算A'!DT$117=1,HS33=0),300,0))),1000000))</f>
        <v/>
      </c>
      <c r="SW33">
        <f>IF($B33=0,1000000,IF(INDEX('計算A'!$D$60:$EQ$104,$B33,122)*HS33=1,IF(AND($E33=2,NH33=0),1000000,IF($I33&gt;0,IF(6=$J33,IF(OR(AND(122=$I33+1,OR($K33&lt;&gt;'計算A'!$A$3,'計算A'!$A$4=0)),AND(122=$I33-1,OR(2&lt;&gt;'計算A'!$A$3,'計算A'!$A$4=0))),0,IF(2=$K33,200000,ABS(2-$K33)*100)),100000+ABS(6-$J33)*1000+20)+'計算A'!DU$5*50+IF(AND($E33=1,NH33=0),25,0),INDEX('計算A'!DU$110:DU$114,$F33+1)+IF(AND($E33=1,NH33=0),1000,0)+IF($H33=1,(IF('計算A'!DT$117=1,INDEX('計算A'!DT$10:DT$54,$B33),0)+IF('計算A'!DU$117=1,INDEX('計算A'!DV$10:DV$54,$B33),0))*500,0)-IF(AND('計算A'!DT$117=1,YR33&gt;0),300,0)-IF(AND($L33=1,'計算A'!DU$117=1,HT33=0),300,0))),1000000))</f>
        <v/>
      </c>
      <c r="SX33">
        <f>IF($B33=0,1000000,IF(INDEX('計算A'!$D$60:$EQ$104,$B33,123)*HT33=1,IF(AND($E33=2,NI33=0),1000000,IF($I33&gt;0,IF(6=$J33,IF(OR(AND(123=$I33+1,OR($K33&lt;&gt;'計算A'!$A$3,'計算A'!$A$4=0)),AND(123=$I33-1,OR(3&lt;&gt;'計算A'!$A$3,'計算A'!$A$4=0))),0,IF(3=$K33,200000,ABS(3-$K33)*100)),100000+ABS(6-$J33)*1000+30)+'計算A'!DV$5*50+IF(AND($E33=1,NI33=0),25,0),INDEX('計算A'!DV$110:DV$114,$F33+1)+IF(AND($E33=1,NI33=0),1000,0)+IF($H33=1,(IF('計算A'!DU$117=1,INDEX('計算A'!DU$10:DU$54,$B33),0)+IF('計算A'!DV$117=1,INDEX('計算A'!DW$10:DW$54,$B33),0))*500,0)-IF(AND('計算A'!DU$117=1,YS33&gt;0),300,0)-IF(AND($L33=1,'計算A'!DV$117=1,HU33=0),300,0))),1000000))</f>
        <v/>
      </c>
      <c r="SY33">
        <f>IF($B33=0,1000000,IF(INDEX('計算A'!$D$60:$EQ$104,$B33,124)*HU33=1,IF(AND($E33=2,NJ33=0),1000000,IF($I33&gt;0,IF(6=$J33,IF(OR(AND(124=$I33+1,OR($K33&lt;&gt;'計算A'!$A$3,'計算A'!$A$4=0)),AND(124=$I33-1,OR(4&lt;&gt;'計算A'!$A$3,'計算A'!$A$4=0))),0,IF(4=$K33,200000,ABS(4-$K33)*100)),100000+ABS(6-$J33)*1000+40)+'計算A'!DW$5*50+IF(AND($E33=1,NJ33=0),25,0),INDEX('計算A'!DW$110:DW$114,$F33+1)+IF(AND($E33=1,NJ33=0),1000,0)+IF($H33=1,(IF('計算A'!DV$117=1,INDEX('計算A'!DV$10:DV$54,$B33),0)+IF('計算A'!DW$117=1,INDEX('計算A'!DX$10:DX$54,$B33),0))*500,0)-IF(AND('計算A'!DV$117=1,YT33&gt;0),300,0)-IF(AND($L33=1,'計算A'!DW$117=1,HV33=0),300,0))),1000000))</f>
        <v/>
      </c>
      <c r="SZ33">
        <f>IF($B33=0,1000000,IF(INDEX('計算A'!$D$60:$EQ$104,$B33,125)*HV33=1,IF(AND($E33=2,NK33=0),1000000,IF($I33&gt;0,IF(6=$J33,IF(OR(AND(125=$I33+1,OR($K33&lt;&gt;'計算A'!$A$3,'計算A'!$A$4=0)),AND(125=$I33-1,OR(5&lt;&gt;'計算A'!$A$3,'計算A'!$A$4=0))),0,IF(5=$K33,200000,ABS(5-$K33)*100)),100000+ABS(6-$J33)*1000+50)+'計算A'!DX$5*50+IF(AND($E33=1,NK33=0),25,0),INDEX('計算A'!DX$110:DX$114,$F33+1)+IF(AND($E33=1,NK33=0),1000,0)+IF($H33=1,(IF('計算A'!DW$117=1,INDEX('計算A'!DW$10:DW$54,$B33),0)+IF('計算A'!DX$117=1,INDEX('計算A'!DY$10:DY$54,$B33),0))*500,0)-IF(AND('計算A'!DW$117=1,YU33&gt;0),300,0)-IF(AND($L33=1,'計算A'!DX$117=1,HW33=0),300,0))),1000000))</f>
        <v/>
      </c>
      <c r="TA33">
        <f>IF($B33=0,1000000,IF(INDEX('計算A'!$D$60:$EQ$104,$B33,126)*HW33=1,IF(AND($E33=2,NL33=0),1000000,IF($I33&gt;0,IF(6=$J33,IF(OR(AND(126=$I33+1,OR($K33&lt;&gt;'計算A'!$A$3,'計算A'!$A$4=0)),AND(126=$I33-1,OR(6&lt;&gt;'計算A'!$A$3,'計算A'!$A$4=0))),0,IF(6=$K33,200000,ABS(6-$K33)*100)),100000+ABS(6-$J33)*1000+60)+'計算A'!DY$5*50+IF(AND($E33=1,NL33=0),25,0),INDEX('計算A'!DY$110:DY$114,$F33+1)+IF(AND($E33=1,NL33=0),1000,0)+IF($H33=1,(IF('計算A'!DX$117=1,INDEX('計算A'!DX$10:DX$54,$B33),0)+IF('計算A'!DY$117=1,INDEX('計算A'!DZ$10:DZ$54,$B33),0))*500,0)-IF(AND('計算A'!DX$117=1,YV33&gt;0),300,0)-IF(AND($L33=1,'計算A'!DY$117=1,HX33=0),300,0))),1000000))</f>
        <v/>
      </c>
      <c r="TB33">
        <f>IF($B33=0,1000000,IF(INDEX('計算A'!$D$60:$EQ$104,$B33,127)*HX33=1,IF(AND($E33=2,NM33=0),1000000,IF($I33&gt;0,IF(6=$J33,IF(OR(AND(127=$I33+1,OR($K33&lt;&gt;'計算A'!$A$3,'計算A'!$A$4=0)),AND(127=$I33-1,OR(7&lt;&gt;'計算A'!$A$3,'計算A'!$A$4=0))),0,IF(7=$K33,200000,ABS(7-$K33)*100)),100000+ABS(6-$J33)*1000+70)+'計算A'!DZ$5*50+IF(AND($E33=1,NM33=0),25,0),INDEX('計算A'!DZ$110:DZ$114,$F33+1)+IF(AND($E33=1,NM33=0),1000,0)+IF($H33=1,(IF('計算A'!DY$117=1,INDEX('計算A'!DY$10:DY$54,$B33),0)+IF('計算A'!DZ$117=1,INDEX('計算A'!EA$10:EA$54,$B33),0))*500,0)-IF(AND('計算A'!DY$117=1,YW33&gt;0),300,0)-IF(AND($L33=1,'計算A'!DZ$117=1,HY33=0),300,0))),1000000))</f>
        <v/>
      </c>
      <c r="TC33">
        <f>IF($B33=0,1000000,IF(INDEX('計算A'!$D$60:$EQ$104,$B33,128)*HY33=1,IF(AND($E33=2,NN33=0),1000000,IF($I33&gt;0,IF(6=$J33,IF(OR(AND(128=$I33+1,OR($K33&lt;&gt;'計算A'!$A$3,'計算A'!$A$4=0)),AND(128=$I33-1,OR(8&lt;&gt;'計算A'!$A$3,'計算A'!$A$4=0))),0,IF(8=$K33,200000,ABS(8-$K33)*100)),100000+ABS(6-$J33)*1000+80)+'計算A'!EA$5*50+IF(AND($E33=1,NN33=0),25,0),INDEX('計算A'!EA$110:EA$114,$F33+1)+IF(AND($E33=1,NN33=0),1000,0)+IF($H33=1,(IF('計算A'!DZ$117=1,INDEX('計算A'!DZ$10:DZ$54,$B33),0)+IF('計算A'!EA$117=1,INDEX('計算A'!EB$10:EB$54,$B33),0))*500,0)-IF(AND('計算A'!DZ$117=1,YX33&gt;0),300,0)-IF(AND($L33=1,'計算A'!EA$117=1,HZ33=0),300,0))),1000000))</f>
        <v/>
      </c>
      <c r="TD33">
        <f>IF($B33=0,1000000,IF(INDEX('計算A'!$D$60:$EQ$104,$B33,129)*HZ33=1,IF(AND($E33=2,NO33=0),1000000,IF($I33&gt;0,IF(6=$J33,IF(OR(AND(129=$I33+1,OR($K33&lt;&gt;'計算A'!$A$3,'計算A'!$A$4=0)),AND(129=$I33-1,OR(9&lt;&gt;'計算A'!$A$3,'計算A'!$A$4=0))),0,IF(9=$K33,200000,ABS(9-$K33)*100)),100000+ABS(6-$J33)*1000+90)+'計算A'!EB$5*50+IF(AND($E33=1,NO33=0),25,0),INDEX('計算A'!EB$110:EB$114,$F33+1)+IF(AND($E33=1,NO33=0),1000,0)+IF($H33=1,(IF('計算A'!EA$117=1,INDEX('計算A'!EA$10:EA$54,$B33),0)+IF('計算A'!EB$117=1,INDEX('計算A'!EC$10:EC$54,$B33),0))*500,0)-IF(AND('計算A'!EA$117=1,YY33&gt;0),300,0)-IF(AND($L33=1,'計算A'!EB$117=1,IA33=0),300,0))),1000000))</f>
        <v/>
      </c>
      <c r="TE33">
        <f>IF($B33=0,1000000,IF(INDEX('計算A'!$D$60:$EQ$104,$B33,130)*IA33=1,IF(AND($E33=2,NP33=0),1000000,IF($I33&gt;0,IF(6=$J33,IF(OR(AND(130=$I33+1,OR($K33&lt;&gt;'計算A'!$A$3,'計算A'!$A$4=0)),AND(130=$I33-1,OR(10&lt;&gt;'計算A'!$A$3,'計算A'!$A$4=0))),0,IF(10=$K33,200000,ABS(10-$K33)*100)),100000+ABS(6-$J33)*1000+100)+'計算A'!EC$5*50+IF(AND($E33=1,NP33=0),25,0),INDEX('計算A'!EC$110:EC$114,$F33+1)+IF(AND($E33=1,NP33=0),1000,0)+IF($H33=1,(IF('計算A'!EB$117=1,INDEX('計算A'!EB$10:EB$54,$B33),0)+IF('計算A'!EC$117=1,INDEX('計算A'!ED$10:ED$54,$B33),0))*500,0)-IF(AND('計算A'!EB$117=1,YZ33&gt;0),300,0)-IF(AND($L33=1,'計算A'!EC$117=1,IB33=0),300,0))),1000000))</f>
        <v/>
      </c>
      <c r="TF33">
        <f>IF($B33=0,1000000,IF(INDEX('計算A'!$D$60:$EQ$104,$B33,131)*IB33=1,IF(AND($E33=2,NQ33=0),1000000,IF($I33&gt;0,IF(6=$J33,IF(OR(AND(131=$I33+1,OR($K33&lt;&gt;'計算A'!$A$3,'計算A'!$A$4=0)),AND(131=$I33-1,OR(11&lt;&gt;'計算A'!$A$3,'計算A'!$A$4=0))),0,IF(11=$K33,200000,ABS(11-$K33)*100)),100000+ABS(6-$J33)*1000+110)+'計算A'!ED$5*50+IF(AND($E33=1,NQ33=0),25,0),INDEX('計算A'!ED$110:ED$114,$F33+1)+IF(AND($E33=1,NQ33=0),1000,0)+IF($H33=1,(IF('計算A'!EC$117=1,INDEX('計算A'!EC$10:EC$54,$B33),0)+IF('計算A'!ED$117=1,INDEX('計算A'!EE$10:EE$54,$B33),0))*500,0)-IF(AND('計算A'!EC$117=1,ZA33&gt;0),300,0)-IF(AND($L33=1,'計算A'!ED$117=1,IC33=0),300,0))),1000000))</f>
        <v/>
      </c>
      <c r="TG33">
        <f>IF($B33=0,1000000,IF(INDEX('計算A'!$D$60:$EQ$104,$B33,132)*IC33=1,IF(AND($E33=2,NR33=0),1000000,IF($I33&gt;0,IF(6=$J33,IF(OR(AND(132=$I33+1,OR($K33&lt;&gt;'計算A'!$A$3,'計算A'!$A$4=0)),AND(132=$I33-1,OR(12&lt;&gt;'計算A'!$A$3,'計算A'!$A$4=0))),0,IF(12=$K33,200000,ABS(12-$K33)*100)),100000+ABS(6-$J33)*1000+120)+'計算A'!EE$5*50+IF(AND($E33=1,NR33=0),25,0),INDEX('計算A'!EE$110:EE$114,$F33+1)+IF(AND($E33=1,NR33=0),1000,0)+IF($H33=1,(IF('計算A'!ED$117=1,INDEX('計算A'!ED$10:ED$54,$B33),0)+IF('計算A'!EE$117=1,INDEX('計算A'!EF$10:EF$54,$B33),0))*500,0)-IF(AND('計算A'!ED$117=1,ZB33&gt;0),300,0)-IF(AND($L33=1,'計算A'!EE$117=1,ID33=0),300,0))),1000000))</f>
        <v/>
      </c>
      <c r="TH33">
        <f>IF($B33=0,1000000,IF(INDEX('計算A'!$D$60:$EQ$104,$B33,133)*ID33=1,IF(AND($E33=2,NS33=0),1000000,IF($I33&gt;0,IF(6=$J33,IF(OR(AND(133=$I33+1,OR($K33&lt;&gt;'計算A'!$A$3,'計算A'!$A$4=0)),AND(133=$I33-1,OR(13&lt;&gt;'計算A'!$A$3,'計算A'!$A$4=0))),0,IF(13=$K33,200000,ABS(13-$K33)*100)),100000+ABS(6-$J33)*1000+130)+'計算A'!EF$5*50+IF(AND($E33=1,NS33=0),25,0),INDEX('計算A'!EF$110:EF$114,$F33+1)+IF(AND($E33=1,NS33=0),1000,0)+IF($H33=1,(IF('計算A'!EE$117=1,INDEX('計算A'!EE$10:EE$54,$B33),0)+IF('計算A'!EF$117=1,INDEX('計算A'!EG$10:EG$54,$B33),0))*500,0)-IF(AND('計算A'!EE$117=1,ZC33&gt;0),300,0)-IF(AND($L33=1,'計算A'!EF$117=1,IE33=0),300,0))),1000000))</f>
        <v/>
      </c>
      <c r="TI33">
        <f>IF($B33=0,1000000,IF(INDEX('計算A'!$D$60:$EQ$104,$B33,134)*IE33=1,IF(AND($E33=2,NT33=0),1000000,IF($I33&gt;0,IF(6=$J33,IF(OR(AND(134=$I33+1,OR($K33&lt;&gt;'計算A'!$A$3,'計算A'!$A$4=0)),AND(134=$I33-1,OR(14&lt;&gt;'計算A'!$A$3,'計算A'!$A$4=0))),0,IF(14=$K33,200000,ABS(14-$K33)*100)),100000+ABS(6-$J33)*1000+140)+'計算A'!EG$5*50+IF(AND($E33=1,NT33=0),25,0),INDEX('計算A'!EG$110:EG$114,$F33+1)+IF(AND($E33=1,NT33=0),1000,0)+IF($H33=1,(IF('計算A'!EF$117=1,INDEX('計算A'!EF$10:EF$54,$B33),0)+IF('計算A'!EG$117=1,INDEX('計算A'!EH$10:EH$54,$B33),0))*500,0)-IF(AND('計算A'!EF$117=1,ZD33&gt;0),300,0)-IF(AND($L33=1,'計算A'!EG$117=1,IF33=0),300,0))),1000000))</f>
        <v/>
      </c>
      <c r="TJ33">
        <f>IF($B33=0,1000000,IF(INDEX('計算A'!$D$60:$EQ$104,$B33,135)*IF33=1,IF(AND($E33=2,NU33=0),1000000,IF($I33&gt;0,IF(6=$J33,IF(OR(AND(135=$I33+1,OR($K33&lt;&gt;'計算A'!$A$3,'計算A'!$A$4=0)),AND(135=$I33-1,OR(15&lt;&gt;'計算A'!$A$3,'計算A'!$A$4=0))),0,IF(15=$K33,200000,ABS(15-$K33)*100)),100000+ABS(6-$J33)*1000+150)+'計算A'!EH$5*50+IF(AND($E33=1,NU33=0),25,0),INDEX('計算A'!EH$110:EH$114,$F33+1)+IF(AND($E33=1,NU33=0),1000,0)+IF($H33=1,(IF('計算A'!EG$117=1,INDEX('計算A'!EG$10:EG$54,$B33),0)+IF('計算A'!EH$117=1,INDEX('計算A'!EI$10:EI$54,$B33),0))*500,0)-IF(AND('計算A'!EG$117=1,ZE33&gt;0),300,0)-IF(AND($L33=1,'計算A'!EH$117=1,IG33=0),300,0))),1000000))</f>
        <v/>
      </c>
      <c r="TK33">
        <f>IF($B33=0,1000000,IF(INDEX('計算A'!$D$60:$EQ$104,$B33,136)*IG33=1,IF(AND($E33=2,NV33=0),1000000,IF($I33&gt;0,IF(6=$J33,IF(OR(AND(136=$I33+1,OR($K33&lt;&gt;'計算A'!$A$3,'計算A'!$A$4=0)),AND(136=$I33-1,OR(16&lt;&gt;'計算A'!$A$3,'計算A'!$A$4=0))),0,IF(16=$K33,200000,ABS(16-$K33)*100)),100000+ABS(6-$J33)*1000+160)+'計算A'!EI$5*50+IF(AND($E33=1,NV33=0),25,0),INDEX('計算A'!EI$110:EI$114,$F33+1)+IF(AND($E33=1,NV33=0),1000,0)+IF($H33=1,(IF('計算A'!EH$117=1,INDEX('計算A'!EH$10:EH$54,$B33),0)+IF('計算A'!EI$117=1,INDEX('計算A'!EJ$10:EJ$54,$B33),0))*500,0)-IF(AND('計算A'!EH$117=1,ZF33&gt;0),300,0)-IF(AND($L33=1,'計算A'!EI$117=1,IH33=0),300,0))),1000000))</f>
        <v/>
      </c>
      <c r="TL33">
        <f>IF($B33=0,1000000,IF(INDEX('計算A'!$D$60:$EQ$104,$B33,137)*IH33=1,IF(AND($E33=2,NW33=0),1000000,IF($I33&gt;0,IF(6=$J33,IF(OR(AND(137=$I33+1,OR($K33&lt;&gt;'計算A'!$A$3,'計算A'!$A$4=0)),AND(137=$I33-1,OR(17&lt;&gt;'計算A'!$A$3,'計算A'!$A$4=0))),0,IF(17=$K33,200000,ABS(17-$K33)*100)),100000+ABS(6-$J33)*1000+170)+'計算A'!EJ$5*50+IF(AND($E33=1,NW33=0),25,0),INDEX('計算A'!EJ$110:EJ$114,$F33+1)+IF(AND($E33=1,NW33=0),1000,0)+IF($H33=1,(IF('計算A'!EI$117=1,INDEX('計算A'!EI$10:EI$54,$B33),0)+IF('計算A'!EJ$117=1,INDEX('計算A'!EK$10:EK$54,$B33),0))*500,0)-IF(AND('計算A'!EI$117=1,ZG33&gt;0),300,0)-IF(AND($L33=1,'計算A'!EJ$117=1,II33=0),300,0))),1000000))</f>
        <v/>
      </c>
      <c r="TM33">
        <f>IF($B33=0,1000000,IF(INDEX('計算A'!$D$60:$EQ$104,$B33,138)*II33=1,IF(AND($E33=2,NX33=0),1000000,IF($I33&gt;0,IF(6=$J33,IF(OR(AND(138=$I33+1,OR($K33&lt;&gt;'計算A'!$A$3,'計算A'!$A$4=0)),AND(138=$I33-1,OR(18&lt;&gt;'計算A'!$A$3,'計算A'!$A$4=0))),0,IF(18=$K33,200000,ABS(18-$K33)*100)),100000+ABS(6-$J33)*1000+180)+'計算A'!EK$5*50+IF(AND($E33=1,NX33=0),25,0),INDEX('計算A'!EK$110:EK$114,$F33+1)+IF(AND($E33=1,NX33=0),1000,0)+IF($H33=1,(IF('計算A'!EJ$117=1,INDEX('計算A'!EJ$10:EJ$54,$B33),0)+IF('計算A'!EK$117=1,INDEX('計算A'!EL$10:EL$54,$B33),0))*500,0)-IF(AND('計算A'!EJ$117=1,ZH33&gt;0),300,0)-IF(AND($L33=1,'計算A'!EK$117=1,IJ33=0),300,0))),1000000))</f>
        <v/>
      </c>
      <c r="TN33">
        <f>IF($B33=0,1000000,IF(INDEX('計算A'!$D$60:$EQ$104,$B33,139)*IJ33=1,IF(AND($E33=2,NY33=0),1000000,IF($I33&gt;0,IF(6=$J33,IF(OR(AND(139=$I33+1,OR($K33&lt;&gt;'計算A'!$A$3,'計算A'!$A$4=0)),AND(139=$I33-1,OR(19&lt;&gt;'計算A'!$A$3,'計算A'!$A$4=0))),0,IF(19=$K33,200000,ABS(19-$K33)*100)),100000+ABS(6-$J33)*1000+190)+'計算A'!EL$5*50+IF(AND($E33=1,NY33=0),25,0),INDEX('計算A'!EL$110:EL$114,$F33+1)+IF(AND($E33=1,NY33=0),1000,0)+IF($H33=1,(IF('計算A'!EK$117=1,INDEX('計算A'!EK$10:EK$54,$B33),0)+IF('計算A'!EL$117=1,INDEX('計算A'!EM$10:EM$54,$B33),0))*500,0)-IF(AND('計算A'!EK$117=1,ZI33&gt;0),300,0)-IF(AND($L33=1,'計算A'!EL$117=1,IK33=0),300,0))),1000000))</f>
        <v/>
      </c>
      <c r="TO33">
        <f>IF($B33=0,1000000,IF(INDEX('計算A'!$D$60:$EQ$104,$B33,140)*IK33=1,IF(AND($E33=2,NZ33=0),1000000,IF($I33&gt;0,IF(6=$J33,IF(OR(AND(140=$I33+1,OR($K33&lt;&gt;'計算A'!$A$3,'計算A'!$A$4=0)),AND(140=$I33-1,OR(20&lt;&gt;'計算A'!$A$3,'計算A'!$A$4=0))),0,IF(20=$K33,200000,ABS(20-$K33)*100)),100000+ABS(6-$J33)*1000+200)+'計算A'!EM$5*50+IF(AND($E33=1,NZ33=0),25,0),INDEX('計算A'!EM$110:EM$114,$F33+1)+IF(AND($E33=1,NZ33=0),1000,0)+IF($H33=1,(IF('計算A'!EL$117=1,INDEX('計算A'!EL$10:EL$54,$B33),0)+IF('計算A'!EM$117=1,INDEX('計算A'!EN$10:EN$54,$B33),0))*500,0)-IF(AND('計算A'!EL$117=1,ZJ33&gt;0),300,0)-IF(AND($L33=1,'計算A'!EM$117=1,IL33=0),300,0))),1000000))</f>
        <v/>
      </c>
      <c r="TP33">
        <f>IF($B33=0,1000000,IF(INDEX('計算A'!$D$60:$EQ$104,$B33,141)*IL33=1,IF(AND($E33=2,OA33=0),1000000,IF($I33&gt;0,IF(6=$J33,IF(OR(AND(141=$I33+1,OR($K33&lt;&gt;'計算A'!$A$3,'計算A'!$A$4=0)),AND(141=$I33-1,OR(21&lt;&gt;'計算A'!$A$3,'計算A'!$A$4=0))),0,IF(21=$K33,200000,ABS(21-$K33)*100)),100000+ABS(6-$J33)*1000+210)+'計算A'!EN$5*50+IF(AND($E33=1,OA33=0),25,0),INDEX('計算A'!EN$110:EN$114,$F33+1)+IF(AND($E33=1,OA33=0),1000,0)+IF($H33=1,(IF('計算A'!EM$117=1,INDEX('計算A'!EM$10:EM$54,$B33),0)+IF('計算A'!EN$117=1,INDEX('計算A'!EO$10:EO$54,$B33),0))*500,0)-IF(AND('計算A'!EM$117=1,ZK33&gt;0),300,0)-IF(AND($L33=1,'計算A'!EN$117=1,IM33=0),300,0))),1000000))</f>
        <v/>
      </c>
      <c r="TQ33">
        <f>IF($B33=0,1000000,IF(INDEX('計算A'!$D$60:$EQ$104,$B33,142)*IM33=1,IF(AND($E33=2,OB33=0),1000000,IF($I33&gt;0,IF(6=$J33,IF(OR(AND(142=$I33+1,OR($K33&lt;&gt;'計算A'!$A$3,'計算A'!$A$4=0)),AND(142=$I33-1,OR(22&lt;&gt;'計算A'!$A$3,'計算A'!$A$4=0))),0,IF(22=$K33,200000,ABS(22-$K33)*100)),100000+ABS(6-$J33)*1000+220)+'計算A'!EO$5*50+IF(AND($E33=1,OB33=0),25,0),INDEX('計算A'!EO$110:EO$114,$F33+1)+IF(AND($E33=1,OB33=0),1000,0)+IF($H33=1,(IF('計算A'!EN$117=1,INDEX('計算A'!EN$10:EN$54,$B33),0)+IF('計算A'!EO$117=1,INDEX('計算A'!EP$10:EP$54,$B33),0))*500,0)-IF(AND('計算A'!EN$117=1,ZL33&gt;0),300,0)-IF(AND($L33=1,'計算A'!EO$117=1,IN33=0),300,0))),1000000))</f>
        <v/>
      </c>
      <c r="TR33">
        <f>IF($B33=0,1000000,IF(INDEX('計算A'!$D$60:$EQ$104,$B33,143)*IN33=1,IF(AND($E33=2,OC33=0),1000000,IF($I33&gt;0,IF(6=$J33,IF(OR(AND(143=$I33+1,OR($K33&lt;&gt;'計算A'!$A$3,'計算A'!$A$4=0)),AND(143=$I33-1,OR(23&lt;&gt;'計算A'!$A$3,'計算A'!$A$4=0))),0,IF(23=$K33,200000,ABS(23-$K33)*100)),100000+ABS(6-$J33)*1000+230)+'計算A'!EP$5*50+IF(AND($E33=1,OC33=0),25,0),INDEX('計算A'!EP$110:EP$114,$F33+1)+IF(AND($E33=1,OC33=0),1000,0)+IF($H33=1,(IF('計算A'!EO$117=1,INDEX('計算A'!EO$10:EO$54,$B33),0)+IF('計算A'!EP$117=1,INDEX('計算A'!EQ$10:EQ$54,$B33),0))*500,0)-IF(AND('計算A'!EO$117=1,ZM33&gt;0),300,0)-IF(AND($L33=1,'計算A'!EP$117=1,IO33=0),300,0))),1000000))</f>
        <v/>
      </c>
      <c r="TS33">
        <f>IF($B33=0,1000000,IF(INDEX('計算A'!$D$60:$EQ$104,$B33,144)*IO33=1,IF(AND($E33=2,OD33=0),1000000,IF($I33&gt;0,IF(6=$J33,IF(OR(AND(144=$I33+1,OR($K33&lt;&gt;'計算A'!$A$3,'計算A'!$A$4=0)),AND(144=$I33-1,OR(24&lt;&gt;'計算A'!$A$3,'計算A'!$A$4=0))),0,IF(24=$K33,200000,ABS(24-$K33)*100)),100000+ABS(6-$J33)*1000+240)+'計算A'!EQ$5*50+IF(AND($E33=1,OD33=0),25,0),INDEX('計算A'!EQ$110:EQ$114,$F33+1)+IF(AND($E33=1,OD33=0),1000,0)+IF($H33=1,(IF('計算A'!EP$117=1,INDEX('計算A'!EP$10:EP$54,$B33),0))*500,0)-IF(AND('計算A'!EP$117=1,ZN33&gt;0),300,0))),1000000))</f>
        <v/>
      </c>
      <c r="UB33">
        <f>UB32+IF(AND($C32=1,$L32=1),1,0)</f>
        <v/>
      </c>
      <c r="UC33">
        <f>UC32+IF(AND($C32=2,$L32=1),1,0)</f>
        <v/>
      </c>
      <c r="UD33">
        <f>UD32+IF(AND($C32=3,$L32=1),1,0)</f>
        <v/>
      </c>
      <c r="UE33">
        <f>UE32+IF(AND($C32=4,$L32=1),1,0)</f>
        <v/>
      </c>
      <c r="UF33">
        <f>UF32+IF(AND($C32=5,$L32=1),1,0)</f>
        <v/>
      </c>
      <c r="UG33">
        <f>UG32+IF(AND($C32=6,$L32=1),1,0)</f>
        <v/>
      </c>
      <c r="UH33">
        <f>UH32+IF(AND($C32=7,$L32=1),1,0)</f>
        <v/>
      </c>
      <c r="UI33">
        <f>UI32+IF(AND($C32=8,$L32=1),1,0)</f>
        <v/>
      </c>
      <c r="UJ33">
        <f>UJ32+IF(AND($C32=9,$L32=1),1,0)</f>
        <v/>
      </c>
      <c r="UK33">
        <f>UK32+IF(AND($C32=10,$L32=1),1,0)</f>
        <v/>
      </c>
      <c r="UL33">
        <f>UL32+IF(AND($C32=11,$L32=1),1,0)</f>
        <v/>
      </c>
      <c r="UM33">
        <f>UM32+IF(AND($C32=12,$L32=1),1,0)</f>
        <v/>
      </c>
      <c r="UN33">
        <f>UN32+IF(AND($C32=13,$L32=1),1,0)</f>
        <v/>
      </c>
      <c r="UO33">
        <f>UO32+IF(AND($C32=14,$L32=1),1,0)</f>
        <v/>
      </c>
      <c r="UP33">
        <f>UP32+IF(AND($C32=15,$L32=1),1,0)</f>
        <v/>
      </c>
      <c r="UQ33">
        <f>UQ32+IF(AND($C32=16,$L32=1),1,0)</f>
        <v/>
      </c>
      <c r="UR33">
        <f>UR32+IF(AND($C32=17,$L32=1),1,0)</f>
        <v/>
      </c>
      <c r="US33">
        <f>US32+IF(AND($C32=18,$L32=1),1,0)</f>
        <v/>
      </c>
      <c r="UT33">
        <f>UT32+IF(AND($C32=19,$L32=1),1,0)</f>
        <v/>
      </c>
      <c r="UU33">
        <f>UU32+IF(AND($C32=20,$L32=1),1,0)</f>
        <v/>
      </c>
      <c r="UV33">
        <f>UV32+IF(AND($C32=21,$L32=1),1,0)</f>
        <v/>
      </c>
      <c r="UW33">
        <f>UW32+IF(AND($C32=22,$L32=1),1,0)</f>
        <v/>
      </c>
      <c r="UX33">
        <f>UX32+IF(AND($C32=23,$L32=1),1,0)</f>
        <v/>
      </c>
      <c r="UY33">
        <f>UY32+IF(AND($C32=24,$L32=1),1,0)</f>
        <v/>
      </c>
      <c r="UZ33">
        <f>UZ32+IF(AND($C32=25,$L32=1),1,0)</f>
        <v/>
      </c>
      <c r="VA33">
        <f>VA32+IF(AND($C32=26,$L32=1),1,0)</f>
        <v/>
      </c>
      <c r="VB33">
        <f>VB32+IF(AND($C32=27,$L32=1),1,0)</f>
        <v/>
      </c>
      <c r="VC33">
        <f>VC32+IF(AND($C32=28,$L32=1),1,0)</f>
        <v/>
      </c>
      <c r="VD33">
        <f>VD32+IF(AND($C32=29,$L32=1),1,0)</f>
        <v/>
      </c>
      <c r="VE33">
        <f>VE32+IF(AND($C32=30,$L32=1),1,0)</f>
        <v/>
      </c>
      <c r="VF33">
        <f>VF32+IF(AND($C32=31,$L32=1),1,0)</f>
        <v/>
      </c>
      <c r="VG33">
        <f>VG32+IF(AND($C32=32,$L32=1),1,0)</f>
        <v/>
      </c>
      <c r="VH33">
        <f>VH32+IF(AND($C32=33,$L32=1),1,0)</f>
        <v/>
      </c>
      <c r="VI33">
        <f>VI32+IF(AND($C32=34,$L32=1),1,0)</f>
        <v/>
      </c>
      <c r="VJ33">
        <f>VJ32+IF(AND($C32=35,$L32=1),1,0)</f>
        <v/>
      </c>
      <c r="VK33">
        <f>VK32+IF(AND($C32=36,$L32=1),1,0)</f>
        <v/>
      </c>
      <c r="VL33">
        <f>VL32+IF(AND($C32=37,$L32=1),1,0)</f>
        <v/>
      </c>
      <c r="VM33">
        <f>VM32+IF(AND($C32=38,$L32=1),1,0)</f>
        <v/>
      </c>
      <c r="VN33">
        <f>VN32+IF(AND($C32=39,$L32=1),1,0)</f>
        <v/>
      </c>
      <c r="VO33">
        <f>VO32+IF(AND($C32=40,$L32=1),1,0)</f>
        <v/>
      </c>
      <c r="VP33">
        <f>VP32+IF(AND($C32=41,$L32=1),1,0)</f>
        <v/>
      </c>
      <c r="VQ33">
        <f>VQ32+IF(AND($C32=42,$L32=1),1,0)</f>
        <v/>
      </c>
      <c r="VR33">
        <f>VR32+IF(AND($C32=43,$L32=1),1,0)</f>
        <v/>
      </c>
      <c r="VS33">
        <f>VS32+IF(AND($C32=44,$L32=1),1,0)</f>
        <v/>
      </c>
      <c r="VT33">
        <f>VT32+IF(AND($C32=45,$L32=1),1,0)</f>
        <v/>
      </c>
      <c r="VU33">
        <f>VU32+IF(AND($C32=46,$L32=1),1,0)</f>
        <v/>
      </c>
      <c r="VV33">
        <f>VV32+IF(AND($C32=47,$L32=1),1,0)</f>
        <v/>
      </c>
      <c r="VW33">
        <f>VW32+IF(AND($C32=48,$L32=1),1,0)</f>
        <v/>
      </c>
      <c r="VX33">
        <f>VX32+IF(AND($C32=49,$L32=1),1,0)</f>
        <v/>
      </c>
      <c r="VY33">
        <f>VY32+IF(AND($C32=50,$L32=1),1,0)</f>
        <v/>
      </c>
      <c r="VZ33">
        <f>VZ32+IF(AND($C32=51,$L32=1),1,0)</f>
        <v/>
      </c>
      <c r="WA33">
        <f>WA32+IF(AND($C32=52,$L32=1),1,0)</f>
        <v/>
      </c>
      <c r="WB33">
        <f>WB32+IF(AND($C32=53,$L32=1),1,0)</f>
        <v/>
      </c>
      <c r="WC33">
        <f>WC32+IF(AND($C32=54,$L32=1),1,0)</f>
        <v/>
      </c>
      <c r="WD33">
        <f>WD32+IF(AND($C32=55,$L32=1),1,0)</f>
        <v/>
      </c>
      <c r="WE33">
        <f>WE32+IF(AND($C32=56,$L32=1),1,0)</f>
        <v/>
      </c>
      <c r="WF33">
        <f>WF32+IF(AND($C32=57,$L32=1),1,0)</f>
        <v/>
      </c>
      <c r="WG33">
        <f>WG32+IF(AND($C32=58,$L32=1),1,0)</f>
        <v/>
      </c>
      <c r="WH33">
        <f>WH32+IF(AND($C32=59,$L32=1),1,0)</f>
        <v/>
      </c>
      <c r="WI33">
        <f>WI32+IF(AND($C32=60,$L32=1),1,0)</f>
        <v/>
      </c>
      <c r="WJ33">
        <f>WJ32+IF(AND($C32=61,$L32=1),1,0)</f>
        <v/>
      </c>
      <c r="WK33">
        <f>WK32+IF(AND($C32=62,$L32=1),1,0)</f>
        <v/>
      </c>
      <c r="WL33">
        <f>WL32+IF(AND($C32=63,$L32=1),1,0)</f>
        <v/>
      </c>
      <c r="WM33">
        <f>WM32+IF(AND($C32=64,$L32=1),1,0)</f>
        <v/>
      </c>
      <c r="WN33">
        <f>WN32+IF(AND($C32=65,$L32=1),1,0)</f>
        <v/>
      </c>
      <c r="WO33">
        <f>WO32+IF(AND($C32=66,$L32=1),1,0)</f>
        <v/>
      </c>
      <c r="WP33">
        <f>WP32+IF(AND($C32=67,$L32=1),1,0)</f>
        <v/>
      </c>
      <c r="WQ33">
        <f>WQ32+IF(AND($C32=68,$L32=1),1,0)</f>
        <v/>
      </c>
      <c r="WR33">
        <f>WR32+IF(AND($C32=69,$L32=1),1,0)</f>
        <v/>
      </c>
      <c r="WS33">
        <f>WS32+IF(AND($C32=70,$L32=1),1,0)</f>
        <v/>
      </c>
      <c r="WT33">
        <f>WT32+IF(AND($C32=71,$L32=1),1,0)</f>
        <v/>
      </c>
      <c r="WU33">
        <f>WU32+IF(AND($C32=72,$L32=1),1,0)</f>
        <v/>
      </c>
      <c r="WV33">
        <f>WV32+IF(AND($C32=73,$L32=1),1,0)</f>
        <v/>
      </c>
      <c r="WW33">
        <f>WW32+IF(AND($C32=74,$L32=1),1,0)</f>
        <v/>
      </c>
      <c r="WX33">
        <f>WX32+IF(AND($C32=75,$L32=1),1,0)</f>
        <v/>
      </c>
      <c r="WY33">
        <f>WY32+IF(AND($C32=76,$L32=1),1,0)</f>
        <v/>
      </c>
      <c r="WZ33">
        <f>WZ32+IF(AND($C32=77,$L32=1),1,0)</f>
        <v/>
      </c>
      <c r="XA33">
        <f>XA32+IF(AND($C32=78,$L32=1),1,0)</f>
        <v/>
      </c>
      <c r="XB33">
        <f>XB32+IF(AND($C32=79,$L32=1),1,0)</f>
        <v/>
      </c>
      <c r="XC33">
        <f>XC32+IF(AND($C32=80,$L32=1),1,0)</f>
        <v/>
      </c>
      <c r="XD33">
        <f>XD32+IF(AND($C32=81,$L32=1),1,0)</f>
        <v/>
      </c>
      <c r="XE33">
        <f>XE32+IF(AND($C32=82,$L32=1),1,0)</f>
        <v/>
      </c>
      <c r="XF33">
        <f>XF32+IF(AND($C32=83,$L32=1),1,0)</f>
        <v/>
      </c>
      <c r="XG33">
        <f>XG32+IF(AND($C32=84,$L32=1),1,0)</f>
        <v/>
      </c>
      <c r="XH33">
        <f>XH32+IF(AND($C32=85,$L32=1),1,0)</f>
        <v/>
      </c>
      <c r="XI33">
        <f>XI32+IF(AND($C32=86,$L32=1),1,0)</f>
        <v/>
      </c>
      <c r="XJ33">
        <f>XJ32+IF(AND($C32=87,$L32=1),1,0)</f>
        <v/>
      </c>
      <c r="XK33">
        <f>XK32+IF(AND($C32=88,$L32=1),1,0)</f>
        <v/>
      </c>
      <c r="XL33">
        <f>XL32+IF(AND($C32=89,$L32=1),1,0)</f>
        <v/>
      </c>
      <c r="XM33">
        <f>XM32+IF(AND($C32=90,$L32=1),1,0)</f>
        <v/>
      </c>
      <c r="XN33">
        <f>XN32+IF(AND($C32=91,$L32=1),1,0)</f>
        <v/>
      </c>
      <c r="XO33">
        <f>XO32+IF(AND($C32=92,$L32=1),1,0)</f>
        <v/>
      </c>
      <c r="XP33">
        <f>XP32+IF(AND($C32=93,$L32=1),1,0)</f>
        <v/>
      </c>
      <c r="XQ33">
        <f>XQ32+IF(AND($C32=94,$L32=1),1,0)</f>
        <v/>
      </c>
      <c r="XR33">
        <f>XR32+IF(AND($C32=95,$L32=1),1,0)</f>
        <v/>
      </c>
      <c r="XS33">
        <f>XS32+IF(AND($C32=96,$L32=1),1,0)</f>
        <v/>
      </c>
      <c r="XT33">
        <f>XT32+IF(AND($C32=97,$L32=1),1,0)</f>
        <v/>
      </c>
      <c r="XU33">
        <f>XU32+IF(AND($C32=98,$L32=1),1,0)</f>
        <v/>
      </c>
      <c r="XV33">
        <f>XV32+IF(AND($C32=99,$L32=1),1,0)</f>
        <v/>
      </c>
      <c r="XW33">
        <f>XW32+IF(AND($C32=100,$L32=1),1,0)</f>
        <v/>
      </c>
      <c r="XX33">
        <f>XX32+IF(AND($C32=101,$L32=1),1,0)</f>
        <v/>
      </c>
      <c r="XY33">
        <f>XY32+IF(AND($C32=102,$L32=1),1,0)</f>
        <v/>
      </c>
      <c r="XZ33">
        <f>XZ32+IF(AND($C32=103,$L32=1),1,0)</f>
        <v/>
      </c>
      <c r="YA33">
        <f>YA32+IF(AND($C32=104,$L32=1),1,0)</f>
        <v/>
      </c>
      <c r="YB33">
        <f>YB32+IF(AND($C32=105,$L32=1),1,0)</f>
        <v/>
      </c>
      <c r="YC33">
        <f>YC32+IF(AND($C32=106,$L32=1),1,0)</f>
        <v/>
      </c>
      <c r="YD33">
        <f>YD32+IF(AND($C32=107,$L32=1),1,0)</f>
        <v/>
      </c>
      <c r="YE33">
        <f>YE32+IF(AND($C32=108,$L32=1),1,0)</f>
        <v/>
      </c>
      <c r="YF33">
        <f>YF32+IF(AND($C32=109,$L32=1),1,0)</f>
        <v/>
      </c>
      <c r="YG33">
        <f>YG32+IF(AND($C32=110,$L32=1),1,0)</f>
        <v/>
      </c>
      <c r="YH33">
        <f>YH32+IF(AND($C32=111,$L32=1),1,0)</f>
        <v/>
      </c>
      <c r="YI33">
        <f>YI32+IF(AND($C32=112,$L32=1),1,0)</f>
        <v/>
      </c>
      <c r="YJ33">
        <f>YJ32+IF(AND($C32=113,$L32=1),1,0)</f>
        <v/>
      </c>
      <c r="YK33">
        <f>YK32+IF(AND($C32=114,$L32=1),1,0)</f>
        <v/>
      </c>
      <c r="YL33">
        <f>YL32+IF(AND($C32=115,$L32=1),1,0)</f>
        <v/>
      </c>
      <c r="YM33">
        <f>YM32+IF(AND($C32=116,$L32=1),1,0)</f>
        <v/>
      </c>
      <c r="YN33">
        <f>YN32+IF(AND($C32=117,$L32=1),1,0)</f>
        <v/>
      </c>
      <c r="YO33">
        <f>YO32+IF(AND($C32=118,$L32=1),1,0)</f>
        <v/>
      </c>
      <c r="YP33">
        <f>YP32+IF(AND($C32=119,$L32=1),1,0)</f>
        <v/>
      </c>
      <c r="YQ33">
        <f>YQ32+IF(AND($C32=120,$L32=1),1,0)</f>
        <v/>
      </c>
      <c r="YR33">
        <f>YR32+IF(AND($C32=121,$L32=1),1,0)</f>
        <v/>
      </c>
      <c r="YS33">
        <f>YS32+IF(AND($C32=122,$L32=1),1,0)</f>
        <v/>
      </c>
      <c r="YT33">
        <f>YT32+IF(AND($C32=123,$L32=1),1,0)</f>
        <v/>
      </c>
      <c r="YU33">
        <f>YU32+IF(AND($C32=124,$L32=1),1,0)</f>
        <v/>
      </c>
      <c r="YV33">
        <f>YV32+IF(AND($C32=125,$L32=1),1,0)</f>
        <v/>
      </c>
      <c r="YW33">
        <f>YW32+IF(AND($C32=126,$L32=1),1,0)</f>
        <v/>
      </c>
      <c r="YX33">
        <f>YX32+IF(AND($C32=127,$L32=1),1,0)</f>
        <v/>
      </c>
      <c r="YY33">
        <f>YY32+IF(AND($C32=128,$L32=1),1,0)</f>
        <v/>
      </c>
      <c r="YZ33">
        <f>YZ32+IF(AND($C32=129,$L32=1),1,0)</f>
        <v/>
      </c>
      <c r="ZA33">
        <f>ZA32+IF(AND($C32=130,$L32=1),1,0)</f>
        <v/>
      </c>
      <c r="ZB33">
        <f>ZB32+IF(AND($C32=131,$L32=1),1,0)</f>
        <v/>
      </c>
      <c r="ZC33">
        <f>ZC32+IF(AND($C32=132,$L32=1),1,0)</f>
        <v/>
      </c>
      <c r="ZD33">
        <f>ZD32+IF(AND($C32=133,$L32=1),1,0)</f>
        <v/>
      </c>
      <c r="ZE33">
        <f>ZE32+IF(AND($C32=134,$L32=1),1,0)</f>
        <v/>
      </c>
      <c r="ZF33">
        <f>ZF32+IF(AND($C32=135,$L32=1),1,0)</f>
        <v/>
      </c>
      <c r="ZG33">
        <f>ZG32+IF(AND($C32=136,$L32=1),1,0)</f>
        <v/>
      </c>
      <c r="ZH33">
        <f>ZH32+IF(AND($C32=137,$L32=1),1,0)</f>
        <v/>
      </c>
      <c r="ZI33">
        <f>ZI32+IF(AND($C32=138,$L32=1),1,0)</f>
        <v/>
      </c>
      <c r="ZJ33">
        <f>ZJ32+IF(AND($C32=139,$L32=1),1,0)</f>
        <v/>
      </c>
      <c r="ZK33">
        <f>ZK32+IF(AND($C32=140,$L32=1),1,0)</f>
        <v/>
      </c>
      <c r="ZL33">
        <f>ZL32+IF(AND($C32=141,$L32=1),1,0)</f>
        <v/>
      </c>
      <c r="ZM33">
        <f>ZM32+IF(AND($C32=142,$L32=1),1,0)</f>
        <v/>
      </c>
      <c r="ZN33">
        <f>ZN32+IF(AND($C32=143,$L32=1),1,0)</f>
        <v/>
      </c>
      <c r="ZO33">
        <f>ZO32+IF(AND($C32=144,$L32=1),1,0)</f>
        <v/>
      </c>
    </row>
    <row r="34">
      <c r="A34" t="n">
        <v>32</v>
      </c>
      <c r="B34">
        <f>IF(MIN(BH34:CZ34)&gt;=1000000,0,MATCH(MIN(BH34:CZ34),BH34:CZ34,0))</f>
        <v/>
      </c>
      <c r="C34">
        <f>IF(MIN(OF34:TS34)&gt;=1000000,0,MATCH(MIN(OF34:TS34),OF34:TS34,0))</f>
        <v/>
      </c>
      <c r="D34">
        <f>IF(C34&gt;0,INDEX('計算A'!$D$5:$EQ$5,C34),0)</f>
        <v/>
      </c>
      <c r="E34">
        <f>IF(B34=0,0,INDEX('計算A'!$IQ$10:$IQ$54,B34))</f>
        <v/>
      </c>
      <c r="F34">
        <f>IF(B34=0,0,INDEX('計算A'!$IP$10:$IP$54,B34))</f>
        <v/>
      </c>
      <c r="G34">
        <f>IF(AND(C34&gt;0,E34&gt;0),IF(AND(INDEX('計算A'!$D$106:$EQ$106,C34)=1,INDEX($IQ34:$OD34,C34)=1),C34+1,0),0)</f>
        <v/>
      </c>
      <c r="H34">
        <f>IF(B34=0,0,INDEX('計算A'!$IW$10:$IW$54,B34))</f>
        <v/>
      </c>
      <c r="I34">
        <f>IF(B34=0,0,MAX(0,INDEX('計算A'!$IT$10:$IT$54,B34)))</f>
        <v/>
      </c>
      <c r="J34">
        <f>IF(I34=0,0,INDEX('計算A'!$D$2:$EQ$2,I34))</f>
        <v/>
      </c>
      <c r="K34">
        <f>IF(I34=0,0,INDEX('計算A'!$D$3:$EQ$3,I34))</f>
        <v/>
      </c>
      <c r="L34">
        <f>IF(B34=0,0,INDEX('計算A'!$IX$10:$IX$54,B34))</f>
        <v/>
      </c>
      <c r="N34">
        <f>MAX(N33,IF($B33=1,1,0))</f>
        <v/>
      </c>
      <c r="O34">
        <f>MAX(O33,IF($B33=2,1,0))</f>
        <v/>
      </c>
      <c r="P34">
        <f>MAX(P33,IF($B33=3,1,0))</f>
        <v/>
      </c>
      <c r="Q34">
        <f>MAX(Q33,IF($B33=4,1,0))</f>
        <v/>
      </c>
      <c r="R34">
        <f>MAX(R33,IF($B33=5,1,0))</f>
        <v/>
      </c>
      <c r="S34">
        <f>MAX(S33,IF($B33=6,1,0))</f>
        <v/>
      </c>
      <c r="T34">
        <f>MAX(T33,IF($B33=7,1,0))</f>
        <v/>
      </c>
      <c r="U34">
        <f>MAX(U33,IF($B33=8,1,0))</f>
        <v/>
      </c>
      <c r="V34">
        <f>MAX(V33,IF($B33=9,1,0))</f>
        <v/>
      </c>
      <c r="W34">
        <f>MAX(W33,IF($B33=10,1,0))</f>
        <v/>
      </c>
      <c r="X34">
        <f>MAX(X33,IF($B33=11,1,0))</f>
        <v/>
      </c>
      <c r="Y34">
        <f>MAX(Y33,IF($B33=12,1,0))</f>
        <v/>
      </c>
      <c r="Z34">
        <f>MAX(Z33,IF($B33=13,1,0))</f>
        <v/>
      </c>
      <c r="AA34">
        <f>MAX(AA33,IF($B33=14,1,0))</f>
        <v/>
      </c>
      <c r="AB34">
        <f>MAX(AB33,IF($B33=15,1,0))</f>
        <v/>
      </c>
      <c r="AC34">
        <f>MAX(AC33,IF($B33=16,1,0))</f>
        <v/>
      </c>
      <c r="AD34">
        <f>MAX(AD33,IF($B33=17,1,0))</f>
        <v/>
      </c>
      <c r="AE34">
        <f>MAX(AE33,IF($B33=18,1,0))</f>
        <v/>
      </c>
      <c r="AF34">
        <f>MAX(AF33,IF($B33=19,1,0))</f>
        <v/>
      </c>
      <c r="AG34">
        <f>MAX(AG33,IF($B33=20,1,0))</f>
        <v/>
      </c>
      <c r="AH34">
        <f>MAX(AH33,IF($B33=21,1,0))</f>
        <v/>
      </c>
      <c r="AI34">
        <f>MAX(AI33,IF($B33=22,1,0))</f>
        <v/>
      </c>
      <c r="AJ34">
        <f>MAX(AJ33,IF($B33=23,1,0))</f>
        <v/>
      </c>
      <c r="AK34">
        <f>MAX(AK33,IF($B33=24,1,0))</f>
        <v/>
      </c>
      <c r="AL34">
        <f>MAX(AL33,IF($B33=25,1,0))</f>
        <v/>
      </c>
      <c r="AM34">
        <f>MAX(AM33,IF($B33=26,1,0))</f>
        <v/>
      </c>
      <c r="AN34">
        <f>MAX(AN33,IF($B33=27,1,0))</f>
        <v/>
      </c>
      <c r="AO34">
        <f>MAX(AO33,IF($B33=28,1,0))</f>
        <v/>
      </c>
      <c r="AP34">
        <f>MAX(AP33,IF($B33=29,1,0))</f>
        <v/>
      </c>
      <c r="AQ34">
        <f>MAX(AQ33,IF($B33=30,1,0))</f>
        <v/>
      </c>
      <c r="AR34">
        <f>MAX(AR33,IF($B33=31,1,0))</f>
        <v/>
      </c>
      <c r="AS34">
        <f>MAX(AS33,IF($B33=32,1,0))</f>
        <v/>
      </c>
      <c r="AT34">
        <f>MAX(AT33,IF($B33=33,1,0))</f>
        <v/>
      </c>
      <c r="AU34">
        <f>MAX(AU33,IF($B33=34,1,0))</f>
        <v/>
      </c>
      <c r="AV34">
        <f>MAX(AV33,IF($B33=35,1,0))</f>
        <v/>
      </c>
      <c r="AW34">
        <f>MAX(AW33,IF($B33=36,1,0))</f>
        <v/>
      </c>
      <c r="AX34">
        <f>MAX(AX33,IF($B33=37,1,0))</f>
        <v/>
      </c>
      <c r="AY34">
        <f>MAX(AY33,IF($B33=38,1,0))</f>
        <v/>
      </c>
      <c r="AZ34">
        <f>MAX(AZ33,IF($B33=39,1,0))</f>
        <v/>
      </c>
      <c r="BA34">
        <f>MAX(BA33,IF($B33=40,1,0))</f>
        <v/>
      </c>
      <c r="BB34">
        <f>MAX(BB33,IF($B33=41,1,0))</f>
        <v/>
      </c>
      <c r="BC34">
        <f>MAX(BC33,IF($B33=42,1,0))</f>
        <v/>
      </c>
      <c r="BD34">
        <f>MAX(BD33,IF($B33=43,1,0))</f>
        <v/>
      </c>
      <c r="BE34">
        <f>MAX(BE33,IF($B33=44,1,0))</f>
        <v/>
      </c>
      <c r="BF34">
        <f>MAX(BF33,IF($B33=45,1,0))</f>
        <v/>
      </c>
      <c r="BH34">
        <f>IF(N34=1,1000000,IF('計算A'!$IT$10&gt;0,0,500000)+IF('計算A'!$IQ$10=2,SUMPRODUCT('計算A'!$D$60:$EQ$60,$DB34:$IO34,$IQ34:$OD34),SUMPRODUCT('計算A'!$D$60:$EQ$60,$DB34:$IO34))*1000+1)</f>
        <v/>
      </c>
      <c r="BI34">
        <f>IF(O34=1,1000000,IF('計算A'!$IT$11&gt;0,0,500000)+IF('計算A'!$IQ$11=2,SUMPRODUCT('計算A'!$D$61:$EQ$61,$DB34:$IO34,$IQ34:$OD34),SUMPRODUCT('計算A'!$D$61:$EQ$61,$DB34:$IO34))*1000+2)</f>
        <v/>
      </c>
      <c r="BJ34">
        <f>IF(P34=1,1000000,IF('計算A'!$IT$12&gt;0,0,500000)+IF('計算A'!$IQ$12=2,SUMPRODUCT('計算A'!$D$62:$EQ$62,$DB34:$IO34,$IQ34:$OD34),SUMPRODUCT('計算A'!$D$62:$EQ$62,$DB34:$IO34))*1000+3)</f>
        <v/>
      </c>
      <c r="BK34">
        <f>IF(Q34=1,1000000,IF('計算A'!$IT$13&gt;0,0,500000)+IF('計算A'!$IQ$13=2,SUMPRODUCT('計算A'!$D$63:$EQ$63,$DB34:$IO34,$IQ34:$OD34),SUMPRODUCT('計算A'!$D$63:$EQ$63,$DB34:$IO34))*1000+4)</f>
        <v/>
      </c>
      <c r="BL34">
        <f>IF(R34=1,1000000,IF('計算A'!$IT$14&gt;0,0,500000)+IF('計算A'!$IQ$14=2,SUMPRODUCT('計算A'!$D$64:$EQ$64,$DB34:$IO34,$IQ34:$OD34),SUMPRODUCT('計算A'!$D$64:$EQ$64,$DB34:$IO34))*1000+5)</f>
        <v/>
      </c>
      <c r="BM34">
        <f>IF(S34=1,1000000,IF('計算A'!$IT$15&gt;0,0,500000)+IF('計算A'!$IQ$15=2,SUMPRODUCT('計算A'!$D$65:$EQ$65,$DB34:$IO34,$IQ34:$OD34),SUMPRODUCT('計算A'!$D$65:$EQ$65,$DB34:$IO34))*1000+6)</f>
        <v/>
      </c>
      <c r="BN34">
        <f>IF(T34=1,1000000,IF('計算A'!$IT$16&gt;0,0,500000)+IF('計算A'!$IQ$16=2,SUMPRODUCT('計算A'!$D$66:$EQ$66,$DB34:$IO34,$IQ34:$OD34),SUMPRODUCT('計算A'!$D$66:$EQ$66,$DB34:$IO34))*1000+7)</f>
        <v/>
      </c>
      <c r="BO34">
        <f>IF(U34=1,1000000,IF('計算A'!$IT$17&gt;0,0,500000)+IF('計算A'!$IQ$17=2,SUMPRODUCT('計算A'!$D$67:$EQ$67,$DB34:$IO34,$IQ34:$OD34),SUMPRODUCT('計算A'!$D$67:$EQ$67,$DB34:$IO34))*1000+8)</f>
        <v/>
      </c>
      <c r="BP34">
        <f>IF(V34=1,1000000,IF('計算A'!$IT$18&gt;0,0,500000)+IF('計算A'!$IQ$18=2,SUMPRODUCT('計算A'!$D$68:$EQ$68,$DB34:$IO34,$IQ34:$OD34),SUMPRODUCT('計算A'!$D$68:$EQ$68,$DB34:$IO34))*1000+9)</f>
        <v/>
      </c>
      <c r="BQ34">
        <f>IF(W34=1,1000000,IF('計算A'!$IT$19&gt;0,0,500000)+IF('計算A'!$IQ$19=2,SUMPRODUCT('計算A'!$D$69:$EQ$69,$DB34:$IO34,$IQ34:$OD34),SUMPRODUCT('計算A'!$D$69:$EQ$69,$DB34:$IO34))*1000+10)</f>
        <v/>
      </c>
      <c r="BR34">
        <f>IF(X34=1,1000000,IF('計算A'!$IT$20&gt;0,0,500000)+IF('計算A'!$IQ$20=2,SUMPRODUCT('計算A'!$D$70:$EQ$70,$DB34:$IO34,$IQ34:$OD34),SUMPRODUCT('計算A'!$D$70:$EQ$70,$DB34:$IO34))*1000+11)</f>
        <v/>
      </c>
      <c r="BS34">
        <f>IF(Y34=1,1000000,IF('計算A'!$IT$21&gt;0,0,500000)+IF('計算A'!$IQ$21=2,SUMPRODUCT('計算A'!$D$71:$EQ$71,$DB34:$IO34,$IQ34:$OD34),SUMPRODUCT('計算A'!$D$71:$EQ$71,$DB34:$IO34))*1000+12)</f>
        <v/>
      </c>
      <c r="BT34">
        <f>IF(Z34=1,1000000,IF('計算A'!$IT$22&gt;0,0,500000)+IF('計算A'!$IQ$22=2,SUMPRODUCT('計算A'!$D$72:$EQ$72,$DB34:$IO34,$IQ34:$OD34),SUMPRODUCT('計算A'!$D$72:$EQ$72,$DB34:$IO34))*1000+13)</f>
        <v/>
      </c>
      <c r="BU34">
        <f>IF(AA34=1,1000000,IF('計算A'!$IT$23&gt;0,0,500000)+IF('計算A'!$IQ$23=2,SUMPRODUCT('計算A'!$D$73:$EQ$73,$DB34:$IO34,$IQ34:$OD34),SUMPRODUCT('計算A'!$D$73:$EQ$73,$DB34:$IO34))*1000+14)</f>
        <v/>
      </c>
      <c r="BV34">
        <f>IF(AB34=1,1000000,IF('計算A'!$IT$24&gt;0,0,500000)+IF('計算A'!$IQ$24=2,SUMPRODUCT('計算A'!$D$74:$EQ$74,$DB34:$IO34,$IQ34:$OD34),SUMPRODUCT('計算A'!$D$74:$EQ$74,$DB34:$IO34))*1000+15)</f>
        <v/>
      </c>
      <c r="BW34">
        <f>IF(AC34=1,1000000,IF('計算A'!$IT$25&gt;0,0,500000)+IF('計算A'!$IQ$25=2,SUMPRODUCT('計算A'!$D$75:$EQ$75,$DB34:$IO34,$IQ34:$OD34),SUMPRODUCT('計算A'!$D$75:$EQ$75,$DB34:$IO34))*1000+16)</f>
        <v/>
      </c>
      <c r="BX34">
        <f>IF(AD34=1,1000000,IF('計算A'!$IT$26&gt;0,0,500000)+IF('計算A'!$IQ$26=2,SUMPRODUCT('計算A'!$D$76:$EQ$76,$DB34:$IO34,$IQ34:$OD34),SUMPRODUCT('計算A'!$D$76:$EQ$76,$DB34:$IO34))*1000+17)</f>
        <v/>
      </c>
      <c r="BY34">
        <f>IF(AE34=1,1000000,IF('計算A'!$IT$27&gt;0,0,500000)+IF('計算A'!$IQ$27=2,SUMPRODUCT('計算A'!$D$77:$EQ$77,$DB34:$IO34,$IQ34:$OD34),SUMPRODUCT('計算A'!$D$77:$EQ$77,$DB34:$IO34))*1000+18)</f>
        <v/>
      </c>
      <c r="BZ34">
        <f>IF(AF34=1,1000000,IF('計算A'!$IT$28&gt;0,0,500000)+IF('計算A'!$IQ$28=2,SUMPRODUCT('計算A'!$D$78:$EQ$78,$DB34:$IO34,$IQ34:$OD34),SUMPRODUCT('計算A'!$D$78:$EQ$78,$DB34:$IO34))*1000+19)</f>
        <v/>
      </c>
      <c r="CA34">
        <f>IF(AG34=1,1000000,IF('計算A'!$IT$29&gt;0,0,500000)+IF('計算A'!$IQ$29=2,SUMPRODUCT('計算A'!$D$79:$EQ$79,$DB34:$IO34,$IQ34:$OD34),SUMPRODUCT('計算A'!$D$79:$EQ$79,$DB34:$IO34))*1000+20)</f>
        <v/>
      </c>
      <c r="CB34">
        <f>IF(AH34=1,1000000,IF('計算A'!$IT$30&gt;0,0,500000)+IF('計算A'!$IQ$30=2,SUMPRODUCT('計算A'!$D$80:$EQ$80,$DB34:$IO34,$IQ34:$OD34),SUMPRODUCT('計算A'!$D$80:$EQ$80,$DB34:$IO34))*1000+21)</f>
        <v/>
      </c>
      <c r="CC34">
        <f>IF(AI34=1,1000000,IF('計算A'!$IT$31&gt;0,0,500000)+IF('計算A'!$IQ$31=2,SUMPRODUCT('計算A'!$D$81:$EQ$81,$DB34:$IO34,$IQ34:$OD34),SUMPRODUCT('計算A'!$D$81:$EQ$81,$DB34:$IO34))*1000+22)</f>
        <v/>
      </c>
      <c r="CD34">
        <f>IF(AJ34=1,1000000,IF('計算A'!$IT$32&gt;0,0,500000)+IF('計算A'!$IQ$32=2,SUMPRODUCT('計算A'!$D$82:$EQ$82,$DB34:$IO34,$IQ34:$OD34),SUMPRODUCT('計算A'!$D$82:$EQ$82,$DB34:$IO34))*1000+23)</f>
        <v/>
      </c>
      <c r="CE34">
        <f>IF(AK34=1,1000000,IF('計算A'!$IT$33&gt;0,0,500000)+IF('計算A'!$IQ$33=2,SUMPRODUCT('計算A'!$D$83:$EQ$83,$DB34:$IO34,$IQ34:$OD34),SUMPRODUCT('計算A'!$D$83:$EQ$83,$DB34:$IO34))*1000+24)</f>
        <v/>
      </c>
      <c r="CF34">
        <f>IF(AL34=1,1000000,IF('計算A'!$IT$34&gt;0,0,500000)+IF('計算A'!$IQ$34=2,SUMPRODUCT('計算A'!$D$84:$EQ$84,$DB34:$IO34,$IQ34:$OD34),SUMPRODUCT('計算A'!$D$84:$EQ$84,$DB34:$IO34))*1000+25)</f>
        <v/>
      </c>
      <c r="CG34">
        <f>IF(AM34=1,1000000,IF('計算A'!$IT$35&gt;0,0,500000)+IF('計算A'!$IQ$35=2,SUMPRODUCT('計算A'!$D$85:$EQ$85,$DB34:$IO34,$IQ34:$OD34),SUMPRODUCT('計算A'!$D$85:$EQ$85,$DB34:$IO34))*1000+26)</f>
        <v/>
      </c>
      <c r="CH34">
        <f>IF(AN34=1,1000000,IF('計算A'!$IT$36&gt;0,0,500000)+IF('計算A'!$IQ$36=2,SUMPRODUCT('計算A'!$D$86:$EQ$86,$DB34:$IO34,$IQ34:$OD34),SUMPRODUCT('計算A'!$D$86:$EQ$86,$DB34:$IO34))*1000+27)</f>
        <v/>
      </c>
      <c r="CI34">
        <f>IF(AO34=1,1000000,IF('計算A'!$IT$37&gt;0,0,500000)+IF('計算A'!$IQ$37=2,SUMPRODUCT('計算A'!$D$87:$EQ$87,$DB34:$IO34,$IQ34:$OD34),SUMPRODUCT('計算A'!$D$87:$EQ$87,$DB34:$IO34))*1000+28)</f>
        <v/>
      </c>
      <c r="CJ34">
        <f>IF(AP34=1,1000000,IF('計算A'!$IT$38&gt;0,0,500000)+IF('計算A'!$IQ$38=2,SUMPRODUCT('計算A'!$D$88:$EQ$88,$DB34:$IO34,$IQ34:$OD34),SUMPRODUCT('計算A'!$D$88:$EQ$88,$DB34:$IO34))*1000+29)</f>
        <v/>
      </c>
      <c r="CK34">
        <f>IF(AQ34=1,1000000,IF('計算A'!$IT$39&gt;0,0,500000)+IF('計算A'!$IQ$39=2,SUMPRODUCT('計算A'!$D$89:$EQ$89,$DB34:$IO34,$IQ34:$OD34),SUMPRODUCT('計算A'!$D$89:$EQ$89,$DB34:$IO34))*1000+30)</f>
        <v/>
      </c>
      <c r="CL34">
        <f>IF(AR34=1,1000000,IF('計算A'!$IT$40&gt;0,0,500000)+IF('計算A'!$IQ$40=2,SUMPRODUCT('計算A'!$D$90:$EQ$90,$DB34:$IO34,$IQ34:$OD34),SUMPRODUCT('計算A'!$D$90:$EQ$90,$DB34:$IO34))*1000+31)</f>
        <v/>
      </c>
      <c r="CM34">
        <f>IF(AS34=1,1000000,IF('計算A'!$IT$41&gt;0,0,500000)+IF('計算A'!$IQ$41=2,SUMPRODUCT('計算A'!$D$91:$EQ$91,$DB34:$IO34,$IQ34:$OD34),SUMPRODUCT('計算A'!$D$91:$EQ$91,$DB34:$IO34))*1000+32)</f>
        <v/>
      </c>
      <c r="CN34">
        <f>IF(AT34=1,1000000,IF('計算A'!$IT$42&gt;0,0,500000)+IF('計算A'!$IQ$42=2,SUMPRODUCT('計算A'!$D$92:$EQ$92,$DB34:$IO34,$IQ34:$OD34),SUMPRODUCT('計算A'!$D$92:$EQ$92,$DB34:$IO34))*1000+33)</f>
        <v/>
      </c>
      <c r="CO34">
        <f>IF(AU34=1,1000000,IF('計算A'!$IT$43&gt;0,0,500000)+IF('計算A'!$IQ$43=2,SUMPRODUCT('計算A'!$D$93:$EQ$93,$DB34:$IO34,$IQ34:$OD34),SUMPRODUCT('計算A'!$D$93:$EQ$93,$DB34:$IO34))*1000+34)</f>
        <v/>
      </c>
      <c r="CP34">
        <f>IF(AV34=1,1000000,IF('計算A'!$IT$44&gt;0,0,500000)+IF('計算A'!$IQ$44=2,SUMPRODUCT('計算A'!$D$94:$EQ$94,$DB34:$IO34,$IQ34:$OD34),SUMPRODUCT('計算A'!$D$94:$EQ$94,$DB34:$IO34))*1000+35)</f>
        <v/>
      </c>
      <c r="CQ34">
        <f>IF(AW34=1,1000000,IF('計算A'!$IT$45&gt;0,0,500000)+IF('計算A'!$IQ$45=2,SUMPRODUCT('計算A'!$D$95:$EQ$95,$DB34:$IO34,$IQ34:$OD34),SUMPRODUCT('計算A'!$D$95:$EQ$95,$DB34:$IO34))*1000+36)</f>
        <v/>
      </c>
      <c r="CR34">
        <f>IF(AX34=1,1000000,IF('計算A'!$IT$46&gt;0,0,500000)+IF('計算A'!$IQ$46=2,SUMPRODUCT('計算A'!$D$96:$EQ$96,$DB34:$IO34,$IQ34:$OD34),SUMPRODUCT('計算A'!$D$96:$EQ$96,$DB34:$IO34))*1000+37)</f>
        <v/>
      </c>
      <c r="CS34">
        <f>IF(AY34=1,1000000,IF('計算A'!$IT$47&gt;0,0,500000)+IF('計算A'!$IQ$47=2,SUMPRODUCT('計算A'!$D$97:$EQ$97,$DB34:$IO34,$IQ34:$OD34),SUMPRODUCT('計算A'!$D$97:$EQ$97,$DB34:$IO34))*1000+38)</f>
        <v/>
      </c>
      <c r="CT34">
        <f>IF(AZ34=1,1000000,IF('計算A'!$IT$48&gt;0,0,500000)+IF('計算A'!$IQ$48=2,SUMPRODUCT('計算A'!$D$98:$EQ$98,$DB34:$IO34,$IQ34:$OD34),SUMPRODUCT('計算A'!$D$98:$EQ$98,$DB34:$IO34))*1000+39)</f>
        <v/>
      </c>
      <c r="CU34">
        <f>IF(BA34=1,1000000,IF('計算A'!$IT$49&gt;0,0,500000)+IF('計算A'!$IQ$49=2,SUMPRODUCT('計算A'!$D$99:$EQ$99,$DB34:$IO34,$IQ34:$OD34),SUMPRODUCT('計算A'!$D$99:$EQ$99,$DB34:$IO34))*1000+40)</f>
        <v/>
      </c>
      <c r="CV34">
        <f>IF(BB34=1,1000000,IF('計算A'!$IT$50&gt;0,0,500000)+IF('計算A'!$IQ$50=2,SUMPRODUCT('計算A'!$D$100:$EQ$100,$DB34:$IO34,$IQ34:$OD34),SUMPRODUCT('計算A'!$D$100:$EQ$100,$DB34:$IO34))*1000+41)</f>
        <v/>
      </c>
      <c r="CW34">
        <f>IF(BC34=1,1000000,IF('計算A'!$IT$51&gt;0,0,500000)+IF('計算A'!$IQ$51=2,SUMPRODUCT('計算A'!$D$101:$EQ$101,$DB34:$IO34,$IQ34:$OD34),SUMPRODUCT('計算A'!$D$101:$EQ$101,$DB34:$IO34))*1000+42)</f>
        <v/>
      </c>
      <c r="CX34">
        <f>IF(BD34=1,1000000,IF('計算A'!$IT$52&gt;0,0,500000)+IF('計算A'!$IQ$52=2,SUMPRODUCT('計算A'!$D$102:$EQ$102,$DB34:$IO34,$IQ34:$OD34),SUMPRODUCT('計算A'!$D$102:$EQ$102,$DB34:$IO34))*1000+43)</f>
        <v/>
      </c>
      <c r="CY34">
        <f>IF(BE34=1,1000000,IF('計算A'!$IT$53&gt;0,0,500000)+IF('計算A'!$IQ$53=2,SUMPRODUCT('計算A'!$D$103:$EQ$103,$DB34:$IO34,$IQ34:$OD34),SUMPRODUCT('計算A'!$D$103:$EQ$103,$DB34:$IO34))*1000+44)</f>
        <v/>
      </c>
      <c r="CZ34">
        <f>IF(BF34=1,1000000,IF('計算A'!$IT$54&gt;0,0,500000)+IF('計算A'!$IQ$54=2,SUMPRODUCT('計算A'!$D$104:$EQ$104,$DB34:$IO34,$IQ34:$OD34),SUMPRODUCT('計算A'!$D$104:$EQ$104,$DB34:$IO34))*1000+45)</f>
        <v/>
      </c>
      <c r="DB34">
        <f>DB33*IF(OR($C33=1,$G33=1),0,1)</f>
        <v/>
      </c>
      <c r="DC34">
        <f>DC33*IF(OR($C33=2,$G33=2),0,1)</f>
        <v/>
      </c>
      <c r="DD34">
        <f>DD33*IF(OR($C33=3,$G33=3),0,1)</f>
        <v/>
      </c>
      <c r="DE34">
        <f>DE33*IF(OR($C33=4,$G33=4),0,1)</f>
        <v/>
      </c>
      <c r="DF34">
        <f>DF33*IF(OR($C33=5,$G33=5),0,1)</f>
        <v/>
      </c>
      <c r="DG34">
        <f>DG33*IF(OR($C33=6,$G33=6),0,1)</f>
        <v/>
      </c>
      <c r="DH34">
        <f>DH33*IF(OR($C33=7,$G33=7),0,1)</f>
        <v/>
      </c>
      <c r="DI34">
        <f>DI33*IF(OR($C33=8,$G33=8),0,1)</f>
        <v/>
      </c>
      <c r="DJ34">
        <f>DJ33*IF(OR($C33=9,$G33=9),0,1)</f>
        <v/>
      </c>
      <c r="DK34">
        <f>DK33*IF(OR($C33=10,$G33=10),0,1)</f>
        <v/>
      </c>
      <c r="DL34">
        <f>DL33*IF(OR($C33=11,$G33=11),0,1)</f>
        <v/>
      </c>
      <c r="DM34">
        <f>DM33*IF(OR($C33=12,$G33=12),0,1)</f>
        <v/>
      </c>
      <c r="DN34">
        <f>DN33*IF(OR($C33=13,$G33=13),0,1)</f>
        <v/>
      </c>
      <c r="DO34">
        <f>DO33*IF(OR($C33=14,$G33=14),0,1)</f>
        <v/>
      </c>
      <c r="DP34">
        <f>DP33*IF(OR($C33=15,$G33=15),0,1)</f>
        <v/>
      </c>
      <c r="DQ34">
        <f>DQ33*IF(OR($C33=16,$G33=16),0,1)</f>
        <v/>
      </c>
      <c r="DR34">
        <f>DR33*IF(OR($C33=17,$G33=17),0,1)</f>
        <v/>
      </c>
      <c r="DS34">
        <f>DS33*IF(OR($C33=18,$G33=18),0,1)</f>
        <v/>
      </c>
      <c r="DT34">
        <f>DT33*IF(OR($C33=19,$G33=19),0,1)</f>
        <v/>
      </c>
      <c r="DU34">
        <f>DU33*IF(OR($C33=20,$G33=20),0,1)</f>
        <v/>
      </c>
      <c r="DV34">
        <f>DV33*IF(OR($C33=21,$G33=21),0,1)</f>
        <v/>
      </c>
      <c r="DW34">
        <f>DW33*IF(OR($C33=22,$G33=22),0,1)</f>
        <v/>
      </c>
      <c r="DX34">
        <f>DX33*IF(OR($C33=23,$G33=23),0,1)</f>
        <v/>
      </c>
      <c r="DY34">
        <f>DY33*IF(OR($C33=24,$G33=24),0,1)</f>
        <v/>
      </c>
      <c r="DZ34">
        <f>DZ33*IF(OR($C33=25,$G33=25),0,1)</f>
        <v/>
      </c>
      <c r="EA34">
        <f>EA33*IF(OR($C33=26,$G33=26),0,1)</f>
        <v/>
      </c>
      <c r="EB34">
        <f>EB33*IF(OR($C33=27,$G33=27),0,1)</f>
        <v/>
      </c>
      <c r="EC34">
        <f>EC33*IF(OR($C33=28,$G33=28),0,1)</f>
        <v/>
      </c>
      <c r="ED34">
        <f>ED33*IF(OR($C33=29,$G33=29),0,1)</f>
        <v/>
      </c>
      <c r="EE34">
        <f>EE33*IF(OR($C33=30,$G33=30),0,1)</f>
        <v/>
      </c>
      <c r="EF34">
        <f>EF33*IF(OR($C33=31,$G33=31),0,1)</f>
        <v/>
      </c>
      <c r="EG34">
        <f>EG33*IF(OR($C33=32,$G33=32),0,1)</f>
        <v/>
      </c>
      <c r="EH34">
        <f>EH33*IF(OR($C33=33,$G33=33),0,1)</f>
        <v/>
      </c>
      <c r="EI34">
        <f>EI33*IF(OR($C33=34,$G33=34),0,1)</f>
        <v/>
      </c>
      <c r="EJ34">
        <f>EJ33*IF(OR($C33=35,$G33=35),0,1)</f>
        <v/>
      </c>
      <c r="EK34">
        <f>EK33*IF(OR($C33=36,$G33=36),0,1)</f>
        <v/>
      </c>
      <c r="EL34">
        <f>EL33*IF(OR($C33=37,$G33=37),0,1)</f>
        <v/>
      </c>
      <c r="EM34">
        <f>EM33*IF(OR($C33=38,$G33=38),0,1)</f>
        <v/>
      </c>
      <c r="EN34">
        <f>EN33*IF(OR($C33=39,$G33=39),0,1)</f>
        <v/>
      </c>
      <c r="EO34">
        <f>EO33*IF(OR($C33=40,$G33=40),0,1)</f>
        <v/>
      </c>
      <c r="EP34">
        <f>EP33*IF(OR($C33=41,$G33=41),0,1)</f>
        <v/>
      </c>
      <c r="EQ34">
        <f>EQ33*IF(OR($C33=42,$G33=42),0,1)</f>
        <v/>
      </c>
      <c r="ER34">
        <f>ER33*IF(OR($C33=43,$G33=43),0,1)</f>
        <v/>
      </c>
      <c r="ES34">
        <f>ES33*IF(OR($C33=44,$G33=44),0,1)</f>
        <v/>
      </c>
      <c r="ET34">
        <f>ET33*IF(OR($C33=45,$G33=45),0,1)</f>
        <v/>
      </c>
      <c r="EU34">
        <f>EU33*IF(OR($C33=46,$G33=46),0,1)</f>
        <v/>
      </c>
      <c r="EV34">
        <f>EV33*IF(OR($C33=47,$G33=47),0,1)</f>
        <v/>
      </c>
      <c r="EW34">
        <f>EW33*IF(OR($C33=48,$G33=48),0,1)</f>
        <v/>
      </c>
      <c r="EX34">
        <f>EX33*IF(OR($C33=49,$G33=49),0,1)</f>
        <v/>
      </c>
      <c r="EY34">
        <f>EY33*IF(OR($C33=50,$G33=50),0,1)</f>
        <v/>
      </c>
      <c r="EZ34">
        <f>EZ33*IF(OR($C33=51,$G33=51),0,1)</f>
        <v/>
      </c>
      <c r="FA34">
        <f>FA33*IF(OR($C33=52,$G33=52),0,1)</f>
        <v/>
      </c>
      <c r="FB34">
        <f>FB33*IF(OR($C33=53,$G33=53),0,1)</f>
        <v/>
      </c>
      <c r="FC34">
        <f>FC33*IF(OR($C33=54,$G33=54),0,1)</f>
        <v/>
      </c>
      <c r="FD34">
        <f>FD33*IF(OR($C33=55,$G33=55),0,1)</f>
        <v/>
      </c>
      <c r="FE34">
        <f>FE33*IF(OR($C33=56,$G33=56),0,1)</f>
        <v/>
      </c>
      <c r="FF34">
        <f>FF33*IF(OR($C33=57,$G33=57),0,1)</f>
        <v/>
      </c>
      <c r="FG34">
        <f>FG33*IF(OR($C33=58,$G33=58),0,1)</f>
        <v/>
      </c>
      <c r="FH34">
        <f>FH33*IF(OR($C33=59,$G33=59),0,1)</f>
        <v/>
      </c>
      <c r="FI34">
        <f>FI33*IF(OR($C33=60,$G33=60),0,1)</f>
        <v/>
      </c>
      <c r="FJ34">
        <f>FJ33*IF(OR($C33=61,$G33=61),0,1)</f>
        <v/>
      </c>
      <c r="FK34">
        <f>FK33*IF(OR($C33=62,$G33=62),0,1)</f>
        <v/>
      </c>
      <c r="FL34">
        <f>FL33*IF(OR($C33=63,$G33=63),0,1)</f>
        <v/>
      </c>
      <c r="FM34">
        <f>FM33*IF(OR($C33=64,$G33=64),0,1)</f>
        <v/>
      </c>
      <c r="FN34">
        <f>FN33*IF(OR($C33=65,$G33=65),0,1)</f>
        <v/>
      </c>
      <c r="FO34">
        <f>FO33*IF(OR($C33=66,$G33=66),0,1)</f>
        <v/>
      </c>
      <c r="FP34">
        <f>FP33*IF(OR($C33=67,$G33=67),0,1)</f>
        <v/>
      </c>
      <c r="FQ34">
        <f>FQ33*IF(OR($C33=68,$G33=68),0,1)</f>
        <v/>
      </c>
      <c r="FR34">
        <f>FR33*IF(OR($C33=69,$G33=69),0,1)</f>
        <v/>
      </c>
      <c r="FS34">
        <f>FS33*IF(OR($C33=70,$G33=70),0,1)</f>
        <v/>
      </c>
      <c r="FT34">
        <f>FT33*IF(OR($C33=71,$G33=71),0,1)</f>
        <v/>
      </c>
      <c r="FU34">
        <f>FU33*IF(OR($C33=72,$G33=72),0,1)</f>
        <v/>
      </c>
      <c r="FV34">
        <f>FV33*IF(OR($C33=73,$G33=73),0,1)</f>
        <v/>
      </c>
      <c r="FW34">
        <f>FW33*IF(OR($C33=74,$G33=74),0,1)</f>
        <v/>
      </c>
      <c r="FX34">
        <f>FX33*IF(OR($C33=75,$G33=75),0,1)</f>
        <v/>
      </c>
      <c r="FY34">
        <f>FY33*IF(OR($C33=76,$G33=76),0,1)</f>
        <v/>
      </c>
      <c r="FZ34">
        <f>FZ33*IF(OR($C33=77,$G33=77),0,1)</f>
        <v/>
      </c>
      <c r="GA34">
        <f>GA33*IF(OR($C33=78,$G33=78),0,1)</f>
        <v/>
      </c>
      <c r="GB34">
        <f>GB33*IF(OR($C33=79,$G33=79),0,1)</f>
        <v/>
      </c>
      <c r="GC34">
        <f>GC33*IF(OR($C33=80,$G33=80),0,1)</f>
        <v/>
      </c>
      <c r="GD34">
        <f>GD33*IF(OR($C33=81,$G33=81),0,1)</f>
        <v/>
      </c>
      <c r="GE34">
        <f>GE33*IF(OR($C33=82,$G33=82),0,1)</f>
        <v/>
      </c>
      <c r="GF34">
        <f>GF33*IF(OR($C33=83,$G33=83),0,1)</f>
        <v/>
      </c>
      <c r="GG34">
        <f>GG33*IF(OR($C33=84,$G33=84),0,1)</f>
        <v/>
      </c>
      <c r="GH34">
        <f>GH33*IF(OR($C33=85,$G33=85),0,1)</f>
        <v/>
      </c>
      <c r="GI34">
        <f>GI33*IF(OR($C33=86,$G33=86),0,1)</f>
        <v/>
      </c>
      <c r="GJ34">
        <f>GJ33*IF(OR($C33=87,$G33=87),0,1)</f>
        <v/>
      </c>
      <c r="GK34">
        <f>GK33*IF(OR($C33=88,$G33=88),0,1)</f>
        <v/>
      </c>
      <c r="GL34">
        <f>GL33*IF(OR($C33=89,$G33=89),0,1)</f>
        <v/>
      </c>
      <c r="GM34">
        <f>GM33*IF(OR($C33=90,$G33=90),0,1)</f>
        <v/>
      </c>
      <c r="GN34">
        <f>GN33*IF(OR($C33=91,$G33=91),0,1)</f>
        <v/>
      </c>
      <c r="GO34">
        <f>GO33*IF(OR($C33=92,$G33=92),0,1)</f>
        <v/>
      </c>
      <c r="GP34">
        <f>GP33*IF(OR($C33=93,$G33=93),0,1)</f>
        <v/>
      </c>
      <c r="GQ34">
        <f>GQ33*IF(OR($C33=94,$G33=94),0,1)</f>
        <v/>
      </c>
      <c r="GR34">
        <f>GR33*IF(OR($C33=95,$G33=95),0,1)</f>
        <v/>
      </c>
      <c r="GS34">
        <f>GS33*IF(OR($C33=96,$G33=96),0,1)</f>
        <v/>
      </c>
      <c r="GT34">
        <f>GT33*IF(OR($C33=97,$G33=97),0,1)</f>
        <v/>
      </c>
      <c r="GU34">
        <f>GU33*IF(OR($C33=98,$G33=98),0,1)</f>
        <v/>
      </c>
      <c r="GV34">
        <f>GV33*IF(OR($C33=99,$G33=99),0,1)</f>
        <v/>
      </c>
      <c r="GW34">
        <f>GW33*IF(OR($C33=100,$G33=100),0,1)</f>
        <v/>
      </c>
      <c r="GX34">
        <f>GX33*IF(OR($C33=101,$G33=101),0,1)</f>
        <v/>
      </c>
      <c r="GY34">
        <f>GY33*IF(OR($C33=102,$G33=102),0,1)</f>
        <v/>
      </c>
      <c r="GZ34">
        <f>GZ33*IF(OR($C33=103,$G33=103),0,1)</f>
        <v/>
      </c>
      <c r="HA34">
        <f>HA33*IF(OR($C33=104,$G33=104),0,1)</f>
        <v/>
      </c>
      <c r="HB34">
        <f>HB33*IF(OR($C33=105,$G33=105),0,1)</f>
        <v/>
      </c>
      <c r="HC34">
        <f>HC33*IF(OR($C33=106,$G33=106),0,1)</f>
        <v/>
      </c>
      <c r="HD34">
        <f>HD33*IF(OR($C33=107,$G33=107),0,1)</f>
        <v/>
      </c>
      <c r="HE34">
        <f>HE33*IF(OR($C33=108,$G33=108),0,1)</f>
        <v/>
      </c>
      <c r="HF34">
        <f>HF33*IF(OR($C33=109,$G33=109),0,1)</f>
        <v/>
      </c>
      <c r="HG34">
        <f>HG33*IF(OR($C33=110,$G33=110),0,1)</f>
        <v/>
      </c>
      <c r="HH34">
        <f>HH33*IF(OR($C33=111,$G33=111),0,1)</f>
        <v/>
      </c>
      <c r="HI34">
        <f>HI33*IF(OR($C33=112,$G33=112),0,1)</f>
        <v/>
      </c>
      <c r="HJ34">
        <f>HJ33*IF(OR($C33=113,$G33=113),0,1)</f>
        <v/>
      </c>
      <c r="HK34">
        <f>HK33*IF(OR($C33=114,$G33=114),0,1)</f>
        <v/>
      </c>
      <c r="HL34">
        <f>HL33*IF(OR($C33=115,$G33=115),0,1)</f>
        <v/>
      </c>
      <c r="HM34">
        <f>HM33*IF(OR($C33=116,$G33=116),0,1)</f>
        <v/>
      </c>
      <c r="HN34">
        <f>HN33*IF(OR($C33=117,$G33=117),0,1)</f>
        <v/>
      </c>
      <c r="HO34">
        <f>HO33*IF(OR($C33=118,$G33=118),0,1)</f>
        <v/>
      </c>
      <c r="HP34">
        <f>HP33*IF(OR($C33=119,$G33=119),0,1)</f>
        <v/>
      </c>
      <c r="HQ34">
        <f>HQ33*IF(OR($C33=120,$G33=120),0,1)</f>
        <v/>
      </c>
      <c r="HR34">
        <f>HR33*IF(OR($C33=121,$G33=121),0,1)</f>
        <v/>
      </c>
      <c r="HS34">
        <f>HS33*IF(OR($C33=122,$G33=122),0,1)</f>
        <v/>
      </c>
      <c r="HT34">
        <f>HT33*IF(OR($C33=123,$G33=123),0,1)</f>
        <v/>
      </c>
      <c r="HU34">
        <f>HU33*IF(OR($C33=124,$G33=124),0,1)</f>
        <v/>
      </c>
      <c r="HV34">
        <f>HV33*IF(OR($C33=125,$G33=125),0,1)</f>
        <v/>
      </c>
      <c r="HW34">
        <f>HW33*IF(OR($C33=126,$G33=126),0,1)</f>
        <v/>
      </c>
      <c r="HX34">
        <f>HX33*IF(OR($C33=127,$G33=127),0,1)</f>
        <v/>
      </c>
      <c r="HY34">
        <f>HY33*IF(OR($C33=128,$G33=128),0,1)</f>
        <v/>
      </c>
      <c r="HZ34">
        <f>HZ33*IF(OR($C33=129,$G33=129),0,1)</f>
        <v/>
      </c>
      <c r="IA34">
        <f>IA33*IF(OR($C33=130,$G33=130),0,1)</f>
        <v/>
      </c>
      <c r="IB34">
        <f>IB33*IF(OR($C33=131,$G33=131),0,1)</f>
        <v/>
      </c>
      <c r="IC34">
        <f>IC33*IF(OR($C33=132,$G33=132),0,1)</f>
        <v/>
      </c>
      <c r="ID34">
        <f>ID33*IF(OR($C33=133,$G33=133),0,1)</f>
        <v/>
      </c>
      <c r="IE34">
        <f>IE33*IF(OR($C33=134,$G33=134),0,1)</f>
        <v/>
      </c>
      <c r="IF34">
        <f>IF33*IF(OR($C33=135,$G33=135),0,1)</f>
        <v/>
      </c>
      <c r="IG34">
        <f>IG33*IF(OR($C33=136,$G33=136),0,1)</f>
        <v/>
      </c>
      <c r="IH34">
        <f>IH33*IF(OR($C33=137,$G33=137),0,1)</f>
        <v/>
      </c>
      <c r="II34">
        <f>II33*IF(OR($C33=138,$G33=138),0,1)</f>
        <v/>
      </c>
      <c r="IJ34">
        <f>IJ33*IF(OR($C33=139,$G33=139),0,1)</f>
        <v/>
      </c>
      <c r="IK34">
        <f>IK33*IF(OR($C33=140,$G33=140),0,1)</f>
        <v/>
      </c>
      <c r="IL34">
        <f>IL33*IF(OR($C33=141,$G33=141),0,1)</f>
        <v/>
      </c>
      <c r="IM34">
        <f>IM33*IF(OR($C33=142,$G33=142),0,1)</f>
        <v/>
      </c>
      <c r="IN34">
        <f>IN33*IF(OR($C33=143,$G33=143),0,1)</f>
        <v/>
      </c>
      <c r="IO34">
        <f>IO33*IF(OR($C33=144,$G33=144),0,1)</f>
        <v/>
      </c>
      <c r="IQ34">
        <f>IF('計算A'!D$106=1,DC34,1)</f>
        <v/>
      </c>
      <c r="IR34">
        <f>IF('計算A'!E$106=1,DD34,1)</f>
        <v/>
      </c>
      <c r="IS34">
        <f>IF('計算A'!F$106=1,DE34,1)</f>
        <v/>
      </c>
      <c r="IT34">
        <f>IF('計算A'!G$106=1,DF34,1)</f>
        <v/>
      </c>
      <c r="IU34">
        <f>IF('計算A'!H$106=1,DG34,1)</f>
        <v/>
      </c>
      <c r="IV34">
        <f>IF('計算A'!I$106=1,DH34,1)</f>
        <v/>
      </c>
      <c r="IW34">
        <f>IF('計算A'!J$106=1,DI34,1)</f>
        <v/>
      </c>
      <c r="IX34">
        <f>IF('計算A'!K$106=1,DJ34,1)</f>
        <v/>
      </c>
      <c r="IY34">
        <f>IF('計算A'!L$106=1,DK34,1)</f>
        <v/>
      </c>
      <c r="IZ34">
        <f>IF('計算A'!M$106=1,DL34,1)</f>
        <v/>
      </c>
      <c r="JA34">
        <f>IF('計算A'!N$106=1,DM34,1)</f>
        <v/>
      </c>
      <c r="JB34">
        <f>IF('計算A'!O$106=1,DN34,1)</f>
        <v/>
      </c>
      <c r="JC34">
        <f>IF('計算A'!P$106=1,DO34,1)</f>
        <v/>
      </c>
      <c r="JD34">
        <f>IF('計算A'!Q$106=1,DP34,1)</f>
        <v/>
      </c>
      <c r="JE34">
        <f>IF('計算A'!R$106=1,DQ34,1)</f>
        <v/>
      </c>
      <c r="JF34">
        <f>IF('計算A'!S$106=1,DR34,1)</f>
        <v/>
      </c>
      <c r="JG34">
        <f>IF('計算A'!T$106=1,DS34,1)</f>
        <v/>
      </c>
      <c r="JH34">
        <f>IF('計算A'!U$106=1,DT34,1)</f>
        <v/>
      </c>
      <c r="JI34">
        <f>IF('計算A'!V$106=1,DU34,1)</f>
        <v/>
      </c>
      <c r="JJ34">
        <f>IF('計算A'!W$106=1,DV34,1)</f>
        <v/>
      </c>
      <c r="JK34">
        <f>IF('計算A'!X$106=1,DW34,1)</f>
        <v/>
      </c>
      <c r="JL34">
        <f>IF('計算A'!Y$106=1,DX34,1)</f>
        <v/>
      </c>
      <c r="JM34">
        <f>IF('計算A'!Z$106=1,DY34,1)</f>
        <v/>
      </c>
      <c r="JN34">
        <f>IF('計算A'!AA$106=1,DZ34,1)</f>
        <v/>
      </c>
      <c r="JO34">
        <f>IF('計算A'!AB$106=1,EA34,1)</f>
        <v/>
      </c>
      <c r="JP34">
        <f>IF('計算A'!AC$106=1,EB34,1)</f>
        <v/>
      </c>
      <c r="JQ34">
        <f>IF('計算A'!AD$106=1,EC34,1)</f>
        <v/>
      </c>
      <c r="JR34">
        <f>IF('計算A'!AE$106=1,ED34,1)</f>
        <v/>
      </c>
      <c r="JS34">
        <f>IF('計算A'!AF$106=1,EE34,1)</f>
        <v/>
      </c>
      <c r="JT34">
        <f>IF('計算A'!AG$106=1,EF34,1)</f>
        <v/>
      </c>
      <c r="JU34">
        <f>IF('計算A'!AH$106=1,EG34,1)</f>
        <v/>
      </c>
      <c r="JV34">
        <f>IF('計算A'!AI$106=1,EH34,1)</f>
        <v/>
      </c>
      <c r="JW34">
        <f>IF('計算A'!AJ$106=1,EI34,1)</f>
        <v/>
      </c>
      <c r="JX34">
        <f>IF('計算A'!AK$106=1,EJ34,1)</f>
        <v/>
      </c>
      <c r="JY34">
        <f>IF('計算A'!AL$106=1,EK34,1)</f>
        <v/>
      </c>
      <c r="JZ34">
        <f>IF('計算A'!AM$106=1,EL34,1)</f>
        <v/>
      </c>
      <c r="KA34">
        <f>IF('計算A'!AN$106=1,EM34,1)</f>
        <v/>
      </c>
      <c r="KB34">
        <f>IF('計算A'!AO$106=1,EN34,1)</f>
        <v/>
      </c>
      <c r="KC34">
        <f>IF('計算A'!AP$106=1,EO34,1)</f>
        <v/>
      </c>
      <c r="KD34">
        <f>IF('計算A'!AQ$106=1,EP34,1)</f>
        <v/>
      </c>
      <c r="KE34">
        <f>IF('計算A'!AR$106=1,EQ34,1)</f>
        <v/>
      </c>
      <c r="KF34">
        <f>IF('計算A'!AS$106=1,ER34,1)</f>
        <v/>
      </c>
      <c r="KG34">
        <f>IF('計算A'!AT$106=1,ES34,1)</f>
        <v/>
      </c>
      <c r="KH34">
        <f>IF('計算A'!AU$106=1,ET34,1)</f>
        <v/>
      </c>
      <c r="KI34">
        <f>IF('計算A'!AV$106=1,EU34,1)</f>
        <v/>
      </c>
      <c r="KJ34">
        <f>IF('計算A'!AW$106=1,EV34,1)</f>
        <v/>
      </c>
      <c r="KK34">
        <f>IF('計算A'!AX$106=1,EW34,1)</f>
        <v/>
      </c>
      <c r="KL34">
        <f>IF('計算A'!AY$106=1,EX34,1)</f>
        <v/>
      </c>
      <c r="KM34">
        <f>IF('計算A'!AZ$106=1,EY34,1)</f>
        <v/>
      </c>
      <c r="KN34">
        <f>IF('計算A'!BA$106=1,EZ34,1)</f>
        <v/>
      </c>
      <c r="KO34">
        <f>IF('計算A'!BB$106=1,FA34,1)</f>
        <v/>
      </c>
      <c r="KP34">
        <f>IF('計算A'!BC$106=1,FB34,1)</f>
        <v/>
      </c>
      <c r="KQ34">
        <f>IF('計算A'!BD$106=1,FC34,1)</f>
        <v/>
      </c>
      <c r="KR34">
        <f>IF('計算A'!BE$106=1,FD34,1)</f>
        <v/>
      </c>
      <c r="KS34">
        <f>IF('計算A'!BF$106=1,FE34,1)</f>
        <v/>
      </c>
      <c r="KT34">
        <f>IF('計算A'!BG$106=1,FF34,1)</f>
        <v/>
      </c>
      <c r="KU34">
        <f>IF('計算A'!BH$106=1,FG34,1)</f>
        <v/>
      </c>
      <c r="KV34">
        <f>IF('計算A'!BI$106=1,FH34,1)</f>
        <v/>
      </c>
      <c r="KW34">
        <f>IF('計算A'!BJ$106=1,FI34,1)</f>
        <v/>
      </c>
      <c r="KX34">
        <f>IF('計算A'!BK$106=1,FJ34,1)</f>
        <v/>
      </c>
      <c r="KY34">
        <f>IF('計算A'!BL$106=1,FK34,1)</f>
        <v/>
      </c>
      <c r="KZ34">
        <f>IF('計算A'!BM$106=1,FL34,1)</f>
        <v/>
      </c>
      <c r="LA34">
        <f>IF('計算A'!BN$106=1,FM34,1)</f>
        <v/>
      </c>
      <c r="LB34">
        <f>IF('計算A'!BO$106=1,FN34,1)</f>
        <v/>
      </c>
      <c r="LC34">
        <f>IF('計算A'!BP$106=1,FO34,1)</f>
        <v/>
      </c>
      <c r="LD34">
        <f>IF('計算A'!BQ$106=1,FP34,1)</f>
        <v/>
      </c>
      <c r="LE34">
        <f>IF('計算A'!BR$106=1,FQ34,1)</f>
        <v/>
      </c>
      <c r="LF34">
        <f>IF('計算A'!BS$106=1,FR34,1)</f>
        <v/>
      </c>
      <c r="LG34">
        <f>IF('計算A'!BT$106=1,FS34,1)</f>
        <v/>
      </c>
      <c r="LH34">
        <f>IF('計算A'!BU$106=1,FT34,1)</f>
        <v/>
      </c>
      <c r="LI34">
        <f>IF('計算A'!BV$106=1,FU34,1)</f>
        <v/>
      </c>
      <c r="LJ34">
        <f>IF('計算A'!BW$106=1,FV34,1)</f>
        <v/>
      </c>
      <c r="LK34">
        <f>IF('計算A'!BX$106=1,FW34,1)</f>
        <v/>
      </c>
      <c r="LL34">
        <f>IF('計算A'!BY$106=1,FX34,1)</f>
        <v/>
      </c>
      <c r="LM34">
        <f>IF('計算A'!BZ$106=1,FY34,1)</f>
        <v/>
      </c>
      <c r="LN34">
        <f>IF('計算A'!CA$106=1,FZ34,1)</f>
        <v/>
      </c>
      <c r="LO34">
        <f>IF('計算A'!CB$106=1,GA34,1)</f>
        <v/>
      </c>
      <c r="LP34">
        <f>IF('計算A'!CC$106=1,GB34,1)</f>
        <v/>
      </c>
      <c r="LQ34">
        <f>IF('計算A'!CD$106=1,GC34,1)</f>
        <v/>
      </c>
      <c r="LR34">
        <f>IF('計算A'!CE$106=1,GD34,1)</f>
        <v/>
      </c>
      <c r="LS34">
        <f>IF('計算A'!CF$106=1,GE34,1)</f>
        <v/>
      </c>
      <c r="LT34">
        <f>IF('計算A'!CG$106=1,GF34,1)</f>
        <v/>
      </c>
      <c r="LU34">
        <f>IF('計算A'!CH$106=1,GG34,1)</f>
        <v/>
      </c>
      <c r="LV34">
        <f>IF('計算A'!CI$106=1,GH34,1)</f>
        <v/>
      </c>
      <c r="LW34">
        <f>IF('計算A'!CJ$106=1,GI34,1)</f>
        <v/>
      </c>
      <c r="LX34">
        <f>IF('計算A'!CK$106=1,GJ34,1)</f>
        <v/>
      </c>
      <c r="LY34">
        <f>IF('計算A'!CL$106=1,GK34,1)</f>
        <v/>
      </c>
      <c r="LZ34">
        <f>IF('計算A'!CM$106=1,GL34,1)</f>
        <v/>
      </c>
      <c r="MA34">
        <f>IF('計算A'!CN$106=1,GM34,1)</f>
        <v/>
      </c>
      <c r="MB34">
        <f>IF('計算A'!CO$106=1,GN34,1)</f>
        <v/>
      </c>
      <c r="MC34">
        <f>IF('計算A'!CP$106=1,GO34,1)</f>
        <v/>
      </c>
      <c r="MD34">
        <f>IF('計算A'!CQ$106=1,GP34,1)</f>
        <v/>
      </c>
      <c r="ME34">
        <f>IF('計算A'!CR$106=1,GQ34,1)</f>
        <v/>
      </c>
      <c r="MF34">
        <f>IF('計算A'!CS$106=1,GR34,1)</f>
        <v/>
      </c>
      <c r="MG34">
        <f>IF('計算A'!CT$106=1,GS34,1)</f>
        <v/>
      </c>
      <c r="MH34">
        <f>IF('計算A'!CU$106=1,GT34,1)</f>
        <v/>
      </c>
      <c r="MI34">
        <f>IF('計算A'!CV$106=1,GU34,1)</f>
        <v/>
      </c>
      <c r="MJ34">
        <f>IF('計算A'!CW$106=1,GV34,1)</f>
        <v/>
      </c>
      <c r="MK34">
        <f>IF('計算A'!CX$106=1,GW34,1)</f>
        <v/>
      </c>
      <c r="ML34">
        <f>IF('計算A'!CY$106=1,GX34,1)</f>
        <v/>
      </c>
      <c r="MM34">
        <f>IF('計算A'!CZ$106=1,GY34,1)</f>
        <v/>
      </c>
      <c r="MN34">
        <f>IF('計算A'!DA$106=1,GZ34,1)</f>
        <v/>
      </c>
      <c r="MO34">
        <f>IF('計算A'!DB$106=1,HA34,1)</f>
        <v/>
      </c>
      <c r="MP34">
        <f>IF('計算A'!DC$106=1,HB34,1)</f>
        <v/>
      </c>
      <c r="MQ34">
        <f>IF('計算A'!DD$106=1,HC34,1)</f>
        <v/>
      </c>
      <c r="MR34">
        <f>IF('計算A'!DE$106=1,HD34,1)</f>
        <v/>
      </c>
      <c r="MS34">
        <f>IF('計算A'!DF$106=1,HE34,1)</f>
        <v/>
      </c>
      <c r="MT34">
        <f>IF('計算A'!DG$106=1,HF34,1)</f>
        <v/>
      </c>
      <c r="MU34">
        <f>IF('計算A'!DH$106=1,HG34,1)</f>
        <v/>
      </c>
      <c r="MV34">
        <f>IF('計算A'!DI$106=1,HH34,1)</f>
        <v/>
      </c>
      <c r="MW34">
        <f>IF('計算A'!DJ$106=1,HI34,1)</f>
        <v/>
      </c>
      <c r="MX34">
        <f>IF('計算A'!DK$106=1,HJ34,1)</f>
        <v/>
      </c>
      <c r="MY34">
        <f>IF('計算A'!DL$106=1,HK34,1)</f>
        <v/>
      </c>
      <c r="MZ34">
        <f>IF('計算A'!DM$106=1,HL34,1)</f>
        <v/>
      </c>
      <c r="NA34">
        <f>IF('計算A'!DN$106=1,HM34,1)</f>
        <v/>
      </c>
      <c r="NB34">
        <f>IF('計算A'!DO$106=1,HN34,1)</f>
        <v/>
      </c>
      <c r="NC34">
        <f>IF('計算A'!DP$106=1,HO34,1)</f>
        <v/>
      </c>
      <c r="ND34">
        <f>IF('計算A'!DQ$106=1,HP34,1)</f>
        <v/>
      </c>
      <c r="NE34">
        <f>IF('計算A'!DR$106=1,HQ34,1)</f>
        <v/>
      </c>
      <c r="NF34">
        <f>IF('計算A'!DS$106=1,HR34,1)</f>
        <v/>
      </c>
      <c r="NG34">
        <f>IF('計算A'!DT$106=1,HS34,1)</f>
        <v/>
      </c>
      <c r="NH34">
        <f>IF('計算A'!DU$106=1,HT34,1)</f>
        <v/>
      </c>
      <c r="NI34">
        <f>IF('計算A'!DV$106=1,HU34,1)</f>
        <v/>
      </c>
      <c r="NJ34">
        <f>IF('計算A'!DW$106=1,HV34,1)</f>
        <v/>
      </c>
      <c r="NK34">
        <f>IF('計算A'!DX$106=1,HW34,1)</f>
        <v/>
      </c>
      <c r="NL34">
        <f>IF('計算A'!DY$106=1,HX34,1)</f>
        <v/>
      </c>
      <c r="NM34">
        <f>IF('計算A'!DZ$106=1,HY34,1)</f>
        <v/>
      </c>
      <c r="NN34">
        <f>IF('計算A'!EA$106=1,HZ34,1)</f>
        <v/>
      </c>
      <c r="NO34">
        <f>IF('計算A'!EB$106=1,IA34,1)</f>
        <v/>
      </c>
      <c r="NP34">
        <f>IF('計算A'!EC$106=1,IB34,1)</f>
        <v/>
      </c>
      <c r="NQ34">
        <f>IF('計算A'!ED$106=1,IC34,1)</f>
        <v/>
      </c>
      <c r="NR34">
        <f>IF('計算A'!EE$106=1,ID34,1)</f>
        <v/>
      </c>
      <c r="NS34">
        <f>IF('計算A'!EF$106=1,IE34,1)</f>
        <v/>
      </c>
      <c r="NT34">
        <f>IF('計算A'!EG$106=1,IF34,1)</f>
        <v/>
      </c>
      <c r="NU34">
        <f>IF('計算A'!EH$106=1,IG34,1)</f>
        <v/>
      </c>
      <c r="NV34">
        <f>IF('計算A'!EI$106=1,IH34,1)</f>
        <v/>
      </c>
      <c r="NW34">
        <f>IF('計算A'!EJ$106=1,II34,1)</f>
        <v/>
      </c>
      <c r="NX34">
        <f>IF('計算A'!EK$106=1,IJ34,1)</f>
        <v/>
      </c>
      <c r="NY34">
        <f>IF('計算A'!EL$106=1,IK34,1)</f>
        <v/>
      </c>
      <c r="NZ34">
        <f>IF('計算A'!EM$106=1,IL34,1)</f>
        <v/>
      </c>
      <c r="OA34">
        <f>IF('計算A'!EN$106=1,IM34,1)</f>
        <v/>
      </c>
      <c r="OB34">
        <f>IF('計算A'!EO$106=1,IN34,1)</f>
        <v/>
      </c>
      <c r="OC34">
        <f>IF('計算A'!EP$106=1,IO34,1)</f>
        <v/>
      </c>
      <c r="OD34" t="n">
        <v>1</v>
      </c>
      <c r="OF34">
        <f>IF($B34=0,1000000,IF(INDEX('計算A'!$D$60:$EQ$104,$B34,1)*DB34=1,IF(AND($E34=2,IQ34=0),1000000,IF($I34&gt;0,IF(1=$J34,IF(OR(AND(1=$I34+1,OR($K34&lt;&gt;'計算A'!$A$3,'計算A'!$A$4=0)),AND(1=$I34-1,OR(1&lt;&gt;'計算A'!$A$3,'計算A'!$A$4=0))),0,IF(1=$K34,200000,ABS(1-$K34)*100)),100000+ABS(1-$J34)*1000+10)+'計算A'!D$5*50+IF(AND($E34=1,IQ34=0),25,0),INDEX('計算A'!D$110:D$114,$F34+1)+IF(AND($E34=1,IQ34=0),1000,0)+IF($H34=1,(IF('計算A'!D$117=1,INDEX('計算A'!E$10:E$54,$B34),0))*500,0)-IF(AND($L34=1,'計算A'!D$117=1,DC34=0),300,0))),1000000))</f>
        <v/>
      </c>
      <c r="OG34">
        <f>IF($B34=0,1000000,IF(INDEX('計算A'!$D$60:$EQ$104,$B34,2)*DC34=1,IF(AND($E34=2,IR34=0),1000000,IF($I34&gt;0,IF(1=$J34,IF(OR(AND(2=$I34+1,OR($K34&lt;&gt;'計算A'!$A$3,'計算A'!$A$4=0)),AND(2=$I34-1,OR(2&lt;&gt;'計算A'!$A$3,'計算A'!$A$4=0))),0,IF(2=$K34,200000,ABS(2-$K34)*100)),100000+ABS(1-$J34)*1000+20)+'計算A'!E$5*50+IF(AND($E34=1,IR34=0),25,0),INDEX('計算A'!E$110:E$114,$F34+1)+IF(AND($E34=1,IR34=0),1000,0)+IF($H34=1,(IF('計算A'!D$117=1,INDEX('計算A'!D$10:D$54,$B34),0)+IF('計算A'!E$117=1,INDEX('計算A'!F$10:F$54,$B34),0))*500,0)-IF(AND('計算A'!D$117=1,UB34&gt;0),300,0)-IF(AND($L34=1,'計算A'!E$117=1,DD34=0),300,0))),1000000))</f>
        <v/>
      </c>
      <c r="OH34">
        <f>IF($B34=0,1000000,IF(INDEX('計算A'!$D$60:$EQ$104,$B34,3)*DD34=1,IF(AND($E34=2,IS34=0),1000000,IF($I34&gt;0,IF(1=$J34,IF(OR(AND(3=$I34+1,OR($K34&lt;&gt;'計算A'!$A$3,'計算A'!$A$4=0)),AND(3=$I34-1,OR(3&lt;&gt;'計算A'!$A$3,'計算A'!$A$4=0))),0,IF(3=$K34,200000,ABS(3-$K34)*100)),100000+ABS(1-$J34)*1000+30)+'計算A'!F$5*50+IF(AND($E34=1,IS34=0),25,0),INDEX('計算A'!F$110:F$114,$F34+1)+IF(AND($E34=1,IS34=0),1000,0)+IF($H34=1,(IF('計算A'!E$117=1,INDEX('計算A'!E$10:E$54,$B34),0)+IF('計算A'!F$117=1,INDEX('計算A'!G$10:G$54,$B34),0))*500,0)-IF(AND('計算A'!E$117=1,UC34&gt;0),300,0)-IF(AND($L34=1,'計算A'!F$117=1,DE34=0),300,0))),1000000))</f>
        <v/>
      </c>
      <c r="OI34">
        <f>IF($B34=0,1000000,IF(INDEX('計算A'!$D$60:$EQ$104,$B34,4)*DE34=1,IF(AND($E34=2,IT34=0),1000000,IF($I34&gt;0,IF(1=$J34,IF(OR(AND(4=$I34+1,OR($K34&lt;&gt;'計算A'!$A$3,'計算A'!$A$4=0)),AND(4=$I34-1,OR(4&lt;&gt;'計算A'!$A$3,'計算A'!$A$4=0))),0,IF(4=$K34,200000,ABS(4-$K34)*100)),100000+ABS(1-$J34)*1000+40)+'計算A'!G$5*50+IF(AND($E34=1,IT34=0),25,0),INDEX('計算A'!G$110:G$114,$F34+1)+IF(AND($E34=1,IT34=0),1000,0)+IF($H34=1,(IF('計算A'!F$117=1,INDEX('計算A'!F$10:F$54,$B34),0)+IF('計算A'!G$117=1,INDEX('計算A'!H$10:H$54,$B34),0))*500,0)-IF(AND('計算A'!F$117=1,UD34&gt;0),300,0)-IF(AND($L34=1,'計算A'!G$117=1,DF34=0),300,0))),1000000))</f>
        <v/>
      </c>
      <c r="OJ34">
        <f>IF($B34=0,1000000,IF(INDEX('計算A'!$D$60:$EQ$104,$B34,5)*DF34=1,IF(AND($E34=2,IU34=0),1000000,IF($I34&gt;0,IF(1=$J34,IF(OR(AND(5=$I34+1,OR($K34&lt;&gt;'計算A'!$A$3,'計算A'!$A$4=0)),AND(5=$I34-1,OR(5&lt;&gt;'計算A'!$A$3,'計算A'!$A$4=0))),0,IF(5=$K34,200000,ABS(5-$K34)*100)),100000+ABS(1-$J34)*1000+50)+'計算A'!H$5*50+IF(AND($E34=1,IU34=0),25,0),INDEX('計算A'!H$110:H$114,$F34+1)+IF(AND($E34=1,IU34=0),1000,0)+IF($H34=1,(IF('計算A'!G$117=1,INDEX('計算A'!G$10:G$54,$B34),0)+IF('計算A'!H$117=1,INDEX('計算A'!I$10:I$54,$B34),0))*500,0)-IF(AND('計算A'!G$117=1,UE34&gt;0),300,0)-IF(AND($L34=1,'計算A'!H$117=1,DG34=0),300,0))),1000000))</f>
        <v/>
      </c>
      <c r="OK34">
        <f>IF($B34=0,1000000,IF(INDEX('計算A'!$D$60:$EQ$104,$B34,6)*DG34=1,IF(AND($E34=2,IV34=0),1000000,IF($I34&gt;0,IF(1=$J34,IF(OR(AND(6=$I34+1,OR($K34&lt;&gt;'計算A'!$A$3,'計算A'!$A$4=0)),AND(6=$I34-1,OR(6&lt;&gt;'計算A'!$A$3,'計算A'!$A$4=0))),0,IF(6=$K34,200000,ABS(6-$K34)*100)),100000+ABS(1-$J34)*1000+60)+'計算A'!I$5*50+IF(AND($E34=1,IV34=0),25,0),INDEX('計算A'!I$110:I$114,$F34+1)+IF(AND($E34=1,IV34=0),1000,0)+IF($H34=1,(IF('計算A'!H$117=1,INDEX('計算A'!H$10:H$54,$B34),0)+IF('計算A'!I$117=1,INDEX('計算A'!J$10:J$54,$B34),0))*500,0)-IF(AND('計算A'!H$117=1,UF34&gt;0),300,0)-IF(AND($L34=1,'計算A'!I$117=1,DH34=0),300,0))),1000000))</f>
        <v/>
      </c>
      <c r="OL34">
        <f>IF($B34=0,1000000,IF(INDEX('計算A'!$D$60:$EQ$104,$B34,7)*DH34=1,IF(AND($E34=2,IW34=0),1000000,IF($I34&gt;0,IF(1=$J34,IF(OR(AND(7=$I34+1,OR($K34&lt;&gt;'計算A'!$A$3,'計算A'!$A$4=0)),AND(7=$I34-1,OR(7&lt;&gt;'計算A'!$A$3,'計算A'!$A$4=0))),0,IF(7=$K34,200000,ABS(7-$K34)*100)),100000+ABS(1-$J34)*1000+70)+'計算A'!J$5*50+IF(AND($E34=1,IW34=0),25,0),INDEX('計算A'!J$110:J$114,$F34+1)+IF(AND($E34=1,IW34=0),1000,0)+IF($H34=1,(IF('計算A'!I$117=1,INDEX('計算A'!I$10:I$54,$B34),0)+IF('計算A'!J$117=1,INDEX('計算A'!K$10:K$54,$B34),0))*500,0)-IF(AND('計算A'!I$117=1,UG34&gt;0),300,0)-IF(AND($L34=1,'計算A'!J$117=1,DI34=0),300,0))),1000000))</f>
        <v/>
      </c>
      <c r="OM34">
        <f>IF($B34=0,1000000,IF(INDEX('計算A'!$D$60:$EQ$104,$B34,8)*DI34=1,IF(AND($E34=2,IX34=0),1000000,IF($I34&gt;0,IF(1=$J34,IF(OR(AND(8=$I34+1,OR($K34&lt;&gt;'計算A'!$A$3,'計算A'!$A$4=0)),AND(8=$I34-1,OR(8&lt;&gt;'計算A'!$A$3,'計算A'!$A$4=0))),0,IF(8=$K34,200000,ABS(8-$K34)*100)),100000+ABS(1-$J34)*1000+80)+'計算A'!K$5*50+IF(AND($E34=1,IX34=0),25,0),INDEX('計算A'!K$110:K$114,$F34+1)+IF(AND($E34=1,IX34=0),1000,0)+IF($H34=1,(IF('計算A'!J$117=1,INDEX('計算A'!J$10:J$54,$B34),0)+IF('計算A'!K$117=1,INDEX('計算A'!L$10:L$54,$B34),0))*500,0)-IF(AND('計算A'!J$117=1,UH34&gt;0),300,0)-IF(AND($L34=1,'計算A'!K$117=1,DJ34=0),300,0))),1000000))</f>
        <v/>
      </c>
      <c r="ON34">
        <f>IF($B34=0,1000000,IF(INDEX('計算A'!$D$60:$EQ$104,$B34,9)*DJ34=1,IF(AND($E34=2,IY34=0),1000000,IF($I34&gt;0,IF(1=$J34,IF(OR(AND(9=$I34+1,OR($K34&lt;&gt;'計算A'!$A$3,'計算A'!$A$4=0)),AND(9=$I34-1,OR(9&lt;&gt;'計算A'!$A$3,'計算A'!$A$4=0))),0,IF(9=$K34,200000,ABS(9-$K34)*100)),100000+ABS(1-$J34)*1000+90)+'計算A'!L$5*50+IF(AND($E34=1,IY34=0),25,0),INDEX('計算A'!L$110:L$114,$F34+1)+IF(AND($E34=1,IY34=0),1000,0)+IF($H34=1,(IF('計算A'!K$117=1,INDEX('計算A'!K$10:K$54,$B34),0)+IF('計算A'!L$117=1,INDEX('計算A'!M$10:M$54,$B34),0))*500,0)-IF(AND('計算A'!K$117=1,UI34&gt;0),300,0)-IF(AND($L34=1,'計算A'!L$117=1,DK34=0),300,0))),1000000))</f>
        <v/>
      </c>
      <c r="OO34">
        <f>IF($B34=0,1000000,IF(INDEX('計算A'!$D$60:$EQ$104,$B34,10)*DK34=1,IF(AND($E34=2,IZ34=0),1000000,IF($I34&gt;0,IF(1=$J34,IF(OR(AND(10=$I34+1,OR($K34&lt;&gt;'計算A'!$A$3,'計算A'!$A$4=0)),AND(10=$I34-1,OR(10&lt;&gt;'計算A'!$A$3,'計算A'!$A$4=0))),0,IF(10=$K34,200000,ABS(10-$K34)*100)),100000+ABS(1-$J34)*1000+100)+'計算A'!M$5*50+IF(AND($E34=1,IZ34=0),25,0),INDEX('計算A'!M$110:M$114,$F34+1)+IF(AND($E34=1,IZ34=0),1000,0)+IF($H34=1,(IF('計算A'!L$117=1,INDEX('計算A'!L$10:L$54,$B34),0)+IF('計算A'!M$117=1,INDEX('計算A'!N$10:N$54,$B34),0))*500,0)-IF(AND('計算A'!L$117=1,UJ34&gt;0),300,0)-IF(AND($L34=1,'計算A'!M$117=1,DL34=0),300,0))),1000000))</f>
        <v/>
      </c>
      <c r="OP34">
        <f>IF($B34=0,1000000,IF(INDEX('計算A'!$D$60:$EQ$104,$B34,11)*DL34=1,IF(AND($E34=2,JA34=0),1000000,IF($I34&gt;0,IF(1=$J34,IF(OR(AND(11=$I34+1,OR($K34&lt;&gt;'計算A'!$A$3,'計算A'!$A$4=0)),AND(11=$I34-1,OR(11&lt;&gt;'計算A'!$A$3,'計算A'!$A$4=0))),0,IF(11=$K34,200000,ABS(11-$K34)*100)),100000+ABS(1-$J34)*1000+110)+'計算A'!N$5*50+IF(AND($E34=1,JA34=0),25,0),INDEX('計算A'!N$110:N$114,$F34+1)+IF(AND($E34=1,JA34=0),1000,0)+IF($H34=1,(IF('計算A'!M$117=1,INDEX('計算A'!M$10:M$54,$B34),0)+IF('計算A'!N$117=1,INDEX('計算A'!O$10:O$54,$B34),0))*500,0)-IF(AND('計算A'!M$117=1,UK34&gt;0),300,0)-IF(AND($L34=1,'計算A'!N$117=1,DM34=0),300,0))),1000000))</f>
        <v/>
      </c>
      <c r="OQ34">
        <f>IF($B34=0,1000000,IF(INDEX('計算A'!$D$60:$EQ$104,$B34,12)*DM34=1,IF(AND($E34=2,JB34=0),1000000,IF($I34&gt;0,IF(1=$J34,IF(OR(AND(12=$I34+1,OR($K34&lt;&gt;'計算A'!$A$3,'計算A'!$A$4=0)),AND(12=$I34-1,OR(12&lt;&gt;'計算A'!$A$3,'計算A'!$A$4=0))),0,IF(12=$K34,200000,ABS(12-$K34)*100)),100000+ABS(1-$J34)*1000+120)+'計算A'!O$5*50+IF(AND($E34=1,JB34=0),25,0),INDEX('計算A'!O$110:O$114,$F34+1)+IF(AND($E34=1,JB34=0),1000,0)+IF($H34=1,(IF('計算A'!N$117=1,INDEX('計算A'!N$10:N$54,$B34),0)+IF('計算A'!O$117=1,INDEX('計算A'!P$10:P$54,$B34),0))*500,0)-IF(AND('計算A'!N$117=1,UL34&gt;0),300,0)-IF(AND($L34=1,'計算A'!O$117=1,DN34=0),300,0))),1000000))</f>
        <v/>
      </c>
      <c r="OR34">
        <f>IF($B34=0,1000000,IF(INDEX('計算A'!$D$60:$EQ$104,$B34,13)*DN34=1,IF(AND($E34=2,JC34=0),1000000,IF($I34&gt;0,IF(1=$J34,IF(OR(AND(13=$I34+1,OR($K34&lt;&gt;'計算A'!$A$3,'計算A'!$A$4=0)),AND(13=$I34-1,OR(13&lt;&gt;'計算A'!$A$3,'計算A'!$A$4=0))),0,IF(13=$K34,200000,ABS(13-$K34)*100)),100000+ABS(1-$J34)*1000+130)+'計算A'!P$5*50+IF(AND($E34=1,JC34=0),25,0),INDEX('計算A'!P$110:P$114,$F34+1)+IF(AND($E34=1,JC34=0),1000,0)+IF($H34=1,(IF('計算A'!O$117=1,INDEX('計算A'!O$10:O$54,$B34),0)+IF('計算A'!P$117=1,INDEX('計算A'!Q$10:Q$54,$B34),0))*500,0)-IF(AND('計算A'!O$117=1,UM34&gt;0),300,0)-IF(AND($L34=1,'計算A'!P$117=1,DO34=0),300,0))),1000000))</f>
        <v/>
      </c>
      <c r="OS34">
        <f>IF($B34=0,1000000,IF(INDEX('計算A'!$D$60:$EQ$104,$B34,14)*DO34=1,IF(AND($E34=2,JD34=0),1000000,IF($I34&gt;0,IF(1=$J34,IF(OR(AND(14=$I34+1,OR($K34&lt;&gt;'計算A'!$A$3,'計算A'!$A$4=0)),AND(14=$I34-1,OR(14&lt;&gt;'計算A'!$A$3,'計算A'!$A$4=0))),0,IF(14=$K34,200000,ABS(14-$K34)*100)),100000+ABS(1-$J34)*1000+140)+'計算A'!Q$5*50+IF(AND($E34=1,JD34=0),25,0),INDEX('計算A'!Q$110:Q$114,$F34+1)+IF(AND($E34=1,JD34=0),1000,0)+IF($H34=1,(IF('計算A'!P$117=1,INDEX('計算A'!P$10:P$54,$B34),0)+IF('計算A'!Q$117=1,INDEX('計算A'!R$10:R$54,$B34),0))*500,0)-IF(AND('計算A'!P$117=1,UN34&gt;0),300,0)-IF(AND($L34=1,'計算A'!Q$117=1,DP34=0),300,0))),1000000))</f>
        <v/>
      </c>
      <c r="OT34">
        <f>IF($B34=0,1000000,IF(INDEX('計算A'!$D$60:$EQ$104,$B34,15)*DP34=1,IF(AND($E34=2,JE34=0),1000000,IF($I34&gt;0,IF(1=$J34,IF(OR(AND(15=$I34+1,OR($K34&lt;&gt;'計算A'!$A$3,'計算A'!$A$4=0)),AND(15=$I34-1,OR(15&lt;&gt;'計算A'!$A$3,'計算A'!$A$4=0))),0,IF(15=$K34,200000,ABS(15-$K34)*100)),100000+ABS(1-$J34)*1000+150)+'計算A'!R$5*50+IF(AND($E34=1,JE34=0),25,0),INDEX('計算A'!R$110:R$114,$F34+1)+IF(AND($E34=1,JE34=0),1000,0)+IF($H34=1,(IF('計算A'!Q$117=1,INDEX('計算A'!Q$10:Q$54,$B34),0)+IF('計算A'!R$117=1,INDEX('計算A'!S$10:S$54,$B34),0))*500,0)-IF(AND('計算A'!Q$117=1,UO34&gt;0),300,0)-IF(AND($L34=1,'計算A'!R$117=1,DQ34=0),300,0))),1000000))</f>
        <v/>
      </c>
      <c r="OU34">
        <f>IF($B34=0,1000000,IF(INDEX('計算A'!$D$60:$EQ$104,$B34,16)*DQ34=1,IF(AND($E34=2,JF34=0),1000000,IF($I34&gt;0,IF(1=$J34,IF(OR(AND(16=$I34+1,OR($K34&lt;&gt;'計算A'!$A$3,'計算A'!$A$4=0)),AND(16=$I34-1,OR(16&lt;&gt;'計算A'!$A$3,'計算A'!$A$4=0))),0,IF(16=$K34,200000,ABS(16-$K34)*100)),100000+ABS(1-$J34)*1000+160)+'計算A'!S$5*50+IF(AND($E34=1,JF34=0),25,0),INDEX('計算A'!S$110:S$114,$F34+1)+IF(AND($E34=1,JF34=0),1000,0)+IF($H34=1,(IF('計算A'!R$117=1,INDEX('計算A'!R$10:R$54,$B34),0)+IF('計算A'!S$117=1,INDEX('計算A'!T$10:T$54,$B34),0))*500,0)-IF(AND('計算A'!R$117=1,UP34&gt;0),300,0)-IF(AND($L34=1,'計算A'!S$117=1,DR34=0),300,0))),1000000))</f>
        <v/>
      </c>
      <c r="OV34">
        <f>IF($B34=0,1000000,IF(INDEX('計算A'!$D$60:$EQ$104,$B34,17)*DR34=1,IF(AND($E34=2,JG34=0),1000000,IF($I34&gt;0,IF(1=$J34,IF(OR(AND(17=$I34+1,OR($K34&lt;&gt;'計算A'!$A$3,'計算A'!$A$4=0)),AND(17=$I34-1,OR(17&lt;&gt;'計算A'!$A$3,'計算A'!$A$4=0))),0,IF(17=$K34,200000,ABS(17-$K34)*100)),100000+ABS(1-$J34)*1000+170)+'計算A'!T$5*50+IF(AND($E34=1,JG34=0),25,0),INDEX('計算A'!T$110:T$114,$F34+1)+IF(AND($E34=1,JG34=0),1000,0)+IF($H34=1,(IF('計算A'!S$117=1,INDEX('計算A'!S$10:S$54,$B34),0)+IF('計算A'!T$117=1,INDEX('計算A'!U$10:U$54,$B34),0))*500,0)-IF(AND('計算A'!S$117=1,UQ34&gt;0),300,0)-IF(AND($L34=1,'計算A'!T$117=1,DS34=0),300,0))),1000000))</f>
        <v/>
      </c>
      <c r="OW34">
        <f>IF($B34=0,1000000,IF(INDEX('計算A'!$D$60:$EQ$104,$B34,18)*DS34=1,IF(AND($E34=2,JH34=0),1000000,IF($I34&gt;0,IF(1=$J34,IF(OR(AND(18=$I34+1,OR($K34&lt;&gt;'計算A'!$A$3,'計算A'!$A$4=0)),AND(18=$I34-1,OR(18&lt;&gt;'計算A'!$A$3,'計算A'!$A$4=0))),0,IF(18=$K34,200000,ABS(18-$K34)*100)),100000+ABS(1-$J34)*1000+180)+'計算A'!U$5*50+IF(AND($E34=1,JH34=0),25,0),INDEX('計算A'!U$110:U$114,$F34+1)+IF(AND($E34=1,JH34=0),1000,0)+IF($H34=1,(IF('計算A'!T$117=1,INDEX('計算A'!T$10:T$54,$B34),0)+IF('計算A'!U$117=1,INDEX('計算A'!V$10:V$54,$B34),0))*500,0)-IF(AND('計算A'!T$117=1,UR34&gt;0),300,0)-IF(AND($L34=1,'計算A'!U$117=1,DT34=0),300,0))),1000000))</f>
        <v/>
      </c>
      <c r="OX34">
        <f>IF($B34=0,1000000,IF(INDEX('計算A'!$D$60:$EQ$104,$B34,19)*DT34=1,IF(AND($E34=2,JI34=0),1000000,IF($I34&gt;0,IF(1=$J34,IF(OR(AND(19=$I34+1,OR($K34&lt;&gt;'計算A'!$A$3,'計算A'!$A$4=0)),AND(19=$I34-1,OR(19&lt;&gt;'計算A'!$A$3,'計算A'!$A$4=0))),0,IF(19=$K34,200000,ABS(19-$K34)*100)),100000+ABS(1-$J34)*1000+190)+'計算A'!V$5*50+IF(AND($E34=1,JI34=0),25,0),INDEX('計算A'!V$110:V$114,$F34+1)+IF(AND($E34=1,JI34=0),1000,0)+IF($H34=1,(IF('計算A'!U$117=1,INDEX('計算A'!U$10:U$54,$B34),0)+IF('計算A'!V$117=1,INDEX('計算A'!W$10:W$54,$B34),0))*500,0)-IF(AND('計算A'!U$117=1,US34&gt;0),300,0)-IF(AND($L34=1,'計算A'!V$117=1,DU34=0),300,0))),1000000))</f>
        <v/>
      </c>
      <c r="OY34">
        <f>IF($B34=0,1000000,IF(INDEX('計算A'!$D$60:$EQ$104,$B34,20)*DU34=1,IF(AND($E34=2,JJ34=0),1000000,IF($I34&gt;0,IF(1=$J34,IF(OR(AND(20=$I34+1,OR($K34&lt;&gt;'計算A'!$A$3,'計算A'!$A$4=0)),AND(20=$I34-1,OR(20&lt;&gt;'計算A'!$A$3,'計算A'!$A$4=0))),0,IF(20=$K34,200000,ABS(20-$K34)*100)),100000+ABS(1-$J34)*1000+200)+'計算A'!W$5*50+IF(AND($E34=1,JJ34=0),25,0),INDEX('計算A'!W$110:W$114,$F34+1)+IF(AND($E34=1,JJ34=0),1000,0)+IF($H34=1,(IF('計算A'!V$117=1,INDEX('計算A'!V$10:V$54,$B34),0)+IF('計算A'!W$117=1,INDEX('計算A'!X$10:X$54,$B34),0))*500,0)-IF(AND('計算A'!V$117=1,UT34&gt;0),300,0)-IF(AND($L34=1,'計算A'!W$117=1,DV34=0),300,0))),1000000))</f>
        <v/>
      </c>
      <c r="OZ34">
        <f>IF($B34=0,1000000,IF(INDEX('計算A'!$D$60:$EQ$104,$B34,21)*DV34=1,IF(AND($E34=2,JK34=0),1000000,IF($I34&gt;0,IF(1=$J34,IF(OR(AND(21=$I34+1,OR($K34&lt;&gt;'計算A'!$A$3,'計算A'!$A$4=0)),AND(21=$I34-1,OR(21&lt;&gt;'計算A'!$A$3,'計算A'!$A$4=0))),0,IF(21=$K34,200000,ABS(21-$K34)*100)),100000+ABS(1-$J34)*1000+210)+'計算A'!X$5*50+IF(AND($E34=1,JK34=0),25,0),INDEX('計算A'!X$110:X$114,$F34+1)+IF(AND($E34=1,JK34=0),1000,0)+IF($H34=1,(IF('計算A'!W$117=1,INDEX('計算A'!W$10:W$54,$B34),0)+IF('計算A'!X$117=1,INDEX('計算A'!Y$10:Y$54,$B34),0))*500,0)-IF(AND('計算A'!W$117=1,UU34&gt;0),300,0)-IF(AND($L34=1,'計算A'!X$117=1,DW34=0),300,0))),1000000))</f>
        <v/>
      </c>
      <c r="PA34">
        <f>IF($B34=0,1000000,IF(INDEX('計算A'!$D$60:$EQ$104,$B34,22)*DW34=1,IF(AND($E34=2,JL34=0),1000000,IF($I34&gt;0,IF(1=$J34,IF(OR(AND(22=$I34+1,OR($K34&lt;&gt;'計算A'!$A$3,'計算A'!$A$4=0)),AND(22=$I34-1,OR(22&lt;&gt;'計算A'!$A$3,'計算A'!$A$4=0))),0,IF(22=$K34,200000,ABS(22-$K34)*100)),100000+ABS(1-$J34)*1000+220)+'計算A'!Y$5*50+IF(AND($E34=1,JL34=0),25,0),INDEX('計算A'!Y$110:Y$114,$F34+1)+IF(AND($E34=1,JL34=0),1000,0)+IF($H34=1,(IF('計算A'!X$117=1,INDEX('計算A'!X$10:X$54,$B34),0)+IF('計算A'!Y$117=1,INDEX('計算A'!Z$10:Z$54,$B34),0))*500,0)-IF(AND('計算A'!X$117=1,UV34&gt;0),300,0)-IF(AND($L34=1,'計算A'!Y$117=1,DX34=0),300,0))),1000000))</f>
        <v/>
      </c>
      <c r="PB34">
        <f>IF($B34=0,1000000,IF(INDEX('計算A'!$D$60:$EQ$104,$B34,23)*DX34=1,IF(AND($E34=2,JM34=0),1000000,IF($I34&gt;0,IF(1=$J34,IF(OR(AND(23=$I34+1,OR($K34&lt;&gt;'計算A'!$A$3,'計算A'!$A$4=0)),AND(23=$I34-1,OR(23&lt;&gt;'計算A'!$A$3,'計算A'!$A$4=0))),0,IF(23=$K34,200000,ABS(23-$K34)*100)),100000+ABS(1-$J34)*1000+230)+'計算A'!Z$5*50+IF(AND($E34=1,JM34=0),25,0),INDEX('計算A'!Z$110:Z$114,$F34+1)+IF(AND($E34=1,JM34=0),1000,0)+IF($H34=1,(IF('計算A'!Y$117=1,INDEX('計算A'!Y$10:Y$54,$B34),0)+IF('計算A'!Z$117=1,INDEX('計算A'!AA$10:AA$54,$B34),0))*500,0)-IF(AND('計算A'!Y$117=1,UW34&gt;0),300,0)-IF(AND($L34=1,'計算A'!Z$117=1,DY34=0),300,0))),1000000))</f>
        <v/>
      </c>
      <c r="PC34">
        <f>IF($B34=0,1000000,IF(INDEX('計算A'!$D$60:$EQ$104,$B34,24)*DY34=1,IF(AND($E34=2,JN34=0),1000000,IF($I34&gt;0,IF(1=$J34,IF(OR(AND(24=$I34+1,OR($K34&lt;&gt;'計算A'!$A$3,'計算A'!$A$4=0)),AND(24=$I34-1,OR(24&lt;&gt;'計算A'!$A$3,'計算A'!$A$4=0))),0,IF(24=$K34,200000,ABS(24-$K34)*100)),100000+ABS(1-$J34)*1000+240)+'計算A'!AA$5*50+IF(AND($E34=1,JN34=0),25,0),INDEX('計算A'!AA$110:AA$114,$F34+1)+IF(AND($E34=1,JN34=0),1000,0)+IF($H34=1,(IF('計算A'!Z$117=1,INDEX('計算A'!Z$10:Z$54,$B34),0))*500,0)-IF(AND('計算A'!Z$117=1,UX34&gt;0),300,0))),1000000))</f>
        <v/>
      </c>
      <c r="PD34">
        <f>IF($B34=0,1000000,IF(INDEX('計算A'!$D$60:$EQ$104,$B34,25)*DZ34=1,IF(AND($E34=2,JO34=0),1000000,IF($I34&gt;0,IF(2=$J34,IF(OR(AND(25=$I34+1,OR($K34&lt;&gt;'計算A'!$A$3,'計算A'!$A$4=0)),AND(25=$I34-1,OR(1&lt;&gt;'計算A'!$A$3,'計算A'!$A$4=0))),0,IF(1=$K34,200000,ABS(1-$K34)*100)),100000+ABS(2-$J34)*1000+10)+'計算A'!AB$5*50+IF(AND($E34=1,JO34=0),25,0),INDEX('計算A'!AB$110:AB$114,$F34+1)+IF(AND($E34=1,JO34=0),1000,0)+IF($H34=1,(IF('計算A'!AB$117=1,INDEX('計算A'!AC$10:AC$54,$B34),0))*500,0)-IF(AND($L34=1,'計算A'!AB$117=1,EA34=0),300,0))),1000000))</f>
        <v/>
      </c>
      <c r="PE34">
        <f>IF($B34=0,1000000,IF(INDEX('計算A'!$D$60:$EQ$104,$B34,26)*EA34=1,IF(AND($E34=2,JP34=0),1000000,IF($I34&gt;0,IF(2=$J34,IF(OR(AND(26=$I34+1,OR($K34&lt;&gt;'計算A'!$A$3,'計算A'!$A$4=0)),AND(26=$I34-1,OR(2&lt;&gt;'計算A'!$A$3,'計算A'!$A$4=0))),0,IF(2=$K34,200000,ABS(2-$K34)*100)),100000+ABS(2-$J34)*1000+20)+'計算A'!AC$5*50+IF(AND($E34=1,JP34=0),25,0),INDEX('計算A'!AC$110:AC$114,$F34+1)+IF(AND($E34=1,JP34=0),1000,0)+IF($H34=1,(IF('計算A'!AB$117=1,INDEX('計算A'!AB$10:AB$54,$B34),0)+IF('計算A'!AC$117=1,INDEX('計算A'!AD$10:AD$54,$B34),0))*500,0)-IF(AND('計算A'!AB$117=1,UZ34&gt;0),300,0)-IF(AND($L34=1,'計算A'!AC$117=1,EB34=0),300,0))),1000000))</f>
        <v/>
      </c>
      <c r="PF34">
        <f>IF($B34=0,1000000,IF(INDEX('計算A'!$D$60:$EQ$104,$B34,27)*EB34=1,IF(AND($E34=2,JQ34=0),1000000,IF($I34&gt;0,IF(2=$J34,IF(OR(AND(27=$I34+1,OR($K34&lt;&gt;'計算A'!$A$3,'計算A'!$A$4=0)),AND(27=$I34-1,OR(3&lt;&gt;'計算A'!$A$3,'計算A'!$A$4=0))),0,IF(3=$K34,200000,ABS(3-$K34)*100)),100000+ABS(2-$J34)*1000+30)+'計算A'!AD$5*50+IF(AND($E34=1,JQ34=0),25,0),INDEX('計算A'!AD$110:AD$114,$F34+1)+IF(AND($E34=1,JQ34=0),1000,0)+IF($H34=1,(IF('計算A'!AC$117=1,INDEX('計算A'!AC$10:AC$54,$B34),0)+IF('計算A'!AD$117=1,INDEX('計算A'!AE$10:AE$54,$B34),0))*500,0)-IF(AND('計算A'!AC$117=1,VA34&gt;0),300,0)-IF(AND($L34=1,'計算A'!AD$117=1,EC34=0),300,0))),1000000))</f>
        <v/>
      </c>
      <c r="PG34">
        <f>IF($B34=0,1000000,IF(INDEX('計算A'!$D$60:$EQ$104,$B34,28)*EC34=1,IF(AND($E34=2,JR34=0),1000000,IF($I34&gt;0,IF(2=$J34,IF(OR(AND(28=$I34+1,OR($K34&lt;&gt;'計算A'!$A$3,'計算A'!$A$4=0)),AND(28=$I34-1,OR(4&lt;&gt;'計算A'!$A$3,'計算A'!$A$4=0))),0,IF(4=$K34,200000,ABS(4-$K34)*100)),100000+ABS(2-$J34)*1000+40)+'計算A'!AE$5*50+IF(AND($E34=1,JR34=0),25,0),INDEX('計算A'!AE$110:AE$114,$F34+1)+IF(AND($E34=1,JR34=0),1000,0)+IF($H34=1,(IF('計算A'!AD$117=1,INDEX('計算A'!AD$10:AD$54,$B34),0)+IF('計算A'!AE$117=1,INDEX('計算A'!AF$10:AF$54,$B34),0))*500,0)-IF(AND('計算A'!AD$117=1,VB34&gt;0),300,0)-IF(AND($L34=1,'計算A'!AE$117=1,ED34=0),300,0))),1000000))</f>
        <v/>
      </c>
      <c r="PH34">
        <f>IF($B34=0,1000000,IF(INDEX('計算A'!$D$60:$EQ$104,$B34,29)*ED34=1,IF(AND($E34=2,JS34=0),1000000,IF($I34&gt;0,IF(2=$J34,IF(OR(AND(29=$I34+1,OR($K34&lt;&gt;'計算A'!$A$3,'計算A'!$A$4=0)),AND(29=$I34-1,OR(5&lt;&gt;'計算A'!$A$3,'計算A'!$A$4=0))),0,IF(5=$K34,200000,ABS(5-$K34)*100)),100000+ABS(2-$J34)*1000+50)+'計算A'!AF$5*50+IF(AND($E34=1,JS34=0),25,0),INDEX('計算A'!AF$110:AF$114,$F34+1)+IF(AND($E34=1,JS34=0),1000,0)+IF($H34=1,(IF('計算A'!AE$117=1,INDEX('計算A'!AE$10:AE$54,$B34),0)+IF('計算A'!AF$117=1,INDEX('計算A'!AG$10:AG$54,$B34),0))*500,0)-IF(AND('計算A'!AE$117=1,VC34&gt;0),300,0)-IF(AND($L34=1,'計算A'!AF$117=1,EE34=0),300,0))),1000000))</f>
        <v/>
      </c>
      <c r="PI34">
        <f>IF($B34=0,1000000,IF(INDEX('計算A'!$D$60:$EQ$104,$B34,30)*EE34=1,IF(AND($E34=2,JT34=0),1000000,IF($I34&gt;0,IF(2=$J34,IF(OR(AND(30=$I34+1,OR($K34&lt;&gt;'計算A'!$A$3,'計算A'!$A$4=0)),AND(30=$I34-1,OR(6&lt;&gt;'計算A'!$A$3,'計算A'!$A$4=0))),0,IF(6=$K34,200000,ABS(6-$K34)*100)),100000+ABS(2-$J34)*1000+60)+'計算A'!AG$5*50+IF(AND($E34=1,JT34=0),25,0),INDEX('計算A'!AG$110:AG$114,$F34+1)+IF(AND($E34=1,JT34=0),1000,0)+IF($H34=1,(IF('計算A'!AF$117=1,INDEX('計算A'!AF$10:AF$54,$B34),0)+IF('計算A'!AG$117=1,INDEX('計算A'!AH$10:AH$54,$B34),0))*500,0)-IF(AND('計算A'!AF$117=1,VD34&gt;0),300,0)-IF(AND($L34=1,'計算A'!AG$117=1,EF34=0),300,0))),1000000))</f>
        <v/>
      </c>
      <c r="PJ34">
        <f>IF($B34=0,1000000,IF(INDEX('計算A'!$D$60:$EQ$104,$B34,31)*EF34=1,IF(AND($E34=2,JU34=0),1000000,IF($I34&gt;0,IF(2=$J34,IF(OR(AND(31=$I34+1,OR($K34&lt;&gt;'計算A'!$A$3,'計算A'!$A$4=0)),AND(31=$I34-1,OR(7&lt;&gt;'計算A'!$A$3,'計算A'!$A$4=0))),0,IF(7=$K34,200000,ABS(7-$K34)*100)),100000+ABS(2-$J34)*1000+70)+'計算A'!AH$5*50+IF(AND($E34=1,JU34=0),25,0),INDEX('計算A'!AH$110:AH$114,$F34+1)+IF(AND($E34=1,JU34=0),1000,0)+IF($H34=1,(IF('計算A'!AG$117=1,INDEX('計算A'!AG$10:AG$54,$B34),0)+IF('計算A'!AH$117=1,INDEX('計算A'!AI$10:AI$54,$B34),0))*500,0)-IF(AND('計算A'!AG$117=1,VE34&gt;0),300,0)-IF(AND($L34=1,'計算A'!AH$117=1,EG34=0),300,0))),1000000))</f>
        <v/>
      </c>
      <c r="PK34">
        <f>IF($B34=0,1000000,IF(INDEX('計算A'!$D$60:$EQ$104,$B34,32)*EG34=1,IF(AND($E34=2,JV34=0),1000000,IF($I34&gt;0,IF(2=$J34,IF(OR(AND(32=$I34+1,OR($K34&lt;&gt;'計算A'!$A$3,'計算A'!$A$4=0)),AND(32=$I34-1,OR(8&lt;&gt;'計算A'!$A$3,'計算A'!$A$4=0))),0,IF(8=$K34,200000,ABS(8-$K34)*100)),100000+ABS(2-$J34)*1000+80)+'計算A'!AI$5*50+IF(AND($E34=1,JV34=0),25,0),INDEX('計算A'!AI$110:AI$114,$F34+1)+IF(AND($E34=1,JV34=0),1000,0)+IF($H34=1,(IF('計算A'!AH$117=1,INDEX('計算A'!AH$10:AH$54,$B34),0)+IF('計算A'!AI$117=1,INDEX('計算A'!AJ$10:AJ$54,$B34),0))*500,0)-IF(AND('計算A'!AH$117=1,VF34&gt;0),300,0)-IF(AND($L34=1,'計算A'!AI$117=1,EH34=0),300,0))),1000000))</f>
        <v/>
      </c>
      <c r="PL34">
        <f>IF($B34=0,1000000,IF(INDEX('計算A'!$D$60:$EQ$104,$B34,33)*EH34=1,IF(AND($E34=2,JW34=0),1000000,IF($I34&gt;0,IF(2=$J34,IF(OR(AND(33=$I34+1,OR($K34&lt;&gt;'計算A'!$A$3,'計算A'!$A$4=0)),AND(33=$I34-1,OR(9&lt;&gt;'計算A'!$A$3,'計算A'!$A$4=0))),0,IF(9=$K34,200000,ABS(9-$K34)*100)),100000+ABS(2-$J34)*1000+90)+'計算A'!AJ$5*50+IF(AND($E34=1,JW34=0),25,0),INDEX('計算A'!AJ$110:AJ$114,$F34+1)+IF(AND($E34=1,JW34=0),1000,0)+IF($H34=1,(IF('計算A'!AI$117=1,INDEX('計算A'!AI$10:AI$54,$B34),0)+IF('計算A'!AJ$117=1,INDEX('計算A'!AK$10:AK$54,$B34),0))*500,0)-IF(AND('計算A'!AI$117=1,VG34&gt;0),300,0)-IF(AND($L34=1,'計算A'!AJ$117=1,EI34=0),300,0))),1000000))</f>
        <v/>
      </c>
      <c r="PM34">
        <f>IF($B34=0,1000000,IF(INDEX('計算A'!$D$60:$EQ$104,$B34,34)*EI34=1,IF(AND($E34=2,JX34=0),1000000,IF($I34&gt;0,IF(2=$J34,IF(OR(AND(34=$I34+1,OR($K34&lt;&gt;'計算A'!$A$3,'計算A'!$A$4=0)),AND(34=$I34-1,OR(10&lt;&gt;'計算A'!$A$3,'計算A'!$A$4=0))),0,IF(10=$K34,200000,ABS(10-$K34)*100)),100000+ABS(2-$J34)*1000+100)+'計算A'!AK$5*50+IF(AND($E34=1,JX34=0),25,0),INDEX('計算A'!AK$110:AK$114,$F34+1)+IF(AND($E34=1,JX34=0),1000,0)+IF($H34=1,(IF('計算A'!AJ$117=1,INDEX('計算A'!AJ$10:AJ$54,$B34),0)+IF('計算A'!AK$117=1,INDEX('計算A'!AL$10:AL$54,$B34),0))*500,0)-IF(AND('計算A'!AJ$117=1,VH34&gt;0),300,0)-IF(AND($L34=1,'計算A'!AK$117=1,EJ34=0),300,0))),1000000))</f>
        <v/>
      </c>
      <c r="PN34">
        <f>IF($B34=0,1000000,IF(INDEX('計算A'!$D$60:$EQ$104,$B34,35)*EJ34=1,IF(AND($E34=2,JY34=0),1000000,IF($I34&gt;0,IF(2=$J34,IF(OR(AND(35=$I34+1,OR($K34&lt;&gt;'計算A'!$A$3,'計算A'!$A$4=0)),AND(35=$I34-1,OR(11&lt;&gt;'計算A'!$A$3,'計算A'!$A$4=0))),0,IF(11=$K34,200000,ABS(11-$K34)*100)),100000+ABS(2-$J34)*1000+110)+'計算A'!AL$5*50+IF(AND($E34=1,JY34=0),25,0),INDEX('計算A'!AL$110:AL$114,$F34+1)+IF(AND($E34=1,JY34=0),1000,0)+IF($H34=1,(IF('計算A'!AK$117=1,INDEX('計算A'!AK$10:AK$54,$B34),0)+IF('計算A'!AL$117=1,INDEX('計算A'!AM$10:AM$54,$B34),0))*500,0)-IF(AND('計算A'!AK$117=1,VI34&gt;0),300,0)-IF(AND($L34=1,'計算A'!AL$117=1,EK34=0),300,0))),1000000))</f>
        <v/>
      </c>
      <c r="PO34">
        <f>IF($B34=0,1000000,IF(INDEX('計算A'!$D$60:$EQ$104,$B34,36)*EK34=1,IF(AND($E34=2,JZ34=0),1000000,IF($I34&gt;0,IF(2=$J34,IF(OR(AND(36=$I34+1,OR($K34&lt;&gt;'計算A'!$A$3,'計算A'!$A$4=0)),AND(36=$I34-1,OR(12&lt;&gt;'計算A'!$A$3,'計算A'!$A$4=0))),0,IF(12=$K34,200000,ABS(12-$K34)*100)),100000+ABS(2-$J34)*1000+120)+'計算A'!AM$5*50+IF(AND($E34=1,JZ34=0),25,0),INDEX('計算A'!AM$110:AM$114,$F34+1)+IF(AND($E34=1,JZ34=0),1000,0)+IF($H34=1,(IF('計算A'!AL$117=1,INDEX('計算A'!AL$10:AL$54,$B34),0)+IF('計算A'!AM$117=1,INDEX('計算A'!AN$10:AN$54,$B34),0))*500,0)-IF(AND('計算A'!AL$117=1,VJ34&gt;0),300,0)-IF(AND($L34=1,'計算A'!AM$117=1,EL34=0),300,0))),1000000))</f>
        <v/>
      </c>
      <c r="PP34">
        <f>IF($B34=0,1000000,IF(INDEX('計算A'!$D$60:$EQ$104,$B34,37)*EL34=1,IF(AND($E34=2,KA34=0),1000000,IF($I34&gt;0,IF(2=$J34,IF(OR(AND(37=$I34+1,OR($K34&lt;&gt;'計算A'!$A$3,'計算A'!$A$4=0)),AND(37=$I34-1,OR(13&lt;&gt;'計算A'!$A$3,'計算A'!$A$4=0))),0,IF(13=$K34,200000,ABS(13-$K34)*100)),100000+ABS(2-$J34)*1000+130)+'計算A'!AN$5*50+IF(AND($E34=1,KA34=0),25,0),INDEX('計算A'!AN$110:AN$114,$F34+1)+IF(AND($E34=1,KA34=0),1000,0)+IF($H34=1,(IF('計算A'!AM$117=1,INDEX('計算A'!AM$10:AM$54,$B34),0)+IF('計算A'!AN$117=1,INDEX('計算A'!AO$10:AO$54,$B34),0))*500,0)-IF(AND('計算A'!AM$117=1,VK34&gt;0),300,0)-IF(AND($L34=1,'計算A'!AN$117=1,EM34=0),300,0))),1000000))</f>
        <v/>
      </c>
      <c r="PQ34">
        <f>IF($B34=0,1000000,IF(INDEX('計算A'!$D$60:$EQ$104,$B34,38)*EM34=1,IF(AND($E34=2,KB34=0),1000000,IF($I34&gt;0,IF(2=$J34,IF(OR(AND(38=$I34+1,OR($K34&lt;&gt;'計算A'!$A$3,'計算A'!$A$4=0)),AND(38=$I34-1,OR(14&lt;&gt;'計算A'!$A$3,'計算A'!$A$4=0))),0,IF(14=$K34,200000,ABS(14-$K34)*100)),100000+ABS(2-$J34)*1000+140)+'計算A'!AO$5*50+IF(AND($E34=1,KB34=0),25,0),INDEX('計算A'!AO$110:AO$114,$F34+1)+IF(AND($E34=1,KB34=0),1000,0)+IF($H34=1,(IF('計算A'!AN$117=1,INDEX('計算A'!AN$10:AN$54,$B34),0)+IF('計算A'!AO$117=1,INDEX('計算A'!AP$10:AP$54,$B34),0))*500,0)-IF(AND('計算A'!AN$117=1,VL34&gt;0),300,0)-IF(AND($L34=1,'計算A'!AO$117=1,EN34=0),300,0))),1000000))</f>
        <v/>
      </c>
      <c r="PR34">
        <f>IF($B34=0,1000000,IF(INDEX('計算A'!$D$60:$EQ$104,$B34,39)*EN34=1,IF(AND($E34=2,KC34=0),1000000,IF($I34&gt;0,IF(2=$J34,IF(OR(AND(39=$I34+1,OR($K34&lt;&gt;'計算A'!$A$3,'計算A'!$A$4=0)),AND(39=$I34-1,OR(15&lt;&gt;'計算A'!$A$3,'計算A'!$A$4=0))),0,IF(15=$K34,200000,ABS(15-$K34)*100)),100000+ABS(2-$J34)*1000+150)+'計算A'!AP$5*50+IF(AND($E34=1,KC34=0),25,0),INDEX('計算A'!AP$110:AP$114,$F34+1)+IF(AND($E34=1,KC34=0),1000,0)+IF($H34=1,(IF('計算A'!AO$117=1,INDEX('計算A'!AO$10:AO$54,$B34),0)+IF('計算A'!AP$117=1,INDEX('計算A'!AQ$10:AQ$54,$B34),0))*500,0)-IF(AND('計算A'!AO$117=1,VM34&gt;0),300,0)-IF(AND($L34=1,'計算A'!AP$117=1,EO34=0),300,0))),1000000))</f>
        <v/>
      </c>
      <c r="PS34">
        <f>IF($B34=0,1000000,IF(INDEX('計算A'!$D$60:$EQ$104,$B34,40)*EO34=1,IF(AND($E34=2,KD34=0),1000000,IF($I34&gt;0,IF(2=$J34,IF(OR(AND(40=$I34+1,OR($K34&lt;&gt;'計算A'!$A$3,'計算A'!$A$4=0)),AND(40=$I34-1,OR(16&lt;&gt;'計算A'!$A$3,'計算A'!$A$4=0))),0,IF(16=$K34,200000,ABS(16-$K34)*100)),100000+ABS(2-$J34)*1000+160)+'計算A'!AQ$5*50+IF(AND($E34=1,KD34=0),25,0),INDEX('計算A'!AQ$110:AQ$114,$F34+1)+IF(AND($E34=1,KD34=0),1000,0)+IF($H34=1,(IF('計算A'!AP$117=1,INDEX('計算A'!AP$10:AP$54,$B34),0)+IF('計算A'!AQ$117=1,INDEX('計算A'!AR$10:AR$54,$B34),0))*500,0)-IF(AND('計算A'!AP$117=1,VN34&gt;0),300,0)-IF(AND($L34=1,'計算A'!AQ$117=1,EP34=0),300,0))),1000000))</f>
        <v/>
      </c>
      <c r="PT34">
        <f>IF($B34=0,1000000,IF(INDEX('計算A'!$D$60:$EQ$104,$B34,41)*EP34=1,IF(AND($E34=2,KE34=0),1000000,IF($I34&gt;0,IF(2=$J34,IF(OR(AND(41=$I34+1,OR($K34&lt;&gt;'計算A'!$A$3,'計算A'!$A$4=0)),AND(41=$I34-1,OR(17&lt;&gt;'計算A'!$A$3,'計算A'!$A$4=0))),0,IF(17=$K34,200000,ABS(17-$K34)*100)),100000+ABS(2-$J34)*1000+170)+'計算A'!AR$5*50+IF(AND($E34=1,KE34=0),25,0),INDEX('計算A'!AR$110:AR$114,$F34+1)+IF(AND($E34=1,KE34=0),1000,0)+IF($H34=1,(IF('計算A'!AQ$117=1,INDEX('計算A'!AQ$10:AQ$54,$B34),0)+IF('計算A'!AR$117=1,INDEX('計算A'!AS$10:AS$54,$B34),0))*500,0)-IF(AND('計算A'!AQ$117=1,VO34&gt;0),300,0)-IF(AND($L34=1,'計算A'!AR$117=1,EQ34=0),300,0))),1000000))</f>
        <v/>
      </c>
      <c r="PU34">
        <f>IF($B34=0,1000000,IF(INDEX('計算A'!$D$60:$EQ$104,$B34,42)*EQ34=1,IF(AND($E34=2,KF34=0),1000000,IF($I34&gt;0,IF(2=$J34,IF(OR(AND(42=$I34+1,OR($K34&lt;&gt;'計算A'!$A$3,'計算A'!$A$4=0)),AND(42=$I34-1,OR(18&lt;&gt;'計算A'!$A$3,'計算A'!$A$4=0))),0,IF(18=$K34,200000,ABS(18-$K34)*100)),100000+ABS(2-$J34)*1000+180)+'計算A'!AS$5*50+IF(AND($E34=1,KF34=0),25,0),INDEX('計算A'!AS$110:AS$114,$F34+1)+IF(AND($E34=1,KF34=0),1000,0)+IF($H34=1,(IF('計算A'!AR$117=1,INDEX('計算A'!AR$10:AR$54,$B34),0)+IF('計算A'!AS$117=1,INDEX('計算A'!AT$10:AT$54,$B34),0))*500,0)-IF(AND('計算A'!AR$117=1,VP34&gt;0),300,0)-IF(AND($L34=1,'計算A'!AS$117=1,ER34=0),300,0))),1000000))</f>
        <v/>
      </c>
      <c r="PV34">
        <f>IF($B34=0,1000000,IF(INDEX('計算A'!$D$60:$EQ$104,$B34,43)*ER34=1,IF(AND($E34=2,KG34=0),1000000,IF($I34&gt;0,IF(2=$J34,IF(OR(AND(43=$I34+1,OR($K34&lt;&gt;'計算A'!$A$3,'計算A'!$A$4=0)),AND(43=$I34-1,OR(19&lt;&gt;'計算A'!$A$3,'計算A'!$A$4=0))),0,IF(19=$K34,200000,ABS(19-$K34)*100)),100000+ABS(2-$J34)*1000+190)+'計算A'!AT$5*50+IF(AND($E34=1,KG34=0),25,0),INDEX('計算A'!AT$110:AT$114,$F34+1)+IF(AND($E34=1,KG34=0),1000,0)+IF($H34=1,(IF('計算A'!AS$117=1,INDEX('計算A'!AS$10:AS$54,$B34),0)+IF('計算A'!AT$117=1,INDEX('計算A'!AU$10:AU$54,$B34),0))*500,0)-IF(AND('計算A'!AS$117=1,VQ34&gt;0),300,0)-IF(AND($L34=1,'計算A'!AT$117=1,ES34=0),300,0))),1000000))</f>
        <v/>
      </c>
      <c r="PW34">
        <f>IF($B34=0,1000000,IF(INDEX('計算A'!$D$60:$EQ$104,$B34,44)*ES34=1,IF(AND($E34=2,KH34=0),1000000,IF($I34&gt;0,IF(2=$J34,IF(OR(AND(44=$I34+1,OR($K34&lt;&gt;'計算A'!$A$3,'計算A'!$A$4=0)),AND(44=$I34-1,OR(20&lt;&gt;'計算A'!$A$3,'計算A'!$A$4=0))),0,IF(20=$K34,200000,ABS(20-$K34)*100)),100000+ABS(2-$J34)*1000+200)+'計算A'!AU$5*50+IF(AND($E34=1,KH34=0),25,0),INDEX('計算A'!AU$110:AU$114,$F34+1)+IF(AND($E34=1,KH34=0),1000,0)+IF($H34=1,(IF('計算A'!AT$117=1,INDEX('計算A'!AT$10:AT$54,$B34),0)+IF('計算A'!AU$117=1,INDEX('計算A'!AV$10:AV$54,$B34),0))*500,0)-IF(AND('計算A'!AT$117=1,VR34&gt;0),300,0)-IF(AND($L34=1,'計算A'!AU$117=1,ET34=0),300,0))),1000000))</f>
        <v/>
      </c>
      <c r="PX34">
        <f>IF($B34=0,1000000,IF(INDEX('計算A'!$D$60:$EQ$104,$B34,45)*ET34=1,IF(AND($E34=2,KI34=0),1000000,IF($I34&gt;0,IF(2=$J34,IF(OR(AND(45=$I34+1,OR($K34&lt;&gt;'計算A'!$A$3,'計算A'!$A$4=0)),AND(45=$I34-1,OR(21&lt;&gt;'計算A'!$A$3,'計算A'!$A$4=0))),0,IF(21=$K34,200000,ABS(21-$K34)*100)),100000+ABS(2-$J34)*1000+210)+'計算A'!AV$5*50+IF(AND($E34=1,KI34=0),25,0),INDEX('計算A'!AV$110:AV$114,$F34+1)+IF(AND($E34=1,KI34=0),1000,0)+IF($H34=1,(IF('計算A'!AU$117=1,INDEX('計算A'!AU$10:AU$54,$B34),0)+IF('計算A'!AV$117=1,INDEX('計算A'!AW$10:AW$54,$B34),0))*500,0)-IF(AND('計算A'!AU$117=1,VS34&gt;0),300,0)-IF(AND($L34=1,'計算A'!AV$117=1,EU34=0),300,0))),1000000))</f>
        <v/>
      </c>
      <c r="PY34">
        <f>IF($B34=0,1000000,IF(INDEX('計算A'!$D$60:$EQ$104,$B34,46)*EU34=1,IF(AND($E34=2,KJ34=0),1000000,IF($I34&gt;0,IF(2=$J34,IF(OR(AND(46=$I34+1,OR($K34&lt;&gt;'計算A'!$A$3,'計算A'!$A$4=0)),AND(46=$I34-1,OR(22&lt;&gt;'計算A'!$A$3,'計算A'!$A$4=0))),0,IF(22=$K34,200000,ABS(22-$K34)*100)),100000+ABS(2-$J34)*1000+220)+'計算A'!AW$5*50+IF(AND($E34=1,KJ34=0),25,0),INDEX('計算A'!AW$110:AW$114,$F34+1)+IF(AND($E34=1,KJ34=0),1000,0)+IF($H34=1,(IF('計算A'!AV$117=1,INDEX('計算A'!AV$10:AV$54,$B34),0)+IF('計算A'!AW$117=1,INDEX('計算A'!AX$10:AX$54,$B34),0))*500,0)-IF(AND('計算A'!AV$117=1,VT34&gt;0),300,0)-IF(AND($L34=1,'計算A'!AW$117=1,EV34=0),300,0))),1000000))</f>
        <v/>
      </c>
      <c r="PZ34">
        <f>IF($B34=0,1000000,IF(INDEX('計算A'!$D$60:$EQ$104,$B34,47)*EV34=1,IF(AND($E34=2,KK34=0),1000000,IF($I34&gt;0,IF(2=$J34,IF(OR(AND(47=$I34+1,OR($K34&lt;&gt;'計算A'!$A$3,'計算A'!$A$4=0)),AND(47=$I34-1,OR(23&lt;&gt;'計算A'!$A$3,'計算A'!$A$4=0))),0,IF(23=$K34,200000,ABS(23-$K34)*100)),100000+ABS(2-$J34)*1000+230)+'計算A'!AX$5*50+IF(AND($E34=1,KK34=0),25,0),INDEX('計算A'!AX$110:AX$114,$F34+1)+IF(AND($E34=1,KK34=0),1000,0)+IF($H34=1,(IF('計算A'!AW$117=1,INDEX('計算A'!AW$10:AW$54,$B34),0)+IF('計算A'!AX$117=1,INDEX('計算A'!AY$10:AY$54,$B34),0))*500,0)-IF(AND('計算A'!AW$117=1,VU34&gt;0),300,0)-IF(AND($L34=1,'計算A'!AX$117=1,EW34=0),300,0))),1000000))</f>
        <v/>
      </c>
      <c r="QA34">
        <f>IF($B34=0,1000000,IF(INDEX('計算A'!$D$60:$EQ$104,$B34,48)*EW34=1,IF(AND($E34=2,KL34=0),1000000,IF($I34&gt;0,IF(2=$J34,IF(OR(AND(48=$I34+1,OR($K34&lt;&gt;'計算A'!$A$3,'計算A'!$A$4=0)),AND(48=$I34-1,OR(24&lt;&gt;'計算A'!$A$3,'計算A'!$A$4=0))),0,IF(24=$K34,200000,ABS(24-$K34)*100)),100000+ABS(2-$J34)*1000+240)+'計算A'!AY$5*50+IF(AND($E34=1,KL34=0),25,0),INDEX('計算A'!AY$110:AY$114,$F34+1)+IF(AND($E34=1,KL34=0),1000,0)+IF($H34=1,(IF('計算A'!AX$117=1,INDEX('計算A'!AX$10:AX$54,$B34),0))*500,0)-IF(AND('計算A'!AX$117=1,VV34&gt;0),300,0))),1000000))</f>
        <v/>
      </c>
      <c r="QB34">
        <f>IF($B34=0,1000000,IF(INDEX('計算A'!$D$60:$EQ$104,$B34,49)*EX34=1,IF(AND($E34=2,KM34=0),1000000,IF($I34&gt;0,IF(3=$J34,IF(OR(AND(49=$I34+1,OR($K34&lt;&gt;'計算A'!$A$3,'計算A'!$A$4=0)),AND(49=$I34-1,OR(1&lt;&gt;'計算A'!$A$3,'計算A'!$A$4=0))),0,IF(1=$K34,200000,ABS(1-$K34)*100)),100000+ABS(3-$J34)*1000+10)+'計算A'!AZ$5*50+IF(AND($E34=1,KM34=0),25,0),INDEX('計算A'!AZ$110:AZ$114,$F34+1)+IF(AND($E34=1,KM34=0),1000,0)+IF($H34=1,(IF('計算A'!AZ$117=1,INDEX('計算A'!BA$10:BA$54,$B34),0))*500,0)-IF(AND($L34=1,'計算A'!AZ$117=1,EY34=0),300,0))),1000000))</f>
        <v/>
      </c>
      <c r="QC34">
        <f>IF($B34=0,1000000,IF(INDEX('計算A'!$D$60:$EQ$104,$B34,50)*EY34=1,IF(AND($E34=2,KN34=0),1000000,IF($I34&gt;0,IF(3=$J34,IF(OR(AND(50=$I34+1,OR($K34&lt;&gt;'計算A'!$A$3,'計算A'!$A$4=0)),AND(50=$I34-1,OR(2&lt;&gt;'計算A'!$A$3,'計算A'!$A$4=0))),0,IF(2=$K34,200000,ABS(2-$K34)*100)),100000+ABS(3-$J34)*1000+20)+'計算A'!BA$5*50+IF(AND($E34=1,KN34=0),25,0),INDEX('計算A'!BA$110:BA$114,$F34+1)+IF(AND($E34=1,KN34=0),1000,0)+IF($H34=1,(IF('計算A'!AZ$117=1,INDEX('計算A'!AZ$10:AZ$54,$B34),0)+IF('計算A'!BA$117=1,INDEX('計算A'!BB$10:BB$54,$B34),0))*500,0)-IF(AND('計算A'!AZ$117=1,VX34&gt;0),300,0)-IF(AND($L34=1,'計算A'!BA$117=1,EZ34=0),300,0))),1000000))</f>
        <v/>
      </c>
      <c r="QD34">
        <f>IF($B34=0,1000000,IF(INDEX('計算A'!$D$60:$EQ$104,$B34,51)*EZ34=1,IF(AND($E34=2,KO34=0),1000000,IF($I34&gt;0,IF(3=$J34,IF(OR(AND(51=$I34+1,OR($K34&lt;&gt;'計算A'!$A$3,'計算A'!$A$4=0)),AND(51=$I34-1,OR(3&lt;&gt;'計算A'!$A$3,'計算A'!$A$4=0))),0,IF(3=$K34,200000,ABS(3-$K34)*100)),100000+ABS(3-$J34)*1000+30)+'計算A'!BB$5*50+IF(AND($E34=1,KO34=0),25,0),INDEX('計算A'!BB$110:BB$114,$F34+1)+IF(AND($E34=1,KO34=0),1000,0)+IF($H34=1,(IF('計算A'!BA$117=1,INDEX('計算A'!BA$10:BA$54,$B34),0)+IF('計算A'!BB$117=1,INDEX('計算A'!BC$10:BC$54,$B34),0))*500,0)-IF(AND('計算A'!BA$117=1,VY34&gt;0),300,0)-IF(AND($L34=1,'計算A'!BB$117=1,FA34=0),300,0))),1000000))</f>
        <v/>
      </c>
      <c r="QE34">
        <f>IF($B34=0,1000000,IF(INDEX('計算A'!$D$60:$EQ$104,$B34,52)*FA34=1,IF(AND($E34=2,KP34=0),1000000,IF($I34&gt;0,IF(3=$J34,IF(OR(AND(52=$I34+1,OR($K34&lt;&gt;'計算A'!$A$3,'計算A'!$A$4=0)),AND(52=$I34-1,OR(4&lt;&gt;'計算A'!$A$3,'計算A'!$A$4=0))),0,IF(4=$K34,200000,ABS(4-$K34)*100)),100000+ABS(3-$J34)*1000+40)+'計算A'!BC$5*50+IF(AND($E34=1,KP34=0),25,0),INDEX('計算A'!BC$110:BC$114,$F34+1)+IF(AND($E34=1,KP34=0),1000,0)+IF($H34=1,(IF('計算A'!BB$117=1,INDEX('計算A'!BB$10:BB$54,$B34),0)+IF('計算A'!BC$117=1,INDEX('計算A'!BD$10:BD$54,$B34),0))*500,0)-IF(AND('計算A'!BB$117=1,VZ34&gt;0),300,0)-IF(AND($L34=1,'計算A'!BC$117=1,FB34=0),300,0))),1000000))</f>
        <v/>
      </c>
      <c r="QF34">
        <f>IF($B34=0,1000000,IF(INDEX('計算A'!$D$60:$EQ$104,$B34,53)*FB34=1,IF(AND($E34=2,KQ34=0),1000000,IF($I34&gt;0,IF(3=$J34,IF(OR(AND(53=$I34+1,OR($K34&lt;&gt;'計算A'!$A$3,'計算A'!$A$4=0)),AND(53=$I34-1,OR(5&lt;&gt;'計算A'!$A$3,'計算A'!$A$4=0))),0,IF(5=$K34,200000,ABS(5-$K34)*100)),100000+ABS(3-$J34)*1000+50)+'計算A'!BD$5*50+IF(AND($E34=1,KQ34=0),25,0),INDEX('計算A'!BD$110:BD$114,$F34+1)+IF(AND($E34=1,KQ34=0),1000,0)+IF($H34=1,(IF('計算A'!BC$117=1,INDEX('計算A'!BC$10:BC$54,$B34),0)+IF('計算A'!BD$117=1,INDEX('計算A'!BE$10:BE$54,$B34),0))*500,0)-IF(AND('計算A'!BC$117=1,WA34&gt;0),300,0)-IF(AND($L34=1,'計算A'!BD$117=1,FC34=0),300,0))),1000000))</f>
        <v/>
      </c>
      <c r="QG34">
        <f>IF($B34=0,1000000,IF(INDEX('計算A'!$D$60:$EQ$104,$B34,54)*FC34=1,IF(AND($E34=2,KR34=0),1000000,IF($I34&gt;0,IF(3=$J34,IF(OR(AND(54=$I34+1,OR($K34&lt;&gt;'計算A'!$A$3,'計算A'!$A$4=0)),AND(54=$I34-1,OR(6&lt;&gt;'計算A'!$A$3,'計算A'!$A$4=0))),0,IF(6=$K34,200000,ABS(6-$K34)*100)),100000+ABS(3-$J34)*1000+60)+'計算A'!BE$5*50+IF(AND($E34=1,KR34=0),25,0),INDEX('計算A'!BE$110:BE$114,$F34+1)+IF(AND($E34=1,KR34=0),1000,0)+IF($H34=1,(IF('計算A'!BD$117=1,INDEX('計算A'!BD$10:BD$54,$B34),0)+IF('計算A'!BE$117=1,INDEX('計算A'!BF$10:BF$54,$B34),0))*500,0)-IF(AND('計算A'!BD$117=1,WB34&gt;0),300,0)-IF(AND($L34=1,'計算A'!BE$117=1,FD34=0),300,0))),1000000))</f>
        <v/>
      </c>
      <c r="QH34">
        <f>IF($B34=0,1000000,IF(INDEX('計算A'!$D$60:$EQ$104,$B34,55)*FD34=1,IF(AND($E34=2,KS34=0),1000000,IF($I34&gt;0,IF(3=$J34,IF(OR(AND(55=$I34+1,OR($K34&lt;&gt;'計算A'!$A$3,'計算A'!$A$4=0)),AND(55=$I34-1,OR(7&lt;&gt;'計算A'!$A$3,'計算A'!$A$4=0))),0,IF(7=$K34,200000,ABS(7-$K34)*100)),100000+ABS(3-$J34)*1000+70)+'計算A'!BF$5*50+IF(AND($E34=1,KS34=0),25,0),INDEX('計算A'!BF$110:BF$114,$F34+1)+IF(AND($E34=1,KS34=0),1000,0)+IF($H34=1,(IF('計算A'!BE$117=1,INDEX('計算A'!BE$10:BE$54,$B34),0)+IF('計算A'!BF$117=1,INDEX('計算A'!BG$10:BG$54,$B34),0))*500,0)-IF(AND('計算A'!BE$117=1,WC34&gt;0),300,0)-IF(AND($L34=1,'計算A'!BF$117=1,FE34=0),300,0))),1000000))</f>
        <v/>
      </c>
      <c r="QI34">
        <f>IF($B34=0,1000000,IF(INDEX('計算A'!$D$60:$EQ$104,$B34,56)*FE34=1,IF(AND($E34=2,KT34=0),1000000,IF($I34&gt;0,IF(3=$J34,IF(OR(AND(56=$I34+1,OR($K34&lt;&gt;'計算A'!$A$3,'計算A'!$A$4=0)),AND(56=$I34-1,OR(8&lt;&gt;'計算A'!$A$3,'計算A'!$A$4=0))),0,IF(8=$K34,200000,ABS(8-$K34)*100)),100000+ABS(3-$J34)*1000+80)+'計算A'!BG$5*50+IF(AND($E34=1,KT34=0),25,0),INDEX('計算A'!BG$110:BG$114,$F34+1)+IF(AND($E34=1,KT34=0),1000,0)+IF($H34=1,(IF('計算A'!BF$117=1,INDEX('計算A'!BF$10:BF$54,$B34),0)+IF('計算A'!BG$117=1,INDEX('計算A'!BH$10:BH$54,$B34),0))*500,0)-IF(AND('計算A'!BF$117=1,WD34&gt;0),300,0)-IF(AND($L34=1,'計算A'!BG$117=1,FF34=0),300,0))),1000000))</f>
        <v/>
      </c>
      <c r="QJ34">
        <f>IF($B34=0,1000000,IF(INDEX('計算A'!$D$60:$EQ$104,$B34,57)*FF34=1,IF(AND($E34=2,KU34=0),1000000,IF($I34&gt;0,IF(3=$J34,IF(OR(AND(57=$I34+1,OR($K34&lt;&gt;'計算A'!$A$3,'計算A'!$A$4=0)),AND(57=$I34-1,OR(9&lt;&gt;'計算A'!$A$3,'計算A'!$A$4=0))),0,IF(9=$K34,200000,ABS(9-$K34)*100)),100000+ABS(3-$J34)*1000+90)+'計算A'!BH$5*50+IF(AND($E34=1,KU34=0),25,0),INDEX('計算A'!BH$110:BH$114,$F34+1)+IF(AND($E34=1,KU34=0),1000,0)+IF($H34=1,(IF('計算A'!BG$117=1,INDEX('計算A'!BG$10:BG$54,$B34),0)+IF('計算A'!BH$117=1,INDEX('計算A'!BI$10:BI$54,$B34),0))*500,0)-IF(AND('計算A'!BG$117=1,WE34&gt;0),300,0)-IF(AND($L34=1,'計算A'!BH$117=1,FG34=0),300,0))),1000000))</f>
        <v/>
      </c>
      <c r="QK34">
        <f>IF($B34=0,1000000,IF(INDEX('計算A'!$D$60:$EQ$104,$B34,58)*FG34=1,IF(AND($E34=2,KV34=0),1000000,IF($I34&gt;0,IF(3=$J34,IF(OR(AND(58=$I34+1,OR($K34&lt;&gt;'計算A'!$A$3,'計算A'!$A$4=0)),AND(58=$I34-1,OR(10&lt;&gt;'計算A'!$A$3,'計算A'!$A$4=0))),0,IF(10=$K34,200000,ABS(10-$K34)*100)),100000+ABS(3-$J34)*1000+100)+'計算A'!BI$5*50+IF(AND($E34=1,KV34=0),25,0),INDEX('計算A'!BI$110:BI$114,$F34+1)+IF(AND($E34=1,KV34=0),1000,0)+IF($H34=1,(IF('計算A'!BH$117=1,INDEX('計算A'!BH$10:BH$54,$B34),0)+IF('計算A'!BI$117=1,INDEX('計算A'!BJ$10:BJ$54,$B34),0))*500,0)-IF(AND('計算A'!BH$117=1,WF34&gt;0),300,0)-IF(AND($L34=1,'計算A'!BI$117=1,FH34=0),300,0))),1000000))</f>
        <v/>
      </c>
      <c r="QL34">
        <f>IF($B34=0,1000000,IF(INDEX('計算A'!$D$60:$EQ$104,$B34,59)*FH34=1,IF(AND($E34=2,KW34=0),1000000,IF($I34&gt;0,IF(3=$J34,IF(OR(AND(59=$I34+1,OR($K34&lt;&gt;'計算A'!$A$3,'計算A'!$A$4=0)),AND(59=$I34-1,OR(11&lt;&gt;'計算A'!$A$3,'計算A'!$A$4=0))),0,IF(11=$K34,200000,ABS(11-$K34)*100)),100000+ABS(3-$J34)*1000+110)+'計算A'!BJ$5*50+IF(AND($E34=1,KW34=0),25,0),INDEX('計算A'!BJ$110:BJ$114,$F34+1)+IF(AND($E34=1,KW34=0),1000,0)+IF($H34=1,(IF('計算A'!BI$117=1,INDEX('計算A'!BI$10:BI$54,$B34),0)+IF('計算A'!BJ$117=1,INDEX('計算A'!BK$10:BK$54,$B34),0))*500,0)-IF(AND('計算A'!BI$117=1,WG34&gt;0),300,0)-IF(AND($L34=1,'計算A'!BJ$117=1,FI34=0),300,0))),1000000))</f>
        <v/>
      </c>
      <c r="QM34">
        <f>IF($B34=0,1000000,IF(INDEX('計算A'!$D$60:$EQ$104,$B34,60)*FI34=1,IF(AND($E34=2,KX34=0),1000000,IF($I34&gt;0,IF(3=$J34,IF(OR(AND(60=$I34+1,OR($K34&lt;&gt;'計算A'!$A$3,'計算A'!$A$4=0)),AND(60=$I34-1,OR(12&lt;&gt;'計算A'!$A$3,'計算A'!$A$4=0))),0,IF(12=$K34,200000,ABS(12-$K34)*100)),100000+ABS(3-$J34)*1000+120)+'計算A'!BK$5*50+IF(AND($E34=1,KX34=0),25,0),INDEX('計算A'!BK$110:BK$114,$F34+1)+IF(AND($E34=1,KX34=0),1000,0)+IF($H34=1,(IF('計算A'!BJ$117=1,INDEX('計算A'!BJ$10:BJ$54,$B34),0)+IF('計算A'!BK$117=1,INDEX('計算A'!BL$10:BL$54,$B34),0))*500,0)-IF(AND('計算A'!BJ$117=1,WH34&gt;0),300,0)-IF(AND($L34=1,'計算A'!BK$117=1,FJ34=0),300,0))),1000000))</f>
        <v/>
      </c>
      <c r="QN34">
        <f>IF($B34=0,1000000,IF(INDEX('計算A'!$D$60:$EQ$104,$B34,61)*FJ34=1,IF(AND($E34=2,KY34=0),1000000,IF($I34&gt;0,IF(3=$J34,IF(OR(AND(61=$I34+1,OR($K34&lt;&gt;'計算A'!$A$3,'計算A'!$A$4=0)),AND(61=$I34-1,OR(13&lt;&gt;'計算A'!$A$3,'計算A'!$A$4=0))),0,IF(13=$K34,200000,ABS(13-$K34)*100)),100000+ABS(3-$J34)*1000+130)+'計算A'!BL$5*50+IF(AND($E34=1,KY34=0),25,0),INDEX('計算A'!BL$110:BL$114,$F34+1)+IF(AND($E34=1,KY34=0),1000,0)+IF($H34=1,(IF('計算A'!BK$117=1,INDEX('計算A'!BK$10:BK$54,$B34),0)+IF('計算A'!BL$117=1,INDEX('計算A'!BM$10:BM$54,$B34),0))*500,0)-IF(AND('計算A'!BK$117=1,WI34&gt;0),300,0)-IF(AND($L34=1,'計算A'!BL$117=1,FK34=0),300,0))),1000000))</f>
        <v/>
      </c>
      <c r="QO34">
        <f>IF($B34=0,1000000,IF(INDEX('計算A'!$D$60:$EQ$104,$B34,62)*FK34=1,IF(AND($E34=2,KZ34=0),1000000,IF($I34&gt;0,IF(3=$J34,IF(OR(AND(62=$I34+1,OR($K34&lt;&gt;'計算A'!$A$3,'計算A'!$A$4=0)),AND(62=$I34-1,OR(14&lt;&gt;'計算A'!$A$3,'計算A'!$A$4=0))),0,IF(14=$K34,200000,ABS(14-$K34)*100)),100000+ABS(3-$J34)*1000+140)+'計算A'!BM$5*50+IF(AND($E34=1,KZ34=0),25,0),INDEX('計算A'!BM$110:BM$114,$F34+1)+IF(AND($E34=1,KZ34=0),1000,0)+IF($H34=1,(IF('計算A'!BL$117=1,INDEX('計算A'!BL$10:BL$54,$B34),0)+IF('計算A'!BM$117=1,INDEX('計算A'!BN$10:BN$54,$B34),0))*500,0)-IF(AND('計算A'!BL$117=1,WJ34&gt;0),300,0)-IF(AND($L34=1,'計算A'!BM$117=1,FL34=0),300,0))),1000000))</f>
        <v/>
      </c>
      <c r="QP34">
        <f>IF($B34=0,1000000,IF(INDEX('計算A'!$D$60:$EQ$104,$B34,63)*FL34=1,IF(AND($E34=2,LA34=0),1000000,IF($I34&gt;0,IF(3=$J34,IF(OR(AND(63=$I34+1,OR($K34&lt;&gt;'計算A'!$A$3,'計算A'!$A$4=0)),AND(63=$I34-1,OR(15&lt;&gt;'計算A'!$A$3,'計算A'!$A$4=0))),0,IF(15=$K34,200000,ABS(15-$K34)*100)),100000+ABS(3-$J34)*1000+150)+'計算A'!BN$5*50+IF(AND($E34=1,LA34=0),25,0),INDEX('計算A'!BN$110:BN$114,$F34+1)+IF(AND($E34=1,LA34=0),1000,0)+IF($H34=1,(IF('計算A'!BM$117=1,INDEX('計算A'!BM$10:BM$54,$B34),0)+IF('計算A'!BN$117=1,INDEX('計算A'!BO$10:BO$54,$B34),0))*500,0)-IF(AND('計算A'!BM$117=1,WK34&gt;0),300,0)-IF(AND($L34=1,'計算A'!BN$117=1,FM34=0),300,0))),1000000))</f>
        <v/>
      </c>
      <c r="QQ34">
        <f>IF($B34=0,1000000,IF(INDEX('計算A'!$D$60:$EQ$104,$B34,64)*FM34=1,IF(AND($E34=2,LB34=0),1000000,IF($I34&gt;0,IF(3=$J34,IF(OR(AND(64=$I34+1,OR($K34&lt;&gt;'計算A'!$A$3,'計算A'!$A$4=0)),AND(64=$I34-1,OR(16&lt;&gt;'計算A'!$A$3,'計算A'!$A$4=0))),0,IF(16=$K34,200000,ABS(16-$K34)*100)),100000+ABS(3-$J34)*1000+160)+'計算A'!BO$5*50+IF(AND($E34=1,LB34=0),25,0),INDEX('計算A'!BO$110:BO$114,$F34+1)+IF(AND($E34=1,LB34=0),1000,0)+IF($H34=1,(IF('計算A'!BN$117=1,INDEX('計算A'!BN$10:BN$54,$B34),0)+IF('計算A'!BO$117=1,INDEX('計算A'!BP$10:BP$54,$B34),0))*500,0)-IF(AND('計算A'!BN$117=1,WL34&gt;0),300,0)-IF(AND($L34=1,'計算A'!BO$117=1,FN34=0),300,0))),1000000))</f>
        <v/>
      </c>
      <c r="QR34">
        <f>IF($B34=0,1000000,IF(INDEX('計算A'!$D$60:$EQ$104,$B34,65)*FN34=1,IF(AND($E34=2,LC34=0),1000000,IF($I34&gt;0,IF(3=$J34,IF(OR(AND(65=$I34+1,OR($K34&lt;&gt;'計算A'!$A$3,'計算A'!$A$4=0)),AND(65=$I34-1,OR(17&lt;&gt;'計算A'!$A$3,'計算A'!$A$4=0))),0,IF(17=$K34,200000,ABS(17-$K34)*100)),100000+ABS(3-$J34)*1000+170)+'計算A'!BP$5*50+IF(AND($E34=1,LC34=0),25,0),INDEX('計算A'!BP$110:BP$114,$F34+1)+IF(AND($E34=1,LC34=0),1000,0)+IF($H34=1,(IF('計算A'!BO$117=1,INDEX('計算A'!BO$10:BO$54,$B34),0)+IF('計算A'!BP$117=1,INDEX('計算A'!BQ$10:BQ$54,$B34),0))*500,0)-IF(AND('計算A'!BO$117=1,WM34&gt;0),300,0)-IF(AND($L34=1,'計算A'!BP$117=1,FO34=0),300,0))),1000000))</f>
        <v/>
      </c>
      <c r="QS34">
        <f>IF($B34=0,1000000,IF(INDEX('計算A'!$D$60:$EQ$104,$B34,66)*FO34=1,IF(AND($E34=2,LD34=0),1000000,IF($I34&gt;0,IF(3=$J34,IF(OR(AND(66=$I34+1,OR($K34&lt;&gt;'計算A'!$A$3,'計算A'!$A$4=0)),AND(66=$I34-1,OR(18&lt;&gt;'計算A'!$A$3,'計算A'!$A$4=0))),0,IF(18=$K34,200000,ABS(18-$K34)*100)),100000+ABS(3-$J34)*1000+180)+'計算A'!BQ$5*50+IF(AND($E34=1,LD34=0),25,0),INDEX('計算A'!BQ$110:BQ$114,$F34+1)+IF(AND($E34=1,LD34=0),1000,0)+IF($H34=1,(IF('計算A'!BP$117=1,INDEX('計算A'!BP$10:BP$54,$B34),0)+IF('計算A'!BQ$117=1,INDEX('計算A'!BR$10:BR$54,$B34),0))*500,0)-IF(AND('計算A'!BP$117=1,WN34&gt;0),300,0)-IF(AND($L34=1,'計算A'!BQ$117=1,FP34=0),300,0))),1000000))</f>
        <v/>
      </c>
      <c r="QT34">
        <f>IF($B34=0,1000000,IF(INDEX('計算A'!$D$60:$EQ$104,$B34,67)*FP34=1,IF(AND($E34=2,LE34=0),1000000,IF($I34&gt;0,IF(3=$J34,IF(OR(AND(67=$I34+1,OR($K34&lt;&gt;'計算A'!$A$3,'計算A'!$A$4=0)),AND(67=$I34-1,OR(19&lt;&gt;'計算A'!$A$3,'計算A'!$A$4=0))),0,IF(19=$K34,200000,ABS(19-$K34)*100)),100000+ABS(3-$J34)*1000+190)+'計算A'!BR$5*50+IF(AND($E34=1,LE34=0),25,0),INDEX('計算A'!BR$110:BR$114,$F34+1)+IF(AND($E34=1,LE34=0),1000,0)+IF($H34=1,(IF('計算A'!BQ$117=1,INDEX('計算A'!BQ$10:BQ$54,$B34),0)+IF('計算A'!BR$117=1,INDEX('計算A'!BS$10:BS$54,$B34),0))*500,0)-IF(AND('計算A'!BQ$117=1,WO34&gt;0),300,0)-IF(AND($L34=1,'計算A'!BR$117=1,FQ34=0),300,0))),1000000))</f>
        <v/>
      </c>
      <c r="QU34">
        <f>IF($B34=0,1000000,IF(INDEX('計算A'!$D$60:$EQ$104,$B34,68)*FQ34=1,IF(AND($E34=2,LF34=0),1000000,IF($I34&gt;0,IF(3=$J34,IF(OR(AND(68=$I34+1,OR($K34&lt;&gt;'計算A'!$A$3,'計算A'!$A$4=0)),AND(68=$I34-1,OR(20&lt;&gt;'計算A'!$A$3,'計算A'!$A$4=0))),0,IF(20=$K34,200000,ABS(20-$K34)*100)),100000+ABS(3-$J34)*1000+200)+'計算A'!BS$5*50+IF(AND($E34=1,LF34=0),25,0),INDEX('計算A'!BS$110:BS$114,$F34+1)+IF(AND($E34=1,LF34=0),1000,0)+IF($H34=1,(IF('計算A'!BR$117=1,INDEX('計算A'!BR$10:BR$54,$B34),0)+IF('計算A'!BS$117=1,INDEX('計算A'!BT$10:BT$54,$B34),0))*500,0)-IF(AND('計算A'!BR$117=1,WP34&gt;0),300,0)-IF(AND($L34=1,'計算A'!BS$117=1,FR34=0),300,0))),1000000))</f>
        <v/>
      </c>
      <c r="QV34">
        <f>IF($B34=0,1000000,IF(INDEX('計算A'!$D$60:$EQ$104,$B34,69)*FR34=1,IF(AND($E34=2,LG34=0),1000000,IF($I34&gt;0,IF(3=$J34,IF(OR(AND(69=$I34+1,OR($K34&lt;&gt;'計算A'!$A$3,'計算A'!$A$4=0)),AND(69=$I34-1,OR(21&lt;&gt;'計算A'!$A$3,'計算A'!$A$4=0))),0,IF(21=$K34,200000,ABS(21-$K34)*100)),100000+ABS(3-$J34)*1000+210)+'計算A'!BT$5*50+IF(AND($E34=1,LG34=0),25,0),INDEX('計算A'!BT$110:BT$114,$F34+1)+IF(AND($E34=1,LG34=0),1000,0)+IF($H34=1,(IF('計算A'!BS$117=1,INDEX('計算A'!BS$10:BS$54,$B34),0)+IF('計算A'!BT$117=1,INDEX('計算A'!BU$10:BU$54,$B34),0))*500,0)-IF(AND('計算A'!BS$117=1,WQ34&gt;0),300,0)-IF(AND($L34=1,'計算A'!BT$117=1,FS34=0),300,0))),1000000))</f>
        <v/>
      </c>
      <c r="QW34">
        <f>IF($B34=0,1000000,IF(INDEX('計算A'!$D$60:$EQ$104,$B34,70)*FS34=1,IF(AND($E34=2,LH34=0),1000000,IF($I34&gt;0,IF(3=$J34,IF(OR(AND(70=$I34+1,OR($K34&lt;&gt;'計算A'!$A$3,'計算A'!$A$4=0)),AND(70=$I34-1,OR(22&lt;&gt;'計算A'!$A$3,'計算A'!$A$4=0))),0,IF(22=$K34,200000,ABS(22-$K34)*100)),100000+ABS(3-$J34)*1000+220)+'計算A'!BU$5*50+IF(AND($E34=1,LH34=0),25,0),INDEX('計算A'!BU$110:BU$114,$F34+1)+IF(AND($E34=1,LH34=0),1000,0)+IF($H34=1,(IF('計算A'!BT$117=1,INDEX('計算A'!BT$10:BT$54,$B34),0)+IF('計算A'!BU$117=1,INDEX('計算A'!BV$10:BV$54,$B34),0))*500,0)-IF(AND('計算A'!BT$117=1,WR34&gt;0),300,0)-IF(AND($L34=1,'計算A'!BU$117=1,FT34=0),300,0))),1000000))</f>
        <v/>
      </c>
      <c r="QX34">
        <f>IF($B34=0,1000000,IF(INDEX('計算A'!$D$60:$EQ$104,$B34,71)*FT34=1,IF(AND($E34=2,LI34=0),1000000,IF($I34&gt;0,IF(3=$J34,IF(OR(AND(71=$I34+1,OR($K34&lt;&gt;'計算A'!$A$3,'計算A'!$A$4=0)),AND(71=$I34-1,OR(23&lt;&gt;'計算A'!$A$3,'計算A'!$A$4=0))),0,IF(23=$K34,200000,ABS(23-$K34)*100)),100000+ABS(3-$J34)*1000+230)+'計算A'!BV$5*50+IF(AND($E34=1,LI34=0),25,0),INDEX('計算A'!BV$110:BV$114,$F34+1)+IF(AND($E34=1,LI34=0),1000,0)+IF($H34=1,(IF('計算A'!BU$117=1,INDEX('計算A'!BU$10:BU$54,$B34),0)+IF('計算A'!BV$117=1,INDEX('計算A'!BW$10:BW$54,$B34),0))*500,0)-IF(AND('計算A'!BU$117=1,WS34&gt;0),300,0)-IF(AND($L34=1,'計算A'!BV$117=1,FU34=0),300,0))),1000000))</f>
        <v/>
      </c>
      <c r="QY34">
        <f>IF($B34=0,1000000,IF(INDEX('計算A'!$D$60:$EQ$104,$B34,72)*FU34=1,IF(AND($E34=2,LJ34=0),1000000,IF($I34&gt;0,IF(3=$J34,IF(OR(AND(72=$I34+1,OR($K34&lt;&gt;'計算A'!$A$3,'計算A'!$A$4=0)),AND(72=$I34-1,OR(24&lt;&gt;'計算A'!$A$3,'計算A'!$A$4=0))),0,IF(24=$K34,200000,ABS(24-$K34)*100)),100000+ABS(3-$J34)*1000+240)+'計算A'!BW$5*50+IF(AND($E34=1,LJ34=0),25,0),INDEX('計算A'!BW$110:BW$114,$F34+1)+IF(AND($E34=1,LJ34=0),1000,0)+IF($H34=1,(IF('計算A'!BV$117=1,INDEX('計算A'!BV$10:BV$54,$B34),0))*500,0)-IF(AND('計算A'!BV$117=1,WT34&gt;0),300,0))),1000000))</f>
        <v/>
      </c>
      <c r="QZ34">
        <f>IF($B34=0,1000000,IF(INDEX('計算A'!$D$60:$EQ$104,$B34,73)*FV34=1,IF(AND($E34=2,LK34=0),1000000,IF($I34&gt;0,IF(4=$J34,IF(OR(AND(73=$I34+1,OR($K34&lt;&gt;'計算A'!$A$3,'計算A'!$A$4=0)),AND(73=$I34-1,OR(1&lt;&gt;'計算A'!$A$3,'計算A'!$A$4=0))),0,IF(1=$K34,200000,ABS(1-$K34)*100)),100000+ABS(4-$J34)*1000+10)+'計算A'!BX$5*50+IF(AND($E34=1,LK34=0),25,0),INDEX('計算A'!BX$110:BX$114,$F34+1)+IF(AND($E34=1,LK34=0),1000,0)+IF($H34=1,(IF('計算A'!BX$117=1,INDEX('計算A'!BY$10:BY$54,$B34),0))*500,0)-IF(AND($L34=1,'計算A'!BX$117=1,FW34=0),300,0))),1000000))</f>
        <v/>
      </c>
      <c r="RA34">
        <f>IF($B34=0,1000000,IF(INDEX('計算A'!$D$60:$EQ$104,$B34,74)*FW34=1,IF(AND($E34=2,LL34=0),1000000,IF($I34&gt;0,IF(4=$J34,IF(OR(AND(74=$I34+1,OR($K34&lt;&gt;'計算A'!$A$3,'計算A'!$A$4=0)),AND(74=$I34-1,OR(2&lt;&gt;'計算A'!$A$3,'計算A'!$A$4=0))),0,IF(2=$K34,200000,ABS(2-$K34)*100)),100000+ABS(4-$J34)*1000+20)+'計算A'!BY$5*50+IF(AND($E34=1,LL34=0),25,0),INDEX('計算A'!BY$110:BY$114,$F34+1)+IF(AND($E34=1,LL34=0),1000,0)+IF($H34=1,(IF('計算A'!BX$117=1,INDEX('計算A'!BX$10:BX$54,$B34),0)+IF('計算A'!BY$117=1,INDEX('計算A'!BZ$10:BZ$54,$B34),0))*500,0)-IF(AND('計算A'!BX$117=1,WV34&gt;0),300,0)-IF(AND($L34=1,'計算A'!BY$117=1,FX34=0),300,0))),1000000))</f>
        <v/>
      </c>
      <c r="RB34">
        <f>IF($B34=0,1000000,IF(INDEX('計算A'!$D$60:$EQ$104,$B34,75)*FX34=1,IF(AND($E34=2,LM34=0),1000000,IF($I34&gt;0,IF(4=$J34,IF(OR(AND(75=$I34+1,OR($K34&lt;&gt;'計算A'!$A$3,'計算A'!$A$4=0)),AND(75=$I34-1,OR(3&lt;&gt;'計算A'!$A$3,'計算A'!$A$4=0))),0,IF(3=$K34,200000,ABS(3-$K34)*100)),100000+ABS(4-$J34)*1000+30)+'計算A'!BZ$5*50+IF(AND($E34=1,LM34=0),25,0),INDEX('計算A'!BZ$110:BZ$114,$F34+1)+IF(AND($E34=1,LM34=0),1000,0)+IF($H34=1,(IF('計算A'!BY$117=1,INDEX('計算A'!BY$10:BY$54,$B34),0)+IF('計算A'!BZ$117=1,INDEX('計算A'!CA$10:CA$54,$B34),0))*500,0)-IF(AND('計算A'!BY$117=1,WW34&gt;0),300,0)-IF(AND($L34=1,'計算A'!BZ$117=1,FY34=0),300,0))),1000000))</f>
        <v/>
      </c>
      <c r="RC34">
        <f>IF($B34=0,1000000,IF(INDEX('計算A'!$D$60:$EQ$104,$B34,76)*FY34=1,IF(AND($E34=2,LN34=0),1000000,IF($I34&gt;0,IF(4=$J34,IF(OR(AND(76=$I34+1,OR($K34&lt;&gt;'計算A'!$A$3,'計算A'!$A$4=0)),AND(76=$I34-1,OR(4&lt;&gt;'計算A'!$A$3,'計算A'!$A$4=0))),0,IF(4=$K34,200000,ABS(4-$K34)*100)),100000+ABS(4-$J34)*1000+40)+'計算A'!CA$5*50+IF(AND($E34=1,LN34=0),25,0),INDEX('計算A'!CA$110:CA$114,$F34+1)+IF(AND($E34=1,LN34=0),1000,0)+IF($H34=1,(IF('計算A'!BZ$117=1,INDEX('計算A'!BZ$10:BZ$54,$B34),0)+IF('計算A'!CA$117=1,INDEX('計算A'!CB$10:CB$54,$B34),0))*500,0)-IF(AND('計算A'!BZ$117=1,WX34&gt;0),300,0)-IF(AND($L34=1,'計算A'!CA$117=1,FZ34=0),300,0))),1000000))</f>
        <v/>
      </c>
      <c r="RD34">
        <f>IF($B34=0,1000000,IF(INDEX('計算A'!$D$60:$EQ$104,$B34,77)*FZ34=1,IF(AND($E34=2,LO34=0),1000000,IF($I34&gt;0,IF(4=$J34,IF(OR(AND(77=$I34+1,OR($K34&lt;&gt;'計算A'!$A$3,'計算A'!$A$4=0)),AND(77=$I34-1,OR(5&lt;&gt;'計算A'!$A$3,'計算A'!$A$4=0))),0,IF(5=$K34,200000,ABS(5-$K34)*100)),100000+ABS(4-$J34)*1000+50)+'計算A'!CB$5*50+IF(AND($E34=1,LO34=0),25,0),INDEX('計算A'!CB$110:CB$114,$F34+1)+IF(AND($E34=1,LO34=0),1000,0)+IF($H34=1,(IF('計算A'!CA$117=1,INDEX('計算A'!CA$10:CA$54,$B34),0)+IF('計算A'!CB$117=1,INDEX('計算A'!CC$10:CC$54,$B34),0))*500,0)-IF(AND('計算A'!CA$117=1,WY34&gt;0),300,0)-IF(AND($L34=1,'計算A'!CB$117=1,GA34=0),300,0))),1000000))</f>
        <v/>
      </c>
      <c r="RE34">
        <f>IF($B34=0,1000000,IF(INDEX('計算A'!$D$60:$EQ$104,$B34,78)*GA34=1,IF(AND($E34=2,LP34=0),1000000,IF($I34&gt;0,IF(4=$J34,IF(OR(AND(78=$I34+1,OR($K34&lt;&gt;'計算A'!$A$3,'計算A'!$A$4=0)),AND(78=$I34-1,OR(6&lt;&gt;'計算A'!$A$3,'計算A'!$A$4=0))),0,IF(6=$K34,200000,ABS(6-$K34)*100)),100000+ABS(4-$J34)*1000+60)+'計算A'!CC$5*50+IF(AND($E34=1,LP34=0),25,0),INDEX('計算A'!CC$110:CC$114,$F34+1)+IF(AND($E34=1,LP34=0),1000,0)+IF($H34=1,(IF('計算A'!CB$117=1,INDEX('計算A'!CB$10:CB$54,$B34),0)+IF('計算A'!CC$117=1,INDEX('計算A'!CD$10:CD$54,$B34),0))*500,0)-IF(AND('計算A'!CB$117=1,WZ34&gt;0),300,0)-IF(AND($L34=1,'計算A'!CC$117=1,GB34=0),300,0))),1000000))</f>
        <v/>
      </c>
      <c r="RF34">
        <f>IF($B34=0,1000000,IF(INDEX('計算A'!$D$60:$EQ$104,$B34,79)*GB34=1,IF(AND($E34=2,LQ34=0),1000000,IF($I34&gt;0,IF(4=$J34,IF(OR(AND(79=$I34+1,OR($K34&lt;&gt;'計算A'!$A$3,'計算A'!$A$4=0)),AND(79=$I34-1,OR(7&lt;&gt;'計算A'!$A$3,'計算A'!$A$4=0))),0,IF(7=$K34,200000,ABS(7-$K34)*100)),100000+ABS(4-$J34)*1000+70)+'計算A'!CD$5*50+IF(AND($E34=1,LQ34=0),25,0),INDEX('計算A'!CD$110:CD$114,$F34+1)+IF(AND($E34=1,LQ34=0),1000,0)+IF($H34=1,(IF('計算A'!CC$117=1,INDEX('計算A'!CC$10:CC$54,$B34),0)+IF('計算A'!CD$117=1,INDEX('計算A'!CE$10:CE$54,$B34),0))*500,0)-IF(AND('計算A'!CC$117=1,XA34&gt;0),300,0)-IF(AND($L34=1,'計算A'!CD$117=1,GC34=0),300,0))),1000000))</f>
        <v/>
      </c>
      <c r="RG34">
        <f>IF($B34=0,1000000,IF(INDEX('計算A'!$D$60:$EQ$104,$B34,80)*GC34=1,IF(AND($E34=2,LR34=0),1000000,IF($I34&gt;0,IF(4=$J34,IF(OR(AND(80=$I34+1,OR($K34&lt;&gt;'計算A'!$A$3,'計算A'!$A$4=0)),AND(80=$I34-1,OR(8&lt;&gt;'計算A'!$A$3,'計算A'!$A$4=0))),0,IF(8=$K34,200000,ABS(8-$K34)*100)),100000+ABS(4-$J34)*1000+80)+'計算A'!CE$5*50+IF(AND($E34=1,LR34=0),25,0),INDEX('計算A'!CE$110:CE$114,$F34+1)+IF(AND($E34=1,LR34=0),1000,0)+IF($H34=1,(IF('計算A'!CD$117=1,INDEX('計算A'!CD$10:CD$54,$B34),0)+IF('計算A'!CE$117=1,INDEX('計算A'!CF$10:CF$54,$B34),0))*500,0)-IF(AND('計算A'!CD$117=1,XB34&gt;0),300,0)-IF(AND($L34=1,'計算A'!CE$117=1,GD34=0),300,0))),1000000))</f>
        <v/>
      </c>
      <c r="RH34">
        <f>IF($B34=0,1000000,IF(INDEX('計算A'!$D$60:$EQ$104,$B34,81)*GD34=1,IF(AND($E34=2,LS34=0),1000000,IF($I34&gt;0,IF(4=$J34,IF(OR(AND(81=$I34+1,OR($K34&lt;&gt;'計算A'!$A$3,'計算A'!$A$4=0)),AND(81=$I34-1,OR(9&lt;&gt;'計算A'!$A$3,'計算A'!$A$4=0))),0,IF(9=$K34,200000,ABS(9-$K34)*100)),100000+ABS(4-$J34)*1000+90)+'計算A'!CF$5*50+IF(AND($E34=1,LS34=0),25,0),INDEX('計算A'!CF$110:CF$114,$F34+1)+IF(AND($E34=1,LS34=0),1000,0)+IF($H34=1,(IF('計算A'!CE$117=1,INDEX('計算A'!CE$10:CE$54,$B34),0)+IF('計算A'!CF$117=1,INDEX('計算A'!CG$10:CG$54,$B34),0))*500,0)-IF(AND('計算A'!CE$117=1,XC34&gt;0),300,0)-IF(AND($L34=1,'計算A'!CF$117=1,GE34=0),300,0))),1000000))</f>
        <v/>
      </c>
      <c r="RI34">
        <f>IF($B34=0,1000000,IF(INDEX('計算A'!$D$60:$EQ$104,$B34,82)*GE34=1,IF(AND($E34=2,LT34=0),1000000,IF($I34&gt;0,IF(4=$J34,IF(OR(AND(82=$I34+1,OR($K34&lt;&gt;'計算A'!$A$3,'計算A'!$A$4=0)),AND(82=$I34-1,OR(10&lt;&gt;'計算A'!$A$3,'計算A'!$A$4=0))),0,IF(10=$K34,200000,ABS(10-$K34)*100)),100000+ABS(4-$J34)*1000+100)+'計算A'!CG$5*50+IF(AND($E34=1,LT34=0),25,0),INDEX('計算A'!CG$110:CG$114,$F34+1)+IF(AND($E34=1,LT34=0),1000,0)+IF($H34=1,(IF('計算A'!CF$117=1,INDEX('計算A'!CF$10:CF$54,$B34),0)+IF('計算A'!CG$117=1,INDEX('計算A'!CH$10:CH$54,$B34),0))*500,0)-IF(AND('計算A'!CF$117=1,XD34&gt;0),300,0)-IF(AND($L34=1,'計算A'!CG$117=1,GF34=0),300,0))),1000000))</f>
        <v/>
      </c>
      <c r="RJ34">
        <f>IF($B34=0,1000000,IF(INDEX('計算A'!$D$60:$EQ$104,$B34,83)*GF34=1,IF(AND($E34=2,LU34=0),1000000,IF($I34&gt;0,IF(4=$J34,IF(OR(AND(83=$I34+1,OR($K34&lt;&gt;'計算A'!$A$3,'計算A'!$A$4=0)),AND(83=$I34-1,OR(11&lt;&gt;'計算A'!$A$3,'計算A'!$A$4=0))),0,IF(11=$K34,200000,ABS(11-$K34)*100)),100000+ABS(4-$J34)*1000+110)+'計算A'!CH$5*50+IF(AND($E34=1,LU34=0),25,0),INDEX('計算A'!CH$110:CH$114,$F34+1)+IF(AND($E34=1,LU34=0),1000,0)+IF($H34=1,(IF('計算A'!CG$117=1,INDEX('計算A'!CG$10:CG$54,$B34),0)+IF('計算A'!CH$117=1,INDEX('計算A'!CI$10:CI$54,$B34),0))*500,0)-IF(AND('計算A'!CG$117=1,XE34&gt;0),300,0)-IF(AND($L34=1,'計算A'!CH$117=1,GG34=0),300,0))),1000000))</f>
        <v/>
      </c>
      <c r="RK34">
        <f>IF($B34=0,1000000,IF(INDEX('計算A'!$D$60:$EQ$104,$B34,84)*GG34=1,IF(AND($E34=2,LV34=0),1000000,IF($I34&gt;0,IF(4=$J34,IF(OR(AND(84=$I34+1,OR($K34&lt;&gt;'計算A'!$A$3,'計算A'!$A$4=0)),AND(84=$I34-1,OR(12&lt;&gt;'計算A'!$A$3,'計算A'!$A$4=0))),0,IF(12=$K34,200000,ABS(12-$K34)*100)),100000+ABS(4-$J34)*1000+120)+'計算A'!CI$5*50+IF(AND($E34=1,LV34=0),25,0),INDEX('計算A'!CI$110:CI$114,$F34+1)+IF(AND($E34=1,LV34=0),1000,0)+IF($H34=1,(IF('計算A'!CH$117=1,INDEX('計算A'!CH$10:CH$54,$B34),0)+IF('計算A'!CI$117=1,INDEX('計算A'!CJ$10:CJ$54,$B34),0))*500,0)-IF(AND('計算A'!CH$117=1,XF34&gt;0),300,0)-IF(AND($L34=1,'計算A'!CI$117=1,GH34=0),300,0))),1000000))</f>
        <v/>
      </c>
      <c r="RL34">
        <f>IF($B34=0,1000000,IF(INDEX('計算A'!$D$60:$EQ$104,$B34,85)*GH34=1,IF(AND($E34=2,LW34=0),1000000,IF($I34&gt;0,IF(4=$J34,IF(OR(AND(85=$I34+1,OR($K34&lt;&gt;'計算A'!$A$3,'計算A'!$A$4=0)),AND(85=$I34-1,OR(13&lt;&gt;'計算A'!$A$3,'計算A'!$A$4=0))),0,IF(13=$K34,200000,ABS(13-$K34)*100)),100000+ABS(4-$J34)*1000+130)+'計算A'!CJ$5*50+IF(AND($E34=1,LW34=0),25,0),INDEX('計算A'!CJ$110:CJ$114,$F34+1)+IF(AND($E34=1,LW34=0),1000,0)+IF($H34=1,(IF('計算A'!CI$117=1,INDEX('計算A'!CI$10:CI$54,$B34),0)+IF('計算A'!CJ$117=1,INDEX('計算A'!CK$10:CK$54,$B34),0))*500,0)-IF(AND('計算A'!CI$117=1,XG34&gt;0),300,0)-IF(AND($L34=1,'計算A'!CJ$117=1,GI34=0),300,0))),1000000))</f>
        <v/>
      </c>
      <c r="RM34">
        <f>IF($B34=0,1000000,IF(INDEX('計算A'!$D$60:$EQ$104,$B34,86)*GI34=1,IF(AND($E34=2,LX34=0),1000000,IF($I34&gt;0,IF(4=$J34,IF(OR(AND(86=$I34+1,OR($K34&lt;&gt;'計算A'!$A$3,'計算A'!$A$4=0)),AND(86=$I34-1,OR(14&lt;&gt;'計算A'!$A$3,'計算A'!$A$4=0))),0,IF(14=$K34,200000,ABS(14-$K34)*100)),100000+ABS(4-$J34)*1000+140)+'計算A'!CK$5*50+IF(AND($E34=1,LX34=0),25,0),INDEX('計算A'!CK$110:CK$114,$F34+1)+IF(AND($E34=1,LX34=0),1000,0)+IF($H34=1,(IF('計算A'!CJ$117=1,INDEX('計算A'!CJ$10:CJ$54,$B34),0)+IF('計算A'!CK$117=1,INDEX('計算A'!CL$10:CL$54,$B34),0))*500,0)-IF(AND('計算A'!CJ$117=1,XH34&gt;0),300,0)-IF(AND($L34=1,'計算A'!CK$117=1,GJ34=0),300,0))),1000000))</f>
        <v/>
      </c>
      <c r="RN34">
        <f>IF($B34=0,1000000,IF(INDEX('計算A'!$D$60:$EQ$104,$B34,87)*GJ34=1,IF(AND($E34=2,LY34=0),1000000,IF($I34&gt;0,IF(4=$J34,IF(OR(AND(87=$I34+1,OR($K34&lt;&gt;'計算A'!$A$3,'計算A'!$A$4=0)),AND(87=$I34-1,OR(15&lt;&gt;'計算A'!$A$3,'計算A'!$A$4=0))),0,IF(15=$K34,200000,ABS(15-$K34)*100)),100000+ABS(4-$J34)*1000+150)+'計算A'!CL$5*50+IF(AND($E34=1,LY34=0),25,0),INDEX('計算A'!CL$110:CL$114,$F34+1)+IF(AND($E34=1,LY34=0),1000,0)+IF($H34=1,(IF('計算A'!CK$117=1,INDEX('計算A'!CK$10:CK$54,$B34),0)+IF('計算A'!CL$117=1,INDEX('計算A'!CM$10:CM$54,$B34),0))*500,0)-IF(AND('計算A'!CK$117=1,XI34&gt;0),300,0)-IF(AND($L34=1,'計算A'!CL$117=1,GK34=0),300,0))),1000000))</f>
        <v/>
      </c>
      <c r="RO34">
        <f>IF($B34=0,1000000,IF(INDEX('計算A'!$D$60:$EQ$104,$B34,88)*GK34=1,IF(AND($E34=2,LZ34=0),1000000,IF($I34&gt;0,IF(4=$J34,IF(OR(AND(88=$I34+1,OR($K34&lt;&gt;'計算A'!$A$3,'計算A'!$A$4=0)),AND(88=$I34-1,OR(16&lt;&gt;'計算A'!$A$3,'計算A'!$A$4=0))),0,IF(16=$K34,200000,ABS(16-$K34)*100)),100000+ABS(4-$J34)*1000+160)+'計算A'!CM$5*50+IF(AND($E34=1,LZ34=0),25,0),INDEX('計算A'!CM$110:CM$114,$F34+1)+IF(AND($E34=1,LZ34=0),1000,0)+IF($H34=1,(IF('計算A'!CL$117=1,INDEX('計算A'!CL$10:CL$54,$B34),0)+IF('計算A'!CM$117=1,INDEX('計算A'!CN$10:CN$54,$B34),0))*500,0)-IF(AND('計算A'!CL$117=1,XJ34&gt;0),300,0)-IF(AND($L34=1,'計算A'!CM$117=1,GL34=0),300,0))),1000000))</f>
        <v/>
      </c>
      <c r="RP34">
        <f>IF($B34=0,1000000,IF(INDEX('計算A'!$D$60:$EQ$104,$B34,89)*GL34=1,IF(AND($E34=2,MA34=0),1000000,IF($I34&gt;0,IF(4=$J34,IF(OR(AND(89=$I34+1,OR($K34&lt;&gt;'計算A'!$A$3,'計算A'!$A$4=0)),AND(89=$I34-1,OR(17&lt;&gt;'計算A'!$A$3,'計算A'!$A$4=0))),0,IF(17=$K34,200000,ABS(17-$K34)*100)),100000+ABS(4-$J34)*1000+170)+'計算A'!CN$5*50+IF(AND($E34=1,MA34=0),25,0),INDEX('計算A'!CN$110:CN$114,$F34+1)+IF(AND($E34=1,MA34=0),1000,0)+IF($H34=1,(IF('計算A'!CM$117=1,INDEX('計算A'!CM$10:CM$54,$B34),0)+IF('計算A'!CN$117=1,INDEX('計算A'!CO$10:CO$54,$B34),0))*500,0)-IF(AND('計算A'!CM$117=1,XK34&gt;0),300,0)-IF(AND($L34=1,'計算A'!CN$117=1,GM34=0),300,0))),1000000))</f>
        <v/>
      </c>
      <c r="RQ34">
        <f>IF($B34=0,1000000,IF(INDEX('計算A'!$D$60:$EQ$104,$B34,90)*GM34=1,IF(AND($E34=2,MB34=0),1000000,IF($I34&gt;0,IF(4=$J34,IF(OR(AND(90=$I34+1,OR($K34&lt;&gt;'計算A'!$A$3,'計算A'!$A$4=0)),AND(90=$I34-1,OR(18&lt;&gt;'計算A'!$A$3,'計算A'!$A$4=0))),0,IF(18=$K34,200000,ABS(18-$K34)*100)),100000+ABS(4-$J34)*1000+180)+'計算A'!CO$5*50+IF(AND($E34=1,MB34=0),25,0),INDEX('計算A'!CO$110:CO$114,$F34+1)+IF(AND($E34=1,MB34=0),1000,0)+IF($H34=1,(IF('計算A'!CN$117=1,INDEX('計算A'!CN$10:CN$54,$B34),0)+IF('計算A'!CO$117=1,INDEX('計算A'!CP$10:CP$54,$B34),0))*500,0)-IF(AND('計算A'!CN$117=1,XL34&gt;0),300,0)-IF(AND($L34=1,'計算A'!CO$117=1,GN34=0),300,0))),1000000))</f>
        <v/>
      </c>
      <c r="RR34">
        <f>IF($B34=0,1000000,IF(INDEX('計算A'!$D$60:$EQ$104,$B34,91)*GN34=1,IF(AND($E34=2,MC34=0),1000000,IF($I34&gt;0,IF(4=$J34,IF(OR(AND(91=$I34+1,OR($K34&lt;&gt;'計算A'!$A$3,'計算A'!$A$4=0)),AND(91=$I34-1,OR(19&lt;&gt;'計算A'!$A$3,'計算A'!$A$4=0))),0,IF(19=$K34,200000,ABS(19-$K34)*100)),100000+ABS(4-$J34)*1000+190)+'計算A'!CP$5*50+IF(AND($E34=1,MC34=0),25,0),INDEX('計算A'!CP$110:CP$114,$F34+1)+IF(AND($E34=1,MC34=0),1000,0)+IF($H34=1,(IF('計算A'!CO$117=1,INDEX('計算A'!CO$10:CO$54,$B34),0)+IF('計算A'!CP$117=1,INDEX('計算A'!CQ$10:CQ$54,$B34),0))*500,0)-IF(AND('計算A'!CO$117=1,XM34&gt;0),300,0)-IF(AND($L34=1,'計算A'!CP$117=1,GO34=0),300,0))),1000000))</f>
        <v/>
      </c>
      <c r="RS34">
        <f>IF($B34=0,1000000,IF(INDEX('計算A'!$D$60:$EQ$104,$B34,92)*GO34=1,IF(AND($E34=2,MD34=0),1000000,IF($I34&gt;0,IF(4=$J34,IF(OR(AND(92=$I34+1,OR($K34&lt;&gt;'計算A'!$A$3,'計算A'!$A$4=0)),AND(92=$I34-1,OR(20&lt;&gt;'計算A'!$A$3,'計算A'!$A$4=0))),0,IF(20=$K34,200000,ABS(20-$K34)*100)),100000+ABS(4-$J34)*1000+200)+'計算A'!CQ$5*50+IF(AND($E34=1,MD34=0),25,0),INDEX('計算A'!CQ$110:CQ$114,$F34+1)+IF(AND($E34=1,MD34=0),1000,0)+IF($H34=1,(IF('計算A'!CP$117=1,INDEX('計算A'!CP$10:CP$54,$B34),0)+IF('計算A'!CQ$117=1,INDEX('計算A'!CR$10:CR$54,$B34),0))*500,0)-IF(AND('計算A'!CP$117=1,XN34&gt;0),300,0)-IF(AND($L34=1,'計算A'!CQ$117=1,GP34=0),300,0))),1000000))</f>
        <v/>
      </c>
      <c r="RT34">
        <f>IF($B34=0,1000000,IF(INDEX('計算A'!$D$60:$EQ$104,$B34,93)*GP34=1,IF(AND($E34=2,ME34=0),1000000,IF($I34&gt;0,IF(4=$J34,IF(OR(AND(93=$I34+1,OR($K34&lt;&gt;'計算A'!$A$3,'計算A'!$A$4=0)),AND(93=$I34-1,OR(21&lt;&gt;'計算A'!$A$3,'計算A'!$A$4=0))),0,IF(21=$K34,200000,ABS(21-$K34)*100)),100000+ABS(4-$J34)*1000+210)+'計算A'!CR$5*50+IF(AND($E34=1,ME34=0),25,0),INDEX('計算A'!CR$110:CR$114,$F34+1)+IF(AND($E34=1,ME34=0),1000,0)+IF($H34=1,(IF('計算A'!CQ$117=1,INDEX('計算A'!CQ$10:CQ$54,$B34),0)+IF('計算A'!CR$117=1,INDEX('計算A'!CS$10:CS$54,$B34),0))*500,0)-IF(AND('計算A'!CQ$117=1,XO34&gt;0),300,0)-IF(AND($L34=1,'計算A'!CR$117=1,GQ34=0),300,0))),1000000))</f>
        <v/>
      </c>
      <c r="RU34">
        <f>IF($B34=0,1000000,IF(INDEX('計算A'!$D$60:$EQ$104,$B34,94)*GQ34=1,IF(AND($E34=2,MF34=0),1000000,IF($I34&gt;0,IF(4=$J34,IF(OR(AND(94=$I34+1,OR($K34&lt;&gt;'計算A'!$A$3,'計算A'!$A$4=0)),AND(94=$I34-1,OR(22&lt;&gt;'計算A'!$A$3,'計算A'!$A$4=0))),0,IF(22=$K34,200000,ABS(22-$K34)*100)),100000+ABS(4-$J34)*1000+220)+'計算A'!CS$5*50+IF(AND($E34=1,MF34=0),25,0),INDEX('計算A'!CS$110:CS$114,$F34+1)+IF(AND($E34=1,MF34=0),1000,0)+IF($H34=1,(IF('計算A'!CR$117=1,INDEX('計算A'!CR$10:CR$54,$B34),0)+IF('計算A'!CS$117=1,INDEX('計算A'!CT$10:CT$54,$B34),0))*500,0)-IF(AND('計算A'!CR$117=1,XP34&gt;0),300,0)-IF(AND($L34=1,'計算A'!CS$117=1,GR34=0),300,0))),1000000))</f>
        <v/>
      </c>
      <c r="RV34">
        <f>IF($B34=0,1000000,IF(INDEX('計算A'!$D$60:$EQ$104,$B34,95)*GR34=1,IF(AND($E34=2,MG34=0),1000000,IF($I34&gt;0,IF(4=$J34,IF(OR(AND(95=$I34+1,OR($K34&lt;&gt;'計算A'!$A$3,'計算A'!$A$4=0)),AND(95=$I34-1,OR(23&lt;&gt;'計算A'!$A$3,'計算A'!$A$4=0))),0,IF(23=$K34,200000,ABS(23-$K34)*100)),100000+ABS(4-$J34)*1000+230)+'計算A'!CT$5*50+IF(AND($E34=1,MG34=0),25,0),INDEX('計算A'!CT$110:CT$114,$F34+1)+IF(AND($E34=1,MG34=0),1000,0)+IF($H34=1,(IF('計算A'!CS$117=1,INDEX('計算A'!CS$10:CS$54,$B34),0)+IF('計算A'!CT$117=1,INDEX('計算A'!CU$10:CU$54,$B34),0))*500,0)-IF(AND('計算A'!CS$117=1,XQ34&gt;0),300,0)-IF(AND($L34=1,'計算A'!CT$117=1,GS34=0),300,0))),1000000))</f>
        <v/>
      </c>
      <c r="RW34">
        <f>IF($B34=0,1000000,IF(INDEX('計算A'!$D$60:$EQ$104,$B34,96)*GS34=1,IF(AND($E34=2,MH34=0),1000000,IF($I34&gt;0,IF(4=$J34,IF(OR(AND(96=$I34+1,OR($K34&lt;&gt;'計算A'!$A$3,'計算A'!$A$4=0)),AND(96=$I34-1,OR(24&lt;&gt;'計算A'!$A$3,'計算A'!$A$4=0))),0,IF(24=$K34,200000,ABS(24-$K34)*100)),100000+ABS(4-$J34)*1000+240)+'計算A'!CU$5*50+IF(AND($E34=1,MH34=0),25,0),INDEX('計算A'!CU$110:CU$114,$F34+1)+IF(AND($E34=1,MH34=0),1000,0)+IF($H34=1,(IF('計算A'!CT$117=1,INDEX('計算A'!CT$10:CT$54,$B34),0))*500,0)-IF(AND('計算A'!CT$117=1,XR34&gt;0),300,0))),1000000))</f>
        <v/>
      </c>
      <c r="RX34">
        <f>IF($B34=0,1000000,IF(INDEX('計算A'!$D$60:$EQ$104,$B34,97)*GT34=1,IF(AND($E34=2,MI34=0),1000000,IF($I34&gt;0,IF(5=$J34,IF(OR(AND(97=$I34+1,OR($K34&lt;&gt;'計算A'!$A$3,'計算A'!$A$4=0)),AND(97=$I34-1,OR(1&lt;&gt;'計算A'!$A$3,'計算A'!$A$4=0))),0,IF(1=$K34,200000,ABS(1-$K34)*100)),100000+ABS(5-$J34)*1000+10)+'計算A'!CV$5*50+IF(AND($E34=1,MI34=0),25,0),INDEX('計算A'!CV$110:CV$114,$F34+1)+IF(AND($E34=1,MI34=0),1000,0)+IF($H34=1,(IF('計算A'!CV$117=1,INDEX('計算A'!CW$10:CW$54,$B34),0))*500,0)-IF(AND($L34=1,'計算A'!CV$117=1,GU34=0),300,0))),1000000))</f>
        <v/>
      </c>
      <c r="RY34">
        <f>IF($B34=0,1000000,IF(INDEX('計算A'!$D$60:$EQ$104,$B34,98)*GU34=1,IF(AND($E34=2,MJ34=0),1000000,IF($I34&gt;0,IF(5=$J34,IF(OR(AND(98=$I34+1,OR($K34&lt;&gt;'計算A'!$A$3,'計算A'!$A$4=0)),AND(98=$I34-1,OR(2&lt;&gt;'計算A'!$A$3,'計算A'!$A$4=0))),0,IF(2=$K34,200000,ABS(2-$K34)*100)),100000+ABS(5-$J34)*1000+20)+'計算A'!CW$5*50+IF(AND($E34=1,MJ34=0),25,0),INDEX('計算A'!CW$110:CW$114,$F34+1)+IF(AND($E34=1,MJ34=0),1000,0)+IF($H34=1,(IF('計算A'!CV$117=1,INDEX('計算A'!CV$10:CV$54,$B34),0)+IF('計算A'!CW$117=1,INDEX('計算A'!CX$10:CX$54,$B34),0))*500,0)-IF(AND('計算A'!CV$117=1,XT34&gt;0),300,0)-IF(AND($L34=1,'計算A'!CW$117=1,GV34=0),300,0))),1000000))</f>
        <v/>
      </c>
      <c r="RZ34">
        <f>IF($B34=0,1000000,IF(INDEX('計算A'!$D$60:$EQ$104,$B34,99)*GV34=1,IF(AND($E34=2,MK34=0),1000000,IF($I34&gt;0,IF(5=$J34,IF(OR(AND(99=$I34+1,OR($K34&lt;&gt;'計算A'!$A$3,'計算A'!$A$4=0)),AND(99=$I34-1,OR(3&lt;&gt;'計算A'!$A$3,'計算A'!$A$4=0))),0,IF(3=$K34,200000,ABS(3-$K34)*100)),100000+ABS(5-$J34)*1000+30)+'計算A'!CX$5*50+IF(AND($E34=1,MK34=0),25,0),INDEX('計算A'!CX$110:CX$114,$F34+1)+IF(AND($E34=1,MK34=0),1000,0)+IF($H34=1,(IF('計算A'!CW$117=1,INDEX('計算A'!CW$10:CW$54,$B34),0)+IF('計算A'!CX$117=1,INDEX('計算A'!CY$10:CY$54,$B34),0))*500,0)-IF(AND('計算A'!CW$117=1,XU34&gt;0),300,0)-IF(AND($L34=1,'計算A'!CX$117=1,GW34=0),300,0))),1000000))</f>
        <v/>
      </c>
      <c r="SA34">
        <f>IF($B34=0,1000000,IF(INDEX('計算A'!$D$60:$EQ$104,$B34,100)*GW34=1,IF(AND($E34=2,ML34=0),1000000,IF($I34&gt;0,IF(5=$J34,IF(OR(AND(100=$I34+1,OR($K34&lt;&gt;'計算A'!$A$3,'計算A'!$A$4=0)),AND(100=$I34-1,OR(4&lt;&gt;'計算A'!$A$3,'計算A'!$A$4=0))),0,IF(4=$K34,200000,ABS(4-$K34)*100)),100000+ABS(5-$J34)*1000+40)+'計算A'!CY$5*50+IF(AND($E34=1,ML34=0),25,0),INDEX('計算A'!CY$110:CY$114,$F34+1)+IF(AND($E34=1,ML34=0),1000,0)+IF($H34=1,(IF('計算A'!CX$117=1,INDEX('計算A'!CX$10:CX$54,$B34),0)+IF('計算A'!CY$117=1,INDEX('計算A'!CZ$10:CZ$54,$B34),0))*500,0)-IF(AND('計算A'!CX$117=1,XV34&gt;0),300,0)-IF(AND($L34=1,'計算A'!CY$117=1,GX34=0),300,0))),1000000))</f>
        <v/>
      </c>
      <c r="SB34">
        <f>IF($B34=0,1000000,IF(INDEX('計算A'!$D$60:$EQ$104,$B34,101)*GX34=1,IF(AND($E34=2,MM34=0),1000000,IF($I34&gt;0,IF(5=$J34,IF(OR(AND(101=$I34+1,OR($K34&lt;&gt;'計算A'!$A$3,'計算A'!$A$4=0)),AND(101=$I34-1,OR(5&lt;&gt;'計算A'!$A$3,'計算A'!$A$4=0))),0,IF(5=$K34,200000,ABS(5-$K34)*100)),100000+ABS(5-$J34)*1000+50)+'計算A'!CZ$5*50+IF(AND($E34=1,MM34=0),25,0),INDEX('計算A'!CZ$110:CZ$114,$F34+1)+IF(AND($E34=1,MM34=0),1000,0)+IF($H34=1,(IF('計算A'!CY$117=1,INDEX('計算A'!CY$10:CY$54,$B34),0)+IF('計算A'!CZ$117=1,INDEX('計算A'!DA$10:DA$54,$B34),0))*500,0)-IF(AND('計算A'!CY$117=1,XW34&gt;0),300,0)-IF(AND($L34=1,'計算A'!CZ$117=1,GY34=0),300,0))),1000000))</f>
        <v/>
      </c>
      <c r="SC34">
        <f>IF($B34=0,1000000,IF(INDEX('計算A'!$D$60:$EQ$104,$B34,102)*GY34=1,IF(AND($E34=2,MN34=0),1000000,IF($I34&gt;0,IF(5=$J34,IF(OR(AND(102=$I34+1,OR($K34&lt;&gt;'計算A'!$A$3,'計算A'!$A$4=0)),AND(102=$I34-1,OR(6&lt;&gt;'計算A'!$A$3,'計算A'!$A$4=0))),0,IF(6=$K34,200000,ABS(6-$K34)*100)),100000+ABS(5-$J34)*1000+60)+'計算A'!DA$5*50+IF(AND($E34=1,MN34=0),25,0),INDEX('計算A'!DA$110:DA$114,$F34+1)+IF(AND($E34=1,MN34=0),1000,0)+IF($H34=1,(IF('計算A'!CZ$117=1,INDEX('計算A'!CZ$10:CZ$54,$B34),0)+IF('計算A'!DA$117=1,INDEX('計算A'!DB$10:DB$54,$B34),0))*500,0)-IF(AND('計算A'!CZ$117=1,XX34&gt;0),300,0)-IF(AND($L34=1,'計算A'!DA$117=1,GZ34=0),300,0))),1000000))</f>
        <v/>
      </c>
      <c r="SD34">
        <f>IF($B34=0,1000000,IF(INDEX('計算A'!$D$60:$EQ$104,$B34,103)*GZ34=1,IF(AND($E34=2,MO34=0),1000000,IF($I34&gt;0,IF(5=$J34,IF(OR(AND(103=$I34+1,OR($K34&lt;&gt;'計算A'!$A$3,'計算A'!$A$4=0)),AND(103=$I34-1,OR(7&lt;&gt;'計算A'!$A$3,'計算A'!$A$4=0))),0,IF(7=$K34,200000,ABS(7-$K34)*100)),100000+ABS(5-$J34)*1000+70)+'計算A'!DB$5*50+IF(AND($E34=1,MO34=0),25,0),INDEX('計算A'!DB$110:DB$114,$F34+1)+IF(AND($E34=1,MO34=0),1000,0)+IF($H34=1,(IF('計算A'!DA$117=1,INDEX('計算A'!DA$10:DA$54,$B34),0)+IF('計算A'!DB$117=1,INDEX('計算A'!DC$10:DC$54,$B34),0))*500,0)-IF(AND('計算A'!DA$117=1,XY34&gt;0),300,0)-IF(AND($L34=1,'計算A'!DB$117=1,HA34=0),300,0))),1000000))</f>
        <v/>
      </c>
      <c r="SE34">
        <f>IF($B34=0,1000000,IF(INDEX('計算A'!$D$60:$EQ$104,$B34,104)*HA34=1,IF(AND($E34=2,MP34=0),1000000,IF($I34&gt;0,IF(5=$J34,IF(OR(AND(104=$I34+1,OR($K34&lt;&gt;'計算A'!$A$3,'計算A'!$A$4=0)),AND(104=$I34-1,OR(8&lt;&gt;'計算A'!$A$3,'計算A'!$A$4=0))),0,IF(8=$K34,200000,ABS(8-$K34)*100)),100000+ABS(5-$J34)*1000+80)+'計算A'!DC$5*50+IF(AND($E34=1,MP34=0),25,0),INDEX('計算A'!DC$110:DC$114,$F34+1)+IF(AND($E34=1,MP34=0),1000,0)+IF($H34=1,(IF('計算A'!DB$117=1,INDEX('計算A'!DB$10:DB$54,$B34),0)+IF('計算A'!DC$117=1,INDEX('計算A'!DD$10:DD$54,$B34),0))*500,0)-IF(AND('計算A'!DB$117=1,XZ34&gt;0),300,0)-IF(AND($L34=1,'計算A'!DC$117=1,HB34=0),300,0))),1000000))</f>
        <v/>
      </c>
      <c r="SF34">
        <f>IF($B34=0,1000000,IF(INDEX('計算A'!$D$60:$EQ$104,$B34,105)*HB34=1,IF(AND($E34=2,MQ34=0),1000000,IF($I34&gt;0,IF(5=$J34,IF(OR(AND(105=$I34+1,OR($K34&lt;&gt;'計算A'!$A$3,'計算A'!$A$4=0)),AND(105=$I34-1,OR(9&lt;&gt;'計算A'!$A$3,'計算A'!$A$4=0))),0,IF(9=$K34,200000,ABS(9-$K34)*100)),100000+ABS(5-$J34)*1000+90)+'計算A'!DD$5*50+IF(AND($E34=1,MQ34=0),25,0),INDEX('計算A'!DD$110:DD$114,$F34+1)+IF(AND($E34=1,MQ34=0),1000,0)+IF($H34=1,(IF('計算A'!DC$117=1,INDEX('計算A'!DC$10:DC$54,$B34),0)+IF('計算A'!DD$117=1,INDEX('計算A'!DE$10:DE$54,$B34),0))*500,0)-IF(AND('計算A'!DC$117=1,YA34&gt;0),300,0)-IF(AND($L34=1,'計算A'!DD$117=1,HC34=0),300,0))),1000000))</f>
        <v/>
      </c>
      <c r="SG34">
        <f>IF($B34=0,1000000,IF(INDEX('計算A'!$D$60:$EQ$104,$B34,106)*HC34=1,IF(AND($E34=2,MR34=0),1000000,IF($I34&gt;0,IF(5=$J34,IF(OR(AND(106=$I34+1,OR($K34&lt;&gt;'計算A'!$A$3,'計算A'!$A$4=0)),AND(106=$I34-1,OR(10&lt;&gt;'計算A'!$A$3,'計算A'!$A$4=0))),0,IF(10=$K34,200000,ABS(10-$K34)*100)),100000+ABS(5-$J34)*1000+100)+'計算A'!DE$5*50+IF(AND($E34=1,MR34=0),25,0),INDEX('計算A'!DE$110:DE$114,$F34+1)+IF(AND($E34=1,MR34=0),1000,0)+IF($H34=1,(IF('計算A'!DD$117=1,INDEX('計算A'!DD$10:DD$54,$B34),0)+IF('計算A'!DE$117=1,INDEX('計算A'!DF$10:DF$54,$B34),0))*500,0)-IF(AND('計算A'!DD$117=1,YB34&gt;0),300,0)-IF(AND($L34=1,'計算A'!DE$117=1,HD34=0),300,0))),1000000))</f>
        <v/>
      </c>
      <c r="SH34">
        <f>IF($B34=0,1000000,IF(INDEX('計算A'!$D$60:$EQ$104,$B34,107)*HD34=1,IF(AND($E34=2,MS34=0),1000000,IF($I34&gt;0,IF(5=$J34,IF(OR(AND(107=$I34+1,OR($K34&lt;&gt;'計算A'!$A$3,'計算A'!$A$4=0)),AND(107=$I34-1,OR(11&lt;&gt;'計算A'!$A$3,'計算A'!$A$4=0))),0,IF(11=$K34,200000,ABS(11-$K34)*100)),100000+ABS(5-$J34)*1000+110)+'計算A'!DF$5*50+IF(AND($E34=1,MS34=0),25,0),INDEX('計算A'!DF$110:DF$114,$F34+1)+IF(AND($E34=1,MS34=0),1000,0)+IF($H34=1,(IF('計算A'!DE$117=1,INDEX('計算A'!DE$10:DE$54,$B34),0)+IF('計算A'!DF$117=1,INDEX('計算A'!DG$10:DG$54,$B34),0))*500,0)-IF(AND('計算A'!DE$117=1,YC34&gt;0),300,0)-IF(AND($L34=1,'計算A'!DF$117=1,HE34=0),300,0))),1000000))</f>
        <v/>
      </c>
      <c r="SI34">
        <f>IF($B34=0,1000000,IF(INDEX('計算A'!$D$60:$EQ$104,$B34,108)*HE34=1,IF(AND($E34=2,MT34=0),1000000,IF($I34&gt;0,IF(5=$J34,IF(OR(AND(108=$I34+1,OR($K34&lt;&gt;'計算A'!$A$3,'計算A'!$A$4=0)),AND(108=$I34-1,OR(12&lt;&gt;'計算A'!$A$3,'計算A'!$A$4=0))),0,IF(12=$K34,200000,ABS(12-$K34)*100)),100000+ABS(5-$J34)*1000+120)+'計算A'!DG$5*50+IF(AND($E34=1,MT34=0),25,0),INDEX('計算A'!DG$110:DG$114,$F34+1)+IF(AND($E34=1,MT34=0),1000,0)+IF($H34=1,(IF('計算A'!DF$117=1,INDEX('計算A'!DF$10:DF$54,$B34),0)+IF('計算A'!DG$117=1,INDEX('計算A'!DH$10:DH$54,$B34),0))*500,0)-IF(AND('計算A'!DF$117=1,YD34&gt;0),300,0)-IF(AND($L34=1,'計算A'!DG$117=1,HF34=0),300,0))),1000000))</f>
        <v/>
      </c>
      <c r="SJ34">
        <f>IF($B34=0,1000000,IF(INDEX('計算A'!$D$60:$EQ$104,$B34,109)*HF34=1,IF(AND($E34=2,MU34=0),1000000,IF($I34&gt;0,IF(5=$J34,IF(OR(AND(109=$I34+1,OR($K34&lt;&gt;'計算A'!$A$3,'計算A'!$A$4=0)),AND(109=$I34-1,OR(13&lt;&gt;'計算A'!$A$3,'計算A'!$A$4=0))),0,IF(13=$K34,200000,ABS(13-$K34)*100)),100000+ABS(5-$J34)*1000+130)+'計算A'!DH$5*50+IF(AND($E34=1,MU34=0),25,0),INDEX('計算A'!DH$110:DH$114,$F34+1)+IF(AND($E34=1,MU34=0),1000,0)+IF($H34=1,(IF('計算A'!DG$117=1,INDEX('計算A'!DG$10:DG$54,$B34),0)+IF('計算A'!DH$117=1,INDEX('計算A'!DI$10:DI$54,$B34),0))*500,0)-IF(AND('計算A'!DG$117=1,YE34&gt;0),300,0)-IF(AND($L34=1,'計算A'!DH$117=1,HG34=0),300,0))),1000000))</f>
        <v/>
      </c>
      <c r="SK34">
        <f>IF($B34=0,1000000,IF(INDEX('計算A'!$D$60:$EQ$104,$B34,110)*HG34=1,IF(AND($E34=2,MV34=0),1000000,IF($I34&gt;0,IF(5=$J34,IF(OR(AND(110=$I34+1,OR($K34&lt;&gt;'計算A'!$A$3,'計算A'!$A$4=0)),AND(110=$I34-1,OR(14&lt;&gt;'計算A'!$A$3,'計算A'!$A$4=0))),0,IF(14=$K34,200000,ABS(14-$K34)*100)),100000+ABS(5-$J34)*1000+140)+'計算A'!DI$5*50+IF(AND($E34=1,MV34=0),25,0),INDEX('計算A'!DI$110:DI$114,$F34+1)+IF(AND($E34=1,MV34=0),1000,0)+IF($H34=1,(IF('計算A'!DH$117=1,INDEX('計算A'!DH$10:DH$54,$B34),0)+IF('計算A'!DI$117=1,INDEX('計算A'!DJ$10:DJ$54,$B34),0))*500,0)-IF(AND('計算A'!DH$117=1,YF34&gt;0),300,0)-IF(AND($L34=1,'計算A'!DI$117=1,HH34=0),300,0))),1000000))</f>
        <v/>
      </c>
      <c r="SL34">
        <f>IF($B34=0,1000000,IF(INDEX('計算A'!$D$60:$EQ$104,$B34,111)*HH34=1,IF(AND($E34=2,MW34=0),1000000,IF($I34&gt;0,IF(5=$J34,IF(OR(AND(111=$I34+1,OR($K34&lt;&gt;'計算A'!$A$3,'計算A'!$A$4=0)),AND(111=$I34-1,OR(15&lt;&gt;'計算A'!$A$3,'計算A'!$A$4=0))),0,IF(15=$K34,200000,ABS(15-$K34)*100)),100000+ABS(5-$J34)*1000+150)+'計算A'!DJ$5*50+IF(AND($E34=1,MW34=0),25,0),INDEX('計算A'!DJ$110:DJ$114,$F34+1)+IF(AND($E34=1,MW34=0),1000,0)+IF($H34=1,(IF('計算A'!DI$117=1,INDEX('計算A'!DI$10:DI$54,$B34),0)+IF('計算A'!DJ$117=1,INDEX('計算A'!DK$10:DK$54,$B34),0))*500,0)-IF(AND('計算A'!DI$117=1,YG34&gt;0),300,0)-IF(AND($L34=1,'計算A'!DJ$117=1,HI34=0),300,0))),1000000))</f>
        <v/>
      </c>
      <c r="SM34">
        <f>IF($B34=0,1000000,IF(INDEX('計算A'!$D$60:$EQ$104,$B34,112)*HI34=1,IF(AND($E34=2,MX34=0),1000000,IF($I34&gt;0,IF(5=$J34,IF(OR(AND(112=$I34+1,OR($K34&lt;&gt;'計算A'!$A$3,'計算A'!$A$4=0)),AND(112=$I34-1,OR(16&lt;&gt;'計算A'!$A$3,'計算A'!$A$4=0))),0,IF(16=$K34,200000,ABS(16-$K34)*100)),100000+ABS(5-$J34)*1000+160)+'計算A'!DK$5*50+IF(AND($E34=1,MX34=0),25,0),INDEX('計算A'!DK$110:DK$114,$F34+1)+IF(AND($E34=1,MX34=0),1000,0)+IF($H34=1,(IF('計算A'!DJ$117=1,INDEX('計算A'!DJ$10:DJ$54,$B34),0)+IF('計算A'!DK$117=1,INDEX('計算A'!DL$10:DL$54,$B34),0))*500,0)-IF(AND('計算A'!DJ$117=1,YH34&gt;0),300,0)-IF(AND($L34=1,'計算A'!DK$117=1,HJ34=0),300,0))),1000000))</f>
        <v/>
      </c>
      <c r="SN34">
        <f>IF($B34=0,1000000,IF(INDEX('計算A'!$D$60:$EQ$104,$B34,113)*HJ34=1,IF(AND($E34=2,MY34=0),1000000,IF($I34&gt;0,IF(5=$J34,IF(OR(AND(113=$I34+1,OR($K34&lt;&gt;'計算A'!$A$3,'計算A'!$A$4=0)),AND(113=$I34-1,OR(17&lt;&gt;'計算A'!$A$3,'計算A'!$A$4=0))),0,IF(17=$K34,200000,ABS(17-$K34)*100)),100000+ABS(5-$J34)*1000+170)+'計算A'!DL$5*50+IF(AND($E34=1,MY34=0),25,0),INDEX('計算A'!DL$110:DL$114,$F34+1)+IF(AND($E34=1,MY34=0),1000,0)+IF($H34=1,(IF('計算A'!DK$117=1,INDEX('計算A'!DK$10:DK$54,$B34),0)+IF('計算A'!DL$117=1,INDEX('計算A'!DM$10:DM$54,$B34),0))*500,0)-IF(AND('計算A'!DK$117=1,YI34&gt;0),300,0)-IF(AND($L34=1,'計算A'!DL$117=1,HK34=0),300,0))),1000000))</f>
        <v/>
      </c>
      <c r="SO34">
        <f>IF($B34=0,1000000,IF(INDEX('計算A'!$D$60:$EQ$104,$B34,114)*HK34=1,IF(AND($E34=2,MZ34=0),1000000,IF($I34&gt;0,IF(5=$J34,IF(OR(AND(114=$I34+1,OR($K34&lt;&gt;'計算A'!$A$3,'計算A'!$A$4=0)),AND(114=$I34-1,OR(18&lt;&gt;'計算A'!$A$3,'計算A'!$A$4=0))),0,IF(18=$K34,200000,ABS(18-$K34)*100)),100000+ABS(5-$J34)*1000+180)+'計算A'!DM$5*50+IF(AND($E34=1,MZ34=0),25,0),INDEX('計算A'!DM$110:DM$114,$F34+1)+IF(AND($E34=1,MZ34=0),1000,0)+IF($H34=1,(IF('計算A'!DL$117=1,INDEX('計算A'!DL$10:DL$54,$B34),0)+IF('計算A'!DM$117=1,INDEX('計算A'!DN$10:DN$54,$B34),0))*500,0)-IF(AND('計算A'!DL$117=1,YJ34&gt;0),300,0)-IF(AND($L34=1,'計算A'!DM$117=1,HL34=0),300,0))),1000000))</f>
        <v/>
      </c>
      <c r="SP34">
        <f>IF($B34=0,1000000,IF(INDEX('計算A'!$D$60:$EQ$104,$B34,115)*HL34=1,IF(AND($E34=2,NA34=0),1000000,IF($I34&gt;0,IF(5=$J34,IF(OR(AND(115=$I34+1,OR($K34&lt;&gt;'計算A'!$A$3,'計算A'!$A$4=0)),AND(115=$I34-1,OR(19&lt;&gt;'計算A'!$A$3,'計算A'!$A$4=0))),0,IF(19=$K34,200000,ABS(19-$K34)*100)),100000+ABS(5-$J34)*1000+190)+'計算A'!DN$5*50+IF(AND($E34=1,NA34=0),25,0),INDEX('計算A'!DN$110:DN$114,$F34+1)+IF(AND($E34=1,NA34=0),1000,0)+IF($H34=1,(IF('計算A'!DM$117=1,INDEX('計算A'!DM$10:DM$54,$B34),0)+IF('計算A'!DN$117=1,INDEX('計算A'!DO$10:DO$54,$B34),0))*500,0)-IF(AND('計算A'!DM$117=1,YK34&gt;0),300,0)-IF(AND($L34=1,'計算A'!DN$117=1,HM34=0),300,0))),1000000))</f>
        <v/>
      </c>
      <c r="SQ34">
        <f>IF($B34=0,1000000,IF(INDEX('計算A'!$D$60:$EQ$104,$B34,116)*HM34=1,IF(AND($E34=2,NB34=0),1000000,IF($I34&gt;0,IF(5=$J34,IF(OR(AND(116=$I34+1,OR($K34&lt;&gt;'計算A'!$A$3,'計算A'!$A$4=0)),AND(116=$I34-1,OR(20&lt;&gt;'計算A'!$A$3,'計算A'!$A$4=0))),0,IF(20=$K34,200000,ABS(20-$K34)*100)),100000+ABS(5-$J34)*1000+200)+'計算A'!DO$5*50+IF(AND($E34=1,NB34=0),25,0),INDEX('計算A'!DO$110:DO$114,$F34+1)+IF(AND($E34=1,NB34=0),1000,0)+IF($H34=1,(IF('計算A'!DN$117=1,INDEX('計算A'!DN$10:DN$54,$B34),0)+IF('計算A'!DO$117=1,INDEX('計算A'!DP$10:DP$54,$B34),0))*500,0)-IF(AND('計算A'!DN$117=1,YL34&gt;0),300,0)-IF(AND($L34=1,'計算A'!DO$117=1,HN34=0),300,0))),1000000))</f>
        <v/>
      </c>
      <c r="SR34">
        <f>IF($B34=0,1000000,IF(INDEX('計算A'!$D$60:$EQ$104,$B34,117)*HN34=1,IF(AND($E34=2,NC34=0),1000000,IF($I34&gt;0,IF(5=$J34,IF(OR(AND(117=$I34+1,OR($K34&lt;&gt;'計算A'!$A$3,'計算A'!$A$4=0)),AND(117=$I34-1,OR(21&lt;&gt;'計算A'!$A$3,'計算A'!$A$4=0))),0,IF(21=$K34,200000,ABS(21-$K34)*100)),100000+ABS(5-$J34)*1000+210)+'計算A'!DP$5*50+IF(AND($E34=1,NC34=0),25,0),INDEX('計算A'!DP$110:DP$114,$F34+1)+IF(AND($E34=1,NC34=0),1000,0)+IF($H34=1,(IF('計算A'!DO$117=1,INDEX('計算A'!DO$10:DO$54,$B34),0)+IF('計算A'!DP$117=1,INDEX('計算A'!DQ$10:DQ$54,$B34),0))*500,0)-IF(AND('計算A'!DO$117=1,YM34&gt;0),300,0)-IF(AND($L34=1,'計算A'!DP$117=1,HO34=0),300,0))),1000000))</f>
        <v/>
      </c>
      <c r="SS34">
        <f>IF($B34=0,1000000,IF(INDEX('計算A'!$D$60:$EQ$104,$B34,118)*HO34=1,IF(AND($E34=2,ND34=0),1000000,IF($I34&gt;0,IF(5=$J34,IF(OR(AND(118=$I34+1,OR($K34&lt;&gt;'計算A'!$A$3,'計算A'!$A$4=0)),AND(118=$I34-1,OR(22&lt;&gt;'計算A'!$A$3,'計算A'!$A$4=0))),0,IF(22=$K34,200000,ABS(22-$K34)*100)),100000+ABS(5-$J34)*1000+220)+'計算A'!DQ$5*50+IF(AND($E34=1,ND34=0),25,0),INDEX('計算A'!DQ$110:DQ$114,$F34+1)+IF(AND($E34=1,ND34=0),1000,0)+IF($H34=1,(IF('計算A'!DP$117=1,INDEX('計算A'!DP$10:DP$54,$B34),0)+IF('計算A'!DQ$117=1,INDEX('計算A'!DR$10:DR$54,$B34),0))*500,0)-IF(AND('計算A'!DP$117=1,YN34&gt;0),300,0)-IF(AND($L34=1,'計算A'!DQ$117=1,HP34=0),300,0))),1000000))</f>
        <v/>
      </c>
      <c r="ST34">
        <f>IF($B34=0,1000000,IF(INDEX('計算A'!$D$60:$EQ$104,$B34,119)*HP34=1,IF(AND($E34=2,NE34=0),1000000,IF($I34&gt;0,IF(5=$J34,IF(OR(AND(119=$I34+1,OR($K34&lt;&gt;'計算A'!$A$3,'計算A'!$A$4=0)),AND(119=$I34-1,OR(23&lt;&gt;'計算A'!$A$3,'計算A'!$A$4=0))),0,IF(23=$K34,200000,ABS(23-$K34)*100)),100000+ABS(5-$J34)*1000+230)+'計算A'!DR$5*50+IF(AND($E34=1,NE34=0),25,0),INDEX('計算A'!DR$110:DR$114,$F34+1)+IF(AND($E34=1,NE34=0),1000,0)+IF($H34=1,(IF('計算A'!DQ$117=1,INDEX('計算A'!DQ$10:DQ$54,$B34),0)+IF('計算A'!DR$117=1,INDEX('計算A'!DS$10:DS$54,$B34),0))*500,0)-IF(AND('計算A'!DQ$117=1,YO34&gt;0),300,0)-IF(AND($L34=1,'計算A'!DR$117=1,HQ34=0),300,0))),1000000))</f>
        <v/>
      </c>
      <c r="SU34">
        <f>IF($B34=0,1000000,IF(INDEX('計算A'!$D$60:$EQ$104,$B34,120)*HQ34=1,IF(AND($E34=2,NF34=0),1000000,IF($I34&gt;0,IF(5=$J34,IF(OR(AND(120=$I34+1,OR($K34&lt;&gt;'計算A'!$A$3,'計算A'!$A$4=0)),AND(120=$I34-1,OR(24&lt;&gt;'計算A'!$A$3,'計算A'!$A$4=0))),0,IF(24=$K34,200000,ABS(24-$K34)*100)),100000+ABS(5-$J34)*1000+240)+'計算A'!DS$5*50+IF(AND($E34=1,NF34=0),25,0),INDEX('計算A'!DS$110:DS$114,$F34+1)+IF(AND($E34=1,NF34=0),1000,0)+IF($H34=1,(IF('計算A'!DR$117=1,INDEX('計算A'!DR$10:DR$54,$B34),0))*500,0)-IF(AND('計算A'!DR$117=1,YP34&gt;0),300,0))),1000000))</f>
        <v/>
      </c>
      <c r="SV34">
        <f>IF($B34=0,1000000,IF(INDEX('計算A'!$D$60:$EQ$104,$B34,121)*HR34=1,IF(AND($E34=2,NG34=0),1000000,IF($I34&gt;0,IF(6=$J34,IF(OR(AND(121=$I34+1,OR($K34&lt;&gt;'計算A'!$A$3,'計算A'!$A$4=0)),AND(121=$I34-1,OR(1&lt;&gt;'計算A'!$A$3,'計算A'!$A$4=0))),0,IF(1=$K34,200000,ABS(1-$K34)*100)),100000+ABS(6-$J34)*1000+10)+'計算A'!DT$5*50+IF(AND($E34=1,NG34=0),25,0),INDEX('計算A'!DT$110:DT$114,$F34+1)+IF(AND($E34=1,NG34=0),1000,0)+IF($H34=1,(IF('計算A'!DT$117=1,INDEX('計算A'!DU$10:DU$54,$B34),0))*500,0)-IF(AND($L34=1,'計算A'!DT$117=1,HS34=0),300,0))),1000000))</f>
        <v/>
      </c>
      <c r="SW34">
        <f>IF($B34=0,1000000,IF(INDEX('計算A'!$D$60:$EQ$104,$B34,122)*HS34=1,IF(AND($E34=2,NH34=0),1000000,IF($I34&gt;0,IF(6=$J34,IF(OR(AND(122=$I34+1,OR($K34&lt;&gt;'計算A'!$A$3,'計算A'!$A$4=0)),AND(122=$I34-1,OR(2&lt;&gt;'計算A'!$A$3,'計算A'!$A$4=0))),0,IF(2=$K34,200000,ABS(2-$K34)*100)),100000+ABS(6-$J34)*1000+20)+'計算A'!DU$5*50+IF(AND($E34=1,NH34=0),25,0),INDEX('計算A'!DU$110:DU$114,$F34+1)+IF(AND($E34=1,NH34=0),1000,0)+IF($H34=1,(IF('計算A'!DT$117=1,INDEX('計算A'!DT$10:DT$54,$B34),0)+IF('計算A'!DU$117=1,INDEX('計算A'!DV$10:DV$54,$B34),0))*500,0)-IF(AND('計算A'!DT$117=1,YR34&gt;0),300,0)-IF(AND($L34=1,'計算A'!DU$117=1,HT34=0),300,0))),1000000))</f>
        <v/>
      </c>
      <c r="SX34">
        <f>IF($B34=0,1000000,IF(INDEX('計算A'!$D$60:$EQ$104,$B34,123)*HT34=1,IF(AND($E34=2,NI34=0),1000000,IF($I34&gt;0,IF(6=$J34,IF(OR(AND(123=$I34+1,OR($K34&lt;&gt;'計算A'!$A$3,'計算A'!$A$4=0)),AND(123=$I34-1,OR(3&lt;&gt;'計算A'!$A$3,'計算A'!$A$4=0))),0,IF(3=$K34,200000,ABS(3-$K34)*100)),100000+ABS(6-$J34)*1000+30)+'計算A'!DV$5*50+IF(AND($E34=1,NI34=0),25,0),INDEX('計算A'!DV$110:DV$114,$F34+1)+IF(AND($E34=1,NI34=0),1000,0)+IF($H34=1,(IF('計算A'!DU$117=1,INDEX('計算A'!DU$10:DU$54,$B34),0)+IF('計算A'!DV$117=1,INDEX('計算A'!DW$10:DW$54,$B34),0))*500,0)-IF(AND('計算A'!DU$117=1,YS34&gt;0),300,0)-IF(AND($L34=1,'計算A'!DV$117=1,HU34=0),300,0))),1000000))</f>
        <v/>
      </c>
      <c r="SY34">
        <f>IF($B34=0,1000000,IF(INDEX('計算A'!$D$60:$EQ$104,$B34,124)*HU34=1,IF(AND($E34=2,NJ34=0),1000000,IF($I34&gt;0,IF(6=$J34,IF(OR(AND(124=$I34+1,OR($K34&lt;&gt;'計算A'!$A$3,'計算A'!$A$4=0)),AND(124=$I34-1,OR(4&lt;&gt;'計算A'!$A$3,'計算A'!$A$4=0))),0,IF(4=$K34,200000,ABS(4-$K34)*100)),100000+ABS(6-$J34)*1000+40)+'計算A'!DW$5*50+IF(AND($E34=1,NJ34=0),25,0),INDEX('計算A'!DW$110:DW$114,$F34+1)+IF(AND($E34=1,NJ34=0),1000,0)+IF($H34=1,(IF('計算A'!DV$117=1,INDEX('計算A'!DV$10:DV$54,$B34),0)+IF('計算A'!DW$117=1,INDEX('計算A'!DX$10:DX$54,$B34),0))*500,0)-IF(AND('計算A'!DV$117=1,YT34&gt;0),300,0)-IF(AND($L34=1,'計算A'!DW$117=1,HV34=0),300,0))),1000000))</f>
        <v/>
      </c>
      <c r="SZ34">
        <f>IF($B34=0,1000000,IF(INDEX('計算A'!$D$60:$EQ$104,$B34,125)*HV34=1,IF(AND($E34=2,NK34=0),1000000,IF($I34&gt;0,IF(6=$J34,IF(OR(AND(125=$I34+1,OR($K34&lt;&gt;'計算A'!$A$3,'計算A'!$A$4=0)),AND(125=$I34-1,OR(5&lt;&gt;'計算A'!$A$3,'計算A'!$A$4=0))),0,IF(5=$K34,200000,ABS(5-$K34)*100)),100000+ABS(6-$J34)*1000+50)+'計算A'!DX$5*50+IF(AND($E34=1,NK34=0),25,0),INDEX('計算A'!DX$110:DX$114,$F34+1)+IF(AND($E34=1,NK34=0),1000,0)+IF($H34=1,(IF('計算A'!DW$117=1,INDEX('計算A'!DW$10:DW$54,$B34),0)+IF('計算A'!DX$117=1,INDEX('計算A'!DY$10:DY$54,$B34),0))*500,0)-IF(AND('計算A'!DW$117=1,YU34&gt;0),300,0)-IF(AND($L34=1,'計算A'!DX$117=1,HW34=0),300,0))),1000000))</f>
        <v/>
      </c>
      <c r="TA34">
        <f>IF($B34=0,1000000,IF(INDEX('計算A'!$D$60:$EQ$104,$B34,126)*HW34=1,IF(AND($E34=2,NL34=0),1000000,IF($I34&gt;0,IF(6=$J34,IF(OR(AND(126=$I34+1,OR($K34&lt;&gt;'計算A'!$A$3,'計算A'!$A$4=0)),AND(126=$I34-1,OR(6&lt;&gt;'計算A'!$A$3,'計算A'!$A$4=0))),0,IF(6=$K34,200000,ABS(6-$K34)*100)),100000+ABS(6-$J34)*1000+60)+'計算A'!DY$5*50+IF(AND($E34=1,NL34=0),25,0),INDEX('計算A'!DY$110:DY$114,$F34+1)+IF(AND($E34=1,NL34=0),1000,0)+IF($H34=1,(IF('計算A'!DX$117=1,INDEX('計算A'!DX$10:DX$54,$B34),0)+IF('計算A'!DY$117=1,INDEX('計算A'!DZ$10:DZ$54,$B34),0))*500,0)-IF(AND('計算A'!DX$117=1,YV34&gt;0),300,0)-IF(AND($L34=1,'計算A'!DY$117=1,HX34=0),300,0))),1000000))</f>
        <v/>
      </c>
      <c r="TB34">
        <f>IF($B34=0,1000000,IF(INDEX('計算A'!$D$60:$EQ$104,$B34,127)*HX34=1,IF(AND($E34=2,NM34=0),1000000,IF($I34&gt;0,IF(6=$J34,IF(OR(AND(127=$I34+1,OR($K34&lt;&gt;'計算A'!$A$3,'計算A'!$A$4=0)),AND(127=$I34-1,OR(7&lt;&gt;'計算A'!$A$3,'計算A'!$A$4=0))),0,IF(7=$K34,200000,ABS(7-$K34)*100)),100000+ABS(6-$J34)*1000+70)+'計算A'!DZ$5*50+IF(AND($E34=1,NM34=0),25,0),INDEX('計算A'!DZ$110:DZ$114,$F34+1)+IF(AND($E34=1,NM34=0),1000,0)+IF($H34=1,(IF('計算A'!DY$117=1,INDEX('計算A'!DY$10:DY$54,$B34),0)+IF('計算A'!DZ$117=1,INDEX('計算A'!EA$10:EA$54,$B34),0))*500,0)-IF(AND('計算A'!DY$117=1,YW34&gt;0),300,0)-IF(AND($L34=1,'計算A'!DZ$117=1,HY34=0),300,0))),1000000))</f>
        <v/>
      </c>
      <c r="TC34">
        <f>IF($B34=0,1000000,IF(INDEX('計算A'!$D$60:$EQ$104,$B34,128)*HY34=1,IF(AND($E34=2,NN34=0),1000000,IF($I34&gt;0,IF(6=$J34,IF(OR(AND(128=$I34+1,OR($K34&lt;&gt;'計算A'!$A$3,'計算A'!$A$4=0)),AND(128=$I34-1,OR(8&lt;&gt;'計算A'!$A$3,'計算A'!$A$4=0))),0,IF(8=$K34,200000,ABS(8-$K34)*100)),100000+ABS(6-$J34)*1000+80)+'計算A'!EA$5*50+IF(AND($E34=1,NN34=0),25,0),INDEX('計算A'!EA$110:EA$114,$F34+1)+IF(AND($E34=1,NN34=0),1000,0)+IF($H34=1,(IF('計算A'!DZ$117=1,INDEX('計算A'!DZ$10:DZ$54,$B34),0)+IF('計算A'!EA$117=1,INDEX('計算A'!EB$10:EB$54,$B34),0))*500,0)-IF(AND('計算A'!DZ$117=1,YX34&gt;0),300,0)-IF(AND($L34=1,'計算A'!EA$117=1,HZ34=0),300,0))),1000000))</f>
        <v/>
      </c>
      <c r="TD34">
        <f>IF($B34=0,1000000,IF(INDEX('計算A'!$D$60:$EQ$104,$B34,129)*HZ34=1,IF(AND($E34=2,NO34=0),1000000,IF($I34&gt;0,IF(6=$J34,IF(OR(AND(129=$I34+1,OR($K34&lt;&gt;'計算A'!$A$3,'計算A'!$A$4=0)),AND(129=$I34-1,OR(9&lt;&gt;'計算A'!$A$3,'計算A'!$A$4=0))),0,IF(9=$K34,200000,ABS(9-$K34)*100)),100000+ABS(6-$J34)*1000+90)+'計算A'!EB$5*50+IF(AND($E34=1,NO34=0),25,0),INDEX('計算A'!EB$110:EB$114,$F34+1)+IF(AND($E34=1,NO34=0),1000,0)+IF($H34=1,(IF('計算A'!EA$117=1,INDEX('計算A'!EA$10:EA$54,$B34),0)+IF('計算A'!EB$117=1,INDEX('計算A'!EC$10:EC$54,$B34),0))*500,0)-IF(AND('計算A'!EA$117=1,YY34&gt;0),300,0)-IF(AND($L34=1,'計算A'!EB$117=1,IA34=0),300,0))),1000000))</f>
        <v/>
      </c>
      <c r="TE34">
        <f>IF($B34=0,1000000,IF(INDEX('計算A'!$D$60:$EQ$104,$B34,130)*IA34=1,IF(AND($E34=2,NP34=0),1000000,IF($I34&gt;0,IF(6=$J34,IF(OR(AND(130=$I34+1,OR($K34&lt;&gt;'計算A'!$A$3,'計算A'!$A$4=0)),AND(130=$I34-1,OR(10&lt;&gt;'計算A'!$A$3,'計算A'!$A$4=0))),0,IF(10=$K34,200000,ABS(10-$K34)*100)),100000+ABS(6-$J34)*1000+100)+'計算A'!EC$5*50+IF(AND($E34=1,NP34=0),25,0),INDEX('計算A'!EC$110:EC$114,$F34+1)+IF(AND($E34=1,NP34=0),1000,0)+IF($H34=1,(IF('計算A'!EB$117=1,INDEX('計算A'!EB$10:EB$54,$B34),0)+IF('計算A'!EC$117=1,INDEX('計算A'!ED$10:ED$54,$B34),0))*500,0)-IF(AND('計算A'!EB$117=1,YZ34&gt;0),300,0)-IF(AND($L34=1,'計算A'!EC$117=1,IB34=0),300,0))),1000000))</f>
        <v/>
      </c>
      <c r="TF34">
        <f>IF($B34=0,1000000,IF(INDEX('計算A'!$D$60:$EQ$104,$B34,131)*IB34=1,IF(AND($E34=2,NQ34=0),1000000,IF($I34&gt;0,IF(6=$J34,IF(OR(AND(131=$I34+1,OR($K34&lt;&gt;'計算A'!$A$3,'計算A'!$A$4=0)),AND(131=$I34-1,OR(11&lt;&gt;'計算A'!$A$3,'計算A'!$A$4=0))),0,IF(11=$K34,200000,ABS(11-$K34)*100)),100000+ABS(6-$J34)*1000+110)+'計算A'!ED$5*50+IF(AND($E34=1,NQ34=0),25,0),INDEX('計算A'!ED$110:ED$114,$F34+1)+IF(AND($E34=1,NQ34=0),1000,0)+IF($H34=1,(IF('計算A'!EC$117=1,INDEX('計算A'!EC$10:EC$54,$B34),0)+IF('計算A'!ED$117=1,INDEX('計算A'!EE$10:EE$54,$B34),0))*500,0)-IF(AND('計算A'!EC$117=1,ZA34&gt;0),300,0)-IF(AND($L34=1,'計算A'!ED$117=1,IC34=0),300,0))),1000000))</f>
        <v/>
      </c>
      <c r="TG34">
        <f>IF($B34=0,1000000,IF(INDEX('計算A'!$D$60:$EQ$104,$B34,132)*IC34=1,IF(AND($E34=2,NR34=0),1000000,IF($I34&gt;0,IF(6=$J34,IF(OR(AND(132=$I34+1,OR($K34&lt;&gt;'計算A'!$A$3,'計算A'!$A$4=0)),AND(132=$I34-1,OR(12&lt;&gt;'計算A'!$A$3,'計算A'!$A$4=0))),0,IF(12=$K34,200000,ABS(12-$K34)*100)),100000+ABS(6-$J34)*1000+120)+'計算A'!EE$5*50+IF(AND($E34=1,NR34=0),25,0),INDEX('計算A'!EE$110:EE$114,$F34+1)+IF(AND($E34=1,NR34=0),1000,0)+IF($H34=1,(IF('計算A'!ED$117=1,INDEX('計算A'!ED$10:ED$54,$B34),0)+IF('計算A'!EE$117=1,INDEX('計算A'!EF$10:EF$54,$B34),0))*500,0)-IF(AND('計算A'!ED$117=1,ZB34&gt;0),300,0)-IF(AND($L34=1,'計算A'!EE$117=1,ID34=0),300,0))),1000000))</f>
        <v/>
      </c>
      <c r="TH34">
        <f>IF($B34=0,1000000,IF(INDEX('計算A'!$D$60:$EQ$104,$B34,133)*ID34=1,IF(AND($E34=2,NS34=0),1000000,IF($I34&gt;0,IF(6=$J34,IF(OR(AND(133=$I34+1,OR($K34&lt;&gt;'計算A'!$A$3,'計算A'!$A$4=0)),AND(133=$I34-1,OR(13&lt;&gt;'計算A'!$A$3,'計算A'!$A$4=0))),0,IF(13=$K34,200000,ABS(13-$K34)*100)),100000+ABS(6-$J34)*1000+130)+'計算A'!EF$5*50+IF(AND($E34=1,NS34=0),25,0),INDEX('計算A'!EF$110:EF$114,$F34+1)+IF(AND($E34=1,NS34=0),1000,0)+IF($H34=1,(IF('計算A'!EE$117=1,INDEX('計算A'!EE$10:EE$54,$B34),0)+IF('計算A'!EF$117=1,INDEX('計算A'!EG$10:EG$54,$B34),0))*500,0)-IF(AND('計算A'!EE$117=1,ZC34&gt;0),300,0)-IF(AND($L34=1,'計算A'!EF$117=1,IE34=0),300,0))),1000000))</f>
        <v/>
      </c>
      <c r="TI34">
        <f>IF($B34=0,1000000,IF(INDEX('計算A'!$D$60:$EQ$104,$B34,134)*IE34=1,IF(AND($E34=2,NT34=0),1000000,IF($I34&gt;0,IF(6=$J34,IF(OR(AND(134=$I34+1,OR($K34&lt;&gt;'計算A'!$A$3,'計算A'!$A$4=0)),AND(134=$I34-1,OR(14&lt;&gt;'計算A'!$A$3,'計算A'!$A$4=0))),0,IF(14=$K34,200000,ABS(14-$K34)*100)),100000+ABS(6-$J34)*1000+140)+'計算A'!EG$5*50+IF(AND($E34=1,NT34=0),25,0),INDEX('計算A'!EG$110:EG$114,$F34+1)+IF(AND($E34=1,NT34=0),1000,0)+IF($H34=1,(IF('計算A'!EF$117=1,INDEX('計算A'!EF$10:EF$54,$B34),0)+IF('計算A'!EG$117=1,INDEX('計算A'!EH$10:EH$54,$B34),0))*500,0)-IF(AND('計算A'!EF$117=1,ZD34&gt;0),300,0)-IF(AND($L34=1,'計算A'!EG$117=1,IF34=0),300,0))),1000000))</f>
        <v/>
      </c>
      <c r="TJ34">
        <f>IF($B34=0,1000000,IF(INDEX('計算A'!$D$60:$EQ$104,$B34,135)*IF34=1,IF(AND($E34=2,NU34=0),1000000,IF($I34&gt;0,IF(6=$J34,IF(OR(AND(135=$I34+1,OR($K34&lt;&gt;'計算A'!$A$3,'計算A'!$A$4=0)),AND(135=$I34-1,OR(15&lt;&gt;'計算A'!$A$3,'計算A'!$A$4=0))),0,IF(15=$K34,200000,ABS(15-$K34)*100)),100000+ABS(6-$J34)*1000+150)+'計算A'!EH$5*50+IF(AND($E34=1,NU34=0),25,0),INDEX('計算A'!EH$110:EH$114,$F34+1)+IF(AND($E34=1,NU34=0),1000,0)+IF($H34=1,(IF('計算A'!EG$117=1,INDEX('計算A'!EG$10:EG$54,$B34),0)+IF('計算A'!EH$117=1,INDEX('計算A'!EI$10:EI$54,$B34),0))*500,0)-IF(AND('計算A'!EG$117=1,ZE34&gt;0),300,0)-IF(AND($L34=1,'計算A'!EH$117=1,IG34=0),300,0))),1000000))</f>
        <v/>
      </c>
      <c r="TK34">
        <f>IF($B34=0,1000000,IF(INDEX('計算A'!$D$60:$EQ$104,$B34,136)*IG34=1,IF(AND($E34=2,NV34=0),1000000,IF($I34&gt;0,IF(6=$J34,IF(OR(AND(136=$I34+1,OR($K34&lt;&gt;'計算A'!$A$3,'計算A'!$A$4=0)),AND(136=$I34-1,OR(16&lt;&gt;'計算A'!$A$3,'計算A'!$A$4=0))),0,IF(16=$K34,200000,ABS(16-$K34)*100)),100000+ABS(6-$J34)*1000+160)+'計算A'!EI$5*50+IF(AND($E34=1,NV34=0),25,0),INDEX('計算A'!EI$110:EI$114,$F34+1)+IF(AND($E34=1,NV34=0),1000,0)+IF($H34=1,(IF('計算A'!EH$117=1,INDEX('計算A'!EH$10:EH$54,$B34),0)+IF('計算A'!EI$117=1,INDEX('計算A'!EJ$10:EJ$54,$B34),0))*500,0)-IF(AND('計算A'!EH$117=1,ZF34&gt;0),300,0)-IF(AND($L34=1,'計算A'!EI$117=1,IH34=0),300,0))),1000000))</f>
        <v/>
      </c>
      <c r="TL34">
        <f>IF($B34=0,1000000,IF(INDEX('計算A'!$D$60:$EQ$104,$B34,137)*IH34=1,IF(AND($E34=2,NW34=0),1000000,IF($I34&gt;0,IF(6=$J34,IF(OR(AND(137=$I34+1,OR($K34&lt;&gt;'計算A'!$A$3,'計算A'!$A$4=0)),AND(137=$I34-1,OR(17&lt;&gt;'計算A'!$A$3,'計算A'!$A$4=0))),0,IF(17=$K34,200000,ABS(17-$K34)*100)),100000+ABS(6-$J34)*1000+170)+'計算A'!EJ$5*50+IF(AND($E34=1,NW34=0),25,0),INDEX('計算A'!EJ$110:EJ$114,$F34+1)+IF(AND($E34=1,NW34=0),1000,0)+IF($H34=1,(IF('計算A'!EI$117=1,INDEX('計算A'!EI$10:EI$54,$B34),0)+IF('計算A'!EJ$117=1,INDEX('計算A'!EK$10:EK$54,$B34),0))*500,0)-IF(AND('計算A'!EI$117=1,ZG34&gt;0),300,0)-IF(AND($L34=1,'計算A'!EJ$117=1,II34=0),300,0))),1000000))</f>
        <v/>
      </c>
      <c r="TM34">
        <f>IF($B34=0,1000000,IF(INDEX('計算A'!$D$60:$EQ$104,$B34,138)*II34=1,IF(AND($E34=2,NX34=0),1000000,IF($I34&gt;0,IF(6=$J34,IF(OR(AND(138=$I34+1,OR($K34&lt;&gt;'計算A'!$A$3,'計算A'!$A$4=0)),AND(138=$I34-1,OR(18&lt;&gt;'計算A'!$A$3,'計算A'!$A$4=0))),0,IF(18=$K34,200000,ABS(18-$K34)*100)),100000+ABS(6-$J34)*1000+180)+'計算A'!EK$5*50+IF(AND($E34=1,NX34=0),25,0),INDEX('計算A'!EK$110:EK$114,$F34+1)+IF(AND($E34=1,NX34=0),1000,0)+IF($H34=1,(IF('計算A'!EJ$117=1,INDEX('計算A'!EJ$10:EJ$54,$B34),0)+IF('計算A'!EK$117=1,INDEX('計算A'!EL$10:EL$54,$B34),0))*500,0)-IF(AND('計算A'!EJ$117=1,ZH34&gt;0),300,0)-IF(AND($L34=1,'計算A'!EK$117=1,IJ34=0),300,0))),1000000))</f>
        <v/>
      </c>
      <c r="TN34">
        <f>IF($B34=0,1000000,IF(INDEX('計算A'!$D$60:$EQ$104,$B34,139)*IJ34=1,IF(AND($E34=2,NY34=0),1000000,IF($I34&gt;0,IF(6=$J34,IF(OR(AND(139=$I34+1,OR($K34&lt;&gt;'計算A'!$A$3,'計算A'!$A$4=0)),AND(139=$I34-1,OR(19&lt;&gt;'計算A'!$A$3,'計算A'!$A$4=0))),0,IF(19=$K34,200000,ABS(19-$K34)*100)),100000+ABS(6-$J34)*1000+190)+'計算A'!EL$5*50+IF(AND($E34=1,NY34=0),25,0),INDEX('計算A'!EL$110:EL$114,$F34+1)+IF(AND($E34=1,NY34=0),1000,0)+IF($H34=1,(IF('計算A'!EK$117=1,INDEX('計算A'!EK$10:EK$54,$B34),0)+IF('計算A'!EL$117=1,INDEX('計算A'!EM$10:EM$54,$B34),0))*500,0)-IF(AND('計算A'!EK$117=1,ZI34&gt;0),300,0)-IF(AND($L34=1,'計算A'!EL$117=1,IK34=0),300,0))),1000000))</f>
        <v/>
      </c>
      <c r="TO34">
        <f>IF($B34=0,1000000,IF(INDEX('計算A'!$D$60:$EQ$104,$B34,140)*IK34=1,IF(AND($E34=2,NZ34=0),1000000,IF($I34&gt;0,IF(6=$J34,IF(OR(AND(140=$I34+1,OR($K34&lt;&gt;'計算A'!$A$3,'計算A'!$A$4=0)),AND(140=$I34-1,OR(20&lt;&gt;'計算A'!$A$3,'計算A'!$A$4=0))),0,IF(20=$K34,200000,ABS(20-$K34)*100)),100000+ABS(6-$J34)*1000+200)+'計算A'!EM$5*50+IF(AND($E34=1,NZ34=0),25,0),INDEX('計算A'!EM$110:EM$114,$F34+1)+IF(AND($E34=1,NZ34=0),1000,0)+IF($H34=1,(IF('計算A'!EL$117=1,INDEX('計算A'!EL$10:EL$54,$B34),0)+IF('計算A'!EM$117=1,INDEX('計算A'!EN$10:EN$54,$B34),0))*500,0)-IF(AND('計算A'!EL$117=1,ZJ34&gt;0),300,0)-IF(AND($L34=1,'計算A'!EM$117=1,IL34=0),300,0))),1000000))</f>
        <v/>
      </c>
      <c r="TP34">
        <f>IF($B34=0,1000000,IF(INDEX('計算A'!$D$60:$EQ$104,$B34,141)*IL34=1,IF(AND($E34=2,OA34=0),1000000,IF($I34&gt;0,IF(6=$J34,IF(OR(AND(141=$I34+1,OR($K34&lt;&gt;'計算A'!$A$3,'計算A'!$A$4=0)),AND(141=$I34-1,OR(21&lt;&gt;'計算A'!$A$3,'計算A'!$A$4=0))),0,IF(21=$K34,200000,ABS(21-$K34)*100)),100000+ABS(6-$J34)*1000+210)+'計算A'!EN$5*50+IF(AND($E34=1,OA34=0),25,0),INDEX('計算A'!EN$110:EN$114,$F34+1)+IF(AND($E34=1,OA34=0),1000,0)+IF($H34=1,(IF('計算A'!EM$117=1,INDEX('計算A'!EM$10:EM$54,$B34),0)+IF('計算A'!EN$117=1,INDEX('計算A'!EO$10:EO$54,$B34),0))*500,0)-IF(AND('計算A'!EM$117=1,ZK34&gt;0),300,0)-IF(AND($L34=1,'計算A'!EN$117=1,IM34=0),300,0))),1000000))</f>
        <v/>
      </c>
      <c r="TQ34">
        <f>IF($B34=0,1000000,IF(INDEX('計算A'!$D$60:$EQ$104,$B34,142)*IM34=1,IF(AND($E34=2,OB34=0),1000000,IF($I34&gt;0,IF(6=$J34,IF(OR(AND(142=$I34+1,OR($K34&lt;&gt;'計算A'!$A$3,'計算A'!$A$4=0)),AND(142=$I34-1,OR(22&lt;&gt;'計算A'!$A$3,'計算A'!$A$4=0))),0,IF(22=$K34,200000,ABS(22-$K34)*100)),100000+ABS(6-$J34)*1000+220)+'計算A'!EO$5*50+IF(AND($E34=1,OB34=0),25,0),INDEX('計算A'!EO$110:EO$114,$F34+1)+IF(AND($E34=1,OB34=0),1000,0)+IF($H34=1,(IF('計算A'!EN$117=1,INDEX('計算A'!EN$10:EN$54,$B34),0)+IF('計算A'!EO$117=1,INDEX('計算A'!EP$10:EP$54,$B34),0))*500,0)-IF(AND('計算A'!EN$117=1,ZL34&gt;0),300,0)-IF(AND($L34=1,'計算A'!EO$117=1,IN34=0),300,0))),1000000))</f>
        <v/>
      </c>
      <c r="TR34">
        <f>IF($B34=0,1000000,IF(INDEX('計算A'!$D$60:$EQ$104,$B34,143)*IN34=1,IF(AND($E34=2,OC34=0),1000000,IF($I34&gt;0,IF(6=$J34,IF(OR(AND(143=$I34+1,OR($K34&lt;&gt;'計算A'!$A$3,'計算A'!$A$4=0)),AND(143=$I34-1,OR(23&lt;&gt;'計算A'!$A$3,'計算A'!$A$4=0))),0,IF(23=$K34,200000,ABS(23-$K34)*100)),100000+ABS(6-$J34)*1000+230)+'計算A'!EP$5*50+IF(AND($E34=1,OC34=0),25,0),INDEX('計算A'!EP$110:EP$114,$F34+1)+IF(AND($E34=1,OC34=0),1000,0)+IF($H34=1,(IF('計算A'!EO$117=1,INDEX('計算A'!EO$10:EO$54,$B34),0)+IF('計算A'!EP$117=1,INDEX('計算A'!EQ$10:EQ$54,$B34),0))*500,0)-IF(AND('計算A'!EO$117=1,ZM34&gt;0),300,0)-IF(AND($L34=1,'計算A'!EP$117=1,IO34=0),300,0))),1000000))</f>
        <v/>
      </c>
      <c r="TS34">
        <f>IF($B34=0,1000000,IF(INDEX('計算A'!$D$60:$EQ$104,$B34,144)*IO34=1,IF(AND($E34=2,OD34=0),1000000,IF($I34&gt;0,IF(6=$J34,IF(OR(AND(144=$I34+1,OR($K34&lt;&gt;'計算A'!$A$3,'計算A'!$A$4=0)),AND(144=$I34-1,OR(24&lt;&gt;'計算A'!$A$3,'計算A'!$A$4=0))),0,IF(24=$K34,200000,ABS(24-$K34)*100)),100000+ABS(6-$J34)*1000+240)+'計算A'!EQ$5*50+IF(AND($E34=1,OD34=0),25,0),INDEX('計算A'!EQ$110:EQ$114,$F34+1)+IF(AND($E34=1,OD34=0),1000,0)+IF($H34=1,(IF('計算A'!EP$117=1,INDEX('計算A'!EP$10:EP$54,$B34),0))*500,0)-IF(AND('計算A'!EP$117=1,ZN34&gt;0),300,0))),1000000))</f>
        <v/>
      </c>
      <c r="UB34">
        <f>UB33+IF(AND($C33=1,$L33=1),1,0)</f>
        <v/>
      </c>
      <c r="UC34">
        <f>UC33+IF(AND($C33=2,$L33=1),1,0)</f>
        <v/>
      </c>
      <c r="UD34">
        <f>UD33+IF(AND($C33=3,$L33=1),1,0)</f>
        <v/>
      </c>
      <c r="UE34">
        <f>UE33+IF(AND($C33=4,$L33=1),1,0)</f>
        <v/>
      </c>
      <c r="UF34">
        <f>UF33+IF(AND($C33=5,$L33=1),1,0)</f>
        <v/>
      </c>
      <c r="UG34">
        <f>UG33+IF(AND($C33=6,$L33=1),1,0)</f>
        <v/>
      </c>
      <c r="UH34">
        <f>UH33+IF(AND($C33=7,$L33=1),1,0)</f>
        <v/>
      </c>
      <c r="UI34">
        <f>UI33+IF(AND($C33=8,$L33=1),1,0)</f>
        <v/>
      </c>
      <c r="UJ34">
        <f>UJ33+IF(AND($C33=9,$L33=1),1,0)</f>
        <v/>
      </c>
      <c r="UK34">
        <f>UK33+IF(AND($C33=10,$L33=1),1,0)</f>
        <v/>
      </c>
      <c r="UL34">
        <f>UL33+IF(AND($C33=11,$L33=1),1,0)</f>
        <v/>
      </c>
      <c r="UM34">
        <f>UM33+IF(AND($C33=12,$L33=1),1,0)</f>
        <v/>
      </c>
      <c r="UN34">
        <f>UN33+IF(AND($C33=13,$L33=1),1,0)</f>
        <v/>
      </c>
      <c r="UO34">
        <f>UO33+IF(AND($C33=14,$L33=1),1,0)</f>
        <v/>
      </c>
      <c r="UP34">
        <f>UP33+IF(AND($C33=15,$L33=1),1,0)</f>
        <v/>
      </c>
      <c r="UQ34">
        <f>UQ33+IF(AND($C33=16,$L33=1),1,0)</f>
        <v/>
      </c>
      <c r="UR34">
        <f>UR33+IF(AND($C33=17,$L33=1),1,0)</f>
        <v/>
      </c>
      <c r="US34">
        <f>US33+IF(AND($C33=18,$L33=1),1,0)</f>
        <v/>
      </c>
      <c r="UT34">
        <f>UT33+IF(AND($C33=19,$L33=1),1,0)</f>
        <v/>
      </c>
      <c r="UU34">
        <f>UU33+IF(AND($C33=20,$L33=1),1,0)</f>
        <v/>
      </c>
      <c r="UV34">
        <f>UV33+IF(AND($C33=21,$L33=1),1,0)</f>
        <v/>
      </c>
      <c r="UW34">
        <f>UW33+IF(AND($C33=22,$L33=1),1,0)</f>
        <v/>
      </c>
      <c r="UX34">
        <f>UX33+IF(AND($C33=23,$L33=1),1,0)</f>
        <v/>
      </c>
      <c r="UY34">
        <f>UY33+IF(AND($C33=24,$L33=1),1,0)</f>
        <v/>
      </c>
      <c r="UZ34">
        <f>UZ33+IF(AND($C33=25,$L33=1),1,0)</f>
        <v/>
      </c>
      <c r="VA34">
        <f>VA33+IF(AND($C33=26,$L33=1),1,0)</f>
        <v/>
      </c>
      <c r="VB34">
        <f>VB33+IF(AND($C33=27,$L33=1),1,0)</f>
        <v/>
      </c>
      <c r="VC34">
        <f>VC33+IF(AND($C33=28,$L33=1),1,0)</f>
        <v/>
      </c>
      <c r="VD34">
        <f>VD33+IF(AND($C33=29,$L33=1),1,0)</f>
        <v/>
      </c>
      <c r="VE34">
        <f>VE33+IF(AND($C33=30,$L33=1),1,0)</f>
        <v/>
      </c>
      <c r="VF34">
        <f>VF33+IF(AND($C33=31,$L33=1),1,0)</f>
        <v/>
      </c>
      <c r="VG34">
        <f>VG33+IF(AND($C33=32,$L33=1),1,0)</f>
        <v/>
      </c>
      <c r="VH34">
        <f>VH33+IF(AND($C33=33,$L33=1),1,0)</f>
        <v/>
      </c>
      <c r="VI34">
        <f>VI33+IF(AND($C33=34,$L33=1),1,0)</f>
        <v/>
      </c>
      <c r="VJ34">
        <f>VJ33+IF(AND($C33=35,$L33=1),1,0)</f>
        <v/>
      </c>
      <c r="VK34">
        <f>VK33+IF(AND($C33=36,$L33=1),1,0)</f>
        <v/>
      </c>
      <c r="VL34">
        <f>VL33+IF(AND($C33=37,$L33=1),1,0)</f>
        <v/>
      </c>
      <c r="VM34">
        <f>VM33+IF(AND($C33=38,$L33=1),1,0)</f>
        <v/>
      </c>
      <c r="VN34">
        <f>VN33+IF(AND($C33=39,$L33=1),1,0)</f>
        <v/>
      </c>
      <c r="VO34">
        <f>VO33+IF(AND($C33=40,$L33=1),1,0)</f>
        <v/>
      </c>
      <c r="VP34">
        <f>VP33+IF(AND($C33=41,$L33=1),1,0)</f>
        <v/>
      </c>
      <c r="VQ34">
        <f>VQ33+IF(AND($C33=42,$L33=1),1,0)</f>
        <v/>
      </c>
      <c r="VR34">
        <f>VR33+IF(AND($C33=43,$L33=1),1,0)</f>
        <v/>
      </c>
      <c r="VS34">
        <f>VS33+IF(AND($C33=44,$L33=1),1,0)</f>
        <v/>
      </c>
      <c r="VT34">
        <f>VT33+IF(AND($C33=45,$L33=1),1,0)</f>
        <v/>
      </c>
      <c r="VU34">
        <f>VU33+IF(AND($C33=46,$L33=1),1,0)</f>
        <v/>
      </c>
      <c r="VV34">
        <f>VV33+IF(AND($C33=47,$L33=1),1,0)</f>
        <v/>
      </c>
      <c r="VW34">
        <f>VW33+IF(AND($C33=48,$L33=1),1,0)</f>
        <v/>
      </c>
      <c r="VX34">
        <f>VX33+IF(AND($C33=49,$L33=1),1,0)</f>
        <v/>
      </c>
      <c r="VY34">
        <f>VY33+IF(AND($C33=50,$L33=1),1,0)</f>
        <v/>
      </c>
      <c r="VZ34">
        <f>VZ33+IF(AND($C33=51,$L33=1),1,0)</f>
        <v/>
      </c>
      <c r="WA34">
        <f>WA33+IF(AND($C33=52,$L33=1),1,0)</f>
        <v/>
      </c>
      <c r="WB34">
        <f>WB33+IF(AND($C33=53,$L33=1),1,0)</f>
        <v/>
      </c>
      <c r="WC34">
        <f>WC33+IF(AND($C33=54,$L33=1),1,0)</f>
        <v/>
      </c>
      <c r="WD34">
        <f>WD33+IF(AND($C33=55,$L33=1),1,0)</f>
        <v/>
      </c>
      <c r="WE34">
        <f>WE33+IF(AND($C33=56,$L33=1),1,0)</f>
        <v/>
      </c>
      <c r="WF34">
        <f>WF33+IF(AND($C33=57,$L33=1),1,0)</f>
        <v/>
      </c>
      <c r="WG34">
        <f>WG33+IF(AND($C33=58,$L33=1),1,0)</f>
        <v/>
      </c>
      <c r="WH34">
        <f>WH33+IF(AND($C33=59,$L33=1),1,0)</f>
        <v/>
      </c>
      <c r="WI34">
        <f>WI33+IF(AND($C33=60,$L33=1),1,0)</f>
        <v/>
      </c>
      <c r="WJ34">
        <f>WJ33+IF(AND($C33=61,$L33=1),1,0)</f>
        <v/>
      </c>
      <c r="WK34">
        <f>WK33+IF(AND($C33=62,$L33=1),1,0)</f>
        <v/>
      </c>
      <c r="WL34">
        <f>WL33+IF(AND($C33=63,$L33=1),1,0)</f>
        <v/>
      </c>
      <c r="WM34">
        <f>WM33+IF(AND($C33=64,$L33=1),1,0)</f>
        <v/>
      </c>
      <c r="WN34">
        <f>WN33+IF(AND($C33=65,$L33=1),1,0)</f>
        <v/>
      </c>
      <c r="WO34">
        <f>WO33+IF(AND($C33=66,$L33=1),1,0)</f>
        <v/>
      </c>
      <c r="WP34">
        <f>WP33+IF(AND($C33=67,$L33=1),1,0)</f>
        <v/>
      </c>
      <c r="WQ34">
        <f>WQ33+IF(AND($C33=68,$L33=1),1,0)</f>
        <v/>
      </c>
      <c r="WR34">
        <f>WR33+IF(AND($C33=69,$L33=1),1,0)</f>
        <v/>
      </c>
      <c r="WS34">
        <f>WS33+IF(AND($C33=70,$L33=1),1,0)</f>
        <v/>
      </c>
      <c r="WT34">
        <f>WT33+IF(AND($C33=71,$L33=1),1,0)</f>
        <v/>
      </c>
      <c r="WU34">
        <f>WU33+IF(AND($C33=72,$L33=1),1,0)</f>
        <v/>
      </c>
      <c r="WV34">
        <f>WV33+IF(AND($C33=73,$L33=1),1,0)</f>
        <v/>
      </c>
      <c r="WW34">
        <f>WW33+IF(AND($C33=74,$L33=1),1,0)</f>
        <v/>
      </c>
      <c r="WX34">
        <f>WX33+IF(AND($C33=75,$L33=1),1,0)</f>
        <v/>
      </c>
      <c r="WY34">
        <f>WY33+IF(AND($C33=76,$L33=1),1,0)</f>
        <v/>
      </c>
      <c r="WZ34">
        <f>WZ33+IF(AND($C33=77,$L33=1),1,0)</f>
        <v/>
      </c>
      <c r="XA34">
        <f>XA33+IF(AND($C33=78,$L33=1),1,0)</f>
        <v/>
      </c>
      <c r="XB34">
        <f>XB33+IF(AND($C33=79,$L33=1),1,0)</f>
        <v/>
      </c>
      <c r="XC34">
        <f>XC33+IF(AND($C33=80,$L33=1),1,0)</f>
        <v/>
      </c>
      <c r="XD34">
        <f>XD33+IF(AND($C33=81,$L33=1),1,0)</f>
        <v/>
      </c>
      <c r="XE34">
        <f>XE33+IF(AND($C33=82,$L33=1),1,0)</f>
        <v/>
      </c>
      <c r="XF34">
        <f>XF33+IF(AND($C33=83,$L33=1),1,0)</f>
        <v/>
      </c>
      <c r="XG34">
        <f>XG33+IF(AND($C33=84,$L33=1),1,0)</f>
        <v/>
      </c>
      <c r="XH34">
        <f>XH33+IF(AND($C33=85,$L33=1),1,0)</f>
        <v/>
      </c>
      <c r="XI34">
        <f>XI33+IF(AND($C33=86,$L33=1),1,0)</f>
        <v/>
      </c>
      <c r="XJ34">
        <f>XJ33+IF(AND($C33=87,$L33=1),1,0)</f>
        <v/>
      </c>
      <c r="XK34">
        <f>XK33+IF(AND($C33=88,$L33=1),1,0)</f>
        <v/>
      </c>
      <c r="XL34">
        <f>XL33+IF(AND($C33=89,$L33=1),1,0)</f>
        <v/>
      </c>
      <c r="XM34">
        <f>XM33+IF(AND($C33=90,$L33=1),1,0)</f>
        <v/>
      </c>
      <c r="XN34">
        <f>XN33+IF(AND($C33=91,$L33=1),1,0)</f>
        <v/>
      </c>
      <c r="XO34">
        <f>XO33+IF(AND($C33=92,$L33=1),1,0)</f>
        <v/>
      </c>
      <c r="XP34">
        <f>XP33+IF(AND($C33=93,$L33=1),1,0)</f>
        <v/>
      </c>
      <c r="XQ34">
        <f>XQ33+IF(AND($C33=94,$L33=1),1,0)</f>
        <v/>
      </c>
      <c r="XR34">
        <f>XR33+IF(AND($C33=95,$L33=1),1,0)</f>
        <v/>
      </c>
      <c r="XS34">
        <f>XS33+IF(AND($C33=96,$L33=1),1,0)</f>
        <v/>
      </c>
      <c r="XT34">
        <f>XT33+IF(AND($C33=97,$L33=1),1,0)</f>
        <v/>
      </c>
      <c r="XU34">
        <f>XU33+IF(AND($C33=98,$L33=1),1,0)</f>
        <v/>
      </c>
      <c r="XV34">
        <f>XV33+IF(AND($C33=99,$L33=1),1,0)</f>
        <v/>
      </c>
      <c r="XW34">
        <f>XW33+IF(AND($C33=100,$L33=1),1,0)</f>
        <v/>
      </c>
      <c r="XX34">
        <f>XX33+IF(AND($C33=101,$L33=1),1,0)</f>
        <v/>
      </c>
      <c r="XY34">
        <f>XY33+IF(AND($C33=102,$L33=1),1,0)</f>
        <v/>
      </c>
      <c r="XZ34">
        <f>XZ33+IF(AND($C33=103,$L33=1),1,0)</f>
        <v/>
      </c>
      <c r="YA34">
        <f>YA33+IF(AND($C33=104,$L33=1),1,0)</f>
        <v/>
      </c>
      <c r="YB34">
        <f>YB33+IF(AND($C33=105,$L33=1),1,0)</f>
        <v/>
      </c>
      <c r="YC34">
        <f>YC33+IF(AND($C33=106,$L33=1),1,0)</f>
        <v/>
      </c>
      <c r="YD34">
        <f>YD33+IF(AND($C33=107,$L33=1),1,0)</f>
        <v/>
      </c>
      <c r="YE34">
        <f>YE33+IF(AND($C33=108,$L33=1),1,0)</f>
        <v/>
      </c>
      <c r="YF34">
        <f>YF33+IF(AND($C33=109,$L33=1),1,0)</f>
        <v/>
      </c>
      <c r="YG34">
        <f>YG33+IF(AND($C33=110,$L33=1),1,0)</f>
        <v/>
      </c>
      <c r="YH34">
        <f>YH33+IF(AND($C33=111,$L33=1),1,0)</f>
        <v/>
      </c>
      <c r="YI34">
        <f>YI33+IF(AND($C33=112,$L33=1),1,0)</f>
        <v/>
      </c>
      <c r="YJ34">
        <f>YJ33+IF(AND($C33=113,$L33=1),1,0)</f>
        <v/>
      </c>
      <c r="YK34">
        <f>YK33+IF(AND($C33=114,$L33=1),1,0)</f>
        <v/>
      </c>
      <c r="YL34">
        <f>YL33+IF(AND($C33=115,$L33=1),1,0)</f>
        <v/>
      </c>
      <c r="YM34">
        <f>YM33+IF(AND($C33=116,$L33=1),1,0)</f>
        <v/>
      </c>
      <c r="YN34">
        <f>YN33+IF(AND($C33=117,$L33=1),1,0)</f>
        <v/>
      </c>
      <c r="YO34">
        <f>YO33+IF(AND($C33=118,$L33=1),1,0)</f>
        <v/>
      </c>
      <c r="YP34">
        <f>YP33+IF(AND($C33=119,$L33=1),1,0)</f>
        <v/>
      </c>
      <c r="YQ34">
        <f>YQ33+IF(AND($C33=120,$L33=1),1,0)</f>
        <v/>
      </c>
      <c r="YR34">
        <f>YR33+IF(AND($C33=121,$L33=1),1,0)</f>
        <v/>
      </c>
      <c r="YS34">
        <f>YS33+IF(AND($C33=122,$L33=1),1,0)</f>
        <v/>
      </c>
      <c r="YT34">
        <f>YT33+IF(AND($C33=123,$L33=1),1,0)</f>
        <v/>
      </c>
      <c r="YU34">
        <f>YU33+IF(AND($C33=124,$L33=1),1,0)</f>
        <v/>
      </c>
      <c r="YV34">
        <f>YV33+IF(AND($C33=125,$L33=1),1,0)</f>
        <v/>
      </c>
      <c r="YW34">
        <f>YW33+IF(AND($C33=126,$L33=1),1,0)</f>
        <v/>
      </c>
      <c r="YX34">
        <f>YX33+IF(AND($C33=127,$L33=1),1,0)</f>
        <v/>
      </c>
      <c r="YY34">
        <f>YY33+IF(AND($C33=128,$L33=1),1,0)</f>
        <v/>
      </c>
      <c r="YZ34">
        <f>YZ33+IF(AND($C33=129,$L33=1),1,0)</f>
        <v/>
      </c>
      <c r="ZA34">
        <f>ZA33+IF(AND($C33=130,$L33=1),1,0)</f>
        <v/>
      </c>
      <c r="ZB34">
        <f>ZB33+IF(AND($C33=131,$L33=1),1,0)</f>
        <v/>
      </c>
      <c r="ZC34">
        <f>ZC33+IF(AND($C33=132,$L33=1),1,0)</f>
        <v/>
      </c>
      <c r="ZD34">
        <f>ZD33+IF(AND($C33=133,$L33=1),1,0)</f>
        <v/>
      </c>
      <c r="ZE34">
        <f>ZE33+IF(AND($C33=134,$L33=1),1,0)</f>
        <v/>
      </c>
      <c r="ZF34">
        <f>ZF33+IF(AND($C33=135,$L33=1),1,0)</f>
        <v/>
      </c>
      <c r="ZG34">
        <f>ZG33+IF(AND($C33=136,$L33=1),1,0)</f>
        <v/>
      </c>
      <c r="ZH34">
        <f>ZH33+IF(AND($C33=137,$L33=1),1,0)</f>
        <v/>
      </c>
      <c r="ZI34">
        <f>ZI33+IF(AND($C33=138,$L33=1),1,0)</f>
        <v/>
      </c>
      <c r="ZJ34">
        <f>ZJ33+IF(AND($C33=139,$L33=1),1,0)</f>
        <v/>
      </c>
      <c r="ZK34">
        <f>ZK33+IF(AND($C33=140,$L33=1),1,0)</f>
        <v/>
      </c>
      <c r="ZL34">
        <f>ZL33+IF(AND($C33=141,$L33=1),1,0)</f>
        <v/>
      </c>
      <c r="ZM34">
        <f>ZM33+IF(AND($C33=142,$L33=1),1,0)</f>
        <v/>
      </c>
      <c r="ZN34">
        <f>ZN33+IF(AND($C33=143,$L33=1),1,0)</f>
        <v/>
      </c>
      <c r="ZO34">
        <f>ZO33+IF(AND($C33=144,$L33=1),1,0)</f>
        <v/>
      </c>
    </row>
    <row r="35">
      <c r="A35" t="n">
        <v>33</v>
      </c>
      <c r="B35">
        <f>IF(MIN(BH35:CZ35)&gt;=1000000,0,MATCH(MIN(BH35:CZ35),BH35:CZ35,0))</f>
        <v/>
      </c>
      <c r="C35">
        <f>IF(MIN(OF35:TS35)&gt;=1000000,0,MATCH(MIN(OF35:TS35),OF35:TS35,0))</f>
        <v/>
      </c>
      <c r="D35">
        <f>IF(C35&gt;0,INDEX('計算A'!$D$5:$EQ$5,C35),0)</f>
        <v/>
      </c>
      <c r="E35">
        <f>IF(B35=0,0,INDEX('計算A'!$IQ$10:$IQ$54,B35))</f>
        <v/>
      </c>
      <c r="F35">
        <f>IF(B35=0,0,INDEX('計算A'!$IP$10:$IP$54,B35))</f>
        <v/>
      </c>
      <c r="G35">
        <f>IF(AND(C35&gt;0,E35&gt;0),IF(AND(INDEX('計算A'!$D$106:$EQ$106,C35)=1,INDEX($IQ35:$OD35,C35)=1),C35+1,0),0)</f>
        <v/>
      </c>
      <c r="H35">
        <f>IF(B35=0,0,INDEX('計算A'!$IW$10:$IW$54,B35))</f>
        <v/>
      </c>
      <c r="I35">
        <f>IF(B35=0,0,MAX(0,INDEX('計算A'!$IT$10:$IT$54,B35)))</f>
        <v/>
      </c>
      <c r="J35">
        <f>IF(I35=0,0,INDEX('計算A'!$D$2:$EQ$2,I35))</f>
        <v/>
      </c>
      <c r="K35">
        <f>IF(I35=0,0,INDEX('計算A'!$D$3:$EQ$3,I35))</f>
        <v/>
      </c>
      <c r="L35">
        <f>IF(B35=0,0,INDEX('計算A'!$IX$10:$IX$54,B35))</f>
        <v/>
      </c>
      <c r="N35">
        <f>MAX(N34,IF($B34=1,1,0))</f>
        <v/>
      </c>
      <c r="O35">
        <f>MAX(O34,IF($B34=2,1,0))</f>
        <v/>
      </c>
      <c r="P35">
        <f>MAX(P34,IF($B34=3,1,0))</f>
        <v/>
      </c>
      <c r="Q35">
        <f>MAX(Q34,IF($B34=4,1,0))</f>
        <v/>
      </c>
      <c r="R35">
        <f>MAX(R34,IF($B34=5,1,0))</f>
        <v/>
      </c>
      <c r="S35">
        <f>MAX(S34,IF($B34=6,1,0))</f>
        <v/>
      </c>
      <c r="T35">
        <f>MAX(T34,IF($B34=7,1,0))</f>
        <v/>
      </c>
      <c r="U35">
        <f>MAX(U34,IF($B34=8,1,0))</f>
        <v/>
      </c>
      <c r="V35">
        <f>MAX(V34,IF($B34=9,1,0))</f>
        <v/>
      </c>
      <c r="W35">
        <f>MAX(W34,IF($B34=10,1,0))</f>
        <v/>
      </c>
      <c r="X35">
        <f>MAX(X34,IF($B34=11,1,0))</f>
        <v/>
      </c>
      <c r="Y35">
        <f>MAX(Y34,IF($B34=12,1,0))</f>
        <v/>
      </c>
      <c r="Z35">
        <f>MAX(Z34,IF($B34=13,1,0))</f>
        <v/>
      </c>
      <c r="AA35">
        <f>MAX(AA34,IF($B34=14,1,0))</f>
        <v/>
      </c>
      <c r="AB35">
        <f>MAX(AB34,IF($B34=15,1,0))</f>
        <v/>
      </c>
      <c r="AC35">
        <f>MAX(AC34,IF($B34=16,1,0))</f>
        <v/>
      </c>
      <c r="AD35">
        <f>MAX(AD34,IF($B34=17,1,0))</f>
        <v/>
      </c>
      <c r="AE35">
        <f>MAX(AE34,IF($B34=18,1,0))</f>
        <v/>
      </c>
      <c r="AF35">
        <f>MAX(AF34,IF($B34=19,1,0))</f>
        <v/>
      </c>
      <c r="AG35">
        <f>MAX(AG34,IF($B34=20,1,0))</f>
        <v/>
      </c>
      <c r="AH35">
        <f>MAX(AH34,IF($B34=21,1,0))</f>
        <v/>
      </c>
      <c r="AI35">
        <f>MAX(AI34,IF($B34=22,1,0))</f>
        <v/>
      </c>
      <c r="AJ35">
        <f>MAX(AJ34,IF($B34=23,1,0))</f>
        <v/>
      </c>
      <c r="AK35">
        <f>MAX(AK34,IF($B34=24,1,0))</f>
        <v/>
      </c>
      <c r="AL35">
        <f>MAX(AL34,IF($B34=25,1,0))</f>
        <v/>
      </c>
      <c r="AM35">
        <f>MAX(AM34,IF($B34=26,1,0))</f>
        <v/>
      </c>
      <c r="AN35">
        <f>MAX(AN34,IF($B34=27,1,0))</f>
        <v/>
      </c>
      <c r="AO35">
        <f>MAX(AO34,IF($B34=28,1,0))</f>
        <v/>
      </c>
      <c r="AP35">
        <f>MAX(AP34,IF($B34=29,1,0))</f>
        <v/>
      </c>
      <c r="AQ35">
        <f>MAX(AQ34,IF($B34=30,1,0))</f>
        <v/>
      </c>
      <c r="AR35">
        <f>MAX(AR34,IF($B34=31,1,0))</f>
        <v/>
      </c>
      <c r="AS35">
        <f>MAX(AS34,IF($B34=32,1,0))</f>
        <v/>
      </c>
      <c r="AT35">
        <f>MAX(AT34,IF($B34=33,1,0))</f>
        <v/>
      </c>
      <c r="AU35">
        <f>MAX(AU34,IF($B34=34,1,0))</f>
        <v/>
      </c>
      <c r="AV35">
        <f>MAX(AV34,IF($B34=35,1,0))</f>
        <v/>
      </c>
      <c r="AW35">
        <f>MAX(AW34,IF($B34=36,1,0))</f>
        <v/>
      </c>
      <c r="AX35">
        <f>MAX(AX34,IF($B34=37,1,0))</f>
        <v/>
      </c>
      <c r="AY35">
        <f>MAX(AY34,IF($B34=38,1,0))</f>
        <v/>
      </c>
      <c r="AZ35">
        <f>MAX(AZ34,IF($B34=39,1,0))</f>
        <v/>
      </c>
      <c r="BA35">
        <f>MAX(BA34,IF($B34=40,1,0))</f>
        <v/>
      </c>
      <c r="BB35">
        <f>MAX(BB34,IF($B34=41,1,0))</f>
        <v/>
      </c>
      <c r="BC35">
        <f>MAX(BC34,IF($B34=42,1,0))</f>
        <v/>
      </c>
      <c r="BD35">
        <f>MAX(BD34,IF($B34=43,1,0))</f>
        <v/>
      </c>
      <c r="BE35">
        <f>MAX(BE34,IF($B34=44,1,0))</f>
        <v/>
      </c>
      <c r="BF35">
        <f>MAX(BF34,IF($B34=45,1,0))</f>
        <v/>
      </c>
      <c r="BH35">
        <f>IF(N35=1,1000000,IF('計算A'!$IT$10&gt;0,0,500000)+IF('計算A'!$IQ$10=2,SUMPRODUCT('計算A'!$D$60:$EQ$60,$DB35:$IO35,$IQ35:$OD35),SUMPRODUCT('計算A'!$D$60:$EQ$60,$DB35:$IO35))*1000+1)</f>
        <v/>
      </c>
      <c r="BI35">
        <f>IF(O35=1,1000000,IF('計算A'!$IT$11&gt;0,0,500000)+IF('計算A'!$IQ$11=2,SUMPRODUCT('計算A'!$D$61:$EQ$61,$DB35:$IO35,$IQ35:$OD35),SUMPRODUCT('計算A'!$D$61:$EQ$61,$DB35:$IO35))*1000+2)</f>
        <v/>
      </c>
      <c r="BJ35">
        <f>IF(P35=1,1000000,IF('計算A'!$IT$12&gt;0,0,500000)+IF('計算A'!$IQ$12=2,SUMPRODUCT('計算A'!$D$62:$EQ$62,$DB35:$IO35,$IQ35:$OD35),SUMPRODUCT('計算A'!$D$62:$EQ$62,$DB35:$IO35))*1000+3)</f>
        <v/>
      </c>
      <c r="BK35">
        <f>IF(Q35=1,1000000,IF('計算A'!$IT$13&gt;0,0,500000)+IF('計算A'!$IQ$13=2,SUMPRODUCT('計算A'!$D$63:$EQ$63,$DB35:$IO35,$IQ35:$OD35),SUMPRODUCT('計算A'!$D$63:$EQ$63,$DB35:$IO35))*1000+4)</f>
        <v/>
      </c>
      <c r="BL35">
        <f>IF(R35=1,1000000,IF('計算A'!$IT$14&gt;0,0,500000)+IF('計算A'!$IQ$14=2,SUMPRODUCT('計算A'!$D$64:$EQ$64,$DB35:$IO35,$IQ35:$OD35),SUMPRODUCT('計算A'!$D$64:$EQ$64,$DB35:$IO35))*1000+5)</f>
        <v/>
      </c>
      <c r="BM35">
        <f>IF(S35=1,1000000,IF('計算A'!$IT$15&gt;0,0,500000)+IF('計算A'!$IQ$15=2,SUMPRODUCT('計算A'!$D$65:$EQ$65,$DB35:$IO35,$IQ35:$OD35),SUMPRODUCT('計算A'!$D$65:$EQ$65,$DB35:$IO35))*1000+6)</f>
        <v/>
      </c>
      <c r="BN35">
        <f>IF(T35=1,1000000,IF('計算A'!$IT$16&gt;0,0,500000)+IF('計算A'!$IQ$16=2,SUMPRODUCT('計算A'!$D$66:$EQ$66,$DB35:$IO35,$IQ35:$OD35),SUMPRODUCT('計算A'!$D$66:$EQ$66,$DB35:$IO35))*1000+7)</f>
        <v/>
      </c>
      <c r="BO35">
        <f>IF(U35=1,1000000,IF('計算A'!$IT$17&gt;0,0,500000)+IF('計算A'!$IQ$17=2,SUMPRODUCT('計算A'!$D$67:$EQ$67,$DB35:$IO35,$IQ35:$OD35),SUMPRODUCT('計算A'!$D$67:$EQ$67,$DB35:$IO35))*1000+8)</f>
        <v/>
      </c>
      <c r="BP35">
        <f>IF(V35=1,1000000,IF('計算A'!$IT$18&gt;0,0,500000)+IF('計算A'!$IQ$18=2,SUMPRODUCT('計算A'!$D$68:$EQ$68,$DB35:$IO35,$IQ35:$OD35),SUMPRODUCT('計算A'!$D$68:$EQ$68,$DB35:$IO35))*1000+9)</f>
        <v/>
      </c>
      <c r="BQ35">
        <f>IF(W35=1,1000000,IF('計算A'!$IT$19&gt;0,0,500000)+IF('計算A'!$IQ$19=2,SUMPRODUCT('計算A'!$D$69:$EQ$69,$DB35:$IO35,$IQ35:$OD35),SUMPRODUCT('計算A'!$D$69:$EQ$69,$DB35:$IO35))*1000+10)</f>
        <v/>
      </c>
      <c r="BR35">
        <f>IF(X35=1,1000000,IF('計算A'!$IT$20&gt;0,0,500000)+IF('計算A'!$IQ$20=2,SUMPRODUCT('計算A'!$D$70:$EQ$70,$DB35:$IO35,$IQ35:$OD35),SUMPRODUCT('計算A'!$D$70:$EQ$70,$DB35:$IO35))*1000+11)</f>
        <v/>
      </c>
      <c r="BS35">
        <f>IF(Y35=1,1000000,IF('計算A'!$IT$21&gt;0,0,500000)+IF('計算A'!$IQ$21=2,SUMPRODUCT('計算A'!$D$71:$EQ$71,$DB35:$IO35,$IQ35:$OD35),SUMPRODUCT('計算A'!$D$71:$EQ$71,$DB35:$IO35))*1000+12)</f>
        <v/>
      </c>
      <c r="BT35">
        <f>IF(Z35=1,1000000,IF('計算A'!$IT$22&gt;0,0,500000)+IF('計算A'!$IQ$22=2,SUMPRODUCT('計算A'!$D$72:$EQ$72,$DB35:$IO35,$IQ35:$OD35),SUMPRODUCT('計算A'!$D$72:$EQ$72,$DB35:$IO35))*1000+13)</f>
        <v/>
      </c>
      <c r="BU35">
        <f>IF(AA35=1,1000000,IF('計算A'!$IT$23&gt;0,0,500000)+IF('計算A'!$IQ$23=2,SUMPRODUCT('計算A'!$D$73:$EQ$73,$DB35:$IO35,$IQ35:$OD35),SUMPRODUCT('計算A'!$D$73:$EQ$73,$DB35:$IO35))*1000+14)</f>
        <v/>
      </c>
      <c r="BV35">
        <f>IF(AB35=1,1000000,IF('計算A'!$IT$24&gt;0,0,500000)+IF('計算A'!$IQ$24=2,SUMPRODUCT('計算A'!$D$74:$EQ$74,$DB35:$IO35,$IQ35:$OD35),SUMPRODUCT('計算A'!$D$74:$EQ$74,$DB35:$IO35))*1000+15)</f>
        <v/>
      </c>
      <c r="BW35">
        <f>IF(AC35=1,1000000,IF('計算A'!$IT$25&gt;0,0,500000)+IF('計算A'!$IQ$25=2,SUMPRODUCT('計算A'!$D$75:$EQ$75,$DB35:$IO35,$IQ35:$OD35),SUMPRODUCT('計算A'!$D$75:$EQ$75,$DB35:$IO35))*1000+16)</f>
        <v/>
      </c>
      <c r="BX35">
        <f>IF(AD35=1,1000000,IF('計算A'!$IT$26&gt;0,0,500000)+IF('計算A'!$IQ$26=2,SUMPRODUCT('計算A'!$D$76:$EQ$76,$DB35:$IO35,$IQ35:$OD35),SUMPRODUCT('計算A'!$D$76:$EQ$76,$DB35:$IO35))*1000+17)</f>
        <v/>
      </c>
      <c r="BY35">
        <f>IF(AE35=1,1000000,IF('計算A'!$IT$27&gt;0,0,500000)+IF('計算A'!$IQ$27=2,SUMPRODUCT('計算A'!$D$77:$EQ$77,$DB35:$IO35,$IQ35:$OD35),SUMPRODUCT('計算A'!$D$77:$EQ$77,$DB35:$IO35))*1000+18)</f>
        <v/>
      </c>
      <c r="BZ35">
        <f>IF(AF35=1,1000000,IF('計算A'!$IT$28&gt;0,0,500000)+IF('計算A'!$IQ$28=2,SUMPRODUCT('計算A'!$D$78:$EQ$78,$DB35:$IO35,$IQ35:$OD35),SUMPRODUCT('計算A'!$D$78:$EQ$78,$DB35:$IO35))*1000+19)</f>
        <v/>
      </c>
      <c r="CA35">
        <f>IF(AG35=1,1000000,IF('計算A'!$IT$29&gt;0,0,500000)+IF('計算A'!$IQ$29=2,SUMPRODUCT('計算A'!$D$79:$EQ$79,$DB35:$IO35,$IQ35:$OD35),SUMPRODUCT('計算A'!$D$79:$EQ$79,$DB35:$IO35))*1000+20)</f>
        <v/>
      </c>
      <c r="CB35">
        <f>IF(AH35=1,1000000,IF('計算A'!$IT$30&gt;0,0,500000)+IF('計算A'!$IQ$30=2,SUMPRODUCT('計算A'!$D$80:$EQ$80,$DB35:$IO35,$IQ35:$OD35),SUMPRODUCT('計算A'!$D$80:$EQ$80,$DB35:$IO35))*1000+21)</f>
        <v/>
      </c>
      <c r="CC35">
        <f>IF(AI35=1,1000000,IF('計算A'!$IT$31&gt;0,0,500000)+IF('計算A'!$IQ$31=2,SUMPRODUCT('計算A'!$D$81:$EQ$81,$DB35:$IO35,$IQ35:$OD35),SUMPRODUCT('計算A'!$D$81:$EQ$81,$DB35:$IO35))*1000+22)</f>
        <v/>
      </c>
      <c r="CD35">
        <f>IF(AJ35=1,1000000,IF('計算A'!$IT$32&gt;0,0,500000)+IF('計算A'!$IQ$32=2,SUMPRODUCT('計算A'!$D$82:$EQ$82,$DB35:$IO35,$IQ35:$OD35),SUMPRODUCT('計算A'!$D$82:$EQ$82,$DB35:$IO35))*1000+23)</f>
        <v/>
      </c>
      <c r="CE35">
        <f>IF(AK35=1,1000000,IF('計算A'!$IT$33&gt;0,0,500000)+IF('計算A'!$IQ$33=2,SUMPRODUCT('計算A'!$D$83:$EQ$83,$DB35:$IO35,$IQ35:$OD35),SUMPRODUCT('計算A'!$D$83:$EQ$83,$DB35:$IO35))*1000+24)</f>
        <v/>
      </c>
      <c r="CF35">
        <f>IF(AL35=1,1000000,IF('計算A'!$IT$34&gt;0,0,500000)+IF('計算A'!$IQ$34=2,SUMPRODUCT('計算A'!$D$84:$EQ$84,$DB35:$IO35,$IQ35:$OD35),SUMPRODUCT('計算A'!$D$84:$EQ$84,$DB35:$IO35))*1000+25)</f>
        <v/>
      </c>
      <c r="CG35">
        <f>IF(AM35=1,1000000,IF('計算A'!$IT$35&gt;0,0,500000)+IF('計算A'!$IQ$35=2,SUMPRODUCT('計算A'!$D$85:$EQ$85,$DB35:$IO35,$IQ35:$OD35),SUMPRODUCT('計算A'!$D$85:$EQ$85,$DB35:$IO35))*1000+26)</f>
        <v/>
      </c>
      <c r="CH35">
        <f>IF(AN35=1,1000000,IF('計算A'!$IT$36&gt;0,0,500000)+IF('計算A'!$IQ$36=2,SUMPRODUCT('計算A'!$D$86:$EQ$86,$DB35:$IO35,$IQ35:$OD35),SUMPRODUCT('計算A'!$D$86:$EQ$86,$DB35:$IO35))*1000+27)</f>
        <v/>
      </c>
      <c r="CI35">
        <f>IF(AO35=1,1000000,IF('計算A'!$IT$37&gt;0,0,500000)+IF('計算A'!$IQ$37=2,SUMPRODUCT('計算A'!$D$87:$EQ$87,$DB35:$IO35,$IQ35:$OD35),SUMPRODUCT('計算A'!$D$87:$EQ$87,$DB35:$IO35))*1000+28)</f>
        <v/>
      </c>
      <c r="CJ35">
        <f>IF(AP35=1,1000000,IF('計算A'!$IT$38&gt;0,0,500000)+IF('計算A'!$IQ$38=2,SUMPRODUCT('計算A'!$D$88:$EQ$88,$DB35:$IO35,$IQ35:$OD35),SUMPRODUCT('計算A'!$D$88:$EQ$88,$DB35:$IO35))*1000+29)</f>
        <v/>
      </c>
      <c r="CK35">
        <f>IF(AQ35=1,1000000,IF('計算A'!$IT$39&gt;0,0,500000)+IF('計算A'!$IQ$39=2,SUMPRODUCT('計算A'!$D$89:$EQ$89,$DB35:$IO35,$IQ35:$OD35),SUMPRODUCT('計算A'!$D$89:$EQ$89,$DB35:$IO35))*1000+30)</f>
        <v/>
      </c>
      <c r="CL35">
        <f>IF(AR35=1,1000000,IF('計算A'!$IT$40&gt;0,0,500000)+IF('計算A'!$IQ$40=2,SUMPRODUCT('計算A'!$D$90:$EQ$90,$DB35:$IO35,$IQ35:$OD35),SUMPRODUCT('計算A'!$D$90:$EQ$90,$DB35:$IO35))*1000+31)</f>
        <v/>
      </c>
      <c r="CM35">
        <f>IF(AS35=1,1000000,IF('計算A'!$IT$41&gt;0,0,500000)+IF('計算A'!$IQ$41=2,SUMPRODUCT('計算A'!$D$91:$EQ$91,$DB35:$IO35,$IQ35:$OD35),SUMPRODUCT('計算A'!$D$91:$EQ$91,$DB35:$IO35))*1000+32)</f>
        <v/>
      </c>
      <c r="CN35">
        <f>IF(AT35=1,1000000,IF('計算A'!$IT$42&gt;0,0,500000)+IF('計算A'!$IQ$42=2,SUMPRODUCT('計算A'!$D$92:$EQ$92,$DB35:$IO35,$IQ35:$OD35),SUMPRODUCT('計算A'!$D$92:$EQ$92,$DB35:$IO35))*1000+33)</f>
        <v/>
      </c>
      <c r="CO35">
        <f>IF(AU35=1,1000000,IF('計算A'!$IT$43&gt;0,0,500000)+IF('計算A'!$IQ$43=2,SUMPRODUCT('計算A'!$D$93:$EQ$93,$DB35:$IO35,$IQ35:$OD35),SUMPRODUCT('計算A'!$D$93:$EQ$93,$DB35:$IO35))*1000+34)</f>
        <v/>
      </c>
      <c r="CP35">
        <f>IF(AV35=1,1000000,IF('計算A'!$IT$44&gt;0,0,500000)+IF('計算A'!$IQ$44=2,SUMPRODUCT('計算A'!$D$94:$EQ$94,$DB35:$IO35,$IQ35:$OD35),SUMPRODUCT('計算A'!$D$94:$EQ$94,$DB35:$IO35))*1000+35)</f>
        <v/>
      </c>
      <c r="CQ35">
        <f>IF(AW35=1,1000000,IF('計算A'!$IT$45&gt;0,0,500000)+IF('計算A'!$IQ$45=2,SUMPRODUCT('計算A'!$D$95:$EQ$95,$DB35:$IO35,$IQ35:$OD35),SUMPRODUCT('計算A'!$D$95:$EQ$95,$DB35:$IO35))*1000+36)</f>
        <v/>
      </c>
      <c r="CR35">
        <f>IF(AX35=1,1000000,IF('計算A'!$IT$46&gt;0,0,500000)+IF('計算A'!$IQ$46=2,SUMPRODUCT('計算A'!$D$96:$EQ$96,$DB35:$IO35,$IQ35:$OD35),SUMPRODUCT('計算A'!$D$96:$EQ$96,$DB35:$IO35))*1000+37)</f>
        <v/>
      </c>
      <c r="CS35">
        <f>IF(AY35=1,1000000,IF('計算A'!$IT$47&gt;0,0,500000)+IF('計算A'!$IQ$47=2,SUMPRODUCT('計算A'!$D$97:$EQ$97,$DB35:$IO35,$IQ35:$OD35),SUMPRODUCT('計算A'!$D$97:$EQ$97,$DB35:$IO35))*1000+38)</f>
        <v/>
      </c>
      <c r="CT35">
        <f>IF(AZ35=1,1000000,IF('計算A'!$IT$48&gt;0,0,500000)+IF('計算A'!$IQ$48=2,SUMPRODUCT('計算A'!$D$98:$EQ$98,$DB35:$IO35,$IQ35:$OD35),SUMPRODUCT('計算A'!$D$98:$EQ$98,$DB35:$IO35))*1000+39)</f>
        <v/>
      </c>
      <c r="CU35">
        <f>IF(BA35=1,1000000,IF('計算A'!$IT$49&gt;0,0,500000)+IF('計算A'!$IQ$49=2,SUMPRODUCT('計算A'!$D$99:$EQ$99,$DB35:$IO35,$IQ35:$OD35),SUMPRODUCT('計算A'!$D$99:$EQ$99,$DB35:$IO35))*1000+40)</f>
        <v/>
      </c>
      <c r="CV35">
        <f>IF(BB35=1,1000000,IF('計算A'!$IT$50&gt;0,0,500000)+IF('計算A'!$IQ$50=2,SUMPRODUCT('計算A'!$D$100:$EQ$100,$DB35:$IO35,$IQ35:$OD35),SUMPRODUCT('計算A'!$D$100:$EQ$100,$DB35:$IO35))*1000+41)</f>
        <v/>
      </c>
      <c r="CW35">
        <f>IF(BC35=1,1000000,IF('計算A'!$IT$51&gt;0,0,500000)+IF('計算A'!$IQ$51=2,SUMPRODUCT('計算A'!$D$101:$EQ$101,$DB35:$IO35,$IQ35:$OD35),SUMPRODUCT('計算A'!$D$101:$EQ$101,$DB35:$IO35))*1000+42)</f>
        <v/>
      </c>
      <c r="CX35">
        <f>IF(BD35=1,1000000,IF('計算A'!$IT$52&gt;0,0,500000)+IF('計算A'!$IQ$52=2,SUMPRODUCT('計算A'!$D$102:$EQ$102,$DB35:$IO35,$IQ35:$OD35),SUMPRODUCT('計算A'!$D$102:$EQ$102,$DB35:$IO35))*1000+43)</f>
        <v/>
      </c>
      <c r="CY35">
        <f>IF(BE35=1,1000000,IF('計算A'!$IT$53&gt;0,0,500000)+IF('計算A'!$IQ$53=2,SUMPRODUCT('計算A'!$D$103:$EQ$103,$DB35:$IO35,$IQ35:$OD35),SUMPRODUCT('計算A'!$D$103:$EQ$103,$DB35:$IO35))*1000+44)</f>
        <v/>
      </c>
      <c r="CZ35">
        <f>IF(BF35=1,1000000,IF('計算A'!$IT$54&gt;0,0,500000)+IF('計算A'!$IQ$54=2,SUMPRODUCT('計算A'!$D$104:$EQ$104,$DB35:$IO35,$IQ35:$OD35),SUMPRODUCT('計算A'!$D$104:$EQ$104,$DB35:$IO35))*1000+45)</f>
        <v/>
      </c>
      <c r="DB35">
        <f>DB34*IF(OR($C34=1,$G34=1),0,1)</f>
        <v/>
      </c>
      <c r="DC35">
        <f>DC34*IF(OR($C34=2,$G34=2),0,1)</f>
        <v/>
      </c>
      <c r="DD35">
        <f>DD34*IF(OR($C34=3,$G34=3),0,1)</f>
        <v/>
      </c>
      <c r="DE35">
        <f>DE34*IF(OR($C34=4,$G34=4),0,1)</f>
        <v/>
      </c>
      <c r="DF35">
        <f>DF34*IF(OR($C34=5,$G34=5),0,1)</f>
        <v/>
      </c>
      <c r="DG35">
        <f>DG34*IF(OR($C34=6,$G34=6),0,1)</f>
        <v/>
      </c>
      <c r="DH35">
        <f>DH34*IF(OR($C34=7,$G34=7),0,1)</f>
        <v/>
      </c>
      <c r="DI35">
        <f>DI34*IF(OR($C34=8,$G34=8),0,1)</f>
        <v/>
      </c>
      <c r="DJ35">
        <f>DJ34*IF(OR($C34=9,$G34=9),0,1)</f>
        <v/>
      </c>
      <c r="DK35">
        <f>DK34*IF(OR($C34=10,$G34=10),0,1)</f>
        <v/>
      </c>
      <c r="DL35">
        <f>DL34*IF(OR($C34=11,$G34=11),0,1)</f>
        <v/>
      </c>
      <c r="DM35">
        <f>DM34*IF(OR($C34=12,$G34=12),0,1)</f>
        <v/>
      </c>
      <c r="DN35">
        <f>DN34*IF(OR($C34=13,$G34=13),0,1)</f>
        <v/>
      </c>
      <c r="DO35">
        <f>DO34*IF(OR($C34=14,$G34=14),0,1)</f>
        <v/>
      </c>
      <c r="DP35">
        <f>DP34*IF(OR($C34=15,$G34=15),0,1)</f>
        <v/>
      </c>
      <c r="DQ35">
        <f>DQ34*IF(OR($C34=16,$G34=16),0,1)</f>
        <v/>
      </c>
      <c r="DR35">
        <f>DR34*IF(OR($C34=17,$G34=17),0,1)</f>
        <v/>
      </c>
      <c r="DS35">
        <f>DS34*IF(OR($C34=18,$G34=18),0,1)</f>
        <v/>
      </c>
      <c r="DT35">
        <f>DT34*IF(OR($C34=19,$G34=19),0,1)</f>
        <v/>
      </c>
      <c r="DU35">
        <f>DU34*IF(OR($C34=20,$G34=20),0,1)</f>
        <v/>
      </c>
      <c r="DV35">
        <f>DV34*IF(OR($C34=21,$G34=21),0,1)</f>
        <v/>
      </c>
      <c r="DW35">
        <f>DW34*IF(OR($C34=22,$G34=22),0,1)</f>
        <v/>
      </c>
      <c r="DX35">
        <f>DX34*IF(OR($C34=23,$G34=23),0,1)</f>
        <v/>
      </c>
      <c r="DY35">
        <f>DY34*IF(OR($C34=24,$G34=24),0,1)</f>
        <v/>
      </c>
      <c r="DZ35">
        <f>DZ34*IF(OR($C34=25,$G34=25),0,1)</f>
        <v/>
      </c>
      <c r="EA35">
        <f>EA34*IF(OR($C34=26,$G34=26),0,1)</f>
        <v/>
      </c>
      <c r="EB35">
        <f>EB34*IF(OR($C34=27,$G34=27),0,1)</f>
        <v/>
      </c>
      <c r="EC35">
        <f>EC34*IF(OR($C34=28,$G34=28),0,1)</f>
        <v/>
      </c>
      <c r="ED35">
        <f>ED34*IF(OR($C34=29,$G34=29),0,1)</f>
        <v/>
      </c>
      <c r="EE35">
        <f>EE34*IF(OR($C34=30,$G34=30),0,1)</f>
        <v/>
      </c>
      <c r="EF35">
        <f>EF34*IF(OR($C34=31,$G34=31),0,1)</f>
        <v/>
      </c>
      <c r="EG35">
        <f>EG34*IF(OR($C34=32,$G34=32),0,1)</f>
        <v/>
      </c>
      <c r="EH35">
        <f>EH34*IF(OR($C34=33,$G34=33),0,1)</f>
        <v/>
      </c>
      <c r="EI35">
        <f>EI34*IF(OR($C34=34,$G34=34),0,1)</f>
        <v/>
      </c>
      <c r="EJ35">
        <f>EJ34*IF(OR($C34=35,$G34=35),0,1)</f>
        <v/>
      </c>
      <c r="EK35">
        <f>EK34*IF(OR($C34=36,$G34=36),0,1)</f>
        <v/>
      </c>
      <c r="EL35">
        <f>EL34*IF(OR($C34=37,$G34=37),0,1)</f>
        <v/>
      </c>
      <c r="EM35">
        <f>EM34*IF(OR($C34=38,$G34=38),0,1)</f>
        <v/>
      </c>
      <c r="EN35">
        <f>EN34*IF(OR($C34=39,$G34=39),0,1)</f>
        <v/>
      </c>
      <c r="EO35">
        <f>EO34*IF(OR($C34=40,$G34=40),0,1)</f>
        <v/>
      </c>
      <c r="EP35">
        <f>EP34*IF(OR($C34=41,$G34=41),0,1)</f>
        <v/>
      </c>
      <c r="EQ35">
        <f>EQ34*IF(OR($C34=42,$G34=42),0,1)</f>
        <v/>
      </c>
      <c r="ER35">
        <f>ER34*IF(OR($C34=43,$G34=43),0,1)</f>
        <v/>
      </c>
      <c r="ES35">
        <f>ES34*IF(OR($C34=44,$G34=44),0,1)</f>
        <v/>
      </c>
      <c r="ET35">
        <f>ET34*IF(OR($C34=45,$G34=45),0,1)</f>
        <v/>
      </c>
      <c r="EU35">
        <f>EU34*IF(OR($C34=46,$G34=46),0,1)</f>
        <v/>
      </c>
      <c r="EV35">
        <f>EV34*IF(OR($C34=47,$G34=47),0,1)</f>
        <v/>
      </c>
      <c r="EW35">
        <f>EW34*IF(OR($C34=48,$G34=48),0,1)</f>
        <v/>
      </c>
      <c r="EX35">
        <f>EX34*IF(OR($C34=49,$G34=49),0,1)</f>
        <v/>
      </c>
      <c r="EY35">
        <f>EY34*IF(OR($C34=50,$G34=50),0,1)</f>
        <v/>
      </c>
      <c r="EZ35">
        <f>EZ34*IF(OR($C34=51,$G34=51),0,1)</f>
        <v/>
      </c>
      <c r="FA35">
        <f>FA34*IF(OR($C34=52,$G34=52),0,1)</f>
        <v/>
      </c>
      <c r="FB35">
        <f>FB34*IF(OR($C34=53,$G34=53),0,1)</f>
        <v/>
      </c>
      <c r="FC35">
        <f>FC34*IF(OR($C34=54,$G34=54),0,1)</f>
        <v/>
      </c>
      <c r="FD35">
        <f>FD34*IF(OR($C34=55,$G34=55),0,1)</f>
        <v/>
      </c>
      <c r="FE35">
        <f>FE34*IF(OR($C34=56,$G34=56),0,1)</f>
        <v/>
      </c>
      <c r="FF35">
        <f>FF34*IF(OR($C34=57,$G34=57),0,1)</f>
        <v/>
      </c>
      <c r="FG35">
        <f>FG34*IF(OR($C34=58,$G34=58),0,1)</f>
        <v/>
      </c>
      <c r="FH35">
        <f>FH34*IF(OR($C34=59,$G34=59),0,1)</f>
        <v/>
      </c>
      <c r="FI35">
        <f>FI34*IF(OR($C34=60,$G34=60),0,1)</f>
        <v/>
      </c>
      <c r="FJ35">
        <f>FJ34*IF(OR($C34=61,$G34=61),0,1)</f>
        <v/>
      </c>
      <c r="FK35">
        <f>FK34*IF(OR($C34=62,$G34=62),0,1)</f>
        <v/>
      </c>
      <c r="FL35">
        <f>FL34*IF(OR($C34=63,$G34=63),0,1)</f>
        <v/>
      </c>
      <c r="FM35">
        <f>FM34*IF(OR($C34=64,$G34=64),0,1)</f>
        <v/>
      </c>
      <c r="FN35">
        <f>FN34*IF(OR($C34=65,$G34=65),0,1)</f>
        <v/>
      </c>
      <c r="FO35">
        <f>FO34*IF(OR($C34=66,$G34=66),0,1)</f>
        <v/>
      </c>
      <c r="FP35">
        <f>FP34*IF(OR($C34=67,$G34=67),0,1)</f>
        <v/>
      </c>
      <c r="FQ35">
        <f>FQ34*IF(OR($C34=68,$G34=68),0,1)</f>
        <v/>
      </c>
      <c r="FR35">
        <f>FR34*IF(OR($C34=69,$G34=69),0,1)</f>
        <v/>
      </c>
      <c r="FS35">
        <f>FS34*IF(OR($C34=70,$G34=70),0,1)</f>
        <v/>
      </c>
      <c r="FT35">
        <f>FT34*IF(OR($C34=71,$G34=71),0,1)</f>
        <v/>
      </c>
      <c r="FU35">
        <f>FU34*IF(OR($C34=72,$G34=72),0,1)</f>
        <v/>
      </c>
      <c r="FV35">
        <f>FV34*IF(OR($C34=73,$G34=73),0,1)</f>
        <v/>
      </c>
      <c r="FW35">
        <f>FW34*IF(OR($C34=74,$G34=74),0,1)</f>
        <v/>
      </c>
      <c r="FX35">
        <f>FX34*IF(OR($C34=75,$G34=75),0,1)</f>
        <v/>
      </c>
      <c r="FY35">
        <f>FY34*IF(OR($C34=76,$G34=76),0,1)</f>
        <v/>
      </c>
      <c r="FZ35">
        <f>FZ34*IF(OR($C34=77,$G34=77),0,1)</f>
        <v/>
      </c>
      <c r="GA35">
        <f>GA34*IF(OR($C34=78,$G34=78),0,1)</f>
        <v/>
      </c>
      <c r="GB35">
        <f>GB34*IF(OR($C34=79,$G34=79),0,1)</f>
        <v/>
      </c>
      <c r="GC35">
        <f>GC34*IF(OR($C34=80,$G34=80),0,1)</f>
        <v/>
      </c>
      <c r="GD35">
        <f>GD34*IF(OR($C34=81,$G34=81),0,1)</f>
        <v/>
      </c>
      <c r="GE35">
        <f>GE34*IF(OR($C34=82,$G34=82),0,1)</f>
        <v/>
      </c>
      <c r="GF35">
        <f>GF34*IF(OR($C34=83,$G34=83),0,1)</f>
        <v/>
      </c>
      <c r="GG35">
        <f>GG34*IF(OR($C34=84,$G34=84),0,1)</f>
        <v/>
      </c>
      <c r="GH35">
        <f>GH34*IF(OR($C34=85,$G34=85),0,1)</f>
        <v/>
      </c>
      <c r="GI35">
        <f>GI34*IF(OR($C34=86,$G34=86),0,1)</f>
        <v/>
      </c>
      <c r="GJ35">
        <f>GJ34*IF(OR($C34=87,$G34=87),0,1)</f>
        <v/>
      </c>
      <c r="GK35">
        <f>GK34*IF(OR($C34=88,$G34=88),0,1)</f>
        <v/>
      </c>
      <c r="GL35">
        <f>GL34*IF(OR($C34=89,$G34=89),0,1)</f>
        <v/>
      </c>
      <c r="GM35">
        <f>GM34*IF(OR($C34=90,$G34=90),0,1)</f>
        <v/>
      </c>
      <c r="GN35">
        <f>GN34*IF(OR($C34=91,$G34=91),0,1)</f>
        <v/>
      </c>
      <c r="GO35">
        <f>GO34*IF(OR($C34=92,$G34=92),0,1)</f>
        <v/>
      </c>
      <c r="GP35">
        <f>GP34*IF(OR($C34=93,$G34=93),0,1)</f>
        <v/>
      </c>
      <c r="GQ35">
        <f>GQ34*IF(OR($C34=94,$G34=94),0,1)</f>
        <v/>
      </c>
      <c r="GR35">
        <f>GR34*IF(OR($C34=95,$G34=95),0,1)</f>
        <v/>
      </c>
      <c r="GS35">
        <f>GS34*IF(OR($C34=96,$G34=96),0,1)</f>
        <v/>
      </c>
      <c r="GT35">
        <f>GT34*IF(OR($C34=97,$G34=97),0,1)</f>
        <v/>
      </c>
      <c r="GU35">
        <f>GU34*IF(OR($C34=98,$G34=98),0,1)</f>
        <v/>
      </c>
      <c r="GV35">
        <f>GV34*IF(OR($C34=99,$G34=99),0,1)</f>
        <v/>
      </c>
      <c r="GW35">
        <f>GW34*IF(OR($C34=100,$G34=100),0,1)</f>
        <v/>
      </c>
      <c r="GX35">
        <f>GX34*IF(OR($C34=101,$G34=101),0,1)</f>
        <v/>
      </c>
      <c r="GY35">
        <f>GY34*IF(OR($C34=102,$G34=102),0,1)</f>
        <v/>
      </c>
      <c r="GZ35">
        <f>GZ34*IF(OR($C34=103,$G34=103),0,1)</f>
        <v/>
      </c>
      <c r="HA35">
        <f>HA34*IF(OR($C34=104,$G34=104),0,1)</f>
        <v/>
      </c>
      <c r="HB35">
        <f>HB34*IF(OR($C34=105,$G34=105),0,1)</f>
        <v/>
      </c>
      <c r="HC35">
        <f>HC34*IF(OR($C34=106,$G34=106),0,1)</f>
        <v/>
      </c>
      <c r="HD35">
        <f>HD34*IF(OR($C34=107,$G34=107),0,1)</f>
        <v/>
      </c>
      <c r="HE35">
        <f>HE34*IF(OR($C34=108,$G34=108),0,1)</f>
        <v/>
      </c>
      <c r="HF35">
        <f>HF34*IF(OR($C34=109,$G34=109),0,1)</f>
        <v/>
      </c>
      <c r="HG35">
        <f>HG34*IF(OR($C34=110,$G34=110),0,1)</f>
        <v/>
      </c>
      <c r="HH35">
        <f>HH34*IF(OR($C34=111,$G34=111),0,1)</f>
        <v/>
      </c>
      <c r="HI35">
        <f>HI34*IF(OR($C34=112,$G34=112),0,1)</f>
        <v/>
      </c>
      <c r="HJ35">
        <f>HJ34*IF(OR($C34=113,$G34=113),0,1)</f>
        <v/>
      </c>
      <c r="HK35">
        <f>HK34*IF(OR($C34=114,$G34=114),0,1)</f>
        <v/>
      </c>
      <c r="HL35">
        <f>HL34*IF(OR($C34=115,$G34=115),0,1)</f>
        <v/>
      </c>
      <c r="HM35">
        <f>HM34*IF(OR($C34=116,$G34=116),0,1)</f>
        <v/>
      </c>
      <c r="HN35">
        <f>HN34*IF(OR($C34=117,$G34=117),0,1)</f>
        <v/>
      </c>
      <c r="HO35">
        <f>HO34*IF(OR($C34=118,$G34=118),0,1)</f>
        <v/>
      </c>
      <c r="HP35">
        <f>HP34*IF(OR($C34=119,$G34=119),0,1)</f>
        <v/>
      </c>
      <c r="HQ35">
        <f>HQ34*IF(OR($C34=120,$G34=120),0,1)</f>
        <v/>
      </c>
      <c r="HR35">
        <f>HR34*IF(OR($C34=121,$G34=121),0,1)</f>
        <v/>
      </c>
      <c r="HS35">
        <f>HS34*IF(OR($C34=122,$G34=122),0,1)</f>
        <v/>
      </c>
      <c r="HT35">
        <f>HT34*IF(OR($C34=123,$G34=123),0,1)</f>
        <v/>
      </c>
      <c r="HU35">
        <f>HU34*IF(OR($C34=124,$G34=124),0,1)</f>
        <v/>
      </c>
      <c r="HV35">
        <f>HV34*IF(OR($C34=125,$G34=125),0,1)</f>
        <v/>
      </c>
      <c r="HW35">
        <f>HW34*IF(OR($C34=126,$G34=126),0,1)</f>
        <v/>
      </c>
      <c r="HX35">
        <f>HX34*IF(OR($C34=127,$G34=127),0,1)</f>
        <v/>
      </c>
      <c r="HY35">
        <f>HY34*IF(OR($C34=128,$G34=128),0,1)</f>
        <v/>
      </c>
      <c r="HZ35">
        <f>HZ34*IF(OR($C34=129,$G34=129),0,1)</f>
        <v/>
      </c>
      <c r="IA35">
        <f>IA34*IF(OR($C34=130,$G34=130),0,1)</f>
        <v/>
      </c>
      <c r="IB35">
        <f>IB34*IF(OR($C34=131,$G34=131),0,1)</f>
        <v/>
      </c>
      <c r="IC35">
        <f>IC34*IF(OR($C34=132,$G34=132),0,1)</f>
        <v/>
      </c>
      <c r="ID35">
        <f>ID34*IF(OR($C34=133,$G34=133),0,1)</f>
        <v/>
      </c>
      <c r="IE35">
        <f>IE34*IF(OR($C34=134,$G34=134),0,1)</f>
        <v/>
      </c>
      <c r="IF35">
        <f>IF34*IF(OR($C34=135,$G34=135),0,1)</f>
        <v/>
      </c>
      <c r="IG35">
        <f>IG34*IF(OR($C34=136,$G34=136),0,1)</f>
        <v/>
      </c>
      <c r="IH35">
        <f>IH34*IF(OR($C34=137,$G34=137),0,1)</f>
        <v/>
      </c>
      <c r="II35">
        <f>II34*IF(OR($C34=138,$G34=138),0,1)</f>
        <v/>
      </c>
      <c r="IJ35">
        <f>IJ34*IF(OR($C34=139,$G34=139),0,1)</f>
        <v/>
      </c>
      <c r="IK35">
        <f>IK34*IF(OR($C34=140,$G34=140),0,1)</f>
        <v/>
      </c>
      <c r="IL35">
        <f>IL34*IF(OR($C34=141,$G34=141),0,1)</f>
        <v/>
      </c>
      <c r="IM35">
        <f>IM34*IF(OR($C34=142,$G34=142),0,1)</f>
        <v/>
      </c>
      <c r="IN35">
        <f>IN34*IF(OR($C34=143,$G34=143),0,1)</f>
        <v/>
      </c>
      <c r="IO35">
        <f>IO34*IF(OR($C34=144,$G34=144),0,1)</f>
        <v/>
      </c>
      <c r="IQ35">
        <f>IF('計算A'!D$106=1,DC35,1)</f>
        <v/>
      </c>
      <c r="IR35">
        <f>IF('計算A'!E$106=1,DD35,1)</f>
        <v/>
      </c>
      <c r="IS35">
        <f>IF('計算A'!F$106=1,DE35,1)</f>
        <v/>
      </c>
      <c r="IT35">
        <f>IF('計算A'!G$106=1,DF35,1)</f>
        <v/>
      </c>
      <c r="IU35">
        <f>IF('計算A'!H$106=1,DG35,1)</f>
        <v/>
      </c>
      <c r="IV35">
        <f>IF('計算A'!I$106=1,DH35,1)</f>
        <v/>
      </c>
      <c r="IW35">
        <f>IF('計算A'!J$106=1,DI35,1)</f>
        <v/>
      </c>
      <c r="IX35">
        <f>IF('計算A'!K$106=1,DJ35,1)</f>
        <v/>
      </c>
      <c r="IY35">
        <f>IF('計算A'!L$106=1,DK35,1)</f>
        <v/>
      </c>
      <c r="IZ35">
        <f>IF('計算A'!M$106=1,DL35,1)</f>
        <v/>
      </c>
      <c r="JA35">
        <f>IF('計算A'!N$106=1,DM35,1)</f>
        <v/>
      </c>
      <c r="JB35">
        <f>IF('計算A'!O$106=1,DN35,1)</f>
        <v/>
      </c>
      <c r="JC35">
        <f>IF('計算A'!P$106=1,DO35,1)</f>
        <v/>
      </c>
      <c r="JD35">
        <f>IF('計算A'!Q$106=1,DP35,1)</f>
        <v/>
      </c>
      <c r="JE35">
        <f>IF('計算A'!R$106=1,DQ35,1)</f>
        <v/>
      </c>
      <c r="JF35">
        <f>IF('計算A'!S$106=1,DR35,1)</f>
        <v/>
      </c>
      <c r="JG35">
        <f>IF('計算A'!T$106=1,DS35,1)</f>
        <v/>
      </c>
      <c r="JH35">
        <f>IF('計算A'!U$106=1,DT35,1)</f>
        <v/>
      </c>
      <c r="JI35">
        <f>IF('計算A'!V$106=1,DU35,1)</f>
        <v/>
      </c>
      <c r="JJ35">
        <f>IF('計算A'!W$106=1,DV35,1)</f>
        <v/>
      </c>
      <c r="JK35">
        <f>IF('計算A'!X$106=1,DW35,1)</f>
        <v/>
      </c>
      <c r="JL35">
        <f>IF('計算A'!Y$106=1,DX35,1)</f>
        <v/>
      </c>
      <c r="JM35">
        <f>IF('計算A'!Z$106=1,DY35,1)</f>
        <v/>
      </c>
      <c r="JN35">
        <f>IF('計算A'!AA$106=1,DZ35,1)</f>
        <v/>
      </c>
      <c r="JO35">
        <f>IF('計算A'!AB$106=1,EA35,1)</f>
        <v/>
      </c>
      <c r="JP35">
        <f>IF('計算A'!AC$106=1,EB35,1)</f>
        <v/>
      </c>
      <c r="JQ35">
        <f>IF('計算A'!AD$106=1,EC35,1)</f>
        <v/>
      </c>
      <c r="JR35">
        <f>IF('計算A'!AE$106=1,ED35,1)</f>
        <v/>
      </c>
      <c r="JS35">
        <f>IF('計算A'!AF$106=1,EE35,1)</f>
        <v/>
      </c>
      <c r="JT35">
        <f>IF('計算A'!AG$106=1,EF35,1)</f>
        <v/>
      </c>
      <c r="JU35">
        <f>IF('計算A'!AH$106=1,EG35,1)</f>
        <v/>
      </c>
      <c r="JV35">
        <f>IF('計算A'!AI$106=1,EH35,1)</f>
        <v/>
      </c>
      <c r="JW35">
        <f>IF('計算A'!AJ$106=1,EI35,1)</f>
        <v/>
      </c>
      <c r="JX35">
        <f>IF('計算A'!AK$106=1,EJ35,1)</f>
        <v/>
      </c>
      <c r="JY35">
        <f>IF('計算A'!AL$106=1,EK35,1)</f>
        <v/>
      </c>
      <c r="JZ35">
        <f>IF('計算A'!AM$106=1,EL35,1)</f>
        <v/>
      </c>
      <c r="KA35">
        <f>IF('計算A'!AN$106=1,EM35,1)</f>
        <v/>
      </c>
      <c r="KB35">
        <f>IF('計算A'!AO$106=1,EN35,1)</f>
        <v/>
      </c>
      <c r="KC35">
        <f>IF('計算A'!AP$106=1,EO35,1)</f>
        <v/>
      </c>
      <c r="KD35">
        <f>IF('計算A'!AQ$106=1,EP35,1)</f>
        <v/>
      </c>
      <c r="KE35">
        <f>IF('計算A'!AR$106=1,EQ35,1)</f>
        <v/>
      </c>
      <c r="KF35">
        <f>IF('計算A'!AS$106=1,ER35,1)</f>
        <v/>
      </c>
      <c r="KG35">
        <f>IF('計算A'!AT$106=1,ES35,1)</f>
        <v/>
      </c>
      <c r="KH35">
        <f>IF('計算A'!AU$106=1,ET35,1)</f>
        <v/>
      </c>
      <c r="KI35">
        <f>IF('計算A'!AV$106=1,EU35,1)</f>
        <v/>
      </c>
      <c r="KJ35">
        <f>IF('計算A'!AW$106=1,EV35,1)</f>
        <v/>
      </c>
      <c r="KK35">
        <f>IF('計算A'!AX$106=1,EW35,1)</f>
        <v/>
      </c>
      <c r="KL35">
        <f>IF('計算A'!AY$106=1,EX35,1)</f>
        <v/>
      </c>
      <c r="KM35">
        <f>IF('計算A'!AZ$106=1,EY35,1)</f>
        <v/>
      </c>
      <c r="KN35">
        <f>IF('計算A'!BA$106=1,EZ35,1)</f>
        <v/>
      </c>
      <c r="KO35">
        <f>IF('計算A'!BB$106=1,FA35,1)</f>
        <v/>
      </c>
      <c r="KP35">
        <f>IF('計算A'!BC$106=1,FB35,1)</f>
        <v/>
      </c>
      <c r="KQ35">
        <f>IF('計算A'!BD$106=1,FC35,1)</f>
        <v/>
      </c>
      <c r="KR35">
        <f>IF('計算A'!BE$106=1,FD35,1)</f>
        <v/>
      </c>
      <c r="KS35">
        <f>IF('計算A'!BF$106=1,FE35,1)</f>
        <v/>
      </c>
      <c r="KT35">
        <f>IF('計算A'!BG$106=1,FF35,1)</f>
        <v/>
      </c>
      <c r="KU35">
        <f>IF('計算A'!BH$106=1,FG35,1)</f>
        <v/>
      </c>
      <c r="KV35">
        <f>IF('計算A'!BI$106=1,FH35,1)</f>
        <v/>
      </c>
      <c r="KW35">
        <f>IF('計算A'!BJ$106=1,FI35,1)</f>
        <v/>
      </c>
      <c r="KX35">
        <f>IF('計算A'!BK$106=1,FJ35,1)</f>
        <v/>
      </c>
      <c r="KY35">
        <f>IF('計算A'!BL$106=1,FK35,1)</f>
        <v/>
      </c>
      <c r="KZ35">
        <f>IF('計算A'!BM$106=1,FL35,1)</f>
        <v/>
      </c>
      <c r="LA35">
        <f>IF('計算A'!BN$106=1,FM35,1)</f>
        <v/>
      </c>
      <c r="LB35">
        <f>IF('計算A'!BO$106=1,FN35,1)</f>
        <v/>
      </c>
      <c r="LC35">
        <f>IF('計算A'!BP$106=1,FO35,1)</f>
        <v/>
      </c>
      <c r="LD35">
        <f>IF('計算A'!BQ$106=1,FP35,1)</f>
        <v/>
      </c>
      <c r="LE35">
        <f>IF('計算A'!BR$106=1,FQ35,1)</f>
        <v/>
      </c>
      <c r="LF35">
        <f>IF('計算A'!BS$106=1,FR35,1)</f>
        <v/>
      </c>
      <c r="LG35">
        <f>IF('計算A'!BT$106=1,FS35,1)</f>
        <v/>
      </c>
      <c r="LH35">
        <f>IF('計算A'!BU$106=1,FT35,1)</f>
        <v/>
      </c>
      <c r="LI35">
        <f>IF('計算A'!BV$106=1,FU35,1)</f>
        <v/>
      </c>
      <c r="LJ35">
        <f>IF('計算A'!BW$106=1,FV35,1)</f>
        <v/>
      </c>
      <c r="LK35">
        <f>IF('計算A'!BX$106=1,FW35,1)</f>
        <v/>
      </c>
      <c r="LL35">
        <f>IF('計算A'!BY$106=1,FX35,1)</f>
        <v/>
      </c>
      <c r="LM35">
        <f>IF('計算A'!BZ$106=1,FY35,1)</f>
        <v/>
      </c>
      <c r="LN35">
        <f>IF('計算A'!CA$106=1,FZ35,1)</f>
        <v/>
      </c>
      <c r="LO35">
        <f>IF('計算A'!CB$106=1,GA35,1)</f>
        <v/>
      </c>
      <c r="LP35">
        <f>IF('計算A'!CC$106=1,GB35,1)</f>
        <v/>
      </c>
      <c r="LQ35">
        <f>IF('計算A'!CD$106=1,GC35,1)</f>
        <v/>
      </c>
      <c r="LR35">
        <f>IF('計算A'!CE$106=1,GD35,1)</f>
        <v/>
      </c>
      <c r="LS35">
        <f>IF('計算A'!CF$106=1,GE35,1)</f>
        <v/>
      </c>
      <c r="LT35">
        <f>IF('計算A'!CG$106=1,GF35,1)</f>
        <v/>
      </c>
      <c r="LU35">
        <f>IF('計算A'!CH$106=1,GG35,1)</f>
        <v/>
      </c>
      <c r="LV35">
        <f>IF('計算A'!CI$106=1,GH35,1)</f>
        <v/>
      </c>
      <c r="LW35">
        <f>IF('計算A'!CJ$106=1,GI35,1)</f>
        <v/>
      </c>
      <c r="LX35">
        <f>IF('計算A'!CK$106=1,GJ35,1)</f>
        <v/>
      </c>
      <c r="LY35">
        <f>IF('計算A'!CL$106=1,GK35,1)</f>
        <v/>
      </c>
      <c r="LZ35">
        <f>IF('計算A'!CM$106=1,GL35,1)</f>
        <v/>
      </c>
      <c r="MA35">
        <f>IF('計算A'!CN$106=1,GM35,1)</f>
        <v/>
      </c>
      <c r="MB35">
        <f>IF('計算A'!CO$106=1,GN35,1)</f>
        <v/>
      </c>
      <c r="MC35">
        <f>IF('計算A'!CP$106=1,GO35,1)</f>
        <v/>
      </c>
      <c r="MD35">
        <f>IF('計算A'!CQ$106=1,GP35,1)</f>
        <v/>
      </c>
      <c r="ME35">
        <f>IF('計算A'!CR$106=1,GQ35,1)</f>
        <v/>
      </c>
      <c r="MF35">
        <f>IF('計算A'!CS$106=1,GR35,1)</f>
        <v/>
      </c>
      <c r="MG35">
        <f>IF('計算A'!CT$106=1,GS35,1)</f>
        <v/>
      </c>
      <c r="MH35">
        <f>IF('計算A'!CU$106=1,GT35,1)</f>
        <v/>
      </c>
      <c r="MI35">
        <f>IF('計算A'!CV$106=1,GU35,1)</f>
        <v/>
      </c>
      <c r="MJ35">
        <f>IF('計算A'!CW$106=1,GV35,1)</f>
        <v/>
      </c>
      <c r="MK35">
        <f>IF('計算A'!CX$106=1,GW35,1)</f>
        <v/>
      </c>
      <c r="ML35">
        <f>IF('計算A'!CY$106=1,GX35,1)</f>
        <v/>
      </c>
      <c r="MM35">
        <f>IF('計算A'!CZ$106=1,GY35,1)</f>
        <v/>
      </c>
      <c r="MN35">
        <f>IF('計算A'!DA$106=1,GZ35,1)</f>
        <v/>
      </c>
      <c r="MO35">
        <f>IF('計算A'!DB$106=1,HA35,1)</f>
        <v/>
      </c>
      <c r="MP35">
        <f>IF('計算A'!DC$106=1,HB35,1)</f>
        <v/>
      </c>
      <c r="MQ35">
        <f>IF('計算A'!DD$106=1,HC35,1)</f>
        <v/>
      </c>
      <c r="MR35">
        <f>IF('計算A'!DE$106=1,HD35,1)</f>
        <v/>
      </c>
      <c r="MS35">
        <f>IF('計算A'!DF$106=1,HE35,1)</f>
        <v/>
      </c>
      <c r="MT35">
        <f>IF('計算A'!DG$106=1,HF35,1)</f>
        <v/>
      </c>
      <c r="MU35">
        <f>IF('計算A'!DH$106=1,HG35,1)</f>
        <v/>
      </c>
      <c r="MV35">
        <f>IF('計算A'!DI$106=1,HH35,1)</f>
        <v/>
      </c>
      <c r="MW35">
        <f>IF('計算A'!DJ$106=1,HI35,1)</f>
        <v/>
      </c>
      <c r="MX35">
        <f>IF('計算A'!DK$106=1,HJ35,1)</f>
        <v/>
      </c>
      <c r="MY35">
        <f>IF('計算A'!DL$106=1,HK35,1)</f>
        <v/>
      </c>
      <c r="MZ35">
        <f>IF('計算A'!DM$106=1,HL35,1)</f>
        <v/>
      </c>
      <c r="NA35">
        <f>IF('計算A'!DN$106=1,HM35,1)</f>
        <v/>
      </c>
      <c r="NB35">
        <f>IF('計算A'!DO$106=1,HN35,1)</f>
        <v/>
      </c>
      <c r="NC35">
        <f>IF('計算A'!DP$106=1,HO35,1)</f>
        <v/>
      </c>
      <c r="ND35">
        <f>IF('計算A'!DQ$106=1,HP35,1)</f>
        <v/>
      </c>
      <c r="NE35">
        <f>IF('計算A'!DR$106=1,HQ35,1)</f>
        <v/>
      </c>
      <c r="NF35">
        <f>IF('計算A'!DS$106=1,HR35,1)</f>
        <v/>
      </c>
      <c r="NG35">
        <f>IF('計算A'!DT$106=1,HS35,1)</f>
        <v/>
      </c>
      <c r="NH35">
        <f>IF('計算A'!DU$106=1,HT35,1)</f>
        <v/>
      </c>
      <c r="NI35">
        <f>IF('計算A'!DV$106=1,HU35,1)</f>
        <v/>
      </c>
      <c r="NJ35">
        <f>IF('計算A'!DW$106=1,HV35,1)</f>
        <v/>
      </c>
      <c r="NK35">
        <f>IF('計算A'!DX$106=1,HW35,1)</f>
        <v/>
      </c>
      <c r="NL35">
        <f>IF('計算A'!DY$106=1,HX35,1)</f>
        <v/>
      </c>
      <c r="NM35">
        <f>IF('計算A'!DZ$106=1,HY35,1)</f>
        <v/>
      </c>
      <c r="NN35">
        <f>IF('計算A'!EA$106=1,HZ35,1)</f>
        <v/>
      </c>
      <c r="NO35">
        <f>IF('計算A'!EB$106=1,IA35,1)</f>
        <v/>
      </c>
      <c r="NP35">
        <f>IF('計算A'!EC$106=1,IB35,1)</f>
        <v/>
      </c>
      <c r="NQ35">
        <f>IF('計算A'!ED$106=1,IC35,1)</f>
        <v/>
      </c>
      <c r="NR35">
        <f>IF('計算A'!EE$106=1,ID35,1)</f>
        <v/>
      </c>
      <c r="NS35">
        <f>IF('計算A'!EF$106=1,IE35,1)</f>
        <v/>
      </c>
      <c r="NT35">
        <f>IF('計算A'!EG$106=1,IF35,1)</f>
        <v/>
      </c>
      <c r="NU35">
        <f>IF('計算A'!EH$106=1,IG35,1)</f>
        <v/>
      </c>
      <c r="NV35">
        <f>IF('計算A'!EI$106=1,IH35,1)</f>
        <v/>
      </c>
      <c r="NW35">
        <f>IF('計算A'!EJ$106=1,II35,1)</f>
        <v/>
      </c>
      <c r="NX35">
        <f>IF('計算A'!EK$106=1,IJ35,1)</f>
        <v/>
      </c>
      <c r="NY35">
        <f>IF('計算A'!EL$106=1,IK35,1)</f>
        <v/>
      </c>
      <c r="NZ35">
        <f>IF('計算A'!EM$106=1,IL35,1)</f>
        <v/>
      </c>
      <c r="OA35">
        <f>IF('計算A'!EN$106=1,IM35,1)</f>
        <v/>
      </c>
      <c r="OB35">
        <f>IF('計算A'!EO$106=1,IN35,1)</f>
        <v/>
      </c>
      <c r="OC35">
        <f>IF('計算A'!EP$106=1,IO35,1)</f>
        <v/>
      </c>
      <c r="OD35" t="n">
        <v>1</v>
      </c>
      <c r="OF35">
        <f>IF($B35=0,1000000,IF(INDEX('計算A'!$D$60:$EQ$104,$B35,1)*DB35=1,IF(AND($E35=2,IQ35=0),1000000,IF($I35&gt;0,IF(1=$J35,IF(OR(AND(1=$I35+1,OR($K35&lt;&gt;'計算A'!$A$3,'計算A'!$A$4=0)),AND(1=$I35-1,OR(1&lt;&gt;'計算A'!$A$3,'計算A'!$A$4=0))),0,IF(1=$K35,200000,ABS(1-$K35)*100)),100000+ABS(1-$J35)*1000+10)+'計算A'!D$5*50+IF(AND($E35=1,IQ35=0),25,0),INDEX('計算A'!D$110:D$114,$F35+1)+IF(AND($E35=1,IQ35=0),1000,0)+IF($H35=1,(IF('計算A'!D$117=1,INDEX('計算A'!E$10:E$54,$B35),0))*500,0)-IF(AND($L35=1,'計算A'!D$117=1,DC35=0),300,0))),1000000))</f>
        <v/>
      </c>
      <c r="OG35">
        <f>IF($B35=0,1000000,IF(INDEX('計算A'!$D$60:$EQ$104,$B35,2)*DC35=1,IF(AND($E35=2,IR35=0),1000000,IF($I35&gt;0,IF(1=$J35,IF(OR(AND(2=$I35+1,OR($K35&lt;&gt;'計算A'!$A$3,'計算A'!$A$4=0)),AND(2=$I35-1,OR(2&lt;&gt;'計算A'!$A$3,'計算A'!$A$4=0))),0,IF(2=$K35,200000,ABS(2-$K35)*100)),100000+ABS(1-$J35)*1000+20)+'計算A'!E$5*50+IF(AND($E35=1,IR35=0),25,0),INDEX('計算A'!E$110:E$114,$F35+1)+IF(AND($E35=1,IR35=0),1000,0)+IF($H35=1,(IF('計算A'!D$117=1,INDEX('計算A'!D$10:D$54,$B35),0)+IF('計算A'!E$117=1,INDEX('計算A'!F$10:F$54,$B35),0))*500,0)-IF(AND('計算A'!D$117=1,UB35&gt;0),300,0)-IF(AND($L35=1,'計算A'!E$117=1,DD35=0),300,0))),1000000))</f>
        <v/>
      </c>
      <c r="OH35">
        <f>IF($B35=0,1000000,IF(INDEX('計算A'!$D$60:$EQ$104,$B35,3)*DD35=1,IF(AND($E35=2,IS35=0),1000000,IF($I35&gt;0,IF(1=$J35,IF(OR(AND(3=$I35+1,OR($K35&lt;&gt;'計算A'!$A$3,'計算A'!$A$4=0)),AND(3=$I35-1,OR(3&lt;&gt;'計算A'!$A$3,'計算A'!$A$4=0))),0,IF(3=$K35,200000,ABS(3-$K35)*100)),100000+ABS(1-$J35)*1000+30)+'計算A'!F$5*50+IF(AND($E35=1,IS35=0),25,0),INDEX('計算A'!F$110:F$114,$F35+1)+IF(AND($E35=1,IS35=0),1000,0)+IF($H35=1,(IF('計算A'!E$117=1,INDEX('計算A'!E$10:E$54,$B35),0)+IF('計算A'!F$117=1,INDEX('計算A'!G$10:G$54,$B35),0))*500,0)-IF(AND('計算A'!E$117=1,UC35&gt;0),300,0)-IF(AND($L35=1,'計算A'!F$117=1,DE35=0),300,0))),1000000))</f>
        <v/>
      </c>
      <c r="OI35">
        <f>IF($B35=0,1000000,IF(INDEX('計算A'!$D$60:$EQ$104,$B35,4)*DE35=1,IF(AND($E35=2,IT35=0),1000000,IF($I35&gt;0,IF(1=$J35,IF(OR(AND(4=$I35+1,OR($K35&lt;&gt;'計算A'!$A$3,'計算A'!$A$4=0)),AND(4=$I35-1,OR(4&lt;&gt;'計算A'!$A$3,'計算A'!$A$4=0))),0,IF(4=$K35,200000,ABS(4-$K35)*100)),100000+ABS(1-$J35)*1000+40)+'計算A'!G$5*50+IF(AND($E35=1,IT35=0),25,0),INDEX('計算A'!G$110:G$114,$F35+1)+IF(AND($E35=1,IT35=0),1000,0)+IF($H35=1,(IF('計算A'!F$117=1,INDEX('計算A'!F$10:F$54,$B35),0)+IF('計算A'!G$117=1,INDEX('計算A'!H$10:H$54,$B35),0))*500,0)-IF(AND('計算A'!F$117=1,UD35&gt;0),300,0)-IF(AND($L35=1,'計算A'!G$117=1,DF35=0),300,0))),1000000))</f>
        <v/>
      </c>
      <c r="OJ35">
        <f>IF($B35=0,1000000,IF(INDEX('計算A'!$D$60:$EQ$104,$B35,5)*DF35=1,IF(AND($E35=2,IU35=0),1000000,IF($I35&gt;0,IF(1=$J35,IF(OR(AND(5=$I35+1,OR($K35&lt;&gt;'計算A'!$A$3,'計算A'!$A$4=0)),AND(5=$I35-1,OR(5&lt;&gt;'計算A'!$A$3,'計算A'!$A$4=0))),0,IF(5=$K35,200000,ABS(5-$K35)*100)),100000+ABS(1-$J35)*1000+50)+'計算A'!H$5*50+IF(AND($E35=1,IU35=0),25,0),INDEX('計算A'!H$110:H$114,$F35+1)+IF(AND($E35=1,IU35=0),1000,0)+IF($H35=1,(IF('計算A'!G$117=1,INDEX('計算A'!G$10:G$54,$B35),0)+IF('計算A'!H$117=1,INDEX('計算A'!I$10:I$54,$B35),0))*500,0)-IF(AND('計算A'!G$117=1,UE35&gt;0),300,0)-IF(AND($L35=1,'計算A'!H$117=1,DG35=0),300,0))),1000000))</f>
        <v/>
      </c>
      <c r="OK35">
        <f>IF($B35=0,1000000,IF(INDEX('計算A'!$D$60:$EQ$104,$B35,6)*DG35=1,IF(AND($E35=2,IV35=0),1000000,IF($I35&gt;0,IF(1=$J35,IF(OR(AND(6=$I35+1,OR($K35&lt;&gt;'計算A'!$A$3,'計算A'!$A$4=0)),AND(6=$I35-1,OR(6&lt;&gt;'計算A'!$A$3,'計算A'!$A$4=0))),0,IF(6=$K35,200000,ABS(6-$K35)*100)),100000+ABS(1-$J35)*1000+60)+'計算A'!I$5*50+IF(AND($E35=1,IV35=0),25,0),INDEX('計算A'!I$110:I$114,$F35+1)+IF(AND($E35=1,IV35=0),1000,0)+IF($H35=1,(IF('計算A'!H$117=1,INDEX('計算A'!H$10:H$54,$B35),0)+IF('計算A'!I$117=1,INDEX('計算A'!J$10:J$54,$B35),0))*500,0)-IF(AND('計算A'!H$117=1,UF35&gt;0),300,0)-IF(AND($L35=1,'計算A'!I$117=1,DH35=0),300,0))),1000000))</f>
        <v/>
      </c>
      <c r="OL35">
        <f>IF($B35=0,1000000,IF(INDEX('計算A'!$D$60:$EQ$104,$B35,7)*DH35=1,IF(AND($E35=2,IW35=0),1000000,IF($I35&gt;0,IF(1=$J35,IF(OR(AND(7=$I35+1,OR($K35&lt;&gt;'計算A'!$A$3,'計算A'!$A$4=0)),AND(7=$I35-1,OR(7&lt;&gt;'計算A'!$A$3,'計算A'!$A$4=0))),0,IF(7=$K35,200000,ABS(7-$K35)*100)),100000+ABS(1-$J35)*1000+70)+'計算A'!J$5*50+IF(AND($E35=1,IW35=0),25,0),INDEX('計算A'!J$110:J$114,$F35+1)+IF(AND($E35=1,IW35=0),1000,0)+IF($H35=1,(IF('計算A'!I$117=1,INDEX('計算A'!I$10:I$54,$B35),0)+IF('計算A'!J$117=1,INDEX('計算A'!K$10:K$54,$B35),0))*500,0)-IF(AND('計算A'!I$117=1,UG35&gt;0),300,0)-IF(AND($L35=1,'計算A'!J$117=1,DI35=0),300,0))),1000000))</f>
        <v/>
      </c>
      <c r="OM35">
        <f>IF($B35=0,1000000,IF(INDEX('計算A'!$D$60:$EQ$104,$B35,8)*DI35=1,IF(AND($E35=2,IX35=0),1000000,IF($I35&gt;0,IF(1=$J35,IF(OR(AND(8=$I35+1,OR($K35&lt;&gt;'計算A'!$A$3,'計算A'!$A$4=0)),AND(8=$I35-1,OR(8&lt;&gt;'計算A'!$A$3,'計算A'!$A$4=0))),0,IF(8=$K35,200000,ABS(8-$K35)*100)),100000+ABS(1-$J35)*1000+80)+'計算A'!K$5*50+IF(AND($E35=1,IX35=0),25,0),INDEX('計算A'!K$110:K$114,$F35+1)+IF(AND($E35=1,IX35=0),1000,0)+IF($H35=1,(IF('計算A'!J$117=1,INDEX('計算A'!J$10:J$54,$B35),0)+IF('計算A'!K$117=1,INDEX('計算A'!L$10:L$54,$B35),0))*500,0)-IF(AND('計算A'!J$117=1,UH35&gt;0),300,0)-IF(AND($L35=1,'計算A'!K$117=1,DJ35=0),300,0))),1000000))</f>
        <v/>
      </c>
      <c r="ON35">
        <f>IF($B35=0,1000000,IF(INDEX('計算A'!$D$60:$EQ$104,$B35,9)*DJ35=1,IF(AND($E35=2,IY35=0),1000000,IF($I35&gt;0,IF(1=$J35,IF(OR(AND(9=$I35+1,OR($K35&lt;&gt;'計算A'!$A$3,'計算A'!$A$4=0)),AND(9=$I35-1,OR(9&lt;&gt;'計算A'!$A$3,'計算A'!$A$4=0))),0,IF(9=$K35,200000,ABS(9-$K35)*100)),100000+ABS(1-$J35)*1000+90)+'計算A'!L$5*50+IF(AND($E35=1,IY35=0),25,0),INDEX('計算A'!L$110:L$114,$F35+1)+IF(AND($E35=1,IY35=0),1000,0)+IF($H35=1,(IF('計算A'!K$117=1,INDEX('計算A'!K$10:K$54,$B35),0)+IF('計算A'!L$117=1,INDEX('計算A'!M$10:M$54,$B35),0))*500,0)-IF(AND('計算A'!K$117=1,UI35&gt;0),300,0)-IF(AND($L35=1,'計算A'!L$117=1,DK35=0),300,0))),1000000))</f>
        <v/>
      </c>
      <c r="OO35">
        <f>IF($B35=0,1000000,IF(INDEX('計算A'!$D$60:$EQ$104,$B35,10)*DK35=1,IF(AND($E35=2,IZ35=0),1000000,IF($I35&gt;0,IF(1=$J35,IF(OR(AND(10=$I35+1,OR($K35&lt;&gt;'計算A'!$A$3,'計算A'!$A$4=0)),AND(10=$I35-1,OR(10&lt;&gt;'計算A'!$A$3,'計算A'!$A$4=0))),0,IF(10=$K35,200000,ABS(10-$K35)*100)),100000+ABS(1-$J35)*1000+100)+'計算A'!M$5*50+IF(AND($E35=1,IZ35=0),25,0),INDEX('計算A'!M$110:M$114,$F35+1)+IF(AND($E35=1,IZ35=0),1000,0)+IF($H35=1,(IF('計算A'!L$117=1,INDEX('計算A'!L$10:L$54,$B35),0)+IF('計算A'!M$117=1,INDEX('計算A'!N$10:N$54,$B35),0))*500,0)-IF(AND('計算A'!L$117=1,UJ35&gt;0),300,0)-IF(AND($L35=1,'計算A'!M$117=1,DL35=0),300,0))),1000000))</f>
        <v/>
      </c>
      <c r="OP35">
        <f>IF($B35=0,1000000,IF(INDEX('計算A'!$D$60:$EQ$104,$B35,11)*DL35=1,IF(AND($E35=2,JA35=0),1000000,IF($I35&gt;0,IF(1=$J35,IF(OR(AND(11=$I35+1,OR($K35&lt;&gt;'計算A'!$A$3,'計算A'!$A$4=0)),AND(11=$I35-1,OR(11&lt;&gt;'計算A'!$A$3,'計算A'!$A$4=0))),0,IF(11=$K35,200000,ABS(11-$K35)*100)),100000+ABS(1-$J35)*1000+110)+'計算A'!N$5*50+IF(AND($E35=1,JA35=0),25,0),INDEX('計算A'!N$110:N$114,$F35+1)+IF(AND($E35=1,JA35=0),1000,0)+IF($H35=1,(IF('計算A'!M$117=1,INDEX('計算A'!M$10:M$54,$B35),0)+IF('計算A'!N$117=1,INDEX('計算A'!O$10:O$54,$B35),0))*500,0)-IF(AND('計算A'!M$117=1,UK35&gt;0),300,0)-IF(AND($L35=1,'計算A'!N$117=1,DM35=0),300,0))),1000000))</f>
        <v/>
      </c>
      <c r="OQ35">
        <f>IF($B35=0,1000000,IF(INDEX('計算A'!$D$60:$EQ$104,$B35,12)*DM35=1,IF(AND($E35=2,JB35=0),1000000,IF($I35&gt;0,IF(1=$J35,IF(OR(AND(12=$I35+1,OR($K35&lt;&gt;'計算A'!$A$3,'計算A'!$A$4=0)),AND(12=$I35-1,OR(12&lt;&gt;'計算A'!$A$3,'計算A'!$A$4=0))),0,IF(12=$K35,200000,ABS(12-$K35)*100)),100000+ABS(1-$J35)*1000+120)+'計算A'!O$5*50+IF(AND($E35=1,JB35=0),25,0),INDEX('計算A'!O$110:O$114,$F35+1)+IF(AND($E35=1,JB35=0),1000,0)+IF($H35=1,(IF('計算A'!N$117=1,INDEX('計算A'!N$10:N$54,$B35),0)+IF('計算A'!O$117=1,INDEX('計算A'!P$10:P$54,$B35),0))*500,0)-IF(AND('計算A'!N$117=1,UL35&gt;0),300,0)-IF(AND($L35=1,'計算A'!O$117=1,DN35=0),300,0))),1000000))</f>
        <v/>
      </c>
      <c r="OR35">
        <f>IF($B35=0,1000000,IF(INDEX('計算A'!$D$60:$EQ$104,$B35,13)*DN35=1,IF(AND($E35=2,JC35=0),1000000,IF($I35&gt;0,IF(1=$J35,IF(OR(AND(13=$I35+1,OR($K35&lt;&gt;'計算A'!$A$3,'計算A'!$A$4=0)),AND(13=$I35-1,OR(13&lt;&gt;'計算A'!$A$3,'計算A'!$A$4=0))),0,IF(13=$K35,200000,ABS(13-$K35)*100)),100000+ABS(1-$J35)*1000+130)+'計算A'!P$5*50+IF(AND($E35=1,JC35=0),25,0),INDEX('計算A'!P$110:P$114,$F35+1)+IF(AND($E35=1,JC35=0),1000,0)+IF($H35=1,(IF('計算A'!O$117=1,INDEX('計算A'!O$10:O$54,$B35),0)+IF('計算A'!P$117=1,INDEX('計算A'!Q$10:Q$54,$B35),0))*500,0)-IF(AND('計算A'!O$117=1,UM35&gt;0),300,0)-IF(AND($L35=1,'計算A'!P$117=1,DO35=0),300,0))),1000000))</f>
        <v/>
      </c>
      <c r="OS35">
        <f>IF($B35=0,1000000,IF(INDEX('計算A'!$D$60:$EQ$104,$B35,14)*DO35=1,IF(AND($E35=2,JD35=0),1000000,IF($I35&gt;0,IF(1=$J35,IF(OR(AND(14=$I35+1,OR($K35&lt;&gt;'計算A'!$A$3,'計算A'!$A$4=0)),AND(14=$I35-1,OR(14&lt;&gt;'計算A'!$A$3,'計算A'!$A$4=0))),0,IF(14=$K35,200000,ABS(14-$K35)*100)),100000+ABS(1-$J35)*1000+140)+'計算A'!Q$5*50+IF(AND($E35=1,JD35=0),25,0),INDEX('計算A'!Q$110:Q$114,$F35+1)+IF(AND($E35=1,JD35=0),1000,0)+IF($H35=1,(IF('計算A'!P$117=1,INDEX('計算A'!P$10:P$54,$B35),0)+IF('計算A'!Q$117=1,INDEX('計算A'!R$10:R$54,$B35),0))*500,0)-IF(AND('計算A'!P$117=1,UN35&gt;0),300,0)-IF(AND($L35=1,'計算A'!Q$117=1,DP35=0),300,0))),1000000))</f>
        <v/>
      </c>
      <c r="OT35">
        <f>IF($B35=0,1000000,IF(INDEX('計算A'!$D$60:$EQ$104,$B35,15)*DP35=1,IF(AND($E35=2,JE35=0),1000000,IF($I35&gt;0,IF(1=$J35,IF(OR(AND(15=$I35+1,OR($K35&lt;&gt;'計算A'!$A$3,'計算A'!$A$4=0)),AND(15=$I35-1,OR(15&lt;&gt;'計算A'!$A$3,'計算A'!$A$4=0))),0,IF(15=$K35,200000,ABS(15-$K35)*100)),100000+ABS(1-$J35)*1000+150)+'計算A'!R$5*50+IF(AND($E35=1,JE35=0),25,0),INDEX('計算A'!R$110:R$114,$F35+1)+IF(AND($E35=1,JE35=0),1000,0)+IF($H35=1,(IF('計算A'!Q$117=1,INDEX('計算A'!Q$10:Q$54,$B35),0)+IF('計算A'!R$117=1,INDEX('計算A'!S$10:S$54,$B35),0))*500,0)-IF(AND('計算A'!Q$117=1,UO35&gt;0),300,0)-IF(AND($L35=1,'計算A'!R$117=1,DQ35=0),300,0))),1000000))</f>
        <v/>
      </c>
      <c r="OU35">
        <f>IF($B35=0,1000000,IF(INDEX('計算A'!$D$60:$EQ$104,$B35,16)*DQ35=1,IF(AND($E35=2,JF35=0),1000000,IF($I35&gt;0,IF(1=$J35,IF(OR(AND(16=$I35+1,OR($K35&lt;&gt;'計算A'!$A$3,'計算A'!$A$4=0)),AND(16=$I35-1,OR(16&lt;&gt;'計算A'!$A$3,'計算A'!$A$4=0))),0,IF(16=$K35,200000,ABS(16-$K35)*100)),100000+ABS(1-$J35)*1000+160)+'計算A'!S$5*50+IF(AND($E35=1,JF35=0),25,0),INDEX('計算A'!S$110:S$114,$F35+1)+IF(AND($E35=1,JF35=0),1000,0)+IF($H35=1,(IF('計算A'!R$117=1,INDEX('計算A'!R$10:R$54,$B35),0)+IF('計算A'!S$117=1,INDEX('計算A'!T$10:T$54,$B35),0))*500,0)-IF(AND('計算A'!R$117=1,UP35&gt;0),300,0)-IF(AND($L35=1,'計算A'!S$117=1,DR35=0),300,0))),1000000))</f>
        <v/>
      </c>
      <c r="OV35">
        <f>IF($B35=0,1000000,IF(INDEX('計算A'!$D$60:$EQ$104,$B35,17)*DR35=1,IF(AND($E35=2,JG35=0),1000000,IF($I35&gt;0,IF(1=$J35,IF(OR(AND(17=$I35+1,OR($K35&lt;&gt;'計算A'!$A$3,'計算A'!$A$4=0)),AND(17=$I35-1,OR(17&lt;&gt;'計算A'!$A$3,'計算A'!$A$4=0))),0,IF(17=$K35,200000,ABS(17-$K35)*100)),100000+ABS(1-$J35)*1000+170)+'計算A'!T$5*50+IF(AND($E35=1,JG35=0),25,0),INDEX('計算A'!T$110:T$114,$F35+1)+IF(AND($E35=1,JG35=0),1000,0)+IF($H35=1,(IF('計算A'!S$117=1,INDEX('計算A'!S$10:S$54,$B35),0)+IF('計算A'!T$117=1,INDEX('計算A'!U$10:U$54,$B35),0))*500,0)-IF(AND('計算A'!S$117=1,UQ35&gt;0),300,0)-IF(AND($L35=1,'計算A'!T$117=1,DS35=0),300,0))),1000000))</f>
        <v/>
      </c>
      <c r="OW35">
        <f>IF($B35=0,1000000,IF(INDEX('計算A'!$D$60:$EQ$104,$B35,18)*DS35=1,IF(AND($E35=2,JH35=0),1000000,IF($I35&gt;0,IF(1=$J35,IF(OR(AND(18=$I35+1,OR($K35&lt;&gt;'計算A'!$A$3,'計算A'!$A$4=0)),AND(18=$I35-1,OR(18&lt;&gt;'計算A'!$A$3,'計算A'!$A$4=0))),0,IF(18=$K35,200000,ABS(18-$K35)*100)),100000+ABS(1-$J35)*1000+180)+'計算A'!U$5*50+IF(AND($E35=1,JH35=0),25,0),INDEX('計算A'!U$110:U$114,$F35+1)+IF(AND($E35=1,JH35=0),1000,0)+IF($H35=1,(IF('計算A'!T$117=1,INDEX('計算A'!T$10:T$54,$B35),0)+IF('計算A'!U$117=1,INDEX('計算A'!V$10:V$54,$B35),0))*500,0)-IF(AND('計算A'!T$117=1,UR35&gt;0),300,0)-IF(AND($L35=1,'計算A'!U$117=1,DT35=0),300,0))),1000000))</f>
        <v/>
      </c>
      <c r="OX35">
        <f>IF($B35=0,1000000,IF(INDEX('計算A'!$D$60:$EQ$104,$B35,19)*DT35=1,IF(AND($E35=2,JI35=0),1000000,IF($I35&gt;0,IF(1=$J35,IF(OR(AND(19=$I35+1,OR($K35&lt;&gt;'計算A'!$A$3,'計算A'!$A$4=0)),AND(19=$I35-1,OR(19&lt;&gt;'計算A'!$A$3,'計算A'!$A$4=0))),0,IF(19=$K35,200000,ABS(19-$K35)*100)),100000+ABS(1-$J35)*1000+190)+'計算A'!V$5*50+IF(AND($E35=1,JI35=0),25,0),INDEX('計算A'!V$110:V$114,$F35+1)+IF(AND($E35=1,JI35=0),1000,0)+IF($H35=1,(IF('計算A'!U$117=1,INDEX('計算A'!U$10:U$54,$B35),0)+IF('計算A'!V$117=1,INDEX('計算A'!W$10:W$54,$B35),0))*500,0)-IF(AND('計算A'!U$117=1,US35&gt;0),300,0)-IF(AND($L35=1,'計算A'!V$117=1,DU35=0),300,0))),1000000))</f>
        <v/>
      </c>
      <c r="OY35">
        <f>IF($B35=0,1000000,IF(INDEX('計算A'!$D$60:$EQ$104,$B35,20)*DU35=1,IF(AND($E35=2,JJ35=0),1000000,IF($I35&gt;0,IF(1=$J35,IF(OR(AND(20=$I35+1,OR($K35&lt;&gt;'計算A'!$A$3,'計算A'!$A$4=0)),AND(20=$I35-1,OR(20&lt;&gt;'計算A'!$A$3,'計算A'!$A$4=0))),0,IF(20=$K35,200000,ABS(20-$K35)*100)),100000+ABS(1-$J35)*1000+200)+'計算A'!W$5*50+IF(AND($E35=1,JJ35=0),25,0),INDEX('計算A'!W$110:W$114,$F35+1)+IF(AND($E35=1,JJ35=0),1000,0)+IF($H35=1,(IF('計算A'!V$117=1,INDEX('計算A'!V$10:V$54,$B35),0)+IF('計算A'!W$117=1,INDEX('計算A'!X$10:X$54,$B35),0))*500,0)-IF(AND('計算A'!V$117=1,UT35&gt;0),300,0)-IF(AND($L35=1,'計算A'!W$117=1,DV35=0),300,0))),1000000))</f>
        <v/>
      </c>
      <c r="OZ35">
        <f>IF($B35=0,1000000,IF(INDEX('計算A'!$D$60:$EQ$104,$B35,21)*DV35=1,IF(AND($E35=2,JK35=0),1000000,IF($I35&gt;0,IF(1=$J35,IF(OR(AND(21=$I35+1,OR($K35&lt;&gt;'計算A'!$A$3,'計算A'!$A$4=0)),AND(21=$I35-1,OR(21&lt;&gt;'計算A'!$A$3,'計算A'!$A$4=0))),0,IF(21=$K35,200000,ABS(21-$K35)*100)),100000+ABS(1-$J35)*1000+210)+'計算A'!X$5*50+IF(AND($E35=1,JK35=0),25,0),INDEX('計算A'!X$110:X$114,$F35+1)+IF(AND($E35=1,JK35=0),1000,0)+IF($H35=1,(IF('計算A'!W$117=1,INDEX('計算A'!W$10:W$54,$B35),0)+IF('計算A'!X$117=1,INDEX('計算A'!Y$10:Y$54,$B35),0))*500,0)-IF(AND('計算A'!W$117=1,UU35&gt;0),300,0)-IF(AND($L35=1,'計算A'!X$117=1,DW35=0),300,0))),1000000))</f>
        <v/>
      </c>
      <c r="PA35">
        <f>IF($B35=0,1000000,IF(INDEX('計算A'!$D$60:$EQ$104,$B35,22)*DW35=1,IF(AND($E35=2,JL35=0),1000000,IF($I35&gt;0,IF(1=$J35,IF(OR(AND(22=$I35+1,OR($K35&lt;&gt;'計算A'!$A$3,'計算A'!$A$4=0)),AND(22=$I35-1,OR(22&lt;&gt;'計算A'!$A$3,'計算A'!$A$4=0))),0,IF(22=$K35,200000,ABS(22-$K35)*100)),100000+ABS(1-$J35)*1000+220)+'計算A'!Y$5*50+IF(AND($E35=1,JL35=0),25,0),INDEX('計算A'!Y$110:Y$114,$F35+1)+IF(AND($E35=1,JL35=0),1000,0)+IF($H35=1,(IF('計算A'!X$117=1,INDEX('計算A'!X$10:X$54,$B35),0)+IF('計算A'!Y$117=1,INDEX('計算A'!Z$10:Z$54,$B35),0))*500,0)-IF(AND('計算A'!X$117=1,UV35&gt;0),300,0)-IF(AND($L35=1,'計算A'!Y$117=1,DX35=0),300,0))),1000000))</f>
        <v/>
      </c>
      <c r="PB35">
        <f>IF($B35=0,1000000,IF(INDEX('計算A'!$D$60:$EQ$104,$B35,23)*DX35=1,IF(AND($E35=2,JM35=0),1000000,IF($I35&gt;0,IF(1=$J35,IF(OR(AND(23=$I35+1,OR($K35&lt;&gt;'計算A'!$A$3,'計算A'!$A$4=0)),AND(23=$I35-1,OR(23&lt;&gt;'計算A'!$A$3,'計算A'!$A$4=0))),0,IF(23=$K35,200000,ABS(23-$K35)*100)),100000+ABS(1-$J35)*1000+230)+'計算A'!Z$5*50+IF(AND($E35=1,JM35=0),25,0),INDEX('計算A'!Z$110:Z$114,$F35+1)+IF(AND($E35=1,JM35=0),1000,0)+IF($H35=1,(IF('計算A'!Y$117=1,INDEX('計算A'!Y$10:Y$54,$B35),0)+IF('計算A'!Z$117=1,INDEX('計算A'!AA$10:AA$54,$B35),0))*500,0)-IF(AND('計算A'!Y$117=1,UW35&gt;0),300,0)-IF(AND($L35=1,'計算A'!Z$117=1,DY35=0),300,0))),1000000))</f>
        <v/>
      </c>
      <c r="PC35">
        <f>IF($B35=0,1000000,IF(INDEX('計算A'!$D$60:$EQ$104,$B35,24)*DY35=1,IF(AND($E35=2,JN35=0),1000000,IF($I35&gt;0,IF(1=$J35,IF(OR(AND(24=$I35+1,OR($K35&lt;&gt;'計算A'!$A$3,'計算A'!$A$4=0)),AND(24=$I35-1,OR(24&lt;&gt;'計算A'!$A$3,'計算A'!$A$4=0))),0,IF(24=$K35,200000,ABS(24-$K35)*100)),100000+ABS(1-$J35)*1000+240)+'計算A'!AA$5*50+IF(AND($E35=1,JN35=0),25,0),INDEX('計算A'!AA$110:AA$114,$F35+1)+IF(AND($E35=1,JN35=0),1000,0)+IF($H35=1,(IF('計算A'!Z$117=1,INDEX('計算A'!Z$10:Z$54,$B35),0))*500,0)-IF(AND('計算A'!Z$117=1,UX35&gt;0),300,0))),1000000))</f>
        <v/>
      </c>
      <c r="PD35">
        <f>IF($B35=0,1000000,IF(INDEX('計算A'!$D$60:$EQ$104,$B35,25)*DZ35=1,IF(AND($E35=2,JO35=0),1000000,IF($I35&gt;0,IF(2=$J35,IF(OR(AND(25=$I35+1,OR($K35&lt;&gt;'計算A'!$A$3,'計算A'!$A$4=0)),AND(25=$I35-1,OR(1&lt;&gt;'計算A'!$A$3,'計算A'!$A$4=0))),0,IF(1=$K35,200000,ABS(1-$K35)*100)),100000+ABS(2-$J35)*1000+10)+'計算A'!AB$5*50+IF(AND($E35=1,JO35=0),25,0),INDEX('計算A'!AB$110:AB$114,$F35+1)+IF(AND($E35=1,JO35=0),1000,0)+IF($H35=1,(IF('計算A'!AB$117=1,INDEX('計算A'!AC$10:AC$54,$B35),0))*500,0)-IF(AND($L35=1,'計算A'!AB$117=1,EA35=0),300,0))),1000000))</f>
        <v/>
      </c>
      <c r="PE35">
        <f>IF($B35=0,1000000,IF(INDEX('計算A'!$D$60:$EQ$104,$B35,26)*EA35=1,IF(AND($E35=2,JP35=0),1000000,IF($I35&gt;0,IF(2=$J35,IF(OR(AND(26=$I35+1,OR($K35&lt;&gt;'計算A'!$A$3,'計算A'!$A$4=0)),AND(26=$I35-1,OR(2&lt;&gt;'計算A'!$A$3,'計算A'!$A$4=0))),0,IF(2=$K35,200000,ABS(2-$K35)*100)),100000+ABS(2-$J35)*1000+20)+'計算A'!AC$5*50+IF(AND($E35=1,JP35=0),25,0),INDEX('計算A'!AC$110:AC$114,$F35+1)+IF(AND($E35=1,JP35=0),1000,0)+IF($H35=1,(IF('計算A'!AB$117=1,INDEX('計算A'!AB$10:AB$54,$B35),0)+IF('計算A'!AC$117=1,INDEX('計算A'!AD$10:AD$54,$B35),0))*500,0)-IF(AND('計算A'!AB$117=1,UZ35&gt;0),300,0)-IF(AND($L35=1,'計算A'!AC$117=1,EB35=0),300,0))),1000000))</f>
        <v/>
      </c>
      <c r="PF35">
        <f>IF($B35=0,1000000,IF(INDEX('計算A'!$D$60:$EQ$104,$B35,27)*EB35=1,IF(AND($E35=2,JQ35=0),1000000,IF($I35&gt;0,IF(2=$J35,IF(OR(AND(27=$I35+1,OR($K35&lt;&gt;'計算A'!$A$3,'計算A'!$A$4=0)),AND(27=$I35-1,OR(3&lt;&gt;'計算A'!$A$3,'計算A'!$A$4=0))),0,IF(3=$K35,200000,ABS(3-$K35)*100)),100000+ABS(2-$J35)*1000+30)+'計算A'!AD$5*50+IF(AND($E35=1,JQ35=0),25,0),INDEX('計算A'!AD$110:AD$114,$F35+1)+IF(AND($E35=1,JQ35=0),1000,0)+IF($H35=1,(IF('計算A'!AC$117=1,INDEX('計算A'!AC$10:AC$54,$B35),0)+IF('計算A'!AD$117=1,INDEX('計算A'!AE$10:AE$54,$B35),0))*500,0)-IF(AND('計算A'!AC$117=1,VA35&gt;0),300,0)-IF(AND($L35=1,'計算A'!AD$117=1,EC35=0),300,0))),1000000))</f>
        <v/>
      </c>
      <c r="PG35">
        <f>IF($B35=0,1000000,IF(INDEX('計算A'!$D$60:$EQ$104,$B35,28)*EC35=1,IF(AND($E35=2,JR35=0),1000000,IF($I35&gt;0,IF(2=$J35,IF(OR(AND(28=$I35+1,OR($K35&lt;&gt;'計算A'!$A$3,'計算A'!$A$4=0)),AND(28=$I35-1,OR(4&lt;&gt;'計算A'!$A$3,'計算A'!$A$4=0))),0,IF(4=$K35,200000,ABS(4-$K35)*100)),100000+ABS(2-$J35)*1000+40)+'計算A'!AE$5*50+IF(AND($E35=1,JR35=0),25,0),INDEX('計算A'!AE$110:AE$114,$F35+1)+IF(AND($E35=1,JR35=0),1000,0)+IF($H35=1,(IF('計算A'!AD$117=1,INDEX('計算A'!AD$10:AD$54,$B35),0)+IF('計算A'!AE$117=1,INDEX('計算A'!AF$10:AF$54,$B35),0))*500,0)-IF(AND('計算A'!AD$117=1,VB35&gt;0),300,0)-IF(AND($L35=1,'計算A'!AE$117=1,ED35=0),300,0))),1000000))</f>
        <v/>
      </c>
      <c r="PH35">
        <f>IF($B35=0,1000000,IF(INDEX('計算A'!$D$60:$EQ$104,$B35,29)*ED35=1,IF(AND($E35=2,JS35=0),1000000,IF($I35&gt;0,IF(2=$J35,IF(OR(AND(29=$I35+1,OR($K35&lt;&gt;'計算A'!$A$3,'計算A'!$A$4=0)),AND(29=$I35-1,OR(5&lt;&gt;'計算A'!$A$3,'計算A'!$A$4=0))),0,IF(5=$K35,200000,ABS(5-$K35)*100)),100000+ABS(2-$J35)*1000+50)+'計算A'!AF$5*50+IF(AND($E35=1,JS35=0),25,0),INDEX('計算A'!AF$110:AF$114,$F35+1)+IF(AND($E35=1,JS35=0),1000,0)+IF($H35=1,(IF('計算A'!AE$117=1,INDEX('計算A'!AE$10:AE$54,$B35),0)+IF('計算A'!AF$117=1,INDEX('計算A'!AG$10:AG$54,$B35),0))*500,0)-IF(AND('計算A'!AE$117=1,VC35&gt;0),300,0)-IF(AND($L35=1,'計算A'!AF$117=1,EE35=0),300,0))),1000000))</f>
        <v/>
      </c>
      <c r="PI35">
        <f>IF($B35=0,1000000,IF(INDEX('計算A'!$D$60:$EQ$104,$B35,30)*EE35=1,IF(AND($E35=2,JT35=0),1000000,IF($I35&gt;0,IF(2=$J35,IF(OR(AND(30=$I35+1,OR($K35&lt;&gt;'計算A'!$A$3,'計算A'!$A$4=0)),AND(30=$I35-1,OR(6&lt;&gt;'計算A'!$A$3,'計算A'!$A$4=0))),0,IF(6=$K35,200000,ABS(6-$K35)*100)),100000+ABS(2-$J35)*1000+60)+'計算A'!AG$5*50+IF(AND($E35=1,JT35=0),25,0),INDEX('計算A'!AG$110:AG$114,$F35+1)+IF(AND($E35=1,JT35=0),1000,0)+IF($H35=1,(IF('計算A'!AF$117=1,INDEX('計算A'!AF$10:AF$54,$B35),0)+IF('計算A'!AG$117=1,INDEX('計算A'!AH$10:AH$54,$B35),0))*500,0)-IF(AND('計算A'!AF$117=1,VD35&gt;0),300,0)-IF(AND($L35=1,'計算A'!AG$117=1,EF35=0),300,0))),1000000))</f>
        <v/>
      </c>
      <c r="PJ35">
        <f>IF($B35=0,1000000,IF(INDEX('計算A'!$D$60:$EQ$104,$B35,31)*EF35=1,IF(AND($E35=2,JU35=0),1000000,IF($I35&gt;0,IF(2=$J35,IF(OR(AND(31=$I35+1,OR($K35&lt;&gt;'計算A'!$A$3,'計算A'!$A$4=0)),AND(31=$I35-1,OR(7&lt;&gt;'計算A'!$A$3,'計算A'!$A$4=0))),0,IF(7=$K35,200000,ABS(7-$K35)*100)),100000+ABS(2-$J35)*1000+70)+'計算A'!AH$5*50+IF(AND($E35=1,JU35=0),25,0),INDEX('計算A'!AH$110:AH$114,$F35+1)+IF(AND($E35=1,JU35=0),1000,0)+IF($H35=1,(IF('計算A'!AG$117=1,INDEX('計算A'!AG$10:AG$54,$B35),0)+IF('計算A'!AH$117=1,INDEX('計算A'!AI$10:AI$54,$B35),0))*500,0)-IF(AND('計算A'!AG$117=1,VE35&gt;0),300,0)-IF(AND($L35=1,'計算A'!AH$117=1,EG35=0),300,0))),1000000))</f>
        <v/>
      </c>
      <c r="PK35">
        <f>IF($B35=0,1000000,IF(INDEX('計算A'!$D$60:$EQ$104,$B35,32)*EG35=1,IF(AND($E35=2,JV35=0),1000000,IF($I35&gt;0,IF(2=$J35,IF(OR(AND(32=$I35+1,OR($K35&lt;&gt;'計算A'!$A$3,'計算A'!$A$4=0)),AND(32=$I35-1,OR(8&lt;&gt;'計算A'!$A$3,'計算A'!$A$4=0))),0,IF(8=$K35,200000,ABS(8-$K35)*100)),100000+ABS(2-$J35)*1000+80)+'計算A'!AI$5*50+IF(AND($E35=1,JV35=0),25,0),INDEX('計算A'!AI$110:AI$114,$F35+1)+IF(AND($E35=1,JV35=0),1000,0)+IF($H35=1,(IF('計算A'!AH$117=1,INDEX('計算A'!AH$10:AH$54,$B35),0)+IF('計算A'!AI$117=1,INDEX('計算A'!AJ$10:AJ$54,$B35),0))*500,0)-IF(AND('計算A'!AH$117=1,VF35&gt;0),300,0)-IF(AND($L35=1,'計算A'!AI$117=1,EH35=0),300,0))),1000000))</f>
        <v/>
      </c>
      <c r="PL35">
        <f>IF($B35=0,1000000,IF(INDEX('計算A'!$D$60:$EQ$104,$B35,33)*EH35=1,IF(AND($E35=2,JW35=0),1000000,IF($I35&gt;0,IF(2=$J35,IF(OR(AND(33=$I35+1,OR($K35&lt;&gt;'計算A'!$A$3,'計算A'!$A$4=0)),AND(33=$I35-1,OR(9&lt;&gt;'計算A'!$A$3,'計算A'!$A$4=0))),0,IF(9=$K35,200000,ABS(9-$K35)*100)),100000+ABS(2-$J35)*1000+90)+'計算A'!AJ$5*50+IF(AND($E35=1,JW35=0),25,0),INDEX('計算A'!AJ$110:AJ$114,$F35+1)+IF(AND($E35=1,JW35=0),1000,0)+IF($H35=1,(IF('計算A'!AI$117=1,INDEX('計算A'!AI$10:AI$54,$B35),0)+IF('計算A'!AJ$117=1,INDEX('計算A'!AK$10:AK$54,$B35),0))*500,0)-IF(AND('計算A'!AI$117=1,VG35&gt;0),300,0)-IF(AND($L35=1,'計算A'!AJ$117=1,EI35=0),300,0))),1000000))</f>
        <v/>
      </c>
      <c r="PM35">
        <f>IF($B35=0,1000000,IF(INDEX('計算A'!$D$60:$EQ$104,$B35,34)*EI35=1,IF(AND($E35=2,JX35=0),1000000,IF($I35&gt;0,IF(2=$J35,IF(OR(AND(34=$I35+1,OR($K35&lt;&gt;'計算A'!$A$3,'計算A'!$A$4=0)),AND(34=$I35-1,OR(10&lt;&gt;'計算A'!$A$3,'計算A'!$A$4=0))),0,IF(10=$K35,200000,ABS(10-$K35)*100)),100000+ABS(2-$J35)*1000+100)+'計算A'!AK$5*50+IF(AND($E35=1,JX35=0),25,0),INDEX('計算A'!AK$110:AK$114,$F35+1)+IF(AND($E35=1,JX35=0),1000,0)+IF($H35=1,(IF('計算A'!AJ$117=1,INDEX('計算A'!AJ$10:AJ$54,$B35),0)+IF('計算A'!AK$117=1,INDEX('計算A'!AL$10:AL$54,$B35),0))*500,0)-IF(AND('計算A'!AJ$117=1,VH35&gt;0),300,0)-IF(AND($L35=1,'計算A'!AK$117=1,EJ35=0),300,0))),1000000))</f>
        <v/>
      </c>
      <c r="PN35">
        <f>IF($B35=0,1000000,IF(INDEX('計算A'!$D$60:$EQ$104,$B35,35)*EJ35=1,IF(AND($E35=2,JY35=0),1000000,IF($I35&gt;0,IF(2=$J35,IF(OR(AND(35=$I35+1,OR($K35&lt;&gt;'計算A'!$A$3,'計算A'!$A$4=0)),AND(35=$I35-1,OR(11&lt;&gt;'計算A'!$A$3,'計算A'!$A$4=0))),0,IF(11=$K35,200000,ABS(11-$K35)*100)),100000+ABS(2-$J35)*1000+110)+'計算A'!AL$5*50+IF(AND($E35=1,JY35=0),25,0),INDEX('計算A'!AL$110:AL$114,$F35+1)+IF(AND($E35=1,JY35=0),1000,0)+IF($H35=1,(IF('計算A'!AK$117=1,INDEX('計算A'!AK$10:AK$54,$B35),0)+IF('計算A'!AL$117=1,INDEX('計算A'!AM$10:AM$54,$B35),0))*500,0)-IF(AND('計算A'!AK$117=1,VI35&gt;0),300,0)-IF(AND($L35=1,'計算A'!AL$117=1,EK35=0),300,0))),1000000))</f>
        <v/>
      </c>
      <c r="PO35">
        <f>IF($B35=0,1000000,IF(INDEX('計算A'!$D$60:$EQ$104,$B35,36)*EK35=1,IF(AND($E35=2,JZ35=0),1000000,IF($I35&gt;0,IF(2=$J35,IF(OR(AND(36=$I35+1,OR($K35&lt;&gt;'計算A'!$A$3,'計算A'!$A$4=0)),AND(36=$I35-1,OR(12&lt;&gt;'計算A'!$A$3,'計算A'!$A$4=0))),0,IF(12=$K35,200000,ABS(12-$K35)*100)),100000+ABS(2-$J35)*1000+120)+'計算A'!AM$5*50+IF(AND($E35=1,JZ35=0),25,0),INDEX('計算A'!AM$110:AM$114,$F35+1)+IF(AND($E35=1,JZ35=0),1000,0)+IF($H35=1,(IF('計算A'!AL$117=1,INDEX('計算A'!AL$10:AL$54,$B35),0)+IF('計算A'!AM$117=1,INDEX('計算A'!AN$10:AN$54,$B35),0))*500,0)-IF(AND('計算A'!AL$117=1,VJ35&gt;0),300,0)-IF(AND($L35=1,'計算A'!AM$117=1,EL35=0),300,0))),1000000))</f>
        <v/>
      </c>
      <c r="PP35">
        <f>IF($B35=0,1000000,IF(INDEX('計算A'!$D$60:$EQ$104,$B35,37)*EL35=1,IF(AND($E35=2,KA35=0),1000000,IF($I35&gt;0,IF(2=$J35,IF(OR(AND(37=$I35+1,OR($K35&lt;&gt;'計算A'!$A$3,'計算A'!$A$4=0)),AND(37=$I35-1,OR(13&lt;&gt;'計算A'!$A$3,'計算A'!$A$4=0))),0,IF(13=$K35,200000,ABS(13-$K35)*100)),100000+ABS(2-$J35)*1000+130)+'計算A'!AN$5*50+IF(AND($E35=1,KA35=0),25,0),INDEX('計算A'!AN$110:AN$114,$F35+1)+IF(AND($E35=1,KA35=0),1000,0)+IF($H35=1,(IF('計算A'!AM$117=1,INDEX('計算A'!AM$10:AM$54,$B35),0)+IF('計算A'!AN$117=1,INDEX('計算A'!AO$10:AO$54,$B35),0))*500,0)-IF(AND('計算A'!AM$117=1,VK35&gt;0),300,0)-IF(AND($L35=1,'計算A'!AN$117=1,EM35=0),300,0))),1000000))</f>
        <v/>
      </c>
      <c r="PQ35">
        <f>IF($B35=0,1000000,IF(INDEX('計算A'!$D$60:$EQ$104,$B35,38)*EM35=1,IF(AND($E35=2,KB35=0),1000000,IF($I35&gt;0,IF(2=$J35,IF(OR(AND(38=$I35+1,OR($K35&lt;&gt;'計算A'!$A$3,'計算A'!$A$4=0)),AND(38=$I35-1,OR(14&lt;&gt;'計算A'!$A$3,'計算A'!$A$4=0))),0,IF(14=$K35,200000,ABS(14-$K35)*100)),100000+ABS(2-$J35)*1000+140)+'計算A'!AO$5*50+IF(AND($E35=1,KB35=0),25,0),INDEX('計算A'!AO$110:AO$114,$F35+1)+IF(AND($E35=1,KB35=0),1000,0)+IF($H35=1,(IF('計算A'!AN$117=1,INDEX('計算A'!AN$10:AN$54,$B35),0)+IF('計算A'!AO$117=1,INDEX('計算A'!AP$10:AP$54,$B35),0))*500,0)-IF(AND('計算A'!AN$117=1,VL35&gt;0),300,0)-IF(AND($L35=1,'計算A'!AO$117=1,EN35=0),300,0))),1000000))</f>
        <v/>
      </c>
      <c r="PR35">
        <f>IF($B35=0,1000000,IF(INDEX('計算A'!$D$60:$EQ$104,$B35,39)*EN35=1,IF(AND($E35=2,KC35=0),1000000,IF($I35&gt;0,IF(2=$J35,IF(OR(AND(39=$I35+1,OR($K35&lt;&gt;'計算A'!$A$3,'計算A'!$A$4=0)),AND(39=$I35-1,OR(15&lt;&gt;'計算A'!$A$3,'計算A'!$A$4=0))),0,IF(15=$K35,200000,ABS(15-$K35)*100)),100000+ABS(2-$J35)*1000+150)+'計算A'!AP$5*50+IF(AND($E35=1,KC35=0),25,0),INDEX('計算A'!AP$110:AP$114,$F35+1)+IF(AND($E35=1,KC35=0),1000,0)+IF($H35=1,(IF('計算A'!AO$117=1,INDEX('計算A'!AO$10:AO$54,$B35),0)+IF('計算A'!AP$117=1,INDEX('計算A'!AQ$10:AQ$54,$B35),0))*500,0)-IF(AND('計算A'!AO$117=1,VM35&gt;0),300,0)-IF(AND($L35=1,'計算A'!AP$117=1,EO35=0),300,0))),1000000))</f>
        <v/>
      </c>
      <c r="PS35">
        <f>IF($B35=0,1000000,IF(INDEX('計算A'!$D$60:$EQ$104,$B35,40)*EO35=1,IF(AND($E35=2,KD35=0),1000000,IF($I35&gt;0,IF(2=$J35,IF(OR(AND(40=$I35+1,OR($K35&lt;&gt;'計算A'!$A$3,'計算A'!$A$4=0)),AND(40=$I35-1,OR(16&lt;&gt;'計算A'!$A$3,'計算A'!$A$4=0))),0,IF(16=$K35,200000,ABS(16-$K35)*100)),100000+ABS(2-$J35)*1000+160)+'計算A'!AQ$5*50+IF(AND($E35=1,KD35=0),25,0),INDEX('計算A'!AQ$110:AQ$114,$F35+1)+IF(AND($E35=1,KD35=0),1000,0)+IF($H35=1,(IF('計算A'!AP$117=1,INDEX('計算A'!AP$10:AP$54,$B35),0)+IF('計算A'!AQ$117=1,INDEX('計算A'!AR$10:AR$54,$B35),0))*500,0)-IF(AND('計算A'!AP$117=1,VN35&gt;0),300,0)-IF(AND($L35=1,'計算A'!AQ$117=1,EP35=0),300,0))),1000000))</f>
        <v/>
      </c>
      <c r="PT35">
        <f>IF($B35=0,1000000,IF(INDEX('計算A'!$D$60:$EQ$104,$B35,41)*EP35=1,IF(AND($E35=2,KE35=0),1000000,IF($I35&gt;0,IF(2=$J35,IF(OR(AND(41=$I35+1,OR($K35&lt;&gt;'計算A'!$A$3,'計算A'!$A$4=0)),AND(41=$I35-1,OR(17&lt;&gt;'計算A'!$A$3,'計算A'!$A$4=0))),0,IF(17=$K35,200000,ABS(17-$K35)*100)),100000+ABS(2-$J35)*1000+170)+'計算A'!AR$5*50+IF(AND($E35=1,KE35=0),25,0),INDEX('計算A'!AR$110:AR$114,$F35+1)+IF(AND($E35=1,KE35=0),1000,0)+IF($H35=1,(IF('計算A'!AQ$117=1,INDEX('計算A'!AQ$10:AQ$54,$B35),0)+IF('計算A'!AR$117=1,INDEX('計算A'!AS$10:AS$54,$B35),0))*500,0)-IF(AND('計算A'!AQ$117=1,VO35&gt;0),300,0)-IF(AND($L35=1,'計算A'!AR$117=1,EQ35=0),300,0))),1000000))</f>
        <v/>
      </c>
      <c r="PU35">
        <f>IF($B35=0,1000000,IF(INDEX('計算A'!$D$60:$EQ$104,$B35,42)*EQ35=1,IF(AND($E35=2,KF35=0),1000000,IF($I35&gt;0,IF(2=$J35,IF(OR(AND(42=$I35+1,OR($K35&lt;&gt;'計算A'!$A$3,'計算A'!$A$4=0)),AND(42=$I35-1,OR(18&lt;&gt;'計算A'!$A$3,'計算A'!$A$4=0))),0,IF(18=$K35,200000,ABS(18-$K35)*100)),100000+ABS(2-$J35)*1000+180)+'計算A'!AS$5*50+IF(AND($E35=1,KF35=0),25,0),INDEX('計算A'!AS$110:AS$114,$F35+1)+IF(AND($E35=1,KF35=0),1000,0)+IF($H35=1,(IF('計算A'!AR$117=1,INDEX('計算A'!AR$10:AR$54,$B35),0)+IF('計算A'!AS$117=1,INDEX('計算A'!AT$10:AT$54,$B35),0))*500,0)-IF(AND('計算A'!AR$117=1,VP35&gt;0),300,0)-IF(AND($L35=1,'計算A'!AS$117=1,ER35=0),300,0))),1000000))</f>
        <v/>
      </c>
      <c r="PV35">
        <f>IF($B35=0,1000000,IF(INDEX('計算A'!$D$60:$EQ$104,$B35,43)*ER35=1,IF(AND($E35=2,KG35=0),1000000,IF($I35&gt;0,IF(2=$J35,IF(OR(AND(43=$I35+1,OR($K35&lt;&gt;'計算A'!$A$3,'計算A'!$A$4=0)),AND(43=$I35-1,OR(19&lt;&gt;'計算A'!$A$3,'計算A'!$A$4=0))),0,IF(19=$K35,200000,ABS(19-$K35)*100)),100000+ABS(2-$J35)*1000+190)+'計算A'!AT$5*50+IF(AND($E35=1,KG35=0),25,0),INDEX('計算A'!AT$110:AT$114,$F35+1)+IF(AND($E35=1,KG35=0),1000,0)+IF($H35=1,(IF('計算A'!AS$117=1,INDEX('計算A'!AS$10:AS$54,$B35),0)+IF('計算A'!AT$117=1,INDEX('計算A'!AU$10:AU$54,$B35),0))*500,0)-IF(AND('計算A'!AS$117=1,VQ35&gt;0),300,0)-IF(AND($L35=1,'計算A'!AT$117=1,ES35=0),300,0))),1000000))</f>
        <v/>
      </c>
      <c r="PW35">
        <f>IF($B35=0,1000000,IF(INDEX('計算A'!$D$60:$EQ$104,$B35,44)*ES35=1,IF(AND($E35=2,KH35=0),1000000,IF($I35&gt;0,IF(2=$J35,IF(OR(AND(44=$I35+1,OR($K35&lt;&gt;'計算A'!$A$3,'計算A'!$A$4=0)),AND(44=$I35-1,OR(20&lt;&gt;'計算A'!$A$3,'計算A'!$A$4=0))),0,IF(20=$K35,200000,ABS(20-$K35)*100)),100000+ABS(2-$J35)*1000+200)+'計算A'!AU$5*50+IF(AND($E35=1,KH35=0),25,0),INDEX('計算A'!AU$110:AU$114,$F35+1)+IF(AND($E35=1,KH35=0),1000,0)+IF($H35=1,(IF('計算A'!AT$117=1,INDEX('計算A'!AT$10:AT$54,$B35),0)+IF('計算A'!AU$117=1,INDEX('計算A'!AV$10:AV$54,$B35),0))*500,0)-IF(AND('計算A'!AT$117=1,VR35&gt;0),300,0)-IF(AND($L35=1,'計算A'!AU$117=1,ET35=0),300,0))),1000000))</f>
        <v/>
      </c>
      <c r="PX35">
        <f>IF($B35=0,1000000,IF(INDEX('計算A'!$D$60:$EQ$104,$B35,45)*ET35=1,IF(AND($E35=2,KI35=0),1000000,IF($I35&gt;0,IF(2=$J35,IF(OR(AND(45=$I35+1,OR($K35&lt;&gt;'計算A'!$A$3,'計算A'!$A$4=0)),AND(45=$I35-1,OR(21&lt;&gt;'計算A'!$A$3,'計算A'!$A$4=0))),0,IF(21=$K35,200000,ABS(21-$K35)*100)),100000+ABS(2-$J35)*1000+210)+'計算A'!AV$5*50+IF(AND($E35=1,KI35=0),25,0),INDEX('計算A'!AV$110:AV$114,$F35+1)+IF(AND($E35=1,KI35=0),1000,0)+IF($H35=1,(IF('計算A'!AU$117=1,INDEX('計算A'!AU$10:AU$54,$B35),0)+IF('計算A'!AV$117=1,INDEX('計算A'!AW$10:AW$54,$B35),0))*500,0)-IF(AND('計算A'!AU$117=1,VS35&gt;0),300,0)-IF(AND($L35=1,'計算A'!AV$117=1,EU35=0),300,0))),1000000))</f>
        <v/>
      </c>
      <c r="PY35">
        <f>IF($B35=0,1000000,IF(INDEX('計算A'!$D$60:$EQ$104,$B35,46)*EU35=1,IF(AND($E35=2,KJ35=0),1000000,IF($I35&gt;0,IF(2=$J35,IF(OR(AND(46=$I35+1,OR($K35&lt;&gt;'計算A'!$A$3,'計算A'!$A$4=0)),AND(46=$I35-1,OR(22&lt;&gt;'計算A'!$A$3,'計算A'!$A$4=0))),0,IF(22=$K35,200000,ABS(22-$K35)*100)),100000+ABS(2-$J35)*1000+220)+'計算A'!AW$5*50+IF(AND($E35=1,KJ35=0),25,0),INDEX('計算A'!AW$110:AW$114,$F35+1)+IF(AND($E35=1,KJ35=0),1000,0)+IF($H35=1,(IF('計算A'!AV$117=1,INDEX('計算A'!AV$10:AV$54,$B35),0)+IF('計算A'!AW$117=1,INDEX('計算A'!AX$10:AX$54,$B35),0))*500,0)-IF(AND('計算A'!AV$117=1,VT35&gt;0),300,0)-IF(AND($L35=1,'計算A'!AW$117=1,EV35=0),300,0))),1000000))</f>
        <v/>
      </c>
      <c r="PZ35">
        <f>IF($B35=0,1000000,IF(INDEX('計算A'!$D$60:$EQ$104,$B35,47)*EV35=1,IF(AND($E35=2,KK35=0),1000000,IF($I35&gt;0,IF(2=$J35,IF(OR(AND(47=$I35+1,OR($K35&lt;&gt;'計算A'!$A$3,'計算A'!$A$4=0)),AND(47=$I35-1,OR(23&lt;&gt;'計算A'!$A$3,'計算A'!$A$4=0))),0,IF(23=$K35,200000,ABS(23-$K35)*100)),100000+ABS(2-$J35)*1000+230)+'計算A'!AX$5*50+IF(AND($E35=1,KK35=0),25,0),INDEX('計算A'!AX$110:AX$114,$F35+1)+IF(AND($E35=1,KK35=0),1000,0)+IF($H35=1,(IF('計算A'!AW$117=1,INDEX('計算A'!AW$10:AW$54,$B35),0)+IF('計算A'!AX$117=1,INDEX('計算A'!AY$10:AY$54,$B35),0))*500,0)-IF(AND('計算A'!AW$117=1,VU35&gt;0),300,0)-IF(AND($L35=1,'計算A'!AX$117=1,EW35=0),300,0))),1000000))</f>
        <v/>
      </c>
      <c r="QA35">
        <f>IF($B35=0,1000000,IF(INDEX('計算A'!$D$60:$EQ$104,$B35,48)*EW35=1,IF(AND($E35=2,KL35=0),1000000,IF($I35&gt;0,IF(2=$J35,IF(OR(AND(48=$I35+1,OR($K35&lt;&gt;'計算A'!$A$3,'計算A'!$A$4=0)),AND(48=$I35-1,OR(24&lt;&gt;'計算A'!$A$3,'計算A'!$A$4=0))),0,IF(24=$K35,200000,ABS(24-$K35)*100)),100000+ABS(2-$J35)*1000+240)+'計算A'!AY$5*50+IF(AND($E35=1,KL35=0),25,0),INDEX('計算A'!AY$110:AY$114,$F35+1)+IF(AND($E35=1,KL35=0),1000,0)+IF($H35=1,(IF('計算A'!AX$117=1,INDEX('計算A'!AX$10:AX$54,$B35),0))*500,0)-IF(AND('計算A'!AX$117=1,VV35&gt;0),300,0))),1000000))</f>
        <v/>
      </c>
      <c r="QB35">
        <f>IF($B35=0,1000000,IF(INDEX('計算A'!$D$60:$EQ$104,$B35,49)*EX35=1,IF(AND($E35=2,KM35=0),1000000,IF($I35&gt;0,IF(3=$J35,IF(OR(AND(49=$I35+1,OR($K35&lt;&gt;'計算A'!$A$3,'計算A'!$A$4=0)),AND(49=$I35-1,OR(1&lt;&gt;'計算A'!$A$3,'計算A'!$A$4=0))),0,IF(1=$K35,200000,ABS(1-$K35)*100)),100000+ABS(3-$J35)*1000+10)+'計算A'!AZ$5*50+IF(AND($E35=1,KM35=0),25,0),INDEX('計算A'!AZ$110:AZ$114,$F35+1)+IF(AND($E35=1,KM35=0),1000,0)+IF($H35=1,(IF('計算A'!AZ$117=1,INDEX('計算A'!BA$10:BA$54,$B35),0))*500,0)-IF(AND($L35=1,'計算A'!AZ$117=1,EY35=0),300,0))),1000000))</f>
        <v/>
      </c>
      <c r="QC35">
        <f>IF($B35=0,1000000,IF(INDEX('計算A'!$D$60:$EQ$104,$B35,50)*EY35=1,IF(AND($E35=2,KN35=0),1000000,IF($I35&gt;0,IF(3=$J35,IF(OR(AND(50=$I35+1,OR($K35&lt;&gt;'計算A'!$A$3,'計算A'!$A$4=0)),AND(50=$I35-1,OR(2&lt;&gt;'計算A'!$A$3,'計算A'!$A$4=0))),0,IF(2=$K35,200000,ABS(2-$K35)*100)),100000+ABS(3-$J35)*1000+20)+'計算A'!BA$5*50+IF(AND($E35=1,KN35=0),25,0),INDEX('計算A'!BA$110:BA$114,$F35+1)+IF(AND($E35=1,KN35=0),1000,0)+IF($H35=1,(IF('計算A'!AZ$117=1,INDEX('計算A'!AZ$10:AZ$54,$B35),0)+IF('計算A'!BA$117=1,INDEX('計算A'!BB$10:BB$54,$B35),0))*500,0)-IF(AND('計算A'!AZ$117=1,VX35&gt;0),300,0)-IF(AND($L35=1,'計算A'!BA$117=1,EZ35=0),300,0))),1000000))</f>
        <v/>
      </c>
      <c r="QD35">
        <f>IF($B35=0,1000000,IF(INDEX('計算A'!$D$60:$EQ$104,$B35,51)*EZ35=1,IF(AND($E35=2,KO35=0),1000000,IF($I35&gt;0,IF(3=$J35,IF(OR(AND(51=$I35+1,OR($K35&lt;&gt;'計算A'!$A$3,'計算A'!$A$4=0)),AND(51=$I35-1,OR(3&lt;&gt;'計算A'!$A$3,'計算A'!$A$4=0))),0,IF(3=$K35,200000,ABS(3-$K35)*100)),100000+ABS(3-$J35)*1000+30)+'計算A'!BB$5*50+IF(AND($E35=1,KO35=0),25,0),INDEX('計算A'!BB$110:BB$114,$F35+1)+IF(AND($E35=1,KO35=0),1000,0)+IF($H35=1,(IF('計算A'!BA$117=1,INDEX('計算A'!BA$10:BA$54,$B35),0)+IF('計算A'!BB$117=1,INDEX('計算A'!BC$10:BC$54,$B35),0))*500,0)-IF(AND('計算A'!BA$117=1,VY35&gt;0),300,0)-IF(AND($L35=1,'計算A'!BB$117=1,FA35=0),300,0))),1000000))</f>
        <v/>
      </c>
      <c r="QE35">
        <f>IF($B35=0,1000000,IF(INDEX('計算A'!$D$60:$EQ$104,$B35,52)*FA35=1,IF(AND($E35=2,KP35=0),1000000,IF($I35&gt;0,IF(3=$J35,IF(OR(AND(52=$I35+1,OR($K35&lt;&gt;'計算A'!$A$3,'計算A'!$A$4=0)),AND(52=$I35-1,OR(4&lt;&gt;'計算A'!$A$3,'計算A'!$A$4=0))),0,IF(4=$K35,200000,ABS(4-$K35)*100)),100000+ABS(3-$J35)*1000+40)+'計算A'!BC$5*50+IF(AND($E35=1,KP35=0),25,0),INDEX('計算A'!BC$110:BC$114,$F35+1)+IF(AND($E35=1,KP35=0),1000,0)+IF($H35=1,(IF('計算A'!BB$117=1,INDEX('計算A'!BB$10:BB$54,$B35),0)+IF('計算A'!BC$117=1,INDEX('計算A'!BD$10:BD$54,$B35),0))*500,0)-IF(AND('計算A'!BB$117=1,VZ35&gt;0),300,0)-IF(AND($L35=1,'計算A'!BC$117=1,FB35=0),300,0))),1000000))</f>
        <v/>
      </c>
      <c r="QF35">
        <f>IF($B35=0,1000000,IF(INDEX('計算A'!$D$60:$EQ$104,$B35,53)*FB35=1,IF(AND($E35=2,KQ35=0),1000000,IF($I35&gt;0,IF(3=$J35,IF(OR(AND(53=$I35+1,OR($K35&lt;&gt;'計算A'!$A$3,'計算A'!$A$4=0)),AND(53=$I35-1,OR(5&lt;&gt;'計算A'!$A$3,'計算A'!$A$4=0))),0,IF(5=$K35,200000,ABS(5-$K35)*100)),100000+ABS(3-$J35)*1000+50)+'計算A'!BD$5*50+IF(AND($E35=1,KQ35=0),25,0),INDEX('計算A'!BD$110:BD$114,$F35+1)+IF(AND($E35=1,KQ35=0),1000,0)+IF($H35=1,(IF('計算A'!BC$117=1,INDEX('計算A'!BC$10:BC$54,$B35),0)+IF('計算A'!BD$117=1,INDEX('計算A'!BE$10:BE$54,$B35),0))*500,0)-IF(AND('計算A'!BC$117=1,WA35&gt;0),300,0)-IF(AND($L35=1,'計算A'!BD$117=1,FC35=0),300,0))),1000000))</f>
        <v/>
      </c>
      <c r="QG35">
        <f>IF($B35=0,1000000,IF(INDEX('計算A'!$D$60:$EQ$104,$B35,54)*FC35=1,IF(AND($E35=2,KR35=0),1000000,IF($I35&gt;0,IF(3=$J35,IF(OR(AND(54=$I35+1,OR($K35&lt;&gt;'計算A'!$A$3,'計算A'!$A$4=0)),AND(54=$I35-1,OR(6&lt;&gt;'計算A'!$A$3,'計算A'!$A$4=0))),0,IF(6=$K35,200000,ABS(6-$K35)*100)),100000+ABS(3-$J35)*1000+60)+'計算A'!BE$5*50+IF(AND($E35=1,KR35=0),25,0),INDEX('計算A'!BE$110:BE$114,$F35+1)+IF(AND($E35=1,KR35=0),1000,0)+IF($H35=1,(IF('計算A'!BD$117=1,INDEX('計算A'!BD$10:BD$54,$B35),0)+IF('計算A'!BE$117=1,INDEX('計算A'!BF$10:BF$54,$B35),0))*500,0)-IF(AND('計算A'!BD$117=1,WB35&gt;0),300,0)-IF(AND($L35=1,'計算A'!BE$117=1,FD35=0),300,0))),1000000))</f>
        <v/>
      </c>
      <c r="QH35">
        <f>IF($B35=0,1000000,IF(INDEX('計算A'!$D$60:$EQ$104,$B35,55)*FD35=1,IF(AND($E35=2,KS35=0),1000000,IF($I35&gt;0,IF(3=$J35,IF(OR(AND(55=$I35+1,OR($K35&lt;&gt;'計算A'!$A$3,'計算A'!$A$4=0)),AND(55=$I35-1,OR(7&lt;&gt;'計算A'!$A$3,'計算A'!$A$4=0))),0,IF(7=$K35,200000,ABS(7-$K35)*100)),100000+ABS(3-$J35)*1000+70)+'計算A'!BF$5*50+IF(AND($E35=1,KS35=0),25,0),INDEX('計算A'!BF$110:BF$114,$F35+1)+IF(AND($E35=1,KS35=0),1000,0)+IF($H35=1,(IF('計算A'!BE$117=1,INDEX('計算A'!BE$10:BE$54,$B35),0)+IF('計算A'!BF$117=1,INDEX('計算A'!BG$10:BG$54,$B35),0))*500,0)-IF(AND('計算A'!BE$117=1,WC35&gt;0),300,0)-IF(AND($L35=1,'計算A'!BF$117=1,FE35=0),300,0))),1000000))</f>
        <v/>
      </c>
      <c r="QI35">
        <f>IF($B35=0,1000000,IF(INDEX('計算A'!$D$60:$EQ$104,$B35,56)*FE35=1,IF(AND($E35=2,KT35=0),1000000,IF($I35&gt;0,IF(3=$J35,IF(OR(AND(56=$I35+1,OR($K35&lt;&gt;'計算A'!$A$3,'計算A'!$A$4=0)),AND(56=$I35-1,OR(8&lt;&gt;'計算A'!$A$3,'計算A'!$A$4=0))),0,IF(8=$K35,200000,ABS(8-$K35)*100)),100000+ABS(3-$J35)*1000+80)+'計算A'!BG$5*50+IF(AND($E35=1,KT35=0),25,0),INDEX('計算A'!BG$110:BG$114,$F35+1)+IF(AND($E35=1,KT35=0),1000,0)+IF($H35=1,(IF('計算A'!BF$117=1,INDEX('計算A'!BF$10:BF$54,$B35),0)+IF('計算A'!BG$117=1,INDEX('計算A'!BH$10:BH$54,$B35),0))*500,0)-IF(AND('計算A'!BF$117=1,WD35&gt;0),300,0)-IF(AND($L35=1,'計算A'!BG$117=1,FF35=0),300,0))),1000000))</f>
        <v/>
      </c>
      <c r="QJ35">
        <f>IF($B35=0,1000000,IF(INDEX('計算A'!$D$60:$EQ$104,$B35,57)*FF35=1,IF(AND($E35=2,KU35=0),1000000,IF($I35&gt;0,IF(3=$J35,IF(OR(AND(57=$I35+1,OR($K35&lt;&gt;'計算A'!$A$3,'計算A'!$A$4=0)),AND(57=$I35-1,OR(9&lt;&gt;'計算A'!$A$3,'計算A'!$A$4=0))),0,IF(9=$K35,200000,ABS(9-$K35)*100)),100000+ABS(3-$J35)*1000+90)+'計算A'!BH$5*50+IF(AND($E35=1,KU35=0),25,0),INDEX('計算A'!BH$110:BH$114,$F35+1)+IF(AND($E35=1,KU35=0),1000,0)+IF($H35=1,(IF('計算A'!BG$117=1,INDEX('計算A'!BG$10:BG$54,$B35),0)+IF('計算A'!BH$117=1,INDEX('計算A'!BI$10:BI$54,$B35),0))*500,0)-IF(AND('計算A'!BG$117=1,WE35&gt;0),300,0)-IF(AND($L35=1,'計算A'!BH$117=1,FG35=0),300,0))),1000000))</f>
        <v/>
      </c>
      <c r="QK35">
        <f>IF($B35=0,1000000,IF(INDEX('計算A'!$D$60:$EQ$104,$B35,58)*FG35=1,IF(AND($E35=2,KV35=0),1000000,IF($I35&gt;0,IF(3=$J35,IF(OR(AND(58=$I35+1,OR($K35&lt;&gt;'計算A'!$A$3,'計算A'!$A$4=0)),AND(58=$I35-1,OR(10&lt;&gt;'計算A'!$A$3,'計算A'!$A$4=0))),0,IF(10=$K35,200000,ABS(10-$K35)*100)),100000+ABS(3-$J35)*1000+100)+'計算A'!BI$5*50+IF(AND($E35=1,KV35=0),25,0),INDEX('計算A'!BI$110:BI$114,$F35+1)+IF(AND($E35=1,KV35=0),1000,0)+IF($H35=1,(IF('計算A'!BH$117=1,INDEX('計算A'!BH$10:BH$54,$B35),0)+IF('計算A'!BI$117=1,INDEX('計算A'!BJ$10:BJ$54,$B35),0))*500,0)-IF(AND('計算A'!BH$117=1,WF35&gt;0),300,0)-IF(AND($L35=1,'計算A'!BI$117=1,FH35=0),300,0))),1000000))</f>
        <v/>
      </c>
      <c r="QL35">
        <f>IF($B35=0,1000000,IF(INDEX('計算A'!$D$60:$EQ$104,$B35,59)*FH35=1,IF(AND($E35=2,KW35=0),1000000,IF($I35&gt;0,IF(3=$J35,IF(OR(AND(59=$I35+1,OR($K35&lt;&gt;'計算A'!$A$3,'計算A'!$A$4=0)),AND(59=$I35-1,OR(11&lt;&gt;'計算A'!$A$3,'計算A'!$A$4=0))),0,IF(11=$K35,200000,ABS(11-$K35)*100)),100000+ABS(3-$J35)*1000+110)+'計算A'!BJ$5*50+IF(AND($E35=1,KW35=0),25,0),INDEX('計算A'!BJ$110:BJ$114,$F35+1)+IF(AND($E35=1,KW35=0),1000,0)+IF($H35=1,(IF('計算A'!BI$117=1,INDEX('計算A'!BI$10:BI$54,$B35),0)+IF('計算A'!BJ$117=1,INDEX('計算A'!BK$10:BK$54,$B35),0))*500,0)-IF(AND('計算A'!BI$117=1,WG35&gt;0),300,0)-IF(AND($L35=1,'計算A'!BJ$117=1,FI35=0),300,0))),1000000))</f>
        <v/>
      </c>
      <c r="QM35">
        <f>IF($B35=0,1000000,IF(INDEX('計算A'!$D$60:$EQ$104,$B35,60)*FI35=1,IF(AND($E35=2,KX35=0),1000000,IF($I35&gt;0,IF(3=$J35,IF(OR(AND(60=$I35+1,OR($K35&lt;&gt;'計算A'!$A$3,'計算A'!$A$4=0)),AND(60=$I35-1,OR(12&lt;&gt;'計算A'!$A$3,'計算A'!$A$4=0))),0,IF(12=$K35,200000,ABS(12-$K35)*100)),100000+ABS(3-$J35)*1000+120)+'計算A'!BK$5*50+IF(AND($E35=1,KX35=0),25,0),INDEX('計算A'!BK$110:BK$114,$F35+1)+IF(AND($E35=1,KX35=0),1000,0)+IF($H35=1,(IF('計算A'!BJ$117=1,INDEX('計算A'!BJ$10:BJ$54,$B35),0)+IF('計算A'!BK$117=1,INDEX('計算A'!BL$10:BL$54,$B35),0))*500,0)-IF(AND('計算A'!BJ$117=1,WH35&gt;0),300,0)-IF(AND($L35=1,'計算A'!BK$117=1,FJ35=0),300,0))),1000000))</f>
        <v/>
      </c>
      <c r="QN35">
        <f>IF($B35=0,1000000,IF(INDEX('計算A'!$D$60:$EQ$104,$B35,61)*FJ35=1,IF(AND($E35=2,KY35=0),1000000,IF($I35&gt;0,IF(3=$J35,IF(OR(AND(61=$I35+1,OR($K35&lt;&gt;'計算A'!$A$3,'計算A'!$A$4=0)),AND(61=$I35-1,OR(13&lt;&gt;'計算A'!$A$3,'計算A'!$A$4=0))),0,IF(13=$K35,200000,ABS(13-$K35)*100)),100000+ABS(3-$J35)*1000+130)+'計算A'!BL$5*50+IF(AND($E35=1,KY35=0),25,0),INDEX('計算A'!BL$110:BL$114,$F35+1)+IF(AND($E35=1,KY35=0),1000,0)+IF($H35=1,(IF('計算A'!BK$117=1,INDEX('計算A'!BK$10:BK$54,$B35),0)+IF('計算A'!BL$117=1,INDEX('計算A'!BM$10:BM$54,$B35),0))*500,0)-IF(AND('計算A'!BK$117=1,WI35&gt;0),300,0)-IF(AND($L35=1,'計算A'!BL$117=1,FK35=0),300,0))),1000000))</f>
        <v/>
      </c>
      <c r="QO35">
        <f>IF($B35=0,1000000,IF(INDEX('計算A'!$D$60:$EQ$104,$B35,62)*FK35=1,IF(AND($E35=2,KZ35=0),1000000,IF($I35&gt;0,IF(3=$J35,IF(OR(AND(62=$I35+1,OR($K35&lt;&gt;'計算A'!$A$3,'計算A'!$A$4=0)),AND(62=$I35-1,OR(14&lt;&gt;'計算A'!$A$3,'計算A'!$A$4=0))),0,IF(14=$K35,200000,ABS(14-$K35)*100)),100000+ABS(3-$J35)*1000+140)+'計算A'!BM$5*50+IF(AND($E35=1,KZ35=0),25,0),INDEX('計算A'!BM$110:BM$114,$F35+1)+IF(AND($E35=1,KZ35=0),1000,0)+IF($H35=1,(IF('計算A'!BL$117=1,INDEX('計算A'!BL$10:BL$54,$B35),0)+IF('計算A'!BM$117=1,INDEX('計算A'!BN$10:BN$54,$B35),0))*500,0)-IF(AND('計算A'!BL$117=1,WJ35&gt;0),300,0)-IF(AND($L35=1,'計算A'!BM$117=1,FL35=0),300,0))),1000000))</f>
        <v/>
      </c>
      <c r="QP35">
        <f>IF($B35=0,1000000,IF(INDEX('計算A'!$D$60:$EQ$104,$B35,63)*FL35=1,IF(AND($E35=2,LA35=0),1000000,IF($I35&gt;0,IF(3=$J35,IF(OR(AND(63=$I35+1,OR($K35&lt;&gt;'計算A'!$A$3,'計算A'!$A$4=0)),AND(63=$I35-1,OR(15&lt;&gt;'計算A'!$A$3,'計算A'!$A$4=0))),0,IF(15=$K35,200000,ABS(15-$K35)*100)),100000+ABS(3-$J35)*1000+150)+'計算A'!BN$5*50+IF(AND($E35=1,LA35=0),25,0),INDEX('計算A'!BN$110:BN$114,$F35+1)+IF(AND($E35=1,LA35=0),1000,0)+IF($H35=1,(IF('計算A'!BM$117=1,INDEX('計算A'!BM$10:BM$54,$B35),0)+IF('計算A'!BN$117=1,INDEX('計算A'!BO$10:BO$54,$B35),0))*500,0)-IF(AND('計算A'!BM$117=1,WK35&gt;0),300,0)-IF(AND($L35=1,'計算A'!BN$117=1,FM35=0),300,0))),1000000))</f>
        <v/>
      </c>
      <c r="QQ35">
        <f>IF($B35=0,1000000,IF(INDEX('計算A'!$D$60:$EQ$104,$B35,64)*FM35=1,IF(AND($E35=2,LB35=0),1000000,IF($I35&gt;0,IF(3=$J35,IF(OR(AND(64=$I35+1,OR($K35&lt;&gt;'計算A'!$A$3,'計算A'!$A$4=0)),AND(64=$I35-1,OR(16&lt;&gt;'計算A'!$A$3,'計算A'!$A$4=0))),0,IF(16=$K35,200000,ABS(16-$K35)*100)),100000+ABS(3-$J35)*1000+160)+'計算A'!BO$5*50+IF(AND($E35=1,LB35=0),25,0),INDEX('計算A'!BO$110:BO$114,$F35+1)+IF(AND($E35=1,LB35=0),1000,0)+IF($H35=1,(IF('計算A'!BN$117=1,INDEX('計算A'!BN$10:BN$54,$B35),0)+IF('計算A'!BO$117=1,INDEX('計算A'!BP$10:BP$54,$B35),0))*500,0)-IF(AND('計算A'!BN$117=1,WL35&gt;0),300,0)-IF(AND($L35=1,'計算A'!BO$117=1,FN35=0),300,0))),1000000))</f>
        <v/>
      </c>
      <c r="QR35">
        <f>IF($B35=0,1000000,IF(INDEX('計算A'!$D$60:$EQ$104,$B35,65)*FN35=1,IF(AND($E35=2,LC35=0),1000000,IF($I35&gt;0,IF(3=$J35,IF(OR(AND(65=$I35+1,OR($K35&lt;&gt;'計算A'!$A$3,'計算A'!$A$4=0)),AND(65=$I35-1,OR(17&lt;&gt;'計算A'!$A$3,'計算A'!$A$4=0))),0,IF(17=$K35,200000,ABS(17-$K35)*100)),100000+ABS(3-$J35)*1000+170)+'計算A'!BP$5*50+IF(AND($E35=1,LC35=0),25,0),INDEX('計算A'!BP$110:BP$114,$F35+1)+IF(AND($E35=1,LC35=0),1000,0)+IF($H35=1,(IF('計算A'!BO$117=1,INDEX('計算A'!BO$10:BO$54,$B35),0)+IF('計算A'!BP$117=1,INDEX('計算A'!BQ$10:BQ$54,$B35),0))*500,0)-IF(AND('計算A'!BO$117=1,WM35&gt;0),300,0)-IF(AND($L35=1,'計算A'!BP$117=1,FO35=0),300,0))),1000000))</f>
        <v/>
      </c>
      <c r="QS35">
        <f>IF($B35=0,1000000,IF(INDEX('計算A'!$D$60:$EQ$104,$B35,66)*FO35=1,IF(AND($E35=2,LD35=0),1000000,IF($I35&gt;0,IF(3=$J35,IF(OR(AND(66=$I35+1,OR($K35&lt;&gt;'計算A'!$A$3,'計算A'!$A$4=0)),AND(66=$I35-1,OR(18&lt;&gt;'計算A'!$A$3,'計算A'!$A$4=0))),0,IF(18=$K35,200000,ABS(18-$K35)*100)),100000+ABS(3-$J35)*1000+180)+'計算A'!BQ$5*50+IF(AND($E35=1,LD35=0),25,0),INDEX('計算A'!BQ$110:BQ$114,$F35+1)+IF(AND($E35=1,LD35=0),1000,0)+IF($H35=1,(IF('計算A'!BP$117=1,INDEX('計算A'!BP$10:BP$54,$B35),0)+IF('計算A'!BQ$117=1,INDEX('計算A'!BR$10:BR$54,$B35),0))*500,0)-IF(AND('計算A'!BP$117=1,WN35&gt;0),300,0)-IF(AND($L35=1,'計算A'!BQ$117=1,FP35=0),300,0))),1000000))</f>
        <v/>
      </c>
      <c r="QT35">
        <f>IF($B35=0,1000000,IF(INDEX('計算A'!$D$60:$EQ$104,$B35,67)*FP35=1,IF(AND($E35=2,LE35=0),1000000,IF($I35&gt;0,IF(3=$J35,IF(OR(AND(67=$I35+1,OR($K35&lt;&gt;'計算A'!$A$3,'計算A'!$A$4=0)),AND(67=$I35-1,OR(19&lt;&gt;'計算A'!$A$3,'計算A'!$A$4=0))),0,IF(19=$K35,200000,ABS(19-$K35)*100)),100000+ABS(3-$J35)*1000+190)+'計算A'!BR$5*50+IF(AND($E35=1,LE35=0),25,0),INDEX('計算A'!BR$110:BR$114,$F35+1)+IF(AND($E35=1,LE35=0),1000,0)+IF($H35=1,(IF('計算A'!BQ$117=1,INDEX('計算A'!BQ$10:BQ$54,$B35),0)+IF('計算A'!BR$117=1,INDEX('計算A'!BS$10:BS$54,$B35),0))*500,0)-IF(AND('計算A'!BQ$117=1,WO35&gt;0),300,0)-IF(AND($L35=1,'計算A'!BR$117=1,FQ35=0),300,0))),1000000))</f>
        <v/>
      </c>
      <c r="QU35">
        <f>IF($B35=0,1000000,IF(INDEX('計算A'!$D$60:$EQ$104,$B35,68)*FQ35=1,IF(AND($E35=2,LF35=0),1000000,IF($I35&gt;0,IF(3=$J35,IF(OR(AND(68=$I35+1,OR($K35&lt;&gt;'計算A'!$A$3,'計算A'!$A$4=0)),AND(68=$I35-1,OR(20&lt;&gt;'計算A'!$A$3,'計算A'!$A$4=0))),0,IF(20=$K35,200000,ABS(20-$K35)*100)),100000+ABS(3-$J35)*1000+200)+'計算A'!BS$5*50+IF(AND($E35=1,LF35=0),25,0),INDEX('計算A'!BS$110:BS$114,$F35+1)+IF(AND($E35=1,LF35=0),1000,0)+IF($H35=1,(IF('計算A'!BR$117=1,INDEX('計算A'!BR$10:BR$54,$B35),0)+IF('計算A'!BS$117=1,INDEX('計算A'!BT$10:BT$54,$B35),0))*500,0)-IF(AND('計算A'!BR$117=1,WP35&gt;0),300,0)-IF(AND($L35=1,'計算A'!BS$117=1,FR35=0),300,0))),1000000))</f>
        <v/>
      </c>
      <c r="QV35">
        <f>IF($B35=0,1000000,IF(INDEX('計算A'!$D$60:$EQ$104,$B35,69)*FR35=1,IF(AND($E35=2,LG35=0),1000000,IF($I35&gt;0,IF(3=$J35,IF(OR(AND(69=$I35+1,OR($K35&lt;&gt;'計算A'!$A$3,'計算A'!$A$4=0)),AND(69=$I35-1,OR(21&lt;&gt;'計算A'!$A$3,'計算A'!$A$4=0))),0,IF(21=$K35,200000,ABS(21-$K35)*100)),100000+ABS(3-$J35)*1000+210)+'計算A'!BT$5*50+IF(AND($E35=1,LG35=0),25,0),INDEX('計算A'!BT$110:BT$114,$F35+1)+IF(AND($E35=1,LG35=0),1000,0)+IF($H35=1,(IF('計算A'!BS$117=1,INDEX('計算A'!BS$10:BS$54,$B35),0)+IF('計算A'!BT$117=1,INDEX('計算A'!BU$10:BU$54,$B35),0))*500,0)-IF(AND('計算A'!BS$117=1,WQ35&gt;0),300,0)-IF(AND($L35=1,'計算A'!BT$117=1,FS35=0),300,0))),1000000))</f>
        <v/>
      </c>
      <c r="QW35">
        <f>IF($B35=0,1000000,IF(INDEX('計算A'!$D$60:$EQ$104,$B35,70)*FS35=1,IF(AND($E35=2,LH35=0),1000000,IF($I35&gt;0,IF(3=$J35,IF(OR(AND(70=$I35+1,OR($K35&lt;&gt;'計算A'!$A$3,'計算A'!$A$4=0)),AND(70=$I35-1,OR(22&lt;&gt;'計算A'!$A$3,'計算A'!$A$4=0))),0,IF(22=$K35,200000,ABS(22-$K35)*100)),100000+ABS(3-$J35)*1000+220)+'計算A'!BU$5*50+IF(AND($E35=1,LH35=0),25,0),INDEX('計算A'!BU$110:BU$114,$F35+1)+IF(AND($E35=1,LH35=0),1000,0)+IF($H35=1,(IF('計算A'!BT$117=1,INDEX('計算A'!BT$10:BT$54,$B35),0)+IF('計算A'!BU$117=1,INDEX('計算A'!BV$10:BV$54,$B35),0))*500,0)-IF(AND('計算A'!BT$117=1,WR35&gt;0),300,0)-IF(AND($L35=1,'計算A'!BU$117=1,FT35=0),300,0))),1000000))</f>
        <v/>
      </c>
      <c r="QX35">
        <f>IF($B35=0,1000000,IF(INDEX('計算A'!$D$60:$EQ$104,$B35,71)*FT35=1,IF(AND($E35=2,LI35=0),1000000,IF($I35&gt;0,IF(3=$J35,IF(OR(AND(71=$I35+1,OR($K35&lt;&gt;'計算A'!$A$3,'計算A'!$A$4=0)),AND(71=$I35-1,OR(23&lt;&gt;'計算A'!$A$3,'計算A'!$A$4=0))),0,IF(23=$K35,200000,ABS(23-$K35)*100)),100000+ABS(3-$J35)*1000+230)+'計算A'!BV$5*50+IF(AND($E35=1,LI35=0),25,0),INDEX('計算A'!BV$110:BV$114,$F35+1)+IF(AND($E35=1,LI35=0),1000,0)+IF($H35=1,(IF('計算A'!BU$117=1,INDEX('計算A'!BU$10:BU$54,$B35),0)+IF('計算A'!BV$117=1,INDEX('計算A'!BW$10:BW$54,$B35),0))*500,0)-IF(AND('計算A'!BU$117=1,WS35&gt;0),300,0)-IF(AND($L35=1,'計算A'!BV$117=1,FU35=0),300,0))),1000000))</f>
        <v/>
      </c>
      <c r="QY35">
        <f>IF($B35=0,1000000,IF(INDEX('計算A'!$D$60:$EQ$104,$B35,72)*FU35=1,IF(AND($E35=2,LJ35=0),1000000,IF($I35&gt;0,IF(3=$J35,IF(OR(AND(72=$I35+1,OR($K35&lt;&gt;'計算A'!$A$3,'計算A'!$A$4=0)),AND(72=$I35-1,OR(24&lt;&gt;'計算A'!$A$3,'計算A'!$A$4=0))),0,IF(24=$K35,200000,ABS(24-$K35)*100)),100000+ABS(3-$J35)*1000+240)+'計算A'!BW$5*50+IF(AND($E35=1,LJ35=0),25,0),INDEX('計算A'!BW$110:BW$114,$F35+1)+IF(AND($E35=1,LJ35=0),1000,0)+IF($H35=1,(IF('計算A'!BV$117=1,INDEX('計算A'!BV$10:BV$54,$B35),0))*500,0)-IF(AND('計算A'!BV$117=1,WT35&gt;0),300,0))),1000000))</f>
        <v/>
      </c>
      <c r="QZ35">
        <f>IF($B35=0,1000000,IF(INDEX('計算A'!$D$60:$EQ$104,$B35,73)*FV35=1,IF(AND($E35=2,LK35=0),1000000,IF($I35&gt;0,IF(4=$J35,IF(OR(AND(73=$I35+1,OR($K35&lt;&gt;'計算A'!$A$3,'計算A'!$A$4=0)),AND(73=$I35-1,OR(1&lt;&gt;'計算A'!$A$3,'計算A'!$A$4=0))),0,IF(1=$K35,200000,ABS(1-$K35)*100)),100000+ABS(4-$J35)*1000+10)+'計算A'!BX$5*50+IF(AND($E35=1,LK35=0),25,0),INDEX('計算A'!BX$110:BX$114,$F35+1)+IF(AND($E35=1,LK35=0),1000,0)+IF($H35=1,(IF('計算A'!BX$117=1,INDEX('計算A'!BY$10:BY$54,$B35),0))*500,0)-IF(AND($L35=1,'計算A'!BX$117=1,FW35=0),300,0))),1000000))</f>
        <v/>
      </c>
      <c r="RA35">
        <f>IF($B35=0,1000000,IF(INDEX('計算A'!$D$60:$EQ$104,$B35,74)*FW35=1,IF(AND($E35=2,LL35=0),1000000,IF($I35&gt;0,IF(4=$J35,IF(OR(AND(74=$I35+1,OR($K35&lt;&gt;'計算A'!$A$3,'計算A'!$A$4=0)),AND(74=$I35-1,OR(2&lt;&gt;'計算A'!$A$3,'計算A'!$A$4=0))),0,IF(2=$K35,200000,ABS(2-$K35)*100)),100000+ABS(4-$J35)*1000+20)+'計算A'!BY$5*50+IF(AND($E35=1,LL35=0),25,0),INDEX('計算A'!BY$110:BY$114,$F35+1)+IF(AND($E35=1,LL35=0),1000,0)+IF($H35=1,(IF('計算A'!BX$117=1,INDEX('計算A'!BX$10:BX$54,$B35),0)+IF('計算A'!BY$117=1,INDEX('計算A'!BZ$10:BZ$54,$B35),0))*500,0)-IF(AND('計算A'!BX$117=1,WV35&gt;0),300,0)-IF(AND($L35=1,'計算A'!BY$117=1,FX35=0),300,0))),1000000))</f>
        <v/>
      </c>
      <c r="RB35">
        <f>IF($B35=0,1000000,IF(INDEX('計算A'!$D$60:$EQ$104,$B35,75)*FX35=1,IF(AND($E35=2,LM35=0),1000000,IF($I35&gt;0,IF(4=$J35,IF(OR(AND(75=$I35+1,OR($K35&lt;&gt;'計算A'!$A$3,'計算A'!$A$4=0)),AND(75=$I35-1,OR(3&lt;&gt;'計算A'!$A$3,'計算A'!$A$4=0))),0,IF(3=$K35,200000,ABS(3-$K35)*100)),100000+ABS(4-$J35)*1000+30)+'計算A'!BZ$5*50+IF(AND($E35=1,LM35=0),25,0),INDEX('計算A'!BZ$110:BZ$114,$F35+1)+IF(AND($E35=1,LM35=0),1000,0)+IF($H35=1,(IF('計算A'!BY$117=1,INDEX('計算A'!BY$10:BY$54,$B35),0)+IF('計算A'!BZ$117=1,INDEX('計算A'!CA$10:CA$54,$B35),0))*500,0)-IF(AND('計算A'!BY$117=1,WW35&gt;0),300,0)-IF(AND($L35=1,'計算A'!BZ$117=1,FY35=0),300,0))),1000000))</f>
        <v/>
      </c>
      <c r="RC35">
        <f>IF($B35=0,1000000,IF(INDEX('計算A'!$D$60:$EQ$104,$B35,76)*FY35=1,IF(AND($E35=2,LN35=0),1000000,IF($I35&gt;0,IF(4=$J35,IF(OR(AND(76=$I35+1,OR($K35&lt;&gt;'計算A'!$A$3,'計算A'!$A$4=0)),AND(76=$I35-1,OR(4&lt;&gt;'計算A'!$A$3,'計算A'!$A$4=0))),0,IF(4=$K35,200000,ABS(4-$K35)*100)),100000+ABS(4-$J35)*1000+40)+'計算A'!CA$5*50+IF(AND($E35=1,LN35=0),25,0),INDEX('計算A'!CA$110:CA$114,$F35+1)+IF(AND($E35=1,LN35=0),1000,0)+IF($H35=1,(IF('計算A'!BZ$117=1,INDEX('計算A'!BZ$10:BZ$54,$B35),0)+IF('計算A'!CA$117=1,INDEX('計算A'!CB$10:CB$54,$B35),0))*500,0)-IF(AND('計算A'!BZ$117=1,WX35&gt;0),300,0)-IF(AND($L35=1,'計算A'!CA$117=1,FZ35=0),300,0))),1000000))</f>
        <v/>
      </c>
      <c r="RD35">
        <f>IF($B35=0,1000000,IF(INDEX('計算A'!$D$60:$EQ$104,$B35,77)*FZ35=1,IF(AND($E35=2,LO35=0),1000000,IF($I35&gt;0,IF(4=$J35,IF(OR(AND(77=$I35+1,OR($K35&lt;&gt;'計算A'!$A$3,'計算A'!$A$4=0)),AND(77=$I35-1,OR(5&lt;&gt;'計算A'!$A$3,'計算A'!$A$4=0))),0,IF(5=$K35,200000,ABS(5-$K35)*100)),100000+ABS(4-$J35)*1000+50)+'計算A'!CB$5*50+IF(AND($E35=1,LO35=0),25,0),INDEX('計算A'!CB$110:CB$114,$F35+1)+IF(AND($E35=1,LO35=0),1000,0)+IF($H35=1,(IF('計算A'!CA$117=1,INDEX('計算A'!CA$10:CA$54,$B35),0)+IF('計算A'!CB$117=1,INDEX('計算A'!CC$10:CC$54,$B35),0))*500,0)-IF(AND('計算A'!CA$117=1,WY35&gt;0),300,0)-IF(AND($L35=1,'計算A'!CB$117=1,GA35=0),300,0))),1000000))</f>
        <v/>
      </c>
      <c r="RE35">
        <f>IF($B35=0,1000000,IF(INDEX('計算A'!$D$60:$EQ$104,$B35,78)*GA35=1,IF(AND($E35=2,LP35=0),1000000,IF($I35&gt;0,IF(4=$J35,IF(OR(AND(78=$I35+1,OR($K35&lt;&gt;'計算A'!$A$3,'計算A'!$A$4=0)),AND(78=$I35-1,OR(6&lt;&gt;'計算A'!$A$3,'計算A'!$A$4=0))),0,IF(6=$K35,200000,ABS(6-$K35)*100)),100000+ABS(4-$J35)*1000+60)+'計算A'!CC$5*50+IF(AND($E35=1,LP35=0),25,0),INDEX('計算A'!CC$110:CC$114,$F35+1)+IF(AND($E35=1,LP35=0),1000,0)+IF($H35=1,(IF('計算A'!CB$117=1,INDEX('計算A'!CB$10:CB$54,$B35),0)+IF('計算A'!CC$117=1,INDEX('計算A'!CD$10:CD$54,$B35),0))*500,0)-IF(AND('計算A'!CB$117=1,WZ35&gt;0),300,0)-IF(AND($L35=1,'計算A'!CC$117=1,GB35=0),300,0))),1000000))</f>
        <v/>
      </c>
      <c r="RF35">
        <f>IF($B35=0,1000000,IF(INDEX('計算A'!$D$60:$EQ$104,$B35,79)*GB35=1,IF(AND($E35=2,LQ35=0),1000000,IF($I35&gt;0,IF(4=$J35,IF(OR(AND(79=$I35+1,OR($K35&lt;&gt;'計算A'!$A$3,'計算A'!$A$4=0)),AND(79=$I35-1,OR(7&lt;&gt;'計算A'!$A$3,'計算A'!$A$4=0))),0,IF(7=$K35,200000,ABS(7-$K35)*100)),100000+ABS(4-$J35)*1000+70)+'計算A'!CD$5*50+IF(AND($E35=1,LQ35=0),25,0),INDEX('計算A'!CD$110:CD$114,$F35+1)+IF(AND($E35=1,LQ35=0),1000,0)+IF($H35=1,(IF('計算A'!CC$117=1,INDEX('計算A'!CC$10:CC$54,$B35),0)+IF('計算A'!CD$117=1,INDEX('計算A'!CE$10:CE$54,$B35),0))*500,0)-IF(AND('計算A'!CC$117=1,XA35&gt;0),300,0)-IF(AND($L35=1,'計算A'!CD$117=1,GC35=0),300,0))),1000000))</f>
        <v/>
      </c>
      <c r="RG35">
        <f>IF($B35=0,1000000,IF(INDEX('計算A'!$D$60:$EQ$104,$B35,80)*GC35=1,IF(AND($E35=2,LR35=0),1000000,IF($I35&gt;0,IF(4=$J35,IF(OR(AND(80=$I35+1,OR($K35&lt;&gt;'計算A'!$A$3,'計算A'!$A$4=0)),AND(80=$I35-1,OR(8&lt;&gt;'計算A'!$A$3,'計算A'!$A$4=0))),0,IF(8=$K35,200000,ABS(8-$K35)*100)),100000+ABS(4-$J35)*1000+80)+'計算A'!CE$5*50+IF(AND($E35=1,LR35=0),25,0),INDEX('計算A'!CE$110:CE$114,$F35+1)+IF(AND($E35=1,LR35=0),1000,0)+IF($H35=1,(IF('計算A'!CD$117=1,INDEX('計算A'!CD$10:CD$54,$B35),0)+IF('計算A'!CE$117=1,INDEX('計算A'!CF$10:CF$54,$B35),0))*500,0)-IF(AND('計算A'!CD$117=1,XB35&gt;0),300,0)-IF(AND($L35=1,'計算A'!CE$117=1,GD35=0),300,0))),1000000))</f>
        <v/>
      </c>
      <c r="RH35">
        <f>IF($B35=0,1000000,IF(INDEX('計算A'!$D$60:$EQ$104,$B35,81)*GD35=1,IF(AND($E35=2,LS35=0),1000000,IF($I35&gt;0,IF(4=$J35,IF(OR(AND(81=$I35+1,OR($K35&lt;&gt;'計算A'!$A$3,'計算A'!$A$4=0)),AND(81=$I35-1,OR(9&lt;&gt;'計算A'!$A$3,'計算A'!$A$4=0))),0,IF(9=$K35,200000,ABS(9-$K35)*100)),100000+ABS(4-$J35)*1000+90)+'計算A'!CF$5*50+IF(AND($E35=1,LS35=0),25,0),INDEX('計算A'!CF$110:CF$114,$F35+1)+IF(AND($E35=1,LS35=0),1000,0)+IF($H35=1,(IF('計算A'!CE$117=1,INDEX('計算A'!CE$10:CE$54,$B35),0)+IF('計算A'!CF$117=1,INDEX('計算A'!CG$10:CG$54,$B35),0))*500,0)-IF(AND('計算A'!CE$117=1,XC35&gt;0),300,0)-IF(AND($L35=1,'計算A'!CF$117=1,GE35=0),300,0))),1000000))</f>
        <v/>
      </c>
      <c r="RI35">
        <f>IF($B35=0,1000000,IF(INDEX('計算A'!$D$60:$EQ$104,$B35,82)*GE35=1,IF(AND($E35=2,LT35=0),1000000,IF($I35&gt;0,IF(4=$J35,IF(OR(AND(82=$I35+1,OR($K35&lt;&gt;'計算A'!$A$3,'計算A'!$A$4=0)),AND(82=$I35-1,OR(10&lt;&gt;'計算A'!$A$3,'計算A'!$A$4=0))),0,IF(10=$K35,200000,ABS(10-$K35)*100)),100000+ABS(4-$J35)*1000+100)+'計算A'!CG$5*50+IF(AND($E35=1,LT35=0),25,0),INDEX('計算A'!CG$110:CG$114,$F35+1)+IF(AND($E35=1,LT35=0),1000,0)+IF($H35=1,(IF('計算A'!CF$117=1,INDEX('計算A'!CF$10:CF$54,$B35),0)+IF('計算A'!CG$117=1,INDEX('計算A'!CH$10:CH$54,$B35),0))*500,0)-IF(AND('計算A'!CF$117=1,XD35&gt;0),300,0)-IF(AND($L35=1,'計算A'!CG$117=1,GF35=0),300,0))),1000000))</f>
        <v/>
      </c>
      <c r="RJ35">
        <f>IF($B35=0,1000000,IF(INDEX('計算A'!$D$60:$EQ$104,$B35,83)*GF35=1,IF(AND($E35=2,LU35=0),1000000,IF($I35&gt;0,IF(4=$J35,IF(OR(AND(83=$I35+1,OR($K35&lt;&gt;'計算A'!$A$3,'計算A'!$A$4=0)),AND(83=$I35-1,OR(11&lt;&gt;'計算A'!$A$3,'計算A'!$A$4=0))),0,IF(11=$K35,200000,ABS(11-$K35)*100)),100000+ABS(4-$J35)*1000+110)+'計算A'!CH$5*50+IF(AND($E35=1,LU35=0),25,0),INDEX('計算A'!CH$110:CH$114,$F35+1)+IF(AND($E35=1,LU35=0),1000,0)+IF($H35=1,(IF('計算A'!CG$117=1,INDEX('計算A'!CG$10:CG$54,$B35),0)+IF('計算A'!CH$117=1,INDEX('計算A'!CI$10:CI$54,$B35),0))*500,0)-IF(AND('計算A'!CG$117=1,XE35&gt;0),300,0)-IF(AND($L35=1,'計算A'!CH$117=1,GG35=0),300,0))),1000000))</f>
        <v/>
      </c>
      <c r="RK35">
        <f>IF($B35=0,1000000,IF(INDEX('計算A'!$D$60:$EQ$104,$B35,84)*GG35=1,IF(AND($E35=2,LV35=0),1000000,IF($I35&gt;0,IF(4=$J35,IF(OR(AND(84=$I35+1,OR($K35&lt;&gt;'計算A'!$A$3,'計算A'!$A$4=0)),AND(84=$I35-1,OR(12&lt;&gt;'計算A'!$A$3,'計算A'!$A$4=0))),0,IF(12=$K35,200000,ABS(12-$K35)*100)),100000+ABS(4-$J35)*1000+120)+'計算A'!CI$5*50+IF(AND($E35=1,LV35=0),25,0),INDEX('計算A'!CI$110:CI$114,$F35+1)+IF(AND($E35=1,LV35=0),1000,0)+IF($H35=1,(IF('計算A'!CH$117=1,INDEX('計算A'!CH$10:CH$54,$B35),0)+IF('計算A'!CI$117=1,INDEX('計算A'!CJ$10:CJ$54,$B35),0))*500,0)-IF(AND('計算A'!CH$117=1,XF35&gt;0),300,0)-IF(AND($L35=1,'計算A'!CI$117=1,GH35=0),300,0))),1000000))</f>
        <v/>
      </c>
      <c r="RL35">
        <f>IF($B35=0,1000000,IF(INDEX('計算A'!$D$60:$EQ$104,$B35,85)*GH35=1,IF(AND($E35=2,LW35=0),1000000,IF($I35&gt;0,IF(4=$J35,IF(OR(AND(85=$I35+1,OR($K35&lt;&gt;'計算A'!$A$3,'計算A'!$A$4=0)),AND(85=$I35-1,OR(13&lt;&gt;'計算A'!$A$3,'計算A'!$A$4=0))),0,IF(13=$K35,200000,ABS(13-$K35)*100)),100000+ABS(4-$J35)*1000+130)+'計算A'!CJ$5*50+IF(AND($E35=1,LW35=0),25,0),INDEX('計算A'!CJ$110:CJ$114,$F35+1)+IF(AND($E35=1,LW35=0),1000,0)+IF($H35=1,(IF('計算A'!CI$117=1,INDEX('計算A'!CI$10:CI$54,$B35),0)+IF('計算A'!CJ$117=1,INDEX('計算A'!CK$10:CK$54,$B35),0))*500,0)-IF(AND('計算A'!CI$117=1,XG35&gt;0),300,0)-IF(AND($L35=1,'計算A'!CJ$117=1,GI35=0),300,0))),1000000))</f>
        <v/>
      </c>
      <c r="RM35">
        <f>IF($B35=0,1000000,IF(INDEX('計算A'!$D$60:$EQ$104,$B35,86)*GI35=1,IF(AND($E35=2,LX35=0),1000000,IF($I35&gt;0,IF(4=$J35,IF(OR(AND(86=$I35+1,OR($K35&lt;&gt;'計算A'!$A$3,'計算A'!$A$4=0)),AND(86=$I35-1,OR(14&lt;&gt;'計算A'!$A$3,'計算A'!$A$4=0))),0,IF(14=$K35,200000,ABS(14-$K35)*100)),100000+ABS(4-$J35)*1000+140)+'計算A'!CK$5*50+IF(AND($E35=1,LX35=0),25,0),INDEX('計算A'!CK$110:CK$114,$F35+1)+IF(AND($E35=1,LX35=0),1000,0)+IF($H35=1,(IF('計算A'!CJ$117=1,INDEX('計算A'!CJ$10:CJ$54,$B35),0)+IF('計算A'!CK$117=1,INDEX('計算A'!CL$10:CL$54,$B35),0))*500,0)-IF(AND('計算A'!CJ$117=1,XH35&gt;0),300,0)-IF(AND($L35=1,'計算A'!CK$117=1,GJ35=0),300,0))),1000000))</f>
        <v/>
      </c>
      <c r="RN35">
        <f>IF($B35=0,1000000,IF(INDEX('計算A'!$D$60:$EQ$104,$B35,87)*GJ35=1,IF(AND($E35=2,LY35=0),1000000,IF($I35&gt;0,IF(4=$J35,IF(OR(AND(87=$I35+1,OR($K35&lt;&gt;'計算A'!$A$3,'計算A'!$A$4=0)),AND(87=$I35-1,OR(15&lt;&gt;'計算A'!$A$3,'計算A'!$A$4=0))),0,IF(15=$K35,200000,ABS(15-$K35)*100)),100000+ABS(4-$J35)*1000+150)+'計算A'!CL$5*50+IF(AND($E35=1,LY35=0),25,0),INDEX('計算A'!CL$110:CL$114,$F35+1)+IF(AND($E35=1,LY35=0),1000,0)+IF($H35=1,(IF('計算A'!CK$117=1,INDEX('計算A'!CK$10:CK$54,$B35),0)+IF('計算A'!CL$117=1,INDEX('計算A'!CM$10:CM$54,$B35),0))*500,0)-IF(AND('計算A'!CK$117=1,XI35&gt;0),300,0)-IF(AND($L35=1,'計算A'!CL$117=1,GK35=0),300,0))),1000000))</f>
        <v/>
      </c>
      <c r="RO35">
        <f>IF($B35=0,1000000,IF(INDEX('計算A'!$D$60:$EQ$104,$B35,88)*GK35=1,IF(AND($E35=2,LZ35=0),1000000,IF($I35&gt;0,IF(4=$J35,IF(OR(AND(88=$I35+1,OR($K35&lt;&gt;'計算A'!$A$3,'計算A'!$A$4=0)),AND(88=$I35-1,OR(16&lt;&gt;'計算A'!$A$3,'計算A'!$A$4=0))),0,IF(16=$K35,200000,ABS(16-$K35)*100)),100000+ABS(4-$J35)*1000+160)+'計算A'!CM$5*50+IF(AND($E35=1,LZ35=0),25,0),INDEX('計算A'!CM$110:CM$114,$F35+1)+IF(AND($E35=1,LZ35=0),1000,0)+IF($H35=1,(IF('計算A'!CL$117=1,INDEX('計算A'!CL$10:CL$54,$B35),0)+IF('計算A'!CM$117=1,INDEX('計算A'!CN$10:CN$54,$B35),0))*500,0)-IF(AND('計算A'!CL$117=1,XJ35&gt;0),300,0)-IF(AND($L35=1,'計算A'!CM$117=1,GL35=0),300,0))),1000000))</f>
        <v/>
      </c>
      <c r="RP35">
        <f>IF($B35=0,1000000,IF(INDEX('計算A'!$D$60:$EQ$104,$B35,89)*GL35=1,IF(AND($E35=2,MA35=0),1000000,IF($I35&gt;0,IF(4=$J35,IF(OR(AND(89=$I35+1,OR($K35&lt;&gt;'計算A'!$A$3,'計算A'!$A$4=0)),AND(89=$I35-1,OR(17&lt;&gt;'計算A'!$A$3,'計算A'!$A$4=0))),0,IF(17=$K35,200000,ABS(17-$K35)*100)),100000+ABS(4-$J35)*1000+170)+'計算A'!CN$5*50+IF(AND($E35=1,MA35=0),25,0),INDEX('計算A'!CN$110:CN$114,$F35+1)+IF(AND($E35=1,MA35=0),1000,0)+IF($H35=1,(IF('計算A'!CM$117=1,INDEX('計算A'!CM$10:CM$54,$B35),0)+IF('計算A'!CN$117=1,INDEX('計算A'!CO$10:CO$54,$B35),0))*500,0)-IF(AND('計算A'!CM$117=1,XK35&gt;0),300,0)-IF(AND($L35=1,'計算A'!CN$117=1,GM35=0),300,0))),1000000))</f>
        <v/>
      </c>
      <c r="RQ35">
        <f>IF($B35=0,1000000,IF(INDEX('計算A'!$D$60:$EQ$104,$B35,90)*GM35=1,IF(AND($E35=2,MB35=0),1000000,IF($I35&gt;0,IF(4=$J35,IF(OR(AND(90=$I35+1,OR($K35&lt;&gt;'計算A'!$A$3,'計算A'!$A$4=0)),AND(90=$I35-1,OR(18&lt;&gt;'計算A'!$A$3,'計算A'!$A$4=0))),0,IF(18=$K35,200000,ABS(18-$K35)*100)),100000+ABS(4-$J35)*1000+180)+'計算A'!CO$5*50+IF(AND($E35=1,MB35=0),25,0),INDEX('計算A'!CO$110:CO$114,$F35+1)+IF(AND($E35=1,MB35=0),1000,0)+IF($H35=1,(IF('計算A'!CN$117=1,INDEX('計算A'!CN$10:CN$54,$B35),0)+IF('計算A'!CO$117=1,INDEX('計算A'!CP$10:CP$54,$B35),0))*500,0)-IF(AND('計算A'!CN$117=1,XL35&gt;0),300,0)-IF(AND($L35=1,'計算A'!CO$117=1,GN35=0),300,0))),1000000))</f>
        <v/>
      </c>
      <c r="RR35">
        <f>IF($B35=0,1000000,IF(INDEX('計算A'!$D$60:$EQ$104,$B35,91)*GN35=1,IF(AND($E35=2,MC35=0),1000000,IF($I35&gt;0,IF(4=$J35,IF(OR(AND(91=$I35+1,OR($K35&lt;&gt;'計算A'!$A$3,'計算A'!$A$4=0)),AND(91=$I35-1,OR(19&lt;&gt;'計算A'!$A$3,'計算A'!$A$4=0))),0,IF(19=$K35,200000,ABS(19-$K35)*100)),100000+ABS(4-$J35)*1000+190)+'計算A'!CP$5*50+IF(AND($E35=1,MC35=0),25,0),INDEX('計算A'!CP$110:CP$114,$F35+1)+IF(AND($E35=1,MC35=0),1000,0)+IF($H35=1,(IF('計算A'!CO$117=1,INDEX('計算A'!CO$10:CO$54,$B35),0)+IF('計算A'!CP$117=1,INDEX('計算A'!CQ$10:CQ$54,$B35),0))*500,0)-IF(AND('計算A'!CO$117=1,XM35&gt;0),300,0)-IF(AND($L35=1,'計算A'!CP$117=1,GO35=0),300,0))),1000000))</f>
        <v/>
      </c>
      <c r="RS35">
        <f>IF($B35=0,1000000,IF(INDEX('計算A'!$D$60:$EQ$104,$B35,92)*GO35=1,IF(AND($E35=2,MD35=0),1000000,IF($I35&gt;0,IF(4=$J35,IF(OR(AND(92=$I35+1,OR($K35&lt;&gt;'計算A'!$A$3,'計算A'!$A$4=0)),AND(92=$I35-1,OR(20&lt;&gt;'計算A'!$A$3,'計算A'!$A$4=0))),0,IF(20=$K35,200000,ABS(20-$K35)*100)),100000+ABS(4-$J35)*1000+200)+'計算A'!CQ$5*50+IF(AND($E35=1,MD35=0),25,0),INDEX('計算A'!CQ$110:CQ$114,$F35+1)+IF(AND($E35=1,MD35=0),1000,0)+IF($H35=1,(IF('計算A'!CP$117=1,INDEX('計算A'!CP$10:CP$54,$B35),0)+IF('計算A'!CQ$117=1,INDEX('計算A'!CR$10:CR$54,$B35),0))*500,0)-IF(AND('計算A'!CP$117=1,XN35&gt;0),300,0)-IF(AND($L35=1,'計算A'!CQ$117=1,GP35=0),300,0))),1000000))</f>
        <v/>
      </c>
      <c r="RT35">
        <f>IF($B35=0,1000000,IF(INDEX('計算A'!$D$60:$EQ$104,$B35,93)*GP35=1,IF(AND($E35=2,ME35=0),1000000,IF($I35&gt;0,IF(4=$J35,IF(OR(AND(93=$I35+1,OR($K35&lt;&gt;'計算A'!$A$3,'計算A'!$A$4=0)),AND(93=$I35-1,OR(21&lt;&gt;'計算A'!$A$3,'計算A'!$A$4=0))),0,IF(21=$K35,200000,ABS(21-$K35)*100)),100000+ABS(4-$J35)*1000+210)+'計算A'!CR$5*50+IF(AND($E35=1,ME35=0),25,0),INDEX('計算A'!CR$110:CR$114,$F35+1)+IF(AND($E35=1,ME35=0),1000,0)+IF($H35=1,(IF('計算A'!CQ$117=1,INDEX('計算A'!CQ$10:CQ$54,$B35),0)+IF('計算A'!CR$117=1,INDEX('計算A'!CS$10:CS$54,$B35),0))*500,0)-IF(AND('計算A'!CQ$117=1,XO35&gt;0),300,0)-IF(AND($L35=1,'計算A'!CR$117=1,GQ35=0),300,0))),1000000))</f>
        <v/>
      </c>
      <c r="RU35">
        <f>IF($B35=0,1000000,IF(INDEX('計算A'!$D$60:$EQ$104,$B35,94)*GQ35=1,IF(AND($E35=2,MF35=0),1000000,IF($I35&gt;0,IF(4=$J35,IF(OR(AND(94=$I35+1,OR($K35&lt;&gt;'計算A'!$A$3,'計算A'!$A$4=0)),AND(94=$I35-1,OR(22&lt;&gt;'計算A'!$A$3,'計算A'!$A$4=0))),0,IF(22=$K35,200000,ABS(22-$K35)*100)),100000+ABS(4-$J35)*1000+220)+'計算A'!CS$5*50+IF(AND($E35=1,MF35=0),25,0),INDEX('計算A'!CS$110:CS$114,$F35+1)+IF(AND($E35=1,MF35=0),1000,0)+IF($H35=1,(IF('計算A'!CR$117=1,INDEX('計算A'!CR$10:CR$54,$B35),0)+IF('計算A'!CS$117=1,INDEX('計算A'!CT$10:CT$54,$B35),0))*500,0)-IF(AND('計算A'!CR$117=1,XP35&gt;0),300,0)-IF(AND($L35=1,'計算A'!CS$117=1,GR35=0),300,0))),1000000))</f>
        <v/>
      </c>
      <c r="RV35">
        <f>IF($B35=0,1000000,IF(INDEX('計算A'!$D$60:$EQ$104,$B35,95)*GR35=1,IF(AND($E35=2,MG35=0),1000000,IF($I35&gt;0,IF(4=$J35,IF(OR(AND(95=$I35+1,OR($K35&lt;&gt;'計算A'!$A$3,'計算A'!$A$4=0)),AND(95=$I35-1,OR(23&lt;&gt;'計算A'!$A$3,'計算A'!$A$4=0))),0,IF(23=$K35,200000,ABS(23-$K35)*100)),100000+ABS(4-$J35)*1000+230)+'計算A'!CT$5*50+IF(AND($E35=1,MG35=0),25,0),INDEX('計算A'!CT$110:CT$114,$F35+1)+IF(AND($E35=1,MG35=0),1000,0)+IF($H35=1,(IF('計算A'!CS$117=1,INDEX('計算A'!CS$10:CS$54,$B35),0)+IF('計算A'!CT$117=1,INDEX('計算A'!CU$10:CU$54,$B35),0))*500,0)-IF(AND('計算A'!CS$117=1,XQ35&gt;0),300,0)-IF(AND($L35=1,'計算A'!CT$117=1,GS35=0),300,0))),1000000))</f>
        <v/>
      </c>
      <c r="RW35">
        <f>IF($B35=0,1000000,IF(INDEX('計算A'!$D$60:$EQ$104,$B35,96)*GS35=1,IF(AND($E35=2,MH35=0),1000000,IF($I35&gt;0,IF(4=$J35,IF(OR(AND(96=$I35+1,OR($K35&lt;&gt;'計算A'!$A$3,'計算A'!$A$4=0)),AND(96=$I35-1,OR(24&lt;&gt;'計算A'!$A$3,'計算A'!$A$4=0))),0,IF(24=$K35,200000,ABS(24-$K35)*100)),100000+ABS(4-$J35)*1000+240)+'計算A'!CU$5*50+IF(AND($E35=1,MH35=0),25,0),INDEX('計算A'!CU$110:CU$114,$F35+1)+IF(AND($E35=1,MH35=0),1000,0)+IF($H35=1,(IF('計算A'!CT$117=1,INDEX('計算A'!CT$10:CT$54,$B35),0))*500,0)-IF(AND('計算A'!CT$117=1,XR35&gt;0),300,0))),1000000))</f>
        <v/>
      </c>
      <c r="RX35">
        <f>IF($B35=0,1000000,IF(INDEX('計算A'!$D$60:$EQ$104,$B35,97)*GT35=1,IF(AND($E35=2,MI35=0),1000000,IF($I35&gt;0,IF(5=$J35,IF(OR(AND(97=$I35+1,OR($K35&lt;&gt;'計算A'!$A$3,'計算A'!$A$4=0)),AND(97=$I35-1,OR(1&lt;&gt;'計算A'!$A$3,'計算A'!$A$4=0))),0,IF(1=$K35,200000,ABS(1-$K35)*100)),100000+ABS(5-$J35)*1000+10)+'計算A'!CV$5*50+IF(AND($E35=1,MI35=0),25,0),INDEX('計算A'!CV$110:CV$114,$F35+1)+IF(AND($E35=1,MI35=0),1000,0)+IF($H35=1,(IF('計算A'!CV$117=1,INDEX('計算A'!CW$10:CW$54,$B35),0))*500,0)-IF(AND($L35=1,'計算A'!CV$117=1,GU35=0),300,0))),1000000))</f>
        <v/>
      </c>
      <c r="RY35">
        <f>IF($B35=0,1000000,IF(INDEX('計算A'!$D$60:$EQ$104,$B35,98)*GU35=1,IF(AND($E35=2,MJ35=0),1000000,IF($I35&gt;0,IF(5=$J35,IF(OR(AND(98=$I35+1,OR($K35&lt;&gt;'計算A'!$A$3,'計算A'!$A$4=0)),AND(98=$I35-1,OR(2&lt;&gt;'計算A'!$A$3,'計算A'!$A$4=0))),0,IF(2=$K35,200000,ABS(2-$K35)*100)),100000+ABS(5-$J35)*1000+20)+'計算A'!CW$5*50+IF(AND($E35=1,MJ35=0),25,0),INDEX('計算A'!CW$110:CW$114,$F35+1)+IF(AND($E35=1,MJ35=0),1000,0)+IF($H35=1,(IF('計算A'!CV$117=1,INDEX('計算A'!CV$10:CV$54,$B35),0)+IF('計算A'!CW$117=1,INDEX('計算A'!CX$10:CX$54,$B35),0))*500,0)-IF(AND('計算A'!CV$117=1,XT35&gt;0),300,0)-IF(AND($L35=1,'計算A'!CW$117=1,GV35=0),300,0))),1000000))</f>
        <v/>
      </c>
      <c r="RZ35">
        <f>IF($B35=0,1000000,IF(INDEX('計算A'!$D$60:$EQ$104,$B35,99)*GV35=1,IF(AND($E35=2,MK35=0),1000000,IF($I35&gt;0,IF(5=$J35,IF(OR(AND(99=$I35+1,OR($K35&lt;&gt;'計算A'!$A$3,'計算A'!$A$4=0)),AND(99=$I35-1,OR(3&lt;&gt;'計算A'!$A$3,'計算A'!$A$4=0))),0,IF(3=$K35,200000,ABS(3-$K35)*100)),100000+ABS(5-$J35)*1000+30)+'計算A'!CX$5*50+IF(AND($E35=1,MK35=0),25,0),INDEX('計算A'!CX$110:CX$114,$F35+1)+IF(AND($E35=1,MK35=0),1000,0)+IF($H35=1,(IF('計算A'!CW$117=1,INDEX('計算A'!CW$10:CW$54,$B35),0)+IF('計算A'!CX$117=1,INDEX('計算A'!CY$10:CY$54,$B35),0))*500,0)-IF(AND('計算A'!CW$117=1,XU35&gt;0),300,0)-IF(AND($L35=1,'計算A'!CX$117=1,GW35=0),300,0))),1000000))</f>
        <v/>
      </c>
      <c r="SA35">
        <f>IF($B35=0,1000000,IF(INDEX('計算A'!$D$60:$EQ$104,$B35,100)*GW35=1,IF(AND($E35=2,ML35=0),1000000,IF($I35&gt;0,IF(5=$J35,IF(OR(AND(100=$I35+1,OR($K35&lt;&gt;'計算A'!$A$3,'計算A'!$A$4=0)),AND(100=$I35-1,OR(4&lt;&gt;'計算A'!$A$3,'計算A'!$A$4=0))),0,IF(4=$K35,200000,ABS(4-$K35)*100)),100000+ABS(5-$J35)*1000+40)+'計算A'!CY$5*50+IF(AND($E35=1,ML35=0),25,0),INDEX('計算A'!CY$110:CY$114,$F35+1)+IF(AND($E35=1,ML35=0),1000,0)+IF($H35=1,(IF('計算A'!CX$117=1,INDEX('計算A'!CX$10:CX$54,$B35),0)+IF('計算A'!CY$117=1,INDEX('計算A'!CZ$10:CZ$54,$B35),0))*500,0)-IF(AND('計算A'!CX$117=1,XV35&gt;0),300,0)-IF(AND($L35=1,'計算A'!CY$117=1,GX35=0),300,0))),1000000))</f>
        <v/>
      </c>
      <c r="SB35">
        <f>IF($B35=0,1000000,IF(INDEX('計算A'!$D$60:$EQ$104,$B35,101)*GX35=1,IF(AND($E35=2,MM35=0),1000000,IF($I35&gt;0,IF(5=$J35,IF(OR(AND(101=$I35+1,OR($K35&lt;&gt;'計算A'!$A$3,'計算A'!$A$4=0)),AND(101=$I35-1,OR(5&lt;&gt;'計算A'!$A$3,'計算A'!$A$4=0))),0,IF(5=$K35,200000,ABS(5-$K35)*100)),100000+ABS(5-$J35)*1000+50)+'計算A'!CZ$5*50+IF(AND($E35=1,MM35=0),25,0),INDEX('計算A'!CZ$110:CZ$114,$F35+1)+IF(AND($E35=1,MM35=0),1000,0)+IF($H35=1,(IF('計算A'!CY$117=1,INDEX('計算A'!CY$10:CY$54,$B35),0)+IF('計算A'!CZ$117=1,INDEX('計算A'!DA$10:DA$54,$B35),0))*500,0)-IF(AND('計算A'!CY$117=1,XW35&gt;0),300,0)-IF(AND($L35=1,'計算A'!CZ$117=1,GY35=0),300,0))),1000000))</f>
        <v/>
      </c>
      <c r="SC35">
        <f>IF($B35=0,1000000,IF(INDEX('計算A'!$D$60:$EQ$104,$B35,102)*GY35=1,IF(AND($E35=2,MN35=0),1000000,IF($I35&gt;0,IF(5=$J35,IF(OR(AND(102=$I35+1,OR($K35&lt;&gt;'計算A'!$A$3,'計算A'!$A$4=0)),AND(102=$I35-1,OR(6&lt;&gt;'計算A'!$A$3,'計算A'!$A$4=0))),0,IF(6=$K35,200000,ABS(6-$K35)*100)),100000+ABS(5-$J35)*1000+60)+'計算A'!DA$5*50+IF(AND($E35=1,MN35=0),25,0),INDEX('計算A'!DA$110:DA$114,$F35+1)+IF(AND($E35=1,MN35=0),1000,0)+IF($H35=1,(IF('計算A'!CZ$117=1,INDEX('計算A'!CZ$10:CZ$54,$B35),0)+IF('計算A'!DA$117=1,INDEX('計算A'!DB$10:DB$54,$B35),0))*500,0)-IF(AND('計算A'!CZ$117=1,XX35&gt;0),300,0)-IF(AND($L35=1,'計算A'!DA$117=1,GZ35=0),300,0))),1000000))</f>
        <v/>
      </c>
      <c r="SD35">
        <f>IF($B35=0,1000000,IF(INDEX('計算A'!$D$60:$EQ$104,$B35,103)*GZ35=1,IF(AND($E35=2,MO35=0),1000000,IF($I35&gt;0,IF(5=$J35,IF(OR(AND(103=$I35+1,OR($K35&lt;&gt;'計算A'!$A$3,'計算A'!$A$4=0)),AND(103=$I35-1,OR(7&lt;&gt;'計算A'!$A$3,'計算A'!$A$4=0))),0,IF(7=$K35,200000,ABS(7-$K35)*100)),100000+ABS(5-$J35)*1000+70)+'計算A'!DB$5*50+IF(AND($E35=1,MO35=0),25,0),INDEX('計算A'!DB$110:DB$114,$F35+1)+IF(AND($E35=1,MO35=0),1000,0)+IF($H35=1,(IF('計算A'!DA$117=1,INDEX('計算A'!DA$10:DA$54,$B35),0)+IF('計算A'!DB$117=1,INDEX('計算A'!DC$10:DC$54,$B35),0))*500,0)-IF(AND('計算A'!DA$117=1,XY35&gt;0),300,0)-IF(AND($L35=1,'計算A'!DB$117=1,HA35=0),300,0))),1000000))</f>
        <v/>
      </c>
      <c r="SE35">
        <f>IF($B35=0,1000000,IF(INDEX('計算A'!$D$60:$EQ$104,$B35,104)*HA35=1,IF(AND($E35=2,MP35=0),1000000,IF($I35&gt;0,IF(5=$J35,IF(OR(AND(104=$I35+1,OR($K35&lt;&gt;'計算A'!$A$3,'計算A'!$A$4=0)),AND(104=$I35-1,OR(8&lt;&gt;'計算A'!$A$3,'計算A'!$A$4=0))),0,IF(8=$K35,200000,ABS(8-$K35)*100)),100000+ABS(5-$J35)*1000+80)+'計算A'!DC$5*50+IF(AND($E35=1,MP35=0),25,0),INDEX('計算A'!DC$110:DC$114,$F35+1)+IF(AND($E35=1,MP35=0),1000,0)+IF($H35=1,(IF('計算A'!DB$117=1,INDEX('計算A'!DB$10:DB$54,$B35),0)+IF('計算A'!DC$117=1,INDEX('計算A'!DD$10:DD$54,$B35),0))*500,0)-IF(AND('計算A'!DB$117=1,XZ35&gt;0),300,0)-IF(AND($L35=1,'計算A'!DC$117=1,HB35=0),300,0))),1000000))</f>
        <v/>
      </c>
      <c r="SF35">
        <f>IF($B35=0,1000000,IF(INDEX('計算A'!$D$60:$EQ$104,$B35,105)*HB35=1,IF(AND($E35=2,MQ35=0),1000000,IF($I35&gt;0,IF(5=$J35,IF(OR(AND(105=$I35+1,OR($K35&lt;&gt;'計算A'!$A$3,'計算A'!$A$4=0)),AND(105=$I35-1,OR(9&lt;&gt;'計算A'!$A$3,'計算A'!$A$4=0))),0,IF(9=$K35,200000,ABS(9-$K35)*100)),100000+ABS(5-$J35)*1000+90)+'計算A'!DD$5*50+IF(AND($E35=1,MQ35=0),25,0),INDEX('計算A'!DD$110:DD$114,$F35+1)+IF(AND($E35=1,MQ35=0),1000,0)+IF($H35=1,(IF('計算A'!DC$117=1,INDEX('計算A'!DC$10:DC$54,$B35),0)+IF('計算A'!DD$117=1,INDEX('計算A'!DE$10:DE$54,$B35),0))*500,0)-IF(AND('計算A'!DC$117=1,YA35&gt;0),300,0)-IF(AND($L35=1,'計算A'!DD$117=1,HC35=0),300,0))),1000000))</f>
        <v/>
      </c>
      <c r="SG35">
        <f>IF($B35=0,1000000,IF(INDEX('計算A'!$D$60:$EQ$104,$B35,106)*HC35=1,IF(AND($E35=2,MR35=0),1000000,IF($I35&gt;0,IF(5=$J35,IF(OR(AND(106=$I35+1,OR($K35&lt;&gt;'計算A'!$A$3,'計算A'!$A$4=0)),AND(106=$I35-1,OR(10&lt;&gt;'計算A'!$A$3,'計算A'!$A$4=0))),0,IF(10=$K35,200000,ABS(10-$K35)*100)),100000+ABS(5-$J35)*1000+100)+'計算A'!DE$5*50+IF(AND($E35=1,MR35=0),25,0),INDEX('計算A'!DE$110:DE$114,$F35+1)+IF(AND($E35=1,MR35=0),1000,0)+IF($H35=1,(IF('計算A'!DD$117=1,INDEX('計算A'!DD$10:DD$54,$B35),0)+IF('計算A'!DE$117=1,INDEX('計算A'!DF$10:DF$54,$B35),0))*500,0)-IF(AND('計算A'!DD$117=1,YB35&gt;0),300,0)-IF(AND($L35=1,'計算A'!DE$117=1,HD35=0),300,0))),1000000))</f>
        <v/>
      </c>
      <c r="SH35">
        <f>IF($B35=0,1000000,IF(INDEX('計算A'!$D$60:$EQ$104,$B35,107)*HD35=1,IF(AND($E35=2,MS35=0),1000000,IF($I35&gt;0,IF(5=$J35,IF(OR(AND(107=$I35+1,OR($K35&lt;&gt;'計算A'!$A$3,'計算A'!$A$4=0)),AND(107=$I35-1,OR(11&lt;&gt;'計算A'!$A$3,'計算A'!$A$4=0))),0,IF(11=$K35,200000,ABS(11-$K35)*100)),100000+ABS(5-$J35)*1000+110)+'計算A'!DF$5*50+IF(AND($E35=1,MS35=0),25,0),INDEX('計算A'!DF$110:DF$114,$F35+1)+IF(AND($E35=1,MS35=0),1000,0)+IF($H35=1,(IF('計算A'!DE$117=1,INDEX('計算A'!DE$10:DE$54,$B35),0)+IF('計算A'!DF$117=1,INDEX('計算A'!DG$10:DG$54,$B35),0))*500,0)-IF(AND('計算A'!DE$117=1,YC35&gt;0),300,0)-IF(AND($L35=1,'計算A'!DF$117=1,HE35=0),300,0))),1000000))</f>
        <v/>
      </c>
      <c r="SI35">
        <f>IF($B35=0,1000000,IF(INDEX('計算A'!$D$60:$EQ$104,$B35,108)*HE35=1,IF(AND($E35=2,MT35=0),1000000,IF($I35&gt;0,IF(5=$J35,IF(OR(AND(108=$I35+1,OR($K35&lt;&gt;'計算A'!$A$3,'計算A'!$A$4=0)),AND(108=$I35-1,OR(12&lt;&gt;'計算A'!$A$3,'計算A'!$A$4=0))),0,IF(12=$K35,200000,ABS(12-$K35)*100)),100000+ABS(5-$J35)*1000+120)+'計算A'!DG$5*50+IF(AND($E35=1,MT35=0),25,0),INDEX('計算A'!DG$110:DG$114,$F35+1)+IF(AND($E35=1,MT35=0),1000,0)+IF($H35=1,(IF('計算A'!DF$117=1,INDEX('計算A'!DF$10:DF$54,$B35),0)+IF('計算A'!DG$117=1,INDEX('計算A'!DH$10:DH$54,$B35),0))*500,0)-IF(AND('計算A'!DF$117=1,YD35&gt;0),300,0)-IF(AND($L35=1,'計算A'!DG$117=1,HF35=0),300,0))),1000000))</f>
        <v/>
      </c>
      <c r="SJ35">
        <f>IF($B35=0,1000000,IF(INDEX('計算A'!$D$60:$EQ$104,$B35,109)*HF35=1,IF(AND($E35=2,MU35=0),1000000,IF($I35&gt;0,IF(5=$J35,IF(OR(AND(109=$I35+1,OR($K35&lt;&gt;'計算A'!$A$3,'計算A'!$A$4=0)),AND(109=$I35-1,OR(13&lt;&gt;'計算A'!$A$3,'計算A'!$A$4=0))),0,IF(13=$K35,200000,ABS(13-$K35)*100)),100000+ABS(5-$J35)*1000+130)+'計算A'!DH$5*50+IF(AND($E35=1,MU35=0),25,0),INDEX('計算A'!DH$110:DH$114,$F35+1)+IF(AND($E35=1,MU35=0),1000,0)+IF($H35=1,(IF('計算A'!DG$117=1,INDEX('計算A'!DG$10:DG$54,$B35),0)+IF('計算A'!DH$117=1,INDEX('計算A'!DI$10:DI$54,$B35),0))*500,0)-IF(AND('計算A'!DG$117=1,YE35&gt;0),300,0)-IF(AND($L35=1,'計算A'!DH$117=1,HG35=0),300,0))),1000000))</f>
        <v/>
      </c>
      <c r="SK35">
        <f>IF($B35=0,1000000,IF(INDEX('計算A'!$D$60:$EQ$104,$B35,110)*HG35=1,IF(AND($E35=2,MV35=0),1000000,IF($I35&gt;0,IF(5=$J35,IF(OR(AND(110=$I35+1,OR($K35&lt;&gt;'計算A'!$A$3,'計算A'!$A$4=0)),AND(110=$I35-1,OR(14&lt;&gt;'計算A'!$A$3,'計算A'!$A$4=0))),0,IF(14=$K35,200000,ABS(14-$K35)*100)),100000+ABS(5-$J35)*1000+140)+'計算A'!DI$5*50+IF(AND($E35=1,MV35=0),25,0),INDEX('計算A'!DI$110:DI$114,$F35+1)+IF(AND($E35=1,MV35=0),1000,0)+IF($H35=1,(IF('計算A'!DH$117=1,INDEX('計算A'!DH$10:DH$54,$B35),0)+IF('計算A'!DI$117=1,INDEX('計算A'!DJ$10:DJ$54,$B35),0))*500,0)-IF(AND('計算A'!DH$117=1,YF35&gt;0),300,0)-IF(AND($L35=1,'計算A'!DI$117=1,HH35=0),300,0))),1000000))</f>
        <v/>
      </c>
      <c r="SL35">
        <f>IF($B35=0,1000000,IF(INDEX('計算A'!$D$60:$EQ$104,$B35,111)*HH35=1,IF(AND($E35=2,MW35=0),1000000,IF($I35&gt;0,IF(5=$J35,IF(OR(AND(111=$I35+1,OR($K35&lt;&gt;'計算A'!$A$3,'計算A'!$A$4=0)),AND(111=$I35-1,OR(15&lt;&gt;'計算A'!$A$3,'計算A'!$A$4=0))),0,IF(15=$K35,200000,ABS(15-$K35)*100)),100000+ABS(5-$J35)*1000+150)+'計算A'!DJ$5*50+IF(AND($E35=1,MW35=0),25,0),INDEX('計算A'!DJ$110:DJ$114,$F35+1)+IF(AND($E35=1,MW35=0),1000,0)+IF($H35=1,(IF('計算A'!DI$117=1,INDEX('計算A'!DI$10:DI$54,$B35),0)+IF('計算A'!DJ$117=1,INDEX('計算A'!DK$10:DK$54,$B35),0))*500,0)-IF(AND('計算A'!DI$117=1,YG35&gt;0),300,0)-IF(AND($L35=1,'計算A'!DJ$117=1,HI35=0),300,0))),1000000))</f>
        <v/>
      </c>
      <c r="SM35">
        <f>IF($B35=0,1000000,IF(INDEX('計算A'!$D$60:$EQ$104,$B35,112)*HI35=1,IF(AND($E35=2,MX35=0),1000000,IF($I35&gt;0,IF(5=$J35,IF(OR(AND(112=$I35+1,OR($K35&lt;&gt;'計算A'!$A$3,'計算A'!$A$4=0)),AND(112=$I35-1,OR(16&lt;&gt;'計算A'!$A$3,'計算A'!$A$4=0))),0,IF(16=$K35,200000,ABS(16-$K35)*100)),100000+ABS(5-$J35)*1000+160)+'計算A'!DK$5*50+IF(AND($E35=1,MX35=0),25,0),INDEX('計算A'!DK$110:DK$114,$F35+1)+IF(AND($E35=1,MX35=0),1000,0)+IF($H35=1,(IF('計算A'!DJ$117=1,INDEX('計算A'!DJ$10:DJ$54,$B35),0)+IF('計算A'!DK$117=1,INDEX('計算A'!DL$10:DL$54,$B35),0))*500,0)-IF(AND('計算A'!DJ$117=1,YH35&gt;0),300,0)-IF(AND($L35=1,'計算A'!DK$117=1,HJ35=0),300,0))),1000000))</f>
        <v/>
      </c>
      <c r="SN35">
        <f>IF($B35=0,1000000,IF(INDEX('計算A'!$D$60:$EQ$104,$B35,113)*HJ35=1,IF(AND($E35=2,MY35=0),1000000,IF($I35&gt;0,IF(5=$J35,IF(OR(AND(113=$I35+1,OR($K35&lt;&gt;'計算A'!$A$3,'計算A'!$A$4=0)),AND(113=$I35-1,OR(17&lt;&gt;'計算A'!$A$3,'計算A'!$A$4=0))),0,IF(17=$K35,200000,ABS(17-$K35)*100)),100000+ABS(5-$J35)*1000+170)+'計算A'!DL$5*50+IF(AND($E35=1,MY35=0),25,0),INDEX('計算A'!DL$110:DL$114,$F35+1)+IF(AND($E35=1,MY35=0),1000,0)+IF($H35=1,(IF('計算A'!DK$117=1,INDEX('計算A'!DK$10:DK$54,$B35),0)+IF('計算A'!DL$117=1,INDEX('計算A'!DM$10:DM$54,$B35),0))*500,0)-IF(AND('計算A'!DK$117=1,YI35&gt;0),300,0)-IF(AND($L35=1,'計算A'!DL$117=1,HK35=0),300,0))),1000000))</f>
        <v/>
      </c>
      <c r="SO35">
        <f>IF($B35=0,1000000,IF(INDEX('計算A'!$D$60:$EQ$104,$B35,114)*HK35=1,IF(AND($E35=2,MZ35=0),1000000,IF($I35&gt;0,IF(5=$J35,IF(OR(AND(114=$I35+1,OR($K35&lt;&gt;'計算A'!$A$3,'計算A'!$A$4=0)),AND(114=$I35-1,OR(18&lt;&gt;'計算A'!$A$3,'計算A'!$A$4=0))),0,IF(18=$K35,200000,ABS(18-$K35)*100)),100000+ABS(5-$J35)*1000+180)+'計算A'!DM$5*50+IF(AND($E35=1,MZ35=0),25,0),INDEX('計算A'!DM$110:DM$114,$F35+1)+IF(AND($E35=1,MZ35=0),1000,0)+IF($H35=1,(IF('計算A'!DL$117=1,INDEX('計算A'!DL$10:DL$54,$B35),0)+IF('計算A'!DM$117=1,INDEX('計算A'!DN$10:DN$54,$B35),0))*500,0)-IF(AND('計算A'!DL$117=1,YJ35&gt;0),300,0)-IF(AND($L35=1,'計算A'!DM$117=1,HL35=0),300,0))),1000000))</f>
        <v/>
      </c>
      <c r="SP35">
        <f>IF($B35=0,1000000,IF(INDEX('計算A'!$D$60:$EQ$104,$B35,115)*HL35=1,IF(AND($E35=2,NA35=0),1000000,IF($I35&gt;0,IF(5=$J35,IF(OR(AND(115=$I35+1,OR($K35&lt;&gt;'計算A'!$A$3,'計算A'!$A$4=0)),AND(115=$I35-1,OR(19&lt;&gt;'計算A'!$A$3,'計算A'!$A$4=0))),0,IF(19=$K35,200000,ABS(19-$K35)*100)),100000+ABS(5-$J35)*1000+190)+'計算A'!DN$5*50+IF(AND($E35=1,NA35=0),25,0),INDEX('計算A'!DN$110:DN$114,$F35+1)+IF(AND($E35=1,NA35=0),1000,0)+IF($H35=1,(IF('計算A'!DM$117=1,INDEX('計算A'!DM$10:DM$54,$B35),0)+IF('計算A'!DN$117=1,INDEX('計算A'!DO$10:DO$54,$B35),0))*500,0)-IF(AND('計算A'!DM$117=1,YK35&gt;0),300,0)-IF(AND($L35=1,'計算A'!DN$117=1,HM35=0),300,0))),1000000))</f>
        <v/>
      </c>
      <c r="SQ35">
        <f>IF($B35=0,1000000,IF(INDEX('計算A'!$D$60:$EQ$104,$B35,116)*HM35=1,IF(AND($E35=2,NB35=0),1000000,IF($I35&gt;0,IF(5=$J35,IF(OR(AND(116=$I35+1,OR($K35&lt;&gt;'計算A'!$A$3,'計算A'!$A$4=0)),AND(116=$I35-1,OR(20&lt;&gt;'計算A'!$A$3,'計算A'!$A$4=0))),0,IF(20=$K35,200000,ABS(20-$K35)*100)),100000+ABS(5-$J35)*1000+200)+'計算A'!DO$5*50+IF(AND($E35=1,NB35=0),25,0),INDEX('計算A'!DO$110:DO$114,$F35+1)+IF(AND($E35=1,NB35=0),1000,0)+IF($H35=1,(IF('計算A'!DN$117=1,INDEX('計算A'!DN$10:DN$54,$B35),0)+IF('計算A'!DO$117=1,INDEX('計算A'!DP$10:DP$54,$B35),0))*500,0)-IF(AND('計算A'!DN$117=1,YL35&gt;0),300,0)-IF(AND($L35=1,'計算A'!DO$117=1,HN35=0),300,0))),1000000))</f>
        <v/>
      </c>
      <c r="SR35">
        <f>IF($B35=0,1000000,IF(INDEX('計算A'!$D$60:$EQ$104,$B35,117)*HN35=1,IF(AND($E35=2,NC35=0),1000000,IF($I35&gt;0,IF(5=$J35,IF(OR(AND(117=$I35+1,OR($K35&lt;&gt;'計算A'!$A$3,'計算A'!$A$4=0)),AND(117=$I35-1,OR(21&lt;&gt;'計算A'!$A$3,'計算A'!$A$4=0))),0,IF(21=$K35,200000,ABS(21-$K35)*100)),100000+ABS(5-$J35)*1000+210)+'計算A'!DP$5*50+IF(AND($E35=1,NC35=0),25,0),INDEX('計算A'!DP$110:DP$114,$F35+1)+IF(AND($E35=1,NC35=0),1000,0)+IF($H35=1,(IF('計算A'!DO$117=1,INDEX('計算A'!DO$10:DO$54,$B35),0)+IF('計算A'!DP$117=1,INDEX('計算A'!DQ$10:DQ$54,$B35),0))*500,0)-IF(AND('計算A'!DO$117=1,YM35&gt;0),300,0)-IF(AND($L35=1,'計算A'!DP$117=1,HO35=0),300,0))),1000000))</f>
        <v/>
      </c>
      <c r="SS35">
        <f>IF($B35=0,1000000,IF(INDEX('計算A'!$D$60:$EQ$104,$B35,118)*HO35=1,IF(AND($E35=2,ND35=0),1000000,IF($I35&gt;0,IF(5=$J35,IF(OR(AND(118=$I35+1,OR($K35&lt;&gt;'計算A'!$A$3,'計算A'!$A$4=0)),AND(118=$I35-1,OR(22&lt;&gt;'計算A'!$A$3,'計算A'!$A$4=0))),0,IF(22=$K35,200000,ABS(22-$K35)*100)),100000+ABS(5-$J35)*1000+220)+'計算A'!DQ$5*50+IF(AND($E35=1,ND35=0),25,0),INDEX('計算A'!DQ$110:DQ$114,$F35+1)+IF(AND($E35=1,ND35=0),1000,0)+IF($H35=1,(IF('計算A'!DP$117=1,INDEX('計算A'!DP$10:DP$54,$B35),0)+IF('計算A'!DQ$117=1,INDEX('計算A'!DR$10:DR$54,$B35),0))*500,0)-IF(AND('計算A'!DP$117=1,YN35&gt;0),300,0)-IF(AND($L35=1,'計算A'!DQ$117=1,HP35=0),300,0))),1000000))</f>
        <v/>
      </c>
      <c r="ST35">
        <f>IF($B35=0,1000000,IF(INDEX('計算A'!$D$60:$EQ$104,$B35,119)*HP35=1,IF(AND($E35=2,NE35=0),1000000,IF($I35&gt;0,IF(5=$J35,IF(OR(AND(119=$I35+1,OR($K35&lt;&gt;'計算A'!$A$3,'計算A'!$A$4=0)),AND(119=$I35-1,OR(23&lt;&gt;'計算A'!$A$3,'計算A'!$A$4=0))),0,IF(23=$K35,200000,ABS(23-$K35)*100)),100000+ABS(5-$J35)*1000+230)+'計算A'!DR$5*50+IF(AND($E35=1,NE35=0),25,0),INDEX('計算A'!DR$110:DR$114,$F35+1)+IF(AND($E35=1,NE35=0),1000,0)+IF($H35=1,(IF('計算A'!DQ$117=1,INDEX('計算A'!DQ$10:DQ$54,$B35),0)+IF('計算A'!DR$117=1,INDEX('計算A'!DS$10:DS$54,$B35),0))*500,0)-IF(AND('計算A'!DQ$117=1,YO35&gt;0),300,0)-IF(AND($L35=1,'計算A'!DR$117=1,HQ35=0),300,0))),1000000))</f>
        <v/>
      </c>
      <c r="SU35">
        <f>IF($B35=0,1000000,IF(INDEX('計算A'!$D$60:$EQ$104,$B35,120)*HQ35=1,IF(AND($E35=2,NF35=0),1000000,IF($I35&gt;0,IF(5=$J35,IF(OR(AND(120=$I35+1,OR($K35&lt;&gt;'計算A'!$A$3,'計算A'!$A$4=0)),AND(120=$I35-1,OR(24&lt;&gt;'計算A'!$A$3,'計算A'!$A$4=0))),0,IF(24=$K35,200000,ABS(24-$K35)*100)),100000+ABS(5-$J35)*1000+240)+'計算A'!DS$5*50+IF(AND($E35=1,NF35=0),25,0),INDEX('計算A'!DS$110:DS$114,$F35+1)+IF(AND($E35=1,NF35=0),1000,0)+IF($H35=1,(IF('計算A'!DR$117=1,INDEX('計算A'!DR$10:DR$54,$B35),0))*500,0)-IF(AND('計算A'!DR$117=1,YP35&gt;0),300,0))),1000000))</f>
        <v/>
      </c>
      <c r="SV35">
        <f>IF($B35=0,1000000,IF(INDEX('計算A'!$D$60:$EQ$104,$B35,121)*HR35=1,IF(AND($E35=2,NG35=0),1000000,IF($I35&gt;0,IF(6=$J35,IF(OR(AND(121=$I35+1,OR($K35&lt;&gt;'計算A'!$A$3,'計算A'!$A$4=0)),AND(121=$I35-1,OR(1&lt;&gt;'計算A'!$A$3,'計算A'!$A$4=0))),0,IF(1=$K35,200000,ABS(1-$K35)*100)),100000+ABS(6-$J35)*1000+10)+'計算A'!DT$5*50+IF(AND($E35=1,NG35=0),25,0),INDEX('計算A'!DT$110:DT$114,$F35+1)+IF(AND($E35=1,NG35=0),1000,0)+IF($H35=1,(IF('計算A'!DT$117=1,INDEX('計算A'!DU$10:DU$54,$B35),0))*500,0)-IF(AND($L35=1,'計算A'!DT$117=1,HS35=0),300,0))),1000000))</f>
        <v/>
      </c>
      <c r="SW35">
        <f>IF($B35=0,1000000,IF(INDEX('計算A'!$D$60:$EQ$104,$B35,122)*HS35=1,IF(AND($E35=2,NH35=0),1000000,IF($I35&gt;0,IF(6=$J35,IF(OR(AND(122=$I35+1,OR($K35&lt;&gt;'計算A'!$A$3,'計算A'!$A$4=0)),AND(122=$I35-1,OR(2&lt;&gt;'計算A'!$A$3,'計算A'!$A$4=0))),0,IF(2=$K35,200000,ABS(2-$K35)*100)),100000+ABS(6-$J35)*1000+20)+'計算A'!DU$5*50+IF(AND($E35=1,NH35=0),25,0),INDEX('計算A'!DU$110:DU$114,$F35+1)+IF(AND($E35=1,NH35=0),1000,0)+IF($H35=1,(IF('計算A'!DT$117=1,INDEX('計算A'!DT$10:DT$54,$B35),0)+IF('計算A'!DU$117=1,INDEX('計算A'!DV$10:DV$54,$B35),0))*500,0)-IF(AND('計算A'!DT$117=1,YR35&gt;0),300,0)-IF(AND($L35=1,'計算A'!DU$117=1,HT35=0),300,0))),1000000))</f>
        <v/>
      </c>
      <c r="SX35">
        <f>IF($B35=0,1000000,IF(INDEX('計算A'!$D$60:$EQ$104,$B35,123)*HT35=1,IF(AND($E35=2,NI35=0),1000000,IF($I35&gt;0,IF(6=$J35,IF(OR(AND(123=$I35+1,OR($K35&lt;&gt;'計算A'!$A$3,'計算A'!$A$4=0)),AND(123=$I35-1,OR(3&lt;&gt;'計算A'!$A$3,'計算A'!$A$4=0))),0,IF(3=$K35,200000,ABS(3-$K35)*100)),100000+ABS(6-$J35)*1000+30)+'計算A'!DV$5*50+IF(AND($E35=1,NI35=0),25,0),INDEX('計算A'!DV$110:DV$114,$F35+1)+IF(AND($E35=1,NI35=0),1000,0)+IF($H35=1,(IF('計算A'!DU$117=1,INDEX('計算A'!DU$10:DU$54,$B35),0)+IF('計算A'!DV$117=1,INDEX('計算A'!DW$10:DW$54,$B35),0))*500,0)-IF(AND('計算A'!DU$117=1,YS35&gt;0),300,0)-IF(AND($L35=1,'計算A'!DV$117=1,HU35=0),300,0))),1000000))</f>
        <v/>
      </c>
      <c r="SY35">
        <f>IF($B35=0,1000000,IF(INDEX('計算A'!$D$60:$EQ$104,$B35,124)*HU35=1,IF(AND($E35=2,NJ35=0),1000000,IF($I35&gt;0,IF(6=$J35,IF(OR(AND(124=$I35+1,OR($K35&lt;&gt;'計算A'!$A$3,'計算A'!$A$4=0)),AND(124=$I35-1,OR(4&lt;&gt;'計算A'!$A$3,'計算A'!$A$4=0))),0,IF(4=$K35,200000,ABS(4-$K35)*100)),100000+ABS(6-$J35)*1000+40)+'計算A'!DW$5*50+IF(AND($E35=1,NJ35=0),25,0),INDEX('計算A'!DW$110:DW$114,$F35+1)+IF(AND($E35=1,NJ35=0),1000,0)+IF($H35=1,(IF('計算A'!DV$117=1,INDEX('計算A'!DV$10:DV$54,$B35),0)+IF('計算A'!DW$117=1,INDEX('計算A'!DX$10:DX$54,$B35),0))*500,0)-IF(AND('計算A'!DV$117=1,YT35&gt;0),300,0)-IF(AND($L35=1,'計算A'!DW$117=1,HV35=0),300,0))),1000000))</f>
        <v/>
      </c>
      <c r="SZ35">
        <f>IF($B35=0,1000000,IF(INDEX('計算A'!$D$60:$EQ$104,$B35,125)*HV35=1,IF(AND($E35=2,NK35=0),1000000,IF($I35&gt;0,IF(6=$J35,IF(OR(AND(125=$I35+1,OR($K35&lt;&gt;'計算A'!$A$3,'計算A'!$A$4=0)),AND(125=$I35-1,OR(5&lt;&gt;'計算A'!$A$3,'計算A'!$A$4=0))),0,IF(5=$K35,200000,ABS(5-$K35)*100)),100000+ABS(6-$J35)*1000+50)+'計算A'!DX$5*50+IF(AND($E35=1,NK35=0),25,0),INDEX('計算A'!DX$110:DX$114,$F35+1)+IF(AND($E35=1,NK35=0),1000,0)+IF($H35=1,(IF('計算A'!DW$117=1,INDEX('計算A'!DW$10:DW$54,$B35),0)+IF('計算A'!DX$117=1,INDEX('計算A'!DY$10:DY$54,$B35),0))*500,0)-IF(AND('計算A'!DW$117=1,YU35&gt;0),300,0)-IF(AND($L35=1,'計算A'!DX$117=1,HW35=0),300,0))),1000000))</f>
        <v/>
      </c>
      <c r="TA35">
        <f>IF($B35=0,1000000,IF(INDEX('計算A'!$D$60:$EQ$104,$B35,126)*HW35=1,IF(AND($E35=2,NL35=0),1000000,IF($I35&gt;0,IF(6=$J35,IF(OR(AND(126=$I35+1,OR($K35&lt;&gt;'計算A'!$A$3,'計算A'!$A$4=0)),AND(126=$I35-1,OR(6&lt;&gt;'計算A'!$A$3,'計算A'!$A$4=0))),0,IF(6=$K35,200000,ABS(6-$K35)*100)),100000+ABS(6-$J35)*1000+60)+'計算A'!DY$5*50+IF(AND($E35=1,NL35=0),25,0),INDEX('計算A'!DY$110:DY$114,$F35+1)+IF(AND($E35=1,NL35=0),1000,0)+IF($H35=1,(IF('計算A'!DX$117=1,INDEX('計算A'!DX$10:DX$54,$B35),0)+IF('計算A'!DY$117=1,INDEX('計算A'!DZ$10:DZ$54,$B35),0))*500,0)-IF(AND('計算A'!DX$117=1,YV35&gt;0),300,0)-IF(AND($L35=1,'計算A'!DY$117=1,HX35=0),300,0))),1000000))</f>
        <v/>
      </c>
      <c r="TB35">
        <f>IF($B35=0,1000000,IF(INDEX('計算A'!$D$60:$EQ$104,$B35,127)*HX35=1,IF(AND($E35=2,NM35=0),1000000,IF($I35&gt;0,IF(6=$J35,IF(OR(AND(127=$I35+1,OR($K35&lt;&gt;'計算A'!$A$3,'計算A'!$A$4=0)),AND(127=$I35-1,OR(7&lt;&gt;'計算A'!$A$3,'計算A'!$A$4=0))),0,IF(7=$K35,200000,ABS(7-$K35)*100)),100000+ABS(6-$J35)*1000+70)+'計算A'!DZ$5*50+IF(AND($E35=1,NM35=0),25,0),INDEX('計算A'!DZ$110:DZ$114,$F35+1)+IF(AND($E35=1,NM35=0),1000,0)+IF($H35=1,(IF('計算A'!DY$117=1,INDEX('計算A'!DY$10:DY$54,$B35),0)+IF('計算A'!DZ$117=1,INDEX('計算A'!EA$10:EA$54,$B35),0))*500,0)-IF(AND('計算A'!DY$117=1,YW35&gt;0),300,0)-IF(AND($L35=1,'計算A'!DZ$117=1,HY35=0),300,0))),1000000))</f>
        <v/>
      </c>
      <c r="TC35">
        <f>IF($B35=0,1000000,IF(INDEX('計算A'!$D$60:$EQ$104,$B35,128)*HY35=1,IF(AND($E35=2,NN35=0),1000000,IF($I35&gt;0,IF(6=$J35,IF(OR(AND(128=$I35+1,OR($K35&lt;&gt;'計算A'!$A$3,'計算A'!$A$4=0)),AND(128=$I35-1,OR(8&lt;&gt;'計算A'!$A$3,'計算A'!$A$4=0))),0,IF(8=$K35,200000,ABS(8-$K35)*100)),100000+ABS(6-$J35)*1000+80)+'計算A'!EA$5*50+IF(AND($E35=1,NN35=0),25,0),INDEX('計算A'!EA$110:EA$114,$F35+1)+IF(AND($E35=1,NN35=0),1000,0)+IF($H35=1,(IF('計算A'!DZ$117=1,INDEX('計算A'!DZ$10:DZ$54,$B35),0)+IF('計算A'!EA$117=1,INDEX('計算A'!EB$10:EB$54,$B35),0))*500,0)-IF(AND('計算A'!DZ$117=1,YX35&gt;0),300,0)-IF(AND($L35=1,'計算A'!EA$117=1,HZ35=0),300,0))),1000000))</f>
        <v/>
      </c>
      <c r="TD35">
        <f>IF($B35=0,1000000,IF(INDEX('計算A'!$D$60:$EQ$104,$B35,129)*HZ35=1,IF(AND($E35=2,NO35=0),1000000,IF($I35&gt;0,IF(6=$J35,IF(OR(AND(129=$I35+1,OR($K35&lt;&gt;'計算A'!$A$3,'計算A'!$A$4=0)),AND(129=$I35-1,OR(9&lt;&gt;'計算A'!$A$3,'計算A'!$A$4=0))),0,IF(9=$K35,200000,ABS(9-$K35)*100)),100000+ABS(6-$J35)*1000+90)+'計算A'!EB$5*50+IF(AND($E35=1,NO35=0),25,0),INDEX('計算A'!EB$110:EB$114,$F35+1)+IF(AND($E35=1,NO35=0),1000,0)+IF($H35=1,(IF('計算A'!EA$117=1,INDEX('計算A'!EA$10:EA$54,$B35),0)+IF('計算A'!EB$117=1,INDEX('計算A'!EC$10:EC$54,$B35),0))*500,0)-IF(AND('計算A'!EA$117=1,YY35&gt;0),300,0)-IF(AND($L35=1,'計算A'!EB$117=1,IA35=0),300,0))),1000000))</f>
        <v/>
      </c>
      <c r="TE35">
        <f>IF($B35=0,1000000,IF(INDEX('計算A'!$D$60:$EQ$104,$B35,130)*IA35=1,IF(AND($E35=2,NP35=0),1000000,IF($I35&gt;0,IF(6=$J35,IF(OR(AND(130=$I35+1,OR($K35&lt;&gt;'計算A'!$A$3,'計算A'!$A$4=0)),AND(130=$I35-1,OR(10&lt;&gt;'計算A'!$A$3,'計算A'!$A$4=0))),0,IF(10=$K35,200000,ABS(10-$K35)*100)),100000+ABS(6-$J35)*1000+100)+'計算A'!EC$5*50+IF(AND($E35=1,NP35=0),25,0),INDEX('計算A'!EC$110:EC$114,$F35+1)+IF(AND($E35=1,NP35=0),1000,0)+IF($H35=1,(IF('計算A'!EB$117=1,INDEX('計算A'!EB$10:EB$54,$B35),0)+IF('計算A'!EC$117=1,INDEX('計算A'!ED$10:ED$54,$B35),0))*500,0)-IF(AND('計算A'!EB$117=1,YZ35&gt;0),300,0)-IF(AND($L35=1,'計算A'!EC$117=1,IB35=0),300,0))),1000000))</f>
        <v/>
      </c>
      <c r="TF35">
        <f>IF($B35=0,1000000,IF(INDEX('計算A'!$D$60:$EQ$104,$B35,131)*IB35=1,IF(AND($E35=2,NQ35=0),1000000,IF($I35&gt;0,IF(6=$J35,IF(OR(AND(131=$I35+1,OR($K35&lt;&gt;'計算A'!$A$3,'計算A'!$A$4=0)),AND(131=$I35-1,OR(11&lt;&gt;'計算A'!$A$3,'計算A'!$A$4=0))),0,IF(11=$K35,200000,ABS(11-$K35)*100)),100000+ABS(6-$J35)*1000+110)+'計算A'!ED$5*50+IF(AND($E35=1,NQ35=0),25,0),INDEX('計算A'!ED$110:ED$114,$F35+1)+IF(AND($E35=1,NQ35=0),1000,0)+IF($H35=1,(IF('計算A'!EC$117=1,INDEX('計算A'!EC$10:EC$54,$B35),0)+IF('計算A'!ED$117=1,INDEX('計算A'!EE$10:EE$54,$B35),0))*500,0)-IF(AND('計算A'!EC$117=1,ZA35&gt;0),300,0)-IF(AND($L35=1,'計算A'!ED$117=1,IC35=0),300,0))),1000000))</f>
        <v/>
      </c>
      <c r="TG35">
        <f>IF($B35=0,1000000,IF(INDEX('計算A'!$D$60:$EQ$104,$B35,132)*IC35=1,IF(AND($E35=2,NR35=0),1000000,IF($I35&gt;0,IF(6=$J35,IF(OR(AND(132=$I35+1,OR($K35&lt;&gt;'計算A'!$A$3,'計算A'!$A$4=0)),AND(132=$I35-1,OR(12&lt;&gt;'計算A'!$A$3,'計算A'!$A$4=0))),0,IF(12=$K35,200000,ABS(12-$K35)*100)),100000+ABS(6-$J35)*1000+120)+'計算A'!EE$5*50+IF(AND($E35=1,NR35=0),25,0),INDEX('計算A'!EE$110:EE$114,$F35+1)+IF(AND($E35=1,NR35=0),1000,0)+IF($H35=1,(IF('計算A'!ED$117=1,INDEX('計算A'!ED$10:ED$54,$B35),0)+IF('計算A'!EE$117=1,INDEX('計算A'!EF$10:EF$54,$B35),0))*500,0)-IF(AND('計算A'!ED$117=1,ZB35&gt;0),300,0)-IF(AND($L35=1,'計算A'!EE$117=1,ID35=0),300,0))),1000000))</f>
        <v/>
      </c>
      <c r="TH35">
        <f>IF($B35=0,1000000,IF(INDEX('計算A'!$D$60:$EQ$104,$B35,133)*ID35=1,IF(AND($E35=2,NS35=0),1000000,IF($I35&gt;0,IF(6=$J35,IF(OR(AND(133=$I35+1,OR($K35&lt;&gt;'計算A'!$A$3,'計算A'!$A$4=0)),AND(133=$I35-1,OR(13&lt;&gt;'計算A'!$A$3,'計算A'!$A$4=0))),0,IF(13=$K35,200000,ABS(13-$K35)*100)),100000+ABS(6-$J35)*1000+130)+'計算A'!EF$5*50+IF(AND($E35=1,NS35=0),25,0),INDEX('計算A'!EF$110:EF$114,$F35+1)+IF(AND($E35=1,NS35=0),1000,0)+IF($H35=1,(IF('計算A'!EE$117=1,INDEX('計算A'!EE$10:EE$54,$B35),0)+IF('計算A'!EF$117=1,INDEX('計算A'!EG$10:EG$54,$B35),0))*500,0)-IF(AND('計算A'!EE$117=1,ZC35&gt;0),300,0)-IF(AND($L35=1,'計算A'!EF$117=1,IE35=0),300,0))),1000000))</f>
        <v/>
      </c>
      <c r="TI35">
        <f>IF($B35=0,1000000,IF(INDEX('計算A'!$D$60:$EQ$104,$B35,134)*IE35=1,IF(AND($E35=2,NT35=0),1000000,IF($I35&gt;0,IF(6=$J35,IF(OR(AND(134=$I35+1,OR($K35&lt;&gt;'計算A'!$A$3,'計算A'!$A$4=0)),AND(134=$I35-1,OR(14&lt;&gt;'計算A'!$A$3,'計算A'!$A$4=0))),0,IF(14=$K35,200000,ABS(14-$K35)*100)),100000+ABS(6-$J35)*1000+140)+'計算A'!EG$5*50+IF(AND($E35=1,NT35=0),25,0),INDEX('計算A'!EG$110:EG$114,$F35+1)+IF(AND($E35=1,NT35=0),1000,0)+IF($H35=1,(IF('計算A'!EF$117=1,INDEX('計算A'!EF$10:EF$54,$B35),0)+IF('計算A'!EG$117=1,INDEX('計算A'!EH$10:EH$54,$B35),0))*500,0)-IF(AND('計算A'!EF$117=1,ZD35&gt;0),300,0)-IF(AND($L35=1,'計算A'!EG$117=1,IF35=0),300,0))),1000000))</f>
        <v/>
      </c>
      <c r="TJ35">
        <f>IF($B35=0,1000000,IF(INDEX('計算A'!$D$60:$EQ$104,$B35,135)*IF35=1,IF(AND($E35=2,NU35=0),1000000,IF($I35&gt;0,IF(6=$J35,IF(OR(AND(135=$I35+1,OR($K35&lt;&gt;'計算A'!$A$3,'計算A'!$A$4=0)),AND(135=$I35-1,OR(15&lt;&gt;'計算A'!$A$3,'計算A'!$A$4=0))),0,IF(15=$K35,200000,ABS(15-$K35)*100)),100000+ABS(6-$J35)*1000+150)+'計算A'!EH$5*50+IF(AND($E35=1,NU35=0),25,0),INDEX('計算A'!EH$110:EH$114,$F35+1)+IF(AND($E35=1,NU35=0),1000,0)+IF($H35=1,(IF('計算A'!EG$117=1,INDEX('計算A'!EG$10:EG$54,$B35),0)+IF('計算A'!EH$117=1,INDEX('計算A'!EI$10:EI$54,$B35),0))*500,0)-IF(AND('計算A'!EG$117=1,ZE35&gt;0),300,0)-IF(AND($L35=1,'計算A'!EH$117=1,IG35=0),300,0))),1000000))</f>
        <v/>
      </c>
      <c r="TK35">
        <f>IF($B35=0,1000000,IF(INDEX('計算A'!$D$60:$EQ$104,$B35,136)*IG35=1,IF(AND($E35=2,NV35=0),1000000,IF($I35&gt;0,IF(6=$J35,IF(OR(AND(136=$I35+1,OR($K35&lt;&gt;'計算A'!$A$3,'計算A'!$A$4=0)),AND(136=$I35-1,OR(16&lt;&gt;'計算A'!$A$3,'計算A'!$A$4=0))),0,IF(16=$K35,200000,ABS(16-$K35)*100)),100000+ABS(6-$J35)*1000+160)+'計算A'!EI$5*50+IF(AND($E35=1,NV35=0),25,0),INDEX('計算A'!EI$110:EI$114,$F35+1)+IF(AND($E35=1,NV35=0),1000,0)+IF($H35=1,(IF('計算A'!EH$117=1,INDEX('計算A'!EH$10:EH$54,$B35),0)+IF('計算A'!EI$117=1,INDEX('計算A'!EJ$10:EJ$54,$B35),0))*500,0)-IF(AND('計算A'!EH$117=1,ZF35&gt;0),300,0)-IF(AND($L35=1,'計算A'!EI$117=1,IH35=0),300,0))),1000000))</f>
        <v/>
      </c>
      <c r="TL35">
        <f>IF($B35=0,1000000,IF(INDEX('計算A'!$D$60:$EQ$104,$B35,137)*IH35=1,IF(AND($E35=2,NW35=0),1000000,IF($I35&gt;0,IF(6=$J35,IF(OR(AND(137=$I35+1,OR($K35&lt;&gt;'計算A'!$A$3,'計算A'!$A$4=0)),AND(137=$I35-1,OR(17&lt;&gt;'計算A'!$A$3,'計算A'!$A$4=0))),0,IF(17=$K35,200000,ABS(17-$K35)*100)),100000+ABS(6-$J35)*1000+170)+'計算A'!EJ$5*50+IF(AND($E35=1,NW35=0),25,0),INDEX('計算A'!EJ$110:EJ$114,$F35+1)+IF(AND($E35=1,NW35=0),1000,0)+IF($H35=1,(IF('計算A'!EI$117=1,INDEX('計算A'!EI$10:EI$54,$B35),0)+IF('計算A'!EJ$117=1,INDEX('計算A'!EK$10:EK$54,$B35),0))*500,0)-IF(AND('計算A'!EI$117=1,ZG35&gt;0),300,0)-IF(AND($L35=1,'計算A'!EJ$117=1,II35=0),300,0))),1000000))</f>
        <v/>
      </c>
      <c r="TM35">
        <f>IF($B35=0,1000000,IF(INDEX('計算A'!$D$60:$EQ$104,$B35,138)*II35=1,IF(AND($E35=2,NX35=0),1000000,IF($I35&gt;0,IF(6=$J35,IF(OR(AND(138=$I35+1,OR($K35&lt;&gt;'計算A'!$A$3,'計算A'!$A$4=0)),AND(138=$I35-1,OR(18&lt;&gt;'計算A'!$A$3,'計算A'!$A$4=0))),0,IF(18=$K35,200000,ABS(18-$K35)*100)),100000+ABS(6-$J35)*1000+180)+'計算A'!EK$5*50+IF(AND($E35=1,NX35=0),25,0),INDEX('計算A'!EK$110:EK$114,$F35+1)+IF(AND($E35=1,NX35=0),1000,0)+IF($H35=1,(IF('計算A'!EJ$117=1,INDEX('計算A'!EJ$10:EJ$54,$B35),0)+IF('計算A'!EK$117=1,INDEX('計算A'!EL$10:EL$54,$B35),0))*500,0)-IF(AND('計算A'!EJ$117=1,ZH35&gt;0),300,0)-IF(AND($L35=1,'計算A'!EK$117=1,IJ35=0),300,0))),1000000))</f>
        <v/>
      </c>
      <c r="TN35">
        <f>IF($B35=0,1000000,IF(INDEX('計算A'!$D$60:$EQ$104,$B35,139)*IJ35=1,IF(AND($E35=2,NY35=0),1000000,IF($I35&gt;0,IF(6=$J35,IF(OR(AND(139=$I35+1,OR($K35&lt;&gt;'計算A'!$A$3,'計算A'!$A$4=0)),AND(139=$I35-1,OR(19&lt;&gt;'計算A'!$A$3,'計算A'!$A$4=0))),0,IF(19=$K35,200000,ABS(19-$K35)*100)),100000+ABS(6-$J35)*1000+190)+'計算A'!EL$5*50+IF(AND($E35=1,NY35=0),25,0),INDEX('計算A'!EL$110:EL$114,$F35+1)+IF(AND($E35=1,NY35=0),1000,0)+IF($H35=1,(IF('計算A'!EK$117=1,INDEX('計算A'!EK$10:EK$54,$B35),0)+IF('計算A'!EL$117=1,INDEX('計算A'!EM$10:EM$54,$B35),0))*500,0)-IF(AND('計算A'!EK$117=1,ZI35&gt;0),300,0)-IF(AND($L35=1,'計算A'!EL$117=1,IK35=0),300,0))),1000000))</f>
        <v/>
      </c>
      <c r="TO35">
        <f>IF($B35=0,1000000,IF(INDEX('計算A'!$D$60:$EQ$104,$B35,140)*IK35=1,IF(AND($E35=2,NZ35=0),1000000,IF($I35&gt;0,IF(6=$J35,IF(OR(AND(140=$I35+1,OR($K35&lt;&gt;'計算A'!$A$3,'計算A'!$A$4=0)),AND(140=$I35-1,OR(20&lt;&gt;'計算A'!$A$3,'計算A'!$A$4=0))),0,IF(20=$K35,200000,ABS(20-$K35)*100)),100000+ABS(6-$J35)*1000+200)+'計算A'!EM$5*50+IF(AND($E35=1,NZ35=0),25,0),INDEX('計算A'!EM$110:EM$114,$F35+1)+IF(AND($E35=1,NZ35=0),1000,0)+IF($H35=1,(IF('計算A'!EL$117=1,INDEX('計算A'!EL$10:EL$54,$B35),0)+IF('計算A'!EM$117=1,INDEX('計算A'!EN$10:EN$54,$B35),0))*500,0)-IF(AND('計算A'!EL$117=1,ZJ35&gt;0),300,0)-IF(AND($L35=1,'計算A'!EM$117=1,IL35=0),300,0))),1000000))</f>
        <v/>
      </c>
      <c r="TP35">
        <f>IF($B35=0,1000000,IF(INDEX('計算A'!$D$60:$EQ$104,$B35,141)*IL35=1,IF(AND($E35=2,OA35=0),1000000,IF($I35&gt;0,IF(6=$J35,IF(OR(AND(141=$I35+1,OR($K35&lt;&gt;'計算A'!$A$3,'計算A'!$A$4=0)),AND(141=$I35-1,OR(21&lt;&gt;'計算A'!$A$3,'計算A'!$A$4=0))),0,IF(21=$K35,200000,ABS(21-$K35)*100)),100000+ABS(6-$J35)*1000+210)+'計算A'!EN$5*50+IF(AND($E35=1,OA35=0),25,0),INDEX('計算A'!EN$110:EN$114,$F35+1)+IF(AND($E35=1,OA35=0),1000,0)+IF($H35=1,(IF('計算A'!EM$117=1,INDEX('計算A'!EM$10:EM$54,$B35),0)+IF('計算A'!EN$117=1,INDEX('計算A'!EO$10:EO$54,$B35),0))*500,0)-IF(AND('計算A'!EM$117=1,ZK35&gt;0),300,0)-IF(AND($L35=1,'計算A'!EN$117=1,IM35=0),300,0))),1000000))</f>
        <v/>
      </c>
      <c r="TQ35">
        <f>IF($B35=0,1000000,IF(INDEX('計算A'!$D$60:$EQ$104,$B35,142)*IM35=1,IF(AND($E35=2,OB35=0),1000000,IF($I35&gt;0,IF(6=$J35,IF(OR(AND(142=$I35+1,OR($K35&lt;&gt;'計算A'!$A$3,'計算A'!$A$4=0)),AND(142=$I35-1,OR(22&lt;&gt;'計算A'!$A$3,'計算A'!$A$4=0))),0,IF(22=$K35,200000,ABS(22-$K35)*100)),100000+ABS(6-$J35)*1000+220)+'計算A'!EO$5*50+IF(AND($E35=1,OB35=0),25,0),INDEX('計算A'!EO$110:EO$114,$F35+1)+IF(AND($E35=1,OB35=0),1000,0)+IF($H35=1,(IF('計算A'!EN$117=1,INDEX('計算A'!EN$10:EN$54,$B35),0)+IF('計算A'!EO$117=1,INDEX('計算A'!EP$10:EP$54,$B35),0))*500,0)-IF(AND('計算A'!EN$117=1,ZL35&gt;0),300,0)-IF(AND($L35=1,'計算A'!EO$117=1,IN35=0),300,0))),1000000))</f>
        <v/>
      </c>
      <c r="TR35">
        <f>IF($B35=0,1000000,IF(INDEX('計算A'!$D$60:$EQ$104,$B35,143)*IN35=1,IF(AND($E35=2,OC35=0),1000000,IF($I35&gt;0,IF(6=$J35,IF(OR(AND(143=$I35+1,OR($K35&lt;&gt;'計算A'!$A$3,'計算A'!$A$4=0)),AND(143=$I35-1,OR(23&lt;&gt;'計算A'!$A$3,'計算A'!$A$4=0))),0,IF(23=$K35,200000,ABS(23-$K35)*100)),100000+ABS(6-$J35)*1000+230)+'計算A'!EP$5*50+IF(AND($E35=1,OC35=0),25,0),INDEX('計算A'!EP$110:EP$114,$F35+1)+IF(AND($E35=1,OC35=0),1000,0)+IF($H35=1,(IF('計算A'!EO$117=1,INDEX('計算A'!EO$10:EO$54,$B35),0)+IF('計算A'!EP$117=1,INDEX('計算A'!EQ$10:EQ$54,$B35),0))*500,0)-IF(AND('計算A'!EO$117=1,ZM35&gt;0),300,0)-IF(AND($L35=1,'計算A'!EP$117=1,IO35=0),300,0))),1000000))</f>
        <v/>
      </c>
      <c r="TS35">
        <f>IF($B35=0,1000000,IF(INDEX('計算A'!$D$60:$EQ$104,$B35,144)*IO35=1,IF(AND($E35=2,OD35=0),1000000,IF($I35&gt;0,IF(6=$J35,IF(OR(AND(144=$I35+1,OR($K35&lt;&gt;'計算A'!$A$3,'計算A'!$A$4=0)),AND(144=$I35-1,OR(24&lt;&gt;'計算A'!$A$3,'計算A'!$A$4=0))),0,IF(24=$K35,200000,ABS(24-$K35)*100)),100000+ABS(6-$J35)*1000+240)+'計算A'!EQ$5*50+IF(AND($E35=1,OD35=0),25,0),INDEX('計算A'!EQ$110:EQ$114,$F35+1)+IF(AND($E35=1,OD35=0),1000,0)+IF($H35=1,(IF('計算A'!EP$117=1,INDEX('計算A'!EP$10:EP$54,$B35),0))*500,0)-IF(AND('計算A'!EP$117=1,ZN35&gt;0),300,0))),1000000))</f>
        <v/>
      </c>
      <c r="UB35">
        <f>UB34+IF(AND($C34=1,$L34=1),1,0)</f>
        <v/>
      </c>
      <c r="UC35">
        <f>UC34+IF(AND($C34=2,$L34=1),1,0)</f>
        <v/>
      </c>
      <c r="UD35">
        <f>UD34+IF(AND($C34=3,$L34=1),1,0)</f>
        <v/>
      </c>
      <c r="UE35">
        <f>UE34+IF(AND($C34=4,$L34=1),1,0)</f>
        <v/>
      </c>
      <c r="UF35">
        <f>UF34+IF(AND($C34=5,$L34=1),1,0)</f>
        <v/>
      </c>
      <c r="UG35">
        <f>UG34+IF(AND($C34=6,$L34=1),1,0)</f>
        <v/>
      </c>
      <c r="UH35">
        <f>UH34+IF(AND($C34=7,$L34=1),1,0)</f>
        <v/>
      </c>
      <c r="UI35">
        <f>UI34+IF(AND($C34=8,$L34=1),1,0)</f>
        <v/>
      </c>
      <c r="UJ35">
        <f>UJ34+IF(AND($C34=9,$L34=1),1,0)</f>
        <v/>
      </c>
      <c r="UK35">
        <f>UK34+IF(AND($C34=10,$L34=1),1,0)</f>
        <v/>
      </c>
      <c r="UL35">
        <f>UL34+IF(AND($C34=11,$L34=1),1,0)</f>
        <v/>
      </c>
      <c r="UM35">
        <f>UM34+IF(AND($C34=12,$L34=1),1,0)</f>
        <v/>
      </c>
      <c r="UN35">
        <f>UN34+IF(AND($C34=13,$L34=1),1,0)</f>
        <v/>
      </c>
      <c r="UO35">
        <f>UO34+IF(AND($C34=14,$L34=1),1,0)</f>
        <v/>
      </c>
      <c r="UP35">
        <f>UP34+IF(AND($C34=15,$L34=1),1,0)</f>
        <v/>
      </c>
      <c r="UQ35">
        <f>UQ34+IF(AND($C34=16,$L34=1),1,0)</f>
        <v/>
      </c>
      <c r="UR35">
        <f>UR34+IF(AND($C34=17,$L34=1),1,0)</f>
        <v/>
      </c>
      <c r="US35">
        <f>US34+IF(AND($C34=18,$L34=1),1,0)</f>
        <v/>
      </c>
      <c r="UT35">
        <f>UT34+IF(AND($C34=19,$L34=1),1,0)</f>
        <v/>
      </c>
      <c r="UU35">
        <f>UU34+IF(AND($C34=20,$L34=1),1,0)</f>
        <v/>
      </c>
      <c r="UV35">
        <f>UV34+IF(AND($C34=21,$L34=1),1,0)</f>
        <v/>
      </c>
      <c r="UW35">
        <f>UW34+IF(AND($C34=22,$L34=1),1,0)</f>
        <v/>
      </c>
      <c r="UX35">
        <f>UX34+IF(AND($C34=23,$L34=1),1,0)</f>
        <v/>
      </c>
      <c r="UY35">
        <f>UY34+IF(AND($C34=24,$L34=1),1,0)</f>
        <v/>
      </c>
      <c r="UZ35">
        <f>UZ34+IF(AND($C34=25,$L34=1),1,0)</f>
        <v/>
      </c>
      <c r="VA35">
        <f>VA34+IF(AND($C34=26,$L34=1),1,0)</f>
        <v/>
      </c>
      <c r="VB35">
        <f>VB34+IF(AND($C34=27,$L34=1),1,0)</f>
        <v/>
      </c>
      <c r="VC35">
        <f>VC34+IF(AND($C34=28,$L34=1),1,0)</f>
        <v/>
      </c>
      <c r="VD35">
        <f>VD34+IF(AND($C34=29,$L34=1),1,0)</f>
        <v/>
      </c>
      <c r="VE35">
        <f>VE34+IF(AND($C34=30,$L34=1),1,0)</f>
        <v/>
      </c>
      <c r="VF35">
        <f>VF34+IF(AND($C34=31,$L34=1),1,0)</f>
        <v/>
      </c>
      <c r="VG35">
        <f>VG34+IF(AND($C34=32,$L34=1),1,0)</f>
        <v/>
      </c>
      <c r="VH35">
        <f>VH34+IF(AND($C34=33,$L34=1),1,0)</f>
        <v/>
      </c>
      <c r="VI35">
        <f>VI34+IF(AND($C34=34,$L34=1),1,0)</f>
        <v/>
      </c>
      <c r="VJ35">
        <f>VJ34+IF(AND($C34=35,$L34=1),1,0)</f>
        <v/>
      </c>
      <c r="VK35">
        <f>VK34+IF(AND($C34=36,$L34=1),1,0)</f>
        <v/>
      </c>
      <c r="VL35">
        <f>VL34+IF(AND($C34=37,$L34=1),1,0)</f>
        <v/>
      </c>
      <c r="VM35">
        <f>VM34+IF(AND($C34=38,$L34=1),1,0)</f>
        <v/>
      </c>
      <c r="VN35">
        <f>VN34+IF(AND($C34=39,$L34=1),1,0)</f>
        <v/>
      </c>
      <c r="VO35">
        <f>VO34+IF(AND($C34=40,$L34=1),1,0)</f>
        <v/>
      </c>
      <c r="VP35">
        <f>VP34+IF(AND($C34=41,$L34=1),1,0)</f>
        <v/>
      </c>
      <c r="VQ35">
        <f>VQ34+IF(AND($C34=42,$L34=1),1,0)</f>
        <v/>
      </c>
      <c r="VR35">
        <f>VR34+IF(AND($C34=43,$L34=1),1,0)</f>
        <v/>
      </c>
      <c r="VS35">
        <f>VS34+IF(AND($C34=44,$L34=1),1,0)</f>
        <v/>
      </c>
      <c r="VT35">
        <f>VT34+IF(AND($C34=45,$L34=1),1,0)</f>
        <v/>
      </c>
      <c r="VU35">
        <f>VU34+IF(AND($C34=46,$L34=1),1,0)</f>
        <v/>
      </c>
      <c r="VV35">
        <f>VV34+IF(AND($C34=47,$L34=1),1,0)</f>
        <v/>
      </c>
      <c r="VW35">
        <f>VW34+IF(AND($C34=48,$L34=1),1,0)</f>
        <v/>
      </c>
      <c r="VX35">
        <f>VX34+IF(AND($C34=49,$L34=1),1,0)</f>
        <v/>
      </c>
      <c r="VY35">
        <f>VY34+IF(AND($C34=50,$L34=1),1,0)</f>
        <v/>
      </c>
      <c r="VZ35">
        <f>VZ34+IF(AND($C34=51,$L34=1),1,0)</f>
        <v/>
      </c>
      <c r="WA35">
        <f>WA34+IF(AND($C34=52,$L34=1),1,0)</f>
        <v/>
      </c>
      <c r="WB35">
        <f>WB34+IF(AND($C34=53,$L34=1),1,0)</f>
        <v/>
      </c>
      <c r="WC35">
        <f>WC34+IF(AND($C34=54,$L34=1),1,0)</f>
        <v/>
      </c>
      <c r="WD35">
        <f>WD34+IF(AND($C34=55,$L34=1),1,0)</f>
        <v/>
      </c>
      <c r="WE35">
        <f>WE34+IF(AND($C34=56,$L34=1),1,0)</f>
        <v/>
      </c>
      <c r="WF35">
        <f>WF34+IF(AND($C34=57,$L34=1),1,0)</f>
        <v/>
      </c>
      <c r="WG35">
        <f>WG34+IF(AND($C34=58,$L34=1),1,0)</f>
        <v/>
      </c>
      <c r="WH35">
        <f>WH34+IF(AND($C34=59,$L34=1),1,0)</f>
        <v/>
      </c>
      <c r="WI35">
        <f>WI34+IF(AND($C34=60,$L34=1),1,0)</f>
        <v/>
      </c>
      <c r="WJ35">
        <f>WJ34+IF(AND($C34=61,$L34=1),1,0)</f>
        <v/>
      </c>
      <c r="WK35">
        <f>WK34+IF(AND($C34=62,$L34=1),1,0)</f>
        <v/>
      </c>
      <c r="WL35">
        <f>WL34+IF(AND($C34=63,$L34=1),1,0)</f>
        <v/>
      </c>
      <c r="WM35">
        <f>WM34+IF(AND($C34=64,$L34=1),1,0)</f>
        <v/>
      </c>
      <c r="WN35">
        <f>WN34+IF(AND($C34=65,$L34=1),1,0)</f>
        <v/>
      </c>
      <c r="WO35">
        <f>WO34+IF(AND($C34=66,$L34=1),1,0)</f>
        <v/>
      </c>
      <c r="WP35">
        <f>WP34+IF(AND($C34=67,$L34=1),1,0)</f>
        <v/>
      </c>
      <c r="WQ35">
        <f>WQ34+IF(AND($C34=68,$L34=1),1,0)</f>
        <v/>
      </c>
      <c r="WR35">
        <f>WR34+IF(AND($C34=69,$L34=1),1,0)</f>
        <v/>
      </c>
      <c r="WS35">
        <f>WS34+IF(AND($C34=70,$L34=1),1,0)</f>
        <v/>
      </c>
      <c r="WT35">
        <f>WT34+IF(AND($C34=71,$L34=1),1,0)</f>
        <v/>
      </c>
      <c r="WU35">
        <f>WU34+IF(AND($C34=72,$L34=1),1,0)</f>
        <v/>
      </c>
      <c r="WV35">
        <f>WV34+IF(AND($C34=73,$L34=1),1,0)</f>
        <v/>
      </c>
      <c r="WW35">
        <f>WW34+IF(AND($C34=74,$L34=1),1,0)</f>
        <v/>
      </c>
      <c r="WX35">
        <f>WX34+IF(AND($C34=75,$L34=1),1,0)</f>
        <v/>
      </c>
      <c r="WY35">
        <f>WY34+IF(AND($C34=76,$L34=1),1,0)</f>
        <v/>
      </c>
      <c r="WZ35">
        <f>WZ34+IF(AND($C34=77,$L34=1),1,0)</f>
        <v/>
      </c>
      <c r="XA35">
        <f>XA34+IF(AND($C34=78,$L34=1),1,0)</f>
        <v/>
      </c>
      <c r="XB35">
        <f>XB34+IF(AND($C34=79,$L34=1),1,0)</f>
        <v/>
      </c>
      <c r="XC35">
        <f>XC34+IF(AND($C34=80,$L34=1),1,0)</f>
        <v/>
      </c>
      <c r="XD35">
        <f>XD34+IF(AND($C34=81,$L34=1),1,0)</f>
        <v/>
      </c>
      <c r="XE35">
        <f>XE34+IF(AND($C34=82,$L34=1),1,0)</f>
        <v/>
      </c>
      <c r="XF35">
        <f>XF34+IF(AND($C34=83,$L34=1),1,0)</f>
        <v/>
      </c>
      <c r="XG35">
        <f>XG34+IF(AND($C34=84,$L34=1),1,0)</f>
        <v/>
      </c>
      <c r="XH35">
        <f>XH34+IF(AND($C34=85,$L34=1),1,0)</f>
        <v/>
      </c>
      <c r="XI35">
        <f>XI34+IF(AND($C34=86,$L34=1),1,0)</f>
        <v/>
      </c>
      <c r="XJ35">
        <f>XJ34+IF(AND($C34=87,$L34=1),1,0)</f>
        <v/>
      </c>
      <c r="XK35">
        <f>XK34+IF(AND($C34=88,$L34=1),1,0)</f>
        <v/>
      </c>
      <c r="XL35">
        <f>XL34+IF(AND($C34=89,$L34=1),1,0)</f>
        <v/>
      </c>
      <c r="XM35">
        <f>XM34+IF(AND($C34=90,$L34=1),1,0)</f>
        <v/>
      </c>
      <c r="XN35">
        <f>XN34+IF(AND($C34=91,$L34=1),1,0)</f>
        <v/>
      </c>
      <c r="XO35">
        <f>XO34+IF(AND($C34=92,$L34=1),1,0)</f>
        <v/>
      </c>
      <c r="XP35">
        <f>XP34+IF(AND($C34=93,$L34=1),1,0)</f>
        <v/>
      </c>
      <c r="XQ35">
        <f>XQ34+IF(AND($C34=94,$L34=1),1,0)</f>
        <v/>
      </c>
      <c r="XR35">
        <f>XR34+IF(AND($C34=95,$L34=1),1,0)</f>
        <v/>
      </c>
      <c r="XS35">
        <f>XS34+IF(AND($C34=96,$L34=1),1,0)</f>
        <v/>
      </c>
      <c r="XT35">
        <f>XT34+IF(AND($C34=97,$L34=1),1,0)</f>
        <v/>
      </c>
      <c r="XU35">
        <f>XU34+IF(AND($C34=98,$L34=1),1,0)</f>
        <v/>
      </c>
      <c r="XV35">
        <f>XV34+IF(AND($C34=99,$L34=1),1,0)</f>
        <v/>
      </c>
      <c r="XW35">
        <f>XW34+IF(AND($C34=100,$L34=1),1,0)</f>
        <v/>
      </c>
      <c r="XX35">
        <f>XX34+IF(AND($C34=101,$L34=1),1,0)</f>
        <v/>
      </c>
      <c r="XY35">
        <f>XY34+IF(AND($C34=102,$L34=1),1,0)</f>
        <v/>
      </c>
      <c r="XZ35">
        <f>XZ34+IF(AND($C34=103,$L34=1),1,0)</f>
        <v/>
      </c>
      <c r="YA35">
        <f>YA34+IF(AND($C34=104,$L34=1),1,0)</f>
        <v/>
      </c>
      <c r="YB35">
        <f>YB34+IF(AND($C34=105,$L34=1),1,0)</f>
        <v/>
      </c>
      <c r="YC35">
        <f>YC34+IF(AND($C34=106,$L34=1),1,0)</f>
        <v/>
      </c>
      <c r="YD35">
        <f>YD34+IF(AND($C34=107,$L34=1),1,0)</f>
        <v/>
      </c>
      <c r="YE35">
        <f>YE34+IF(AND($C34=108,$L34=1),1,0)</f>
        <v/>
      </c>
      <c r="YF35">
        <f>YF34+IF(AND($C34=109,$L34=1),1,0)</f>
        <v/>
      </c>
      <c r="YG35">
        <f>YG34+IF(AND($C34=110,$L34=1),1,0)</f>
        <v/>
      </c>
      <c r="YH35">
        <f>YH34+IF(AND($C34=111,$L34=1),1,0)</f>
        <v/>
      </c>
      <c r="YI35">
        <f>YI34+IF(AND($C34=112,$L34=1),1,0)</f>
        <v/>
      </c>
      <c r="YJ35">
        <f>YJ34+IF(AND($C34=113,$L34=1),1,0)</f>
        <v/>
      </c>
      <c r="YK35">
        <f>YK34+IF(AND($C34=114,$L34=1),1,0)</f>
        <v/>
      </c>
      <c r="YL35">
        <f>YL34+IF(AND($C34=115,$L34=1),1,0)</f>
        <v/>
      </c>
      <c r="YM35">
        <f>YM34+IF(AND($C34=116,$L34=1),1,0)</f>
        <v/>
      </c>
      <c r="YN35">
        <f>YN34+IF(AND($C34=117,$L34=1),1,0)</f>
        <v/>
      </c>
      <c r="YO35">
        <f>YO34+IF(AND($C34=118,$L34=1),1,0)</f>
        <v/>
      </c>
      <c r="YP35">
        <f>YP34+IF(AND($C34=119,$L34=1),1,0)</f>
        <v/>
      </c>
      <c r="YQ35">
        <f>YQ34+IF(AND($C34=120,$L34=1),1,0)</f>
        <v/>
      </c>
      <c r="YR35">
        <f>YR34+IF(AND($C34=121,$L34=1),1,0)</f>
        <v/>
      </c>
      <c r="YS35">
        <f>YS34+IF(AND($C34=122,$L34=1),1,0)</f>
        <v/>
      </c>
      <c r="YT35">
        <f>YT34+IF(AND($C34=123,$L34=1),1,0)</f>
        <v/>
      </c>
      <c r="YU35">
        <f>YU34+IF(AND($C34=124,$L34=1),1,0)</f>
        <v/>
      </c>
      <c r="YV35">
        <f>YV34+IF(AND($C34=125,$L34=1),1,0)</f>
        <v/>
      </c>
      <c r="YW35">
        <f>YW34+IF(AND($C34=126,$L34=1),1,0)</f>
        <v/>
      </c>
      <c r="YX35">
        <f>YX34+IF(AND($C34=127,$L34=1),1,0)</f>
        <v/>
      </c>
      <c r="YY35">
        <f>YY34+IF(AND($C34=128,$L34=1),1,0)</f>
        <v/>
      </c>
      <c r="YZ35">
        <f>YZ34+IF(AND($C34=129,$L34=1),1,0)</f>
        <v/>
      </c>
      <c r="ZA35">
        <f>ZA34+IF(AND($C34=130,$L34=1),1,0)</f>
        <v/>
      </c>
      <c r="ZB35">
        <f>ZB34+IF(AND($C34=131,$L34=1),1,0)</f>
        <v/>
      </c>
      <c r="ZC35">
        <f>ZC34+IF(AND($C34=132,$L34=1),1,0)</f>
        <v/>
      </c>
      <c r="ZD35">
        <f>ZD34+IF(AND($C34=133,$L34=1),1,0)</f>
        <v/>
      </c>
      <c r="ZE35">
        <f>ZE34+IF(AND($C34=134,$L34=1),1,0)</f>
        <v/>
      </c>
      <c r="ZF35">
        <f>ZF34+IF(AND($C34=135,$L34=1),1,0)</f>
        <v/>
      </c>
      <c r="ZG35">
        <f>ZG34+IF(AND($C34=136,$L34=1),1,0)</f>
        <v/>
      </c>
      <c r="ZH35">
        <f>ZH34+IF(AND($C34=137,$L34=1),1,0)</f>
        <v/>
      </c>
      <c r="ZI35">
        <f>ZI34+IF(AND($C34=138,$L34=1),1,0)</f>
        <v/>
      </c>
      <c r="ZJ35">
        <f>ZJ34+IF(AND($C34=139,$L34=1),1,0)</f>
        <v/>
      </c>
      <c r="ZK35">
        <f>ZK34+IF(AND($C34=140,$L34=1),1,0)</f>
        <v/>
      </c>
      <c r="ZL35">
        <f>ZL34+IF(AND($C34=141,$L34=1),1,0)</f>
        <v/>
      </c>
      <c r="ZM35">
        <f>ZM34+IF(AND($C34=142,$L34=1),1,0)</f>
        <v/>
      </c>
      <c r="ZN35">
        <f>ZN34+IF(AND($C34=143,$L34=1),1,0)</f>
        <v/>
      </c>
      <c r="ZO35">
        <f>ZO34+IF(AND($C34=144,$L34=1),1,0)</f>
        <v/>
      </c>
    </row>
    <row r="36">
      <c r="A36" t="n">
        <v>34</v>
      </c>
      <c r="B36">
        <f>IF(MIN(BH36:CZ36)&gt;=1000000,0,MATCH(MIN(BH36:CZ36),BH36:CZ36,0))</f>
        <v/>
      </c>
      <c r="C36">
        <f>IF(MIN(OF36:TS36)&gt;=1000000,0,MATCH(MIN(OF36:TS36),OF36:TS36,0))</f>
        <v/>
      </c>
      <c r="D36">
        <f>IF(C36&gt;0,INDEX('計算A'!$D$5:$EQ$5,C36),0)</f>
        <v/>
      </c>
      <c r="E36">
        <f>IF(B36=0,0,INDEX('計算A'!$IQ$10:$IQ$54,B36))</f>
        <v/>
      </c>
      <c r="F36">
        <f>IF(B36=0,0,INDEX('計算A'!$IP$10:$IP$54,B36))</f>
        <v/>
      </c>
      <c r="G36">
        <f>IF(AND(C36&gt;0,E36&gt;0),IF(AND(INDEX('計算A'!$D$106:$EQ$106,C36)=1,INDEX($IQ36:$OD36,C36)=1),C36+1,0),0)</f>
        <v/>
      </c>
      <c r="H36">
        <f>IF(B36=0,0,INDEX('計算A'!$IW$10:$IW$54,B36))</f>
        <v/>
      </c>
      <c r="I36">
        <f>IF(B36=0,0,MAX(0,INDEX('計算A'!$IT$10:$IT$54,B36)))</f>
        <v/>
      </c>
      <c r="J36">
        <f>IF(I36=0,0,INDEX('計算A'!$D$2:$EQ$2,I36))</f>
        <v/>
      </c>
      <c r="K36">
        <f>IF(I36=0,0,INDEX('計算A'!$D$3:$EQ$3,I36))</f>
        <v/>
      </c>
      <c r="L36">
        <f>IF(B36=0,0,INDEX('計算A'!$IX$10:$IX$54,B36))</f>
        <v/>
      </c>
      <c r="N36">
        <f>MAX(N35,IF($B35=1,1,0))</f>
        <v/>
      </c>
      <c r="O36">
        <f>MAX(O35,IF($B35=2,1,0))</f>
        <v/>
      </c>
      <c r="P36">
        <f>MAX(P35,IF($B35=3,1,0))</f>
        <v/>
      </c>
      <c r="Q36">
        <f>MAX(Q35,IF($B35=4,1,0))</f>
        <v/>
      </c>
      <c r="R36">
        <f>MAX(R35,IF($B35=5,1,0))</f>
        <v/>
      </c>
      <c r="S36">
        <f>MAX(S35,IF($B35=6,1,0))</f>
        <v/>
      </c>
      <c r="T36">
        <f>MAX(T35,IF($B35=7,1,0))</f>
        <v/>
      </c>
      <c r="U36">
        <f>MAX(U35,IF($B35=8,1,0))</f>
        <v/>
      </c>
      <c r="V36">
        <f>MAX(V35,IF($B35=9,1,0))</f>
        <v/>
      </c>
      <c r="W36">
        <f>MAX(W35,IF($B35=10,1,0))</f>
        <v/>
      </c>
      <c r="X36">
        <f>MAX(X35,IF($B35=11,1,0))</f>
        <v/>
      </c>
      <c r="Y36">
        <f>MAX(Y35,IF($B35=12,1,0))</f>
        <v/>
      </c>
      <c r="Z36">
        <f>MAX(Z35,IF($B35=13,1,0))</f>
        <v/>
      </c>
      <c r="AA36">
        <f>MAX(AA35,IF($B35=14,1,0))</f>
        <v/>
      </c>
      <c r="AB36">
        <f>MAX(AB35,IF($B35=15,1,0))</f>
        <v/>
      </c>
      <c r="AC36">
        <f>MAX(AC35,IF($B35=16,1,0))</f>
        <v/>
      </c>
      <c r="AD36">
        <f>MAX(AD35,IF($B35=17,1,0))</f>
        <v/>
      </c>
      <c r="AE36">
        <f>MAX(AE35,IF($B35=18,1,0))</f>
        <v/>
      </c>
      <c r="AF36">
        <f>MAX(AF35,IF($B35=19,1,0))</f>
        <v/>
      </c>
      <c r="AG36">
        <f>MAX(AG35,IF($B35=20,1,0))</f>
        <v/>
      </c>
      <c r="AH36">
        <f>MAX(AH35,IF($B35=21,1,0))</f>
        <v/>
      </c>
      <c r="AI36">
        <f>MAX(AI35,IF($B35=22,1,0))</f>
        <v/>
      </c>
      <c r="AJ36">
        <f>MAX(AJ35,IF($B35=23,1,0))</f>
        <v/>
      </c>
      <c r="AK36">
        <f>MAX(AK35,IF($B35=24,1,0))</f>
        <v/>
      </c>
      <c r="AL36">
        <f>MAX(AL35,IF($B35=25,1,0))</f>
        <v/>
      </c>
      <c r="AM36">
        <f>MAX(AM35,IF($B35=26,1,0))</f>
        <v/>
      </c>
      <c r="AN36">
        <f>MAX(AN35,IF($B35=27,1,0))</f>
        <v/>
      </c>
      <c r="AO36">
        <f>MAX(AO35,IF($B35=28,1,0))</f>
        <v/>
      </c>
      <c r="AP36">
        <f>MAX(AP35,IF($B35=29,1,0))</f>
        <v/>
      </c>
      <c r="AQ36">
        <f>MAX(AQ35,IF($B35=30,1,0))</f>
        <v/>
      </c>
      <c r="AR36">
        <f>MAX(AR35,IF($B35=31,1,0))</f>
        <v/>
      </c>
      <c r="AS36">
        <f>MAX(AS35,IF($B35=32,1,0))</f>
        <v/>
      </c>
      <c r="AT36">
        <f>MAX(AT35,IF($B35=33,1,0))</f>
        <v/>
      </c>
      <c r="AU36">
        <f>MAX(AU35,IF($B35=34,1,0))</f>
        <v/>
      </c>
      <c r="AV36">
        <f>MAX(AV35,IF($B35=35,1,0))</f>
        <v/>
      </c>
      <c r="AW36">
        <f>MAX(AW35,IF($B35=36,1,0))</f>
        <v/>
      </c>
      <c r="AX36">
        <f>MAX(AX35,IF($B35=37,1,0))</f>
        <v/>
      </c>
      <c r="AY36">
        <f>MAX(AY35,IF($B35=38,1,0))</f>
        <v/>
      </c>
      <c r="AZ36">
        <f>MAX(AZ35,IF($B35=39,1,0))</f>
        <v/>
      </c>
      <c r="BA36">
        <f>MAX(BA35,IF($B35=40,1,0))</f>
        <v/>
      </c>
      <c r="BB36">
        <f>MAX(BB35,IF($B35=41,1,0))</f>
        <v/>
      </c>
      <c r="BC36">
        <f>MAX(BC35,IF($B35=42,1,0))</f>
        <v/>
      </c>
      <c r="BD36">
        <f>MAX(BD35,IF($B35=43,1,0))</f>
        <v/>
      </c>
      <c r="BE36">
        <f>MAX(BE35,IF($B35=44,1,0))</f>
        <v/>
      </c>
      <c r="BF36">
        <f>MAX(BF35,IF($B35=45,1,0))</f>
        <v/>
      </c>
      <c r="BH36">
        <f>IF(N36=1,1000000,IF('計算A'!$IT$10&gt;0,0,500000)+IF('計算A'!$IQ$10=2,SUMPRODUCT('計算A'!$D$60:$EQ$60,$DB36:$IO36,$IQ36:$OD36),SUMPRODUCT('計算A'!$D$60:$EQ$60,$DB36:$IO36))*1000+1)</f>
        <v/>
      </c>
      <c r="BI36">
        <f>IF(O36=1,1000000,IF('計算A'!$IT$11&gt;0,0,500000)+IF('計算A'!$IQ$11=2,SUMPRODUCT('計算A'!$D$61:$EQ$61,$DB36:$IO36,$IQ36:$OD36),SUMPRODUCT('計算A'!$D$61:$EQ$61,$DB36:$IO36))*1000+2)</f>
        <v/>
      </c>
      <c r="BJ36">
        <f>IF(P36=1,1000000,IF('計算A'!$IT$12&gt;0,0,500000)+IF('計算A'!$IQ$12=2,SUMPRODUCT('計算A'!$D$62:$EQ$62,$DB36:$IO36,$IQ36:$OD36),SUMPRODUCT('計算A'!$D$62:$EQ$62,$DB36:$IO36))*1000+3)</f>
        <v/>
      </c>
      <c r="BK36">
        <f>IF(Q36=1,1000000,IF('計算A'!$IT$13&gt;0,0,500000)+IF('計算A'!$IQ$13=2,SUMPRODUCT('計算A'!$D$63:$EQ$63,$DB36:$IO36,$IQ36:$OD36),SUMPRODUCT('計算A'!$D$63:$EQ$63,$DB36:$IO36))*1000+4)</f>
        <v/>
      </c>
      <c r="BL36">
        <f>IF(R36=1,1000000,IF('計算A'!$IT$14&gt;0,0,500000)+IF('計算A'!$IQ$14=2,SUMPRODUCT('計算A'!$D$64:$EQ$64,$DB36:$IO36,$IQ36:$OD36),SUMPRODUCT('計算A'!$D$64:$EQ$64,$DB36:$IO36))*1000+5)</f>
        <v/>
      </c>
      <c r="BM36">
        <f>IF(S36=1,1000000,IF('計算A'!$IT$15&gt;0,0,500000)+IF('計算A'!$IQ$15=2,SUMPRODUCT('計算A'!$D$65:$EQ$65,$DB36:$IO36,$IQ36:$OD36),SUMPRODUCT('計算A'!$D$65:$EQ$65,$DB36:$IO36))*1000+6)</f>
        <v/>
      </c>
      <c r="BN36">
        <f>IF(T36=1,1000000,IF('計算A'!$IT$16&gt;0,0,500000)+IF('計算A'!$IQ$16=2,SUMPRODUCT('計算A'!$D$66:$EQ$66,$DB36:$IO36,$IQ36:$OD36),SUMPRODUCT('計算A'!$D$66:$EQ$66,$DB36:$IO36))*1000+7)</f>
        <v/>
      </c>
      <c r="BO36">
        <f>IF(U36=1,1000000,IF('計算A'!$IT$17&gt;0,0,500000)+IF('計算A'!$IQ$17=2,SUMPRODUCT('計算A'!$D$67:$EQ$67,$DB36:$IO36,$IQ36:$OD36),SUMPRODUCT('計算A'!$D$67:$EQ$67,$DB36:$IO36))*1000+8)</f>
        <v/>
      </c>
      <c r="BP36">
        <f>IF(V36=1,1000000,IF('計算A'!$IT$18&gt;0,0,500000)+IF('計算A'!$IQ$18=2,SUMPRODUCT('計算A'!$D$68:$EQ$68,$DB36:$IO36,$IQ36:$OD36),SUMPRODUCT('計算A'!$D$68:$EQ$68,$DB36:$IO36))*1000+9)</f>
        <v/>
      </c>
      <c r="BQ36">
        <f>IF(W36=1,1000000,IF('計算A'!$IT$19&gt;0,0,500000)+IF('計算A'!$IQ$19=2,SUMPRODUCT('計算A'!$D$69:$EQ$69,$DB36:$IO36,$IQ36:$OD36),SUMPRODUCT('計算A'!$D$69:$EQ$69,$DB36:$IO36))*1000+10)</f>
        <v/>
      </c>
      <c r="BR36">
        <f>IF(X36=1,1000000,IF('計算A'!$IT$20&gt;0,0,500000)+IF('計算A'!$IQ$20=2,SUMPRODUCT('計算A'!$D$70:$EQ$70,$DB36:$IO36,$IQ36:$OD36),SUMPRODUCT('計算A'!$D$70:$EQ$70,$DB36:$IO36))*1000+11)</f>
        <v/>
      </c>
      <c r="BS36">
        <f>IF(Y36=1,1000000,IF('計算A'!$IT$21&gt;0,0,500000)+IF('計算A'!$IQ$21=2,SUMPRODUCT('計算A'!$D$71:$EQ$71,$DB36:$IO36,$IQ36:$OD36),SUMPRODUCT('計算A'!$D$71:$EQ$71,$DB36:$IO36))*1000+12)</f>
        <v/>
      </c>
      <c r="BT36">
        <f>IF(Z36=1,1000000,IF('計算A'!$IT$22&gt;0,0,500000)+IF('計算A'!$IQ$22=2,SUMPRODUCT('計算A'!$D$72:$EQ$72,$DB36:$IO36,$IQ36:$OD36),SUMPRODUCT('計算A'!$D$72:$EQ$72,$DB36:$IO36))*1000+13)</f>
        <v/>
      </c>
      <c r="BU36">
        <f>IF(AA36=1,1000000,IF('計算A'!$IT$23&gt;0,0,500000)+IF('計算A'!$IQ$23=2,SUMPRODUCT('計算A'!$D$73:$EQ$73,$DB36:$IO36,$IQ36:$OD36),SUMPRODUCT('計算A'!$D$73:$EQ$73,$DB36:$IO36))*1000+14)</f>
        <v/>
      </c>
      <c r="BV36">
        <f>IF(AB36=1,1000000,IF('計算A'!$IT$24&gt;0,0,500000)+IF('計算A'!$IQ$24=2,SUMPRODUCT('計算A'!$D$74:$EQ$74,$DB36:$IO36,$IQ36:$OD36),SUMPRODUCT('計算A'!$D$74:$EQ$74,$DB36:$IO36))*1000+15)</f>
        <v/>
      </c>
      <c r="BW36">
        <f>IF(AC36=1,1000000,IF('計算A'!$IT$25&gt;0,0,500000)+IF('計算A'!$IQ$25=2,SUMPRODUCT('計算A'!$D$75:$EQ$75,$DB36:$IO36,$IQ36:$OD36),SUMPRODUCT('計算A'!$D$75:$EQ$75,$DB36:$IO36))*1000+16)</f>
        <v/>
      </c>
      <c r="BX36">
        <f>IF(AD36=1,1000000,IF('計算A'!$IT$26&gt;0,0,500000)+IF('計算A'!$IQ$26=2,SUMPRODUCT('計算A'!$D$76:$EQ$76,$DB36:$IO36,$IQ36:$OD36),SUMPRODUCT('計算A'!$D$76:$EQ$76,$DB36:$IO36))*1000+17)</f>
        <v/>
      </c>
      <c r="BY36">
        <f>IF(AE36=1,1000000,IF('計算A'!$IT$27&gt;0,0,500000)+IF('計算A'!$IQ$27=2,SUMPRODUCT('計算A'!$D$77:$EQ$77,$DB36:$IO36,$IQ36:$OD36),SUMPRODUCT('計算A'!$D$77:$EQ$77,$DB36:$IO36))*1000+18)</f>
        <v/>
      </c>
      <c r="BZ36">
        <f>IF(AF36=1,1000000,IF('計算A'!$IT$28&gt;0,0,500000)+IF('計算A'!$IQ$28=2,SUMPRODUCT('計算A'!$D$78:$EQ$78,$DB36:$IO36,$IQ36:$OD36),SUMPRODUCT('計算A'!$D$78:$EQ$78,$DB36:$IO36))*1000+19)</f>
        <v/>
      </c>
      <c r="CA36">
        <f>IF(AG36=1,1000000,IF('計算A'!$IT$29&gt;0,0,500000)+IF('計算A'!$IQ$29=2,SUMPRODUCT('計算A'!$D$79:$EQ$79,$DB36:$IO36,$IQ36:$OD36),SUMPRODUCT('計算A'!$D$79:$EQ$79,$DB36:$IO36))*1000+20)</f>
        <v/>
      </c>
      <c r="CB36">
        <f>IF(AH36=1,1000000,IF('計算A'!$IT$30&gt;0,0,500000)+IF('計算A'!$IQ$30=2,SUMPRODUCT('計算A'!$D$80:$EQ$80,$DB36:$IO36,$IQ36:$OD36),SUMPRODUCT('計算A'!$D$80:$EQ$80,$DB36:$IO36))*1000+21)</f>
        <v/>
      </c>
      <c r="CC36">
        <f>IF(AI36=1,1000000,IF('計算A'!$IT$31&gt;0,0,500000)+IF('計算A'!$IQ$31=2,SUMPRODUCT('計算A'!$D$81:$EQ$81,$DB36:$IO36,$IQ36:$OD36),SUMPRODUCT('計算A'!$D$81:$EQ$81,$DB36:$IO36))*1000+22)</f>
        <v/>
      </c>
      <c r="CD36">
        <f>IF(AJ36=1,1000000,IF('計算A'!$IT$32&gt;0,0,500000)+IF('計算A'!$IQ$32=2,SUMPRODUCT('計算A'!$D$82:$EQ$82,$DB36:$IO36,$IQ36:$OD36),SUMPRODUCT('計算A'!$D$82:$EQ$82,$DB36:$IO36))*1000+23)</f>
        <v/>
      </c>
      <c r="CE36">
        <f>IF(AK36=1,1000000,IF('計算A'!$IT$33&gt;0,0,500000)+IF('計算A'!$IQ$33=2,SUMPRODUCT('計算A'!$D$83:$EQ$83,$DB36:$IO36,$IQ36:$OD36),SUMPRODUCT('計算A'!$D$83:$EQ$83,$DB36:$IO36))*1000+24)</f>
        <v/>
      </c>
      <c r="CF36">
        <f>IF(AL36=1,1000000,IF('計算A'!$IT$34&gt;0,0,500000)+IF('計算A'!$IQ$34=2,SUMPRODUCT('計算A'!$D$84:$EQ$84,$DB36:$IO36,$IQ36:$OD36),SUMPRODUCT('計算A'!$D$84:$EQ$84,$DB36:$IO36))*1000+25)</f>
        <v/>
      </c>
      <c r="CG36">
        <f>IF(AM36=1,1000000,IF('計算A'!$IT$35&gt;0,0,500000)+IF('計算A'!$IQ$35=2,SUMPRODUCT('計算A'!$D$85:$EQ$85,$DB36:$IO36,$IQ36:$OD36),SUMPRODUCT('計算A'!$D$85:$EQ$85,$DB36:$IO36))*1000+26)</f>
        <v/>
      </c>
      <c r="CH36">
        <f>IF(AN36=1,1000000,IF('計算A'!$IT$36&gt;0,0,500000)+IF('計算A'!$IQ$36=2,SUMPRODUCT('計算A'!$D$86:$EQ$86,$DB36:$IO36,$IQ36:$OD36),SUMPRODUCT('計算A'!$D$86:$EQ$86,$DB36:$IO36))*1000+27)</f>
        <v/>
      </c>
      <c r="CI36">
        <f>IF(AO36=1,1000000,IF('計算A'!$IT$37&gt;0,0,500000)+IF('計算A'!$IQ$37=2,SUMPRODUCT('計算A'!$D$87:$EQ$87,$DB36:$IO36,$IQ36:$OD36),SUMPRODUCT('計算A'!$D$87:$EQ$87,$DB36:$IO36))*1000+28)</f>
        <v/>
      </c>
      <c r="CJ36">
        <f>IF(AP36=1,1000000,IF('計算A'!$IT$38&gt;0,0,500000)+IF('計算A'!$IQ$38=2,SUMPRODUCT('計算A'!$D$88:$EQ$88,$DB36:$IO36,$IQ36:$OD36),SUMPRODUCT('計算A'!$D$88:$EQ$88,$DB36:$IO36))*1000+29)</f>
        <v/>
      </c>
      <c r="CK36">
        <f>IF(AQ36=1,1000000,IF('計算A'!$IT$39&gt;0,0,500000)+IF('計算A'!$IQ$39=2,SUMPRODUCT('計算A'!$D$89:$EQ$89,$DB36:$IO36,$IQ36:$OD36),SUMPRODUCT('計算A'!$D$89:$EQ$89,$DB36:$IO36))*1000+30)</f>
        <v/>
      </c>
      <c r="CL36">
        <f>IF(AR36=1,1000000,IF('計算A'!$IT$40&gt;0,0,500000)+IF('計算A'!$IQ$40=2,SUMPRODUCT('計算A'!$D$90:$EQ$90,$DB36:$IO36,$IQ36:$OD36),SUMPRODUCT('計算A'!$D$90:$EQ$90,$DB36:$IO36))*1000+31)</f>
        <v/>
      </c>
      <c r="CM36">
        <f>IF(AS36=1,1000000,IF('計算A'!$IT$41&gt;0,0,500000)+IF('計算A'!$IQ$41=2,SUMPRODUCT('計算A'!$D$91:$EQ$91,$DB36:$IO36,$IQ36:$OD36),SUMPRODUCT('計算A'!$D$91:$EQ$91,$DB36:$IO36))*1000+32)</f>
        <v/>
      </c>
      <c r="CN36">
        <f>IF(AT36=1,1000000,IF('計算A'!$IT$42&gt;0,0,500000)+IF('計算A'!$IQ$42=2,SUMPRODUCT('計算A'!$D$92:$EQ$92,$DB36:$IO36,$IQ36:$OD36),SUMPRODUCT('計算A'!$D$92:$EQ$92,$DB36:$IO36))*1000+33)</f>
        <v/>
      </c>
      <c r="CO36">
        <f>IF(AU36=1,1000000,IF('計算A'!$IT$43&gt;0,0,500000)+IF('計算A'!$IQ$43=2,SUMPRODUCT('計算A'!$D$93:$EQ$93,$DB36:$IO36,$IQ36:$OD36),SUMPRODUCT('計算A'!$D$93:$EQ$93,$DB36:$IO36))*1000+34)</f>
        <v/>
      </c>
      <c r="CP36">
        <f>IF(AV36=1,1000000,IF('計算A'!$IT$44&gt;0,0,500000)+IF('計算A'!$IQ$44=2,SUMPRODUCT('計算A'!$D$94:$EQ$94,$DB36:$IO36,$IQ36:$OD36),SUMPRODUCT('計算A'!$D$94:$EQ$94,$DB36:$IO36))*1000+35)</f>
        <v/>
      </c>
      <c r="CQ36">
        <f>IF(AW36=1,1000000,IF('計算A'!$IT$45&gt;0,0,500000)+IF('計算A'!$IQ$45=2,SUMPRODUCT('計算A'!$D$95:$EQ$95,$DB36:$IO36,$IQ36:$OD36),SUMPRODUCT('計算A'!$D$95:$EQ$95,$DB36:$IO36))*1000+36)</f>
        <v/>
      </c>
      <c r="CR36">
        <f>IF(AX36=1,1000000,IF('計算A'!$IT$46&gt;0,0,500000)+IF('計算A'!$IQ$46=2,SUMPRODUCT('計算A'!$D$96:$EQ$96,$DB36:$IO36,$IQ36:$OD36),SUMPRODUCT('計算A'!$D$96:$EQ$96,$DB36:$IO36))*1000+37)</f>
        <v/>
      </c>
      <c r="CS36">
        <f>IF(AY36=1,1000000,IF('計算A'!$IT$47&gt;0,0,500000)+IF('計算A'!$IQ$47=2,SUMPRODUCT('計算A'!$D$97:$EQ$97,$DB36:$IO36,$IQ36:$OD36),SUMPRODUCT('計算A'!$D$97:$EQ$97,$DB36:$IO36))*1000+38)</f>
        <v/>
      </c>
      <c r="CT36">
        <f>IF(AZ36=1,1000000,IF('計算A'!$IT$48&gt;0,0,500000)+IF('計算A'!$IQ$48=2,SUMPRODUCT('計算A'!$D$98:$EQ$98,$DB36:$IO36,$IQ36:$OD36),SUMPRODUCT('計算A'!$D$98:$EQ$98,$DB36:$IO36))*1000+39)</f>
        <v/>
      </c>
      <c r="CU36">
        <f>IF(BA36=1,1000000,IF('計算A'!$IT$49&gt;0,0,500000)+IF('計算A'!$IQ$49=2,SUMPRODUCT('計算A'!$D$99:$EQ$99,$DB36:$IO36,$IQ36:$OD36),SUMPRODUCT('計算A'!$D$99:$EQ$99,$DB36:$IO36))*1000+40)</f>
        <v/>
      </c>
      <c r="CV36">
        <f>IF(BB36=1,1000000,IF('計算A'!$IT$50&gt;0,0,500000)+IF('計算A'!$IQ$50=2,SUMPRODUCT('計算A'!$D$100:$EQ$100,$DB36:$IO36,$IQ36:$OD36),SUMPRODUCT('計算A'!$D$100:$EQ$100,$DB36:$IO36))*1000+41)</f>
        <v/>
      </c>
      <c r="CW36">
        <f>IF(BC36=1,1000000,IF('計算A'!$IT$51&gt;0,0,500000)+IF('計算A'!$IQ$51=2,SUMPRODUCT('計算A'!$D$101:$EQ$101,$DB36:$IO36,$IQ36:$OD36),SUMPRODUCT('計算A'!$D$101:$EQ$101,$DB36:$IO36))*1000+42)</f>
        <v/>
      </c>
      <c r="CX36">
        <f>IF(BD36=1,1000000,IF('計算A'!$IT$52&gt;0,0,500000)+IF('計算A'!$IQ$52=2,SUMPRODUCT('計算A'!$D$102:$EQ$102,$DB36:$IO36,$IQ36:$OD36),SUMPRODUCT('計算A'!$D$102:$EQ$102,$DB36:$IO36))*1000+43)</f>
        <v/>
      </c>
      <c r="CY36">
        <f>IF(BE36=1,1000000,IF('計算A'!$IT$53&gt;0,0,500000)+IF('計算A'!$IQ$53=2,SUMPRODUCT('計算A'!$D$103:$EQ$103,$DB36:$IO36,$IQ36:$OD36),SUMPRODUCT('計算A'!$D$103:$EQ$103,$DB36:$IO36))*1000+44)</f>
        <v/>
      </c>
      <c r="CZ36">
        <f>IF(BF36=1,1000000,IF('計算A'!$IT$54&gt;0,0,500000)+IF('計算A'!$IQ$54=2,SUMPRODUCT('計算A'!$D$104:$EQ$104,$DB36:$IO36,$IQ36:$OD36),SUMPRODUCT('計算A'!$D$104:$EQ$104,$DB36:$IO36))*1000+45)</f>
        <v/>
      </c>
      <c r="DB36">
        <f>DB35*IF(OR($C35=1,$G35=1),0,1)</f>
        <v/>
      </c>
      <c r="DC36">
        <f>DC35*IF(OR($C35=2,$G35=2),0,1)</f>
        <v/>
      </c>
      <c r="DD36">
        <f>DD35*IF(OR($C35=3,$G35=3),0,1)</f>
        <v/>
      </c>
      <c r="DE36">
        <f>DE35*IF(OR($C35=4,$G35=4),0,1)</f>
        <v/>
      </c>
      <c r="DF36">
        <f>DF35*IF(OR($C35=5,$G35=5),0,1)</f>
        <v/>
      </c>
      <c r="DG36">
        <f>DG35*IF(OR($C35=6,$G35=6),0,1)</f>
        <v/>
      </c>
      <c r="DH36">
        <f>DH35*IF(OR($C35=7,$G35=7),0,1)</f>
        <v/>
      </c>
      <c r="DI36">
        <f>DI35*IF(OR($C35=8,$G35=8),0,1)</f>
        <v/>
      </c>
      <c r="DJ36">
        <f>DJ35*IF(OR($C35=9,$G35=9),0,1)</f>
        <v/>
      </c>
      <c r="DK36">
        <f>DK35*IF(OR($C35=10,$G35=10),0,1)</f>
        <v/>
      </c>
      <c r="DL36">
        <f>DL35*IF(OR($C35=11,$G35=11),0,1)</f>
        <v/>
      </c>
      <c r="DM36">
        <f>DM35*IF(OR($C35=12,$G35=12),0,1)</f>
        <v/>
      </c>
      <c r="DN36">
        <f>DN35*IF(OR($C35=13,$G35=13),0,1)</f>
        <v/>
      </c>
      <c r="DO36">
        <f>DO35*IF(OR($C35=14,$G35=14),0,1)</f>
        <v/>
      </c>
      <c r="DP36">
        <f>DP35*IF(OR($C35=15,$G35=15),0,1)</f>
        <v/>
      </c>
      <c r="DQ36">
        <f>DQ35*IF(OR($C35=16,$G35=16),0,1)</f>
        <v/>
      </c>
      <c r="DR36">
        <f>DR35*IF(OR($C35=17,$G35=17),0,1)</f>
        <v/>
      </c>
      <c r="DS36">
        <f>DS35*IF(OR($C35=18,$G35=18),0,1)</f>
        <v/>
      </c>
      <c r="DT36">
        <f>DT35*IF(OR($C35=19,$G35=19),0,1)</f>
        <v/>
      </c>
      <c r="DU36">
        <f>DU35*IF(OR($C35=20,$G35=20),0,1)</f>
        <v/>
      </c>
      <c r="DV36">
        <f>DV35*IF(OR($C35=21,$G35=21),0,1)</f>
        <v/>
      </c>
      <c r="DW36">
        <f>DW35*IF(OR($C35=22,$G35=22),0,1)</f>
        <v/>
      </c>
      <c r="DX36">
        <f>DX35*IF(OR($C35=23,$G35=23),0,1)</f>
        <v/>
      </c>
      <c r="DY36">
        <f>DY35*IF(OR($C35=24,$G35=24),0,1)</f>
        <v/>
      </c>
      <c r="DZ36">
        <f>DZ35*IF(OR($C35=25,$G35=25),0,1)</f>
        <v/>
      </c>
      <c r="EA36">
        <f>EA35*IF(OR($C35=26,$G35=26),0,1)</f>
        <v/>
      </c>
      <c r="EB36">
        <f>EB35*IF(OR($C35=27,$G35=27),0,1)</f>
        <v/>
      </c>
      <c r="EC36">
        <f>EC35*IF(OR($C35=28,$G35=28),0,1)</f>
        <v/>
      </c>
      <c r="ED36">
        <f>ED35*IF(OR($C35=29,$G35=29),0,1)</f>
        <v/>
      </c>
      <c r="EE36">
        <f>EE35*IF(OR($C35=30,$G35=30),0,1)</f>
        <v/>
      </c>
      <c r="EF36">
        <f>EF35*IF(OR($C35=31,$G35=31),0,1)</f>
        <v/>
      </c>
      <c r="EG36">
        <f>EG35*IF(OR($C35=32,$G35=32),0,1)</f>
        <v/>
      </c>
      <c r="EH36">
        <f>EH35*IF(OR($C35=33,$G35=33),0,1)</f>
        <v/>
      </c>
      <c r="EI36">
        <f>EI35*IF(OR($C35=34,$G35=34),0,1)</f>
        <v/>
      </c>
      <c r="EJ36">
        <f>EJ35*IF(OR($C35=35,$G35=35),0,1)</f>
        <v/>
      </c>
      <c r="EK36">
        <f>EK35*IF(OR($C35=36,$G35=36),0,1)</f>
        <v/>
      </c>
      <c r="EL36">
        <f>EL35*IF(OR($C35=37,$G35=37),0,1)</f>
        <v/>
      </c>
      <c r="EM36">
        <f>EM35*IF(OR($C35=38,$G35=38),0,1)</f>
        <v/>
      </c>
      <c r="EN36">
        <f>EN35*IF(OR($C35=39,$G35=39),0,1)</f>
        <v/>
      </c>
      <c r="EO36">
        <f>EO35*IF(OR($C35=40,$G35=40),0,1)</f>
        <v/>
      </c>
      <c r="EP36">
        <f>EP35*IF(OR($C35=41,$G35=41),0,1)</f>
        <v/>
      </c>
      <c r="EQ36">
        <f>EQ35*IF(OR($C35=42,$G35=42),0,1)</f>
        <v/>
      </c>
      <c r="ER36">
        <f>ER35*IF(OR($C35=43,$G35=43),0,1)</f>
        <v/>
      </c>
      <c r="ES36">
        <f>ES35*IF(OR($C35=44,$G35=44),0,1)</f>
        <v/>
      </c>
      <c r="ET36">
        <f>ET35*IF(OR($C35=45,$G35=45),0,1)</f>
        <v/>
      </c>
      <c r="EU36">
        <f>EU35*IF(OR($C35=46,$G35=46),0,1)</f>
        <v/>
      </c>
      <c r="EV36">
        <f>EV35*IF(OR($C35=47,$G35=47),0,1)</f>
        <v/>
      </c>
      <c r="EW36">
        <f>EW35*IF(OR($C35=48,$G35=48),0,1)</f>
        <v/>
      </c>
      <c r="EX36">
        <f>EX35*IF(OR($C35=49,$G35=49),0,1)</f>
        <v/>
      </c>
      <c r="EY36">
        <f>EY35*IF(OR($C35=50,$G35=50),0,1)</f>
        <v/>
      </c>
      <c r="EZ36">
        <f>EZ35*IF(OR($C35=51,$G35=51),0,1)</f>
        <v/>
      </c>
      <c r="FA36">
        <f>FA35*IF(OR($C35=52,$G35=52),0,1)</f>
        <v/>
      </c>
      <c r="FB36">
        <f>FB35*IF(OR($C35=53,$G35=53),0,1)</f>
        <v/>
      </c>
      <c r="FC36">
        <f>FC35*IF(OR($C35=54,$G35=54),0,1)</f>
        <v/>
      </c>
      <c r="FD36">
        <f>FD35*IF(OR($C35=55,$G35=55),0,1)</f>
        <v/>
      </c>
      <c r="FE36">
        <f>FE35*IF(OR($C35=56,$G35=56),0,1)</f>
        <v/>
      </c>
      <c r="FF36">
        <f>FF35*IF(OR($C35=57,$G35=57),0,1)</f>
        <v/>
      </c>
      <c r="FG36">
        <f>FG35*IF(OR($C35=58,$G35=58),0,1)</f>
        <v/>
      </c>
      <c r="FH36">
        <f>FH35*IF(OR($C35=59,$G35=59),0,1)</f>
        <v/>
      </c>
      <c r="FI36">
        <f>FI35*IF(OR($C35=60,$G35=60),0,1)</f>
        <v/>
      </c>
      <c r="FJ36">
        <f>FJ35*IF(OR($C35=61,$G35=61),0,1)</f>
        <v/>
      </c>
      <c r="FK36">
        <f>FK35*IF(OR($C35=62,$G35=62),0,1)</f>
        <v/>
      </c>
      <c r="FL36">
        <f>FL35*IF(OR($C35=63,$G35=63),0,1)</f>
        <v/>
      </c>
      <c r="FM36">
        <f>FM35*IF(OR($C35=64,$G35=64),0,1)</f>
        <v/>
      </c>
      <c r="FN36">
        <f>FN35*IF(OR($C35=65,$G35=65),0,1)</f>
        <v/>
      </c>
      <c r="FO36">
        <f>FO35*IF(OR($C35=66,$G35=66),0,1)</f>
        <v/>
      </c>
      <c r="FP36">
        <f>FP35*IF(OR($C35=67,$G35=67),0,1)</f>
        <v/>
      </c>
      <c r="FQ36">
        <f>FQ35*IF(OR($C35=68,$G35=68),0,1)</f>
        <v/>
      </c>
      <c r="FR36">
        <f>FR35*IF(OR($C35=69,$G35=69),0,1)</f>
        <v/>
      </c>
      <c r="FS36">
        <f>FS35*IF(OR($C35=70,$G35=70),0,1)</f>
        <v/>
      </c>
      <c r="FT36">
        <f>FT35*IF(OR($C35=71,$G35=71),0,1)</f>
        <v/>
      </c>
      <c r="FU36">
        <f>FU35*IF(OR($C35=72,$G35=72),0,1)</f>
        <v/>
      </c>
      <c r="FV36">
        <f>FV35*IF(OR($C35=73,$G35=73),0,1)</f>
        <v/>
      </c>
      <c r="FW36">
        <f>FW35*IF(OR($C35=74,$G35=74),0,1)</f>
        <v/>
      </c>
      <c r="FX36">
        <f>FX35*IF(OR($C35=75,$G35=75),0,1)</f>
        <v/>
      </c>
      <c r="FY36">
        <f>FY35*IF(OR($C35=76,$G35=76),0,1)</f>
        <v/>
      </c>
      <c r="FZ36">
        <f>FZ35*IF(OR($C35=77,$G35=77),0,1)</f>
        <v/>
      </c>
      <c r="GA36">
        <f>GA35*IF(OR($C35=78,$G35=78),0,1)</f>
        <v/>
      </c>
      <c r="GB36">
        <f>GB35*IF(OR($C35=79,$G35=79),0,1)</f>
        <v/>
      </c>
      <c r="GC36">
        <f>GC35*IF(OR($C35=80,$G35=80),0,1)</f>
        <v/>
      </c>
      <c r="GD36">
        <f>GD35*IF(OR($C35=81,$G35=81),0,1)</f>
        <v/>
      </c>
      <c r="GE36">
        <f>GE35*IF(OR($C35=82,$G35=82),0,1)</f>
        <v/>
      </c>
      <c r="GF36">
        <f>GF35*IF(OR($C35=83,$G35=83),0,1)</f>
        <v/>
      </c>
      <c r="GG36">
        <f>GG35*IF(OR($C35=84,$G35=84),0,1)</f>
        <v/>
      </c>
      <c r="GH36">
        <f>GH35*IF(OR($C35=85,$G35=85),0,1)</f>
        <v/>
      </c>
      <c r="GI36">
        <f>GI35*IF(OR($C35=86,$G35=86),0,1)</f>
        <v/>
      </c>
      <c r="GJ36">
        <f>GJ35*IF(OR($C35=87,$G35=87),0,1)</f>
        <v/>
      </c>
      <c r="GK36">
        <f>GK35*IF(OR($C35=88,$G35=88),0,1)</f>
        <v/>
      </c>
      <c r="GL36">
        <f>GL35*IF(OR($C35=89,$G35=89),0,1)</f>
        <v/>
      </c>
      <c r="GM36">
        <f>GM35*IF(OR($C35=90,$G35=90),0,1)</f>
        <v/>
      </c>
      <c r="GN36">
        <f>GN35*IF(OR($C35=91,$G35=91),0,1)</f>
        <v/>
      </c>
      <c r="GO36">
        <f>GO35*IF(OR($C35=92,$G35=92),0,1)</f>
        <v/>
      </c>
      <c r="GP36">
        <f>GP35*IF(OR($C35=93,$G35=93),0,1)</f>
        <v/>
      </c>
      <c r="GQ36">
        <f>GQ35*IF(OR($C35=94,$G35=94),0,1)</f>
        <v/>
      </c>
      <c r="GR36">
        <f>GR35*IF(OR($C35=95,$G35=95),0,1)</f>
        <v/>
      </c>
      <c r="GS36">
        <f>GS35*IF(OR($C35=96,$G35=96),0,1)</f>
        <v/>
      </c>
      <c r="GT36">
        <f>GT35*IF(OR($C35=97,$G35=97),0,1)</f>
        <v/>
      </c>
      <c r="GU36">
        <f>GU35*IF(OR($C35=98,$G35=98),0,1)</f>
        <v/>
      </c>
      <c r="GV36">
        <f>GV35*IF(OR($C35=99,$G35=99),0,1)</f>
        <v/>
      </c>
      <c r="GW36">
        <f>GW35*IF(OR($C35=100,$G35=100),0,1)</f>
        <v/>
      </c>
      <c r="GX36">
        <f>GX35*IF(OR($C35=101,$G35=101),0,1)</f>
        <v/>
      </c>
      <c r="GY36">
        <f>GY35*IF(OR($C35=102,$G35=102),0,1)</f>
        <v/>
      </c>
      <c r="GZ36">
        <f>GZ35*IF(OR($C35=103,$G35=103),0,1)</f>
        <v/>
      </c>
      <c r="HA36">
        <f>HA35*IF(OR($C35=104,$G35=104),0,1)</f>
        <v/>
      </c>
      <c r="HB36">
        <f>HB35*IF(OR($C35=105,$G35=105),0,1)</f>
        <v/>
      </c>
      <c r="HC36">
        <f>HC35*IF(OR($C35=106,$G35=106),0,1)</f>
        <v/>
      </c>
      <c r="HD36">
        <f>HD35*IF(OR($C35=107,$G35=107),0,1)</f>
        <v/>
      </c>
      <c r="HE36">
        <f>HE35*IF(OR($C35=108,$G35=108),0,1)</f>
        <v/>
      </c>
      <c r="HF36">
        <f>HF35*IF(OR($C35=109,$G35=109),0,1)</f>
        <v/>
      </c>
      <c r="HG36">
        <f>HG35*IF(OR($C35=110,$G35=110),0,1)</f>
        <v/>
      </c>
      <c r="HH36">
        <f>HH35*IF(OR($C35=111,$G35=111),0,1)</f>
        <v/>
      </c>
      <c r="HI36">
        <f>HI35*IF(OR($C35=112,$G35=112),0,1)</f>
        <v/>
      </c>
      <c r="HJ36">
        <f>HJ35*IF(OR($C35=113,$G35=113),0,1)</f>
        <v/>
      </c>
      <c r="HK36">
        <f>HK35*IF(OR($C35=114,$G35=114),0,1)</f>
        <v/>
      </c>
      <c r="HL36">
        <f>HL35*IF(OR($C35=115,$G35=115),0,1)</f>
        <v/>
      </c>
      <c r="HM36">
        <f>HM35*IF(OR($C35=116,$G35=116),0,1)</f>
        <v/>
      </c>
      <c r="HN36">
        <f>HN35*IF(OR($C35=117,$G35=117),0,1)</f>
        <v/>
      </c>
      <c r="HO36">
        <f>HO35*IF(OR($C35=118,$G35=118),0,1)</f>
        <v/>
      </c>
      <c r="HP36">
        <f>HP35*IF(OR($C35=119,$G35=119),0,1)</f>
        <v/>
      </c>
      <c r="HQ36">
        <f>HQ35*IF(OR($C35=120,$G35=120),0,1)</f>
        <v/>
      </c>
      <c r="HR36">
        <f>HR35*IF(OR($C35=121,$G35=121),0,1)</f>
        <v/>
      </c>
      <c r="HS36">
        <f>HS35*IF(OR($C35=122,$G35=122),0,1)</f>
        <v/>
      </c>
      <c r="HT36">
        <f>HT35*IF(OR($C35=123,$G35=123),0,1)</f>
        <v/>
      </c>
      <c r="HU36">
        <f>HU35*IF(OR($C35=124,$G35=124),0,1)</f>
        <v/>
      </c>
      <c r="HV36">
        <f>HV35*IF(OR($C35=125,$G35=125),0,1)</f>
        <v/>
      </c>
      <c r="HW36">
        <f>HW35*IF(OR($C35=126,$G35=126),0,1)</f>
        <v/>
      </c>
      <c r="HX36">
        <f>HX35*IF(OR($C35=127,$G35=127),0,1)</f>
        <v/>
      </c>
      <c r="HY36">
        <f>HY35*IF(OR($C35=128,$G35=128),0,1)</f>
        <v/>
      </c>
      <c r="HZ36">
        <f>HZ35*IF(OR($C35=129,$G35=129),0,1)</f>
        <v/>
      </c>
      <c r="IA36">
        <f>IA35*IF(OR($C35=130,$G35=130),0,1)</f>
        <v/>
      </c>
      <c r="IB36">
        <f>IB35*IF(OR($C35=131,$G35=131),0,1)</f>
        <v/>
      </c>
      <c r="IC36">
        <f>IC35*IF(OR($C35=132,$G35=132),0,1)</f>
        <v/>
      </c>
      <c r="ID36">
        <f>ID35*IF(OR($C35=133,$G35=133),0,1)</f>
        <v/>
      </c>
      <c r="IE36">
        <f>IE35*IF(OR($C35=134,$G35=134),0,1)</f>
        <v/>
      </c>
      <c r="IF36">
        <f>IF35*IF(OR($C35=135,$G35=135),0,1)</f>
        <v/>
      </c>
      <c r="IG36">
        <f>IG35*IF(OR($C35=136,$G35=136),0,1)</f>
        <v/>
      </c>
      <c r="IH36">
        <f>IH35*IF(OR($C35=137,$G35=137),0,1)</f>
        <v/>
      </c>
      <c r="II36">
        <f>II35*IF(OR($C35=138,$G35=138),0,1)</f>
        <v/>
      </c>
      <c r="IJ36">
        <f>IJ35*IF(OR($C35=139,$G35=139),0,1)</f>
        <v/>
      </c>
      <c r="IK36">
        <f>IK35*IF(OR($C35=140,$G35=140),0,1)</f>
        <v/>
      </c>
      <c r="IL36">
        <f>IL35*IF(OR($C35=141,$G35=141),0,1)</f>
        <v/>
      </c>
      <c r="IM36">
        <f>IM35*IF(OR($C35=142,$G35=142),0,1)</f>
        <v/>
      </c>
      <c r="IN36">
        <f>IN35*IF(OR($C35=143,$G35=143),0,1)</f>
        <v/>
      </c>
      <c r="IO36">
        <f>IO35*IF(OR($C35=144,$G35=144),0,1)</f>
        <v/>
      </c>
      <c r="IQ36">
        <f>IF('計算A'!D$106=1,DC36,1)</f>
        <v/>
      </c>
      <c r="IR36">
        <f>IF('計算A'!E$106=1,DD36,1)</f>
        <v/>
      </c>
      <c r="IS36">
        <f>IF('計算A'!F$106=1,DE36,1)</f>
        <v/>
      </c>
      <c r="IT36">
        <f>IF('計算A'!G$106=1,DF36,1)</f>
        <v/>
      </c>
      <c r="IU36">
        <f>IF('計算A'!H$106=1,DG36,1)</f>
        <v/>
      </c>
      <c r="IV36">
        <f>IF('計算A'!I$106=1,DH36,1)</f>
        <v/>
      </c>
      <c r="IW36">
        <f>IF('計算A'!J$106=1,DI36,1)</f>
        <v/>
      </c>
      <c r="IX36">
        <f>IF('計算A'!K$106=1,DJ36,1)</f>
        <v/>
      </c>
      <c r="IY36">
        <f>IF('計算A'!L$106=1,DK36,1)</f>
        <v/>
      </c>
      <c r="IZ36">
        <f>IF('計算A'!M$106=1,DL36,1)</f>
        <v/>
      </c>
      <c r="JA36">
        <f>IF('計算A'!N$106=1,DM36,1)</f>
        <v/>
      </c>
      <c r="JB36">
        <f>IF('計算A'!O$106=1,DN36,1)</f>
        <v/>
      </c>
      <c r="JC36">
        <f>IF('計算A'!P$106=1,DO36,1)</f>
        <v/>
      </c>
      <c r="JD36">
        <f>IF('計算A'!Q$106=1,DP36,1)</f>
        <v/>
      </c>
      <c r="JE36">
        <f>IF('計算A'!R$106=1,DQ36,1)</f>
        <v/>
      </c>
      <c r="JF36">
        <f>IF('計算A'!S$106=1,DR36,1)</f>
        <v/>
      </c>
      <c r="JG36">
        <f>IF('計算A'!T$106=1,DS36,1)</f>
        <v/>
      </c>
      <c r="JH36">
        <f>IF('計算A'!U$106=1,DT36,1)</f>
        <v/>
      </c>
      <c r="JI36">
        <f>IF('計算A'!V$106=1,DU36,1)</f>
        <v/>
      </c>
      <c r="JJ36">
        <f>IF('計算A'!W$106=1,DV36,1)</f>
        <v/>
      </c>
      <c r="JK36">
        <f>IF('計算A'!X$106=1,DW36,1)</f>
        <v/>
      </c>
      <c r="JL36">
        <f>IF('計算A'!Y$106=1,DX36,1)</f>
        <v/>
      </c>
      <c r="JM36">
        <f>IF('計算A'!Z$106=1,DY36,1)</f>
        <v/>
      </c>
      <c r="JN36">
        <f>IF('計算A'!AA$106=1,DZ36,1)</f>
        <v/>
      </c>
      <c r="JO36">
        <f>IF('計算A'!AB$106=1,EA36,1)</f>
        <v/>
      </c>
      <c r="JP36">
        <f>IF('計算A'!AC$106=1,EB36,1)</f>
        <v/>
      </c>
      <c r="JQ36">
        <f>IF('計算A'!AD$106=1,EC36,1)</f>
        <v/>
      </c>
      <c r="JR36">
        <f>IF('計算A'!AE$106=1,ED36,1)</f>
        <v/>
      </c>
      <c r="JS36">
        <f>IF('計算A'!AF$106=1,EE36,1)</f>
        <v/>
      </c>
      <c r="JT36">
        <f>IF('計算A'!AG$106=1,EF36,1)</f>
        <v/>
      </c>
      <c r="JU36">
        <f>IF('計算A'!AH$106=1,EG36,1)</f>
        <v/>
      </c>
      <c r="JV36">
        <f>IF('計算A'!AI$106=1,EH36,1)</f>
        <v/>
      </c>
      <c r="JW36">
        <f>IF('計算A'!AJ$106=1,EI36,1)</f>
        <v/>
      </c>
      <c r="JX36">
        <f>IF('計算A'!AK$106=1,EJ36,1)</f>
        <v/>
      </c>
      <c r="JY36">
        <f>IF('計算A'!AL$106=1,EK36,1)</f>
        <v/>
      </c>
      <c r="JZ36">
        <f>IF('計算A'!AM$106=1,EL36,1)</f>
        <v/>
      </c>
      <c r="KA36">
        <f>IF('計算A'!AN$106=1,EM36,1)</f>
        <v/>
      </c>
      <c r="KB36">
        <f>IF('計算A'!AO$106=1,EN36,1)</f>
        <v/>
      </c>
      <c r="KC36">
        <f>IF('計算A'!AP$106=1,EO36,1)</f>
        <v/>
      </c>
      <c r="KD36">
        <f>IF('計算A'!AQ$106=1,EP36,1)</f>
        <v/>
      </c>
      <c r="KE36">
        <f>IF('計算A'!AR$106=1,EQ36,1)</f>
        <v/>
      </c>
      <c r="KF36">
        <f>IF('計算A'!AS$106=1,ER36,1)</f>
        <v/>
      </c>
      <c r="KG36">
        <f>IF('計算A'!AT$106=1,ES36,1)</f>
        <v/>
      </c>
      <c r="KH36">
        <f>IF('計算A'!AU$106=1,ET36,1)</f>
        <v/>
      </c>
      <c r="KI36">
        <f>IF('計算A'!AV$106=1,EU36,1)</f>
        <v/>
      </c>
      <c r="KJ36">
        <f>IF('計算A'!AW$106=1,EV36,1)</f>
        <v/>
      </c>
      <c r="KK36">
        <f>IF('計算A'!AX$106=1,EW36,1)</f>
        <v/>
      </c>
      <c r="KL36">
        <f>IF('計算A'!AY$106=1,EX36,1)</f>
        <v/>
      </c>
      <c r="KM36">
        <f>IF('計算A'!AZ$106=1,EY36,1)</f>
        <v/>
      </c>
      <c r="KN36">
        <f>IF('計算A'!BA$106=1,EZ36,1)</f>
        <v/>
      </c>
      <c r="KO36">
        <f>IF('計算A'!BB$106=1,FA36,1)</f>
        <v/>
      </c>
      <c r="KP36">
        <f>IF('計算A'!BC$106=1,FB36,1)</f>
        <v/>
      </c>
      <c r="KQ36">
        <f>IF('計算A'!BD$106=1,FC36,1)</f>
        <v/>
      </c>
      <c r="KR36">
        <f>IF('計算A'!BE$106=1,FD36,1)</f>
        <v/>
      </c>
      <c r="KS36">
        <f>IF('計算A'!BF$106=1,FE36,1)</f>
        <v/>
      </c>
      <c r="KT36">
        <f>IF('計算A'!BG$106=1,FF36,1)</f>
        <v/>
      </c>
      <c r="KU36">
        <f>IF('計算A'!BH$106=1,FG36,1)</f>
        <v/>
      </c>
      <c r="KV36">
        <f>IF('計算A'!BI$106=1,FH36,1)</f>
        <v/>
      </c>
      <c r="KW36">
        <f>IF('計算A'!BJ$106=1,FI36,1)</f>
        <v/>
      </c>
      <c r="KX36">
        <f>IF('計算A'!BK$106=1,FJ36,1)</f>
        <v/>
      </c>
      <c r="KY36">
        <f>IF('計算A'!BL$106=1,FK36,1)</f>
        <v/>
      </c>
      <c r="KZ36">
        <f>IF('計算A'!BM$106=1,FL36,1)</f>
        <v/>
      </c>
      <c r="LA36">
        <f>IF('計算A'!BN$106=1,FM36,1)</f>
        <v/>
      </c>
      <c r="LB36">
        <f>IF('計算A'!BO$106=1,FN36,1)</f>
        <v/>
      </c>
      <c r="LC36">
        <f>IF('計算A'!BP$106=1,FO36,1)</f>
        <v/>
      </c>
      <c r="LD36">
        <f>IF('計算A'!BQ$106=1,FP36,1)</f>
        <v/>
      </c>
      <c r="LE36">
        <f>IF('計算A'!BR$106=1,FQ36,1)</f>
        <v/>
      </c>
      <c r="LF36">
        <f>IF('計算A'!BS$106=1,FR36,1)</f>
        <v/>
      </c>
      <c r="LG36">
        <f>IF('計算A'!BT$106=1,FS36,1)</f>
        <v/>
      </c>
      <c r="LH36">
        <f>IF('計算A'!BU$106=1,FT36,1)</f>
        <v/>
      </c>
      <c r="LI36">
        <f>IF('計算A'!BV$106=1,FU36,1)</f>
        <v/>
      </c>
      <c r="LJ36">
        <f>IF('計算A'!BW$106=1,FV36,1)</f>
        <v/>
      </c>
      <c r="LK36">
        <f>IF('計算A'!BX$106=1,FW36,1)</f>
        <v/>
      </c>
      <c r="LL36">
        <f>IF('計算A'!BY$106=1,FX36,1)</f>
        <v/>
      </c>
      <c r="LM36">
        <f>IF('計算A'!BZ$106=1,FY36,1)</f>
        <v/>
      </c>
      <c r="LN36">
        <f>IF('計算A'!CA$106=1,FZ36,1)</f>
        <v/>
      </c>
      <c r="LO36">
        <f>IF('計算A'!CB$106=1,GA36,1)</f>
        <v/>
      </c>
      <c r="LP36">
        <f>IF('計算A'!CC$106=1,GB36,1)</f>
        <v/>
      </c>
      <c r="LQ36">
        <f>IF('計算A'!CD$106=1,GC36,1)</f>
        <v/>
      </c>
      <c r="LR36">
        <f>IF('計算A'!CE$106=1,GD36,1)</f>
        <v/>
      </c>
      <c r="LS36">
        <f>IF('計算A'!CF$106=1,GE36,1)</f>
        <v/>
      </c>
      <c r="LT36">
        <f>IF('計算A'!CG$106=1,GF36,1)</f>
        <v/>
      </c>
      <c r="LU36">
        <f>IF('計算A'!CH$106=1,GG36,1)</f>
        <v/>
      </c>
      <c r="LV36">
        <f>IF('計算A'!CI$106=1,GH36,1)</f>
        <v/>
      </c>
      <c r="LW36">
        <f>IF('計算A'!CJ$106=1,GI36,1)</f>
        <v/>
      </c>
      <c r="LX36">
        <f>IF('計算A'!CK$106=1,GJ36,1)</f>
        <v/>
      </c>
      <c r="LY36">
        <f>IF('計算A'!CL$106=1,GK36,1)</f>
        <v/>
      </c>
      <c r="LZ36">
        <f>IF('計算A'!CM$106=1,GL36,1)</f>
        <v/>
      </c>
      <c r="MA36">
        <f>IF('計算A'!CN$106=1,GM36,1)</f>
        <v/>
      </c>
      <c r="MB36">
        <f>IF('計算A'!CO$106=1,GN36,1)</f>
        <v/>
      </c>
      <c r="MC36">
        <f>IF('計算A'!CP$106=1,GO36,1)</f>
        <v/>
      </c>
      <c r="MD36">
        <f>IF('計算A'!CQ$106=1,GP36,1)</f>
        <v/>
      </c>
      <c r="ME36">
        <f>IF('計算A'!CR$106=1,GQ36,1)</f>
        <v/>
      </c>
      <c r="MF36">
        <f>IF('計算A'!CS$106=1,GR36,1)</f>
        <v/>
      </c>
      <c r="MG36">
        <f>IF('計算A'!CT$106=1,GS36,1)</f>
        <v/>
      </c>
      <c r="MH36">
        <f>IF('計算A'!CU$106=1,GT36,1)</f>
        <v/>
      </c>
      <c r="MI36">
        <f>IF('計算A'!CV$106=1,GU36,1)</f>
        <v/>
      </c>
      <c r="MJ36">
        <f>IF('計算A'!CW$106=1,GV36,1)</f>
        <v/>
      </c>
      <c r="MK36">
        <f>IF('計算A'!CX$106=1,GW36,1)</f>
        <v/>
      </c>
      <c r="ML36">
        <f>IF('計算A'!CY$106=1,GX36,1)</f>
        <v/>
      </c>
      <c r="MM36">
        <f>IF('計算A'!CZ$106=1,GY36,1)</f>
        <v/>
      </c>
      <c r="MN36">
        <f>IF('計算A'!DA$106=1,GZ36,1)</f>
        <v/>
      </c>
      <c r="MO36">
        <f>IF('計算A'!DB$106=1,HA36,1)</f>
        <v/>
      </c>
      <c r="MP36">
        <f>IF('計算A'!DC$106=1,HB36,1)</f>
        <v/>
      </c>
      <c r="MQ36">
        <f>IF('計算A'!DD$106=1,HC36,1)</f>
        <v/>
      </c>
      <c r="MR36">
        <f>IF('計算A'!DE$106=1,HD36,1)</f>
        <v/>
      </c>
      <c r="MS36">
        <f>IF('計算A'!DF$106=1,HE36,1)</f>
        <v/>
      </c>
      <c r="MT36">
        <f>IF('計算A'!DG$106=1,HF36,1)</f>
        <v/>
      </c>
      <c r="MU36">
        <f>IF('計算A'!DH$106=1,HG36,1)</f>
        <v/>
      </c>
      <c r="MV36">
        <f>IF('計算A'!DI$106=1,HH36,1)</f>
        <v/>
      </c>
      <c r="MW36">
        <f>IF('計算A'!DJ$106=1,HI36,1)</f>
        <v/>
      </c>
      <c r="MX36">
        <f>IF('計算A'!DK$106=1,HJ36,1)</f>
        <v/>
      </c>
      <c r="MY36">
        <f>IF('計算A'!DL$106=1,HK36,1)</f>
        <v/>
      </c>
      <c r="MZ36">
        <f>IF('計算A'!DM$106=1,HL36,1)</f>
        <v/>
      </c>
      <c r="NA36">
        <f>IF('計算A'!DN$106=1,HM36,1)</f>
        <v/>
      </c>
      <c r="NB36">
        <f>IF('計算A'!DO$106=1,HN36,1)</f>
        <v/>
      </c>
      <c r="NC36">
        <f>IF('計算A'!DP$106=1,HO36,1)</f>
        <v/>
      </c>
      <c r="ND36">
        <f>IF('計算A'!DQ$106=1,HP36,1)</f>
        <v/>
      </c>
      <c r="NE36">
        <f>IF('計算A'!DR$106=1,HQ36,1)</f>
        <v/>
      </c>
      <c r="NF36">
        <f>IF('計算A'!DS$106=1,HR36,1)</f>
        <v/>
      </c>
      <c r="NG36">
        <f>IF('計算A'!DT$106=1,HS36,1)</f>
        <v/>
      </c>
      <c r="NH36">
        <f>IF('計算A'!DU$106=1,HT36,1)</f>
        <v/>
      </c>
      <c r="NI36">
        <f>IF('計算A'!DV$106=1,HU36,1)</f>
        <v/>
      </c>
      <c r="NJ36">
        <f>IF('計算A'!DW$106=1,HV36,1)</f>
        <v/>
      </c>
      <c r="NK36">
        <f>IF('計算A'!DX$106=1,HW36,1)</f>
        <v/>
      </c>
      <c r="NL36">
        <f>IF('計算A'!DY$106=1,HX36,1)</f>
        <v/>
      </c>
      <c r="NM36">
        <f>IF('計算A'!DZ$106=1,HY36,1)</f>
        <v/>
      </c>
      <c r="NN36">
        <f>IF('計算A'!EA$106=1,HZ36,1)</f>
        <v/>
      </c>
      <c r="NO36">
        <f>IF('計算A'!EB$106=1,IA36,1)</f>
        <v/>
      </c>
      <c r="NP36">
        <f>IF('計算A'!EC$106=1,IB36,1)</f>
        <v/>
      </c>
      <c r="NQ36">
        <f>IF('計算A'!ED$106=1,IC36,1)</f>
        <v/>
      </c>
      <c r="NR36">
        <f>IF('計算A'!EE$106=1,ID36,1)</f>
        <v/>
      </c>
      <c r="NS36">
        <f>IF('計算A'!EF$106=1,IE36,1)</f>
        <v/>
      </c>
      <c r="NT36">
        <f>IF('計算A'!EG$106=1,IF36,1)</f>
        <v/>
      </c>
      <c r="NU36">
        <f>IF('計算A'!EH$106=1,IG36,1)</f>
        <v/>
      </c>
      <c r="NV36">
        <f>IF('計算A'!EI$106=1,IH36,1)</f>
        <v/>
      </c>
      <c r="NW36">
        <f>IF('計算A'!EJ$106=1,II36,1)</f>
        <v/>
      </c>
      <c r="NX36">
        <f>IF('計算A'!EK$106=1,IJ36,1)</f>
        <v/>
      </c>
      <c r="NY36">
        <f>IF('計算A'!EL$106=1,IK36,1)</f>
        <v/>
      </c>
      <c r="NZ36">
        <f>IF('計算A'!EM$106=1,IL36,1)</f>
        <v/>
      </c>
      <c r="OA36">
        <f>IF('計算A'!EN$106=1,IM36,1)</f>
        <v/>
      </c>
      <c r="OB36">
        <f>IF('計算A'!EO$106=1,IN36,1)</f>
        <v/>
      </c>
      <c r="OC36">
        <f>IF('計算A'!EP$106=1,IO36,1)</f>
        <v/>
      </c>
      <c r="OD36" t="n">
        <v>1</v>
      </c>
      <c r="OF36">
        <f>IF($B36=0,1000000,IF(INDEX('計算A'!$D$60:$EQ$104,$B36,1)*DB36=1,IF(AND($E36=2,IQ36=0),1000000,IF($I36&gt;0,IF(1=$J36,IF(OR(AND(1=$I36+1,OR($K36&lt;&gt;'計算A'!$A$3,'計算A'!$A$4=0)),AND(1=$I36-1,OR(1&lt;&gt;'計算A'!$A$3,'計算A'!$A$4=0))),0,IF(1=$K36,200000,ABS(1-$K36)*100)),100000+ABS(1-$J36)*1000+10)+'計算A'!D$5*50+IF(AND($E36=1,IQ36=0),25,0),INDEX('計算A'!D$110:D$114,$F36+1)+IF(AND($E36=1,IQ36=0),1000,0)+IF($H36=1,(IF('計算A'!D$117=1,INDEX('計算A'!E$10:E$54,$B36),0))*500,0)-IF(AND($L36=1,'計算A'!D$117=1,DC36=0),300,0))),1000000))</f>
        <v/>
      </c>
      <c r="OG36">
        <f>IF($B36=0,1000000,IF(INDEX('計算A'!$D$60:$EQ$104,$B36,2)*DC36=1,IF(AND($E36=2,IR36=0),1000000,IF($I36&gt;0,IF(1=$J36,IF(OR(AND(2=$I36+1,OR($K36&lt;&gt;'計算A'!$A$3,'計算A'!$A$4=0)),AND(2=$I36-1,OR(2&lt;&gt;'計算A'!$A$3,'計算A'!$A$4=0))),0,IF(2=$K36,200000,ABS(2-$K36)*100)),100000+ABS(1-$J36)*1000+20)+'計算A'!E$5*50+IF(AND($E36=1,IR36=0),25,0),INDEX('計算A'!E$110:E$114,$F36+1)+IF(AND($E36=1,IR36=0),1000,0)+IF($H36=1,(IF('計算A'!D$117=1,INDEX('計算A'!D$10:D$54,$B36),0)+IF('計算A'!E$117=1,INDEX('計算A'!F$10:F$54,$B36),0))*500,0)-IF(AND('計算A'!D$117=1,UB36&gt;0),300,0)-IF(AND($L36=1,'計算A'!E$117=1,DD36=0),300,0))),1000000))</f>
        <v/>
      </c>
      <c r="OH36">
        <f>IF($B36=0,1000000,IF(INDEX('計算A'!$D$60:$EQ$104,$B36,3)*DD36=1,IF(AND($E36=2,IS36=0),1000000,IF($I36&gt;0,IF(1=$J36,IF(OR(AND(3=$I36+1,OR($K36&lt;&gt;'計算A'!$A$3,'計算A'!$A$4=0)),AND(3=$I36-1,OR(3&lt;&gt;'計算A'!$A$3,'計算A'!$A$4=0))),0,IF(3=$K36,200000,ABS(3-$K36)*100)),100000+ABS(1-$J36)*1000+30)+'計算A'!F$5*50+IF(AND($E36=1,IS36=0),25,0),INDEX('計算A'!F$110:F$114,$F36+1)+IF(AND($E36=1,IS36=0),1000,0)+IF($H36=1,(IF('計算A'!E$117=1,INDEX('計算A'!E$10:E$54,$B36),0)+IF('計算A'!F$117=1,INDEX('計算A'!G$10:G$54,$B36),0))*500,0)-IF(AND('計算A'!E$117=1,UC36&gt;0),300,0)-IF(AND($L36=1,'計算A'!F$117=1,DE36=0),300,0))),1000000))</f>
        <v/>
      </c>
      <c r="OI36">
        <f>IF($B36=0,1000000,IF(INDEX('計算A'!$D$60:$EQ$104,$B36,4)*DE36=1,IF(AND($E36=2,IT36=0),1000000,IF($I36&gt;0,IF(1=$J36,IF(OR(AND(4=$I36+1,OR($K36&lt;&gt;'計算A'!$A$3,'計算A'!$A$4=0)),AND(4=$I36-1,OR(4&lt;&gt;'計算A'!$A$3,'計算A'!$A$4=0))),0,IF(4=$K36,200000,ABS(4-$K36)*100)),100000+ABS(1-$J36)*1000+40)+'計算A'!G$5*50+IF(AND($E36=1,IT36=0),25,0),INDEX('計算A'!G$110:G$114,$F36+1)+IF(AND($E36=1,IT36=0),1000,0)+IF($H36=1,(IF('計算A'!F$117=1,INDEX('計算A'!F$10:F$54,$B36),0)+IF('計算A'!G$117=1,INDEX('計算A'!H$10:H$54,$B36),0))*500,0)-IF(AND('計算A'!F$117=1,UD36&gt;0),300,0)-IF(AND($L36=1,'計算A'!G$117=1,DF36=0),300,0))),1000000))</f>
        <v/>
      </c>
      <c r="OJ36">
        <f>IF($B36=0,1000000,IF(INDEX('計算A'!$D$60:$EQ$104,$B36,5)*DF36=1,IF(AND($E36=2,IU36=0),1000000,IF($I36&gt;0,IF(1=$J36,IF(OR(AND(5=$I36+1,OR($K36&lt;&gt;'計算A'!$A$3,'計算A'!$A$4=0)),AND(5=$I36-1,OR(5&lt;&gt;'計算A'!$A$3,'計算A'!$A$4=0))),0,IF(5=$K36,200000,ABS(5-$K36)*100)),100000+ABS(1-$J36)*1000+50)+'計算A'!H$5*50+IF(AND($E36=1,IU36=0),25,0),INDEX('計算A'!H$110:H$114,$F36+1)+IF(AND($E36=1,IU36=0),1000,0)+IF($H36=1,(IF('計算A'!G$117=1,INDEX('計算A'!G$10:G$54,$B36),0)+IF('計算A'!H$117=1,INDEX('計算A'!I$10:I$54,$B36),0))*500,0)-IF(AND('計算A'!G$117=1,UE36&gt;0),300,0)-IF(AND($L36=1,'計算A'!H$117=1,DG36=0),300,0))),1000000))</f>
        <v/>
      </c>
      <c r="OK36">
        <f>IF($B36=0,1000000,IF(INDEX('計算A'!$D$60:$EQ$104,$B36,6)*DG36=1,IF(AND($E36=2,IV36=0),1000000,IF($I36&gt;0,IF(1=$J36,IF(OR(AND(6=$I36+1,OR($K36&lt;&gt;'計算A'!$A$3,'計算A'!$A$4=0)),AND(6=$I36-1,OR(6&lt;&gt;'計算A'!$A$3,'計算A'!$A$4=0))),0,IF(6=$K36,200000,ABS(6-$K36)*100)),100000+ABS(1-$J36)*1000+60)+'計算A'!I$5*50+IF(AND($E36=1,IV36=0),25,0),INDEX('計算A'!I$110:I$114,$F36+1)+IF(AND($E36=1,IV36=0),1000,0)+IF($H36=1,(IF('計算A'!H$117=1,INDEX('計算A'!H$10:H$54,$B36),0)+IF('計算A'!I$117=1,INDEX('計算A'!J$10:J$54,$B36),0))*500,0)-IF(AND('計算A'!H$117=1,UF36&gt;0),300,0)-IF(AND($L36=1,'計算A'!I$117=1,DH36=0),300,0))),1000000))</f>
        <v/>
      </c>
      <c r="OL36">
        <f>IF($B36=0,1000000,IF(INDEX('計算A'!$D$60:$EQ$104,$B36,7)*DH36=1,IF(AND($E36=2,IW36=0),1000000,IF($I36&gt;0,IF(1=$J36,IF(OR(AND(7=$I36+1,OR($K36&lt;&gt;'計算A'!$A$3,'計算A'!$A$4=0)),AND(7=$I36-1,OR(7&lt;&gt;'計算A'!$A$3,'計算A'!$A$4=0))),0,IF(7=$K36,200000,ABS(7-$K36)*100)),100000+ABS(1-$J36)*1000+70)+'計算A'!J$5*50+IF(AND($E36=1,IW36=0),25,0),INDEX('計算A'!J$110:J$114,$F36+1)+IF(AND($E36=1,IW36=0),1000,0)+IF($H36=1,(IF('計算A'!I$117=1,INDEX('計算A'!I$10:I$54,$B36),0)+IF('計算A'!J$117=1,INDEX('計算A'!K$10:K$54,$B36),0))*500,0)-IF(AND('計算A'!I$117=1,UG36&gt;0),300,0)-IF(AND($L36=1,'計算A'!J$117=1,DI36=0),300,0))),1000000))</f>
        <v/>
      </c>
      <c r="OM36">
        <f>IF($B36=0,1000000,IF(INDEX('計算A'!$D$60:$EQ$104,$B36,8)*DI36=1,IF(AND($E36=2,IX36=0),1000000,IF($I36&gt;0,IF(1=$J36,IF(OR(AND(8=$I36+1,OR($K36&lt;&gt;'計算A'!$A$3,'計算A'!$A$4=0)),AND(8=$I36-1,OR(8&lt;&gt;'計算A'!$A$3,'計算A'!$A$4=0))),0,IF(8=$K36,200000,ABS(8-$K36)*100)),100000+ABS(1-$J36)*1000+80)+'計算A'!K$5*50+IF(AND($E36=1,IX36=0),25,0),INDEX('計算A'!K$110:K$114,$F36+1)+IF(AND($E36=1,IX36=0),1000,0)+IF($H36=1,(IF('計算A'!J$117=1,INDEX('計算A'!J$10:J$54,$B36),0)+IF('計算A'!K$117=1,INDEX('計算A'!L$10:L$54,$B36),0))*500,0)-IF(AND('計算A'!J$117=1,UH36&gt;0),300,0)-IF(AND($L36=1,'計算A'!K$117=1,DJ36=0),300,0))),1000000))</f>
        <v/>
      </c>
      <c r="ON36">
        <f>IF($B36=0,1000000,IF(INDEX('計算A'!$D$60:$EQ$104,$B36,9)*DJ36=1,IF(AND($E36=2,IY36=0),1000000,IF($I36&gt;0,IF(1=$J36,IF(OR(AND(9=$I36+1,OR($K36&lt;&gt;'計算A'!$A$3,'計算A'!$A$4=0)),AND(9=$I36-1,OR(9&lt;&gt;'計算A'!$A$3,'計算A'!$A$4=0))),0,IF(9=$K36,200000,ABS(9-$K36)*100)),100000+ABS(1-$J36)*1000+90)+'計算A'!L$5*50+IF(AND($E36=1,IY36=0),25,0),INDEX('計算A'!L$110:L$114,$F36+1)+IF(AND($E36=1,IY36=0),1000,0)+IF($H36=1,(IF('計算A'!K$117=1,INDEX('計算A'!K$10:K$54,$B36),0)+IF('計算A'!L$117=1,INDEX('計算A'!M$10:M$54,$B36),0))*500,0)-IF(AND('計算A'!K$117=1,UI36&gt;0),300,0)-IF(AND($L36=1,'計算A'!L$117=1,DK36=0),300,0))),1000000))</f>
        <v/>
      </c>
      <c r="OO36">
        <f>IF($B36=0,1000000,IF(INDEX('計算A'!$D$60:$EQ$104,$B36,10)*DK36=1,IF(AND($E36=2,IZ36=0),1000000,IF($I36&gt;0,IF(1=$J36,IF(OR(AND(10=$I36+1,OR($K36&lt;&gt;'計算A'!$A$3,'計算A'!$A$4=0)),AND(10=$I36-1,OR(10&lt;&gt;'計算A'!$A$3,'計算A'!$A$4=0))),0,IF(10=$K36,200000,ABS(10-$K36)*100)),100000+ABS(1-$J36)*1000+100)+'計算A'!M$5*50+IF(AND($E36=1,IZ36=0),25,0),INDEX('計算A'!M$110:M$114,$F36+1)+IF(AND($E36=1,IZ36=0),1000,0)+IF($H36=1,(IF('計算A'!L$117=1,INDEX('計算A'!L$10:L$54,$B36),0)+IF('計算A'!M$117=1,INDEX('計算A'!N$10:N$54,$B36),0))*500,0)-IF(AND('計算A'!L$117=1,UJ36&gt;0),300,0)-IF(AND($L36=1,'計算A'!M$117=1,DL36=0),300,0))),1000000))</f>
        <v/>
      </c>
      <c r="OP36">
        <f>IF($B36=0,1000000,IF(INDEX('計算A'!$D$60:$EQ$104,$B36,11)*DL36=1,IF(AND($E36=2,JA36=0),1000000,IF($I36&gt;0,IF(1=$J36,IF(OR(AND(11=$I36+1,OR($K36&lt;&gt;'計算A'!$A$3,'計算A'!$A$4=0)),AND(11=$I36-1,OR(11&lt;&gt;'計算A'!$A$3,'計算A'!$A$4=0))),0,IF(11=$K36,200000,ABS(11-$K36)*100)),100000+ABS(1-$J36)*1000+110)+'計算A'!N$5*50+IF(AND($E36=1,JA36=0),25,0),INDEX('計算A'!N$110:N$114,$F36+1)+IF(AND($E36=1,JA36=0),1000,0)+IF($H36=1,(IF('計算A'!M$117=1,INDEX('計算A'!M$10:M$54,$B36),0)+IF('計算A'!N$117=1,INDEX('計算A'!O$10:O$54,$B36),0))*500,0)-IF(AND('計算A'!M$117=1,UK36&gt;0),300,0)-IF(AND($L36=1,'計算A'!N$117=1,DM36=0),300,0))),1000000))</f>
        <v/>
      </c>
      <c r="OQ36">
        <f>IF($B36=0,1000000,IF(INDEX('計算A'!$D$60:$EQ$104,$B36,12)*DM36=1,IF(AND($E36=2,JB36=0),1000000,IF($I36&gt;0,IF(1=$J36,IF(OR(AND(12=$I36+1,OR($K36&lt;&gt;'計算A'!$A$3,'計算A'!$A$4=0)),AND(12=$I36-1,OR(12&lt;&gt;'計算A'!$A$3,'計算A'!$A$4=0))),0,IF(12=$K36,200000,ABS(12-$K36)*100)),100000+ABS(1-$J36)*1000+120)+'計算A'!O$5*50+IF(AND($E36=1,JB36=0),25,0),INDEX('計算A'!O$110:O$114,$F36+1)+IF(AND($E36=1,JB36=0),1000,0)+IF($H36=1,(IF('計算A'!N$117=1,INDEX('計算A'!N$10:N$54,$B36),0)+IF('計算A'!O$117=1,INDEX('計算A'!P$10:P$54,$B36),0))*500,0)-IF(AND('計算A'!N$117=1,UL36&gt;0),300,0)-IF(AND($L36=1,'計算A'!O$117=1,DN36=0),300,0))),1000000))</f>
        <v/>
      </c>
      <c r="OR36">
        <f>IF($B36=0,1000000,IF(INDEX('計算A'!$D$60:$EQ$104,$B36,13)*DN36=1,IF(AND($E36=2,JC36=0),1000000,IF($I36&gt;0,IF(1=$J36,IF(OR(AND(13=$I36+1,OR($K36&lt;&gt;'計算A'!$A$3,'計算A'!$A$4=0)),AND(13=$I36-1,OR(13&lt;&gt;'計算A'!$A$3,'計算A'!$A$4=0))),0,IF(13=$K36,200000,ABS(13-$K36)*100)),100000+ABS(1-$J36)*1000+130)+'計算A'!P$5*50+IF(AND($E36=1,JC36=0),25,0),INDEX('計算A'!P$110:P$114,$F36+1)+IF(AND($E36=1,JC36=0),1000,0)+IF($H36=1,(IF('計算A'!O$117=1,INDEX('計算A'!O$10:O$54,$B36),0)+IF('計算A'!P$117=1,INDEX('計算A'!Q$10:Q$54,$B36),0))*500,0)-IF(AND('計算A'!O$117=1,UM36&gt;0),300,0)-IF(AND($L36=1,'計算A'!P$117=1,DO36=0),300,0))),1000000))</f>
        <v/>
      </c>
      <c r="OS36">
        <f>IF($B36=0,1000000,IF(INDEX('計算A'!$D$60:$EQ$104,$B36,14)*DO36=1,IF(AND($E36=2,JD36=0),1000000,IF($I36&gt;0,IF(1=$J36,IF(OR(AND(14=$I36+1,OR($K36&lt;&gt;'計算A'!$A$3,'計算A'!$A$4=0)),AND(14=$I36-1,OR(14&lt;&gt;'計算A'!$A$3,'計算A'!$A$4=0))),0,IF(14=$K36,200000,ABS(14-$K36)*100)),100000+ABS(1-$J36)*1000+140)+'計算A'!Q$5*50+IF(AND($E36=1,JD36=0),25,0),INDEX('計算A'!Q$110:Q$114,$F36+1)+IF(AND($E36=1,JD36=0),1000,0)+IF($H36=1,(IF('計算A'!P$117=1,INDEX('計算A'!P$10:P$54,$B36),0)+IF('計算A'!Q$117=1,INDEX('計算A'!R$10:R$54,$B36),0))*500,0)-IF(AND('計算A'!P$117=1,UN36&gt;0),300,0)-IF(AND($L36=1,'計算A'!Q$117=1,DP36=0),300,0))),1000000))</f>
        <v/>
      </c>
      <c r="OT36">
        <f>IF($B36=0,1000000,IF(INDEX('計算A'!$D$60:$EQ$104,$B36,15)*DP36=1,IF(AND($E36=2,JE36=0),1000000,IF($I36&gt;0,IF(1=$J36,IF(OR(AND(15=$I36+1,OR($K36&lt;&gt;'計算A'!$A$3,'計算A'!$A$4=0)),AND(15=$I36-1,OR(15&lt;&gt;'計算A'!$A$3,'計算A'!$A$4=0))),0,IF(15=$K36,200000,ABS(15-$K36)*100)),100000+ABS(1-$J36)*1000+150)+'計算A'!R$5*50+IF(AND($E36=1,JE36=0),25,0),INDEX('計算A'!R$110:R$114,$F36+1)+IF(AND($E36=1,JE36=0),1000,0)+IF($H36=1,(IF('計算A'!Q$117=1,INDEX('計算A'!Q$10:Q$54,$B36),0)+IF('計算A'!R$117=1,INDEX('計算A'!S$10:S$54,$B36),0))*500,0)-IF(AND('計算A'!Q$117=1,UO36&gt;0),300,0)-IF(AND($L36=1,'計算A'!R$117=1,DQ36=0),300,0))),1000000))</f>
        <v/>
      </c>
      <c r="OU36">
        <f>IF($B36=0,1000000,IF(INDEX('計算A'!$D$60:$EQ$104,$B36,16)*DQ36=1,IF(AND($E36=2,JF36=0),1000000,IF($I36&gt;0,IF(1=$J36,IF(OR(AND(16=$I36+1,OR($K36&lt;&gt;'計算A'!$A$3,'計算A'!$A$4=0)),AND(16=$I36-1,OR(16&lt;&gt;'計算A'!$A$3,'計算A'!$A$4=0))),0,IF(16=$K36,200000,ABS(16-$K36)*100)),100000+ABS(1-$J36)*1000+160)+'計算A'!S$5*50+IF(AND($E36=1,JF36=0),25,0),INDEX('計算A'!S$110:S$114,$F36+1)+IF(AND($E36=1,JF36=0),1000,0)+IF($H36=1,(IF('計算A'!R$117=1,INDEX('計算A'!R$10:R$54,$B36),0)+IF('計算A'!S$117=1,INDEX('計算A'!T$10:T$54,$B36),0))*500,0)-IF(AND('計算A'!R$117=1,UP36&gt;0),300,0)-IF(AND($L36=1,'計算A'!S$117=1,DR36=0),300,0))),1000000))</f>
        <v/>
      </c>
      <c r="OV36">
        <f>IF($B36=0,1000000,IF(INDEX('計算A'!$D$60:$EQ$104,$B36,17)*DR36=1,IF(AND($E36=2,JG36=0),1000000,IF($I36&gt;0,IF(1=$J36,IF(OR(AND(17=$I36+1,OR($K36&lt;&gt;'計算A'!$A$3,'計算A'!$A$4=0)),AND(17=$I36-1,OR(17&lt;&gt;'計算A'!$A$3,'計算A'!$A$4=0))),0,IF(17=$K36,200000,ABS(17-$K36)*100)),100000+ABS(1-$J36)*1000+170)+'計算A'!T$5*50+IF(AND($E36=1,JG36=0),25,0),INDEX('計算A'!T$110:T$114,$F36+1)+IF(AND($E36=1,JG36=0),1000,0)+IF($H36=1,(IF('計算A'!S$117=1,INDEX('計算A'!S$10:S$54,$B36),0)+IF('計算A'!T$117=1,INDEX('計算A'!U$10:U$54,$B36),0))*500,0)-IF(AND('計算A'!S$117=1,UQ36&gt;0),300,0)-IF(AND($L36=1,'計算A'!T$117=1,DS36=0),300,0))),1000000))</f>
        <v/>
      </c>
      <c r="OW36">
        <f>IF($B36=0,1000000,IF(INDEX('計算A'!$D$60:$EQ$104,$B36,18)*DS36=1,IF(AND($E36=2,JH36=0),1000000,IF($I36&gt;0,IF(1=$J36,IF(OR(AND(18=$I36+1,OR($K36&lt;&gt;'計算A'!$A$3,'計算A'!$A$4=0)),AND(18=$I36-1,OR(18&lt;&gt;'計算A'!$A$3,'計算A'!$A$4=0))),0,IF(18=$K36,200000,ABS(18-$K36)*100)),100000+ABS(1-$J36)*1000+180)+'計算A'!U$5*50+IF(AND($E36=1,JH36=0),25,0),INDEX('計算A'!U$110:U$114,$F36+1)+IF(AND($E36=1,JH36=0),1000,0)+IF($H36=1,(IF('計算A'!T$117=1,INDEX('計算A'!T$10:T$54,$B36),0)+IF('計算A'!U$117=1,INDEX('計算A'!V$10:V$54,$B36),0))*500,0)-IF(AND('計算A'!T$117=1,UR36&gt;0),300,0)-IF(AND($L36=1,'計算A'!U$117=1,DT36=0),300,0))),1000000))</f>
        <v/>
      </c>
      <c r="OX36">
        <f>IF($B36=0,1000000,IF(INDEX('計算A'!$D$60:$EQ$104,$B36,19)*DT36=1,IF(AND($E36=2,JI36=0),1000000,IF($I36&gt;0,IF(1=$J36,IF(OR(AND(19=$I36+1,OR($K36&lt;&gt;'計算A'!$A$3,'計算A'!$A$4=0)),AND(19=$I36-1,OR(19&lt;&gt;'計算A'!$A$3,'計算A'!$A$4=0))),0,IF(19=$K36,200000,ABS(19-$K36)*100)),100000+ABS(1-$J36)*1000+190)+'計算A'!V$5*50+IF(AND($E36=1,JI36=0),25,0),INDEX('計算A'!V$110:V$114,$F36+1)+IF(AND($E36=1,JI36=0),1000,0)+IF($H36=1,(IF('計算A'!U$117=1,INDEX('計算A'!U$10:U$54,$B36),0)+IF('計算A'!V$117=1,INDEX('計算A'!W$10:W$54,$B36),0))*500,0)-IF(AND('計算A'!U$117=1,US36&gt;0),300,0)-IF(AND($L36=1,'計算A'!V$117=1,DU36=0),300,0))),1000000))</f>
        <v/>
      </c>
      <c r="OY36">
        <f>IF($B36=0,1000000,IF(INDEX('計算A'!$D$60:$EQ$104,$B36,20)*DU36=1,IF(AND($E36=2,JJ36=0),1000000,IF($I36&gt;0,IF(1=$J36,IF(OR(AND(20=$I36+1,OR($K36&lt;&gt;'計算A'!$A$3,'計算A'!$A$4=0)),AND(20=$I36-1,OR(20&lt;&gt;'計算A'!$A$3,'計算A'!$A$4=0))),0,IF(20=$K36,200000,ABS(20-$K36)*100)),100000+ABS(1-$J36)*1000+200)+'計算A'!W$5*50+IF(AND($E36=1,JJ36=0),25,0),INDEX('計算A'!W$110:W$114,$F36+1)+IF(AND($E36=1,JJ36=0),1000,0)+IF($H36=1,(IF('計算A'!V$117=1,INDEX('計算A'!V$10:V$54,$B36),0)+IF('計算A'!W$117=1,INDEX('計算A'!X$10:X$54,$B36),0))*500,0)-IF(AND('計算A'!V$117=1,UT36&gt;0),300,0)-IF(AND($L36=1,'計算A'!W$117=1,DV36=0),300,0))),1000000))</f>
        <v/>
      </c>
      <c r="OZ36">
        <f>IF($B36=0,1000000,IF(INDEX('計算A'!$D$60:$EQ$104,$B36,21)*DV36=1,IF(AND($E36=2,JK36=0),1000000,IF($I36&gt;0,IF(1=$J36,IF(OR(AND(21=$I36+1,OR($K36&lt;&gt;'計算A'!$A$3,'計算A'!$A$4=0)),AND(21=$I36-1,OR(21&lt;&gt;'計算A'!$A$3,'計算A'!$A$4=0))),0,IF(21=$K36,200000,ABS(21-$K36)*100)),100000+ABS(1-$J36)*1000+210)+'計算A'!X$5*50+IF(AND($E36=1,JK36=0),25,0),INDEX('計算A'!X$110:X$114,$F36+1)+IF(AND($E36=1,JK36=0),1000,0)+IF($H36=1,(IF('計算A'!W$117=1,INDEX('計算A'!W$10:W$54,$B36),0)+IF('計算A'!X$117=1,INDEX('計算A'!Y$10:Y$54,$B36),0))*500,0)-IF(AND('計算A'!W$117=1,UU36&gt;0),300,0)-IF(AND($L36=1,'計算A'!X$117=1,DW36=0),300,0))),1000000))</f>
        <v/>
      </c>
      <c r="PA36">
        <f>IF($B36=0,1000000,IF(INDEX('計算A'!$D$60:$EQ$104,$B36,22)*DW36=1,IF(AND($E36=2,JL36=0),1000000,IF($I36&gt;0,IF(1=$J36,IF(OR(AND(22=$I36+1,OR($K36&lt;&gt;'計算A'!$A$3,'計算A'!$A$4=0)),AND(22=$I36-1,OR(22&lt;&gt;'計算A'!$A$3,'計算A'!$A$4=0))),0,IF(22=$K36,200000,ABS(22-$K36)*100)),100000+ABS(1-$J36)*1000+220)+'計算A'!Y$5*50+IF(AND($E36=1,JL36=0),25,0),INDEX('計算A'!Y$110:Y$114,$F36+1)+IF(AND($E36=1,JL36=0),1000,0)+IF($H36=1,(IF('計算A'!X$117=1,INDEX('計算A'!X$10:X$54,$B36),0)+IF('計算A'!Y$117=1,INDEX('計算A'!Z$10:Z$54,$B36),0))*500,0)-IF(AND('計算A'!X$117=1,UV36&gt;0),300,0)-IF(AND($L36=1,'計算A'!Y$117=1,DX36=0),300,0))),1000000))</f>
        <v/>
      </c>
      <c r="PB36">
        <f>IF($B36=0,1000000,IF(INDEX('計算A'!$D$60:$EQ$104,$B36,23)*DX36=1,IF(AND($E36=2,JM36=0),1000000,IF($I36&gt;0,IF(1=$J36,IF(OR(AND(23=$I36+1,OR($K36&lt;&gt;'計算A'!$A$3,'計算A'!$A$4=0)),AND(23=$I36-1,OR(23&lt;&gt;'計算A'!$A$3,'計算A'!$A$4=0))),0,IF(23=$K36,200000,ABS(23-$K36)*100)),100000+ABS(1-$J36)*1000+230)+'計算A'!Z$5*50+IF(AND($E36=1,JM36=0),25,0),INDEX('計算A'!Z$110:Z$114,$F36+1)+IF(AND($E36=1,JM36=0),1000,0)+IF($H36=1,(IF('計算A'!Y$117=1,INDEX('計算A'!Y$10:Y$54,$B36),0)+IF('計算A'!Z$117=1,INDEX('計算A'!AA$10:AA$54,$B36),0))*500,0)-IF(AND('計算A'!Y$117=1,UW36&gt;0),300,0)-IF(AND($L36=1,'計算A'!Z$117=1,DY36=0),300,0))),1000000))</f>
        <v/>
      </c>
      <c r="PC36">
        <f>IF($B36=0,1000000,IF(INDEX('計算A'!$D$60:$EQ$104,$B36,24)*DY36=1,IF(AND($E36=2,JN36=0),1000000,IF($I36&gt;0,IF(1=$J36,IF(OR(AND(24=$I36+1,OR($K36&lt;&gt;'計算A'!$A$3,'計算A'!$A$4=0)),AND(24=$I36-1,OR(24&lt;&gt;'計算A'!$A$3,'計算A'!$A$4=0))),0,IF(24=$K36,200000,ABS(24-$K36)*100)),100000+ABS(1-$J36)*1000+240)+'計算A'!AA$5*50+IF(AND($E36=1,JN36=0),25,0),INDEX('計算A'!AA$110:AA$114,$F36+1)+IF(AND($E36=1,JN36=0),1000,0)+IF($H36=1,(IF('計算A'!Z$117=1,INDEX('計算A'!Z$10:Z$54,$B36),0))*500,0)-IF(AND('計算A'!Z$117=1,UX36&gt;0),300,0))),1000000))</f>
        <v/>
      </c>
      <c r="PD36">
        <f>IF($B36=0,1000000,IF(INDEX('計算A'!$D$60:$EQ$104,$B36,25)*DZ36=1,IF(AND($E36=2,JO36=0),1000000,IF($I36&gt;0,IF(2=$J36,IF(OR(AND(25=$I36+1,OR($K36&lt;&gt;'計算A'!$A$3,'計算A'!$A$4=0)),AND(25=$I36-1,OR(1&lt;&gt;'計算A'!$A$3,'計算A'!$A$4=0))),0,IF(1=$K36,200000,ABS(1-$K36)*100)),100000+ABS(2-$J36)*1000+10)+'計算A'!AB$5*50+IF(AND($E36=1,JO36=0),25,0),INDEX('計算A'!AB$110:AB$114,$F36+1)+IF(AND($E36=1,JO36=0),1000,0)+IF($H36=1,(IF('計算A'!AB$117=1,INDEX('計算A'!AC$10:AC$54,$B36),0))*500,0)-IF(AND($L36=1,'計算A'!AB$117=1,EA36=0),300,0))),1000000))</f>
        <v/>
      </c>
      <c r="PE36">
        <f>IF($B36=0,1000000,IF(INDEX('計算A'!$D$60:$EQ$104,$B36,26)*EA36=1,IF(AND($E36=2,JP36=0),1000000,IF($I36&gt;0,IF(2=$J36,IF(OR(AND(26=$I36+1,OR($K36&lt;&gt;'計算A'!$A$3,'計算A'!$A$4=0)),AND(26=$I36-1,OR(2&lt;&gt;'計算A'!$A$3,'計算A'!$A$4=0))),0,IF(2=$K36,200000,ABS(2-$K36)*100)),100000+ABS(2-$J36)*1000+20)+'計算A'!AC$5*50+IF(AND($E36=1,JP36=0),25,0),INDEX('計算A'!AC$110:AC$114,$F36+1)+IF(AND($E36=1,JP36=0),1000,0)+IF($H36=1,(IF('計算A'!AB$117=1,INDEX('計算A'!AB$10:AB$54,$B36),0)+IF('計算A'!AC$117=1,INDEX('計算A'!AD$10:AD$54,$B36),0))*500,0)-IF(AND('計算A'!AB$117=1,UZ36&gt;0),300,0)-IF(AND($L36=1,'計算A'!AC$117=1,EB36=0),300,0))),1000000))</f>
        <v/>
      </c>
      <c r="PF36">
        <f>IF($B36=0,1000000,IF(INDEX('計算A'!$D$60:$EQ$104,$B36,27)*EB36=1,IF(AND($E36=2,JQ36=0),1000000,IF($I36&gt;0,IF(2=$J36,IF(OR(AND(27=$I36+1,OR($K36&lt;&gt;'計算A'!$A$3,'計算A'!$A$4=0)),AND(27=$I36-1,OR(3&lt;&gt;'計算A'!$A$3,'計算A'!$A$4=0))),0,IF(3=$K36,200000,ABS(3-$K36)*100)),100000+ABS(2-$J36)*1000+30)+'計算A'!AD$5*50+IF(AND($E36=1,JQ36=0),25,0),INDEX('計算A'!AD$110:AD$114,$F36+1)+IF(AND($E36=1,JQ36=0),1000,0)+IF($H36=1,(IF('計算A'!AC$117=1,INDEX('計算A'!AC$10:AC$54,$B36),0)+IF('計算A'!AD$117=1,INDEX('計算A'!AE$10:AE$54,$B36),0))*500,0)-IF(AND('計算A'!AC$117=1,VA36&gt;0),300,0)-IF(AND($L36=1,'計算A'!AD$117=1,EC36=0),300,0))),1000000))</f>
        <v/>
      </c>
      <c r="PG36">
        <f>IF($B36=0,1000000,IF(INDEX('計算A'!$D$60:$EQ$104,$B36,28)*EC36=1,IF(AND($E36=2,JR36=0),1000000,IF($I36&gt;0,IF(2=$J36,IF(OR(AND(28=$I36+1,OR($K36&lt;&gt;'計算A'!$A$3,'計算A'!$A$4=0)),AND(28=$I36-1,OR(4&lt;&gt;'計算A'!$A$3,'計算A'!$A$4=0))),0,IF(4=$K36,200000,ABS(4-$K36)*100)),100000+ABS(2-$J36)*1000+40)+'計算A'!AE$5*50+IF(AND($E36=1,JR36=0),25,0),INDEX('計算A'!AE$110:AE$114,$F36+1)+IF(AND($E36=1,JR36=0),1000,0)+IF($H36=1,(IF('計算A'!AD$117=1,INDEX('計算A'!AD$10:AD$54,$B36),0)+IF('計算A'!AE$117=1,INDEX('計算A'!AF$10:AF$54,$B36),0))*500,0)-IF(AND('計算A'!AD$117=1,VB36&gt;0),300,0)-IF(AND($L36=1,'計算A'!AE$117=1,ED36=0),300,0))),1000000))</f>
        <v/>
      </c>
      <c r="PH36">
        <f>IF($B36=0,1000000,IF(INDEX('計算A'!$D$60:$EQ$104,$B36,29)*ED36=1,IF(AND($E36=2,JS36=0),1000000,IF($I36&gt;0,IF(2=$J36,IF(OR(AND(29=$I36+1,OR($K36&lt;&gt;'計算A'!$A$3,'計算A'!$A$4=0)),AND(29=$I36-1,OR(5&lt;&gt;'計算A'!$A$3,'計算A'!$A$4=0))),0,IF(5=$K36,200000,ABS(5-$K36)*100)),100000+ABS(2-$J36)*1000+50)+'計算A'!AF$5*50+IF(AND($E36=1,JS36=0),25,0),INDEX('計算A'!AF$110:AF$114,$F36+1)+IF(AND($E36=1,JS36=0),1000,0)+IF($H36=1,(IF('計算A'!AE$117=1,INDEX('計算A'!AE$10:AE$54,$B36),0)+IF('計算A'!AF$117=1,INDEX('計算A'!AG$10:AG$54,$B36),0))*500,0)-IF(AND('計算A'!AE$117=1,VC36&gt;0),300,0)-IF(AND($L36=1,'計算A'!AF$117=1,EE36=0),300,0))),1000000))</f>
        <v/>
      </c>
      <c r="PI36">
        <f>IF($B36=0,1000000,IF(INDEX('計算A'!$D$60:$EQ$104,$B36,30)*EE36=1,IF(AND($E36=2,JT36=0),1000000,IF($I36&gt;0,IF(2=$J36,IF(OR(AND(30=$I36+1,OR($K36&lt;&gt;'計算A'!$A$3,'計算A'!$A$4=0)),AND(30=$I36-1,OR(6&lt;&gt;'計算A'!$A$3,'計算A'!$A$4=0))),0,IF(6=$K36,200000,ABS(6-$K36)*100)),100000+ABS(2-$J36)*1000+60)+'計算A'!AG$5*50+IF(AND($E36=1,JT36=0),25,0),INDEX('計算A'!AG$110:AG$114,$F36+1)+IF(AND($E36=1,JT36=0),1000,0)+IF($H36=1,(IF('計算A'!AF$117=1,INDEX('計算A'!AF$10:AF$54,$B36),0)+IF('計算A'!AG$117=1,INDEX('計算A'!AH$10:AH$54,$B36),0))*500,0)-IF(AND('計算A'!AF$117=1,VD36&gt;0),300,0)-IF(AND($L36=1,'計算A'!AG$117=1,EF36=0),300,0))),1000000))</f>
        <v/>
      </c>
      <c r="PJ36">
        <f>IF($B36=0,1000000,IF(INDEX('計算A'!$D$60:$EQ$104,$B36,31)*EF36=1,IF(AND($E36=2,JU36=0),1000000,IF($I36&gt;0,IF(2=$J36,IF(OR(AND(31=$I36+1,OR($K36&lt;&gt;'計算A'!$A$3,'計算A'!$A$4=0)),AND(31=$I36-1,OR(7&lt;&gt;'計算A'!$A$3,'計算A'!$A$4=0))),0,IF(7=$K36,200000,ABS(7-$K36)*100)),100000+ABS(2-$J36)*1000+70)+'計算A'!AH$5*50+IF(AND($E36=1,JU36=0),25,0),INDEX('計算A'!AH$110:AH$114,$F36+1)+IF(AND($E36=1,JU36=0),1000,0)+IF($H36=1,(IF('計算A'!AG$117=1,INDEX('計算A'!AG$10:AG$54,$B36),0)+IF('計算A'!AH$117=1,INDEX('計算A'!AI$10:AI$54,$B36),0))*500,0)-IF(AND('計算A'!AG$117=1,VE36&gt;0),300,0)-IF(AND($L36=1,'計算A'!AH$117=1,EG36=0),300,0))),1000000))</f>
        <v/>
      </c>
      <c r="PK36">
        <f>IF($B36=0,1000000,IF(INDEX('計算A'!$D$60:$EQ$104,$B36,32)*EG36=1,IF(AND($E36=2,JV36=0),1000000,IF($I36&gt;0,IF(2=$J36,IF(OR(AND(32=$I36+1,OR($K36&lt;&gt;'計算A'!$A$3,'計算A'!$A$4=0)),AND(32=$I36-1,OR(8&lt;&gt;'計算A'!$A$3,'計算A'!$A$4=0))),0,IF(8=$K36,200000,ABS(8-$K36)*100)),100000+ABS(2-$J36)*1000+80)+'計算A'!AI$5*50+IF(AND($E36=1,JV36=0),25,0),INDEX('計算A'!AI$110:AI$114,$F36+1)+IF(AND($E36=1,JV36=0),1000,0)+IF($H36=1,(IF('計算A'!AH$117=1,INDEX('計算A'!AH$10:AH$54,$B36),0)+IF('計算A'!AI$117=1,INDEX('計算A'!AJ$10:AJ$54,$B36),0))*500,0)-IF(AND('計算A'!AH$117=1,VF36&gt;0),300,0)-IF(AND($L36=1,'計算A'!AI$117=1,EH36=0),300,0))),1000000))</f>
        <v/>
      </c>
      <c r="PL36">
        <f>IF($B36=0,1000000,IF(INDEX('計算A'!$D$60:$EQ$104,$B36,33)*EH36=1,IF(AND($E36=2,JW36=0),1000000,IF($I36&gt;0,IF(2=$J36,IF(OR(AND(33=$I36+1,OR($K36&lt;&gt;'計算A'!$A$3,'計算A'!$A$4=0)),AND(33=$I36-1,OR(9&lt;&gt;'計算A'!$A$3,'計算A'!$A$4=0))),0,IF(9=$K36,200000,ABS(9-$K36)*100)),100000+ABS(2-$J36)*1000+90)+'計算A'!AJ$5*50+IF(AND($E36=1,JW36=0),25,0),INDEX('計算A'!AJ$110:AJ$114,$F36+1)+IF(AND($E36=1,JW36=0),1000,0)+IF($H36=1,(IF('計算A'!AI$117=1,INDEX('計算A'!AI$10:AI$54,$B36),0)+IF('計算A'!AJ$117=1,INDEX('計算A'!AK$10:AK$54,$B36),0))*500,0)-IF(AND('計算A'!AI$117=1,VG36&gt;0),300,0)-IF(AND($L36=1,'計算A'!AJ$117=1,EI36=0),300,0))),1000000))</f>
        <v/>
      </c>
      <c r="PM36">
        <f>IF($B36=0,1000000,IF(INDEX('計算A'!$D$60:$EQ$104,$B36,34)*EI36=1,IF(AND($E36=2,JX36=0),1000000,IF($I36&gt;0,IF(2=$J36,IF(OR(AND(34=$I36+1,OR($K36&lt;&gt;'計算A'!$A$3,'計算A'!$A$4=0)),AND(34=$I36-1,OR(10&lt;&gt;'計算A'!$A$3,'計算A'!$A$4=0))),0,IF(10=$K36,200000,ABS(10-$K36)*100)),100000+ABS(2-$J36)*1000+100)+'計算A'!AK$5*50+IF(AND($E36=1,JX36=0),25,0),INDEX('計算A'!AK$110:AK$114,$F36+1)+IF(AND($E36=1,JX36=0),1000,0)+IF($H36=1,(IF('計算A'!AJ$117=1,INDEX('計算A'!AJ$10:AJ$54,$B36),0)+IF('計算A'!AK$117=1,INDEX('計算A'!AL$10:AL$54,$B36),0))*500,0)-IF(AND('計算A'!AJ$117=1,VH36&gt;0),300,0)-IF(AND($L36=1,'計算A'!AK$117=1,EJ36=0),300,0))),1000000))</f>
        <v/>
      </c>
      <c r="PN36">
        <f>IF($B36=0,1000000,IF(INDEX('計算A'!$D$60:$EQ$104,$B36,35)*EJ36=1,IF(AND($E36=2,JY36=0),1000000,IF($I36&gt;0,IF(2=$J36,IF(OR(AND(35=$I36+1,OR($K36&lt;&gt;'計算A'!$A$3,'計算A'!$A$4=0)),AND(35=$I36-1,OR(11&lt;&gt;'計算A'!$A$3,'計算A'!$A$4=0))),0,IF(11=$K36,200000,ABS(11-$K36)*100)),100000+ABS(2-$J36)*1000+110)+'計算A'!AL$5*50+IF(AND($E36=1,JY36=0),25,0),INDEX('計算A'!AL$110:AL$114,$F36+1)+IF(AND($E36=1,JY36=0),1000,0)+IF($H36=1,(IF('計算A'!AK$117=1,INDEX('計算A'!AK$10:AK$54,$B36),0)+IF('計算A'!AL$117=1,INDEX('計算A'!AM$10:AM$54,$B36),0))*500,0)-IF(AND('計算A'!AK$117=1,VI36&gt;0),300,0)-IF(AND($L36=1,'計算A'!AL$117=1,EK36=0),300,0))),1000000))</f>
        <v/>
      </c>
      <c r="PO36">
        <f>IF($B36=0,1000000,IF(INDEX('計算A'!$D$60:$EQ$104,$B36,36)*EK36=1,IF(AND($E36=2,JZ36=0),1000000,IF($I36&gt;0,IF(2=$J36,IF(OR(AND(36=$I36+1,OR($K36&lt;&gt;'計算A'!$A$3,'計算A'!$A$4=0)),AND(36=$I36-1,OR(12&lt;&gt;'計算A'!$A$3,'計算A'!$A$4=0))),0,IF(12=$K36,200000,ABS(12-$K36)*100)),100000+ABS(2-$J36)*1000+120)+'計算A'!AM$5*50+IF(AND($E36=1,JZ36=0),25,0),INDEX('計算A'!AM$110:AM$114,$F36+1)+IF(AND($E36=1,JZ36=0),1000,0)+IF($H36=1,(IF('計算A'!AL$117=1,INDEX('計算A'!AL$10:AL$54,$B36),0)+IF('計算A'!AM$117=1,INDEX('計算A'!AN$10:AN$54,$B36),0))*500,0)-IF(AND('計算A'!AL$117=1,VJ36&gt;0),300,0)-IF(AND($L36=1,'計算A'!AM$117=1,EL36=0),300,0))),1000000))</f>
        <v/>
      </c>
      <c r="PP36">
        <f>IF($B36=0,1000000,IF(INDEX('計算A'!$D$60:$EQ$104,$B36,37)*EL36=1,IF(AND($E36=2,KA36=0),1000000,IF($I36&gt;0,IF(2=$J36,IF(OR(AND(37=$I36+1,OR($K36&lt;&gt;'計算A'!$A$3,'計算A'!$A$4=0)),AND(37=$I36-1,OR(13&lt;&gt;'計算A'!$A$3,'計算A'!$A$4=0))),0,IF(13=$K36,200000,ABS(13-$K36)*100)),100000+ABS(2-$J36)*1000+130)+'計算A'!AN$5*50+IF(AND($E36=1,KA36=0),25,0),INDEX('計算A'!AN$110:AN$114,$F36+1)+IF(AND($E36=1,KA36=0),1000,0)+IF($H36=1,(IF('計算A'!AM$117=1,INDEX('計算A'!AM$10:AM$54,$B36),0)+IF('計算A'!AN$117=1,INDEX('計算A'!AO$10:AO$54,$B36),0))*500,0)-IF(AND('計算A'!AM$117=1,VK36&gt;0),300,0)-IF(AND($L36=1,'計算A'!AN$117=1,EM36=0),300,0))),1000000))</f>
        <v/>
      </c>
      <c r="PQ36">
        <f>IF($B36=0,1000000,IF(INDEX('計算A'!$D$60:$EQ$104,$B36,38)*EM36=1,IF(AND($E36=2,KB36=0),1000000,IF($I36&gt;0,IF(2=$J36,IF(OR(AND(38=$I36+1,OR($K36&lt;&gt;'計算A'!$A$3,'計算A'!$A$4=0)),AND(38=$I36-1,OR(14&lt;&gt;'計算A'!$A$3,'計算A'!$A$4=0))),0,IF(14=$K36,200000,ABS(14-$K36)*100)),100000+ABS(2-$J36)*1000+140)+'計算A'!AO$5*50+IF(AND($E36=1,KB36=0),25,0),INDEX('計算A'!AO$110:AO$114,$F36+1)+IF(AND($E36=1,KB36=0),1000,0)+IF($H36=1,(IF('計算A'!AN$117=1,INDEX('計算A'!AN$10:AN$54,$B36),0)+IF('計算A'!AO$117=1,INDEX('計算A'!AP$10:AP$54,$B36),0))*500,0)-IF(AND('計算A'!AN$117=1,VL36&gt;0),300,0)-IF(AND($L36=1,'計算A'!AO$117=1,EN36=0),300,0))),1000000))</f>
        <v/>
      </c>
      <c r="PR36">
        <f>IF($B36=0,1000000,IF(INDEX('計算A'!$D$60:$EQ$104,$B36,39)*EN36=1,IF(AND($E36=2,KC36=0),1000000,IF($I36&gt;0,IF(2=$J36,IF(OR(AND(39=$I36+1,OR($K36&lt;&gt;'計算A'!$A$3,'計算A'!$A$4=0)),AND(39=$I36-1,OR(15&lt;&gt;'計算A'!$A$3,'計算A'!$A$4=0))),0,IF(15=$K36,200000,ABS(15-$K36)*100)),100000+ABS(2-$J36)*1000+150)+'計算A'!AP$5*50+IF(AND($E36=1,KC36=0),25,0),INDEX('計算A'!AP$110:AP$114,$F36+1)+IF(AND($E36=1,KC36=0),1000,0)+IF($H36=1,(IF('計算A'!AO$117=1,INDEX('計算A'!AO$10:AO$54,$B36),0)+IF('計算A'!AP$117=1,INDEX('計算A'!AQ$10:AQ$54,$B36),0))*500,0)-IF(AND('計算A'!AO$117=1,VM36&gt;0),300,0)-IF(AND($L36=1,'計算A'!AP$117=1,EO36=0),300,0))),1000000))</f>
        <v/>
      </c>
      <c r="PS36">
        <f>IF($B36=0,1000000,IF(INDEX('計算A'!$D$60:$EQ$104,$B36,40)*EO36=1,IF(AND($E36=2,KD36=0),1000000,IF($I36&gt;0,IF(2=$J36,IF(OR(AND(40=$I36+1,OR($K36&lt;&gt;'計算A'!$A$3,'計算A'!$A$4=0)),AND(40=$I36-1,OR(16&lt;&gt;'計算A'!$A$3,'計算A'!$A$4=0))),0,IF(16=$K36,200000,ABS(16-$K36)*100)),100000+ABS(2-$J36)*1000+160)+'計算A'!AQ$5*50+IF(AND($E36=1,KD36=0),25,0),INDEX('計算A'!AQ$110:AQ$114,$F36+1)+IF(AND($E36=1,KD36=0),1000,0)+IF($H36=1,(IF('計算A'!AP$117=1,INDEX('計算A'!AP$10:AP$54,$B36),0)+IF('計算A'!AQ$117=1,INDEX('計算A'!AR$10:AR$54,$B36),0))*500,0)-IF(AND('計算A'!AP$117=1,VN36&gt;0),300,0)-IF(AND($L36=1,'計算A'!AQ$117=1,EP36=0),300,0))),1000000))</f>
        <v/>
      </c>
      <c r="PT36">
        <f>IF($B36=0,1000000,IF(INDEX('計算A'!$D$60:$EQ$104,$B36,41)*EP36=1,IF(AND($E36=2,KE36=0),1000000,IF($I36&gt;0,IF(2=$J36,IF(OR(AND(41=$I36+1,OR($K36&lt;&gt;'計算A'!$A$3,'計算A'!$A$4=0)),AND(41=$I36-1,OR(17&lt;&gt;'計算A'!$A$3,'計算A'!$A$4=0))),0,IF(17=$K36,200000,ABS(17-$K36)*100)),100000+ABS(2-$J36)*1000+170)+'計算A'!AR$5*50+IF(AND($E36=1,KE36=0),25,0),INDEX('計算A'!AR$110:AR$114,$F36+1)+IF(AND($E36=1,KE36=0),1000,0)+IF($H36=1,(IF('計算A'!AQ$117=1,INDEX('計算A'!AQ$10:AQ$54,$B36),0)+IF('計算A'!AR$117=1,INDEX('計算A'!AS$10:AS$54,$B36),0))*500,0)-IF(AND('計算A'!AQ$117=1,VO36&gt;0),300,0)-IF(AND($L36=1,'計算A'!AR$117=1,EQ36=0),300,0))),1000000))</f>
        <v/>
      </c>
      <c r="PU36">
        <f>IF($B36=0,1000000,IF(INDEX('計算A'!$D$60:$EQ$104,$B36,42)*EQ36=1,IF(AND($E36=2,KF36=0),1000000,IF($I36&gt;0,IF(2=$J36,IF(OR(AND(42=$I36+1,OR($K36&lt;&gt;'計算A'!$A$3,'計算A'!$A$4=0)),AND(42=$I36-1,OR(18&lt;&gt;'計算A'!$A$3,'計算A'!$A$4=0))),0,IF(18=$K36,200000,ABS(18-$K36)*100)),100000+ABS(2-$J36)*1000+180)+'計算A'!AS$5*50+IF(AND($E36=1,KF36=0),25,0),INDEX('計算A'!AS$110:AS$114,$F36+1)+IF(AND($E36=1,KF36=0),1000,0)+IF($H36=1,(IF('計算A'!AR$117=1,INDEX('計算A'!AR$10:AR$54,$B36),0)+IF('計算A'!AS$117=1,INDEX('計算A'!AT$10:AT$54,$B36),0))*500,0)-IF(AND('計算A'!AR$117=1,VP36&gt;0),300,0)-IF(AND($L36=1,'計算A'!AS$117=1,ER36=0),300,0))),1000000))</f>
        <v/>
      </c>
      <c r="PV36">
        <f>IF($B36=0,1000000,IF(INDEX('計算A'!$D$60:$EQ$104,$B36,43)*ER36=1,IF(AND($E36=2,KG36=0),1000000,IF($I36&gt;0,IF(2=$J36,IF(OR(AND(43=$I36+1,OR($K36&lt;&gt;'計算A'!$A$3,'計算A'!$A$4=0)),AND(43=$I36-1,OR(19&lt;&gt;'計算A'!$A$3,'計算A'!$A$4=0))),0,IF(19=$K36,200000,ABS(19-$K36)*100)),100000+ABS(2-$J36)*1000+190)+'計算A'!AT$5*50+IF(AND($E36=1,KG36=0),25,0),INDEX('計算A'!AT$110:AT$114,$F36+1)+IF(AND($E36=1,KG36=0),1000,0)+IF($H36=1,(IF('計算A'!AS$117=1,INDEX('計算A'!AS$10:AS$54,$B36),0)+IF('計算A'!AT$117=1,INDEX('計算A'!AU$10:AU$54,$B36),0))*500,0)-IF(AND('計算A'!AS$117=1,VQ36&gt;0),300,0)-IF(AND($L36=1,'計算A'!AT$117=1,ES36=0),300,0))),1000000))</f>
        <v/>
      </c>
      <c r="PW36">
        <f>IF($B36=0,1000000,IF(INDEX('計算A'!$D$60:$EQ$104,$B36,44)*ES36=1,IF(AND($E36=2,KH36=0),1000000,IF($I36&gt;0,IF(2=$J36,IF(OR(AND(44=$I36+1,OR($K36&lt;&gt;'計算A'!$A$3,'計算A'!$A$4=0)),AND(44=$I36-1,OR(20&lt;&gt;'計算A'!$A$3,'計算A'!$A$4=0))),0,IF(20=$K36,200000,ABS(20-$K36)*100)),100000+ABS(2-$J36)*1000+200)+'計算A'!AU$5*50+IF(AND($E36=1,KH36=0),25,0),INDEX('計算A'!AU$110:AU$114,$F36+1)+IF(AND($E36=1,KH36=0),1000,0)+IF($H36=1,(IF('計算A'!AT$117=1,INDEX('計算A'!AT$10:AT$54,$B36),0)+IF('計算A'!AU$117=1,INDEX('計算A'!AV$10:AV$54,$B36),0))*500,0)-IF(AND('計算A'!AT$117=1,VR36&gt;0),300,0)-IF(AND($L36=1,'計算A'!AU$117=1,ET36=0),300,0))),1000000))</f>
        <v/>
      </c>
      <c r="PX36">
        <f>IF($B36=0,1000000,IF(INDEX('計算A'!$D$60:$EQ$104,$B36,45)*ET36=1,IF(AND($E36=2,KI36=0),1000000,IF($I36&gt;0,IF(2=$J36,IF(OR(AND(45=$I36+1,OR($K36&lt;&gt;'計算A'!$A$3,'計算A'!$A$4=0)),AND(45=$I36-1,OR(21&lt;&gt;'計算A'!$A$3,'計算A'!$A$4=0))),0,IF(21=$K36,200000,ABS(21-$K36)*100)),100000+ABS(2-$J36)*1000+210)+'計算A'!AV$5*50+IF(AND($E36=1,KI36=0),25,0),INDEX('計算A'!AV$110:AV$114,$F36+1)+IF(AND($E36=1,KI36=0),1000,0)+IF($H36=1,(IF('計算A'!AU$117=1,INDEX('計算A'!AU$10:AU$54,$B36),0)+IF('計算A'!AV$117=1,INDEX('計算A'!AW$10:AW$54,$B36),0))*500,0)-IF(AND('計算A'!AU$117=1,VS36&gt;0),300,0)-IF(AND($L36=1,'計算A'!AV$117=1,EU36=0),300,0))),1000000))</f>
        <v/>
      </c>
      <c r="PY36">
        <f>IF($B36=0,1000000,IF(INDEX('計算A'!$D$60:$EQ$104,$B36,46)*EU36=1,IF(AND($E36=2,KJ36=0),1000000,IF($I36&gt;0,IF(2=$J36,IF(OR(AND(46=$I36+1,OR($K36&lt;&gt;'計算A'!$A$3,'計算A'!$A$4=0)),AND(46=$I36-1,OR(22&lt;&gt;'計算A'!$A$3,'計算A'!$A$4=0))),0,IF(22=$K36,200000,ABS(22-$K36)*100)),100000+ABS(2-$J36)*1000+220)+'計算A'!AW$5*50+IF(AND($E36=1,KJ36=0),25,0),INDEX('計算A'!AW$110:AW$114,$F36+1)+IF(AND($E36=1,KJ36=0),1000,0)+IF($H36=1,(IF('計算A'!AV$117=1,INDEX('計算A'!AV$10:AV$54,$B36),0)+IF('計算A'!AW$117=1,INDEX('計算A'!AX$10:AX$54,$B36),0))*500,0)-IF(AND('計算A'!AV$117=1,VT36&gt;0),300,0)-IF(AND($L36=1,'計算A'!AW$117=1,EV36=0),300,0))),1000000))</f>
        <v/>
      </c>
      <c r="PZ36">
        <f>IF($B36=0,1000000,IF(INDEX('計算A'!$D$60:$EQ$104,$B36,47)*EV36=1,IF(AND($E36=2,KK36=0),1000000,IF($I36&gt;0,IF(2=$J36,IF(OR(AND(47=$I36+1,OR($K36&lt;&gt;'計算A'!$A$3,'計算A'!$A$4=0)),AND(47=$I36-1,OR(23&lt;&gt;'計算A'!$A$3,'計算A'!$A$4=0))),0,IF(23=$K36,200000,ABS(23-$K36)*100)),100000+ABS(2-$J36)*1000+230)+'計算A'!AX$5*50+IF(AND($E36=1,KK36=0),25,0),INDEX('計算A'!AX$110:AX$114,$F36+1)+IF(AND($E36=1,KK36=0),1000,0)+IF($H36=1,(IF('計算A'!AW$117=1,INDEX('計算A'!AW$10:AW$54,$B36),0)+IF('計算A'!AX$117=1,INDEX('計算A'!AY$10:AY$54,$B36),0))*500,0)-IF(AND('計算A'!AW$117=1,VU36&gt;0),300,0)-IF(AND($L36=1,'計算A'!AX$117=1,EW36=0),300,0))),1000000))</f>
        <v/>
      </c>
      <c r="QA36">
        <f>IF($B36=0,1000000,IF(INDEX('計算A'!$D$60:$EQ$104,$B36,48)*EW36=1,IF(AND($E36=2,KL36=0),1000000,IF($I36&gt;0,IF(2=$J36,IF(OR(AND(48=$I36+1,OR($K36&lt;&gt;'計算A'!$A$3,'計算A'!$A$4=0)),AND(48=$I36-1,OR(24&lt;&gt;'計算A'!$A$3,'計算A'!$A$4=0))),0,IF(24=$K36,200000,ABS(24-$K36)*100)),100000+ABS(2-$J36)*1000+240)+'計算A'!AY$5*50+IF(AND($E36=1,KL36=0),25,0),INDEX('計算A'!AY$110:AY$114,$F36+1)+IF(AND($E36=1,KL36=0),1000,0)+IF($H36=1,(IF('計算A'!AX$117=1,INDEX('計算A'!AX$10:AX$54,$B36),0))*500,0)-IF(AND('計算A'!AX$117=1,VV36&gt;0),300,0))),1000000))</f>
        <v/>
      </c>
      <c r="QB36">
        <f>IF($B36=0,1000000,IF(INDEX('計算A'!$D$60:$EQ$104,$B36,49)*EX36=1,IF(AND($E36=2,KM36=0),1000000,IF($I36&gt;0,IF(3=$J36,IF(OR(AND(49=$I36+1,OR($K36&lt;&gt;'計算A'!$A$3,'計算A'!$A$4=0)),AND(49=$I36-1,OR(1&lt;&gt;'計算A'!$A$3,'計算A'!$A$4=0))),0,IF(1=$K36,200000,ABS(1-$K36)*100)),100000+ABS(3-$J36)*1000+10)+'計算A'!AZ$5*50+IF(AND($E36=1,KM36=0),25,0),INDEX('計算A'!AZ$110:AZ$114,$F36+1)+IF(AND($E36=1,KM36=0),1000,0)+IF($H36=1,(IF('計算A'!AZ$117=1,INDEX('計算A'!BA$10:BA$54,$B36),0))*500,0)-IF(AND($L36=1,'計算A'!AZ$117=1,EY36=0),300,0))),1000000))</f>
        <v/>
      </c>
      <c r="QC36">
        <f>IF($B36=0,1000000,IF(INDEX('計算A'!$D$60:$EQ$104,$B36,50)*EY36=1,IF(AND($E36=2,KN36=0),1000000,IF($I36&gt;0,IF(3=$J36,IF(OR(AND(50=$I36+1,OR($K36&lt;&gt;'計算A'!$A$3,'計算A'!$A$4=0)),AND(50=$I36-1,OR(2&lt;&gt;'計算A'!$A$3,'計算A'!$A$4=0))),0,IF(2=$K36,200000,ABS(2-$K36)*100)),100000+ABS(3-$J36)*1000+20)+'計算A'!BA$5*50+IF(AND($E36=1,KN36=0),25,0),INDEX('計算A'!BA$110:BA$114,$F36+1)+IF(AND($E36=1,KN36=0),1000,0)+IF($H36=1,(IF('計算A'!AZ$117=1,INDEX('計算A'!AZ$10:AZ$54,$B36),0)+IF('計算A'!BA$117=1,INDEX('計算A'!BB$10:BB$54,$B36),0))*500,0)-IF(AND('計算A'!AZ$117=1,VX36&gt;0),300,0)-IF(AND($L36=1,'計算A'!BA$117=1,EZ36=0),300,0))),1000000))</f>
        <v/>
      </c>
      <c r="QD36">
        <f>IF($B36=0,1000000,IF(INDEX('計算A'!$D$60:$EQ$104,$B36,51)*EZ36=1,IF(AND($E36=2,KO36=0),1000000,IF($I36&gt;0,IF(3=$J36,IF(OR(AND(51=$I36+1,OR($K36&lt;&gt;'計算A'!$A$3,'計算A'!$A$4=0)),AND(51=$I36-1,OR(3&lt;&gt;'計算A'!$A$3,'計算A'!$A$4=0))),0,IF(3=$K36,200000,ABS(3-$K36)*100)),100000+ABS(3-$J36)*1000+30)+'計算A'!BB$5*50+IF(AND($E36=1,KO36=0),25,0),INDEX('計算A'!BB$110:BB$114,$F36+1)+IF(AND($E36=1,KO36=0),1000,0)+IF($H36=1,(IF('計算A'!BA$117=1,INDEX('計算A'!BA$10:BA$54,$B36),0)+IF('計算A'!BB$117=1,INDEX('計算A'!BC$10:BC$54,$B36),0))*500,0)-IF(AND('計算A'!BA$117=1,VY36&gt;0),300,0)-IF(AND($L36=1,'計算A'!BB$117=1,FA36=0),300,0))),1000000))</f>
        <v/>
      </c>
      <c r="QE36">
        <f>IF($B36=0,1000000,IF(INDEX('計算A'!$D$60:$EQ$104,$B36,52)*FA36=1,IF(AND($E36=2,KP36=0),1000000,IF($I36&gt;0,IF(3=$J36,IF(OR(AND(52=$I36+1,OR($K36&lt;&gt;'計算A'!$A$3,'計算A'!$A$4=0)),AND(52=$I36-1,OR(4&lt;&gt;'計算A'!$A$3,'計算A'!$A$4=0))),0,IF(4=$K36,200000,ABS(4-$K36)*100)),100000+ABS(3-$J36)*1000+40)+'計算A'!BC$5*50+IF(AND($E36=1,KP36=0),25,0),INDEX('計算A'!BC$110:BC$114,$F36+1)+IF(AND($E36=1,KP36=0),1000,0)+IF($H36=1,(IF('計算A'!BB$117=1,INDEX('計算A'!BB$10:BB$54,$B36),0)+IF('計算A'!BC$117=1,INDEX('計算A'!BD$10:BD$54,$B36),0))*500,0)-IF(AND('計算A'!BB$117=1,VZ36&gt;0),300,0)-IF(AND($L36=1,'計算A'!BC$117=1,FB36=0),300,0))),1000000))</f>
        <v/>
      </c>
      <c r="QF36">
        <f>IF($B36=0,1000000,IF(INDEX('計算A'!$D$60:$EQ$104,$B36,53)*FB36=1,IF(AND($E36=2,KQ36=0),1000000,IF($I36&gt;0,IF(3=$J36,IF(OR(AND(53=$I36+1,OR($K36&lt;&gt;'計算A'!$A$3,'計算A'!$A$4=0)),AND(53=$I36-1,OR(5&lt;&gt;'計算A'!$A$3,'計算A'!$A$4=0))),0,IF(5=$K36,200000,ABS(5-$K36)*100)),100000+ABS(3-$J36)*1000+50)+'計算A'!BD$5*50+IF(AND($E36=1,KQ36=0),25,0),INDEX('計算A'!BD$110:BD$114,$F36+1)+IF(AND($E36=1,KQ36=0),1000,0)+IF($H36=1,(IF('計算A'!BC$117=1,INDEX('計算A'!BC$10:BC$54,$B36),0)+IF('計算A'!BD$117=1,INDEX('計算A'!BE$10:BE$54,$B36),0))*500,0)-IF(AND('計算A'!BC$117=1,WA36&gt;0),300,0)-IF(AND($L36=1,'計算A'!BD$117=1,FC36=0),300,0))),1000000))</f>
        <v/>
      </c>
      <c r="QG36">
        <f>IF($B36=0,1000000,IF(INDEX('計算A'!$D$60:$EQ$104,$B36,54)*FC36=1,IF(AND($E36=2,KR36=0),1000000,IF($I36&gt;0,IF(3=$J36,IF(OR(AND(54=$I36+1,OR($K36&lt;&gt;'計算A'!$A$3,'計算A'!$A$4=0)),AND(54=$I36-1,OR(6&lt;&gt;'計算A'!$A$3,'計算A'!$A$4=0))),0,IF(6=$K36,200000,ABS(6-$K36)*100)),100000+ABS(3-$J36)*1000+60)+'計算A'!BE$5*50+IF(AND($E36=1,KR36=0),25,0),INDEX('計算A'!BE$110:BE$114,$F36+1)+IF(AND($E36=1,KR36=0),1000,0)+IF($H36=1,(IF('計算A'!BD$117=1,INDEX('計算A'!BD$10:BD$54,$B36),0)+IF('計算A'!BE$117=1,INDEX('計算A'!BF$10:BF$54,$B36),0))*500,0)-IF(AND('計算A'!BD$117=1,WB36&gt;0),300,0)-IF(AND($L36=1,'計算A'!BE$117=1,FD36=0),300,0))),1000000))</f>
        <v/>
      </c>
      <c r="QH36">
        <f>IF($B36=0,1000000,IF(INDEX('計算A'!$D$60:$EQ$104,$B36,55)*FD36=1,IF(AND($E36=2,KS36=0),1000000,IF($I36&gt;0,IF(3=$J36,IF(OR(AND(55=$I36+1,OR($K36&lt;&gt;'計算A'!$A$3,'計算A'!$A$4=0)),AND(55=$I36-1,OR(7&lt;&gt;'計算A'!$A$3,'計算A'!$A$4=0))),0,IF(7=$K36,200000,ABS(7-$K36)*100)),100000+ABS(3-$J36)*1000+70)+'計算A'!BF$5*50+IF(AND($E36=1,KS36=0),25,0),INDEX('計算A'!BF$110:BF$114,$F36+1)+IF(AND($E36=1,KS36=0),1000,0)+IF($H36=1,(IF('計算A'!BE$117=1,INDEX('計算A'!BE$10:BE$54,$B36),0)+IF('計算A'!BF$117=1,INDEX('計算A'!BG$10:BG$54,$B36),0))*500,0)-IF(AND('計算A'!BE$117=1,WC36&gt;0),300,0)-IF(AND($L36=1,'計算A'!BF$117=1,FE36=0),300,0))),1000000))</f>
        <v/>
      </c>
      <c r="QI36">
        <f>IF($B36=0,1000000,IF(INDEX('計算A'!$D$60:$EQ$104,$B36,56)*FE36=1,IF(AND($E36=2,KT36=0),1000000,IF($I36&gt;0,IF(3=$J36,IF(OR(AND(56=$I36+1,OR($K36&lt;&gt;'計算A'!$A$3,'計算A'!$A$4=0)),AND(56=$I36-1,OR(8&lt;&gt;'計算A'!$A$3,'計算A'!$A$4=0))),0,IF(8=$K36,200000,ABS(8-$K36)*100)),100000+ABS(3-$J36)*1000+80)+'計算A'!BG$5*50+IF(AND($E36=1,KT36=0),25,0),INDEX('計算A'!BG$110:BG$114,$F36+1)+IF(AND($E36=1,KT36=0),1000,0)+IF($H36=1,(IF('計算A'!BF$117=1,INDEX('計算A'!BF$10:BF$54,$B36),0)+IF('計算A'!BG$117=1,INDEX('計算A'!BH$10:BH$54,$B36),0))*500,0)-IF(AND('計算A'!BF$117=1,WD36&gt;0),300,0)-IF(AND($L36=1,'計算A'!BG$117=1,FF36=0),300,0))),1000000))</f>
        <v/>
      </c>
      <c r="QJ36">
        <f>IF($B36=0,1000000,IF(INDEX('計算A'!$D$60:$EQ$104,$B36,57)*FF36=1,IF(AND($E36=2,KU36=0),1000000,IF($I36&gt;0,IF(3=$J36,IF(OR(AND(57=$I36+1,OR($K36&lt;&gt;'計算A'!$A$3,'計算A'!$A$4=0)),AND(57=$I36-1,OR(9&lt;&gt;'計算A'!$A$3,'計算A'!$A$4=0))),0,IF(9=$K36,200000,ABS(9-$K36)*100)),100000+ABS(3-$J36)*1000+90)+'計算A'!BH$5*50+IF(AND($E36=1,KU36=0),25,0),INDEX('計算A'!BH$110:BH$114,$F36+1)+IF(AND($E36=1,KU36=0),1000,0)+IF($H36=1,(IF('計算A'!BG$117=1,INDEX('計算A'!BG$10:BG$54,$B36),0)+IF('計算A'!BH$117=1,INDEX('計算A'!BI$10:BI$54,$B36),0))*500,0)-IF(AND('計算A'!BG$117=1,WE36&gt;0),300,0)-IF(AND($L36=1,'計算A'!BH$117=1,FG36=0),300,0))),1000000))</f>
        <v/>
      </c>
      <c r="QK36">
        <f>IF($B36=0,1000000,IF(INDEX('計算A'!$D$60:$EQ$104,$B36,58)*FG36=1,IF(AND($E36=2,KV36=0),1000000,IF($I36&gt;0,IF(3=$J36,IF(OR(AND(58=$I36+1,OR($K36&lt;&gt;'計算A'!$A$3,'計算A'!$A$4=0)),AND(58=$I36-1,OR(10&lt;&gt;'計算A'!$A$3,'計算A'!$A$4=0))),0,IF(10=$K36,200000,ABS(10-$K36)*100)),100000+ABS(3-$J36)*1000+100)+'計算A'!BI$5*50+IF(AND($E36=1,KV36=0),25,0),INDEX('計算A'!BI$110:BI$114,$F36+1)+IF(AND($E36=1,KV36=0),1000,0)+IF($H36=1,(IF('計算A'!BH$117=1,INDEX('計算A'!BH$10:BH$54,$B36),0)+IF('計算A'!BI$117=1,INDEX('計算A'!BJ$10:BJ$54,$B36),0))*500,0)-IF(AND('計算A'!BH$117=1,WF36&gt;0),300,0)-IF(AND($L36=1,'計算A'!BI$117=1,FH36=0),300,0))),1000000))</f>
        <v/>
      </c>
      <c r="QL36">
        <f>IF($B36=0,1000000,IF(INDEX('計算A'!$D$60:$EQ$104,$B36,59)*FH36=1,IF(AND($E36=2,KW36=0),1000000,IF($I36&gt;0,IF(3=$J36,IF(OR(AND(59=$I36+1,OR($K36&lt;&gt;'計算A'!$A$3,'計算A'!$A$4=0)),AND(59=$I36-1,OR(11&lt;&gt;'計算A'!$A$3,'計算A'!$A$4=0))),0,IF(11=$K36,200000,ABS(11-$K36)*100)),100000+ABS(3-$J36)*1000+110)+'計算A'!BJ$5*50+IF(AND($E36=1,KW36=0),25,0),INDEX('計算A'!BJ$110:BJ$114,$F36+1)+IF(AND($E36=1,KW36=0),1000,0)+IF($H36=1,(IF('計算A'!BI$117=1,INDEX('計算A'!BI$10:BI$54,$B36),0)+IF('計算A'!BJ$117=1,INDEX('計算A'!BK$10:BK$54,$B36),0))*500,0)-IF(AND('計算A'!BI$117=1,WG36&gt;0),300,0)-IF(AND($L36=1,'計算A'!BJ$117=1,FI36=0),300,0))),1000000))</f>
        <v/>
      </c>
      <c r="QM36">
        <f>IF($B36=0,1000000,IF(INDEX('計算A'!$D$60:$EQ$104,$B36,60)*FI36=1,IF(AND($E36=2,KX36=0),1000000,IF($I36&gt;0,IF(3=$J36,IF(OR(AND(60=$I36+1,OR($K36&lt;&gt;'計算A'!$A$3,'計算A'!$A$4=0)),AND(60=$I36-1,OR(12&lt;&gt;'計算A'!$A$3,'計算A'!$A$4=0))),0,IF(12=$K36,200000,ABS(12-$K36)*100)),100000+ABS(3-$J36)*1000+120)+'計算A'!BK$5*50+IF(AND($E36=1,KX36=0),25,0),INDEX('計算A'!BK$110:BK$114,$F36+1)+IF(AND($E36=1,KX36=0),1000,0)+IF($H36=1,(IF('計算A'!BJ$117=1,INDEX('計算A'!BJ$10:BJ$54,$B36),0)+IF('計算A'!BK$117=1,INDEX('計算A'!BL$10:BL$54,$B36),0))*500,0)-IF(AND('計算A'!BJ$117=1,WH36&gt;0),300,0)-IF(AND($L36=1,'計算A'!BK$117=1,FJ36=0),300,0))),1000000))</f>
        <v/>
      </c>
      <c r="QN36">
        <f>IF($B36=0,1000000,IF(INDEX('計算A'!$D$60:$EQ$104,$B36,61)*FJ36=1,IF(AND($E36=2,KY36=0),1000000,IF($I36&gt;0,IF(3=$J36,IF(OR(AND(61=$I36+1,OR($K36&lt;&gt;'計算A'!$A$3,'計算A'!$A$4=0)),AND(61=$I36-1,OR(13&lt;&gt;'計算A'!$A$3,'計算A'!$A$4=0))),0,IF(13=$K36,200000,ABS(13-$K36)*100)),100000+ABS(3-$J36)*1000+130)+'計算A'!BL$5*50+IF(AND($E36=1,KY36=0),25,0),INDEX('計算A'!BL$110:BL$114,$F36+1)+IF(AND($E36=1,KY36=0),1000,0)+IF($H36=1,(IF('計算A'!BK$117=1,INDEX('計算A'!BK$10:BK$54,$B36),0)+IF('計算A'!BL$117=1,INDEX('計算A'!BM$10:BM$54,$B36),0))*500,0)-IF(AND('計算A'!BK$117=1,WI36&gt;0),300,0)-IF(AND($L36=1,'計算A'!BL$117=1,FK36=0),300,0))),1000000))</f>
        <v/>
      </c>
      <c r="QO36">
        <f>IF($B36=0,1000000,IF(INDEX('計算A'!$D$60:$EQ$104,$B36,62)*FK36=1,IF(AND($E36=2,KZ36=0),1000000,IF($I36&gt;0,IF(3=$J36,IF(OR(AND(62=$I36+1,OR($K36&lt;&gt;'計算A'!$A$3,'計算A'!$A$4=0)),AND(62=$I36-1,OR(14&lt;&gt;'計算A'!$A$3,'計算A'!$A$4=0))),0,IF(14=$K36,200000,ABS(14-$K36)*100)),100000+ABS(3-$J36)*1000+140)+'計算A'!BM$5*50+IF(AND($E36=1,KZ36=0),25,0),INDEX('計算A'!BM$110:BM$114,$F36+1)+IF(AND($E36=1,KZ36=0),1000,0)+IF($H36=1,(IF('計算A'!BL$117=1,INDEX('計算A'!BL$10:BL$54,$B36),0)+IF('計算A'!BM$117=1,INDEX('計算A'!BN$10:BN$54,$B36),0))*500,0)-IF(AND('計算A'!BL$117=1,WJ36&gt;0),300,0)-IF(AND($L36=1,'計算A'!BM$117=1,FL36=0),300,0))),1000000))</f>
        <v/>
      </c>
      <c r="QP36">
        <f>IF($B36=0,1000000,IF(INDEX('計算A'!$D$60:$EQ$104,$B36,63)*FL36=1,IF(AND($E36=2,LA36=0),1000000,IF($I36&gt;0,IF(3=$J36,IF(OR(AND(63=$I36+1,OR($K36&lt;&gt;'計算A'!$A$3,'計算A'!$A$4=0)),AND(63=$I36-1,OR(15&lt;&gt;'計算A'!$A$3,'計算A'!$A$4=0))),0,IF(15=$K36,200000,ABS(15-$K36)*100)),100000+ABS(3-$J36)*1000+150)+'計算A'!BN$5*50+IF(AND($E36=1,LA36=0),25,0),INDEX('計算A'!BN$110:BN$114,$F36+1)+IF(AND($E36=1,LA36=0),1000,0)+IF($H36=1,(IF('計算A'!BM$117=1,INDEX('計算A'!BM$10:BM$54,$B36),0)+IF('計算A'!BN$117=1,INDEX('計算A'!BO$10:BO$54,$B36),0))*500,0)-IF(AND('計算A'!BM$117=1,WK36&gt;0),300,0)-IF(AND($L36=1,'計算A'!BN$117=1,FM36=0),300,0))),1000000))</f>
        <v/>
      </c>
      <c r="QQ36">
        <f>IF($B36=0,1000000,IF(INDEX('計算A'!$D$60:$EQ$104,$B36,64)*FM36=1,IF(AND($E36=2,LB36=0),1000000,IF($I36&gt;0,IF(3=$J36,IF(OR(AND(64=$I36+1,OR($K36&lt;&gt;'計算A'!$A$3,'計算A'!$A$4=0)),AND(64=$I36-1,OR(16&lt;&gt;'計算A'!$A$3,'計算A'!$A$4=0))),0,IF(16=$K36,200000,ABS(16-$K36)*100)),100000+ABS(3-$J36)*1000+160)+'計算A'!BO$5*50+IF(AND($E36=1,LB36=0),25,0),INDEX('計算A'!BO$110:BO$114,$F36+1)+IF(AND($E36=1,LB36=0),1000,0)+IF($H36=1,(IF('計算A'!BN$117=1,INDEX('計算A'!BN$10:BN$54,$B36),0)+IF('計算A'!BO$117=1,INDEX('計算A'!BP$10:BP$54,$B36),0))*500,0)-IF(AND('計算A'!BN$117=1,WL36&gt;0),300,0)-IF(AND($L36=1,'計算A'!BO$117=1,FN36=0),300,0))),1000000))</f>
        <v/>
      </c>
      <c r="QR36">
        <f>IF($B36=0,1000000,IF(INDEX('計算A'!$D$60:$EQ$104,$B36,65)*FN36=1,IF(AND($E36=2,LC36=0),1000000,IF($I36&gt;0,IF(3=$J36,IF(OR(AND(65=$I36+1,OR($K36&lt;&gt;'計算A'!$A$3,'計算A'!$A$4=0)),AND(65=$I36-1,OR(17&lt;&gt;'計算A'!$A$3,'計算A'!$A$4=0))),0,IF(17=$K36,200000,ABS(17-$K36)*100)),100000+ABS(3-$J36)*1000+170)+'計算A'!BP$5*50+IF(AND($E36=1,LC36=0),25,0),INDEX('計算A'!BP$110:BP$114,$F36+1)+IF(AND($E36=1,LC36=0),1000,0)+IF($H36=1,(IF('計算A'!BO$117=1,INDEX('計算A'!BO$10:BO$54,$B36),0)+IF('計算A'!BP$117=1,INDEX('計算A'!BQ$10:BQ$54,$B36),0))*500,0)-IF(AND('計算A'!BO$117=1,WM36&gt;0),300,0)-IF(AND($L36=1,'計算A'!BP$117=1,FO36=0),300,0))),1000000))</f>
        <v/>
      </c>
      <c r="QS36">
        <f>IF($B36=0,1000000,IF(INDEX('計算A'!$D$60:$EQ$104,$B36,66)*FO36=1,IF(AND($E36=2,LD36=0),1000000,IF($I36&gt;0,IF(3=$J36,IF(OR(AND(66=$I36+1,OR($K36&lt;&gt;'計算A'!$A$3,'計算A'!$A$4=0)),AND(66=$I36-1,OR(18&lt;&gt;'計算A'!$A$3,'計算A'!$A$4=0))),0,IF(18=$K36,200000,ABS(18-$K36)*100)),100000+ABS(3-$J36)*1000+180)+'計算A'!BQ$5*50+IF(AND($E36=1,LD36=0),25,0),INDEX('計算A'!BQ$110:BQ$114,$F36+1)+IF(AND($E36=1,LD36=0),1000,0)+IF($H36=1,(IF('計算A'!BP$117=1,INDEX('計算A'!BP$10:BP$54,$B36),0)+IF('計算A'!BQ$117=1,INDEX('計算A'!BR$10:BR$54,$B36),0))*500,0)-IF(AND('計算A'!BP$117=1,WN36&gt;0),300,0)-IF(AND($L36=1,'計算A'!BQ$117=1,FP36=0),300,0))),1000000))</f>
        <v/>
      </c>
      <c r="QT36">
        <f>IF($B36=0,1000000,IF(INDEX('計算A'!$D$60:$EQ$104,$B36,67)*FP36=1,IF(AND($E36=2,LE36=0),1000000,IF($I36&gt;0,IF(3=$J36,IF(OR(AND(67=$I36+1,OR($K36&lt;&gt;'計算A'!$A$3,'計算A'!$A$4=0)),AND(67=$I36-1,OR(19&lt;&gt;'計算A'!$A$3,'計算A'!$A$4=0))),0,IF(19=$K36,200000,ABS(19-$K36)*100)),100000+ABS(3-$J36)*1000+190)+'計算A'!BR$5*50+IF(AND($E36=1,LE36=0),25,0),INDEX('計算A'!BR$110:BR$114,$F36+1)+IF(AND($E36=1,LE36=0),1000,0)+IF($H36=1,(IF('計算A'!BQ$117=1,INDEX('計算A'!BQ$10:BQ$54,$B36),0)+IF('計算A'!BR$117=1,INDEX('計算A'!BS$10:BS$54,$B36),0))*500,0)-IF(AND('計算A'!BQ$117=1,WO36&gt;0),300,0)-IF(AND($L36=1,'計算A'!BR$117=1,FQ36=0),300,0))),1000000))</f>
        <v/>
      </c>
      <c r="QU36">
        <f>IF($B36=0,1000000,IF(INDEX('計算A'!$D$60:$EQ$104,$B36,68)*FQ36=1,IF(AND($E36=2,LF36=0),1000000,IF($I36&gt;0,IF(3=$J36,IF(OR(AND(68=$I36+1,OR($K36&lt;&gt;'計算A'!$A$3,'計算A'!$A$4=0)),AND(68=$I36-1,OR(20&lt;&gt;'計算A'!$A$3,'計算A'!$A$4=0))),0,IF(20=$K36,200000,ABS(20-$K36)*100)),100000+ABS(3-$J36)*1000+200)+'計算A'!BS$5*50+IF(AND($E36=1,LF36=0),25,0),INDEX('計算A'!BS$110:BS$114,$F36+1)+IF(AND($E36=1,LF36=0),1000,0)+IF($H36=1,(IF('計算A'!BR$117=1,INDEX('計算A'!BR$10:BR$54,$B36),0)+IF('計算A'!BS$117=1,INDEX('計算A'!BT$10:BT$54,$B36),0))*500,0)-IF(AND('計算A'!BR$117=1,WP36&gt;0),300,0)-IF(AND($L36=1,'計算A'!BS$117=1,FR36=0),300,0))),1000000))</f>
        <v/>
      </c>
      <c r="QV36">
        <f>IF($B36=0,1000000,IF(INDEX('計算A'!$D$60:$EQ$104,$B36,69)*FR36=1,IF(AND($E36=2,LG36=0),1000000,IF($I36&gt;0,IF(3=$J36,IF(OR(AND(69=$I36+1,OR($K36&lt;&gt;'計算A'!$A$3,'計算A'!$A$4=0)),AND(69=$I36-1,OR(21&lt;&gt;'計算A'!$A$3,'計算A'!$A$4=0))),0,IF(21=$K36,200000,ABS(21-$K36)*100)),100000+ABS(3-$J36)*1000+210)+'計算A'!BT$5*50+IF(AND($E36=1,LG36=0),25,0),INDEX('計算A'!BT$110:BT$114,$F36+1)+IF(AND($E36=1,LG36=0),1000,0)+IF($H36=1,(IF('計算A'!BS$117=1,INDEX('計算A'!BS$10:BS$54,$B36),0)+IF('計算A'!BT$117=1,INDEX('計算A'!BU$10:BU$54,$B36),0))*500,0)-IF(AND('計算A'!BS$117=1,WQ36&gt;0),300,0)-IF(AND($L36=1,'計算A'!BT$117=1,FS36=0),300,0))),1000000))</f>
        <v/>
      </c>
      <c r="QW36">
        <f>IF($B36=0,1000000,IF(INDEX('計算A'!$D$60:$EQ$104,$B36,70)*FS36=1,IF(AND($E36=2,LH36=0),1000000,IF($I36&gt;0,IF(3=$J36,IF(OR(AND(70=$I36+1,OR($K36&lt;&gt;'計算A'!$A$3,'計算A'!$A$4=0)),AND(70=$I36-1,OR(22&lt;&gt;'計算A'!$A$3,'計算A'!$A$4=0))),0,IF(22=$K36,200000,ABS(22-$K36)*100)),100000+ABS(3-$J36)*1000+220)+'計算A'!BU$5*50+IF(AND($E36=1,LH36=0),25,0),INDEX('計算A'!BU$110:BU$114,$F36+1)+IF(AND($E36=1,LH36=0),1000,0)+IF($H36=1,(IF('計算A'!BT$117=1,INDEX('計算A'!BT$10:BT$54,$B36),0)+IF('計算A'!BU$117=1,INDEX('計算A'!BV$10:BV$54,$B36),0))*500,0)-IF(AND('計算A'!BT$117=1,WR36&gt;0),300,0)-IF(AND($L36=1,'計算A'!BU$117=1,FT36=0),300,0))),1000000))</f>
        <v/>
      </c>
      <c r="QX36">
        <f>IF($B36=0,1000000,IF(INDEX('計算A'!$D$60:$EQ$104,$B36,71)*FT36=1,IF(AND($E36=2,LI36=0),1000000,IF($I36&gt;0,IF(3=$J36,IF(OR(AND(71=$I36+1,OR($K36&lt;&gt;'計算A'!$A$3,'計算A'!$A$4=0)),AND(71=$I36-1,OR(23&lt;&gt;'計算A'!$A$3,'計算A'!$A$4=0))),0,IF(23=$K36,200000,ABS(23-$K36)*100)),100000+ABS(3-$J36)*1000+230)+'計算A'!BV$5*50+IF(AND($E36=1,LI36=0),25,0),INDEX('計算A'!BV$110:BV$114,$F36+1)+IF(AND($E36=1,LI36=0),1000,0)+IF($H36=1,(IF('計算A'!BU$117=1,INDEX('計算A'!BU$10:BU$54,$B36),0)+IF('計算A'!BV$117=1,INDEX('計算A'!BW$10:BW$54,$B36),0))*500,0)-IF(AND('計算A'!BU$117=1,WS36&gt;0),300,0)-IF(AND($L36=1,'計算A'!BV$117=1,FU36=0),300,0))),1000000))</f>
        <v/>
      </c>
      <c r="QY36">
        <f>IF($B36=0,1000000,IF(INDEX('計算A'!$D$60:$EQ$104,$B36,72)*FU36=1,IF(AND($E36=2,LJ36=0),1000000,IF($I36&gt;0,IF(3=$J36,IF(OR(AND(72=$I36+1,OR($K36&lt;&gt;'計算A'!$A$3,'計算A'!$A$4=0)),AND(72=$I36-1,OR(24&lt;&gt;'計算A'!$A$3,'計算A'!$A$4=0))),0,IF(24=$K36,200000,ABS(24-$K36)*100)),100000+ABS(3-$J36)*1000+240)+'計算A'!BW$5*50+IF(AND($E36=1,LJ36=0),25,0),INDEX('計算A'!BW$110:BW$114,$F36+1)+IF(AND($E36=1,LJ36=0),1000,0)+IF($H36=1,(IF('計算A'!BV$117=1,INDEX('計算A'!BV$10:BV$54,$B36),0))*500,0)-IF(AND('計算A'!BV$117=1,WT36&gt;0),300,0))),1000000))</f>
        <v/>
      </c>
      <c r="QZ36">
        <f>IF($B36=0,1000000,IF(INDEX('計算A'!$D$60:$EQ$104,$B36,73)*FV36=1,IF(AND($E36=2,LK36=0),1000000,IF($I36&gt;0,IF(4=$J36,IF(OR(AND(73=$I36+1,OR($K36&lt;&gt;'計算A'!$A$3,'計算A'!$A$4=0)),AND(73=$I36-1,OR(1&lt;&gt;'計算A'!$A$3,'計算A'!$A$4=0))),0,IF(1=$K36,200000,ABS(1-$K36)*100)),100000+ABS(4-$J36)*1000+10)+'計算A'!BX$5*50+IF(AND($E36=1,LK36=0),25,0),INDEX('計算A'!BX$110:BX$114,$F36+1)+IF(AND($E36=1,LK36=0),1000,0)+IF($H36=1,(IF('計算A'!BX$117=1,INDEX('計算A'!BY$10:BY$54,$B36),0))*500,0)-IF(AND($L36=1,'計算A'!BX$117=1,FW36=0),300,0))),1000000))</f>
        <v/>
      </c>
      <c r="RA36">
        <f>IF($B36=0,1000000,IF(INDEX('計算A'!$D$60:$EQ$104,$B36,74)*FW36=1,IF(AND($E36=2,LL36=0),1000000,IF($I36&gt;0,IF(4=$J36,IF(OR(AND(74=$I36+1,OR($K36&lt;&gt;'計算A'!$A$3,'計算A'!$A$4=0)),AND(74=$I36-1,OR(2&lt;&gt;'計算A'!$A$3,'計算A'!$A$4=0))),0,IF(2=$K36,200000,ABS(2-$K36)*100)),100000+ABS(4-$J36)*1000+20)+'計算A'!BY$5*50+IF(AND($E36=1,LL36=0),25,0),INDEX('計算A'!BY$110:BY$114,$F36+1)+IF(AND($E36=1,LL36=0),1000,0)+IF($H36=1,(IF('計算A'!BX$117=1,INDEX('計算A'!BX$10:BX$54,$B36),0)+IF('計算A'!BY$117=1,INDEX('計算A'!BZ$10:BZ$54,$B36),0))*500,0)-IF(AND('計算A'!BX$117=1,WV36&gt;0),300,0)-IF(AND($L36=1,'計算A'!BY$117=1,FX36=0),300,0))),1000000))</f>
        <v/>
      </c>
      <c r="RB36">
        <f>IF($B36=0,1000000,IF(INDEX('計算A'!$D$60:$EQ$104,$B36,75)*FX36=1,IF(AND($E36=2,LM36=0),1000000,IF($I36&gt;0,IF(4=$J36,IF(OR(AND(75=$I36+1,OR($K36&lt;&gt;'計算A'!$A$3,'計算A'!$A$4=0)),AND(75=$I36-1,OR(3&lt;&gt;'計算A'!$A$3,'計算A'!$A$4=0))),0,IF(3=$K36,200000,ABS(3-$K36)*100)),100000+ABS(4-$J36)*1000+30)+'計算A'!BZ$5*50+IF(AND($E36=1,LM36=0),25,0),INDEX('計算A'!BZ$110:BZ$114,$F36+1)+IF(AND($E36=1,LM36=0),1000,0)+IF($H36=1,(IF('計算A'!BY$117=1,INDEX('計算A'!BY$10:BY$54,$B36),0)+IF('計算A'!BZ$117=1,INDEX('計算A'!CA$10:CA$54,$B36),0))*500,0)-IF(AND('計算A'!BY$117=1,WW36&gt;0),300,0)-IF(AND($L36=1,'計算A'!BZ$117=1,FY36=0),300,0))),1000000))</f>
        <v/>
      </c>
      <c r="RC36">
        <f>IF($B36=0,1000000,IF(INDEX('計算A'!$D$60:$EQ$104,$B36,76)*FY36=1,IF(AND($E36=2,LN36=0),1000000,IF($I36&gt;0,IF(4=$J36,IF(OR(AND(76=$I36+1,OR($K36&lt;&gt;'計算A'!$A$3,'計算A'!$A$4=0)),AND(76=$I36-1,OR(4&lt;&gt;'計算A'!$A$3,'計算A'!$A$4=0))),0,IF(4=$K36,200000,ABS(4-$K36)*100)),100000+ABS(4-$J36)*1000+40)+'計算A'!CA$5*50+IF(AND($E36=1,LN36=0),25,0),INDEX('計算A'!CA$110:CA$114,$F36+1)+IF(AND($E36=1,LN36=0),1000,0)+IF($H36=1,(IF('計算A'!BZ$117=1,INDEX('計算A'!BZ$10:BZ$54,$B36),0)+IF('計算A'!CA$117=1,INDEX('計算A'!CB$10:CB$54,$B36),0))*500,0)-IF(AND('計算A'!BZ$117=1,WX36&gt;0),300,0)-IF(AND($L36=1,'計算A'!CA$117=1,FZ36=0),300,0))),1000000))</f>
        <v/>
      </c>
      <c r="RD36">
        <f>IF($B36=0,1000000,IF(INDEX('計算A'!$D$60:$EQ$104,$B36,77)*FZ36=1,IF(AND($E36=2,LO36=0),1000000,IF($I36&gt;0,IF(4=$J36,IF(OR(AND(77=$I36+1,OR($K36&lt;&gt;'計算A'!$A$3,'計算A'!$A$4=0)),AND(77=$I36-1,OR(5&lt;&gt;'計算A'!$A$3,'計算A'!$A$4=0))),0,IF(5=$K36,200000,ABS(5-$K36)*100)),100000+ABS(4-$J36)*1000+50)+'計算A'!CB$5*50+IF(AND($E36=1,LO36=0),25,0),INDEX('計算A'!CB$110:CB$114,$F36+1)+IF(AND($E36=1,LO36=0),1000,0)+IF($H36=1,(IF('計算A'!CA$117=1,INDEX('計算A'!CA$10:CA$54,$B36),0)+IF('計算A'!CB$117=1,INDEX('計算A'!CC$10:CC$54,$B36),0))*500,0)-IF(AND('計算A'!CA$117=1,WY36&gt;0),300,0)-IF(AND($L36=1,'計算A'!CB$117=1,GA36=0),300,0))),1000000))</f>
        <v/>
      </c>
      <c r="RE36">
        <f>IF($B36=0,1000000,IF(INDEX('計算A'!$D$60:$EQ$104,$B36,78)*GA36=1,IF(AND($E36=2,LP36=0),1000000,IF($I36&gt;0,IF(4=$J36,IF(OR(AND(78=$I36+1,OR($K36&lt;&gt;'計算A'!$A$3,'計算A'!$A$4=0)),AND(78=$I36-1,OR(6&lt;&gt;'計算A'!$A$3,'計算A'!$A$4=0))),0,IF(6=$K36,200000,ABS(6-$K36)*100)),100000+ABS(4-$J36)*1000+60)+'計算A'!CC$5*50+IF(AND($E36=1,LP36=0),25,0),INDEX('計算A'!CC$110:CC$114,$F36+1)+IF(AND($E36=1,LP36=0),1000,0)+IF($H36=1,(IF('計算A'!CB$117=1,INDEX('計算A'!CB$10:CB$54,$B36),0)+IF('計算A'!CC$117=1,INDEX('計算A'!CD$10:CD$54,$B36),0))*500,0)-IF(AND('計算A'!CB$117=1,WZ36&gt;0),300,0)-IF(AND($L36=1,'計算A'!CC$117=1,GB36=0),300,0))),1000000))</f>
        <v/>
      </c>
      <c r="RF36">
        <f>IF($B36=0,1000000,IF(INDEX('計算A'!$D$60:$EQ$104,$B36,79)*GB36=1,IF(AND($E36=2,LQ36=0),1000000,IF($I36&gt;0,IF(4=$J36,IF(OR(AND(79=$I36+1,OR($K36&lt;&gt;'計算A'!$A$3,'計算A'!$A$4=0)),AND(79=$I36-1,OR(7&lt;&gt;'計算A'!$A$3,'計算A'!$A$4=0))),0,IF(7=$K36,200000,ABS(7-$K36)*100)),100000+ABS(4-$J36)*1000+70)+'計算A'!CD$5*50+IF(AND($E36=1,LQ36=0),25,0),INDEX('計算A'!CD$110:CD$114,$F36+1)+IF(AND($E36=1,LQ36=0),1000,0)+IF($H36=1,(IF('計算A'!CC$117=1,INDEX('計算A'!CC$10:CC$54,$B36),0)+IF('計算A'!CD$117=1,INDEX('計算A'!CE$10:CE$54,$B36),0))*500,0)-IF(AND('計算A'!CC$117=1,XA36&gt;0),300,0)-IF(AND($L36=1,'計算A'!CD$117=1,GC36=0),300,0))),1000000))</f>
        <v/>
      </c>
      <c r="RG36">
        <f>IF($B36=0,1000000,IF(INDEX('計算A'!$D$60:$EQ$104,$B36,80)*GC36=1,IF(AND($E36=2,LR36=0),1000000,IF($I36&gt;0,IF(4=$J36,IF(OR(AND(80=$I36+1,OR($K36&lt;&gt;'計算A'!$A$3,'計算A'!$A$4=0)),AND(80=$I36-1,OR(8&lt;&gt;'計算A'!$A$3,'計算A'!$A$4=0))),0,IF(8=$K36,200000,ABS(8-$K36)*100)),100000+ABS(4-$J36)*1000+80)+'計算A'!CE$5*50+IF(AND($E36=1,LR36=0),25,0),INDEX('計算A'!CE$110:CE$114,$F36+1)+IF(AND($E36=1,LR36=0),1000,0)+IF($H36=1,(IF('計算A'!CD$117=1,INDEX('計算A'!CD$10:CD$54,$B36),0)+IF('計算A'!CE$117=1,INDEX('計算A'!CF$10:CF$54,$B36),0))*500,0)-IF(AND('計算A'!CD$117=1,XB36&gt;0),300,0)-IF(AND($L36=1,'計算A'!CE$117=1,GD36=0),300,0))),1000000))</f>
        <v/>
      </c>
      <c r="RH36">
        <f>IF($B36=0,1000000,IF(INDEX('計算A'!$D$60:$EQ$104,$B36,81)*GD36=1,IF(AND($E36=2,LS36=0),1000000,IF($I36&gt;0,IF(4=$J36,IF(OR(AND(81=$I36+1,OR($K36&lt;&gt;'計算A'!$A$3,'計算A'!$A$4=0)),AND(81=$I36-1,OR(9&lt;&gt;'計算A'!$A$3,'計算A'!$A$4=0))),0,IF(9=$K36,200000,ABS(9-$K36)*100)),100000+ABS(4-$J36)*1000+90)+'計算A'!CF$5*50+IF(AND($E36=1,LS36=0),25,0),INDEX('計算A'!CF$110:CF$114,$F36+1)+IF(AND($E36=1,LS36=0),1000,0)+IF($H36=1,(IF('計算A'!CE$117=1,INDEX('計算A'!CE$10:CE$54,$B36),0)+IF('計算A'!CF$117=1,INDEX('計算A'!CG$10:CG$54,$B36),0))*500,0)-IF(AND('計算A'!CE$117=1,XC36&gt;0),300,0)-IF(AND($L36=1,'計算A'!CF$117=1,GE36=0),300,0))),1000000))</f>
        <v/>
      </c>
      <c r="RI36">
        <f>IF($B36=0,1000000,IF(INDEX('計算A'!$D$60:$EQ$104,$B36,82)*GE36=1,IF(AND($E36=2,LT36=0),1000000,IF($I36&gt;0,IF(4=$J36,IF(OR(AND(82=$I36+1,OR($K36&lt;&gt;'計算A'!$A$3,'計算A'!$A$4=0)),AND(82=$I36-1,OR(10&lt;&gt;'計算A'!$A$3,'計算A'!$A$4=0))),0,IF(10=$K36,200000,ABS(10-$K36)*100)),100000+ABS(4-$J36)*1000+100)+'計算A'!CG$5*50+IF(AND($E36=1,LT36=0),25,0),INDEX('計算A'!CG$110:CG$114,$F36+1)+IF(AND($E36=1,LT36=0),1000,0)+IF($H36=1,(IF('計算A'!CF$117=1,INDEX('計算A'!CF$10:CF$54,$B36),0)+IF('計算A'!CG$117=1,INDEX('計算A'!CH$10:CH$54,$B36),0))*500,0)-IF(AND('計算A'!CF$117=1,XD36&gt;0),300,0)-IF(AND($L36=1,'計算A'!CG$117=1,GF36=0),300,0))),1000000))</f>
        <v/>
      </c>
      <c r="RJ36">
        <f>IF($B36=0,1000000,IF(INDEX('計算A'!$D$60:$EQ$104,$B36,83)*GF36=1,IF(AND($E36=2,LU36=0),1000000,IF($I36&gt;0,IF(4=$J36,IF(OR(AND(83=$I36+1,OR($K36&lt;&gt;'計算A'!$A$3,'計算A'!$A$4=0)),AND(83=$I36-1,OR(11&lt;&gt;'計算A'!$A$3,'計算A'!$A$4=0))),0,IF(11=$K36,200000,ABS(11-$K36)*100)),100000+ABS(4-$J36)*1000+110)+'計算A'!CH$5*50+IF(AND($E36=1,LU36=0),25,0),INDEX('計算A'!CH$110:CH$114,$F36+1)+IF(AND($E36=1,LU36=0),1000,0)+IF($H36=1,(IF('計算A'!CG$117=1,INDEX('計算A'!CG$10:CG$54,$B36),0)+IF('計算A'!CH$117=1,INDEX('計算A'!CI$10:CI$54,$B36),0))*500,0)-IF(AND('計算A'!CG$117=1,XE36&gt;0),300,0)-IF(AND($L36=1,'計算A'!CH$117=1,GG36=0),300,0))),1000000))</f>
        <v/>
      </c>
      <c r="RK36">
        <f>IF($B36=0,1000000,IF(INDEX('計算A'!$D$60:$EQ$104,$B36,84)*GG36=1,IF(AND($E36=2,LV36=0),1000000,IF($I36&gt;0,IF(4=$J36,IF(OR(AND(84=$I36+1,OR($K36&lt;&gt;'計算A'!$A$3,'計算A'!$A$4=0)),AND(84=$I36-1,OR(12&lt;&gt;'計算A'!$A$3,'計算A'!$A$4=0))),0,IF(12=$K36,200000,ABS(12-$K36)*100)),100000+ABS(4-$J36)*1000+120)+'計算A'!CI$5*50+IF(AND($E36=1,LV36=0),25,0),INDEX('計算A'!CI$110:CI$114,$F36+1)+IF(AND($E36=1,LV36=0),1000,0)+IF($H36=1,(IF('計算A'!CH$117=1,INDEX('計算A'!CH$10:CH$54,$B36),0)+IF('計算A'!CI$117=1,INDEX('計算A'!CJ$10:CJ$54,$B36),0))*500,0)-IF(AND('計算A'!CH$117=1,XF36&gt;0),300,0)-IF(AND($L36=1,'計算A'!CI$117=1,GH36=0),300,0))),1000000))</f>
        <v/>
      </c>
      <c r="RL36">
        <f>IF($B36=0,1000000,IF(INDEX('計算A'!$D$60:$EQ$104,$B36,85)*GH36=1,IF(AND($E36=2,LW36=0),1000000,IF($I36&gt;0,IF(4=$J36,IF(OR(AND(85=$I36+1,OR($K36&lt;&gt;'計算A'!$A$3,'計算A'!$A$4=0)),AND(85=$I36-1,OR(13&lt;&gt;'計算A'!$A$3,'計算A'!$A$4=0))),0,IF(13=$K36,200000,ABS(13-$K36)*100)),100000+ABS(4-$J36)*1000+130)+'計算A'!CJ$5*50+IF(AND($E36=1,LW36=0),25,0),INDEX('計算A'!CJ$110:CJ$114,$F36+1)+IF(AND($E36=1,LW36=0),1000,0)+IF($H36=1,(IF('計算A'!CI$117=1,INDEX('計算A'!CI$10:CI$54,$B36),0)+IF('計算A'!CJ$117=1,INDEX('計算A'!CK$10:CK$54,$B36),0))*500,0)-IF(AND('計算A'!CI$117=1,XG36&gt;0),300,0)-IF(AND($L36=1,'計算A'!CJ$117=1,GI36=0),300,0))),1000000))</f>
        <v/>
      </c>
      <c r="RM36">
        <f>IF($B36=0,1000000,IF(INDEX('計算A'!$D$60:$EQ$104,$B36,86)*GI36=1,IF(AND($E36=2,LX36=0),1000000,IF($I36&gt;0,IF(4=$J36,IF(OR(AND(86=$I36+1,OR($K36&lt;&gt;'計算A'!$A$3,'計算A'!$A$4=0)),AND(86=$I36-1,OR(14&lt;&gt;'計算A'!$A$3,'計算A'!$A$4=0))),0,IF(14=$K36,200000,ABS(14-$K36)*100)),100000+ABS(4-$J36)*1000+140)+'計算A'!CK$5*50+IF(AND($E36=1,LX36=0),25,0),INDEX('計算A'!CK$110:CK$114,$F36+1)+IF(AND($E36=1,LX36=0),1000,0)+IF($H36=1,(IF('計算A'!CJ$117=1,INDEX('計算A'!CJ$10:CJ$54,$B36),0)+IF('計算A'!CK$117=1,INDEX('計算A'!CL$10:CL$54,$B36),0))*500,0)-IF(AND('計算A'!CJ$117=1,XH36&gt;0),300,0)-IF(AND($L36=1,'計算A'!CK$117=1,GJ36=0),300,0))),1000000))</f>
        <v/>
      </c>
      <c r="RN36">
        <f>IF($B36=0,1000000,IF(INDEX('計算A'!$D$60:$EQ$104,$B36,87)*GJ36=1,IF(AND($E36=2,LY36=0),1000000,IF($I36&gt;0,IF(4=$J36,IF(OR(AND(87=$I36+1,OR($K36&lt;&gt;'計算A'!$A$3,'計算A'!$A$4=0)),AND(87=$I36-1,OR(15&lt;&gt;'計算A'!$A$3,'計算A'!$A$4=0))),0,IF(15=$K36,200000,ABS(15-$K36)*100)),100000+ABS(4-$J36)*1000+150)+'計算A'!CL$5*50+IF(AND($E36=1,LY36=0),25,0),INDEX('計算A'!CL$110:CL$114,$F36+1)+IF(AND($E36=1,LY36=0),1000,0)+IF($H36=1,(IF('計算A'!CK$117=1,INDEX('計算A'!CK$10:CK$54,$B36),0)+IF('計算A'!CL$117=1,INDEX('計算A'!CM$10:CM$54,$B36),0))*500,0)-IF(AND('計算A'!CK$117=1,XI36&gt;0),300,0)-IF(AND($L36=1,'計算A'!CL$117=1,GK36=0),300,0))),1000000))</f>
        <v/>
      </c>
      <c r="RO36">
        <f>IF($B36=0,1000000,IF(INDEX('計算A'!$D$60:$EQ$104,$B36,88)*GK36=1,IF(AND($E36=2,LZ36=0),1000000,IF($I36&gt;0,IF(4=$J36,IF(OR(AND(88=$I36+1,OR($K36&lt;&gt;'計算A'!$A$3,'計算A'!$A$4=0)),AND(88=$I36-1,OR(16&lt;&gt;'計算A'!$A$3,'計算A'!$A$4=0))),0,IF(16=$K36,200000,ABS(16-$K36)*100)),100000+ABS(4-$J36)*1000+160)+'計算A'!CM$5*50+IF(AND($E36=1,LZ36=0),25,0),INDEX('計算A'!CM$110:CM$114,$F36+1)+IF(AND($E36=1,LZ36=0),1000,0)+IF($H36=1,(IF('計算A'!CL$117=1,INDEX('計算A'!CL$10:CL$54,$B36),0)+IF('計算A'!CM$117=1,INDEX('計算A'!CN$10:CN$54,$B36),0))*500,0)-IF(AND('計算A'!CL$117=1,XJ36&gt;0),300,0)-IF(AND($L36=1,'計算A'!CM$117=1,GL36=0),300,0))),1000000))</f>
        <v/>
      </c>
      <c r="RP36">
        <f>IF($B36=0,1000000,IF(INDEX('計算A'!$D$60:$EQ$104,$B36,89)*GL36=1,IF(AND($E36=2,MA36=0),1000000,IF($I36&gt;0,IF(4=$J36,IF(OR(AND(89=$I36+1,OR($K36&lt;&gt;'計算A'!$A$3,'計算A'!$A$4=0)),AND(89=$I36-1,OR(17&lt;&gt;'計算A'!$A$3,'計算A'!$A$4=0))),0,IF(17=$K36,200000,ABS(17-$K36)*100)),100000+ABS(4-$J36)*1000+170)+'計算A'!CN$5*50+IF(AND($E36=1,MA36=0),25,0),INDEX('計算A'!CN$110:CN$114,$F36+1)+IF(AND($E36=1,MA36=0),1000,0)+IF($H36=1,(IF('計算A'!CM$117=1,INDEX('計算A'!CM$10:CM$54,$B36),0)+IF('計算A'!CN$117=1,INDEX('計算A'!CO$10:CO$54,$B36),0))*500,0)-IF(AND('計算A'!CM$117=1,XK36&gt;0),300,0)-IF(AND($L36=1,'計算A'!CN$117=1,GM36=0),300,0))),1000000))</f>
        <v/>
      </c>
      <c r="RQ36">
        <f>IF($B36=0,1000000,IF(INDEX('計算A'!$D$60:$EQ$104,$B36,90)*GM36=1,IF(AND($E36=2,MB36=0),1000000,IF($I36&gt;0,IF(4=$J36,IF(OR(AND(90=$I36+1,OR($K36&lt;&gt;'計算A'!$A$3,'計算A'!$A$4=0)),AND(90=$I36-1,OR(18&lt;&gt;'計算A'!$A$3,'計算A'!$A$4=0))),0,IF(18=$K36,200000,ABS(18-$K36)*100)),100000+ABS(4-$J36)*1000+180)+'計算A'!CO$5*50+IF(AND($E36=1,MB36=0),25,0),INDEX('計算A'!CO$110:CO$114,$F36+1)+IF(AND($E36=1,MB36=0),1000,0)+IF($H36=1,(IF('計算A'!CN$117=1,INDEX('計算A'!CN$10:CN$54,$B36),0)+IF('計算A'!CO$117=1,INDEX('計算A'!CP$10:CP$54,$B36),0))*500,0)-IF(AND('計算A'!CN$117=1,XL36&gt;0),300,0)-IF(AND($L36=1,'計算A'!CO$117=1,GN36=0),300,0))),1000000))</f>
        <v/>
      </c>
      <c r="RR36">
        <f>IF($B36=0,1000000,IF(INDEX('計算A'!$D$60:$EQ$104,$B36,91)*GN36=1,IF(AND($E36=2,MC36=0),1000000,IF($I36&gt;0,IF(4=$J36,IF(OR(AND(91=$I36+1,OR($K36&lt;&gt;'計算A'!$A$3,'計算A'!$A$4=0)),AND(91=$I36-1,OR(19&lt;&gt;'計算A'!$A$3,'計算A'!$A$4=0))),0,IF(19=$K36,200000,ABS(19-$K36)*100)),100000+ABS(4-$J36)*1000+190)+'計算A'!CP$5*50+IF(AND($E36=1,MC36=0),25,0),INDEX('計算A'!CP$110:CP$114,$F36+1)+IF(AND($E36=1,MC36=0),1000,0)+IF($H36=1,(IF('計算A'!CO$117=1,INDEX('計算A'!CO$10:CO$54,$B36),0)+IF('計算A'!CP$117=1,INDEX('計算A'!CQ$10:CQ$54,$B36),0))*500,0)-IF(AND('計算A'!CO$117=1,XM36&gt;0),300,0)-IF(AND($L36=1,'計算A'!CP$117=1,GO36=0),300,0))),1000000))</f>
        <v/>
      </c>
      <c r="RS36">
        <f>IF($B36=0,1000000,IF(INDEX('計算A'!$D$60:$EQ$104,$B36,92)*GO36=1,IF(AND($E36=2,MD36=0),1000000,IF($I36&gt;0,IF(4=$J36,IF(OR(AND(92=$I36+1,OR($K36&lt;&gt;'計算A'!$A$3,'計算A'!$A$4=0)),AND(92=$I36-1,OR(20&lt;&gt;'計算A'!$A$3,'計算A'!$A$4=0))),0,IF(20=$K36,200000,ABS(20-$K36)*100)),100000+ABS(4-$J36)*1000+200)+'計算A'!CQ$5*50+IF(AND($E36=1,MD36=0),25,0),INDEX('計算A'!CQ$110:CQ$114,$F36+1)+IF(AND($E36=1,MD36=0),1000,0)+IF($H36=1,(IF('計算A'!CP$117=1,INDEX('計算A'!CP$10:CP$54,$B36),0)+IF('計算A'!CQ$117=1,INDEX('計算A'!CR$10:CR$54,$B36),0))*500,0)-IF(AND('計算A'!CP$117=1,XN36&gt;0),300,0)-IF(AND($L36=1,'計算A'!CQ$117=1,GP36=0),300,0))),1000000))</f>
        <v/>
      </c>
      <c r="RT36">
        <f>IF($B36=0,1000000,IF(INDEX('計算A'!$D$60:$EQ$104,$B36,93)*GP36=1,IF(AND($E36=2,ME36=0),1000000,IF($I36&gt;0,IF(4=$J36,IF(OR(AND(93=$I36+1,OR($K36&lt;&gt;'計算A'!$A$3,'計算A'!$A$4=0)),AND(93=$I36-1,OR(21&lt;&gt;'計算A'!$A$3,'計算A'!$A$4=0))),0,IF(21=$K36,200000,ABS(21-$K36)*100)),100000+ABS(4-$J36)*1000+210)+'計算A'!CR$5*50+IF(AND($E36=1,ME36=0),25,0),INDEX('計算A'!CR$110:CR$114,$F36+1)+IF(AND($E36=1,ME36=0),1000,0)+IF($H36=1,(IF('計算A'!CQ$117=1,INDEX('計算A'!CQ$10:CQ$54,$B36),0)+IF('計算A'!CR$117=1,INDEX('計算A'!CS$10:CS$54,$B36),0))*500,0)-IF(AND('計算A'!CQ$117=1,XO36&gt;0),300,0)-IF(AND($L36=1,'計算A'!CR$117=1,GQ36=0),300,0))),1000000))</f>
        <v/>
      </c>
      <c r="RU36">
        <f>IF($B36=0,1000000,IF(INDEX('計算A'!$D$60:$EQ$104,$B36,94)*GQ36=1,IF(AND($E36=2,MF36=0),1000000,IF($I36&gt;0,IF(4=$J36,IF(OR(AND(94=$I36+1,OR($K36&lt;&gt;'計算A'!$A$3,'計算A'!$A$4=0)),AND(94=$I36-1,OR(22&lt;&gt;'計算A'!$A$3,'計算A'!$A$4=0))),0,IF(22=$K36,200000,ABS(22-$K36)*100)),100000+ABS(4-$J36)*1000+220)+'計算A'!CS$5*50+IF(AND($E36=1,MF36=0),25,0),INDEX('計算A'!CS$110:CS$114,$F36+1)+IF(AND($E36=1,MF36=0),1000,0)+IF($H36=1,(IF('計算A'!CR$117=1,INDEX('計算A'!CR$10:CR$54,$B36),0)+IF('計算A'!CS$117=1,INDEX('計算A'!CT$10:CT$54,$B36),0))*500,0)-IF(AND('計算A'!CR$117=1,XP36&gt;0),300,0)-IF(AND($L36=1,'計算A'!CS$117=1,GR36=0),300,0))),1000000))</f>
        <v/>
      </c>
      <c r="RV36">
        <f>IF($B36=0,1000000,IF(INDEX('計算A'!$D$60:$EQ$104,$B36,95)*GR36=1,IF(AND($E36=2,MG36=0),1000000,IF($I36&gt;0,IF(4=$J36,IF(OR(AND(95=$I36+1,OR($K36&lt;&gt;'計算A'!$A$3,'計算A'!$A$4=0)),AND(95=$I36-1,OR(23&lt;&gt;'計算A'!$A$3,'計算A'!$A$4=0))),0,IF(23=$K36,200000,ABS(23-$K36)*100)),100000+ABS(4-$J36)*1000+230)+'計算A'!CT$5*50+IF(AND($E36=1,MG36=0),25,0),INDEX('計算A'!CT$110:CT$114,$F36+1)+IF(AND($E36=1,MG36=0),1000,0)+IF($H36=1,(IF('計算A'!CS$117=1,INDEX('計算A'!CS$10:CS$54,$B36),0)+IF('計算A'!CT$117=1,INDEX('計算A'!CU$10:CU$54,$B36),0))*500,0)-IF(AND('計算A'!CS$117=1,XQ36&gt;0),300,0)-IF(AND($L36=1,'計算A'!CT$117=1,GS36=0),300,0))),1000000))</f>
        <v/>
      </c>
      <c r="RW36">
        <f>IF($B36=0,1000000,IF(INDEX('計算A'!$D$60:$EQ$104,$B36,96)*GS36=1,IF(AND($E36=2,MH36=0),1000000,IF($I36&gt;0,IF(4=$J36,IF(OR(AND(96=$I36+1,OR($K36&lt;&gt;'計算A'!$A$3,'計算A'!$A$4=0)),AND(96=$I36-1,OR(24&lt;&gt;'計算A'!$A$3,'計算A'!$A$4=0))),0,IF(24=$K36,200000,ABS(24-$K36)*100)),100000+ABS(4-$J36)*1000+240)+'計算A'!CU$5*50+IF(AND($E36=1,MH36=0),25,0),INDEX('計算A'!CU$110:CU$114,$F36+1)+IF(AND($E36=1,MH36=0),1000,0)+IF($H36=1,(IF('計算A'!CT$117=1,INDEX('計算A'!CT$10:CT$54,$B36),0))*500,0)-IF(AND('計算A'!CT$117=1,XR36&gt;0),300,0))),1000000))</f>
        <v/>
      </c>
      <c r="RX36">
        <f>IF($B36=0,1000000,IF(INDEX('計算A'!$D$60:$EQ$104,$B36,97)*GT36=1,IF(AND($E36=2,MI36=0),1000000,IF($I36&gt;0,IF(5=$J36,IF(OR(AND(97=$I36+1,OR($K36&lt;&gt;'計算A'!$A$3,'計算A'!$A$4=0)),AND(97=$I36-1,OR(1&lt;&gt;'計算A'!$A$3,'計算A'!$A$4=0))),0,IF(1=$K36,200000,ABS(1-$K36)*100)),100000+ABS(5-$J36)*1000+10)+'計算A'!CV$5*50+IF(AND($E36=1,MI36=0),25,0),INDEX('計算A'!CV$110:CV$114,$F36+1)+IF(AND($E36=1,MI36=0),1000,0)+IF($H36=1,(IF('計算A'!CV$117=1,INDEX('計算A'!CW$10:CW$54,$B36),0))*500,0)-IF(AND($L36=1,'計算A'!CV$117=1,GU36=0),300,0))),1000000))</f>
        <v/>
      </c>
      <c r="RY36">
        <f>IF($B36=0,1000000,IF(INDEX('計算A'!$D$60:$EQ$104,$B36,98)*GU36=1,IF(AND($E36=2,MJ36=0),1000000,IF($I36&gt;0,IF(5=$J36,IF(OR(AND(98=$I36+1,OR($K36&lt;&gt;'計算A'!$A$3,'計算A'!$A$4=0)),AND(98=$I36-1,OR(2&lt;&gt;'計算A'!$A$3,'計算A'!$A$4=0))),0,IF(2=$K36,200000,ABS(2-$K36)*100)),100000+ABS(5-$J36)*1000+20)+'計算A'!CW$5*50+IF(AND($E36=1,MJ36=0),25,0),INDEX('計算A'!CW$110:CW$114,$F36+1)+IF(AND($E36=1,MJ36=0),1000,0)+IF($H36=1,(IF('計算A'!CV$117=1,INDEX('計算A'!CV$10:CV$54,$B36),0)+IF('計算A'!CW$117=1,INDEX('計算A'!CX$10:CX$54,$B36),0))*500,0)-IF(AND('計算A'!CV$117=1,XT36&gt;0),300,0)-IF(AND($L36=1,'計算A'!CW$117=1,GV36=0),300,0))),1000000))</f>
        <v/>
      </c>
      <c r="RZ36">
        <f>IF($B36=0,1000000,IF(INDEX('計算A'!$D$60:$EQ$104,$B36,99)*GV36=1,IF(AND($E36=2,MK36=0),1000000,IF($I36&gt;0,IF(5=$J36,IF(OR(AND(99=$I36+1,OR($K36&lt;&gt;'計算A'!$A$3,'計算A'!$A$4=0)),AND(99=$I36-1,OR(3&lt;&gt;'計算A'!$A$3,'計算A'!$A$4=0))),0,IF(3=$K36,200000,ABS(3-$K36)*100)),100000+ABS(5-$J36)*1000+30)+'計算A'!CX$5*50+IF(AND($E36=1,MK36=0),25,0),INDEX('計算A'!CX$110:CX$114,$F36+1)+IF(AND($E36=1,MK36=0),1000,0)+IF($H36=1,(IF('計算A'!CW$117=1,INDEX('計算A'!CW$10:CW$54,$B36),0)+IF('計算A'!CX$117=1,INDEX('計算A'!CY$10:CY$54,$B36),0))*500,0)-IF(AND('計算A'!CW$117=1,XU36&gt;0),300,0)-IF(AND($L36=1,'計算A'!CX$117=1,GW36=0),300,0))),1000000))</f>
        <v/>
      </c>
      <c r="SA36">
        <f>IF($B36=0,1000000,IF(INDEX('計算A'!$D$60:$EQ$104,$B36,100)*GW36=1,IF(AND($E36=2,ML36=0),1000000,IF($I36&gt;0,IF(5=$J36,IF(OR(AND(100=$I36+1,OR($K36&lt;&gt;'計算A'!$A$3,'計算A'!$A$4=0)),AND(100=$I36-1,OR(4&lt;&gt;'計算A'!$A$3,'計算A'!$A$4=0))),0,IF(4=$K36,200000,ABS(4-$K36)*100)),100000+ABS(5-$J36)*1000+40)+'計算A'!CY$5*50+IF(AND($E36=1,ML36=0),25,0),INDEX('計算A'!CY$110:CY$114,$F36+1)+IF(AND($E36=1,ML36=0),1000,0)+IF($H36=1,(IF('計算A'!CX$117=1,INDEX('計算A'!CX$10:CX$54,$B36),0)+IF('計算A'!CY$117=1,INDEX('計算A'!CZ$10:CZ$54,$B36),0))*500,0)-IF(AND('計算A'!CX$117=1,XV36&gt;0),300,0)-IF(AND($L36=1,'計算A'!CY$117=1,GX36=0),300,0))),1000000))</f>
        <v/>
      </c>
      <c r="SB36">
        <f>IF($B36=0,1000000,IF(INDEX('計算A'!$D$60:$EQ$104,$B36,101)*GX36=1,IF(AND($E36=2,MM36=0),1000000,IF($I36&gt;0,IF(5=$J36,IF(OR(AND(101=$I36+1,OR($K36&lt;&gt;'計算A'!$A$3,'計算A'!$A$4=0)),AND(101=$I36-1,OR(5&lt;&gt;'計算A'!$A$3,'計算A'!$A$4=0))),0,IF(5=$K36,200000,ABS(5-$K36)*100)),100000+ABS(5-$J36)*1000+50)+'計算A'!CZ$5*50+IF(AND($E36=1,MM36=0),25,0),INDEX('計算A'!CZ$110:CZ$114,$F36+1)+IF(AND($E36=1,MM36=0),1000,0)+IF($H36=1,(IF('計算A'!CY$117=1,INDEX('計算A'!CY$10:CY$54,$B36),0)+IF('計算A'!CZ$117=1,INDEX('計算A'!DA$10:DA$54,$B36),0))*500,0)-IF(AND('計算A'!CY$117=1,XW36&gt;0),300,0)-IF(AND($L36=1,'計算A'!CZ$117=1,GY36=0),300,0))),1000000))</f>
        <v/>
      </c>
      <c r="SC36">
        <f>IF($B36=0,1000000,IF(INDEX('計算A'!$D$60:$EQ$104,$B36,102)*GY36=1,IF(AND($E36=2,MN36=0),1000000,IF($I36&gt;0,IF(5=$J36,IF(OR(AND(102=$I36+1,OR($K36&lt;&gt;'計算A'!$A$3,'計算A'!$A$4=0)),AND(102=$I36-1,OR(6&lt;&gt;'計算A'!$A$3,'計算A'!$A$4=0))),0,IF(6=$K36,200000,ABS(6-$K36)*100)),100000+ABS(5-$J36)*1000+60)+'計算A'!DA$5*50+IF(AND($E36=1,MN36=0),25,0),INDEX('計算A'!DA$110:DA$114,$F36+1)+IF(AND($E36=1,MN36=0),1000,0)+IF($H36=1,(IF('計算A'!CZ$117=1,INDEX('計算A'!CZ$10:CZ$54,$B36),0)+IF('計算A'!DA$117=1,INDEX('計算A'!DB$10:DB$54,$B36),0))*500,0)-IF(AND('計算A'!CZ$117=1,XX36&gt;0),300,0)-IF(AND($L36=1,'計算A'!DA$117=1,GZ36=0),300,0))),1000000))</f>
        <v/>
      </c>
      <c r="SD36">
        <f>IF($B36=0,1000000,IF(INDEX('計算A'!$D$60:$EQ$104,$B36,103)*GZ36=1,IF(AND($E36=2,MO36=0),1000000,IF($I36&gt;0,IF(5=$J36,IF(OR(AND(103=$I36+1,OR($K36&lt;&gt;'計算A'!$A$3,'計算A'!$A$4=0)),AND(103=$I36-1,OR(7&lt;&gt;'計算A'!$A$3,'計算A'!$A$4=0))),0,IF(7=$K36,200000,ABS(7-$K36)*100)),100000+ABS(5-$J36)*1000+70)+'計算A'!DB$5*50+IF(AND($E36=1,MO36=0),25,0),INDEX('計算A'!DB$110:DB$114,$F36+1)+IF(AND($E36=1,MO36=0),1000,0)+IF($H36=1,(IF('計算A'!DA$117=1,INDEX('計算A'!DA$10:DA$54,$B36),0)+IF('計算A'!DB$117=1,INDEX('計算A'!DC$10:DC$54,$B36),0))*500,0)-IF(AND('計算A'!DA$117=1,XY36&gt;0),300,0)-IF(AND($L36=1,'計算A'!DB$117=1,HA36=0),300,0))),1000000))</f>
        <v/>
      </c>
      <c r="SE36">
        <f>IF($B36=0,1000000,IF(INDEX('計算A'!$D$60:$EQ$104,$B36,104)*HA36=1,IF(AND($E36=2,MP36=0),1000000,IF($I36&gt;0,IF(5=$J36,IF(OR(AND(104=$I36+1,OR($K36&lt;&gt;'計算A'!$A$3,'計算A'!$A$4=0)),AND(104=$I36-1,OR(8&lt;&gt;'計算A'!$A$3,'計算A'!$A$4=0))),0,IF(8=$K36,200000,ABS(8-$K36)*100)),100000+ABS(5-$J36)*1000+80)+'計算A'!DC$5*50+IF(AND($E36=1,MP36=0),25,0),INDEX('計算A'!DC$110:DC$114,$F36+1)+IF(AND($E36=1,MP36=0),1000,0)+IF($H36=1,(IF('計算A'!DB$117=1,INDEX('計算A'!DB$10:DB$54,$B36),0)+IF('計算A'!DC$117=1,INDEX('計算A'!DD$10:DD$54,$B36),0))*500,0)-IF(AND('計算A'!DB$117=1,XZ36&gt;0),300,0)-IF(AND($L36=1,'計算A'!DC$117=1,HB36=0),300,0))),1000000))</f>
        <v/>
      </c>
      <c r="SF36">
        <f>IF($B36=0,1000000,IF(INDEX('計算A'!$D$60:$EQ$104,$B36,105)*HB36=1,IF(AND($E36=2,MQ36=0),1000000,IF($I36&gt;0,IF(5=$J36,IF(OR(AND(105=$I36+1,OR($K36&lt;&gt;'計算A'!$A$3,'計算A'!$A$4=0)),AND(105=$I36-1,OR(9&lt;&gt;'計算A'!$A$3,'計算A'!$A$4=0))),0,IF(9=$K36,200000,ABS(9-$K36)*100)),100000+ABS(5-$J36)*1000+90)+'計算A'!DD$5*50+IF(AND($E36=1,MQ36=0),25,0),INDEX('計算A'!DD$110:DD$114,$F36+1)+IF(AND($E36=1,MQ36=0),1000,0)+IF($H36=1,(IF('計算A'!DC$117=1,INDEX('計算A'!DC$10:DC$54,$B36),0)+IF('計算A'!DD$117=1,INDEX('計算A'!DE$10:DE$54,$B36),0))*500,0)-IF(AND('計算A'!DC$117=1,YA36&gt;0),300,0)-IF(AND($L36=1,'計算A'!DD$117=1,HC36=0),300,0))),1000000))</f>
        <v/>
      </c>
      <c r="SG36">
        <f>IF($B36=0,1000000,IF(INDEX('計算A'!$D$60:$EQ$104,$B36,106)*HC36=1,IF(AND($E36=2,MR36=0),1000000,IF($I36&gt;0,IF(5=$J36,IF(OR(AND(106=$I36+1,OR($K36&lt;&gt;'計算A'!$A$3,'計算A'!$A$4=0)),AND(106=$I36-1,OR(10&lt;&gt;'計算A'!$A$3,'計算A'!$A$4=0))),0,IF(10=$K36,200000,ABS(10-$K36)*100)),100000+ABS(5-$J36)*1000+100)+'計算A'!DE$5*50+IF(AND($E36=1,MR36=0),25,0),INDEX('計算A'!DE$110:DE$114,$F36+1)+IF(AND($E36=1,MR36=0),1000,0)+IF($H36=1,(IF('計算A'!DD$117=1,INDEX('計算A'!DD$10:DD$54,$B36),0)+IF('計算A'!DE$117=1,INDEX('計算A'!DF$10:DF$54,$B36),0))*500,0)-IF(AND('計算A'!DD$117=1,YB36&gt;0),300,0)-IF(AND($L36=1,'計算A'!DE$117=1,HD36=0),300,0))),1000000))</f>
        <v/>
      </c>
      <c r="SH36">
        <f>IF($B36=0,1000000,IF(INDEX('計算A'!$D$60:$EQ$104,$B36,107)*HD36=1,IF(AND($E36=2,MS36=0),1000000,IF($I36&gt;0,IF(5=$J36,IF(OR(AND(107=$I36+1,OR($K36&lt;&gt;'計算A'!$A$3,'計算A'!$A$4=0)),AND(107=$I36-1,OR(11&lt;&gt;'計算A'!$A$3,'計算A'!$A$4=0))),0,IF(11=$K36,200000,ABS(11-$K36)*100)),100000+ABS(5-$J36)*1000+110)+'計算A'!DF$5*50+IF(AND($E36=1,MS36=0),25,0),INDEX('計算A'!DF$110:DF$114,$F36+1)+IF(AND($E36=1,MS36=0),1000,0)+IF($H36=1,(IF('計算A'!DE$117=1,INDEX('計算A'!DE$10:DE$54,$B36),0)+IF('計算A'!DF$117=1,INDEX('計算A'!DG$10:DG$54,$B36),0))*500,0)-IF(AND('計算A'!DE$117=1,YC36&gt;0),300,0)-IF(AND($L36=1,'計算A'!DF$117=1,HE36=0),300,0))),1000000))</f>
        <v/>
      </c>
      <c r="SI36">
        <f>IF($B36=0,1000000,IF(INDEX('計算A'!$D$60:$EQ$104,$B36,108)*HE36=1,IF(AND($E36=2,MT36=0),1000000,IF($I36&gt;0,IF(5=$J36,IF(OR(AND(108=$I36+1,OR($K36&lt;&gt;'計算A'!$A$3,'計算A'!$A$4=0)),AND(108=$I36-1,OR(12&lt;&gt;'計算A'!$A$3,'計算A'!$A$4=0))),0,IF(12=$K36,200000,ABS(12-$K36)*100)),100000+ABS(5-$J36)*1000+120)+'計算A'!DG$5*50+IF(AND($E36=1,MT36=0),25,0),INDEX('計算A'!DG$110:DG$114,$F36+1)+IF(AND($E36=1,MT36=0),1000,0)+IF($H36=1,(IF('計算A'!DF$117=1,INDEX('計算A'!DF$10:DF$54,$B36),0)+IF('計算A'!DG$117=1,INDEX('計算A'!DH$10:DH$54,$B36),0))*500,0)-IF(AND('計算A'!DF$117=1,YD36&gt;0),300,0)-IF(AND($L36=1,'計算A'!DG$117=1,HF36=0),300,0))),1000000))</f>
        <v/>
      </c>
      <c r="SJ36">
        <f>IF($B36=0,1000000,IF(INDEX('計算A'!$D$60:$EQ$104,$B36,109)*HF36=1,IF(AND($E36=2,MU36=0),1000000,IF($I36&gt;0,IF(5=$J36,IF(OR(AND(109=$I36+1,OR($K36&lt;&gt;'計算A'!$A$3,'計算A'!$A$4=0)),AND(109=$I36-1,OR(13&lt;&gt;'計算A'!$A$3,'計算A'!$A$4=0))),0,IF(13=$K36,200000,ABS(13-$K36)*100)),100000+ABS(5-$J36)*1000+130)+'計算A'!DH$5*50+IF(AND($E36=1,MU36=0),25,0),INDEX('計算A'!DH$110:DH$114,$F36+1)+IF(AND($E36=1,MU36=0),1000,0)+IF($H36=1,(IF('計算A'!DG$117=1,INDEX('計算A'!DG$10:DG$54,$B36),0)+IF('計算A'!DH$117=1,INDEX('計算A'!DI$10:DI$54,$B36),0))*500,0)-IF(AND('計算A'!DG$117=1,YE36&gt;0),300,0)-IF(AND($L36=1,'計算A'!DH$117=1,HG36=0),300,0))),1000000))</f>
        <v/>
      </c>
      <c r="SK36">
        <f>IF($B36=0,1000000,IF(INDEX('計算A'!$D$60:$EQ$104,$B36,110)*HG36=1,IF(AND($E36=2,MV36=0),1000000,IF($I36&gt;0,IF(5=$J36,IF(OR(AND(110=$I36+1,OR($K36&lt;&gt;'計算A'!$A$3,'計算A'!$A$4=0)),AND(110=$I36-1,OR(14&lt;&gt;'計算A'!$A$3,'計算A'!$A$4=0))),0,IF(14=$K36,200000,ABS(14-$K36)*100)),100000+ABS(5-$J36)*1000+140)+'計算A'!DI$5*50+IF(AND($E36=1,MV36=0),25,0),INDEX('計算A'!DI$110:DI$114,$F36+1)+IF(AND($E36=1,MV36=0),1000,0)+IF($H36=1,(IF('計算A'!DH$117=1,INDEX('計算A'!DH$10:DH$54,$B36),0)+IF('計算A'!DI$117=1,INDEX('計算A'!DJ$10:DJ$54,$B36),0))*500,0)-IF(AND('計算A'!DH$117=1,YF36&gt;0),300,0)-IF(AND($L36=1,'計算A'!DI$117=1,HH36=0),300,0))),1000000))</f>
        <v/>
      </c>
      <c r="SL36">
        <f>IF($B36=0,1000000,IF(INDEX('計算A'!$D$60:$EQ$104,$B36,111)*HH36=1,IF(AND($E36=2,MW36=0),1000000,IF($I36&gt;0,IF(5=$J36,IF(OR(AND(111=$I36+1,OR($K36&lt;&gt;'計算A'!$A$3,'計算A'!$A$4=0)),AND(111=$I36-1,OR(15&lt;&gt;'計算A'!$A$3,'計算A'!$A$4=0))),0,IF(15=$K36,200000,ABS(15-$K36)*100)),100000+ABS(5-$J36)*1000+150)+'計算A'!DJ$5*50+IF(AND($E36=1,MW36=0),25,0),INDEX('計算A'!DJ$110:DJ$114,$F36+1)+IF(AND($E36=1,MW36=0),1000,0)+IF($H36=1,(IF('計算A'!DI$117=1,INDEX('計算A'!DI$10:DI$54,$B36),0)+IF('計算A'!DJ$117=1,INDEX('計算A'!DK$10:DK$54,$B36),0))*500,0)-IF(AND('計算A'!DI$117=1,YG36&gt;0),300,0)-IF(AND($L36=1,'計算A'!DJ$117=1,HI36=0),300,0))),1000000))</f>
        <v/>
      </c>
      <c r="SM36">
        <f>IF($B36=0,1000000,IF(INDEX('計算A'!$D$60:$EQ$104,$B36,112)*HI36=1,IF(AND($E36=2,MX36=0),1000000,IF($I36&gt;0,IF(5=$J36,IF(OR(AND(112=$I36+1,OR($K36&lt;&gt;'計算A'!$A$3,'計算A'!$A$4=0)),AND(112=$I36-1,OR(16&lt;&gt;'計算A'!$A$3,'計算A'!$A$4=0))),0,IF(16=$K36,200000,ABS(16-$K36)*100)),100000+ABS(5-$J36)*1000+160)+'計算A'!DK$5*50+IF(AND($E36=1,MX36=0),25,0),INDEX('計算A'!DK$110:DK$114,$F36+1)+IF(AND($E36=1,MX36=0),1000,0)+IF($H36=1,(IF('計算A'!DJ$117=1,INDEX('計算A'!DJ$10:DJ$54,$B36),0)+IF('計算A'!DK$117=1,INDEX('計算A'!DL$10:DL$54,$B36),0))*500,0)-IF(AND('計算A'!DJ$117=1,YH36&gt;0),300,0)-IF(AND($L36=1,'計算A'!DK$117=1,HJ36=0),300,0))),1000000))</f>
        <v/>
      </c>
      <c r="SN36">
        <f>IF($B36=0,1000000,IF(INDEX('計算A'!$D$60:$EQ$104,$B36,113)*HJ36=1,IF(AND($E36=2,MY36=0),1000000,IF($I36&gt;0,IF(5=$J36,IF(OR(AND(113=$I36+1,OR($K36&lt;&gt;'計算A'!$A$3,'計算A'!$A$4=0)),AND(113=$I36-1,OR(17&lt;&gt;'計算A'!$A$3,'計算A'!$A$4=0))),0,IF(17=$K36,200000,ABS(17-$K36)*100)),100000+ABS(5-$J36)*1000+170)+'計算A'!DL$5*50+IF(AND($E36=1,MY36=0),25,0),INDEX('計算A'!DL$110:DL$114,$F36+1)+IF(AND($E36=1,MY36=0),1000,0)+IF($H36=1,(IF('計算A'!DK$117=1,INDEX('計算A'!DK$10:DK$54,$B36),0)+IF('計算A'!DL$117=1,INDEX('計算A'!DM$10:DM$54,$B36),0))*500,0)-IF(AND('計算A'!DK$117=1,YI36&gt;0),300,0)-IF(AND($L36=1,'計算A'!DL$117=1,HK36=0),300,0))),1000000))</f>
        <v/>
      </c>
      <c r="SO36">
        <f>IF($B36=0,1000000,IF(INDEX('計算A'!$D$60:$EQ$104,$B36,114)*HK36=1,IF(AND($E36=2,MZ36=0),1000000,IF($I36&gt;0,IF(5=$J36,IF(OR(AND(114=$I36+1,OR($K36&lt;&gt;'計算A'!$A$3,'計算A'!$A$4=0)),AND(114=$I36-1,OR(18&lt;&gt;'計算A'!$A$3,'計算A'!$A$4=0))),0,IF(18=$K36,200000,ABS(18-$K36)*100)),100000+ABS(5-$J36)*1000+180)+'計算A'!DM$5*50+IF(AND($E36=1,MZ36=0),25,0),INDEX('計算A'!DM$110:DM$114,$F36+1)+IF(AND($E36=1,MZ36=0),1000,0)+IF($H36=1,(IF('計算A'!DL$117=1,INDEX('計算A'!DL$10:DL$54,$B36),0)+IF('計算A'!DM$117=1,INDEX('計算A'!DN$10:DN$54,$B36),0))*500,0)-IF(AND('計算A'!DL$117=1,YJ36&gt;0),300,0)-IF(AND($L36=1,'計算A'!DM$117=1,HL36=0),300,0))),1000000))</f>
        <v/>
      </c>
      <c r="SP36">
        <f>IF($B36=0,1000000,IF(INDEX('計算A'!$D$60:$EQ$104,$B36,115)*HL36=1,IF(AND($E36=2,NA36=0),1000000,IF($I36&gt;0,IF(5=$J36,IF(OR(AND(115=$I36+1,OR($K36&lt;&gt;'計算A'!$A$3,'計算A'!$A$4=0)),AND(115=$I36-1,OR(19&lt;&gt;'計算A'!$A$3,'計算A'!$A$4=0))),0,IF(19=$K36,200000,ABS(19-$K36)*100)),100000+ABS(5-$J36)*1000+190)+'計算A'!DN$5*50+IF(AND($E36=1,NA36=0),25,0),INDEX('計算A'!DN$110:DN$114,$F36+1)+IF(AND($E36=1,NA36=0),1000,0)+IF($H36=1,(IF('計算A'!DM$117=1,INDEX('計算A'!DM$10:DM$54,$B36),0)+IF('計算A'!DN$117=1,INDEX('計算A'!DO$10:DO$54,$B36),0))*500,0)-IF(AND('計算A'!DM$117=1,YK36&gt;0),300,0)-IF(AND($L36=1,'計算A'!DN$117=1,HM36=0),300,0))),1000000))</f>
        <v/>
      </c>
      <c r="SQ36">
        <f>IF($B36=0,1000000,IF(INDEX('計算A'!$D$60:$EQ$104,$B36,116)*HM36=1,IF(AND($E36=2,NB36=0),1000000,IF($I36&gt;0,IF(5=$J36,IF(OR(AND(116=$I36+1,OR($K36&lt;&gt;'計算A'!$A$3,'計算A'!$A$4=0)),AND(116=$I36-1,OR(20&lt;&gt;'計算A'!$A$3,'計算A'!$A$4=0))),0,IF(20=$K36,200000,ABS(20-$K36)*100)),100000+ABS(5-$J36)*1000+200)+'計算A'!DO$5*50+IF(AND($E36=1,NB36=0),25,0),INDEX('計算A'!DO$110:DO$114,$F36+1)+IF(AND($E36=1,NB36=0),1000,0)+IF($H36=1,(IF('計算A'!DN$117=1,INDEX('計算A'!DN$10:DN$54,$B36),0)+IF('計算A'!DO$117=1,INDEX('計算A'!DP$10:DP$54,$B36),0))*500,0)-IF(AND('計算A'!DN$117=1,YL36&gt;0),300,0)-IF(AND($L36=1,'計算A'!DO$117=1,HN36=0),300,0))),1000000))</f>
        <v/>
      </c>
      <c r="SR36">
        <f>IF($B36=0,1000000,IF(INDEX('計算A'!$D$60:$EQ$104,$B36,117)*HN36=1,IF(AND($E36=2,NC36=0),1000000,IF($I36&gt;0,IF(5=$J36,IF(OR(AND(117=$I36+1,OR($K36&lt;&gt;'計算A'!$A$3,'計算A'!$A$4=0)),AND(117=$I36-1,OR(21&lt;&gt;'計算A'!$A$3,'計算A'!$A$4=0))),0,IF(21=$K36,200000,ABS(21-$K36)*100)),100000+ABS(5-$J36)*1000+210)+'計算A'!DP$5*50+IF(AND($E36=1,NC36=0),25,0),INDEX('計算A'!DP$110:DP$114,$F36+1)+IF(AND($E36=1,NC36=0),1000,0)+IF($H36=1,(IF('計算A'!DO$117=1,INDEX('計算A'!DO$10:DO$54,$B36),0)+IF('計算A'!DP$117=1,INDEX('計算A'!DQ$10:DQ$54,$B36),0))*500,0)-IF(AND('計算A'!DO$117=1,YM36&gt;0),300,0)-IF(AND($L36=1,'計算A'!DP$117=1,HO36=0),300,0))),1000000))</f>
        <v/>
      </c>
      <c r="SS36">
        <f>IF($B36=0,1000000,IF(INDEX('計算A'!$D$60:$EQ$104,$B36,118)*HO36=1,IF(AND($E36=2,ND36=0),1000000,IF($I36&gt;0,IF(5=$J36,IF(OR(AND(118=$I36+1,OR($K36&lt;&gt;'計算A'!$A$3,'計算A'!$A$4=0)),AND(118=$I36-1,OR(22&lt;&gt;'計算A'!$A$3,'計算A'!$A$4=0))),0,IF(22=$K36,200000,ABS(22-$K36)*100)),100000+ABS(5-$J36)*1000+220)+'計算A'!DQ$5*50+IF(AND($E36=1,ND36=0),25,0),INDEX('計算A'!DQ$110:DQ$114,$F36+1)+IF(AND($E36=1,ND36=0),1000,0)+IF($H36=1,(IF('計算A'!DP$117=1,INDEX('計算A'!DP$10:DP$54,$B36),0)+IF('計算A'!DQ$117=1,INDEX('計算A'!DR$10:DR$54,$B36),0))*500,0)-IF(AND('計算A'!DP$117=1,YN36&gt;0),300,0)-IF(AND($L36=1,'計算A'!DQ$117=1,HP36=0),300,0))),1000000))</f>
        <v/>
      </c>
      <c r="ST36">
        <f>IF($B36=0,1000000,IF(INDEX('計算A'!$D$60:$EQ$104,$B36,119)*HP36=1,IF(AND($E36=2,NE36=0),1000000,IF($I36&gt;0,IF(5=$J36,IF(OR(AND(119=$I36+1,OR($K36&lt;&gt;'計算A'!$A$3,'計算A'!$A$4=0)),AND(119=$I36-1,OR(23&lt;&gt;'計算A'!$A$3,'計算A'!$A$4=0))),0,IF(23=$K36,200000,ABS(23-$K36)*100)),100000+ABS(5-$J36)*1000+230)+'計算A'!DR$5*50+IF(AND($E36=1,NE36=0),25,0),INDEX('計算A'!DR$110:DR$114,$F36+1)+IF(AND($E36=1,NE36=0),1000,0)+IF($H36=1,(IF('計算A'!DQ$117=1,INDEX('計算A'!DQ$10:DQ$54,$B36),0)+IF('計算A'!DR$117=1,INDEX('計算A'!DS$10:DS$54,$B36),0))*500,0)-IF(AND('計算A'!DQ$117=1,YO36&gt;0),300,0)-IF(AND($L36=1,'計算A'!DR$117=1,HQ36=0),300,0))),1000000))</f>
        <v/>
      </c>
      <c r="SU36">
        <f>IF($B36=0,1000000,IF(INDEX('計算A'!$D$60:$EQ$104,$B36,120)*HQ36=1,IF(AND($E36=2,NF36=0),1000000,IF($I36&gt;0,IF(5=$J36,IF(OR(AND(120=$I36+1,OR($K36&lt;&gt;'計算A'!$A$3,'計算A'!$A$4=0)),AND(120=$I36-1,OR(24&lt;&gt;'計算A'!$A$3,'計算A'!$A$4=0))),0,IF(24=$K36,200000,ABS(24-$K36)*100)),100000+ABS(5-$J36)*1000+240)+'計算A'!DS$5*50+IF(AND($E36=1,NF36=0),25,0),INDEX('計算A'!DS$110:DS$114,$F36+1)+IF(AND($E36=1,NF36=0),1000,0)+IF($H36=1,(IF('計算A'!DR$117=1,INDEX('計算A'!DR$10:DR$54,$B36),0))*500,0)-IF(AND('計算A'!DR$117=1,YP36&gt;0),300,0))),1000000))</f>
        <v/>
      </c>
      <c r="SV36">
        <f>IF($B36=0,1000000,IF(INDEX('計算A'!$D$60:$EQ$104,$B36,121)*HR36=1,IF(AND($E36=2,NG36=0),1000000,IF($I36&gt;0,IF(6=$J36,IF(OR(AND(121=$I36+1,OR($K36&lt;&gt;'計算A'!$A$3,'計算A'!$A$4=0)),AND(121=$I36-1,OR(1&lt;&gt;'計算A'!$A$3,'計算A'!$A$4=0))),0,IF(1=$K36,200000,ABS(1-$K36)*100)),100000+ABS(6-$J36)*1000+10)+'計算A'!DT$5*50+IF(AND($E36=1,NG36=0),25,0),INDEX('計算A'!DT$110:DT$114,$F36+1)+IF(AND($E36=1,NG36=0),1000,0)+IF($H36=1,(IF('計算A'!DT$117=1,INDEX('計算A'!DU$10:DU$54,$B36),0))*500,0)-IF(AND($L36=1,'計算A'!DT$117=1,HS36=0),300,0))),1000000))</f>
        <v/>
      </c>
      <c r="SW36">
        <f>IF($B36=0,1000000,IF(INDEX('計算A'!$D$60:$EQ$104,$B36,122)*HS36=1,IF(AND($E36=2,NH36=0),1000000,IF($I36&gt;0,IF(6=$J36,IF(OR(AND(122=$I36+1,OR($K36&lt;&gt;'計算A'!$A$3,'計算A'!$A$4=0)),AND(122=$I36-1,OR(2&lt;&gt;'計算A'!$A$3,'計算A'!$A$4=0))),0,IF(2=$K36,200000,ABS(2-$K36)*100)),100000+ABS(6-$J36)*1000+20)+'計算A'!DU$5*50+IF(AND($E36=1,NH36=0),25,0),INDEX('計算A'!DU$110:DU$114,$F36+1)+IF(AND($E36=1,NH36=0),1000,0)+IF($H36=1,(IF('計算A'!DT$117=1,INDEX('計算A'!DT$10:DT$54,$B36),0)+IF('計算A'!DU$117=1,INDEX('計算A'!DV$10:DV$54,$B36),0))*500,0)-IF(AND('計算A'!DT$117=1,YR36&gt;0),300,0)-IF(AND($L36=1,'計算A'!DU$117=1,HT36=0),300,0))),1000000))</f>
        <v/>
      </c>
      <c r="SX36">
        <f>IF($B36=0,1000000,IF(INDEX('計算A'!$D$60:$EQ$104,$B36,123)*HT36=1,IF(AND($E36=2,NI36=0),1000000,IF($I36&gt;0,IF(6=$J36,IF(OR(AND(123=$I36+1,OR($K36&lt;&gt;'計算A'!$A$3,'計算A'!$A$4=0)),AND(123=$I36-1,OR(3&lt;&gt;'計算A'!$A$3,'計算A'!$A$4=0))),0,IF(3=$K36,200000,ABS(3-$K36)*100)),100000+ABS(6-$J36)*1000+30)+'計算A'!DV$5*50+IF(AND($E36=1,NI36=0),25,0),INDEX('計算A'!DV$110:DV$114,$F36+1)+IF(AND($E36=1,NI36=0),1000,0)+IF($H36=1,(IF('計算A'!DU$117=1,INDEX('計算A'!DU$10:DU$54,$B36),0)+IF('計算A'!DV$117=1,INDEX('計算A'!DW$10:DW$54,$B36),0))*500,0)-IF(AND('計算A'!DU$117=1,YS36&gt;0),300,0)-IF(AND($L36=1,'計算A'!DV$117=1,HU36=0),300,0))),1000000))</f>
        <v/>
      </c>
      <c r="SY36">
        <f>IF($B36=0,1000000,IF(INDEX('計算A'!$D$60:$EQ$104,$B36,124)*HU36=1,IF(AND($E36=2,NJ36=0),1000000,IF($I36&gt;0,IF(6=$J36,IF(OR(AND(124=$I36+1,OR($K36&lt;&gt;'計算A'!$A$3,'計算A'!$A$4=0)),AND(124=$I36-1,OR(4&lt;&gt;'計算A'!$A$3,'計算A'!$A$4=0))),0,IF(4=$K36,200000,ABS(4-$K36)*100)),100000+ABS(6-$J36)*1000+40)+'計算A'!DW$5*50+IF(AND($E36=1,NJ36=0),25,0),INDEX('計算A'!DW$110:DW$114,$F36+1)+IF(AND($E36=1,NJ36=0),1000,0)+IF($H36=1,(IF('計算A'!DV$117=1,INDEX('計算A'!DV$10:DV$54,$B36),0)+IF('計算A'!DW$117=1,INDEX('計算A'!DX$10:DX$54,$B36),0))*500,0)-IF(AND('計算A'!DV$117=1,YT36&gt;0),300,0)-IF(AND($L36=1,'計算A'!DW$117=1,HV36=0),300,0))),1000000))</f>
        <v/>
      </c>
      <c r="SZ36">
        <f>IF($B36=0,1000000,IF(INDEX('計算A'!$D$60:$EQ$104,$B36,125)*HV36=1,IF(AND($E36=2,NK36=0),1000000,IF($I36&gt;0,IF(6=$J36,IF(OR(AND(125=$I36+1,OR($K36&lt;&gt;'計算A'!$A$3,'計算A'!$A$4=0)),AND(125=$I36-1,OR(5&lt;&gt;'計算A'!$A$3,'計算A'!$A$4=0))),0,IF(5=$K36,200000,ABS(5-$K36)*100)),100000+ABS(6-$J36)*1000+50)+'計算A'!DX$5*50+IF(AND($E36=1,NK36=0),25,0),INDEX('計算A'!DX$110:DX$114,$F36+1)+IF(AND($E36=1,NK36=0),1000,0)+IF($H36=1,(IF('計算A'!DW$117=1,INDEX('計算A'!DW$10:DW$54,$B36),0)+IF('計算A'!DX$117=1,INDEX('計算A'!DY$10:DY$54,$B36),0))*500,0)-IF(AND('計算A'!DW$117=1,YU36&gt;0),300,0)-IF(AND($L36=1,'計算A'!DX$117=1,HW36=0),300,0))),1000000))</f>
        <v/>
      </c>
      <c r="TA36">
        <f>IF($B36=0,1000000,IF(INDEX('計算A'!$D$60:$EQ$104,$B36,126)*HW36=1,IF(AND($E36=2,NL36=0),1000000,IF($I36&gt;0,IF(6=$J36,IF(OR(AND(126=$I36+1,OR($K36&lt;&gt;'計算A'!$A$3,'計算A'!$A$4=0)),AND(126=$I36-1,OR(6&lt;&gt;'計算A'!$A$3,'計算A'!$A$4=0))),0,IF(6=$K36,200000,ABS(6-$K36)*100)),100000+ABS(6-$J36)*1000+60)+'計算A'!DY$5*50+IF(AND($E36=1,NL36=0),25,0),INDEX('計算A'!DY$110:DY$114,$F36+1)+IF(AND($E36=1,NL36=0),1000,0)+IF($H36=1,(IF('計算A'!DX$117=1,INDEX('計算A'!DX$10:DX$54,$B36),0)+IF('計算A'!DY$117=1,INDEX('計算A'!DZ$10:DZ$54,$B36),0))*500,0)-IF(AND('計算A'!DX$117=1,YV36&gt;0),300,0)-IF(AND($L36=1,'計算A'!DY$117=1,HX36=0),300,0))),1000000))</f>
        <v/>
      </c>
      <c r="TB36">
        <f>IF($B36=0,1000000,IF(INDEX('計算A'!$D$60:$EQ$104,$B36,127)*HX36=1,IF(AND($E36=2,NM36=0),1000000,IF($I36&gt;0,IF(6=$J36,IF(OR(AND(127=$I36+1,OR($K36&lt;&gt;'計算A'!$A$3,'計算A'!$A$4=0)),AND(127=$I36-1,OR(7&lt;&gt;'計算A'!$A$3,'計算A'!$A$4=0))),0,IF(7=$K36,200000,ABS(7-$K36)*100)),100000+ABS(6-$J36)*1000+70)+'計算A'!DZ$5*50+IF(AND($E36=1,NM36=0),25,0),INDEX('計算A'!DZ$110:DZ$114,$F36+1)+IF(AND($E36=1,NM36=0),1000,0)+IF($H36=1,(IF('計算A'!DY$117=1,INDEX('計算A'!DY$10:DY$54,$B36),0)+IF('計算A'!DZ$117=1,INDEX('計算A'!EA$10:EA$54,$B36),0))*500,0)-IF(AND('計算A'!DY$117=1,YW36&gt;0),300,0)-IF(AND($L36=1,'計算A'!DZ$117=1,HY36=0),300,0))),1000000))</f>
        <v/>
      </c>
      <c r="TC36">
        <f>IF($B36=0,1000000,IF(INDEX('計算A'!$D$60:$EQ$104,$B36,128)*HY36=1,IF(AND($E36=2,NN36=0),1000000,IF($I36&gt;0,IF(6=$J36,IF(OR(AND(128=$I36+1,OR($K36&lt;&gt;'計算A'!$A$3,'計算A'!$A$4=0)),AND(128=$I36-1,OR(8&lt;&gt;'計算A'!$A$3,'計算A'!$A$4=0))),0,IF(8=$K36,200000,ABS(8-$K36)*100)),100000+ABS(6-$J36)*1000+80)+'計算A'!EA$5*50+IF(AND($E36=1,NN36=0),25,0),INDEX('計算A'!EA$110:EA$114,$F36+1)+IF(AND($E36=1,NN36=0),1000,0)+IF($H36=1,(IF('計算A'!DZ$117=1,INDEX('計算A'!DZ$10:DZ$54,$B36),0)+IF('計算A'!EA$117=1,INDEX('計算A'!EB$10:EB$54,$B36),0))*500,0)-IF(AND('計算A'!DZ$117=1,YX36&gt;0),300,0)-IF(AND($L36=1,'計算A'!EA$117=1,HZ36=0),300,0))),1000000))</f>
        <v/>
      </c>
      <c r="TD36">
        <f>IF($B36=0,1000000,IF(INDEX('計算A'!$D$60:$EQ$104,$B36,129)*HZ36=1,IF(AND($E36=2,NO36=0),1000000,IF($I36&gt;0,IF(6=$J36,IF(OR(AND(129=$I36+1,OR($K36&lt;&gt;'計算A'!$A$3,'計算A'!$A$4=0)),AND(129=$I36-1,OR(9&lt;&gt;'計算A'!$A$3,'計算A'!$A$4=0))),0,IF(9=$K36,200000,ABS(9-$K36)*100)),100000+ABS(6-$J36)*1000+90)+'計算A'!EB$5*50+IF(AND($E36=1,NO36=0),25,0),INDEX('計算A'!EB$110:EB$114,$F36+1)+IF(AND($E36=1,NO36=0),1000,0)+IF($H36=1,(IF('計算A'!EA$117=1,INDEX('計算A'!EA$10:EA$54,$B36),0)+IF('計算A'!EB$117=1,INDEX('計算A'!EC$10:EC$54,$B36),0))*500,0)-IF(AND('計算A'!EA$117=1,YY36&gt;0),300,0)-IF(AND($L36=1,'計算A'!EB$117=1,IA36=0),300,0))),1000000))</f>
        <v/>
      </c>
      <c r="TE36">
        <f>IF($B36=0,1000000,IF(INDEX('計算A'!$D$60:$EQ$104,$B36,130)*IA36=1,IF(AND($E36=2,NP36=0),1000000,IF($I36&gt;0,IF(6=$J36,IF(OR(AND(130=$I36+1,OR($K36&lt;&gt;'計算A'!$A$3,'計算A'!$A$4=0)),AND(130=$I36-1,OR(10&lt;&gt;'計算A'!$A$3,'計算A'!$A$4=0))),0,IF(10=$K36,200000,ABS(10-$K36)*100)),100000+ABS(6-$J36)*1000+100)+'計算A'!EC$5*50+IF(AND($E36=1,NP36=0),25,0),INDEX('計算A'!EC$110:EC$114,$F36+1)+IF(AND($E36=1,NP36=0),1000,0)+IF($H36=1,(IF('計算A'!EB$117=1,INDEX('計算A'!EB$10:EB$54,$B36),0)+IF('計算A'!EC$117=1,INDEX('計算A'!ED$10:ED$54,$B36),0))*500,0)-IF(AND('計算A'!EB$117=1,YZ36&gt;0),300,0)-IF(AND($L36=1,'計算A'!EC$117=1,IB36=0),300,0))),1000000))</f>
        <v/>
      </c>
      <c r="TF36">
        <f>IF($B36=0,1000000,IF(INDEX('計算A'!$D$60:$EQ$104,$B36,131)*IB36=1,IF(AND($E36=2,NQ36=0),1000000,IF($I36&gt;0,IF(6=$J36,IF(OR(AND(131=$I36+1,OR($K36&lt;&gt;'計算A'!$A$3,'計算A'!$A$4=0)),AND(131=$I36-1,OR(11&lt;&gt;'計算A'!$A$3,'計算A'!$A$4=0))),0,IF(11=$K36,200000,ABS(11-$K36)*100)),100000+ABS(6-$J36)*1000+110)+'計算A'!ED$5*50+IF(AND($E36=1,NQ36=0),25,0),INDEX('計算A'!ED$110:ED$114,$F36+1)+IF(AND($E36=1,NQ36=0),1000,0)+IF($H36=1,(IF('計算A'!EC$117=1,INDEX('計算A'!EC$10:EC$54,$B36),0)+IF('計算A'!ED$117=1,INDEX('計算A'!EE$10:EE$54,$B36),0))*500,0)-IF(AND('計算A'!EC$117=1,ZA36&gt;0),300,0)-IF(AND($L36=1,'計算A'!ED$117=1,IC36=0),300,0))),1000000))</f>
        <v/>
      </c>
      <c r="TG36">
        <f>IF($B36=0,1000000,IF(INDEX('計算A'!$D$60:$EQ$104,$B36,132)*IC36=1,IF(AND($E36=2,NR36=0),1000000,IF($I36&gt;0,IF(6=$J36,IF(OR(AND(132=$I36+1,OR($K36&lt;&gt;'計算A'!$A$3,'計算A'!$A$4=0)),AND(132=$I36-1,OR(12&lt;&gt;'計算A'!$A$3,'計算A'!$A$4=0))),0,IF(12=$K36,200000,ABS(12-$K36)*100)),100000+ABS(6-$J36)*1000+120)+'計算A'!EE$5*50+IF(AND($E36=1,NR36=0),25,0),INDEX('計算A'!EE$110:EE$114,$F36+1)+IF(AND($E36=1,NR36=0),1000,0)+IF($H36=1,(IF('計算A'!ED$117=1,INDEX('計算A'!ED$10:ED$54,$B36),0)+IF('計算A'!EE$117=1,INDEX('計算A'!EF$10:EF$54,$B36),0))*500,0)-IF(AND('計算A'!ED$117=1,ZB36&gt;0),300,0)-IF(AND($L36=1,'計算A'!EE$117=1,ID36=0),300,0))),1000000))</f>
        <v/>
      </c>
      <c r="TH36">
        <f>IF($B36=0,1000000,IF(INDEX('計算A'!$D$60:$EQ$104,$B36,133)*ID36=1,IF(AND($E36=2,NS36=0),1000000,IF($I36&gt;0,IF(6=$J36,IF(OR(AND(133=$I36+1,OR($K36&lt;&gt;'計算A'!$A$3,'計算A'!$A$4=0)),AND(133=$I36-1,OR(13&lt;&gt;'計算A'!$A$3,'計算A'!$A$4=0))),0,IF(13=$K36,200000,ABS(13-$K36)*100)),100000+ABS(6-$J36)*1000+130)+'計算A'!EF$5*50+IF(AND($E36=1,NS36=0),25,0),INDEX('計算A'!EF$110:EF$114,$F36+1)+IF(AND($E36=1,NS36=0),1000,0)+IF($H36=1,(IF('計算A'!EE$117=1,INDEX('計算A'!EE$10:EE$54,$B36),0)+IF('計算A'!EF$117=1,INDEX('計算A'!EG$10:EG$54,$B36),0))*500,0)-IF(AND('計算A'!EE$117=1,ZC36&gt;0),300,0)-IF(AND($L36=1,'計算A'!EF$117=1,IE36=0),300,0))),1000000))</f>
        <v/>
      </c>
      <c r="TI36">
        <f>IF($B36=0,1000000,IF(INDEX('計算A'!$D$60:$EQ$104,$B36,134)*IE36=1,IF(AND($E36=2,NT36=0),1000000,IF($I36&gt;0,IF(6=$J36,IF(OR(AND(134=$I36+1,OR($K36&lt;&gt;'計算A'!$A$3,'計算A'!$A$4=0)),AND(134=$I36-1,OR(14&lt;&gt;'計算A'!$A$3,'計算A'!$A$4=0))),0,IF(14=$K36,200000,ABS(14-$K36)*100)),100000+ABS(6-$J36)*1000+140)+'計算A'!EG$5*50+IF(AND($E36=1,NT36=0),25,0),INDEX('計算A'!EG$110:EG$114,$F36+1)+IF(AND($E36=1,NT36=0),1000,0)+IF($H36=1,(IF('計算A'!EF$117=1,INDEX('計算A'!EF$10:EF$54,$B36),0)+IF('計算A'!EG$117=1,INDEX('計算A'!EH$10:EH$54,$B36),0))*500,0)-IF(AND('計算A'!EF$117=1,ZD36&gt;0),300,0)-IF(AND($L36=1,'計算A'!EG$117=1,IF36=0),300,0))),1000000))</f>
        <v/>
      </c>
      <c r="TJ36">
        <f>IF($B36=0,1000000,IF(INDEX('計算A'!$D$60:$EQ$104,$B36,135)*IF36=1,IF(AND($E36=2,NU36=0),1000000,IF($I36&gt;0,IF(6=$J36,IF(OR(AND(135=$I36+1,OR($K36&lt;&gt;'計算A'!$A$3,'計算A'!$A$4=0)),AND(135=$I36-1,OR(15&lt;&gt;'計算A'!$A$3,'計算A'!$A$4=0))),0,IF(15=$K36,200000,ABS(15-$K36)*100)),100000+ABS(6-$J36)*1000+150)+'計算A'!EH$5*50+IF(AND($E36=1,NU36=0),25,0),INDEX('計算A'!EH$110:EH$114,$F36+1)+IF(AND($E36=1,NU36=0),1000,0)+IF($H36=1,(IF('計算A'!EG$117=1,INDEX('計算A'!EG$10:EG$54,$B36),0)+IF('計算A'!EH$117=1,INDEX('計算A'!EI$10:EI$54,$B36),0))*500,0)-IF(AND('計算A'!EG$117=1,ZE36&gt;0),300,0)-IF(AND($L36=1,'計算A'!EH$117=1,IG36=0),300,0))),1000000))</f>
        <v/>
      </c>
      <c r="TK36">
        <f>IF($B36=0,1000000,IF(INDEX('計算A'!$D$60:$EQ$104,$B36,136)*IG36=1,IF(AND($E36=2,NV36=0),1000000,IF($I36&gt;0,IF(6=$J36,IF(OR(AND(136=$I36+1,OR($K36&lt;&gt;'計算A'!$A$3,'計算A'!$A$4=0)),AND(136=$I36-1,OR(16&lt;&gt;'計算A'!$A$3,'計算A'!$A$4=0))),0,IF(16=$K36,200000,ABS(16-$K36)*100)),100000+ABS(6-$J36)*1000+160)+'計算A'!EI$5*50+IF(AND($E36=1,NV36=0),25,0),INDEX('計算A'!EI$110:EI$114,$F36+1)+IF(AND($E36=1,NV36=0),1000,0)+IF($H36=1,(IF('計算A'!EH$117=1,INDEX('計算A'!EH$10:EH$54,$B36),0)+IF('計算A'!EI$117=1,INDEX('計算A'!EJ$10:EJ$54,$B36),0))*500,0)-IF(AND('計算A'!EH$117=1,ZF36&gt;0),300,0)-IF(AND($L36=1,'計算A'!EI$117=1,IH36=0),300,0))),1000000))</f>
        <v/>
      </c>
      <c r="TL36">
        <f>IF($B36=0,1000000,IF(INDEX('計算A'!$D$60:$EQ$104,$B36,137)*IH36=1,IF(AND($E36=2,NW36=0),1000000,IF($I36&gt;0,IF(6=$J36,IF(OR(AND(137=$I36+1,OR($K36&lt;&gt;'計算A'!$A$3,'計算A'!$A$4=0)),AND(137=$I36-1,OR(17&lt;&gt;'計算A'!$A$3,'計算A'!$A$4=0))),0,IF(17=$K36,200000,ABS(17-$K36)*100)),100000+ABS(6-$J36)*1000+170)+'計算A'!EJ$5*50+IF(AND($E36=1,NW36=0),25,0),INDEX('計算A'!EJ$110:EJ$114,$F36+1)+IF(AND($E36=1,NW36=0),1000,0)+IF($H36=1,(IF('計算A'!EI$117=1,INDEX('計算A'!EI$10:EI$54,$B36),0)+IF('計算A'!EJ$117=1,INDEX('計算A'!EK$10:EK$54,$B36),0))*500,0)-IF(AND('計算A'!EI$117=1,ZG36&gt;0),300,0)-IF(AND($L36=1,'計算A'!EJ$117=1,II36=0),300,0))),1000000))</f>
        <v/>
      </c>
      <c r="TM36">
        <f>IF($B36=0,1000000,IF(INDEX('計算A'!$D$60:$EQ$104,$B36,138)*II36=1,IF(AND($E36=2,NX36=0),1000000,IF($I36&gt;0,IF(6=$J36,IF(OR(AND(138=$I36+1,OR($K36&lt;&gt;'計算A'!$A$3,'計算A'!$A$4=0)),AND(138=$I36-1,OR(18&lt;&gt;'計算A'!$A$3,'計算A'!$A$4=0))),0,IF(18=$K36,200000,ABS(18-$K36)*100)),100000+ABS(6-$J36)*1000+180)+'計算A'!EK$5*50+IF(AND($E36=1,NX36=0),25,0),INDEX('計算A'!EK$110:EK$114,$F36+1)+IF(AND($E36=1,NX36=0),1000,0)+IF($H36=1,(IF('計算A'!EJ$117=1,INDEX('計算A'!EJ$10:EJ$54,$B36),0)+IF('計算A'!EK$117=1,INDEX('計算A'!EL$10:EL$54,$B36),0))*500,0)-IF(AND('計算A'!EJ$117=1,ZH36&gt;0),300,0)-IF(AND($L36=1,'計算A'!EK$117=1,IJ36=0),300,0))),1000000))</f>
        <v/>
      </c>
      <c r="TN36">
        <f>IF($B36=0,1000000,IF(INDEX('計算A'!$D$60:$EQ$104,$B36,139)*IJ36=1,IF(AND($E36=2,NY36=0),1000000,IF($I36&gt;0,IF(6=$J36,IF(OR(AND(139=$I36+1,OR($K36&lt;&gt;'計算A'!$A$3,'計算A'!$A$4=0)),AND(139=$I36-1,OR(19&lt;&gt;'計算A'!$A$3,'計算A'!$A$4=0))),0,IF(19=$K36,200000,ABS(19-$K36)*100)),100000+ABS(6-$J36)*1000+190)+'計算A'!EL$5*50+IF(AND($E36=1,NY36=0),25,0),INDEX('計算A'!EL$110:EL$114,$F36+1)+IF(AND($E36=1,NY36=0),1000,0)+IF($H36=1,(IF('計算A'!EK$117=1,INDEX('計算A'!EK$10:EK$54,$B36),0)+IF('計算A'!EL$117=1,INDEX('計算A'!EM$10:EM$54,$B36),0))*500,0)-IF(AND('計算A'!EK$117=1,ZI36&gt;0),300,0)-IF(AND($L36=1,'計算A'!EL$117=1,IK36=0),300,0))),1000000))</f>
        <v/>
      </c>
      <c r="TO36">
        <f>IF($B36=0,1000000,IF(INDEX('計算A'!$D$60:$EQ$104,$B36,140)*IK36=1,IF(AND($E36=2,NZ36=0),1000000,IF($I36&gt;0,IF(6=$J36,IF(OR(AND(140=$I36+1,OR($K36&lt;&gt;'計算A'!$A$3,'計算A'!$A$4=0)),AND(140=$I36-1,OR(20&lt;&gt;'計算A'!$A$3,'計算A'!$A$4=0))),0,IF(20=$K36,200000,ABS(20-$K36)*100)),100000+ABS(6-$J36)*1000+200)+'計算A'!EM$5*50+IF(AND($E36=1,NZ36=0),25,0),INDEX('計算A'!EM$110:EM$114,$F36+1)+IF(AND($E36=1,NZ36=0),1000,0)+IF($H36=1,(IF('計算A'!EL$117=1,INDEX('計算A'!EL$10:EL$54,$B36),0)+IF('計算A'!EM$117=1,INDEX('計算A'!EN$10:EN$54,$B36),0))*500,0)-IF(AND('計算A'!EL$117=1,ZJ36&gt;0),300,0)-IF(AND($L36=1,'計算A'!EM$117=1,IL36=0),300,0))),1000000))</f>
        <v/>
      </c>
      <c r="TP36">
        <f>IF($B36=0,1000000,IF(INDEX('計算A'!$D$60:$EQ$104,$B36,141)*IL36=1,IF(AND($E36=2,OA36=0),1000000,IF($I36&gt;0,IF(6=$J36,IF(OR(AND(141=$I36+1,OR($K36&lt;&gt;'計算A'!$A$3,'計算A'!$A$4=0)),AND(141=$I36-1,OR(21&lt;&gt;'計算A'!$A$3,'計算A'!$A$4=0))),0,IF(21=$K36,200000,ABS(21-$K36)*100)),100000+ABS(6-$J36)*1000+210)+'計算A'!EN$5*50+IF(AND($E36=1,OA36=0),25,0),INDEX('計算A'!EN$110:EN$114,$F36+1)+IF(AND($E36=1,OA36=0),1000,0)+IF($H36=1,(IF('計算A'!EM$117=1,INDEX('計算A'!EM$10:EM$54,$B36),0)+IF('計算A'!EN$117=1,INDEX('計算A'!EO$10:EO$54,$B36),0))*500,0)-IF(AND('計算A'!EM$117=1,ZK36&gt;0),300,0)-IF(AND($L36=1,'計算A'!EN$117=1,IM36=0),300,0))),1000000))</f>
        <v/>
      </c>
      <c r="TQ36">
        <f>IF($B36=0,1000000,IF(INDEX('計算A'!$D$60:$EQ$104,$B36,142)*IM36=1,IF(AND($E36=2,OB36=0),1000000,IF($I36&gt;0,IF(6=$J36,IF(OR(AND(142=$I36+1,OR($K36&lt;&gt;'計算A'!$A$3,'計算A'!$A$4=0)),AND(142=$I36-1,OR(22&lt;&gt;'計算A'!$A$3,'計算A'!$A$4=0))),0,IF(22=$K36,200000,ABS(22-$K36)*100)),100000+ABS(6-$J36)*1000+220)+'計算A'!EO$5*50+IF(AND($E36=1,OB36=0),25,0),INDEX('計算A'!EO$110:EO$114,$F36+1)+IF(AND($E36=1,OB36=0),1000,0)+IF($H36=1,(IF('計算A'!EN$117=1,INDEX('計算A'!EN$10:EN$54,$B36),0)+IF('計算A'!EO$117=1,INDEX('計算A'!EP$10:EP$54,$B36),0))*500,0)-IF(AND('計算A'!EN$117=1,ZL36&gt;0),300,0)-IF(AND($L36=1,'計算A'!EO$117=1,IN36=0),300,0))),1000000))</f>
        <v/>
      </c>
      <c r="TR36">
        <f>IF($B36=0,1000000,IF(INDEX('計算A'!$D$60:$EQ$104,$B36,143)*IN36=1,IF(AND($E36=2,OC36=0),1000000,IF($I36&gt;0,IF(6=$J36,IF(OR(AND(143=$I36+1,OR($K36&lt;&gt;'計算A'!$A$3,'計算A'!$A$4=0)),AND(143=$I36-1,OR(23&lt;&gt;'計算A'!$A$3,'計算A'!$A$4=0))),0,IF(23=$K36,200000,ABS(23-$K36)*100)),100000+ABS(6-$J36)*1000+230)+'計算A'!EP$5*50+IF(AND($E36=1,OC36=0),25,0),INDEX('計算A'!EP$110:EP$114,$F36+1)+IF(AND($E36=1,OC36=0),1000,0)+IF($H36=1,(IF('計算A'!EO$117=1,INDEX('計算A'!EO$10:EO$54,$B36),0)+IF('計算A'!EP$117=1,INDEX('計算A'!EQ$10:EQ$54,$B36),0))*500,0)-IF(AND('計算A'!EO$117=1,ZM36&gt;0),300,0)-IF(AND($L36=1,'計算A'!EP$117=1,IO36=0),300,0))),1000000))</f>
        <v/>
      </c>
      <c r="TS36">
        <f>IF($B36=0,1000000,IF(INDEX('計算A'!$D$60:$EQ$104,$B36,144)*IO36=1,IF(AND($E36=2,OD36=0),1000000,IF($I36&gt;0,IF(6=$J36,IF(OR(AND(144=$I36+1,OR($K36&lt;&gt;'計算A'!$A$3,'計算A'!$A$4=0)),AND(144=$I36-1,OR(24&lt;&gt;'計算A'!$A$3,'計算A'!$A$4=0))),0,IF(24=$K36,200000,ABS(24-$K36)*100)),100000+ABS(6-$J36)*1000+240)+'計算A'!EQ$5*50+IF(AND($E36=1,OD36=0),25,0),INDEX('計算A'!EQ$110:EQ$114,$F36+1)+IF(AND($E36=1,OD36=0),1000,0)+IF($H36=1,(IF('計算A'!EP$117=1,INDEX('計算A'!EP$10:EP$54,$B36),0))*500,0)-IF(AND('計算A'!EP$117=1,ZN36&gt;0),300,0))),1000000))</f>
        <v/>
      </c>
      <c r="UB36">
        <f>UB35+IF(AND($C35=1,$L35=1),1,0)</f>
        <v/>
      </c>
      <c r="UC36">
        <f>UC35+IF(AND($C35=2,$L35=1),1,0)</f>
        <v/>
      </c>
      <c r="UD36">
        <f>UD35+IF(AND($C35=3,$L35=1),1,0)</f>
        <v/>
      </c>
      <c r="UE36">
        <f>UE35+IF(AND($C35=4,$L35=1),1,0)</f>
        <v/>
      </c>
      <c r="UF36">
        <f>UF35+IF(AND($C35=5,$L35=1),1,0)</f>
        <v/>
      </c>
      <c r="UG36">
        <f>UG35+IF(AND($C35=6,$L35=1),1,0)</f>
        <v/>
      </c>
      <c r="UH36">
        <f>UH35+IF(AND($C35=7,$L35=1),1,0)</f>
        <v/>
      </c>
      <c r="UI36">
        <f>UI35+IF(AND($C35=8,$L35=1),1,0)</f>
        <v/>
      </c>
      <c r="UJ36">
        <f>UJ35+IF(AND($C35=9,$L35=1),1,0)</f>
        <v/>
      </c>
      <c r="UK36">
        <f>UK35+IF(AND($C35=10,$L35=1),1,0)</f>
        <v/>
      </c>
      <c r="UL36">
        <f>UL35+IF(AND($C35=11,$L35=1),1,0)</f>
        <v/>
      </c>
      <c r="UM36">
        <f>UM35+IF(AND($C35=12,$L35=1),1,0)</f>
        <v/>
      </c>
      <c r="UN36">
        <f>UN35+IF(AND($C35=13,$L35=1),1,0)</f>
        <v/>
      </c>
      <c r="UO36">
        <f>UO35+IF(AND($C35=14,$L35=1),1,0)</f>
        <v/>
      </c>
      <c r="UP36">
        <f>UP35+IF(AND($C35=15,$L35=1),1,0)</f>
        <v/>
      </c>
      <c r="UQ36">
        <f>UQ35+IF(AND($C35=16,$L35=1),1,0)</f>
        <v/>
      </c>
      <c r="UR36">
        <f>UR35+IF(AND($C35=17,$L35=1),1,0)</f>
        <v/>
      </c>
      <c r="US36">
        <f>US35+IF(AND($C35=18,$L35=1),1,0)</f>
        <v/>
      </c>
      <c r="UT36">
        <f>UT35+IF(AND($C35=19,$L35=1),1,0)</f>
        <v/>
      </c>
      <c r="UU36">
        <f>UU35+IF(AND($C35=20,$L35=1),1,0)</f>
        <v/>
      </c>
      <c r="UV36">
        <f>UV35+IF(AND($C35=21,$L35=1),1,0)</f>
        <v/>
      </c>
      <c r="UW36">
        <f>UW35+IF(AND($C35=22,$L35=1),1,0)</f>
        <v/>
      </c>
      <c r="UX36">
        <f>UX35+IF(AND($C35=23,$L35=1),1,0)</f>
        <v/>
      </c>
      <c r="UY36">
        <f>UY35+IF(AND($C35=24,$L35=1),1,0)</f>
        <v/>
      </c>
      <c r="UZ36">
        <f>UZ35+IF(AND($C35=25,$L35=1),1,0)</f>
        <v/>
      </c>
      <c r="VA36">
        <f>VA35+IF(AND($C35=26,$L35=1),1,0)</f>
        <v/>
      </c>
      <c r="VB36">
        <f>VB35+IF(AND($C35=27,$L35=1),1,0)</f>
        <v/>
      </c>
      <c r="VC36">
        <f>VC35+IF(AND($C35=28,$L35=1),1,0)</f>
        <v/>
      </c>
      <c r="VD36">
        <f>VD35+IF(AND($C35=29,$L35=1),1,0)</f>
        <v/>
      </c>
      <c r="VE36">
        <f>VE35+IF(AND($C35=30,$L35=1),1,0)</f>
        <v/>
      </c>
      <c r="VF36">
        <f>VF35+IF(AND($C35=31,$L35=1),1,0)</f>
        <v/>
      </c>
      <c r="VG36">
        <f>VG35+IF(AND($C35=32,$L35=1),1,0)</f>
        <v/>
      </c>
      <c r="VH36">
        <f>VH35+IF(AND($C35=33,$L35=1),1,0)</f>
        <v/>
      </c>
      <c r="VI36">
        <f>VI35+IF(AND($C35=34,$L35=1),1,0)</f>
        <v/>
      </c>
      <c r="VJ36">
        <f>VJ35+IF(AND($C35=35,$L35=1),1,0)</f>
        <v/>
      </c>
      <c r="VK36">
        <f>VK35+IF(AND($C35=36,$L35=1),1,0)</f>
        <v/>
      </c>
      <c r="VL36">
        <f>VL35+IF(AND($C35=37,$L35=1),1,0)</f>
        <v/>
      </c>
      <c r="VM36">
        <f>VM35+IF(AND($C35=38,$L35=1),1,0)</f>
        <v/>
      </c>
      <c r="VN36">
        <f>VN35+IF(AND($C35=39,$L35=1),1,0)</f>
        <v/>
      </c>
      <c r="VO36">
        <f>VO35+IF(AND($C35=40,$L35=1),1,0)</f>
        <v/>
      </c>
      <c r="VP36">
        <f>VP35+IF(AND($C35=41,$L35=1),1,0)</f>
        <v/>
      </c>
      <c r="VQ36">
        <f>VQ35+IF(AND($C35=42,$L35=1),1,0)</f>
        <v/>
      </c>
      <c r="VR36">
        <f>VR35+IF(AND($C35=43,$L35=1),1,0)</f>
        <v/>
      </c>
      <c r="VS36">
        <f>VS35+IF(AND($C35=44,$L35=1),1,0)</f>
        <v/>
      </c>
      <c r="VT36">
        <f>VT35+IF(AND($C35=45,$L35=1),1,0)</f>
        <v/>
      </c>
      <c r="VU36">
        <f>VU35+IF(AND($C35=46,$L35=1),1,0)</f>
        <v/>
      </c>
      <c r="VV36">
        <f>VV35+IF(AND($C35=47,$L35=1),1,0)</f>
        <v/>
      </c>
      <c r="VW36">
        <f>VW35+IF(AND($C35=48,$L35=1),1,0)</f>
        <v/>
      </c>
      <c r="VX36">
        <f>VX35+IF(AND($C35=49,$L35=1),1,0)</f>
        <v/>
      </c>
      <c r="VY36">
        <f>VY35+IF(AND($C35=50,$L35=1),1,0)</f>
        <v/>
      </c>
      <c r="VZ36">
        <f>VZ35+IF(AND($C35=51,$L35=1),1,0)</f>
        <v/>
      </c>
      <c r="WA36">
        <f>WA35+IF(AND($C35=52,$L35=1),1,0)</f>
        <v/>
      </c>
      <c r="WB36">
        <f>WB35+IF(AND($C35=53,$L35=1),1,0)</f>
        <v/>
      </c>
      <c r="WC36">
        <f>WC35+IF(AND($C35=54,$L35=1),1,0)</f>
        <v/>
      </c>
      <c r="WD36">
        <f>WD35+IF(AND($C35=55,$L35=1),1,0)</f>
        <v/>
      </c>
      <c r="WE36">
        <f>WE35+IF(AND($C35=56,$L35=1),1,0)</f>
        <v/>
      </c>
      <c r="WF36">
        <f>WF35+IF(AND($C35=57,$L35=1),1,0)</f>
        <v/>
      </c>
      <c r="WG36">
        <f>WG35+IF(AND($C35=58,$L35=1),1,0)</f>
        <v/>
      </c>
      <c r="WH36">
        <f>WH35+IF(AND($C35=59,$L35=1),1,0)</f>
        <v/>
      </c>
      <c r="WI36">
        <f>WI35+IF(AND($C35=60,$L35=1),1,0)</f>
        <v/>
      </c>
      <c r="WJ36">
        <f>WJ35+IF(AND($C35=61,$L35=1),1,0)</f>
        <v/>
      </c>
      <c r="WK36">
        <f>WK35+IF(AND($C35=62,$L35=1),1,0)</f>
        <v/>
      </c>
      <c r="WL36">
        <f>WL35+IF(AND($C35=63,$L35=1),1,0)</f>
        <v/>
      </c>
      <c r="WM36">
        <f>WM35+IF(AND($C35=64,$L35=1),1,0)</f>
        <v/>
      </c>
      <c r="WN36">
        <f>WN35+IF(AND($C35=65,$L35=1),1,0)</f>
        <v/>
      </c>
      <c r="WO36">
        <f>WO35+IF(AND($C35=66,$L35=1),1,0)</f>
        <v/>
      </c>
      <c r="WP36">
        <f>WP35+IF(AND($C35=67,$L35=1),1,0)</f>
        <v/>
      </c>
      <c r="WQ36">
        <f>WQ35+IF(AND($C35=68,$L35=1),1,0)</f>
        <v/>
      </c>
      <c r="WR36">
        <f>WR35+IF(AND($C35=69,$L35=1),1,0)</f>
        <v/>
      </c>
      <c r="WS36">
        <f>WS35+IF(AND($C35=70,$L35=1),1,0)</f>
        <v/>
      </c>
      <c r="WT36">
        <f>WT35+IF(AND($C35=71,$L35=1),1,0)</f>
        <v/>
      </c>
      <c r="WU36">
        <f>WU35+IF(AND($C35=72,$L35=1),1,0)</f>
        <v/>
      </c>
      <c r="WV36">
        <f>WV35+IF(AND($C35=73,$L35=1),1,0)</f>
        <v/>
      </c>
      <c r="WW36">
        <f>WW35+IF(AND($C35=74,$L35=1),1,0)</f>
        <v/>
      </c>
      <c r="WX36">
        <f>WX35+IF(AND($C35=75,$L35=1),1,0)</f>
        <v/>
      </c>
      <c r="WY36">
        <f>WY35+IF(AND($C35=76,$L35=1),1,0)</f>
        <v/>
      </c>
      <c r="WZ36">
        <f>WZ35+IF(AND($C35=77,$L35=1),1,0)</f>
        <v/>
      </c>
      <c r="XA36">
        <f>XA35+IF(AND($C35=78,$L35=1),1,0)</f>
        <v/>
      </c>
      <c r="XB36">
        <f>XB35+IF(AND($C35=79,$L35=1),1,0)</f>
        <v/>
      </c>
      <c r="XC36">
        <f>XC35+IF(AND($C35=80,$L35=1),1,0)</f>
        <v/>
      </c>
      <c r="XD36">
        <f>XD35+IF(AND($C35=81,$L35=1),1,0)</f>
        <v/>
      </c>
      <c r="XE36">
        <f>XE35+IF(AND($C35=82,$L35=1),1,0)</f>
        <v/>
      </c>
      <c r="XF36">
        <f>XF35+IF(AND($C35=83,$L35=1),1,0)</f>
        <v/>
      </c>
      <c r="XG36">
        <f>XG35+IF(AND($C35=84,$L35=1),1,0)</f>
        <v/>
      </c>
      <c r="XH36">
        <f>XH35+IF(AND($C35=85,$L35=1),1,0)</f>
        <v/>
      </c>
      <c r="XI36">
        <f>XI35+IF(AND($C35=86,$L35=1),1,0)</f>
        <v/>
      </c>
      <c r="XJ36">
        <f>XJ35+IF(AND($C35=87,$L35=1),1,0)</f>
        <v/>
      </c>
      <c r="XK36">
        <f>XK35+IF(AND($C35=88,$L35=1),1,0)</f>
        <v/>
      </c>
      <c r="XL36">
        <f>XL35+IF(AND($C35=89,$L35=1),1,0)</f>
        <v/>
      </c>
      <c r="XM36">
        <f>XM35+IF(AND($C35=90,$L35=1),1,0)</f>
        <v/>
      </c>
      <c r="XN36">
        <f>XN35+IF(AND($C35=91,$L35=1),1,0)</f>
        <v/>
      </c>
      <c r="XO36">
        <f>XO35+IF(AND($C35=92,$L35=1),1,0)</f>
        <v/>
      </c>
      <c r="XP36">
        <f>XP35+IF(AND($C35=93,$L35=1),1,0)</f>
        <v/>
      </c>
      <c r="XQ36">
        <f>XQ35+IF(AND($C35=94,$L35=1),1,0)</f>
        <v/>
      </c>
      <c r="XR36">
        <f>XR35+IF(AND($C35=95,$L35=1),1,0)</f>
        <v/>
      </c>
      <c r="XS36">
        <f>XS35+IF(AND($C35=96,$L35=1),1,0)</f>
        <v/>
      </c>
      <c r="XT36">
        <f>XT35+IF(AND($C35=97,$L35=1),1,0)</f>
        <v/>
      </c>
      <c r="XU36">
        <f>XU35+IF(AND($C35=98,$L35=1),1,0)</f>
        <v/>
      </c>
      <c r="XV36">
        <f>XV35+IF(AND($C35=99,$L35=1),1,0)</f>
        <v/>
      </c>
      <c r="XW36">
        <f>XW35+IF(AND($C35=100,$L35=1),1,0)</f>
        <v/>
      </c>
      <c r="XX36">
        <f>XX35+IF(AND($C35=101,$L35=1),1,0)</f>
        <v/>
      </c>
      <c r="XY36">
        <f>XY35+IF(AND($C35=102,$L35=1),1,0)</f>
        <v/>
      </c>
      <c r="XZ36">
        <f>XZ35+IF(AND($C35=103,$L35=1),1,0)</f>
        <v/>
      </c>
      <c r="YA36">
        <f>YA35+IF(AND($C35=104,$L35=1),1,0)</f>
        <v/>
      </c>
      <c r="YB36">
        <f>YB35+IF(AND($C35=105,$L35=1),1,0)</f>
        <v/>
      </c>
      <c r="YC36">
        <f>YC35+IF(AND($C35=106,$L35=1),1,0)</f>
        <v/>
      </c>
      <c r="YD36">
        <f>YD35+IF(AND($C35=107,$L35=1),1,0)</f>
        <v/>
      </c>
      <c r="YE36">
        <f>YE35+IF(AND($C35=108,$L35=1),1,0)</f>
        <v/>
      </c>
      <c r="YF36">
        <f>YF35+IF(AND($C35=109,$L35=1),1,0)</f>
        <v/>
      </c>
      <c r="YG36">
        <f>YG35+IF(AND($C35=110,$L35=1),1,0)</f>
        <v/>
      </c>
      <c r="YH36">
        <f>YH35+IF(AND($C35=111,$L35=1),1,0)</f>
        <v/>
      </c>
      <c r="YI36">
        <f>YI35+IF(AND($C35=112,$L35=1),1,0)</f>
        <v/>
      </c>
      <c r="YJ36">
        <f>YJ35+IF(AND($C35=113,$L35=1),1,0)</f>
        <v/>
      </c>
      <c r="YK36">
        <f>YK35+IF(AND($C35=114,$L35=1),1,0)</f>
        <v/>
      </c>
      <c r="YL36">
        <f>YL35+IF(AND($C35=115,$L35=1),1,0)</f>
        <v/>
      </c>
      <c r="YM36">
        <f>YM35+IF(AND($C35=116,$L35=1),1,0)</f>
        <v/>
      </c>
      <c r="YN36">
        <f>YN35+IF(AND($C35=117,$L35=1),1,0)</f>
        <v/>
      </c>
      <c r="YO36">
        <f>YO35+IF(AND($C35=118,$L35=1),1,0)</f>
        <v/>
      </c>
      <c r="YP36">
        <f>YP35+IF(AND($C35=119,$L35=1),1,0)</f>
        <v/>
      </c>
      <c r="YQ36">
        <f>YQ35+IF(AND($C35=120,$L35=1),1,0)</f>
        <v/>
      </c>
      <c r="YR36">
        <f>YR35+IF(AND($C35=121,$L35=1),1,0)</f>
        <v/>
      </c>
      <c r="YS36">
        <f>YS35+IF(AND($C35=122,$L35=1),1,0)</f>
        <v/>
      </c>
      <c r="YT36">
        <f>YT35+IF(AND($C35=123,$L35=1),1,0)</f>
        <v/>
      </c>
      <c r="YU36">
        <f>YU35+IF(AND($C35=124,$L35=1),1,0)</f>
        <v/>
      </c>
      <c r="YV36">
        <f>YV35+IF(AND($C35=125,$L35=1),1,0)</f>
        <v/>
      </c>
      <c r="YW36">
        <f>YW35+IF(AND($C35=126,$L35=1),1,0)</f>
        <v/>
      </c>
      <c r="YX36">
        <f>YX35+IF(AND($C35=127,$L35=1),1,0)</f>
        <v/>
      </c>
      <c r="YY36">
        <f>YY35+IF(AND($C35=128,$L35=1),1,0)</f>
        <v/>
      </c>
      <c r="YZ36">
        <f>YZ35+IF(AND($C35=129,$L35=1),1,0)</f>
        <v/>
      </c>
      <c r="ZA36">
        <f>ZA35+IF(AND($C35=130,$L35=1),1,0)</f>
        <v/>
      </c>
      <c r="ZB36">
        <f>ZB35+IF(AND($C35=131,$L35=1),1,0)</f>
        <v/>
      </c>
      <c r="ZC36">
        <f>ZC35+IF(AND($C35=132,$L35=1),1,0)</f>
        <v/>
      </c>
      <c r="ZD36">
        <f>ZD35+IF(AND($C35=133,$L35=1),1,0)</f>
        <v/>
      </c>
      <c r="ZE36">
        <f>ZE35+IF(AND($C35=134,$L35=1),1,0)</f>
        <v/>
      </c>
      <c r="ZF36">
        <f>ZF35+IF(AND($C35=135,$L35=1),1,0)</f>
        <v/>
      </c>
      <c r="ZG36">
        <f>ZG35+IF(AND($C35=136,$L35=1),1,0)</f>
        <v/>
      </c>
      <c r="ZH36">
        <f>ZH35+IF(AND($C35=137,$L35=1),1,0)</f>
        <v/>
      </c>
      <c r="ZI36">
        <f>ZI35+IF(AND($C35=138,$L35=1),1,0)</f>
        <v/>
      </c>
      <c r="ZJ36">
        <f>ZJ35+IF(AND($C35=139,$L35=1),1,0)</f>
        <v/>
      </c>
      <c r="ZK36">
        <f>ZK35+IF(AND($C35=140,$L35=1),1,0)</f>
        <v/>
      </c>
      <c r="ZL36">
        <f>ZL35+IF(AND($C35=141,$L35=1),1,0)</f>
        <v/>
      </c>
      <c r="ZM36">
        <f>ZM35+IF(AND($C35=142,$L35=1),1,0)</f>
        <v/>
      </c>
      <c r="ZN36">
        <f>ZN35+IF(AND($C35=143,$L35=1),1,0)</f>
        <v/>
      </c>
      <c r="ZO36">
        <f>ZO35+IF(AND($C35=144,$L35=1),1,0)</f>
        <v/>
      </c>
    </row>
    <row r="37">
      <c r="A37" t="n">
        <v>35</v>
      </c>
      <c r="B37">
        <f>IF(MIN(BH37:CZ37)&gt;=1000000,0,MATCH(MIN(BH37:CZ37),BH37:CZ37,0))</f>
        <v/>
      </c>
      <c r="C37">
        <f>IF(MIN(OF37:TS37)&gt;=1000000,0,MATCH(MIN(OF37:TS37),OF37:TS37,0))</f>
        <v/>
      </c>
      <c r="D37">
        <f>IF(C37&gt;0,INDEX('計算A'!$D$5:$EQ$5,C37),0)</f>
        <v/>
      </c>
      <c r="E37">
        <f>IF(B37=0,0,INDEX('計算A'!$IQ$10:$IQ$54,B37))</f>
        <v/>
      </c>
      <c r="F37">
        <f>IF(B37=0,0,INDEX('計算A'!$IP$10:$IP$54,B37))</f>
        <v/>
      </c>
      <c r="G37">
        <f>IF(AND(C37&gt;0,E37&gt;0),IF(AND(INDEX('計算A'!$D$106:$EQ$106,C37)=1,INDEX($IQ37:$OD37,C37)=1),C37+1,0),0)</f>
        <v/>
      </c>
      <c r="H37">
        <f>IF(B37=0,0,INDEX('計算A'!$IW$10:$IW$54,B37))</f>
        <v/>
      </c>
      <c r="I37">
        <f>IF(B37=0,0,MAX(0,INDEX('計算A'!$IT$10:$IT$54,B37)))</f>
        <v/>
      </c>
      <c r="J37">
        <f>IF(I37=0,0,INDEX('計算A'!$D$2:$EQ$2,I37))</f>
        <v/>
      </c>
      <c r="K37">
        <f>IF(I37=0,0,INDEX('計算A'!$D$3:$EQ$3,I37))</f>
        <v/>
      </c>
      <c r="L37">
        <f>IF(B37=0,0,INDEX('計算A'!$IX$10:$IX$54,B37))</f>
        <v/>
      </c>
      <c r="N37">
        <f>MAX(N36,IF($B36=1,1,0))</f>
        <v/>
      </c>
      <c r="O37">
        <f>MAX(O36,IF($B36=2,1,0))</f>
        <v/>
      </c>
      <c r="P37">
        <f>MAX(P36,IF($B36=3,1,0))</f>
        <v/>
      </c>
      <c r="Q37">
        <f>MAX(Q36,IF($B36=4,1,0))</f>
        <v/>
      </c>
      <c r="R37">
        <f>MAX(R36,IF($B36=5,1,0))</f>
        <v/>
      </c>
      <c r="S37">
        <f>MAX(S36,IF($B36=6,1,0))</f>
        <v/>
      </c>
      <c r="T37">
        <f>MAX(T36,IF($B36=7,1,0))</f>
        <v/>
      </c>
      <c r="U37">
        <f>MAX(U36,IF($B36=8,1,0))</f>
        <v/>
      </c>
      <c r="V37">
        <f>MAX(V36,IF($B36=9,1,0))</f>
        <v/>
      </c>
      <c r="W37">
        <f>MAX(W36,IF($B36=10,1,0))</f>
        <v/>
      </c>
      <c r="X37">
        <f>MAX(X36,IF($B36=11,1,0))</f>
        <v/>
      </c>
      <c r="Y37">
        <f>MAX(Y36,IF($B36=12,1,0))</f>
        <v/>
      </c>
      <c r="Z37">
        <f>MAX(Z36,IF($B36=13,1,0))</f>
        <v/>
      </c>
      <c r="AA37">
        <f>MAX(AA36,IF($B36=14,1,0))</f>
        <v/>
      </c>
      <c r="AB37">
        <f>MAX(AB36,IF($B36=15,1,0))</f>
        <v/>
      </c>
      <c r="AC37">
        <f>MAX(AC36,IF($B36=16,1,0))</f>
        <v/>
      </c>
      <c r="AD37">
        <f>MAX(AD36,IF($B36=17,1,0))</f>
        <v/>
      </c>
      <c r="AE37">
        <f>MAX(AE36,IF($B36=18,1,0))</f>
        <v/>
      </c>
      <c r="AF37">
        <f>MAX(AF36,IF($B36=19,1,0))</f>
        <v/>
      </c>
      <c r="AG37">
        <f>MAX(AG36,IF($B36=20,1,0))</f>
        <v/>
      </c>
      <c r="AH37">
        <f>MAX(AH36,IF($B36=21,1,0))</f>
        <v/>
      </c>
      <c r="AI37">
        <f>MAX(AI36,IF($B36=22,1,0))</f>
        <v/>
      </c>
      <c r="AJ37">
        <f>MAX(AJ36,IF($B36=23,1,0))</f>
        <v/>
      </c>
      <c r="AK37">
        <f>MAX(AK36,IF($B36=24,1,0))</f>
        <v/>
      </c>
      <c r="AL37">
        <f>MAX(AL36,IF($B36=25,1,0))</f>
        <v/>
      </c>
      <c r="AM37">
        <f>MAX(AM36,IF($B36=26,1,0))</f>
        <v/>
      </c>
      <c r="AN37">
        <f>MAX(AN36,IF($B36=27,1,0))</f>
        <v/>
      </c>
      <c r="AO37">
        <f>MAX(AO36,IF($B36=28,1,0))</f>
        <v/>
      </c>
      <c r="AP37">
        <f>MAX(AP36,IF($B36=29,1,0))</f>
        <v/>
      </c>
      <c r="AQ37">
        <f>MAX(AQ36,IF($B36=30,1,0))</f>
        <v/>
      </c>
      <c r="AR37">
        <f>MAX(AR36,IF($B36=31,1,0))</f>
        <v/>
      </c>
      <c r="AS37">
        <f>MAX(AS36,IF($B36=32,1,0))</f>
        <v/>
      </c>
      <c r="AT37">
        <f>MAX(AT36,IF($B36=33,1,0))</f>
        <v/>
      </c>
      <c r="AU37">
        <f>MAX(AU36,IF($B36=34,1,0))</f>
        <v/>
      </c>
      <c r="AV37">
        <f>MAX(AV36,IF($B36=35,1,0))</f>
        <v/>
      </c>
      <c r="AW37">
        <f>MAX(AW36,IF($B36=36,1,0))</f>
        <v/>
      </c>
      <c r="AX37">
        <f>MAX(AX36,IF($B36=37,1,0))</f>
        <v/>
      </c>
      <c r="AY37">
        <f>MAX(AY36,IF($B36=38,1,0))</f>
        <v/>
      </c>
      <c r="AZ37">
        <f>MAX(AZ36,IF($B36=39,1,0))</f>
        <v/>
      </c>
      <c r="BA37">
        <f>MAX(BA36,IF($B36=40,1,0))</f>
        <v/>
      </c>
      <c r="BB37">
        <f>MAX(BB36,IF($B36=41,1,0))</f>
        <v/>
      </c>
      <c r="BC37">
        <f>MAX(BC36,IF($B36=42,1,0))</f>
        <v/>
      </c>
      <c r="BD37">
        <f>MAX(BD36,IF($B36=43,1,0))</f>
        <v/>
      </c>
      <c r="BE37">
        <f>MAX(BE36,IF($B36=44,1,0))</f>
        <v/>
      </c>
      <c r="BF37">
        <f>MAX(BF36,IF($B36=45,1,0))</f>
        <v/>
      </c>
      <c r="BH37">
        <f>IF(N37=1,1000000,IF('計算A'!$IT$10&gt;0,0,500000)+IF('計算A'!$IQ$10=2,SUMPRODUCT('計算A'!$D$60:$EQ$60,$DB37:$IO37,$IQ37:$OD37),SUMPRODUCT('計算A'!$D$60:$EQ$60,$DB37:$IO37))*1000+1)</f>
        <v/>
      </c>
      <c r="BI37">
        <f>IF(O37=1,1000000,IF('計算A'!$IT$11&gt;0,0,500000)+IF('計算A'!$IQ$11=2,SUMPRODUCT('計算A'!$D$61:$EQ$61,$DB37:$IO37,$IQ37:$OD37),SUMPRODUCT('計算A'!$D$61:$EQ$61,$DB37:$IO37))*1000+2)</f>
        <v/>
      </c>
      <c r="BJ37">
        <f>IF(P37=1,1000000,IF('計算A'!$IT$12&gt;0,0,500000)+IF('計算A'!$IQ$12=2,SUMPRODUCT('計算A'!$D$62:$EQ$62,$DB37:$IO37,$IQ37:$OD37),SUMPRODUCT('計算A'!$D$62:$EQ$62,$DB37:$IO37))*1000+3)</f>
        <v/>
      </c>
      <c r="BK37">
        <f>IF(Q37=1,1000000,IF('計算A'!$IT$13&gt;0,0,500000)+IF('計算A'!$IQ$13=2,SUMPRODUCT('計算A'!$D$63:$EQ$63,$DB37:$IO37,$IQ37:$OD37),SUMPRODUCT('計算A'!$D$63:$EQ$63,$DB37:$IO37))*1000+4)</f>
        <v/>
      </c>
      <c r="BL37">
        <f>IF(R37=1,1000000,IF('計算A'!$IT$14&gt;0,0,500000)+IF('計算A'!$IQ$14=2,SUMPRODUCT('計算A'!$D$64:$EQ$64,$DB37:$IO37,$IQ37:$OD37),SUMPRODUCT('計算A'!$D$64:$EQ$64,$DB37:$IO37))*1000+5)</f>
        <v/>
      </c>
      <c r="BM37">
        <f>IF(S37=1,1000000,IF('計算A'!$IT$15&gt;0,0,500000)+IF('計算A'!$IQ$15=2,SUMPRODUCT('計算A'!$D$65:$EQ$65,$DB37:$IO37,$IQ37:$OD37),SUMPRODUCT('計算A'!$D$65:$EQ$65,$DB37:$IO37))*1000+6)</f>
        <v/>
      </c>
      <c r="BN37">
        <f>IF(T37=1,1000000,IF('計算A'!$IT$16&gt;0,0,500000)+IF('計算A'!$IQ$16=2,SUMPRODUCT('計算A'!$D$66:$EQ$66,$DB37:$IO37,$IQ37:$OD37),SUMPRODUCT('計算A'!$D$66:$EQ$66,$DB37:$IO37))*1000+7)</f>
        <v/>
      </c>
      <c r="BO37">
        <f>IF(U37=1,1000000,IF('計算A'!$IT$17&gt;0,0,500000)+IF('計算A'!$IQ$17=2,SUMPRODUCT('計算A'!$D$67:$EQ$67,$DB37:$IO37,$IQ37:$OD37),SUMPRODUCT('計算A'!$D$67:$EQ$67,$DB37:$IO37))*1000+8)</f>
        <v/>
      </c>
      <c r="BP37">
        <f>IF(V37=1,1000000,IF('計算A'!$IT$18&gt;0,0,500000)+IF('計算A'!$IQ$18=2,SUMPRODUCT('計算A'!$D$68:$EQ$68,$DB37:$IO37,$IQ37:$OD37),SUMPRODUCT('計算A'!$D$68:$EQ$68,$DB37:$IO37))*1000+9)</f>
        <v/>
      </c>
      <c r="BQ37">
        <f>IF(W37=1,1000000,IF('計算A'!$IT$19&gt;0,0,500000)+IF('計算A'!$IQ$19=2,SUMPRODUCT('計算A'!$D$69:$EQ$69,$DB37:$IO37,$IQ37:$OD37),SUMPRODUCT('計算A'!$D$69:$EQ$69,$DB37:$IO37))*1000+10)</f>
        <v/>
      </c>
      <c r="BR37">
        <f>IF(X37=1,1000000,IF('計算A'!$IT$20&gt;0,0,500000)+IF('計算A'!$IQ$20=2,SUMPRODUCT('計算A'!$D$70:$EQ$70,$DB37:$IO37,$IQ37:$OD37),SUMPRODUCT('計算A'!$D$70:$EQ$70,$DB37:$IO37))*1000+11)</f>
        <v/>
      </c>
      <c r="BS37">
        <f>IF(Y37=1,1000000,IF('計算A'!$IT$21&gt;0,0,500000)+IF('計算A'!$IQ$21=2,SUMPRODUCT('計算A'!$D$71:$EQ$71,$DB37:$IO37,$IQ37:$OD37),SUMPRODUCT('計算A'!$D$71:$EQ$71,$DB37:$IO37))*1000+12)</f>
        <v/>
      </c>
      <c r="BT37">
        <f>IF(Z37=1,1000000,IF('計算A'!$IT$22&gt;0,0,500000)+IF('計算A'!$IQ$22=2,SUMPRODUCT('計算A'!$D$72:$EQ$72,$DB37:$IO37,$IQ37:$OD37),SUMPRODUCT('計算A'!$D$72:$EQ$72,$DB37:$IO37))*1000+13)</f>
        <v/>
      </c>
      <c r="BU37">
        <f>IF(AA37=1,1000000,IF('計算A'!$IT$23&gt;0,0,500000)+IF('計算A'!$IQ$23=2,SUMPRODUCT('計算A'!$D$73:$EQ$73,$DB37:$IO37,$IQ37:$OD37),SUMPRODUCT('計算A'!$D$73:$EQ$73,$DB37:$IO37))*1000+14)</f>
        <v/>
      </c>
      <c r="BV37">
        <f>IF(AB37=1,1000000,IF('計算A'!$IT$24&gt;0,0,500000)+IF('計算A'!$IQ$24=2,SUMPRODUCT('計算A'!$D$74:$EQ$74,$DB37:$IO37,$IQ37:$OD37),SUMPRODUCT('計算A'!$D$74:$EQ$74,$DB37:$IO37))*1000+15)</f>
        <v/>
      </c>
      <c r="BW37">
        <f>IF(AC37=1,1000000,IF('計算A'!$IT$25&gt;0,0,500000)+IF('計算A'!$IQ$25=2,SUMPRODUCT('計算A'!$D$75:$EQ$75,$DB37:$IO37,$IQ37:$OD37),SUMPRODUCT('計算A'!$D$75:$EQ$75,$DB37:$IO37))*1000+16)</f>
        <v/>
      </c>
      <c r="BX37">
        <f>IF(AD37=1,1000000,IF('計算A'!$IT$26&gt;0,0,500000)+IF('計算A'!$IQ$26=2,SUMPRODUCT('計算A'!$D$76:$EQ$76,$DB37:$IO37,$IQ37:$OD37),SUMPRODUCT('計算A'!$D$76:$EQ$76,$DB37:$IO37))*1000+17)</f>
        <v/>
      </c>
      <c r="BY37">
        <f>IF(AE37=1,1000000,IF('計算A'!$IT$27&gt;0,0,500000)+IF('計算A'!$IQ$27=2,SUMPRODUCT('計算A'!$D$77:$EQ$77,$DB37:$IO37,$IQ37:$OD37),SUMPRODUCT('計算A'!$D$77:$EQ$77,$DB37:$IO37))*1000+18)</f>
        <v/>
      </c>
      <c r="BZ37">
        <f>IF(AF37=1,1000000,IF('計算A'!$IT$28&gt;0,0,500000)+IF('計算A'!$IQ$28=2,SUMPRODUCT('計算A'!$D$78:$EQ$78,$DB37:$IO37,$IQ37:$OD37),SUMPRODUCT('計算A'!$D$78:$EQ$78,$DB37:$IO37))*1000+19)</f>
        <v/>
      </c>
      <c r="CA37">
        <f>IF(AG37=1,1000000,IF('計算A'!$IT$29&gt;0,0,500000)+IF('計算A'!$IQ$29=2,SUMPRODUCT('計算A'!$D$79:$EQ$79,$DB37:$IO37,$IQ37:$OD37),SUMPRODUCT('計算A'!$D$79:$EQ$79,$DB37:$IO37))*1000+20)</f>
        <v/>
      </c>
      <c r="CB37">
        <f>IF(AH37=1,1000000,IF('計算A'!$IT$30&gt;0,0,500000)+IF('計算A'!$IQ$30=2,SUMPRODUCT('計算A'!$D$80:$EQ$80,$DB37:$IO37,$IQ37:$OD37),SUMPRODUCT('計算A'!$D$80:$EQ$80,$DB37:$IO37))*1000+21)</f>
        <v/>
      </c>
      <c r="CC37">
        <f>IF(AI37=1,1000000,IF('計算A'!$IT$31&gt;0,0,500000)+IF('計算A'!$IQ$31=2,SUMPRODUCT('計算A'!$D$81:$EQ$81,$DB37:$IO37,$IQ37:$OD37),SUMPRODUCT('計算A'!$D$81:$EQ$81,$DB37:$IO37))*1000+22)</f>
        <v/>
      </c>
      <c r="CD37">
        <f>IF(AJ37=1,1000000,IF('計算A'!$IT$32&gt;0,0,500000)+IF('計算A'!$IQ$32=2,SUMPRODUCT('計算A'!$D$82:$EQ$82,$DB37:$IO37,$IQ37:$OD37),SUMPRODUCT('計算A'!$D$82:$EQ$82,$DB37:$IO37))*1000+23)</f>
        <v/>
      </c>
      <c r="CE37">
        <f>IF(AK37=1,1000000,IF('計算A'!$IT$33&gt;0,0,500000)+IF('計算A'!$IQ$33=2,SUMPRODUCT('計算A'!$D$83:$EQ$83,$DB37:$IO37,$IQ37:$OD37),SUMPRODUCT('計算A'!$D$83:$EQ$83,$DB37:$IO37))*1000+24)</f>
        <v/>
      </c>
      <c r="CF37">
        <f>IF(AL37=1,1000000,IF('計算A'!$IT$34&gt;0,0,500000)+IF('計算A'!$IQ$34=2,SUMPRODUCT('計算A'!$D$84:$EQ$84,$DB37:$IO37,$IQ37:$OD37),SUMPRODUCT('計算A'!$D$84:$EQ$84,$DB37:$IO37))*1000+25)</f>
        <v/>
      </c>
      <c r="CG37">
        <f>IF(AM37=1,1000000,IF('計算A'!$IT$35&gt;0,0,500000)+IF('計算A'!$IQ$35=2,SUMPRODUCT('計算A'!$D$85:$EQ$85,$DB37:$IO37,$IQ37:$OD37),SUMPRODUCT('計算A'!$D$85:$EQ$85,$DB37:$IO37))*1000+26)</f>
        <v/>
      </c>
      <c r="CH37">
        <f>IF(AN37=1,1000000,IF('計算A'!$IT$36&gt;0,0,500000)+IF('計算A'!$IQ$36=2,SUMPRODUCT('計算A'!$D$86:$EQ$86,$DB37:$IO37,$IQ37:$OD37),SUMPRODUCT('計算A'!$D$86:$EQ$86,$DB37:$IO37))*1000+27)</f>
        <v/>
      </c>
      <c r="CI37">
        <f>IF(AO37=1,1000000,IF('計算A'!$IT$37&gt;0,0,500000)+IF('計算A'!$IQ$37=2,SUMPRODUCT('計算A'!$D$87:$EQ$87,$DB37:$IO37,$IQ37:$OD37),SUMPRODUCT('計算A'!$D$87:$EQ$87,$DB37:$IO37))*1000+28)</f>
        <v/>
      </c>
      <c r="CJ37">
        <f>IF(AP37=1,1000000,IF('計算A'!$IT$38&gt;0,0,500000)+IF('計算A'!$IQ$38=2,SUMPRODUCT('計算A'!$D$88:$EQ$88,$DB37:$IO37,$IQ37:$OD37),SUMPRODUCT('計算A'!$D$88:$EQ$88,$DB37:$IO37))*1000+29)</f>
        <v/>
      </c>
      <c r="CK37">
        <f>IF(AQ37=1,1000000,IF('計算A'!$IT$39&gt;0,0,500000)+IF('計算A'!$IQ$39=2,SUMPRODUCT('計算A'!$D$89:$EQ$89,$DB37:$IO37,$IQ37:$OD37),SUMPRODUCT('計算A'!$D$89:$EQ$89,$DB37:$IO37))*1000+30)</f>
        <v/>
      </c>
      <c r="CL37">
        <f>IF(AR37=1,1000000,IF('計算A'!$IT$40&gt;0,0,500000)+IF('計算A'!$IQ$40=2,SUMPRODUCT('計算A'!$D$90:$EQ$90,$DB37:$IO37,$IQ37:$OD37),SUMPRODUCT('計算A'!$D$90:$EQ$90,$DB37:$IO37))*1000+31)</f>
        <v/>
      </c>
      <c r="CM37">
        <f>IF(AS37=1,1000000,IF('計算A'!$IT$41&gt;0,0,500000)+IF('計算A'!$IQ$41=2,SUMPRODUCT('計算A'!$D$91:$EQ$91,$DB37:$IO37,$IQ37:$OD37),SUMPRODUCT('計算A'!$D$91:$EQ$91,$DB37:$IO37))*1000+32)</f>
        <v/>
      </c>
      <c r="CN37">
        <f>IF(AT37=1,1000000,IF('計算A'!$IT$42&gt;0,0,500000)+IF('計算A'!$IQ$42=2,SUMPRODUCT('計算A'!$D$92:$EQ$92,$DB37:$IO37,$IQ37:$OD37),SUMPRODUCT('計算A'!$D$92:$EQ$92,$DB37:$IO37))*1000+33)</f>
        <v/>
      </c>
      <c r="CO37">
        <f>IF(AU37=1,1000000,IF('計算A'!$IT$43&gt;0,0,500000)+IF('計算A'!$IQ$43=2,SUMPRODUCT('計算A'!$D$93:$EQ$93,$DB37:$IO37,$IQ37:$OD37),SUMPRODUCT('計算A'!$D$93:$EQ$93,$DB37:$IO37))*1000+34)</f>
        <v/>
      </c>
      <c r="CP37">
        <f>IF(AV37=1,1000000,IF('計算A'!$IT$44&gt;0,0,500000)+IF('計算A'!$IQ$44=2,SUMPRODUCT('計算A'!$D$94:$EQ$94,$DB37:$IO37,$IQ37:$OD37),SUMPRODUCT('計算A'!$D$94:$EQ$94,$DB37:$IO37))*1000+35)</f>
        <v/>
      </c>
      <c r="CQ37">
        <f>IF(AW37=1,1000000,IF('計算A'!$IT$45&gt;0,0,500000)+IF('計算A'!$IQ$45=2,SUMPRODUCT('計算A'!$D$95:$EQ$95,$DB37:$IO37,$IQ37:$OD37),SUMPRODUCT('計算A'!$D$95:$EQ$95,$DB37:$IO37))*1000+36)</f>
        <v/>
      </c>
      <c r="CR37">
        <f>IF(AX37=1,1000000,IF('計算A'!$IT$46&gt;0,0,500000)+IF('計算A'!$IQ$46=2,SUMPRODUCT('計算A'!$D$96:$EQ$96,$DB37:$IO37,$IQ37:$OD37),SUMPRODUCT('計算A'!$D$96:$EQ$96,$DB37:$IO37))*1000+37)</f>
        <v/>
      </c>
      <c r="CS37">
        <f>IF(AY37=1,1000000,IF('計算A'!$IT$47&gt;0,0,500000)+IF('計算A'!$IQ$47=2,SUMPRODUCT('計算A'!$D$97:$EQ$97,$DB37:$IO37,$IQ37:$OD37),SUMPRODUCT('計算A'!$D$97:$EQ$97,$DB37:$IO37))*1000+38)</f>
        <v/>
      </c>
      <c r="CT37">
        <f>IF(AZ37=1,1000000,IF('計算A'!$IT$48&gt;0,0,500000)+IF('計算A'!$IQ$48=2,SUMPRODUCT('計算A'!$D$98:$EQ$98,$DB37:$IO37,$IQ37:$OD37),SUMPRODUCT('計算A'!$D$98:$EQ$98,$DB37:$IO37))*1000+39)</f>
        <v/>
      </c>
      <c r="CU37">
        <f>IF(BA37=1,1000000,IF('計算A'!$IT$49&gt;0,0,500000)+IF('計算A'!$IQ$49=2,SUMPRODUCT('計算A'!$D$99:$EQ$99,$DB37:$IO37,$IQ37:$OD37),SUMPRODUCT('計算A'!$D$99:$EQ$99,$DB37:$IO37))*1000+40)</f>
        <v/>
      </c>
      <c r="CV37">
        <f>IF(BB37=1,1000000,IF('計算A'!$IT$50&gt;0,0,500000)+IF('計算A'!$IQ$50=2,SUMPRODUCT('計算A'!$D$100:$EQ$100,$DB37:$IO37,$IQ37:$OD37),SUMPRODUCT('計算A'!$D$100:$EQ$100,$DB37:$IO37))*1000+41)</f>
        <v/>
      </c>
      <c r="CW37">
        <f>IF(BC37=1,1000000,IF('計算A'!$IT$51&gt;0,0,500000)+IF('計算A'!$IQ$51=2,SUMPRODUCT('計算A'!$D$101:$EQ$101,$DB37:$IO37,$IQ37:$OD37),SUMPRODUCT('計算A'!$D$101:$EQ$101,$DB37:$IO37))*1000+42)</f>
        <v/>
      </c>
      <c r="CX37">
        <f>IF(BD37=1,1000000,IF('計算A'!$IT$52&gt;0,0,500000)+IF('計算A'!$IQ$52=2,SUMPRODUCT('計算A'!$D$102:$EQ$102,$DB37:$IO37,$IQ37:$OD37),SUMPRODUCT('計算A'!$D$102:$EQ$102,$DB37:$IO37))*1000+43)</f>
        <v/>
      </c>
      <c r="CY37">
        <f>IF(BE37=1,1000000,IF('計算A'!$IT$53&gt;0,0,500000)+IF('計算A'!$IQ$53=2,SUMPRODUCT('計算A'!$D$103:$EQ$103,$DB37:$IO37,$IQ37:$OD37),SUMPRODUCT('計算A'!$D$103:$EQ$103,$DB37:$IO37))*1000+44)</f>
        <v/>
      </c>
      <c r="CZ37">
        <f>IF(BF37=1,1000000,IF('計算A'!$IT$54&gt;0,0,500000)+IF('計算A'!$IQ$54=2,SUMPRODUCT('計算A'!$D$104:$EQ$104,$DB37:$IO37,$IQ37:$OD37),SUMPRODUCT('計算A'!$D$104:$EQ$104,$DB37:$IO37))*1000+45)</f>
        <v/>
      </c>
      <c r="DB37">
        <f>DB36*IF(OR($C36=1,$G36=1),0,1)</f>
        <v/>
      </c>
      <c r="DC37">
        <f>DC36*IF(OR($C36=2,$G36=2),0,1)</f>
        <v/>
      </c>
      <c r="DD37">
        <f>DD36*IF(OR($C36=3,$G36=3),0,1)</f>
        <v/>
      </c>
      <c r="DE37">
        <f>DE36*IF(OR($C36=4,$G36=4),0,1)</f>
        <v/>
      </c>
      <c r="DF37">
        <f>DF36*IF(OR($C36=5,$G36=5),0,1)</f>
        <v/>
      </c>
      <c r="DG37">
        <f>DG36*IF(OR($C36=6,$G36=6),0,1)</f>
        <v/>
      </c>
      <c r="DH37">
        <f>DH36*IF(OR($C36=7,$G36=7),0,1)</f>
        <v/>
      </c>
      <c r="DI37">
        <f>DI36*IF(OR($C36=8,$G36=8),0,1)</f>
        <v/>
      </c>
      <c r="DJ37">
        <f>DJ36*IF(OR($C36=9,$G36=9),0,1)</f>
        <v/>
      </c>
      <c r="DK37">
        <f>DK36*IF(OR($C36=10,$G36=10),0,1)</f>
        <v/>
      </c>
      <c r="DL37">
        <f>DL36*IF(OR($C36=11,$G36=11),0,1)</f>
        <v/>
      </c>
      <c r="DM37">
        <f>DM36*IF(OR($C36=12,$G36=12),0,1)</f>
        <v/>
      </c>
      <c r="DN37">
        <f>DN36*IF(OR($C36=13,$G36=13),0,1)</f>
        <v/>
      </c>
      <c r="DO37">
        <f>DO36*IF(OR($C36=14,$G36=14),0,1)</f>
        <v/>
      </c>
      <c r="DP37">
        <f>DP36*IF(OR($C36=15,$G36=15),0,1)</f>
        <v/>
      </c>
      <c r="DQ37">
        <f>DQ36*IF(OR($C36=16,$G36=16),0,1)</f>
        <v/>
      </c>
      <c r="DR37">
        <f>DR36*IF(OR($C36=17,$G36=17),0,1)</f>
        <v/>
      </c>
      <c r="DS37">
        <f>DS36*IF(OR($C36=18,$G36=18),0,1)</f>
        <v/>
      </c>
      <c r="DT37">
        <f>DT36*IF(OR($C36=19,$G36=19),0,1)</f>
        <v/>
      </c>
      <c r="DU37">
        <f>DU36*IF(OR($C36=20,$G36=20),0,1)</f>
        <v/>
      </c>
      <c r="DV37">
        <f>DV36*IF(OR($C36=21,$G36=21),0,1)</f>
        <v/>
      </c>
      <c r="DW37">
        <f>DW36*IF(OR($C36=22,$G36=22),0,1)</f>
        <v/>
      </c>
      <c r="DX37">
        <f>DX36*IF(OR($C36=23,$G36=23),0,1)</f>
        <v/>
      </c>
      <c r="DY37">
        <f>DY36*IF(OR($C36=24,$G36=24),0,1)</f>
        <v/>
      </c>
      <c r="DZ37">
        <f>DZ36*IF(OR($C36=25,$G36=25),0,1)</f>
        <v/>
      </c>
      <c r="EA37">
        <f>EA36*IF(OR($C36=26,$G36=26),0,1)</f>
        <v/>
      </c>
      <c r="EB37">
        <f>EB36*IF(OR($C36=27,$G36=27),0,1)</f>
        <v/>
      </c>
      <c r="EC37">
        <f>EC36*IF(OR($C36=28,$G36=28),0,1)</f>
        <v/>
      </c>
      <c r="ED37">
        <f>ED36*IF(OR($C36=29,$G36=29),0,1)</f>
        <v/>
      </c>
      <c r="EE37">
        <f>EE36*IF(OR($C36=30,$G36=30),0,1)</f>
        <v/>
      </c>
      <c r="EF37">
        <f>EF36*IF(OR($C36=31,$G36=31),0,1)</f>
        <v/>
      </c>
      <c r="EG37">
        <f>EG36*IF(OR($C36=32,$G36=32),0,1)</f>
        <v/>
      </c>
      <c r="EH37">
        <f>EH36*IF(OR($C36=33,$G36=33),0,1)</f>
        <v/>
      </c>
      <c r="EI37">
        <f>EI36*IF(OR($C36=34,$G36=34),0,1)</f>
        <v/>
      </c>
      <c r="EJ37">
        <f>EJ36*IF(OR($C36=35,$G36=35),0,1)</f>
        <v/>
      </c>
      <c r="EK37">
        <f>EK36*IF(OR($C36=36,$G36=36),0,1)</f>
        <v/>
      </c>
      <c r="EL37">
        <f>EL36*IF(OR($C36=37,$G36=37),0,1)</f>
        <v/>
      </c>
      <c r="EM37">
        <f>EM36*IF(OR($C36=38,$G36=38),0,1)</f>
        <v/>
      </c>
      <c r="EN37">
        <f>EN36*IF(OR($C36=39,$G36=39),0,1)</f>
        <v/>
      </c>
      <c r="EO37">
        <f>EO36*IF(OR($C36=40,$G36=40),0,1)</f>
        <v/>
      </c>
      <c r="EP37">
        <f>EP36*IF(OR($C36=41,$G36=41),0,1)</f>
        <v/>
      </c>
      <c r="EQ37">
        <f>EQ36*IF(OR($C36=42,$G36=42),0,1)</f>
        <v/>
      </c>
      <c r="ER37">
        <f>ER36*IF(OR($C36=43,$G36=43),0,1)</f>
        <v/>
      </c>
      <c r="ES37">
        <f>ES36*IF(OR($C36=44,$G36=44),0,1)</f>
        <v/>
      </c>
      <c r="ET37">
        <f>ET36*IF(OR($C36=45,$G36=45),0,1)</f>
        <v/>
      </c>
      <c r="EU37">
        <f>EU36*IF(OR($C36=46,$G36=46),0,1)</f>
        <v/>
      </c>
      <c r="EV37">
        <f>EV36*IF(OR($C36=47,$G36=47),0,1)</f>
        <v/>
      </c>
      <c r="EW37">
        <f>EW36*IF(OR($C36=48,$G36=48),0,1)</f>
        <v/>
      </c>
      <c r="EX37">
        <f>EX36*IF(OR($C36=49,$G36=49),0,1)</f>
        <v/>
      </c>
      <c r="EY37">
        <f>EY36*IF(OR($C36=50,$G36=50),0,1)</f>
        <v/>
      </c>
      <c r="EZ37">
        <f>EZ36*IF(OR($C36=51,$G36=51),0,1)</f>
        <v/>
      </c>
      <c r="FA37">
        <f>FA36*IF(OR($C36=52,$G36=52),0,1)</f>
        <v/>
      </c>
      <c r="FB37">
        <f>FB36*IF(OR($C36=53,$G36=53),0,1)</f>
        <v/>
      </c>
      <c r="FC37">
        <f>FC36*IF(OR($C36=54,$G36=54),0,1)</f>
        <v/>
      </c>
      <c r="FD37">
        <f>FD36*IF(OR($C36=55,$G36=55),0,1)</f>
        <v/>
      </c>
      <c r="FE37">
        <f>FE36*IF(OR($C36=56,$G36=56),0,1)</f>
        <v/>
      </c>
      <c r="FF37">
        <f>FF36*IF(OR($C36=57,$G36=57),0,1)</f>
        <v/>
      </c>
      <c r="FG37">
        <f>FG36*IF(OR($C36=58,$G36=58),0,1)</f>
        <v/>
      </c>
      <c r="FH37">
        <f>FH36*IF(OR($C36=59,$G36=59),0,1)</f>
        <v/>
      </c>
      <c r="FI37">
        <f>FI36*IF(OR($C36=60,$G36=60),0,1)</f>
        <v/>
      </c>
      <c r="FJ37">
        <f>FJ36*IF(OR($C36=61,$G36=61),0,1)</f>
        <v/>
      </c>
      <c r="FK37">
        <f>FK36*IF(OR($C36=62,$G36=62),0,1)</f>
        <v/>
      </c>
      <c r="FL37">
        <f>FL36*IF(OR($C36=63,$G36=63),0,1)</f>
        <v/>
      </c>
      <c r="FM37">
        <f>FM36*IF(OR($C36=64,$G36=64),0,1)</f>
        <v/>
      </c>
      <c r="FN37">
        <f>FN36*IF(OR($C36=65,$G36=65),0,1)</f>
        <v/>
      </c>
      <c r="FO37">
        <f>FO36*IF(OR($C36=66,$G36=66),0,1)</f>
        <v/>
      </c>
      <c r="FP37">
        <f>FP36*IF(OR($C36=67,$G36=67),0,1)</f>
        <v/>
      </c>
      <c r="FQ37">
        <f>FQ36*IF(OR($C36=68,$G36=68),0,1)</f>
        <v/>
      </c>
      <c r="FR37">
        <f>FR36*IF(OR($C36=69,$G36=69),0,1)</f>
        <v/>
      </c>
      <c r="FS37">
        <f>FS36*IF(OR($C36=70,$G36=70),0,1)</f>
        <v/>
      </c>
      <c r="FT37">
        <f>FT36*IF(OR($C36=71,$G36=71),0,1)</f>
        <v/>
      </c>
      <c r="FU37">
        <f>FU36*IF(OR($C36=72,$G36=72),0,1)</f>
        <v/>
      </c>
      <c r="FV37">
        <f>FV36*IF(OR($C36=73,$G36=73),0,1)</f>
        <v/>
      </c>
      <c r="FW37">
        <f>FW36*IF(OR($C36=74,$G36=74),0,1)</f>
        <v/>
      </c>
      <c r="FX37">
        <f>FX36*IF(OR($C36=75,$G36=75),0,1)</f>
        <v/>
      </c>
      <c r="FY37">
        <f>FY36*IF(OR($C36=76,$G36=76),0,1)</f>
        <v/>
      </c>
      <c r="FZ37">
        <f>FZ36*IF(OR($C36=77,$G36=77),0,1)</f>
        <v/>
      </c>
      <c r="GA37">
        <f>GA36*IF(OR($C36=78,$G36=78),0,1)</f>
        <v/>
      </c>
      <c r="GB37">
        <f>GB36*IF(OR($C36=79,$G36=79),0,1)</f>
        <v/>
      </c>
      <c r="GC37">
        <f>GC36*IF(OR($C36=80,$G36=80),0,1)</f>
        <v/>
      </c>
      <c r="GD37">
        <f>GD36*IF(OR($C36=81,$G36=81),0,1)</f>
        <v/>
      </c>
      <c r="GE37">
        <f>GE36*IF(OR($C36=82,$G36=82),0,1)</f>
        <v/>
      </c>
      <c r="GF37">
        <f>GF36*IF(OR($C36=83,$G36=83),0,1)</f>
        <v/>
      </c>
      <c r="GG37">
        <f>GG36*IF(OR($C36=84,$G36=84),0,1)</f>
        <v/>
      </c>
      <c r="GH37">
        <f>GH36*IF(OR($C36=85,$G36=85),0,1)</f>
        <v/>
      </c>
      <c r="GI37">
        <f>GI36*IF(OR($C36=86,$G36=86),0,1)</f>
        <v/>
      </c>
      <c r="GJ37">
        <f>GJ36*IF(OR($C36=87,$G36=87),0,1)</f>
        <v/>
      </c>
      <c r="GK37">
        <f>GK36*IF(OR($C36=88,$G36=88),0,1)</f>
        <v/>
      </c>
      <c r="GL37">
        <f>GL36*IF(OR($C36=89,$G36=89),0,1)</f>
        <v/>
      </c>
      <c r="GM37">
        <f>GM36*IF(OR($C36=90,$G36=90),0,1)</f>
        <v/>
      </c>
      <c r="GN37">
        <f>GN36*IF(OR($C36=91,$G36=91),0,1)</f>
        <v/>
      </c>
      <c r="GO37">
        <f>GO36*IF(OR($C36=92,$G36=92),0,1)</f>
        <v/>
      </c>
      <c r="GP37">
        <f>GP36*IF(OR($C36=93,$G36=93),0,1)</f>
        <v/>
      </c>
      <c r="GQ37">
        <f>GQ36*IF(OR($C36=94,$G36=94),0,1)</f>
        <v/>
      </c>
      <c r="GR37">
        <f>GR36*IF(OR($C36=95,$G36=95),0,1)</f>
        <v/>
      </c>
      <c r="GS37">
        <f>GS36*IF(OR($C36=96,$G36=96),0,1)</f>
        <v/>
      </c>
      <c r="GT37">
        <f>GT36*IF(OR($C36=97,$G36=97),0,1)</f>
        <v/>
      </c>
      <c r="GU37">
        <f>GU36*IF(OR($C36=98,$G36=98),0,1)</f>
        <v/>
      </c>
      <c r="GV37">
        <f>GV36*IF(OR($C36=99,$G36=99),0,1)</f>
        <v/>
      </c>
      <c r="GW37">
        <f>GW36*IF(OR($C36=100,$G36=100),0,1)</f>
        <v/>
      </c>
      <c r="GX37">
        <f>GX36*IF(OR($C36=101,$G36=101),0,1)</f>
        <v/>
      </c>
      <c r="GY37">
        <f>GY36*IF(OR($C36=102,$G36=102),0,1)</f>
        <v/>
      </c>
      <c r="GZ37">
        <f>GZ36*IF(OR($C36=103,$G36=103),0,1)</f>
        <v/>
      </c>
      <c r="HA37">
        <f>HA36*IF(OR($C36=104,$G36=104),0,1)</f>
        <v/>
      </c>
      <c r="HB37">
        <f>HB36*IF(OR($C36=105,$G36=105),0,1)</f>
        <v/>
      </c>
      <c r="HC37">
        <f>HC36*IF(OR($C36=106,$G36=106),0,1)</f>
        <v/>
      </c>
      <c r="HD37">
        <f>HD36*IF(OR($C36=107,$G36=107),0,1)</f>
        <v/>
      </c>
      <c r="HE37">
        <f>HE36*IF(OR($C36=108,$G36=108),0,1)</f>
        <v/>
      </c>
      <c r="HF37">
        <f>HF36*IF(OR($C36=109,$G36=109),0,1)</f>
        <v/>
      </c>
      <c r="HG37">
        <f>HG36*IF(OR($C36=110,$G36=110),0,1)</f>
        <v/>
      </c>
      <c r="HH37">
        <f>HH36*IF(OR($C36=111,$G36=111),0,1)</f>
        <v/>
      </c>
      <c r="HI37">
        <f>HI36*IF(OR($C36=112,$G36=112),0,1)</f>
        <v/>
      </c>
      <c r="HJ37">
        <f>HJ36*IF(OR($C36=113,$G36=113),0,1)</f>
        <v/>
      </c>
      <c r="HK37">
        <f>HK36*IF(OR($C36=114,$G36=114),0,1)</f>
        <v/>
      </c>
      <c r="HL37">
        <f>HL36*IF(OR($C36=115,$G36=115),0,1)</f>
        <v/>
      </c>
      <c r="HM37">
        <f>HM36*IF(OR($C36=116,$G36=116),0,1)</f>
        <v/>
      </c>
      <c r="HN37">
        <f>HN36*IF(OR($C36=117,$G36=117),0,1)</f>
        <v/>
      </c>
      <c r="HO37">
        <f>HO36*IF(OR($C36=118,$G36=118),0,1)</f>
        <v/>
      </c>
      <c r="HP37">
        <f>HP36*IF(OR($C36=119,$G36=119),0,1)</f>
        <v/>
      </c>
      <c r="HQ37">
        <f>HQ36*IF(OR($C36=120,$G36=120),0,1)</f>
        <v/>
      </c>
      <c r="HR37">
        <f>HR36*IF(OR($C36=121,$G36=121),0,1)</f>
        <v/>
      </c>
      <c r="HS37">
        <f>HS36*IF(OR($C36=122,$G36=122),0,1)</f>
        <v/>
      </c>
      <c r="HT37">
        <f>HT36*IF(OR($C36=123,$G36=123),0,1)</f>
        <v/>
      </c>
      <c r="HU37">
        <f>HU36*IF(OR($C36=124,$G36=124),0,1)</f>
        <v/>
      </c>
      <c r="HV37">
        <f>HV36*IF(OR($C36=125,$G36=125),0,1)</f>
        <v/>
      </c>
      <c r="HW37">
        <f>HW36*IF(OR($C36=126,$G36=126),0,1)</f>
        <v/>
      </c>
      <c r="HX37">
        <f>HX36*IF(OR($C36=127,$G36=127),0,1)</f>
        <v/>
      </c>
      <c r="HY37">
        <f>HY36*IF(OR($C36=128,$G36=128),0,1)</f>
        <v/>
      </c>
      <c r="HZ37">
        <f>HZ36*IF(OR($C36=129,$G36=129),0,1)</f>
        <v/>
      </c>
      <c r="IA37">
        <f>IA36*IF(OR($C36=130,$G36=130),0,1)</f>
        <v/>
      </c>
      <c r="IB37">
        <f>IB36*IF(OR($C36=131,$G36=131),0,1)</f>
        <v/>
      </c>
      <c r="IC37">
        <f>IC36*IF(OR($C36=132,$G36=132),0,1)</f>
        <v/>
      </c>
      <c r="ID37">
        <f>ID36*IF(OR($C36=133,$G36=133),0,1)</f>
        <v/>
      </c>
      <c r="IE37">
        <f>IE36*IF(OR($C36=134,$G36=134),0,1)</f>
        <v/>
      </c>
      <c r="IF37">
        <f>IF36*IF(OR($C36=135,$G36=135),0,1)</f>
        <v/>
      </c>
      <c r="IG37">
        <f>IG36*IF(OR($C36=136,$G36=136),0,1)</f>
        <v/>
      </c>
      <c r="IH37">
        <f>IH36*IF(OR($C36=137,$G36=137),0,1)</f>
        <v/>
      </c>
      <c r="II37">
        <f>II36*IF(OR($C36=138,$G36=138),0,1)</f>
        <v/>
      </c>
      <c r="IJ37">
        <f>IJ36*IF(OR($C36=139,$G36=139),0,1)</f>
        <v/>
      </c>
      <c r="IK37">
        <f>IK36*IF(OR($C36=140,$G36=140),0,1)</f>
        <v/>
      </c>
      <c r="IL37">
        <f>IL36*IF(OR($C36=141,$G36=141),0,1)</f>
        <v/>
      </c>
      <c r="IM37">
        <f>IM36*IF(OR($C36=142,$G36=142),0,1)</f>
        <v/>
      </c>
      <c r="IN37">
        <f>IN36*IF(OR($C36=143,$G36=143),0,1)</f>
        <v/>
      </c>
      <c r="IO37">
        <f>IO36*IF(OR($C36=144,$G36=144),0,1)</f>
        <v/>
      </c>
      <c r="IQ37">
        <f>IF('計算A'!D$106=1,DC37,1)</f>
        <v/>
      </c>
      <c r="IR37">
        <f>IF('計算A'!E$106=1,DD37,1)</f>
        <v/>
      </c>
      <c r="IS37">
        <f>IF('計算A'!F$106=1,DE37,1)</f>
        <v/>
      </c>
      <c r="IT37">
        <f>IF('計算A'!G$106=1,DF37,1)</f>
        <v/>
      </c>
      <c r="IU37">
        <f>IF('計算A'!H$106=1,DG37,1)</f>
        <v/>
      </c>
      <c r="IV37">
        <f>IF('計算A'!I$106=1,DH37,1)</f>
        <v/>
      </c>
      <c r="IW37">
        <f>IF('計算A'!J$106=1,DI37,1)</f>
        <v/>
      </c>
      <c r="IX37">
        <f>IF('計算A'!K$106=1,DJ37,1)</f>
        <v/>
      </c>
      <c r="IY37">
        <f>IF('計算A'!L$106=1,DK37,1)</f>
        <v/>
      </c>
      <c r="IZ37">
        <f>IF('計算A'!M$106=1,DL37,1)</f>
        <v/>
      </c>
      <c r="JA37">
        <f>IF('計算A'!N$106=1,DM37,1)</f>
        <v/>
      </c>
      <c r="JB37">
        <f>IF('計算A'!O$106=1,DN37,1)</f>
        <v/>
      </c>
      <c r="JC37">
        <f>IF('計算A'!P$106=1,DO37,1)</f>
        <v/>
      </c>
      <c r="JD37">
        <f>IF('計算A'!Q$106=1,DP37,1)</f>
        <v/>
      </c>
      <c r="JE37">
        <f>IF('計算A'!R$106=1,DQ37,1)</f>
        <v/>
      </c>
      <c r="JF37">
        <f>IF('計算A'!S$106=1,DR37,1)</f>
        <v/>
      </c>
      <c r="JG37">
        <f>IF('計算A'!T$106=1,DS37,1)</f>
        <v/>
      </c>
      <c r="JH37">
        <f>IF('計算A'!U$106=1,DT37,1)</f>
        <v/>
      </c>
      <c r="JI37">
        <f>IF('計算A'!V$106=1,DU37,1)</f>
        <v/>
      </c>
      <c r="JJ37">
        <f>IF('計算A'!W$106=1,DV37,1)</f>
        <v/>
      </c>
      <c r="JK37">
        <f>IF('計算A'!X$106=1,DW37,1)</f>
        <v/>
      </c>
      <c r="JL37">
        <f>IF('計算A'!Y$106=1,DX37,1)</f>
        <v/>
      </c>
      <c r="JM37">
        <f>IF('計算A'!Z$106=1,DY37,1)</f>
        <v/>
      </c>
      <c r="JN37">
        <f>IF('計算A'!AA$106=1,DZ37,1)</f>
        <v/>
      </c>
      <c r="JO37">
        <f>IF('計算A'!AB$106=1,EA37,1)</f>
        <v/>
      </c>
      <c r="JP37">
        <f>IF('計算A'!AC$106=1,EB37,1)</f>
        <v/>
      </c>
      <c r="JQ37">
        <f>IF('計算A'!AD$106=1,EC37,1)</f>
        <v/>
      </c>
      <c r="JR37">
        <f>IF('計算A'!AE$106=1,ED37,1)</f>
        <v/>
      </c>
      <c r="JS37">
        <f>IF('計算A'!AF$106=1,EE37,1)</f>
        <v/>
      </c>
      <c r="JT37">
        <f>IF('計算A'!AG$106=1,EF37,1)</f>
        <v/>
      </c>
      <c r="JU37">
        <f>IF('計算A'!AH$106=1,EG37,1)</f>
        <v/>
      </c>
      <c r="JV37">
        <f>IF('計算A'!AI$106=1,EH37,1)</f>
        <v/>
      </c>
      <c r="JW37">
        <f>IF('計算A'!AJ$106=1,EI37,1)</f>
        <v/>
      </c>
      <c r="JX37">
        <f>IF('計算A'!AK$106=1,EJ37,1)</f>
        <v/>
      </c>
      <c r="JY37">
        <f>IF('計算A'!AL$106=1,EK37,1)</f>
        <v/>
      </c>
      <c r="JZ37">
        <f>IF('計算A'!AM$106=1,EL37,1)</f>
        <v/>
      </c>
      <c r="KA37">
        <f>IF('計算A'!AN$106=1,EM37,1)</f>
        <v/>
      </c>
      <c r="KB37">
        <f>IF('計算A'!AO$106=1,EN37,1)</f>
        <v/>
      </c>
      <c r="KC37">
        <f>IF('計算A'!AP$106=1,EO37,1)</f>
        <v/>
      </c>
      <c r="KD37">
        <f>IF('計算A'!AQ$106=1,EP37,1)</f>
        <v/>
      </c>
      <c r="KE37">
        <f>IF('計算A'!AR$106=1,EQ37,1)</f>
        <v/>
      </c>
      <c r="KF37">
        <f>IF('計算A'!AS$106=1,ER37,1)</f>
        <v/>
      </c>
      <c r="KG37">
        <f>IF('計算A'!AT$106=1,ES37,1)</f>
        <v/>
      </c>
      <c r="KH37">
        <f>IF('計算A'!AU$106=1,ET37,1)</f>
        <v/>
      </c>
      <c r="KI37">
        <f>IF('計算A'!AV$106=1,EU37,1)</f>
        <v/>
      </c>
      <c r="KJ37">
        <f>IF('計算A'!AW$106=1,EV37,1)</f>
        <v/>
      </c>
      <c r="KK37">
        <f>IF('計算A'!AX$106=1,EW37,1)</f>
        <v/>
      </c>
      <c r="KL37">
        <f>IF('計算A'!AY$106=1,EX37,1)</f>
        <v/>
      </c>
      <c r="KM37">
        <f>IF('計算A'!AZ$106=1,EY37,1)</f>
        <v/>
      </c>
      <c r="KN37">
        <f>IF('計算A'!BA$106=1,EZ37,1)</f>
        <v/>
      </c>
      <c r="KO37">
        <f>IF('計算A'!BB$106=1,FA37,1)</f>
        <v/>
      </c>
      <c r="KP37">
        <f>IF('計算A'!BC$106=1,FB37,1)</f>
        <v/>
      </c>
      <c r="KQ37">
        <f>IF('計算A'!BD$106=1,FC37,1)</f>
        <v/>
      </c>
      <c r="KR37">
        <f>IF('計算A'!BE$106=1,FD37,1)</f>
        <v/>
      </c>
      <c r="KS37">
        <f>IF('計算A'!BF$106=1,FE37,1)</f>
        <v/>
      </c>
      <c r="KT37">
        <f>IF('計算A'!BG$106=1,FF37,1)</f>
        <v/>
      </c>
      <c r="KU37">
        <f>IF('計算A'!BH$106=1,FG37,1)</f>
        <v/>
      </c>
      <c r="KV37">
        <f>IF('計算A'!BI$106=1,FH37,1)</f>
        <v/>
      </c>
      <c r="KW37">
        <f>IF('計算A'!BJ$106=1,FI37,1)</f>
        <v/>
      </c>
      <c r="KX37">
        <f>IF('計算A'!BK$106=1,FJ37,1)</f>
        <v/>
      </c>
      <c r="KY37">
        <f>IF('計算A'!BL$106=1,FK37,1)</f>
        <v/>
      </c>
      <c r="KZ37">
        <f>IF('計算A'!BM$106=1,FL37,1)</f>
        <v/>
      </c>
      <c r="LA37">
        <f>IF('計算A'!BN$106=1,FM37,1)</f>
        <v/>
      </c>
      <c r="LB37">
        <f>IF('計算A'!BO$106=1,FN37,1)</f>
        <v/>
      </c>
      <c r="LC37">
        <f>IF('計算A'!BP$106=1,FO37,1)</f>
        <v/>
      </c>
      <c r="LD37">
        <f>IF('計算A'!BQ$106=1,FP37,1)</f>
        <v/>
      </c>
      <c r="LE37">
        <f>IF('計算A'!BR$106=1,FQ37,1)</f>
        <v/>
      </c>
      <c r="LF37">
        <f>IF('計算A'!BS$106=1,FR37,1)</f>
        <v/>
      </c>
      <c r="LG37">
        <f>IF('計算A'!BT$106=1,FS37,1)</f>
        <v/>
      </c>
      <c r="LH37">
        <f>IF('計算A'!BU$106=1,FT37,1)</f>
        <v/>
      </c>
      <c r="LI37">
        <f>IF('計算A'!BV$106=1,FU37,1)</f>
        <v/>
      </c>
      <c r="LJ37">
        <f>IF('計算A'!BW$106=1,FV37,1)</f>
        <v/>
      </c>
      <c r="LK37">
        <f>IF('計算A'!BX$106=1,FW37,1)</f>
        <v/>
      </c>
      <c r="LL37">
        <f>IF('計算A'!BY$106=1,FX37,1)</f>
        <v/>
      </c>
      <c r="LM37">
        <f>IF('計算A'!BZ$106=1,FY37,1)</f>
        <v/>
      </c>
      <c r="LN37">
        <f>IF('計算A'!CA$106=1,FZ37,1)</f>
        <v/>
      </c>
      <c r="LO37">
        <f>IF('計算A'!CB$106=1,GA37,1)</f>
        <v/>
      </c>
      <c r="LP37">
        <f>IF('計算A'!CC$106=1,GB37,1)</f>
        <v/>
      </c>
      <c r="LQ37">
        <f>IF('計算A'!CD$106=1,GC37,1)</f>
        <v/>
      </c>
      <c r="LR37">
        <f>IF('計算A'!CE$106=1,GD37,1)</f>
        <v/>
      </c>
      <c r="LS37">
        <f>IF('計算A'!CF$106=1,GE37,1)</f>
        <v/>
      </c>
      <c r="LT37">
        <f>IF('計算A'!CG$106=1,GF37,1)</f>
        <v/>
      </c>
      <c r="LU37">
        <f>IF('計算A'!CH$106=1,GG37,1)</f>
        <v/>
      </c>
      <c r="LV37">
        <f>IF('計算A'!CI$106=1,GH37,1)</f>
        <v/>
      </c>
      <c r="LW37">
        <f>IF('計算A'!CJ$106=1,GI37,1)</f>
        <v/>
      </c>
      <c r="LX37">
        <f>IF('計算A'!CK$106=1,GJ37,1)</f>
        <v/>
      </c>
      <c r="LY37">
        <f>IF('計算A'!CL$106=1,GK37,1)</f>
        <v/>
      </c>
      <c r="LZ37">
        <f>IF('計算A'!CM$106=1,GL37,1)</f>
        <v/>
      </c>
      <c r="MA37">
        <f>IF('計算A'!CN$106=1,GM37,1)</f>
        <v/>
      </c>
      <c r="MB37">
        <f>IF('計算A'!CO$106=1,GN37,1)</f>
        <v/>
      </c>
      <c r="MC37">
        <f>IF('計算A'!CP$106=1,GO37,1)</f>
        <v/>
      </c>
      <c r="MD37">
        <f>IF('計算A'!CQ$106=1,GP37,1)</f>
        <v/>
      </c>
      <c r="ME37">
        <f>IF('計算A'!CR$106=1,GQ37,1)</f>
        <v/>
      </c>
      <c r="MF37">
        <f>IF('計算A'!CS$106=1,GR37,1)</f>
        <v/>
      </c>
      <c r="MG37">
        <f>IF('計算A'!CT$106=1,GS37,1)</f>
        <v/>
      </c>
      <c r="MH37">
        <f>IF('計算A'!CU$106=1,GT37,1)</f>
        <v/>
      </c>
      <c r="MI37">
        <f>IF('計算A'!CV$106=1,GU37,1)</f>
        <v/>
      </c>
      <c r="MJ37">
        <f>IF('計算A'!CW$106=1,GV37,1)</f>
        <v/>
      </c>
      <c r="MK37">
        <f>IF('計算A'!CX$106=1,GW37,1)</f>
        <v/>
      </c>
      <c r="ML37">
        <f>IF('計算A'!CY$106=1,GX37,1)</f>
        <v/>
      </c>
      <c r="MM37">
        <f>IF('計算A'!CZ$106=1,GY37,1)</f>
        <v/>
      </c>
      <c r="MN37">
        <f>IF('計算A'!DA$106=1,GZ37,1)</f>
        <v/>
      </c>
      <c r="MO37">
        <f>IF('計算A'!DB$106=1,HA37,1)</f>
        <v/>
      </c>
      <c r="MP37">
        <f>IF('計算A'!DC$106=1,HB37,1)</f>
        <v/>
      </c>
      <c r="MQ37">
        <f>IF('計算A'!DD$106=1,HC37,1)</f>
        <v/>
      </c>
      <c r="MR37">
        <f>IF('計算A'!DE$106=1,HD37,1)</f>
        <v/>
      </c>
      <c r="MS37">
        <f>IF('計算A'!DF$106=1,HE37,1)</f>
        <v/>
      </c>
      <c r="MT37">
        <f>IF('計算A'!DG$106=1,HF37,1)</f>
        <v/>
      </c>
      <c r="MU37">
        <f>IF('計算A'!DH$106=1,HG37,1)</f>
        <v/>
      </c>
      <c r="MV37">
        <f>IF('計算A'!DI$106=1,HH37,1)</f>
        <v/>
      </c>
      <c r="MW37">
        <f>IF('計算A'!DJ$106=1,HI37,1)</f>
        <v/>
      </c>
      <c r="MX37">
        <f>IF('計算A'!DK$106=1,HJ37,1)</f>
        <v/>
      </c>
      <c r="MY37">
        <f>IF('計算A'!DL$106=1,HK37,1)</f>
        <v/>
      </c>
      <c r="MZ37">
        <f>IF('計算A'!DM$106=1,HL37,1)</f>
        <v/>
      </c>
      <c r="NA37">
        <f>IF('計算A'!DN$106=1,HM37,1)</f>
        <v/>
      </c>
      <c r="NB37">
        <f>IF('計算A'!DO$106=1,HN37,1)</f>
        <v/>
      </c>
      <c r="NC37">
        <f>IF('計算A'!DP$106=1,HO37,1)</f>
        <v/>
      </c>
      <c r="ND37">
        <f>IF('計算A'!DQ$106=1,HP37,1)</f>
        <v/>
      </c>
      <c r="NE37">
        <f>IF('計算A'!DR$106=1,HQ37,1)</f>
        <v/>
      </c>
      <c r="NF37">
        <f>IF('計算A'!DS$106=1,HR37,1)</f>
        <v/>
      </c>
      <c r="NG37">
        <f>IF('計算A'!DT$106=1,HS37,1)</f>
        <v/>
      </c>
      <c r="NH37">
        <f>IF('計算A'!DU$106=1,HT37,1)</f>
        <v/>
      </c>
      <c r="NI37">
        <f>IF('計算A'!DV$106=1,HU37,1)</f>
        <v/>
      </c>
      <c r="NJ37">
        <f>IF('計算A'!DW$106=1,HV37,1)</f>
        <v/>
      </c>
      <c r="NK37">
        <f>IF('計算A'!DX$106=1,HW37,1)</f>
        <v/>
      </c>
      <c r="NL37">
        <f>IF('計算A'!DY$106=1,HX37,1)</f>
        <v/>
      </c>
      <c r="NM37">
        <f>IF('計算A'!DZ$106=1,HY37,1)</f>
        <v/>
      </c>
      <c r="NN37">
        <f>IF('計算A'!EA$106=1,HZ37,1)</f>
        <v/>
      </c>
      <c r="NO37">
        <f>IF('計算A'!EB$106=1,IA37,1)</f>
        <v/>
      </c>
      <c r="NP37">
        <f>IF('計算A'!EC$106=1,IB37,1)</f>
        <v/>
      </c>
      <c r="NQ37">
        <f>IF('計算A'!ED$106=1,IC37,1)</f>
        <v/>
      </c>
      <c r="NR37">
        <f>IF('計算A'!EE$106=1,ID37,1)</f>
        <v/>
      </c>
      <c r="NS37">
        <f>IF('計算A'!EF$106=1,IE37,1)</f>
        <v/>
      </c>
      <c r="NT37">
        <f>IF('計算A'!EG$106=1,IF37,1)</f>
        <v/>
      </c>
      <c r="NU37">
        <f>IF('計算A'!EH$106=1,IG37,1)</f>
        <v/>
      </c>
      <c r="NV37">
        <f>IF('計算A'!EI$106=1,IH37,1)</f>
        <v/>
      </c>
      <c r="NW37">
        <f>IF('計算A'!EJ$106=1,II37,1)</f>
        <v/>
      </c>
      <c r="NX37">
        <f>IF('計算A'!EK$106=1,IJ37,1)</f>
        <v/>
      </c>
      <c r="NY37">
        <f>IF('計算A'!EL$106=1,IK37,1)</f>
        <v/>
      </c>
      <c r="NZ37">
        <f>IF('計算A'!EM$106=1,IL37,1)</f>
        <v/>
      </c>
      <c r="OA37">
        <f>IF('計算A'!EN$106=1,IM37,1)</f>
        <v/>
      </c>
      <c r="OB37">
        <f>IF('計算A'!EO$106=1,IN37,1)</f>
        <v/>
      </c>
      <c r="OC37">
        <f>IF('計算A'!EP$106=1,IO37,1)</f>
        <v/>
      </c>
      <c r="OD37" t="n">
        <v>1</v>
      </c>
      <c r="OF37">
        <f>IF($B37=0,1000000,IF(INDEX('計算A'!$D$60:$EQ$104,$B37,1)*DB37=1,IF(AND($E37=2,IQ37=0),1000000,IF($I37&gt;0,IF(1=$J37,IF(OR(AND(1=$I37+1,OR($K37&lt;&gt;'計算A'!$A$3,'計算A'!$A$4=0)),AND(1=$I37-1,OR(1&lt;&gt;'計算A'!$A$3,'計算A'!$A$4=0))),0,IF(1=$K37,200000,ABS(1-$K37)*100)),100000+ABS(1-$J37)*1000+10)+'計算A'!D$5*50+IF(AND($E37=1,IQ37=0),25,0),INDEX('計算A'!D$110:D$114,$F37+1)+IF(AND($E37=1,IQ37=0),1000,0)+IF($H37=1,(IF('計算A'!D$117=1,INDEX('計算A'!E$10:E$54,$B37),0))*500,0)-IF(AND($L37=1,'計算A'!D$117=1,DC37=0),300,0))),1000000))</f>
        <v/>
      </c>
      <c r="OG37">
        <f>IF($B37=0,1000000,IF(INDEX('計算A'!$D$60:$EQ$104,$B37,2)*DC37=1,IF(AND($E37=2,IR37=0),1000000,IF($I37&gt;0,IF(1=$J37,IF(OR(AND(2=$I37+1,OR($K37&lt;&gt;'計算A'!$A$3,'計算A'!$A$4=0)),AND(2=$I37-1,OR(2&lt;&gt;'計算A'!$A$3,'計算A'!$A$4=0))),0,IF(2=$K37,200000,ABS(2-$K37)*100)),100000+ABS(1-$J37)*1000+20)+'計算A'!E$5*50+IF(AND($E37=1,IR37=0),25,0),INDEX('計算A'!E$110:E$114,$F37+1)+IF(AND($E37=1,IR37=0),1000,0)+IF($H37=1,(IF('計算A'!D$117=1,INDEX('計算A'!D$10:D$54,$B37),0)+IF('計算A'!E$117=1,INDEX('計算A'!F$10:F$54,$B37),0))*500,0)-IF(AND('計算A'!D$117=1,UB37&gt;0),300,0)-IF(AND($L37=1,'計算A'!E$117=1,DD37=0),300,0))),1000000))</f>
        <v/>
      </c>
      <c r="OH37">
        <f>IF($B37=0,1000000,IF(INDEX('計算A'!$D$60:$EQ$104,$B37,3)*DD37=1,IF(AND($E37=2,IS37=0),1000000,IF($I37&gt;0,IF(1=$J37,IF(OR(AND(3=$I37+1,OR($K37&lt;&gt;'計算A'!$A$3,'計算A'!$A$4=0)),AND(3=$I37-1,OR(3&lt;&gt;'計算A'!$A$3,'計算A'!$A$4=0))),0,IF(3=$K37,200000,ABS(3-$K37)*100)),100000+ABS(1-$J37)*1000+30)+'計算A'!F$5*50+IF(AND($E37=1,IS37=0),25,0),INDEX('計算A'!F$110:F$114,$F37+1)+IF(AND($E37=1,IS37=0),1000,0)+IF($H37=1,(IF('計算A'!E$117=1,INDEX('計算A'!E$10:E$54,$B37),0)+IF('計算A'!F$117=1,INDEX('計算A'!G$10:G$54,$B37),0))*500,0)-IF(AND('計算A'!E$117=1,UC37&gt;0),300,0)-IF(AND($L37=1,'計算A'!F$117=1,DE37=0),300,0))),1000000))</f>
        <v/>
      </c>
      <c r="OI37">
        <f>IF($B37=0,1000000,IF(INDEX('計算A'!$D$60:$EQ$104,$B37,4)*DE37=1,IF(AND($E37=2,IT37=0),1000000,IF($I37&gt;0,IF(1=$J37,IF(OR(AND(4=$I37+1,OR($K37&lt;&gt;'計算A'!$A$3,'計算A'!$A$4=0)),AND(4=$I37-1,OR(4&lt;&gt;'計算A'!$A$3,'計算A'!$A$4=0))),0,IF(4=$K37,200000,ABS(4-$K37)*100)),100000+ABS(1-$J37)*1000+40)+'計算A'!G$5*50+IF(AND($E37=1,IT37=0),25,0),INDEX('計算A'!G$110:G$114,$F37+1)+IF(AND($E37=1,IT37=0),1000,0)+IF($H37=1,(IF('計算A'!F$117=1,INDEX('計算A'!F$10:F$54,$B37),0)+IF('計算A'!G$117=1,INDEX('計算A'!H$10:H$54,$B37),0))*500,0)-IF(AND('計算A'!F$117=1,UD37&gt;0),300,0)-IF(AND($L37=1,'計算A'!G$117=1,DF37=0),300,0))),1000000))</f>
        <v/>
      </c>
      <c r="OJ37">
        <f>IF($B37=0,1000000,IF(INDEX('計算A'!$D$60:$EQ$104,$B37,5)*DF37=1,IF(AND($E37=2,IU37=0),1000000,IF($I37&gt;0,IF(1=$J37,IF(OR(AND(5=$I37+1,OR($K37&lt;&gt;'計算A'!$A$3,'計算A'!$A$4=0)),AND(5=$I37-1,OR(5&lt;&gt;'計算A'!$A$3,'計算A'!$A$4=0))),0,IF(5=$K37,200000,ABS(5-$K37)*100)),100000+ABS(1-$J37)*1000+50)+'計算A'!H$5*50+IF(AND($E37=1,IU37=0),25,0),INDEX('計算A'!H$110:H$114,$F37+1)+IF(AND($E37=1,IU37=0),1000,0)+IF($H37=1,(IF('計算A'!G$117=1,INDEX('計算A'!G$10:G$54,$B37),0)+IF('計算A'!H$117=1,INDEX('計算A'!I$10:I$54,$B37),0))*500,0)-IF(AND('計算A'!G$117=1,UE37&gt;0),300,0)-IF(AND($L37=1,'計算A'!H$117=1,DG37=0),300,0))),1000000))</f>
        <v/>
      </c>
      <c r="OK37">
        <f>IF($B37=0,1000000,IF(INDEX('計算A'!$D$60:$EQ$104,$B37,6)*DG37=1,IF(AND($E37=2,IV37=0),1000000,IF($I37&gt;0,IF(1=$J37,IF(OR(AND(6=$I37+1,OR($K37&lt;&gt;'計算A'!$A$3,'計算A'!$A$4=0)),AND(6=$I37-1,OR(6&lt;&gt;'計算A'!$A$3,'計算A'!$A$4=0))),0,IF(6=$K37,200000,ABS(6-$K37)*100)),100000+ABS(1-$J37)*1000+60)+'計算A'!I$5*50+IF(AND($E37=1,IV37=0),25,0),INDEX('計算A'!I$110:I$114,$F37+1)+IF(AND($E37=1,IV37=0),1000,0)+IF($H37=1,(IF('計算A'!H$117=1,INDEX('計算A'!H$10:H$54,$B37),0)+IF('計算A'!I$117=1,INDEX('計算A'!J$10:J$54,$B37),0))*500,0)-IF(AND('計算A'!H$117=1,UF37&gt;0),300,0)-IF(AND($L37=1,'計算A'!I$117=1,DH37=0),300,0))),1000000))</f>
        <v/>
      </c>
      <c r="OL37">
        <f>IF($B37=0,1000000,IF(INDEX('計算A'!$D$60:$EQ$104,$B37,7)*DH37=1,IF(AND($E37=2,IW37=0),1000000,IF($I37&gt;0,IF(1=$J37,IF(OR(AND(7=$I37+1,OR($K37&lt;&gt;'計算A'!$A$3,'計算A'!$A$4=0)),AND(7=$I37-1,OR(7&lt;&gt;'計算A'!$A$3,'計算A'!$A$4=0))),0,IF(7=$K37,200000,ABS(7-$K37)*100)),100000+ABS(1-$J37)*1000+70)+'計算A'!J$5*50+IF(AND($E37=1,IW37=0),25,0),INDEX('計算A'!J$110:J$114,$F37+1)+IF(AND($E37=1,IW37=0),1000,0)+IF($H37=1,(IF('計算A'!I$117=1,INDEX('計算A'!I$10:I$54,$B37),0)+IF('計算A'!J$117=1,INDEX('計算A'!K$10:K$54,$B37),0))*500,0)-IF(AND('計算A'!I$117=1,UG37&gt;0),300,0)-IF(AND($L37=1,'計算A'!J$117=1,DI37=0),300,0))),1000000))</f>
        <v/>
      </c>
      <c r="OM37">
        <f>IF($B37=0,1000000,IF(INDEX('計算A'!$D$60:$EQ$104,$B37,8)*DI37=1,IF(AND($E37=2,IX37=0),1000000,IF($I37&gt;0,IF(1=$J37,IF(OR(AND(8=$I37+1,OR($K37&lt;&gt;'計算A'!$A$3,'計算A'!$A$4=0)),AND(8=$I37-1,OR(8&lt;&gt;'計算A'!$A$3,'計算A'!$A$4=0))),0,IF(8=$K37,200000,ABS(8-$K37)*100)),100000+ABS(1-$J37)*1000+80)+'計算A'!K$5*50+IF(AND($E37=1,IX37=0),25,0),INDEX('計算A'!K$110:K$114,$F37+1)+IF(AND($E37=1,IX37=0),1000,0)+IF($H37=1,(IF('計算A'!J$117=1,INDEX('計算A'!J$10:J$54,$B37),0)+IF('計算A'!K$117=1,INDEX('計算A'!L$10:L$54,$B37),0))*500,0)-IF(AND('計算A'!J$117=1,UH37&gt;0),300,0)-IF(AND($L37=1,'計算A'!K$117=1,DJ37=0),300,0))),1000000))</f>
        <v/>
      </c>
      <c r="ON37">
        <f>IF($B37=0,1000000,IF(INDEX('計算A'!$D$60:$EQ$104,$B37,9)*DJ37=1,IF(AND($E37=2,IY37=0),1000000,IF($I37&gt;0,IF(1=$J37,IF(OR(AND(9=$I37+1,OR($K37&lt;&gt;'計算A'!$A$3,'計算A'!$A$4=0)),AND(9=$I37-1,OR(9&lt;&gt;'計算A'!$A$3,'計算A'!$A$4=0))),0,IF(9=$K37,200000,ABS(9-$K37)*100)),100000+ABS(1-$J37)*1000+90)+'計算A'!L$5*50+IF(AND($E37=1,IY37=0),25,0),INDEX('計算A'!L$110:L$114,$F37+1)+IF(AND($E37=1,IY37=0),1000,0)+IF($H37=1,(IF('計算A'!K$117=1,INDEX('計算A'!K$10:K$54,$B37),0)+IF('計算A'!L$117=1,INDEX('計算A'!M$10:M$54,$B37),0))*500,0)-IF(AND('計算A'!K$117=1,UI37&gt;0),300,0)-IF(AND($L37=1,'計算A'!L$117=1,DK37=0),300,0))),1000000))</f>
        <v/>
      </c>
      <c r="OO37">
        <f>IF($B37=0,1000000,IF(INDEX('計算A'!$D$60:$EQ$104,$B37,10)*DK37=1,IF(AND($E37=2,IZ37=0),1000000,IF($I37&gt;0,IF(1=$J37,IF(OR(AND(10=$I37+1,OR($K37&lt;&gt;'計算A'!$A$3,'計算A'!$A$4=0)),AND(10=$I37-1,OR(10&lt;&gt;'計算A'!$A$3,'計算A'!$A$4=0))),0,IF(10=$K37,200000,ABS(10-$K37)*100)),100000+ABS(1-$J37)*1000+100)+'計算A'!M$5*50+IF(AND($E37=1,IZ37=0),25,0),INDEX('計算A'!M$110:M$114,$F37+1)+IF(AND($E37=1,IZ37=0),1000,0)+IF($H37=1,(IF('計算A'!L$117=1,INDEX('計算A'!L$10:L$54,$B37),0)+IF('計算A'!M$117=1,INDEX('計算A'!N$10:N$54,$B37),0))*500,0)-IF(AND('計算A'!L$117=1,UJ37&gt;0),300,0)-IF(AND($L37=1,'計算A'!M$117=1,DL37=0),300,0))),1000000))</f>
        <v/>
      </c>
      <c r="OP37">
        <f>IF($B37=0,1000000,IF(INDEX('計算A'!$D$60:$EQ$104,$B37,11)*DL37=1,IF(AND($E37=2,JA37=0),1000000,IF($I37&gt;0,IF(1=$J37,IF(OR(AND(11=$I37+1,OR($K37&lt;&gt;'計算A'!$A$3,'計算A'!$A$4=0)),AND(11=$I37-1,OR(11&lt;&gt;'計算A'!$A$3,'計算A'!$A$4=0))),0,IF(11=$K37,200000,ABS(11-$K37)*100)),100000+ABS(1-$J37)*1000+110)+'計算A'!N$5*50+IF(AND($E37=1,JA37=0),25,0),INDEX('計算A'!N$110:N$114,$F37+1)+IF(AND($E37=1,JA37=0),1000,0)+IF($H37=1,(IF('計算A'!M$117=1,INDEX('計算A'!M$10:M$54,$B37),0)+IF('計算A'!N$117=1,INDEX('計算A'!O$10:O$54,$B37),0))*500,0)-IF(AND('計算A'!M$117=1,UK37&gt;0),300,0)-IF(AND($L37=1,'計算A'!N$117=1,DM37=0),300,0))),1000000))</f>
        <v/>
      </c>
      <c r="OQ37">
        <f>IF($B37=0,1000000,IF(INDEX('計算A'!$D$60:$EQ$104,$B37,12)*DM37=1,IF(AND($E37=2,JB37=0),1000000,IF($I37&gt;0,IF(1=$J37,IF(OR(AND(12=$I37+1,OR($K37&lt;&gt;'計算A'!$A$3,'計算A'!$A$4=0)),AND(12=$I37-1,OR(12&lt;&gt;'計算A'!$A$3,'計算A'!$A$4=0))),0,IF(12=$K37,200000,ABS(12-$K37)*100)),100000+ABS(1-$J37)*1000+120)+'計算A'!O$5*50+IF(AND($E37=1,JB37=0),25,0),INDEX('計算A'!O$110:O$114,$F37+1)+IF(AND($E37=1,JB37=0),1000,0)+IF($H37=1,(IF('計算A'!N$117=1,INDEX('計算A'!N$10:N$54,$B37),0)+IF('計算A'!O$117=1,INDEX('計算A'!P$10:P$54,$B37),0))*500,0)-IF(AND('計算A'!N$117=1,UL37&gt;0),300,0)-IF(AND($L37=1,'計算A'!O$117=1,DN37=0),300,0))),1000000))</f>
        <v/>
      </c>
      <c r="OR37">
        <f>IF($B37=0,1000000,IF(INDEX('計算A'!$D$60:$EQ$104,$B37,13)*DN37=1,IF(AND($E37=2,JC37=0),1000000,IF($I37&gt;0,IF(1=$J37,IF(OR(AND(13=$I37+1,OR($K37&lt;&gt;'計算A'!$A$3,'計算A'!$A$4=0)),AND(13=$I37-1,OR(13&lt;&gt;'計算A'!$A$3,'計算A'!$A$4=0))),0,IF(13=$K37,200000,ABS(13-$K37)*100)),100000+ABS(1-$J37)*1000+130)+'計算A'!P$5*50+IF(AND($E37=1,JC37=0),25,0),INDEX('計算A'!P$110:P$114,$F37+1)+IF(AND($E37=1,JC37=0),1000,0)+IF($H37=1,(IF('計算A'!O$117=1,INDEX('計算A'!O$10:O$54,$B37),0)+IF('計算A'!P$117=1,INDEX('計算A'!Q$10:Q$54,$B37),0))*500,0)-IF(AND('計算A'!O$117=1,UM37&gt;0),300,0)-IF(AND($L37=1,'計算A'!P$117=1,DO37=0),300,0))),1000000))</f>
        <v/>
      </c>
      <c r="OS37">
        <f>IF($B37=0,1000000,IF(INDEX('計算A'!$D$60:$EQ$104,$B37,14)*DO37=1,IF(AND($E37=2,JD37=0),1000000,IF($I37&gt;0,IF(1=$J37,IF(OR(AND(14=$I37+1,OR($K37&lt;&gt;'計算A'!$A$3,'計算A'!$A$4=0)),AND(14=$I37-1,OR(14&lt;&gt;'計算A'!$A$3,'計算A'!$A$4=0))),0,IF(14=$K37,200000,ABS(14-$K37)*100)),100000+ABS(1-$J37)*1000+140)+'計算A'!Q$5*50+IF(AND($E37=1,JD37=0),25,0),INDEX('計算A'!Q$110:Q$114,$F37+1)+IF(AND($E37=1,JD37=0),1000,0)+IF($H37=1,(IF('計算A'!P$117=1,INDEX('計算A'!P$10:P$54,$B37),0)+IF('計算A'!Q$117=1,INDEX('計算A'!R$10:R$54,$B37),0))*500,0)-IF(AND('計算A'!P$117=1,UN37&gt;0),300,0)-IF(AND($L37=1,'計算A'!Q$117=1,DP37=0),300,0))),1000000))</f>
        <v/>
      </c>
      <c r="OT37">
        <f>IF($B37=0,1000000,IF(INDEX('計算A'!$D$60:$EQ$104,$B37,15)*DP37=1,IF(AND($E37=2,JE37=0),1000000,IF($I37&gt;0,IF(1=$J37,IF(OR(AND(15=$I37+1,OR($K37&lt;&gt;'計算A'!$A$3,'計算A'!$A$4=0)),AND(15=$I37-1,OR(15&lt;&gt;'計算A'!$A$3,'計算A'!$A$4=0))),0,IF(15=$K37,200000,ABS(15-$K37)*100)),100000+ABS(1-$J37)*1000+150)+'計算A'!R$5*50+IF(AND($E37=1,JE37=0),25,0),INDEX('計算A'!R$110:R$114,$F37+1)+IF(AND($E37=1,JE37=0),1000,0)+IF($H37=1,(IF('計算A'!Q$117=1,INDEX('計算A'!Q$10:Q$54,$B37),0)+IF('計算A'!R$117=1,INDEX('計算A'!S$10:S$54,$B37),0))*500,0)-IF(AND('計算A'!Q$117=1,UO37&gt;0),300,0)-IF(AND($L37=1,'計算A'!R$117=1,DQ37=0),300,0))),1000000))</f>
        <v/>
      </c>
      <c r="OU37">
        <f>IF($B37=0,1000000,IF(INDEX('計算A'!$D$60:$EQ$104,$B37,16)*DQ37=1,IF(AND($E37=2,JF37=0),1000000,IF($I37&gt;0,IF(1=$J37,IF(OR(AND(16=$I37+1,OR($K37&lt;&gt;'計算A'!$A$3,'計算A'!$A$4=0)),AND(16=$I37-1,OR(16&lt;&gt;'計算A'!$A$3,'計算A'!$A$4=0))),0,IF(16=$K37,200000,ABS(16-$K37)*100)),100000+ABS(1-$J37)*1000+160)+'計算A'!S$5*50+IF(AND($E37=1,JF37=0),25,0),INDEX('計算A'!S$110:S$114,$F37+1)+IF(AND($E37=1,JF37=0),1000,0)+IF($H37=1,(IF('計算A'!R$117=1,INDEX('計算A'!R$10:R$54,$B37),0)+IF('計算A'!S$117=1,INDEX('計算A'!T$10:T$54,$B37),0))*500,0)-IF(AND('計算A'!R$117=1,UP37&gt;0),300,0)-IF(AND($L37=1,'計算A'!S$117=1,DR37=0),300,0))),1000000))</f>
        <v/>
      </c>
      <c r="OV37">
        <f>IF($B37=0,1000000,IF(INDEX('計算A'!$D$60:$EQ$104,$B37,17)*DR37=1,IF(AND($E37=2,JG37=0),1000000,IF($I37&gt;0,IF(1=$J37,IF(OR(AND(17=$I37+1,OR($K37&lt;&gt;'計算A'!$A$3,'計算A'!$A$4=0)),AND(17=$I37-1,OR(17&lt;&gt;'計算A'!$A$3,'計算A'!$A$4=0))),0,IF(17=$K37,200000,ABS(17-$K37)*100)),100000+ABS(1-$J37)*1000+170)+'計算A'!T$5*50+IF(AND($E37=1,JG37=0),25,0),INDEX('計算A'!T$110:T$114,$F37+1)+IF(AND($E37=1,JG37=0),1000,0)+IF($H37=1,(IF('計算A'!S$117=1,INDEX('計算A'!S$10:S$54,$B37),0)+IF('計算A'!T$117=1,INDEX('計算A'!U$10:U$54,$B37),0))*500,0)-IF(AND('計算A'!S$117=1,UQ37&gt;0),300,0)-IF(AND($L37=1,'計算A'!T$117=1,DS37=0),300,0))),1000000))</f>
        <v/>
      </c>
      <c r="OW37">
        <f>IF($B37=0,1000000,IF(INDEX('計算A'!$D$60:$EQ$104,$B37,18)*DS37=1,IF(AND($E37=2,JH37=0),1000000,IF($I37&gt;0,IF(1=$J37,IF(OR(AND(18=$I37+1,OR($K37&lt;&gt;'計算A'!$A$3,'計算A'!$A$4=0)),AND(18=$I37-1,OR(18&lt;&gt;'計算A'!$A$3,'計算A'!$A$4=0))),0,IF(18=$K37,200000,ABS(18-$K37)*100)),100000+ABS(1-$J37)*1000+180)+'計算A'!U$5*50+IF(AND($E37=1,JH37=0),25,0),INDEX('計算A'!U$110:U$114,$F37+1)+IF(AND($E37=1,JH37=0),1000,0)+IF($H37=1,(IF('計算A'!T$117=1,INDEX('計算A'!T$10:T$54,$B37),0)+IF('計算A'!U$117=1,INDEX('計算A'!V$10:V$54,$B37),0))*500,0)-IF(AND('計算A'!T$117=1,UR37&gt;0),300,0)-IF(AND($L37=1,'計算A'!U$117=1,DT37=0),300,0))),1000000))</f>
        <v/>
      </c>
      <c r="OX37">
        <f>IF($B37=0,1000000,IF(INDEX('計算A'!$D$60:$EQ$104,$B37,19)*DT37=1,IF(AND($E37=2,JI37=0),1000000,IF($I37&gt;0,IF(1=$J37,IF(OR(AND(19=$I37+1,OR($K37&lt;&gt;'計算A'!$A$3,'計算A'!$A$4=0)),AND(19=$I37-1,OR(19&lt;&gt;'計算A'!$A$3,'計算A'!$A$4=0))),0,IF(19=$K37,200000,ABS(19-$K37)*100)),100000+ABS(1-$J37)*1000+190)+'計算A'!V$5*50+IF(AND($E37=1,JI37=0),25,0),INDEX('計算A'!V$110:V$114,$F37+1)+IF(AND($E37=1,JI37=0),1000,0)+IF($H37=1,(IF('計算A'!U$117=1,INDEX('計算A'!U$10:U$54,$B37),0)+IF('計算A'!V$117=1,INDEX('計算A'!W$10:W$54,$B37),0))*500,0)-IF(AND('計算A'!U$117=1,US37&gt;0),300,0)-IF(AND($L37=1,'計算A'!V$117=1,DU37=0),300,0))),1000000))</f>
        <v/>
      </c>
      <c r="OY37">
        <f>IF($B37=0,1000000,IF(INDEX('計算A'!$D$60:$EQ$104,$B37,20)*DU37=1,IF(AND($E37=2,JJ37=0),1000000,IF($I37&gt;0,IF(1=$J37,IF(OR(AND(20=$I37+1,OR($K37&lt;&gt;'計算A'!$A$3,'計算A'!$A$4=0)),AND(20=$I37-1,OR(20&lt;&gt;'計算A'!$A$3,'計算A'!$A$4=0))),0,IF(20=$K37,200000,ABS(20-$K37)*100)),100000+ABS(1-$J37)*1000+200)+'計算A'!W$5*50+IF(AND($E37=1,JJ37=0),25,0),INDEX('計算A'!W$110:W$114,$F37+1)+IF(AND($E37=1,JJ37=0),1000,0)+IF($H37=1,(IF('計算A'!V$117=1,INDEX('計算A'!V$10:V$54,$B37),0)+IF('計算A'!W$117=1,INDEX('計算A'!X$10:X$54,$B37),0))*500,0)-IF(AND('計算A'!V$117=1,UT37&gt;0),300,0)-IF(AND($L37=1,'計算A'!W$117=1,DV37=0),300,0))),1000000))</f>
        <v/>
      </c>
      <c r="OZ37">
        <f>IF($B37=0,1000000,IF(INDEX('計算A'!$D$60:$EQ$104,$B37,21)*DV37=1,IF(AND($E37=2,JK37=0),1000000,IF($I37&gt;0,IF(1=$J37,IF(OR(AND(21=$I37+1,OR($K37&lt;&gt;'計算A'!$A$3,'計算A'!$A$4=0)),AND(21=$I37-1,OR(21&lt;&gt;'計算A'!$A$3,'計算A'!$A$4=0))),0,IF(21=$K37,200000,ABS(21-$K37)*100)),100000+ABS(1-$J37)*1000+210)+'計算A'!X$5*50+IF(AND($E37=1,JK37=0),25,0),INDEX('計算A'!X$110:X$114,$F37+1)+IF(AND($E37=1,JK37=0),1000,0)+IF($H37=1,(IF('計算A'!W$117=1,INDEX('計算A'!W$10:W$54,$B37),0)+IF('計算A'!X$117=1,INDEX('計算A'!Y$10:Y$54,$B37),0))*500,0)-IF(AND('計算A'!W$117=1,UU37&gt;0),300,0)-IF(AND($L37=1,'計算A'!X$117=1,DW37=0),300,0))),1000000))</f>
        <v/>
      </c>
      <c r="PA37">
        <f>IF($B37=0,1000000,IF(INDEX('計算A'!$D$60:$EQ$104,$B37,22)*DW37=1,IF(AND($E37=2,JL37=0),1000000,IF($I37&gt;0,IF(1=$J37,IF(OR(AND(22=$I37+1,OR($K37&lt;&gt;'計算A'!$A$3,'計算A'!$A$4=0)),AND(22=$I37-1,OR(22&lt;&gt;'計算A'!$A$3,'計算A'!$A$4=0))),0,IF(22=$K37,200000,ABS(22-$K37)*100)),100000+ABS(1-$J37)*1000+220)+'計算A'!Y$5*50+IF(AND($E37=1,JL37=0),25,0),INDEX('計算A'!Y$110:Y$114,$F37+1)+IF(AND($E37=1,JL37=0),1000,0)+IF($H37=1,(IF('計算A'!X$117=1,INDEX('計算A'!X$10:X$54,$B37),0)+IF('計算A'!Y$117=1,INDEX('計算A'!Z$10:Z$54,$B37),0))*500,0)-IF(AND('計算A'!X$117=1,UV37&gt;0),300,0)-IF(AND($L37=1,'計算A'!Y$117=1,DX37=0),300,0))),1000000))</f>
        <v/>
      </c>
      <c r="PB37">
        <f>IF($B37=0,1000000,IF(INDEX('計算A'!$D$60:$EQ$104,$B37,23)*DX37=1,IF(AND($E37=2,JM37=0),1000000,IF($I37&gt;0,IF(1=$J37,IF(OR(AND(23=$I37+1,OR($K37&lt;&gt;'計算A'!$A$3,'計算A'!$A$4=0)),AND(23=$I37-1,OR(23&lt;&gt;'計算A'!$A$3,'計算A'!$A$4=0))),0,IF(23=$K37,200000,ABS(23-$K37)*100)),100000+ABS(1-$J37)*1000+230)+'計算A'!Z$5*50+IF(AND($E37=1,JM37=0),25,0),INDEX('計算A'!Z$110:Z$114,$F37+1)+IF(AND($E37=1,JM37=0),1000,0)+IF($H37=1,(IF('計算A'!Y$117=1,INDEX('計算A'!Y$10:Y$54,$B37),0)+IF('計算A'!Z$117=1,INDEX('計算A'!AA$10:AA$54,$B37),0))*500,0)-IF(AND('計算A'!Y$117=1,UW37&gt;0),300,0)-IF(AND($L37=1,'計算A'!Z$117=1,DY37=0),300,0))),1000000))</f>
        <v/>
      </c>
      <c r="PC37">
        <f>IF($B37=0,1000000,IF(INDEX('計算A'!$D$60:$EQ$104,$B37,24)*DY37=1,IF(AND($E37=2,JN37=0),1000000,IF($I37&gt;0,IF(1=$J37,IF(OR(AND(24=$I37+1,OR($K37&lt;&gt;'計算A'!$A$3,'計算A'!$A$4=0)),AND(24=$I37-1,OR(24&lt;&gt;'計算A'!$A$3,'計算A'!$A$4=0))),0,IF(24=$K37,200000,ABS(24-$K37)*100)),100000+ABS(1-$J37)*1000+240)+'計算A'!AA$5*50+IF(AND($E37=1,JN37=0),25,0),INDEX('計算A'!AA$110:AA$114,$F37+1)+IF(AND($E37=1,JN37=0),1000,0)+IF($H37=1,(IF('計算A'!Z$117=1,INDEX('計算A'!Z$10:Z$54,$B37),0))*500,0)-IF(AND('計算A'!Z$117=1,UX37&gt;0),300,0))),1000000))</f>
        <v/>
      </c>
      <c r="PD37">
        <f>IF($B37=0,1000000,IF(INDEX('計算A'!$D$60:$EQ$104,$B37,25)*DZ37=1,IF(AND($E37=2,JO37=0),1000000,IF($I37&gt;0,IF(2=$J37,IF(OR(AND(25=$I37+1,OR($K37&lt;&gt;'計算A'!$A$3,'計算A'!$A$4=0)),AND(25=$I37-1,OR(1&lt;&gt;'計算A'!$A$3,'計算A'!$A$4=0))),0,IF(1=$K37,200000,ABS(1-$K37)*100)),100000+ABS(2-$J37)*1000+10)+'計算A'!AB$5*50+IF(AND($E37=1,JO37=0),25,0),INDEX('計算A'!AB$110:AB$114,$F37+1)+IF(AND($E37=1,JO37=0),1000,0)+IF($H37=1,(IF('計算A'!AB$117=1,INDEX('計算A'!AC$10:AC$54,$B37),0))*500,0)-IF(AND($L37=1,'計算A'!AB$117=1,EA37=0),300,0))),1000000))</f>
        <v/>
      </c>
      <c r="PE37">
        <f>IF($B37=0,1000000,IF(INDEX('計算A'!$D$60:$EQ$104,$B37,26)*EA37=1,IF(AND($E37=2,JP37=0),1000000,IF($I37&gt;0,IF(2=$J37,IF(OR(AND(26=$I37+1,OR($K37&lt;&gt;'計算A'!$A$3,'計算A'!$A$4=0)),AND(26=$I37-1,OR(2&lt;&gt;'計算A'!$A$3,'計算A'!$A$4=0))),0,IF(2=$K37,200000,ABS(2-$K37)*100)),100000+ABS(2-$J37)*1000+20)+'計算A'!AC$5*50+IF(AND($E37=1,JP37=0),25,0),INDEX('計算A'!AC$110:AC$114,$F37+1)+IF(AND($E37=1,JP37=0),1000,0)+IF($H37=1,(IF('計算A'!AB$117=1,INDEX('計算A'!AB$10:AB$54,$B37),0)+IF('計算A'!AC$117=1,INDEX('計算A'!AD$10:AD$54,$B37),0))*500,0)-IF(AND('計算A'!AB$117=1,UZ37&gt;0),300,0)-IF(AND($L37=1,'計算A'!AC$117=1,EB37=0),300,0))),1000000))</f>
        <v/>
      </c>
      <c r="PF37">
        <f>IF($B37=0,1000000,IF(INDEX('計算A'!$D$60:$EQ$104,$B37,27)*EB37=1,IF(AND($E37=2,JQ37=0),1000000,IF($I37&gt;0,IF(2=$J37,IF(OR(AND(27=$I37+1,OR($K37&lt;&gt;'計算A'!$A$3,'計算A'!$A$4=0)),AND(27=$I37-1,OR(3&lt;&gt;'計算A'!$A$3,'計算A'!$A$4=0))),0,IF(3=$K37,200000,ABS(3-$K37)*100)),100000+ABS(2-$J37)*1000+30)+'計算A'!AD$5*50+IF(AND($E37=1,JQ37=0),25,0),INDEX('計算A'!AD$110:AD$114,$F37+1)+IF(AND($E37=1,JQ37=0),1000,0)+IF($H37=1,(IF('計算A'!AC$117=1,INDEX('計算A'!AC$10:AC$54,$B37),0)+IF('計算A'!AD$117=1,INDEX('計算A'!AE$10:AE$54,$B37),0))*500,0)-IF(AND('計算A'!AC$117=1,VA37&gt;0),300,0)-IF(AND($L37=1,'計算A'!AD$117=1,EC37=0),300,0))),1000000))</f>
        <v/>
      </c>
      <c r="PG37">
        <f>IF($B37=0,1000000,IF(INDEX('計算A'!$D$60:$EQ$104,$B37,28)*EC37=1,IF(AND($E37=2,JR37=0),1000000,IF($I37&gt;0,IF(2=$J37,IF(OR(AND(28=$I37+1,OR($K37&lt;&gt;'計算A'!$A$3,'計算A'!$A$4=0)),AND(28=$I37-1,OR(4&lt;&gt;'計算A'!$A$3,'計算A'!$A$4=0))),0,IF(4=$K37,200000,ABS(4-$K37)*100)),100000+ABS(2-$J37)*1000+40)+'計算A'!AE$5*50+IF(AND($E37=1,JR37=0),25,0),INDEX('計算A'!AE$110:AE$114,$F37+1)+IF(AND($E37=1,JR37=0),1000,0)+IF($H37=1,(IF('計算A'!AD$117=1,INDEX('計算A'!AD$10:AD$54,$B37),0)+IF('計算A'!AE$117=1,INDEX('計算A'!AF$10:AF$54,$B37),0))*500,0)-IF(AND('計算A'!AD$117=1,VB37&gt;0),300,0)-IF(AND($L37=1,'計算A'!AE$117=1,ED37=0),300,0))),1000000))</f>
        <v/>
      </c>
      <c r="PH37">
        <f>IF($B37=0,1000000,IF(INDEX('計算A'!$D$60:$EQ$104,$B37,29)*ED37=1,IF(AND($E37=2,JS37=0),1000000,IF($I37&gt;0,IF(2=$J37,IF(OR(AND(29=$I37+1,OR($K37&lt;&gt;'計算A'!$A$3,'計算A'!$A$4=0)),AND(29=$I37-1,OR(5&lt;&gt;'計算A'!$A$3,'計算A'!$A$4=0))),0,IF(5=$K37,200000,ABS(5-$K37)*100)),100000+ABS(2-$J37)*1000+50)+'計算A'!AF$5*50+IF(AND($E37=1,JS37=0),25,0),INDEX('計算A'!AF$110:AF$114,$F37+1)+IF(AND($E37=1,JS37=0),1000,0)+IF($H37=1,(IF('計算A'!AE$117=1,INDEX('計算A'!AE$10:AE$54,$B37),0)+IF('計算A'!AF$117=1,INDEX('計算A'!AG$10:AG$54,$B37),0))*500,0)-IF(AND('計算A'!AE$117=1,VC37&gt;0),300,0)-IF(AND($L37=1,'計算A'!AF$117=1,EE37=0),300,0))),1000000))</f>
        <v/>
      </c>
      <c r="PI37">
        <f>IF($B37=0,1000000,IF(INDEX('計算A'!$D$60:$EQ$104,$B37,30)*EE37=1,IF(AND($E37=2,JT37=0),1000000,IF($I37&gt;0,IF(2=$J37,IF(OR(AND(30=$I37+1,OR($K37&lt;&gt;'計算A'!$A$3,'計算A'!$A$4=0)),AND(30=$I37-1,OR(6&lt;&gt;'計算A'!$A$3,'計算A'!$A$4=0))),0,IF(6=$K37,200000,ABS(6-$K37)*100)),100000+ABS(2-$J37)*1000+60)+'計算A'!AG$5*50+IF(AND($E37=1,JT37=0),25,0),INDEX('計算A'!AG$110:AG$114,$F37+1)+IF(AND($E37=1,JT37=0),1000,0)+IF($H37=1,(IF('計算A'!AF$117=1,INDEX('計算A'!AF$10:AF$54,$B37),0)+IF('計算A'!AG$117=1,INDEX('計算A'!AH$10:AH$54,$B37),0))*500,0)-IF(AND('計算A'!AF$117=1,VD37&gt;0),300,0)-IF(AND($L37=1,'計算A'!AG$117=1,EF37=0),300,0))),1000000))</f>
        <v/>
      </c>
      <c r="PJ37">
        <f>IF($B37=0,1000000,IF(INDEX('計算A'!$D$60:$EQ$104,$B37,31)*EF37=1,IF(AND($E37=2,JU37=0),1000000,IF($I37&gt;0,IF(2=$J37,IF(OR(AND(31=$I37+1,OR($K37&lt;&gt;'計算A'!$A$3,'計算A'!$A$4=0)),AND(31=$I37-1,OR(7&lt;&gt;'計算A'!$A$3,'計算A'!$A$4=0))),0,IF(7=$K37,200000,ABS(7-$K37)*100)),100000+ABS(2-$J37)*1000+70)+'計算A'!AH$5*50+IF(AND($E37=1,JU37=0),25,0),INDEX('計算A'!AH$110:AH$114,$F37+1)+IF(AND($E37=1,JU37=0),1000,0)+IF($H37=1,(IF('計算A'!AG$117=1,INDEX('計算A'!AG$10:AG$54,$B37),0)+IF('計算A'!AH$117=1,INDEX('計算A'!AI$10:AI$54,$B37),0))*500,0)-IF(AND('計算A'!AG$117=1,VE37&gt;0),300,0)-IF(AND($L37=1,'計算A'!AH$117=1,EG37=0),300,0))),1000000))</f>
        <v/>
      </c>
      <c r="PK37">
        <f>IF($B37=0,1000000,IF(INDEX('計算A'!$D$60:$EQ$104,$B37,32)*EG37=1,IF(AND($E37=2,JV37=0),1000000,IF($I37&gt;0,IF(2=$J37,IF(OR(AND(32=$I37+1,OR($K37&lt;&gt;'計算A'!$A$3,'計算A'!$A$4=0)),AND(32=$I37-1,OR(8&lt;&gt;'計算A'!$A$3,'計算A'!$A$4=0))),0,IF(8=$K37,200000,ABS(8-$K37)*100)),100000+ABS(2-$J37)*1000+80)+'計算A'!AI$5*50+IF(AND($E37=1,JV37=0),25,0),INDEX('計算A'!AI$110:AI$114,$F37+1)+IF(AND($E37=1,JV37=0),1000,0)+IF($H37=1,(IF('計算A'!AH$117=1,INDEX('計算A'!AH$10:AH$54,$B37),0)+IF('計算A'!AI$117=1,INDEX('計算A'!AJ$10:AJ$54,$B37),0))*500,0)-IF(AND('計算A'!AH$117=1,VF37&gt;0),300,0)-IF(AND($L37=1,'計算A'!AI$117=1,EH37=0),300,0))),1000000))</f>
        <v/>
      </c>
      <c r="PL37">
        <f>IF($B37=0,1000000,IF(INDEX('計算A'!$D$60:$EQ$104,$B37,33)*EH37=1,IF(AND($E37=2,JW37=0),1000000,IF($I37&gt;0,IF(2=$J37,IF(OR(AND(33=$I37+1,OR($K37&lt;&gt;'計算A'!$A$3,'計算A'!$A$4=0)),AND(33=$I37-1,OR(9&lt;&gt;'計算A'!$A$3,'計算A'!$A$4=0))),0,IF(9=$K37,200000,ABS(9-$K37)*100)),100000+ABS(2-$J37)*1000+90)+'計算A'!AJ$5*50+IF(AND($E37=1,JW37=0),25,0),INDEX('計算A'!AJ$110:AJ$114,$F37+1)+IF(AND($E37=1,JW37=0),1000,0)+IF($H37=1,(IF('計算A'!AI$117=1,INDEX('計算A'!AI$10:AI$54,$B37),0)+IF('計算A'!AJ$117=1,INDEX('計算A'!AK$10:AK$54,$B37),0))*500,0)-IF(AND('計算A'!AI$117=1,VG37&gt;0),300,0)-IF(AND($L37=1,'計算A'!AJ$117=1,EI37=0),300,0))),1000000))</f>
        <v/>
      </c>
      <c r="PM37">
        <f>IF($B37=0,1000000,IF(INDEX('計算A'!$D$60:$EQ$104,$B37,34)*EI37=1,IF(AND($E37=2,JX37=0),1000000,IF($I37&gt;0,IF(2=$J37,IF(OR(AND(34=$I37+1,OR($K37&lt;&gt;'計算A'!$A$3,'計算A'!$A$4=0)),AND(34=$I37-1,OR(10&lt;&gt;'計算A'!$A$3,'計算A'!$A$4=0))),0,IF(10=$K37,200000,ABS(10-$K37)*100)),100000+ABS(2-$J37)*1000+100)+'計算A'!AK$5*50+IF(AND($E37=1,JX37=0),25,0),INDEX('計算A'!AK$110:AK$114,$F37+1)+IF(AND($E37=1,JX37=0),1000,0)+IF($H37=1,(IF('計算A'!AJ$117=1,INDEX('計算A'!AJ$10:AJ$54,$B37),0)+IF('計算A'!AK$117=1,INDEX('計算A'!AL$10:AL$54,$B37),0))*500,0)-IF(AND('計算A'!AJ$117=1,VH37&gt;0),300,0)-IF(AND($L37=1,'計算A'!AK$117=1,EJ37=0),300,0))),1000000))</f>
        <v/>
      </c>
      <c r="PN37">
        <f>IF($B37=0,1000000,IF(INDEX('計算A'!$D$60:$EQ$104,$B37,35)*EJ37=1,IF(AND($E37=2,JY37=0),1000000,IF($I37&gt;0,IF(2=$J37,IF(OR(AND(35=$I37+1,OR($K37&lt;&gt;'計算A'!$A$3,'計算A'!$A$4=0)),AND(35=$I37-1,OR(11&lt;&gt;'計算A'!$A$3,'計算A'!$A$4=0))),0,IF(11=$K37,200000,ABS(11-$K37)*100)),100000+ABS(2-$J37)*1000+110)+'計算A'!AL$5*50+IF(AND($E37=1,JY37=0),25,0),INDEX('計算A'!AL$110:AL$114,$F37+1)+IF(AND($E37=1,JY37=0),1000,0)+IF($H37=1,(IF('計算A'!AK$117=1,INDEX('計算A'!AK$10:AK$54,$B37),0)+IF('計算A'!AL$117=1,INDEX('計算A'!AM$10:AM$54,$B37),0))*500,0)-IF(AND('計算A'!AK$117=1,VI37&gt;0),300,0)-IF(AND($L37=1,'計算A'!AL$117=1,EK37=0),300,0))),1000000))</f>
        <v/>
      </c>
      <c r="PO37">
        <f>IF($B37=0,1000000,IF(INDEX('計算A'!$D$60:$EQ$104,$B37,36)*EK37=1,IF(AND($E37=2,JZ37=0),1000000,IF($I37&gt;0,IF(2=$J37,IF(OR(AND(36=$I37+1,OR($K37&lt;&gt;'計算A'!$A$3,'計算A'!$A$4=0)),AND(36=$I37-1,OR(12&lt;&gt;'計算A'!$A$3,'計算A'!$A$4=0))),0,IF(12=$K37,200000,ABS(12-$K37)*100)),100000+ABS(2-$J37)*1000+120)+'計算A'!AM$5*50+IF(AND($E37=1,JZ37=0),25,0),INDEX('計算A'!AM$110:AM$114,$F37+1)+IF(AND($E37=1,JZ37=0),1000,0)+IF($H37=1,(IF('計算A'!AL$117=1,INDEX('計算A'!AL$10:AL$54,$B37),0)+IF('計算A'!AM$117=1,INDEX('計算A'!AN$10:AN$54,$B37),0))*500,0)-IF(AND('計算A'!AL$117=1,VJ37&gt;0),300,0)-IF(AND($L37=1,'計算A'!AM$117=1,EL37=0),300,0))),1000000))</f>
        <v/>
      </c>
      <c r="PP37">
        <f>IF($B37=0,1000000,IF(INDEX('計算A'!$D$60:$EQ$104,$B37,37)*EL37=1,IF(AND($E37=2,KA37=0),1000000,IF($I37&gt;0,IF(2=$J37,IF(OR(AND(37=$I37+1,OR($K37&lt;&gt;'計算A'!$A$3,'計算A'!$A$4=0)),AND(37=$I37-1,OR(13&lt;&gt;'計算A'!$A$3,'計算A'!$A$4=0))),0,IF(13=$K37,200000,ABS(13-$K37)*100)),100000+ABS(2-$J37)*1000+130)+'計算A'!AN$5*50+IF(AND($E37=1,KA37=0),25,0),INDEX('計算A'!AN$110:AN$114,$F37+1)+IF(AND($E37=1,KA37=0),1000,0)+IF($H37=1,(IF('計算A'!AM$117=1,INDEX('計算A'!AM$10:AM$54,$B37),0)+IF('計算A'!AN$117=1,INDEX('計算A'!AO$10:AO$54,$B37),0))*500,0)-IF(AND('計算A'!AM$117=1,VK37&gt;0),300,0)-IF(AND($L37=1,'計算A'!AN$117=1,EM37=0),300,0))),1000000))</f>
        <v/>
      </c>
      <c r="PQ37">
        <f>IF($B37=0,1000000,IF(INDEX('計算A'!$D$60:$EQ$104,$B37,38)*EM37=1,IF(AND($E37=2,KB37=0),1000000,IF($I37&gt;0,IF(2=$J37,IF(OR(AND(38=$I37+1,OR($K37&lt;&gt;'計算A'!$A$3,'計算A'!$A$4=0)),AND(38=$I37-1,OR(14&lt;&gt;'計算A'!$A$3,'計算A'!$A$4=0))),0,IF(14=$K37,200000,ABS(14-$K37)*100)),100000+ABS(2-$J37)*1000+140)+'計算A'!AO$5*50+IF(AND($E37=1,KB37=0),25,0),INDEX('計算A'!AO$110:AO$114,$F37+1)+IF(AND($E37=1,KB37=0),1000,0)+IF($H37=1,(IF('計算A'!AN$117=1,INDEX('計算A'!AN$10:AN$54,$B37),0)+IF('計算A'!AO$117=1,INDEX('計算A'!AP$10:AP$54,$B37),0))*500,0)-IF(AND('計算A'!AN$117=1,VL37&gt;0),300,0)-IF(AND($L37=1,'計算A'!AO$117=1,EN37=0),300,0))),1000000))</f>
        <v/>
      </c>
      <c r="PR37">
        <f>IF($B37=0,1000000,IF(INDEX('計算A'!$D$60:$EQ$104,$B37,39)*EN37=1,IF(AND($E37=2,KC37=0),1000000,IF($I37&gt;0,IF(2=$J37,IF(OR(AND(39=$I37+1,OR($K37&lt;&gt;'計算A'!$A$3,'計算A'!$A$4=0)),AND(39=$I37-1,OR(15&lt;&gt;'計算A'!$A$3,'計算A'!$A$4=0))),0,IF(15=$K37,200000,ABS(15-$K37)*100)),100000+ABS(2-$J37)*1000+150)+'計算A'!AP$5*50+IF(AND($E37=1,KC37=0),25,0),INDEX('計算A'!AP$110:AP$114,$F37+1)+IF(AND($E37=1,KC37=0),1000,0)+IF($H37=1,(IF('計算A'!AO$117=1,INDEX('計算A'!AO$10:AO$54,$B37),0)+IF('計算A'!AP$117=1,INDEX('計算A'!AQ$10:AQ$54,$B37),0))*500,0)-IF(AND('計算A'!AO$117=1,VM37&gt;0),300,0)-IF(AND($L37=1,'計算A'!AP$117=1,EO37=0),300,0))),1000000))</f>
        <v/>
      </c>
      <c r="PS37">
        <f>IF($B37=0,1000000,IF(INDEX('計算A'!$D$60:$EQ$104,$B37,40)*EO37=1,IF(AND($E37=2,KD37=0),1000000,IF($I37&gt;0,IF(2=$J37,IF(OR(AND(40=$I37+1,OR($K37&lt;&gt;'計算A'!$A$3,'計算A'!$A$4=0)),AND(40=$I37-1,OR(16&lt;&gt;'計算A'!$A$3,'計算A'!$A$4=0))),0,IF(16=$K37,200000,ABS(16-$K37)*100)),100000+ABS(2-$J37)*1000+160)+'計算A'!AQ$5*50+IF(AND($E37=1,KD37=0),25,0),INDEX('計算A'!AQ$110:AQ$114,$F37+1)+IF(AND($E37=1,KD37=0),1000,0)+IF($H37=1,(IF('計算A'!AP$117=1,INDEX('計算A'!AP$10:AP$54,$B37),0)+IF('計算A'!AQ$117=1,INDEX('計算A'!AR$10:AR$54,$B37),0))*500,0)-IF(AND('計算A'!AP$117=1,VN37&gt;0),300,0)-IF(AND($L37=1,'計算A'!AQ$117=1,EP37=0),300,0))),1000000))</f>
        <v/>
      </c>
      <c r="PT37">
        <f>IF($B37=0,1000000,IF(INDEX('計算A'!$D$60:$EQ$104,$B37,41)*EP37=1,IF(AND($E37=2,KE37=0),1000000,IF($I37&gt;0,IF(2=$J37,IF(OR(AND(41=$I37+1,OR($K37&lt;&gt;'計算A'!$A$3,'計算A'!$A$4=0)),AND(41=$I37-1,OR(17&lt;&gt;'計算A'!$A$3,'計算A'!$A$4=0))),0,IF(17=$K37,200000,ABS(17-$K37)*100)),100000+ABS(2-$J37)*1000+170)+'計算A'!AR$5*50+IF(AND($E37=1,KE37=0),25,0),INDEX('計算A'!AR$110:AR$114,$F37+1)+IF(AND($E37=1,KE37=0),1000,0)+IF($H37=1,(IF('計算A'!AQ$117=1,INDEX('計算A'!AQ$10:AQ$54,$B37),0)+IF('計算A'!AR$117=1,INDEX('計算A'!AS$10:AS$54,$B37),0))*500,0)-IF(AND('計算A'!AQ$117=1,VO37&gt;0),300,0)-IF(AND($L37=1,'計算A'!AR$117=1,EQ37=0),300,0))),1000000))</f>
        <v/>
      </c>
      <c r="PU37">
        <f>IF($B37=0,1000000,IF(INDEX('計算A'!$D$60:$EQ$104,$B37,42)*EQ37=1,IF(AND($E37=2,KF37=0),1000000,IF($I37&gt;0,IF(2=$J37,IF(OR(AND(42=$I37+1,OR($K37&lt;&gt;'計算A'!$A$3,'計算A'!$A$4=0)),AND(42=$I37-1,OR(18&lt;&gt;'計算A'!$A$3,'計算A'!$A$4=0))),0,IF(18=$K37,200000,ABS(18-$K37)*100)),100000+ABS(2-$J37)*1000+180)+'計算A'!AS$5*50+IF(AND($E37=1,KF37=0),25,0),INDEX('計算A'!AS$110:AS$114,$F37+1)+IF(AND($E37=1,KF37=0),1000,0)+IF($H37=1,(IF('計算A'!AR$117=1,INDEX('計算A'!AR$10:AR$54,$B37),0)+IF('計算A'!AS$117=1,INDEX('計算A'!AT$10:AT$54,$B37),0))*500,0)-IF(AND('計算A'!AR$117=1,VP37&gt;0),300,0)-IF(AND($L37=1,'計算A'!AS$117=1,ER37=0),300,0))),1000000))</f>
        <v/>
      </c>
      <c r="PV37">
        <f>IF($B37=0,1000000,IF(INDEX('計算A'!$D$60:$EQ$104,$B37,43)*ER37=1,IF(AND($E37=2,KG37=0),1000000,IF($I37&gt;0,IF(2=$J37,IF(OR(AND(43=$I37+1,OR($K37&lt;&gt;'計算A'!$A$3,'計算A'!$A$4=0)),AND(43=$I37-1,OR(19&lt;&gt;'計算A'!$A$3,'計算A'!$A$4=0))),0,IF(19=$K37,200000,ABS(19-$K37)*100)),100000+ABS(2-$J37)*1000+190)+'計算A'!AT$5*50+IF(AND($E37=1,KG37=0),25,0),INDEX('計算A'!AT$110:AT$114,$F37+1)+IF(AND($E37=1,KG37=0),1000,0)+IF($H37=1,(IF('計算A'!AS$117=1,INDEX('計算A'!AS$10:AS$54,$B37),0)+IF('計算A'!AT$117=1,INDEX('計算A'!AU$10:AU$54,$B37),0))*500,0)-IF(AND('計算A'!AS$117=1,VQ37&gt;0),300,0)-IF(AND($L37=1,'計算A'!AT$117=1,ES37=0),300,0))),1000000))</f>
        <v/>
      </c>
      <c r="PW37">
        <f>IF($B37=0,1000000,IF(INDEX('計算A'!$D$60:$EQ$104,$B37,44)*ES37=1,IF(AND($E37=2,KH37=0),1000000,IF($I37&gt;0,IF(2=$J37,IF(OR(AND(44=$I37+1,OR($K37&lt;&gt;'計算A'!$A$3,'計算A'!$A$4=0)),AND(44=$I37-1,OR(20&lt;&gt;'計算A'!$A$3,'計算A'!$A$4=0))),0,IF(20=$K37,200000,ABS(20-$K37)*100)),100000+ABS(2-$J37)*1000+200)+'計算A'!AU$5*50+IF(AND($E37=1,KH37=0),25,0),INDEX('計算A'!AU$110:AU$114,$F37+1)+IF(AND($E37=1,KH37=0),1000,0)+IF($H37=1,(IF('計算A'!AT$117=1,INDEX('計算A'!AT$10:AT$54,$B37),0)+IF('計算A'!AU$117=1,INDEX('計算A'!AV$10:AV$54,$B37),0))*500,0)-IF(AND('計算A'!AT$117=1,VR37&gt;0),300,0)-IF(AND($L37=1,'計算A'!AU$117=1,ET37=0),300,0))),1000000))</f>
        <v/>
      </c>
      <c r="PX37">
        <f>IF($B37=0,1000000,IF(INDEX('計算A'!$D$60:$EQ$104,$B37,45)*ET37=1,IF(AND($E37=2,KI37=0),1000000,IF($I37&gt;0,IF(2=$J37,IF(OR(AND(45=$I37+1,OR($K37&lt;&gt;'計算A'!$A$3,'計算A'!$A$4=0)),AND(45=$I37-1,OR(21&lt;&gt;'計算A'!$A$3,'計算A'!$A$4=0))),0,IF(21=$K37,200000,ABS(21-$K37)*100)),100000+ABS(2-$J37)*1000+210)+'計算A'!AV$5*50+IF(AND($E37=1,KI37=0),25,0),INDEX('計算A'!AV$110:AV$114,$F37+1)+IF(AND($E37=1,KI37=0),1000,0)+IF($H37=1,(IF('計算A'!AU$117=1,INDEX('計算A'!AU$10:AU$54,$B37),0)+IF('計算A'!AV$117=1,INDEX('計算A'!AW$10:AW$54,$B37),0))*500,0)-IF(AND('計算A'!AU$117=1,VS37&gt;0),300,0)-IF(AND($L37=1,'計算A'!AV$117=1,EU37=0),300,0))),1000000))</f>
        <v/>
      </c>
      <c r="PY37">
        <f>IF($B37=0,1000000,IF(INDEX('計算A'!$D$60:$EQ$104,$B37,46)*EU37=1,IF(AND($E37=2,KJ37=0),1000000,IF($I37&gt;0,IF(2=$J37,IF(OR(AND(46=$I37+1,OR($K37&lt;&gt;'計算A'!$A$3,'計算A'!$A$4=0)),AND(46=$I37-1,OR(22&lt;&gt;'計算A'!$A$3,'計算A'!$A$4=0))),0,IF(22=$K37,200000,ABS(22-$K37)*100)),100000+ABS(2-$J37)*1000+220)+'計算A'!AW$5*50+IF(AND($E37=1,KJ37=0),25,0),INDEX('計算A'!AW$110:AW$114,$F37+1)+IF(AND($E37=1,KJ37=0),1000,0)+IF($H37=1,(IF('計算A'!AV$117=1,INDEX('計算A'!AV$10:AV$54,$B37),0)+IF('計算A'!AW$117=1,INDEX('計算A'!AX$10:AX$54,$B37),0))*500,0)-IF(AND('計算A'!AV$117=1,VT37&gt;0),300,0)-IF(AND($L37=1,'計算A'!AW$117=1,EV37=0),300,0))),1000000))</f>
        <v/>
      </c>
      <c r="PZ37">
        <f>IF($B37=0,1000000,IF(INDEX('計算A'!$D$60:$EQ$104,$B37,47)*EV37=1,IF(AND($E37=2,KK37=0),1000000,IF($I37&gt;0,IF(2=$J37,IF(OR(AND(47=$I37+1,OR($K37&lt;&gt;'計算A'!$A$3,'計算A'!$A$4=0)),AND(47=$I37-1,OR(23&lt;&gt;'計算A'!$A$3,'計算A'!$A$4=0))),0,IF(23=$K37,200000,ABS(23-$K37)*100)),100000+ABS(2-$J37)*1000+230)+'計算A'!AX$5*50+IF(AND($E37=1,KK37=0),25,0),INDEX('計算A'!AX$110:AX$114,$F37+1)+IF(AND($E37=1,KK37=0),1000,0)+IF($H37=1,(IF('計算A'!AW$117=1,INDEX('計算A'!AW$10:AW$54,$B37),0)+IF('計算A'!AX$117=1,INDEX('計算A'!AY$10:AY$54,$B37),0))*500,0)-IF(AND('計算A'!AW$117=1,VU37&gt;0),300,0)-IF(AND($L37=1,'計算A'!AX$117=1,EW37=0),300,0))),1000000))</f>
        <v/>
      </c>
      <c r="QA37">
        <f>IF($B37=0,1000000,IF(INDEX('計算A'!$D$60:$EQ$104,$B37,48)*EW37=1,IF(AND($E37=2,KL37=0),1000000,IF($I37&gt;0,IF(2=$J37,IF(OR(AND(48=$I37+1,OR($K37&lt;&gt;'計算A'!$A$3,'計算A'!$A$4=0)),AND(48=$I37-1,OR(24&lt;&gt;'計算A'!$A$3,'計算A'!$A$4=0))),0,IF(24=$K37,200000,ABS(24-$K37)*100)),100000+ABS(2-$J37)*1000+240)+'計算A'!AY$5*50+IF(AND($E37=1,KL37=0),25,0),INDEX('計算A'!AY$110:AY$114,$F37+1)+IF(AND($E37=1,KL37=0),1000,0)+IF($H37=1,(IF('計算A'!AX$117=1,INDEX('計算A'!AX$10:AX$54,$B37),0))*500,0)-IF(AND('計算A'!AX$117=1,VV37&gt;0),300,0))),1000000))</f>
        <v/>
      </c>
      <c r="QB37">
        <f>IF($B37=0,1000000,IF(INDEX('計算A'!$D$60:$EQ$104,$B37,49)*EX37=1,IF(AND($E37=2,KM37=0),1000000,IF($I37&gt;0,IF(3=$J37,IF(OR(AND(49=$I37+1,OR($K37&lt;&gt;'計算A'!$A$3,'計算A'!$A$4=0)),AND(49=$I37-1,OR(1&lt;&gt;'計算A'!$A$3,'計算A'!$A$4=0))),0,IF(1=$K37,200000,ABS(1-$K37)*100)),100000+ABS(3-$J37)*1000+10)+'計算A'!AZ$5*50+IF(AND($E37=1,KM37=0),25,0),INDEX('計算A'!AZ$110:AZ$114,$F37+1)+IF(AND($E37=1,KM37=0),1000,0)+IF($H37=1,(IF('計算A'!AZ$117=1,INDEX('計算A'!BA$10:BA$54,$B37),0))*500,0)-IF(AND($L37=1,'計算A'!AZ$117=1,EY37=0),300,0))),1000000))</f>
        <v/>
      </c>
      <c r="QC37">
        <f>IF($B37=0,1000000,IF(INDEX('計算A'!$D$60:$EQ$104,$B37,50)*EY37=1,IF(AND($E37=2,KN37=0),1000000,IF($I37&gt;0,IF(3=$J37,IF(OR(AND(50=$I37+1,OR($K37&lt;&gt;'計算A'!$A$3,'計算A'!$A$4=0)),AND(50=$I37-1,OR(2&lt;&gt;'計算A'!$A$3,'計算A'!$A$4=0))),0,IF(2=$K37,200000,ABS(2-$K37)*100)),100000+ABS(3-$J37)*1000+20)+'計算A'!BA$5*50+IF(AND($E37=1,KN37=0),25,0),INDEX('計算A'!BA$110:BA$114,$F37+1)+IF(AND($E37=1,KN37=0),1000,0)+IF($H37=1,(IF('計算A'!AZ$117=1,INDEX('計算A'!AZ$10:AZ$54,$B37),0)+IF('計算A'!BA$117=1,INDEX('計算A'!BB$10:BB$54,$B37),0))*500,0)-IF(AND('計算A'!AZ$117=1,VX37&gt;0),300,0)-IF(AND($L37=1,'計算A'!BA$117=1,EZ37=0),300,0))),1000000))</f>
        <v/>
      </c>
      <c r="QD37">
        <f>IF($B37=0,1000000,IF(INDEX('計算A'!$D$60:$EQ$104,$B37,51)*EZ37=1,IF(AND($E37=2,KO37=0),1000000,IF($I37&gt;0,IF(3=$J37,IF(OR(AND(51=$I37+1,OR($K37&lt;&gt;'計算A'!$A$3,'計算A'!$A$4=0)),AND(51=$I37-1,OR(3&lt;&gt;'計算A'!$A$3,'計算A'!$A$4=0))),0,IF(3=$K37,200000,ABS(3-$K37)*100)),100000+ABS(3-$J37)*1000+30)+'計算A'!BB$5*50+IF(AND($E37=1,KO37=0),25,0),INDEX('計算A'!BB$110:BB$114,$F37+1)+IF(AND($E37=1,KO37=0),1000,0)+IF($H37=1,(IF('計算A'!BA$117=1,INDEX('計算A'!BA$10:BA$54,$B37),0)+IF('計算A'!BB$117=1,INDEX('計算A'!BC$10:BC$54,$B37),0))*500,0)-IF(AND('計算A'!BA$117=1,VY37&gt;0),300,0)-IF(AND($L37=1,'計算A'!BB$117=1,FA37=0),300,0))),1000000))</f>
        <v/>
      </c>
      <c r="QE37">
        <f>IF($B37=0,1000000,IF(INDEX('計算A'!$D$60:$EQ$104,$B37,52)*FA37=1,IF(AND($E37=2,KP37=0),1000000,IF($I37&gt;0,IF(3=$J37,IF(OR(AND(52=$I37+1,OR($K37&lt;&gt;'計算A'!$A$3,'計算A'!$A$4=0)),AND(52=$I37-1,OR(4&lt;&gt;'計算A'!$A$3,'計算A'!$A$4=0))),0,IF(4=$K37,200000,ABS(4-$K37)*100)),100000+ABS(3-$J37)*1000+40)+'計算A'!BC$5*50+IF(AND($E37=1,KP37=0),25,0),INDEX('計算A'!BC$110:BC$114,$F37+1)+IF(AND($E37=1,KP37=0),1000,0)+IF($H37=1,(IF('計算A'!BB$117=1,INDEX('計算A'!BB$10:BB$54,$B37),0)+IF('計算A'!BC$117=1,INDEX('計算A'!BD$10:BD$54,$B37),0))*500,0)-IF(AND('計算A'!BB$117=1,VZ37&gt;0),300,0)-IF(AND($L37=1,'計算A'!BC$117=1,FB37=0),300,0))),1000000))</f>
        <v/>
      </c>
      <c r="QF37">
        <f>IF($B37=0,1000000,IF(INDEX('計算A'!$D$60:$EQ$104,$B37,53)*FB37=1,IF(AND($E37=2,KQ37=0),1000000,IF($I37&gt;0,IF(3=$J37,IF(OR(AND(53=$I37+1,OR($K37&lt;&gt;'計算A'!$A$3,'計算A'!$A$4=0)),AND(53=$I37-1,OR(5&lt;&gt;'計算A'!$A$3,'計算A'!$A$4=0))),0,IF(5=$K37,200000,ABS(5-$K37)*100)),100000+ABS(3-$J37)*1000+50)+'計算A'!BD$5*50+IF(AND($E37=1,KQ37=0),25,0),INDEX('計算A'!BD$110:BD$114,$F37+1)+IF(AND($E37=1,KQ37=0),1000,0)+IF($H37=1,(IF('計算A'!BC$117=1,INDEX('計算A'!BC$10:BC$54,$B37),0)+IF('計算A'!BD$117=1,INDEX('計算A'!BE$10:BE$54,$B37),0))*500,0)-IF(AND('計算A'!BC$117=1,WA37&gt;0),300,0)-IF(AND($L37=1,'計算A'!BD$117=1,FC37=0),300,0))),1000000))</f>
        <v/>
      </c>
      <c r="QG37">
        <f>IF($B37=0,1000000,IF(INDEX('計算A'!$D$60:$EQ$104,$B37,54)*FC37=1,IF(AND($E37=2,KR37=0),1000000,IF($I37&gt;0,IF(3=$J37,IF(OR(AND(54=$I37+1,OR($K37&lt;&gt;'計算A'!$A$3,'計算A'!$A$4=0)),AND(54=$I37-1,OR(6&lt;&gt;'計算A'!$A$3,'計算A'!$A$4=0))),0,IF(6=$K37,200000,ABS(6-$K37)*100)),100000+ABS(3-$J37)*1000+60)+'計算A'!BE$5*50+IF(AND($E37=1,KR37=0),25,0),INDEX('計算A'!BE$110:BE$114,$F37+1)+IF(AND($E37=1,KR37=0),1000,0)+IF($H37=1,(IF('計算A'!BD$117=1,INDEX('計算A'!BD$10:BD$54,$B37),0)+IF('計算A'!BE$117=1,INDEX('計算A'!BF$10:BF$54,$B37),0))*500,0)-IF(AND('計算A'!BD$117=1,WB37&gt;0),300,0)-IF(AND($L37=1,'計算A'!BE$117=1,FD37=0),300,0))),1000000))</f>
        <v/>
      </c>
      <c r="QH37">
        <f>IF($B37=0,1000000,IF(INDEX('計算A'!$D$60:$EQ$104,$B37,55)*FD37=1,IF(AND($E37=2,KS37=0),1000000,IF($I37&gt;0,IF(3=$J37,IF(OR(AND(55=$I37+1,OR($K37&lt;&gt;'計算A'!$A$3,'計算A'!$A$4=0)),AND(55=$I37-1,OR(7&lt;&gt;'計算A'!$A$3,'計算A'!$A$4=0))),0,IF(7=$K37,200000,ABS(7-$K37)*100)),100000+ABS(3-$J37)*1000+70)+'計算A'!BF$5*50+IF(AND($E37=1,KS37=0),25,0),INDEX('計算A'!BF$110:BF$114,$F37+1)+IF(AND($E37=1,KS37=0),1000,0)+IF($H37=1,(IF('計算A'!BE$117=1,INDEX('計算A'!BE$10:BE$54,$B37),0)+IF('計算A'!BF$117=1,INDEX('計算A'!BG$10:BG$54,$B37),0))*500,0)-IF(AND('計算A'!BE$117=1,WC37&gt;0),300,0)-IF(AND($L37=1,'計算A'!BF$117=1,FE37=0),300,0))),1000000))</f>
        <v/>
      </c>
      <c r="QI37">
        <f>IF($B37=0,1000000,IF(INDEX('計算A'!$D$60:$EQ$104,$B37,56)*FE37=1,IF(AND($E37=2,KT37=0),1000000,IF($I37&gt;0,IF(3=$J37,IF(OR(AND(56=$I37+1,OR($K37&lt;&gt;'計算A'!$A$3,'計算A'!$A$4=0)),AND(56=$I37-1,OR(8&lt;&gt;'計算A'!$A$3,'計算A'!$A$4=0))),0,IF(8=$K37,200000,ABS(8-$K37)*100)),100000+ABS(3-$J37)*1000+80)+'計算A'!BG$5*50+IF(AND($E37=1,KT37=0),25,0),INDEX('計算A'!BG$110:BG$114,$F37+1)+IF(AND($E37=1,KT37=0),1000,0)+IF($H37=1,(IF('計算A'!BF$117=1,INDEX('計算A'!BF$10:BF$54,$B37),0)+IF('計算A'!BG$117=1,INDEX('計算A'!BH$10:BH$54,$B37),0))*500,0)-IF(AND('計算A'!BF$117=1,WD37&gt;0),300,0)-IF(AND($L37=1,'計算A'!BG$117=1,FF37=0),300,0))),1000000))</f>
        <v/>
      </c>
      <c r="QJ37">
        <f>IF($B37=0,1000000,IF(INDEX('計算A'!$D$60:$EQ$104,$B37,57)*FF37=1,IF(AND($E37=2,KU37=0),1000000,IF($I37&gt;0,IF(3=$J37,IF(OR(AND(57=$I37+1,OR($K37&lt;&gt;'計算A'!$A$3,'計算A'!$A$4=0)),AND(57=$I37-1,OR(9&lt;&gt;'計算A'!$A$3,'計算A'!$A$4=0))),0,IF(9=$K37,200000,ABS(9-$K37)*100)),100000+ABS(3-$J37)*1000+90)+'計算A'!BH$5*50+IF(AND($E37=1,KU37=0),25,0),INDEX('計算A'!BH$110:BH$114,$F37+1)+IF(AND($E37=1,KU37=0),1000,0)+IF($H37=1,(IF('計算A'!BG$117=1,INDEX('計算A'!BG$10:BG$54,$B37),0)+IF('計算A'!BH$117=1,INDEX('計算A'!BI$10:BI$54,$B37),0))*500,0)-IF(AND('計算A'!BG$117=1,WE37&gt;0),300,0)-IF(AND($L37=1,'計算A'!BH$117=1,FG37=0),300,0))),1000000))</f>
        <v/>
      </c>
      <c r="QK37">
        <f>IF($B37=0,1000000,IF(INDEX('計算A'!$D$60:$EQ$104,$B37,58)*FG37=1,IF(AND($E37=2,KV37=0),1000000,IF($I37&gt;0,IF(3=$J37,IF(OR(AND(58=$I37+1,OR($K37&lt;&gt;'計算A'!$A$3,'計算A'!$A$4=0)),AND(58=$I37-1,OR(10&lt;&gt;'計算A'!$A$3,'計算A'!$A$4=0))),0,IF(10=$K37,200000,ABS(10-$K37)*100)),100000+ABS(3-$J37)*1000+100)+'計算A'!BI$5*50+IF(AND($E37=1,KV37=0),25,0),INDEX('計算A'!BI$110:BI$114,$F37+1)+IF(AND($E37=1,KV37=0),1000,0)+IF($H37=1,(IF('計算A'!BH$117=1,INDEX('計算A'!BH$10:BH$54,$B37),0)+IF('計算A'!BI$117=1,INDEX('計算A'!BJ$10:BJ$54,$B37),0))*500,0)-IF(AND('計算A'!BH$117=1,WF37&gt;0),300,0)-IF(AND($L37=1,'計算A'!BI$117=1,FH37=0),300,0))),1000000))</f>
        <v/>
      </c>
      <c r="QL37">
        <f>IF($B37=0,1000000,IF(INDEX('計算A'!$D$60:$EQ$104,$B37,59)*FH37=1,IF(AND($E37=2,KW37=0),1000000,IF($I37&gt;0,IF(3=$J37,IF(OR(AND(59=$I37+1,OR($K37&lt;&gt;'計算A'!$A$3,'計算A'!$A$4=0)),AND(59=$I37-1,OR(11&lt;&gt;'計算A'!$A$3,'計算A'!$A$4=0))),0,IF(11=$K37,200000,ABS(11-$K37)*100)),100000+ABS(3-$J37)*1000+110)+'計算A'!BJ$5*50+IF(AND($E37=1,KW37=0),25,0),INDEX('計算A'!BJ$110:BJ$114,$F37+1)+IF(AND($E37=1,KW37=0),1000,0)+IF($H37=1,(IF('計算A'!BI$117=1,INDEX('計算A'!BI$10:BI$54,$B37),0)+IF('計算A'!BJ$117=1,INDEX('計算A'!BK$10:BK$54,$B37),0))*500,0)-IF(AND('計算A'!BI$117=1,WG37&gt;0),300,0)-IF(AND($L37=1,'計算A'!BJ$117=1,FI37=0),300,0))),1000000))</f>
        <v/>
      </c>
      <c r="QM37">
        <f>IF($B37=0,1000000,IF(INDEX('計算A'!$D$60:$EQ$104,$B37,60)*FI37=1,IF(AND($E37=2,KX37=0),1000000,IF($I37&gt;0,IF(3=$J37,IF(OR(AND(60=$I37+1,OR($K37&lt;&gt;'計算A'!$A$3,'計算A'!$A$4=0)),AND(60=$I37-1,OR(12&lt;&gt;'計算A'!$A$3,'計算A'!$A$4=0))),0,IF(12=$K37,200000,ABS(12-$K37)*100)),100000+ABS(3-$J37)*1000+120)+'計算A'!BK$5*50+IF(AND($E37=1,KX37=0),25,0),INDEX('計算A'!BK$110:BK$114,$F37+1)+IF(AND($E37=1,KX37=0),1000,0)+IF($H37=1,(IF('計算A'!BJ$117=1,INDEX('計算A'!BJ$10:BJ$54,$B37),0)+IF('計算A'!BK$117=1,INDEX('計算A'!BL$10:BL$54,$B37),0))*500,0)-IF(AND('計算A'!BJ$117=1,WH37&gt;0),300,0)-IF(AND($L37=1,'計算A'!BK$117=1,FJ37=0),300,0))),1000000))</f>
        <v/>
      </c>
      <c r="QN37">
        <f>IF($B37=0,1000000,IF(INDEX('計算A'!$D$60:$EQ$104,$B37,61)*FJ37=1,IF(AND($E37=2,KY37=0),1000000,IF($I37&gt;0,IF(3=$J37,IF(OR(AND(61=$I37+1,OR($K37&lt;&gt;'計算A'!$A$3,'計算A'!$A$4=0)),AND(61=$I37-1,OR(13&lt;&gt;'計算A'!$A$3,'計算A'!$A$4=0))),0,IF(13=$K37,200000,ABS(13-$K37)*100)),100000+ABS(3-$J37)*1000+130)+'計算A'!BL$5*50+IF(AND($E37=1,KY37=0),25,0),INDEX('計算A'!BL$110:BL$114,$F37+1)+IF(AND($E37=1,KY37=0),1000,0)+IF($H37=1,(IF('計算A'!BK$117=1,INDEX('計算A'!BK$10:BK$54,$B37),0)+IF('計算A'!BL$117=1,INDEX('計算A'!BM$10:BM$54,$B37),0))*500,0)-IF(AND('計算A'!BK$117=1,WI37&gt;0),300,0)-IF(AND($L37=1,'計算A'!BL$117=1,FK37=0),300,0))),1000000))</f>
        <v/>
      </c>
      <c r="QO37">
        <f>IF($B37=0,1000000,IF(INDEX('計算A'!$D$60:$EQ$104,$B37,62)*FK37=1,IF(AND($E37=2,KZ37=0),1000000,IF($I37&gt;0,IF(3=$J37,IF(OR(AND(62=$I37+1,OR($K37&lt;&gt;'計算A'!$A$3,'計算A'!$A$4=0)),AND(62=$I37-1,OR(14&lt;&gt;'計算A'!$A$3,'計算A'!$A$4=0))),0,IF(14=$K37,200000,ABS(14-$K37)*100)),100000+ABS(3-$J37)*1000+140)+'計算A'!BM$5*50+IF(AND($E37=1,KZ37=0),25,0),INDEX('計算A'!BM$110:BM$114,$F37+1)+IF(AND($E37=1,KZ37=0),1000,0)+IF($H37=1,(IF('計算A'!BL$117=1,INDEX('計算A'!BL$10:BL$54,$B37),0)+IF('計算A'!BM$117=1,INDEX('計算A'!BN$10:BN$54,$B37),0))*500,0)-IF(AND('計算A'!BL$117=1,WJ37&gt;0),300,0)-IF(AND($L37=1,'計算A'!BM$117=1,FL37=0),300,0))),1000000))</f>
        <v/>
      </c>
      <c r="QP37">
        <f>IF($B37=0,1000000,IF(INDEX('計算A'!$D$60:$EQ$104,$B37,63)*FL37=1,IF(AND($E37=2,LA37=0),1000000,IF($I37&gt;0,IF(3=$J37,IF(OR(AND(63=$I37+1,OR($K37&lt;&gt;'計算A'!$A$3,'計算A'!$A$4=0)),AND(63=$I37-1,OR(15&lt;&gt;'計算A'!$A$3,'計算A'!$A$4=0))),0,IF(15=$K37,200000,ABS(15-$K37)*100)),100000+ABS(3-$J37)*1000+150)+'計算A'!BN$5*50+IF(AND($E37=1,LA37=0),25,0),INDEX('計算A'!BN$110:BN$114,$F37+1)+IF(AND($E37=1,LA37=0),1000,0)+IF($H37=1,(IF('計算A'!BM$117=1,INDEX('計算A'!BM$10:BM$54,$B37),0)+IF('計算A'!BN$117=1,INDEX('計算A'!BO$10:BO$54,$B37),0))*500,0)-IF(AND('計算A'!BM$117=1,WK37&gt;0),300,0)-IF(AND($L37=1,'計算A'!BN$117=1,FM37=0),300,0))),1000000))</f>
        <v/>
      </c>
      <c r="QQ37">
        <f>IF($B37=0,1000000,IF(INDEX('計算A'!$D$60:$EQ$104,$B37,64)*FM37=1,IF(AND($E37=2,LB37=0),1000000,IF($I37&gt;0,IF(3=$J37,IF(OR(AND(64=$I37+1,OR($K37&lt;&gt;'計算A'!$A$3,'計算A'!$A$4=0)),AND(64=$I37-1,OR(16&lt;&gt;'計算A'!$A$3,'計算A'!$A$4=0))),0,IF(16=$K37,200000,ABS(16-$K37)*100)),100000+ABS(3-$J37)*1000+160)+'計算A'!BO$5*50+IF(AND($E37=1,LB37=0),25,0),INDEX('計算A'!BO$110:BO$114,$F37+1)+IF(AND($E37=1,LB37=0),1000,0)+IF($H37=1,(IF('計算A'!BN$117=1,INDEX('計算A'!BN$10:BN$54,$B37),0)+IF('計算A'!BO$117=1,INDEX('計算A'!BP$10:BP$54,$B37),0))*500,0)-IF(AND('計算A'!BN$117=1,WL37&gt;0),300,0)-IF(AND($L37=1,'計算A'!BO$117=1,FN37=0),300,0))),1000000))</f>
        <v/>
      </c>
      <c r="QR37">
        <f>IF($B37=0,1000000,IF(INDEX('計算A'!$D$60:$EQ$104,$B37,65)*FN37=1,IF(AND($E37=2,LC37=0),1000000,IF($I37&gt;0,IF(3=$J37,IF(OR(AND(65=$I37+1,OR($K37&lt;&gt;'計算A'!$A$3,'計算A'!$A$4=0)),AND(65=$I37-1,OR(17&lt;&gt;'計算A'!$A$3,'計算A'!$A$4=0))),0,IF(17=$K37,200000,ABS(17-$K37)*100)),100000+ABS(3-$J37)*1000+170)+'計算A'!BP$5*50+IF(AND($E37=1,LC37=0),25,0),INDEX('計算A'!BP$110:BP$114,$F37+1)+IF(AND($E37=1,LC37=0),1000,0)+IF($H37=1,(IF('計算A'!BO$117=1,INDEX('計算A'!BO$10:BO$54,$B37),0)+IF('計算A'!BP$117=1,INDEX('計算A'!BQ$10:BQ$54,$B37),0))*500,0)-IF(AND('計算A'!BO$117=1,WM37&gt;0),300,0)-IF(AND($L37=1,'計算A'!BP$117=1,FO37=0),300,0))),1000000))</f>
        <v/>
      </c>
      <c r="QS37">
        <f>IF($B37=0,1000000,IF(INDEX('計算A'!$D$60:$EQ$104,$B37,66)*FO37=1,IF(AND($E37=2,LD37=0),1000000,IF($I37&gt;0,IF(3=$J37,IF(OR(AND(66=$I37+1,OR($K37&lt;&gt;'計算A'!$A$3,'計算A'!$A$4=0)),AND(66=$I37-1,OR(18&lt;&gt;'計算A'!$A$3,'計算A'!$A$4=0))),0,IF(18=$K37,200000,ABS(18-$K37)*100)),100000+ABS(3-$J37)*1000+180)+'計算A'!BQ$5*50+IF(AND($E37=1,LD37=0),25,0),INDEX('計算A'!BQ$110:BQ$114,$F37+1)+IF(AND($E37=1,LD37=0),1000,0)+IF($H37=1,(IF('計算A'!BP$117=1,INDEX('計算A'!BP$10:BP$54,$B37),0)+IF('計算A'!BQ$117=1,INDEX('計算A'!BR$10:BR$54,$B37),0))*500,0)-IF(AND('計算A'!BP$117=1,WN37&gt;0),300,0)-IF(AND($L37=1,'計算A'!BQ$117=1,FP37=0),300,0))),1000000))</f>
        <v/>
      </c>
      <c r="QT37">
        <f>IF($B37=0,1000000,IF(INDEX('計算A'!$D$60:$EQ$104,$B37,67)*FP37=1,IF(AND($E37=2,LE37=0),1000000,IF($I37&gt;0,IF(3=$J37,IF(OR(AND(67=$I37+1,OR($K37&lt;&gt;'計算A'!$A$3,'計算A'!$A$4=0)),AND(67=$I37-1,OR(19&lt;&gt;'計算A'!$A$3,'計算A'!$A$4=0))),0,IF(19=$K37,200000,ABS(19-$K37)*100)),100000+ABS(3-$J37)*1000+190)+'計算A'!BR$5*50+IF(AND($E37=1,LE37=0),25,0),INDEX('計算A'!BR$110:BR$114,$F37+1)+IF(AND($E37=1,LE37=0),1000,0)+IF($H37=1,(IF('計算A'!BQ$117=1,INDEX('計算A'!BQ$10:BQ$54,$B37),0)+IF('計算A'!BR$117=1,INDEX('計算A'!BS$10:BS$54,$B37),0))*500,0)-IF(AND('計算A'!BQ$117=1,WO37&gt;0),300,0)-IF(AND($L37=1,'計算A'!BR$117=1,FQ37=0),300,0))),1000000))</f>
        <v/>
      </c>
      <c r="QU37">
        <f>IF($B37=0,1000000,IF(INDEX('計算A'!$D$60:$EQ$104,$B37,68)*FQ37=1,IF(AND($E37=2,LF37=0),1000000,IF($I37&gt;0,IF(3=$J37,IF(OR(AND(68=$I37+1,OR($K37&lt;&gt;'計算A'!$A$3,'計算A'!$A$4=0)),AND(68=$I37-1,OR(20&lt;&gt;'計算A'!$A$3,'計算A'!$A$4=0))),0,IF(20=$K37,200000,ABS(20-$K37)*100)),100000+ABS(3-$J37)*1000+200)+'計算A'!BS$5*50+IF(AND($E37=1,LF37=0),25,0),INDEX('計算A'!BS$110:BS$114,$F37+1)+IF(AND($E37=1,LF37=0),1000,0)+IF($H37=1,(IF('計算A'!BR$117=1,INDEX('計算A'!BR$10:BR$54,$B37),0)+IF('計算A'!BS$117=1,INDEX('計算A'!BT$10:BT$54,$B37),0))*500,0)-IF(AND('計算A'!BR$117=1,WP37&gt;0),300,0)-IF(AND($L37=1,'計算A'!BS$117=1,FR37=0),300,0))),1000000))</f>
        <v/>
      </c>
      <c r="QV37">
        <f>IF($B37=0,1000000,IF(INDEX('計算A'!$D$60:$EQ$104,$B37,69)*FR37=1,IF(AND($E37=2,LG37=0),1000000,IF($I37&gt;0,IF(3=$J37,IF(OR(AND(69=$I37+1,OR($K37&lt;&gt;'計算A'!$A$3,'計算A'!$A$4=0)),AND(69=$I37-1,OR(21&lt;&gt;'計算A'!$A$3,'計算A'!$A$4=0))),0,IF(21=$K37,200000,ABS(21-$K37)*100)),100000+ABS(3-$J37)*1000+210)+'計算A'!BT$5*50+IF(AND($E37=1,LG37=0),25,0),INDEX('計算A'!BT$110:BT$114,$F37+1)+IF(AND($E37=1,LG37=0),1000,0)+IF($H37=1,(IF('計算A'!BS$117=1,INDEX('計算A'!BS$10:BS$54,$B37),0)+IF('計算A'!BT$117=1,INDEX('計算A'!BU$10:BU$54,$B37),0))*500,0)-IF(AND('計算A'!BS$117=1,WQ37&gt;0),300,0)-IF(AND($L37=1,'計算A'!BT$117=1,FS37=0),300,0))),1000000))</f>
        <v/>
      </c>
      <c r="QW37">
        <f>IF($B37=0,1000000,IF(INDEX('計算A'!$D$60:$EQ$104,$B37,70)*FS37=1,IF(AND($E37=2,LH37=0),1000000,IF($I37&gt;0,IF(3=$J37,IF(OR(AND(70=$I37+1,OR($K37&lt;&gt;'計算A'!$A$3,'計算A'!$A$4=0)),AND(70=$I37-1,OR(22&lt;&gt;'計算A'!$A$3,'計算A'!$A$4=0))),0,IF(22=$K37,200000,ABS(22-$K37)*100)),100000+ABS(3-$J37)*1000+220)+'計算A'!BU$5*50+IF(AND($E37=1,LH37=0),25,0),INDEX('計算A'!BU$110:BU$114,$F37+1)+IF(AND($E37=1,LH37=0),1000,0)+IF($H37=1,(IF('計算A'!BT$117=1,INDEX('計算A'!BT$10:BT$54,$B37),0)+IF('計算A'!BU$117=1,INDEX('計算A'!BV$10:BV$54,$B37),0))*500,0)-IF(AND('計算A'!BT$117=1,WR37&gt;0),300,0)-IF(AND($L37=1,'計算A'!BU$117=1,FT37=0),300,0))),1000000))</f>
        <v/>
      </c>
      <c r="QX37">
        <f>IF($B37=0,1000000,IF(INDEX('計算A'!$D$60:$EQ$104,$B37,71)*FT37=1,IF(AND($E37=2,LI37=0),1000000,IF($I37&gt;0,IF(3=$J37,IF(OR(AND(71=$I37+1,OR($K37&lt;&gt;'計算A'!$A$3,'計算A'!$A$4=0)),AND(71=$I37-1,OR(23&lt;&gt;'計算A'!$A$3,'計算A'!$A$4=0))),0,IF(23=$K37,200000,ABS(23-$K37)*100)),100000+ABS(3-$J37)*1000+230)+'計算A'!BV$5*50+IF(AND($E37=1,LI37=0),25,0),INDEX('計算A'!BV$110:BV$114,$F37+1)+IF(AND($E37=1,LI37=0),1000,0)+IF($H37=1,(IF('計算A'!BU$117=1,INDEX('計算A'!BU$10:BU$54,$B37),0)+IF('計算A'!BV$117=1,INDEX('計算A'!BW$10:BW$54,$B37),0))*500,0)-IF(AND('計算A'!BU$117=1,WS37&gt;0),300,0)-IF(AND($L37=1,'計算A'!BV$117=1,FU37=0),300,0))),1000000))</f>
        <v/>
      </c>
      <c r="QY37">
        <f>IF($B37=0,1000000,IF(INDEX('計算A'!$D$60:$EQ$104,$B37,72)*FU37=1,IF(AND($E37=2,LJ37=0),1000000,IF($I37&gt;0,IF(3=$J37,IF(OR(AND(72=$I37+1,OR($K37&lt;&gt;'計算A'!$A$3,'計算A'!$A$4=0)),AND(72=$I37-1,OR(24&lt;&gt;'計算A'!$A$3,'計算A'!$A$4=0))),0,IF(24=$K37,200000,ABS(24-$K37)*100)),100000+ABS(3-$J37)*1000+240)+'計算A'!BW$5*50+IF(AND($E37=1,LJ37=0),25,0),INDEX('計算A'!BW$110:BW$114,$F37+1)+IF(AND($E37=1,LJ37=0),1000,0)+IF($H37=1,(IF('計算A'!BV$117=1,INDEX('計算A'!BV$10:BV$54,$B37),0))*500,0)-IF(AND('計算A'!BV$117=1,WT37&gt;0),300,0))),1000000))</f>
        <v/>
      </c>
      <c r="QZ37">
        <f>IF($B37=0,1000000,IF(INDEX('計算A'!$D$60:$EQ$104,$B37,73)*FV37=1,IF(AND($E37=2,LK37=0),1000000,IF($I37&gt;0,IF(4=$J37,IF(OR(AND(73=$I37+1,OR($K37&lt;&gt;'計算A'!$A$3,'計算A'!$A$4=0)),AND(73=$I37-1,OR(1&lt;&gt;'計算A'!$A$3,'計算A'!$A$4=0))),0,IF(1=$K37,200000,ABS(1-$K37)*100)),100000+ABS(4-$J37)*1000+10)+'計算A'!BX$5*50+IF(AND($E37=1,LK37=0),25,0),INDEX('計算A'!BX$110:BX$114,$F37+1)+IF(AND($E37=1,LK37=0),1000,0)+IF($H37=1,(IF('計算A'!BX$117=1,INDEX('計算A'!BY$10:BY$54,$B37),0))*500,0)-IF(AND($L37=1,'計算A'!BX$117=1,FW37=0),300,0))),1000000))</f>
        <v/>
      </c>
      <c r="RA37">
        <f>IF($B37=0,1000000,IF(INDEX('計算A'!$D$60:$EQ$104,$B37,74)*FW37=1,IF(AND($E37=2,LL37=0),1000000,IF($I37&gt;0,IF(4=$J37,IF(OR(AND(74=$I37+1,OR($K37&lt;&gt;'計算A'!$A$3,'計算A'!$A$4=0)),AND(74=$I37-1,OR(2&lt;&gt;'計算A'!$A$3,'計算A'!$A$4=0))),0,IF(2=$K37,200000,ABS(2-$K37)*100)),100000+ABS(4-$J37)*1000+20)+'計算A'!BY$5*50+IF(AND($E37=1,LL37=0),25,0),INDEX('計算A'!BY$110:BY$114,$F37+1)+IF(AND($E37=1,LL37=0),1000,0)+IF($H37=1,(IF('計算A'!BX$117=1,INDEX('計算A'!BX$10:BX$54,$B37),0)+IF('計算A'!BY$117=1,INDEX('計算A'!BZ$10:BZ$54,$B37),0))*500,0)-IF(AND('計算A'!BX$117=1,WV37&gt;0),300,0)-IF(AND($L37=1,'計算A'!BY$117=1,FX37=0),300,0))),1000000))</f>
        <v/>
      </c>
      <c r="RB37">
        <f>IF($B37=0,1000000,IF(INDEX('計算A'!$D$60:$EQ$104,$B37,75)*FX37=1,IF(AND($E37=2,LM37=0),1000000,IF($I37&gt;0,IF(4=$J37,IF(OR(AND(75=$I37+1,OR($K37&lt;&gt;'計算A'!$A$3,'計算A'!$A$4=0)),AND(75=$I37-1,OR(3&lt;&gt;'計算A'!$A$3,'計算A'!$A$4=0))),0,IF(3=$K37,200000,ABS(3-$K37)*100)),100000+ABS(4-$J37)*1000+30)+'計算A'!BZ$5*50+IF(AND($E37=1,LM37=0),25,0),INDEX('計算A'!BZ$110:BZ$114,$F37+1)+IF(AND($E37=1,LM37=0),1000,0)+IF($H37=1,(IF('計算A'!BY$117=1,INDEX('計算A'!BY$10:BY$54,$B37),0)+IF('計算A'!BZ$117=1,INDEX('計算A'!CA$10:CA$54,$B37),0))*500,0)-IF(AND('計算A'!BY$117=1,WW37&gt;0),300,0)-IF(AND($L37=1,'計算A'!BZ$117=1,FY37=0),300,0))),1000000))</f>
        <v/>
      </c>
      <c r="RC37">
        <f>IF($B37=0,1000000,IF(INDEX('計算A'!$D$60:$EQ$104,$B37,76)*FY37=1,IF(AND($E37=2,LN37=0),1000000,IF($I37&gt;0,IF(4=$J37,IF(OR(AND(76=$I37+1,OR($K37&lt;&gt;'計算A'!$A$3,'計算A'!$A$4=0)),AND(76=$I37-1,OR(4&lt;&gt;'計算A'!$A$3,'計算A'!$A$4=0))),0,IF(4=$K37,200000,ABS(4-$K37)*100)),100000+ABS(4-$J37)*1000+40)+'計算A'!CA$5*50+IF(AND($E37=1,LN37=0),25,0),INDEX('計算A'!CA$110:CA$114,$F37+1)+IF(AND($E37=1,LN37=0),1000,0)+IF($H37=1,(IF('計算A'!BZ$117=1,INDEX('計算A'!BZ$10:BZ$54,$B37),0)+IF('計算A'!CA$117=1,INDEX('計算A'!CB$10:CB$54,$B37),0))*500,0)-IF(AND('計算A'!BZ$117=1,WX37&gt;0),300,0)-IF(AND($L37=1,'計算A'!CA$117=1,FZ37=0),300,0))),1000000))</f>
        <v/>
      </c>
      <c r="RD37">
        <f>IF($B37=0,1000000,IF(INDEX('計算A'!$D$60:$EQ$104,$B37,77)*FZ37=1,IF(AND($E37=2,LO37=0),1000000,IF($I37&gt;0,IF(4=$J37,IF(OR(AND(77=$I37+1,OR($K37&lt;&gt;'計算A'!$A$3,'計算A'!$A$4=0)),AND(77=$I37-1,OR(5&lt;&gt;'計算A'!$A$3,'計算A'!$A$4=0))),0,IF(5=$K37,200000,ABS(5-$K37)*100)),100000+ABS(4-$J37)*1000+50)+'計算A'!CB$5*50+IF(AND($E37=1,LO37=0),25,0),INDEX('計算A'!CB$110:CB$114,$F37+1)+IF(AND($E37=1,LO37=0),1000,0)+IF($H37=1,(IF('計算A'!CA$117=1,INDEX('計算A'!CA$10:CA$54,$B37),0)+IF('計算A'!CB$117=1,INDEX('計算A'!CC$10:CC$54,$B37),0))*500,0)-IF(AND('計算A'!CA$117=1,WY37&gt;0),300,0)-IF(AND($L37=1,'計算A'!CB$117=1,GA37=0),300,0))),1000000))</f>
        <v/>
      </c>
      <c r="RE37">
        <f>IF($B37=0,1000000,IF(INDEX('計算A'!$D$60:$EQ$104,$B37,78)*GA37=1,IF(AND($E37=2,LP37=0),1000000,IF($I37&gt;0,IF(4=$J37,IF(OR(AND(78=$I37+1,OR($K37&lt;&gt;'計算A'!$A$3,'計算A'!$A$4=0)),AND(78=$I37-1,OR(6&lt;&gt;'計算A'!$A$3,'計算A'!$A$4=0))),0,IF(6=$K37,200000,ABS(6-$K37)*100)),100000+ABS(4-$J37)*1000+60)+'計算A'!CC$5*50+IF(AND($E37=1,LP37=0),25,0),INDEX('計算A'!CC$110:CC$114,$F37+1)+IF(AND($E37=1,LP37=0),1000,0)+IF($H37=1,(IF('計算A'!CB$117=1,INDEX('計算A'!CB$10:CB$54,$B37),0)+IF('計算A'!CC$117=1,INDEX('計算A'!CD$10:CD$54,$B37),0))*500,0)-IF(AND('計算A'!CB$117=1,WZ37&gt;0),300,0)-IF(AND($L37=1,'計算A'!CC$117=1,GB37=0),300,0))),1000000))</f>
        <v/>
      </c>
      <c r="RF37">
        <f>IF($B37=0,1000000,IF(INDEX('計算A'!$D$60:$EQ$104,$B37,79)*GB37=1,IF(AND($E37=2,LQ37=0),1000000,IF($I37&gt;0,IF(4=$J37,IF(OR(AND(79=$I37+1,OR($K37&lt;&gt;'計算A'!$A$3,'計算A'!$A$4=0)),AND(79=$I37-1,OR(7&lt;&gt;'計算A'!$A$3,'計算A'!$A$4=0))),0,IF(7=$K37,200000,ABS(7-$K37)*100)),100000+ABS(4-$J37)*1000+70)+'計算A'!CD$5*50+IF(AND($E37=1,LQ37=0),25,0),INDEX('計算A'!CD$110:CD$114,$F37+1)+IF(AND($E37=1,LQ37=0),1000,0)+IF($H37=1,(IF('計算A'!CC$117=1,INDEX('計算A'!CC$10:CC$54,$B37),0)+IF('計算A'!CD$117=1,INDEX('計算A'!CE$10:CE$54,$B37),0))*500,0)-IF(AND('計算A'!CC$117=1,XA37&gt;0),300,0)-IF(AND($L37=1,'計算A'!CD$117=1,GC37=0),300,0))),1000000))</f>
        <v/>
      </c>
      <c r="RG37">
        <f>IF($B37=0,1000000,IF(INDEX('計算A'!$D$60:$EQ$104,$B37,80)*GC37=1,IF(AND($E37=2,LR37=0),1000000,IF($I37&gt;0,IF(4=$J37,IF(OR(AND(80=$I37+1,OR($K37&lt;&gt;'計算A'!$A$3,'計算A'!$A$4=0)),AND(80=$I37-1,OR(8&lt;&gt;'計算A'!$A$3,'計算A'!$A$4=0))),0,IF(8=$K37,200000,ABS(8-$K37)*100)),100000+ABS(4-$J37)*1000+80)+'計算A'!CE$5*50+IF(AND($E37=1,LR37=0),25,0),INDEX('計算A'!CE$110:CE$114,$F37+1)+IF(AND($E37=1,LR37=0),1000,0)+IF($H37=1,(IF('計算A'!CD$117=1,INDEX('計算A'!CD$10:CD$54,$B37),0)+IF('計算A'!CE$117=1,INDEX('計算A'!CF$10:CF$54,$B37),0))*500,0)-IF(AND('計算A'!CD$117=1,XB37&gt;0),300,0)-IF(AND($L37=1,'計算A'!CE$117=1,GD37=0),300,0))),1000000))</f>
        <v/>
      </c>
      <c r="RH37">
        <f>IF($B37=0,1000000,IF(INDEX('計算A'!$D$60:$EQ$104,$B37,81)*GD37=1,IF(AND($E37=2,LS37=0),1000000,IF($I37&gt;0,IF(4=$J37,IF(OR(AND(81=$I37+1,OR($K37&lt;&gt;'計算A'!$A$3,'計算A'!$A$4=0)),AND(81=$I37-1,OR(9&lt;&gt;'計算A'!$A$3,'計算A'!$A$4=0))),0,IF(9=$K37,200000,ABS(9-$K37)*100)),100000+ABS(4-$J37)*1000+90)+'計算A'!CF$5*50+IF(AND($E37=1,LS37=0),25,0),INDEX('計算A'!CF$110:CF$114,$F37+1)+IF(AND($E37=1,LS37=0),1000,0)+IF($H37=1,(IF('計算A'!CE$117=1,INDEX('計算A'!CE$10:CE$54,$B37),0)+IF('計算A'!CF$117=1,INDEX('計算A'!CG$10:CG$54,$B37),0))*500,0)-IF(AND('計算A'!CE$117=1,XC37&gt;0),300,0)-IF(AND($L37=1,'計算A'!CF$117=1,GE37=0),300,0))),1000000))</f>
        <v/>
      </c>
      <c r="RI37">
        <f>IF($B37=0,1000000,IF(INDEX('計算A'!$D$60:$EQ$104,$B37,82)*GE37=1,IF(AND($E37=2,LT37=0),1000000,IF($I37&gt;0,IF(4=$J37,IF(OR(AND(82=$I37+1,OR($K37&lt;&gt;'計算A'!$A$3,'計算A'!$A$4=0)),AND(82=$I37-1,OR(10&lt;&gt;'計算A'!$A$3,'計算A'!$A$4=0))),0,IF(10=$K37,200000,ABS(10-$K37)*100)),100000+ABS(4-$J37)*1000+100)+'計算A'!CG$5*50+IF(AND($E37=1,LT37=0),25,0),INDEX('計算A'!CG$110:CG$114,$F37+1)+IF(AND($E37=1,LT37=0),1000,0)+IF($H37=1,(IF('計算A'!CF$117=1,INDEX('計算A'!CF$10:CF$54,$B37),0)+IF('計算A'!CG$117=1,INDEX('計算A'!CH$10:CH$54,$B37),0))*500,0)-IF(AND('計算A'!CF$117=1,XD37&gt;0),300,0)-IF(AND($L37=1,'計算A'!CG$117=1,GF37=0),300,0))),1000000))</f>
        <v/>
      </c>
      <c r="RJ37">
        <f>IF($B37=0,1000000,IF(INDEX('計算A'!$D$60:$EQ$104,$B37,83)*GF37=1,IF(AND($E37=2,LU37=0),1000000,IF($I37&gt;0,IF(4=$J37,IF(OR(AND(83=$I37+1,OR($K37&lt;&gt;'計算A'!$A$3,'計算A'!$A$4=0)),AND(83=$I37-1,OR(11&lt;&gt;'計算A'!$A$3,'計算A'!$A$4=0))),0,IF(11=$K37,200000,ABS(11-$K37)*100)),100000+ABS(4-$J37)*1000+110)+'計算A'!CH$5*50+IF(AND($E37=1,LU37=0),25,0),INDEX('計算A'!CH$110:CH$114,$F37+1)+IF(AND($E37=1,LU37=0),1000,0)+IF($H37=1,(IF('計算A'!CG$117=1,INDEX('計算A'!CG$10:CG$54,$B37),0)+IF('計算A'!CH$117=1,INDEX('計算A'!CI$10:CI$54,$B37),0))*500,0)-IF(AND('計算A'!CG$117=1,XE37&gt;0),300,0)-IF(AND($L37=1,'計算A'!CH$117=1,GG37=0),300,0))),1000000))</f>
        <v/>
      </c>
      <c r="RK37">
        <f>IF($B37=0,1000000,IF(INDEX('計算A'!$D$60:$EQ$104,$B37,84)*GG37=1,IF(AND($E37=2,LV37=0),1000000,IF($I37&gt;0,IF(4=$J37,IF(OR(AND(84=$I37+1,OR($K37&lt;&gt;'計算A'!$A$3,'計算A'!$A$4=0)),AND(84=$I37-1,OR(12&lt;&gt;'計算A'!$A$3,'計算A'!$A$4=0))),0,IF(12=$K37,200000,ABS(12-$K37)*100)),100000+ABS(4-$J37)*1000+120)+'計算A'!CI$5*50+IF(AND($E37=1,LV37=0),25,0),INDEX('計算A'!CI$110:CI$114,$F37+1)+IF(AND($E37=1,LV37=0),1000,0)+IF($H37=1,(IF('計算A'!CH$117=1,INDEX('計算A'!CH$10:CH$54,$B37),0)+IF('計算A'!CI$117=1,INDEX('計算A'!CJ$10:CJ$54,$B37),0))*500,0)-IF(AND('計算A'!CH$117=1,XF37&gt;0),300,0)-IF(AND($L37=1,'計算A'!CI$117=1,GH37=0),300,0))),1000000))</f>
        <v/>
      </c>
      <c r="RL37">
        <f>IF($B37=0,1000000,IF(INDEX('計算A'!$D$60:$EQ$104,$B37,85)*GH37=1,IF(AND($E37=2,LW37=0),1000000,IF($I37&gt;0,IF(4=$J37,IF(OR(AND(85=$I37+1,OR($K37&lt;&gt;'計算A'!$A$3,'計算A'!$A$4=0)),AND(85=$I37-1,OR(13&lt;&gt;'計算A'!$A$3,'計算A'!$A$4=0))),0,IF(13=$K37,200000,ABS(13-$K37)*100)),100000+ABS(4-$J37)*1000+130)+'計算A'!CJ$5*50+IF(AND($E37=1,LW37=0),25,0),INDEX('計算A'!CJ$110:CJ$114,$F37+1)+IF(AND($E37=1,LW37=0),1000,0)+IF($H37=1,(IF('計算A'!CI$117=1,INDEX('計算A'!CI$10:CI$54,$B37),0)+IF('計算A'!CJ$117=1,INDEX('計算A'!CK$10:CK$54,$B37),0))*500,0)-IF(AND('計算A'!CI$117=1,XG37&gt;0),300,0)-IF(AND($L37=1,'計算A'!CJ$117=1,GI37=0),300,0))),1000000))</f>
        <v/>
      </c>
      <c r="RM37">
        <f>IF($B37=0,1000000,IF(INDEX('計算A'!$D$60:$EQ$104,$B37,86)*GI37=1,IF(AND($E37=2,LX37=0),1000000,IF($I37&gt;0,IF(4=$J37,IF(OR(AND(86=$I37+1,OR($K37&lt;&gt;'計算A'!$A$3,'計算A'!$A$4=0)),AND(86=$I37-1,OR(14&lt;&gt;'計算A'!$A$3,'計算A'!$A$4=0))),0,IF(14=$K37,200000,ABS(14-$K37)*100)),100000+ABS(4-$J37)*1000+140)+'計算A'!CK$5*50+IF(AND($E37=1,LX37=0),25,0),INDEX('計算A'!CK$110:CK$114,$F37+1)+IF(AND($E37=1,LX37=0),1000,0)+IF($H37=1,(IF('計算A'!CJ$117=1,INDEX('計算A'!CJ$10:CJ$54,$B37),0)+IF('計算A'!CK$117=1,INDEX('計算A'!CL$10:CL$54,$B37),0))*500,0)-IF(AND('計算A'!CJ$117=1,XH37&gt;0),300,0)-IF(AND($L37=1,'計算A'!CK$117=1,GJ37=0),300,0))),1000000))</f>
        <v/>
      </c>
      <c r="RN37">
        <f>IF($B37=0,1000000,IF(INDEX('計算A'!$D$60:$EQ$104,$B37,87)*GJ37=1,IF(AND($E37=2,LY37=0),1000000,IF($I37&gt;0,IF(4=$J37,IF(OR(AND(87=$I37+1,OR($K37&lt;&gt;'計算A'!$A$3,'計算A'!$A$4=0)),AND(87=$I37-1,OR(15&lt;&gt;'計算A'!$A$3,'計算A'!$A$4=0))),0,IF(15=$K37,200000,ABS(15-$K37)*100)),100000+ABS(4-$J37)*1000+150)+'計算A'!CL$5*50+IF(AND($E37=1,LY37=0),25,0),INDEX('計算A'!CL$110:CL$114,$F37+1)+IF(AND($E37=1,LY37=0),1000,0)+IF($H37=1,(IF('計算A'!CK$117=1,INDEX('計算A'!CK$10:CK$54,$B37),0)+IF('計算A'!CL$117=1,INDEX('計算A'!CM$10:CM$54,$B37),0))*500,0)-IF(AND('計算A'!CK$117=1,XI37&gt;0),300,0)-IF(AND($L37=1,'計算A'!CL$117=1,GK37=0),300,0))),1000000))</f>
        <v/>
      </c>
      <c r="RO37">
        <f>IF($B37=0,1000000,IF(INDEX('計算A'!$D$60:$EQ$104,$B37,88)*GK37=1,IF(AND($E37=2,LZ37=0),1000000,IF($I37&gt;0,IF(4=$J37,IF(OR(AND(88=$I37+1,OR($K37&lt;&gt;'計算A'!$A$3,'計算A'!$A$4=0)),AND(88=$I37-1,OR(16&lt;&gt;'計算A'!$A$3,'計算A'!$A$4=0))),0,IF(16=$K37,200000,ABS(16-$K37)*100)),100000+ABS(4-$J37)*1000+160)+'計算A'!CM$5*50+IF(AND($E37=1,LZ37=0),25,0),INDEX('計算A'!CM$110:CM$114,$F37+1)+IF(AND($E37=1,LZ37=0),1000,0)+IF($H37=1,(IF('計算A'!CL$117=1,INDEX('計算A'!CL$10:CL$54,$B37),0)+IF('計算A'!CM$117=1,INDEX('計算A'!CN$10:CN$54,$B37),0))*500,0)-IF(AND('計算A'!CL$117=1,XJ37&gt;0),300,0)-IF(AND($L37=1,'計算A'!CM$117=1,GL37=0),300,0))),1000000))</f>
        <v/>
      </c>
      <c r="RP37">
        <f>IF($B37=0,1000000,IF(INDEX('計算A'!$D$60:$EQ$104,$B37,89)*GL37=1,IF(AND($E37=2,MA37=0),1000000,IF($I37&gt;0,IF(4=$J37,IF(OR(AND(89=$I37+1,OR($K37&lt;&gt;'計算A'!$A$3,'計算A'!$A$4=0)),AND(89=$I37-1,OR(17&lt;&gt;'計算A'!$A$3,'計算A'!$A$4=0))),0,IF(17=$K37,200000,ABS(17-$K37)*100)),100000+ABS(4-$J37)*1000+170)+'計算A'!CN$5*50+IF(AND($E37=1,MA37=0),25,0),INDEX('計算A'!CN$110:CN$114,$F37+1)+IF(AND($E37=1,MA37=0),1000,0)+IF($H37=1,(IF('計算A'!CM$117=1,INDEX('計算A'!CM$10:CM$54,$B37),0)+IF('計算A'!CN$117=1,INDEX('計算A'!CO$10:CO$54,$B37),0))*500,0)-IF(AND('計算A'!CM$117=1,XK37&gt;0),300,0)-IF(AND($L37=1,'計算A'!CN$117=1,GM37=0),300,0))),1000000))</f>
        <v/>
      </c>
      <c r="RQ37">
        <f>IF($B37=0,1000000,IF(INDEX('計算A'!$D$60:$EQ$104,$B37,90)*GM37=1,IF(AND($E37=2,MB37=0),1000000,IF($I37&gt;0,IF(4=$J37,IF(OR(AND(90=$I37+1,OR($K37&lt;&gt;'計算A'!$A$3,'計算A'!$A$4=0)),AND(90=$I37-1,OR(18&lt;&gt;'計算A'!$A$3,'計算A'!$A$4=0))),0,IF(18=$K37,200000,ABS(18-$K37)*100)),100000+ABS(4-$J37)*1000+180)+'計算A'!CO$5*50+IF(AND($E37=1,MB37=0),25,0),INDEX('計算A'!CO$110:CO$114,$F37+1)+IF(AND($E37=1,MB37=0),1000,0)+IF($H37=1,(IF('計算A'!CN$117=1,INDEX('計算A'!CN$10:CN$54,$B37),0)+IF('計算A'!CO$117=1,INDEX('計算A'!CP$10:CP$54,$B37),0))*500,0)-IF(AND('計算A'!CN$117=1,XL37&gt;0),300,0)-IF(AND($L37=1,'計算A'!CO$117=1,GN37=0),300,0))),1000000))</f>
        <v/>
      </c>
      <c r="RR37">
        <f>IF($B37=0,1000000,IF(INDEX('計算A'!$D$60:$EQ$104,$B37,91)*GN37=1,IF(AND($E37=2,MC37=0),1000000,IF($I37&gt;0,IF(4=$J37,IF(OR(AND(91=$I37+1,OR($K37&lt;&gt;'計算A'!$A$3,'計算A'!$A$4=0)),AND(91=$I37-1,OR(19&lt;&gt;'計算A'!$A$3,'計算A'!$A$4=0))),0,IF(19=$K37,200000,ABS(19-$K37)*100)),100000+ABS(4-$J37)*1000+190)+'計算A'!CP$5*50+IF(AND($E37=1,MC37=0),25,0),INDEX('計算A'!CP$110:CP$114,$F37+1)+IF(AND($E37=1,MC37=0),1000,0)+IF($H37=1,(IF('計算A'!CO$117=1,INDEX('計算A'!CO$10:CO$54,$B37),0)+IF('計算A'!CP$117=1,INDEX('計算A'!CQ$10:CQ$54,$B37),0))*500,0)-IF(AND('計算A'!CO$117=1,XM37&gt;0),300,0)-IF(AND($L37=1,'計算A'!CP$117=1,GO37=0),300,0))),1000000))</f>
        <v/>
      </c>
      <c r="RS37">
        <f>IF($B37=0,1000000,IF(INDEX('計算A'!$D$60:$EQ$104,$B37,92)*GO37=1,IF(AND($E37=2,MD37=0),1000000,IF($I37&gt;0,IF(4=$J37,IF(OR(AND(92=$I37+1,OR($K37&lt;&gt;'計算A'!$A$3,'計算A'!$A$4=0)),AND(92=$I37-1,OR(20&lt;&gt;'計算A'!$A$3,'計算A'!$A$4=0))),0,IF(20=$K37,200000,ABS(20-$K37)*100)),100000+ABS(4-$J37)*1000+200)+'計算A'!CQ$5*50+IF(AND($E37=1,MD37=0),25,0),INDEX('計算A'!CQ$110:CQ$114,$F37+1)+IF(AND($E37=1,MD37=0),1000,0)+IF($H37=1,(IF('計算A'!CP$117=1,INDEX('計算A'!CP$10:CP$54,$B37),0)+IF('計算A'!CQ$117=1,INDEX('計算A'!CR$10:CR$54,$B37),0))*500,0)-IF(AND('計算A'!CP$117=1,XN37&gt;0),300,0)-IF(AND($L37=1,'計算A'!CQ$117=1,GP37=0),300,0))),1000000))</f>
        <v/>
      </c>
      <c r="RT37">
        <f>IF($B37=0,1000000,IF(INDEX('計算A'!$D$60:$EQ$104,$B37,93)*GP37=1,IF(AND($E37=2,ME37=0),1000000,IF($I37&gt;0,IF(4=$J37,IF(OR(AND(93=$I37+1,OR($K37&lt;&gt;'計算A'!$A$3,'計算A'!$A$4=0)),AND(93=$I37-1,OR(21&lt;&gt;'計算A'!$A$3,'計算A'!$A$4=0))),0,IF(21=$K37,200000,ABS(21-$K37)*100)),100000+ABS(4-$J37)*1000+210)+'計算A'!CR$5*50+IF(AND($E37=1,ME37=0),25,0),INDEX('計算A'!CR$110:CR$114,$F37+1)+IF(AND($E37=1,ME37=0),1000,0)+IF($H37=1,(IF('計算A'!CQ$117=1,INDEX('計算A'!CQ$10:CQ$54,$B37),0)+IF('計算A'!CR$117=1,INDEX('計算A'!CS$10:CS$54,$B37),0))*500,0)-IF(AND('計算A'!CQ$117=1,XO37&gt;0),300,0)-IF(AND($L37=1,'計算A'!CR$117=1,GQ37=0),300,0))),1000000))</f>
        <v/>
      </c>
      <c r="RU37">
        <f>IF($B37=0,1000000,IF(INDEX('計算A'!$D$60:$EQ$104,$B37,94)*GQ37=1,IF(AND($E37=2,MF37=0),1000000,IF($I37&gt;0,IF(4=$J37,IF(OR(AND(94=$I37+1,OR($K37&lt;&gt;'計算A'!$A$3,'計算A'!$A$4=0)),AND(94=$I37-1,OR(22&lt;&gt;'計算A'!$A$3,'計算A'!$A$4=0))),0,IF(22=$K37,200000,ABS(22-$K37)*100)),100000+ABS(4-$J37)*1000+220)+'計算A'!CS$5*50+IF(AND($E37=1,MF37=0),25,0),INDEX('計算A'!CS$110:CS$114,$F37+1)+IF(AND($E37=1,MF37=0),1000,0)+IF($H37=1,(IF('計算A'!CR$117=1,INDEX('計算A'!CR$10:CR$54,$B37),0)+IF('計算A'!CS$117=1,INDEX('計算A'!CT$10:CT$54,$B37),0))*500,0)-IF(AND('計算A'!CR$117=1,XP37&gt;0),300,0)-IF(AND($L37=1,'計算A'!CS$117=1,GR37=0),300,0))),1000000))</f>
        <v/>
      </c>
      <c r="RV37">
        <f>IF($B37=0,1000000,IF(INDEX('計算A'!$D$60:$EQ$104,$B37,95)*GR37=1,IF(AND($E37=2,MG37=0),1000000,IF($I37&gt;0,IF(4=$J37,IF(OR(AND(95=$I37+1,OR($K37&lt;&gt;'計算A'!$A$3,'計算A'!$A$4=0)),AND(95=$I37-1,OR(23&lt;&gt;'計算A'!$A$3,'計算A'!$A$4=0))),0,IF(23=$K37,200000,ABS(23-$K37)*100)),100000+ABS(4-$J37)*1000+230)+'計算A'!CT$5*50+IF(AND($E37=1,MG37=0),25,0),INDEX('計算A'!CT$110:CT$114,$F37+1)+IF(AND($E37=1,MG37=0),1000,0)+IF($H37=1,(IF('計算A'!CS$117=1,INDEX('計算A'!CS$10:CS$54,$B37),0)+IF('計算A'!CT$117=1,INDEX('計算A'!CU$10:CU$54,$B37),0))*500,0)-IF(AND('計算A'!CS$117=1,XQ37&gt;0),300,0)-IF(AND($L37=1,'計算A'!CT$117=1,GS37=0),300,0))),1000000))</f>
        <v/>
      </c>
      <c r="RW37">
        <f>IF($B37=0,1000000,IF(INDEX('計算A'!$D$60:$EQ$104,$B37,96)*GS37=1,IF(AND($E37=2,MH37=0),1000000,IF($I37&gt;0,IF(4=$J37,IF(OR(AND(96=$I37+1,OR($K37&lt;&gt;'計算A'!$A$3,'計算A'!$A$4=0)),AND(96=$I37-1,OR(24&lt;&gt;'計算A'!$A$3,'計算A'!$A$4=0))),0,IF(24=$K37,200000,ABS(24-$K37)*100)),100000+ABS(4-$J37)*1000+240)+'計算A'!CU$5*50+IF(AND($E37=1,MH37=0),25,0),INDEX('計算A'!CU$110:CU$114,$F37+1)+IF(AND($E37=1,MH37=0),1000,0)+IF($H37=1,(IF('計算A'!CT$117=1,INDEX('計算A'!CT$10:CT$54,$B37),0))*500,0)-IF(AND('計算A'!CT$117=1,XR37&gt;0),300,0))),1000000))</f>
        <v/>
      </c>
      <c r="RX37">
        <f>IF($B37=0,1000000,IF(INDEX('計算A'!$D$60:$EQ$104,$B37,97)*GT37=1,IF(AND($E37=2,MI37=0),1000000,IF($I37&gt;0,IF(5=$J37,IF(OR(AND(97=$I37+1,OR($K37&lt;&gt;'計算A'!$A$3,'計算A'!$A$4=0)),AND(97=$I37-1,OR(1&lt;&gt;'計算A'!$A$3,'計算A'!$A$4=0))),0,IF(1=$K37,200000,ABS(1-$K37)*100)),100000+ABS(5-$J37)*1000+10)+'計算A'!CV$5*50+IF(AND($E37=1,MI37=0),25,0),INDEX('計算A'!CV$110:CV$114,$F37+1)+IF(AND($E37=1,MI37=0),1000,0)+IF($H37=1,(IF('計算A'!CV$117=1,INDEX('計算A'!CW$10:CW$54,$B37),0))*500,0)-IF(AND($L37=1,'計算A'!CV$117=1,GU37=0),300,0))),1000000))</f>
        <v/>
      </c>
      <c r="RY37">
        <f>IF($B37=0,1000000,IF(INDEX('計算A'!$D$60:$EQ$104,$B37,98)*GU37=1,IF(AND($E37=2,MJ37=0),1000000,IF($I37&gt;0,IF(5=$J37,IF(OR(AND(98=$I37+1,OR($K37&lt;&gt;'計算A'!$A$3,'計算A'!$A$4=0)),AND(98=$I37-1,OR(2&lt;&gt;'計算A'!$A$3,'計算A'!$A$4=0))),0,IF(2=$K37,200000,ABS(2-$K37)*100)),100000+ABS(5-$J37)*1000+20)+'計算A'!CW$5*50+IF(AND($E37=1,MJ37=0),25,0),INDEX('計算A'!CW$110:CW$114,$F37+1)+IF(AND($E37=1,MJ37=0),1000,0)+IF($H37=1,(IF('計算A'!CV$117=1,INDEX('計算A'!CV$10:CV$54,$B37),0)+IF('計算A'!CW$117=1,INDEX('計算A'!CX$10:CX$54,$B37),0))*500,0)-IF(AND('計算A'!CV$117=1,XT37&gt;0),300,0)-IF(AND($L37=1,'計算A'!CW$117=1,GV37=0),300,0))),1000000))</f>
        <v/>
      </c>
      <c r="RZ37">
        <f>IF($B37=0,1000000,IF(INDEX('計算A'!$D$60:$EQ$104,$B37,99)*GV37=1,IF(AND($E37=2,MK37=0),1000000,IF($I37&gt;0,IF(5=$J37,IF(OR(AND(99=$I37+1,OR($K37&lt;&gt;'計算A'!$A$3,'計算A'!$A$4=0)),AND(99=$I37-1,OR(3&lt;&gt;'計算A'!$A$3,'計算A'!$A$4=0))),0,IF(3=$K37,200000,ABS(3-$K37)*100)),100000+ABS(5-$J37)*1000+30)+'計算A'!CX$5*50+IF(AND($E37=1,MK37=0),25,0),INDEX('計算A'!CX$110:CX$114,$F37+1)+IF(AND($E37=1,MK37=0),1000,0)+IF($H37=1,(IF('計算A'!CW$117=1,INDEX('計算A'!CW$10:CW$54,$B37),0)+IF('計算A'!CX$117=1,INDEX('計算A'!CY$10:CY$54,$B37),0))*500,0)-IF(AND('計算A'!CW$117=1,XU37&gt;0),300,0)-IF(AND($L37=1,'計算A'!CX$117=1,GW37=0),300,0))),1000000))</f>
        <v/>
      </c>
      <c r="SA37">
        <f>IF($B37=0,1000000,IF(INDEX('計算A'!$D$60:$EQ$104,$B37,100)*GW37=1,IF(AND($E37=2,ML37=0),1000000,IF($I37&gt;0,IF(5=$J37,IF(OR(AND(100=$I37+1,OR($K37&lt;&gt;'計算A'!$A$3,'計算A'!$A$4=0)),AND(100=$I37-1,OR(4&lt;&gt;'計算A'!$A$3,'計算A'!$A$4=0))),0,IF(4=$K37,200000,ABS(4-$K37)*100)),100000+ABS(5-$J37)*1000+40)+'計算A'!CY$5*50+IF(AND($E37=1,ML37=0),25,0),INDEX('計算A'!CY$110:CY$114,$F37+1)+IF(AND($E37=1,ML37=0),1000,0)+IF($H37=1,(IF('計算A'!CX$117=1,INDEX('計算A'!CX$10:CX$54,$B37),0)+IF('計算A'!CY$117=1,INDEX('計算A'!CZ$10:CZ$54,$B37),0))*500,0)-IF(AND('計算A'!CX$117=1,XV37&gt;0),300,0)-IF(AND($L37=1,'計算A'!CY$117=1,GX37=0),300,0))),1000000))</f>
        <v/>
      </c>
      <c r="SB37">
        <f>IF($B37=0,1000000,IF(INDEX('計算A'!$D$60:$EQ$104,$B37,101)*GX37=1,IF(AND($E37=2,MM37=0),1000000,IF($I37&gt;0,IF(5=$J37,IF(OR(AND(101=$I37+1,OR($K37&lt;&gt;'計算A'!$A$3,'計算A'!$A$4=0)),AND(101=$I37-1,OR(5&lt;&gt;'計算A'!$A$3,'計算A'!$A$4=0))),0,IF(5=$K37,200000,ABS(5-$K37)*100)),100000+ABS(5-$J37)*1000+50)+'計算A'!CZ$5*50+IF(AND($E37=1,MM37=0),25,0),INDEX('計算A'!CZ$110:CZ$114,$F37+1)+IF(AND($E37=1,MM37=0),1000,0)+IF($H37=1,(IF('計算A'!CY$117=1,INDEX('計算A'!CY$10:CY$54,$B37),0)+IF('計算A'!CZ$117=1,INDEX('計算A'!DA$10:DA$54,$B37),0))*500,0)-IF(AND('計算A'!CY$117=1,XW37&gt;0),300,0)-IF(AND($L37=1,'計算A'!CZ$117=1,GY37=0),300,0))),1000000))</f>
        <v/>
      </c>
      <c r="SC37">
        <f>IF($B37=0,1000000,IF(INDEX('計算A'!$D$60:$EQ$104,$B37,102)*GY37=1,IF(AND($E37=2,MN37=0),1000000,IF($I37&gt;0,IF(5=$J37,IF(OR(AND(102=$I37+1,OR($K37&lt;&gt;'計算A'!$A$3,'計算A'!$A$4=0)),AND(102=$I37-1,OR(6&lt;&gt;'計算A'!$A$3,'計算A'!$A$4=0))),0,IF(6=$K37,200000,ABS(6-$K37)*100)),100000+ABS(5-$J37)*1000+60)+'計算A'!DA$5*50+IF(AND($E37=1,MN37=0),25,0),INDEX('計算A'!DA$110:DA$114,$F37+1)+IF(AND($E37=1,MN37=0),1000,0)+IF($H37=1,(IF('計算A'!CZ$117=1,INDEX('計算A'!CZ$10:CZ$54,$B37),0)+IF('計算A'!DA$117=1,INDEX('計算A'!DB$10:DB$54,$B37),0))*500,0)-IF(AND('計算A'!CZ$117=1,XX37&gt;0),300,0)-IF(AND($L37=1,'計算A'!DA$117=1,GZ37=0),300,0))),1000000))</f>
        <v/>
      </c>
      <c r="SD37">
        <f>IF($B37=0,1000000,IF(INDEX('計算A'!$D$60:$EQ$104,$B37,103)*GZ37=1,IF(AND($E37=2,MO37=0),1000000,IF($I37&gt;0,IF(5=$J37,IF(OR(AND(103=$I37+1,OR($K37&lt;&gt;'計算A'!$A$3,'計算A'!$A$4=0)),AND(103=$I37-1,OR(7&lt;&gt;'計算A'!$A$3,'計算A'!$A$4=0))),0,IF(7=$K37,200000,ABS(7-$K37)*100)),100000+ABS(5-$J37)*1000+70)+'計算A'!DB$5*50+IF(AND($E37=1,MO37=0),25,0),INDEX('計算A'!DB$110:DB$114,$F37+1)+IF(AND($E37=1,MO37=0),1000,0)+IF($H37=1,(IF('計算A'!DA$117=1,INDEX('計算A'!DA$10:DA$54,$B37),0)+IF('計算A'!DB$117=1,INDEX('計算A'!DC$10:DC$54,$B37),0))*500,0)-IF(AND('計算A'!DA$117=1,XY37&gt;0),300,0)-IF(AND($L37=1,'計算A'!DB$117=1,HA37=0),300,0))),1000000))</f>
        <v/>
      </c>
      <c r="SE37">
        <f>IF($B37=0,1000000,IF(INDEX('計算A'!$D$60:$EQ$104,$B37,104)*HA37=1,IF(AND($E37=2,MP37=0),1000000,IF($I37&gt;0,IF(5=$J37,IF(OR(AND(104=$I37+1,OR($K37&lt;&gt;'計算A'!$A$3,'計算A'!$A$4=0)),AND(104=$I37-1,OR(8&lt;&gt;'計算A'!$A$3,'計算A'!$A$4=0))),0,IF(8=$K37,200000,ABS(8-$K37)*100)),100000+ABS(5-$J37)*1000+80)+'計算A'!DC$5*50+IF(AND($E37=1,MP37=0),25,0),INDEX('計算A'!DC$110:DC$114,$F37+1)+IF(AND($E37=1,MP37=0),1000,0)+IF($H37=1,(IF('計算A'!DB$117=1,INDEX('計算A'!DB$10:DB$54,$B37),0)+IF('計算A'!DC$117=1,INDEX('計算A'!DD$10:DD$54,$B37),0))*500,0)-IF(AND('計算A'!DB$117=1,XZ37&gt;0),300,0)-IF(AND($L37=1,'計算A'!DC$117=1,HB37=0),300,0))),1000000))</f>
        <v/>
      </c>
      <c r="SF37">
        <f>IF($B37=0,1000000,IF(INDEX('計算A'!$D$60:$EQ$104,$B37,105)*HB37=1,IF(AND($E37=2,MQ37=0),1000000,IF($I37&gt;0,IF(5=$J37,IF(OR(AND(105=$I37+1,OR($K37&lt;&gt;'計算A'!$A$3,'計算A'!$A$4=0)),AND(105=$I37-1,OR(9&lt;&gt;'計算A'!$A$3,'計算A'!$A$4=0))),0,IF(9=$K37,200000,ABS(9-$K37)*100)),100000+ABS(5-$J37)*1000+90)+'計算A'!DD$5*50+IF(AND($E37=1,MQ37=0),25,0),INDEX('計算A'!DD$110:DD$114,$F37+1)+IF(AND($E37=1,MQ37=0),1000,0)+IF($H37=1,(IF('計算A'!DC$117=1,INDEX('計算A'!DC$10:DC$54,$B37),0)+IF('計算A'!DD$117=1,INDEX('計算A'!DE$10:DE$54,$B37),0))*500,0)-IF(AND('計算A'!DC$117=1,YA37&gt;0),300,0)-IF(AND($L37=1,'計算A'!DD$117=1,HC37=0),300,0))),1000000))</f>
        <v/>
      </c>
      <c r="SG37">
        <f>IF($B37=0,1000000,IF(INDEX('計算A'!$D$60:$EQ$104,$B37,106)*HC37=1,IF(AND($E37=2,MR37=0),1000000,IF($I37&gt;0,IF(5=$J37,IF(OR(AND(106=$I37+1,OR($K37&lt;&gt;'計算A'!$A$3,'計算A'!$A$4=0)),AND(106=$I37-1,OR(10&lt;&gt;'計算A'!$A$3,'計算A'!$A$4=0))),0,IF(10=$K37,200000,ABS(10-$K37)*100)),100000+ABS(5-$J37)*1000+100)+'計算A'!DE$5*50+IF(AND($E37=1,MR37=0),25,0),INDEX('計算A'!DE$110:DE$114,$F37+1)+IF(AND($E37=1,MR37=0),1000,0)+IF($H37=1,(IF('計算A'!DD$117=1,INDEX('計算A'!DD$10:DD$54,$B37),0)+IF('計算A'!DE$117=1,INDEX('計算A'!DF$10:DF$54,$B37),0))*500,0)-IF(AND('計算A'!DD$117=1,YB37&gt;0),300,0)-IF(AND($L37=1,'計算A'!DE$117=1,HD37=0),300,0))),1000000))</f>
        <v/>
      </c>
      <c r="SH37">
        <f>IF($B37=0,1000000,IF(INDEX('計算A'!$D$60:$EQ$104,$B37,107)*HD37=1,IF(AND($E37=2,MS37=0),1000000,IF($I37&gt;0,IF(5=$J37,IF(OR(AND(107=$I37+1,OR($K37&lt;&gt;'計算A'!$A$3,'計算A'!$A$4=0)),AND(107=$I37-1,OR(11&lt;&gt;'計算A'!$A$3,'計算A'!$A$4=0))),0,IF(11=$K37,200000,ABS(11-$K37)*100)),100000+ABS(5-$J37)*1000+110)+'計算A'!DF$5*50+IF(AND($E37=1,MS37=0),25,0),INDEX('計算A'!DF$110:DF$114,$F37+1)+IF(AND($E37=1,MS37=0),1000,0)+IF($H37=1,(IF('計算A'!DE$117=1,INDEX('計算A'!DE$10:DE$54,$B37),0)+IF('計算A'!DF$117=1,INDEX('計算A'!DG$10:DG$54,$B37),0))*500,0)-IF(AND('計算A'!DE$117=1,YC37&gt;0),300,0)-IF(AND($L37=1,'計算A'!DF$117=1,HE37=0),300,0))),1000000))</f>
        <v/>
      </c>
      <c r="SI37">
        <f>IF($B37=0,1000000,IF(INDEX('計算A'!$D$60:$EQ$104,$B37,108)*HE37=1,IF(AND($E37=2,MT37=0),1000000,IF($I37&gt;0,IF(5=$J37,IF(OR(AND(108=$I37+1,OR($K37&lt;&gt;'計算A'!$A$3,'計算A'!$A$4=0)),AND(108=$I37-1,OR(12&lt;&gt;'計算A'!$A$3,'計算A'!$A$4=0))),0,IF(12=$K37,200000,ABS(12-$K37)*100)),100000+ABS(5-$J37)*1000+120)+'計算A'!DG$5*50+IF(AND($E37=1,MT37=0),25,0),INDEX('計算A'!DG$110:DG$114,$F37+1)+IF(AND($E37=1,MT37=0),1000,0)+IF($H37=1,(IF('計算A'!DF$117=1,INDEX('計算A'!DF$10:DF$54,$B37),0)+IF('計算A'!DG$117=1,INDEX('計算A'!DH$10:DH$54,$B37),0))*500,0)-IF(AND('計算A'!DF$117=1,YD37&gt;0),300,0)-IF(AND($L37=1,'計算A'!DG$117=1,HF37=0),300,0))),1000000))</f>
        <v/>
      </c>
      <c r="SJ37">
        <f>IF($B37=0,1000000,IF(INDEX('計算A'!$D$60:$EQ$104,$B37,109)*HF37=1,IF(AND($E37=2,MU37=0),1000000,IF($I37&gt;0,IF(5=$J37,IF(OR(AND(109=$I37+1,OR($K37&lt;&gt;'計算A'!$A$3,'計算A'!$A$4=0)),AND(109=$I37-1,OR(13&lt;&gt;'計算A'!$A$3,'計算A'!$A$4=0))),0,IF(13=$K37,200000,ABS(13-$K37)*100)),100000+ABS(5-$J37)*1000+130)+'計算A'!DH$5*50+IF(AND($E37=1,MU37=0),25,0),INDEX('計算A'!DH$110:DH$114,$F37+1)+IF(AND($E37=1,MU37=0),1000,0)+IF($H37=1,(IF('計算A'!DG$117=1,INDEX('計算A'!DG$10:DG$54,$B37),0)+IF('計算A'!DH$117=1,INDEX('計算A'!DI$10:DI$54,$B37),0))*500,0)-IF(AND('計算A'!DG$117=1,YE37&gt;0),300,0)-IF(AND($L37=1,'計算A'!DH$117=1,HG37=0),300,0))),1000000))</f>
        <v/>
      </c>
      <c r="SK37">
        <f>IF($B37=0,1000000,IF(INDEX('計算A'!$D$60:$EQ$104,$B37,110)*HG37=1,IF(AND($E37=2,MV37=0),1000000,IF($I37&gt;0,IF(5=$J37,IF(OR(AND(110=$I37+1,OR($K37&lt;&gt;'計算A'!$A$3,'計算A'!$A$4=0)),AND(110=$I37-1,OR(14&lt;&gt;'計算A'!$A$3,'計算A'!$A$4=0))),0,IF(14=$K37,200000,ABS(14-$K37)*100)),100000+ABS(5-$J37)*1000+140)+'計算A'!DI$5*50+IF(AND($E37=1,MV37=0),25,0),INDEX('計算A'!DI$110:DI$114,$F37+1)+IF(AND($E37=1,MV37=0),1000,0)+IF($H37=1,(IF('計算A'!DH$117=1,INDEX('計算A'!DH$10:DH$54,$B37),0)+IF('計算A'!DI$117=1,INDEX('計算A'!DJ$10:DJ$54,$B37),0))*500,0)-IF(AND('計算A'!DH$117=1,YF37&gt;0),300,0)-IF(AND($L37=1,'計算A'!DI$117=1,HH37=0),300,0))),1000000))</f>
        <v/>
      </c>
      <c r="SL37">
        <f>IF($B37=0,1000000,IF(INDEX('計算A'!$D$60:$EQ$104,$B37,111)*HH37=1,IF(AND($E37=2,MW37=0),1000000,IF($I37&gt;0,IF(5=$J37,IF(OR(AND(111=$I37+1,OR($K37&lt;&gt;'計算A'!$A$3,'計算A'!$A$4=0)),AND(111=$I37-1,OR(15&lt;&gt;'計算A'!$A$3,'計算A'!$A$4=0))),0,IF(15=$K37,200000,ABS(15-$K37)*100)),100000+ABS(5-$J37)*1000+150)+'計算A'!DJ$5*50+IF(AND($E37=1,MW37=0),25,0),INDEX('計算A'!DJ$110:DJ$114,$F37+1)+IF(AND($E37=1,MW37=0),1000,0)+IF($H37=1,(IF('計算A'!DI$117=1,INDEX('計算A'!DI$10:DI$54,$B37),0)+IF('計算A'!DJ$117=1,INDEX('計算A'!DK$10:DK$54,$B37),0))*500,0)-IF(AND('計算A'!DI$117=1,YG37&gt;0),300,0)-IF(AND($L37=1,'計算A'!DJ$117=1,HI37=0),300,0))),1000000))</f>
        <v/>
      </c>
      <c r="SM37">
        <f>IF($B37=0,1000000,IF(INDEX('計算A'!$D$60:$EQ$104,$B37,112)*HI37=1,IF(AND($E37=2,MX37=0),1000000,IF($I37&gt;0,IF(5=$J37,IF(OR(AND(112=$I37+1,OR($K37&lt;&gt;'計算A'!$A$3,'計算A'!$A$4=0)),AND(112=$I37-1,OR(16&lt;&gt;'計算A'!$A$3,'計算A'!$A$4=0))),0,IF(16=$K37,200000,ABS(16-$K37)*100)),100000+ABS(5-$J37)*1000+160)+'計算A'!DK$5*50+IF(AND($E37=1,MX37=0),25,0),INDEX('計算A'!DK$110:DK$114,$F37+1)+IF(AND($E37=1,MX37=0),1000,0)+IF($H37=1,(IF('計算A'!DJ$117=1,INDEX('計算A'!DJ$10:DJ$54,$B37),0)+IF('計算A'!DK$117=1,INDEX('計算A'!DL$10:DL$54,$B37),0))*500,0)-IF(AND('計算A'!DJ$117=1,YH37&gt;0),300,0)-IF(AND($L37=1,'計算A'!DK$117=1,HJ37=0),300,0))),1000000))</f>
        <v/>
      </c>
      <c r="SN37">
        <f>IF($B37=0,1000000,IF(INDEX('計算A'!$D$60:$EQ$104,$B37,113)*HJ37=1,IF(AND($E37=2,MY37=0),1000000,IF($I37&gt;0,IF(5=$J37,IF(OR(AND(113=$I37+1,OR($K37&lt;&gt;'計算A'!$A$3,'計算A'!$A$4=0)),AND(113=$I37-1,OR(17&lt;&gt;'計算A'!$A$3,'計算A'!$A$4=0))),0,IF(17=$K37,200000,ABS(17-$K37)*100)),100000+ABS(5-$J37)*1000+170)+'計算A'!DL$5*50+IF(AND($E37=1,MY37=0),25,0),INDEX('計算A'!DL$110:DL$114,$F37+1)+IF(AND($E37=1,MY37=0),1000,0)+IF($H37=1,(IF('計算A'!DK$117=1,INDEX('計算A'!DK$10:DK$54,$B37),0)+IF('計算A'!DL$117=1,INDEX('計算A'!DM$10:DM$54,$B37),0))*500,0)-IF(AND('計算A'!DK$117=1,YI37&gt;0),300,0)-IF(AND($L37=1,'計算A'!DL$117=1,HK37=0),300,0))),1000000))</f>
        <v/>
      </c>
      <c r="SO37">
        <f>IF($B37=0,1000000,IF(INDEX('計算A'!$D$60:$EQ$104,$B37,114)*HK37=1,IF(AND($E37=2,MZ37=0),1000000,IF($I37&gt;0,IF(5=$J37,IF(OR(AND(114=$I37+1,OR($K37&lt;&gt;'計算A'!$A$3,'計算A'!$A$4=0)),AND(114=$I37-1,OR(18&lt;&gt;'計算A'!$A$3,'計算A'!$A$4=0))),0,IF(18=$K37,200000,ABS(18-$K37)*100)),100000+ABS(5-$J37)*1000+180)+'計算A'!DM$5*50+IF(AND($E37=1,MZ37=0),25,0),INDEX('計算A'!DM$110:DM$114,$F37+1)+IF(AND($E37=1,MZ37=0),1000,0)+IF($H37=1,(IF('計算A'!DL$117=1,INDEX('計算A'!DL$10:DL$54,$B37),0)+IF('計算A'!DM$117=1,INDEX('計算A'!DN$10:DN$54,$B37),0))*500,0)-IF(AND('計算A'!DL$117=1,YJ37&gt;0),300,0)-IF(AND($L37=1,'計算A'!DM$117=1,HL37=0),300,0))),1000000))</f>
        <v/>
      </c>
      <c r="SP37">
        <f>IF($B37=0,1000000,IF(INDEX('計算A'!$D$60:$EQ$104,$B37,115)*HL37=1,IF(AND($E37=2,NA37=0),1000000,IF($I37&gt;0,IF(5=$J37,IF(OR(AND(115=$I37+1,OR($K37&lt;&gt;'計算A'!$A$3,'計算A'!$A$4=0)),AND(115=$I37-1,OR(19&lt;&gt;'計算A'!$A$3,'計算A'!$A$4=0))),0,IF(19=$K37,200000,ABS(19-$K37)*100)),100000+ABS(5-$J37)*1000+190)+'計算A'!DN$5*50+IF(AND($E37=1,NA37=0),25,0),INDEX('計算A'!DN$110:DN$114,$F37+1)+IF(AND($E37=1,NA37=0),1000,0)+IF($H37=1,(IF('計算A'!DM$117=1,INDEX('計算A'!DM$10:DM$54,$B37),0)+IF('計算A'!DN$117=1,INDEX('計算A'!DO$10:DO$54,$B37),0))*500,0)-IF(AND('計算A'!DM$117=1,YK37&gt;0),300,0)-IF(AND($L37=1,'計算A'!DN$117=1,HM37=0),300,0))),1000000))</f>
        <v/>
      </c>
      <c r="SQ37">
        <f>IF($B37=0,1000000,IF(INDEX('計算A'!$D$60:$EQ$104,$B37,116)*HM37=1,IF(AND($E37=2,NB37=0),1000000,IF($I37&gt;0,IF(5=$J37,IF(OR(AND(116=$I37+1,OR($K37&lt;&gt;'計算A'!$A$3,'計算A'!$A$4=0)),AND(116=$I37-1,OR(20&lt;&gt;'計算A'!$A$3,'計算A'!$A$4=0))),0,IF(20=$K37,200000,ABS(20-$K37)*100)),100000+ABS(5-$J37)*1000+200)+'計算A'!DO$5*50+IF(AND($E37=1,NB37=0),25,0),INDEX('計算A'!DO$110:DO$114,$F37+1)+IF(AND($E37=1,NB37=0),1000,0)+IF($H37=1,(IF('計算A'!DN$117=1,INDEX('計算A'!DN$10:DN$54,$B37),0)+IF('計算A'!DO$117=1,INDEX('計算A'!DP$10:DP$54,$B37),0))*500,0)-IF(AND('計算A'!DN$117=1,YL37&gt;0),300,0)-IF(AND($L37=1,'計算A'!DO$117=1,HN37=0),300,0))),1000000))</f>
        <v/>
      </c>
      <c r="SR37">
        <f>IF($B37=0,1000000,IF(INDEX('計算A'!$D$60:$EQ$104,$B37,117)*HN37=1,IF(AND($E37=2,NC37=0),1000000,IF($I37&gt;0,IF(5=$J37,IF(OR(AND(117=$I37+1,OR($K37&lt;&gt;'計算A'!$A$3,'計算A'!$A$4=0)),AND(117=$I37-1,OR(21&lt;&gt;'計算A'!$A$3,'計算A'!$A$4=0))),0,IF(21=$K37,200000,ABS(21-$K37)*100)),100000+ABS(5-$J37)*1000+210)+'計算A'!DP$5*50+IF(AND($E37=1,NC37=0),25,0),INDEX('計算A'!DP$110:DP$114,$F37+1)+IF(AND($E37=1,NC37=0),1000,0)+IF($H37=1,(IF('計算A'!DO$117=1,INDEX('計算A'!DO$10:DO$54,$B37),0)+IF('計算A'!DP$117=1,INDEX('計算A'!DQ$10:DQ$54,$B37),0))*500,0)-IF(AND('計算A'!DO$117=1,YM37&gt;0),300,0)-IF(AND($L37=1,'計算A'!DP$117=1,HO37=0),300,0))),1000000))</f>
        <v/>
      </c>
      <c r="SS37">
        <f>IF($B37=0,1000000,IF(INDEX('計算A'!$D$60:$EQ$104,$B37,118)*HO37=1,IF(AND($E37=2,ND37=0),1000000,IF($I37&gt;0,IF(5=$J37,IF(OR(AND(118=$I37+1,OR($K37&lt;&gt;'計算A'!$A$3,'計算A'!$A$4=0)),AND(118=$I37-1,OR(22&lt;&gt;'計算A'!$A$3,'計算A'!$A$4=0))),0,IF(22=$K37,200000,ABS(22-$K37)*100)),100000+ABS(5-$J37)*1000+220)+'計算A'!DQ$5*50+IF(AND($E37=1,ND37=0),25,0),INDEX('計算A'!DQ$110:DQ$114,$F37+1)+IF(AND($E37=1,ND37=0),1000,0)+IF($H37=1,(IF('計算A'!DP$117=1,INDEX('計算A'!DP$10:DP$54,$B37),0)+IF('計算A'!DQ$117=1,INDEX('計算A'!DR$10:DR$54,$B37),0))*500,0)-IF(AND('計算A'!DP$117=1,YN37&gt;0),300,0)-IF(AND($L37=1,'計算A'!DQ$117=1,HP37=0),300,0))),1000000))</f>
        <v/>
      </c>
      <c r="ST37">
        <f>IF($B37=0,1000000,IF(INDEX('計算A'!$D$60:$EQ$104,$B37,119)*HP37=1,IF(AND($E37=2,NE37=0),1000000,IF($I37&gt;0,IF(5=$J37,IF(OR(AND(119=$I37+1,OR($K37&lt;&gt;'計算A'!$A$3,'計算A'!$A$4=0)),AND(119=$I37-1,OR(23&lt;&gt;'計算A'!$A$3,'計算A'!$A$4=0))),0,IF(23=$K37,200000,ABS(23-$K37)*100)),100000+ABS(5-$J37)*1000+230)+'計算A'!DR$5*50+IF(AND($E37=1,NE37=0),25,0),INDEX('計算A'!DR$110:DR$114,$F37+1)+IF(AND($E37=1,NE37=0),1000,0)+IF($H37=1,(IF('計算A'!DQ$117=1,INDEX('計算A'!DQ$10:DQ$54,$B37),0)+IF('計算A'!DR$117=1,INDEX('計算A'!DS$10:DS$54,$B37),0))*500,0)-IF(AND('計算A'!DQ$117=1,YO37&gt;0),300,0)-IF(AND($L37=1,'計算A'!DR$117=1,HQ37=0),300,0))),1000000))</f>
        <v/>
      </c>
      <c r="SU37">
        <f>IF($B37=0,1000000,IF(INDEX('計算A'!$D$60:$EQ$104,$B37,120)*HQ37=1,IF(AND($E37=2,NF37=0),1000000,IF($I37&gt;0,IF(5=$J37,IF(OR(AND(120=$I37+1,OR($K37&lt;&gt;'計算A'!$A$3,'計算A'!$A$4=0)),AND(120=$I37-1,OR(24&lt;&gt;'計算A'!$A$3,'計算A'!$A$4=0))),0,IF(24=$K37,200000,ABS(24-$K37)*100)),100000+ABS(5-$J37)*1000+240)+'計算A'!DS$5*50+IF(AND($E37=1,NF37=0),25,0),INDEX('計算A'!DS$110:DS$114,$F37+1)+IF(AND($E37=1,NF37=0),1000,0)+IF($H37=1,(IF('計算A'!DR$117=1,INDEX('計算A'!DR$10:DR$54,$B37),0))*500,0)-IF(AND('計算A'!DR$117=1,YP37&gt;0),300,0))),1000000))</f>
        <v/>
      </c>
      <c r="SV37">
        <f>IF($B37=0,1000000,IF(INDEX('計算A'!$D$60:$EQ$104,$B37,121)*HR37=1,IF(AND($E37=2,NG37=0),1000000,IF($I37&gt;0,IF(6=$J37,IF(OR(AND(121=$I37+1,OR($K37&lt;&gt;'計算A'!$A$3,'計算A'!$A$4=0)),AND(121=$I37-1,OR(1&lt;&gt;'計算A'!$A$3,'計算A'!$A$4=0))),0,IF(1=$K37,200000,ABS(1-$K37)*100)),100000+ABS(6-$J37)*1000+10)+'計算A'!DT$5*50+IF(AND($E37=1,NG37=0),25,0),INDEX('計算A'!DT$110:DT$114,$F37+1)+IF(AND($E37=1,NG37=0),1000,0)+IF($H37=1,(IF('計算A'!DT$117=1,INDEX('計算A'!DU$10:DU$54,$B37),0))*500,0)-IF(AND($L37=1,'計算A'!DT$117=1,HS37=0),300,0))),1000000))</f>
        <v/>
      </c>
      <c r="SW37">
        <f>IF($B37=0,1000000,IF(INDEX('計算A'!$D$60:$EQ$104,$B37,122)*HS37=1,IF(AND($E37=2,NH37=0),1000000,IF($I37&gt;0,IF(6=$J37,IF(OR(AND(122=$I37+1,OR($K37&lt;&gt;'計算A'!$A$3,'計算A'!$A$4=0)),AND(122=$I37-1,OR(2&lt;&gt;'計算A'!$A$3,'計算A'!$A$4=0))),0,IF(2=$K37,200000,ABS(2-$K37)*100)),100000+ABS(6-$J37)*1000+20)+'計算A'!DU$5*50+IF(AND($E37=1,NH37=0),25,0),INDEX('計算A'!DU$110:DU$114,$F37+1)+IF(AND($E37=1,NH37=0),1000,0)+IF($H37=1,(IF('計算A'!DT$117=1,INDEX('計算A'!DT$10:DT$54,$B37),0)+IF('計算A'!DU$117=1,INDEX('計算A'!DV$10:DV$54,$B37),0))*500,0)-IF(AND('計算A'!DT$117=1,YR37&gt;0),300,0)-IF(AND($L37=1,'計算A'!DU$117=1,HT37=0),300,0))),1000000))</f>
        <v/>
      </c>
      <c r="SX37">
        <f>IF($B37=0,1000000,IF(INDEX('計算A'!$D$60:$EQ$104,$B37,123)*HT37=1,IF(AND($E37=2,NI37=0),1000000,IF($I37&gt;0,IF(6=$J37,IF(OR(AND(123=$I37+1,OR($K37&lt;&gt;'計算A'!$A$3,'計算A'!$A$4=0)),AND(123=$I37-1,OR(3&lt;&gt;'計算A'!$A$3,'計算A'!$A$4=0))),0,IF(3=$K37,200000,ABS(3-$K37)*100)),100000+ABS(6-$J37)*1000+30)+'計算A'!DV$5*50+IF(AND($E37=1,NI37=0),25,0),INDEX('計算A'!DV$110:DV$114,$F37+1)+IF(AND($E37=1,NI37=0),1000,0)+IF($H37=1,(IF('計算A'!DU$117=1,INDEX('計算A'!DU$10:DU$54,$B37),0)+IF('計算A'!DV$117=1,INDEX('計算A'!DW$10:DW$54,$B37),0))*500,0)-IF(AND('計算A'!DU$117=1,YS37&gt;0),300,0)-IF(AND($L37=1,'計算A'!DV$117=1,HU37=0),300,0))),1000000))</f>
        <v/>
      </c>
      <c r="SY37">
        <f>IF($B37=0,1000000,IF(INDEX('計算A'!$D$60:$EQ$104,$B37,124)*HU37=1,IF(AND($E37=2,NJ37=0),1000000,IF($I37&gt;0,IF(6=$J37,IF(OR(AND(124=$I37+1,OR($K37&lt;&gt;'計算A'!$A$3,'計算A'!$A$4=0)),AND(124=$I37-1,OR(4&lt;&gt;'計算A'!$A$3,'計算A'!$A$4=0))),0,IF(4=$K37,200000,ABS(4-$K37)*100)),100000+ABS(6-$J37)*1000+40)+'計算A'!DW$5*50+IF(AND($E37=1,NJ37=0),25,0),INDEX('計算A'!DW$110:DW$114,$F37+1)+IF(AND($E37=1,NJ37=0),1000,0)+IF($H37=1,(IF('計算A'!DV$117=1,INDEX('計算A'!DV$10:DV$54,$B37),0)+IF('計算A'!DW$117=1,INDEX('計算A'!DX$10:DX$54,$B37),0))*500,0)-IF(AND('計算A'!DV$117=1,YT37&gt;0),300,0)-IF(AND($L37=1,'計算A'!DW$117=1,HV37=0),300,0))),1000000))</f>
        <v/>
      </c>
      <c r="SZ37">
        <f>IF($B37=0,1000000,IF(INDEX('計算A'!$D$60:$EQ$104,$B37,125)*HV37=1,IF(AND($E37=2,NK37=0),1000000,IF($I37&gt;0,IF(6=$J37,IF(OR(AND(125=$I37+1,OR($K37&lt;&gt;'計算A'!$A$3,'計算A'!$A$4=0)),AND(125=$I37-1,OR(5&lt;&gt;'計算A'!$A$3,'計算A'!$A$4=0))),0,IF(5=$K37,200000,ABS(5-$K37)*100)),100000+ABS(6-$J37)*1000+50)+'計算A'!DX$5*50+IF(AND($E37=1,NK37=0),25,0),INDEX('計算A'!DX$110:DX$114,$F37+1)+IF(AND($E37=1,NK37=0),1000,0)+IF($H37=1,(IF('計算A'!DW$117=1,INDEX('計算A'!DW$10:DW$54,$B37),0)+IF('計算A'!DX$117=1,INDEX('計算A'!DY$10:DY$54,$B37),0))*500,0)-IF(AND('計算A'!DW$117=1,YU37&gt;0),300,0)-IF(AND($L37=1,'計算A'!DX$117=1,HW37=0),300,0))),1000000))</f>
        <v/>
      </c>
      <c r="TA37">
        <f>IF($B37=0,1000000,IF(INDEX('計算A'!$D$60:$EQ$104,$B37,126)*HW37=1,IF(AND($E37=2,NL37=0),1000000,IF($I37&gt;0,IF(6=$J37,IF(OR(AND(126=$I37+1,OR($K37&lt;&gt;'計算A'!$A$3,'計算A'!$A$4=0)),AND(126=$I37-1,OR(6&lt;&gt;'計算A'!$A$3,'計算A'!$A$4=0))),0,IF(6=$K37,200000,ABS(6-$K37)*100)),100000+ABS(6-$J37)*1000+60)+'計算A'!DY$5*50+IF(AND($E37=1,NL37=0),25,0),INDEX('計算A'!DY$110:DY$114,$F37+1)+IF(AND($E37=1,NL37=0),1000,0)+IF($H37=1,(IF('計算A'!DX$117=1,INDEX('計算A'!DX$10:DX$54,$B37),0)+IF('計算A'!DY$117=1,INDEX('計算A'!DZ$10:DZ$54,$B37),0))*500,0)-IF(AND('計算A'!DX$117=1,YV37&gt;0),300,0)-IF(AND($L37=1,'計算A'!DY$117=1,HX37=0),300,0))),1000000))</f>
        <v/>
      </c>
      <c r="TB37">
        <f>IF($B37=0,1000000,IF(INDEX('計算A'!$D$60:$EQ$104,$B37,127)*HX37=1,IF(AND($E37=2,NM37=0),1000000,IF($I37&gt;0,IF(6=$J37,IF(OR(AND(127=$I37+1,OR($K37&lt;&gt;'計算A'!$A$3,'計算A'!$A$4=0)),AND(127=$I37-1,OR(7&lt;&gt;'計算A'!$A$3,'計算A'!$A$4=0))),0,IF(7=$K37,200000,ABS(7-$K37)*100)),100000+ABS(6-$J37)*1000+70)+'計算A'!DZ$5*50+IF(AND($E37=1,NM37=0),25,0),INDEX('計算A'!DZ$110:DZ$114,$F37+1)+IF(AND($E37=1,NM37=0),1000,0)+IF($H37=1,(IF('計算A'!DY$117=1,INDEX('計算A'!DY$10:DY$54,$B37),0)+IF('計算A'!DZ$117=1,INDEX('計算A'!EA$10:EA$54,$B37),0))*500,0)-IF(AND('計算A'!DY$117=1,YW37&gt;0),300,0)-IF(AND($L37=1,'計算A'!DZ$117=1,HY37=0),300,0))),1000000))</f>
        <v/>
      </c>
      <c r="TC37">
        <f>IF($B37=0,1000000,IF(INDEX('計算A'!$D$60:$EQ$104,$B37,128)*HY37=1,IF(AND($E37=2,NN37=0),1000000,IF($I37&gt;0,IF(6=$J37,IF(OR(AND(128=$I37+1,OR($K37&lt;&gt;'計算A'!$A$3,'計算A'!$A$4=0)),AND(128=$I37-1,OR(8&lt;&gt;'計算A'!$A$3,'計算A'!$A$4=0))),0,IF(8=$K37,200000,ABS(8-$K37)*100)),100000+ABS(6-$J37)*1000+80)+'計算A'!EA$5*50+IF(AND($E37=1,NN37=0),25,0),INDEX('計算A'!EA$110:EA$114,$F37+1)+IF(AND($E37=1,NN37=0),1000,0)+IF($H37=1,(IF('計算A'!DZ$117=1,INDEX('計算A'!DZ$10:DZ$54,$B37),0)+IF('計算A'!EA$117=1,INDEX('計算A'!EB$10:EB$54,$B37),0))*500,0)-IF(AND('計算A'!DZ$117=1,YX37&gt;0),300,0)-IF(AND($L37=1,'計算A'!EA$117=1,HZ37=0),300,0))),1000000))</f>
        <v/>
      </c>
      <c r="TD37">
        <f>IF($B37=0,1000000,IF(INDEX('計算A'!$D$60:$EQ$104,$B37,129)*HZ37=1,IF(AND($E37=2,NO37=0),1000000,IF($I37&gt;0,IF(6=$J37,IF(OR(AND(129=$I37+1,OR($K37&lt;&gt;'計算A'!$A$3,'計算A'!$A$4=0)),AND(129=$I37-1,OR(9&lt;&gt;'計算A'!$A$3,'計算A'!$A$4=0))),0,IF(9=$K37,200000,ABS(9-$K37)*100)),100000+ABS(6-$J37)*1000+90)+'計算A'!EB$5*50+IF(AND($E37=1,NO37=0),25,0),INDEX('計算A'!EB$110:EB$114,$F37+1)+IF(AND($E37=1,NO37=0),1000,0)+IF($H37=1,(IF('計算A'!EA$117=1,INDEX('計算A'!EA$10:EA$54,$B37),0)+IF('計算A'!EB$117=1,INDEX('計算A'!EC$10:EC$54,$B37),0))*500,0)-IF(AND('計算A'!EA$117=1,YY37&gt;0),300,0)-IF(AND($L37=1,'計算A'!EB$117=1,IA37=0),300,0))),1000000))</f>
        <v/>
      </c>
      <c r="TE37">
        <f>IF($B37=0,1000000,IF(INDEX('計算A'!$D$60:$EQ$104,$B37,130)*IA37=1,IF(AND($E37=2,NP37=0),1000000,IF($I37&gt;0,IF(6=$J37,IF(OR(AND(130=$I37+1,OR($K37&lt;&gt;'計算A'!$A$3,'計算A'!$A$4=0)),AND(130=$I37-1,OR(10&lt;&gt;'計算A'!$A$3,'計算A'!$A$4=0))),0,IF(10=$K37,200000,ABS(10-$K37)*100)),100000+ABS(6-$J37)*1000+100)+'計算A'!EC$5*50+IF(AND($E37=1,NP37=0),25,0),INDEX('計算A'!EC$110:EC$114,$F37+1)+IF(AND($E37=1,NP37=0),1000,0)+IF($H37=1,(IF('計算A'!EB$117=1,INDEX('計算A'!EB$10:EB$54,$B37),0)+IF('計算A'!EC$117=1,INDEX('計算A'!ED$10:ED$54,$B37),0))*500,0)-IF(AND('計算A'!EB$117=1,YZ37&gt;0),300,0)-IF(AND($L37=1,'計算A'!EC$117=1,IB37=0),300,0))),1000000))</f>
        <v/>
      </c>
      <c r="TF37">
        <f>IF($B37=0,1000000,IF(INDEX('計算A'!$D$60:$EQ$104,$B37,131)*IB37=1,IF(AND($E37=2,NQ37=0),1000000,IF($I37&gt;0,IF(6=$J37,IF(OR(AND(131=$I37+1,OR($K37&lt;&gt;'計算A'!$A$3,'計算A'!$A$4=0)),AND(131=$I37-1,OR(11&lt;&gt;'計算A'!$A$3,'計算A'!$A$4=0))),0,IF(11=$K37,200000,ABS(11-$K37)*100)),100000+ABS(6-$J37)*1000+110)+'計算A'!ED$5*50+IF(AND($E37=1,NQ37=0),25,0),INDEX('計算A'!ED$110:ED$114,$F37+1)+IF(AND($E37=1,NQ37=0),1000,0)+IF($H37=1,(IF('計算A'!EC$117=1,INDEX('計算A'!EC$10:EC$54,$B37),0)+IF('計算A'!ED$117=1,INDEX('計算A'!EE$10:EE$54,$B37),0))*500,0)-IF(AND('計算A'!EC$117=1,ZA37&gt;0),300,0)-IF(AND($L37=1,'計算A'!ED$117=1,IC37=0),300,0))),1000000))</f>
        <v/>
      </c>
      <c r="TG37">
        <f>IF($B37=0,1000000,IF(INDEX('計算A'!$D$60:$EQ$104,$B37,132)*IC37=1,IF(AND($E37=2,NR37=0),1000000,IF($I37&gt;0,IF(6=$J37,IF(OR(AND(132=$I37+1,OR($K37&lt;&gt;'計算A'!$A$3,'計算A'!$A$4=0)),AND(132=$I37-1,OR(12&lt;&gt;'計算A'!$A$3,'計算A'!$A$4=0))),0,IF(12=$K37,200000,ABS(12-$K37)*100)),100000+ABS(6-$J37)*1000+120)+'計算A'!EE$5*50+IF(AND($E37=1,NR37=0),25,0),INDEX('計算A'!EE$110:EE$114,$F37+1)+IF(AND($E37=1,NR37=0),1000,0)+IF($H37=1,(IF('計算A'!ED$117=1,INDEX('計算A'!ED$10:ED$54,$B37),0)+IF('計算A'!EE$117=1,INDEX('計算A'!EF$10:EF$54,$B37),0))*500,0)-IF(AND('計算A'!ED$117=1,ZB37&gt;0),300,0)-IF(AND($L37=1,'計算A'!EE$117=1,ID37=0),300,0))),1000000))</f>
        <v/>
      </c>
      <c r="TH37">
        <f>IF($B37=0,1000000,IF(INDEX('計算A'!$D$60:$EQ$104,$B37,133)*ID37=1,IF(AND($E37=2,NS37=0),1000000,IF($I37&gt;0,IF(6=$J37,IF(OR(AND(133=$I37+1,OR($K37&lt;&gt;'計算A'!$A$3,'計算A'!$A$4=0)),AND(133=$I37-1,OR(13&lt;&gt;'計算A'!$A$3,'計算A'!$A$4=0))),0,IF(13=$K37,200000,ABS(13-$K37)*100)),100000+ABS(6-$J37)*1000+130)+'計算A'!EF$5*50+IF(AND($E37=1,NS37=0),25,0),INDEX('計算A'!EF$110:EF$114,$F37+1)+IF(AND($E37=1,NS37=0),1000,0)+IF($H37=1,(IF('計算A'!EE$117=1,INDEX('計算A'!EE$10:EE$54,$B37),0)+IF('計算A'!EF$117=1,INDEX('計算A'!EG$10:EG$54,$B37),0))*500,0)-IF(AND('計算A'!EE$117=1,ZC37&gt;0),300,0)-IF(AND($L37=1,'計算A'!EF$117=1,IE37=0),300,0))),1000000))</f>
        <v/>
      </c>
      <c r="TI37">
        <f>IF($B37=0,1000000,IF(INDEX('計算A'!$D$60:$EQ$104,$B37,134)*IE37=1,IF(AND($E37=2,NT37=0),1000000,IF($I37&gt;0,IF(6=$J37,IF(OR(AND(134=$I37+1,OR($K37&lt;&gt;'計算A'!$A$3,'計算A'!$A$4=0)),AND(134=$I37-1,OR(14&lt;&gt;'計算A'!$A$3,'計算A'!$A$4=0))),0,IF(14=$K37,200000,ABS(14-$K37)*100)),100000+ABS(6-$J37)*1000+140)+'計算A'!EG$5*50+IF(AND($E37=1,NT37=0),25,0),INDEX('計算A'!EG$110:EG$114,$F37+1)+IF(AND($E37=1,NT37=0),1000,0)+IF($H37=1,(IF('計算A'!EF$117=1,INDEX('計算A'!EF$10:EF$54,$B37),0)+IF('計算A'!EG$117=1,INDEX('計算A'!EH$10:EH$54,$B37),0))*500,0)-IF(AND('計算A'!EF$117=1,ZD37&gt;0),300,0)-IF(AND($L37=1,'計算A'!EG$117=1,IF37=0),300,0))),1000000))</f>
        <v/>
      </c>
      <c r="TJ37">
        <f>IF($B37=0,1000000,IF(INDEX('計算A'!$D$60:$EQ$104,$B37,135)*IF37=1,IF(AND($E37=2,NU37=0),1000000,IF($I37&gt;0,IF(6=$J37,IF(OR(AND(135=$I37+1,OR($K37&lt;&gt;'計算A'!$A$3,'計算A'!$A$4=0)),AND(135=$I37-1,OR(15&lt;&gt;'計算A'!$A$3,'計算A'!$A$4=0))),0,IF(15=$K37,200000,ABS(15-$K37)*100)),100000+ABS(6-$J37)*1000+150)+'計算A'!EH$5*50+IF(AND($E37=1,NU37=0),25,0),INDEX('計算A'!EH$110:EH$114,$F37+1)+IF(AND($E37=1,NU37=0),1000,0)+IF($H37=1,(IF('計算A'!EG$117=1,INDEX('計算A'!EG$10:EG$54,$B37),0)+IF('計算A'!EH$117=1,INDEX('計算A'!EI$10:EI$54,$B37),0))*500,0)-IF(AND('計算A'!EG$117=1,ZE37&gt;0),300,0)-IF(AND($L37=1,'計算A'!EH$117=1,IG37=0),300,0))),1000000))</f>
        <v/>
      </c>
      <c r="TK37">
        <f>IF($B37=0,1000000,IF(INDEX('計算A'!$D$60:$EQ$104,$B37,136)*IG37=1,IF(AND($E37=2,NV37=0),1000000,IF($I37&gt;0,IF(6=$J37,IF(OR(AND(136=$I37+1,OR($K37&lt;&gt;'計算A'!$A$3,'計算A'!$A$4=0)),AND(136=$I37-1,OR(16&lt;&gt;'計算A'!$A$3,'計算A'!$A$4=0))),0,IF(16=$K37,200000,ABS(16-$K37)*100)),100000+ABS(6-$J37)*1000+160)+'計算A'!EI$5*50+IF(AND($E37=1,NV37=0),25,0),INDEX('計算A'!EI$110:EI$114,$F37+1)+IF(AND($E37=1,NV37=0),1000,0)+IF($H37=1,(IF('計算A'!EH$117=1,INDEX('計算A'!EH$10:EH$54,$B37),0)+IF('計算A'!EI$117=1,INDEX('計算A'!EJ$10:EJ$54,$B37),0))*500,0)-IF(AND('計算A'!EH$117=1,ZF37&gt;0),300,0)-IF(AND($L37=1,'計算A'!EI$117=1,IH37=0),300,0))),1000000))</f>
        <v/>
      </c>
      <c r="TL37">
        <f>IF($B37=0,1000000,IF(INDEX('計算A'!$D$60:$EQ$104,$B37,137)*IH37=1,IF(AND($E37=2,NW37=0),1000000,IF($I37&gt;0,IF(6=$J37,IF(OR(AND(137=$I37+1,OR($K37&lt;&gt;'計算A'!$A$3,'計算A'!$A$4=0)),AND(137=$I37-1,OR(17&lt;&gt;'計算A'!$A$3,'計算A'!$A$4=0))),0,IF(17=$K37,200000,ABS(17-$K37)*100)),100000+ABS(6-$J37)*1000+170)+'計算A'!EJ$5*50+IF(AND($E37=1,NW37=0),25,0),INDEX('計算A'!EJ$110:EJ$114,$F37+1)+IF(AND($E37=1,NW37=0),1000,0)+IF($H37=1,(IF('計算A'!EI$117=1,INDEX('計算A'!EI$10:EI$54,$B37),0)+IF('計算A'!EJ$117=1,INDEX('計算A'!EK$10:EK$54,$B37),0))*500,0)-IF(AND('計算A'!EI$117=1,ZG37&gt;0),300,0)-IF(AND($L37=1,'計算A'!EJ$117=1,II37=0),300,0))),1000000))</f>
        <v/>
      </c>
      <c r="TM37">
        <f>IF($B37=0,1000000,IF(INDEX('計算A'!$D$60:$EQ$104,$B37,138)*II37=1,IF(AND($E37=2,NX37=0),1000000,IF($I37&gt;0,IF(6=$J37,IF(OR(AND(138=$I37+1,OR($K37&lt;&gt;'計算A'!$A$3,'計算A'!$A$4=0)),AND(138=$I37-1,OR(18&lt;&gt;'計算A'!$A$3,'計算A'!$A$4=0))),0,IF(18=$K37,200000,ABS(18-$K37)*100)),100000+ABS(6-$J37)*1000+180)+'計算A'!EK$5*50+IF(AND($E37=1,NX37=0),25,0),INDEX('計算A'!EK$110:EK$114,$F37+1)+IF(AND($E37=1,NX37=0),1000,0)+IF($H37=1,(IF('計算A'!EJ$117=1,INDEX('計算A'!EJ$10:EJ$54,$B37),0)+IF('計算A'!EK$117=1,INDEX('計算A'!EL$10:EL$54,$B37),0))*500,0)-IF(AND('計算A'!EJ$117=1,ZH37&gt;0),300,0)-IF(AND($L37=1,'計算A'!EK$117=1,IJ37=0),300,0))),1000000))</f>
        <v/>
      </c>
      <c r="TN37">
        <f>IF($B37=0,1000000,IF(INDEX('計算A'!$D$60:$EQ$104,$B37,139)*IJ37=1,IF(AND($E37=2,NY37=0),1000000,IF($I37&gt;0,IF(6=$J37,IF(OR(AND(139=$I37+1,OR($K37&lt;&gt;'計算A'!$A$3,'計算A'!$A$4=0)),AND(139=$I37-1,OR(19&lt;&gt;'計算A'!$A$3,'計算A'!$A$4=0))),0,IF(19=$K37,200000,ABS(19-$K37)*100)),100000+ABS(6-$J37)*1000+190)+'計算A'!EL$5*50+IF(AND($E37=1,NY37=0),25,0),INDEX('計算A'!EL$110:EL$114,$F37+1)+IF(AND($E37=1,NY37=0),1000,0)+IF($H37=1,(IF('計算A'!EK$117=1,INDEX('計算A'!EK$10:EK$54,$B37),0)+IF('計算A'!EL$117=1,INDEX('計算A'!EM$10:EM$54,$B37),0))*500,0)-IF(AND('計算A'!EK$117=1,ZI37&gt;0),300,0)-IF(AND($L37=1,'計算A'!EL$117=1,IK37=0),300,0))),1000000))</f>
        <v/>
      </c>
      <c r="TO37">
        <f>IF($B37=0,1000000,IF(INDEX('計算A'!$D$60:$EQ$104,$B37,140)*IK37=1,IF(AND($E37=2,NZ37=0),1000000,IF($I37&gt;0,IF(6=$J37,IF(OR(AND(140=$I37+1,OR($K37&lt;&gt;'計算A'!$A$3,'計算A'!$A$4=0)),AND(140=$I37-1,OR(20&lt;&gt;'計算A'!$A$3,'計算A'!$A$4=0))),0,IF(20=$K37,200000,ABS(20-$K37)*100)),100000+ABS(6-$J37)*1000+200)+'計算A'!EM$5*50+IF(AND($E37=1,NZ37=0),25,0),INDEX('計算A'!EM$110:EM$114,$F37+1)+IF(AND($E37=1,NZ37=0),1000,0)+IF($H37=1,(IF('計算A'!EL$117=1,INDEX('計算A'!EL$10:EL$54,$B37),0)+IF('計算A'!EM$117=1,INDEX('計算A'!EN$10:EN$54,$B37),0))*500,0)-IF(AND('計算A'!EL$117=1,ZJ37&gt;0),300,0)-IF(AND($L37=1,'計算A'!EM$117=1,IL37=0),300,0))),1000000))</f>
        <v/>
      </c>
      <c r="TP37">
        <f>IF($B37=0,1000000,IF(INDEX('計算A'!$D$60:$EQ$104,$B37,141)*IL37=1,IF(AND($E37=2,OA37=0),1000000,IF($I37&gt;0,IF(6=$J37,IF(OR(AND(141=$I37+1,OR($K37&lt;&gt;'計算A'!$A$3,'計算A'!$A$4=0)),AND(141=$I37-1,OR(21&lt;&gt;'計算A'!$A$3,'計算A'!$A$4=0))),0,IF(21=$K37,200000,ABS(21-$K37)*100)),100000+ABS(6-$J37)*1000+210)+'計算A'!EN$5*50+IF(AND($E37=1,OA37=0),25,0),INDEX('計算A'!EN$110:EN$114,$F37+1)+IF(AND($E37=1,OA37=0),1000,0)+IF($H37=1,(IF('計算A'!EM$117=1,INDEX('計算A'!EM$10:EM$54,$B37),0)+IF('計算A'!EN$117=1,INDEX('計算A'!EO$10:EO$54,$B37),0))*500,0)-IF(AND('計算A'!EM$117=1,ZK37&gt;0),300,0)-IF(AND($L37=1,'計算A'!EN$117=1,IM37=0),300,0))),1000000))</f>
        <v/>
      </c>
      <c r="TQ37">
        <f>IF($B37=0,1000000,IF(INDEX('計算A'!$D$60:$EQ$104,$B37,142)*IM37=1,IF(AND($E37=2,OB37=0),1000000,IF($I37&gt;0,IF(6=$J37,IF(OR(AND(142=$I37+1,OR($K37&lt;&gt;'計算A'!$A$3,'計算A'!$A$4=0)),AND(142=$I37-1,OR(22&lt;&gt;'計算A'!$A$3,'計算A'!$A$4=0))),0,IF(22=$K37,200000,ABS(22-$K37)*100)),100000+ABS(6-$J37)*1000+220)+'計算A'!EO$5*50+IF(AND($E37=1,OB37=0),25,0),INDEX('計算A'!EO$110:EO$114,$F37+1)+IF(AND($E37=1,OB37=0),1000,0)+IF($H37=1,(IF('計算A'!EN$117=1,INDEX('計算A'!EN$10:EN$54,$B37),0)+IF('計算A'!EO$117=1,INDEX('計算A'!EP$10:EP$54,$B37),0))*500,0)-IF(AND('計算A'!EN$117=1,ZL37&gt;0),300,0)-IF(AND($L37=1,'計算A'!EO$117=1,IN37=0),300,0))),1000000))</f>
        <v/>
      </c>
      <c r="TR37">
        <f>IF($B37=0,1000000,IF(INDEX('計算A'!$D$60:$EQ$104,$B37,143)*IN37=1,IF(AND($E37=2,OC37=0),1000000,IF($I37&gt;0,IF(6=$J37,IF(OR(AND(143=$I37+1,OR($K37&lt;&gt;'計算A'!$A$3,'計算A'!$A$4=0)),AND(143=$I37-1,OR(23&lt;&gt;'計算A'!$A$3,'計算A'!$A$4=0))),0,IF(23=$K37,200000,ABS(23-$K37)*100)),100000+ABS(6-$J37)*1000+230)+'計算A'!EP$5*50+IF(AND($E37=1,OC37=0),25,0),INDEX('計算A'!EP$110:EP$114,$F37+1)+IF(AND($E37=1,OC37=0),1000,0)+IF($H37=1,(IF('計算A'!EO$117=1,INDEX('計算A'!EO$10:EO$54,$B37),0)+IF('計算A'!EP$117=1,INDEX('計算A'!EQ$10:EQ$54,$B37),0))*500,0)-IF(AND('計算A'!EO$117=1,ZM37&gt;0),300,0)-IF(AND($L37=1,'計算A'!EP$117=1,IO37=0),300,0))),1000000))</f>
        <v/>
      </c>
      <c r="TS37">
        <f>IF($B37=0,1000000,IF(INDEX('計算A'!$D$60:$EQ$104,$B37,144)*IO37=1,IF(AND($E37=2,OD37=0),1000000,IF($I37&gt;0,IF(6=$J37,IF(OR(AND(144=$I37+1,OR($K37&lt;&gt;'計算A'!$A$3,'計算A'!$A$4=0)),AND(144=$I37-1,OR(24&lt;&gt;'計算A'!$A$3,'計算A'!$A$4=0))),0,IF(24=$K37,200000,ABS(24-$K37)*100)),100000+ABS(6-$J37)*1000+240)+'計算A'!EQ$5*50+IF(AND($E37=1,OD37=0),25,0),INDEX('計算A'!EQ$110:EQ$114,$F37+1)+IF(AND($E37=1,OD37=0),1000,0)+IF($H37=1,(IF('計算A'!EP$117=1,INDEX('計算A'!EP$10:EP$54,$B37),0))*500,0)-IF(AND('計算A'!EP$117=1,ZN37&gt;0),300,0))),1000000))</f>
        <v/>
      </c>
      <c r="UB37">
        <f>UB36+IF(AND($C36=1,$L36=1),1,0)</f>
        <v/>
      </c>
      <c r="UC37">
        <f>UC36+IF(AND($C36=2,$L36=1),1,0)</f>
        <v/>
      </c>
      <c r="UD37">
        <f>UD36+IF(AND($C36=3,$L36=1),1,0)</f>
        <v/>
      </c>
      <c r="UE37">
        <f>UE36+IF(AND($C36=4,$L36=1),1,0)</f>
        <v/>
      </c>
      <c r="UF37">
        <f>UF36+IF(AND($C36=5,$L36=1),1,0)</f>
        <v/>
      </c>
      <c r="UG37">
        <f>UG36+IF(AND($C36=6,$L36=1),1,0)</f>
        <v/>
      </c>
      <c r="UH37">
        <f>UH36+IF(AND($C36=7,$L36=1),1,0)</f>
        <v/>
      </c>
      <c r="UI37">
        <f>UI36+IF(AND($C36=8,$L36=1),1,0)</f>
        <v/>
      </c>
      <c r="UJ37">
        <f>UJ36+IF(AND($C36=9,$L36=1),1,0)</f>
        <v/>
      </c>
      <c r="UK37">
        <f>UK36+IF(AND($C36=10,$L36=1),1,0)</f>
        <v/>
      </c>
      <c r="UL37">
        <f>UL36+IF(AND($C36=11,$L36=1),1,0)</f>
        <v/>
      </c>
      <c r="UM37">
        <f>UM36+IF(AND($C36=12,$L36=1),1,0)</f>
        <v/>
      </c>
      <c r="UN37">
        <f>UN36+IF(AND($C36=13,$L36=1),1,0)</f>
        <v/>
      </c>
      <c r="UO37">
        <f>UO36+IF(AND($C36=14,$L36=1),1,0)</f>
        <v/>
      </c>
      <c r="UP37">
        <f>UP36+IF(AND($C36=15,$L36=1),1,0)</f>
        <v/>
      </c>
      <c r="UQ37">
        <f>UQ36+IF(AND($C36=16,$L36=1),1,0)</f>
        <v/>
      </c>
      <c r="UR37">
        <f>UR36+IF(AND($C36=17,$L36=1),1,0)</f>
        <v/>
      </c>
      <c r="US37">
        <f>US36+IF(AND($C36=18,$L36=1),1,0)</f>
        <v/>
      </c>
      <c r="UT37">
        <f>UT36+IF(AND($C36=19,$L36=1),1,0)</f>
        <v/>
      </c>
      <c r="UU37">
        <f>UU36+IF(AND($C36=20,$L36=1),1,0)</f>
        <v/>
      </c>
      <c r="UV37">
        <f>UV36+IF(AND($C36=21,$L36=1),1,0)</f>
        <v/>
      </c>
      <c r="UW37">
        <f>UW36+IF(AND($C36=22,$L36=1),1,0)</f>
        <v/>
      </c>
      <c r="UX37">
        <f>UX36+IF(AND($C36=23,$L36=1),1,0)</f>
        <v/>
      </c>
      <c r="UY37">
        <f>UY36+IF(AND($C36=24,$L36=1),1,0)</f>
        <v/>
      </c>
      <c r="UZ37">
        <f>UZ36+IF(AND($C36=25,$L36=1),1,0)</f>
        <v/>
      </c>
      <c r="VA37">
        <f>VA36+IF(AND($C36=26,$L36=1),1,0)</f>
        <v/>
      </c>
      <c r="VB37">
        <f>VB36+IF(AND($C36=27,$L36=1),1,0)</f>
        <v/>
      </c>
      <c r="VC37">
        <f>VC36+IF(AND($C36=28,$L36=1),1,0)</f>
        <v/>
      </c>
      <c r="VD37">
        <f>VD36+IF(AND($C36=29,$L36=1),1,0)</f>
        <v/>
      </c>
      <c r="VE37">
        <f>VE36+IF(AND($C36=30,$L36=1),1,0)</f>
        <v/>
      </c>
      <c r="VF37">
        <f>VF36+IF(AND($C36=31,$L36=1),1,0)</f>
        <v/>
      </c>
      <c r="VG37">
        <f>VG36+IF(AND($C36=32,$L36=1),1,0)</f>
        <v/>
      </c>
      <c r="VH37">
        <f>VH36+IF(AND($C36=33,$L36=1),1,0)</f>
        <v/>
      </c>
      <c r="VI37">
        <f>VI36+IF(AND($C36=34,$L36=1),1,0)</f>
        <v/>
      </c>
      <c r="VJ37">
        <f>VJ36+IF(AND($C36=35,$L36=1),1,0)</f>
        <v/>
      </c>
      <c r="VK37">
        <f>VK36+IF(AND($C36=36,$L36=1),1,0)</f>
        <v/>
      </c>
      <c r="VL37">
        <f>VL36+IF(AND($C36=37,$L36=1),1,0)</f>
        <v/>
      </c>
      <c r="VM37">
        <f>VM36+IF(AND($C36=38,$L36=1),1,0)</f>
        <v/>
      </c>
      <c r="VN37">
        <f>VN36+IF(AND($C36=39,$L36=1),1,0)</f>
        <v/>
      </c>
      <c r="VO37">
        <f>VO36+IF(AND($C36=40,$L36=1),1,0)</f>
        <v/>
      </c>
      <c r="VP37">
        <f>VP36+IF(AND($C36=41,$L36=1),1,0)</f>
        <v/>
      </c>
      <c r="VQ37">
        <f>VQ36+IF(AND($C36=42,$L36=1),1,0)</f>
        <v/>
      </c>
      <c r="VR37">
        <f>VR36+IF(AND($C36=43,$L36=1),1,0)</f>
        <v/>
      </c>
      <c r="VS37">
        <f>VS36+IF(AND($C36=44,$L36=1),1,0)</f>
        <v/>
      </c>
      <c r="VT37">
        <f>VT36+IF(AND($C36=45,$L36=1),1,0)</f>
        <v/>
      </c>
      <c r="VU37">
        <f>VU36+IF(AND($C36=46,$L36=1),1,0)</f>
        <v/>
      </c>
      <c r="VV37">
        <f>VV36+IF(AND($C36=47,$L36=1),1,0)</f>
        <v/>
      </c>
      <c r="VW37">
        <f>VW36+IF(AND($C36=48,$L36=1),1,0)</f>
        <v/>
      </c>
      <c r="VX37">
        <f>VX36+IF(AND($C36=49,$L36=1),1,0)</f>
        <v/>
      </c>
      <c r="VY37">
        <f>VY36+IF(AND($C36=50,$L36=1),1,0)</f>
        <v/>
      </c>
      <c r="VZ37">
        <f>VZ36+IF(AND($C36=51,$L36=1),1,0)</f>
        <v/>
      </c>
      <c r="WA37">
        <f>WA36+IF(AND($C36=52,$L36=1),1,0)</f>
        <v/>
      </c>
      <c r="WB37">
        <f>WB36+IF(AND($C36=53,$L36=1),1,0)</f>
        <v/>
      </c>
      <c r="WC37">
        <f>WC36+IF(AND($C36=54,$L36=1),1,0)</f>
        <v/>
      </c>
      <c r="WD37">
        <f>WD36+IF(AND($C36=55,$L36=1),1,0)</f>
        <v/>
      </c>
      <c r="WE37">
        <f>WE36+IF(AND($C36=56,$L36=1),1,0)</f>
        <v/>
      </c>
      <c r="WF37">
        <f>WF36+IF(AND($C36=57,$L36=1),1,0)</f>
        <v/>
      </c>
      <c r="WG37">
        <f>WG36+IF(AND($C36=58,$L36=1),1,0)</f>
        <v/>
      </c>
      <c r="WH37">
        <f>WH36+IF(AND($C36=59,$L36=1),1,0)</f>
        <v/>
      </c>
      <c r="WI37">
        <f>WI36+IF(AND($C36=60,$L36=1),1,0)</f>
        <v/>
      </c>
      <c r="WJ37">
        <f>WJ36+IF(AND($C36=61,$L36=1),1,0)</f>
        <v/>
      </c>
      <c r="WK37">
        <f>WK36+IF(AND($C36=62,$L36=1),1,0)</f>
        <v/>
      </c>
      <c r="WL37">
        <f>WL36+IF(AND($C36=63,$L36=1),1,0)</f>
        <v/>
      </c>
      <c r="WM37">
        <f>WM36+IF(AND($C36=64,$L36=1),1,0)</f>
        <v/>
      </c>
      <c r="WN37">
        <f>WN36+IF(AND($C36=65,$L36=1),1,0)</f>
        <v/>
      </c>
      <c r="WO37">
        <f>WO36+IF(AND($C36=66,$L36=1),1,0)</f>
        <v/>
      </c>
      <c r="WP37">
        <f>WP36+IF(AND($C36=67,$L36=1),1,0)</f>
        <v/>
      </c>
      <c r="WQ37">
        <f>WQ36+IF(AND($C36=68,$L36=1),1,0)</f>
        <v/>
      </c>
      <c r="WR37">
        <f>WR36+IF(AND($C36=69,$L36=1),1,0)</f>
        <v/>
      </c>
      <c r="WS37">
        <f>WS36+IF(AND($C36=70,$L36=1),1,0)</f>
        <v/>
      </c>
      <c r="WT37">
        <f>WT36+IF(AND($C36=71,$L36=1),1,0)</f>
        <v/>
      </c>
      <c r="WU37">
        <f>WU36+IF(AND($C36=72,$L36=1),1,0)</f>
        <v/>
      </c>
      <c r="WV37">
        <f>WV36+IF(AND($C36=73,$L36=1),1,0)</f>
        <v/>
      </c>
      <c r="WW37">
        <f>WW36+IF(AND($C36=74,$L36=1),1,0)</f>
        <v/>
      </c>
      <c r="WX37">
        <f>WX36+IF(AND($C36=75,$L36=1),1,0)</f>
        <v/>
      </c>
      <c r="WY37">
        <f>WY36+IF(AND($C36=76,$L36=1),1,0)</f>
        <v/>
      </c>
      <c r="WZ37">
        <f>WZ36+IF(AND($C36=77,$L36=1),1,0)</f>
        <v/>
      </c>
      <c r="XA37">
        <f>XA36+IF(AND($C36=78,$L36=1),1,0)</f>
        <v/>
      </c>
      <c r="XB37">
        <f>XB36+IF(AND($C36=79,$L36=1),1,0)</f>
        <v/>
      </c>
      <c r="XC37">
        <f>XC36+IF(AND($C36=80,$L36=1),1,0)</f>
        <v/>
      </c>
      <c r="XD37">
        <f>XD36+IF(AND($C36=81,$L36=1),1,0)</f>
        <v/>
      </c>
      <c r="XE37">
        <f>XE36+IF(AND($C36=82,$L36=1),1,0)</f>
        <v/>
      </c>
      <c r="XF37">
        <f>XF36+IF(AND($C36=83,$L36=1),1,0)</f>
        <v/>
      </c>
      <c r="XG37">
        <f>XG36+IF(AND($C36=84,$L36=1),1,0)</f>
        <v/>
      </c>
      <c r="XH37">
        <f>XH36+IF(AND($C36=85,$L36=1),1,0)</f>
        <v/>
      </c>
      <c r="XI37">
        <f>XI36+IF(AND($C36=86,$L36=1),1,0)</f>
        <v/>
      </c>
      <c r="XJ37">
        <f>XJ36+IF(AND($C36=87,$L36=1),1,0)</f>
        <v/>
      </c>
      <c r="XK37">
        <f>XK36+IF(AND($C36=88,$L36=1),1,0)</f>
        <v/>
      </c>
      <c r="XL37">
        <f>XL36+IF(AND($C36=89,$L36=1),1,0)</f>
        <v/>
      </c>
      <c r="XM37">
        <f>XM36+IF(AND($C36=90,$L36=1),1,0)</f>
        <v/>
      </c>
      <c r="XN37">
        <f>XN36+IF(AND($C36=91,$L36=1),1,0)</f>
        <v/>
      </c>
      <c r="XO37">
        <f>XO36+IF(AND($C36=92,$L36=1),1,0)</f>
        <v/>
      </c>
      <c r="XP37">
        <f>XP36+IF(AND($C36=93,$L36=1),1,0)</f>
        <v/>
      </c>
      <c r="XQ37">
        <f>XQ36+IF(AND($C36=94,$L36=1),1,0)</f>
        <v/>
      </c>
      <c r="XR37">
        <f>XR36+IF(AND($C36=95,$L36=1),1,0)</f>
        <v/>
      </c>
      <c r="XS37">
        <f>XS36+IF(AND($C36=96,$L36=1),1,0)</f>
        <v/>
      </c>
      <c r="XT37">
        <f>XT36+IF(AND($C36=97,$L36=1),1,0)</f>
        <v/>
      </c>
      <c r="XU37">
        <f>XU36+IF(AND($C36=98,$L36=1),1,0)</f>
        <v/>
      </c>
      <c r="XV37">
        <f>XV36+IF(AND($C36=99,$L36=1),1,0)</f>
        <v/>
      </c>
      <c r="XW37">
        <f>XW36+IF(AND($C36=100,$L36=1),1,0)</f>
        <v/>
      </c>
      <c r="XX37">
        <f>XX36+IF(AND($C36=101,$L36=1),1,0)</f>
        <v/>
      </c>
      <c r="XY37">
        <f>XY36+IF(AND($C36=102,$L36=1),1,0)</f>
        <v/>
      </c>
      <c r="XZ37">
        <f>XZ36+IF(AND($C36=103,$L36=1),1,0)</f>
        <v/>
      </c>
      <c r="YA37">
        <f>YA36+IF(AND($C36=104,$L36=1),1,0)</f>
        <v/>
      </c>
      <c r="YB37">
        <f>YB36+IF(AND($C36=105,$L36=1),1,0)</f>
        <v/>
      </c>
      <c r="YC37">
        <f>YC36+IF(AND($C36=106,$L36=1),1,0)</f>
        <v/>
      </c>
      <c r="YD37">
        <f>YD36+IF(AND($C36=107,$L36=1),1,0)</f>
        <v/>
      </c>
      <c r="YE37">
        <f>YE36+IF(AND($C36=108,$L36=1),1,0)</f>
        <v/>
      </c>
      <c r="YF37">
        <f>YF36+IF(AND($C36=109,$L36=1),1,0)</f>
        <v/>
      </c>
      <c r="YG37">
        <f>YG36+IF(AND($C36=110,$L36=1),1,0)</f>
        <v/>
      </c>
      <c r="YH37">
        <f>YH36+IF(AND($C36=111,$L36=1),1,0)</f>
        <v/>
      </c>
      <c r="YI37">
        <f>YI36+IF(AND($C36=112,$L36=1),1,0)</f>
        <v/>
      </c>
      <c r="YJ37">
        <f>YJ36+IF(AND($C36=113,$L36=1),1,0)</f>
        <v/>
      </c>
      <c r="YK37">
        <f>YK36+IF(AND($C36=114,$L36=1),1,0)</f>
        <v/>
      </c>
      <c r="YL37">
        <f>YL36+IF(AND($C36=115,$L36=1),1,0)</f>
        <v/>
      </c>
      <c r="YM37">
        <f>YM36+IF(AND($C36=116,$L36=1),1,0)</f>
        <v/>
      </c>
      <c r="YN37">
        <f>YN36+IF(AND($C36=117,$L36=1),1,0)</f>
        <v/>
      </c>
      <c r="YO37">
        <f>YO36+IF(AND($C36=118,$L36=1),1,0)</f>
        <v/>
      </c>
      <c r="YP37">
        <f>YP36+IF(AND($C36=119,$L36=1),1,0)</f>
        <v/>
      </c>
      <c r="YQ37">
        <f>YQ36+IF(AND($C36=120,$L36=1),1,0)</f>
        <v/>
      </c>
      <c r="YR37">
        <f>YR36+IF(AND($C36=121,$L36=1),1,0)</f>
        <v/>
      </c>
      <c r="YS37">
        <f>YS36+IF(AND($C36=122,$L36=1),1,0)</f>
        <v/>
      </c>
      <c r="YT37">
        <f>YT36+IF(AND($C36=123,$L36=1),1,0)</f>
        <v/>
      </c>
      <c r="YU37">
        <f>YU36+IF(AND($C36=124,$L36=1),1,0)</f>
        <v/>
      </c>
      <c r="YV37">
        <f>YV36+IF(AND($C36=125,$L36=1),1,0)</f>
        <v/>
      </c>
      <c r="YW37">
        <f>YW36+IF(AND($C36=126,$L36=1),1,0)</f>
        <v/>
      </c>
      <c r="YX37">
        <f>YX36+IF(AND($C36=127,$L36=1),1,0)</f>
        <v/>
      </c>
      <c r="YY37">
        <f>YY36+IF(AND($C36=128,$L36=1),1,0)</f>
        <v/>
      </c>
      <c r="YZ37">
        <f>YZ36+IF(AND($C36=129,$L36=1),1,0)</f>
        <v/>
      </c>
      <c r="ZA37">
        <f>ZA36+IF(AND($C36=130,$L36=1),1,0)</f>
        <v/>
      </c>
      <c r="ZB37">
        <f>ZB36+IF(AND($C36=131,$L36=1),1,0)</f>
        <v/>
      </c>
      <c r="ZC37">
        <f>ZC36+IF(AND($C36=132,$L36=1),1,0)</f>
        <v/>
      </c>
      <c r="ZD37">
        <f>ZD36+IF(AND($C36=133,$L36=1),1,0)</f>
        <v/>
      </c>
      <c r="ZE37">
        <f>ZE36+IF(AND($C36=134,$L36=1),1,0)</f>
        <v/>
      </c>
      <c r="ZF37">
        <f>ZF36+IF(AND($C36=135,$L36=1),1,0)</f>
        <v/>
      </c>
      <c r="ZG37">
        <f>ZG36+IF(AND($C36=136,$L36=1),1,0)</f>
        <v/>
      </c>
      <c r="ZH37">
        <f>ZH36+IF(AND($C36=137,$L36=1),1,0)</f>
        <v/>
      </c>
      <c r="ZI37">
        <f>ZI36+IF(AND($C36=138,$L36=1),1,0)</f>
        <v/>
      </c>
      <c r="ZJ37">
        <f>ZJ36+IF(AND($C36=139,$L36=1),1,0)</f>
        <v/>
      </c>
      <c r="ZK37">
        <f>ZK36+IF(AND($C36=140,$L36=1),1,0)</f>
        <v/>
      </c>
      <c r="ZL37">
        <f>ZL36+IF(AND($C36=141,$L36=1),1,0)</f>
        <v/>
      </c>
      <c r="ZM37">
        <f>ZM36+IF(AND($C36=142,$L36=1),1,0)</f>
        <v/>
      </c>
      <c r="ZN37">
        <f>ZN36+IF(AND($C36=143,$L36=1),1,0)</f>
        <v/>
      </c>
      <c r="ZO37">
        <f>ZO36+IF(AND($C36=144,$L36=1),1,0)</f>
        <v/>
      </c>
    </row>
    <row r="38">
      <c r="A38" t="n">
        <v>36</v>
      </c>
      <c r="B38">
        <f>IF(MIN(BH38:CZ38)&gt;=1000000,0,MATCH(MIN(BH38:CZ38),BH38:CZ38,0))</f>
        <v/>
      </c>
      <c r="C38">
        <f>IF(MIN(OF38:TS38)&gt;=1000000,0,MATCH(MIN(OF38:TS38),OF38:TS38,0))</f>
        <v/>
      </c>
      <c r="D38">
        <f>IF(C38&gt;0,INDEX('計算A'!$D$5:$EQ$5,C38),0)</f>
        <v/>
      </c>
      <c r="E38">
        <f>IF(B38=0,0,INDEX('計算A'!$IQ$10:$IQ$54,B38))</f>
        <v/>
      </c>
      <c r="F38">
        <f>IF(B38=0,0,INDEX('計算A'!$IP$10:$IP$54,B38))</f>
        <v/>
      </c>
      <c r="G38">
        <f>IF(AND(C38&gt;0,E38&gt;0),IF(AND(INDEX('計算A'!$D$106:$EQ$106,C38)=1,INDEX($IQ38:$OD38,C38)=1),C38+1,0),0)</f>
        <v/>
      </c>
      <c r="H38">
        <f>IF(B38=0,0,INDEX('計算A'!$IW$10:$IW$54,B38))</f>
        <v/>
      </c>
      <c r="I38">
        <f>IF(B38=0,0,MAX(0,INDEX('計算A'!$IT$10:$IT$54,B38)))</f>
        <v/>
      </c>
      <c r="J38">
        <f>IF(I38=0,0,INDEX('計算A'!$D$2:$EQ$2,I38))</f>
        <v/>
      </c>
      <c r="K38">
        <f>IF(I38=0,0,INDEX('計算A'!$D$3:$EQ$3,I38))</f>
        <v/>
      </c>
      <c r="L38">
        <f>IF(B38=0,0,INDEX('計算A'!$IX$10:$IX$54,B38))</f>
        <v/>
      </c>
      <c r="N38">
        <f>MAX(N37,IF($B37=1,1,0))</f>
        <v/>
      </c>
      <c r="O38">
        <f>MAX(O37,IF($B37=2,1,0))</f>
        <v/>
      </c>
      <c r="P38">
        <f>MAX(P37,IF($B37=3,1,0))</f>
        <v/>
      </c>
      <c r="Q38">
        <f>MAX(Q37,IF($B37=4,1,0))</f>
        <v/>
      </c>
      <c r="R38">
        <f>MAX(R37,IF($B37=5,1,0))</f>
        <v/>
      </c>
      <c r="S38">
        <f>MAX(S37,IF($B37=6,1,0))</f>
        <v/>
      </c>
      <c r="T38">
        <f>MAX(T37,IF($B37=7,1,0))</f>
        <v/>
      </c>
      <c r="U38">
        <f>MAX(U37,IF($B37=8,1,0))</f>
        <v/>
      </c>
      <c r="V38">
        <f>MAX(V37,IF($B37=9,1,0))</f>
        <v/>
      </c>
      <c r="W38">
        <f>MAX(W37,IF($B37=10,1,0))</f>
        <v/>
      </c>
      <c r="X38">
        <f>MAX(X37,IF($B37=11,1,0))</f>
        <v/>
      </c>
      <c r="Y38">
        <f>MAX(Y37,IF($B37=12,1,0))</f>
        <v/>
      </c>
      <c r="Z38">
        <f>MAX(Z37,IF($B37=13,1,0))</f>
        <v/>
      </c>
      <c r="AA38">
        <f>MAX(AA37,IF($B37=14,1,0))</f>
        <v/>
      </c>
      <c r="AB38">
        <f>MAX(AB37,IF($B37=15,1,0))</f>
        <v/>
      </c>
      <c r="AC38">
        <f>MAX(AC37,IF($B37=16,1,0))</f>
        <v/>
      </c>
      <c r="AD38">
        <f>MAX(AD37,IF($B37=17,1,0))</f>
        <v/>
      </c>
      <c r="AE38">
        <f>MAX(AE37,IF($B37=18,1,0))</f>
        <v/>
      </c>
      <c r="AF38">
        <f>MAX(AF37,IF($B37=19,1,0))</f>
        <v/>
      </c>
      <c r="AG38">
        <f>MAX(AG37,IF($B37=20,1,0))</f>
        <v/>
      </c>
      <c r="AH38">
        <f>MAX(AH37,IF($B37=21,1,0))</f>
        <v/>
      </c>
      <c r="AI38">
        <f>MAX(AI37,IF($B37=22,1,0))</f>
        <v/>
      </c>
      <c r="AJ38">
        <f>MAX(AJ37,IF($B37=23,1,0))</f>
        <v/>
      </c>
      <c r="AK38">
        <f>MAX(AK37,IF($B37=24,1,0))</f>
        <v/>
      </c>
      <c r="AL38">
        <f>MAX(AL37,IF($B37=25,1,0))</f>
        <v/>
      </c>
      <c r="AM38">
        <f>MAX(AM37,IF($B37=26,1,0))</f>
        <v/>
      </c>
      <c r="AN38">
        <f>MAX(AN37,IF($B37=27,1,0))</f>
        <v/>
      </c>
      <c r="AO38">
        <f>MAX(AO37,IF($B37=28,1,0))</f>
        <v/>
      </c>
      <c r="AP38">
        <f>MAX(AP37,IF($B37=29,1,0))</f>
        <v/>
      </c>
      <c r="AQ38">
        <f>MAX(AQ37,IF($B37=30,1,0))</f>
        <v/>
      </c>
      <c r="AR38">
        <f>MAX(AR37,IF($B37=31,1,0))</f>
        <v/>
      </c>
      <c r="AS38">
        <f>MAX(AS37,IF($B37=32,1,0))</f>
        <v/>
      </c>
      <c r="AT38">
        <f>MAX(AT37,IF($B37=33,1,0))</f>
        <v/>
      </c>
      <c r="AU38">
        <f>MAX(AU37,IF($B37=34,1,0))</f>
        <v/>
      </c>
      <c r="AV38">
        <f>MAX(AV37,IF($B37=35,1,0))</f>
        <v/>
      </c>
      <c r="AW38">
        <f>MAX(AW37,IF($B37=36,1,0))</f>
        <v/>
      </c>
      <c r="AX38">
        <f>MAX(AX37,IF($B37=37,1,0))</f>
        <v/>
      </c>
      <c r="AY38">
        <f>MAX(AY37,IF($B37=38,1,0))</f>
        <v/>
      </c>
      <c r="AZ38">
        <f>MAX(AZ37,IF($B37=39,1,0))</f>
        <v/>
      </c>
      <c r="BA38">
        <f>MAX(BA37,IF($B37=40,1,0))</f>
        <v/>
      </c>
      <c r="BB38">
        <f>MAX(BB37,IF($B37=41,1,0))</f>
        <v/>
      </c>
      <c r="BC38">
        <f>MAX(BC37,IF($B37=42,1,0))</f>
        <v/>
      </c>
      <c r="BD38">
        <f>MAX(BD37,IF($B37=43,1,0))</f>
        <v/>
      </c>
      <c r="BE38">
        <f>MAX(BE37,IF($B37=44,1,0))</f>
        <v/>
      </c>
      <c r="BF38">
        <f>MAX(BF37,IF($B37=45,1,0))</f>
        <v/>
      </c>
      <c r="BH38">
        <f>IF(N38=1,1000000,IF('計算A'!$IT$10&gt;0,0,500000)+IF('計算A'!$IQ$10=2,SUMPRODUCT('計算A'!$D$60:$EQ$60,$DB38:$IO38,$IQ38:$OD38),SUMPRODUCT('計算A'!$D$60:$EQ$60,$DB38:$IO38))*1000+1)</f>
        <v/>
      </c>
      <c r="BI38">
        <f>IF(O38=1,1000000,IF('計算A'!$IT$11&gt;0,0,500000)+IF('計算A'!$IQ$11=2,SUMPRODUCT('計算A'!$D$61:$EQ$61,$DB38:$IO38,$IQ38:$OD38),SUMPRODUCT('計算A'!$D$61:$EQ$61,$DB38:$IO38))*1000+2)</f>
        <v/>
      </c>
      <c r="BJ38">
        <f>IF(P38=1,1000000,IF('計算A'!$IT$12&gt;0,0,500000)+IF('計算A'!$IQ$12=2,SUMPRODUCT('計算A'!$D$62:$EQ$62,$DB38:$IO38,$IQ38:$OD38),SUMPRODUCT('計算A'!$D$62:$EQ$62,$DB38:$IO38))*1000+3)</f>
        <v/>
      </c>
      <c r="BK38">
        <f>IF(Q38=1,1000000,IF('計算A'!$IT$13&gt;0,0,500000)+IF('計算A'!$IQ$13=2,SUMPRODUCT('計算A'!$D$63:$EQ$63,$DB38:$IO38,$IQ38:$OD38),SUMPRODUCT('計算A'!$D$63:$EQ$63,$DB38:$IO38))*1000+4)</f>
        <v/>
      </c>
      <c r="BL38">
        <f>IF(R38=1,1000000,IF('計算A'!$IT$14&gt;0,0,500000)+IF('計算A'!$IQ$14=2,SUMPRODUCT('計算A'!$D$64:$EQ$64,$DB38:$IO38,$IQ38:$OD38),SUMPRODUCT('計算A'!$D$64:$EQ$64,$DB38:$IO38))*1000+5)</f>
        <v/>
      </c>
      <c r="BM38">
        <f>IF(S38=1,1000000,IF('計算A'!$IT$15&gt;0,0,500000)+IF('計算A'!$IQ$15=2,SUMPRODUCT('計算A'!$D$65:$EQ$65,$DB38:$IO38,$IQ38:$OD38),SUMPRODUCT('計算A'!$D$65:$EQ$65,$DB38:$IO38))*1000+6)</f>
        <v/>
      </c>
      <c r="BN38">
        <f>IF(T38=1,1000000,IF('計算A'!$IT$16&gt;0,0,500000)+IF('計算A'!$IQ$16=2,SUMPRODUCT('計算A'!$D$66:$EQ$66,$DB38:$IO38,$IQ38:$OD38),SUMPRODUCT('計算A'!$D$66:$EQ$66,$DB38:$IO38))*1000+7)</f>
        <v/>
      </c>
      <c r="BO38">
        <f>IF(U38=1,1000000,IF('計算A'!$IT$17&gt;0,0,500000)+IF('計算A'!$IQ$17=2,SUMPRODUCT('計算A'!$D$67:$EQ$67,$DB38:$IO38,$IQ38:$OD38),SUMPRODUCT('計算A'!$D$67:$EQ$67,$DB38:$IO38))*1000+8)</f>
        <v/>
      </c>
      <c r="BP38">
        <f>IF(V38=1,1000000,IF('計算A'!$IT$18&gt;0,0,500000)+IF('計算A'!$IQ$18=2,SUMPRODUCT('計算A'!$D$68:$EQ$68,$DB38:$IO38,$IQ38:$OD38),SUMPRODUCT('計算A'!$D$68:$EQ$68,$DB38:$IO38))*1000+9)</f>
        <v/>
      </c>
      <c r="BQ38">
        <f>IF(W38=1,1000000,IF('計算A'!$IT$19&gt;0,0,500000)+IF('計算A'!$IQ$19=2,SUMPRODUCT('計算A'!$D$69:$EQ$69,$DB38:$IO38,$IQ38:$OD38),SUMPRODUCT('計算A'!$D$69:$EQ$69,$DB38:$IO38))*1000+10)</f>
        <v/>
      </c>
      <c r="BR38">
        <f>IF(X38=1,1000000,IF('計算A'!$IT$20&gt;0,0,500000)+IF('計算A'!$IQ$20=2,SUMPRODUCT('計算A'!$D$70:$EQ$70,$DB38:$IO38,$IQ38:$OD38),SUMPRODUCT('計算A'!$D$70:$EQ$70,$DB38:$IO38))*1000+11)</f>
        <v/>
      </c>
      <c r="BS38">
        <f>IF(Y38=1,1000000,IF('計算A'!$IT$21&gt;0,0,500000)+IF('計算A'!$IQ$21=2,SUMPRODUCT('計算A'!$D$71:$EQ$71,$DB38:$IO38,$IQ38:$OD38),SUMPRODUCT('計算A'!$D$71:$EQ$71,$DB38:$IO38))*1000+12)</f>
        <v/>
      </c>
      <c r="BT38">
        <f>IF(Z38=1,1000000,IF('計算A'!$IT$22&gt;0,0,500000)+IF('計算A'!$IQ$22=2,SUMPRODUCT('計算A'!$D$72:$EQ$72,$DB38:$IO38,$IQ38:$OD38),SUMPRODUCT('計算A'!$D$72:$EQ$72,$DB38:$IO38))*1000+13)</f>
        <v/>
      </c>
      <c r="BU38">
        <f>IF(AA38=1,1000000,IF('計算A'!$IT$23&gt;0,0,500000)+IF('計算A'!$IQ$23=2,SUMPRODUCT('計算A'!$D$73:$EQ$73,$DB38:$IO38,$IQ38:$OD38),SUMPRODUCT('計算A'!$D$73:$EQ$73,$DB38:$IO38))*1000+14)</f>
        <v/>
      </c>
      <c r="BV38">
        <f>IF(AB38=1,1000000,IF('計算A'!$IT$24&gt;0,0,500000)+IF('計算A'!$IQ$24=2,SUMPRODUCT('計算A'!$D$74:$EQ$74,$DB38:$IO38,$IQ38:$OD38),SUMPRODUCT('計算A'!$D$74:$EQ$74,$DB38:$IO38))*1000+15)</f>
        <v/>
      </c>
      <c r="BW38">
        <f>IF(AC38=1,1000000,IF('計算A'!$IT$25&gt;0,0,500000)+IF('計算A'!$IQ$25=2,SUMPRODUCT('計算A'!$D$75:$EQ$75,$DB38:$IO38,$IQ38:$OD38),SUMPRODUCT('計算A'!$D$75:$EQ$75,$DB38:$IO38))*1000+16)</f>
        <v/>
      </c>
      <c r="BX38">
        <f>IF(AD38=1,1000000,IF('計算A'!$IT$26&gt;0,0,500000)+IF('計算A'!$IQ$26=2,SUMPRODUCT('計算A'!$D$76:$EQ$76,$DB38:$IO38,$IQ38:$OD38),SUMPRODUCT('計算A'!$D$76:$EQ$76,$DB38:$IO38))*1000+17)</f>
        <v/>
      </c>
      <c r="BY38">
        <f>IF(AE38=1,1000000,IF('計算A'!$IT$27&gt;0,0,500000)+IF('計算A'!$IQ$27=2,SUMPRODUCT('計算A'!$D$77:$EQ$77,$DB38:$IO38,$IQ38:$OD38),SUMPRODUCT('計算A'!$D$77:$EQ$77,$DB38:$IO38))*1000+18)</f>
        <v/>
      </c>
      <c r="BZ38">
        <f>IF(AF38=1,1000000,IF('計算A'!$IT$28&gt;0,0,500000)+IF('計算A'!$IQ$28=2,SUMPRODUCT('計算A'!$D$78:$EQ$78,$DB38:$IO38,$IQ38:$OD38),SUMPRODUCT('計算A'!$D$78:$EQ$78,$DB38:$IO38))*1000+19)</f>
        <v/>
      </c>
      <c r="CA38">
        <f>IF(AG38=1,1000000,IF('計算A'!$IT$29&gt;0,0,500000)+IF('計算A'!$IQ$29=2,SUMPRODUCT('計算A'!$D$79:$EQ$79,$DB38:$IO38,$IQ38:$OD38),SUMPRODUCT('計算A'!$D$79:$EQ$79,$DB38:$IO38))*1000+20)</f>
        <v/>
      </c>
      <c r="CB38">
        <f>IF(AH38=1,1000000,IF('計算A'!$IT$30&gt;0,0,500000)+IF('計算A'!$IQ$30=2,SUMPRODUCT('計算A'!$D$80:$EQ$80,$DB38:$IO38,$IQ38:$OD38),SUMPRODUCT('計算A'!$D$80:$EQ$80,$DB38:$IO38))*1000+21)</f>
        <v/>
      </c>
      <c r="CC38">
        <f>IF(AI38=1,1000000,IF('計算A'!$IT$31&gt;0,0,500000)+IF('計算A'!$IQ$31=2,SUMPRODUCT('計算A'!$D$81:$EQ$81,$DB38:$IO38,$IQ38:$OD38),SUMPRODUCT('計算A'!$D$81:$EQ$81,$DB38:$IO38))*1000+22)</f>
        <v/>
      </c>
      <c r="CD38">
        <f>IF(AJ38=1,1000000,IF('計算A'!$IT$32&gt;0,0,500000)+IF('計算A'!$IQ$32=2,SUMPRODUCT('計算A'!$D$82:$EQ$82,$DB38:$IO38,$IQ38:$OD38),SUMPRODUCT('計算A'!$D$82:$EQ$82,$DB38:$IO38))*1000+23)</f>
        <v/>
      </c>
      <c r="CE38">
        <f>IF(AK38=1,1000000,IF('計算A'!$IT$33&gt;0,0,500000)+IF('計算A'!$IQ$33=2,SUMPRODUCT('計算A'!$D$83:$EQ$83,$DB38:$IO38,$IQ38:$OD38),SUMPRODUCT('計算A'!$D$83:$EQ$83,$DB38:$IO38))*1000+24)</f>
        <v/>
      </c>
      <c r="CF38">
        <f>IF(AL38=1,1000000,IF('計算A'!$IT$34&gt;0,0,500000)+IF('計算A'!$IQ$34=2,SUMPRODUCT('計算A'!$D$84:$EQ$84,$DB38:$IO38,$IQ38:$OD38),SUMPRODUCT('計算A'!$D$84:$EQ$84,$DB38:$IO38))*1000+25)</f>
        <v/>
      </c>
      <c r="CG38">
        <f>IF(AM38=1,1000000,IF('計算A'!$IT$35&gt;0,0,500000)+IF('計算A'!$IQ$35=2,SUMPRODUCT('計算A'!$D$85:$EQ$85,$DB38:$IO38,$IQ38:$OD38),SUMPRODUCT('計算A'!$D$85:$EQ$85,$DB38:$IO38))*1000+26)</f>
        <v/>
      </c>
      <c r="CH38">
        <f>IF(AN38=1,1000000,IF('計算A'!$IT$36&gt;0,0,500000)+IF('計算A'!$IQ$36=2,SUMPRODUCT('計算A'!$D$86:$EQ$86,$DB38:$IO38,$IQ38:$OD38),SUMPRODUCT('計算A'!$D$86:$EQ$86,$DB38:$IO38))*1000+27)</f>
        <v/>
      </c>
      <c r="CI38">
        <f>IF(AO38=1,1000000,IF('計算A'!$IT$37&gt;0,0,500000)+IF('計算A'!$IQ$37=2,SUMPRODUCT('計算A'!$D$87:$EQ$87,$DB38:$IO38,$IQ38:$OD38),SUMPRODUCT('計算A'!$D$87:$EQ$87,$DB38:$IO38))*1000+28)</f>
        <v/>
      </c>
      <c r="CJ38">
        <f>IF(AP38=1,1000000,IF('計算A'!$IT$38&gt;0,0,500000)+IF('計算A'!$IQ$38=2,SUMPRODUCT('計算A'!$D$88:$EQ$88,$DB38:$IO38,$IQ38:$OD38),SUMPRODUCT('計算A'!$D$88:$EQ$88,$DB38:$IO38))*1000+29)</f>
        <v/>
      </c>
      <c r="CK38">
        <f>IF(AQ38=1,1000000,IF('計算A'!$IT$39&gt;0,0,500000)+IF('計算A'!$IQ$39=2,SUMPRODUCT('計算A'!$D$89:$EQ$89,$DB38:$IO38,$IQ38:$OD38),SUMPRODUCT('計算A'!$D$89:$EQ$89,$DB38:$IO38))*1000+30)</f>
        <v/>
      </c>
      <c r="CL38">
        <f>IF(AR38=1,1000000,IF('計算A'!$IT$40&gt;0,0,500000)+IF('計算A'!$IQ$40=2,SUMPRODUCT('計算A'!$D$90:$EQ$90,$DB38:$IO38,$IQ38:$OD38),SUMPRODUCT('計算A'!$D$90:$EQ$90,$DB38:$IO38))*1000+31)</f>
        <v/>
      </c>
      <c r="CM38">
        <f>IF(AS38=1,1000000,IF('計算A'!$IT$41&gt;0,0,500000)+IF('計算A'!$IQ$41=2,SUMPRODUCT('計算A'!$D$91:$EQ$91,$DB38:$IO38,$IQ38:$OD38),SUMPRODUCT('計算A'!$D$91:$EQ$91,$DB38:$IO38))*1000+32)</f>
        <v/>
      </c>
      <c r="CN38">
        <f>IF(AT38=1,1000000,IF('計算A'!$IT$42&gt;0,0,500000)+IF('計算A'!$IQ$42=2,SUMPRODUCT('計算A'!$D$92:$EQ$92,$DB38:$IO38,$IQ38:$OD38),SUMPRODUCT('計算A'!$D$92:$EQ$92,$DB38:$IO38))*1000+33)</f>
        <v/>
      </c>
      <c r="CO38">
        <f>IF(AU38=1,1000000,IF('計算A'!$IT$43&gt;0,0,500000)+IF('計算A'!$IQ$43=2,SUMPRODUCT('計算A'!$D$93:$EQ$93,$DB38:$IO38,$IQ38:$OD38),SUMPRODUCT('計算A'!$D$93:$EQ$93,$DB38:$IO38))*1000+34)</f>
        <v/>
      </c>
      <c r="CP38">
        <f>IF(AV38=1,1000000,IF('計算A'!$IT$44&gt;0,0,500000)+IF('計算A'!$IQ$44=2,SUMPRODUCT('計算A'!$D$94:$EQ$94,$DB38:$IO38,$IQ38:$OD38),SUMPRODUCT('計算A'!$D$94:$EQ$94,$DB38:$IO38))*1000+35)</f>
        <v/>
      </c>
      <c r="CQ38">
        <f>IF(AW38=1,1000000,IF('計算A'!$IT$45&gt;0,0,500000)+IF('計算A'!$IQ$45=2,SUMPRODUCT('計算A'!$D$95:$EQ$95,$DB38:$IO38,$IQ38:$OD38),SUMPRODUCT('計算A'!$D$95:$EQ$95,$DB38:$IO38))*1000+36)</f>
        <v/>
      </c>
      <c r="CR38">
        <f>IF(AX38=1,1000000,IF('計算A'!$IT$46&gt;0,0,500000)+IF('計算A'!$IQ$46=2,SUMPRODUCT('計算A'!$D$96:$EQ$96,$DB38:$IO38,$IQ38:$OD38),SUMPRODUCT('計算A'!$D$96:$EQ$96,$DB38:$IO38))*1000+37)</f>
        <v/>
      </c>
      <c r="CS38">
        <f>IF(AY38=1,1000000,IF('計算A'!$IT$47&gt;0,0,500000)+IF('計算A'!$IQ$47=2,SUMPRODUCT('計算A'!$D$97:$EQ$97,$DB38:$IO38,$IQ38:$OD38),SUMPRODUCT('計算A'!$D$97:$EQ$97,$DB38:$IO38))*1000+38)</f>
        <v/>
      </c>
      <c r="CT38">
        <f>IF(AZ38=1,1000000,IF('計算A'!$IT$48&gt;0,0,500000)+IF('計算A'!$IQ$48=2,SUMPRODUCT('計算A'!$D$98:$EQ$98,$DB38:$IO38,$IQ38:$OD38),SUMPRODUCT('計算A'!$D$98:$EQ$98,$DB38:$IO38))*1000+39)</f>
        <v/>
      </c>
      <c r="CU38">
        <f>IF(BA38=1,1000000,IF('計算A'!$IT$49&gt;0,0,500000)+IF('計算A'!$IQ$49=2,SUMPRODUCT('計算A'!$D$99:$EQ$99,$DB38:$IO38,$IQ38:$OD38),SUMPRODUCT('計算A'!$D$99:$EQ$99,$DB38:$IO38))*1000+40)</f>
        <v/>
      </c>
      <c r="CV38">
        <f>IF(BB38=1,1000000,IF('計算A'!$IT$50&gt;0,0,500000)+IF('計算A'!$IQ$50=2,SUMPRODUCT('計算A'!$D$100:$EQ$100,$DB38:$IO38,$IQ38:$OD38),SUMPRODUCT('計算A'!$D$100:$EQ$100,$DB38:$IO38))*1000+41)</f>
        <v/>
      </c>
      <c r="CW38">
        <f>IF(BC38=1,1000000,IF('計算A'!$IT$51&gt;0,0,500000)+IF('計算A'!$IQ$51=2,SUMPRODUCT('計算A'!$D$101:$EQ$101,$DB38:$IO38,$IQ38:$OD38),SUMPRODUCT('計算A'!$D$101:$EQ$101,$DB38:$IO38))*1000+42)</f>
        <v/>
      </c>
      <c r="CX38">
        <f>IF(BD38=1,1000000,IF('計算A'!$IT$52&gt;0,0,500000)+IF('計算A'!$IQ$52=2,SUMPRODUCT('計算A'!$D$102:$EQ$102,$DB38:$IO38,$IQ38:$OD38),SUMPRODUCT('計算A'!$D$102:$EQ$102,$DB38:$IO38))*1000+43)</f>
        <v/>
      </c>
      <c r="CY38">
        <f>IF(BE38=1,1000000,IF('計算A'!$IT$53&gt;0,0,500000)+IF('計算A'!$IQ$53=2,SUMPRODUCT('計算A'!$D$103:$EQ$103,$DB38:$IO38,$IQ38:$OD38),SUMPRODUCT('計算A'!$D$103:$EQ$103,$DB38:$IO38))*1000+44)</f>
        <v/>
      </c>
      <c r="CZ38">
        <f>IF(BF38=1,1000000,IF('計算A'!$IT$54&gt;0,0,500000)+IF('計算A'!$IQ$54=2,SUMPRODUCT('計算A'!$D$104:$EQ$104,$DB38:$IO38,$IQ38:$OD38),SUMPRODUCT('計算A'!$D$104:$EQ$104,$DB38:$IO38))*1000+45)</f>
        <v/>
      </c>
      <c r="DB38">
        <f>DB37*IF(OR($C37=1,$G37=1),0,1)</f>
        <v/>
      </c>
      <c r="DC38">
        <f>DC37*IF(OR($C37=2,$G37=2),0,1)</f>
        <v/>
      </c>
      <c r="DD38">
        <f>DD37*IF(OR($C37=3,$G37=3),0,1)</f>
        <v/>
      </c>
      <c r="DE38">
        <f>DE37*IF(OR($C37=4,$G37=4),0,1)</f>
        <v/>
      </c>
      <c r="DF38">
        <f>DF37*IF(OR($C37=5,$G37=5),0,1)</f>
        <v/>
      </c>
      <c r="DG38">
        <f>DG37*IF(OR($C37=6,$G37=6),0,1)</f>
        <v/>
      </c>
      <c r="DH38">
        <f>DH37*IF(OR($C37=7,$G37=7),0,1)</f>
        <v/>
      </c>
      <c r="DI38">
        <f>DI37*IF(OR($C37=8,$G37=8),0,1)</f>
        <v/>
      </c>
      <c r="DJ38">
        <f>DJ37*IF(OR($C37=9,$G37=9),0,1)</f>
        <v/>
      </c>
      <c r="DK38">
        <f>DK37*IF(OR($C37=10,$G37=10),0,1)</f>
        <v/>
      </c>
      <c r="DL38">
        <f>DL37*IF(OR($C37=11,$G37=11),0,1)</f>
        <v/>
      </c>
      <c r="DM38">
        <f>DM37*IF(OR($C37=12,$G37=12),0,1)</f>
        <v/>
      </c>
      <c r="DN38">
        <f>DN37*IF(OR($C37=13,$G37=13),0,1)</f>
        <v/>
      </c>
      <c r="DO38">
        <f>DO37*IF(OR($C37=14,$G37=14),0,1)</f>
        <v/>
      </c>
      <c r="DP38">
        <f>DP37*IF(OR($C37=15,$G37=15),0,1)</f>
        <v/>
      </c>
      <c r="DQ38">
        <f>DQ37*IF(OR($C37=16,$G37=16),0,1)</f>
        <v/>
      </c>
      <c r="DR38">
        <f>DR37*IF(OR($C37=17,$G37=17),0,1)</f>
        <v/>
      </c>
      <c r="DS38">
        <f>DS37*IF(OR($C37=18,$G37=18),0,1)</f>
        <v/>
      </c>
      <c r="DT38">
        <f>DT37*IF(OR($C37=19,$G37=19),0,1)</f>
        <v/>
      </c>
      <c r="DU38">
        <f>DU37*IF(OR($C37=20,$G37=20),0,1)</f>
        <v/>
      </c>
      <c r="DV38">
        <f>DV37*IF(OR($C37=21,$G37=21),0,1)</f>
        <v/>
      </c>
      <c r="DW38">
        <f>DW37*IF(OR($C37=22,$G37=22),0,1)</f>
        <v/>
      </c>
      <c r="DX38">
        <f>DX37*IF(OR($C37=23,$G37=23),0,1)</f>
        <v/>
      </c>
      <c r="DY38">
        <f>DY37*IF(OR($C37=24,$G37=24),0,1)</f>
        <v/>
      </c>
      <c r="DZ38">
        <f>DZ37*IF(OR($C37=25,$G37=25),0,1)</f>
        <v/>
      </c>
      <c r="EA38">
        <f>EA37*IF(OR($C37=26,$G37=26),0,1)</f>
        <v/>
      </c>
      <c r="EB38">
        <f>EB37*IF(OR($C37=27,$G37=27),0,1)</f>
        <v/>
      </c>
      <c r="EC38">
        <f>EC37*IF(OR($C37=28,$G37=28),0,1)</f>
        <v/>
      </c>
      <c r="ED38">
        <f>ED37*IF(OR($C37=29,$G37=29),0,1)</f>
        <v/>
      </c>
      <c r="EE38">
        <f>EE37*IF(OR($C37=30,$G37=30),0,1)</f>
        <v/>
      </c>
      <c r="EF38">
        <f>EF37*IF(OR($C37=31,$G37=31),0,1)</f>
        <v/>
      </c>
      <c r="EG38">
        <f>EG37*IF(OR($C37=32,$G37=32),0,1)</f>
        <v/>
      </c>
      <c r="EH38">
        <f>EH37*IF(OR($C37=33,$G37=33),0,1)</f>
        <v/>
      </c>
      <c r="EI38">
        <f>EI37*IF(OR($C37=34,$G37=34),0,1)</f>
        <v/>
      </c>
      <c r="EJ38">
        <f>EJ37*IF(OR($C37=35,$G37=35),0,1)</f>
        <v/>
      </c>
      <c r="EK38">
        <f>EK37*IF(OR($C37=36,$G37=36),0,1)</f>
        <v/>
      </c>
      <c r="EL38">
        <f>EL37*IF(OR($C37=37,$G37=37),0,1)</f>
        <v/>
      </c>
      <c r="EM38">
        <f>EM37*IF(OR($C37=38,$G37=38),0,1)</f>
        <v/>
      </c>
      <c r="EN38">
        <f>EN37*IF(OR($C37=39,$G37=39),0,1)</f>
        <v/>
      </c>
      <c r="EO38">
        <f>EO37*IF(OR($C37=40,$G37=40),0,1)</f>
        <v/>
      </c>
      <c r="EP38">
        <f>EP37*IF(OR($C37=41,$G37=41),0,1)</f>
        <v/>
      </c>
      <c r="EQ38">
        <f>EQ37*IF(OR($C37=42,$G37=42),0,1)</f>
        <v/>
      </c>
      <c r="ER38">
        <f>ER37*IF(OR($C37=43,$G37=43),0,1)</f>
        <v/>
      </c>
      <c r="ES38">
        <f>ES37*IF(OR($C37=44,$G37=44),0,1)</f>
        <v/>
      </c>
      <c r="ET38">
        <f>ET37*IF(OR($C37=45,$G37=45),0,1)</f>
        <v/>
      </c>
      <c r="EU38">
        <f>EU37*IF(OR($C37=46,$G37=46),0,1)</f>
        <v/>
      </c>
      <c r="EV38">
        <f>EV37*IF(OR($C37=47,$G37=47),0,1)</f>
        <v/>
      </c>
      <c r="EW38">
        <f>EW37*IF(OR($C37=48,$G37=48),0,1)</f>
        <v/>
      </c>
      <c r="EX38">
        <f>EX37*IF(OR($C37=49,$G37=49),0,1)</f>
        <v/>
      </c>
      <c r="EY38">
        <f>EY37*IF(OR($C37=50,$G37=50),0,1)</f>
        <v/>
      </c>
      <c r="EZ38">
        <f>EZ37*IF(OR($C37=51,$G37=51),0,1)</f>
        <v/>
      </c>
      <c r="FA38">
        <f>FA37*IF(OR($C37=52,$G37=52),0,1)</f>
        <v/>
      </c>
      <c r="FB38">
        <f>FB37*IF(OR($C37=53,$G37=53),0,1)</f>
        <v/>
      </c>
      <c r="FC38">
        <f>FC37*IF(OR($C37=54,$G37=54),0,1)</f>
        <v/>
      </c>
      <c r="FD38">
        <f>FD37*IF(OR($C37=55,$G37=55),0,1)</f>
        <v/>
      </c>
      <c r="FE38">
        <f>FE37*IF(OR($C37=56,$G37=56),0,1)</f>
        <v/>
      </c>
      <c r="FF38">
        <f>FF37*IF(OR($C37=57,$G37=57),0,1)</f>
        <v/>
      </c>
      <c r="FG38">
        <f>FG37*IF(OR($C37=58,$G37=58),0,1)</f>
        <v/>
      </c>
      <c r="FH38">
        <f>FH37*IF(OR($C37=59,$G37=59),0,1)</f>
        <v/>
      </c>
      <c r="FI38">
        <f>FI37*IF(OR($C37=60,$G37=60),0,1)</f>
        <v/>
      </c>
      <c r="FJ38">
        <f>FJ37*IF(OR($C37=61,$G37=61),0,1)</f>
        <v/>
      </c>
      <c r="FK38">
        <f>FK37*IF(OR($C37=62,$G37=62),0,1)</f>
        <v/>
      </c>
      <c r="FL38">
        <f>FL37*IF(OR($C37=63,$G37=63),0,1)</f>
        <v/>
      </c>
      <c r="FM38">
        <f>FM37*IF(OR($C37=64,$G37=64),0,1)</f>
        <v/>
      </c>
      <c r="FN38">
        <f>FN37*IF(OR($C37=65,$G37=65),0,1)</f>
        <v/>
      </c>
      <c r="FO38">
        <f>FO37*IF(OR($C37=66,$G37=66),0,1)</f>
        <v/>
      </c>
      <c r="FP38">
        <f>FP37*IF(OR($C37=67,$G37=67),0,1)</f>
        <v/>
      </c>
      <c r="FQ38">
        <f>FQ37*IF(OR($C37=68,$G37=68),0,1)</f>
        <v/>
      </c>
      <c r="FR38">
        <f>FR37*IF(OR($C37=69,$G37=69),0,1)</f>
        <v/>
      </c>
      <c r="FS38">
        <f>FS37*IF(OR($C37=70,$G37=70),0,1)</f>
        <v/>
      </c>
      <c r="FT38">
        <f>FT37*IF(OR($C37=71,$G37=71),0,1)</f>
        <v/>
      </c>
      <c r="FU38">
        <f>FU37*IF(OR($C37=72,$G37=72),0,1)</f>
        <v/>
      </c>
      <c r="FV38">
        <f>FV37*IF(OR($C37=73,$G37=73),0,1)</f>
        <v/>
      </c>
      <c r="FW38">
        <f>FW37*IF(OR($C37=74,$G37=74),0,1)</f>
        <v/>
      </c>
      <c r="FX38">
        <f>FX37*IF(OR($C37=75,$G37=75),0,1)</f>
        <v/>
      </c>
      <c r="FY38">
        <f>FY37*IF(OR($C37=76,$G37=76),0,1)</f>
        <v/>
      </c>
      <c r="FZ38">
        <f>FZ37*IF(OR($C37=77,$G37=77),0,1)</f>
        <v/>
      </c>
      <c r="GA38">
        <f>GA37*IF(OR($C37=78,$G37=78),0,1)</f>
        <v/>
      </c>
      <c r="GB38">
        <f>GB37*IF(OR($C37=79,$G37=79),0,1)</f>
        <v/>
      </c>
      <c r="GC38">
        <f>GC37*IF(OR($C37=80,$G37=80),0,1)</f>
        <v/>
      </c>
      <c r="GD38">
        <f>GD37*IF(OR($C37=81,$G37=81),0,1)</f>
        <v/>
      </c>
      <c r="GE38">
        <f>GE37*IF(OR($C37=82,$G37=82),0,1)</f>
        <v/>
      </c>
      <c r="GF38">
        <f>GF37*IF(OR($C37=83,$G37=83),0,1)</f>
        <v/>
      </c>
      <c r="GG38">
        <f>GG37*IF(OR($C37=84,$G37=84),0,1)</f>
        <v/>
      </c>
      <c r="GH38">
        <f>GH37*IF(OR($C37=85,$G37=85),0,1)</f>
        <v/>
      </c>
      <c r="GI38">
        <f>GI37*IF(OR($C37=86,$G37=86),0,1)</f>
        <v/>
      </c>
      <c r="GJ38">
        <f>GJ37*IF(OR($C37=87,$G37=87),0,1)</f>
        <v/>
      </c>
      <c r="GK38">
        <f>GK37*IF(OR($C37=88,$G37=88),0,1)</f>
        <v/>
      </c>
      <c r="GL38">
        <f>GL37*IF(OR($C37=89,$G37=89),0,1)</f>
        <v/>
      </c>
      <c r="GM38">
        <f>GM37*IF(OR($C37=90,$G37=90),0,1)</f>
        <v/>
      </c>
      <c r="GN38">
        <f>GN37*IF(OR($C37=91,$G37=91),0,1)</f>
        <v/>
      </c>
      <c r="GO38">
        <f>GO37*IF(OR($C37=92,$G37=92),0,1)</f>
        <v/>
      </c>
      <c r="GP38">
        <f>GP37*IF(OR($C37=93,$G37=93),0,1)</f>
        <v/>
      </c>
      <c r="GQ38">
        <f>GQ37*IF(OR($C37=94,$G37=94),0,1)</f>
        <v/>
      </c>
      <c r="GR38">
        <f>GR37*IF(OR($C37=95,$G37=95),0,1)</f>
        <v/>
      </c>
      <c r="GS38">
        <f>GS37*IF(OR($C37=96,$G37=96),0,1)</f>
        <v/>
      </c>
      <c r="GT38">
        <f>GT37*IF(OR($C37=97,$G37=97),0,1)</f>
        <v/>
      </c>
      <c r="GU38">
        <f>GU37*IF(OR($C37=98,$G37=98),0,1)</f>
        <v/>
      </c>
      <c r="GV38">
        <f>GV37*IF(OR($C37=99,$G37=99),0,1)</f>
        <v/>
      </c>
      <c r="GW38">
        <f>GW37*IF(OR($C37=100,$G37=100),0,1)</f>
        <v/>
      </c>
      <c r="GX38">
        <f>GX37*IF(OR($C37=101,$G37=101),0,1)</f>
        <v/>
      </c>
      <c r="GY38">
        <f>GY37*IF(OR($C37=102,$G37=102),0,1)</f>
        <v/>
      </c>
      <c r="GZ38">
        <f>GZ37*IF(OR($C37=103,$G37=103),0,1)</f>
        <v/>
      </c>
      <c r="HA38">
        <f>HA37*IF(OR($C37=104,$G37=104),0,1)</f>
        <v/>
      </c>
      <c r="HB38">
        <f>HB37*IF(OR($C37=105,$G37=105),0,1)</f>
        <v/>
      </c>
      <c r="HC38">
        <f>HC37*IF(OR($C37=106,$G37=106),0,1)</f>
        <v/>
      </c>
      <c r="HD38">
        <f>HD37*IF(OR($C37=107,$G37=107),0,1)</f>
        <v/>
      </c>
      <c r="HE38">
        <f>HE37*IF(OR($C37=108,$G37=108),0,1)</f>
        <v/>
      </c>
      <c r="HF38">
        <f>HF37*IF(OR($C37=109,$G37=109),0,1)</f>
        <v/>
      </c>
      <c r="HG38">
        <f>HG37*IF(OR($C37=110,$G37=110),0,1)</f>
        <v/>
      </c>
      <c r="HH38">
        <f>HH37*IF(OR($C37=111,$G37=111),0,1)</f>
        <v/>
      </c>
      <c r="HI38">
        <f>HI37*IF(OR($C37=112,$G37=112),0,1)</f>
        <v/>
      </c>
      <c r="HJ38">
        <f>HJ37*IF(OR($C37=113,$G37=113),0,1)</f>
        <v/>
      </c>
      <c r="HK38">
        <f>HK37*IF(OR($C37=114,$G37=114),0,1)</f>
        <v/>
      </c>
      <c r="HL38">
        <f>HL37*IF(OR($C37=115,$G37=115),0,1)</f>
        <v/>
      </c>
      <c r="HM38">
        <f>HM37*IF(OR($C37=116,$G37=116),0,1)</f>
        <v/>
      </c>
      <c r="HN38">
        <f>HN37*IF(OR($C37=117,$G37=117),0,1)</f>
        <v/>
      </c>
      <c r="HO38">
        <f>HO37*IF(OR($C37=118,$G37=118),0,1)</f>
        <v/>
      </c>
      <c r="HP38">
        <f>HP37*IF(OR($C37=119,$G37=119),0,1)</f>
        <v/>
      </c>
      <c r="HQ38">
        <f>HQ37*IF(OR($C37=120,$G37=120),0,1)</f>
        <v/>
      </c>
      <c r="HR38">
        <f>HR37*IF(OR($C37=121,$G37=121),0,1)</f>
        <v/>
      </c>
      <c r="HS38">
        <f>HS37*IF(OR($C37=122,$G37=122),0,1)</f>
        <v/>
      </c>
      <c r="HT38">
        <f>HT37*IF(OR($C37=123,$G37=123),0,1)</f>
        <v/>
      </c>
      <c r="HU38">
        <f>HU37*IF(OR($C37=124,$G37=124),0,1)</f>
        <v/>
      </c>
      <c r="HV38">
        <f>HV37*IF(OR($C37=125,$G37=125),0,1)</f>
        <v/>
      </c>
      <c r="HW38">
        <f>HW37*IF(OR($C37=126,$G37=126),0,1)</f>
        <v/>
      </c>
      <c r="HX38">
        <f>HX37*IF(OR($C37=127,$G37=127),0,1)</f>
        <v/>
      </c>
      <c r="HY38">
        <f>HY37*IF(OR($C37=128,$G37=128),0,1)</f>
        <v/>
      </c>
      <c r="HZ38">
        <f>HZ37*IF(OR($C37=129,$G37=129),0,1)</f>
        <v/>
      </c>
      <c r="IA38">
        <f>IA37*IF(OR($C37=130,$G37=130),0,1)</f>
        <v/>
      </c>
      <c r="IB38">
        <f>IB37*IF(OR($C37=131,$G37=131),0,1)</f>
        <v/>
      </c>
      <c r="IC38">
        <f>IC37*IF(OR($C37=132,$G37=132),0,1)</f>
        <v/>
      </c>
      <c r="ID38">
        <f>ID37*IF(OR($C37=133,$G37=133),0,1)</f>
        <v/>
      </c>
      <c r="IE38">
        <f>IE37*IF(OR($C37=134,$G37=134),0,1)</f>
        <v/>
      </c>
      <c r="IF38">
        <f>IF37*IF(OR($C37=135,$G37=135),0,1)</f>
        <v/>
      </c>
      <c r="IG38">
        <f>IG37*IF(OR($C37=136,$G37=136),0,1)</f>
        <v/>
      </c>
      <c r="IH38">
        <f>IH37*IF(OR($C37=137,$G37=137),0,1)</f>
        <v/>
      </c>
      <c r="II38">
        <f>II37*IF(OR($C37=138,$G37=138),0,1)</f>
        <v/>
      </c>
      <c r="IJ38">
        <f>IJ37*IF(OR($C37=139,$G37=139),0,1)</f>
        <v/>
      </c>
      <c r="IK38">
        <f>IK37*IF(OR($C37=140,$G37=140),0,1)</f>
        <v/>
      </c>
      <c r="IL38">
        <f>IL37*IF(OR($C37=141,$G37=141),0,1)</f>
        <v/>
      </c>
      <c r="IM38">
        <f>IM37*IF(OR($C37=142,$G37=142),0,1)</f>
        <v/>
      </c>
      <c r="IN38">
        <f>IN37*IF(OR($C37=143,$G37=143),0,1)</f>
        <v/>
      </c>
      <c r="IO38">
        <f>IO37*IF(OR($C37=144,$G37=144),0,1)</f>
        <v/>
      </c>
      <c r="IQ38">
        <f>IF('計算A'!D$106=1,DC38,1)</f>
        <v/>
      </c>
      <c r="IR38">
        <f>IF('計算A'!E$106=1,DD38,1)</f>
        <v/>
      </c>
      <c r="IS38">
        <f>IF('計算A'!F$106=1,DE38,1)</f>
        <v/>
      </c>
      <c r="IT38">
        <f>IF('計算A'!G$106=1,DF38,1)</f>
        <v/>
      </c>
      <c r="IU38">
        <f>IF('計算A'!H$106=1,DG38,1)</f>
        <v/>
      </c>
      <c r="IV38">
        <f>IF('計算A'!I$106=1,DH38,1)</f>
        <v/>
      </c>
      <c r="IW38">
        <f>IF('計算A'!J$106=1,DI38,1)</f>
        <v/>
      </c>
      <c r="IX38">
        <f>IF('計算A'!K$106=1,DJ38,1)</f>
        <v/>
      </c>
      <c r="IY38">
        <f>IF('計算A'!L$106=1,DK38,1)</f>
        <v/>
      </c>
      <c r="IZ38">
        <f>IF('計算A'!M$106=1,DL38,1)</f>
        <v/>
      </c>
      <c r="JA38">
        <f>IF('計算A'!N$106=1,DM38,1)</f>
        <v/>
      </c>
      <c r="JB38">
        <f>IF('計算A'!O$106=1,DN38,1)</f>
        <v/>
      </c>
      <c r="JC38">
        <f>IF('計算A'!P$106=1,DO38,1)</f>
        <v/>
      </c>
      <c r="JD38">
        <f>IF('計算A'!Q$106=1,DP38,1)</f>
        <v/>
      </c>
      <c r="JE38">
        <f>IF('計算A'!R$106=1,DQ38,1)</f>
        <v/>
      </c>
      <c r="JF38">
        <f>IF('計算A'!S$106=1,DR38,1)</f>
        <v/>
      </c>
      <c r="JG38">
        <f>IF('計算A'!T$106=1,DS38,1)</f>
        <v/>
      </c>
      <c r="JH38">
        <f>IF('計算A'!U$106=1,DT38,1)</f>
        <v/>
      </c>
      <c r="JI38">
        <f>IF('計算A'!V$106=1,DU38,1)</f>
        <v/>
      </c>
      <c r="JJ38">
        <f>IF('計算A'!W$106=1,DV38,1)</f>
        <v/>
      </c>
      <c r="JK38">
        <f>IF('計算A'!X$106=1,DW38,1)</f>
        <v/>
      </c>
      <c r="JL38">
        <f>IF('計算A'!Y$106=1,DX38,1)</f>
        <v/>
      </c>
      <c r="JM38">
        <f>IF('計算A'!Z$106=1,DY38,1)</f>
        <v/>
      </c>
      <c r="JN38">
        <f>IF('計算A'!AA$106=1,DZ38,1)</f>
        <v/>
      </c>
      <c r="JO38">
        <f>IF('計算A'!AB$106=1,EA38,1)</f>
        <v/>
      </c>
      <c r="JP38">
        <f>IF('計算A'!AC$106=1,EB38,1)</f>
        <v/>
      </c>
      <c r="JQ38">
        <f>IF('計算A'!AD$106=1,EC38,1)</f>
        <v/>
      </c>
      <c r="JR38">
        <f>IF('計算A'!AE$106=1,ED38,1)</f>
        <v/>
      </c>
      <c r="JS38">
        <f>IF('計算A'!AF$106=1,EE38,1)</f>
        <v/>
      </c>
      <c r="JT38">
        <f>IF('計算A'!AG$106=1,EF38,1)</f>
        <v/>
      </c>
      <c r="JU38">
        <f>IF('計算A'!AH$106=1,EG38,1)</f>
        <v/>
      </c>
      <c r="JV38">
        <f>IF('計算A'!AI$106=1,EH38,1)</f>
        <v/>
      </c>
      <c r="JW38">
        <f>IF('計算A'!AJ$106=1,EI38,1)</f>
        <v/>
      </c>
      <c r="JX38">
        <f>IF('計算A'!AK$106=1,EJ38,1)</f>
        <v/>
      </c>
      <c r="JY38">
        <f>IF('計算A'!AL$106=1,EK38,1)</f>
        <v/>
      </c>
      <c r="JZ38">
        <f>IF('計算A'!AM$106=1,EL38,1)</f>
        <v/>
      </c>
      <c r="KA38">
        <f>IF('計算A'!AN$106=1,EM38,1)</f>
        <v/>
      </c>
      <c r="KB38">
        <f>IF('計算A'!AO$106=1,EN38,1)</f>
        <v/>
      </c>
      <c r="KC38">
        <f>IF('計算A'!AP$106=1,EO38,1)</f>
        <v/>
      </c>
      <c r="KD38">
        <f>IF('計算A'!AQ$106=1,EP38,1)</f>
        <v/>
      </c>
      <c r="KE38">
        <f>IF('計算A'!AR$106=1,EQ38,1)</f>
        <v/>
      </c>
      <c r="KF38">
        <f>IF('計算A'!AS$106=1,ER38,1)</f>
        <v/>
      </c>
      <c r="KG38">
        <f>IF('計算A'!AT$106=1,ES38,1)</f>
        <v/>
      </c>
      <c r="KH38">
        <f>IF('計算A'!AU$106=1,ET38,1)</f>
        <v/>
      </c>
      <c r="KI38">
        <f>IF('計算A'!AV$106=1,EU38,1)</f>
        <v/>
      </c>
      <c r="KJ38">
        <f>IF('計算A'!AW$106=1,EV38,1)</f>
        <v/>
      </c>
      <c r="KK38">
        <f>IF('計算A'!AX$106=1,EW38,1)</f>
        <v/>
      </c>
      <c r="KL38">
        <f>IF('計算A'!AY$106=1,EX38,1)</f>
        <v/>
      </c>
      <c r="KM38">
        <f>IF('計算A'!AZ$106=1,EY38,1)</f>
        <v/>
      </c>
      <c r="KN38">
        <f>IF('計算A'!BA$106=1,EZ38,1)</f>
        <v/>
      </c>
      <c r="KO38">
        <f>IF('計算A'!BB$106=1,FA38,1)</f>
        <v/>
      </c>
      <c r="KP38">
        <f>IF('計算A'!BC$106=1,FB38,1)</f>
        <v/>
      </c>
      <c r="KQ38">
        <f>IF('計算A'!BD$106=1,FC38,1)</f>
        <v/>
      </c>
      <c r="KR38">
        <f>IF('計算A'!BE$106=1,FD38,1)</f>
        <v/>
      </c>
      <c r="KS38">
        <f>IF('計算A'!BF$106=1,FE38,1)</f>
        <v/>
      </c>
      <c r="KT38">
        <f>IF('計算A'!BG$106=1,FF38,1)</f>
        <v/>
      </c>
      <c r="KU38">
        <f>IF('計算A'!BH$106=1,FG38,1)</f>
        <v/>
      </c>
      <c r="KV38">
        <f>IF('計算A'!BI$106=1,FH38,1)</f>
        <v/>
      </c>
      <c r="KW38">
        <f>IF('計算A'!BJ$106=1,FI38,1)</f>
        <v/>
      </c>
      <c r="KX38">
        <f>IF('計算A'!BK$106=1,FJ38,1)</f>
        <v/>
      </c>
      <c r="KY38">
        <f>IF('計算A'!BL$106=1,FK38,1)</f>
        <v/>
      </c>
      <c r="KZ38">
        <f>IF('計算A'!BM$106=1,FL38,1)</f>
        <v/>
      </c>
      <c r="LA38">
        <f>IF('計算A'!BN$106=1,FM38,1)</f>
        <v/>
      </c>
      <c r="LB38">
        <f>IF('計算A'!BO$106=1,FN38,1)</f>
        <v/>
      </c>
      <c r="LC38">
        <f>IF('計算A'!BP$106=1,FO38,1)</f>
        <v/>
      </c>
      <c r="LD38">
        <f>IF('計算A'!BQ$106=1,FP38,1)</f>
        <v/>
      </c>
      <c r="LE38">
        <f>IF('計算A'!BR$106=1,FQ38,1)</f>
        <v/>
      </c>
      <c r="LF38">
        <f>IF('計算A'!BS$106=1,FR38,1)</f>
        <v/>
      </c>
      <c r="LG38">
        <f>IF('計算A'!BT$106=1,FS38,1)</f>
        <v/>
      </c>
      <c r="LH38">
        <f>IF('計算A'!BU$106=1,FT38,1)</f>
        <v/>
      </c>
      <c r="LI38">
        <f>IF('計算A'!BV$106=1,FU38,1)</f>
        <v/>
      </c>
      <c r="LJ38">
        <f>IF('計算A'!BW$106=1,FV38,1)</f>
        <v/>
      </c>
      <c r="LK38">
        <f>IF('計算A'!BX$106=1,FW38,1)</f>
        <v/>
      </c>
      <c r="LL38">
        <f>IF('計算A'!BY$106=1,FX38,1)</f>
        <v/>
      </c>
      <c r="LM38">
        <f>IF('計算A'!BZ$106=1,FY38,1)</f>
        <v/>
      </c>
      <c r="LN38">
        <f>IF('計算A'!CA$106=1,FZ38,1)</f>
        <v/>
      </c>
      <c r="LO38">
        <f>IF('計算A'!CB$106=1,GA38,1)</f>
        <v/>
      </c>
      <c r="LP38">
        <f>IF('計算A'!CC$106=1,GB38,1)</f>
        <v/>
      </c>
      <c r="LQ38">
        <f>IF('計算A'!CD$106=1,GC38,1)</f>
        <v/>
      </c>
      <c r="LR38">
        <f>IF('計算A'!CE$106=1,GD38,1)</f>
        <v/>
      </c>
      <c r="LS38">
        <f>IF('計算A'!CF$106=1,GE38,1)</f>
        <v/>
      </c>
      <c r="LT38">
        <f>IF('計算A'!CG$106=1,GF38,1)</f>
        <v/>
      </c>
      <c r="LU38">
        <f>IF('計算A'!CH$106=1,GG38,1)</f>
        <v/>
      </c>
      <c r="LV38">
        <f>IF('計算A'!CI$106=1,GH38,1)</f>
        <v/>
      </c>
      <c r="LW38">
        <f>IF('計算A'!CJ$106=1,GI38,1)</f>
        <v/>
      </c>
      <c r="LX38">
        <f>IF('計算A'!CK$106=1,GJ38,1)</f>
        <v/>
      </c>
      <c r="LY38">
        <f>IF('計算A'!CL$106=1,GK38,1)</f>
        <v/>
      </c>
      <c r="LZ38">
        <f>IF('計算A'!CM$106=1,GL38,1)</f>
        <v/>
      </c>
      <c r="MA38">
        <f>IF('計算A'!CN$106=1,GM38,1)</f>
        <v/>
      </c>
      <c r="MB38">
        <f>IF('計算A'!CO$106=1,GN38,1)</f>
        <v/>
      </c>
      <c r="MC38">
        <f>IF('計算A'!CP$106=1,GO38,1)</f>
        <v/>
      </c>
      <c r="MD38">
        <f>IF('計算A'!CQ$106=1,GP38,1)</f>
        <v/>
      </c>
      <c r="ME38">
        <f>IF('計算A'!CR$106=1,GQ38,1)</f>
        <v/>
      </c>
      <c r="MF38">
        <f>IF('計算A'!CS$106=1,GR38,1)</f>
        <v/>
      </c>
      <c r="MG38">
        <f>IF('計算A'!CT$106=1,GS38,1)</f>
        <v/>
      </c>
      <c r="MH38">
        <f>IF('計算A'!CU$106=1,GT38,1)</f>
        <v/>
      </c>
      <c r="MI38">
        <f>IF('計算A'!CV$106=1,GU38,1)</f>
        <v/>
      </c>
      <c r="MJ38">
        <f>IF('計算A'!CW$106=1,GV38,1)</f>
        <v/>
      </c>
      <c r="MK38">
        <f>IF('計算A'!CX$106=1,GW38,1)</f>
        <v/>
      </c>
      <c r="ML38">
        <f>IF('計算A'!CY$106=1,GX38,1)</f>
        <v/>
      </c>
      <c r="MM38">
        <f>IF('計算A'!CZ$106=1,GY38,1)</f>
        <v/>
      </c>
      <c r="MN38">
        <f>IF('計算A'!DA$106=1,GZ38,1)</f>
        <v/>
      </c>
      <c r="MO38">
        <f>IF('計算A'!DB$106=1,HA38,1)</f>
        <v/>
      </c>
      <c r="MP38">
        <f>IF('計算A'!DC$106=1,HB38,1)</f>
        <v/>
      </c>
      <c r="MQ38">
        <f>IF('計算A'!DD$106=1,HC38,1)</f>
        <v/>
      </c>
      <c r="MR38">
        <f>IF('計算A'!DE$106=1,HD38,1)</f>
        <v/>
      </c>
      <c r="MS38">
        <f>IF('計算A'!DF$106=1,HE38,1)</f>
        <v/>
      </c>
      <c r="MT38">
        <f>IF('計算A'!DG$106=1,HF38,1)</f>
        <v/>
      </c>
      <c r="MU38">
        <f>IF('計算A'!DH$106=1,HG38,1)</f>
        <v/>
      </c>
      <c r="MV38">
        <f>IF('計算A'!DI$106=1,HH38,1)</f>
        <v/>
      </c>
      <c r="MW38">
        <f>IF('計算A'!DJ$106=1,HI38,1)</f>
        <v/>
      </c>
      <c r="MX38">
        <f>IF('計算A'!DK$106=1,HJ38,1)</f>
        <v/>
      </c>
      <c r="MY38">
        <f>IF('計算A'!DL$106=1,HK38,1)</f>
        <v/>
      </c>
      <c r="MZ38">
        <f>IF('計算A'!DM$106=1,HL38,1)</f>
        <v/>
      </c>
      <c r="NA38">
        <f>IF('計算A'!DN$106=1,HM38,1)</f>
        <v/>
      </c>
      <c r="NB38">
        <f>IF('計算A'!DO$106=1,HN38,1)</f>
        <v/>
      </c>
      <c r="NC38">
        <f>IF('計算A'!DP$106=1,HO38,1)</f>
        <v/>
      </c>
      <c r="ND38">
        <f>IF('計算A'!DQ$106=1,HP38,1)</f>
        <v/>
      </c>
      <c r="NE38">
        <f>IF('計算A'!DR$106=1,HQ38,1)</f>
        <v/>
      </c>
      <c r="NF38">
        <f>IF('計算A'!DS$106=1,HR38,1)</f>
        <v/>
      </c>
      <c r="NG38">
        <f>IF('計算A'!DT$106=1,HS38,1)</f>
        <v/>
      </c>
      <c r="NH38">
        <f>IF('計算A'!DU$106=1,HT38,1)</f>
        <v/>
      </c>
      <c r="NI38">
        <f>IF('計算A'!DV$106=1,HU38,1)</f>
        <v/>
      </c>
      <c r="NJ38">
        <f>IF('計算A'!DW$106=1,HV38,1)</f>
        <v/>
      </c>
      <c r="NK38">
        <f>IF('計算A'!DX$106=1,HW38,1)</f>
        <v/>
      </c>
      <c r="NL38">
        <f>IF('計算A'!DY$106=1,HX38,1)</f>
        <v/>
      </c>
      <c r="NM38">
        <f>IF('計算A'!DZ$106=1,HY38,1)</f>
        <v/>
      </c>
      <c r="NN38">
        <f>IF('計算A'!EA$106=1,HZ38,1)</f>
        <v/>
      </c>
      <c r="NO38">
        <f>IF('計算A'!EB$106=1,IA38,1)</f>
        <v/>
      </c>
      <c r="NP38">
        <f>IF('計算A'!EC$106=1,IB38,1)</f>
        <v/>
      </c>
      <c r="NQ38">
        <f>IF('計算A'!ED$106=1,IC38,1)</f>
        <v/>
      </c>
      <c r="NR38">
        <f>IF('計算A'!EE$106=1,ID38,1)</f>
        <v/>
      </c>
      <c r="NS38">
        <f>IF('計算A'!EF$106=1,IE38,1)</f>
        <v/>
      </c>
      <c r="NT38">
        <f>IF('計算A'!EG$106=1,IF38,1)</f>
        <v/>
      </c>
      <c r="NU38">
        <f>IF('計算A'!EH$106=1,IG38,1)</f>
        <v/>
      </c>
      <c r="NV38">
        <f>IF('計算A'!EI$106=1,IH38,1)</f>
        <v/>
      </c>
      <c r="NW38">
        <f>IF('計算A'!EJ$106=1,II38,1)</f>
        <v/>
      </c>
      <c r="NX38">
        <f>IF('計算A'!EK$106=1,IJ38,1)</f>
        <v/>
      </c>
      <c r="NY38">
        <f>IF('計算A'!EL$106=1,IK38,1)</f>
        <v/>
      </c>
      <c r="NZ38">
        <f>IF('計算A'!EM$106=1,IL38,1)</f>
        <v/>
      </c>
      <c r="OA38">
        <f>IF('計算A'!EN$106=1,IM38,1)</f>
        <v/>
      </c>
      <c r="OB38">
        <f>IF('計算A'!EO$106=1,IN38,1)</f>
        <v/>
      </c>
      <c r="OC38">
        <f>IF('計算A'!EP$106=1,IO38,1)</f>
        <v/>
      </c>
      <c r="OD38" t="n">
        <v>1</v>
      </c>
      <c r="OF38">
        <f>IF($B38=0,1000000,IF(INDEX('計算A'!$D$60:$EQ$104,$B38,1)*DB38=1,IF(AND($E38=2,IQ38=0),1000000,IF($I38&gt;0,IF(1=$J38,IF(OR(AND(1=$I38+1,OR($K38&lt;&gt;'計算A'!$A$3,'計算A'!$A$4=0)),AND(1=$I38-1,OR(1&lt;&gt;'計算A'!$A$3,'計算A'!$A$4=0))),0,IF(1=$K38,200000,ABS(1-$K38)*100)),100000+ABS(1-$J38)*1000+10)+'計算A'!D$5*50+IF(AND($E38=1,IQ38=0),25,0),INDEX('計算A'!D$110:D$114,$F38+1)+IF(AND($E38=1,IQ38=0),1000,0)+IF($H38=1,(IF('計算A'!D$117=1,INDEX('計算A'!E$10:E$54,$B38),0))*500,0)-IF(AND($L38=1,'計算A'!D$117=1,DC38=0),300,0))),1000000))</f>
        <v/>
      </c>
      <c r="OG38">
        <f>IF($B38=0,1000000,IF(INDEX('計算A'!$D$60:$EQ$104,$B38,2)*DC38=1,IF(AND($E38=2,IR38=0),1000000,IF($I38&gt;0,IF(1=$J38,IF(OR(AND(2=$I38+1,OR($K38&lt;&gt;'計算A'!$A$3,'計算A'!$A$4=0)),AND(2=$I38-1,OR(2&lt;&gt;'計算A'!$A$3,'計算A'!$A$4=0))),0,IF(2=$K38,200000,ABS(2-$K38)*100)),100000+ABS(1-$J38)*1000+20)+'計算A'!E$5*50+IF(AND($E38=1,IR38=0),25,0),INDEX('計算A'!E$110:E$114,$F38+1)+IF(AND($E38=1,IR38=0),1000,0)+IF($H38=1,(IF('計算A'!D$117=1,INDEX('計算A'!D$10:D$54,$B38),0)+IF('計算A'!E$117=1,INDEX('計算A'!F$10:F$54,$B38),0))*500,0)-IF(AND('計算A'!D$117=1,UB38&gt;0),300,0)-IF(AND($L38=1,'計算A'!E$117=1,DD38=0),300,0))),1000000))</f>
        <v/>
      </c>
      <c r="OH38">
        <f>IF($B38=0,1000000,IF(INDEX('計算A'!$D$60:$EQ$104,$B38,3)*DD38=1,IF(AND($E38=2,IS38=0),1000000,IF($I38&gt;0,IF(1=$J38,IF(OR(AND(3=$I38+1,OR($K38&lt;&gt;'計算A'!$A$3,'計算A'!$A$4=0)),AND(3=$I38-1,OR(3&lt;&gt;'計算A'!$A$3,'計算A'!$A$4=0))),0,IF(3=$K38,200000,ABS(3-$K38)*100)),100000+ABS(1-$J38)*1000+30)+'計算A'!F$5*50+IF(AND($E38=1,IS38=0),25,0),INDEX('計算A'!F$110:F$114,$F38+1)+IF(AND($E38=1,IS38=0),1000,0)+IF($H38=1,(IF('計算A'!E$117=1,INDEX('計算A'!E$10:E$54,$B38),0)+IF('計算A'!F$117=1,INDEX('計算A'!G$10:G$54,$B38),0))*500,0)-IF(AND('計算A'!E$117=1,UC38&gt;0),300,0)-IF(AND($L38=1,'計算A'!F$117=1,DE38=0),300,0))),1000000))</f>
        <v/>
      </c>
      <c r="OI38">
        <f>IF($B38=0,1000000,IF(INDEX('計算A'!$D$60:$EQ$104,$B38,4)*DE38=1,IF(AND($E38=2,IT38=0),1000000,IF($I38&gt;0,IF(1=$J38,IF(OR(AND(4=$I38+1,OR($K38&lt;&gt;'計算A'!$A$3,'計算A'!$A$4=0)),AND(4=$I38-1,OR(4&lt;&gt;'計算A'!$A$3,'計算A'!$A$4=0))),0,IF(4=$K38,200000,ABS(4-$K38)*100)),100000+ABS(1-$J38)*1000+40)+'計算A'!G$5*50+IF(AND($E38=1,IT38=0),25,0),INDEX('計算A'!G$110:G$114,$F38+1)+IF(AND($E38=1,IT38=0),1000,0)+IF($H38=1,(IF('計算A'!F$117=1,INDEX('計算A'!F$10:F$54,$B38),0)+IF('計算A'!G$117=1,INDEX('計算A'!H$10:H$54,$B38),0))*500,0)-IF(AND('計算A'!F$117=1,UD38&gt;0),300,0)-IF(AND($L38=1,'計算A'!G$117=1,DF38=0),300,0))),1000000))</f>
        <v/>
      </c>
      <c r="OJ38">
        <f>IF($B38=0,1000000,IF(INDEX('計算A'!$D$60:$EQ$104,$B38,5)*DF38=1,IF(AND($E38=2,IU38=0),1000000,IF($I38&gt;0,IF(1=$J38,IF(OR(AND(5=$I38+1,OR($K38&lt;&gt;'計算A'!$A$3,'計算A'!$A$4=0)),AND(5=$I38-1,OR(5&lt;&gt;'計算A'!$A$3,'計算A'!$A$4=0))),0,IF(5=$K38,200000,ABS(5-$K38)*100)),100000+ABS(1-$J38)*1000+50)+'計算A'!H$5*50+IF(AND($E38=1,IU38=0),25,0),INDEX('計算A'!H$110:H$114,$F38+1)+IF(AND($E38=1,IU38=0),1000,0)+IF($H38=1,(IF('計算A'!G$117=1,INDEX('計算A'!G$10:G$54,$B38),0)+IF('計算A'!H$117=1,INDEX('計算A'!I$10:I$54,$B38),0))*500,0)-IF(AND('計算A'!G$117=1,UE38&gt;0),300,0)-IF(AND($L38=1,'計算A'!H$117=1,DG38=0),300,0))),1000000))</f>
        <v/>
      </c>
      <c r="OK38">
        <f>IF($B38=0,1000000,IF(INDEX('計算A'!$D$60:$EQ$104,$B38,6)*DG38=1,IF(AND($E38=2,IV38=0),1000000,IF($I38&gt;0,IF(1=$J38,IF(OR(AND(6=$I38+1,OR($K38&lt;&gt;'計算A'!$A$3,'計算A'!$A$4=0)),AND(6=$I38-1,OR(6&lt;&gt;'計算A'!$A$3,'計算A'!$A$4=0))),0,IF(6=$K38,200000,ABS(6-$K38)*100)),100000+ABS(1-$J38)*1000+60)+'計算A'!I$5*50+IF(AND($E38=1,IV38=0),25,0),INDEX('計算A'!I$110:I$114,$F38+1)+IF(AND($E38=1,IV38=0),1000,0)+IF($H38=1,(IF('計算A'!H$117=1,INDEX('計算A'!H$10:H$54,$B38),0)+IF('計算A'!I$117=1,INDEX('計算A'!J$10:J$54,$B38),0))*500,0)-IF(AND('計算A'!H$117=1,UF38&gt;0),300,0)-IF(AND($L38=1,'計算A'!I$117=1,DH38=0),300,0))),1000000))</f>
        <v/>
      </c>
      <c r="OL38">
        <f>IF($B38=0,1000000,IF(INDEX('計算A'!$D$60:$EQ$104,$B38,7)*DH38=1,IF(AND($E38=2,IW38=0),1000000,IF($I38&gt;0,IF(1=$J38,IF(OR(AND(7=$I38+1,OR($K38&lt;&gt;'計算A'!$A$3,'計算A'!$A$4=0)),AND(7=$I38-1,OR(7&lt;&gt;'計算A'!$A$3,'計算A'!$A$4=0))),0,IF(7=$K38,200000,ABS(7-$K38)*100)),100000+ABS(1-$J38)*1000+70)+'計算A'!J$5*50+IF(AND($E38=1,IW38=0),25,0),INDEX('計算A'!J$110:J$114,$F38+1)+IF(AND($E38=1,IW38=0),1000,0)+IF($H38=1,(IF('計算A'!I$117=1,INDEX('計算A'!I$10:I$54,$B38),0)+IF('計算A'!J$117=1,INDEX('計算A'!K$10:K$54,$B38),0))*500,0)-IF(AND('計算A'!I$117=1,UG38&gt;0),300,0)-IF(AND($L38=1,'計算A'!J$117=1,DI38=0),300,0))),1000000))</f>
        <v/>
      </c>
      <c r="OM38">
        <f>IF($B38=0,1000000,IF(INDEX('計算A'!$D$60:$EQ$104,$B38,8)*DI38=1,IF(AND($E38=2,IX38=0),1000000,IF($I38&gt;0,IF(1=$J38,IF(OR(AND(8=$I38+1,OR($K38&lt;&gt;'計算A'!$A$3,'計算A'!$A$4=0)),AND(8=$I38-1,OR(8&lt;&gt;'計算A'!$A$3,'計算A'!$A$4=0))),0,IF(8=$K38,200000,ABS(8-$K38)*100)),100000+ABS(1-$J38)*1000+80)+'計算A'!K$5*50+IF(AND($E38=1,IX38=0),25,0),INDEX('計算A'!K$110:K$114,$F38+1)+IF(AND($E38=1,IX38=0),1000,0)+IF($H38=1,(IF('計算A'!J$117=1,INDEX('計算A'!J$10:J$54,$B38),0)+IF('計算A'!K$117=1,INDEX('計算A'!L$10:L$54,$B38),0))*500,0)-IF(AND('計算A'!J$117=1,UH38&gt;0),300,0)-IF(AND($L38=1,'計算A'!K$117=1,DJ38=0),300,0))),1000000))</f>
        <v/>
      </c>
      <c r="ON38">
        <f>IF($B38=0,1000000,IF(INDEX('計算A'!$D$60:$EQ$104,$B38,9)*DJ38=1,IF(AND($E38=2,IY38=0),1000000,IF($I38&gt;0,IF(1=$J38,IF(OR(AND(9=$I38+1,OR($K38&lt;&gt;'計算A'!$A$3,'計算A'!$A$4=0)),AND(9=$I38-1,OR(9&lt;&gt;'計算A'!$A$3,'計算A'!$A$4=0))),0,IF(9=$K38,200000,ABS(9-$K38)*100)),100000+ABS(1-$J38)*1000+90)+'計算A'!L$5*50+IF(AND($E38=1,IY38=0),25,0),INDEX('計算A'!L$110:L$114,$F38+1)+IF(AND($E38=1,IY38=0),1000,0)+IF($H38=1,(IF('計算A'!K$117=1,INDEX('計算A'!K$10:K$54,$B38),0)+IF('計算A'!L$117=1,INDEX('計算A'!M$10:M$54,$B38),0))*500,0)-IF(AND('計算A'!K$117=1,UI38&gt;0),300,0)-IF(AND($L38=1,'計算A'!L$117=1,DK38=0),300,0))),1000000))</f>
        <v/>
      </c>
      <c r="OO38">
        <f>IF($B38=0,1000000,IF(INDEX('計算A'!$D$60:$EQ$104,$B38,10)*DK38=1,IF(AND($E38=2,IZ38=0),1000000,IF($I38&gt;0,IF(1=$J38,IF(OR(AND(10=$I38+1,OR($K38&lt;&gt;'計算A'!$A$3,'計算A'!$A$4=0)),AND(10=$I38-1,OR(10&lt;&gt;'計算A'!$A$3,'計算A'!$A$4=0))),0,IF(10=$K38,200000,ABS(10-$K38)*100)),100000+ABS(1-$J38)*1000+100)+'計算A'!M$5*50+IF(AND($E38=1,IZ38=0),25,0),INDEX('計算A'!M$110:M$114,$F38+1)+IF(AND($E38=1,IZ38=0),1000,0)+IF($H38=1,(IF('計算A'!L$117=1,INDEX('計算A'!L$10:L$54,$B38),0)+IF('計算A'!M$117=1,INDEX('計算A'!N$10:N$54,$B38),0))*500,0)-IF(AND('計算A'!L$117=1,UJ38&gt;0),300,0)-IF(AND($L38=1,'計算A'!M$117=1,DL38=0),300,0))),1000000))</f>
        <v/>
      </c>
      <c r="OP38">
        <f>IF($B38=0,1000000,IF(INDEX('計算A'!$D$60:$EQ$104,$B38,11)*DL38=1,IF(AND($E38=2,JA38=0),1000000,IF($I38&gt;0,IF(1=$J38,IF(OR(AND(11=$I38+1,OR($K38&lt;&gt;'計算A'!$A$3,'計算A'!$A$4=0)),AND(11=$I38-1,OR(11&lt;&gt;'計算A'!$A$3,'計算A'!$A$4=0))),0,IF(11=$K38,200000,ABS(11-$K38)*100)),100000+ABS(1-$J38)*1000+110)+'計算A'!N$5*50+IF(AND($E38=1,JA38=0),25,0),INDEX('計算A'!N$110:N$114,$F38+1)+IF(AND($E38=1,JA38=0),1000,0)+IF($H38=1,(IF('計算A'!M$117=1,INDEX('計算A'!M$10:M$54,$B38),0)+IF('計算A'!N$117=1,INDEX('計算A'!O$10:O$54,$B38),0))*500,0)-IF(AND('計算A'!M$117=1,UK38&gt;0),300,0)-IF(AND($L38=1,'計算A'!N$117=1,DM38=0),300,0))),1000000))</f>
        <v/>
      </c>
      <c r="OQ38">
        <f>IF($B38=0,1000000,IF(INDEX('計算A'!$D$60:$EQ$104,$B38,12)*DM38=1,IF(AND($E38=2,JB38=0),1000000,IF($I38&gt;0,IF(1=$J38,IF(OR(AND(12=$I38+1,OR($K38&lt;&gt;'計算A'!$A$3,'計算A'!$A$4=0)),AND(12=$I38-1,OR(12&lt;&gt;'計算A'!$A$3,'計算A'!$A$4=0))),0,IF(12=$K38,200000,ABS(12-$K38)*100)),100000+ABS(1-$J38)*1000+120)+'計算A'!O$5*50+IF(AND($E38=1,JB38=0),25,0),INDEX('計算A'!O$110:O$114,$F38+1)+IF(AND($E38=1,JB38=0),1000,0)+IF($H38=1,(IF('計算A'!N$117=1,INDEX('計算A'!N$10:N$54,$B38),0)+IF('計算A'!O$117=1,INDEX('計算A'!P$10:P$54,$B38),0))*500,0)-IF(AND('計算A'!N$117=1,UL38&gt;0),300,0)-IF(AND($L38=1,'計算A'!O$117=1,DN38=0),300,0))),1000000))</f>
        <v/>
      </c>
      <c r="OR38">
        <f>IF($B38=0,1000000,IF(INDEX('計算A'!$D$60:$EQ$104,$B38,13)*DN38=1,IF(AND($E38=2,JC38=0),1000000,IF($I38&gt;0,IF(1=$J38,IF(OR(AND(13=$I38+1,OR($K38&lt;&gt;'計算A'!$A$3,'計算A'!$A$4=0)),AND(13=$I38-1,OR(13&lt;&gt;'計算A'!$A$3,'計算A'!$A$4=0))),0,IF(13=$K38,200000,ABS(13-$K38)*100)),100000+ABS(1-$J38)*1000+130)+'計算A'!P$5*50+IF(AND($E38=1,JC38=0),25,0),INDEX('計算A'!P$110:P$114,$F38+1)+IF(AND($E38=1,JC38=0),1000,0)+IF($H38=1,(IF('計算A'!O$117=1,INDEX('計算A'!O$10:O$54,$B38),0)+IF('計算A'!P$117=1,INDEX('計算A'!Q$10:Q$54,$B38),0))*500,0)-IF(AND('計算A'!O$117=1,UM38&gt;0),300,0)-IF(AND($L38=1,'計算A'!P$117=1,DO38=0),300,0))),1000000))</f>
        <v/>
      </c>
      <c r="OS38">
        <f>IF($B38=0,1000000,IF(INDEX('計算A'!$D$60:$EQ$104,$B38,14)*DO38=1,IF(AND($E38=2,JD38=0),1000000,IF($I38&gt;0,IF(1=$J38,IF(OR(AND(14=$I38+1,OR($K38&lt;&gt;'計算A'!$A$3,'計算A'!$A$4=0)),AND(14=$I38-1,OR(14&lt;&gt;'計算A'!$A$3,'計算A'!$A$4=0))),0,IF(14=$K38,200000,ABS(14-$K38)*100)),100000+ABS(1-$J38)*1000+140)+'計算A'!Q$5*50+IF(AND($E38=1,JD38=0),25,0),INDEX('計算A'!Q$110:Q$114,$F38+1)+IF(AND($E38=1,JD38=0),1000,0)+IF($H38=1,(IF('計算A'!P$117=1,INDEX('計算A'!P$10:P$54,$B38),0)+IF('計算A'!Q$117=1,INDEX('計算A'!R$10:R$54,$B38),0))*500,0)-IF(AND('計算A'!P$117=1,UN38&gt;0),300,0)-IF(AND($L38=1,'計算A'!Q$117=1,DP38=0),300,0))),1000000))</f>
        <v/>
      </c>
      <c r="OT38">
        <f>IF($B38=0,1000000,IF(INDEX('計算A'!$D$60:$EQ$104,$B38,15)*DP38=1,IF(AND($E38=2,JE38=0),1000000,IF($I38&gt;0,IF(1=$J38,IF(OR(AND(15=$I38+1,OR($K38&lt;&gt;'計算A'!$A$3,'計算A'!$A$4=0)),AND(15=$I38-1,OR(15&lt;&gt;'計算A'!$A$3,'計算A'!$A$4=0))),0,IF(15=$K38,200000,ABS(15-$K38)*100)),100000+ABS(1-$J38)*1000+150)+'計算A'!R$5*50+IF(AND($E38=1,JE38=0),25,0),INDEX('計算A'!R$110:R$114,$F38+1)+IF(AND($E38=1,JE38=0),1000,0)+IF($H38=1,(IF('計算A'!Q$117=1,INDEX('計算A'!Q$10:Q$54,$B38),0)+IF('計算A'!R$117=1,INDEX('計算A'!S$10:S$54,$B38),0))*500,0)-IF(AND('計算A'!Q$117=1,UO38&gt;0),300,0)-IF(AND($L38=1,'計算A'!R$117=1,DQ38=0),300,0))),1000000))</f>
        <v/>
      </c>
      <c r="OU38">
        <f>IF($B38=0,1000000,IF(INDEX('計算A'!$D$60:$EQ$104,$B38,16)*DQ38=1,IF(AND($E38=2,JF38=0),1000000,IF($I38&gt;0,IF(1=$J38,IF(OR(AND(16=$I38+1,OR($K38&lt;&gt;'計算A'!$A$3,'計算A'!$A$4=0)),AND(16=$I38-1,OR(16&lt;&gt;'計算A'!$A$3,'計算A'!$A$4=0))),0,IF(16=$K38,200000,ABS(16-$K38)*100)),100000+ABS(1-$J38)*1000+160)+'計算A'!S$5*50+IF(AND($E38=1,JF38=0),25,0),INDEX('計算A'!S$110:S$114,$F38+1)+IF(AND($E38=1,JF38=0),1000,0)+IF($H38=1,(IF('計算A'!R$117=1,INDEX('計算A'!R$10:R$54,$B38),0)+IF('計算A'!S$117=1,INDEX('計算A'!T$10:T$54,$B38),0))*500,0)-IF(AND('計算A'!R$117=1,UP38&gt;0),300,0)-IF(AND($L38=1,'計算A'!S$117=1,DR38=0),300,0))),1000000))</f>
        <v/>
      </c>
      <c r="OV38">
        <f>IF($B38=0,1000000,IF(INDEX('計算A'!$D$60:$EQ$104,$B38,17)*DR38=1,IF(AND($E38=2,JG38=0),1000000,IF($I38&gt;0,IF(1=$J38,IF(OR(AND(17=$I38+1,OR($K38&lt;&gt;'計算A'!$A$3,'計算A'!$A$4=0)),AND(17=$I38-1,OR(17&lt;&gt;'計算A'!$A$3,'計算A'!$A$4=0))),0,IF(17=$K38,200000,ABS(17-$K38)*100)),100000+ABS(1-$J38)*1000+170)+'計算A'!T$5*50+IF(AND($E38=1,JG38=0),25,0),INDEX('計算A'!T$110:T$114,$F38+1)+IF(AND($E38=1,JG38=0),1000,0)+IF($H38=1,(IF('計算A'!S$117=1,INDEX('計算A'!S$10:S$54,$B38),0)+IF('計算A'!T$117=1,INDEX('計算A'!U$10:U$54,$B38),0))*500,0)-IF(AND('計算A'!S$117=1,UQ38&gt;0),300,0)-IF(AND($L38=1,'計算A'!T$117=1,DS38=0),300,0))),1000000))</f>
        <v/>
      </c>
      <c r="OW38">
        <f>IF($B38=0,1000000,IF(INDEX('計算A'!$D$60:$EQ$104,$B38,18)*DS38=1,IF(AND($E38=2,JH38=0),1000000,IF($I38&gt;0,IF(1=$J38,IF(OR(AND(18=$I38+1,OR($K38&lt;&gt;'計算A'!$A$3,'計算A'!$A$4=0)),AND(18=$I38-1,OR(18&lt;&gt;'計算A'!$A$3,'計算A'!$A$4=0))),0,IF(18=$K38,200000,ABS(18-$K38)*100)),100000+ABS(1-$J38)*1000+180)+'計算A'!U$5*50+IF(AND($E38=1,JH38=0),25,0),INDEX('計算A'!U$110:U$114,$F38+1)+IF(AND($E38=1,JH38=0),1000,0)+IF($H38=1,(IF('計算A'!T$117=1,INDEX('計算A'!T$10:T$54,$B38),0)+IF('計算A'!U$117=1,INDEX('計算A'!V$10:V$54,$B38),0))*500,0)-IF(AND('計算A'!T$117=1,UR38&gt;0),300,0)-IF(AND($L38=1,'計算A'!U$117=1,DT38=0),300,0))),1000000))</f>
        <v/>
      </c>
      <c r="OX38">
        <f>IF($B38=0,1000000,IF(INDEX('計算A'!$D$60:$EQ$104,$B38,19)*DT38=1,IF(AND($E38=2,JI38=0),1000000,IF($I38&gt;0,IF(1=$J38,IF(OR(AND(19=$I38+1,OR($K38&lt;&gt;'計算A'!$A$3,'計算A'!$A$4=0)),AND(19=$I38-1,OR(19&lt;&gt;'計算A'!$A$3,'計算A'!$A$4=0))),0,IF(19=$K38,200000,ABS(19-$K38)*100)),100000+ABS(1-$J38)*1000+190)+'計算A'!V$5*50+IF(AND($E38=1,JI38=0),25,0),INDEX('計算A'!V$110:V$114,$F38+1)+IF(AND($E38=1,JI38=0),1000,0)+IF($H38=1,(IF('計算A'!U$117=1,INDEX('計算A'!U$10:U$54,$B38),0)+IF('計算A'!V$117=1,INDEX('計算A'!W$10:W$54,$B38),0))*500,0)-IF(AND('計算A'!U$117=1,US38&gt;0),300,0)-IF(AND($L38=1,'計算A'!V$117=1,DU38=0),300,0))),1000000))</f>
        <v/>
      </c>
      <c r="OY38">
        <f>IF($B38=0,1000000,IF(INDEX('計算A'!$D$60:$EQ$104,$B38,20)*DU38=1,IF(AND($E38=2,JJ38=0),1000000,IF($I38&gt;0,IF(1=$J38,IF(OR(AND(20=$I38+1,OR($K38&lt;&gt;'計算A'!$A$3,'計算A'!$A$4=0)),AND(20=$I38-1,OR(20&lt;&gt;'計算A'!$A$3,'計算A'!$A$4=0))),0,IF(20=$K38,200000,ABS(20-$K38)*100)),100000+ABS(1-$J38)*1000+200)+'計算A'!W$5*50+IF(AND($E38=1,JJ38=0),25,0),INDEX('計算A'!W$110:W$114,$F38+1)+IF(AND($E38=1,JJ38=0),1000,0)+IF($H38=1,(IF('計算A'!V$117=1,INDEX('計算A'!V$10:V$54,$B38),0)+IF('計算A'!W$117=1,INDEX('計算A'!X$10:X$54,$B38),0))*500,0)-IF(AND('計算A'!V$117=1,UT38&gt;0),300,0)-IF(AND($L38=1,'計算A'!W$117=1,DV38=0),300,0))),1000000))</f>
        <v/>
      </c>
      <c r="OZ38">
        <f>IF($B38=0,1000000,IF(INDEX('計算A'!$D$60:$EQ$104,$B38,21)*DV38=1,IF(AND($E38=2,JK38=0),1000000,IF($I38&gt;0,IF(1=$J38,IF(OR(AND(21=$I38+1,OR($K38&lt;&gt;'計算A'!$A$3,'計算A'!$A$4=0)),AND(21=$I38-1,OR(21&lt;&gt;'計算A'!$A$3,'計算A'!$A$4=0))),0,IF(21=$K38,200000,ABS(21-$K38)*100)),100000+ABS(1-$J38)*1000+210)+'計算A'!X$5*50+IF(AND($E38=1,JK38=0),25,0),INDEX('計算A'!X$110:X$114,$F38+1)+IF(AND($E38=1,JK38=0),1000,0)+IF($H38=1,(IF('計算A'!W$117=1,INDEX('計算A'!W$10:W$54,$B38),0)+IF('計算A'!X$117=1,INDEX('計算A'!Y$10:Y$54,$B38),0))*500,0)-IF(AND('計算A'!W$117=1,UU38&gt;0),300,0)-IF(AND($L38=1,'計算A'!X$117=1,DW38=0),300,0))),1000000))</f>
        <v/>
      </c>
      <c r="PA38">
        <f>IF($B38=0,1000000,IF(INDEX('計算A'!$D$60:$EQ$104,$B38,22)*DW38=1,IF(AND($E38=2,JL38=0),1000000,IF($I38&gt;0,IF(1=$J38,IF(OR(AND(22=$I38+1,OR($K38&lt;&gt;'計算A'!$A$3,'計算A'!$A$4=0)),AND(22=$I38-1,OR(22&lt;&gt;'計算A'!$A$3,'計算A'!$A$4=0))),0,IF(22=$K38,200000,ABS(22-$K38)*100)),100000+ABS(1-$J38)*1000+220)+'計算A'!Y$5*50+IF(AND($E38=1,JL38=0),25,0),INDEX('計算A'!Y$110:Y$114,$F38+1)+IF(AND($E38=1,JL38=0),1000,0)+IF($H38=1,(IF('計算A'!X$117=1,INDEX('計算A'!X$10:X$54,$B38),0)+IF('計算A'!Y$117=1,INDEX('計算A'!Z$10:Z$54,$B38),0))*500,0)-IF(AND('計算A'!X$117=1,UV38&gt;0),300,0)-IF(AND($L38=1,'計算A'!Y$117=1,DX38=0),300,0))),1000000))</f>
        <v/>
      </c>
      <c r="PB38">
        <f>IF($B38=0,1000000,IF(INDEX('計算A'!$D$60:$EQ$104,$B38,23)*DX38=1,IF(AND($E38=2,JM38=0),1000000,IF($I38&gt;0,IF(1=$J38,IF(OR(AND(23=$I38+1,OR($K38&lt;&gt;'計算A'!$A$3,'計算A'!$A$4=0)),AND(23=$I38-1,OR(23&lt;&gt;'計算A'!$A$3,'計算A'!$A$4=0))),0,IF(23=$K38,200000,ABS(23-$K38)*100)),100000+ABS(1-$J38)*1000+230)+'計算A'!Z$5*50+IF(AND($E38=1,JM38=0),25,0),INDEX('計算A'!Z$110:Z$114,$F38+1)+IF(AND($E38=1,JM38=0),1000,0)+IF($H38=1,(IF('計算A'!Y$117=1,INDEX('計算A'!Y$10:Y$54,$B38),0)+IF('計算A'!Z$117=1,INDEX('計算A'!AA$10:AA$54,$B38),0))*500,0)-IF(AND('計算A'!Y$117=1,UW38&gt;0),300,0)-IF(AND($L38=1,'計算A'!Z$117=1,DY38=0),300,0))),1000000))</f>
        <v/>
      </c>
      <c r="PC38">
        <f>IF($B38=0,1000000,IF(INDEX('計算A'!$D$60:$EQ$104,$B38,24)*DY38=1,IF(AND($E38=2,JN38=0),1000000,IF($I38&gt;0,IF(1=$J38,IF(OR(AND(24=$I38+1,OR($K38&lt;&gt;'計算A'!$A$3,'計算A'!$A$4=0)),AND(24=$I38-1,OR(24&lt;&gt;'計算A'!$A$3,'計算A'!$A$4=0))),0,IF(24=$K38,200000,ABS(24-$K38)*100)),100000+ABS(1-$J38)*1000+240)+'計算A'!AA$5*50+IF(AND($E38=1,JN38=0),25,0),INDEX('計算A'!AA$110:AA$114,$F38+1)+IF(AND($E38=1,JN38=0),1000,0)+IF($H38=1,(IF('計算A'!Z$117=1,INDEX('計算A'!Z$10:Z$54,$B38),0))*500,0)-IF(AND('計算A'!Z$117=1,UX38&gt;0),300,0))),1000000))</f>
        <v/>
      </c>
      <c r="PD38">
        <f>IF($B38=0,1000000,IF(INDEX('計算A'!$D$60:$EQ$104,$B38,25)*DZ38=1,IF(AND($E38=2,JO38=0),1000000,IF($I38&gt;0,IF(2=$J38,IF(OR(AND(25=$I38+1,OR($K38&lt;&gt;'計算A'!$A$3,'計算A'!$A$4=0)),AND(25=$I38-1,OR(1&lt;&gt;'計算A'!$A$3,'計算A'!$A$4=0))),0,IF(1=$K38,200000,ABS(1-$K38)*100)),100000+ABS(2-$J38)*1000+10)+'計算A'!AB$5*50+IF(AND($E38=1,JO38=0),25,0),INDEX('計算A'!AB$110:AB$114,$F38+1)+IF(AND($E38=1,JO38=0),1000,0)+IF($H38=1,(IF('計算A'!AB$117=1,INDEX('計算A'!AC$10:AC$54,$B38),0))*500,0)-IF(AND($L38=1,'計算A'!AB$117=1,EA38=0),300,0))),1000000))</f>
        <v/>
      </c>
      <c r="PE38">
        <f>IF($B38=0,1000000,IF(INDEX('計算A'!$D$60:$EQ$104,$B38,26)*EA38=1,IF(AND($E38=2,JP38=0),1000000,IF($I38&gt;0,IF(2=$J38,IF(OR(AND(26=$I38+1,OR($K38&lt;&gt;'計算A'!$A$3,'計算A'!$A$4=0)),AND(26=$I38-1,OR(2&lt;&gt;'計算A'!$A$3,'計算A'!$A$4=0))),0,IF(2=$K38,200000,ABS(2-$K38)*100)),100000+ABS(2-$J38)*1000+20)+'計算A'!AC$5*50+IF(AND($E38=1,JP38=0),25,0),INDEX('計算A'!AC$110:AC$114,$F38+1)+IF(AND($E38=1,JP38=0),1000,0)+IF($H38=1,(IF('計算A'!AB$117=1,INDEX('計算A'!AB$10:AB$54,$B38),0)+IF('計算A'!AC$117=1,INDEX('計算A'!AD$10:AD$54,$B38),0))*500,0)-IF(AND('計算A'!AB$117=1,UZ38&gt;0),300,0)-IF(AND($L38=1,'計算A'!AC$117=1,EB38=0),300,0))),1000000))</f>
        <v/>
      </c>
      <c r="PF38">
        <f>IF($B38=0,1000000,IF(INDEX('計算A'!$D$60:$EQ$104,$B38,27)*EB38=1,IF(AND($E38=2,JQ38=0),1000000,IF($I38&gt;0,IF(2=$J38,IF(OR(AND(27=$I38+1,OR($K38&lt;&gt;'計算A'!$A$3,'計算A'!$A$4=0)),AND(27=$I38-1,OR(3&lt;&gt;'計算A'!$A$3,'計算A'!$A$4=0))),0,IF(3=$K38,200000,ABS(3-$K38)*100)),100000+ABS(2-$J38)*1000+30)+'計算A'!AD$5*50+IF(AND($E38=1,JQ38=0),25,0),INDEX('計算A'!AD$110:AD$114,$F38+1)+IF(AND($E38=1,JQ38=0),1000,0)+IF($H38=1,(IF('計算A'!AC$117=1,INDEX('計算A'!AC$10:AC$54,$B38),0)+IF('計算A'!AD$117=1,INDEX('計算A'!AE$10:AE$54,$B38),0))*500,0)-IF(AND('計算A'!AC$117=1,VA38&gt;0),300,0)-IF(AND($L38=1,'計算A'!AD$117=1,EC38=0),300,0))),1000000))</f>
        <v/>
      </c>
      <c r="PG38">
        <f>IF($B38=0,1000000,IF(INDEX('計算A'!$D$60:$EQ$104,$B38,28)*EC38=1,IF(AND($E38=2,JR38=0),1000000,IF($I38&gt;0,IF(2=$J38,IF(OR(AND(28=$I38+1,OR($K38&lt;&gt;'計算A'!$A$3,'計算A'!$A$4=0)),AND(28=$I38-1,OR(4&lt;&gt;'計算A'!$A$3,'計算A'!$A$4=0))),0,IF(4=$K38,200000,ABS(4-$K38)*100)),100000+ABS(2-$J38)*1000+40)+'計算A'!AE$5*50+IF(AND($E38=1,JR38=0),25,0),INDEX('計算A'!AE$110:AE$114,$F38+1)+IF(AND($E38=1,JR38=0),1000,0)+IF($H38=1,(IF('計算A'!AD$117=1,INDEX('計算A'!AD$10:AD$54,$B38),0)+IF('計算A'!AE$117=1,INDEX('計算A'!AF$10:AF$54,$B38),0))*500,0)-IF(AND('計算A'!AD$117=1,VB38&gt;0),300,0)-IF(AND($L38=1,'計算A'!AE$117=1,ED38=0),300,0))),1000000))</f>
        <v/>
      </c>
      <c r="PH38">
        <f>IF($B38=0,1000000,IF(INDEX('計算A'!$D$60:$EQ$104,$B38,29)*ED38=1,IF(AND($E38=2,JS38=0),1000000,IF($I38&gt;0,IF(2=$J38,IF(OR(AND(29=$I38+1,OR($K38&lt;&gt;'計算A'!$A$3,'計算A'!$A$4=0)),AND(29=$I38-1,OR(5&lt;&gt;'計算A'!$A$3,'計算A'!$A$4=0))),0,IF(5=$K38,200000,ABS(5-$K38)*100)),100000+ABS(2-$J38)*1000+50)+'計算A'!AF$5*50+IF(AND($E38=1,JS38=0),25,0),INDEX('計算A'!AF$110:AF$114,$F38+1)+IF(AND($E38=1,JS38=0),1000,0)+IF($H38=1,(IF('計算A'!AE$117=1,INDEX('計算A'!AE$10:AE$54,$B38),0)+IF('計算A'!AF$117=1,INDEX('計算A'!AG$10:AG$54,$B38),0))*500,0)-IF(AND('計算A'!AE$117=1,VC38&gt;0),300,0)-IF(AND($L38=1,'計算A'!AF$117=1,EE38=0),300,0))),1000000))</f>
        <v/>
      </c>
      <c r="PI38">
        <f>IF($B38=0,1000000,IF(INDEX('計算A'!$D$60:$EQ$104,$B38,30)*EE38=1,IF(AND($E38=2,JT38=0),1000000,IF($I38&gt;0,IF(2=$J38,IF(OR(AND(30=$I38+1,OR($K38&lt;&gt;'計算A'!$A$3,'計算A'!$A$4=0)),AND(30=$I38-1,OR(6&lt;&gt;'計算A'!$A$3,'計算A'!$A$4=0))),0,IF(6=$K38,200000,ABS(6-$K38)*100)),100000+ABS(2-$J38)*1000+60)+'計算A'!AG$5*50+IF(AND($E38=1,JT38=0),25,0),INDEX('計算A'!AG$110:AG$114,$F38+1)+IF(AND($E38=1,JT38=0),1000,0)+IF($H38=1,(IF('計算A'!AF$117=1,INDEX('計算A'!AF$10:AF$54,$B38),0)+IF('計算A'!AG$117=1,INDEX('計算A'!AH$10:AH$54,$B38),0))*500,0)-IF(AND('計算A'!AF$117=1,VD38&gt;0),300,0)-IF(AND($L38=1,'計算A'!AG$117=1,EF38=0),300,0))),1000000))</f>
        <v/>
      </c>
      <c r="PJ38">
        <f>IF($B38=0,1000000,IF(INDEX('計算A'!$D$60:$EQ$104,$B38,31)*EF38=1,IF(AND($E38=2,JU38=0),1000000,IF($I38&gt;0,IF(2=$J38,IF(OR(AND(31=$I38+1,OR($K38&lt;&gt;'計算A'!$A$3,'計算A'!$A$4=0)),AND(31=$I38-1,OR(7&lt;&gt;'計算A'!$A$3,'計算A'!$A$4=0))),0,IF(7=$K38,200000,ABS(7-$K38)*100)),100000+ABS(2-$J38)*1000+70)+'計算A'!AH$5*50+IF(AND($E38=1,JU38=0),25,0),INDEX('計算A'!AH$110:AH$114,$F38+1)+IF(AND($E38=1,JU38=0),1000,0)+IF($H38=1,(IF('計算A'!AG$117=1,INDEX('計算A'!AG$10:AG$54,$B38),0)+IF('計算A'!AH$117=1,INDEX('計算A'!AI$10:AI$54,$B38),0))*500,0)-IF(AND('計算A'!AG$117=1,VE38&gt;0),300,0)-IF(AND($L38=1,'計算A'!AH$117=1,EG38=0),300,0))),1000000))</f>
        <v/>
      </c>
      <c r="PK38">
        <f>IF($B38=0,1000000,IF(INDEX('計算A'!$D$60:$EQ$104,$B38,32)*EG38=1,IF(AND($E38=2,JV38=0),1000000,IF($I38&gt;0,IF(2=$J38,IF(OR(AND(32=$I38+1,OR($K38&lt;&gt;'計算A'!$A$3,'計算A'!$A$4=0)),AND(32=$I38-1,OR(8&lt;&gt;'計算A'!$A$3,'計算A'!$A$4=0))),0,IF(8=$K38,200000,ABS(8-$K38)*100)),100000+ABS(2-$J38)*1000+80)+'計算A'!AI$5*50+IF(AND($E38=1,JV38=0),25,0),INDEX('計算A'!AI$110:AI$114,$F38+1)+IF(AND($E38=1,JV38=0),1000,0)+IF($H38=1,(IF('計算A'!AH$117=1,INDEX('計算A'!AH$10:AH$54,$B38),0)+IF('計算A'!AI$117=1,INDEX('計算A'!AJ$10:AJ$54,$B38),0))*500,0)-IF(AND('計算A'!AH$117=1,VF38&gt;0),300,0)-IF(AND($L38=1,'計算A'!AI$117=1,EH38=0),300,0))),1000000))</f>
        <v/>
      </c>
      <c r="PL38">
        <f>IF($B38=0,1000000,IF(INDEX('計算A'!$D$60:$EQ$104,$B38,33)*EH38=1,IF(AND($E38=2,JW38=0),1000000,IF($I38&gt;0,IF(2=$J38,IF(OR(AND(33=$I38+1,OR($K38&lt;&gt;'計算A'!$A$3,'計算A'!$A$4=0)),AND(33=$I38-1,OR(9&lt;&gt;'計算A'!$A$3,'計算A'!$A$4=0))),0,IF(9=$K38,200000,ABS(9-$K38)*100)),100000+ABS(2-$J38)*1000+90)+'計算A'!AJ$5*50+IF(AND($E38=1,JW38=0),25,0),INDEX('計算A'!AJ$110:AJ$114,$F38+1)+IF(AND($E38=1,JW38=0),1000,0)+IF($H38=1,(IF('計算A'!AI$117=1,INDEX('計算A'!AI$10:AI$54,$B38),0)+IF('計算A'!AJ$117=1,INDEX('計算A'!AK$10:AK$54,$B38),0))*500,0)-IF(AND('計算A'!AI$117=1,VG38&gt;0),300,0)-IF(AND($L38=1,'計算A'!AJ$117=1,EI38=0),300,0))),1000000))</f>
        <v/>
      </c>
      <c r="PM38">
        <f>IF($B38=0,1000000,IF(INDEX('計算A'!$D$60:$EQ$104,$B38,34)*EI38=1,IF(AND($E38=2,JX38=0),1000000,IF($I38&gt;0,IF(2=$J38,IF(OR(AND(34=$I38+1,OR($K38&lt;&gt;'計算A'!$A$3,'計算A'!$A$4=0)),AND(34=$I38-1,OR(10&lt;&gt;'計算A'!$A$3,'計算A'!$A$4=0))),0,IF(10=$K38,200000,ABS(10-$K38)*100)),100000+ABS(2-$J38)*1000+100)+'計算A'!AK$5*50+IF(AND($E38=1,JX38=0),25,0),INDEX('計算A'!AK$110:AK$114,$F38+1)+IF(AND($E38=1,JX38=0),1000,0)+IF($H38=1,(IF('計算A'!AJ$117=1,INDEX('計算A'!AJ$10:AJ$54,$B38),0)+IF('計算A'!AK$117=1,INDEX('計算A'!AL$10:AL$54,$B38),0))*500,0)-IF(AND('計算A'!AJ$117=1,VH38&gt;0),300,0)-IF(AND($L38=1,'計算A'!AK$117=1,EJ38=0),300,0))),1000000))</f>
        <v/>
      </c>
      <c r="PN38">
        <f>IF($B38=0,1000000,IF(INDEX('計算A'!$D$60:$EQ$104,$B38,35)*EJ38=1,IF(AND($E38=2,JY38=0),1000000,IF($I38&gt;0,IF(2=$J38,IF(OR(AND(35=$I38+1,OR($K38&lt;&gt;'計算A'!$A$3,'計算A'!$A$4=0)),AND(35=$I38-1,OR(11&lt;&gt;'計算A'!$A$3,'計算A'!$A$4=0))),0,IF(11=$K38,200000,ABS(11-$K38)*100)),100000+ABS(2-$J38)*1000+110)+'計算A'!AL$5*50+IF(AND($E38=1,JY38=0),25,0),INDEX('計算A'!AL$110:AL$114,$F38+1)+IF(AND($E38=1,JY38=0),1000,0)+IF($H38=1,(IF('計算A'!AK$117=1,INDEX('計算A'!AK$10:AK$54,$B38),0)+IF('計算A'!AL$117=1,INDEX('計算A'!AM$10:AM$54,$B38),0))*500,0)-IF(AND('計算A'!AK$117=1,VI38&gt;0),300,0)-IF(AND($L38=1,'計算A'!AL$117=1,EK38=0),300,0))),1000000))</f>
        <v/>
      </c>
      <c r="PO38">
        <f>IF($B38=0,1000000,IF(INDEX('計算A'!$D$60:$EQ$104,$B38,36)*EK38=1,IF(AND($E38=2,JZ38=0),1000000,IF($I38&gt;0,IF(2=$J38,IF(OR(AND(36=$I38+1,OR($K38&lt;&gt;'計算A'!$A$3,'計算A'!$A$4=0)),AND(36=$I38-1,OR(12&lt;&gt;'計算A'!$A$3,'計算A'!$A$4=0))),0,IF(12=$K38,200000,ABS(12-$K38)*100)),100000+ABS(2-$J38)*1000+120)+'計算A'!AM$5*50+IF(AND($E38=1,JZ38=0),25,0),INDEX('計算A'!AM$110:AM$114,$F38+1)+IF(AND($E38=1,JZ38=0),1000,0)+IF($H38=1,(IF('計算A'!AL$117=1,INDEX('計算A'!AL$10:AL$54,$B38),0)+IF('計算A'!AM$117=1,INDEX('計算A'!AN$10:AN$54,$B38),0))*500,0)-IF(AND('計算A'!AL$117=1,VJ38&gt;0),300,0)-IF(AND($L38=1,'計算A'!AM$117=1,EL38=0),300,0))),1000000))</f>
        <v/>
      </c>
      <c r="PP38">
        <f>IF($B38=0,1000000,IF(INDEX('計算A'!$D$60:$EQ$104,$B38,37)*EL38=1,IF(AND($E38=2,KA38=0),1000000,IF($I38&gt;0,IF(2=$J38,IF(OR(AND(37=$I38+1,OR($K38&lt;&gt;'計算A'!$A$3,'計算A'!$A$4=0)),AND(37=$I38-1,OR(13&lt;&gt;'計算A'!$A$3,'計算A'!$A$4=0))),0,IF(13=$K38,200000,ABS(13-$K38)*100)),100000+ABS(2-$J38)*1000+130)+'計算A'!AN$5*50+IF(AND($E38=1,KA38=0),25,0),INDEX('計算A'!AN$110:AN$114,$F38+1)+IF(AND($E38=1,KA38=0),1000,0)+IF($H38=1,(IF('計算A'!AM$117=1,INDEX('計算A'!AM$10:AM$54,$B38),0)+IF('計算A'!AN$117=1,INDEX('計算A'!AO$10:AO$54,$B38),0))*500,0)-IF(AND('計算A'!AM$117=1,VK38&gt;0),300,0)-IF(AND($L38=1,'計算A'!AN$117=1,EM38=0),300,0))),1000000))</f>
        <v/>
      </c>
      <c r="PQ38">
        <f>IF($B38=0,1000000,IF(INDEX('計算A'!$D$60:$EQ$104,$B38,38)*EM38=1,IF(AND($E38=2,KB38=0),1000000,IF($I38&gt;0,IF(2=$J38,IF(OR(AND(38=$I38+1,OR($K38&lt;&gt;'計算A'!$A$3,'計算A'!$A$4=0)),AND(38=$I38-1,OR(14&lt;&gt;'計算A'!$A$3,'計算A'!$A$4=0))),0,IF(14=$K38,200000,ABS(14-$K38)*100)),100000+ABS(2-$J38)*1000+140)+'計算A'!AO$5*50+IF(AND($E38=1,KB38=0),25,0),INDEX('計算A'!AO$110:AO$114,$F38+1)+IF(AND($E38=1,KB38=0),1000,0)+IF($H38=1,(IF('計算A'!AN$117=1,INDEX('計算A'!AN$10:AN$54,$B38),0)+IF('計算A'!AO$117=1,INDEX('計算A'!AP$10:AP$54,$B38),0))*500,0)-IF(AND('計算A'!AN$117=1,VL38&gt;0),300,0)-IF(AND($L38=1,'計算A'!AO$117=1,EN38=0),300,0))),1000000))</f>
        <v/>
      </c>
      <c r="PR38">
        <f>IF($B38=0,1000000,IF(INDEX('計算A'!$D$60:$EQ$104,$B38,39)*EN38=1,IF(AND($E38=2,KC38=0),1000000,IF($I38&gt;0,IF(2=$J38,IF(OR(AND(39=$I38+1,OR($K38&lt;&gt;'計算A'!$A$3,'計算A'!$A$4=0)),AND(39=$I38-1,OR(15&lt;&gt;'計算A'!$A$3,'計算A'!$A$4=0))),0,IF(15=$K38,200000,ABS(15-$K38)*100)),100000+ABS(2-$J38)*1000+150)+'計算A'!AP$5*50+IF(AND($E38=1,KC38=0),25,0),INDEX('計算A'!AP$110:AP$114,$F38+1)+IF(AND($E38=1,KC38=0),1000,0)+IF($H38=1,(IF('計算A'!AO$117=1,INDEX('計算A'!AO$10:AO$54,$B38),0)+IF('計算A'!AP$117=1,INDEX('計算A'!AQ$10:AQ$54,$B38),0))*500,0)-IF(AND('計算A'!AO$117=1,VM38&gt;0),300,0)-IF(AND($L38=1,'計算A'!AP$117=1,EO38=0),300,0))),1000000))</f>
        <v/>
      </c>
      <c r="PS38">
        <f>IF($B38=0,1000000,IF(INDEX('計算A'!$D$60:$EQ$104,$B38,40)*EO38=1,IF(AND($E38=2,KD38=0),1000000,IF($I38&gt;0,IF(2=$J38,IF(OR(AND(40=$I38+1,OR($K38&lt;&gt;'計算A'!$A$3,'計算A'!$A$4=0)),AND(40=$I38-1,OR(16&lt;&gt;'計算A'!$A$3,'計算A'!$A$4=0))),0,IF(16=$K38,200000,ABS(16-$K38)*100)),100000+ABS(2-$J38)*1000+160)+'計算A'!AQ$5*50+IF(AND($E38=1,KD38=0),25,0),INDEX('計算A'!AQ$110:AQ$114,$F38+1)+IF(AND($E38=1,KD38=0),1000,0)+IF($H38=1,(IF('計算A'!AP$117=1,INDEX('計算A'!AP$10:AP$54,$B38),0)+IF('計算A'!AQ$117=1,INDEX('計算A'!AR$10:AR$54,$B38),0))*500,0)-IF(AND('計算A'!AP$117=1,VN38&gt;0),300,0)-IF(AND($L38=1,'計算A'!AQ$117=1,EP38=0),300,0))),1000000))</f>
        <v/>
      </c>
      <c r="PT38">
        <f>IF($B38=0,1000000,IF(INDEX('計算A'!$D$60:$EQ$104,$B38,41)*EP38=1,IF(AND($E38=2,KE38=0),1000000,IF($I38&gt;0,IF(2=$J38,IF(OR(AND(41=$I38+1,OR($K38&lt;&gt;'計算A'!$A$3,'計算A'!$A$4=0)),AND(41=$I38-1,OR(17&lt;&gt;'計算A'!$A$3,'計算A'!$A$4=0))),0,IF(17=$K38,200000,ABS(17-$K38)*100)),100000+ABS(2-$J38)*1000+170)+'計算A'!AR$5*50+IF(AND($E38=1,KE38=0),25,0),INDEX('計算A'!AR$110:AR$114,$F38+1)+IF(AND($E38=1,KE38=0),1000,0)+IF($H38=1,(IF('計算A'!AQ$117=1,INDEX('計算A'!AQ$10:AQ$54,$B38),0)+IF('計算A'!AR$117=1,INDEX('計算A'!AS$10:AS$54,$B38),0))*500,0)-IF(AND('計算A'!AQ$117=1,VO38&gt;0),300,0)-IF(AND($L38=1,'計算A'!AR$117=1,EQ38=0),300,0))),1000000))</f>
        <v/>
      </c>
      <c r="PU38">
        <f>IF($B38=0,1000000,IF(INDEX('計算A'!$D$60:$EQ$104,$B38,42)*EQ38=1,IF(AND($E38=2,KF38=0),1000000,IF($I38&gt;0,IF(2=$J38,IF(OR(AND(42=$I38+1,OR($K38&lt;&gt;'計算A'!$A$3,'計算A'!$A$4=0)),AND(42=$I38-1,OR(18&lt;&gt;'計算A'!$A$3,'計算A'!$A$4=0))),0,IF(18=$K38,200000,ABS(18-$K38)*100)),100000+ABS(2-$J38)*1000+180)+'計算A'!AS$5*50+IF(AND($E38=1,KF38=0),25,0),INDEX('計算A'!AS$110:AS$114,$F38+1)+IF(AND($E38=1,KF38=0),1000,0)+IF($H38=1,(IF('計算A'!AR$117=1,INDEX('計算A'!AR$10:AR$54,$B38),0)+IF('計算A'!AS$117=1,INDEX('計算A'!AT$10:AT$54,$B38),0))*500,0)-IF(AND('計算A'!AR$117=1,VP38&gt;0),300,0)-IF(AND($L38=1,'計算A'!AS$117=1,ER38=0),300,0))),1000000))</f>
        <v/>
      </c>
      <c r="PV38">
        <f>IF($B38=0,1000000,IF(INDEX('計算A'!$D$60:$EQ$104,$B38,43)*ER38=1,IF(AND($E38=2,KG38=0),1000000,IF($I38&gt;0,IF(2=$J38,IF(OR(AND(43=$I38+1,OR($K38&lt;&gt;'計算A'!$A$3,'計算A'!$A$4=0)),AND(43=$I38-1,OR(19&lt;&gt;'計算A'!$A$3,'計算A'!$A$4=0))),0,IF(19=$K38,200000,ABS(19-$K38)*100)),100000+ABS(2-$J38)*1000+190)+'計算A'!AT$5*50+IF(AND($E38=1,KG38=0),25,0),INDEX('計算A'!AT$110:AT$114,$F38+1)+IF(AND($E38=1,KG38=0),1000,0)+IF($H38=1,(IF('計算A'!AS$117=1,INDEX('計算A'!AS$10:AS$54,$B38),0)+IF('計算A'!AT$117=1,INDEX('計算A'!AU$10:AU$54,$B38),0))*500,0)-IF(AND('計算A'!AS$117=1,VQ38&gt;0),300,0)-IF(AND($L38=1,'計算A'!AT$117=1,ES38=0),300,0))),1000000))</f>
        <v/>
      </c>
      <c r="PW38">
        <f>IF($B38=0,1000000,IF(INDEX('計算A'!$D$60:$EQ$104,$B38,44)*ES38=1,IF(AND($E38=2,KH38=0),1000000,IF($I38&gt;0,IF(2=$J38,IF(OR(AND(44=$I38+1,OR($K38&lt;&gt;'計算A'!$A$3,'計算A'!$A$4=0)),AND(44=$I38-1,OR(20&lt;&gt;'計算A'!$A$3,'計算A'!$A$4=0))),0,IF(20=$K38,200000,ABS(20-$K38)*100)),100000+ABS(2-$J38)*1000+200)+'計算A'!AU$5*50+IF(AND($E38=1,KH38=0),25,0),INDEX('計算A'!AU$110:AU$114,$F38+1)+IF(AND($E38=1,KH38=0),1000,0)+IF($H38=1,(IF('計算A'!AT$117=1,INDEX('計算A'!AT$10:AT$54,$B38),0)+IF('計算A'!AU$117=1,INDEX('計算A'!AV$10:AV$54,$B38),0))*500,0)-IF(AND('計算A'!AT$117=1,VR38&gt;0),300,0)-IF(AND($L38=1,'計算A'!AU$117=1,ET38=0),300,0))),1000000))</f>
        <v/>
      </c>
      <c r="PX38">
        <f>IF($B38=0,1000000,IF(INDEX('計算A'!$D$60:$EQ$104,$B38,45)*ET38=1,IF(AND($E38=2,KI38=0),1000000,IF($I38&gt;0,IF(2=$J38,IF(OR(AND(45=$I38+1,OR($K38&lt;&gt;'計算A'!$A$3,'計算A'!$A$4=0)),AND(45=$I38-1,OR(21&lt;&gt;'計算A'!$A$3,'計算A'!$A$4=0))),0,IF(21=$K38,200000,ABS(21-$K38)*100)),100000+ABS(2-$J38)*1000+210)+'計算A'!AV$5*50+IF(AND($E38=1,KI38=0),25,0),INDEX('計算A'!AV$110:AV$114,$F38+1)+IF(AND($E38=1,KI38=0),1000,0)+IF($H38=1,(IF('計算A'!AU$117=1,INDEX('計算A'!AU$10:AU$54,$B38),0)+IF('計算A'!AV$117=1,INDEX('計算A'!AW$10:AW$54,$B38),0))*500,0)-IF(AND('計算A'!AU$117=1,VS38&gt;0),300,0)-IF(AND($L38=1,'計算A'!AV$117=1,EU38=0),300,0))),1000000))</f>
        <v/>
      </c>
      <c r="PY38">
        <f>IF($B38=0,1000000,IF(INDEX('計算A'!$D$60:$EQ$104,$B38,46)*EU38=1,IF(AND($E38=2,KJ38=0),1000000,IF($I38&gt;0,IF(2=$J38,IF(OR(AND(46=$I38+1,OR($K38&lt;&gt;'計算A'!$A$3,'計算A'!$A$4=0)),AND(46=$I38-1,OR(22&lt;&gt;'計算A'!$A$3,'計算A'!$A$4=0))),0,IF(22=$K38,200000,ABS(22-$K38)*100)),100000+ABS(2-$J38)*1000+220)+'計算A'!AW$5*50+IF(AND($E38=1,KJ38=0),25,0),INDEX('計算A'!AW$110:AW$114,$F38+1)+IF(AND($E38=1,KJ38=0),1000,0)+IF($H38=1,(IF('計算A'!AV$117=1,INDEX('計算A'!AV$10:AV$54,$B38),0)+IF('計算A'!AW$117=1,INDEX('計算A'!AX$10:AX$54,$B38),0))*500,0)-IF(AND('計算A'!AV$117=1,VT38&gt;0),300,0)-IF(AND($L38=1,'計算A'!AW$117=1,EV38=0),300,0))),1000000))</f>
        <v/>
      </c>
      <c r="PZ38">
        <f>IF($B38=0,1000000,IF(INDEX('計算A'!$D$60:$EQ$104,$B38,47)*EV38=1,IF(AND($E38=2,KK38=0),1000000,IF($I38&gt;0,IF(2=$J38,IF(OR(AND(47=$I38+1,OR($K38&lt;&gt;'計算A'!$A$3,'計算A'!$A$4=0)),AND(47=$I38-1,OR(23&lt;&gt;'計算A'!$A$3,'計算A'!$A$4=0))),0,IF(23=$K38,200000,ABS(23-$K38)*100)),100000+ABS(2-$J38)*1000+230)+'計算A'!AX$5*50+IF(AND($E38=1,KK38=0),25,0),INDEX('計算A'!AX$110:AX$114,$F38+1)+IF(AND($E38=1,KK38=0),1000,0)+IF($H38=1,(IF('計算A'!AW$117=1,INDEX('計算A'!AW$10:AW$54,$B38),0)+IF('計算A'!AX$117=1,INDEX('計算A'!AY$10:AY$54,$B38),0))*500,0)-IF(AND('計算A'!AW$117=1,VU38&gt;0),300,0)-IF(AND($L38=1,'計算A'!AX$117=1,EW38=0),300,0))),1000000))</f>
        <v/>
      </c>
      <c r="QA38">
        <f>IF($B38=0,1000000,IF(INDEX('計算A'!$D$60:$EQ$104,$B38,48)*EW38=1,IF(AND($E38=2,KL38=0),1000000,IF($I38&gt;0,IF(2=$J38,IF(OR(AND(48=$I38+1,OR($K38&lt;&gt;'計算A'!$A$3,'計算A'!$A$4=0)),AND(48=$I38-1,OR(24&lt;&gt;'計算A'!$A$3,'計算A'!$A$4=0))),0,IF(24=$K38,200000,ABS(24-$K38)*100)),100000+ABS(2-$J38)*1000+240)+'計算A'!AY$5*50+IF(AND($E38=1,KL38=0),25,0),INDEX('計算A'!AY$110:AY$114,$F38+1)+IF(AND($E38=1,KL38=0),1000,0)+IF($H38=1,(IF('計算A'!AX$117=1,INDEX('計算A'!AX$10:AX$54,$B38),0))*500,0)-IF(AND('計算A'!AX$117=1,VV38&gt;0),300,0))),1000000))</f>
        <v/>
      </c>
      <c r="QB38">
        <f>IF($B38=0,1000000,IF(INDEX('計算A'!$D$60:$EQ$104,$B38,49)*EX38=1,IF(AND($E38=2,KM38=0),1000000,IF($I38&gt;0,IF(3=$J38,IF(OR(AND(49=$I38+1,OR($K38&lt;&gt;'計算A'!$A$3,'計算A'!$A$4=0)),AND(49=$I38-1,OR(1&lt;&gt;'計算A'!$A$3,'計算A'!$A$4=0))),0,IF(1=$K38,200000,ABS(1-$K38)*100)),100000+ABS(3-$J38)*1000+10)+'計算A'!AZ$5*50+IF(AND($E38=1,KM38=0),25,0),INDEX('計算A'!AZ$110:AZ$114,$F38+1)+IF(AND($E38=1,KM38=0),1000,0)+IF($H38=1,(IF('計算A'!AZ$117=1,INDEX('計算A'!BA$10:BA$54,$B38),0))*500,0)-IF(AND($L38=1,'計算A'!AZ$117=1,EY38=0),300,0))),1000000))</f>
        <v/>
      </c>
      <c r="QC38">
        <f>IF($B38=0,1000000,IF(INDEX('計算A'!$D$60:$EQ$104,$B38,50)*EY38=1,IF(AND($E38=2,KN38=0),1000000,IF($I38&gt;0,IF(3=$J38,IF(OR(AND(50=$I38+1,OR($K38&lt;&gt;'計算A'!$A$3,'計算A'!$A$4=0)),AND(50=$I38-1,OR(2&lt;&gt;'計算A'!$A$3,'計算A'!$A$4=0))),0,IF(2=$K38,200000,ABS(2-$K38)*100)),100000+ABS(3-$J38)*1000+20)+'計算A'!BA$5*50+IF(AND($E38=1,KN38=0),25,0),INDEX('計算A'!BA$110:BA$114,$F38+1)+IF(AND($E38=1,KN38=0),1000,0)+IF($H38=1,(IF('計算A'!AZ$117=1,INDEX('計算A'!AZ$10:AZ$54,$B38),0)+IF('計算A'!BA$117=1,INDEX('計算A'!BB$10:BB$54,$B38),0))*500,0)-IF(AND('計算A'!AZ$117=1,VX38&gt;0),300,0)-IF(AND($L38=1,'計算A'!BA$117=1,EZ38=0),300,0))),1000000))</f>
        <v/>
      </c>
      <c r="QD38">
        <f>IF($B38=0,1000000,IF(INDEX('計算A'!$D$60:$EQ$104,$B38,51)*EZ38=1,IF(AND($E38=2,KO38=0),1000000,IF($I38&gt;0,IF(3=$J38,IF(OR(AND(51=$I38+1,OR($K38&lt;&gt;'計算A'!$A$3,'計算A'!$A$4=0)),AND(51=$I38-1,OR(3&lt;&gt;'計算A'!$A$3,'計算A'!$A$4=0))),0,IF(3=$K38,200000,ABS(3-$K38)*100)),100000+ABS(3-$J38)*1000+30)+'計算A'!BB$5*50+IF(AND($E38=1,KO38=0),25,0),INDEX('計算A'!BB$110:BB$114,$F38+1)+IF(AND($E38=1,KO38=0),1000,0)+IF($H38=1,(IF('計算A'!BA$117=1,INDEX('計算A'!BA$10:BA$54,$B38),0)+IF('計算A'!BB$117=1,INDEX('計算A'!BC$10:BC$54,$B38),0))*500,0)-IF(AND('計算A'!BA$117=1,VY38&gt;0),300,0)-IF(AND($L38=1,'計算A'!BB$117=1,FA38=0),300,0))),1000000))</f>
        <v/>
      </c>
      <c r="QE38">
        <f>IF($B38=0,1000000,IF(INDEX('計算A'!$D$60:$EQ$104,$B38,52)*FA38=1,IF(AND($E38=2,KP38=0),1000000,IF($I38&gt;0,IF(3=$J38,IF(OR(AND(52=$I38+1,OR($K38&lt;&gt;'計算A'!$A$3,'計算A'!$A$4=0)),AND(52=$I38-1,OR(4&lt;&gt;'計算A'!$A$3,'計算A'!$A$4=0))),0,IF(4=$K38,200000,ABS(4-$K38)*100)),100000+ABS(3-$J38)*1000+40)+'計算A'!BC$5*50+IF(AND($E38=1,KP38=0),25,0),INDEX('計算A'!BC$110:BC$114,$F38+1)+IF(AND($E38=1,KP38=0),1000,0)+IF($H38=1,(IF('計算A'!BB$117=1,INDEX('計算A'!BB$10:BB$54,$B38),0)+IF('計算A'!BC$117=1,INDEX('計算A'!BD$10:BD$54,$B38),0))*500,0)-IF(AND('計算A'!BB$117=1,VZ38&gt;0),300,0)-IF(AND($L38=1,'計算A'!BC$117=1,FB38=0),300,0))),1000000))</f>
        <v/>
      </c>
      <c r="QF38">
        <f>IF($B38=0,1000000,IF(INDEX('計算A'!$D$60:$EQ$104,$B38,53)*FB38=1,IF(AND($E38=2,KQ38=0),1000000,IF($I38&gt;0,IF(3=$J38,IF(OR(AND(53=$I38+1,OR($K38&lt;&gt;'計算A'!$A$3,'計算A'!$A$4=0)),AND(53=$I38-1,OR(5&lt;&gt;'計算A'!$A$3,'計算A'!$A$4=0))),0,IF(5=$K38,200000,ABS(5-$K38)*100)),100000+ABS(3-$J38)*1000+50)+'計算A'!BD$5*50+IF(AND($E38=1,KQ38=0),25,0),INDEX('計算A'!BD$110:BD$114,$F38+1)+IF(AND($E38=1,KQ38=0),1000,0)+IF($H38=1,(IF('計算A'!BC$117=1,INDEX('計算A'!BC$10:BC$54,$B38),0)+IF('計算A'!BD$117=1,INDEX('計算A'!BE$10:BE$54,$B38),0))*500,0)-IF(AND('計算A'!BC$117=1,WA38&gt;0),300,0)-IF(AND($L38=1,'計算A'!BD$117=1,FC38=0),300,0))),1000000))</f>
        <v/>
      </c>
      <c r="QG38">
        <f>IF($B38=0,1000000,IF(INDEX('計算A'!$D$60:$EQ$104,$B38,54)*FC38=1,IF(AND($E38=2,KR38=0),1000000,IF($I38&gt;0,IF(3=$J38,IF(OR(AND(54=$I38+1,OR($K38&lt;&gt;'計算A'!$A$3,'計算A'!$A$4=0)),AND(54=$I38-1,OR(6&lt;&gt;'計算A'!$A$3,'計算A'!$A$4=0))),0,IF(6=$K38,200000,ABS(6-$K38)*100)),100000+ABS(3-$J38)*1000+60)+'計算A'!BE$5*50+IF(AND($E38=1,KR38=0),25,0),INDEX('計算A'!BE$110:BE$114,$F38+1)+IF(AND($E38=1,KR38=0),1000,0)+IF($H38=1,(IF('計算A'!BD$117=1,INDEX('計算A'!BD$10:BD$54,$B38),0)+IF('計算A'!BE$117=1,INDEX('計算A'!BF$10:BF$54,$B38),0))*500,0)-IF(AND('計算A'!BD$117=1,WB38&gt;0),300,0)-IF(AND($L38=1,'計算A'!BE$117=1,FD38=0),300,0))),1000000))</f>
        <v/>
      </c>
      <c r="QH38">
        <f>IF($B38=0,1000000,IF(INDEX('計算A'!$D$60:$EQ$104,$B38,55)*FD38=1,IF(AND($E38=2,KS38=0),1000000,IF($I38&gt;0,IF(3=$J38,IF(OR(AND(55=$I38+1,OR($K38&lt;&gt;'計算A'!$A$3,'計算A'!$A$4=0)),AND(55=$I38-1,OR(7&lt;&gt;'計算A'!$A$3,'計算A'!$A$4=0))),0,IF(7=$K38,200000,ABS(7-$K38)*100)),100000+ABS(3-$J38)*1000+70)+'計算A'!BF$5*50+IF(AND($E38=1,KS38=0),25,0),INDEX('計算A'!BF$110:BF$114,$F38+1)+IF(AND($E38=1,KS38=0),1000,0)+IF($H38=1,(IF('計算A'!BE$117=1,INDEX('計算A'!BE$10:BE$54,$B38),0)+IF('計算A'!BF$117=1,INDEX('計算A'!BG$10:BG$54,$B38),0))*500,0)-IF(AND('計算A'!BE$117=1,WC38&gt;0),300,0)-IF(AND($L38=1,'計算A'!BF$117=1,FE38=0),300,0))),1000000))</f>
        <v/>
      </c>
      <c r="QI38">
        <f>IF($B38=0,1000000,IF(INDEX('計算A'!$D$60:$EQ$104,$B38,56)*FE38=1,IF(AND($E38=2,KT38=0),1000000,IF($I38&gt;0,IF(3=$J38,IF(OR(AND(56=$I38+1,OR($K38&lt;&gt;'計算A'!$A$3,'計算A'!$A$4=0)),AND(56=$I38-1,OR(8&lt;&gt;'計算A'!$A$3,'計算A'!$A$4=0))),0,IF(8=$K38,200000,ABS(8-$K38)*100)),100000+ABS(3-$J38)*1000+80)+'計算A'!BG$5*50+IF(AND($E38=1,KT38=0),25,0),INDEX('計算A'!BG$110:BG$114,$F38+1)+IF(AND($E38=1,KT38=0),1000,0)+IF($H38=1,(IF('計算A'!BF$117=1,INDEX('計算A'!BF$10:BF$54,$B38),0)+IF('計算A'!BG$117=1,INDEX('計算A'!BH$10:BH$54,$B38),0))*500,0)-IF(AND('計算A'!BF$117=1,WD38&gt;0),300,0)-IF(AND($L38=1,'計算A'!BG$117=1,FF38=0),300,0))),1000000))</f>
        <v/>
      </c>
      <c r="QJ38">
        <f>IF($B38=0,1000000,IF(INDEX('計算A'!$D$60:$EQ$104,$B38,57)*FF38=1,IF(AND($E38=2,KU38=0),1000000,IF($I38&gt;0,IF(3=$J38,IF(OR(AND(57=$I38+1,OR($K38&lt;&gt;'計算A'!$A$3,'計算A'!$A$4=0)),AND(57=$I38-1,OR(9&lt;&gt;'計算A'!$A$3,'計算A'!$A$4=0))),0,IF(9=$K38,200000,ABS(9-$K38)*100)),100000+ABS(3-$J38)*1000+90)+'計算A'!BH$5*50+IF(AND($E38=1,KU38=0),25,0),INDEX('計算A'!BH$110:BH$114,$F38+1)+IF(AND($E38=1,KU38=0),1000,0)+IF($H38=1,(IF('計算A'!BG$117=1,INDEX('計算A'!BG$10:BG$54,$B38),0)+IF('計算A'!BH$117=1,INDEX('計算A'!BI$10:BI$54,$B38),0))*500,0)-IF(AND('計算A'!BG$117=1,WE38&gt;0),300,0)-IF(AND($L38=1,'計算A'!BH$117=1,FG38=0),300,0))),1000000))</f>
        <v/>
      </c>
      <c r="QK38">
        <f>IF($B38=0,1000000,IF(INDEX('計算A'!$D$60:$EQ$104,$B38,58)*FG38=1,IF(AND($E38=2,KV38=0),1000000,IF($I38&gt;0,IF(3=$J38,IF(OR(AND(58=$I38+1,OR($K38&lt;&gt;'計算A'!$A$3,'計算A'!$A$4=0)),AND(58=$I38-1,OR(10&lt;&gt;'計算A'!$A$3,'計算A'!$A$4=0))),0,IF(10=$K38,200000,ABS(10-$K38)*100)),100000+ABS(3-$J38)*1000+100)+'計算A'!BI$5*50+IF(AND($E38=1,KV38=0),25,0),INDEX('計算A'!BI$110:BI$114,$F38+1)+IF(AND($E38=1,KV38=0),1000,0)+IF($H38=1,(IF('計算A'!BH$117=1,INDEX('計算A'!BH$10:BH$54,$B38),0)+IF('計算A'!BI$117=1,INDEX('計算A'!BJ$10:BJ$54,$B38),0))*500,0)-IF(AND('計算A'!BH$117=1,WF38&gt;0),300,0)-IF(AND($L38=1,'計算A'!BI$117=1,FH38=0),300,0))),1000000))</f>
        <v/>
      </c>
      <c r="QL38">
        <f>IF($B38=0,1000000,IF(INDEX('計算A'!$D$60:$EQ$104,$B38,59)*FH38=1,IF(AND($E38=2,KW38=0),1000000,IF($I38&gt;0,IF(3=$J38,IF(OR(AND(59=$I38+1,OR($K38&lt;&gt;'計算A'!$A$3,'計算A'!$A$4=0)),AND(59=$I38-1,OR(11&lt;&gt;'計算A'!$A$3,'計算A'!$A$4=0))),0,IF(11=$K38,200000,ABS(11-$K38)*100)),100000+ABS(3-$J38)*1000+110)+'計算A'!BJ$5*50+IF(AND($E38=1,KW38=0),25,0),INDEX('計算A'!BJ$110:BJ$114,$F38+1)+IF(AND($E38=1,KW38=0),1000,0)+IF($H38=1,(IF('計算A'!BI$117=1,INDEX('計算A'!BI$10:BI$54,$B38),0)+IF('計算A'!BJ$117=1,INDEX('計算A'!BK$10:BK$54,$B38),0))*500,0)-IF(AND('計算A'!BI$117=1,WG38&gt;0),300,0)-IF(AND($L38=1,'計算A'!BJ$117=1,FI38=0),300,0))),1000000))</f>
        <v/>
      </c>
      <c r="QM38">
        <f>IF($B38=0,1000000,IF(INDEX('計算A'!$D$60:$EQ$104,$B38,60)*FI38=1,IF(AND($E38=2,KX38=0),1000000,IF($I38&gt;0,IF(3=$J38,IF(OR(AND(60=$I38+1,OR($K38&lt;&gt;'計算A'!$A$3,'計算A'!$A$4=0)),AND(60=$I38-1,OR(12&lt;&gt;'計算A'!$A$3,'計算A'!$A$4=0))),0,IF(12=$K38,200000,ABS(12-$K38)*100)),100000+ABS(3-$J38)*1000+120)+'計算A'!BK$5*50+IF(AND($E38=1,KX38=0),25,0),INDEX('計算A'!BK$110:BK$114,$F38+1)+IF(AND($E38=1,KX38=0),1000,0)+IF($H38=1,(IF('計算A'!BJ$117=1,INDEX('計算A'!BJ$10:BJ$54,$B38),0)+IF('計算A'!BK$117=1,INDEX('計算A'!BL$10:BL$54,$B38),0))*500,0)-IF(AND('計算A'!BJ$117=1,WH38&gt;0),300,0)-IF(AND($L38=1,'計算A'!BK$117=1,FJ38=0),300,0))),1000000))</f>
        <v/>
      </c>
      <c r="QN38">
        <f>IF($B38=0,1000000,IF(INDEX('計算A'!$D$60:$EQ$104,$B38,61)*FJ38=1,IF(AND($E38=2,KY38=0),1000000,IF($I38&gt;0,IF(3=$J38,IF(OR(AND(61=$I38+1,OR($K38&lt;&gt;'計算A'!$A$3,'計算A'!$A$4=0)),AND(61=$I38-1,OR(13&lt;&gt;'計算A'!$A$3,'計算A'!$A$4=0))),0,IF(13=$K38,200000,ABS(13-$K38)*100)),100000+ABS(3-$J38)*1000+130)+'計算A'!BL$5*50+IF(AND($E38=1,KY38=0),25,0),INDEX('計算A'!BL$110:BL$114,$F38+1)+IF(AND($E38=1,KY38=0),1000,0)+IF($H38=1,(IF('計算A'!BK$117=1,INDEX('計算A'!BK$10:BK$54,$B38),0)+IF('計算A'!BL$117=1,INDEX('計算A'!BM$10:BM$54,$B38),0))*500,0)-IF(AND('計算A'!BK$117=1,WI38&gt;0),300,0)-IF(AND($L38=1,'計算A'!BL$117=1,FK38=0),300,0))),1000000))</f>
        <v/>
      </c>
      <c r="QO38">
        <f>IF($B38=0,1000000,IF(INDEX('計算A'!$D$60:$EQ$104,$B38,62)*FK38=1,IF(AND($E38=2,KZ38=0),1000000,IF($I38&gt;0,IF(3=$J38,IF(OR(AND(62=$I38+1,OR($K38&lt;&gt;'計算A'!$A$3,'計算A'!$A$4=0)),AND(62=$I38-1,OR(14&lt;&gt;'計算A'!$A$3,'計算A'!$A$4=0))),0,IF(14=$K38,200000,ABS(14-$K38)*100)),100000+ABS(3-$J38)*1000+140)+'計算A'!BM$5*50+IF(AND($E38=1,KZ38=0),25,0),INDEX('計算A'!BM$110:BM$114,$F38+1)+IF(AND($E38=1,KZ38=0),1000,0)+IF($H38=1,(IF('計算A'!BL$117=1,INDEX('計算A'!BL$10:BL$54,$B38),0)+IF('計算A'!BM$117=1,INDEX('計算A'!BN$10:BN$54,$B38),0))*500,0)-IF(AND('計算A'!BL$117=1,WJ38&gt;0),300,0)-IF(AND($L38=1,'計算A'!BM$117=1,FL38=0),300,0))),1000000))</f>
        <v/>
      </c>
      <c r="QP38">
        <f>IF($B38=0,1000000,IF(INDEX('計算A'!$D$60:$EQ$104,$B38,63)*FL38=1,IF(AND($E38=2,LA38=0),1000000,IF($I38&gt;0,IF(3=$J38,IF(OR(AND(63=$I38+1,OR($K38&lt;&gt;'計算A'!$A$3,'計算A'!$A$4=0)),AND(63=$I38-1,OR(15&lt;&gt;'計算A'!$A$3,'計算A'!$A$4=0))),0,IF(15=$K38,200000,ABS(15-$K38)*100)),100000+ABS(3-$J38)*1000+150)+'計算A'!BN$5*50+IF(AND($E38=1,LA38=0),25,0),INDEX('計算A'!BN$110:BN$114,$F38+1)+IF(AND($E38=1,LA38=0),1000,0)+IF($H38=1,(IF('計算A'!BM$117=1,INDEX('計算A'!BM$10:BM$54,$B38),0)+IF('計算A'!BN$117=1,INDEX('計算A'!BO$10:BO$54,$B38),0))*500,0)-IF(AND('計算A'!BM$117=1,WK38&gt;0),300,0)-IF(AND($L38=1,'計算A'!BN$117=1,FM38=0),300,0))),1000000))</f>
        <v/>
      </c>
      <c r="QQ38">
        <f>IF($B38=0,1000000,IF(INDEX('計算A'!$D$60:$EQ$104,$B38,64)*FM38=1,IF(AND($E38=2,LB38=0),1000000,IF($I38&gt;0,IF(3=$J38,IF(OR(AND(64=$I38+1,OR($K38&lt;&gt;'計算A'!$A$3,'計算A'!$A$4=0)),AND(64=$I38-1,OR(16&lt;&gt;'計算A'!$A$3,'計算A'!$A$4=0))),0,IF(16=$K38,200000,ABS(16-$K38)*100)),100000+ABS(3-$J38)*1000+160)+'計算A'!BO$5*50+IF(AND($E38=1,LB38=0),25,0),INDEX('計算A'!BO$110:BO$114,$F38+1)+IF(AND($E38=1,LB38=0),1000,0)+IF($H38=1,(IF('計算A'!BN$117=1,INDEX('計算A'!BN$10:BN$54,$B38),0)+IF('計算A'!BO$117=1,INDEX('計算A'!BP$10:BP$54,$B38),0))*500,0)-IF(AND('計算A'!BN$117=1,WL38&gt;0),300,0)-IF(AND($L38=1,'計算A'!BO$117=1,FN38=0),300,0))),1000000))</f>
        <v/>
      </c>
      <c r="QR38">
        <f>IF($B38=0,1000000,IF(INDEX('計算A'!$D$60:$EQ$104,$B38,65)*FN38=1,IF(AND($E38=2,LC38=0),1000000,IF($I38&gt;0,IF(3=$J38,IF(OR(AND(65=$I38+1,OR($K38&lt;&gt;'計算A'!$A$3,'計算A'!$A$4=0)),AND(65=$I38-1,OR(17&lt;&gt;'計算A'!$A$3,'計算A'!$A$4=0))),0,IF(17=$K38,200000,ABS(17-$K38)*100)),100000+ABS(3-$J38)*1000+170)+'計算A'!BP$5*50+IF(AND($E38=1,LC38=0),25,0),INDEX('計算A'!BP$110:BP$114,$F38+1)+IF(AND($E38=1,LC38=0),1000,0)+IF($H38=1,(IF('計算A'!BO$117=1,INDEX('計算A'!BO$10:BO$54,$B38),0)+IF('計算A'!BP$117=1,INDEX('計算A'!BQ$10:BQ$54,$B38),0))*500,0)-IF(AND('計算A'!BO$117=1,WM38&gt;0),300,0)-IF(AND($L38=1,'計算A'!BP$117=1,FO38=0),300,0))),1000000))</f>
        <v/>
      </c>
      <c r="QS38">
        <f>IF($B38=0,1000000,IF(INDEX('計算A'!$D$60:$EQ$104,$B38,66)*FO38=1,IF(AND($E38=2,LD38=0),1000000,IF($I38&gt;0,IF(3=$J38,IF(OR(AND(66=$I38+1,OR($K38&lt;&gt;'計算A'!$A$3,'計算A'!$A$4=0)),AND(66=$I38-1,OR(18&lt;&gt;'計算A'!$A$3,'計算A'!$A$4=0))),0,IF(18=$K38,200000,ABS(18-$K38)*100)),100000+ABS(3-$J38)*1000+180)+'計算A'!BQ$5*50+IF(AND($E38=1,LD38=0),25,0),INDEX('計算A'!BQ$110:BQ$114,$F38+1)+IF(AND($E38=1,LD38=0),1000,0)+IF($H38=1,(IF('計算A'!BP$117=1,INDEX('計算A'!BP$10:BP$54,$B38),0)+IF('計算A'!BQ$117=1,INDEX('計算A'!BR$10:BR$54,$B38),0))*500,0)-IF(AND('計算A'!BP$117=1,WN38&gt;0),300,0)-IF(AND($L38=1,'計算A'!BQ$117=1,FP38=0),300,0))),1000000))</f>
        <v/>
      </c>
      <c r="QT38">
        <f>IF($B38=0,1000000,IF(INDEX('計算A'!$D$60:$EQ$104,$B38,67)*FP38=1,IF(AND($E38=2,LE38=0),1000000,IF($I38&gt;0,IF(3=$J38,IF(OR(AND(67=$I38+1,OR($K38&lt;&gt;'計算A'!$A$3,'計算A'!$A$4=0)),AND(67=$I38-1,OR(19&lt;&gt;'計算A'!$A$3,'計算A'!$A$4=0))),0,IF(19=$K38,200000,ABS(19-$K38)*100)),100000+ABS(3-$J38)*1000+190)+'計算A'!BR$5*50+IF(AND($E38=1,LE38=0),25,0),INDEX('計算A'!BR$110:BR$114,$F38+1)+IF(AND($E38=1,LE38=0),1000,0)+IF($H38=1,(IF('計算A'!BQ$117=1,INDEX('計算A'!BQ$10:BQ$54,$B38),0)+IF('計算A'!BR$117=1,INDEX('計算A'!BS$10:BS$54,$B38),0))*500,0)-IF(AND('計算A'!BQ$117=1,WO38&gt;0),300,0)-IF(AND($L38=1,'計算A'!BR$117=1,FQ38=0),300,0))),1000000))</f>
        <v/>
      </c>
      <c r="QU38">
        <f>IF($B38=0,1000000,IF(INDEX('計算A'!$D$60:$EQ$104,$B38,68)*FQ38=1,IF(AND($E38=2,LF38=0),1000000,IF($I38&gt;0,IF(3=$J38,IF(OR(AND(68=$I38+1,OR($K38&lt;&gt;'計算A'!$A$3,'計算A'!$A$4=0)),AND(68=$I38-1,OR(20&lt;&gt;'計算A'!$A$3,'計算A'!$A$4=0))),0,IF(20=$K38,200000,ABS(20-$K38)*100)),100000+ABS(3-$J38)*1000+200)+'計算A'!BS$5*50+IF(AND($E38=1,LF38=0),25,0),INDEX('計算A'!BS$110:BS$114,$F38+1)+IF(AND($E38=1,LF38=0),1000,0)+IF($H38=1,(IF('計算A'!BR$117=1,INDEX('計算A'!BR$10:BR$54,$B38),0)+IF('計算A'!BS$117=1,INDEX('計算A'!BT$10:BT$54,$B38),0))*500,0)-IF(AND('計算A'!BR$117=1,WP38&gt;0),300,0)-IF(AND($L38=1,'計算A'!BS$117=1,FR38=0),300,0))),1000000))</f>
        <v/>
      </c>
      <c r="QV38">
        <f>IF($B38=0,1000000,IF(INDEX('計算A'!$D$60:$EQ$104,$B38,69)*FR38=1,IF(AND($E38=2,LG38=0),1000000,IF($I38&gt;0,IF(3=$J38,IF(OR(AND(69=$I38+1,OR($K38&lt;&gt;'計算A'!$A$3,'計算A'!$A$4=0)),AND(69=$I38-1,OR(21&lt;&gt;'計算A'!$A$3,'計算A'!$A$4=0))),0,IF(21=$K38,200000,ABS(21-$K38)*100)),100000+ABS(3-$J38)*1000+210)+'計算A'!BT$5*50+IF(AND($E38=1,LG38=0),25,0),INDEX('計算A'!BT$110:BT$114,$F38+1)+IF(AND($E38=1,LG38=0),1000,0)+IF($H38=1,(IF('計算A'!BS$117=1,INDEX('計算A'!BS$10:BS$54,$B38),0)+IF('計算A'!BT$117=1,INDEX('計算A'!BU$10:BU$54,$B38),0))*500,0)-IF(AND('計算A'!BS$117=1,WQ38&gt;0),300,0)-IF(AND($L38=1,'計算A'!BT$117=1,FS38=0),300,0))),1000000))</f>
        <v/>
      </c>
      <c r="QW38">
        <f>IF($B38=0,1000000,IF(INDEX('計算A'!$D$60:$EQ$104,$B38,70)*FS38=1,IF(AND($E38=2,LH38=0),1000000,IF($I38&gt;0,IF(3=$J38,IF(OR(AND(70=$I38+1,OR($K38&lt;&gt;'計算A'!$A$3,'計算A'!$A$4=0)),AND(70=$I38-1,OR(22&lt;&gt;'計算A'!$A$3,'計算A'!$A$4=0))),0,IF(22=$K38,200000,ABS(22-$K38)*100)),100000+ABS(3-$J38)*1000+220)+'計算A'!BU$5*50+IF(AND($E38=1,LH38=0),25,0),INDEX('計算A'!BU$110:BU$114,$F38+1)+IF(AND($E38=1,LH38=0),1000,0)+IF($H38=1,(IF('計算A'!BT$117=1,INDEX('計算A'!BT$10:BT$54,$B38),0)+IF('計算A'!BU$117=1,INDEX('計算A'!BV$10:BV$54,$B38),0))*500,0)-IF(AND('計算A'!BT$117=1,WR38&gt;0),300,0)-IF(AND($L38=1,'計算A'!BU$117=1,FT38=0),300,0))),1000000))</f>
        <v/>
      </c>
      <c r="QX38">
        <f>IF($B38=0,1000000,IF(INDEX('計算A'!$D$60:$EQ$104,$B38,71)*FT38=1,IF(AND($E38=2,LI38=0),1000000,IF($I38&gt;0,IF(3=$J38,IF(OR(AND(71=$I38+1,OR($K38&lt;&gt;'計算A'!$A$3,'計算A'!$A$4=0)),AND(71=$I38-1,OR(23&lt;&gt;'計算A'!$A$3,'計算A'!$A$4=0))),0,IF(23=$K38,200000,ABS(23-$K38)*100)),100000+ABS(3-$J38)*1000+230)+'計算A'!BV$5*50+IF(AND($E38=1,LI38=0),25,0),INDEX('計算A'!BV$110:BV$114,$F38+1)+IF(AND($E38=1,LI38=0),1000,0)+IF($H38=1,(IF('計算A'!BU$117=1,INDEX('計算A'!BU$10:BU$54,$B38),0)+IF('計算A'!BV$117=1,INDEX('計算A'!BW$10:BW$54,$B38),0))*500,0)-IF(AND('計算A'!BU$117=1,WS38&gt;0),300,0)-IF(AND($L38=1,'計算A'!BV$117=1,FU38=0),300,0))),1000000))</f>
        <v/>
      </c>
      <c r="QY38">
        <f>IF($B38=0,1000000,IF(INDEX('計算A'!$D$60:$EQ$104,$B38,72)*FU38=1,IF(AND($E38=2,LJ38=0),1000000,IF($I38&gt;0,IF(3=$J38,IF(OR(AND(72=$I38+1,OR($K38&lt;&gt;'計算A'!$A$3,'計算A'!$A$4=0)),AND(72=$I38-1,OR(24&lt;&gt;'計算A'!$A$3,'計算A'!$A$4=0))),0,IF(24=$K38,200000,ABS(24-$K38)*100)),100000+ABS(3-$J38)*1000+240)+'計算A'!BW$5*50+IF(AND($E38=1,LJ38=0),25,0),INDEX('計算A'!BW$110:BW$114,$F38+1)+IF(AND($E38=1,LJ38=0),1000,0)+IF($H38=1,(IF('計算A'!BV$117=1,INDEX('計算A'!BV$10:BV$54,$B38),0))*500,0)-IF(AND('計算A'!BV$117=1,WT38&gt;0),300,0))),1000000))</f>
        <v/>
      </c>
      <c r="QZ38">
        <f>IF($B38=0,1000000,IF(INDEX('計算A'!$D$60:$EQ$104,$B38,73)*FV38=1,IF(AND($E38=2,LK38=0),1000000,IF($I38&gt;0,IF(4=$J38,IF(OR(AND(73=$I38+1,OR($K38&lt;&gt;'計算A'!$A$3,'計算A'!$A$4=0)),AND(73=$I38-1,OR(1&lt;&gt;'計算A'!$A$3,'計算A'!$A$4=0))),0,IF(1=$K38,200000,ABS(1-$K38)*100)),100000+ABS(4-$J38)*1000+10)+'計算A'!BX$5*50+IF(AND($E38=1,LK38=0),25,0),INDEX('計算A'!BX$110:BX$114,$F38+1)+IF(AND($E38=1,LK38=0),1000,0)+IF($H38=1,(IF('計算A'!BX$117=1,INDEX('計算A'!BY$10:BY$54,$B38),0))*500,0)-IF(AND($L38=1,'計算A'!BX$117=1,FW38=0),300,0))),1000000))</f>
        <v/>
      </c>
      <c r="RA38">
        <f>IF($B38=0,1000000,IF(INDEX('計算A'!$D$60:$EQ$104,$B38,74)*FW38=1,IF(AND($E38=2,LL38=0),1000000,IF($I38&gt;0,IF(4=$J38,IF(OR(AND(74=$I38+1,OR($K38&lt;&gt;'計算A'!$A$3,'計算A'!$A$4=0)),AND(74=$I38-1,OR(2&lt;&gt;'計算A'!$A$3,'計算A'!$A$4=0))),0,IF(2=$K38,200000,ABS(2-$K38)*100)),100000+ABS(4-$J38)*1000+20)+'計算A'!BY$5*50+IF(AND($E38=1,LL38=0),25,0),INDEX('計算A'!BY$110:BY$114,$F38+1)+IF(AND($E38=1,LL38=0),1000,0)+IF($H38=1,(IF('計算A'!BX$117=1,INDEX('計算A'!BX$10:BX$54,$B38),0)+IF('計算A'!BY$117=1,INDEX('計算A'!BZ$10:BZ$54,$B38),0))*500,0)-IF(AND('計算A'!BX$117=1,WV38&gt;0),300,0)-IF(AND($L38=1,'計算A'!BY$117=1,FX38=0),300,0))),1000000))</f>
        <v/>
      </c>
      <c r="RB38">
        <f>IF($B38=0,1000000,IF(INDEX('計算A'!$D$60:$EQ$104,$B38,75)*FX38=1,IF(AND($E38=2,LM38=0),1000000,IF($I38&gt;0,IF(4=$J38,IF(OR(AND(75=$I38+1,OR($K38&lt;&gt;'計算A'!$A$3,'計算A'!$A$4=0)),AND(75=$I38-1,OR(3&lt;&gt;'計算A'!$A$3,'計算A'!$A$4=0))),0,IF(3=$K38,200000,ABS(3-$K38)*100)),100000+ABS(4-$J38)*1000+30)+'計算A'!BZ$5*50+IF(AND($E38=1,LM38=0),25,0),INDEX('計算A'!BZ$110:BZ$114,$F38+1)+IF(AND($E38=1,LM38=0),1000,0)+IF($H38=1,(IF('計算A'!BY$117=1,INDEX('計算A'!BY$10:BY$54,$B38),0)+IF('計算A'!BZ$117=1,INDEX('計算A'!CA$10:CA$54,$B38),0))*500,0)-IF(AND('計算A'!BY$117=1,WW38&gt;0),300,0)-IF(AND($L38=1,'計算A'!BZ$117=1,FY38=0),300,0))),1000000))</f>
        <v/>
      </c>
      <c r="RC38">
        <f>IF($B38=0,1000000,IF(INDEX('計算A'!$D$60:$EQ$104,$B38,76)*FY38=1,IF(AND($E38=2,LN38=0),1000000,IF($I38&gt;0,IF(4=$J38,IF(OR(AND(76=$I38+1,OR($K38&lt;&gt;'計算A'!$A$3,'計算A'!$A$4=0)),AND(76=$I38-1,OR(4&lt;&gt;'計算A'!$A$3,'計算A'!$A$4=0))),0,IF(4=$K38,200000,ABS(4-$K38)*100)),100000+ABS(4-$J38)*1000+40)+'計算A'!CA$5*50+IF(AND($E38=1,LN38=0),25,0),INDEX('計算A'!CA$110:CA$114,$F38+1)+IF(AND($E38=1,LN38=0),1000,0)+IF($H38=1,(IF('計算A'!BZ$117=1,INDEX('計算A'!BZ$10:BZ$54,$B38),0)+IF('計算A'!CA$117=1,INDEX('計算A'!CB$10:CB$54,$B38),0))*500,0)-IF(AND('計算A'!BZ$117=1,WX38&gt;0),300,0)-IF(AND($L38=1,'計算A'!CA$117=1,FZ38=0),300,0))),1000000))</f>
        <v/>
      </c>
      <c r="RD38">
        <f>IF($B38=0,1000000,IF(INDEX('計算A'!$D$60:$EQ$104,$B38,77)*FZ38=1,IF(AND($E38=2,LO38=0),1000000,IF($I38&gt;0,IF(4=$J38,IF(OR(AND(77=$I38+1,OR($K38&lt;&gt;'計算A'!$A$3,'計算A'!$A$4=0)),AND(77=$I38-1,OR(5&lt;&gt;'計算A'!$A$3,'計算A'!$A$4=0))),0,IF(5=$K38,200000,ABS(5-$K38)*100)),100000+ABS(4-$J38)*1000+50)+'計算A'!CB$5*50+IF(AND($E38=1,LO38=0),25,0),INDEX('計算A'!CB$110:CB$114,$F38+1)+IF(AND($E38=1,LO38=0),1000,0)+IF($H38=1,(IF('計算A'!CA$117=1,INDEX('計算A'!CA$10:CA$54,$B38),0)+IF('計算A'!CB$117=1,INDEX('計算A'!CC$10:CC$54,$B38),0))*500,0)-IF(AND('計算A'!CA$117=1,WY38&gt;0),300,0)-IF(AND($L38=1,'計算A'!CB$117=1,GA38=0),300,0))),1000000))</f>
        <v/>
      </c>
      <c r="RE38">
        <f>IF($B38=0,1000000,IF(INDEX('計算A'!$D$60:$EQ$104,$B38,78)*GA38=1,IF(AND($E38=2,LP38=0),1000000,IF($I38&gt;0,IF(4=$J38,IF(OR(AND(78=$I38+1,OR($K38&lt;&gt;'計算A'!$A$3,'計算A'!$A$4=0)),AND(78=$I38-1,OR(6&lt;&gt;'計算A'!$A$3,'計算A'!$A$4=0))),0,IF(6=$K38,200000,ABS(6-$K38)*100)),100000+ABS(4-$J38)*1000+60)+'計算A'!CC$5*50+IF(AND($E38=1,LP38=0),25,0),INDEX('計算A'!CC$110:CC$114,$F38+1)+IF(AND($E38=1,LP38=0),1000,0)+IF($H38=1,(IF('計算A'!CB$117=1,INDEX('計算A'!CB$10:CB$54,$B38),0)+IF('計算A'!CC$117=1,INDEX('計算A'!CD$10:CD$54,$B38),0))*500,0)-IF(AND('計算A'!CB$117=1,WZ38&gt;0),300,0)-IF(AND($L38=1,'計算A'!CC$117=1,GB38=0),300,0))),1000000))</f>
        <v/>
      </c>
      <c r="RF38">
        <f>IF($B38=0,1000000,IF(INDEX('計算A'!$D$60:$EQ$104,$B38,79)*GB38=1,IF(AND($E38=2,LQ38=0),1000000,IF($I38&gt;0,IF(4=$J38,IF(OR(AND(79=$I38+1,OR($K38&lt;&gt;'計算A'!$A$3,'計算A'!$A$4=0)),AND(79=$I38-1,OR(7&lt;&gt;'計算A'!$A$3,'計算A'!$A$4=0))),0,IF(7=$K38,200000,ABS(7-$K38)*100)),100000+ABS(4-$J38)*1000+70)+'計算A'!CD$5*50+IF(AND($E38=1,LQ38=0),25,0),INDEX('計算A'!CD$110:CD$114,$F38+1)+IF(AND($E38=1,LQ38=0),1000,0)+IF($H38=1,(IF('計算A'!CC$117=1,INDEX('計算A'!CC$10:CC$54,$B38),0)+IF('計算A'!CD$117=1,INDEX('計算A'!CE$10:CE$54,$B38),0))*500,0)-IF(AND('計算A'!CC$117=1,XA38&gt;0),300,0)-IF(AND($L38=1,'計算A'!CD$117=1,GC38=0),300,0))),1000000))</f>
        <v/>
      </c>
      <c r="RG38">
        <f>IF($B38=0,1000000,IF(INDEX('計算A'!$D$60:$EQ$104,$B38,80)*GC38=1,IF(AND($E38=2,LR38=0),1000000,IF($I38&gt;0,IF(4=$J38,IF(OR(AND(80=$I38+1,OR($K38&lt;&gt;'計算A'!$A$3,'計算A'!$A$4=0)),AND(80=$I38-1,OR(8&lt;&gt;'計算A'!$A$3,'計算A'!$A$4=0))),0,IF(8=$K38,200000,ABS(8-$K38)*100)),100000+ABS(4-$J38)*1000+80)+'計算A'!CE$5*50+IF(AND($E38=1,LR38=0),25,0),INDEX('計算A'!CE$110:CE$114,$F38+1)+IF(AND($E38=1,LR38=0),1000,0)+IF($H38=1,(IF('計算A'!CD$117=1,INDEX('計算A'!CD$10:CD$54,$B38),0)+IF('計算A'!CE$117=1,INDEX('計算A'!CF$10:CF$54,$B38),0))*500,0)-IF(AND('計算A'!CD$117=1,XB38&gt;0),300,0)-IF(AND($L38=1,'計算A'!CE$117=1,GD38=0),300,0))),1000000))</f>
        <v/>
      </c>
      <c r="RH38">
        <f>IF($B38=0,1000000,IF(INDEX('計算A'!$D$60:$EQ$104,$B38,81)*GD38=1,IF(AND($E38=2,LS38=0),1000000,IF($I38&gt;0,IF(4=$J38,IF(OR(AND(81=$I38+1,OR($K38&lt;&gt;'計算A'!$A$3,'計算A'!$A$4=0)),AND(81=$I38-1,OR(9&lt;&gt;'計算A'!$A$3,'計算A'!$A$4=0))),0,IF(9=$K38,200000,ABS(9-$K38)*100)),100000+ABS(4-$J38)*1000+90)+'計算A'!CF$5*50+IF(AND($E38=1,LS38=0),25,0),INDEX('計算A'!CF$110:CF$114,$F38+1)+IF(AND($E38=1,LS38=0),1000,0)+IF($H38=1,(IF('計算A'!CE$117=1,INDEX('計算A'!CE$10:CE$54,$B38),0)+IF('計算A'!CF$117=1,INDEX('計算A'!CG$10:CG$54,$B38),0))*500,0)-IF(AND('計算A'!CE$117=1,XC38&gt;0),300,0)-IF(AND($L38=1,'計算A'!CF$117=1,GE38=0),300,0))),1000000))</f>
        <v/>
      </c>
      <c r="RI38">
        <f>IF($B38=0,1000000,IF(INDEX('計算A'!$D$60:$EQ$104,$B38,82)*GE38=1,IF(AND($E38=2,LT38=0),1000000,IF($I38&gt;0,IF(4=$J38,IF(OR(AND(82=$I38+1,OR($K38&lt;&gt;'計算A'!$A$3,'計算A'!$A$4=0)),AND(82=$I38-1,OR(10&lt;&gt;'計算A'!$A$3,'計算A'!$A$4=0))),0,IF(10=$K38,200000,ABS(10-$K38)*100)),100000+ABS(4-$J38)*1000+100)+'計算A'!CG$5*50+IF(AND($E38=1,LT38=0),25,0),INDEX('計算A'!CG$110:CG$114,$F38+1)+IF(AND($E38=1,LT38=0),1000,0)+IF($H38=1,(IF('計算A'!CF$117=1,INDEX('計算A'!CF$10:CF$54,$B38),0)+IF('計算A'!CG$117=1,INDEX('計算A'!CH$10:CH$54,$B38),0))*500,0)-IF(AND('計算A'!CF$117=1,XD38&gt;0),300,0)-IF(AND($L38=1,'計算A'!CG$117=1,GF38=0),300,0))),1000000))</f>
        <v/>
      </c>
      <c r="RJ38">
        <f>IF($B38=0,1000000,IF(INDEX('計算A'!$D$60:$EQ$104,$B38,83)*GF38=1,IF(AND($E38=2,LU38=0),1000000,IF($I38&gt;0,IF(4=$J38,IF(OR(AND(83=$I38+1,OR($K38&lt;&gt;'計算A'!$A$3,'計算A'!$A$4=0)),AND(83=$I38-1,OR(11&lt;&gt;'計算A'!$A$3,'計算A'!$A$4=0))),0,IF(11=$K38,200000,ABS(11-$K38)*100)),100000+ABS(4-$J38)*1000+110)+'計算A'!CH$5*50+IF(AND($E38=1,LU38=0),25,0),INDEX('計算A'!CH$110:CH$114,$F38+1)+IF(AND($E38=1,LU38=0),1000,0)+IF($H38=1,(IF('計算A'!CG$117=1,INDEX('計算A'!CG$10:CG$54,$B38),0)+IF('計算A'!CH$117=1,INDEX('計算A'!CI$10:CI$54,$B38),0))*500,0)-IF(AND('計算A'!CG$117=1,XE38&gt;0),300,0)-IF(AND($L38=1,'計算A'!CH$117=1,GG38=0),300,0))),1000000))</f>
        <v/>
      </c>
      <c r="RK38">
        <f>IF($B38=0,1000000,IF(INDEX('計算A'!$D$60:$EQ$104,$B38,84)*GG38=1,IF(AND($E38=2,LV38=0),1000000,IF($I38&gt;0,IF(4=$J38,IF(OR(AND(84=$I38+1,OR($K38&lt;&gt;'計算A'!$A$3,'計算A'!$A$4=0)),AND(84=$I38-1,OR(12&lt;&gt;'計算A'!$A$3,'計算A'!$A$4=0))),0,IF(12=$K38,200000,ABS(12-$K38)*100)),100000+ABS(4-$J38)*1000+120)+'計算A'!CI$5*50+IF(AND($E38=1,LV38=0),25,0),INDEX('計算A'!CI$110:CI$114,$F38+1)+IF(AND($E38=1,LV38=0),1000,0)+IF($H38=1,(IF('計算A'!CH$117=1,INDEX('計算A'!CH$10:CH$54,$B38),0)+IF('計算A'!CI$117=1,INDEX('計算A'!CJ$10:CJ$54,$B38),0))*500,0)-IF(AND('計算A'!CH$117=1,XF38&gt;0),300,0)-IF(AND($L38=1,'計算A'!CI$117=1,GH38=0),300,0))),1000000))</f>
        <v/>
      </c>
      <c r="RL38">
        <f>IF($B38=0,1000000,IF(INDEX('計算A'!$D$60:$EQ$104,$B38,85)*GH38=1,IF(AND($E38=2,LW38=0),1000000,IF($I38&gt;0,IF(4=$J38,IF(OR(AND(85=$I38+1,OR($K38&lt;&gt;'計算A'!$A$3,'計算A'!$A$4=0)),AND(85=$I38-1,OR(13&lt;&gt;'計算A'!$A$3,'計算A'!$A$4=0))),0,IF(13=$K38,200000,ABS(13-$K38)*100)),100000+ABS(4-$J38)*1000+130)+'計算A'!CJ$5*50+IF(AND($E38=1,LW38=0),25,0),INDEX('計算A'!CJ$110:CJ$114,$F38+1)+IF(AND($E38=1,LW38=0),1000,0)+IF($H38=1,(IF('計算A'!CI$117=1,INDEX('計算A'!CI$10:CI$54,$B38),0)+IF('計算A'!CJ$117=1,INDEX('計算A'!CK$10:CK$54,$B38),0))*500,0)-IF(AND('計算A'!CI$117=1,XG38&gt;0),300,0)-IF(AND($L38=1,'計算A'!CJ$117=1,GI38=0),300,0))),1000000))</f>
        <v/>
      </c>
      <c r="RM38">
        <f>IF($B38=0,1000000,IF(INDEX('計算A'!$D$60:$EQ$104,$B38,86)*GI38=1,IF(AND($E38=2,LX38=0),1000000,IF($I38&gt;0,IF(4=$J38,IF(OR(AND(86=$I38+1,OR($K38&lt;&gt;'計算A'!$A$3,'計算A'!$A$4=0)),AND(86=$I38-1,OR(14&lt;&gt;'計算A'!$A$3,'計算A'!$A$4=0))),0,IF(14=$K38,200000,ABS(14-$K38)*100)),100000+ABS(4-$J38)*1000+140)+'計算A'!CK$5*50+IF(AND($E38=1,LX38=0),25,0),INDEX('計算A'!CK$110:CK$114,$F38+1)+IF(AND($E38=1,LX38=0),1000,0)+IF($H38=1,(IF('計算A'!CJ$117=1,INDEX('計算A'!CJ$10:CJ$54,$B38),0)+IF('計算A'!CK$117=1,INDEX('計算A'!CL$10:CL$54,$B38),0))*500,0)-IF(AND('計算A'!CJ$117=1,XH38&gt;0),300,0)-IF(AND($L38=1,'計算A'!CK$117=1,GJ38=0),300,0))),1000000))</f>
        <v/>
      </c>
      <c r="RN38">
        <f>IF($B38=0,1000000,IF(INDEX('計算A'!$D$60:$EQ$104,$B38,87)*GJ38=1,IF(AND($E38=2,LY38=0),1000000,IF($I38&gt;0,IF(4=$J38,IF(OR(AND(87=$I38+1,OR($K38&lt;&gt;'計算A'!$A$3,'計算A'!$A$4=0)),AND(87=$I38-1,OR(15&lt;&gt;'計算A'!$A$3,'計算A'!$A$4=0))),0,IF(15=$K38,200000,ABS(15-$K38)*100)),100000+ABS(4-$J38)*1000+150)+'計算A'!CL$5*50+IF(AND($E38=1,LY38=0),25,0),INDEX('計算A'!CL$110:CL$114,$F38+1)+IF(AND($E38=1,LY38=0),1000,0)+IF($H38=1,(IF('計算A'!CK$117=1,INDEX('計算A'!CK$10:CK$54,$B38),0)+IF('計算A'!CL$117=1,INDEX('計算A'!CM$10:CM$54,$B38),0))*500,0)-IF(AND('計算A'!CK$117=1,XI38&gt;0),300,0)-IF(AND($L38=1,'計算A'!CL$117=1,GK38=0),300,0))),1000000))</f>
        <v/>
      </c>
      <c r="RO38">
        <f>IF($B38=0,1000000,IF(INDEX('計算A'!$D$60:$EQ$104,$B38,88)*GK38=1,IF(AND($E38=2,LZ38=0),1000000,IF($I38&gt;0,IF(4=$J38,IF(OR(AND(88=$I38+1,OR($K38&lt;&gt;'計算A'!$A$3,'計算A'!$A$4=0)),AND(88=$I38-1,OR(16&lt;&gt;'計算A'!$A$3,'計算A'!$A$4=0))),0,IF(16=$K38,200000,ABS(16-$K38)*100)),100000+ABS(4-$J38)*1000+160)+'計算A'!CM$5*50+IF(AND($E38=1,LZ38=0),25,0),INDEX('計算A'!CM$110:CM$114,$F38+1)+IF(AND($E38=1,LZ38=0),1000,0)+IF($H38=1,(IF('計算A'!CL$117=1,INDEX('計算A'!CL$10:CL$54,$B38),0)+IF('計算A'!CM$117=1,INDEX('計算A'!CN$10:CN$54,$B38),0))*500,0)-IF(AND('計算A'!CL$117=1,XJ38&gt;0),300,0)-IF(AND($L38=1,'計算A'!CM$117=1,GL38=0),300,0))),1000000))</f>
        <v/>
      </c>
      <c r="RP38">
        <f>IF($B38=0,1000000,IF(INDEX('計算A'!$D$60:$EQ$104,$B38,89)*GL38=1,IF(AND($E38=2,MA38=0),1000000,IF($I38&gt;0,IF(4=$J38,IF(OR(AND(89=$I38+1,OR($K38&lt;&gt;'計算A'!$A$3,'計算A'!$A$4=0)),AND(89=$I38-1,OR(17&lt;&gt;'計算A'!$A$3,'計算A'!$A$4=0))),0,IF(17=$K38,200000,ABS(17-$K38)*100)),100000+ABS(4-$J38)*1000+170)+'計算A'!CN$5*50+IF(AND($E38=1,MA38=0),25,0),INDEX('計算A'!CN$110:CN$114,$F38+1)+IF(AND($E38=1,MA38=0),1000,0)+IF($H38=1,(IF('計算A'!CM$117=1,INDEX('計算A'!CM$10:CM$54,$B38),0)+IF('計算A'!CN$117=1,INDEX('計算A'!CO$10:CO$54,$B38),0))*500,0)-IF(AND('計算A'!CM$117=1,XK38&gt;0),300,0)-IF(AND($L38=1,'計算A'!CN$117=1,GM38=0),300,0))),1000000))</f>
        <v/>
      </c>
      <c r="RQ38">
        <f>IF($B38=0,1000000,IF(INDEX('計算A'!$D$60:$EQ$104,$B38,90)*GM38=1,IF(AND($E38=2,MB38=0),1000000,IF($I38&gt;0,IF(4=$J38,IF(OR(AND(90=$I38+1,OR($K38&lt;&gt;'計算A'!$A$3,'計算A'!$A$4=0)),AND(90=$I38-1,OR(18&lt;&gt;'計算A'!$A$3,'計算A'!$A$4=0))),0,IF(18=$K38,200000,ABS(18-$K38)*100)),100000+ABS(4-$J38)*1000+180)+'計算A'!CO$5*50+IF(AND($E38=1,MB38=0),25,0),INDEX('計算A'!CO$110:CO$114,$F38+1)+IF(AND($E38=1,MB38=0),1000,0)+IF($H38=1,(IF('計算A'!CN$117=1,INDEX('計算A'!CN$10:CN$54,$B38),0)+IF('計算A'!CO$117=1,INDEX('計算A'!CP$10:CP$54,$B38),0))*500,0)-IF(AND('計算A'!CN$117=1,XL38&gt;0),300,0)-IF(AND($L38=1,'計算A'!CO$117=1,GN38=0),300,0))),1000000))</f>
        <v/>
      </c>
      <c r="RR38">
        <f>IF($B38=0,1000000,IF(INDEX('計算A'!$D$60:$EQ$104,$B38,91)*GN38=1,IF(AND($E38=2,MC38=0),1000000,IF($I38&gt;0,IF(4=$J38,IF(OR(AND(91=$I38+1,OR($K38&lt;&gt;'計算A'!$A$3,'計算A'!$A$4=0)),AND(91=$I38-1,OR(19&lt;&gt;'計算A'!$A$3,'計算A'!$A$4=0))),0,IF(19=$K38,200000,ABS(19-$K38)*100)),100000+ABS(4-$J38)*1000+190)+'計算A'!CP$5*50+IF(AND($E38=1,MC38=0),25,0),INDEX('計算A'!CP$110:CP$114,$F38+1)+IF(AND($E38=1,MC38=0),1000,0)+IF($H38=1,(IF('計算A'!CO$117=1,INDEX('計算A'!CO$10:CO$54,$B38),0)+IF('計算A'!CP$117=1,INDEX('計算A'!CQ$10:CQ$54,$B38),0))*500,0)-IF(AND('計算A'!CO$117=1,XM38&gt;0),300,0)-IF(AND($L38=1,'計算A'!CP$117=1,GO38=0),300,0))),1000000))</f>
        <v/>
      </c>
      <c r="RS38">
        <f>IF($B38=0,1000000,IF(INDEX('計算A'!$D$60:$EQ$104,$B38,92)*GO38=1,IF(AND($E38=2,MD38=0),1000000,IF($I38&gt;0,IF(4=$J38,IF(OR(AND(92=$I38+1,OR($K38&lt;&gt;'計算A'!$A$3,'計算A'!$A$4=0)),AND(92=$I38-1,OR(20&lt;&gt;'計算A'!$A$3,'計算A'!$A$4=0))),0,IF(20=$K38,200000,ABS(20-$K38)*100)),100000+ABS(4-$J38)*1000+200)+'計算A'!CQ$5*50+IF(AND($E38=1,MD38=0),25,0),INDEX('計算A'!CQ$110:CQ$114,$F38+1)+IF(AND($E38=1,MD38=0),1000,0)+IF($H38=1,(IF('計算A'!CP$117=1,INDEX('計算A'!CP$10:CP$54,$B38),0)+IF('計算A'!CQ$117=1,INDEX('計算A'!CR$10:CR$54,$B38),0))*500,0)-IF(AND('計算A'!CP$117=1,XN38&gt;0),300,0)-IF(AND($L38=1,'計算A'!CQ$117=1,GP38=0),300,0))),1000000))</f>
        <v/>
      </c>
      <c r="RT38">
        <f>IF($B38=0,1000000,IF(INDEX('計算A'!$D$60:$EQ$104,$B38,93)*GP38=1,IF(AND($E38=2,ME38=0),1000000,IF($I38&gt;0,IF(4=$J38,IF(OR(AND(93=$I38+1,OR($K38&lt;&gt;'計算A'!$A$3,'計算A'!$A$4=0)),AND(93=$I38-1,OR(21&lt;&gt;'計算A'!$A$3,'計算A'!$A$4=0))),0,IF(21=$K38,200000,ABS(21-$K38)*100)),100000+ABS(4-$J38)*1000+210)+'計算A'!CR$5*50+IF(AND($E38=1,ME38=0),25,0),INDEX('計算A'!CR$110:CR$114,$F38+1)+IF(AND($E38=1,ME38=0),1000,0)+IF($H38=1,(IF('計算A'!CQ$117=1,INDEX('計算A'!CQ$10:CQ$54,$B38),0)+IF('計算A'!CR$117=1,INDEX('計算A'!CS$10:CS$54,$B38),0))*500,0)-IF(AND('計算A'!CQ$117=1,XO38&gt;0),300,0)-IF(AND($L38=1,'計算A'!CR$117=1,GQ38=0),300,0))),1000000))</f>
        <v/>
      </c>
      <c r="RU38">
        <f>IF($B38=0,1000000,IF(INDEX('計算A'!$D$60:$EQ$104,$B38,94)*GQ38=1,IF(AND($E38=2,MF38=0),1000000,IF($I38&gt;0,IF(4=$J38,IF(OR(AND(94=$I38+1,OR($K38&lt;&gt;'計算A'!$A$3,'計算A'!$A$4=0)),AND(94=$I38-1,OR(22&lt;&gt;'計算A'!$A$3,'計算A'!$A$4=0))),0,IF(22=$K38,200000,ABS(22-$K38)*100)),100000+ABS(4-$J38)*1000+220)+'計算A'!CS$5*50+IF(AND($E38=1,MF38=0),25,0),INDEX('計算A'!CS$110:CS$114,$F38+1)+IF(AND($E38=1,MF38=0),1000,0)+IF($H38=1,(IF('計算A'!CR$117=1,INDEX('計算A'!CR$10:CR$54,$B38),0)+IF('計算A'!CS$117=1,INDEX('計算A'!CT$10:CT$54,$B38),0))*500,0)-IF(AND('計算A'!CR$117=1,XP38&gt;0),300,0)-IF(AND($L38=1,'計算A'!CS$117=1,GR38=0),300,0))),1000000))</f>
        <v/>
      </c>
      <c r="RV38">
        <f>IF($B38=0,1000000,IF(INDEX('計算A'!$D$60:$EQ$104,$B38,95)*GR38=1,IF(AND($E38=2,MG38=0),1000000,IF($I38&gt;0,IF(4=$J38,IF(OR(AND(95=$I38+1,OR($K38&lt;&gt;'計算A'!$A$3,'計算A'!$A$4=0)),AND(95=$I38-1,OR(23&lt;&gt;'計算A'!$A$3,'計算A'!$A$4=0))),0,IF(23=$K38,200000,ABS(23-$K38)*100)),100000+ABS(4-$J38)*1000+230)+'計算A'!CT$5*50+IF(AND($E38=1,MG38=0),25,0),INDEX('計算A'!CT$110:CT$114,$F38+1)+IF(AND($E38=1,MG38=0),1000,0)+IF($H38=1,(IF('計算A'!CS$117=1,INDEX('計算A'!CS$10:CS$54,$B38),0)+IF('計算A'!CT$117=1,INDEX('計算A'!CU$10:CU$54,$B38),0))*500,0)-IF(AND('計算A'!CS$117=1,XQ38&gt;0),300,0)-IF(AND($L38=1,'計算A'!CT$117=1,GS38=0),300,0))),1000000))</f>
        <v/>
      </c>
      <c r="RW38">
        <f>IF($B38=0,1000000,IF(INDEX('計算A'!$D$60:$EQ$104,$B38,96)*GS38=1,IF(AND($E38=2,MH38=0),1000000,IF($I38&gt;0,IF(4=$J38,IF(OR(AND(96=$I38+1,OR($K38&lt;&gt;'計算A'!$A$3,'計算A'!$A$4=0)),AND(96=$I38-1,OR(24&lt;&gt;'計算A'!$A$3,'計算A'!$A$4=0))),0,IF(24=$K38,200000,ABS(24-$K38)*100)),100000+ABS(4-$J38)*1000+240)+'計算A'!CU$5*50+IF(AND($E38=1,MH38=0),25,0),INDEX('計算A'!CU$110:CU$114,$F38+1)+IF(AND($E38=1,MH38=0),1000,0)+IF($H38=1,(IF('計算A'!CT$117=1,INDEX('計算A'!CT$10:CT$54,$B38),0))*500,0)-IF(AND('計算A'!CT$117=1,XR38&gt;0),300,0))),1000000))</f>
        <v/>
      </c>
      <c r="RX38">
        <f>IF($B38=0,1000000,IF(INDEX('計算A'!$D$60:$EQ$104,$B38,97)*GT38=1,IF(AND($E38=2,MI38=0),1000000,IF($I38&gt;0,IF(5=$J38,IF(OR(AND(97=$I38+1,OR($K38&lt;&gt;'計算A'!$A$3,'計算A'!$A$4=0)),AND(97=$I38-1,OR(1&lt;&gt;'計算A'!$A$3,'計算A'!$A$4=0))),0,IF(1=$K38,200000,ABS(1-$K38)*100)),100000+ABS(5-$J38)*1000+10)+'計算A'!CV$5*50+IF(AND($E38=1,MI38=0),25,0),INDEX('計算A'!CV$110:CV$114,$F38+1)+IF(AND($E38=1,MI38=0),1000,0)+IF($H38=1,(IF('計算A'!CV$117=1,INDEX('計算A'!CW$10:CW$54,$B38),0))*500,0)-IF(AND($L38=1,'計算A'!CV$117=1,GU38=0),300,0))),1000000))</f>
        <v/>
      </c>
      <c r="RY38">
        <f>IF($B38=0,1000000,IF(INDEX('計算A'!$D$60:$EQ$104,$B38,98)*GU38=1,IF(AND($E38=2,MJ38=0),1000000,IF($I38&gt;0,IF(5=$J38,IF(OR(AND(98=$I38+1,OR($K38&lt;&gt;'計算A'!$A$3,'計算A'!$A$4=0)),AND(98=$I38-1,OR(2&lt;&gt;'計算A'!$A$3,'計算A'!$A$4=0))),0,IF(2=$K38,200000,ABS(2-$K38)*100)),100000+ABS(5-$J38)*1000+20)+'計算A'!CW$5*50+IF(AND($E38=1,MJ38=0),25,0),INDEX('計算A'!CW$110:CW$114,$F38+1)+IF(AND($E38=1,MJ38=0),1000,0)+IF($H38=1,(IF('計算A'!CV$117=1,INDEX('計算A'!CV$10:CV$54,$B38),0)+IF('計算A'!CW$117=1,INDEX('計算A'!CX$10:CX$54,$B38),0))*500,0)-IF(AND('計算A'!CV$117=1,XT38&gt;0),300,0)-IF(AND($L38=1,'計算A'!CW$117=1,GV38=0),300,0))),1000000))</f>
        <v/>
      </c>
      <c r="RZ38">
        <f>IF($B38=0,1000000,IF(INDEX('計算A'!$D$60:$EQ$104,$B38,99)*GV38=1,IF(AND($E38=2,MK38=0),1000000,IF($I38&gt;0,IF(5=$J38,IF(OR(AND(99=$I38+1,OR($K38&lt;&gt;'計算A'!$A$3,'計算A'!$A$4=0)),AND(99=$I38-1,OR(3&lt;&gt;'計算A'!$A$3,'計算A'!$A$4=0))),0,IF(3=$K38,200000,ABS(3-$K38)*100)),100000+ABS(5-$J38)*1000+30)+'計算A'!CX$5*50+IF(AND($E38=1,MK38=0),25,0),INDEX('計算A'!CX$110:CX$114,$F38+1)+IF(AND($E38=1,MK38=0),1000,0)+IF($H38=1,(IF('計算A'!CW$117=1,INDEX('計算A'!CW$10:CW$54,$B38),0)+IF('計算A'!CX$117=1,INDEX('計算A'!CY$10:CY$54,$B38),0))*500,0)-IF(AND('計算A'!CW$117=1,XU38&gt;0),300,0)-IF(AND($L38=1,'計算A'!CX$117=1,GW38=0),300,0))),1000000))</f>
        <v/>
      </c>
      <c r="SA38">
        <f>IF($B38=0,1000000,IF(INDEX('計算A'!$D$60:$EQ$104,$B38,100)*GW38=1,IF(AND($E38=2,ML38=0),1000000,IF($I38&gt;0,IF(5=$J38,IF(OR(AND(100=$I38+1,OR($K38&lt;&gt;'計算A'!$A$3,'計算A'!$A$4=0)),AND(100=$I38-1,OR(4&lt;&gt;'計算A'!$A$3,'計算A'!$A$4=0))),0,IF(4=$K38,200000,ABS(4-$K38)*100)),100000+ABS(5-$J38)*1000+40)+'計算A'!CY$5*50+IF(AND($E38=1,ML38=0),25,0),INDEX('計算A'!CY$110:CY$114,$F38+1)+IF(AND($E38=1,ML38=0),1000,0)+IF($H38=1,(IF('計算A'!CX$117=1,INDEX('計算A'!CX$10:CX$54,$B38),0)+IF('計算A'!CY$117=1,INDEX('計算A'!CZ$10:CZ$54,$B38),0))*500,0)-IF(AND('計算A'!CX$117=1,XV38&gt;0),300,0)-IF(AND($L38=1,'計算A'!CY$117=1,GX38=0),300,0))),1000000))</f>
        <v/>
      </c>
      <c r="SB38">
        <f>IF($B38=0,1000000,IF(INDEX('計算A'!$D$60:$EQ$104,$B38,101)*GX38=1,IF(AND($E38=2,MM38=0),1000000,IF($I38&gt;0,IF(5=$J38,IF(OR(AND(101=$I38+1,OR($K38&lt;&gt;'計算A'!$A$3,'計算A'!$A$4=0)),AND(101=$I38-1,OR(5&lt;&gt;'計算A'!$A$3,'計算A'!$A$4=0))),0,IF(5=$K38,200000,ABS(5-$K38)*100)),100000+ABS(5-$J38)*1000+50)+'計算A'!CZ$5*50+IF(AND($E38=1,MM38=0),25,0),INDEX('計算A'!CZ$110:CZ$114,$F38+1)+IF(AND($E38=1,MM38=0),1000,0)+IF($H38=1,(IF('計算A'!CY$117=1,INDEX('計算A'!CY$10:CY$54,$B38),0)+IF('計算A'!CZ$117=1,INDEX('計算A'!DA$10:DA$54,$B38),0))*500,0)-IF(AND('計算A'!CY$117=1,XW38&gt;0),300,0)-IF(AND($L38=1,'計算A'!CZ$117=1,GY38=0),300,0))),1000000))</f>
        <v/>
      </c>
      <c r="SC38">
        <f>IF($B38=0,1000000,IF(INDEX('計算A'!$D$60:$EQ$104,$B38,102)*GY38=1,IF(AND($E38=2,MN38=0),1000000,IF($I38&gt;0,IF(5=$J38,IF(OR(AND(102=$I38+1,OR($K38&lt;&gt;'計算A'!$A$3,'計算A'!$A$4=0)),AND(102=$I38-1,OR(6&lt;&gt;'計算A'!$A$3,'計算A'!$A$4=0))),0,IF(6=$K38,200000,ABS(6-$K38)*100)),100000+ABS(5-$J38)*1000+60)+'計算A'!DA$5*50+IF(AND($E38=1,MN38=0),25,0),INDEX('計算A'!DA$110:DA$114,$F38+1)+IF(AND($E38=1,MN38=0),1000,0)+IF($H38=1,(IF('計算A'!CZ$117=1,INDEX('計算A'!CZ$10:CZ$54,$B38),0)+IF('計算A'!DA$117=1,INDEX('計算A'!DB$10:DB$54,$B38),0))*500,0)-IF(AND('計算A'!CZ$117=1,XX38&gt;0),300,0)-IF(AND($L38=1,'計算A'!DA$117=1,GZ38=0),300,0))),1000000))</f>
        <v/>
      </c>
      <c r="SD38">
        <f>IF($B38=0,1000000,IF(INDEX('計算A'!$D$60:$EQ$104,$B38,103)*GZ38=1,IF(AND($E38=2,MO38=0),1000000,IF($I38&gt;0,IF(5=$J38,IF(OR(AND(103=$I38+1,OR($K38&lt;&gt;'計算A'!$A$3,'計算A'!$A$4=0)),AND(103=$I38-1,OR(7&lt;&gt;'計算A'!$A$3,'計算A'!$A$4=0))),0,IF(7=$K38,200000,ABS(7-$K38)*100)),100000+ABS(5-$J38)*1000+70)+'計算A'!DB$5*50+IF(AND($E38=1,MO38=0),25,0),INDEX('計算A'!DB$110:DB$114,$F38+1)+IF(AND($E38=1,MO38=0),1000,0)+IF($H38=1,(IF('計算A'!DA$117=1,INDEX('計算A'!DA$10:DA$54,$B38),0)+IF('計算A'!DB$117=1,INDEX('計算A'!DC$10:DC$54,$B38),0))*500,0)-IF(AND('計算A'!DA$117=1,XY38&gt;0),300,0)-IF(AND($L38=1,'計算A'!DB$117=1,HA38=0),300,0))),1000000))</f>
        <v/>
      </c>
      <c r="SE38">
        <f>IF($B38=0,1000000,IF(INDEX('計算A'!$D$60:$EQ$104,$B38,104)*HA38=1,IF(AND($E38=2,MP38=0),1000000,IF($I38&gt;0,IF(5=$J38,IF(OR(AND(104=$I38+1,OR($K38&lt;&gt;'計算A'!$A$3,'計算A'!$A$4=0)),AND(104=$I38-1,OR(8&lt;&gt;'計算A'!$A$3,'計算A'!$A$4=0))),0,IF(8=$K38,200000,ABS(8-$K38)*100)),100000+ABS(5-$J38)*1000+80)+'計算A'!DC$5*50+IF(AND($E38=1,MP38=0),25,0),INDEX('計算A'!DC$110:DC$114,$F38+1)+IF(AND($E38=1,MP38=0),1000,0)+IF($H38=1,(IF('計算A'!DB$117=1,INDEX('計算A'!DB$10:DB$54,$B38),0)+IF('計算A'!DC$117=1,INDEX('計算A'!DD$10:DD$54,$B38),0))*500,0)-IF(AND('計算A'!DB$117=1,XZ38&gt;0),300,0)-IF(AND($L38=1,'計算A'!DC$117=1,HB38=0),300,0))),1000000))</f>
        <v/>
      </c>
      <c r="SF38">
        <f>IF($B38=0,1000000,IF(INDEX('計算A'!$D$60:$EQ$104,$B38,105)*HB38=1,IF(AND($E38=2,MQ38=0),1000000,IF($I38&gt;0,IF(5=$J38,IF(OR(AND(105=$I38+1,OR($K38&lt;&gt;'計算A'!$A$3,'計算A'!$A$4=0)),AND(105=$I38-1,OR(9&lt;&gt;'計算A'!$A$3,'計算A'!$A$4=0))),0,IF(9=$K38,200000,ABS(9-$K38)*100)),100000+ABS(5-$J38)*1000+90)+'計算A'!DD$5*50+IF(AND($E38=1,MQ38=0),25,0),INDEX('計算A'!DD$110:DD$114,$F38+1)+IF(AND($E38=1,MQ38=0),1000,0)+IF($H38=1,(IF('計算A'!DC$117=1,INDEX('計算A'!DC$10:DC$54,$B38),0)+IF('計算A'!DD$117=1,INDEX('計算A'!DE$10:DE$54,$B38),0))*500,0)-IF(AND('計算A'!DC$117=1,YA38&gt;0),300,0)-IF(AND($L38=1,'計算A'!DD$117=1,HC38=0),300,0))),1000000))</f>
        <v/>
      </c>
      <c r="SG38">
        <f>IF($B38=0,1000000,IF(INDEX('計算A'!$D$60:$EQ$104,$B38,106)*HC38=1,IF(AND($E38=2,MR38=0),1000000,IF($I38&gt;0,IF(5=$J38,IF(OR(AND(106=$I38+1,OR($K38&lt;&gt;'計算A'!$A$3,'計算A'!$A$4=0)),AND(106=$I38-1,OR(10&lt;&gt;'計算A'!$A$3,'計算A'!$A$4=0))),0,IF(10=$K38,200000,ABS(10-$K38)*100)),100000+ABS(5-$J38)*1000+100)+'計算A'!DE$5*50+IF(AND($E38=1,MR38=0),25,0),INDEX('計算A'!DE$110:DE$114,$F38+1)+IF(AND($E38=1,MR38=0),1000,0)+IF($H38=1,(IF('計算A'!DD$117=1,INDEX('計算A'!DD$10:DD$54,$B38),0)+IF('計算A'!DE$117=1,INDEX('計算A'!DF$10:DF$54,$B38),0))*500,0)-IF(AND('計算A'!DD$117=1,YB38&gt;0),300,0)-IF(AND($L38=1,'計算A'!DE$117=1,HD38=0),300,0))),1000000))</f>
        <v/>
      </c>
      <c r="SH38">
        <f>IF($B38=0,1000000,IF(INDEX('計算A'!$D$60:$EQ$104,$B38,107)*HD38=1,IF(AND($E38=2,MS38=0),1000000,IF($I38&gt;0,IF(5=$J38,IF(OR(AND(107=$I38+1,OR($K38&lt;&gt;'計算A'!$A$3,'計算A'!$A$4=0)),AND(107=$I38-1,OR(11&lt;&gt;'計算A'!$A$3,'計算A'!$A$4=0))),0,IF(11=$K38,200000,ABS(11-$K38)*100)),100000+ABS(5-$J38)*1000+110)+'計算A'!DF$5*50+IF(AND($E38=1,MS38=0),25,0),INDEX('計算A'!DF$110:DF$114,$F38+1)+IF(AND($E38=1,MS38=0),1000,0)+IF($H38=1,(IF('計算A'!DE$117=1,INDEX('計算A'!DE$10:DE$54,$B38),0)+IF('計算A'!DF$117=1,INDEX('計算A'!DG$10:DG$54,$B38),0))*500,0)-IF(AND('計算A'!DE$117=1,YC38&gt;0),300,0)-IF(AND($L38=1,'計算A'!DF$117=1,HE38=0),300,0))),1000000))</f>
        <v/>
      </c>
      <c r="SI38">
        <f>IF($B38=0,1000000,IF(INDEX('計算A'!$D$60:$EQ$104,$B38,108)*HE38=1,IF(AND($E38=2,MT38=0),1000000,IF($I38&gt;0,IF(5=$J38,IF(OR(AND(108=$I38+1,OR($K38&lt;&gt;'計算A'!$A$3,'計算A'!$A$4=0)),AND(108=$I38-1,OR(12&lt;&gt;'計算A'!$A$3,'計算A'!$A$4=0))),0,IF(12=$K38,200000,ABS(12-$K38)*100)),100000+ABS(5-$J38)*1000+120)+'計算A'!DG$5*50+IF(AND($E38=1,MT38=0),25,0),INDEX('計算A'!DG$110:DG$114,$F38+1)+IF(AND($E38=1,MT38=0),1000,0)+IF($H38=1,(IF('計算A'!DF$117=1,INDEX('計算A'!DF$10:DF$54,$B38),0)+IF('計算A'!DG$117=1,INDEX('計算A'!DH$10:DH$54,$B38),0))*500,0)-IF(AND('計算A'!DF$117=1,YD38&gt;0),300,0)-IF(AND($L38=1,'計算A'!DG$117=1,HF38=0),300,0))),1000000))</f>
        <v/>
      </c>
      <c r="SJ38">
        <f>IF($B38=0,1000000,IF(INDEX('計算A'!$D$60:$EQ$104,$B38,109)*HF38=1,IF(AND($E38=2,MU38=0),1000000,IF($I38&gt;0,IF(5=$J38,IF(OR(AND(109=$I38+1,OR($K38&lt;&gt;'計算A'!$A$3,'計算A'!$A$4=0)),AND(109=$I38-1,OR(13&lt;&gt;'計算A'!$A$3,'計算A'!$A$4=0))),0,IF(13=$K38,200000,ABS(13-$K38)*100)),100000+ABS(5-$J38)*1000+130)+'計算A'!DH$5*50+IF(AND($E38=1,MU38=0),25,0),INDEX('計算A'!DH$110:DH$114,$F38+1)+IF(AND($E38=1,MU38=0),1000,0)+IF($H38=1,(IF('計算A'!DG$117=1,INDEX('計算A'!DG$10:DG$54,$B38),0)+IF('計算A'!DH$117=1,INDEX('計算A'!DI$10:DI$54,$B38),0))*500,0)-IF(AND('計算A'!DG$117=1,YE38&gt;0),300,0)-IF(AND($L38=1,'計算A'!DH$117=1,HG38=0),300,0))),1000000))</f>
        <v/>
      </c>
      <c r="SK38">
        <f>IF($B38=0,1000000,IF(INDEX('計算A'!$D$60:$EQ$104,$B38,110)*HG38=1,IF(AND($E38=2,MV38=0),1000000,IF($I38&gt;0,IF(5=$J38,IF(OR(AND(110=$I38+1,OR($K38&lt;&gt;'計算A'!$A$3,'計算A'!$A$4=0)),AND(110=$I38-1,OR(14&lt;&gt;'計算A'!$A$3,'計算A'!$A$4=0))),0,IF(14=$K38,200000,ABS(14-$K38)*100)),100000+ABS(5-$J38)*1000+140)+'計算A'!DI$5*50+IF(AND($E38=1,MV38=0),25,0),INDEX('計算A'!DI$110:DI$114,$F38+1)+IF(AND($E38=1,MV38=0),1000,0)+IF($H38=1,(IF('計算A'!DH$117=1,INDEX('計算A'!DH$10:DH$54,$B38),0)+IF('計算A'!DI$117=1,INDEX('計算A'!DJ$10:DJ$54,$B38),0))*500,0)-IF(AND('計算A'!DH$117=1,YF38&gt;0),300,0)-IF(AND($L38=1,'計算A'!DI$117=1,HH38=0),300,0))),1000000))</f>
        <v/>
      </c>
      <c r="SL38">
        <f>IF($B38=0,1000000,IF(INDEX('計算A'!$D$60:$EQ$104,$B38,111)*HH38=1,IF(AND($E38=2,MW38=0),1000000,IF($I38&gt;0,IF(5=$J38,IF(OR(AND(111=$I38+1,OR($K38&lt;&gt;'計算A'!$A$3,'計算A'!$A$4=0)),AND(111=$I38-1,OR(15&lt;&gt;'計算A'!$A$3,'計算A'!$A$4=0))),0,IF(15=$K38,200000,ABS(15-$K38)*100)),100000+ABS(5-$J38)*1000+150)+'計算A'!DJ$5*50+IF(AND($E38=1,MW38=0),25,0),INDEX('計算A'!DJ$110:DJ$114,$F38+1)+IF(AND($E38=1,MW38=0),1000,0)+IF($H38=1,(IF('計算A'!DI$117=1,INDEX('計算A'!DI$10:DI$54,$B38),0)+IF('計算A'!DJ$117=1,INDEX('計算A'!DK$10:DK$54,$B38),0))*500,0)-IF(AND('計算A'!DI$117=1,YG38&gt;0),300,0)-IF(AND($L38=1,'計算A'!DJ$117=1,HI38=0),300,0))),1000000))</f>
        <v/>
      </c>
      <c r="SM38">
        <f>IF($B38=0,1000000,IF(INDEX('計算A'!$D$60:$EQ$104,$B38,112)*HI38=1,IF(AND($E38=2,MX38=0),1000000,IF($I38&gt;0,IF(5=$J38,IF(OR(AND(112=$I38+1,OR($K38&lt;&gt;'計算A'!$A$3,'計算A'!$A$4=0)),AND(112=$I38-1,OR(16&lt;&gt;'計算A'!$A$3,'計算A'!$A$4=0))),0,IF(16=$K38,200000,ABS(16-$K38)*100)),100000+ABS(5-$J38)*1000+160)+'計算A'!DK$5*50+IF(AND($E38=1,MX38=0),25,0),INDEX('計算A'!DK$110:DK$114,$F38+1)+IF(AND($E38=1,MX38=0),1000,0)+IF($H38=1,(IF('計算A'!DJ$117=1,INDEX('計算A'!DJ$10:DJ$54,$B38),0)+IF('計算A'!DK$117=1,INDEX('計算A'!DL$10:DL$54,$B38),0))*500,0)-IF(AND('計算A'!DJ$117=1,YH38&gt;0),300,0)-IF(AND($L38=1,'計算A'!DK$117=1,HJ38=0),300,0))),1000000))</f>
        <v/>
      </c>
      <c r="SN38">
        <f>IF($B38=0,1000000,IF(INDEX('計算A'!$D$60:$EQ$104,$B38,113)*HJ38=1,IF(AND($E38=2,MY38=0),1000000,IF($I38&gt;0,IF(5=$J38,IF(OR(AND(113=$I38+1,OR($K38&lt;&gt;'計算A'!$A$3,'計算A'!$A$4=0)),AND(113=$I38-1,OR(17&lt;&gt;'計算A'!$A$3,'計算A'!$A$4=0))),0,IF(17=$K38,200000,ABS(17-$K38)*100)),100000+ABS(5-$J38)*1000+170)+'計算A'!DL$5*50+IF(AND($E38=1,MY38=0),25,0),INDEX('計算A'!DL$110:DL$114,$F38+1)+IF(AND($E38=1,MY38=0),1000,0)+IF($H38=1,(IF('計算A'!DK$117=1,INDEX('計算A'!DK$10:DK$54,$B38),0)+IF('計算A'!DL$117=1,INDEX('計算A'!DM$10:DM$54,$B38),0))*500,0)-IF(AND('計算A'!DK$117=1,YI38&gt;0),300,0)-IF(AND($L38=1,'計算A'!DL$117=1,HK38=0),300,0))),1000000))</f>
        <v/>
      </c>
      <c r="SO38">
        <f>IF($B38=0,1000000,IF(INDEX('計算A'!$D$60:$EQ$104,$B38,114)*HK38=1,IF(AND($E38=2,MZ38=0),1000000,IF($I38&gt;0,IF(5=$J38,IF(OR(AND(114=$I38+1,OR($K38&lt;&gt;'計算A'!$A$3,'計算A'!$A$4=0)),AND(114=$I38-1,OR(18&lt;&gt;'計算A'!$A$3,'計算A'!$A$4=0))),0,IF(18=$K38,200000,ABS(18-$K38)*100)),100000+ABS(5-$J38)*1000+180)+'計算A'!DM$5*50+IF(AND($E38=1,MZ38=0),25,0),INDEX('計算A'!DM$110:DM$114,$F38+1)+IF(AND($E38=1,MZ38=0),1000,0)+IF($H38=1,(IF('計算A'!DL$117=1,INDEX('計算A'!DL$10:DL$54,$B38),0)+IF('計算A'!DM$117=1,INDEX('計算A'!DN$10:DN$54,$B38),0))*500,0)-IF(AND('計算A'!DL$117=1,YJ38&gt;0),300,0)-IF(AND($L38=1,'計算A'!DM$117=1,HL38=0),300,0))),1000000))</f>
        <v/>
      </c>
      <c r="SP38">
        <f>IF($B38=0,1000000,IF(INDEX('計算A'!$D$60:$EQ$104,$B38,115)*HL38=1,IF(AND($E38=2,NA38=0),1000000,IF($I38&gt;0,IF(5=$J38,IF(OR(AND(115=$I38+1,OR($K38&lt;&gt;'計算A'!$A$3,'計算A'!$A$4=0)),AND(115=$I38-1,OR(19&lt;&gt;'計算A'!$A$3,'計算A'!$A$4=0))),0,IF(19=$K38,200000,ABS(19-$K38)*100)),100000+ABS(5-$J38)*1000+190)+'計算A'!DN$5*50+IF(AND($E38=1,NA38=0),25,0),INDEX('計算A'!DN$110:DN$114,$F38+1)+IF(AND($E38=1,NA38=0),1000,0)+IF($H38=1,(IF('計算A'!DM$117=1,INDEX('計算A'!DM$10:DM$54,$B38),0)+IF('計算A'!DN$117=1,INDEX('計算A'!DO$10:DO$54,$B38),0))*500,0)-IF(AND('計算A'!DM$117=1,YK38&gt;0),300,0)-IF(AND($L38=1,'計算A'!DN$117=1,HM38=0),300,0))),1000000))</f>
        <v/>
      </c>
      <c r="SQ38">
        <f>IF($B38=0,1000000,IF(INDEX('計算A'!$D$60:$EQ$104,$B38,116)*HM38=1,IF(AND($E38=2,NB38=0),1000000,IF($I38&gt;0,IF(5=$J38,IF(OR(AND(116=$I38+1,OR($K38&lt;&gt;'計算A'!$A$3,'計算A'!$A$4=0)),AND(116=$I38-1,OR(20&lt;&gt;'計算A'!$A$3,'計算A'!$A$4=0))),0,IF(20=$K38,200000,ABS(20-$K38)*100)),100000+ABS(5-$J38)*1000+200)+'計算A'!DO$5*50+IF(AND($E38=1,NB38=0),25,0),INDEX('計算A'!DO$110:DO$114,$F38+1)+IF(AND($E38=1,NB38=0),1000,0)+IF($H38=1,(IF('計算A'!DN$117=1,INDEX('計算A'!DN$10:DN$54,$B38),0)+IF('計算A'!DO$117=1,INDEX('計算A'!DP$10:DP$54,$B38),0))*500,0)-IF(AND('計算A'!DN$117=1,YL38&gt;0),300,0)-IF(AND($L38=1,'計算A'!DO$117=1,HN38=0),300,0))),1000000))</f>
        <v/>
      </c>
      <c r="SR38">
        <f>IF($B38=0,1000000,IF(INDEX('計算A'!$D$60:$EQ$104,$B38,117)*HN38=1,IF(AND($E38=2,NC38=0),1000000,IF($I38&gt;0,IF(5=$J38,IF(OR(AND(117=$I38+1,OR($K38&lt;&gt;'計算A'!$A$3,'計算A'!$A$4=0)),AND(117=$I38-1,OR(21&lt;&gt;'計算A'!$A$3,'計算A'!$A$4=0))),0,IF(21=$K38,200000,ABS(21-$K38)*100)),100000+ABS(5-$J38)*1000+210)+'計算A'!DP$5*50+IF(AND($E38=1,NC38=0),25,0),INDEX('計算A'!DP$110:DP$114,$F38+1)+IF(AND($E38=1,NC38=0),1000,0)+IF($H38=1,(IF('計算A'!DO$117=1,INDEX('計算A'!DO$10:DO$54,$B38),0)+IF('計算A'!DP$117=1,INDEX('計算A'!DQ$10:DQ$54,$B38),0))*500,0)-IF(AND('計算A'!DO$117=1,YM38&gt;0),300,0)-IF(AND($L38=1,'計算A'!DP$117=1,HO38=0),300,0))),1000000))</f>
        <v/>
      </c>
      <c r="SS38">
        <f>IF($B38=0,1000000,IF(INDEX('計算A'!$D$60:$EQ$104,$B38,118)*HO38=1,IF(AND($E38=2,ND38=0),1000000,IF($I38&gt;0,IF(5=$J38,IF(OR(AND(118=$I38+1,OR($K38&lt;&gt;'計算A'!$A$3,'計算A'!$A$4=0)),AND(118=$I38-1,OR(22&lt;&gt;'計算A'!$A$3,'計算A'!$A$4=0))),0,IF(22=$K38,200000,ABS(22-$K38)*100)),100000+ABS(5-$J38)*1000+220)+'計算A'!DQ$5*50+IF(AND($E38=1,ND38=0),25,0),INDEX('計算A'!DQ$110:DQ$114,$F38+1)+IF(AND($E38=1,ND38=0),1000,0)+IF($H38=1,(IF('計算A'!DP$117=1,INDEX('計算A'!DP$10:DP$54,$B38),0)+IF('計算A'!DQ$117=1,INDEX('計算A'!DR$10:DR$54,$B38),0))*500,0)-IF(AND('計算A'!DP$117=1,YN38&gt;0),300,0)-IF(AND($L38=1,'計算A'!DQ$117=1,HP38=0),300,0))),1000000))</f>
        <v/>
      </c>
      <c r="ST38">
        <f>IF($B38=0,1000000,IF(INDEX('計算A'!$D$60:$EQ$104,$B38,119)*HP38=1,IF(AND($E38=2,NE38=0),1000000,IF($I38&gt;0,IF(5=$J38,IF(OR(AND(119=$I38+1,OR($K38&lt;&gt;'計算A'!$A$3,'計算A'!$A$4=0)),AND(119=$I38-1,OR(23&lt;&gt;'計算A'!$A$3,'計算A'!$A$4=0))),0,IF(23=$K38,200000,ABS(23-$K38)*100)),100000+ABS(5-$J38)*1000+230)+'計算A'!DR$5*50+IF(AND($E38=1,NE38=0),25,0),INDEX('計算A'!DR$110:DR$114,$F38+1)+IF(AND($E38=1,NE38=0),1000,0)+IF($H38=1,(IF('計算A'!DQ$117=1,INDEX('計算A'!DQ$10:DQ$54,$B38),0)+IF('計算A'!DR$117=1,INDEX('計算A'!DS$10:DS$54,$B38),0))*500,0)-IF(AND('計算A'!DQ$117=1,YO38&gt;0),300,0)-IF(AND($L38=1,'計算A'!DR$117=1,HQ38=0),300,0))),1000000))</f>
        <v/>
      </c>
      <c r="SU38">
        <f>IF($B38=0,1000000,IF(INDEX('計算A'!$D$60:$EQ$104,$B38,120)*HQ38=1,IF(AND($E38=2,NF38=0),1000000,IF($I38&gt;0,IF(5=$J38,IF(OR(AND(120=$I38+1,OR($K38&lt;&gt;'計算A'!$A$3,'計算A'!$A$4=0)),AND(120=$I38-1,OR(24&lt;&gt;'計算A'!$A$3,'計算A'!$A$4=0))),0,IF(24=$K38,200000,ABS(24-$K38)*100)),100000+ABS(5-$J38)*1000+240)+'計算A'!DS$5*50+IF(AND($E38=1,NF38=0),25,0),INDEX('計算A'!DS$110:DS$114,$F38+1)+IF(AND($E38=1,NF38=0),1000,0)+IF($H38=1,(IF('計算A'!DR$117=1,INDEX('計算A'!DR$10:DR$54,$B38),0))*500,0)-IF(AND('計算A'!DR$117=1,YP38&gt;0),300,0))),1000000))</f>
        <v/>
      </c>
      <c r="SV38">
        <f>IF($B38=0,1000000,IF(INDEX('計算A'!$D$60:$EQ$104,$B38,121)*HR38=1,IF(AND($E38=2,NG38=0),1000000,IF($I38&gt;0,IF(6=$J38,IF(OR(AND(121=$I38+1,OR($K38&lt;&gt;'計算A'!$A$3,'計算A'!$A$4=0)),AND(121=$I38-1,OR(1&lt;&gt;'計算A'!$A$3,'計算A'!$A$4=0))),0,IF(1=$K38,200000,ABS(1-$K38)*100)),100000+ABS(6-$J38)*1000+10)+'計算A'!DT$5*50+IF(AND($E38=1,NG38=0),25,0),INDEX('計算A'!DT$110:DT$114,$F38+1)+IF(AND($E38=1,NG38=0),1000,0)+IF($H38=1,(IF('計算A'!DT$117=1,INDEX('計算A'!DU$10:DU$54,$B38),0))*500,0)-IF(AND($L38=1,'計算A'!DT$117=1,HS38=0),300,0))),1000000))</f>
        <v/>
      </c>
      <c r="SW38">
        <f>IF($B38=0,1000000,IF(INDEX('計算A'!$D$60:$EQ$104,$B38,122)*HS38=1,IF(AND($E38=2,NH38=0),1000000,IF($I38&gt;0,IF(6=$J38,IF(OR(AND(122=$I38+1,OR($K38&lt;&gt;'計算A'!$A$3,'計算A'!$A$4=0)),AND(122=$I38-1,OR(2&lt;&gt;'計算A'!$A$3,'計算A'!$A$4=0))),0,IF(2=$K38,200000,ABS(2-$K38)*100)),100000+ABS(6-$J38)*1000+20)+'計算A'!DU$5*50+IF(AND($E38=1,NH38=0),25,0),INDEX('計算A'!DU$110:DU$114,$F38+1)+IF(AND($E38=1,NH38=0),1000,0)+IF($H38=1,(IF('計算A'!DT$117=1,INDEX('計算A'!DT$10:DT$54,$B38),0)+IF('計算A'!DU$117=1,INDEX('計算A'!DV$10:DV$54,$B38),0))*500,0)-IF(AND('計算A'!DT$117=1,YR38&gt;0),300,0)-IF(AND($L38=1,'計算A'!DU$117=1,HT38=0),300,0))),1000000))</f>
        <v/>
      </c>
      <c r="SX38">
        <f>IF($B38=0,1000000,IF(INDEX('計算A'!$D$60:$EQ$104,$B38,123)*HT38=1,IF(AND($E38=2,NI38=0),1000000,IF($I38&gt;0,IF(6=$J38,IF(OR(AND(123=$I38+1,OR($K38&lt;&gt;'計算A'!$A$3,'計算A'!$A$4=0)),AND(123=$I38-1,OR(3&lt;&gt;'計算A'!$A$3,'計算A'!$A$4=0))),0,IF(3=$K38,200000,ABS(3-$K38)*100)),100000+ABS(6-$J38)*1000+30)+'計算A'!DV$5*50+IF(AND($E38=1,NI38=0),25,0),INDEX('計算A'!DV$110:DV$114,$F38+1)+IF(AND($E38=1,NI38=0),1000,0)+IF($H38=1,(IF('計算A'!DU$117=1,INDEX('計算A'!DU$10:DU$54,$B38),0)+IF('計算A'!DV$117=1,INDEX('計算A'!DW$10:DW$54,$B38),0))*500,0)-IF(AND('計算A'!DU$117=1,YS38&gt;0),300,0)-IF(AND($L38=1,'計算A'!DV$117=1,HU38=0),300,0))),1000000))</f>
        <v/>
      </c>
      <c r="SY38">
        <f>IF($B38=0,1000000,IF(INDEX('計算A'!$D$60:$EQ$104,$B38,124)*HU38=1,IF(AND($E38=2,NJ38=0),1000000,IF($I38&gt;0,IF(6=$J38,IF(OR(AND(124=$I38+1,OR($K38&lt;&gt;'計算A'!$A$3,'計算A'!$A$4=0)),AND(124=$I38-1,OR(4&lt;&gt;'計算A'!$A$3,'計算A'!$A$4=0))),0,IF(4=$K38,200000,ABS(4-$K38)*100)),100000+ABS(6-$J38)*1000+40)+'計算A'!DW$5*50+IF(AND($E38=1,NJ38=0),25,0),INDEX('計算A'!DW$110:DW$114,$F38+1)+IF(AND($E38=1,NJ38=0),1000,0)+IF($H38=1,(IF('計算A'!DV$117=1,INDEX('計算A'!DV$10:DV$54,$B38),0)+IF('計算A'!DW$117=1,INDEX('計算A'!DX$10:DX$54,$B38),0))*500,0)-IF(AND('計算A'!DV$117=1,YT38&gt;0),300,0)-IF(AND($L38=1,'計算A'!DW$117=1,HV38=0),300,0))),1000000))</f>
        <v/>
      </c>
      <c r="SZ38">
        <f>IF($B38=0,1000000,IF(INDEX('計算A'!$D$60:$EQ$104,$B38,125)*HV38=1,IF(AND($E38=2,NK38=0),1000000,IF($I38&gt;0,IF(6=$J38,IF(OR(AND(125=$I38+1,OR($K38&lt;&gt;'計算A'!$A$3,'計算A'!$A$4=0)),AND(125=$I38-1,OR(5&lt;&gt;'計算A'!$A$3,'計算A'!$A$4=0))),0,IF(5=$K38,200000,ABS(5-$K38)*100)),100000+ABS(6-$J38)*1000+50)+'計算A'!DX$5*50+IF(AND($E38=1,NK38=0),25,0),INDEX('計算A'!DX$110:DX$114,$F38+1)+IF(AND($E38=1,NK38=0),1000,0)+IF($H38=1,(IF('計算A'!DW$117=1,INDEX('計算A'!DW$10:DW$54,$B38),0)+IF('計算A'!DX$117=1,INDEX('計算A'!DY$10:DY$54,$B38),0))*500,0)-IF(AND('計算A'!DW$117=1,YU38&gt;0),300,0)-IF(AND($L38=1,'計算A'!DX$117=1,HW38=0),300,0))),1000000))</f>
        <v/>
      </c>
      <c r="TA38">
        <f>IF($B38=0,1000000,IF(INDEX('計算A'!$D$60:$EQ$104,$B38,126)*HW38=1,IF(AND($E38=2,NL38=0),1000000,IF($I38&gt;0,IF(6=$J38,IF(OR(AND(126=$I38+1,OR($K38&lt;&gt;'計算A'!$A$3,'計算A'!$A$4=0)),AND(126=$I38-1,OR(6&lt;&gt;'計算A'!$A$3,'計算A'!$A$4=0))),0,IF(6=$K38,200000,ABS(6-$K38)*100)),100000+ABS(6-$J38)*1000+60)+'計算A'!DY$5*50+IF(AND($E38=1,NL38=0),25,0),INDEX('計算A'!DY$110:DY$114,$F38+1)+IF(AND($E38=1,NL38=0),1000,0)+IF($H38=1,(IF('計算A'!DX$117=1,INDEX('計算A'!DX$10:DX$54,$B38),0)+IF('計算A'!DY$117=1,INDEX('計算A'!DZ$10:DZ$54,$B38),0))*500,0)-IF(AND('計算A'!DX$117=1,YV38&gt;0),300,0)-IF(AND($L38=1,'計算A'!DY$117=1,HX38=0),300,0))),1000000))</f>
        <v/>
      </c>
      <c r="TB38">
        <f>IF($B38=0,1000000,IF(INDEX('計算A'!$D$60:$EQ$104,$B38,127)*HX38=1,IF(AND($E38=2,NM38=0),1000000,IF($I38&gt;0,IF(6=$J38,IF(OR(AND(127=$I38+1,OR($K38&lt;&gt;'計算A'!$A$3,'計算A'!$A$4=0)),AND(127=$I38-1,OR(7&lt;&gt;'計算A'!$A$3,'計算A'!$A$4=0))),0,IF(7=$K38,200000,ABS(7-$K38)*100)),100000+ABS(6-$J38)*1000+70)+'計算A'!DZ$5*50+IF(AND($E38=1,NM38=0),25,0),INDEX('計算A'!DZ$110:DZ$114,$F38+1)+IF(AND($E38=1,NM38=0),1000,0)+IF($H38=1,(IF('計算A'!DY$117=1,INDEX('計算A'!DY$10:DY$54,$B38),0)+IF('計算A'!DZ$117=1,INDEX('計算A'!EA$10:EA$54,$B38),0))*500,0)-IF(AND('計算A'!DY$117=1,YW38&gt;0),300,0)-IF(AND($L38=1,'計算A'!DZ$117=1,HY38=0),300,0))),1000000))</f>
        <v/>
      </c>
      <c r="TC38">
        <f>IF($B38=0,1000000,IF(INDEX('計算A'!$D$60:$EQ$104,$B38,128)*HY38=1,IF(AND($E38=2,NN38=0),1000000,IF($I38&gt;0,IF(6=$J38,IF(OR(AND(128=$I38+1,OR($K38&lt;&gt;'計算A'!$A$3,'計算A'!$A$4=0)),AND(128=$I38-1,OR(8&lt;&gt;'計算A'!$A$3,'計算A'!$A$4=0))),0,IF(8=$K38,200000,ABS(8-$K38)*100)),100000+ABS(6-$J38)*1000+80)+'計算A'!EA$5*50+IF(AND($E38=1,NN38=0),25,0),INDEX('計算A'!EA$110:EA$114,$F38+1)+IF(AND($E38=1,NN38=0),1000,0)+IF($H38=1,(IF('計算A'!DZ$117=1,INDEX('計算A'!DZ$10:DZ$54,$B38),0)+IF('計算A'!EA$117=1,INDEX('計算A'!EB$10:EB$54,$B38),0))*500,0)-IF(AND('計算A'!DZ$117=1,YX38&gt;0),300,0)-IF(AND($L38=1,'計算A'!EA$117=1,HZ38=0),300,0))),1000000))</f>
        <v/>
      </c>
      <c r="TD38">
        <f>IF($B38=0,1000000,IF(INDEX('計算A'!$D$60:$EQ$104,$B38,129)*HZ38=1,IF(AND($E38=2,NO38=0),1000000,IF($I38&gt;0,IF(6=$J38,IF(OR(AND(129=$I38+1,OR($K38&lt;&gt;'計算A'!$A$3,'計算A'!$A$4=0)),AND(129=$I38-1,OR(9&lt;&gt;'計算A'!$A$3,'計算A'!$A$4=0))),0,IF(9=$K38,200000,ABS(9-$K38)*100)),100000+ABS(6-$J38)*1000+90)+'計算A'!EB$5*50+IF(AND($E38=1,NO38=0),25,0),INDEX('計算A'!EB$110:EB$114,$F38+1)+IF(AND($E38=1,NO38=0),1000,0)+IF($H38=1,(IF('計算A'!EA$117=1,INDEX('計算A'!EA$10:EA$54,$B38),0)+IF('計算A'!EB$117=1,INDEX('計算A'!EC$10:EC$54,$B38),0))*500,0)-IF(AND('計算A'!EA$117=1,YY38&gt;0),300,0)-IF(AND($L38=1,'計算A'!EB$117=1,IA38=0),300,0))),1000000))</f>
        <v/>
      </c>
      <c r="TE38">
        <f>IF($B38=0,1000000,IF(INDEX('計算A'!$D$60:$EQ$104,$B38,130)*IA38=1,IF(AND($E38=2,NP38=0),1000000,IF($I38&gt;0,IF(6=$J38,IF(OR(AND(130=$I38+1,OR($K38&lt;&gt;'計算A'!$A$3,'計算A'!$A$4=0)),AND(130=$I38-1,OR(10&lt;&gt;'計算A'!$A$3,'計算A'!$A$4=0))),0,IF(10=$K38,200000,ABS(10-$K38)*100)),100000+ABS(6-$J38)*1000+100)+'計算A'!EC$5*50+IF(AND($E38=1,NP38=0),25,0),INDEX('計算A'!EC$110:EC$114,$F38+1)+IF(AND($E38=1,NP38=0),1000,0)+IF($H38=1,(IF('計算A'!EB$117=1,INDEX('計算A'!EB$10:EB$54,$B38),0)+IF('計算A'!EC$117=1,INDEX('計算A'!ED$10:ED$54,$B38),0))*500,0)-IF(AND('計算A'!EB$117=1,YZ38&gt;0),300,0)-IF(AND($L38=1,'計算A'!EC$117=1,IB38=0),300,0))),1000000))</f>
        <v/>
      </c>
      <c r="TF38">
        <f>IF($B38=0,1000000,IF(INDEX('計算A'!$D$60:$EQ$104,$B38,131)*IB38=1,IF(AND($E38=2,NQ38=0),1000000,IF($I38&gt;0,IF(6=$J38,IF(OR(AND(131=$I38+1,OR($K38&lt;&gt;'計算A'!$A$3,'計算A'!$A$4=0)),AND(131=$I38-1,OR(11&lt;&gt;'計算A'!$A$3,'計算A'!$A$4=0))),0,IF(11=$K38,200000,ABS(11-$K38)*100)),100000+ABS(6-$J38)*1000+110)+'計算A'!ED$5*50+IF(AND($E38=1,NQ38=0),25,0),INDEX('計算A'!ED$110:ED$114,$F38+1)+IF(AND($E38=1,NQ38=0),1000,0)+IF($H38=1,(IF('計算A'!EC$117=1,INDEX('計算A'!EC$10:EC$54,$B38),0)+IF('計算A'!ED$117=1,INDEX('計算A'!EE$10:EE$54,$B38),0))*500,0)-IF(AND('計算A'!EC$117=1,ZA38&gt;0),300,0)-IF(AND($L38=1,'計算A'!ED$117=1,IC38=0),300,0))),1000000))</f>
        <v/>
      </c>
      <c r="TG38">
        <f>IF($B38=0,1000000,IF(INDEX('計算A'!$D$60:$EQ$104,$B38,132)*IC38=1,IF(AND($E38=2,NR38=0),1000000,IF($I38&gt;0,IF(6=$J38,IF(OR(AND(132=$I38+1,OR($K38&lt;&gt;'計算A'!$A$3,'計算A'!$A$4=0)),AND(132=$I38-1,OR(12&lt;&gt;'計算A'!$A$3,'計算A'!$A$4=0))),0,IF(12=$K38,200000,ABS(12-$K38)*100)),100000+ABS(6-$J38)*1000+120)+'計算A'!EE$5*50+IF(AND($E38=1,NR38=0),25,0),INDEX('計算A'!EE$110:EE$114,$F38+1)+IF(AND($E38=1,NR38=0),1000,0)+IF($H38=1,(IF('計算A'!ED$117=1,INDEX('計算A'!ED$10:ED$54,$B38),0)+IF('計算A'!EE$117=1,INDEX('計算A'!EF$10:EF$54,$B38),0))*500,0)-IF(AND('計算A'!ED$117=1,ZB38&gt;0),300,0)-IF(AND($L38=1,'計算A'!EE$117=1,ID38=0),300,0))),1000000))</f>
        <v/>
      </c>
      <c r="TH38">
        <f>IF($B38=0,1000000,IF(INDEX('計算A'!$D$60:$EQ$104,$B38,133)*ID38=1,IF(AND($E38=2,NS38=0),1000000,IF($I38&gt;0,IF(6=$J38,IF(OR(AND(133=$I38+1,OR($K38&lt;&gt;'計算A'!$A$3,'計算A'!$A$4=0)),AND(133=$I38-1,OR(13&lt;&gt;'計算A'!$A$3,'計算A'!$A$4=0))),0,IF(13=$K38,200000,ABS(13-$K38)*100)),100000+ABS(6-$J38)*1000+130)+'計算A'!EF$5*50+IF(AND($E38=1,NS38=0),25,0),INDEX('計算A'!EF$110:EF$114,$F38+1)+IF(AND($E38=1,NS38=0),1000,0)+IF($H38=1,(IF('計算A'!EE$117=1,INDEX('計算A'!EE$10:EE$54,$B38),0)+IF('計算A'!EF$117=1,INDEX('計算A'!EG$10:EG$54,$B38),0))*500,0)-IF(AND('計算A'!EE$117=1,ZC38&gt;0),300,0)-IF(AND($L38=1,'計算A'!EF$117=1,IE38=0),300,0))),1000000))</f>
        <v/>
      </c>
      <c r="TI38">
        <f>IF($B38=0,1000000,IF(INDEX('計算A'!$D$60:$EQ$104,$B38,134)*IE38=1,IF(AND($E38=2,NT38=0),1000000,IF($I38&gt;0,IF(6=$J38,IF(OR(AND(134=$I38+1,OR($K38&lt;&gt;'計算A'!$A$3,'計算A'!$A$4=0)),AND(134=$I38-1,OR(14&lt;&gt;'計算A'!$A$3,'計算A'!$A$4=0))),0,IF(14=$K38,200000,ABS(14-$K38)*100)),100000+ABS(6-$J38)*1000+140)+'計算A'!EG$5*50+IF(AND($E38=1,NT38=0),25,0),INDEX('計算A'!EG$110:EG$114,$F38+1)+IF(AND($E38=1,NT38=0),1000,0)+IF($H38=1,(IF('計算A'!EF$117=1,INDEX('計算A'!EF$10:EF$54,$B38),0)+IF('計算A'!EG$117=1,INDEX('計算A'!EH$10:EH$54,$B38),0))*500,0)-IF(AND('計算A'!EF$117=1,ZD38&gt;0),300,0)-IF(AND($L38=1,'計算A'!EG$117=1,IF38=0),300,0))),1000000))</f>
        <v/>
      </c>
      <c r="TJ38">
        <f>IF($B38=0,1000000,IF(INDEX('計算A'!$D$60:$EQ$104,$B38,135)*IF38=1,IF(AND($E38=2,NU38=0),1000000,IF($I38&gt;0,IF(6=$J38,IF(OR(AND(135=$I38+1,OR($K38&lt;&gt;'計算A'!$A$3,'計算A'!$A$4=0)),AND(135=$I38-1,OR(15&lt;&gt;'計算A'!$A$3,'計算A'!$A$4=0))),0,IF(15=$K38,200000,ABS(15-$K38)*100)),100000+ABS(6-$J38)*1000+150)+'計算A'!EH$5*50+IF(AND($E38=1,NU38=0),25,0),INDEX('計算A'!EH$110:EH$114,$F38+1)+IF(AND($E38=1,NU38=0),1000,0)+IF($H38=1,(IF('計算A'!EG$117=1,INDEX('計算A'!EG$10:EG$54,$B38),0)+IF('計算A'!EH$117=1,INDEX('計算A'!EI$10:EI$54,$B38),0))*500,0)-IF(AND('計算A'!EG$117=1,ZE38&gt;0),300,0)-IF(AND($L38=1,'計算A'!EH$117=1,IG38=0),300,0))),1000000))</f>
        <v/>
      </c>
      <c r="TK38">
        <f>IF($B38=0,1000000,IF(INDEX('計算A'!$D$60:$EQ$104,$B38,136)*IG38=1,IF(AND($E38=2,NV38=0),1000000,IF($I38&gt;0,IF(6=$J38,IF(OR(AND(136=$I38+1,OR($K38&lt;&gt;'計算A'!$A$3,'計算A'!$A$4=0)),AND(136=$I38-1,OR(16&lt;&gt;'計算A'!$A$3,'計算A'!$A$4=0))),0,IF(16=$K38,200000,ABS(16-$K38)*100)),100000+ABS(6-$J38)*1000+160)+'計算A'!EI$5*50+IF(AND($E38=1,NV38=0),25,0),INDEX('計算A'!EI$110:EI$114,$F38+1)+IF(AND($E38=1,NV38=0),1000,0)+IF($H38=1,(IF('計算A'!EH$117=1,INDEX('計算A'!EH$10:EH$54,$B38),0)+IF('計算A'!EI$117=1,INDEX('計算A'!EJ$10:EJ$54,$B38),0))*500,0)-IF(AND('計算A'!EH$117=1,ZF38&gt;0),300,0)-IF(AND($L38=1,'計算A'!EI$117=1,IH38=0),300,0))),1000000))</f>
        <v/>
      </c>
      <c r="TL38">
        <f>IF($B38=0,1000000,IF(INDEX('計算A'!$D$60:$EQ$104,$B38,137)*IH38=1,IF(AND($E38=2,NW38=0),1000000,IF($I38&gt;0,IF(6=$J38,IF(OR(AND(137=$I38+1,OR($K38&lt;&gt;'計算A'!$A$3,'計算A'!$A$4=0)),AND(137=$I38-1,OR(17&lt;&gt;'計算A'!$A$3,'計算A'!$A$4=0))),0,IF(17=$K38,200000,ABS(17-$K38)*100)),100000+ABS(6-$J38)*1000+170)+'計算A'!EJ$5*50+IF(AND($E38=1,NW38=0),25,0),INDEX('計算A'!EJ$110:EJ$114,$F38+1)+IF(AND($E38=1,NW38=0),1000,0)+IF($H38=1,(IF('計算A'!EI$117=1,INDEX('計算A'!EI$10:EI$54,$B38),0)+IF('計算A'!EJ$117=1,INDEX('計算A'!EK$10:EK$54,$B38),0))*500,0)-IF(AND('計算A'!EI$117=1,ZG38&gt;0),300,0)-IF(AND($L38=1,'計算A'!EJ$117=1,II38=0),300,0))),1000000))</f>
        <v/>
      </c>
      <c r="TM38">
        <f>IF($B38=0,1000000,IF(INDEX('計算A'!$D$60:$EQ$104,$B38,138)*II38=1,IF(AND($E38=2,NX38=0),1000000,IF($I38&gt;0,IF(6=$J38,IF(OR(AND(138=$I38+1,OR($K38&lt;&gt;'計算A'!$A$3,'計算A'!$A$4=0)),AND(138=$I38-1,OR(18&lt;&gt;'計算A'!$A$3,'計算A'!$A$4=0))),0,IF(18=$K38,200000,ABS(18-$K38)*100)),100000+ABS(6-$J38)*1000+180)+'計算A'!EK$5*50+IF(AND($E38=1,NX38=0),25,0),INDEX('計算A'!EK$110:EK$114,$F38+1)+IF(AND($E38=1,NX38=0),1000,0)+IF($H38=1,(IF('計算A'!EJ$117=1,INDEX('計算A'!EJ$10:EJ$54,$B38),0)+IF('計算A'!EK$117=1,INDEX('計算A'!EL$10:EL$54,$B38),0))*500,0)-IF(AND('計算A'!EJ$117=1,ZH38&gt;0),300,0)-IF(AND($L38=1,'計算A'!EK$117=1,IJ38=0),300,0))),1000000))</f>
        <v/>
      </c>
      <c r="TN38">
        <f>IF($B38=0,1000000,IF(INDEX('計算A'!$D$60:$EQ$104,$B38,139)*IJ38=1,IF(AND($E38=2,NY38=0),1000000,IF($I38&gt;0,IF(6=$J38,IF(OR(AND(139=$I38+1,OR($K38&lt;&gt;'計算A'!$A$3,'計算A'!$A$4=0)),AND(139=$I38-1,OR(19&lt;&gt;'計算A'!$A$3,'計算A'!$A$4=0))),0,IF(19=$K38,200000,ABS(19-$K38)*100)),100000+ABS(6-$J38)*1000+190)+'計算A'!EL$5*50+IF(AND($E38=1,NY38=0),25,0),INDEX('計算A'!EL$110:EL$114,$F38+1)+IF(AND($E38=1,NY38=0),1000,0)+IF($H38=1,(IF('計算A'!EK$117=1,INDEX('計算A'!EK$10:EK$54,$B38),0)+IF('計算A'!EL$117=1,INDEX('計算A'!EM$10:EM$54,$B38),0))*500,0)-IF(AND('計算A'!EK$117=1,ZI38&gt;0),300,0)-IF(AND($L38=1,'計算A'!EL$117=1,IK38=0),300,0))),1000000))</f>
        <v/>
      </c>
      <c r="TO38">
        <f>IF($B38=0,1000000,IF(INDEX('計算A'!$D$60:$EQ$104,$B38,140)*IK38=1,IF(AND($E38=2,NZ38=0),1000000,IF($I38&gt;0,IF(6=$J38,IF(OR(AND(140=$I38+1,OR($K38&lt;&gt;'計算A'!$A$3,'計算A'!$A$4=0)),AND(140=$I38-1,OR(20&lt;&gt;'計算A'!$A$3,'計算A'!$A$4=0))),0,IF(20=$K38,200000,ABS(20-$K38)*100)),100000+ABS(6-$J38)*1000+200)+'計算A'!EM$5*50+IF(AND($E38=1,NZ38=0),25,0),INDEX('計算A'!EM$110:EM$114,$F38+1)+IF(AND($E38=1,NZ38=0),1000,0)+IF($H38=1,(IF('計算A'!EL$117=1,INDEX('計算A'!EL$10:EL$54,$B38),0)+IF('計算A'!EM$117=1,INDEX('計算A'!EN$10:EN$54,$B38),0))*500,0)-IF(AND('計算A'!EL$117=1,ZJ38&gt;0),300,0)-IF(AND($L38=1,'計算A'!EM$117=1,IL38=0),300,0))),1000000))</f>
        <v/>
      </c>
      <c r="TP38">
        <f>IF($B38=0,1000000,IF(INDEX('計算A'!$D$60:$EQ$104,$B38,141)*IL38=1,IF(AND($E38=2,OA38=0),1000000,IF($I38&gt;0,IF(6=$J38,IF(OR(AND(141=$I38+1,OR($K38&lt;&gt;'計算A'!$A$3,'計算A'!$A$4=0)),AND(141=$I38-1,OR(21&lt;&gt;'計算A'!$A$3,'計算A'!$A$4=0))),0,IF(21=$K38,200000,ABS(21-$K38)*100)),100000+ABS(6-$J38)*1000+210)+'計算A'!EN$5*50+IF(AND($E38=1,OA38=0),25,0),INDEX('計算A'!EN$110:EN$114,$F38+1)+IF(AND($E38=1,OA38=0),1000,0)+IF($H38=1,(IF('計算A'!EM$117=1,INDEX('計算A'!EM$10:EM$54,$B38),0)+IF('計算A'!EN$117=1,INDEX('計算A'!EO$10:EO$54,$B38),0))*500,0)-IF(AND('計算A'!EM$117=1,ZK38&gt;0),300,0)-IF(AND($L38=1,'計算A'!EN$117=1,IM38=0),300,0))),1000000))</f>
        <v/>
      </c>
      <c r="TQ38">
        <f>IF($B38=0,1000000,IF(INDEX('計算A'!$D$60:$EQ$104,$B38,142)*IM38=1,IF(AND($E38=2,OB38=0),1000000,IF($I38&gt;0,IF(6=$J38,IF(OR(AND(142=$I38+1,OR($K38&lt;&gt;'計算A'!$A$3,'計算A'!$A$4=0)),AND(142=$I38-1,OR(22&lt;&gt;'計算A'!$A$3,'計算A'!$A$4=0))),0,IF(22=$K38,200000,ABS(22-$K38)*100)),100000+ABS(6-$J38)*1000+220)+'計算A'!EO$5*50+IF(AND($E38=1,OB38=0),25,0),INDEX('計算A'!EO$110:EO$114,$F38+1)+IF(AND($E38=1,OB38=0),1000,0)+IF($H38=1,(IF('計算A'!EN$117=1,INDEX('計算A'!EN$10:EN$54,$B38),0)+IF('計算A'!EO$117=1,INDEX('計算A'!EP$10:EP$54,$B38),0))*500,0)-IF(AND('計算A'!EN$117=1,ZL38&gt;0),300,0)-IF(AND($L38=1,'計算A'!EO$117=1,IN38=0),300,0))),1000000))</f>
        <v/>
      </c>
      <c r="TR38">
        <f>IF($B38=0,1000000,IF(INDEX('計算A'!$D$60:$EQ$104,$B38,143)*IN38=1,IF(AND($E38=2,OC38=0),1000000,IF($I38&gt;0,IF(6=$J38,IF(OR(AND(143=$I38+1,OR($K38&lt;&gt;'計算A'!$A$3,'計算A'!$A$4=0)),AND(143=$I38-1,OR(23&lt;&gt;'計算A'!$A$3,'計算A'!$A$4=0))),0,IF(23=$K38,200000,ABS(23-$K38)*100)),100000+ABS(6-$J38)*1000+230)+'計算A'!EP$5*50+IF(AND($E38=1,OC38=0),25,0),INDEX('計算A'!EP$110:EP$114,$F38+1)+IF(AND($E38=1,OC38=0),1000,0)+IF($H38=1,(IF('計算A'!EO$117=1,INDEX('計算A'!EO$10:EO$54,$B38),0)+IF('計算A'!EP$117=1,INDEX('計算A'!EQ$10:EQ$54,$B38),0))*500,0)-IF(AND('計算A'!EO$117=1,ZM38&gt;0),300,0)-IF(AND($L38=1,'計算A'!EP$117=1,IO38=0),300,0))),1000000))</f>
        <v/>
      </c>
      <c r="TS38">
        <f>IF($B38=0,1000000,IF(INDEX('計算A'!$D$60:$EQ$104,$B38,144)*IO38=1,IF(AND($E38=2,OD38=0),1000000,IF($I38&gt;0,IF(6=$J38,IF(OR(AND(144=$I38+1,OR($K38&lt;&gt;'計算A'!$A$3,'計算A'!$A$4=0)),AND(144=$I38-1,OR(24&lt;&gt;'計算A'!$A$3,'計算A'!$A$4=0))),0,IF(24=$K38,200000,ABS(24-$K38)*100)),100000+ABS(6-$J38)*1000+240)+'計算A'!EQ$5*50+IF(AND($E38=1,OD38=0),25,0),INDEX('計算A'!EQ$110:EQ$114,$F38+1)+IF(AND($E38=1,OD38=0),1000,0)+IF($H38=1,(IF('計算A'!EP$117=1,INDEX('計算A'!EP$10:EP$54,$B38),0))*500,0)-IF(AND('計算A'!EP$117=1,ZN38&gt;0),300,0))),1000000))</f>
        <v/>
      </c>
      <c r="UB38">
        <f>UB37+IF(AND($C37=1,$L37=1),1,0)</f>
        <v/>
      </c>
      <c r="UC38">
        <f>UC37+IF(AND($C37=2,$L37=1),1,0)</f>
        <v/>
      </c>
      <c r="UD38">
        <f>UD37+IF(AND($C37=3,$L37=1),1,0)</f>
        <v/>
      </c>
      <c r="UE38">
        <f>UE37+IF(AND($C37=4,$L37=1),1,0)</f>
        <v/>
      </c>
      <c r="UF38">
        <f>UF37+IF(AND($C37=5,$L37=1),1,0)</f>
        <v/>
      </c>
      <c r="UG38">
        <f>UG37+IF(AND($C37=6,$L37=1),1,0)</f>
        <v/>
      </c>
      <c r="UH38">
        <f>UH37+IF(AND($C37=7,$L37=1),1,0)</f>
        <v/>
      </c>
      <c r="UI38">
        <f>UI37+IF(AND($C37=8,$L37=1),1,0)</f>
        <v/>
      </c>
      <c r="UJ38">
        <f>UJ37+IF(AND($C37=9,$L37=1),1,0)</f>
        <v/>
      </c>
      <c r="UK38">
        <f>UK37+IF(AND($C37=10,$L37=1),1,0)</f>
        <v/>
      </c>
      <c r="UL38">
        <f>UL37+IF(AND($C37=11,$L37=1),1,0)</f>
        <v/>
      </c>
      <c r="UM38">
        <f>UM37+IF(AND($C37=12,$L37=1),1,0)</f>
        <v/>
      </c>
      <c r="UN38">
        <f>UN37+IF(AND($C37=13,$L37=1),1,0)</f>
        <v/>
      </c>
      <c r="UO38">
        <f>UO37+IF(AND($C37=14,$L37=1),1,0)</f>
        <v/>
      </c>
      <c r="UP38">
        <f>UP37+IF(AND($C37=15,$L37=1),1,0)</f>
        <v/>
      </c>
      <c r="UQ38">
        <f>UQ37+IF(AND($C37=16,$L37=1),1,0)</f>
        <v/>
      </c>
      <c r="UR38">
        <f>UR37+IF(AND($C37=17,$L37=1),1,0)</f>
        <v/>
      </c>
      <c r="US38">
        <f>US37+IF(AND($C37=18,$L37=1),1,0)</f>
        <v/>
      </c>
      <c r="UT38">
        <f>UT37+IF(AND($C37=19,$L37=1),1,0)</f>
        <v/>
      </c>
      <c r="UU38">
        <f>UU37+IF(AND($C37=20,$L37=1),1,0)</f>
        <v/>
      </c>
      <c r="UV38">
        <f>UV37+IF(AND($C37=21,$L37=1),1,0)</f>
        <v/>
      </c>
      <c r="UW38">
        <f>UW37+IF(AND($C37=22,$L37=1),1,0)</f>
        <v/>
      </c>
      <c r="UX38">
        <f>UX37+IF(AND($C37=23,$L37=1),1,0)</f>
        <v/>
      </c>
      <c r="UY38">
        <f>UY37+IF(AND($C37=24,$L37=1),1,0)</f>
        <v/>
      </c>
      <c r="UZ38">
        <f>UZ37+IF(AND($C37=25,$L37=1),1,0)</f>
        <v/>
      </c>
      <c r="VA38">
        <f>VA37+IF(AND($C37=26,$L37=1),1,0)</f>
        <v/>
      </c>
      <c r="VB38">
        <f>VB37+IF(AND($C37=27,$L37=1),1,0)</f>
        <v/>
      </c>
      <c r="VC38">
        <f>VC37+IF(AND($C37=28,$L37=1),1,0)</f>
        <v/>
      </c>
      <c r="VD38">
        <f>VD37+IF(AND($C37=29,$L37=1),1,0)</f>
        <v/>
      </c>
      <c r="VE38">
        <f>VE37+IF(AND($C37=30,$L37=1),1,0)</f>
        <v/>
      </c>
      <c r="VF38">
        <f>VF37+IF(AND($C37=31,$L37=1),1,0)</f>
        <v/>
      </c>
      <c r="VG38">
        <f>VG37+IF(AND($C37=32,$L37=1),1,0)</f>
        <v/>
      </c>
      <c r="VH38">
        <f>VH37+IF(AND($C37=33,$L37=1),1,0)</f>
        <v/>
      </c>
      <c r="VI38">
        <f>VI37+IF(AND($C37=34,$L37=1),1,0)</f>
        <v/>
      </c>
      <c r="VJ38">
        <f>VJ37+IF(AND($C37=35,$L37=1),1,0)</f>
        <v/>
      </c>
      <c r="VK38">
        <f>VK37+IF(AND($C37=36,$L37=1),1,0)</f>
        <v/>
      </c>
      <c r="VL38">
        <f>VL37+IF(AND($C37=37,$L37=1),1,0)</f>
        <v/>
      </c>
      <c r="VM38">
        <f>VM37+IF(AND($C37=38,$L37=1),1,0)</f>
        <v/>
      </c>
      <c r="VN38">
        <f>VN37+IF(AND($C37=39,$L37=1),1,0)</f>
        <v/>
      </c>
      <c r="VO38">
        <f>VO37+IF(AND($C37=40,$L37=1),1,0)</f>
        <v/>
      </c>
      <c r="VP38">
        <f>VP37+IF(AND($C37=41,$L37=1),1,0)</f>
        <v/>
      </c>
      <c r="VQ38">
        <f>VQ37+IF(AND($C37=42,$L37=1),1,0)</f>
        <v/>
      </c>
      <c r="VR38">
        <f>VR37+IF(AND($C37=43,$L37=1),1,0)</f>
        <v/>
      </c>
      <c r="VS38">
        <f>VS37+IF(AND($C37=44,$L37=1),1,0)</f>
        <v/>
      </c>
      <c r="VT38">
        <f>VT37+IF(AND($C37=45,$L37=1),1,0)</f>
        <v/>
      </c>
      <c r="VU38">
        <f>VU37+IF(AND($C37=46,$L37=1),1,0)</f>
        <v/>
      </c>
      <c r="VV38">
        <f>VV37+IF(AND($C37=47,$L37=1),1,0)</f>
        <v/>
      </c>
      <c r="VW38">
        <f>VW37+IF(AND($C37=48,$L37=1),1,0)</f>
        <v/>
      </c>
      <c r="VX38">
        <f>VX37+IF(AND($C37=49,$L37=1),1,0)</f>
        <v/>
      </c>
      <c r="VY38">
        <f>VY37+IF(AND($C37=50,$L37=1),1,0)</f>
        <v/>
      </c>
      <c r="VZ38">
        <f>VZ37+IF(AND($C37=51,$L37=1),1,0)</f>
        <v/>
      </c>
      <c r="WA38">
        <f>WA37+IF(AND($C37=52,$L37=1),1,0)</f>
        <v/>
      </c>
      <c r="WB38">
        <f>WB37+IF(AND($C37=53,$L37=1),1,0)</f>
        <v/>
      </c>
      <c r="WC38">
        <f>WC37+IF(AND($C37=54,$L37=1),1,0)</f>
        <v/>
      </c>
      <c r="WD38">
        <f>WD37+IF(AND($C37=55,$L37=1),1,0)</f>
        <v/>
      </c>
      <c r="WE38">
        <f>WE37+IF(AND($C37=56,$L37=1),1,0)</f>
        <v/>
      </c>
      <c r="WF38">
        <f>WF37+IF(AND($C37=57,$L37=1),1,0)</f>
        <v/>
      </c>
      <c r="WG38">
        <f>WG37+IF(AND($C37=58,$L37=1),1,0)</f>
        <v/>
      </c>
      <c r="WH38">
        <f>WH37+IF(AND($C37=59,$L37=1),1,0)</f>
        <v/>
      </c>
      <c r="WI38">
        <f>WI37+IF(AND($C37=60,$L37=1),1,0)</f>
        <v/>
      </c>
      <c r="WJ38">
        <f>WJ37+IF(AND($C37=61,$L37=1),1,0)</f>
        <v/>
      </c>
      <c r="WK38">
        <f>WK37+IF(AND($C37=62,$L37=1),1,0)</f>
        <v/>
      </c>
      <c r="WL38">
        <f>WL37+IF(AND($C37=63,$L37=1),1,0)</f>
        <v/>
      </c>
      <c r="WM38">
        <f>WM37+IF(AND($C37=64,$L37=1),1,0)</f>
        <v/>
      </c>
      <c r="WN38">
        <f>WN37+IF(AND($C37=65,$L37=1),1,0)</f>
        <v/>
      </c>
      <c r="WO38">
        <f>WO37+IF(AND($C37=66,$L37=1),1,0)</f>
        <v/>
      </c>
      <c r="WP38">
        <f>WP37+IF(AND($C37=67,$L37=1),1,0)</f>
        <v/>
      </c>
      <c r="WQ38">
        <f>WQ37+IF(AND($C37=68,$L37=1),1,0)</f>
        <v/>
      </c>
      <c r="WR38">
        <f>WR37+IF(AND($C37=69,$L37=1),1,0)</f>
        <v/>
      </c>
      <c r="WS38">
        <f>WS37+IF(AND($C37=70,$L37=1),1,0)</f>
        <v/>
      </c>
      <c r="WT38">
        <f>WT37+IF(AND($C37=71,$L37=1),1,0)</f>
        <v/>
      </c>
      <c r="WU38">
        <f>WU37+IF(AND($C37=72,$L37=1),1,0)</f>
        <v/>
      </c>
      <c r="WV38">
        <f>WV37+IF(AND($C37=73,$L37=1),1,0)</f>
        <v/>
      </c>
      <c r="WW38">
        <f>WW37+IF(AND($C37=74,$L37=1),1,0)</f>
        <v/>
      </c>
      <c r="WX38">
        <f>WX37+IF(AND($C37=75,$L37=1),1,0)</f>
        <v/>
      </c>
      <c r="WY38">
        <f>WY37+IF(AND($C37=76,$L37=1),1,0)</f>
        <v/>
      </c>
      <c r="WZ38">
        <f>WZ37+IF(AND($C37=77,$L37=1),1,0)</f>
        <v/>
      </c>
      <c r="XA38">
        <f>XA37+IF(AND($C37=78,$L37=1),1,0)</f>
        <v/>
      </c>
      <c r="XB38">
        <f>XB37+IF(AND($C37=79,$L37=1),1,0)</f>
        <v/>
      </c>
      <c r="XC38">
        <f>XC37+IF(AND($C37=80,$L37=1),1,0)</f>
        <v/>
      </c>
      <c r="XD38">
        <f>XD37+IF(AND($C37=81,$L37=1),1,0)</f>
        <v/>
      </c>
      <c r="XE38">
        <f>XE37+IF(AND($C37=82,$L37=1),1,0)</f>
        <v/>
      </c>
      <c r="XF38">
        <f>XF37+IF(AND($C37=83,$L37=1),1,0)</f>
        <v/>
      </c>
      <c r="XG38">
        <f>XG37+IF(AND($C37=84,$L37=1),1,0)</f>
        <v/>
      </c>
      <c r="XH38">
        <f>XH37+IF(AND($C37=85,$L37=1),1,0)</f>
        <v/>
      </c>
      <c r="XI38">
        <f>XI37+IF(AND($C37=86,$L37=1),1,0)</f>
        <v/>
      </c>
      <c r="XJ38">
        <f>XJ37+IF(AND($C37=87,$L37=1),1,0)</f>
        <v/>
      </c>
      <c r="XK38">
        <f>XK37+IF(AND($C37=88,$L37=1),1,0)</f>
        <v/>
      </c>
      <c r="XL38">
        <f>XL37+IF(AND($C37=89,$L37=1),1,0)</f>
        <v/>
      </c>
      <c r="XM38">
        <f>XM37+IF(AND($C37=90,$L37=1),1,0)</f>
        <v/>
      </c>
      <c r="XN38">
        <f>XN37+IF(AND($C37=91,$L37=1),1,0)</f>
        <v/>
      </c>
      <c r="XO38">
        <f>XO37+IF(AND($C37=92,$L37=1),1,0)</f>
        <v/>
      </c>
      <c r="XP38">
        <f>XP37+IF(AND($C37=93,$L37=1),1,0)</f>
        <v/>
      </c>
      <c r="XQ38">
        <f>XQ37+IF(AND($C37=94,$L37=1),1,0)</f>
        <v/>
      </c>
      <c r="XR38">
        <f>XR37+IF(AND($C37=95,$L37=1),1,0)</f>
        <v/>
      </c>
      <c r="XS38">
        <f>XS37+IF(AND($C37=96,$L37=1),1,0)</f>
        <v/>
      </c>
      <c r="XT38">
        <f>XT37+IF(AND($C37=97,$L37=1),1,0)</f>
        <v/>
      </c>
      <c r="XU38">
        <f>XU37+IF(AND($C37=98,$L37=1),1,0)</f>
        <v/>
      </c>
      <c r="XV38">
        <f>XV37+IF(AND($C37=99,$L37=1),1,0)</f>
        <v/>
      </c>
      <c r="XW38">
        <f>XW37+IF(AND($C37=100,$L37=1),1,0)</f>
        <v/>
      </c>
      <c r="XX38">
        <f>XX37+IF(AND($C37=101,$L37=1),1,0)</f>
        <v/>
      </c>
      <c r="XY38">
        <f>XY37+IF(AND($C37=102,$L37=1),1,0)</f>
        <v/>
      </c>
      <c r="XZ38">
        <f>XZ37+IF(AND($C37=103,$L37=1),1,0)</f>
        <v/>
      </c>
      <c r="YA38">
        <f>YA37+IF(AND($C37=104,$L37=1),1,0)</f>
        <v/>
      </c>
      <c r="YB38">
        <f>YB37+IF(AND($C37=105,$L37=1),1,0)</f>
        <v/>
      </c>
      <c r="YC38">
        <f>YC37+IF(AND($C37=106,$L37=1),1,0)</f>
        <v/>
      </c>
      <c r="YD38">
        <f>YD37+IF(AND($C37=107,$L37=1),1,0)</f>
        <v/>
      </c>
      <c r="YE38">
        <f>YE37+IF(AND($C37=108,$L37=1),1,0)</f>
        <v/>
      </c>
      <c r="YF38">
        <f>YF37+IF(AND($C37=109,$L37=1),1,0)</f>
        <v/>
      </c>
      <c r="YG38">
        <f>YG37+IF(AND($C37=110,$L37=1),1,0)</f>
        <v/>
      </c>
      <c r="YH38">
        <f>YH37+IF(AND($C37=111,$L37=1),1,0)</f>
        <v/>
      </c>
      <c r="YI38">
        <f>YI37+IF(AND($C37=112,$L37=1),1,0)</f>
        <v/>
      </c>
      <c r="YJ38">
        <f>YJ37+IF(AND($C37=113,$L37=1),1,0)</f>
        <v/>
      </c>
      <c r="YK38">
        <f>YK37+IF(AND($C37=114,$L37=1),1,0)</f>
        <v/>
      </c>
      <c r="YL38">
        <f>YL37+IF(AND($C37=115,$L37=1),1,0)</f>
        <v/>
      </c>
      <c r="YM38">
        <f>YM37+IF(AND($C37=116,$L37=1),1,0)</f>
        <v/>
      </c>
      <c r="YN38">
        <f>YN37+IF(AND($C37=117,$L37=1),1,0)</f>
        <v/>
      </c>
      <c r="YO38">
        <f>YO37+IF(AND($C37=118,$L37=1),1,0)</f>
        <v/>
      </c>
      <c r="YP38">
        <f>YP37+IF(AND($C37=119,$L37=1),1,0)</f>
        <v/>
      </c>
      <c r="YQ38">
        <f>YQ37+IF(AND($C37=120,$L37=1),1,0)</f>
        <v/>
      </c>
      <c r="YR38">
        <f>YR37+IF(AND($C37=121,$L37=1),1,0)</f>
        <v/>
      </c>
      <c r="YS38">
        <f>YS37+IF(AND($C37=122,$L37=1),1,0)</f>
        <v/>
      </c>
      <c r="YT38">
        <f>YT37+IF(AND($C37=123,$L37=1),1,0)</f>
        <v/>
      </c>
      <c r="YU38">
        <f>YU37+IF(AND($C37=124,$L37=1),1,0)</f>
        <v/>
      </c>
      <c r="YV38">
        <f>YV37+IF(AND($C37=125,$L37=1),1,0)</f>
        <v/>
      </c>
      <c r="YW38">
        <f>YW37+IF(AND($C37=126,$L37=1),1,0)</f>
        <v/>
      </c>
      <c r="YX38">
        <f>YX37+IF(AND($C37=127,$L37=1),1,0)</f>
        <v/>
      </c>
      <c r="YY38">
        <f>YY37+IF(AND($C37=128,$L37=1),1,0)</f>
        <v/>
      </c>
      <c r="YZ38">
        <f>YZ37+IF(AND($C37=129,$L37=1),1,0)</f>
        <v/>
      </c>
      <c r="ZA38">
        <f>ZA37+IF(AND($C37=130,$L37=1),1,0)</f>
        <v/>
      </c>
      <c r="ZB38">
        <f>ZB37+IF(AND($C37=131,$L37=1),1,0)</f>
        <v/>
      </c>
      <c r="ZC38">
        <f>ZC37+IF(AND($C37=132,$L37=1),1,0)</f>
        <v/>
      </c>
      <c r="ZD38">
        <f>ZD37+IF(AND($C37=133,$L37=1),1,0)</f>
        <v/>
      </c>
      <c r="ZE38">
        <f>ZE37+IF(AND($C37=134,$L37=1),1,0)</f>
        <v/>
      </c>
      <c r="ZF38">
        <f>ZF37+IF(AND($C37=135,$L37=1),1,0)</f>
        <v/>
      </c>
      <c r="ZG38">
        <f>ZG37+IF(AND($C37=136,$L37=1),1,0)</f>
        <v/>
      </c>
      <c r="ZH38">
        <f>ZH37+IF(AND($C37=137,$L37=1),1,0)</f>
        <v/>
      </c>
      <c r="ZI38">
        <f>ZI37+IF(AND($C37=138,$L37=1),1,0)</f>
        <v/>
      </c>
      <c r="ZJ38">
        <f>ZJ37+IF(AND($C37=139,$L37=1),1,0)</f>
        <v/>
      </c>
      <c r="ZK38">
        <f>ZK37+IF(AND($C37=140,$L37=1),1,0)</f>
        <v/>
      </c>
      <c r="ZL38">
        <f>ZL37+IF(AND($C37=141,$L37=1),1,0)</f>
        <v/>
      </c>
      <c r="ZM38">
        <f>ZM37+IF(AND($C37=142,$L37=1),1,0)</f>
        <v/>
      </c>
      <c r="ZN38">
        <f>ZN37+IF(AND($C37=143,$L37=1),1,0)</f>
        <v/>
      </c>
      <c r="ZO38">
        <f>ZO37+IF(AND($C37=144,$L37=1),1,0)</f>
        <v/>
      </c>
    </row>
    <row r="39">
      <c r="A39" t="n">
        <v>37</v>
      </c>
      <c r="B39">
        <f>IF(MIN(BH39:CZ39)&gt;=1000000,0,MATCH(MIN(BH39:CZ39),BH39:CZ39,0))</f>
        <v/>
      </c>
      <c r="C39">
        <f>IF(MIN(OF39:TS39)&gt;=1000000,0,MATCH(MIN(OF39:TS39),OF39:TS39,0))</f>
        <v/>
      </c>
      <c r="D39">
        <f>IF(C39&gt;0,INDEX('計算A'!$D$5:$EQ$5,C39),0)</f>
        <v/>
      </c>
      <c r="E39">
        <f>IF(B39=0,0,INDEX('計算A'!$IQ$10:$IQ$54,B39))</f>
        <v/>
      </c>
      <c r="F39">
        <f>IF(B39=0,0,INDEX('計算A'!$IP$10:$IP$54,B39))</f>
        <v/>
      </c>
      <c r="G39">
        <f>IF(AND(C39&gt;0,E39&gt;0),IF(AND(INDEX('計算A'!$D$106:$EQ$106,C39)=1,INDEX($IQ39:$OD39,C39)=1),C39+1,0),0)</f>
        <v/>
      </c>
      <c r="H39">
        <f>IF(B39=0,0,INDEX('計算A'!$IW$10:$IW$54,B39))</f>
        <v/>
      </c>
      <c r="I39">
        <f>IF(B39=0,0,MAX(0,INDEX('計算A'!$IT$10:$IT$54,B39)))</f>
        <v/>
      </c>
      <c r="J39">
        <f>IF(I39=0,0,INDEX('計算A'!$D$2:$EQ$2,I39))</f>
        <v/>
      </c>
      <c r="K39">
        <f>IF(I39=0,0,INDEX('計算A'!$D$3:$EQ$3,I39))</f>
        <v/>
      </c>
      <c r="L39">
        <f>IF(B39=0,0,INDEX('計算A'!$IX$10:$IX$54,B39))</f>
        <v/>
      </c>
      <c r="N39">
        <f>MAX(N38,IF($B38=1,1,0))</f>
        <v/>
      </c>
      <c r="O39">
        <f>MAX(O38,IF($B38=2,1,0))</f>
        <v/>
      </c>
      <c r="P39">
        <f>MAX(P38,IF($B38=3,1,0))</f>
        <v/>
      </c>
      <c r="Q39">
        <f>MAX(Q38,IF($B38=4,1,0))</f>
        <v/>
      </c>
      <c r="R39">
        <f>MAX(R38,IF($B38=5,1,0))</f>
        <v/>
      </c>
      <c r="S39">
        <f>MAX(S38,IF($B38=6,1,0))</f>
        <v/>
      </c>
      <c r="T39">
        <f>MAX(T38,IF($B38=7,1,0))</f>
        <v/>
      </c>
      <c r="U39">
        <f>MAX(U38,IF($B38=8,1,0))</f>
        <v/>
      </c>
      <c r="V39">
        <f>MAX(V38,IF($B38=9,1,0))</f>
        <v/>
      </c>
      <c r="W39">
        <f>MAX(W38,IF($B38=10,1,0))</f>
        <v/>
      </c>
      <c r="X39">
        <f>MAX(X38,IF($B38=11,1,0))</f>
        <v/>
      </c>
      <c r="Y39">
        <f>MAX(Y38,IF($B38=12,1,0))</f>
        <v/>
      </c>
      <c r="Z39">
        <f>MAX(Z38,IF($B38=13,1,0))</f>
        <v/>
      </c>
      <c r="AA39">
        <f>MAX(AA38,IF($B38=14,1,0))</f>
        <v/>
      </c>
      <c r="AB39">
        <f>MAX(AB38,IF($B38=15,1,0))</f>
        <v/>
      </c>
      <c r="AC39">
        <f>MAX(AC38,IF($B38=16,1,0))</f>
        <v/>
      </c>
      <c r="AD39">
        <f>MAX(AD38,IF($B38=17,1,0))</f>
        <v/>
      </c>
      <c r="AE39">
        <f>MAX(AE38,IF($B38=18,1,0))</f>
        <v/>
      </c>
      <c r="AF39">
        <f>MAX(AF38,IF($B38=19,1,0))</f>
        <v/>
      </c>
      <c r="AG39">
        <f>MAX(AG38,IF($B38=20,1,0))</f>
        <v/>
      </c>
      <c r="AH39">
        <f>MAX(AH38,IF($B38=21,1,0))</f>
        <v/>
      </c>
      <c r="AI39">
        <f>MAX(AI38,IF($B38=22,1,0))</f>
        <v/>
      </c>
      <c r="AJ39">
        <f>MAX(AJ38,IF($B38=23,1,0))</f>
        <v/>
      </c>
      <c r="AK39">
        <f>MAX(AK38,IF($B38=24,1,0))</f>
        <v/>
      </c>
      <c r="AL39">
        <f>MAX(AL38,IF($B38=25,1,0))</f>
        <v/>
      </c>
      <c r="AM39">
        <f>MAX(AM38,IF($B38=26,1,0))</f>
        <v/>
      </c>
      <c r="AN39">
        <f>MAX(AN38,IF($B38=27,1,0))</f>
        <v/>
      </c>
      <c r="AO39">
        <f>MAX(AO38,IF($B38=28,1,0))</f>
        <v/>
      </c>
      <c r="AP39">
        <f>MAX(AP38,IF($B38=29,1,0))</f>
        <v/>
      </c>
      <c r="AQ39">
        <f>MAX(AQ38,IF($B38=30,1,0))</f>
        <v/>
      </c>
      <c r="AR39">
        <f>MAX(AR38,IF($B38=31,1,0))</f>
        <v/>
      </c>
      <c r="AS39">
        <f>MAX(AS38,IF($B38=32,1,0))</f>
        <v/>
      </c>
      <c r="AT39">
        <f>MAX(AT38,IF($B38=33,1,0))</f>
        <v/>
      </c>
      <c r="AU39">
        <f>MAX(AU38,IF($B38=34,1,0))</f>
        <v/>
      </c>
      <c r="AV39">
        <f>MAX(AV38,IF($B38=35,1,0))</f>
        <v/>
      </c>
      <c r="AW39">
        <f>MAX(AW38,IF($B38=36,1,0))</f>
        <v/>
      </c>
      <c r="AX39">
        <f>MAX(AX38,IF($B38=37,1,0))</f>
        <v/>
      </c>
      <c r="AY39">
        <f>MAX(AY38,IF($B38=38,1,0))</f>
        <v/>
      </c>
      <c r="AZ39">
        <f>MAX(AZ38,IF($B38=39,1,0))</f>
        <v/>
      </c>
      <c r="BA39">
        <f>MAX(BA38,IF($B38=40,1,0))</f>
        <v/>
      </c>
      <c r="BB39">
        <f>MAX(BB38,IF($B38=41,1,0))</f>
        <v/>
      </c>
      <c r="BC39">
        <f>MAX(BC38,IF($B38=42,1,0))</f>
        <v/>
      </c>
      <c r="BD39">
        <f>MAX(BD38,IF($B38=43,1,0))</f>
        <v/>
      </c>
      <c r="BE39">
        <f>MAX(BE38,IF($B38=44,1,0))</f>
        <v/>
      </c>
      <c r="BF39">
        <f>MAX(BF38,IF($B38=45,1,0))</f>
        <v/>
      </c>
      <c r="BH39">
        <f>IF(N39=1,1000000,IF('計算A'!$IT$10&gt;0,0,500000)+IF('計算A'!$IQ$10=2,SUMPRODUCT('計算A'!$D$60:$EQ$60,$DB39:$IO39,$IQ39:$OD39),SUMPRODUCT('計算A'!$D$60:$EQ$60,$DB39:$IO39))*1000+1)</f>
        <v/>
      </c>
      <c r="BI39">
        <f>IF(O39=1,1000000,IF('計算A'!$IT$11&gt;0,0,500000)+IF('計算A'!$IQ$11=2,SUMPRODUCT('計算A'!$D$61:$EQ$61,$DB39:$IO39,$IQ39:$OD39),SUMPRODUCT('計算A'!$D$61:$EQ$61,$DB39:$IO39))*1000+2)</f>
        <v/>
      </c>
      <c r="BJ39">
        <f>IF(P39=1,1000000,IF('計算A'!$IT$12&gt;0,0,500000)+IF('計算A'!$IQ$12=2,SUMPRODUCT('計算A'!$D$62:$EQ$62,$DB39:$IO39,$IQ39:$OD39),SUMPRODUCT('計算A'!$D$62:$EQ$62,$DB39:$IO39))*1000+3)</f>
        <v/>
      </c>
      <c r="BK39">
        <f>IF(Q39=1,1000000,IF('計算A'!$IT$13&gt;0,0,500000)+IF('計算A'!$IQ$13=2,SUMPRODUCT('計算A'!$D$63:$EQ$63,$DB39:$IO39,$IQ39:$OD39),SUMPRODUCT('計算A'!$D$63:$EQ$63,$DB39:$IO39))*1000+4)</f>
        <v/>
      </c>
      <c r="BL39">
        <f>IF(R39=1,1000000,IF('計算A'!$IT$14&gt;0,0,500000)+IF('計算A'!$IQ$14=2,SUMPRODUCT('計算A'!$D$64:$EQ$64,$DB39:$IO39,$IQ39:$OD39),SUMPRODUCT('計算A'!$D$64:$EQ$64,$DB39:$IO39))*1000+5)</f>
        <v/>
      </c>
      <c r="BM39">
        <f>IF(S39=1,1000000,IF('計算A'!$IT$15&gt;0,0,500000)+IF('計算A'!$IQ$15=2,SUMPRODUCT('計算A'!$D$65:$EQ$65,$DB39:$IO39,$IQ39:$OD39),SUMPRODUCT('計算A'!$D$65:$EQ$65,$DB39:$IO39))*1000+6)</f>
        <v/>
      </c>
      <c r="BN39">
        <f>IF(T39=1,1000000,IF('計算A'!$IT$16&gt;0,0,500000)+IF('計算A'!$IQ$16=2,SUMPRODUCT('計算A'!$D$66:$EQ$66,$DB39:$IO39,$IQ39:$OD39),SUMPRODUCT('計算A'!$D$66:$EQ$66,$DB39:$IO39))*1000+7)</f>
        <v/>
      </c>
      <c r="BO39">
        <f>IF(U39=1,1000000,IF('計算A'!$IT$17&gt;0,0,500000)+IF('計算A'!$IQ$17=2,SUMPRODUCT('計算A'!$D$67:$EQ$67,$DB39:$IO39,$IQ39:$OD39),SUMPRODUCT('計算A'!$D$67:$EQ$67,$DB39:$IO39))*1000+8)</f>
        <v/>
      </c>
      <c r="BP39">
        <f>IF(V39=1,1000000,IF('計算A'!$IT$18&gt;0,0,500000)+IF('計算A'!$IQ$18=2,SUMPRODUCT('計算A'!$D$68:$EQ$68,$DB39:$IO39,$IQ39:$OD39),SUMPRODUCT('計算A'!$D$68:$EQ$68,$DB39:$IO39))*1000+9)</f>
        <v/>
      </c>
      <c r="BQ39">
        <f>IF(W39=1,1000000,IF('計算A'!$IT$19&gt;0,0,500000)+IF('計算A'!$IQ$19=2,SUMPRODUCT('計算A'!$D$69:$EQ$69,$DB39:$IO39,$IQ39:$OD39),SUMPRODUCT('計算A'!$D$69:$EQ$69,$DB39:$IO39))*1000+10)</f>
        <v/>
      </c>
      <c r="BR39">
        <f>IF(X39=1,1000000,IF('計算A'!$IT$20&gt;0,0,500000)+IF('計算A'!$IQ$20=2,SUMPRODUCT('計算A'!$D$70:$EQ$70,$DB39:$IO39,$IQ39:$OD39),SUMPRODUCT('計算A'!$D$70:$EQ$70,$DB39:$IO39))*1000+11)</f>
        <v/>
      </c>
      <c r="BS39">
        <f>IF(Y39=1,1000000,IF('計算A'!$IT$21&gt;0,0,500000)+IF('計算A'!$IQ$21=2,SUMPRODUCT('計算A'!$D$71:$EQ$71,$DB39:$IO39,$IQ39:$OD39),SUMPRODUCT('計算A'!$D$71:$EQ$71,$DB39:$IO39))*1000+12)</f>
        <v/>
      </c>
      <c r="BT39">
        <f>IF(Z39=1,1000000,IF('計算A'!$IT$22&gt;0,0,500000)+IF('計算A'!$IQ$22=2,SUMPRODUCT('計算A'!$D$72:$EQ$72,$DB39:$IO39,$IQ39:$OD39),SUMPRODUCT('計算A'!$D$72:$EQ$72,$DB39:$IO39))*1000+13)</f>
        <v/>
      </c>
      <c r="BU39">
        <f>IF(AA39=1,1000000,IF('計算A'!$IT$23&gt;0,0,500000)+IF('計算A'!$IQ$23=2,SUMPRODUCT('計算A'!$D$73:$EQ$73,$DB39:$IO39,$IQ39:$OD39),SUMPRODUCT('計算A'!$D$73:$EQ$73,$DB39:$IO39))*1000+14)</f>
        <v/>
      </c>
      <c r="BV39">
        <f>IF(AB39=1,1000000,IF('計算A'!$IT$24&gt;0,0,500000)+IF('計算A'!$IQ$24=2,SUMPRODUCT('計算A'!$D$74:$EQ$74,$DB39:$IO39,$IQ39:$OD39),SUMPRODUCT('計算A'!$D$74:$EQ$74,$DB39:$IO39))*1000+15)</f>
        <v/>
      </c>
      <c r="BW39">
        <f>IF(AC39=1,1000000,IF('計算A'!$IT$25&gt;0,0,500000)+IF('計算A'!$IQ$25=2,SUMPRODUCT('計算A'!$D$75:$EQ$75,$DB39:$IO39,$IQ39:$OD39),SUMPRODUCT('計算A'!$D$75:$EQ$75,$DB39:$IO39))*1000+16)</f>
        <v/>
      </c>
      <c r="BX39">
        <f>IF(AD39=1,1000000,IF('計算A'!$IT$26&gt;0,0,500000)+IF('計算A'!$IQ$26=2,SUMPRODUCT('計算A'!$D$76:$EQ$76,$DB39:$IO39,$IQ39:$OD39),SUMPRODUCT('計算A'!$D$76:$EQ$76,$DB39:$IO39))*1000+17)</f>
        <v/>
      </c>
      <c r="BY39">
        <f>IF(AE39=1,1000000,IF('計算A'!$IT$27&gt;0,0,500000)+IF('計算A'!$IQ$27=2,SUMPRODUCT('計算A'!$D$77:$EQ$77,$DB39:$IO39,$IQ39:$OD39),SUMPRODUCT('計算A'!$D$77:$EQ$77,$DB39:$IO39))*1000+18)</f>
        <v/>
      </c>
      <c r="BZ39">
        <f>IF(AF39=1,1000000,IF('計算A'!$IT$28&gt;0,0,500000)+IF('計算A'!$IQ$28=2,SUMPRODUCT('計算A'!$D$78:$EQ$78,$DB39:$IO39,$IQ39:$OD39),SUMPRODUCT('計算A'!$D$78:$EQ$78,$DB39:$IO39))*1000+19)</f>
        <v/>
      </c>
      <c r="CA39">
        <f>IF(AG39=1,1000000,IF('計算A'!$IT$29&gt;0,0,500000)+IF('計算A'!$IQ$29=2,SUMPRODUCT('計算A'!$D$79:$EQ$79,$DB39:$IO39,$IQ39:$OD39),SUMPRODUCT('計算A'!$D$79:$EQ$79,$DB39:$IO39))*1000+20)</f>
        <v/>
      </c>
      <c r="CB39">
        <f>IF(AH39=1,1000000,IF('計算A'!$IT$30&gt;0,0,500000)+IF('計算A'!$IQ$30=2,SUMPRODUCT('計算A'!$D$80:$EQ$80,$DB39:$IO39,$IQ39:$OD39),SUMPRODUCT('計算A'!$D$80:$EQ$80,$DB39:$IO39))*1000+21)</f>
        <v/>
      </c>
      <c r="CC39">
        <f>IF(AI39=1,1000000,IF('計算A'!$IT$31&gt;0,0,500000)+IF('計算A'!$IQ$31=2,SUMPRODUCT('計算A'!$D$81:$EQ$81,$DB39:$IO39,$IQ39:$OD39),SUMPRODUCT('計算A'!$D$81:$EQ$81,$DB39:$IO39))*1000+22)</f>
        <v/>
      </c>
      <c r="CD39">
        <f>IF(AJ39=1,1000000,IF('計算A'!$IT$32&gt;0,0,500000)+IF('計算A'!$IQ$32=2,SUMPRODUCT('計算A'!$D$82:$EQ$82,$DB39:$IO39,$IQ39:$OD39),SUMPRODUCT('計算A'!$D$82:$EQ$82,$DB39:$IO39))*1000+23)</f>
        <v/>
      </c>
      <c r="CE39">
        <f>IF(AK39=1,1000000,IF('計算A'!$IT$33&gt;0,0,500000)+IF('計算A'!$IQ$33=2,SUMPRODUCT('計算A'!$D$83:$EQ$83,$DB39:$IO39,$IQ39:$OD39),SUMPRODUCT('計算A'!$D$83:$EQ$83,$DB39:$IO39))*1000+24)</f>
        <v/>
      </c>
      <c r="CF39">
        <f>IF(AL39=1,1000000,IF('計算A'!$IT$34&gt;0,0,500000)+IF('計算A'!$IQ$34=2,SUMPRODUCT('計算A'!$D$84:$EQ$84,$DB39:$IO39,$IQ39:$OD39),SUMPRODUCT('計算A'!$D$84:$EQ$84,$DB39:$IO39))*1000+25)</f>
        <v/>
      </c>
      <c r="CG39">
        <f>IF(AM39=1,1000000,IF('計算A'!$IT$35&gt;0,0,500000)+IF('計算A'!$IQ$35=2,SUMPRODUCT('計算A'!$D$85:$EQ$85,$DB39:$IO39,$IQ39:$OD39),SUMPRODUCT('計算A'!$D$85:$EQ$85,$DB39:$IO39))*1000+26)</f>
        <v/>
      </c>
      <c r="CH39">
        <f>IF(AN39=1,1000000,IF('計算A'!$IT$36&gt;0,0,500000)+IF('計算A'!$IQ$36=2,SUMPRODUCT('計算A'!$D$86:$EQ$86,$DB39:$IO39,$IQ39:$OD39),SUMPRODUCT('計算A'!$D$86:$EQ$86,$DB39:$IO39))*1000+27)</f>
        <v/>
      </c>
      <c r="CI39">
        <f>IF(AO39=1,1000000,IF('計算A'!$IT$37&gt;0,0,500000)+IF('計算A'!$IQ$37=2,SUMPRODUCT('計算A'!$D$87:$EQ$87,$DB39:$IO39,$IQ39:$OD39),SUMPRODUCT('計算A'!$D$87:$EQ$87,$DB39:$IO39))*1000+28)</f>
        <v/>
      </c>
      <c r="CJ39">
        <f>IF(AP39=1,1000000,IF('計算A'!$IT$38&gt;0,0,500000)+IF('計算A'!$IQ$38=2,SUMPRODUCT('計算A'!$D$88:$EQ$88,$DB39:$IO39,$IQ39:$OD39),SUMPRODUCT('計算A'!$D$88:$EQ$88,$DB39:$IO39))*1000+29)</f>
        <v/>
      </c>
      <c r="CK39">
        <f>IF(AQ39=1,1000000,IF('計算A'!$IT$39&gt;0,0,500000)+IF('計算A'!$IQ$39=2,SUMPRODUCT('計算A'!$D$89:$EQ$89,$DB39:$IO39,$IQ39:$OD39),SUMPRODUCT('計算A'!$D$89:$EQ$89,$DB39:$IO39))*1000+30)</f>
        <v/>
      </c>
      <c r="CL39">
        <f>IF(AR39=1,1000000,IF('計算A'!$IT$40&gt;0,0,500000)+IF('計算A'!$IQ$40=2,SUMPRODUCT('計算A'!$D$90:$EQ$90,$DB39:$IO39,$IQ39:$OD39),SUMPRODUCT('計算A'!$D$90:$EQ$90,$DB39:$IO39))*1000+31)</f>
        <v/>
      </c>
      <c r="CM39">
        <f>IF(AS39=1,1000000,IF('計算A'!$IT$41&gt;0,0,500000)+IF('計算A'!$IQ$41=2,SUMPRODUCT('計算A'!$D$91:$EQ$91,$DB39:$IO39,$IQ39:$OD39),SUMPRODUCT('計算A'!$D$91:$EQ$91,$DB39:$IO39))*1000+32)</f>
        <v/>
      </c>
      <c r="CN39">
        <f>IF(AT39=1,1000000,IF('計算A'!$IT$42&gt;0,0,500000)+IF('計算A'!$IQ$42=2,SUMPRODUCT('計算A'!$D$92:$EQ$92,$DB39:$IO39,$IQ39:$OD39),SUMPRODUCT('計算A'!$D$92:$EQ$92,$DB39:$IO39))*1000+33)</f>
        <v/>
      </c>
      <c r="CO39">
        <f>IF(AU39=1,1000000,IF('計算A'!$IT$43&gt;0,0,500000)+IF('計算A'!$IQ$43=2,SUMPRODUCT('計算A'!$D$93:$EQ$93,$DB39:$IO39,$IQ39:$OD39),SUMPRODUCT('計算A'!$D$93:$EQ$93,$DB39:$IO39))*1000+34)</f>
        <v/>
      </c>
      <c r="CP39">
        <f>IF(AV39=1,1000000,IF('計算A'!$IT$44&gt;0,0,500000)+IF('計算A'!$IQ$44=2,SUMPRODUCT('計算A'!$D$94:$EQ$94,$DB39:$IO39,$IQ39:$OD39),SUMPRODUCT('計算A'!$D$94:$EQ$94,$DB39:$IO39))*1000+35)</f>
        <v/>
      </c>
      <c r="CQ39">
        <f>IF(AW39=1,1000000,IF('計算A'!$IT$45&gt;0,0,500000)+IF('計算A'!$IQ$45=2,SUMPRODUCT('計算A'!$D$95:$EQ$95,$DB39:$IO39,$IQ39:$OD39),SUMPRODUCT('計算A'!$D$95:$EQ$95,$DB39:$IO39))*1000+36)</f>
        <v/>
      </c>
      <c r="CR39">
        <f>IF(AX39=1,1000000,IF('計算A'!$IT$46&gt;0,0,500000)+IF('計算A'!$IQ$46=2,SUMPRODUCT('計算A'!$D$96:$EQ$96,$DB39:$IO39,$IQ39:$OD39),SUMPRODUCT('計算A'!$D$96:$EQ$96,$DB39:$IO39))*1000+37)</f>
        <v/>
      </c>
      <c r="CS39">
        <f>IF(AY39=1,1000000,IF('計算A'!$IT$47&gt;0,0,500000)+IF('計算A'!$IQ$47=2,SUMPRODUCT('計算A'!$D$97:$EQ$97,$DB39:$IO39,$IQ39:$OD39),SUMPRODUCT('計算A'!$D$97:$EQ$97,$DB39:$IO39))*1000+38)</f>
        <v/>
      </c>
      <c r="CT39">
        <f>IF(AZ39=1,1000000,IF('計算A'!$IT$48&gt;0,0,500000)+IF('計算A'!$IQ$48=2,SUMPRODUCT('計算A'!$D$98:$EQ$98,$DB39:$IO39,$IQ39:$OD39),SUMPRODUCT('計算A'!$D$98:$EQ$98,$DB39:$IO39))*1000+39)</f>
        <v/>
      </c>
      <c r="CU39">
        <f>IF(BA39=1,1000000,IF('計算A'!$IT$49&gt;0,0,500000)+IF('計算A'!$IQ$49=2,SUMPRODUCT('計算A'!$D$99:$EQ$99,$DB39:$IO39,$IQ39:$OD39),SUMPRODUCT('計算A'!$D$99:$EQ$99,$DB39:$IO39))*1000+40)</f>
        <v/>
      </c>
      <c r="CV39">
        <f>IF(BB39=1,1000000,IF('計算A'!$IT$50&gt;0,0,500000)+IF('計算A'!$IQ$50=2,SUMPRODUCT('計算A'!$D$100:$EQ$100,$DB39:$IO39,$IQ39:$OD39),SUMPRODUCT('計算A'!$D$100:$EQ$100,$DB39:$IO39))*1000+41)</f>
        <v/>
      </c>
      <c r="CW39">
        <f>IF(BC39=1,1000000,IF('計算A'!$IT$51&gt;0,0,500000)+IF('計算A'!$IQ$51=2,SUMPRODUCT('計算A'!$D$101:$EQ$101,$DB39:$IO39,$IQ39:$OD39),SUMPRODUCT('計算A'!$D$101:$EQ$101,$DB39:$IO39))*1000+42)</f>
        <v/>
      </c>
      <c r="CX39">
        <f>IF(BD39=1,1000000,IF('計算A'!$IT$52&gt;0,0,500000)+IF('計算A'!$IQ$52=2,SUMPRODUCT('計算A'!$D$102:$EQ$102,$DB39:$IO39,$IQ39:$OD39),SUMPRODUCT('計算A'!$D$102:$EQ$102,$DB39:$IO39))*1000+43)</f>
        <v/>
      </c>
      <c r="CY39">
        <f>IF(BE39=1,1000000,IF('計算A'!$IT$53&gt;0,0,500000)+IF('計算A'!$IQ$53=2,SUMPRODUCT('計算A'!$D$103:$EQ$103,$DB39:$IO39,$IQ39:$OD39),SUMPRODUCT('計算A'!$D$103:$EQ$103,$DB39:$IO39))*1000+44)</f>
        <v/>
      </c>
      <c r="CZ39">
        <f>IF(BF39=1,1000000,IF('計算A'!$IT$54&gt;0,0,500000)+IF('計算A'!$IQ$54=2,SUMPRODUCT('計算A'!$D$104:$EQ$104,$DB39:$IO39,$IQ39:$OD39),SUMPRODUCT('計算A'!$D$104:$EQ$104,$DB39:$IO39))*1000+45)</f>
        <v/>
      </c>
      <c r="DB39">
        <f>DB38*IF(OR($C38=1,$G38=1),0,1)</f>
        <v/>
      </c>
      <c r="DC39">
        <f>DC38*IF(OR($C38=2,$G38=2),0,1)</f>
        <v/>
      </c>
      <c r="DD39">
        <f>DD38*IF(OR($C38=3,$G38=3),0,1)</f>
        <v/>
      </c>
      <c r="DE39">
        <f>DE38*IF(OR($C38=4,$G38=4),0,1)</f>
        <v/>
      </c>
      <c r="DF39">
        <f>DF38*IF(OR($C38=5,$G38=5),0,1)</f>
        <v/>
      </c>
      <c r="DG39">
        <f>DG38*IF(OR($C38=6,$G38=6),0,1)</f>
        <v/>
      </c>
      <c r="DH39">
        <f>DH38*IF(OR($C38=7,$G38=7),0,1)</f>
        <v/>
      </c>
      <c r="DI39">
        <f>DI38*IF(OR($C38=8,$G38=8),0,1)</f>
        <v/>
      </c>
      <c r="DJ39">
        <f>DJ38*IF(OR($C38=9,$G38=9),0,1)</f>
        <v/>
      </c>
      <c r="DK39">
        <f>DK38*IF(OR($C38=10,$G38=10),0,1)</f>
        <v/>
      </c>
      <c r="DL39">
        <f>DL38*IF(OR($C38=11,$G38=11),0,1)</f>
        <v/>
      </c>
      <c r="DM39">
        <f>DM38*IF(OR($C38=12,$G38=12),0,1)</f>
        <v/>
      </c>
      <c r="DN39">
        <f>DN38*IF(OR($C38=13,$G38=13),0,1)</f>
        <v/>
      </c>
      <c r="DO39">
        <f>DO38*IF(OR($C38=14,$G38=14),0,1)</f>
        <v/>
      </c>
      <c r="DP39">
        <f>DP38*IF(OR($C38=15,$G38=15),0,1)</f>
        <v/>
      </c>
      <c r="DQ39">
        <f>DQ38*IF(OR($C38=16,$G38=16),0,1)</f>
        <v/>
      </c>
      <c r="DR39">
        <f>DR38*IF(OR($C38=17,$G38=17),0,1)</f>
        <v/>
      </c>
      <c r="DS39">
        <f>DS38*IF(OR($C38=18,$G38=18),0,1)</f>
        <v/>
      </c>
      <c r="DT39">
        <f>DT38*IF(OR($C38=19,$G38=19),0,1)</f>
        <v/>
      </c>
      <c r="DU39">
        <f>DU38*IF(OR($C38=20,$G38=20),0,1)</f>
        <v/>
      </c>
      <c r="DV39">
        <f>DV38*IF(OR($C38=21,$G38=21),0,1)</f>
        <v/>
      </c>
      <c r="DW39">
        <f>DW38*IF(OR($C38=22,$G38=22),0,1)</f>
        <v/>
      </c>
      <c r="DX39">
        <f>DX38*IF(OR($C38=23,$G38=23),0,1)</f>
        <v/>
      </c>
      <c r="DY39">
        <f>DY38*IF(OR($C38=24,$G38=24),0,1)</f>
        <v/>
      </c>
      <c r="DZ39">
        <f>DZ38*IF(OR($C38=25,$G38=25),0,1)</f>
        <v/>
      </c>
      <c r="EA39">
        <f>EA38*IF(OR($C38=26,$G38=26),0,1)</f>
        <v/>
      </c>
      <c r="EB39">
        <f>EB38*IF(OR($C38=27,$G38=27),0,1)</f>
        <v/>
      </c>
      <c r="EC39">
        <f>EC38*IF(OR($C38=28,$G38=28),0,1)</f>
        <v/>
      </c>
      <c r="ED39">
        <f>ED38*IF(OR($C38=29,$G38=29),0,1)</f>
        <v/>
      </c>
      <c r="EE39">
        <f>EE38*IF(OR($C38=30,$G38=30),0,1)</f>
        <v/>
      </c>
      <c r="EF39">
        <f>EF38*IF(OR($C38=31,$G38=31),0,1)</f>
        <v/>
      </c>
      <c r="EG39">
        <f>EG38*IF(OR($C38=32,$G38=32),0,1)</f>
        <v/>
      </c>
      <c r="EH39">
        <f>EH38*IF(OR($C38=33,$G38=33),0,1)</f>
        <v/>
      </c>
      <c r="EI39">
        <f>EI38*IF(OR($C38=34,$G38=34),0,1)</f>
        <v/>
      </c>
      <c r="EJ39">
        <f>EJ38*IF(OR($C38=35,$G38=35),0,1)</f>
        <v/>
      </c>
      <c r="EK39">
        <f>EK38*IF(OR($C38=36,$G38=36),0,1)</f>
        <v/>
      </c>
      <c r="EL39">
        <f>EL38*IF(OR($C38=37,$G38=37),0,1)</f>
        <v/>
      </c>
      <c r="EM39">
        <f>EM38*IF(OR($C38=38,$G38=38),0,1)</f>
        <v/>
      </c>
      <c r="EN39">
        <f>EN38*IF(OR($C38=39,$G38=39),0,1)</f>
        <v/>
      </c>
      <c r="EO39">
        <f>EO38*IF(OR($C38=40,$G38=40),0,1)</f>
        <v/>
      </c>
      <c r="EP39">
        <f>EP38*IF(OR($C38=41,$G38=41),0,1)</f>
        <v/>
      </c>
      <c r="EQ39">
        <f>EQ38*IF(OR($C38=42,$G38=42),0,1)</f>
        <v/>
      </c>
      <c r="ER39">
        <f>ER38*IF(OR($C38=43,$G38=43),0,1)</f>
        <v/>
      </c>
      <c r="ES39">
        <f>ES38*IF(OR($C38=44,$G38=44),0,1)</f>
        <v/>
      </c>
      <c r="ET39">
        <f>ET38*IF(OR($C38=45,$G38=45),0,1)</f>
        <v/>
      </c>
      <c r="EU39">
        <f>EU38*IF(OR($C38=46,$G38=46),0,1)</f>
        <v/>
      </c>
      <c r="EV39">
        <f>EV38*IF(OR($C38=47,$G38=47),0,1)</f>
        <v/>
      </c>
      <c r="EW39">
        <f>EW38*IF(OR($C38=48,$G38=48),0,1)</f>
        <v/>
      </c>
      <c r="EX39">
        <f>EX38*IF(OR($C38=49,$G38=49),0,1)</f>
        <v/>
      </c>
      <c r="EY39">
        <f>EY38*IF(OR($C38=50,$G38=50),0,1)</f>
        <v/>
      </c>
      <c r="EZ39">
        <f>EZ38*IF(OR($C38=51,$G38=51),0,1)</f>
        <v/>
      </c>
      <c r="FA39">
        <f>FA38*IF(OR($C38=52,$G38=52),0,1)</f>
        <v/>
      </c>
      <c r="FB39">
        <f>FB38*IF(OR($C38=53,$G38=53),0,1)</f>
        <v/>
      </c>
      <c r="FC39">
        <f>FC38*IF(OR($C38=54,$G38=54),0,1)</f>
        <v/>
      </c>
      <c r="FD39">
        <f>FD38*IF(OR($C38=55,$G38=55),0,1)</f>
        <v/>
      </c>
      <c r="FE39">
        <f>FE38*IF(OR($C38=56,$G38=56),0,1)</f>
        <v/>
      </c>
      <c r="FF39">
        <f>FF38*IF(OR($C38=57,$G38=57),0,1)</f>
        <v/>
      </c>
      <c r="FG39">
        <f>FG38*IF(OR($C38=58,$G38=58),0,1)</f>
        <v/>
      </c>
      <c r="FH39">
        <f>FH38*IF(OR($C38=59,$G38=59),0,1)</f>
        <v/>
      </c>
      <c r="FI39">
        <f>FI38*IF(OR($C38=60,$G38=60),0,1)</f>
        <v/>
      </c>
      <c r="FJ39">
        <f>FJ38*IF(OR($C38=61,$G38=61),0,1)</f>
        <v/>
      </c>
      <c r="FK39">
        <f>FK38*IF(OR($C38=62,$G38=62),0,1)</f>
        <v/>
      </c>
      <c r="FL39">
        <f>FL38*IF(OR($C38=63,$G38=63),0,1)</f>
        <v/>
      </c>
      <c r="FM39">
        <f>FM38*IF(OR($C38=64,$G38=64),0,1)</f>
        <v/>
      </c>
      <c r="FN39">
        <f>FN38*IF(OR($C38=65,$G38=65),0,1)</f>
        <v/>
      </c>
      <c r="FO39">
        <f>FO38*IF(OR($C38=66,$G38=66),0,1)</f>
        <v/>
      </c>
      <c r="FP39">
        <f>FP38*IF(OR($C38=67,$G38=67),0,1)</f>
        <v/>
      </c>
      <c r="FQ39">
        <f>FQ38*IF(OR($C38=68,$G38=68),0,1)</f>
        <v/>
      </c>
      <c r="FR39">
        <f>FR38*IF(OR($C38=69,$G38=69),0,1)</f>
        <v/>
      </c>
      <c r="FS39">
        <f>FS38*IF(OR($C38=70,$G38=70),0,1)</f>
        <v/>
      </c>
      <c r="FT39">
        <f>FT38*IF(OR($C38=71,$G38=71),0,1)</f>
        <v/>
      </c>
      <c r="FU39">
        <f>FU38*IF(OR($C38=72,$G38=72),0,1)</f>
        <v/>
      </c>
      <c r="FV39">
        <f>FV38*IF(OR($C38=73,$G38=73),0,1)</f>
        <v/>
      </c>
      <c r="FW39">
        <f>FW38*IF(OR($C38=74,$G38=74),0,1)</f>
        <v/>
      </c>
      <c r="FX39">
        <f>FX38*IF(OR($C38=75,$G38=75),0,1)</f>
        <v/>
      </c>
      <c r="FY39">
        <f>FY38*IF(OR($C38=76,$G38=76),0,1)</f>
        <v/>
      </c>
      <c r="FZ39">
        <f>FZ38*IF(OR($C38=77,$G38=77),0,1)</f>
        <v/>
      </c>
      <c r="GA39">
        <f>GA38*IF(OR($C38=78,$G38=78),0,1)</f>
        <v/>
      </c>
      <c r="GB39">
        <f>GB38*IF(OR($C38=79,$G38=79),0,1)</f>
        <v/>
      </c>
      <c r="GC39">
        <f>GC38*IF(OR($C38=80,$G38=80),0,1)</f>
        <v/>
      </c>
      <c r="GD39">
        <f>GD38*IF(OR($C38=81,$G38=81),0,1)</f>
        <v/>
      </c>
      <c r="GE39">
        <f>GE38*IF(OR($C38=82,$G38=82),0,1)</f>
        <v/>
      </c>
      <c r="GF39">
        <f>GF38*IF(OR($C38=83,$G38=83),0,1)</f>
        <v/>
      </c>
      <c r="GG39">
        <f>GG38*IF(OR($C38=84,$G38=84),0,1)</f>
        <v/>
      </c>
      <c r="GH39">
        <f>GH38*IF(OR($C38=85,$G38=85),0,1)</f>
        <v/>
      </c>
      <c r="GI39">
        <f>GI38*IF(OR($C38=86,$G38=86),0,1)</f>
        <v/>
      </c>
      <c r="GJ39">
        <f>GJ38*IF(OR($C38=87,$G38=87),0,1)</f>
        <v/>
      </c>
      <c r="GK39">
        <f>GK38*IF(OR($C38=88,$G38=88),0,1)</f>
        <v/>
      </c>
      <c r="GL39">
        <f>GL38*IF(OR($C38=89,$G38=89),0,1)</f>
        <v/>
      </c>
      <c r="GM39">
        <f>GM38*IF(OR($C38=90,$G38=90),0,1)</f>
        <v/>
      </c>
      <c r="GN39">
        <f>GN38*IF(OR($C38=91,$G38=91),0,1)</f>
        <v/>
      </c>
      <c r="GO39">
        <f>GO38*IF(OR($C38=92,$G38=92),0,1)</f>
        <v/>
      </c>
      <c r="GP39">
        <f>GP38*IF(OR($C38=93,$G38=93),0,1)</f>
        <v/>
      </c>
      <c r="GQ39">
        <f>GQ38*IF(OR($C38=94,$G38=94),0,1)</f>
        <v/>
      </c>
      <c r="GR39">
        <f>GR38*IF(OR($C38=95,$G38=95),0,1)</f>
        <v/>
      </c>
      <c r="GS39">
        <f>GS38*IF(OR($C38=96,$G38=96),0,1)</f>
        <v/>
      </c>
      <c r="GT39">
        <f>GT38*IF(OR($C38=97,$G38=97),0,1)</f>
        <v/>
      </c>
      <c r="GU39">
        <f>GU38*IF(OR($C38=98,$G38=98),0,1)</f>
        <v/>
      </c>
      <c r="GV39">
        <f>GV38*IF(OR($C38=99,$G38=99),0,1)</f>
        <v/>
      </c>
      <c r="GW39">
        <f>GW38*IF(OR($C38=100,$G38=100),0,1)</f>
        <v/>
      </c>
      <c r="GX39">
        <f>GX38*IF(OR($C38=101,$G38=101),0,1)</f>
        <v/>
      </c>
      <c r="GY39">
        <f>GY38*IF(OR($C38=102,$G38=102),0,1)</f>
        <v/>
      </c>
      <c r="GZ39">
        <f>GZ38*IF(OR($C38=103,$G38=103),0,1)</f>
        <v/>
      </c>
      <c r="HA39">
        <f>HA38*IF(OR($C38=104,$G38=104),0,1)</f>
        <v/>
      </c>
      <c r="HB39">
        <f>HB38*IF(OR($C38=105,$G38=105),0,1)</f>
        <v/>
      </c>
      <c r="HC39">
        <f>HC38*IF(OR($C38=106,$G38=106),0,1)</f>
        <v/>
      </c>
      <c r="HD39">
        <f>HD38*IF(OR($C38=107,$G38=107),0,1)</f>
        <v/>
      </c>
      <c r="HE39">
        <f>HE38*IF(OR($C38=108,$G38=108),0,1)</f>
        <v/>
      </c>
      <c r="HF39">
        <f>HF38*IF(OR($C38=109,$G38=109),0,1)</f>
        <v/>
      </c>
      <c r="HG39">
        <f>HG38*IF(OR($C38=110,$G38=110),0,1)</f>
        <v/>
      </c>
      <c r="HH39">
        <f>HH38*IF(OR($C38=111,$G38=111),0,1)</f>
        <v/>
      </c>
      <c r="HI39">
        <f>HI38*IF(OR($C38=112,$G38=112),0,1)</f>
        <v/>
      </c>
      <c r="HJ39">
        <f>HJ38*IF(OR($C38=113,$G38=113),0,1)</f>
        <v/>
      </c>
      <c r="HK39">
        <f>HK38*IF(OR($C38=114,$G38=114),0,1)</f>
        <v/>
      </c>
      <c r="HL39">
        <f>HL38*IF(OR($C38=115,$G38=115),0,1)</f>
        <v/>
      </c>
      <c r="HM39">
        <f>HM38*IF(OR($C38=116,$G38=116),0,1)</f>
        <v/>
      </c>
      <c r="HN39">
        <f>HN38*IF(OR($C38=117,$G38=117),0,1)</f>
        <v/>
      </c>
      <c r="HO39">
        <f>HO38*IF(OR($C38=118,$G38=118),0,1)</f>
        <v/>
      </c>
      <c r="HP39">
        <f>HP38*IF(OR($C38=119,$G38=119),0,1)</f>
        <v/>
      </c>
      <c r="HQ39">
        <f>HQ38*IF(OR($C38=120,$G38=120),0,1)</f>
        <v/>
      </c>
      <c r="HR39">
        <f>HR38*IF(OR($C38=121,$G38=121),0,1)</f>
        <v/>
      </c>
      <c r="HS39">
        <f>HS38*IF(OR($C38=122,$G38=122),0,1)</f>
        <v/>
      </c>
      <c r="HT39">
        <f>HT38*IF(OR($C38=123,$G38=123),0,1)</f>
        <v/>
      </c>
      <c r="HU39">
        <f>HU38*IF(OR($C38=124,$G38=124),0,1)</f>
        <v/>
      </c>
      <c r="HV39">
        <f>HV38*IF(OR($C38=125,$G38=125),0,1)</f>
        <v/>
      </c>
      <c r="HW39">
        <f>HW38*IF(OR($C38=126,$G38=126),0,1)</f>
        <v/>
      </c>
      <c r="HX39">
        <f>HX38*IF(OR($C38=127,$G38=127),0,1)</f>
        <v/>
      </c>
      <c r="HY39">
        <f>HY38*IF(OR($C38=128,$G38=128),0,1)</f>
        <v/>
      </c>
      <c r="HZ39">
        <f>HZ38*IF(OR($C38=129,$G38=129),0,1)</f>
        <v/>
      </c>
      <c r="IA39">
        <f>IA38*IF(OR($C38=130,$G38=130),0,1)</f>
        <v/>
      </c>
      <c r="IB39">
        <f>IB38*IF(OR($C38=131,$G38=131),0,1)</f>
        <v/>
      </c>
      <c r="IC39">
        <f>IC38*IF(OR($C38=132,$G38=132),0,1)</f>
        <v/>
      </c>
      <c r="ID39">
        <f>ID38*IF(OR($C38=133,$G38=133),0,1)</f>
        <v/>
      </c>
      <c r="IE39">
        <f>IE38*IF(OR($C38=134,$G38=134),0,1)</f>
        <v/>
      </c>
      <c r="IF39">
        <f>IF38*IF(OR($C38=135,$G38=135),0,1)</f>
        <v/>
      </c>
      <c r="IG39">
        <f>IG38*IF(OR($C38=136,$G38=136),0,1)</f>
        <v/>
      </c>
      <c r="IH39">
        <f>IH38*IF(OR($C38=137,$G38=137),0,1)</f>
        <v/>
      </c>
      <c r="II39">
        <f>II38*IF(OR($C38=138,$G38=138),0,1)</f>
        <v/>
      </c>
      <c r="IJ39">
        <f>IJ38*IF(OR($C38=139,$G38=139),0,1)</f>
        <v/>
      </c>
      <c r="IK39">
        <f>IK38*IF(OR($C38=140,$G38=140),0,1)</f>
        <v/>
      </c>
      <c r="IL39">
        <f>IL38*IF(OR($C38=141,$G38=141),0,1)</f>
        <v/>
      </c>
      <c r="IM39">
        <f>IM38*IF(OR($C38=142,$G38=142),0,1)</f>
        <v/>
      </c>
      <c r="IN39">
        <f>IN38*IF(OR($C38=143,$G38=143),0,1)</f>
        <v/>
      </c>
      <c r="IO39">
        <f>IO38*IF(OR($C38=144,$G38=144),0,1)</f>
        <v/>
      </c>
      <c r="IQ39">
        <f>IF('計算A'!D$106=1,DC39,1)</f>
        <v/>
      </c>
      <c r="IR39">
        <f>IF('計算A'!E$106=1,DD39,1)</f>
        <v/>
      </c>
      <c r="IS39">
        <f>IF('計算A'!F$106=1,DE39,1)</f>
        <v/>
      </c>
      <c r="IT39">
        <f>IF('計算A'!G$106=1,DF39,1)</f>
        <v/>
      </c>
      <c r="IU39">
        <f>IF('計算A'!H$106=1,DG39,1)</f>
        <v/>
      </c>
      <c r="IV39">
        <f>IF('計算A'!I$106=1,DH39,1)</f>
        <v/>
      </c>
      <c r="IW39">
        <f>IF('計算A'!J$106=1,DI39,1)</f>
        <v/>
      </c>
      <c r="IX39">
        <f>IF('計算A'!K$106=1,DJ39,1)</f>
        <v/>
      </c>
      <c r="IY39">
        <f>IF('計算A'!L$106=1,DK39,1)</f>
        <v/>
      </c>
      <c r="IZ39">
        <f>IF('計算A'!M$106=1,DL39,1)</f>
        <v/>
      </c>
      <c r="JA39">
        <f>IF('計算A'!N$106=1,DM39,1)</f>
        <v/>
      </c>
      <c r="JB39">
        <f>IF('計算A'!O$106=1,DN39,1)</f>
        <v/>
      </c>
      <c r="JC39">
        <f>IF('計算A'!P$106=1,DO39,1)</f>
        <v/>
      </c>
      <c r="JD39">
        <f>IF('計算A'!Q$106=1,DP39,1)</f>
        <v/>
      </c>
      <c r="JE39">
        <f>IF('計算A'!R$106=1,DQ39,1)</f>
        <v/>
      </c>
      <c r="JF39">
        <f>IF('計算A'!S$106=1,DR39,1)</f>
        <v/>
      </c>
      <c r="JG39">
        <f>IF('計算A'!T$106=1,DS39,1)</f>
        <v/>
      </c>
      <c r="JH39">
        <f>IF('計算A'!U$106=1,DT39,1)</f>
        <v/>
      </c>
      <c r="JI39">
        <f>IF('計算A'!V$106=1,DU39,1)</f>
        <v/>
      </c>
      <c r="JJ39">
        <f>IF('計算A'!W$106=1,DV39,1)</f>
        <v/>
      </c>
      <c r="JK39">
        <f>IF('計算A'!X$106=1,DW39,1)</f>
        <v/>
      </c>
      <c r="JL39">
        <f>IF('計算A'!Y$106=1,DX39,1)</f>
        <v/>
      </c>
      <c r="JM39">
        <f>IF('計算A'!Z$106=1,DY39,1)</f>
        <v/>
      </c>
      <c r="JN39">
        <f>IF('計算A'!AA$106=1,DZ39,1)</f>
        <v/>
      </c>
      <c r="JO39">
        <f>IF('計算A'!AB$106=1,EA39,1)</f>
        <v/>
      </c>
      <c r="JP39">
        <f>IF('計算A'!AC$106=1,EB39,1)</f>
        <v/>
      </c>
      <c r="JQ39">
        <f>IF('計算A'!AD$106=1,EC39,1)</f>
        <v/>
      </c>
      <c r="JR39">
        <f>IF('計算A'!AE$106=1,ED39,1)</f>
        <v/>
      </c>
      <c r="JS39">
        <f>IF('計算A'!AF$106=1,EE39,1)</f>
        <v/>
      </c>
      <c r="JT39">
        <f>IF('計算A'!AG$106=1,EF39,1)</f>
        <v/>
      </c>
      <c r="JU39">
        <f>IF('計算A'!AH$106=1,EG39,1)</f>
        <v/>
      </c>
      <c r="JV39">
        <f>IF('計算A'!AI$106=1,EH39,1)</f>
        <v/>
      </c>
      <c r="JW39">
        <f>IF('計算A'!AJ$106=1,EI39,1)</f>
        <v/>
      </c>
      <c r="JX39">
        <f>IF('計算A'!AK$106=1,EJ39,1)</f>
        <v/>
      </c>
      <c r="JY39">
        <f>IF('計算A'!AL$106=1,EK39,1)</f>
        <v/>
      </c>
      <c r="JZ39">
        <f>IF('計算A'!AM$106=1,EL39,1)</f>
        <v/>
      </c>
      <c r="KA39">
        <f>IF('計算A'!AN$106=1,EM39,1)</f>
        <v/>
      </c>
      <c r="KB39">
        <f>IF('計算A'!AO$106=1,EN39,1)</f>
        <v/>
      </c>
      <c r="KC39">
        <f>IF('計算A'!AP$106=1,EO39,1)</f>
        <v/>
      </c>
      <c r="KD39">
        <f>IF('計算A'!AQ$106=1,EP39,1)</f>
        <v/>
      </c>
      <c r="KE39">
        <f>IF('計算A'!AR$106=1,EQ39,1)</f>
        <v/>
      </c>
      <c r="KF39">
        <f>IF('計算A'!AS$106=1,ER39,1)</f>
        <v/>
      </c>
      <c r="KG39">
        <f>IF('計算A'!AT$106=1,ES39,1)</f>
        <v/>
      </c>
      <c r="KH39">
        <f>IF('計算A'!AU$106=1,ET39,1)</f>
        <v/>
      </c>
      <c r="KI39">
        <f>IF('計算A'!AV$106=1,EU39,1)</f>
        <v/>
      </c>
      <c r="KJ39">
        <f>IF('計算A'!AW$106=1,EV39,1)</f>
        <v/>
      </c>
      <c r="KK39">
        <f>IF('計算A'!AX$106=1,EW39,1)</f>
        <v/>
      </c>
      <c r="KL39">
        <f>IF('計算A'!AY$106=1,EX39,1)</f>
        <v/>
      </c>
      <c r="KM39">
        <f>IF('計算A'!AZ$106=1,EY39,1)</f>
        <v/>
      </c>
      <c r="KN39">
        <f>IF('計算A'!BA$106=1,EZ39,1)</f>
        <v/>
      </c>
      <c r="KO39">
        <f>IF('計算A'!BB$106=1,FA39,1)</f>
        <v/>
      </c>
      <c r="KP39">
        <f>IF('計算A'!BC$106=1,FB39,1)</f>
        <v/>
      </c>
      <c r="KQ39">
        <f>IF('計算A'!BD$106=1,FC39,1)</f>
        <v/>
      </c>
      <c r="KR39">
        <f>IF('計算A'!BE$106=1,FD39,1)</f>
        <v/>
      </c>
      <c r="KS39">
        <f>IF('計算A'!BF$106=1,FE39,1)</f>
        <v/>
      </c>
      <c r="KT39">
        <f>IF('計算A'!BG$106=1,FF39,1)</f>
        <v/>
      </c>
      <c r="KU39">
        <f>IF('計算A'!BH$106=1,FG39,1)</f>
        <v/>
      </c>
      <c r="KV39">
        <f>IF('計算A'!BI$106=1,FH39,1)</f>
        <v/>
      </c>
      <c r="KW39">
        <f>IF('計算A'!BJ$106=1,FI39,1)</f>
        <v/>
      </c>
      <c r="KX39">
        <f>IF('計算A'!BK$106=1,FJ39,1)</f>
        <v/>
      </c>
      <c r="KY39">
        <f>IF('計算A'!BL$106=1,FK39,1)</f>
        <v/>
      </c>
      <c r="KZ39">
        <f>IF('計算A'!BM$106=1,FL39,1)</f>
        <v/>
      </c>
      <c r="LA39">
        <f>IF('計算A'!BN$106=1,FM39,1)</f>
        <v/>
      </c>
      <c r="LB39">
        <f>IF('計算A'!BO$106=1,FN39,1)</f>
        <v/>
      </c>
      <c r="LC39">
        <f>IF('計算A'!BP$106=1,FO39,1)</f>
        <v/>
      </c>
      <c r="LD39">
        <f>IF('計算A'!BQ$106=1,FP39,1)</f>
        <v/>
      </c>
      <c r="LE39">
        <f>IF('計算A'!BR$106=1,FQ39,1)</f>
        <v/>
      </c>
      <c r="LF39">
        <f>IF('計算A'!BS$106=1,FR39,1)</f>
        <v/>
      </c>
      <c r="LG39">
        <f>IF('計算A'!BT$106=1,FS39,1)</f>
        <v/>
      </c>
      <c r="LH39">
        <f>IF('計算A'!BU$106=1,FT39,1)</f>
        <v/>
      </c>
      <c r="LI39">
        <f>IF('計算A'!BV$106=1,FU39,1)</f>
        <v/>
      </c>
      <c r="LJ39">
        <f>IF('計算A'!BW$106=1,FV39,1)</f>
        <v/>
      </c>
      <c r="LK39">
        <f>IF('計算A'!BX$106=1,FW39,1)</f>
        <v/>
      </c>
      <c r="LL39">
        <f>IF('計算A'!BY$106=1,FX39,1)</f>
        <v/>
      </c>
      <c r="LM39">
        <f>IF('計算A'!BZ$106=1,FY39,1)</f>
        <v/>
      </c>
      <c r="LN39">
        <f>IF('計算A'!CA$106=1,FZ39,1)</f>
        <v/>
      </c>
      <c r="LO39">
        <f>IF('計算A'!CB$106=1,GA39,1)</f>
        <v/>
      </c>
      <c r="LP39">
        <f>IF('計算A'!CC$106=1,GB39,1)</f>
        <v/>
      </c>
      <c r="LQ39">
        <f>IF('計算A'!CD$106=1,GC39,1)</f>
        <v/>
      </c>
      <c r="LR39">
        <f>IF('計算A'!CE$106=1,GD39,1)</f>
        <v/>
      </c>
      <c r="LS39">
        <f>IF('計算A'!CF$106=1,GE39,1)</f>
        <v/>
      </c>
      <c r="LT39">
        <f>IF('計算A'!CG$106=1,GF39,1)</f>
        <v/>
      </c>
      <c r="LU39">
        <f>IF('計算A'!CH$106=1,GG39,1)</f>
        <v/>
      </c>
      <c r="LV39">
        <f>IF('計算A'!CI$106=1,GH39,1)</f>
        <v/>
      </c>
      <c r="LW39">
        <f>IF('計算A'!CJ$106=1,GI39,1)</f>
        <v/>
      </c>
      <c r="LX39">
        <f>IF('計算A'!CK$106=1,GJ39,1)</f>
        <v/>
      </c>
      <c r="LY39">
        <f>IF('計算A'!CL$106=1,GK39,1)</f>
        <v/>
      </c>
      <c r="LZ39">
        <f>IF('計算A'!CM$106=1,GL39,1)</f>
        <v/>
      </c>
      <c r="MA39">
        <f>IF('計算A'!CN$106=1,GM39,1)</f>
        <v/>
      </c>
      <c r="MB39">
        <f>IF('計算A'!CO$106=1,GN39,1)</f>
        <v/>
      </c>
      <c r="MC39">
        <f>IF('計算A'!CP$106=1,GO39,1)</f>
        <v/>
      </c>
      <c r="MD39">
        <f>IF('計算A'!CQ$106=1,GP39,1)</f>
        <v/>
      </c>
      <c r="ME39">
        <f>IF('計算A'!CR$106=1,GQ39,1)</f>
        <v/>
      </c>
      <c r="MF39">
        <f>IF('計算A'!CS$106=1,GR39,1)</f>
        <v/>
      </c>
      <c r="MG39">
        <f>IF('計算A'!CT$106=1,GS39,1)</f>
        <v/>
      </c>
      <c r="MH39">
        <f>IF('計算A'!CU$106=1,GT39,1)</f>
        <v/>
      </c>
      <c r="MI39">
        <f>IF('計算A'!CV$106=1,GU39,1)</f>
        <v/>
      </c>
      <c r="MJ39">
        <f>IF('計算A'!CW$106=1,GV39,1)</f>
        <v/>
      </c>
      <c r="MK39">
        <f>IF('計算A'!CX$106=1,GW39,1)</f>
        <v/>
      </c>
      <c r="ML39">
        <f>IF('計算A'!CY$106=1,GX39,1)</f>
        <v/>
      </c>
      <c r="MM39">
        <f>IF('計算A'!CZ$106=1,GY39,1)</f>
        <v/>
      </c>
      <c r="MN39">
        <f>IF('計算A'!DA$106=1,GZ39,1)</f>
        <v/>
      </c>
      <c r="MO39">
        <f>IF('計算A'!DB$106=1,HA39,1)</f>
        <v/>
      </c>
      <c r="MP39">
        <f>IF('計算A'!DC$106=1,HB39,1)</f>
        <v/>
      </c>
      <c r="MQ39">
        <f>IF('計算A'!DD$106=1,HC39,1)</f>
        <v/>
      </c>
      <c r="MR39">
        <f>IF('計算A'!DE$106=1,HD39,1)</f>
        <v/>
      </c>
      <c r="MS39">
        <f>IF('計算A'!DF$106=1,HE39,1)</f>
        <v/>
      </c>
      <c r="MT39">
        <f>IF('計算A'!DG$106=1,HF39,1)</f>
        <v/>
      </c>
      <c r="MU39">
        <f>IF('計算A'!DH$106=1,HG39,1)</f>
        <v/>
      </c>
      <c r="MV39">
        <f>IF('計算A'!DI$106=1,HH39,1)</f>
        <v/>
      </c>
      <c r="MW39">
        <f>IF('計算A'!DJ$106=1,HI39,1)</f>
        <v/>
      </c>
      <c r="MX39">
        <f>IF('計算A'!DK$106=1,HJ39,1)</f>
        <v/>
      </c>
      <c r="MY39">
        <f>IF('計算A'!DL$106=1,HK39,1)</f>
        <v/>
      </c>
      <c r="MZ39">
        <f>IF('計算A'!DM$106=1,HL39,1)</f>
        <v/>
      </c>
      <c r="NA39">
        <f>IF('計算A'!DN$106=1,HM39,1)</f>
        <v/>
      </c>
      <c r="NB39">
        <f>IF('計算A'!DO$106=1,HN39,1)</f>
        <v/>
      </c>
      <c r="NC39">
        <f>IF('計算A'!DP$106=1,HO39,1)</f>
        <v/>
      </c>
      <c r="ND39">
        <f>IF('計算A'!DQ$106=1,HP39,1)</f>
        <v/>
      </c>
      <c r="NE39">
        <f>IF('計算A'!DR$106=1,HQ39,1)</f>
        <v/>
      </c>
      <c r="NF39">
        <f>IF('計算A'!DS$106=1,HR39,1)</f>
        <v/>
      </c>
      <c r="NG39">
        <f>IF('計算A'!DT$106=1,HS39,1)</f>
        <v/>
      </c>
      <c r="NH39">
        <f>IF('計算A'!DU$106=1,HT39,1)</f>
        <v/>
      </c>
      <c r="NI39">
        <f>IF('計算A'!DV$106=1,HU39,1)</f>
        <v/>
      </c>
      <c r="NJ39">
        <f>IF('計算A'!DW$106=1,HV39,1)</f>
        <v/>
      </c>
      <c r="NK39">
        <f>IF('計算A'!DX$106=1,HW39,1)</f>
        <v/>
      </c>
      <c r="NL39">
        <f>IF('計算A'!DY$106=1,HX39,1)</f>
        <v/>
      </c>
      <c r="NM39">
        <f>IF('計算A'!DZ$106=1,HY39,1)</f>
        <v/>
      </c>
      <c r="NN39">
        <f>IF('計算A'!EA$106=1,HZ39,1)</f>
        <v/>
      </c>
      <c r="NO39">
        <f>IF('計算A'!EB$106=1,IA39,1)</f>
        <v/>
      </c>
      <c r="NP39">
        <f>IF('計算A'!EC$106=1,IB39,1)</f>
        <v/>
      </c>
      <c r="NQ39">
        <f>IF('計算A'!ED$106=1,IC39,1)</f>
        <v/>
      </c>
      <c r="NR39">
        <f>IF('計算A'!EE$106=1,ID39,1)</f>
        <v/>
      </c>
      <c r="NS39">
        <f>IF('計算A'!EF$106=1,IE39,1)</f>
        <v/>
      </c>
      <c r="NT39">
        <f>IF('計算A'!EG$106=1,IF39,1)</f>
        <v/>
      </c>
      <c r="NU39">
        <f>IF('計算A'!EH$106=1,IG39,1)</f>
        <v/>
      </c>
      <c r="NV39">
        <f>IF('計算A'!EI$106=1,IH39,1)</f>
        <v/>
      </c>
      <c r="NW39">
        <f>IF('計算A'!EJ$106=1,II39,1)</f>
        <v/>
      </c>
      <c r="NX39">
        <f>IF('計算A'!EK$106=1,IJ39,1)</f>
        <v/>
      </c>
      <c r="NY39">
        <f>IF('計算A'!EL$106=1,IK39,1)</f>
        <v/>
      </c>
      <c r="NZ39">
        <f>IF('計算A'!EM$106=1,IL39,1)</f>
        <v/>
      </c>
      <c r="OA39">
        <f>IF('計算A'!EN$106=1,IM39,1)</f>
        <v/>
      </c>
      <c r="OB39">
        <f>IF('計算A'!EO$106=1,IN39,1)</f>
        <v/>
      </c>
      <c r="OC39">
        <f>IF('計算A'!EP$106=1,IO39,1)</f>
        <v/>
      </c>
      <c r="OD39" t="n">
        <v>1</v>
      </c>
      <c r="OF39">
        <f>IF($B39=0,1000000,IF(INDEX('計算A'!$D$60:$EQ$104,$B39,1)*DB39=1,IF(AND($E39=2,IQ39=0),1000000,IF($I39&gt;0,IF(1=$J39,IF(OR(AND(1=$I39+1,OR($K39&lt;&gt;'計算A'!$A$3,'計算A'!$A$4=0)),AND(1=$I39-1,OR(1&lt;&gt;'計算A'!$A$3,'計算A'!$A$4=0))),0,IF(1=$K39,200000,ABS(1-$K39)*100)),100000+ABS(1-$J39)*1000+10)+'計算A'!D$5*50+IF(AND($E39=1,IQ39=0),25,0),INDEX('計算A'!D$110:D$114,$F39+1)+IF(AND($E39=1,IQ39=0),1000,0)+IF($H39=1,(IF('計算A'!D$117=1,INDEX('計算A'!E$10:E$54,$B39),0))*500,0)-IF(AND($L39=1,'計算A'!D$117=1,DC39=0),300,0))),1000000))</f>
        <v/>
      </c>
      <c r="OG39">
        <f>IF($B39=0,1000000,IF(INDEX('計算A'!$D$60:$EQ$104,$B39,2)*DC39=1,IF(AND($E39=2,IR39=0),1000000,IF($I39&gt;0,IF(1=$J39,IF(OR(AND(2=$I39+1,OR($K39&lt;&gt;'計算A'!$A$3,'計算A'!$A$4=0)),AND(2=$I39-1,OR(2&lt;&gt;'計算A'!$A$3,'計算A'!$A$4=0))),0,IF(2=$K39,200000,ABS(2-$K39)*100)),100000+ABS(1-$J39)*1000+20)+'計算A'!E$5*50+IF(AND($E39=1,IR39=0),25,0),INDEX('計算A'!E$110:E$114,$F39+1)+IF(AND($E39=1,IR39=0),1000,0)+IF($H39=1,(IF('計算A'!D$117=1,INDEX('計算A'!D$10:D$54,$B39),0)+IF('計算A'!E$117=1,INDEX('計算A'!F$10:F$54,$B39),0))*500,0)-IF(AND('計算A'!D$117=1,UB39&gt;0),300,0)-IF(AND($L39=1,'計算A'!E$117=1,DD39=0),300,0))),1000000))</f>
        <v/>
      </c>
      <c r="OH39">
        <f>IF($B39=0,1000000,IF(INDEX('計算A'!$D$60:$EQ$104,$B39,3)*DD39=1,IF(AND($E39=2,IS39=0),1000000,IF($I39&gt;0,IF(1=$J39,IF(OR(AND(3=$I39+1,OR($K39&lt;&gt;'計算A'!$A$3,'計算A'!$A$4=0)),AND(3=$I39-1,OR(3&lt;&gt;'計算A'!$A$3,'計算A'!$A$4=0))),0,IF(3=$K39,200000,ABS(3-$K39)*100)),100000+ABS(1-$J39)*1000+30)+'計算A'!F$5*50+IF(AND($E39=1,IS39=0),25,0),INDEX('計算A'!F$110:F$114,$F39+1)+IF(AND($E39=1,IS39=0),1000,0)+IF($H39=1,(IF('計算A'!E$117=1,INDEX('計算A'!E$10:E$54,$B39),0)+IF('計算A'!F$117=1,INDEX('計算A'!G$10:G$54,$B39),0))*500,0)-IF(AND('計算A'!E$117=1,UC39&gt;0),300,0)-IF(AND($L39=1,'計算A'!F$117=1,DE39=0),300,0))),1000000))</f>
        <v/>
      </c>
      <c r="OI39">
        <f>IF($B39=0,1000000,IF(INDEX('計算A'!$D$60:$EQ$104,$B39,4)*DE39=1,IF(AND($E39=2,IT39=0),1000000,IF($I39&gt;0,IF(1=$J39,IF(OR(AND(4=$I39+1,OR($K39&lt;&gt;'計算A'!$A$3,'計算A'!$A$4=0)),AND(4=$I39-1,OR(4&lt;&gt;'計算A'!$A$3,'計算A'!$A$4=0))),0,IF(4=$K39,200000,ABS(4-$K39)*100)),100000+ABS(1-$J39)*1000+40)+'計算A'!G$5*50+IF(AND($E39=1,IT39=0),25,0),INDEX('計算A'!G$110:G$114,$F39+1)+IF(AND($E39=1,IT39=0),1000,0)+IF($H39=1,(IF('計算A'!F$117=1,INDEX('計算A'!F$10:F$54,$B39),0)+IF('計算A'!G$117=1,INDEX('計算A'!H$10:H$54,$B39),0))*500,0)-IF(AND('計算A'!F$117=1,UD39&gt;0),300,0)-IF(AND($L39=1,'計算A'!G$117=1,DF39=0),300,0))),1000000))</f>
        <v/>
      </c>
      <c r="OJ39">
        <f>IF($B39=0,1000000,IF(INDEX('計算A'!$D$60:$EQ$104,$B39,5)*DF39=1,IF(AND($E39=2,IU39=0),1000000,IF($I39&gt;0,IF(1=$J39,IF(OR(AND(5=$I39+1,OR($K39&lt;&gt;'計算A'!$A$3,'計算A'!$A$4=0)),AND(5=$I39-1,OR(5&lt;&gt;'計算A'!$A$3,'計算A'!$A$4=0))),0,IF(5=$K39,200000,ABS(5-$K39)*100)),100000+ABS(1-$J39)*1000+50)+'計算A'!H$5*50+IF(AND($E39=1,IU39=0),25,0),INDEX('計算A'!H$110:H$114,$F39+1)+IF(AND($E39=1,IU39=0),1000,0)+IF($H39=1,(IF('計算A'!G$117=1,INDEX('計算A'!G$10:G$54,$B39),0)+IF('計算A'!H$117=1,INDEX('計算A'!I$10:I$54,$B39),0))*500,0)-IF(AND('計算A'!G$117=1,UE39&gt;0),300,0)-IF(AND($L39=1,'計算A'!H$117=1,DG39=0),300,0))),1000000))</f>
        <v/>
      </c>
      <c r="OK39">
        <f>IF($B39=0,1000000,IF(INDEX('計算A'!$D$60:$EQ$104,$B39,6)*DG39=1,IF(AND($E39=2,IV39=0),1000000,IF($I39&gt;0,IF(1=$J39,IF(OR(AND(6=$I39+1,OR($K39&lt;&gt;'計算A'!$A$3,'計算A'!$A$4=0)),AND(6=$I39-1,OR(6&lt;&gt;'計算A'!$A$3,'計算A'!$A$4=0))),0,IF(6=$K39,200000,ABS(6-$K39)*100)),100000+ABS(1-$J39)*1000+60)+'計算A'!I$5*50+IF(AND($E39=1,IV39=0),25,0),INDEX('計算A'!I$110:I$114,$F39+1)+IF(AND($E39=1,IV39=0),1000,0)+IF($H39=1,(IF('計算A'!H$117=1,INDEX('計算A'!H$10:H$54,$B39),0)+IF('計算A'!I$117=1,INDEX('計算A'!J$10:J$54,$B39),0))*500,0)-IF(AND('計算A'!H$117=1,UF39&gt;0),300,0)-IF(AND($L39=1,'計算A'!I$117=1,DH39=0),300,0))),1000000))</f>
        <v/>
      </c>
      <c r="OL39">
        <f>IF($B39=0,1000000,IF(INDEX('計算A'!$D$60:$EQ$104,$B39,7)*DH39=1,IF(AND($E39=2,IW39=0),1000000,IF($I39&gt;0,IF(1=$J39,IF(OR(AND(7=$I39+1,OR($K39&lt;&gt;'計算A'!$A$3,'計算A'!$A$4=0)),AND(7=$I39-1,OR(7&lt;&gt;'計算A'!$A$3,'計算A'!$A$4=0))),0,IF(7=$K39,200000,ABS(7-$K39)*100)),100000+ABS(1-$J39)*1000+70)+'計算A'!J$5*50+IF(AND($E39=1,IW39=0),25,0),INDEX('計算A'!J$110:J$114,$F39+1)+IF(AND($E39=1,IW39=0),1000,0)+IF($H39=1,(IF('計算A'!I$117=1,INDEX('計算A'!I$10:I$54,$B39),0)+IF('計算A'!J$117=1,INDEX('計算A'!K$10:K$54,$B39),0))*500,0)-IF(AND('計算A'!I$117=1,UG39&gt;0),300,0)-IF(AND($L39=1,'計算A'!J$117=1,DI39=0),300,0))),1000000))</f>
        <v/>
      </c>
      <c r="OM39">
        <f>IF($B39=0,1000000,IF(INDEX('計算A'!$D$60:$EQ$104,$B39,8)*DI39=1,IF(AND($E39=2,IX39=0),1000000,IF($I39&gt;0,IF(1=$J39,IF(OR(AND(8=$I39+1,OR($K39&lt;&gt;'計算A'!$A$3,'計算A'!$A$4=0)),AND(8=$I39-1,OR(8&lt;&gt;'計算A'!$A$3,'計算A'!$A$4=0))),0,IF(8=$K39,200000,ABS(8-$K39)*100)),100000+ABS(1-$J39)*1000+80)+'計算A'!K$5*50+IF(AND($E39=1,IX39=0),25,0),INDEX('計算A'!K$110:K$114,$F39+1)+IF(AND($E39=1,IX39=0),1000,0)+IF($H39=1,(IF('計算A'!J$117=1,INDEX('計算A'!J$10:J$54,$B39),0)+IF('計算A'!K$117=1,INDEX('計算A'!L$10:L$54,$B39),0))*500,0)-IF(AND('計算A'!J$117=1,UH39&gt;0),300,0)-IF(AND($L39=1,'計算A'!K$117=1,DJ39=0),300,0))),1000000))</f>
        <v/>
      </c>
      <c r="ON39">
        <f>IF($B39=0,1000000,IF(INDEX('計算A'!$D$60:$EQ$104,$B39,9)*DJ39=1,IF(AND($E39=2,IY39=0),1000000,IF($I39&gt;0,IF(1=$J39,IF(OR(AND(9=$I39+1,OR($K39&lt;&gt;'計算A'!$A$3,'計算A'!$A$4=0)),AND(9=$I39-1,OR(9&lt;&gt;'計算A'!$A$3,'計算A'!$A$4=0))),0,IF(9=$K39,200000,ABS(9-$K39)*100)),100000+ABS(1-$J39)*1000+90)+'計算A'!L$5*50+IF(AND($E39=1,IY39=0),25,0),INDEX('計算A'!L$110:L$114,$F39+1)+IF(AND($E39=1,IY39=0),1000,0)+IF($H39=1,(IF('計算A'!K$117=1,INDEX('計算A'!K$10:K$54,$B39),0)+IF('計算A'!L$117=1,INDEX('計算A'!M$10:M$54,$B39),0))*500,0)-IF(AND('計算A'!K$117=1,UI39&gt;0),300,0)-IF(AND($L39=1,'計算A'!L$117=1,DK39=0),300,0))),1000000))</f>
        <v/>
      </c>
      <c r="OO39">
        <f>IF($B39=0,1000000,IF(INDEX('計算A'!$D$60:$EQ$104,$B39,10)*DK39=1,IF(AND($E39=2,IZ39=0),1000000,IF($I39&gt;0,IF(1=$J39,IF(OR(AND(10=$I39+1,OR($K39&lt;&gt;'計算A'!$A$3,'計算A'!$A$4=0)),AND(10=$I39-1,OR(10&lt;&gt;'計算A'!$A$3,'計算A'!$A$4=0))),0,IF(10=$K39,200000,ABS(10-$K39)*100)),100000+ABS(1-$J39)*1000+100)+'計算A'!M$5*50+IF(AND($E39=1,IZ39=0),25,0),INDEX('計算A'!M$110:M$114,$F39+1)+IF(AND($E39=1,IZ39=0),1000,0)+IF($H39=1,(IF('計算A'!L$117=1,INDEX('計算A'!L$10:L$54,$B39),0)+IF('計算A'!M$117=1,INDEX('計算A'!N$10:N$54,$B39),0))*500,0)-IF(AND('計算A'!L$117=1,UJ39&gt;0),300,0)-IF(AND($L39=1,'計算A'!M$117=1,DL39=0),300,0))),1000000))</f>
        <v/>
      </c>
      <c r="OP39">
        <f>IF($B39=0,1000000,IF(INDEX('計算A'!$D$60:$EQ$104,$B39,11)*DL39=1,IF(AND($E39=2,JA39=0),1000000,IF($I39&gt;0,IF(1=$J39,IF(OR(AND(11=$I39+1,OR($K39&lt;&gt;'計算A'!$A$3,'計算A'!$A$4=0)),AND(11=$I39-1,OR(11&lt;&gt;'計算A'!$A$3,'計算A'!$A$4=0))),0,IF(11=$K39,200000,ABS(11-$K39)*100)),100000+ABS(1-$J39)*1000+110)+'計算A'!N$5*50+IF(AND($E39=1,JA39=0),25,0),INDEX('計算A'!N$110:N$114,$F39+1)+IF(AND($E39=1,JA39=0),1000,0)+IF($H39=1,(IF('計算A'!M$117=1,INDEX('計算A'!M$10:M$54,$B39),0)+IF('計算A'!N$117=1,INDEX('計算A'!O$10:O$54,$B39),0))*500,0)-IF(AND('計算A'!M$117=1,UK39&gt;0),300,0)-IF(AND($L39=1,'計算A'!N$117=1,DM39=0),300,0))),1000000))</f>
        <v/>
      </c>
      <c r="OQ39">
        <f>IF($B39=0,1000000,IF(INDEX('計算A'!$D$60:$EQ$104,$B39,12)*DM39=1,IF(AND($E39=2,JB39=0),1000000,IF($I39&gt;0,IF(1=$J39,IF(OR(AND(12=$I39+1,OR($K39&lt;&gt;'計算A'!$A$3,'計算A'!$A$4=0)),AND(12=$I39-1,OR(12&lt;&gt;'計算A'!$A$3,'計算A'!$A$4=0))),0,IF(12=$K39,200000,ABS(12-$K39)*100)),100000+ABS(1-$J39)*1000+120)+'計算A'!O$5*50+IF(AND($E39=1,JB39=0),25,0),INDEX('計算A'!O$110:O$114,$F39+1)+IF(AND($E39=1,JB39=0),1000,0)+IF($H39=1,(IF('計算A'!N$117=1,INDEX('計算A'!N$10:N$54,$B39),0)+IF('計算A'!O$117=1,INDEX('計算A'!P$10:P$54,$B39),0))*500,0)-IF(AND('計算A'!N$117=1,UL39&gt;0),300,0)-IF(AND($L39=1,'計算A'!O$117=1,DN39=0),300,0))),1000000))</f>
        <v/>
      </c>
      <c r="OR39">
        <f>IF($B39=0,1000000,IF(INDEX('計算A'!$D$60:$EQ$104,$B39,13)*DN39=1,IF(AND($E39=2,JC39=0),1000000,IF($I39&gt;0,IF(1=$J39,IF(OR(AND(13=$I39+1,OR($K39&lt;&gt;'計算A'!$A$3,'計算A'!$A$4=0)),AND(13=$I39-1,OR(13&lt;&gt;'計算A'!$A$3,'計算A'!$A$4=0))),0,IF(13=$K39,200000,ABS(13-$K39)*100)),100000+ABS(1-$J39)*1000+130)+'計算A'!P$5*50+IF(AND($E39=1,JC39=0),25,0),INDEX('計算A'!P$110:P$114,$F39+1)+IF(AND($E39=1,JC39=0),1000,0)+IF($H39=1,(IF('計算A'!O$117=1,INDEX('計算A'!O$10:O$54,$B39),0)+IF('計算A'!P$117=1,INDEX('計算A'!Q$10:Q$54,$B39),0))*500,0)-IF(AND('計算A'!O$117=1,UM39&gt;0),300,0)-IF(AND($L39=1,'計算A'!P$117=1,DO39=0),300,0))),1000000))</f>
        <v/>
      </c>
      <c r="OS39">
        <f>IF($B39=0,1000000,IF(INDEX('計算A'!$D$60:$EQ$104,$B39,14)*DO39=1,IF(AND($E39=2,JD39=0),1000000,IF($I39&gt;0,IF(1=$J39,IF(OR(AND(14=$I39+1,OR($K39&lt;&gt;'計算A'!$A$3,'計算A'!$A$4=0)),AND(14=$I39-1,OR(14&lt;&gt;'計算A'!$A$3,'計算A'!$A$4=0))),0,IF(14=$K39,200000,ABS(14-$K39)*100)),100000+ABS(1-$J39)*1000+140)+'計算A'!Q$5*50+IF(AND($E39=1,JD39=0),25,0),INDEX('計算A'!Q$110:Q$114,$F39+1)+IF(AND($E39=1,JD39=0),1000,0)+IF($H39=1,(IF('計算A'!P$117=1,INDEX('計算A'!P$10:P$54,$B39),0)+IF('計算A'!Q$117=1,INDEX('計算A'!R$10:R$54,$B39),0))*500,0)-IF(AND('計算A'!P$117=1,UN39&gt;0),300,0)-IF(AND($L39=1,'計算A'!Q$117=1,DP39=0),300,0))),1000000))</f>
        <v/>
      </c>
      <c r="OT39">
        <f>IF($B39=0,1000000,IF(INDEX('計算A'!$D$60:$EQ$104,$B39,15)*DP39=1,IF(AND($E39=2,JE39=0),1000000,IF($I39&gt;0,IF(1=$J39,IF(OR(AND(15=$I39+1,OR($K39&lt;&gt;'計算A'!$A$3,'計算A'!$A$4=0)),AND(15=$I39-1,OR(15&lt;&gt;'計算A'!$A$3,'計算A'!$A$4=0))),0,IF(15=$K39,200000,ABS(15-$K39)*100)),100000+ABS(1-$J39)*1000+150)+'計算A'!R$5*50+IF(AND($E39=1,JE39=0),25,0),INDEX('計算A'!R$110:R$114,$F39+1)+IF(AND($E39=1,JE39=0),1000,0)+IF($H39=1,(IF('計算A'!Q$117=1,INDEX('計算A'!Q$10:Q$54,$B39),0)+IF('計算A'!R$117=1,INDEX('計算A'!S$10:S$54,$B39),0))*500,0)-IF(AND('計算A'!Q$117=1,UO39&gt;0),300,0)-IF(AND($L39=1,'計算A'!R$117=1,DQ39=0),300,0))),1000000))</f>
        <v/>
      </c>
      <c r="OU39">
        <f>IF($B39=0,1000000,IF(INDEX('計算A'!$D$60:$EQ$104,$B39,16)*DQ39=1,IF(AND($E39=2,JF39=0),1000000,IF($I39&gt;0,IF(1=$J39,IF(OR(AND(16=$I39+1,OR($K39&lt;&gt;'計算A'!$A$3,'計算A'!$A$4=0)),AND(16=$I39-1,OR(16&lt;&gt;'計算A'!$A$3,'計算A'!$A$4=0))),0,IF(16=$K39,200000,ABS(16-$K39)*100)),100000+ABS(1-$J39)*1000+160)+'計算A'!S$5*50+IF(AND($E39=1,JF39=0),25,0),INDEX('計算A'!S$110:S$114,$F39+1)+IF(AND($E39=1,JF39=0),1000,0)+IF($H39=1,(IF('計算A'!R$117=1,INDEX('計算A'!R$10:R$54,$B39),0)+IF('計算A'!S$117=1,INDEX('計算A'!T$10:T$54,$B39),0))*500,0)-IF(AND('計算A'!R$117=1,UP39&gt;0),300,0)-IF(AND($L39=1,'計算A'!S$117=1,DR39=0),300,0))),1000000))</f>
        <v/>
      </c>
      <c r="OV39">
        <f>IF($B39=0,1000000,IF(INDEX('計算A'!$D$60:$EQ$104,$B39,17)*DR39=1,IF(AND($E39=2,JG39=0),1000000,IF($I39&gt;0,IF(1=$J39,IF(OR(AND(17=$I39+1,OR($K39&lt;&gt;'計算A'!$A$3,'計算A'!$A$4=0)),AND(17=$I39-1,OR(17&lt;&gt;'計算A'!$A$3,'計算A'!$A$4=0))),0,IF(17=$K39,200000,ABS(17-$K39)*100)),100000+ABS(1-$J39)*1000+170)+'計算A'!T$5*50+IF(AND($E39=1,JG39=0),25,0),INDEX('計算A'!T$110:T$114,$F39+1)+IF(AND($E39=1,JG39=0),1000,0)+IF($H39=1,(IF('計算A'!S$117=1,INDEX('計算A'!S$10:S$54,$B39),0)+IF('計算A'!T$117=1,INDEX('計算A'!U$10:U$54,$B39),0))*500,0)-IF(AND('計算A'!S$117=1,UQ39&gt;0),300,0)-IF(AND($L39=1,'計算A'!T$117=1,DS39=0),300,0))),1000000))</f>
        <v/>
      </c>
      <c r="OW39">
        <f>IF($B39=0,1000000,IF(INDEX('計算A'!$D$60:$EQ$104,$B39,18)*DS39=1,IF(AND($E39=2,JH39=0),1000000,IF($I39&gt;0,IF(1=$J39,IF(OR(AND(18=$I39+1,OR($K39&lt;&gt;'計算A'!$A$3,'計算A'!$A$4=0)),AND(18=$I39-1,OR(18&lt;&gt;'計算A'!$A$3,'計算A'!$A$4=0))),0,IF(18=$K39,200000,ABS(18-$K39)*100)),100000+ABS(1-$J39)*1000+180)+'計算A'!U$5*50+IF(AND($E39=1,JH39=0),25,0),INDEX('計算A'!U$110:U$114,$F39+1)+IF(AND($E39=1,JH39=0),1000,0)+IF($H39=1,(IF('計算A'!T$117=1,INDEX('計算A'!T$10:T$54,$B39),0)+IF('計算A'!U$117=1,INDEX('計算A'!V$10:V$54,$B39),0))*500,0)-IF(AND('計算A'!T$117=1,UR39&gt;0),300,0)-IF(AND($L39=1,'計算A'!U$117=1,DT39=0),300,0))),1000000))</f>
        <v/>
      </c>
      <c r="OX39">
        <f>IF($B39=0,1000000,IF(INDEX('計算A'!$D$60:$EQ$104,$B39,19)*DT39=1,IF(AND($E39=2,JI39=0),1000000,IF($I39&gt;0,IF(1=$J39,IF(OR(AND(19=$I39+1,OR($K39&lt;&gt;'計算A'!$A$3,'計算A'!$A$4=0)),AND(19=$I39-1,OR(19&lt;&gt;'計算A'!$A$3,'計算A'!$A$4=0))),0,IF(19=$K39,200000,ABS(19-$K39)*100)),100000+ABS(1-$J39)*1000+190)+'計算A'!V$5*50+IF(AND($E39=1,JI39=0),25,0),INDEX('計算A'!V$110:V$114,$F39+1)+IF(AND($E39=1,JI39=0),1000,0)+IF($H39=1,(IF('計算A'!U$117=1,INDEX('計算A'!U$10:U$54,$B39),0)+IF('計算A'!V$117=1,INDEX('計算A'!W$10:W$54,$B39),0))*500,0)-IF(AND('計算A'!U$117=1,US39&gt;0),300,0)-IF(AND($L39=1,'計算A'!V$117=1,DU39=0),300,0))),1000000))</f>
        <v/>
      </c>
      <c r="OY39">
        <f>IF($B39=0,1000000,IF(INDEX('計算A'!$D$60:$EQ$104,$B39,20)*DU39=1,IF(AND($E39=2,JJ39=0),1000000,IF($I39&gt;0,IF(1=$J39,IF(OR(AND(20=$I39+1,OR($K39&lt;&gt;'計算A'!$A$3,'計算A'!$A$4=0)),AND(20=$I39-1,OR(20&lt;&gt;'計算A'!$A$3,'計算A'!$A$4=0))),0,IF(20=$K39,200000,ABS(20-$K39)*100)),100000+ABS(1-$J39)*1000+200)+'計算A'!W$5*50+IF(AND($E39=1,JJ39=0),25,0),INDEX('計算A'!W$110:W$114,$F39+1)+IF(AND($E39=1,JJ39=0),1000,0)+IF($H39=1,(IF('計算A'!V$117=1,INDEX('計算A'!V$10:V$54,$B39),0)+IF('計算A'!W$117=1,INDEX('計算A'!X$10:X$54,$B39),0))*500,0)-IF(AND('計算A'!V$117=1,UT39&gt;0),300,0)-IF(AND($L39=1,'計算A'!W$117=1,DV39=0),300,0))),1000000))</f>
        <v/>
      </c>
      <c r="OZ39">
        <f>IF($B39=0,1000000,IF(INDEX('計算A'!$D$60:$EQ$104,$B39,21)*DV39=1,IF(AND($E39=2,JK39=0),1000000,IF($I39&gt;0,IF(1=$J39,IF(OR(AND(21=$I39+1,OR($K39&lt;&gt;'計算A'!$A$3,'計算A'!$A$4=0)),AND(21=$I39-1,OR(21&lt;&gt;'計算A'!$A$3,'計算A'!$A$4=0))),0,IF(21=$K39,200000,ABS(21-$K39)*100)),100000+ABS(1-$J39)*1000+210)+'計算A'!X$5*50+IF(AND($E39=1,JK39=0),25,0),INDEX('計算A'!X$110:X$114,$F39+1)+IF(AND($E39=1,JK39=0),1000,0)+IF($H39=1,(IF('計算A'!W$117=1,INDEX('計算A'!W$10:W$54,$B39),0)+IF('計算A'!X$117=1,INDEX('計算A'!Y$10:Y$54,$B39),0))*500,0)-IF(AND('計算A'!W$117=1,UU39&gt;0),300,0)-IF(AND($L39=1,'計算A'!X$117=1,DW39=0),300,0))),1000000))</f>
        <v/>
      </c>
      <c r="PA39">
        <f>IF($B39=0,1000000,IF(INDEX('計算A'!$D$60:$EQ$104,$B39,22)*DW39=1,IF(AND($E39=2,JL39=0),1000000,IF($I39&gt;0,IF(1=$J39,IF(OR(AND(22=$I39+1,OR($K39&lt;&gt;'計算A'!$A$3,'計算A'!$A$4=0)),AND(22=$I39-1,OR(22&lt;&gt;'計算A'!$A$3,'計算A'!$A$4=0))),0,IF(22=$K39,200000,ABS(22-$K39)*100)),100000+ABS(1-$J39)*1000+220)+'計算A'!Y$5*50+IF(AND($E39=1,JL39=0),25,0),INDEX('計算A'!Y$110:Y$114,$F39+1)+IF(AND($E39=1,JL39=0),1000,0)+IF($H39=1,(IF('計算A'!X$117=1,INDEX('計算A'!X$10:X$54,$B39),0)+IF('計算A'!Y$117=1,INDEX('計算A'!Z$10:Z$54,$B39),0))*500,0)-IF(AND('計算A'!X$117=1,UV39&gt;0),300,0)-IF(AND($L39=1,'計算A'!Y$117=1,DX39=0),300,0))),1000000))</f>
        <v/>
      </c>
      <c r="PB39">
        <f>IF($B39=0,1000000,IF(INDEX('計算A'!$D$60:$EQ$104,$B39,23)*DX39=1,IF(AND($E39=2,JM39=0),1000000,IF($I39&gt;0,IF(1=$J39,IF(OR(AND(23=$I39+1,OR($K39&lt;&gt;'計算A'!$A$3,'計算A'!$A$4=0)),AND(23=$I39-1,OR(23&lt;&gt;'計算A'!$A$3,'計算A'!$A$4=0))),0,IF(23=$K39,200000,ABS(23-$K39)*100)),100000+ABS(1-$J39)*1000+230)+'計算A'!Z$5*50+IF(AND($E39=1,JM39=0),25,0),INDEX('計算A'!Z$110:Z$114,$F39+1)+IF(AND($E39=1,JM39=0),1000,0)+IF($H39=1,(IF('計算A'!Y$117=1,INDEX('計算A'!Y$10:Y$54,$B39),0)+IF('計算A'!Z$117=1,INDEX('計算A'!AA$10:AA$54,$B39),0))*500,0)-IF(AND('計算A'!Y$117=1,UW39&gt;0),300,0)-IF(AND($L39=1,'計算A'!Z$117=1,DY39=0),300,0))),1000000))</f>
        <v/>
      </c>
      <c r="PC39">
        <f>IF($B39=0,1000000,IF(INDEX('計算A'!$D$60:$EQ$104,$B39,24)*DY39=1,IF(AND($E39=2,JN39=0),1000000,IF($I39&gt;0,IF(1=$J39,IF(OR(AND(24=$I39+1,OR($K39&lt;&gt;'計算A'!$A$3,'計算A'!$A$4=0)),AND(24=$I39-1,OR(24&lt;&gt;'計算A'!$A$3,'計算A'!$A$4=0))),0,IF(24=$K39,200000,ABS(24-$K39)*100)),100000+ABS(1-$J39)*1000+240)+'計算A'!AA$5*50+IF(AND($E39=1,JN39=0),25,0),INDEX('計算A'!AA$110:AA$114,$F39+1)+IF(AND($E39=1,JN39=0),1000,0)+IF($H39=1,(IF('計算A'!Z$117=1,INDEX('計算A'!Z$10:Z$54,$B39),0))*500,0)-IF(AND('計算A'!Z$117=1,UX39&gt;0),300,0))),1000000))</f>
        <v/>
      </c>
      <c r="PD39">
        <f>IF($B39=0,1000000,IF(INDEX('計算A'!$D$60:$EQ$104,$B39,25)*DZ39=1,IF(AND($E39=2,JO39=0),1000000,IF($I39&gt;0,IF(2=$J39,IF(OR(AND(25=$I39+1,OR($K39&lt;&gt;'計算A'!$A$3,'計算A'!$A$4=0)),AND(25=$I39-1,OR(1&lt;&gt;'計算A'!$A$3,'計算A'!$A$4=0))),0,IF(1=$K39,200000,ABS(1-$K39)*100)),100000+ABS(2-$J39)*1000+10)+'計算A'!AB$5*50+IF(AND($E39=1,JO39=0),25,0),INDEX('計算A'!AB$110:AB$114,$F39+1)+IF(AND($E39=1,JO39=0),1000,0)+IF($H39=1,(IF('計算A'!AB$117=1,INDEX('計算A'!AC$10:AC$54,$B39),0))*500,0)-IF(AND($L39=1,'計算A'!AB$117=1,EA39=0),300,0))),1000000))</f>
        <v/>
      </c>
      <c r="PE39">
        <f>IF($B39=0,1000000,IF(INDEX('計算A'!$D$60:$EQ$104,$B39,26)*EA39=1,IF(AND($E39=2,JP39=0),1000000,IF($I39&gt;0,IF(2=$J39,IF(OR(AND(26=$I39+1,OR($K39&lt;&gt;'計算A'!$A$3,'計算A'!$A$4=0)),AND(26=$I39-1,OR(2&lt;&gt;'計算A'!$A$3,'計算A'!$A$4=0))),0,IF(2=$K39,200000,ABS(2-$K39)*100)),100000+ABS(2-$J39)*1000+20)+'計算A'!AC$5*50+IF(AND($E39=1,JP39=0),25,0),INDEX('計算A'!AC$110:AC$114,$F39+1)+IF(AND($E39=1,JP39=0),1000,0)+IF($H39=1,(IF('計算A'!AB$117=1,INDEX('計算A'!AB$10:AB$54,$B39),0)+IF('計算A'!AC$117=1,INDEX('計算A'!AD$10:AD$54,$B39),0))*500,0)-IF(AND('計算A'!AB$117=1,UZ39&gt;0),300,0)-IF(AND($L39=1,'計算A'!AC$117=1,EB39=0),300,0))),1000000))</f>
        <v/>
      </c>
      <c r="PF39">
        <f>IF($B39=0,1000000,IF(INDEX('計算A'!$D$60:$EQ$104,$B39,27)*EB39=1,IF(AND($E39=2,JQ39=0),1000000,IF($I39&gt;0,IF(2=$J39,IF(OR(AND(27=$I39+1,OR($K39&lt;&gt;'計算A'!$A$3,'計算A'!$A$4=0)),AND(27=$I39-1,OR(3&lt;&gt;'計算A'!$A$3,'計算A'!$A$4=0))),0,IF(3=$K39,200000,ABS(3-$K39)*100)),100000+ABS(2-$J39)*1000+30)+'計算A'!AD$5*50+IF(AND($E39=1,JQ39=0),25,0),INDEX('計算A'!AD$110:AD$114,$F39+1)+IF(AND($E39=1,JQ39=0),1000,0)+IF($H39=1,(IF('計算A'!AC$117=1,INDEX('計算A'!AC$10:AC$54,$B39),0)+IF('計算A'!AD$117=1,INDEX('計算A'!AE$10:AE$54,$B39),0))*500,0)-IF(AND('計算A'!AC$117=1,VA39&gt;0),300,0)-IF(AND($L39=1,'計算A'!AD$117=1,EC39=0),300,0))),1000000))</f>
        <v/>
      </c>
      <c r="PG39">
        <f>IF($B39=0,1000000,IF(INDEX('計算A'!$D$60:$EQ$104,$B39,28)*EC39=1,IF(AND($E39=2,JR39=0),1000000,IF($I39&gt;0,IF(2=$J39,IF(OR(AND(28=$I39+1,OR($K39&lt;&gt;'計算A'!$A$3,'計算A'!$A$4=0)),AND(28=$I39-1,OR(4&lt;&gt;'計算A'!$A$3,'計算A'!$A$4=0))),0,IF(4=$K39,200000,ABS(4-$K39)*100)),100000+ABS(2-$J39)*1000+40)+'計算A'!AE$5*50+IF(AND($E39=1,JR39=0),25,0),INDEX('計算A'!AE$110:AE$114,$F39+1)+IF(AND($E39=1,JR39=0),1000,0)+IF($H39=1,(IF('計算A'!AD$117=1,INDEX('計算A'!AD$10:AD$54,$B39),0)+IF('計算A'!AE$117=1,INDEX('計算A'!AF$10:AF$54,$B39),0))*500,0)-IF(AND('計算A'!AD$117=1,VB39&gt;0),300,0)-IF(AND($L39=1,'計算A'!AE$117=1,ED39=0),300,0))),1000000))</f>
        <v/>
      </c>
      <c r="PH39">
        <f>IF($B39=0,1000000,IF(INDEX('計算A'!$D$60:$EQ$104,$B39,29)*ED39=1,IF(AND($E39=2,JS39=0),1000000,IF($I39&gt;0,IF(2=$J39,IF(OR(AND(29=$I39+1,OR($K39&lt;&gt;'計算A'!$A$3,'計算A'!$A$4=0)),AND(29=$I39-1,OR(5&lt;&gt;'計算A'!$A$3,'計算A'!$A$4=0))),0,IF(5=$K39,200000,ABS(5-$K39)*100)),100000+ABS(2-$J39)*1000+50)+'計算A'!AF$5*50+IF(AND($E39=1,JS39=0),25,0),INDEX('計算A'!AF$110:AF$114,$F39+1)+IF(AND($E39=1,JS39=0),1000,0)+IF($H39=1,(IF('計算A'!AE$117=1,INDEX('計算A'!AE$10:AE$54,$B39),0)+IF('計算A'!AF$117=1,INDEX('計算A'!AG$10:AG$54,$B39),0))*500,0)-IF(AND('計算A'!AE$117=1,VC39&gt;0),300,0)-IF(AND($L39=1,'計算A'!AF$117=1,EE39=0),300,0))),1000000))</f>
        <v/>
      </c>
      <c r="PI39">
        <f>IF($B39=0,1000000,IF(INDEX('計算A'!$D$60:$EQ$104,$B39,30)*EE39=1,IF(AND($E39=2,JT39=0),1000000,IF($I39&gt;0,IF(2=$J39,IF(OR(AND(30=$I39+1,OR($K39&lt;&gt;'計算A'!$A$3,'計算A'!$A$4=0)),AND(30=$I39-1,OR(6&lt;&gt;'計算A'!$A$3,'計算A'!$A$4=0))),0,IF(6=$K39,200000,ABS(6-$K39)*100)),100000+ABS(2-$J39)*1000+60)+'計算A'!AG$5*50+IF(AND($E39=1,JT39=0),25,0),INDEX('計算A'!AG$110:AG$114,$F39+1)+IF(AND($E39=1,JT39=0),1000,0)+IF($H39=1,(IF('計算A'!AF$117=1,INDEX('計算A'!AF$10:AF$54,$B39),0)+IF('計算A'!AG$117=1,INDEX('計算A'!AH$10:AH$54,$B39),0))*500,0)-IF(AND('計算A'!AF$117=1,VD39&gt;0),300,0)-IF(AND($L39=1,'計算A'!AG$117=1,EF39=0),300,0))),1000000))</f>
        <v/>
      </c>
      <c r="PJ39">
        <f>IF($B39=0,1000000,IF(INDEX('計算A'!$D$60:$EQ$104,$B39,31)*EF39=1,IF(AND($E39=2,JU39=0),1000000,IF($I39&gt;0,IF(2=$J39,IF(OR(AND(31=$I39+1,OR($K39&lt;&gt;'計算A'!$A$3,'計算A'!$A$4=0)),AND(31=$I39-1,OR(7&lt;&gt;'計算A'!$A$3,'計算A'!$A$4=0))),0,IF(7=$K39,200000,ABS(7-$K39)*100)),100000+ABS(2-$J39)*1000+70)+'計算A'!AH$5*50+IF(AND($E39=1,JU39=0),25,0),INDEX('計算A'!AH$110:AH$114,$F39+1)+IF(AND($E39=1,JU39=0),1000,0)+IF($H39=1,(IF('計算A'!AG$117=1,INDEX('計算A'!AG$10:AG$54,$B39),0)+IF('計算A'!AH$117=1,INDEX('計算A'!AI$10:AI$54,$B39),0))*500,0)-IF(AND('計算A'!AG$117=1,VE39&gt;0),300,0)-IF(AND($L39=1,'計算A'!AH$117=1,EG39=0),300,0))),1000000))</f>
        <v/>
      </c>
      <c r="PK39">
        <f>IF($B39=0,1000000,IF(INDEX('計算A'!$D$60:$EQ$104,$B39,32)*EG39=1,IF(AND($E39=2,JV39=0),1000000,IF($I39&gt;0,IF(2=$J39,IF(OR(AND(32=$I39+1,OR($K39&lt;&gt;'計算A'!$A$3,'計算A'!$A$4=0)),AND(32=$I39-1,OR(8&lt;&gt;'計算A'!$A$3,'計算A'!$A$4=0))),0,IF(8=$K39,200000,ABS(8-$K39)*100)),100000+ABS(2-$J39)*1000+80)+'計算A'!AI$5*50+IF(AND($E39=1,JV39=0),25,0),INDEX('計算A'!AI$110:AI$114,$F39+1)+IF(AND($E39=1,JV39=0),1000,0)+IF($H39=1,(IF('計算A'!AH$117=1,INDEX('計算A'!AH$10:AH$54,$B39),0)+IF('計算A'!AI$117=1,INDEX('計算A'!AJ$10:AJ$54,$B39),0))*500,0)-IF(AND('計算A'!AH$117=1,VF39&gt;0),300,0)-IF(AND($L39=1,'計算A'!AI$117=1,EH39=0),300,0))),1000000))</f>
        <v/>
      </c>
      <c r="PL39">
        <f>IF($B39=0,1000000,IF(INDEX('計算A'!$D$60:$EQ$104,$B39,33)*EH39=1,IF(AND($E39=2,JW39=0),1000000,IF($I39&gt;0,IF(2=$J39,IF(OR(AND(33=$I39+1,OR($K39&lt;&gt;'計算A'!$A$3,'計算A'!$A$4=0)),AND(33=$I39-1,OR(9&lt;&gt;'計算A'!$A$3,'計算A'!$A$4=0))),0,IF(9=$K39,200000,ABS(9-$K39)*100)),100000+ABS(2-$J39)*1000+90)+'計算A'!AJ$5*50+IF(AND($E39=1,JW39=0),25,0),INDEX('計算A'!AJ$110:AJ$114,$F39+1)+IF(AND($E39=1,JW39=0),1000,0)+IF($H39=1,(IF('計算A'!AI$117=1,INDEX('計算A'!AI$10:AI$54,$B39),0)+IF('計算A'!AJ$117=1,INDEX('計算A'!AK$10:AK$54,$B39),0))*500,0)-IF(AND('計算A'!AI$117=1,VG39&gt;0),300,0)-IF(AND($L39=1,'計算A'!AJ$117=1,EI39=0),300,0))),1000000))</f>
        <v/>
      </c>
      <c r="PM39">
        <f>IF($B39=0,1000000,IF(INDEX('計算A'!$D$60:$EQ$104,$B39,34)*EI39=1,IF(AND($E39=2,JX39=0),1000000,IF($I39&gt;0,IF(2=$J39,IF(OR(AND(34=$I39+1,OR($K39&lt;&gt;'計算A'!$A$3,'計算A'!$A$4=0)),AND(34=$I39-1,OR(10&lt;&gt;'計算A'!$A$3,'計算A'!$A$4=0))),0,IF(10=$K39,200000,ABS(10-$K39)*100)),100000+ABS(2-$J39)*1000+100)+'計算A'!AK$5*50+IF(AND($E39=1,JX39=0),25,0),INDEX('計算A'!AK$110:AK$114,$F39+1)+IF(AND($E39=1,JX39=0),1000,0)+IF($H39=1,(IF('計算A'!AJ$117=1,INDEX('計算A'!AJ$10:AJ$54,$B39),0)+IF('計算A'!AK$117=1,INDEX('計算A'!AL$10:AL$54,$B39),0))*500,0)-IF(AND('計算A'!AJ$117=1,VH39&gt;0),300,0)-IF(AND($L39=1,'計算A'!AK$117=1,EJ39=0),300,0))),1000000))</f>
        <v/>
      </c>
      <c r="PN39">
        <f>IF($B39=0,1000000,IF(INDEX('計算A'!$D$60:$EQ$104,$B39,35)*EJ39=1,IF(AND($E39=2,JY39=0),1000000,IF($I39&gt;0,IF(2=$J39,IF(OR(AND(35=$I39+1,OR($K39&lt;&gt;'計算A'!$A$3,'計算A'!$A$4=0)),AND(35=$I39-1,OR(11&lt;&gt;'計算A'!$A$3,'計算A'!$A$4=0))),0,IF(11=$K39,200000,ABS(11-$K39)*100)),100000+ABS(2-$J39)*1000+110)+'計算A'!AL$5*50+IF(AND($E39=1,JY39=0),25,0),INDEX('計算A'!AL$110:AL$114,$F39+1)+IF(AND($E39=1,JY39=0),1000,0)+IF($H39=1,(IF('計算A'!AK$117=1,INDEX('計算A'!AK$10:AK$54,$B39),0)+IF('計算A'!AL$117=1,INDEX('計算A'!AM$10:AM$54,$B39),0))*500,0)-IF(AND('計算A'!AK$117=1,VI39&gt;0),300,0)-IF(AND($L39=1,'計算A'!AL$117=1,EK39=0),300,0))),1000000))</f>
        <v/>
      </c>
      <c r="PO39">
        <f>IF($B39=0,1000000,IF(INDEX('計算A'!$D$60:$EQ$104,$B39,36)*EK39=1,IF(AND($E39=2,JZ39=0),1000000,IF($I39&gt;0,IF(2=$J39,IF(OR(AND(36=$I39+1,OR($K39&lt;&gt;'計算A'!$A$3,'計算A'!$A$4=0)),AND(36=$I39-1,OR(12&lt;&gt;'計算A'!$A$3,'計算A'!$A$4=0))),0,IF(12=$K39,200000,ABS(12-$K39)*100)),100000+ABS(2-$J39)*1000+120)+'計算A'!AM$5*50+IF(AND($E39=1,JZ39=0),25,0),INDEX('計算A'!AM$110:AM$114,$F39+1)+IF(AND($E39=1,JZ39=0),1000,0)+IF($H39=1,(IF('計算A'!AL$117=1,INDEX('計算A'!AL$10:AL$54,$B39),0)+IF('計算A'!AM$117=1,INDEX('計算A'!AN$10:AN$54,$B39),0))*500,0)-IF(AND('計算A'!AL$117=1,VJ39&gt;0),300,0)-IF(AND($L39=1,'計算A'!AM$117=1,EL39=0),300,0))),1000000))</f>
        <v/>
      </c>
      <c r="PP39">
        <f>IF($B39=0,1000000,IF(INDEX('計算A'!$D$60:$EQ$104,$B39,37)*EL39=1,IF(AND($E39=2,KA39=0),1000000,IF($I39&gt;0,IF(2=$J39,IF(OR(AND(37=$I39+1,OR($K39&lt;&gt;'計算A'!$A$3,'計算A'!$A$4=0)),AND(37=$I39-1,OR(13&lt;&gt;'計算A'!$A$3,'計算A'!$A$4=0))),0,IF(13=$K39,200000,ABS(13-$K39)*100)),100000+ABS(2-$J39)*1000+130)+'計算A'!AN$5*50+IF(AND($E39=1,KA39=0),25,0),INDEX('計算A'!AN$110:AN$114,$F39+1)+IF(AND($E39=1,KA39=0),1000,0)+IF($H39=1,(IF('計算A'!AM$117=1,INDEX('計算A'!AM$10:AM$54,$B39),0)+IF('計算A'!AN$117=1,INDEX('計算A'!AO$10:AO$54,$B39),0))*500,0)-IF(AND('計算A'!AM$117=1,VK39&gt;0),300,0)-IF(AND($L39=1,'計算A'!AN$117=1,EM39=0),300,0))),1000000))</f>
        <v/>
      </c>
      <c r="PQ39">
        <f>IF($B39=0,1000000,IF(INDEX('計算A'!$D$60:$EQ$104,$B39,38)*EM39=1,IF(AND($E39=2,KB39=0),1000000,IF($I39&gt;0,IF(2=$J39,IF(OR(AND(38=$I39+1,OR($K39&lt;&gt;'計算A'!$A$3,'計算A'!$A$4=0)),AND(38=$I39-1,OR(14&lt;&gt;'計算A'!$A$3,'計算A'!$A$4=0))),0,IF(14=$K39,200000,ABS(14-$K39)*100)),100000+ABS(2-$J39)*1000+140)+'計算A'!AO$5*50+IF(AND($E39=1,KB39=0),25,0),INDEX('計算A'!AO$110:AO$114,$F39+1)+IF(AND($E39=1,KB39=0),1000,0)+IF($H39=1,(IF('計算A'!AN$117=1,INDEX('計算A'!AN$10:AN$54,$B39),0)+IF('計算A'!AO$117=1,INDEX('計算A'!AP$10:AP$54,$B39),0))*500,0)-IF(AND('計算A'!AN$117=1,VL39&gt;0),300,0)-IF(AND($L39=1,'計算A'!AO$117=1,EN39=0),300,0))),1000000))</f>
        <v/>
      </c>
      <c r="PR39">
        <f>IF($B39=0,1000000,IF(INDEX('計算A'!$D$60:$EQ$104,$B39,39)*EN39=1,IF(AND($E39=2,KC39=0),1000000,IF($I39&gt;0,IF(2=$J39,IF(OR(AND(39=$I39+1,OR($K39&lt;&gt;'計算A'!$A$3,'計算A'!$A$4=0)),AND(39=$I39-1,OR(15&lt;&gt;'計算A'!$A$3,'計算A'!$A$4=0))),0,IF(15=$K39,200000,ABS(15-$K39)*100)),100000+ABS(2-$J39)*1000+150)+'計算A'!AP$5*50+IF(AND($E39=1,KC39=0),25,0),INDEX('計算A'!AP$110:AP$114,$F39+1)+IF(AND($E39=1,KC39=0),1000,0)+IF($H39=1,(IF('計算A'!AO$117=1,INDEX('計算A'!AO$10:AO$54,$B39),0)+IF('計算A'!AP$117=1,INDEX('計算A'!AQ$10:AQ$54,$B39),0))*500,0)-IF(AND('計算A'!AO$117=1,VM39&gt;0),300,0)-IF(AND($L39=1,'計算A'!AP$117=1,EO39=0),300,0))),1000000))</f>
        <v/>
      </c>
      <c r="PS39">
        <f>IF($B39=0,1000000,IF(INDEX('計算A'!$D$60:$EQ$104,$B39,40)*EO39=1,IF(AND($E39=2,KD39=0),1000000,IF($I39&gt;0,IF(2=$J39,IF(OR(AND(40=$I39+1,OR($K39&lt;&gt;'計算A'!$A$3,'計算A'!$A$4=0)),AND(40=$I39-1,OR(16&lt;&gt;'計算A'!$A$3,'計算A'!$A$4=0))),0,IF(16=$K39,200000,ABS(16-$K39)*100)),100000+ABS(2-$J39)*1000+160)+'計算A'!AQ$5*50+IF(AND($E39=1,KD39=0),25,0),INDEX('計算A'!AQ$110:AQ$114,$F39+1)+IF(AND($E39=1,KD39=0),1000,0)+IF($H39=1,(IF('計算A'!AP$117=1,INDEX('計算A'!AP$10:AP$54,$B39),0)+IF('計算A'!AQ$117=1,INDEX('計算A'!AR$10:AR$54,$B39),0))*500,0)-IF(AND('計算A'!AP$117=1,VN39&gt;0),300,0)-IF(AND($L39=1,'計算A'!AQ$117=1,EP39=0),300,0))),1000000))</f>
        <v/>
      </c>
      <c r="PT39">
        <f>IF($B39=0,1000000,IF(INDEX('計算A'!$D$60:$EQ$104,$B39,41)*EP39=1,IF(AND($E39=2,KE39=0),1000000,IF($I39&gt;0,IF(2=$J39,IF(OR(AND(41=$I39+1,OR($K39&lt;&gt;'計算A'!$A$3,'計算A'!$A$4=0)),AND(41=$I39-1,OR(17&lt;&gt;'計算A'!$A$3,'計算A'!$A$4=0))),0,IF(17=$K39,200000,ABS(17-$K39)*100)),100000+ABS(2-$J39)*1000+170)+'計算A'!AR$5*50+IF(AND($E39=1,KE39=0),25,0),INDEX('計算A'!AR$110:AR$114,$F39+1)+IF(AND($E39=1,KE39=0),1000,0)+IF($H39=1,(IF('計算A'!AQ$117=1,INDEX('計算A'!AQ$10:AQ$54,$B39),0)+IF('計算A'!AR$117=1,INDEX('計算A'!AS$10:AS$54,$B39),0))*500,0)-IF(AND('計算A'!AQ$117=1,VO39&gt;0),300,0)-IF(AND($L39=1,'計算A'!AR$117=1,EQ39=0),300,0))),1000000))</f>
        <v/>
      </c>
      <c r="PU39">
        <f>IF($B39=0,1000000,IF(INDEX('計算A'!$D$60:$EQ$104,$B39,42)*EQ39=1,IF(AND($E39=2,KF39=0),1000000,IF($I39&gt;0,IF(2=$J39,IF(OR(AND(42=$I39+1,OR($K39&lt;&gt;'計算A'!$A$3,'計算A'!$A$4=0)),AND(42=$I39-1,OR(18&lt;&gt;'計算A'!$A$3,'計算A'!$A$4=0))),0,IF(18=$K39,200000,ABS(18-$K39)*100)),100000+ABS(2-$J39)*1000+180)+'計算A'!AS$5*50+IF(AND($E39=1,KF39=0),25,0),INDEX('計算A'!AS$110:AS$114,$F39+1)+IF(AND($E39=1,KF39=0),1000,0)+IF($H39=1,(IF('計算A'!AR$117=1,INDEX('計算A'!AR$10:AR$54,$B39),0)+IF('計算A'!AS$117=1,INDEX('計算A'!AT$10:AT$54,$B39),0))*500,0)-IF(AND('計算A'!AR$117=1,VP39&gt;0),300,0)-IF(AND($L39=1,'計算A'!AS$117=1,ER39=0),300,0))),1000000))</f>
        <v/>
      </c>
      <c r="PV39">
        <f>IF($B39=0,1000000,IF(INDEX('計算A'!$D$60:$EQ$104,$B39,43)*ER39=1,IF(AND($E39=2,KG39=0),1000000,IF($I39&gt;0,IF(2=$J39,IF(OR(AND(43=$I39+1,OR($K39&lt;&gt;'計算A'!$A$3,'計算A'!$A$4=0)),AND(43=$I39-1,OR(19&lt;&gt;'計算A'!$A$3,'計算A'!$A$4=0))),0,IF(19=$K39,200000,ABS(19-$K39)*100)),100000+ABS(2-$J39)*1000+190)+'計算A'!AT$5*50+IF(AND($E39=1,KG39=0),25,0),INDEX('計算A'!AT$110:AT$114,$F39+1)+IF(AND($E39=1,KG39=0),1000,0)+IF($H39=1,(IF('計算A'!AS$117=1,INDEX('計算A'!AS$10:AS$54,$B39),0)+IF('計算A'!AT$117=1,INDEX('計算A'!AU$10:AU$54,$B39),0))*500,0)-IF(AND('計算A'!AS$117=1,VQ39&gt;0),300,0)-IF(AND($L39=1,'計算A'!AT$117=1,ES39=0),300,0))),1000000))</f>
        <v/>
      </c>
      <c r="PW39">
        <f>IF($B39=0,1000000,IF(INDEX('計算A'!$D$60:$EQ$104,$B39,44)*ES39=1,IF(AND($E39=2,KH39=0),1000000,IF($I39&gt;0,IF(2=$J39,IF(OR(AND(44=$I39+1,OR($K39&lt;&gt;'計算A'!$A$3,'計算A'!$A$4=0)),AND(44=$I39-1,OR(20&lt;&gt;'計算A'!$A$3,'計算A'!$A$4=0))),0,IF(20=$K39,200000,ABS(20-$K39)*100)),100000+ABS(2-$J39)*1000+200)+'計算A'!AU$5*50+IF(AND($E39=1,KH39=0),25,0),INDEX('計算A'!AU$110:AU$114,$F39+1)+IF(AND($E39=1,KH39=0),1000,0)+IF($H39=1,(IF('計算A'!AT$117=1,INDEX('計算A'!AT$10:AT$54,$B39),0)+IF('計算A'!AU$117=1,INDEX('計算A'!AV$10:AV$54,$B39),0))*500,0)-IF(AND('計算A'!AT$117=1,VR39&gt;0),300,0)-IF(AND($L39=1,'計算A'!AU$117=1,ET39=0),300,0))),1000000))</f>
        <v/>
      </c>
      <c r="PX39">
        <f>IF($B39=0,1000000,IF(INDEX('計算A'!$D$60:$EQ$104,$B39,45)*ET39=1,IF(AND($E39=2,KI39=0),1000000,IF($I39&gt;0,IF(2=$J39,IF(OR(AND(45=$I39+1,OR($K39&lt;&gt;'計算A'!$A$3,'計算A'!$A$4=0)),AND(45=$I39-1,OR(21&lt;&gt;'計算A'!$A$3,'計算A'!$A$4=0))),0,IF(21=$K39,200000,ABS(21-$K39)*100)),100000+ABS(2-$J39)*1000+210)+'計算A'!AV$5*50+IF(AND($E39=1,KI39=0),25,0),INDEX('計算A'!AV$110:AV$114,$F39+1)+IF(AND($E39=1,KI39=0),1000,0)+IF($H39=1,(IF('計算A'!AU$117=1,INDEX('計算A'!AU$10:AU$54,$B39),0)+IF('計算A'!AV$117=1,INDEX('計算A'!AW$10:AW$54,$B39),0))*500,0)-IF(AND('計算A'!AU$117=1,VS39&gt;0),300,0)-IF(AND($L39=1,'計算A'!AV$117=1,EU39=0),300,0))),1000000))</f>
        <v/>
      </c>
      <c r="PY39">
        <f>IF($B39=0,1000000,IF(INDEX('計算A'!$D$60:$EQ$104,$B39,46)*EU39=1,IF(AND($E39=2,KJ39=0),1000000,IF($I39&gt;0,IF(2=$J39,IF(OR(AND(46=$I39+1,OR($K39&lt;&gt;'計算A'!$A$3,'計算A'!$A$4=0)),AND(46=$I39-1,OR(22&lt;&gt;'計算A'!$A$3,'計算A'!$A$4=0))),0,IF(22=$K39,200000,ABS(22-$K39)*100)),100000+ABS(2-$J39)*1000+220)+'計算A'!AW$5*50+IF(AND($E39=1,KJ39=0),25,0),INDEX('計算A'!AW$110:AW$114,$F39+1)+IF(AND($E39=1,KJ39=0),1000,0)+IF($H39=1,(IF('計算A'!AV$117=1,INDEX('計算A'!AV$10:AV$54,$B39),0)+IF('計算A'!AW$117=1,INDEX('計算A'!AX$10:AX$54,$B39),0))*500,0)-IF(AND('計算A'!AV$117=1,VT39&gt;0),300,0)-IF(AND($L39=1,'計算A'!AW$117=1,EV39=0),300,0))),1000000))</f>
        <v/>
      </c>
      <c r="PZ39">
        <f>IF($B39=0,1000000,IF(INDEX('計算A'!$D$60:$EQ$104,$B39,47)*EV39=1,IF(AND($E39=2,KK39=0),1000000,IF($I39&gt;0,IF(2=$J39,IF(OR(AND(47=$I39+1,OR($K39&lt;&gt;'計算A'!$A$3,'計算A'!$A$4=0)),AND(47=$I39-1,OR(23&lt;&gt;'計算A'!$A$3,'計算A'!$A$4=0))),0,IF(23=$K39,200000,ABS(23-$K39)*100)),100000+ABS(2-$J39)*1000+230)+'計算A'!AX$5*50+IF(AND($E39=1,KK39=0),25,0),INDEX('計算A'!AX$110:AX$114,$F39+1)+IF(AND($E39=1,KK39=0),1000,0)+IF($H39=1,(IF('計算A'!AW$117=1,INDEX('計算A'!AW$10:AW$54,$B39),0)+IF('計算A'!AX$117=1,INDEX('計算A'!AY$10:AY$54,$B39),0))*500,0)-IF(AND('計算A'!AW$117=1,VU39&gt;0),300,0)-IF(AND($L39=1,'計算A'!AX$117=1,EW39=0),300,0))),1000000))</f>
        <v/>
      </c>
      <c r="QA39">
        <f>IF($B39=0,1000000,IF(INDEX('計算A'!$D$60:$EQ$104,$B39,48)*EW39=1,IF(AND($E39=2,KL39=0),1000000,IF($I39&gt;0,IF(2=$J39,IF(OR(AND(48=$I39+1,OR($K39&lt;&gt;'計算A'!$A$3,'計算A'!$A$4=0)),AND(48=$I39-1,OR(24&lt;&gt;'計算A'!$A$3,'計算A'!$A$4=0))),0,IF(24=$K39,200000,ABS(24-$K39)*100)),100000+ABS(2-$J39)*1000+240)+'計算A'!AY$5*50+IF(AND($E39=1,KL39=0),25,0),INDEX('計算A'!AY$110:AY$114,$F39+1)+IF(AND($E39=1,KL39=0),1000,0)+IF($H39=1,(IF('計算A'!AX$117=1,INDEX('計算A'!AX$10:AX$54,$B39),0))*500,0)-IF(AND('計算A'!AX$117=1,VV39&gt;0),300,0))),1000000))</f>
        <v/>
      </c>
      <c r="QB39">
        <f>IF($B39=0,1000000,IF(INDEX('計算A'!$D$60:$EQ$104,$B39,49)*EX39=1,IF(AND($E39=2,KM39=0),1000000,IF($I39&gt;0,IF(3=$J39,IF(OR(AND(49=$I39+1,OR($K39&lt;&gt;'計算A'!$A$3,'計算A'!$A$4=0)),AND(49=$I39-1,OR(1&lt;&gt;'計算A'!$A$3,'計算A'!$A$4=0))),0,IF(1=$K39,200000,ABS(1-$K39)*100)),100000+ABS(3-$J39)*1000+10)+'計算A'!AZ$5*50+IF(AND($E39=1,KM39=0),25,0),INDEX('計算A'!AZ$110:AZ$114,$F39+1)+IF(AND($E39=1,KM39=0),1000,0)+IF($H39=1,(IF('計算A'!AZ$117=1,INDEX('計算A'!BA$10:BA$54,$B39),0))*500,0)-IF(AND($L39=1,'計算A'!AZ$117=1,EY39=0),300,0))),1000000))</f>
        <v/>
      </c>
      <c r="QC39">
        <f>IF($B39=0,1000000,IF(INDEX('計算A'!$D$60:$EQ$104,$B39,50)*EY39=1,IF(AND($E39=2,KN39=0),1000000,IF($I39&gt;0,IF(3=$J39,IF(OR(AND(50=$I39+1,OR($K39&lt;&gt;'計算A'!$A$3,'計算A'!$A$4=0)),AND(50=$I39-1,OR(2&lt;&gt;'計算A'!$A$3,'計算A'!$A$4=0))),0,IF(2=$K39,200000,ABS(2-$K39)*100)),100000+ABS(3-$J39)*1000+20)+'計算A'!BA$5*50+IF(AND($E39=1,KN39=0),25,0),INDEX('計算A'!BA$110:BA$114,$F39+1)+IF(AND($E39=1,KN39=0),1000,0)+IF($H39=1,(IF('計算A'!AZ$117=1,INDEX('計算A'!AZ$10:AZ$54,$B39),0)+IF('計算A'!BA$117=1,INDEX('計算A'!BB$10:BB$54,$B39),0))*500,0)-IF(AND('計算A'!AZ$117=1,VX39&gt;0),300,0)-IF(AND($L39=1,'計算A'!BA$117=1,EZ39=0),300,0))),1000000))</f>
        <v/>
      </c>
      <c r="QD39">
        <f>IF($B39=0,1000000,IF(INDEX('計算A'!$D$60:$EQ$104,$B39,51)*EZ39=1,IF(AND($E39=2,KO39=0),1000000,IF($I39&gt;0,IF(3=$J39,IF(OR(AND(51=$I39+1,OR($K39&lt;&gt;'計算A'!$A$3,'計算A'!$A$4=0)),AND(51=$I39-1,OR(3&lt;&gt;'計算A'!$A$3,'計算A'!$A$4=0))),0,IF(3=$K39,200000,ABS(3-$K39)*100)),100000+ABS(3-$J39)*1000+30)+'計算A'!BB$5*50+IF(AND($E39=1,KO39=0),25,0),INDEX('計算A'!BB$110:BB$114,$F39+1)+IF(AND($E39=1,KO39=0),1000,0)+IF($H39=1,(IF('計算A'!BA$117=1,INDEX('計算A'!BA$10:BA$54,$B39),0)+IF('計算A'!BB$117=1,INDEX('計算A'!BC$10:BC$54,$B39),0))*500,0)-IF(AND('計算A'!BA$117=1,VY39&gt;0),300,0)-IF(AND($L39=1,'計算A'!BB$117=1,FA39=0),300,0))),1000000))</f>
        <v/>
      </c>
      <c r="QE39">
        <f>IF($B39=0,1000000,IF(INDEX('計算A'!$D$60:$EQ$104,$B39,52)*FA39=1,IF(AND($E39=2,KP39=0),1000000,IF($I39&gt;0,IF(3=$J39,IF(OR(AND(52=$I39+1,OR($K39&lt;&gt;'計算A'!$A$3,'計算A'!$A$4=0)),AND(52=$I39-1,OR(4&lt;&gt;'計算A'!$A$3,'計算A'!$A$4=0))),0,IF(4=$K39,200000,ABS(4-$K39)*100)),100000+ABS(3-$J39)*1000+40)+'計算A'!BC$5*50+IF(AND($E39=1,KP39=0),25,0),INDEX('計算A'!BC$110:BC$114,$F39+1)+IF(AND($E39=1,KP39=0),1000,0)+IF($H39=1,(IF('計算A'!BB$117=1,INDEX('計算A'!BB$10:BB$54,$B39),0)+IF('計算A'!BC$117=1,INDEX('計算A'!BD$10:BD$54,$B39),0))*500,0)-IF(AND('計算A'!BB$117=1,VZ39&gt;0),300,0)-IF(AND($L39=1,'計算A'!BC$117=1,FB39=0),300,0))),1000000))</f>
        <v/>
      </c>
      <c r="QF39">
        <f>IF($B39=0,1000000,IF(INDEX('計算A'!$D$60:$EQ$104,$B39,53)*FB39=1,IF(AND($E39=2,KQ39=0),1000000,IF($I39&gt;0,IF(3=$J39,IF(OR(AND(53=$I39+1,OR($K39&lt;&gt;'計算A'!$A$3,'計算A'!$A$4=0)),AND(53=$I39-1,OR(5&lt;&gt;'計算A'!$A$3,'計算A'!$A$4=0))),0,IF(5=$K39,200000,ABS(5-$K39)*100)),100000+ABS(3-$J39)*1000+50)+'計算A'!BD$5*50+IF(AND($E39=1,KQ39=0),25,0),INDEX('計算A'!BD$110:BD$114,$F39+1)+IF(AND($E39=1,KQ39=0),1000,0)+IF($H39=1,(IF('計算A'!BC$117=1,INDEX('計算A'!BC$10:BC$54,$B39),0)+IF('計算A'!BD$117=1,INDEX('計算A'!BE$10:BE$54,$B39),0))*500,0)-IF(AND('計算A'!BC$117=1,WA39&gt;0),300,0)-IF(AND($L39=1,'計算A'!BD$117=1,FC39=0),300,0))),1000000))</f>
        <v/>
      </c>
      <c r="QG39">
        <f>IF($B39=0,1000000,IF(INDEX('計算A'!$D$60:$EQ$104,$B39,54)*FC39=1,IF(AND($E39=2,KR39=0),1000000,IF($I39&gt;0,IF(3=$J39,IF(OR(AND(54=$I39+1,OR($K39&lt;&gt;'計算A'!$A$3,'計算A'!$A$4=0)),AND(54=$I39-1,OR(6&lt;&gt;'計算A'!$A$3,'計算A'!$A$4=0))),0,IF(6=$K39,200000,ABS(6-$K39)*100)),100000+ABS(3-$J39)*1000+60)+'計算A'!BE$5*50+IF(AND($E39=1,KR39=0),25,0),INDEX('計算A'!BE$110:BE$114,$F39+1)+IF(AND($E39=1,KR39=0),1000,0)+IF($H39=1,(IF('計算A'!BD$117=1,INDEX('計算A'!BD$10:BD$54,$B39),0)+IF('計算A'!BE$117=1,INDEX('計算A'!BF$10:BF$54,$B39),0))*500,0)-IF(AND('計算A'!BD$117=1,WB39&gt;0),300,0)-IF(AND($L39=1,'計算A'!BE$117=1,FD39=0),300,0))),1000000))</f>
        <v/>
      </c>
      <c r="QH39">
        <f>IF($B39=0,1000000,IF(INDEX('計算A'!$D$60:$EQ$104,$B39,55)*FD39=1,IF(AND($E39=2,KS39=0),1000000,IF($I39&gt;0,IF(3=$J39,IF(OR(AND(55=$I39+1,OR($K39&lt;&gt;'計算A'!$A$3,'計算A'!$A$4=0)),AND(55=$I39-1,OR(7&lt;&gt;'計算A'!$A$3,'計算A'!$A$4=0))),0,IF(7=$K39,200000,ABS(7-$K39)*100)),100000+ABS(3-$J39)*1000+70)+'計算A'!BF$5*50+IF(AND($E39=1,KS39=0),25,0),INDEX('計算A'!BF$110:BF$114,$F39+1)+IF(AND($E39=1,KS39=0),1000,0)+IF($H39=1,(IF('計算A'!BE$117=1,INDEX('計算A'!BE$10:BE$54,$B39),0)+IF('計算A'!BF$117=1,INDEX('計算A'!BG$10:BG$54,$B39),0))*500,0)-IF(AND('計算A'!BE$117=1,WC39&gt;0),300,0)-IF(AND($L39=1,'計算A'!BF$117=1,FE39=0),300,0))),1000000))</f>
        <v/>
      </c>
      <c r="QI39">
        <f>IF($B39=0,1000000,IF(INDEX('計算A'!$D$60:$EQ$104,$B39,56)*FE39=1,IF(AND($E39=2,KT39=0),1000000,IF($I39&gt;0,IF(3=$J39,IF(OR(AND(56=$I39+1,OR($K39&lt;&gt;'計算A'!$A$3,'計算A'!$A$4=0)),AND(56=$I39-1,OR(8&lt;&gt;'計算A'!$A$3,'計算A'!$A$4=0))),0,IF(8=$K39,200000,ABS(8-$K39)*100)),100000+ABS(3-$J39)*1000+80)+'計算A'!BG$5*50+IF(AND($E39=1,KT39=0),25,0),INDEX('計算A'!BG$110:BG$114,$F39+1)+IF(AND($E39=1,KT39=0),1000,0)+IF($H39=1,(IF('計算A'!BF$117=1,INDEX('計算A'!BF$10:BF$54,$B39),0)+IF('計算A'!BG$117=1,INDEX('計算A'!BH$10:BH$54,$B39),0))*500,0)-IF(AND('計算A'!BF$117=1,WD39&gt;0),300,0)-IF(AND($L39=1,'計算A'!BG$117=1,FF39=0),300,0))),1000000))</f>
        <v/>
      </c>
      <c r="QJ39">
        <f>IF($B39=0,1000000,IF(INDEX('計算A'!$D$60:$EQ$104,$B39,57)*FF39=1,IF(AND($E39=2,KU39=0),1000000,IF($I39&gt;0,IF(3=$J39,IF(OR(AND(57=$I39+1,OR($K39&lt;&gt;'計算A'!$A$3,'計算A'!$A$4=0)),AND(57=$I39-1,OR(9&lt;&gt;'計算A'!$A$3,'計算A'!$A$4=0))),0,IF(9=$K39,200000,ABS(9-$K39)*100)),100000+ABS(3-$J39)*1000+90)+'計算A'!BH$5*50+IF(AND($E39=1,KU39=0),25,0),INDEX('計算A'!BH$110:BH$114,$F39+1)+IF(AND($E39=1,KU39=0),1000,0)+IF($H39=1,(IF('計算A'!BG$117=1,INDEX('計算A'!BG$10:BG$54,$B39),0)+IF('計算A'!BH$117=1,INDEX('計算A'!BI$10:BI$54,$B39),0))*500,0)-IF(AND('計算A'!BG$117=1,WE39&gt;0),300,0)-IF(AND($L39=1,'計算A'!BH$117=1,FG39=0),300,0))),1000000))</f>
        <v/>
      </c>
      <c r="QK39">
        <f>IF($B39=0,1000000,IF(INDEX('計算A'!$D$60:$EQ$104,$B39,58)*FG39=1,IF(AND($E39=2,KV39=0),1000000,IF($I39&gt;0,IF(3=$J39,IF(OR(AND(58=$I39+1,OR($K39&lt;&gt;'計算A'!$A$3,'計算A'!$A$4=0)),AND(58=$I39-1,OR(10&lt;&gt;'計算A'!$A$3,'計算A'!$A$4=0))),0,IF(10=$K39,200000,ABS(10-$K39)*100)),100000+ABS(3-$J39)*1000+100)+'計算A'!BI$5*50+IF(AND($E39=1,KV39=0),25,0),INDEX('計算A'!BI$110:BI$114,$F39+1)+IF(AND($E39=1,KV39=0),1000,0)+IF($H39=1,(IF('計算A'!BH$117=1,INDEX('計算A'!BH$10:BH$54,$B39),0)+IF('計算A'!BI$117=1,INDEX('計算A'!BJ$10:BJ$54,$B39),0))*500,0)-IF(AND('計算A'!BH$117=1,WF39&gt;0),300,0)-IF(AND($L39=1,'計算A'!BI$117=1,FH39=0),300,0))),1000000))</f>
        <v/>
      </c>
      <c r="QL39">
        <f>IF($B39=0,1000000,IF(INDEX('計算A'!$D$60:$EQ$104,$B39,59)*FH39=1,IF(AND($E39=2,KW39=0),1000000,IF($I39&gt;0,IF(3=$J39,IF(OR(AND(59=$I39+1,OR($K39&lt;&gt;'計算A'!$A$3,'計算A'!$A$4=0)),AND(59=$I39-1,OR(11&lt;&gt;'計算A'!$A$3,'計算A'!$A$4=0))),0,IF(11=$K39,200000,ABS(11-$K39)*100)),100000+ABS(3-$J39)*1000+110)+'計算A'!BJ$5*50+IF(AND($E39=1,KW39=0),25,0),INDEX('計算A'!BJ$110:BJ$114,$F39+1)+IF(AND($E39=1,KW39=0),1000,0)+IF($H39=1,(IF('計算A'!BI$117=1,INDEX('計算A'!BI$10:BI$54,$B39),0)+IF('計算A'!BJ$117=1,INDEX('計算A'!BK$10:BK$54,$B39),0))*500,0)-IF(AND('計算A'!BI$117=1,WG39&gt;0),300,0)-IF(AND($L39=1,'計算A'!BJ$117=1,FI39=0),300,0))),1000000))</f>
        <v/>
      </c>
      <c r="QM39">
        <f>IF($B39=0,1000000,IF(INDEX('計算A'!$D$60:$EQ$104,$B39,60)*FI39=1,IF(AND($E39=2,KX39=0),1000000,IF($I39&gt;0,IF(3=$J39,IF(OR(AND(60=$I39+1,OR($K39&lt;&gt;'計算A'!$A$3,'計算A'!$A$4=0)),AND(60=$I39-1,OR(12&lt;&gt;'計算A'!$A$3,'計算A'!$A$4=0))),0,IF(12=$K39,200000,ABS(12-$K39)*100)),100000+ABS(3-$J39)*1000+120)+'計算A'!BK$5*50+IF(AND($E39=1,KX39=0),25,0),INDEX('計算A'!BK$110:BK$114,$F39+1)+IF(AND($E39=1,KX39=0),1000,0)+IF($H39=1,(IF('計算A'!BJ$117=1,INDEX('計算A'!BJ$10:BJ$54,$B39),0)+IF('計算A'!BK$117=1,INDEX('計算A'!BL$10:BL$54,$B39),0))*500,0)-IF(AND('計算A'!BJ$117=1,WH39&gt;0),300,0)-IF(AND($L39=1,'計算A'!BK$117=1,FJ39=0),300,0))),1000000))</f>
        <v/>
      </c>
      <c r="QN39">
        <f>IF($B39=0,1000000,IF(INDEX('計算A'!$D$60:$EQ$104,$B39,61)*FJ39=1,IF(AND($E39=2,KY39=0),1000000,IF($I39&gt;0,IF(3=$J39,IF(OR(AND(61=$I39+1,OR($K39&lt;&gt;'計算A'!$A$3,'計算A'!$A$4=0)),AND(61=$I39-1,OR(13&lt;&gt;'計算A'!$A$3,'計算A'!$A$4=0))),0,IF(13=$K39,200000,ABS(13-$K39)*100)),100000+ABS(3-$J39)*1000+130)+'計算A'!BL$5*50+IF(AND($E39=1,KY39=0),25,0),INDEX('計算A'!BL$110:BL$114,$F39+1)+IF(AND($E39=1,KY39=0),1000,0)+IF($H39=1,(IF('計算A'!BK$117=1,INDEX('計算A'!BK$10:BK$54,$B39),0)+IF('計算A'!BL$117=1,INDEX('計算A'!BM$10:BM$54,$B39),0))*500,0)-IF(AND('計算A'!BK$117=1,WI39&gt;0),300,0)-IF(AND($L39=1,'計算A'!BL$117=1,FK39=0),300,0))),1000000))</f>
        <v/>
      </c>
      <c r="QO39">
        <f>IF($B39=0,1000000,IF(INDEX('計算A'!$D$60:$EQ$104,$B39,62)*FK39=1,IF(AND($E39=2,KZ39=0),1000000,IF($I39&gt;0,IF(3=$J39,IF(OR(AND(62=$I39+1,OR($K39&lt;&gt;'計算A'!$A$3,'計算A'!$A$4=0)),AND(62=$I39-1,OR(14&lt;&gt;'計算A'!$A$3,'計算A'!$A$4=0))),0,IF(14=$K39,200000,ABS(14-$K39)*100)),100000+ABS(3-$J39)*1000+140)+'計算A'!BM$5*50+IF(AND($E39=1,KZ39=0),25,0),INDEX('計算A'!BM$110:BM$114,$F39+1)+IF(AND($E39=1,KZ39=0),1000,0)+IF($H39=1,(IF('計算A'!BL$117=1,INDEX('計算A'!BL$10:BL$54,$B39),0)+IF('計算A'!BM$117=1,INDEX('計算A'!BN$10:BN$54,$B39),0))*500,0)-IF(AND('計算A'!BL$117=1,WJ39&gt;0),300,0)-IF(AND($L39=1,'計算A'!BM$117=1,FL39=0),300,0))),1000000))</f>
        <v/>
      </c>
      <c r="QP39">
        <f>IF($B39=0,1000000,IF(INDEX('計算A'!$D$60:$EQ$104,$B39,63)*FL39=1,IF(AND($E39=2,LA39=0),1000000,IF($I39&gt;0,IF(3=$J39,IF(OR(AND(63=$I39+1,OR($K39&lt;&gt;'計算A'!$A$3,'計算A'!$A$4=0)),AND(63=$I39-1,OR(15&lt;&gt;'計算A'!$A$3,'計算A'!$A$4=0))),0,IF(15=$K39,200000,ABS(15-$K39)*100)),100000+ABS(3-$J39)*1000+150)+'計算A'!BN$5*50+IF(AND($E39=1,LA39=0),25,0),INDEX('計算A'!BN$110:BN$114,$F39+1)+IF(AND($E39=1,LA39=0),1000,0)+IF($H39=1,(IF('計算A'!BM$117=1,INDEX('計算A'!BM$10:BM$54,$B39),0)+IF('計算A'!BN$117=1,INDEX('計算A'!BO$10:BO$54,$B39),0))*500,0)-IF(AND('計算A'!BM$117=1,WK39&gt;0),300,0)-IF(AND($L39=1,'計算A'!BN$117=1,FM39=0),300,0))),1000000))</f>
        <v/>
      </c>
      <c r="QQ39">
        <f>IF($B39=0,1000000,IF(INDEX('計算A'!$D$60:$EQ$104,$B39,64)*FM39=1,IF(AND($E39=2,LB39=0),1000000,IF($I39&gt;0,IF(3=$J39,IF(OR(AND(64=$I39+1,OR($K39&lt;&gt;'計算A'!$A$3,'計算A'!$A$4=0)),AND(64=$I39-1,OR(16&lt;&gt;'計算A'!$A$3,'計算A'!$A$4=0))),0,IF(16=$K39,200000,ABS(16-$K39)*100)),100000+ABS(3-$J39)*1000+160)+'計算A'!BO$5*50+IF(AND($E39=1,LB39=0),25,0),INDEX('計算A'!BO$110:BO$114,$F39+1)+IF(AND($E39=1,LB39=0),1000,0)+IF($H39=1,(IF('計算A'!BN$117=1,INDEX('計算A'!BN$10:BN$54,$B39),0)+IF('計算A'!BO$117=1,INDEX('計算A'!BP$10:BP$54,$B39),0))*500,0)-IF(AND('計算A'!BN$117=1,WL39&gt;0),300,0)-IF(AND($L39=1,'計算A'!BO$117=1,FN39=0),300,0))),1000000))</f>
        <v/>
      </c>
      <c r="QR39">
        <f>IF($B39=0,1000000,IF(INDEX('計算A'!$D$60:$EQ$104,$B39,65)*FN39=1,IF(AND($E39=2,LC39=0),1000000,IF($I39&gt;0,IF(3=$J39,IF(OR(AND(65=$I39+1,OR($K39&lt;&gt;'計算A'!$A$3,'計算A'!$A$4=0)),AND(65=$I39-1,OR(17&lt;&gt;'計算A'!$A$3,'計算A'!$A$4=0))),0,IF(17=$K39,200000,ABS(17-$K39)*100)),100000+ABS(3-$J39)*1000+170)+'計算A'!BP$5*50+IF(AND($E39=1,LC39=0),25,0),INDEX('計算A'!BP$110:BP$114,$F39+1)+IF(AND($E39=1,LC39=0),1000,0)+IF($H39=1,(IF('計算A'!BO$117=1,INDEX('計算A'!BO$10:BO$54,$B39),0)+IF('計算A'!BP$117=1,INDEX('計算A'!BQ$10:BQ$54,$B39),0))*500,0)-IF(AND('計算A'!BO$117=1,WM39&gt;0),300,0)-IF(AND($L39=1,'計算A'!BP$117=1,FO39=0),300,0))),1000000))</f>
        <v/>
      </c>
      <c r="QS39">
        <f>IF($B39=0,1000000,IF(INDEX('計算A'!$D$60:$EQ$104,$B39,66)*FO39=1,IF(AND($E39=2,LD39=0),1000000,IF($I39&gt;0,IF(3=$J39,IF(OR(AND(66=$I39+1,OR($K39&lt;&gt;'計算A'!$A$3,'計算A'!$A$4=0)),AND(66=$I39-1,OR(18&lt;&gt;'計算A'!$A$3,'計算A'!$A$4=0))),0,IF(18=$K39,200000,ABS(18-$K39)*100)),100000+ABS(3-$J39)*1000+180)+'計算A'!BQ$5*50+IF(AND($E39=1,LD39=0),25,0),INDEX('計算A'!BQ$110:BQ$114,$F39+1)+IF(AND($E39=1,LD39=0),1000,0)+IF($H39=1,(IF('計算A'!BP$117=1,INDEX('計算A'!BP$10:BP$54,$B39),0)+IF('計算A'!BQ$117=1,INDEX('計算A'!BR$10:BR$54,$B39),0))*500,0)-IF(AND('計算A'!BP$117=1,WN39&gt;0),300,0)-IF(AND($L39=1,'計算A'!BQ$117=1,FP39=0),300,0))),1000000))</f>
        <v/>
      </c>
      <c r="QT39">
        <f>IF($B39=0,1000000,IF(INDEX('計算A'!$D$60:$EQ$104,$B39,67)*FP39=1,IF(AND($E39=2,LE39=0),1000000,IF($I39&gt;0,IF(3=$J39,IF(OR(AND(67=$I39+1,OR($K39&lt;&gt;'計算A'!$A$3,'計算A'!$A$4=0)),AND(67=$I39-1,OR(19&lt;&gt;'計算A'!$A$3,'計算A'!$A$4=0))),0,IF(19=$K39,200000,ABS(19-$K39)*100)),100000+ABS(3-$J39)*1000+190)+'計算A'!BR$5*50+IF(AND($E39=1,LE39=0),25,0),INDEX('計算A'!BR$110:BR$114,$F39+1)+IF(AND($E39=1,LE39=0),1000,0)+IF($H39=1,(IF('計算A'!BQ$117=1,INDEX('計算A'!BQ$10:BQ$54,$B39),0)+IF('計算A'!BR$117=1,INDEX('計算A'!BS$10:BS$54,$B39),0))*500,0)-IF(AND('計算A'!BQ$117=1,WO39&gt;0),300,0)-IF(AND($L39=1,'計算A'!BR$117=1,FQ39=0),300,0))),1000000))</f>
        <v/>
      </c>
      <c r="QU39">
        <f>IF($B39=0,1000000,IF(INDEX('計算A'!$D$60:$EQ$104,$B39,68)*FQ39=1,IF(AND($E39=2,LF39=0),1000000,IF($I39&gt;0,IF(3=$J39,IF(OR(AND(68=$I39+1,OR($K39&lt;&gt;'計算A'!$A$3,'計算A'!$A$4=0)),AND(68=$I39-1,OR(20&lt;&gt;'計算A'!$A$3,'計算A'!$A$4=0))),0,IF(20=$K39,200000,ABS(20-$K39)*100)),100000+ABS(3-$J39)*1000+200)+'計算A'!BS$5*50+IF(AND($E39=1,LF39=0),25,0),INDEX('計算A'!BS$110:BS$114,$F39+1)+IF(AND($E39=1,LF39=0),1000,0)+IF($H39=1,(IF('計算A'!BR$117=1,INDEX('計算A'!BR$10:BR$54,$B39),0)+IF('計算A'!BS$117=1,INDEX('計算A'!BT$10:BT$54,$B39),0))*500,0)-IF(AND('計算A'!BR$117=1,WP39&gt;0),300,0)-IF(AND($L39=1,'計算A'!BS$117=1,FR39=0),300,0))),1000000))</f>
        <v/>
      </c>
      <c r="QV39">
        <f>IF($B39=0,1000000,IF(INDEX('計算A'!$D$60:$EQ$104,$B39,69)*FR39=1,IF(AND($E39=2,LG39=0),1000000,IF($I39&gt;0,IF(3=$J39,IF(OR(AND(69=$I39+1,OR($K39&lt;&gt;'計算A'!$A$3,'計算A'!$A$4=0)),AND(69=$I39-1,OR(21&lt;&gt;'計算A'!$A$3,'計算A'!$A$4=0))),0,IF(21=$K39,200000,ABS(21-$K39)*100)),100000+ABS(3-$J39)*1000+210)+'計算A'!BT$5*50+IF(AND($E39=1,LG39=0),25,0),INDEX('計算A'!BT$110:BT$114,$F39+1)+IF(AND($E39=1,LG39=0),1000,0)+IF($H39=1,(IF('計算A'!BS$117=1,INDEX('計算A'!BS$10:BS$54,$B39),0)+IF('計算A'!BT$117=1,INDEX('計算A'!BU$10:BU$54,$B39),0))*500,0)-IF(AND('計算A'!BS$117=1,WQ39&gt;0),300,0)-IF(AND($L39=1,'計算A'!BT$117=1,FS39=0),300,0))),1000000))</f>
        <v/>
      </c>
      <c r="QW39">
        <f>IF($B39=0,1000000,IF(INDEX('計算A'!$D$60:$EQ$104,$B39,70)*FS39=1,IF(AND($E39=2,LH39=0),1000000,IF($I39&gt;0,IF(3=$J39,IF(OR(AND(70=$I39+1,OR($K39&lt;&gt;'計算A'!$A$3,'計算A'!$A$4=0)),AND(70=$I39-1,OR(22&lt;&gt;'計算A'!$A$3,'計算A'!$A$4=0))),0,IF(22=$K39,200000,ABS(22-$K39)*100)),100000+ABS(3-$J39)*1000+220)+'計算A'!BU$5*50+IF(AND($E39=1,LH39=0),25,0),INDEX('計算A'!BU$110:BU$114,$F39+1)+IF(AND($E39=1,LH39=0),1000,0)+IF($H39=1,(IF('計算A'!BT$117=1,INDEX('計算A'!BT$10:BT$54,$B39),0)+IF('計算A'!BU$117=1,INDEX('計算A'!BV$10:BV$54,$B39),0))*500,0)-IF(AND('計算A'!BT$117=1,WR39&gt;0),300,0)-IF(AND($L39=1,'計算A'!BU$117=1,FT39=0),300,0))),1000000))</f>
        <v/>
      </c>
      <c r="QX39">
        <f>IF($B39=0,1000000,IF(INDEX('計算A'!$D$60:$EQ$104,$B39,71)*FT39=1,IF(AND($E39=2,LI39=0),1000000,IF($I39&gt;0,IF(3=$J39,IF(OR(AND(71=$I39+1,OR($K39&lt;&gt;'計算A'!$A$3,'計算A'!$A$4=0)),AND(71=$I39-1,OR(23&lt;&gt;'計算A'!$A$3,'計算A'!$A$4=0))),0,IF(23=$K39,200000,ABS(23-$K39)*100)),100000+ABS(3-$J39)*1000+230)+'計算A'!BV$5*50+IF(AND($E39=1,LI39=0),25,0),INDEX('計算A'!BV$110:BV$114,$F39+1)+IF(AND($E39=1,LI39=0),1000,0)+IF($H39=1,(IF('計算A'!BU$117=1,INDEX('計算A'!BU$10:BU$54,$B39),0)+IF('計算A'!BV$117=1,INDEX('計算A'!BW$10:BW$54,$B39),0))*500,0)-IF(AND('計算A'!BU$117=1,WS39&gt;0),300,0)-IF(AND($L39=1,'計算A'!BV$117=1,FU39=0),300,0))),1000000))</f>
        <v/>
      </c>
      <c r="QY39">
        <f>IF($B39=0,1000000,IF(INDEX('計算A'!$D$60:$EQ$104,$B39,72)*FU39=1,IF(AND($E39=2,LJ39=0),1000000,IF($I39&gt;0,IF(3=$J39,IF(OR(AND(72=$I39+1,OR($K39&lt;&gt;'計算A'!$A$3,'計算A'!$A$4=0)),AND(72=$I39-1,OR(24&lt;&gt;'計算A'!$A$3,'計算A'!$A$4=0))),0,IF(24=$K39,200000,ABS(24-$K39)*100)),100000+ABS(3-$J39)*1000+240)+'計算A'!BW$5*50+IF(AND($E39=1,LJ39=0),25,0),INDEX('計算A'!BW$110:BW$114,$F39+1)+IF(AND($E39=1,LJ39=0),1000,0)+IF($H39=1,(IF('計算A'!BV$117=1,INDEX('計算A'!BV$10:BV$54,$B39),0))*500,0)-IF(AND('計算A'!BV$117=1,WT39&gt;0),300,0))),1000000))</f>
        <v/>
      </c>
      <c r="QZ39">
        <f>IF($B39=0,1000000,IF(INDEX('計算A'!$D$60:$EQ$104,$B39,73)*FV39=1,IF(AND($E39=2,LK39=0),1000000,IF($I39&gt;0,IF(4=$J39,IF(OR(AND(73=$I39+1,OR($K39&lt;&gt;'計算A'!$A$3,'計算A'!$A$4=0)),AND(73=$I39-1,OR(1&lt;&gt;'計算A'!$A$3,'計算A'!$A$4=0))),0,IF(1=$K39,200000,ABS(1-$K39)*100)),100000+ABS(4-$J39)*1000+10)+'計算A'!BX$5*50+IF(AND($E39=1,LK39=0),25,0),INDEX('計算A'!BX$110:BX$114,$F39+1)+IF(AND($E39=1,LK39=0),1000,0)+IF($H39=1,(IF('計算A'!BX$117=1,INDEX('計算A'!BY$10:BY$54,$B39),0))*500,0)-IF(AND($L39=1,'計算A'!BX$117=1,FW39=0),300,0))),1000000))</f>
        <v/>
      </c>
      <c r="RA39">
        <f>IF($B39=0,1000000,IF(INDEX('計算A'!$D$60:$EQ$104,$B39,74)*FW39=1,IF(AND($E39=2,LL39=0),1000000,IF($I39&gt;0,IF(4=$J39,IF(OR(AND(74=$I39+1,OR($K39&lt;&gt;'計算A'!$A$3,'計算A'!$A$4=0)),AND(74=$I39-1,OR(2&lt;&gt;'計算A'!$A$3,'計算A'!$A$4=0))),0,IF(2=$K39,200000,ABS(2-$K39)*100)),100000+ABS(4-$J39)*1000+20)+'計算A'!BY$5*50+IF(AND($E39=1,LL39=0),25,0),INDEX('計算A'!BY$110:BY$114,$F39+1)+IF(AND($E39=1,LL39=0),1000,0)+IF($H39=1,(IF('計算A'!BX$117=1,INDEX('計算A'!BX$10:BX$54,$B39),0)+IF('計算A'!BY$117=1,INDEX('計算A'!BZ$10:BZ$54,$B39),0))*500,0)-IF(AND('計算A'!BX$117=1,WV39&gt;0),300,0)-IF(AND($L39=1,'計算A'!BY$117=1,FX39=0),300,0))),1000000))</f>
        <v/>
      </c>
      <c r="RB39">
        <f>IF($B39=0,1000000,IF(INDEX('計算A'!$D$60:$EQ$104,$B39,75)*FX39=1,IF(AND($E39=2,LM39=0),1000000,IF($I39&gt;0,IF(4=$J39,IF(OR(AND(75=$I39+1,OR($K39&lt;&gt;'計算A'!$A$3,'計算A'!$A$4=0)),AND(75=$I39-1,OR(3&lt;&gt;'計算A'!$A$3,'計算A'!$A$4=0))),0,IF(3=$K39,200000,ABS(3-$K39)*100)),100000+ABS(4-$J39)*1000+30)+'計算A'!BZ$5*50+IF(AND($E39=1,LM39=0),25,0),INDEX('計算A'!BZ$110:BZ$114,$F39+1)+IF(AND($E39=1,LM39=0),1000,0)+IF($H39=1,(IF('計算A'!BY$117=1,INDEX('計算A'!BY$10:BY$54,$B39),0)+IF('計算A'!BZ$117=1,INDEX('計算A'!CA$10:CA$54,$B39),0))*500,0)-IF(AND('計算A'!BY$117=1,WW39&gt;0),300,0)-IF(AND($L39=1,'計算A'!BZ$117=1,FY39=0),300,0))),1000000))</f>
        <v/>
      </c>
      <c r="RC39">
        <f>IF($B39=0,1000000,IF(INDEX('計算A'!$D$60:$EQ$104,$B39,76)*FY39=1,IF(AND($E39=2,LN39=0),1000000,IF($I39&gt;0,IF(4=$J39,IF(OR(AND(76=$I39+1,OR($K39&lt;&gt;'計算A'!$A$3,'計算A'!$A$4=0)),AND(76=$I39-1,OR(4&lt;&gt;'計算A'!$A$3,'計算A'!$A$4=0))),0,IF(4=$K39,200000,ABS(4-$K39)*100)),100000+ABS(4-$J39)*1000+40)+'計算A'!CA$5*50+IF(AND($E39=1,LN39=0),25,0),INDEX('計算A'!CA$110:CA$114,$F39+1)+IF(AND($E39=1,LN39=0),1000,0)+IF($H39=1,(IF('計算A'!BZ$117=1,INDEX('計算A'!BZ$10:BZ$54,$B39),0)+IF('計算A'!CA$117=1,INDEX('計算A'!CB$10:CB$54,$B39),0))*500,0)-IF(AND('計算A'!BZ$117=1,WX39&gt;0),300,0)-IF(AND($L39=1,'計算A'!CA$117=1,FZ39=0),300,0))),1000000))</f>
        <v/>
      </c>
      <c r="RD39">
        <f>IF($B39=0,1000000,IF(INDEX('計算A'!$D$60:$EQ$104,$B39,77)*FZ39=1,IF(AND($E39=2,LO39=0),1000000,IF($I39&gt;0,IF(4=$J39,IF(OR(AND(77=$I39+1,OR($K39&lt;&gt;'計算A'!$A$3,'計算A'!$A$4=0)),AND(77=$I39-1,OR(5&lt;&gt;'計算A'!$A$3,'計算A'!$A$4=0))),0,IF(5=$K39,200000,ABS(5-$K39)*100)),100000+ABS(4-$J39)*1000+50)+'計算A'!CB$5*50+IF(AND($E39=1,LO39=0),25,0),INDEX('計算A'!CB$110:CB$114,$F39+1)+IF(AND($E39=1,LO39=0),1000,0)+IF($H39=1,(IF('計算A'!CA$117=1,INDEX('計算A'!CA$10:CA$54,$B39),0)+IF('計算A'!CB$117=1,INDEX('計算A'!CC$10:CC$54,$B39),0))*500,0)-IF(AND('計算A'!CA$117=1,WY39&gt;0),300,0)-IF(AND($L39=1,'計算A'!CB$117=1,GA39=0),300,0))),1000000))</f>
        <v/>
      </c>
      <c r="RE39">
        <f>IF($B39=0,1000000,IF(INDEX('計算A'!$D$60:$EQ$104,$B39,78)*GA39=1,IF(AND($E39=2,LP39=0),1000000,IF($I39&gt;0,IF(4=$J39,IF(OR(AND(78=$I39+1,OR($K39&lt;&gt;'計算A'!$A$3,'計算A'!$A$4=0)),AND(78=$I39-1,OR(6&lt;&gt;'計算A'!$A$3,'計算A'!$A$4=0))),0,IF(6=$K39,200000,ABS(6-$K39)*100)),100000+ABS(4-$J39)*1000+60)+'計算A'!CC$5*50+IF(AND($E39=1,LP39=0),25,0),INDEX('計算A'!CC$110:CC$114,$F39+1)+IF(AND($E39=1,LP39=0),1000,0)+IF($H39=1,(IF('計算A'!CB$117=1,INDEX('計算A'!CB$10:CB$54,$B39),0)+IF('計算A'!CC$117=1,INDEX('計算A'!CD$10:CD$54,$B39),0))*500,0)-IF(AND('計算A'!CB$117=1,WZ39&gt;0),300,0)-IF(AND($L39=1,'計算A'!CC$117=1,GB39=0),300,0))),1000000))</f>
        <v/>
      </c>
      <c r="RF39">
        <f>IF($B39=0,1000000,IF(INDEX('計算A'!$D$60:$EQ$104,$B39,79)*GB39=1,IF(AND($E39=2,LQ39=0),1000000,IF($I39&gt;0,IF(4=$J39,IF(OR(AND(79=$I39+1,OR($K39&lt;&gt;'計算A'!$A$3,'計算A'!$A$4=0)),AND(79=$I39-1,OR(7&lt;&gt;'計算A'!$A$3,'計算A'!$A$4=0))),0,IF(7=$K39,200000,ABS(7-$K39)*100)),100000+ABS(4-$J39)*1000+70)+'計算A'!CD$5*50+IF(AND($E39=1,LQ39=0),25,0),INDEX('計算A'!CD$110:CD$114,$F39+1)+IF(AND($E39=1,LQ39=0),1000,0)+IF($H39=1,(IF('計算A'!CC$117=1,INDEX('計算A'!CC$10:CC$54,$B39),0)+IF('計算A'!CD$117=1,INDEX('計算A'!CE$10:CE$54,$B39),0))*500,0)-IF(AND('計算A'!CC$117=1,XA39&gt;0),300,0)-IF(AND($L39=1,'計算A'!CD$117=1,GC39=0),300,0))),1000000))</f>
        <v/>
      </c>
      <c r="RG39">
        <f>IF($B39=0,1000000,IF(INDEX('計算A'!$D$60:$EQ$104,$B39,80)*GC39=1,IF(AND($E39=2,LR39=0),1000000,IF($I39&gt;0,IF(4=$J39,IF(OR(AND(80=$I39+1,OR($K39&lt;&gt;'計算A'!$A$3,'計算A'!$A$4=0)),AND(80=$I39-1,OR(8&lt;&gt;'計算A'!$A$3,'計算A'!$A$4=0))),0,IF(8=$K39,200000,ABS(8-$K39)*100)),100000+ABS(4-$J39)*1000+80)+'計算A'!CE$5*50+IF(AND($E39=1,LR39=0),25,0),INDEX('計算A'!CE$110:CE$114,$F39+1)+IF(AND($E39=1,LR39=0),1000,0)+IF($H39=1,(IF('計算A'!CD$117=1,INDEX('計算A'!CD$10:CD$54,$B39),0)+IF('計算A'!CE$117=1,INDEX('計算A'!CF$10:CF$54,$B39),0))*500,0)-IF(AND('計算A'!CD$117=1,XB39&gt;0),300,0)-IF(AND($L39=1,'計算A'!CE$117=1,GD39=0),300,0))),1000000))</f>
        <v/>
      </c>
      <c r="RH39">
        <f>IF($B39=0,1000000,IF(INDEX('計算A'!$D$60:$EQ$104,$B39,81)*GD39=1,IF(AND($E39=2,LS39=0),1000000,IF($I39&gt;0,IF(4=$J39,IF(OR(AND(81=$I39+1,OR($K39&lt;&gt;'計算A'!$A$3,'計算A'!$A$4=0)),AND(81=$I39-1,OR(9&lt;&gt;'計算A'!$A$3,'計算A'!$A$4=0))),0,IF(9=$K39,200000,ABS(9-$K39)*100)),100000+ABS(4-$J39)*1000+90)+'計算A'!CF$5*50+IF(AND($E39=1,LS39=0),25,0),INDEX('計算A'!CF$110:CF$114,$F39+1)+IF(AND($E39=1,LS39=0),1000,0)+IF($H39=1,(IF('計算A'!CE$117=1,INDEX('計算A'!CE$10:CE$54,$B39),0)+IF('計算A'!CF$117=1,INDEX('計算A'!CG$10:CG$54,$B39),0))*500,0)-IF(AND('計算A'!CE$117=1,XC39&gt;0),300,0)-IF(AND($L39=1,'計算A'!CF$117=1,GE39=0),300,0))),1000000))</f>
        <v/>
      </c>
      <c r="RI39">
        <f>IF($B39=0,1000000,IF(INDEX('計算A'!$D$60:$EQ$104,$B39,82)*GE39=1,IF(AND($E39=2,LT39=0),1000000,IF($I39&gt;0,IF(4=$J39,IF(OR(AND(82=$I39+1,OR($K39&lt;&gt;'計算A'!$A$3,'計算A'!$A$4=0)),AND(82=$I39-1,OR(10&lt;&gt;'計算A'!$A$3,'計算A'!$A$4=0))),0,IF(10=$K39,200000,ABS(10-$K39)*100)),100000+ABS(4-$J39)*1000+100)+'計算A'!CG$5*50+IF(AND($E39=1,LT39=0),25,0),INDEX('計算A'!CG$110:CG$114,$F39+1)+IF(AND($E39=1,LT39=0),1000,0)+IF($H39=1,(IF('計算A'!CF$117=1,INDEX('計算A'!CF$10:CF$54,$B39),0)+IF('計算A'!CG$117=1,INDEX('計算A'!CH$10:CH$54,$B39),0))*500,0)-IF(AND('計算A'!CF$117=1,XD39&gt;0),300,0)-IF(AND($L39=1,'計算A'!CG$117=1,GF39=0),300,0))),1000000))</f>
        <v/>
      </c>
      <c r="RJ39">
        <f>IF($B39=0,1000000,IF(INDEX('計算A'!$D$60:$EQ$104,$B39,83)*GF39=1,IF(AND($E39=2,LU39=0),1000000,IF($I39&gt;0,IF(4=$J39,IF(OR(AND(83=$I39+1,OR($K39&lt;&gt;'計算A'!$A$3,'計算A'!$A$4=0)),AND(83=$I39-1,OR(11&lt;&gt;'計算A'!$A$3,'計算A'!$A$4=0))),0,IF(11=$K39,200000,ABS(11-$K39)*100)),100000+ABS(4-$J39)*1000+110)+'計算A'!CH$5*50+IF(AND($E39=1,LU39=0),25,0),INDEX('計算A'!CH$110:CH$114,$F39+1)+IF(AND($E39=1,LU39=0),1000,0)+IF($H39=1,(IF('計算A'!CG$117=1,INDEX('計算A'!CG$10:CG$54,$B39),0)+IF('計算A'!CH$117=1,INDEX('計算A'!CI$10:CI$54,$B39),0))*500,0)-IF(AND('計算A'!CG$117=1,XE39&gt;0),300,0)-IF(AND($L39=1,'計算A'!CH$117=1,GG39=0),300,0))),1000000))</f>
        <v/>
      </c>
      <c r="RK39">
        <f>IF($B39=0,1000000,IF(INDEX('計算A'!$D$60:$EQ$104,$B39,84)*GG39=1,IF(AND($E39=2,LV39=0),1000000,IF($I39&gt;0,IF(4=$J39,IF(OR(AND(84=$I39+1,OR($K39&lt;&gt;'計算A'!$A$3,'計算A'!$A$4=0)),AND(84=$I39-1,OR(12&lt;&gt;'計算A'!$A$3,'計算A'!$A$4=0))),0,IF(12=$K39,200000,ABS(12-$K39)*100)),100000+ABS(4-$J39)*1000+120)+'計算A'!CI$5*50+IF(AND($E39=1,LV39=0),25,0),INDEX('計算A'!CI$110:CI$114,$F39+1)+IF(AND($E39=1,LV39=0),1000,0)+IF($H39=1,(IF('計算A'!CH$117=1,INDEX('計算A'!CH$10:CH$54,$B39),0)+IF('計算A'!CI$117=1,INDEX('計算A'!CJ$10:CJ$54,$B39),0))*500,0)-IF(AND('計算A'!CH$117=1,XF39&gt;0),300,0)-IF(AND($L39=1,'計算A'!CI$117=1,GH39=0),300,0))),1000000))</f>
        <v/>
      </c>
      <c r="RL39">
        <f>IF($B39=0,1000000,IF(INDEX('計算A'!$D$60:$EQ$104,$B39,85)*GH39=1,IF(AND($E39=2,LW39=0),1000000,IF($I39&gt;0,IF(4=$J39,IF(OR(AND(85=$I39+1,OR($K39&lt;&gt;'計算A'!$A$3,'計算A'!$A$4=0)),AND(85=$I39-1,OR(13&lt;&gt;'計算A'!$A$3,'計算A'!$A$4=0))),0,IF(13=$K39,200000,ABS(13-$K39)*100)),100000+ABS(4-$J39)*1000+130)+'計算A'!CJ$5*50+IF(AND($E39=1,LW39=0),25,0),INDEX('計算A'!CJ$110:CJ$114,$F39+1)+IF(AND($E39=1,LW39=0),1000,0)+IF($H39=1,(IF('計算A'!CI$117=1,INDEX('計算A'!CI$10:CI$54,$B39),0)+IF('計算A'!CJ$117=1,INDEX('計算A'!CK$10:CK$54,$B39),0))*500,0)-IF(AND('計算A'!CI$117=1,XG39&gt;0),300,0)-IF(AND($L39=1,'計算A'!CJ$117=1,GI39=0),300,0))),1000000))</f>
        <v/>
      </c>
      <c r="RM39">
        <f>IF($B39=0,1000000,IF(INDEX('計算A'!$D$60:$EQ$104,$B39,86)*GI39=1,IF(AND($E39=2,LX39=0),1000000,IF($I39&gt;0,IF(4=$J39,IF(OR(AND(86=$I39+1,OR($K39&lt;&gt;'計算A'!$A$3,'計算A'!$A$4=0)),AND(86=$I39-1,OR(14&lt;&gt;'計算A'!$A$3,'計算A'!$A$4=0))),0,IF(14=$K39,200000,ABS(14-$K39)*100)),100000+ABS(4-$J39)*1000+140)+'計算A'!CK$5*50+IF(AND($E39=1,LX39=0),25,0),INDEX('計算A'!CK$110:CK$114,$F39+1)+IF(AND($E39=1,LX39=0),1000,0)+IF($H39=1,(IF('計算A'!CJ$117=1,INDEX('計算A'!CJ$10:CJ$54,$B39),0)+IF('計算A'!CK$117=1,INDEX('計算A'!CL$10:CL$54,$B39),0))*500,0)-IF(AND('計算A'!CJ$117=1,XH39&gt;0),300,0)-IF(AND($L39=1,'計算A'!CK$117=1,GJ39=0),300,0))),1000000))</f>
        <v/>
      </c>
      <c r="RN39">
        <f>IF($B39=0,1000000,IF(INDEX('計算A'!$D$60:$EQ$104,$B39,87)*GJ39=1,IF(AND($E39=2,LY39=0),1000000,IF($I39&gt;0,IF(4=$J39,IF(OR(AND(87=$I39+1,OR($K39&lt;&gt;'計算A'!$A$3,'計算A'!$A$4=0)),AND(87=$I39-1,OR(15&lt;&gt;'計算A'!$A$3,'計算A'!$A$4=0))),0,IF(15=$K39,200000,ABS(15-$K39)*100)),100000+ABS(4-$J39)*1000+150)+'計算A'!CL$5*50+IF(AND($E39=1,LY39=0),25,0),INDEX('計算A'!CL$110:CL$114,$F39+1)+IF(AND($E39=1,LY39=0),1000,0)+IF($H39=1,(IF('計算A'!CK$117=1,INDEX('計算A'!CK$10:CK$54,$B39),0)+IF('計算A'!CL$117=1,INDEX('計算A'!CM$10:CM$54,$B39),0))*500,0)-IF(AND('計算A'!CK$117=1,XI39&gt;0),300,0)-IF(AND($L39=1,'計算A'!CL$117=1,GK39=0),300,0))),1000000))</f>
        <v/>
      </c>
      <c r="RO39">
        <f>IF($B39=0,1000000,IF(INDEX('計算A'!$D$60:$EQ$104,$B39,88)*GK39=1,IF(AND($E39=2,LZ39=0),1000000,IF($I39&gt;0,IF(4=$J39,IF(OR(AND(88=$I39+1,OR($K39&lt;&gt;'計算A'!$A$3,'計算A'!$A$4=0)),AND(88=$I39-1,OR(16&lt;&gt;'計算A'!$A$3,'計算A'!$A$4=0))),0,IF(16=$K39,200000,ABS(16-$K39)*100)),100000+ABS(4-$J39)*1000+160)+'計算A'!CM$5*50+IF(AND($E39=1,LZ39=0),25,0),INDEX('計算A'!CM$110:CM$114,$F39+1)+IF(AND($E39=1,LZ39=0),1000,0)+IF($H39=1,(IF('計算A'!CL$117=1,INDEX('計算A'!CL$10:CL$54,$B39),0)+IF('計算A'!CM$117=1,INDEX('計算A'!CN$10:CN$54,$B39),0))*500,0)-IF(AND('計算A'!CL$117=1,XJ39&gt;0),300,0)-IF(AND($L39=1,'計算A'!CM$117=1,GL39=0),300,0))),1000000))</f>
        <v/>
      </c>
      <c r="RP39">
        <f>IF($B39=0,1000000,IF(INDEX('計算A'!$D$60:$EQ$104,$B39,89)*GL39=1,IF(AND($E39=2,MA39=0),1000000,IF($I39&gt;0,IF(4=$J39,IF(OR(AND(89=$I39+1,OR($K39&lt;&gt;'計算A'!$A$3,'計算A'!$A$4=0)),AND(89=$I39-1,OR(17&lt;&gt;'計算A'!$A$3,'計算A'!$A$4=0))),0,IF(17=$K39,200000,ABS(17-$K39)*100)),100000+ABS(4-$J39)*1000+170)+'計算A'!CN$5*50+IF(AND($E39=1,MA39=0),25,0),INDEX('計算A'!CN$110:CN$114,$F39+1)+IF(AND($E39=1,MA39=0),1000,0)+IF($H39=1,(IF('計算A'!CM$117=1,INDEX('計算A'!CM$10:CM$54,$B39),0)+IF('計算A'!CN$117=1,INDEX('計算A'!CO$10:CO$54,$B39),0))*500,0)-IF(AND('計算A'!CM$117=1,XK39&gt;0),300,0)-IF(AND($L39=1,'計算A'!CN$117=1,GM39=0),300,0))),1000000))</f>
        <v/>
      </c>
      <c r="RQ39">
        <f>IF($B39=0,1000000,IF(INDEX('計算A'!$D$60:$EQ$104,$B39,90)*GM39=1,IF(AND($E39=2,MB39=0),1000000,IF($I39&gt;0,IF(4=$J39,IF(OR(AND(90=$I39+1,OR($K39&lt;&gt;'計算A'!$A$3,'計算A'!$A$4=0)),AND(90=$I39-1,OR(18&lt;&gt;'計算A'!$A$3,'計算A'!$A$4=0))),0,IF(18=$K39,200000,ABS(18-$K39)*100)),100000+ABS(4-$J39)*1000+180)+'計算A'!CO$5*50+IF(AND($E39=1,MB39=0),25,0),INDEX('計算A'!CO$110:CO$114,$F39+1)+IF(AND($E39=1,MB39=0),1000,0)+IF($H39=1,(IF('計算A'!CN$117=1,INDEX('計算A'!CN$10:CN$54,$B39),0)+IF('計算A'!CO$117=1,INDEX('計算A'!CP$10:CP$54,$B39),0))*500,0)-IF(AND('計算A'!CN$117=1,XL39&gt;0),300,0)-IF(AND($L39=1,'計算A'!CO$117=1,GN39=0),300,0))),1000000))</f>
        <v/>
      </c>
      <c r="RR39">
        <f>IF($B39=0,1000000,IF(INDEX('計算A'!$D$60:$EQ$104,$B39,91)*GN39=1,IF(AND($E39=2,MC39=0),1000000,IF($I39&gt;0,IF(4=$J39,IF(OR(AND(91=$I39+1,OR($K39&lt;&gt;'計算A'!$A$3,'計算A'!$A$4=0)),AND(91=$I39-1,OR(19&lt;&gt;'計算A'!$A$3,'計算A'!$A$4=0))),0,IF(19=$K39,200000,ABS(19-$K39)*100)),100000+ABS(4-$J39)*1000+190)+'計算A'!CP$5*50+IF(AND($E39=1,MC39=0),25,0),INDEX('計算A'!CP$110:CP$114,$F39+1)+IF(AND($E39=1,MC39=0),1000,0)+IF($H39=1,(IF('計算A'!CO$117=1,INDEX('計算A'!CO$10:CO$54,$B39),0)+IF('計算A'!CP$117=1,INDEX('計算A'!CQ$10:CQ$54,$B39),0))*500,0)-IF(AND('計算A'!CO$117=1,XM39&gt;0),300,0)-IF(AND($L39=1,'計算A'!CP$117=1,GO39=0),300,0))),1000000))</f>
        <v/>
      </c>
      <c r="RS39">
        <f>IF($B39=0,1000000,IF(INDEX('計算A'!$D$60:$EQ$104,$B39,92)*GO39=1,IF(AND($E39=2,MD39=0),1000000,IF($I39&gt;0,IF(4=$J39,IF(OR(AND(92=$I39+1,OR($K39&lt;&gt;'計算A'!$A$3,'計算A'!$A$4=0)),AND(92=$I39-1,OR(20&lt;&gt;'計算A'!$A$3,'計算A'!$A$4=0))),0,IF(20=$K39,200000,ABS(20-$K39)*100)),100000+ABS(4-$J39)*1000+200)+'計算A'!CQ$5*50+IF(AND($E39=1,MD39=0),25,0),INDEX('計算A'!CQ$110:CQ$114,$F39+1)+IF(AND($E39=1,MD39=0),1000,0)+IF($H39=1,(IF('計算A'!CP$117=1,INDEX('計算A'!CP$10:CP$54,$B39),0)+IF('計算A'!CQ$117=1,INDEX('計算A'!CR$10:CR$54,$B39),0))*500,0)-IF(AND('計算A'!CP$117=1,XN39&gt;0),300,0)-IF(AND($L39=1,'計算A'!CQ$117=1,GP39=0),300,0))),1000000))</f>
        <v/>
      </c>
      <c r="RT39">
        <f>IF($B39=0,1000000,IF(INDEX('計算A'!$D$60:$EQ$104,$B39,93)*GP39=1,IF(AND($E39=2,ME39=0),1000000,IF($I39&gt;0,IF(4=$J39,IF(OR(AND(93=$I39+1,OR($K39&lt;&gt;'計算A'!$A$3,'計算A'!$A$4=0)),AND(93=$I39-1,OR(21&lt;&gt;'計算A'!$A$3,'計算A'!$A$4=0))),0,IF(21=$K39,200000,ABS(21-$K39)*100)),100000+ABS(4-$J39)*1000+210)+'計算A'!CR$5*50+IF(AND($E39=1,ME39=0),25,0),INDEX('計算A'!CR$110:CR$114,$F39+1)+IF(AND($E39=1,ME39=0),1000,0)+IF($H39=1,(IF('計算A'!CQ$117=1,INDEX('計算A'!CQ$10:CQ$54,$B39),0)+IF('計算A'!CR$117=1,INDEX('計算A'!CS$10:CS$54,$B39),0))*500,0)-IF(AND('計算A'!CQ$117=1,XO39&gt;0),300,0)-IF(AND($L39=1,'計算A'!CR$117=1,GQ39=0),300,0))),1000000))</f>
        <v/>
      </c>
      <c r="RU39">
        <f>IF($B39=0,1000000,IF(INDEX('計算A'!$D$60:$EQ$104,$B39,94)*GQ39=1,IF(AND($E39=2,MF39=0),1000000,IF($I39&gt;0,IF(4=$J39,IF(OR(AND(94=$I39+1,OR($K39&lt;&gt;'計算A'!$A$3,'計算A'!$A$4=0)),AND(94=$I39-1,OR(22&lt;&gt;'計算A'!$A$3,'計算A'!$A$4=0))),0,IF(22=$K39,200000,ABS(22-$K39)*100)),100000+ABS(4-$J39)*1000+220)+'計算A'!CS$5*50+IF(AND($E39=1,MF39=0),25,0),INDEX('計算A'!CS$110:CS$114,$F39+1)+IF(AND($E39=1,MF39=0),1000,0)+IF($H39=1,(IF('計算A'!CR$117=1,INDEX('計算A'!CR$10:CR$54,$B39),0)+IF('計算A'!CS$117=1,INDEX('計算A'!CT$10:CT$54,$B39),0))*500,0)-IF(AND('計算A'!CR$117=1,XP39&gt;0),300,0)-IF(AND($L39=1,'計算A'!CS$117=1,GR39=0),300,0))),1000000))</f>
        <v/>
      </c>
      <c r="RV39">
        <f>IF($B39=0,1000000,IF(INDEX('計算A'!$D$60:$EQ$104,$B39,95)*GR39=1,IF(AND($E39=2,MG39=0),1000000,IF($I39&gt;0,IF(4=$J39,IF(OR(AND(95=$I39+1,OR($K39&lt;&gt;'計算A'!$A$3,'計算A'!$A$4=0)),AND(95=$I39-1,OR(23&lt;&gt;'計算A'!$A$3,'計算A'!$A$4=0))),0,IF(23=$K39,200000,ABS(23-$K39)*100)),100000+ABS(4-$J39)*1000+230)+'計算A'!CT$5*50+IF(AND($E39=1,MG39=0),25,0),INDEX('計算A'!CT$110:CT$114,$F39+1)+IF(AND($E39=1,MG39=0),1000,0)+IF($H39=1,(IF('計算A'!CS$117=1,INDEX('計算A'!CS$10:CS$54,$B39),0)+IF('計算A'!CT$117=1,INDEX('計算A'!CU$10:CU$54,$B39),0))*500,0)-IF(AND('計算A'!CS$117=1,XQ39&gt;0),300,0)-IF(AND($L39=1,'計算A'!CT$117=1,GS39=0),300,0))),1000000))</f>
        <v/>
      </c>
      <c r="RW39">
        <f>IF($B39=0,1000000,IF(INDEX('計算A'!$D$60:$EQ$104,$B39,96)*GS39=1,IF(AND($E39=2,MH39=0),1000000,IF($I39&gt;0,IF(4=$J39,IF(OR(AND(96=$I39+1,OR($K39&lt;&gt;'計算A'!$A$3,'計算A'!$A$4=0)),AND(96=$I39-1,OR(24&lt;&gt;'計算A'!$A$3,'計算A'!$A$4=0))),0,IF(24=$K39,200000,ABS(24-$K39)*100)),100000+ABS(4-$J39)*1000+240)+'計算A'!CU$5*50+IF(AND($E39=1,MH39=0),25,0),INDEX('計算A'!CU$110:CU$114,$F39+1)+IF(AND($E39=1,MH39=0),1000,0)+IF($H39=1,(IF('計算A'!CT$117=1,INDEX('計算A'!CT$10:CT$54,$B39),0))*500,0)-IF(AND('計算A'!CT$117=1,XR39&gt;0),300,0))),1000000))</f>
        <v/>
      </c>
      <c r="RX39">
        <f>IF($B39=0,1000000,IF(INDEX('計算A'!$D$60:$EQ$104,$B39,97)*GT39=1,IF(AND($E39=2,MI39=0),1000000,IF($I39&gt;0,IF(5=$J39,IF(OR(AND(97=$I39+1,OR($K39&lt;&gt;'計算A'!$A$3,'計算A'!$A$4=0)),AND(97=$I39-1,OR(1&lt;&gt;'計算A'!$A$3,'計算A'!$A$4=0))),0,IF(1=$K39,200000,ABS(1-$K39)*100)),100000+ABS(5-$J39)*1000+10)+'計算A'!CV$5*50+IF(AND($E39=1,MI39=0),25,0),INDEX('計算A'!CV$110:CV$114,$F39+1)+IF(AND($E39=1,MI39=0),1000,0)+IF($H39=1,(IF('計算A'!CV$117=1,INDEX('計算A'!CW$10:CW$54,$B39),0))*500,0)-IF(AND($L39=1,'計算A'!CV$117=1,GU39=0),300,0))),1000000))</f>
        <v/>
      </c>
      <c r="RY39">
        <f>IF($B39=0,1000000,IF(INDEX('計算A'!$D$60:$EQ$104,$B39,98)*GU39=1,IF(AND($E39=2,MJ39=0),1000000,IF($I39&gt;0,IF(5=$J39,IF(OR(AND(98=$I39+1,OR($K39&lt;&gt;'計算A'!$A$3,'計算A'!$A$4=0)),AND(98=$I39-1,OR(2&lt;&gt;'計算A'!$A$3,'計算A'!$A$4=0))),0,IF(2=$K39,200000,ABS(2-$K39)*100)),100000+ABS(5-$J39)*1000+20)+'計算A'!CW$5*50+IF(AND($E39=1,MJ39=0),25,0),INDEX('計算A'!CW$110:CW$114,$F39+1)+IF(AND($E39=1,MJ39=0),1000,0)+IF($H39=1,(IF('計算A'!CV$117=1,INDEX('計算A'!CV$10:CV$54,$B39),0)+IF('計算A'!CW$117=1,INDEX('計算A'!CX$10:CX$54,$B39),0))*500,0)-IF(AND('計算A'!CV$117=1,XT39&gt;0),300,0)-IF(AND($L39=1,'計算A'!CW$117=1,GV39=0),300,0))),1000000))</f>
        <v/>
      </c>
      <c r="RZ39">
        <f>IF($B39=0,1000000,IF(INDEX('計算A'!$D$60:$EQ$104,$B39,99)*GV39=1,IF(AND($E39=2,MK39=0),1000000,IF($I39&gt;0,IF(5=$J39,IF(OR(AND(99=$I39+1,OR($K39&lt;&gt;'計算A'!$A$3,'計算A'!$A$4=0)),AND(99=$I39-1,OR(3&lt;&gt;'計算A'!$A$3,'計算A'!$A$4=0))),0,IF(3=$K39,200000,ABS(3-$K39)*100)),100000+ABS(5-$J39)*1000+30)+'計算A'!CX$5*50+IF(AND($E39=1,MK39=0),25,0),INDEX('計算A'!CX$110:CX$114,$F39+1)+IF(AND($E39=1,MK39=0),1000,0)+IF($H39=1,(IF('計算A'!CW$117=1,INDEX('計算A'!CW$10:CW$54,$B39),0)+IF('計算A'!CX$117=1,INDEX('計算A'!CY$10:CY$54,$B39),0))*500,0)-IF(AND('計算A'!CW$117=1,XU39&gt;0),300,0)-IF(AND($L39=1,'計算A'!CX$117=1,GW39=0),300,0))),1000000))</f>
        <v/>
      </c>
      <c r="SA39">
        <f>IF($B39=0,1000000,IF(INDEX('計算A'!$D$60:$EQ$104,$B39,100)*GW39=1,IF(AND($E39=2,ML39=0),1000000,IF($I39&gt;0,IF(5=$J39,IF(OR(AND(100=$I39+1,OR($K39&lt;&gt;'計算A'!$A$3,'計算A'!$A$4=0)),AND(100=$I39-1,OR(4&lt;&gt;'計算A'!$A$3,'計算A'!$A$4=0))),0,IF(4=$K39,200000,ABS(4-$K39)*100)),100000+ABS(5-$J39)*1000+40)+'計算A'!CY$5*50+IF(AND($E39=1,ML39=0),25,0),INDEX('計算A'!CY$110:CY$114,$F39+1)+IF(AND($E39=1,ML39=0),1000,0)+IF($H39=1,(IF('計算A'!CX$117=1,INDEX('計算A'!CX$10:CX$54,$B39),0)+IF('計算A'!CY$117=1,INDEX('計算A'!CZ$10:CZ$54,$B39),0))*500,0)-IF(AND('計算A'!CX$117=1,XV39&gt;0),300,0)-IF(AND($L39=1,'計算A'!CY$117=1,GX39=0),300,0))),1000000))</f>
        <v/>
      </c>
      <c r="SB39">
        <f>IF($B39=0,1000000,IF(INDEX('計算A'!$D$60:$EQ$104,$B39,101)*GX39=1,IF(AND($E39=2,MM39=0),1000000,IF($I39&gt;0,IF(5=$J39,IF(OR(AND(101=$I39+1,OR($K39&lt;&gt;'計算A'!$A$3,'計算A'!$A$4=0)),AND(101=$I39-1,OR(5&lt;&gt;'計算A'!$A$3,'計算A'!$A$4=0))),0,IF(5=$K39,200000,ABS(5-$K39)*100)),100000+ABS(5-$J39)*1000+50)+'計算A'!CZ$5*50+IF(AND($E39=1,MM39=0),25,0),INDEX('計算A'!CZ$110:CZ$114,$F39+1)+IF(AND($E39=1,MM39=0),1000,0)+IF($H39=1,(IF('計算A'!CY$117=1,INDEX('計算A'!CY$10:CY$54,$B39),0)+IF('計算A'!CZ$117=1,INDEX('計算A'!DA$10:DA$54,$B39),0))*500,0)-IF(AND('計算A'!CY$117=1,XW39&gt;0),300,0)-IF(AND($L39=1,'計算A'!CZ$117=1,GY39=0),300,0))),1000000))</f>
        <v/>
      </c>
      <c r="SC39">
        <f>IF($B39=0,1000000,IF(INDEX('計算A'!$D$60:$EQ$104,$B39,102)*GY39=1,IF(AND($E39=2,MN39=0),1000000,IF($I39&gt;0,IF(5=$J39,IF(OR(AND(102=$I39+1,OR($K39&lt;&gt;'計算A'!$A$3,'計算A'!$A$4=0)),AND(102=$I39-1,OR(6&lt;&gt;'計算A'!$A$3,'計算A'!$A$4=0))),0,IF(6=$K39,200000,ABS(6-$K39)*100)),100000+ABS(5-$J39)*1000+60)+'計算A'!DA$5*50+IF(AND($E39=1,MN39=0),25,0),INDEX('計算A'!DA$110:DA$114,$F39+1)+IF(AND($E39=1,MN39=0),1000,0)+IF($H39=1,(IF('計算A'!CZ$117=1,INDEX('計算A'!CZ$10:CZ$54,$B39),0)+IF('計算A'!DA$117=1,INDEX('計算A'!DB$10:DB$54,$B39),0))*500,0)-IF(AND('計算A'!CZ$117=1,XX39&gt;0),300,0)-IF(AND($L39=1,'計算A'!DA$117=1,GZ39=0),300,0))),1000000))</f>
        <v/>
      </c>
      <c r="SD39">
        <f>IF($B39=0,1000000,IF(INDEX('計算A'!$D$60:$EQ$104,$B39,103)*GZ39=1,IF(AND($E39=2,MO39=0),1000000,IF($I39&gt;0,IF(5=$J39,IF(OR(AND(103=$I39+1,OR($K39&lt;&gt;'計算A'!$A$3,'計算A'!$A$4=0)),AND(103=$I39-1,OR(7&lt;&gt;'計算A'!$A$3,'計算A'!$A$4=0))),0,IF(7=$K39,200000,ABS(7-$K39)*100)),100000+ABS(5-$J39)*1000+70)+'計算A'!DB$5*50+IF(AND($E39=1,MO39=0),25,0),INDEX('計算A'!DB$110:DB$114,$F39+1)+IF(AND($E39=1,MO39=0),1000,0)+IF($H39=1,(IF('計算A'!DA$117=1,INDEX('計算A'!DA$10:DA$54,$B39),0)+IF('計算A'!DB$117=1,INDEX('計算A'!DC$10:DC$54,$B39),0))*500,0)-IF(AND('計算A'!DA$117=1,XY39&gt;0),300,0)-IF(AND($L39=1,'計算A'!DB$117=1,HA39=0),300,0))),1000000))</f>
        <v/>
      </c>
      <c r="SE39">
        <f>IF($B39=0,1000000,IF(INDEX('計算A'!$D$60:$EQ$104,$B39,104)*HA39=1,IF(AND($E39=2,MP39=0),1000000,IF($I39&gt;0,IF(5=$J39,IF(OR(AND(104=$I39+1,OR($K39&lt;&gt;'計算A'!$A$3,'計算A'!$A$4=0)),AND(104=$I39-1,OR(8&lt;&gt;'計算A'!$A$3,'計算A'!$A$4=0))),0,IF(8=$K39,200000,ABS(8-$K39)*100)),100000+ABS(5-$J39)*1000+80)+'計算A'!DC$5*50+IF(AND($E39=1,MP39=0),25,0),INDEX('計算A'!DC$110:DC$114,$F39+1)+IF(AND($E39=1,MP39=0),1000,0)+IF($H39=1,(IF('計算A'!DB$117=1,INDEX('計算A'!DB$10:DB$54,$B39),0)+IF('計算A'!DC$117=1,INDEX('計算A'!DD$10:DD$54,$B39),0))*500,0)-IF(AND('計算A'!DB$117=1,XZ39&gt;0),300,0)-IF(AND($L39=1,'計算A'!DC$117=1,HB39=0),300,0))),1000000))</f>
        <v/>
      </c>
      <c r="SF39">
        <f>IF($B39=0,1000000,IF(INDEX('計算A'!$D$60:$EQ$104,$B39,105)*HB39=1,IF(AND($E39=2,MQ39=0),1000000,IF($I39&gt;0,IF(5=$J39,IF(OR(AND(105=$I39+1,OR($K39&lt;&gt;'計算A'!$A$3,'計算A'!$A$4=0)),AND(105=$I39-1,OR(9&lt;&gt;'計算A'!$A$3,'計算A'!$A$4=0))),0,IF(9=$K39,200000,ABS(9-$K39)*100)),100000+ABS(5-$J39)*1000+90)+'計算A'!DD$5*50+IF(AND($E39=1,MQ39=0),25,0),INDEX('計算A'!DD$110:DD$114,$F39+1)+IF(AND($E39=1,MQ39=0),1000,0)+IF($H39=1,(IF('計算A'!DC$117=1,INDEX('計算A'!DC$10:DC$54,$B39),0)+IF('計算A'!DD$117=1,INDEX('計算A'!DE$10:DE$54,$B39),0))*500,0)-IF(AND('計算A'!DC$117=1,YA39&gt;0),300,0)-IF(AND($L39=1,'計算A'!DD$117=1,HC39=0),300,0))),1000000))</f>
        <v/>
      </c>
      <c r="SG39">
        <f>IF($B39=0,1000000,IF(INDEX('計算A'!$D$60:$EQ$104,$B39,106)*HC39=1,IF(AND($E39=2,MR39=0),1000000,IF($I39&gt;0,IF(5=$J39,IF(OR(AND(106=$I39+1,OR($K39&lt;&gt;'計算A'!$A$3,'計算A'!$A$4=0)),AND(106=$I39-1,OR(10&lt;&gt;'計算A'!$A$3,'計算A'!$A$4=0))),0,IF(10=$K39,200000,ABS(10-$K39)*100)),100000+ABS(5-$J39)*1000+100)+'計算A'!DE$5*50+IF(AND($E39=1,MR39=0),25,0),INDEX('計算A'!DE$110:DE$114,$F39+1)+IF(AND($E39=1,MR39=0),1000,0)+IF($H39=1,(IF('計算A'!DD$117=1,INDEX('計算A'!DD$10:DD$54,$B39),0)+IF('計算A'!DE$117=1,INDEX('計算A'!DF$10:DF$54,$B39),0))*500,0)-IF(AND('計算A'!DD$117=1,YB39&gt;0),300,0)-IF(AND($L39=1,'計算A'!DE$117=1,HD39=0),300,0))),1000000))</f>
        <v/>
      </c>
      <c r="SH39">
        <f>IF($B39=0,1000000,IF(INDEX('計算A'!$D$60:$EQ$104,$B39,107)*HD39=1,IF(AND($E39=2,MS39=0),1000000,IF($I39&gt;0,IF(5=$J39,IF(OR(AND(107=$I39+1,OR($K39&lt;&gt;'計算A'!$A$3,'計算A'!$A$4=0)),AND(107=$I39-1,OR(11&lt;&gt;'計算A'!$A$3,'計算A'!$A$4=0))),0,IF(11=$K39,200000,ABS(11-$K39)*100)),100000+ABS(5-$J39)*1000+110)+'計算A'!DF$5*50+IF(AND($E39=1,MS39=0),25,0),INDEX('計算A'!DF$110:DF$114,$F39+1)+IF(AND($E39=1,MS39=0),1000,0)+IF($H39=1,(IF('計算A'!DE$117=1,INDEX('計算A'!DE$10:DE$54,$B39),0)+IF('計算A'!DF$117=1,INDEX('計算A'!DG$10:DG$54,$B39),0))*500,0)-IF(AND('計算A'!DE$117=1,YC39&gt;0),300,0)-IF(AND($L39=1,'計算A'!DF$117=1,HE39=0),300,0))),1000000))</f>
        <v/>
      </c>
      <c r="SI39">
        <f>IF($B39=0,1000000,IF(INDEX('計算A'!$D$60:$EQ$104,$B39,108)*HE39=1,IF(AND($E39=2,MT39=0),1000000,IF($I39&gt;0,IF(5=$J39,IF(OR(AND(108=$I39+1,OR($K39&lt;&gt;'計算A'!$A$3,'計算A'!$A$4=0)),AND(108=$I39-1,OR(12&lt;&gt;'計算A'!$A$3,'計算A'!$A$4=0))),0,IF(12=$K39,200000,ABS(12-$K39)*100)),100000+ABS(5-$J39)*1000+120)+'計算A'!DG$5*50+IF(AND($E39=1,MT39=0),25,0),INDEX('計算A'!DG$110:DG$114,$F39+1)+IF(AND($E39=1,MT39=0),1000,0)+IF($H39=1,(IF('計算A'!DF$117=1,INDEX('計算A'!DF$10:DF$54,$B39),0)+IF('計算A'!DG$117=1,INDEX('計算A'!DH$10:DH$54,$B39),0))*500,0)-IF(AND('計算A'!DF$117=1,YD39&gt;0),300,0)-IF(AND($L39=1,'計算A'!DG$117=1,HF39=0),300,0))),1000000))</f>
        <v/>
      </c>
      <c r="SJ39">
        <f>IF($B39=0,1000000,IF(INDEX('計算A'!$D$60:$EQ$104,$B39,109)*HF39=1,IF(AND($E39=2,MU39=0),1000000,IF($I39&gt;0,IF(5=$J39,IF(OR(AND(109=$I39+1,OR($K39&lt;&gt;'計算A'!$A$3,'計算A'!$A$4=0)),AND(109=$I39-1,OR(13&lt;&gt;'計算A'!$A$3,'計算A'!$A$4=0))),0,IF(13=$K39,200000,ABS(13-$K39)*100)),100000+ABS(5-$J39)*1000+130)+'計算A'!DH$5*50+IF(AND($E39=1,MU39=0),25,0),INDEX('計算A'!DH$110:DH$114,$F39+1)+IF(AND($E39=1,MU39=0),1000,0)+IF($H39=1,(IF('計算A'!DG$117=1,INDEX('計算A'!DG$10:DG$54,$B39),0)+IF('計算A'!DH$117=1,INDEX('計算A'!DI$10:DI$54,$B39),0))*500,0)-IF(AND('計算A'!DG$117=1,YE39&gt;0),300,0)-IF(AND($L39=1,'計算A'!DH$117=1,HG39=0),300,0))),1000000))</f>
        <v/>
      </c>
      <c r="SK39">
        <f>IF($B39=0,1000000,IF(INDEX('計算A'!$D$60:$EQ$104,$B39,110)*HG39=1,IF(AND($E39=2,MV39=0),1000000,IF($I39&gt;0,IF(5=$J39,IF(OR(AND(110=$I39+1,OR($K39&lt;&gt;'計算A'!$A$3,'計算A'!$A$4=0)),AND(110=$I39-1,OR(14&lt;&gt;'計算A'!$A$3,'計算A'!$A$4=0))),0,IF(14=$K39,200000,ABS(14-$K39)*100)),100000+ABS(5-$J39)*1000+140)+'計算A'!DI$5*50+IF(AND($E39=1,MV39=0),25,0),INDEX('計算A'!DI$110:DI$114,$F39+1)+IF(AND($E39=1,MV39=0),1000,0)+IF($H39=1,(IF('計算A'!DH$117=1,INDEX('計算A'!DH$10:DH$54,$B39),0)+IF('計算A'!DI$117=1,INDEX('計算A'!DJ$10:DJ$54,$B39),0))*500,0)-IF(AND('計算A'!DH$117=1,YF39&gt;0),300,0)-IF(AND($L39=1,'計算A'!DI$117=1,HH39=0),300,0))),1000000))</f>
        <v/>
      </c>
      <c r="SL39">
        <f>IF($B39=0,1000000,IF(INDEX('計算A'!$D$60:$EQ$104,$B39,111)*HH39=1,IF(AND($E39=2,MW39=0),1000000,IF($I39&gt;0,IF(5=$J39,IF(OR(AND(111=$I39+1,OR($K39&lt;&gt;'計算A'!$A$3,'計算A'!$A$4=0)),AND(111=$I39-1,OR(15&lt;&gt;'計算A'!$A$3,'計算A'!$A$4=0))),0,IF(15=$K39,200000,ABS(15-$K39)*100)),100000+ABS(5-$J39)*1000+150)+'計算A'!DJ$5*50+IF(AND($E39=1,MW39=0),25,0),INDEX('計算A'!DJ$110:DJ$114,$F39+1)+IF(AND($E39=1,MW39=0),1000,0)+IF($H39=1,(IF('計算A'!DI$117=1,INDEX('計算A'!DI$10:DI$54,$B39),0)+IF('計算A'!DJ$117=1,INDEX('計算A'!DK$10:DK$54,$B39),0))*500,0)-IF(AND('計算A'!DI$117=1,YG39&gt;0),300,0)-IF(AND($L39=1,'計算A'!DJ$117=1,HI39=0),300,0))),1000000))</f>
        <v/>
      </c>
      <c r="SM39">
        <f>IF($B39=0,1000000,IF(INDEX('計算A'!$D$60:$EQ$104,$B39,112)*HI39=1,IF(AND($E39=2,MX39=0),1000000,IF($I39&gt;0,IF(5=$J39,IF(OR(AND(112=$I39+1,OR($K39&lt;&gt;'計算A'!$A$3,'計算A'!$A$4=0)),AND(112=$I39-1,OR(16&lt;&gt;'計算A'!$A$3,'計算A'!$A$4=0))),0,IF(16=$K39,200000,ABS(16-$K39)*100)),100000+ABS(5-$J39)*1000+160)+'計算A'!DK$5*50+IF(AND($E39=1,MX39=0),25,0),INDEX('計算A'!DK$110:DK$114,$F39+1)+IF(AND($E39=1,MX39=0),1000,0)+IF($H39=1,(IF('計算A'!DJ$117=1,INDEX('計算A'!DJ$10:DJ$54,$B39),0)+IF('計算A'!DK$117=1,INDEX('計算A'!DL$10:DL$54,$B39),0))*500,0)-IF(AND('計算A'!DJ$117=1,YH39&gt;0),300,0)-IF(AND($L39=1,'計算A'!DK$117=1,HJ39=0),300,0))),1000000))</f>
        <v/>
      </c>
      <c r="SN39">
        <f>IF($B39=0,1000000,IF(INDEX('計算A'!$D$60:$EQ$104,$B39,113)*HJ39=1,IF(AND($E39=2,MY39=0),1000000,IF($I39&gt;0,IF(5=$J39,IF(OR(AND(113=$I39+1,OR($K39&lt;&gt;'計算A'!$A$3,'計算A'!$A$4=0)),AND(113=$I39-1,OR(17&lt;&gt;'計算A'!$A$3,'計算A'!$A$4=0))),0,IF(17=$K39,200000,ABS(17-$K39)*100)),100000+ABS(5-$J39)*1000+170)+'計算A'!DL$5*50+IF(AND($E39=1,MY39=0),25,0),INDEX('計算A'!DL$110:DL$114,$F39+1)+IF(AND($E39=1,MY39=0),1000,0)+IF($H39=1,(IF('計算A'!DK$117=1,INDEX('計算A'!DK$10:DK$54,$B39),0)+IF('計算A'!DL$117=1,INDEX('計算A'!DM$10:DM$54,$B39),0))*500,0)-IF(AND('計算A'!DK$117=1,YI39&gt;0),300,0)-IF(AND($L39=1,'計算A'!DL$117=1,HK39=0),300,0))),1000000))</f>
        <v/>
      </c>
      <c r="SO39">
        <f>IF($B39=0,1000000,IF(INDEX('計算A'!$D$60:$EQ$104,$B39,114)*HK39=1,IF(AND($E39=2,MZ39=0),1000000,IF($I39&gt;0,IF(5=$J39,IF(OR(AND(114=$I39+1,OR($K39&lt;&gt;'計算A'!$A$3,'計算A'!$A$4=0)),AND(114=$I39-1,OR(18&lt;&gt;'計算A'!$A$3,'計算A'!$A$4=0))),0,IF(18=$K39,200000,ABS(18-$K39)*100)),100000+ABS(5-$J39)*1000+180)+'計算A'!DM$5*50+IF(AND($E39=1,MZ39=0),25,0),INDEX('計算A'!DM$110:DM$114,$F39+1)+IF(AND($E39=1,MZ39=0),1000,0)+IF($H39=1,(IF('計算A'!DL$117=1,INDEX('計算A'!DL$10:DL$54,$B39),0)+IF('計算A'!DM$117=1,INDEX('計算A'!DN$10:DN$54,$B39),0))*500,0)-IF(AND('計算A'!DL$117=1,YJ39&gt;0),300,0)-IF(AND($L39=1,'計算A'!DM$117=1,HL39=0),300,0))),1000000))</f>
        <v/>
      </c>
      <c r="SP39">
        <f>IF($B39=0,1000000,IF(INDEX('計算A'!$D$60:$EQ$104,$B39,115)*HL39=1,IF(AND($E39=2,NA39=0),1000000,IF($I39&gt;0,IF(5=$J39,IF(OR(AND(115=$I39+1,OR($K39&lt;&gt;'計算A'!$A$3,'計算A'!$A$4=0)),AND(115=$I39-1,OR(19&lt;&gt;'計算A'!$A$3,'計算A'!$A$4=0))),0,IF(19=$K39,200000,ABS(19-$K39)*100)),100000+ABS(5-$J39)*1000+190)+'計算A'!DN$5*50+IF(AND($E39=1,NA39=0),25,0),INDEX('計算A'!DN$110:DN$114,$F39+1)+IF(AND($E39=1,NA39=0),1000,0)+IF($H39=1,(IF('計算A'!DM$117=1,INDEX('計算A'!DM$10:DM$54,$B39),0)+IF('計算A'!DN$117=1,INDEX('計算A'!DO$10:DO$54,$B39),0))*500,0)-IF(AND('計算A'!DM$117=1,YK39&gt;0),300,0)-IF(AND($L39=1,'計算A'!DN$117=1,HM39=0),300,0))),1000000))</f>
        <v/>
      </c>
      <c r="SQ39">
        <f>IF($B39=0,1000000,IF(INDEX('計算A'!$D$60:$EQ$104,$B39,116)*HM39=1,IF(AND($E39=2,NB39=0),1000000,IF($I39&gt;0,IF(5=$J39,IF(OR(AND(116=$I39+1,OR($K39&lt;&gt;'計算A'!$A$3,'計算A'!$A$4=0)),AND(116=$I39-1,OR(20&lt;&gt;'計算A'!$A$3,'計算A'!$A$4=0))),0,IF(20=$K39,200000,ABS(20-$K39)*100)),100000+ABS(5-$J39)*1000+200)+'計算A'!DO$5*50+IF(AND($E39=1,NB39=0),25,0),INDEX('計算A'!DO$110:DO$114,$F39+1)+IF(AND($E39=1,NB39=0),1000,0)+IF($H39=1,(IF('計算A'!DN$117=1,INDEX('計算A'!DN$10:DN$54,$B39),0)+IF('計算A'!DO$117=1,INDEX('計算A'!DP$10:DP$54,$B39),0))*500,0)-IF(AND('計算A'!DN$117=1,YL39&gt;0),300,0)-IF(AND($L39=1,'計算A'!DO$117=1,HN39=0),300,0))),1000000))</f>
        <v/>
      </c>
      <c r="SR39">
        <f>IF($B39=0,1000000,IF(INDEX('計算A'!$D$60:$EQ$104,$B39,117)*HN39=1,IF(AND($E39=2,NC39=0),1000000,IF($I39&gt;0,IF(5=$J39,IF(OR(AND(117=$I39+1,OR($K39&lt;&gt;'計算A'!$A$3,'計算A'!$A$4=0)),AND(117=$I39-1,OR(21&lt;&gt;'計算A'!$A$3,'計算A'!$A$4=0))),0,IF(21=$K39,200000,ABS(21-$K39)*100)),100000+ABS(5-$J39)*1000+210)+'計算A'!DP$5*50+IF(AND($E39=1,NC39=0),25,0),INDEX('計算A'!DP$110:DP$114,$F39+1)+IF(AND($E39=1,NC39=0),1000,0)+IF($H39=1,(IF('計算A'!DO$117=1,INDEX('計算A'!DO$10:DO$54,$B39),0)+IF('計算A'!DP$117=1,INDEX('計算A'!DQ$10:DQ$54,$B39),0))*500,0)-IF(AND('計算A'!DO$117=1,YM39&gt;0),300,0)-IF(AND($L39=1,'計算A'!DP$117=1,HO39=0),300,0))),1000000))</f>
        <v/>
      </c>
      <c r="SS39">
        <f>IF($B39=0,1000000,IF(INDEX('計算A'!$D$60:$EQ$104,$B39,118)*HO39=1,IF(AND($E39=2,ND39=0),1000000,IF($I39&gt;0,IF(5=$J39,IF(OR(AND(118=$I39+1,OR($K39&lt;&gt;'計算A'!$A$3,'計算A'!$A$4=0)),AND(118=$I39-1,OR(22&lt;&gt;'計算A'!$A$3,'計算A'!$A$4=0))),0,IF(22=$K39,200000,ABS(22-$K39)*100)),100000+ABS(5-$J39)*1000+220)+'計算A'!DQ$5*50+IF(AND($E39=1,ND39=0),25,0),INDEX('計算A'!DQ$110:DQ$114,$F39+1)+IF(AND($E39=1,ND39=0),1000,0)+IF($H39=1,(IF('計算A'!DP$117=1,INDEX('計算A'!DP$10:DP$54,$B39),0)+IF('計算A'!DQ$117=1,INDEX('計算A'!DR$10:DR$54,$B39),0))*500,0)-IF(AND('計算A'!DP$117=1,YN39&gt;0),300,0)-IF(AND($L39=1,'計算A'!DQ$117=1,HP39=0),300,0))),1000000))</f>
        <v/>
      </c>
      <c r="ST39">
        <f>IF($B39=0,1000000,IF(INDEX('計算A'!$D$60:$EQ$104,$B39,119)*HP39=1,IF(AND($E39=2,NE39=0),1000000,IF($I39&gt;0,IF(5=$J39,IF(OR(AND(119=$I39+1,OR($K39&lt;&gt;'計算A'!$A$3,'計算A'!$A$4=0)),AND(119=$I39-1,OR(23&lt;&gt;'計算A'!$A$3,'計算A'!$A$4=0))),0,IF(23=$K39,200000,ABS(23-$K39)*100)),100000+ABS(5-$J39)*1000+230)+'計算A'!DR$5*50+IF(AND($E39=1,NE39=0),25,0),INDEX('計算A'!DR$110:DR$114,$F39+1)+IF(AND($E39=1,NE39=0),1000,0)+IF($H39=1,(IF('計算A'!DQ$117=1,INDEX('計算A'!DQ$10:DQ$54,$B39),0)+IF('計算A'!DR$117=1,INDEX('計算A'!DS$10:DS$54,$B39),0))*500,0)-IF(AND('計算A'!DQ$117=1,YO39&gt;0),300,0)-IF(AND($L39=1,'計算A'!DR$117=1,HQ39=0),300,0))),1000000))</f>
        <v/>
      </c>
      <c r="SU39">
        <f>IF($B39=0,1000000,IF(INDEX('計算A'!$D$60:$EQ$104,$B39,120)*HQ39=1,IF(AND($E39=2,NF39=0),1000000,IF($I39&gt;0,IF(5=$J39,IF(OR(AND(120=$I39+1,OR($K39&lt;&gt;'計算A'!$A$3,'計算A'!$A$4=0)),AND(120=$I39-1,OR(24&lt;&gt;'計算A'!$A$3,'計算A'!$A$4=0))),0,IF(24=$K39,200000,ABS(24-$K39)*100)),100000+ABS(5-$J39)*1000+240)+'計算A'!DS$5*50+IF(AND($E39=1,NF39=0),25,0),INDEX('計算A'!DS$110:DS$114,$F39+1)+IF(AND($E39=1,NF39=0),1000,0)+IF($H39=1,(IF('計算A'!DR$117=1,INDEX('計算A'!DR$10:DR$54,$B39),0))*500,0)-IF(AND('計算A'!DR$117=1,YP39&gt;0),300,0))),1000000))</f>
        <v/>
      </c>
      <c r="SV39">
        <f>IF($B39=0,1000000,IF(INDEX('計算A'!$D$60:$EQ$104,$B39,121)*HR39=1,IF(AND($E39=2,NG39=0),1000000,IF($I39&gt;0,IF(6=$J39,IF(OR(AND(121=$I39+1,OR($K39&lt;&gt;'計算A'!$A$3,'計算A'!$A$4=0)),AND(121=$I39-1,OR(1&lt;&gt;'計算A'!$A$3,'計算A'!$A$4=0))),0,IF(1=$K39,200000,ABS(1-$K39)*100)),100000+ABS(6-$J39)*1000+10)+'計算A'!DT$5*50+IF(AND($E39=1,NG39=0),25,0),INDEX('計算A'!DT$110:DT$114,$F39+1)+IF(AND($E39=1,NG39=0),1000,0)+IF($H39=1,(IF('計算A'!DT$117=1,INDEX('計算A'!DU$10:DU$54,$B39),0))*500,0)-IF(AND($L39=1,'計算A'!DT$117=1,HS39=0),300,0))),1000000))</f>
        <v/>
      </c>
      <c r="SW39">
        <f>IF($B39=0,1000000,IF(INDEX('計算A'!$D$60:$EQ$104,$B39,122)*HS39=1,IF(AND($E39=2,NH39=0),1000000,IF($I39&gt;0,IF(6=$J39,IF(OR(AND(122=$I39+1,OR($K39&lt;&gt;'計算A'!$A$3,'計算A'!$A$4=0)),AND(122=$I39-1,OR(2&lt;&gt;'計算A'!$A$3,'計算A'!$A$4=0))),0,IF(2=$K39,200000,ABS(2-$K39)*100)),100000+ABS(6-$J39)*1000+20)+'計算A'!DU$5*50+IF(AND($E39=1,NH39=0),25,0),INDEX('計算A'!DU$110:DU$114,$F39+1)+IF(AND($E39=1,NH39=0),1000,0)+IF($H39=1,(IF('計算A'!DT$117=1,INDEX('計算A'!DT$10:DT$54,$B39),0)+IF('計算A'!DU$117=1,INDEX('計算A'!DV$10:DV$54,$B39),0))*500,0)-IF(AND('計算A'!DT$117=1,YR39&gt;0),300,0)-IF(AND($L39=1,'計算A'!DU$117=1,HT39=0),300,0))),1000000))</f>
        <v/>
      </c>
      <c r="SX39">
        <f>IF($B39=0,1000000,IF(INDEX('計算A'!$D$60:$EQ$104,$B39,123)*HT39=1,IF(AND($E39=2,NI39=0),1000000,IF($I39&gt;0,IF(6=$J39,IF(OR(AND(123=$I39+1,OR($K39&lt;&gt;'計算A'!$A$3,'計算A'!$A$4=0)),AND(123=$I39-1,OR(3&lt;&gt;'計算A'!$A$3,'計算A'!$A$4=0))),0,IF(3=$K39,200000,ABS(3-$K39)*100)),100000+ABS(6-$J39)*1000+30)+'計算A'!DV$5*50+IF(AND($E39=1,NI39=0),25,0),INDEX('計算A'!DV$110:DV$114,$F39+1)+IF(AND($E39=1,NI39=0),1000,0)+IF($H39=1,(IF('計算A'!DU$117=1,INDEX('計算A'!DU$10:DU$54,$B39),0)+IF('計算A'!DV$117=1,INDEX('計算A'!DW$10:DW$54,$B39),0))*500,0)-IF(AND('計算A'!DU$117=1,YS39&gt;0),300,0)-IF(AND($L39=1,'計算A'!DV$117=1,HU39=0),300,0))),1000000))</f>
        <v/>
      </c>
      <c r="SY39">
        <f>IF($B39=0,1000000,IF(INDEX('計算A'!$D$60:$EQ$104,$B39,124)*HU39=1,IF(AND($E39=2,NJ39=0),1000000,IF($I39&gt;0,IF(6=$J39,IF(OR(AND(124=$I39+1,OR($K39&lt;&gt;'計算A'!$A$3,'計算A'!$A$4=0)),AND(124=$I39-1,OR(4&lt;&gt;'計算A'!$A$3,'計算A'!$A$4=0))),0,IF(4=$K39,200000,ABS(4-$K39)*100)),100000+ABS(6-$J39)*1000+40)+'計算A'!DW$5*50+IF(AND($E39=1,NJ39=0),25,0),INDEX('計算A'!DW$110:DW$114,$F39+1)+IF(AND($E39=1,NJ39=0),1000,0)+IF($H39=1,(IF('計算A'!DV$117=1,INDEX('計算A'!DV$10:DV$54,$B39),0)+IF('計算A'!DW$117=1,INDEX('計算A'!DX$10:DX$54,$B39),0))*500,0)-IF(AND('計算A'!DV$117=1,YT39&gt;0),300,0)-IF(AND($L39=1,'計算A'!DW$117=1,HV39=0),300,0))),1000000))</f>
        <v/>
      </c>
      <c r="SZ39">
        <f>IF($B39=0,1000000,IF(INDEX('計算A'!$D$60:$EQ$104,$B39,125)*HV39=1,IF(AND($E39=2,NK39=0),1000000,IF($I39&gt;0,IF(6=$J39,IF(OR(AND(125=$I39+1,OR($K39&lt;&gt;'計算A'!$A$3,'計算A'!$A$4=0)),AND(125=$I39-1,OR(5&lt;&gt;'計算A'!$A$3,'計算A'!$A$4=0))),0,IF(5=$K39,200000,ABS(5-$K39)*100)),100000+ABS(6-$J39)*1000+50)+'計算A'!DX$5*50+IF(AND($E39=1,NK39=0),25,0),INDEX('計算A'!DX$110:DX$114,$F39+1)+IF(AND($E39=1,NK39=0),1000,0)+IF($H39=1,(IF('計算A'!DW$117=1,INDEX('計算A'!DW$10:DW$54,$B39),0)+IF('計算A'!DX$117=1,INDEX('計算A'!DY$10:DY$54,$B39),0))*500,0)-IF(AND('計算A'!DW$117=1,YU39&gt;0),300,0)-IF(AND($L39=1,'計算A'!DX$117=1,HW39=0),300,0))),1000000))</f>
        <v/>
      </c>
      <c r="TA39">
        <f>IF($B39=0,1000000,IF(INDEX('計算A'!$D$60:$EQ$104,$B39,126)*HW39=1,IF(AND($E39=2,NL39=0),1000000,IF($I39&gt;0,IF(6=$J39,IF(OR(AND(126=$I39+1,OR($K39&lt;&gt;'計算A'!$A$3,'計算A'!$A$4=0)),AND(126=$I39-1,OR(6&lt;&gt;'計算A'!$A$3,'計算A'!$A$4=0))),0,IF(6=$K39,200000,ABS(6-$K39)*100)),100000+ABS(6-$J39)*1000+60)+'計算A'!DY$5*50+IF(AND($E39=1,NL39=0),25,0),INDEX('計算A'!DY$110:DY$114,$F39+1)+IF(AND($E39=1,NL39=0),1000,0)+IF($H39=1,(IF('計算A'!DX$117=1,INDEX('計算A'!DX$10:DX$54,$B39),0)+IF('計算A'!DY$117=1,INDEX('計算A'!DZ$10:DZ$54,$B39),0))*500,0)-IF(AND('計算A'!DX$117=1,YV39&gt;0),300,0)-IF(AND($L39=1,'計算A'!DY$117=1,HX39=0),300,0))),1000000))</f>
        <v/>
      </c>
      <c r="TB39">
        <f>IF($B39=0,1000000,IF(INDEX('計算A'!$D$60:$EQ$104,$B39,127)*HX39=1,IF(AND($E39=2,NM39=0),1000000,IF($I39&gt;0,IF(6=$J39,IF(OR(AND(127=$I39+1,OR($K39&lt;&gt;'計算A'!$A$3,'計算A'!$A$4=0)),AND(127=$I39-1,OR(7&lt;&gt;'計算A'!$A$3,'計算A'!$A$4=0))),0,IF(7=$K39,200000,ABS(7-$K39)*100)),100000+ABS(6-$J39)*1000+70)+'計算A'!DZ$5*50+IF(AND($E39=1,NM39=0),25,0),INDEX('計算A'!DZ$110:DZ$114,$F39+1)+IF(AND($E39=1,NM39=0),1000,0)+IF($H39=1,(IF('計算A'!DY$117=1,INDEX('計算A'!DY$10:DY$54,$B39),0)+IF('計算A'!DZ$117=1,INDEX('計算A'!EA$10:EA$54,$B39),0))*500,0)-IF(AND('計算A'!DY$117=1,YW39&gt;0),300,0)-IF(AND($L39=1,'計算A'!DZ$117=1,HY39=0),300,0))),1000000))</f>
        <v/>
      </c>
      <c r="TC39">
        <f>IF($B39=0,1000000,IF(INDEX('計算A'!$D$60:$EQ$104,$B39,128)*HY39=1,IF(AND($E39=2,NN39=0),1000000,IF($I39&gt;0,IF(6=$J39,IF(OR(AND(128=$I39+1,OR($K39&lt;&gt;'計算A'!$A$3,'計算A'!$A$4=0)),AND(128=$I39-1,OR(8&lt;&gt;'計算A'!$A$3,'計算A'!$A$4=0))),0,IF(8=$K39,200000,ABS(8-$K39)*100)),100000+ABS(6-$J39)*1000+80)+'計算A'!EA$5*50+IF(AND($E39=1,NN39=0),25,0),INDEX('計算A'!EA$110:EA$114,$F39+1)+IF(AND($E39=1,NN39=0),1000,0)+IF($H39=1,(IF('計算A'!DZ$117=1,INDEX('計算A'!DZ$10:DZ$54,$B39),0)+IF('計算A'!EA$117=1,INDEX('計算A'!EB$10:EB$54,$B39),0))*500,0)-IF(AND('計算A'!DZ$117=1,YX39&gt;0),300,0)-IF(AND($L39=1,'計算A'!EA$117=1,HZ39=0),300,0))),1000000))</f>
        <v/>
      </c>
      <c r="TD39">
        <f>IF($B39=0,1000000,IF(INDEX('計算A'!$D$60:$EQ$104,$B39,129)*HZ39=1,IF(AND($E39=2,NO39=0),1000000,IF($I39&gt;0,IF(6=$J39,IF(OR(AND(129=$I39+1,OR($K39&lt;&gt;'計算A'!$A$3,'計算A'!$A$4=0)),AND(129=$I39-1,OR(9&lt;&gt;'計算A'!$A$3,'計算A'!$A$4=0))),0,IF(9=$K39,200000,ABS(9-$K39)*100)),100000+ABS(6-$J39)*1000+90)+'計算A'!EB$5*50+IF(AND($E39=1,NO39=0),25,0),INDEX('計算A'!EB$110:EB$114,$F39+1)+IF(AND($E39=1,NO39=0),1000,0)+IF($H39=1,(IF('計算A'!EA$117=1,INDEX('計算A'!EA$10:EA$54,$B39),0)+IF('計算A'!EB$117=1,INDEX('計算A'!EC$10:EC$54,$B39),0))*500,0)-IF(AND('計算A'!EA$117=1,YY39&gt;0),300,0)-IF(AND($L39=1,'計算A'!EB$117=1,IA39=0),300,0))),1000000))</f>
        <v/>
      </c>
      <c r="TE39">
        <f>IF($B39=0,1000000,IF(INDEX('計算A'!$D$60:$EQ$104,$B39,130)*IA39=1,IF(AND($E39=2,NP39=0),1000000,IF($I39&gt;0,IF(6=$J39,IF(OR(AND(130=$I39+1,OR($K39&lt;&gt;'計算A'!$A$3,'計算A'!$A$4=0)),AND(130=$I39-1,OR(10&lt;&gt;'計算A'!$A$3,'計算A'!$A$4=0))),0,IF(10=$K39,200000,ABS(10-$K39)*100)),100000+ABS(6-$J39)*1000+100)+'計算A'!EC$5*50+IF(AND($E39=1,NP39=0),25,0),INDEX('計算A'!EC$110:EC$114,$F39+1)+IF(AND($E39=1,NP39=0),1000,0)+IF($H39=1,(IF('計算A'!EB$117=1,INDEX('計算A'!EB$10:EB$54,$B39),0)+IF('計算A'!EC$117=1,INDEX('計算A'!ED$10:ED$54,$B39),0))*500,0)-IF(AND('計算A'!EB$117=1,YZ39&gt;0),300,0)-IF(AND($L39=1,'計算A'!EC$117=1,IB39=0),300,0))),1000000))</f>
        <v/>
      </c>
      <c r="TF39">
        <f>IF($B39=0,1000000,IF(INDEX('計算A'!$D$60:$EQ$104,$B39,131)*IB39=1,IF(AND($E39=2,NQ39=0),1000000,IF($I39&gt;0,IF(6=$J39,IF(OR(AND(131=$I39+1,OR($K39&lt;&gt;'計算A'!$A$3,'計算A'!$A$4=0)),AND(131=$I39-1,OR(11&lt;&gt;'計算A'!$A$3,'計算A'!$A$4=0))),0,IF(11=$K39,200000,ABS(11-$K39)*100)),100000+ABS(6-$J39)*1000+110)+'計算A'!ED$5*50+IF(AND($E39=1,NQ39=0),25,0),INDEX('計算A'!ED$110:ED$114,$F39+1)+IF(AND($E39=1,NQ39=0),1000,0)+IF($H39=1,(IF('計算A'!EC$117=1,INDEX('計算A'!EC$10:EC$54,$B39),0)+IF('計算A'!ED$117=1,INDEX('計算A'!EE$10:EE$54,$B39),0))*500,0)-IF(AND('計算A'!EC$117=1,ZA39&gt;0),300,0)-IF(AND($L39=1,'計算A'!ED$117=1,IC39=0),300,0))),1000000))</f>
        <v/>
      </c>
      <c r="TG39">
        <f>IF($B39=0,1000000,IF(INDEX('計算A'!$D$60:$EQ$104,$B39,132)*IC39=1,IF(AND($E39=2,NR39=0),1000000,IF($I39&gt;0,IF(6=$J39,IF(OR(AND(132=$I39+1,OR($K39&lt;&gt;'計算A'!$A$3,'計算A'!$A$4=0)),AND(132=$I39-1,OR(12&lt;&gt;'計算A'!$A$3,'計算A'!$A$4=0))),0,IF(12=$K39,200000,ABS(12-$K39)*100)),100000+ABS(6-$J39)*1000+120)+'計算A'!EE$5*50+IF(AND($E39=1,NR39=0),25,0),INDEX('計算A'!EE$110:EE$114,$F39+1)+IF(AND($E39=1,NR39=0),1000,0)+IF($H39=1,(IF('計算A'!ED$117=1,INDEX('計算A'!ED$10:ED$54,$B39),0)+IF('計算A'!EE$117=1,INDEX('計算A'!EF$10:EF$54,$B39),0))*500,0)-IF(AND('計算A'!ED$117=1,ZB39&gt;0),300,0)-IF(AND($L39=1,'計算A'!EE$117=1,ID39=0),300,0))),1000000))</f>
        <v/>
      </c>
      <c r="TH39">
        <f>IF($B39=0,1000000,IF(INDEX('計算A'!$D$60:$EQ$104,$B39,133)*ID39=1,IF(AND($E39=2,NS39=0),1000000,IF($I39&gt;0,IF(6=$J39,IF(OR(AND(133=$I39+1,OR($K39&lt;&gt;'計算A'!$A$3,'計算A'!$A$4=0)),AND(133=$I39-1,OR(13&lt;&gt;'計算A'!$A$3,'計算A'!$A$4=0))),0,IF(13=$K39,200000,ABS(13-$K39)*100)),100000+ABS(6-$J39)*1000+130)+'計算A'!EF$5*50+IF(AND($E39=1,NS39=0),25,0),INDEX('計算A'!EF$110:EF$114,$F39+1)+IF(AND($E39=1,NS39=0),1000,0)+IF($H39=1,(IF('計算A'!EE$117=1,INDEX('計算A'!EE$10:EE$54,$B39),0)+IF('計算A'!EF$117=1,INDEX('計算A'!EG$10:EG$54,$B39),0))*500,0)-IF(AND('計算A'!EE$117=1,ZC39&gt;0),300,0)-IF(AND($L39=1,'計算A'!EF$117=1,IE39=0),300,0))),1000000))</f>
        <v/>
      </c>
      <c r="TI39">
        <f>IF($B39=0,1000000,IF(INDEX('計算A'!$D$60:$EQ$104,$B39,134)*IE39=1,IF(AND($E39=2,NT39=0),1000000,IF($I39&gt;0,IF(6=$J39,IF(OR(AND(134=$I39+1,OR($K39&lt;&gt;'計算A'!$A$3,'計算A'!$A$4=0)),AND(134=$I39-1,OR(14&lt;&gt;'計算A'!$A$3,'計算A'!$A$4=0))),0,IF(14=$K39,200000,ABS(14-$K39)*100)),100000+ABS(6-$J39)*1000+140)+'計算A'!EG$5*50+IF(AND($E39=1,NT39=0),25,0),INDEX('計算A'!EG$110:EG$114,$F39+1)+IF(AND($E39=1,NT39=0),1000,0)+IF($H39=1,(IF('計算A'!EF$117=1,INDEX('計算A'!EF$10:EF$54,$B39),0)+IF('計算A'!EG$117=1,INDEX('計算A'!EH$10:EH$54,$B39),0))*500,0)-IF(AND('計算A'!EF$117=1,ZD39&gt;0),300,0)-IF(AND($L39=1,'計算A'!EG$117=1,IF39=0),300,0))),1000000))</f>
        <v/>
      </c>
      <c r="TJ39">
        <f>IF($B39=0,1000000,IF(INDEX('計算A'!$D$60:$EQ$104,$B39,135)*IF39=1,IF(AND($E39=2,NU39=0),1000000,IF($I39&gt;0,IF(6=$J39,IF(OR(AND(135=$I39+1,OR($K39&lt;&gt;'計算A'!$A$3,'計算A'!$A$4=0)),AND(135=$I39-1,OR(15&lt;&gt;'計算A'!$A$3,'計算A'!$A$4=0))),0,IF(15=$K39,200000,ABS(15-$K39)*100)),100000+ABS(6-$J39)*1000+150)+'計算A'!EH$5*50+IF(AND($E39=1,NU39=0),25,0),INDEX('計算A'!EH$110:EH$114,$F39+1)+IF(AND($E39=1,NU39=0),1000,0)+IF($H39=1,(IF('計算A'!EG$117=1,INDEX('計算A'!EG$10:EG$54,$B39),0)+IF('計算A'!EH$117=1,INDEX('計算A'!EI$10:EI$54,$B39),0))*500,0)-IF(AND('計算A'!EG$117=1,ZE39&gt;0),300,0)-IF(AND($L39=1,'計算A'!EH$117=1,IG39=0),300,0))),1000000))</f>
        <v/>
      </c>
      <c r="TK39">
        <f>IF($B39=0,1000000,IF(INDEX('計算A'!$D$60:$EQ$104,$B39,136)*IG39=1,IF(AND($E39=2,NV39=0),1000000,IF($I39&gt;0,IF(6=$J39,IF(OR(AND(136=$I39+1,OR($K39&lt;&gt;'計算A'!$A$3,'計算A'!$A$4=0)),AND(136=$I39-1,OR(16&lt;&gt;'計算A'!$A$3,'計算A'!$A$4=0))),0,IF(16=$K39,200000,ABS(16-$K39)*100)),100000+ABS(6-$J39)*1000+160)+'計算A'!EI$5*50+IF(AND($E39=1,NV39=0),25,0),INDEX('計算A'!EI$110:EI$114,$F39+1)+IF(AND($E39=1,NV39=0),1000,0)+IF($H39=1,(IF('計算A'!EH$117=1,INDEX('計算A'!EH$10:EH$54,$B39),0)+IF('計算A'!EI$117=1,INDEX('計算A'!EJ$10:EJ$54,$B39),0))*500,0)-IF(AND('計算A'!EH$117=1,ZF39&gt;0),300,0)-IF(AND($L39=1,'計算A'!EI$117=1,IH39=0),300,0))),1000000))</f>
        <v/>
      </c>
      <c r="TL39">
        <f>IF($B39=0,1000000,IF(INDEX('計算A'!$D$60:$EQ$104,$B39,137)*IH39=1,IF(AND($E39=2,NW39=0),1000000,IF($I39&gt;0,IF(6=$J39,IF(OR(AND(137=$I39+1,OR($K39&lt;&gt;'計算A'!$A$3,'計算A'!$A$4=0)),AND(137=$I39-1,OR(17&lt;&gt;'計算A'!$A$3,'計算A'!$A$4=0))),0,IF(17=$K39,200000,ABS(17-$K39)*100)),100000+ABS(6-$J39)*1000+170)+'計算A'!EJ$5*50+IF(AND($E39=1,NW39=0),25,0),INDEX('計算A'!EJ$110:EJ$114,$F39+1)+IF(AND($E39=1,NW39=0),1000,0)+IF($H39=1,(IF('計算A'!EI$117=1,INDEX('計算A'!EI$10:EI$54,$B39),0)+IF('計算A'!EJ$117=1,INDEX('計算A'!EK$10:EK$54,$B39),0))*500,0)-IF(AND('計算A'!EI$117=1,ZG39&gt;0),300,0)-IF(AND($L39=1,'計算A'!EJ$117=1,II39=0),300,0))),1000000))</f>
        <v/>
      </c>
      <c r="TM39">
        <f>IF($B39=0,1000000,IF(INDEX('計算A'!$D$60:$EQ$104,$B39,138)*II39=1,IF(AND($E39=2,NX39=0),1000000,IF($I39&gt;0,IF(6=$J39,IF(OR(AND(138=$I39+1,OR($K39&lt;&gt;'計算A'!$A$3,'計算A'!$A$4=0)),AND(138=$I39-1,OR(18&lt;&gt;'計算A'!$A$3,'計算A'!$A$4=0))),0,IF(18=$K39,200000,ABS(18-$K39)*100)),100000+ABS(6-$J39)*1000+180)+'計算A'!EK$5*50+IF(AND($E39=1,NX39=0),25,0),INDEX('計算A'!EK$110:EK$114,$F39+1)+IF(AND($E39=1,NX39=0),1000,0)+IF($H39=1,(IF('計算A'!EJ$117=1,INDEX('計算A'!EJ$10:EJ$54,$B39),0)+IF('計算A'!EK$117=1,INDEX('計算A'!EL$10:EL$54,$B39),0))*500,0)-IF(AND('計算A'!EJ$117=1,ZH39&gt;0),300,0)-IF(AND($L39=1,'計算A'!EK$117=1,IJ39=0),300,0))),1000000))</f>
        <v/>
      </c>
      <c r="TN39">
        <f>IF($B39=0,1000000,IF(INDEX('計算A'!$D$60:$EQ$104,$B39,139)*IJ39=1,IF(AND($E39=2,NY39=0),1000000,IF($I39&gt;0,IF(6=$J39,IF(OR(AND(139=$I39+1,OR($K39&lt;&gt;'計算A'!$A$3,'計算A'!$A$4=0)),AND(139=$I39-1,OR(19&lt;&gt;'計算A'!$A$3,'計算A'!$A$4=0))),0,IF(19=$K39,200000,ABS(19-$K39)*100)),100000+ABS(6-$J39)*1000+190)+'計算A'!EL$5*50+IF(AND($E39=1,NY39=0),25,0),INDEX('計算A'!EL$110:EL$114,$F39+1)+IF(AND($E39=1,NY39=0),1000,0)+IF($H39=1,(IF('計算A'!EK$117=1,INDEX('計算A'!EK$10:EK$54,$B39),0)+IF('計算A'!EL$117=1,INDEX('計算A'!EM$10:EM$54,$B39),0))*500,0)-IF(AND('計算A'!EK$117=1,ZI39&gt;0),300,0)-IF(AND($L39=1,'計算A'!EL$117=1,IK39=0),300,0))),1000000))</f>
        <v/>
      </c>
      <c r="TO39">
        <f>IF($B39=0,1000000,IF(INDEX('計算A'!$D$60:$EQ$104,$B39,140)*IK39=1,IF(AND($E39=2,NZ39=0),1000000,IF($I39&gt;0,IF(6=$J39,IF(OR(AND(140=$I39+1,OR($K39&lt;&gt;'計算A'!$A$3,'計算A'!$A$4=0)),AND(140=$I39-1,OR(20&lt;&gt;'計算A'!$A$3,'計算A'!$A$4=0))),0,IF(20=$K39,200000,ABS(20-$K39)*100)),100000+ABS(6-$J39)*1000+200)+'計算A'!EM$5*50+IF(AND($E39=1,NZ39=0),25,0),INDEX('計算A'!EM$110:EM$114,$F39+1)+IF(AND($E39=1,NZ39=0),1000,0)+IF($H39=1,(IF('計算A'!EL$117=1,INDEX('計算A'!EL$10:EL$54,$B39),0)+IF('計算A'!EM$117=1,INDEX('計算A'!EN$10:EN$54,$B39),0))*500,0)-IF(AND('計算A'!EL$117=1,ZJ39&gt;0),300,0)-IF(AND($L39=1,'計算A'!EM$117=1,IL39=0),300,0))),1000000))</f>
        <v/>
      </c>
      <c r="TP39">
        <f>IF($B39=0,1000000,IF(INDEX('計算A'!$D$60:$EQ$104,$B39,141)*IL39=1,IF(AND($E39=2,OA39=0),1000000,IF($I39&gt;0,IF(6=$J39,IF(OR(AND(141=$I39+1,OR($K39&lt;&gt;'計算A'!$A$3,'計算A'!$A$4=0)),AND(141=$I39-1,OR(21&lt;&gt;'計算A'!$A$3,'計算A'!$A$4=0))),0,IF(21=$K39,200000,ABS(21-$K39)*100)),100000+ABS(6-$J39)*1000+210)+'計算A'!EN$5*50+IF(AND($E39=1,OA39=0),25,0),INDEX('計算A'!EN$110:EN$114,$F39+1)+IF(AND($E39=1,OA39=0),1000,0)+IF($H39=1,(IF('計算A'!EM$117=1,INDEX('計算A'!EM$10:EM$54,$B39),0)+IF('計算A'!EN$117=1,INDEX('計算A'!EO$10:EO$54,$B39),0))*500,0)-IF(AND('計算A'!EM$117=1,ZK39&gt;0),300,0)-IF(AND($L39=1,'計算A'!EN$117=1,IM39=0),300,0))),1000000))</f>
        <v/>
      </c>
      <c r="TQ39">
        <f>IF($B39=0,1000000,IF(INDEX('計算A'!$D$60:$EQ$104,$B39,142)*IM39=1,IF(AND($E39=2,OB39=0),1000000,IF($I39&gt;0,IF(6=$J39,IF(OR(AND(142=$I39+1,OR($K39&lt;&gt;'計算A'!$A$3,'計算A'!$A$4=0)),AND(142=$I39-1,OR(22&lt;&gt;'計算A'!$A$3,'計算A'!$A$4=0))),0,IF(22=$K39,200000,ABS(22-$K39)*100)),100000+ABS(6-$J39)*1000+220)+'計算A'!EO$5*50+IF(AND($E39=1,OB39=0),25,0),INDEX('計算A'!EO$110:EO$114,$F39+1)+IF(AND($E39=1,OB39=0),1000,0)+IF($H39=1,(IF('計算A'!EN$117=1,INDEX('計算A'!EN$10:EN$54,$B39),0)+IF('計算A'!EO$117=1,INDEX('計算A'!EP$10:EP$54,$B39),0))*500,0)-IF(AND('計算A'!EN$117=1,ZL39&gt;0),300,0)-IF(AND($L39=1,'計算A'!EO$117=1,IN39=0),300,0))),1000000))</f>
        <v/>
      </c>
      <c r="TR39">
        <f>IF($B39=0,1000000,IF(INDEX('計算A'!$D$60:$EQ$104,$B39,143)*IN39=1,IF(AND($E39=2,OC39=0),1000000,IF($I39&gt;0,IF(6=$J39,IF(OR(AND(143=$I39+1,OR($K39&lt;&gt;'計算A'!$A$3,'計算A'!$A$4=0)),AND(143=$I39-1,OR(23&lt;&gt;'計算A'!$A$3,'計算A'!$A$4=0))),0,IF(23=$K39,200000,ABS(23-$K39)*100)),100000+ABS(6-$J39)*1000+230)+'計算A'!EP$5*50+IF(AND($E39=1,OC39=0),25,0),INDEX('計算A'!EP$110:EP$114,$F39+1)+IF(AND($E39=1,OC39=0),1000,0)+IF($H39=1,(IF('計算A'!EO$117=1,INDEX('計算A'!EO$10:EO$54,$B39),0)+IF('計算A'!EP$117=1,INDEX('計算A'!EQ$10:EQ$54,$B39),0))*500,0)-IF(AND('計算A'!EO$117=1,ZM39&gt;0),300,0)-IF(AND($L39=1,'計算A'!EP$117=1,IO39=0),300,0))),1000000))</f>
        <v/>
      </c>
      <c r="TS39">
        <f>IF($B39=0,1000000,IF(INDEX('計算A'!$D$60:$EQ$104,$B39,144)*IO39=1,IF(AND($E39=2,OD39=0),1000000,IF($I39&gt;0,IF(6=$J39,IF(OR(AND(144=$I39+1,OR($K39&lt;&gt;'計算A'!$A$3,'計算A'!$A$4=0)),AND(144=$I39-1,OR(24&lt;&gt;'計算A'!$A$3,'計算A'!$A$4=0))),0,IF(24=$K39,200000,ABS(24-$K39)*100)),100000+ABS(6-$J39)*1000+240)+'計算A'!EQ$5*50+IF(AND($E39=1,OD39=0),25,0),INDEX('計算A'!EQ$110:EQ$114,$F39+1)+IF(AND($E39=1,OD39=0),1000,0)+IF($H39=1,(IF('計算A'!EP$117=1,INDEX('計算A'!EP$10:EP$54,$B39),0))*500,0)-IF(AND('計算A'!EP$117=1,ZN39&gt;0),300,0))),1000000))</f>
        <v/>
      </c>
      <c r="UB39">
        <f>UB38+IF(AND($C38=1,$L38=1),1,0)</f>
        <v/>
      </c>
      <c r="UC39">
        <f>UC38+IF(AND($C38=2,$L38=1),1,0)</f>
        <v/>
      </c>
      <c r="UD39">
        <f>UD38+IF(AND($C38=3,$L38=1),1,0)</f>
        <v/>
      </c>
      <c r="UE39">
        <f>UE38+IF(AND($C38=4,$L38=1),1,0)</f>
        <v/>
      </c>
      <c r="UF39">
        <f>UF38+IF(AND($C38=5,$L38=1),1,0)</f>
        <v/>
      </c>
      <c r="UG39">
        <f>UG38+IF(AND($C38=6,$L38=1),1,0)</f>
        <v/>
      </c>
      <c r="UH39">
        <f>UH38+IF(AND($C38=7,$L38=1),1,0)</f>
        <v/>
      </c>
      <c r="UI39">
        <f>UI38+IF(AND($C38=8,$L38=1),1,0)</f>
        <v/>
      </c>
      <c r="UJ39">
        <f>UJ38+IF(AND($C38=9,$L38=1),1,0)</f>
        <v/>
      </c>
      <c r="UK39">
        <f>UK38+IF(AND($C38=10,$L38=1),1,0)</f>
        <v/>
      </c>
      <c r="UL39">
        <f>UL38+IF(AND($C38=11,$L38=1),1,0)</f>
        <v/>
      </c>
      <c r="UM39">
        <f>UM38+IF(AND($C38=12,$L38=1),1,0)</f>
        <v/>
      </c>
      <c r="UN39">
        <f>UN38+IF(AND($C38=13,$L38=1),1,0)</f>
        <v/>
      </c>
      <c r="UO39">
        <f>UO38+IF(AND($C38=14,$L38=1),1,0)</f>
        <v/>
      </c>
      <c r="UP39">
        <f>UP38+IF(AND($C38=15,$L38=1),1,0)</f>
        <v/>
      </c>
      <c r="UQ39">
        <f>UQ38+IF(AND($C38=16,$L38=1),1,0)</f>
        <v/>
      </c>
      <c r="UR39">
        <f>UR38+IF(AND($C38=17,$L38=1),1,0)</f>
        <v/>
      </c>
      <c r="US39">
        <f>US38+IF(AND($C38=18,$L38=1),1,0)</f>
        <v/>
      </c>
      <c r="UT39">
        <f>UT38+IF(AND($C38=19,$L38=1),1,0)</f>
        <v/>
      </c>
      <c r="UU39">
        <f>UU38+IF(AND($C38=20,$L38=1),1,0)</f>
        <v/>
      </c>
      <c r="UV39">
        <f>UV38+IF(AND($C38=21,$L38=1),1,0)</f>
        <v/>
      </c>
      <c r="UW39">
        <f>UW38+IF(AND($C38=22,$L38=1),1,0)</f>
        <v/>
      </c>
      <c r="UX39">
        <f>UX38+IF(AND($C38=23,$L38=1),1,0)</f>
        <v/>
      </c>
      <c r="UY39">
        <f>UY38+IF(AND($C38=24,$L38=1),1,0)</f>
        <v/>
      </c>
      <c r="UZ39">
        <f>UZ38+IF(AND($C38=25,$L38=1),1,0)</f>
        <v/>
      </c>
      <c r="VA39">
        <f>VA38+IF(AND($C38=26,$L38=1),1,0)</f>
        <v/>
      </c>
      <c r="VB39">
        <f>VB38+IF(AND($C38=27,$L38=1),1,0)</f>
        <v/>
      </c>
      <c r="VC39">
        <f>VC38+IF(AND($C38=28,$L38=1),1,0)</f>
        <v/>
      </c>
      <c r="VD39">
        <f>VD38+IF(AND($C38=29,$L38=1),1,0)</f>
        <v/>
      </c>
      <c r="VE39">
        <f>VE38+IF(AND($C38=30,$L38=1),1,0)</f>
        <v/>
      </c>
      <c r="VF39">
        <f>VF38+IF(AND($C38=31,$L38=1),1,0)</f>
        <v/>
      </c>
      <c r="VG39">
        <f>VG38+IF(AND($C38=32,$L38=1),1,0)</f>
        <v/>
      </c>
      <c r="VH39">
        <f>VH38+IF(AND($C38=33,$L38=1),1,0)</f>
        <v/>
      </c>
      <c r="VI39">
        <f>VI38+IF(AND($C38=34,$L38=1),1,0)</f>
        <v/>
      </c>
      <c r="VJ39">
        <f>VJ38+IF(AND($C38=35,$L38=1),1,0)</f>
        <v/>
      </c>
      <c r="VK39">
        <f>VK38+IF(AND($C38=36,$L38=1),1,0)</f>
        <v/>
      </c>
      <c r="VL39">
        <f>VL38+IF(AND($C38=37,$L38=1),1,0)</f>
        <v/>
      </c>
      <c r="VM39">
        <f>VM38+IF(AND($C38=38,$L38=1),1,0)</f>
        <v/>
      </c>
      <c r="VN39">
        <f>VN38+IF(AND($C38=39,$L38=1),1,0)</f>
        <v/>
      </c>
      <c r="VO39">
        <f>VO38+IF(AND($C38=40,$L38=1),1,0)</f>
        <v/>
      </c>
      <c r="VP39">
        <f>VP38+IF(AND($C38=41,$L38=1),1,0)</f>
        <v/>
      </c>
      <c r="VQ39">
        <f>VQ38+IF(AND($C38=42,$L38=1),1,0)</f>
        <v/>
      </c>
      <c r="VR39">
        <f>VR38+IF(AND($C38=43,$L38=1),1,0)</f>
        <v/>
      </c>
      <c r="VS39">
        <f>VS38+IF(AND($C38=44,$L38=1),1,0)</f>
        <v/>
      </c>
      <c r="VT39">
        <f>VT38+IF(AND($C38=45,$L38=1),1,0)</f>
        <v/>
      </c>
      <c r="VU39">
        <f>VU38+IF(AND($C38=46,$L38=1),1,0)</f>
        <v/>
      </c>
      <c r="VV39">
        <f>VV38+IF(AND($C38=47,$L38=1),1,0)</f>
        <v/>
      </c>
      <c r="VW39">
        <f>VW38+IF(AND($C38=48,$L38=1),1,0)</f>
        <v/>
      </c>
      <c r="VX39">
        <f>VX38+IF(AND($C38=49,$L38=1),1,0)</f>
        <v/>
      </c>
      <c r="VY39">
        <f>VY38+IF(AND($C38=50,$L38=1),1,0)</f>
        <v/>
      </c>
      <c r="VZ39">
        <f>VZ38+IF(AND($C38=51,$L38=1),1,0)</f>
        <v/>
      </c>
      <c r="WA39">
        <f>WA38+IF(AND($C38=52,$L38=1),1,0)</f>
        <v/>
      </c>
      <c r="WB39">
        <f>WB38+IF(AND($C38=53,$L38=1),1,0)</f>
        <v/>
      </c>
      <c r="WC39">
        <f>WC38+IF(AND($C38=54,$L38=1),1,0)</f>
        <v/>
      </c>
      <c r="WD39">
        <f>WD38+IF(AND($C38=55,$L38=1),1,0)</f>
        <v/>
      </c>
      <c r="WE39">
        <f>WE38+IF(AND($C38=56,$L38=1),1,0)</f>
        <v/>
      </c>
      <c r="WF39">
        <f>WF38+IF(AND($C38=57,$L38=1),1,0)</f>
        <v/>
      </c>
      <c r="WG39">
        <f>WG38+IF(AND($C38=58,$L38=1),1,0)</f>
        <v/>
      </c>
      <c r="WH39">
        <f>WH38+IF(AND($C38=59,$L38=1),1,0)</f>
        <v/>
      </c>
      <c r="WI39">
        <f>WI38+IF(AND($C38=60,$L38=1),1,0)</f>
        <v/>
      </c>
      <c r="WJ39">
        <f>WJ38+IF(AND($C38=61,$L38=1),1,0)</f>
        <v/>
      </c>
      <c r="WK39">
        <f>WK38+IF(AND($C38=62,$L38=1),1,0)</f>
        <v/>
      </c>
      <c r="WL39">
        <f>WL38+IF(AND($C38=63,$L38=1),1,0)</f>
        <v/>
      </c>
      <c r="WM39">
        <f>WM38+IF(AND($C38=64,$L38=1),1,0)</f>
        <v/>
      </c>
      <c r="WN39">
        <f>WN38+IF(AND($C38=65,$L38=1),1,0)</f>
        <v/>
      </c>
      <c r="WO39">
        <f>WO38+IF(AND($C38=66,$L38=1),1,0)</f>
        <v/>
      </c>
      <c r="WP39">
        <f>WP38+IF(AND($C38=67,$L38=1),1,0)</f>
        <v/>
      </c>
      <c r="WQ39">
        <f>WQ38+IF(AND($C38=68,$L38=1),1,0)</f>
        <v/>
      </c>
      <c r="WR39">
        <f>WR38+IF(AND($C38=69,$L38=1),1,0)</f>
        <v/>
      </c>
      <c r="WS39">
        <f>WS38+IF(AND($C38=70,$L38=1),1,0)</f>
        <v/>
      </c>
      <c r="WT39">
        <f>WT38+IF(AND($C38=71,$L38=1),1,0)</f>
        <v/>
      </c>
      <c r="WU39">
        <f>WU38+IF(AND($C38=72,$L38=1),1,0)</f>
        <v/>
      </c>
      <c r="WV39">
        <f>WV38+IF(AND($C38=73,$L38=1),1,0)</f>
        <v/>
      </c>
      <c r="WW39">
        <f>WW38+IF(AND($C38=74,$L38=1),1,0)</f>
        <v/>
      </c>
      <c r="WX39">
        <f>WX38+IF(AND($C38=75,$L38=1),1,0)</f>
        <v/>
      </c>
      <c r="WY39">
        <f>WY38+IF(AND($C38=76,$L38=1),1,0)</f>
        <v/>
      </c>
      <c r="WZ39">
        <f>WZ38+IF(AND($C38=77,$L38=1),1,0)</f>
        <v/>
      </c>
      <c r="XA39">
        <f>XA38+IF(AND($C38=78,$L38=1),1,0)</f>
        <v/>
      </c>
      <c r="XB39">
        <f>XB38+IF(AND($C38=79,$L38=1),1,0)</f>
        <v/>
      </c>
      <c r="XC39">
        <f>XC38+IF(AND($C38=80,$L38=1),1,0)</f>
        <v/>
      </c>
      <c r="XD39">
        <f>XD38+IF(AND($C38=81,$L38=1),1,0)</f>
        <v/>
      </c>
      <c r="XE39">
        <f>XE38+IF(AND($C38=82,$L38=1),1,0)</f>
        <v/>
      </c>
      <c r="XF39">
        <f>XF38+IF(AND($C38=83,$L38=1),1,0)</f>
        <v/>
      </c>
      <c r="XG39">
        <f>XG38+IF(AND($C38=84,$L38=1),1,0)</f>
        <v/>
      </c>
      <c r="XH39">
        <f>XH38+IF(AND($C38=85,$L38=1),1,0)</f>
        <v/>
      </c>
      <c r="XI39">
        <f>XI38+IF(AND($C38=86,$L38=1),1,0)</f>
        <v/>
      </c>
      <c r="XJ39">
        <f>XJ38+IF(AND($C38=87,$L38=1),1,0)</f>
        <v/>
      </c>
      <c r="XK39">
        <f>XK38+IF(AND($C38=88,$L38=1),1,0)</f>
        <v/>
      </c>
      <c r="XL39">
        <f>XL38+IF(AND($C38=89,$L38=1),1,0)</f>
        <v/>
      </c>
      <c r="XM39">
        <f>XM38+IF(AND($C38=90,$L38=1),1,0)</f>
        <v/>
      </c>
      <c r="XN39">
        <f>XN38+IF(AND($C38=91,$L38=1),1,0)</f>
        <v/>
      </c>
      <c r="XO39">
        <f>XO38+IF(AND($C38=92,$L38=1),1,0)</f>
        <v/>
      </c>
      <c r="XP39">
        <f>XP38+IF(AND($C38=93,$L38=1),1,0)</f>
        <v/>
      </c>
      <c r="XQ39">
        <f>XQ38+IF(AND($C38=94,$L38=1),1,0)</f>
        <v/>
      </c>
      <c r="XR39">
        <f>XR38+IF(AND($C38=95,$L38=1),1,0)</f>
        <v/>
      </c>
      <c r="XS39">
        <f>XS38+IF(AND($C38=96,$L38=1),1,0)</f>
        <v/>
      </c>
      <c r="XT39">
        <f>XT38+IF(AND($C38=97,$L38=1),1,0)</f>
        <v/>
      </c>
      <c r="XU39">
        <f>XU38+IF(AND($C38=98,$L38=1),1,0)</f>
        <v/>
      </c>
      <c r="XV39">
        <f>XV38+IF(AND($C38=99,$L38=1),1,0)</f>
        <v/>
      </c>
      <c r="XW39">
        <f>XW38+IF(AND($C38=100,$L38=1),1,0)</f>
        <v/>
      </c>
      <c r="XX39">
        <f>XX38+IF(AND($C38=101,$L38=1),1,0)</f>
        <v/>
      </c>
      <c r="XY39">
        <f>XY38+IF(AND($C38=102,$L38=1),1,0)</f>
        <v/>
      </c>
      <c r="XZ39">
        <f>XZ38+IF(AND($C38=103,$L38=1),1,0)</f>
        <v/>
      </c>
      <c r="YA39">
        <f>YA38+IF(AND($C38=104,$L38=1),1,0)</f>
        <v/>
      </c>
      <c r="YB39">
        <f>YB38+IF(AND($C38=105,$L38=1),1,0)</f>
        <v/>
      </c>
      <c r="YC39">
        <f>YC38+IF(AND($C38=106,$L38=1),1,0)</f>
        <v/>
      </c>
      <c r="YD39">
        <f>YD38+IF(AND($C38=107,$L38=1),1,0)</f>
        <v/>
      </c>
      <c r="YE39">
        <f>YE38+IF(AND($C38=108,$L38=1),1,0)</f>
        <v/>
      </c>
      <c r="YF39">
        <f>YF38+IF(AND($C38=109,$L38=1),1,0)</f>
        <v/>
      </c>
      <c r="YG39">
        <f>YG38+IF(AND($C38=110,$L38=1),1,0)</f>
        <v/>
      </c>
      <c r="YH39">
        <f>YH38+IF(AND($C38=111,$L38=1),1,0)</f>
        <v/>
      </c>
      <c r="YI39">
        <f>YI38+IF(AND($C38=112,$L38=1),1,0)</f>
        <v/>
      </c>
      <c r="YJ39">
        <f>YJ38+IF(AND($C38=113,$L38=1),1,0)</f>
        <v/>
      </c>
      <c r="YK39">
        <f>YK38+IF(AND($C38=114,$L38=1),1,0)</f>
        <v/>
      </c>
      <c r="YL39">
        <f>YL38+IF(AND($C38=115,$L38=1),1,0)</f>
        <v/>
      </c>
      <c r="YM39">
        <f>YM38+IF(AND($C38=116,$L38=1),1,0)</f>
        <v/>
      </c>
      <c r="YN39">
        <f>YN38+IF(AND($C38=117,$L38=1),1,0)</f>
        <v/>
      </c>
      <c r="YO39">
        <f>YO38+IF(AND($C38=118,$L38=1),1,0)</f>
        <v/>
      </c>
      <c r="YP39">
        <f>YP38+IF(AND($C38=119,$L38=1),1,0)</f>
        <v/>
      </c>
      <c r="YQ39">
        <f>YQ38+IF(AND($C38=120,$L38=1),1,0)</f>
        <v/>
      </c>
      <c r="YR39">
        <f>YR38+IF(AND($C38=121,$L38=1),1,0)</f>
        <v/>
      </c>
      <c r="YS39">
        <f>YS38+IF(AND($C38=122,$L38=1),1,0)</f>
        <v/>
      </c>
      <c r="YT39">
        <f>YT38+IF(AND($C38=123,$L38=1),1,0)</f>
        <v/>
      </c>
      <c r="YU39">
        <f>YU38+IF(AND($C38=124,$L38=1),1,0)</f>
        <v/>
      </c>
      <c r="YV39">
        <f>YV38+IF(AND($C38=125,$L38=1),1,0)</f>
        <v/>
      </c>
      <c r="YW39">
        <f>YW38+IF(AND($C38=126,$L38=1),1,0)</f>
        <v/>
      </c>
      <c r="YX39">
        <f>YX38+IF(AND($C38=127,$L38=1),1,0)</f>
        <v/>
      </c>
      <c r="YY39">
        <f>YY38+IF(AND($C38=128,$L38=1),1,0)</f>
        <v/>
      </c>
      <c r="YZ39">
        <f>YZ38+IF(AND($C38=129,$L38=1),1,0)</f>
        <v/>
      </c>
      <c r="ZA39">
        <f>ZA38+IF(AND($C38=130,$L38=1),1,0)</f>
        <v/>
      </c>
      <c r="ZB39">
        <f>ZB38+IF(AND($C38=131,$L38=1),1,0)</f>
        <v/>
      </c>
      <c r="ZC39">
        <f>ZC38+IF(AND($C38=132,$L38=1),1,0)</f>
        <v/>
      </c>
      <c r="ZD39">
        <f>ZD38+IF(AND($C38=133,$L38=1),1,0)</f>
        <v/>
      </c>
      <c r="ZE39">
        <f>ZE38+IF(AND($C38=134,$L38=1),1,0)</f>
        <v/>
      </c>
      <c r="ZF39">
        <f>ZF38+IF(AND($C38=135,$L38=1),1,0)</f>
        <v/>
      </c>
      <c r="ZG39">
        <f>ZG38+IF(AND($C38=136,$L38=1),1,0)</f>
        <v/>
      </c>
      <c r="ZH39">
        <f>ZH38+IF(AND($C38=137,$L38=1),1,0)</f>
        <v/>
      </c>
      <c r="ZI39">
        <f>ZI38+IF(AND($C38=138,$L38=1),1,0)</f>
        <v/>
      </c>
      <c r="ZJ39">
        <f>ZJ38+IF(AND($C38=139,$L38=1),1,0)</f>
        <v/>
      </c>
      <c r="ZK39">
        <f>ZK38+IF(AND($C38=140,$L38=1),1,0)</f>
        <v/>
      </c>
      <c r="ZL39">
        <f>ZL38+IF(AND($C38=141,$L38=1),1,0)</f>
        <v/>
      </c>
      <c r="ZM39">
        <f>ZM38+IF(AND($C38=142,$L38=1),1,0)</f>
        <v/>
      </c>
      <c r="ZN39">
        <f>ZN38+IF(AND($C38=143,$L38=1),1,0)</f>
        <v/>
      </c>
      <c r="ZO39">
        <f>ZO38+IF(AND($C38=144,$L38=1),1,0)</f>
        <v/>
      </c>
    </row>
    <row r="40">
      <c r="A40" t="n">
        <v>38</v>
      </c>
      <c r="B40">
        <f>IF(MIN(BH40:CZ40)&gt;=1000000,0,MATCH(MIN(BH40:CZ40),BH40:CZ40,0))</f>
        <v/>
      </c>
      <c r="C40">
        <f>IF(MIN(OF40:TS40)&gt;=1000000,0,MATCH(MIN(OF40:TS40),OF40:TS40,0))</f>
        <v/>
      </c>
      <c r="D40">
        <f>IF(C40&gt;0,INDEX('計算A'!$D$5:$EQ$5,C40),0)</f>
        <v/>
      </c>
      <c r="E40">
        <f>IF(B40=0,0,INDEX('計算A'!$IQ$10:$IQ$54,B40))</f>
        <v/>
      </c>
      <c r="F40">
        <f>IF(B40=0,0,INDEX('計算A'!$IP$10:$IP$54,B40))</f>
        <v/>
      </c>
      <c r="G40">
        <f>IF(AND(C40&gt;0,E40&gt;0),IF(AND(INDEX('計算A'!$D$106:$EQ$106,C40)=1,INDEX($IQ40:$OD40,C40)=1),C40+1,0),0)</f>
        <v/>
      </c>
      <c r="H40">
        <f>IF(B40=0,0,INDEX('計算A'!$IW$10:$IW$54,B40))</f>
        <v/>
      </c>
      <c r="I40">
        <f>IF(B40=0,0,MAX(0,INDEX('計算A'!$IT$10:$IT$54,B40)))</f>
        <v/>
      </c>
      <c r="J40">
        <f>IF(I40=0,0,INDEX('計算A'!$D$2:$EQ$2,I40))</f>
        <v/>
      </c>
      <c r="K40">
        <f>IF(I40=0,0,INDEX('計算A'!$D$3:$EQ$3,I40))</f>
        <v/>
      </c>
      <c r="L40">
        <f>IF(B40=0,0,INDEX('計算A'!$IX$10:$IX$54,B40))</f>
        <v/>
      </c>
      <c r="N40">
        <f>MAX(N39,IF($B39=1,1,0))</f>
        <v/>
      </c>
      <c r="O40">
        <f>MAX(O39,IF($B39=2,1,0))</f>
        <v/>
      </c>
      <c r="P40">
        <f>MAX(P39,IF($B39=3,1,0))</f>
        <v/>
      </c>
      <c r="Q40">
        <f>MAX(Q39,IF($B39=4,1,0))</f>
        <v/>
      </c>
      <c r="R40">
        <f>MAX(R39,IF($B39=5,1,0))</f>
        <v/>
      </c>
      <c r="S40">
        <f>MAX(S39,IF($B39=6,1,0))</f>
        <v/>
      </c>
      <c r="T40">
        <f>MAX(T39,IF($B39=7,1,0))</f>
        <v/>
      </c>
      <c r="U40">
        <f>MAX(U39,IF($B39=8,1,0))</f>
        <v/>
      </c>
      <c r="V40">
        <f>MAX(V39,IF($B39=9,1,0))</f>
        <v/>
      </c>
      <c r="W40">
        <f>MAX(W39,IF($B39=10,1,0))</f>
        <v/>
      </c>
      <c r="X40">
        <f>MAX(X39,IF($B39=11,1,0))</f>
        <v/>
      </c>
      <c r="Y40">
        <f>MAX(Y39,IF($B39=12,1,0))</f>
        <v/>
      </c>
      <c r="Z40">
        <f>MAX(Z39,IF($B39=13,1,0))</f>
        <v/>
      </c>
      <c r="AA40">
        <f>MAX(AA39,IF($B39=14,1,0))</f>
        <v/>
      </c>
      <c r="AB40">
        <f>MAX(AB39,IF($B39=15,1,0))</f>
        <v/>
      </c>
      <c r="AC40">
        <f>MAX(AC39,IF($B39=16,1,0))</f>
        <v/>
      </c>
      <c r="AD40">
        <f>MAX(AD39,IF($B39=17,1,0))</f>
        <v/>
      </c>
      <c r="AE40">
        <f>MAX(AE39,IF($B39=18,1,0))</f>
        <v/>
      </c>
      <c r="AF40">
        <f>MAX(AF39,IF($B39=19,1,0))</f>
        <v/>
      </c>
      <c r="AG40">
        <f>MAX(AG39,IF($B39=20,1,0))</f>
        <v/>
      </c>
      <c r="AH40">
        <f>MAX(AH39,IF($B39=21,1,0))</f>
        <v/>
      </c>
      <c r="AI40">
        <f>MAX(AI39,IF($B39=22,1,0))</f>
        <v/>
      </c>
      <c r="AJ40">
        <f>MAX(AJ39,IF($B39=23,1,0))</f>
        <v/>
      </c>
      <c r="AK40">
        <f>MAX(AK39,IF($B39=24,1,0))</f>
        <v/>
      </c>
      <c r="AL40">
        <f>MAX(AL39,IF($B39=25,1,0))</f>
        <v/>
      </c>
      <c r="AM40">
        <f>MAX(AM39,IF($B39=26,1,0))</f>
        <v/>
      </c>
      <c r="AN40">
        <f>MAX(AN39,IF($B39=27,1,0))</f>
        <v/>
      </c>
      <c r="AO40">
        <f>MAX(AO39,IF($B39=28,1,0))</f>
        <v/>
      </c>
      <c r="AP40">
        <f>MAX(AP39,IF($B39=29,1,0))</f>
        <v/>
      </c>
      <c r="AQ40">
        <f>MAX(AQ39,IF($B39=30,1,0))</f>
        <v/>
      </c>
      <c r="AR40">
        <f>MAX(AR39,IF($B39=31,1,0))</f>
        <v/>
      </c>
      <c r="AS40">
        <f>MAX(AS39,IF($B39=32,1,0))</f>
        <v/>
      </c>
      <c r="AT40">
        <f>MAX(AT39,IF($B39=33,1,0))</f>
        <v/>
      </c>
      <c r="AU40">
        <f>MAX(AU39,IF($B39=34,1,0))</f>
        <v/>
      </c>
      <c r="AV40">
        <f>MAX(AV39,IF($B39=35,1,0))</f>
        <v/>
      </c>
      <c r="AW40">
        <f>MAX(AW39,IF($B39=36,1,0))</f>
        <v/>
      </c>
      <c r="AX40">
        <f>MAX(AX39,IF($B39=37,1,0))</f>
        <v/>
      </c>
      <c r="AY40">
        <f>MAX(AY39,IF($B39=38,1,0))</f>
        <v/>
      </c>
      <c r="AZ40">
        <f>MAX(AZ39,IF($B39=39,1,0))</f>
        <v/>
      </c>
      <c r="BA40">
        <f>MAX(BA39,IF($B39=40,1,0))</f>
        <v/>
      </c>
      <c r="BB40">
        <f>MAX(BB39,IF($B39=41,1,0))</f>
        <v/>
      </c>
      <c r="BC40">
        <f>MAX(BC39,IF($B39=42,1,0))</f>
        <v/>
      </c>
      <c r="BD40">
        <f>MAX(BD39,IF($B39=43,1,0))</f>
        <v/>
      </c>
      <c r="BE40">
        <f>MAX(BE39,IF($B39=44,1,0))</f>
        <v/>
      </c>
      <c r="BF40">
        <f>MAX(BF39,IF($B39=45,1,0))</f>
        <v/>
      </c>
      <c r="BH40">
        <f>IF(N40=1,1000000,IF('計算A'!$IT$10&gt;0,0,500000)+IF('計算A'!$IQ$10=2,SUMPRODUCT('計算A'!$D$60:$EQ$60,$DB40:$IO40,$IQ40:$OD40),SUMPRODUCT('計算A'!$D$60:$EQ$60,$DB40:$IO40))*1000+1)</f>
        <v/>
      </c>
      <c r="BI40">
        <f>IF(O40=1,1000000,IF('計算A'!$IT$11&gt;0,0,500000)+IF('計算A'!$IQ$11=2,SUMPRODUCT('計算A'!$D$61:$EQ$61,$DB40:$IO40,$IQ40:$OD40),SUMPRODUCT('計算A'!$D$61:$EQ$61,$DB40:$IO40))*1000+2)</f>
        <v/>
      </c>
      <c r="BJ40">
        <f>IF(P40=1,1000000,IF('計算A'!$IT$12&gt;0,0,500000)+IF('計算A'!$IQ$12=2,SUMPRODUCT('計算A'!$D$62:$EQ$62,$DB40:$IO40,$IQ40:$OD40),SUMPRODUCT('計算A'!$D$62:$EQ$62,$DB40:$IO40))*1000+3)</f>
        <v/>
      </c>
      <c r="BK40">
        <f>IF(Q40=1,1000000,IF('計算A'!$IT$13&gt;0,0,500000)+IF('計算A'!$IQ$13=2,SUMPRODUCT('計算A'!$D$63:$EQ$63,$DB40:$IO40,$IQ40:$OD40),SUMPRODUCT('計算A'!$D$63:$EQ$63,$DB40:$IO40))*1000+4)</f>
        <v/>
      </c>
      <c r="BL40">
        <f>IF(R40=1,1000000,IF('計算A'!$IT$14&gt;0,0,500000)+IF('計算A'!$IQ$14=2,SUMPRODUCT('計算A'!$D$64:$EQ$64,$DB40:$IO40,$IQ40:$OD40),SUMPRODUCT('計算A'!$D$64:$EQ$64,$DB40:$IO40))*1000+5)</f>
        <v/>
      </c>
      <c r="BM40">
        <f>IF(S40=1,1000000,IF('計算A'!$IT$15&gt;0,0,500000)+IF('計算A'!$IQ$15=2,SUMPRODUCT('計算A'!$D$65:$EQ$65,$DB40:$IO40,$IQ40:$OD40),SUMPRODUCT('計算A'!$D$65:$EQ$65,$DB40:$IO40))*1000+6)</f>
        <v/>
      </c>
      <c r="BN40">
        <f>IF(T40=1,1000000,IF('計算A'!$IT$16&gt;0,0,500000)+IF('計算A'!$IQ$16=2,SUMPRODUCT('計算A'!$D$66:$EQ$66,$DB40:$IO40,$IQ40:$OD40),SUMPRODUCT('計算A'!$D$66:$EQ$66,$DB40:$IO40))*1000+7)</f>
        <v/>
      </c>
      <c r="BO40">
        <f>IF(U40=1,1000000,IF('計算A'!$IT$17&gt;0,0,500000)+IF('計算A'!$IQ$17=2,SUMPRODUCT('計算A'!$D$67:$EQ$67,$DB40:$IO40,$IQ40:$OD40),SUMPRODUCT('計算A'!$D$67:$EQ$67,$DB40:$IO40))*1000+8)</f>
        <v/>
      </c>
      <c r="BP40">
        <f>IF(V40=1,1000000,IF('計算A'!$IT$18&gt;0,0,500000)+IF('計算A'!$IQ$18=2,SUMPRODUCT('計算A'!$D$68:$EQ$68,$DB40:$IO40,$IQ40:$OD40),SUMPRODUCT('計算A'!$D$68:$EQ$68,$DB40:$IO40))*1000+9)</f>
        <v/>
      </c>
      <c r="BQ40">
        <f>IF(W40=1,1000000,IF('計算A'!$IT$19&gt;0,0,500000)+IF('計算A'!$IQ$19=2,SUMPRODUCT('計算A'!$D$69:$EQ$69,$DB40:$IO40,$IQ40:$OD40),SUMPRODUCT('計算A'!$D$69:$EQ$69,$DB40:$IO40))*1000+10)</f>
        <v/>
      </c>
      <c r="BR40">
        <f>IF(X40=1,1000000,IF('計算A'!$IT$20&gt;0,0,500000)+IF('計算A'!$IQ$20=2,SUMPRODUCT('計算A'!$D$70:$EQ$70,$DB40:$IO40,$IQ40:$OD40),SUMPRODUCT('計算A'!$D$70:$EQ$70,$DB40:$IO40))*1000+11)</f>
        <v/>
      </c>
      <c r="BS40">
        <f>IF(Y40=1,1000000,IF('計算A'!$IT$21&gt;0,0,500000)+IF('計算A'!$IQ$21=2,SUMPRODUCT('計算A'!$D$71:$EQ$71,$DB40:$IO40,$IQ40:$OD40),SUMPRODUCT('計算A'!$D$71:$EQ$71,$DB40:$IO40))*1000+12)</f>
        <v/>
      </c>
      <c r="BT40">
        <f>IF(Z40=1,1000000,IF('計算A'!$IT$22&gt;0,0,500000)+IF('計算A'!$IQ$22=2,SUMPRODUCT('計算A'!$D$72:$EQ$72,$DB40:$IO40,$IQ40:$OD40),SUMPRODUCT('計算A'!$D$72:$EQ$72,$DB40:$IO40))*1000+13)</f>
        <v/>
      </c>
      <c r="BU40">
        <f>IF(AA40=1,1000000,IF('計算A'!$IT$23&gt;0,0,500000)+IF('計算A'!$IQ$23=2,SUMPRODUCT('計算A'!$D$73:$EQ$73,$DB40:$IO40,$IQ40:$OD40),SUMPRODUCT('計算A'!$D$73:$EQ$73,$DB40:$IO40))*1000+14)</f>
        <v/>
      </c>
      <c r="BV40">
        <f>IF(AB40=1,1000000,IF('計算A'!$IT$24&gt;0,0,500000)+IF('計算A'!$IQ$24=2,SUMPRODUCT('計算A'!$D$74:$EQ$74,$DB40:$IO40,$IQ40:$OD40),SUMPRODUCT('計算A'!$D$74:$EQ$74,$DB40:$IO40))*1000+15)</f>
        <v/>
      </c>
      <c r="BW40">
        <f>IF(AC40=1,1000000,IF('計算A'!$IT$25&gt;0,0,500000)+IF('計算A'!$IQ$25=2,SUMPRODUCT('計算A'!$D$75:$EQ$75,$DB40:$IO40,$IQ40:$OD40),SUMPRODUCT('計算A'!$D$75:$EQ$75,$DB40:$IO40))*1000+16)</f>
        <v/>
      </c>
      <c r="BX40">
        <f>IF(AD40=1,1000000,IF('計算A'!$IT$26&gt;0,0,500000)+IF('計算A'!$IQ$26=2,SUMPRODUCT('計算A'!$D$76:$EQ$76,$DB40:$IO40,$IQ40:$OD40),SUMPRODUCT('計算A'!$D$76:$EQ$76,$DB40:$IO40))*1000+17)</f>
        <v/>
      </c>
      <c r="BY40">
        <f>IF(AE40=1,1000000,IF('計算A'!$IT$27&gt;0,0,500000)+IF('計算A'!$IQ$27=2,SUMPRODUCT('計算A'!$D$77:$EQ$77,$DB40:$IO40,$IQ40:$OD40),SUMPRODUCT('計算A'!$D$77:$EQ$77,$DB40:$IO40))*1000+18)</f>
        <v/>
      </c>
      <c r="BZ40">
        <f>IF(AF40=1,1000000,IF('計算A'!$IT$28&gt;0,0,500000)+IF('計算A'!$IQ$28=2,SUMPRODUCT('計算A'!$D$78:$EQ$78,$DB40:$IO40,$IQ40:$OD40),SUMPRODUCT('計算A'!$D$78:$EQ$78,$DB40:$IO40))*1000+19)</f>
        <v/>
      </c>
      <c r="CA40">
        <f>IF(AG40=1,1000000,IF('計算A'!$IT$29&gt;0,0,500000)+IF('計算A'!$IQ$29=2,SUMPRODUCT('計算A'!$D$79:$EQ$79,$DB40:$IO40,$IQ40:$OD40),SUMPRODUCT('計算A'!$D$79:$EQ$79,$DB40:$IO40))*1000+20)</f>
        <v/>
      </c>
      <c r="CB40">
        <f>IF(AH40=1,1000000,IF('計算A'!$IT$30&gt;0,0,500000)+IF('計算A'!$IQ$30=2,SUMPRODUCT('計算A'!$D$80:$EQ$80,$DB40:$IO40,$IQ40:$OD40),SUMPRODUCT('計算A'!$D$80:$EQ$80,$DB40:$IO40))*1000+21)</f>
        <v/>
      </c>
      <c r="CC40">
        <f>IF(AI40=1,1000000,IF('計算A'!$IT$31&gt;0,0,500000)+IF('計算A'!$IQ$31=2,SUMPRODUCT('計算A'!$D$81:$EQ$81,$DB40:$IO40,$IQ40:$OD40),SUMPRODUCT('計算A'!$D$81:$EQ$81,$DB40:$IO40))*1000+22)</f>
        <v/>
      </c>
      <c r="CD40">
        <f>IF(AJ40=1,1000000,IF('計算A'!$IT$32&gt;0,0,500000)+IF('計算A'!$IQ$32=2,SUMPRODUCT('計算A'!$D$82:$EQ$82,$DB40:$IO40,$IQ40:$OD40),SUMPRODUCT('計算A'!$D$82:$EQ$82,$DB40:$IO40))*1000+23)</f>
        <v/>
      </c>
      <c r="CE40">
        <f>IF(AK40=1,1000000,IF('計算A'!$IT$33&gt;0,0,500000)+IF('計算A'!$IQ$33=2,SUMPRODUCT('計算A'!$D$83:$EQ$83,$DB40:$IO40,$IQ40:$OD40),SUMPRODUCT('計算A'!$D$83:$EQ$83,$DB40:$IO40))*1000+24)</f>
        <v/>
      </c>
      <c r="CF40">
        <f>IF(AL40=1,1000000,IF('計算A'!$IT$34&gt;0,0,500000)+IF('計算A'!$IQ$34=2,SUMPRODUCT('計算A'!$D$84:$EQ$84,$DB40:$IO40,$IQ40:$OD40),SUMPRODUCT('計算A'!$D$84:$EQ$84,$DB40:$IO40))*1000+25)</f>
        <v/>
      </c>
      <c r="CG40">
        <f>IF(AM40=1,1000000,IF('計算A'!$IT$35&gt;0,0,500000)+IF('計算A'!$IQ$35=2,SUMPRODUCT('計算A'!$D$85:$EQ$85,$DB40:$IO40,$IQ40:$OD40),SUMPRODUCT('計算A'!$D$85:$EQ$85,$DB40:$IO40))*1000+26)</f>
        <v/>
      </c>
      <c r="CH40">
        <f>IF(AN40=1,1000000,IF('計算A'!$IT$36&gt;0,0,500000)+IF('計算A'!$IQ$36=2,SUMPRODUCT('計算A'!$D$86:$EQ$86,$DB40:$IO40,$IQ40:$OD40),SUMPRODUCT('計算A'!$D$86:$EQ$86,$DB40:$IO40))*1000+27)</f>
        <v/>
      </c>
      <c r="CI40">
        <f>IF(AO40=1,1000000,IF('計算A'!$IT$37&gt;0,0,500000)+IF('計算A'!$IQ$37=2,SUMPRODUCT('計算A'!$D$87:$EQ$87,$DB40:$IO40,$IQ40:$OD40),SUMPRODUCT('計算A'!$D$87:$EQ$87,$DB40:$IO40))*1000+28)</f>
        <v/>
      </c>
      <c r="CJ40">
        <f>IF(AP40=1,1000000,IF('計算A'!$IT$38&gt;0,0,500000)+IF('計算A'!$IQ$38=2,SUMPRODUCT('計算A'!$D$88:$EQ$88,$DB40:$IO40,$IQ40:$OD40),SUMPRODUCT('計算A'!$D$88:$EQ$88,$DB40:$IO40))*1000+29)</f>
        <v/>
      </c>
      <c r="CK40">
        <f>IF(AQ40=1,1000000,IF('計算A'!$IT$39&gt;0,0,500000)+IF('計算A'!$IQ$39=2,SUMPRODUCT('計算A'!$D$89:$EQ$89,$DB40:$IO40,$IQ40:$OD40),SUMPRODUCT('計算A'!$D$89:$EQ$89,$DB40:$IO40))*1000+30)</f>
        <v/>
      </c>
      <c r="CL40">
        <f>IF(AR40=1,1000000,IF('計算A'!$IT$40&gt;0,0,500000)+IF('計算A'!$IQ$40=2,SUMPRODUCT('計算A'!$D$90:$EQ$90,$DB40:$IO40,$IQ40:$OD40),SUMPRODUCT('計算A'!$D$90:$EQ$90,$DB40:$IO40))*1000+31)</f>
        <v/>
      </c>
      <c r="CM40">
        <f>IF(AS40=1,1000000,IF('計算A'!$IT$41&gt;0,0,500000)+IF('計算A'!$IQ$41=2,SUMPRODUCT('計算A'!$D$91:$EQ$91,$DB40:$IO40,$IQ40:$OD40),SUMPRODUCT('計算A'!$D$91:$EQ$91,$DB40:$IO40))*1000+32)</f>
        <v/>
      </c>
      <c r="CN40">
        <f>IF(AT40=1,1000000,IF('計算A'!$IT$42&gt;0,0,500000)+IF('計算A'!$IQ$42=2,SUMPRODUCT('計算A'!$D$92:$EQ$92,$DB40:$IO40,$IQ40:$OD40),SUMPRODUCT('計算A'!$D$92:$EQ$92,$DB40:$IO40))*1000+33)</f>
        <v/>
      </c>
      <c r="CO40">
        <f>IF(AU40=1,1000000,IF('計算A'!$IT$43&gt;0,0,500000)+IF('計算A'!$IQ$43=2,SUMPRODUCT('計算A'!$D$93:$EQ$93,$DB40:$IO40,$IQ40:$OD40),SUMPRODUCT('計算A'!$D$93:$EQ$93,$DB40:$IO40))*1000+34)</f>
        <v/>
      </c>
      <c r="CP40">
        <f>IF(AV40=1,1000000,IF('計算A'!$IT$44&gt;0,0,500000)+IF('計算A'!$IQ$44=2,SUMPRODUCT('計算A'!$D$94:$EQ$94,$DB40:$IO40,$IQ40:$OD40),SUMPRODUCT('計算A'!$D$94:$EQ$94,$DB40:$IO40))*1000+35)</f>
        <v/>
      </c>
      <c r="CQ40">
        <f>IF(AW40=1,1000000,IF('計算A'!$IT$45&gt;0,0,500000)+IF('計算A'!$IQ$45=2,SUMPRODUCT('計算A'!$D$95:$EQ$95,$DB40:$IO40,$IQ40:$OD40),SUMPRODUCT('計算A'!$D$95:$EQ$95,$DB40:$IO40))*1000+36)</f>
        <v/>
      </c>
      <c r="CR40">
        <f>IF(AX40=1,1000000,IF('計算A'!$IT$46&gt;0,0,500000)+IF('計算A'!$IQ$46=2,SUMPRODUCT('計算A'!$D$96:$EQ$96,$DB40:$IO40,$IQ40:$OD40),SUMPRODUCT('計算A'!$D$96:$EQ$96,$DB40:$IO40))*1000+37)</f>
        <v/>
      </c>
      <c r="CS40">
        <f>IF(AY40=1,1000000,IF('計算A'!$IT$47&gt;0,0,500000)+IF('計算A'!$IQ$47=2,SUMPRODUCT('計算A'!$D$97:$EQ$97,$DB40:$IO40,$IQ40:$OD40),SUMPRODUCT('計算A'!$D$97:$EQ$97,$DB40:$IO40))*1000+38)</f>
        <v/>
      </c>
      <c r="CT40">
        <f>IF(AZ40=1,1000000,IF('計算A'!$IT$48&gt;0,0,500000)+IF('計算A'!$IQ$48=2,SUMPRODUCT('計算A'!$D$98:$EQ$98,$DB40:$IO40,$IQ40:$OD40),SUMPRODUCT('計算A'!$D$98:$EQ$98,$DB40:$IO40))*1000+39)</f>
        <v/>
      </c>
      <c r="CU40">
        <f>IF(BA40=1,1000000,IF('計算A'!$IT$49&gt;0,0,500000)+IF('計算A'!$IQ$49=2,SUMPRODUCT('計算A'!$D$99:$EQ$99,$DB40:$IO40,$IQ40:$OD40),SUMPRODUCT('計算A'!$D$99:$EQ$99,$DB40:$IO40))*1000+40)</f>
        <v/>
      </c>
      <c r="CV40">
        <f>IF(BB40=1,1000000,IF('計算A'!$IT$50&gt;0,0,500000)+IF('計算A'!$IQ$50=2,SUMPRODUCT('計算A'!$D$100:$EQ$100,$DB40:$IO40,$IQ40:$OD40),SUMPRODUCT('計算A'!$D$100:$EQ$100,$DB40:$IO40))*1000+41)</f>
        <v/>
      </c>
      <c r="CW40">
        <f>IF(BC40=1,1000000,IF('計算A'!$IT$51&gt;0,0,500000)+IF('計算A'!$IQ$51=2,SUMPRODUCT('計算A'!$D$101:$EQ$101,$DB40:$IO40,$IQ40:$OD40),SUMPRODUCT('計算A'!$D$101:$EQ$101,$DB40:$IO40))*1000+42)</f>
        <v/>
      </c>
      <c r="CX40">
        <f>IF(BD40=1,1000000,IF('計算A'!$IT$52&gt;0,0,500000)+IF('計算A'!$IQ$52=2,SUMPRODUCT('計算A'!$D$102:$EQ$102,$DB40:$IO40,$IQ40:$OD40),SUMPRODUCT('計算A'!$D$102:$EQ$102,$DB40:$IO40))*1000+43)</f>
        <v/>
      </c>
      <c r="CY40">
        <f>IF(BE40=1,1000000,IF('計算A'!$IT$53&gt;0,0,500000)+IF('計算A'!$IQ$53=2,SUMPRODUCT('計算A'!$D$103:$EQ$103,$DB40:$IO40,$IQ40:$OD40),SUMPRODUCT('計算A'!$D$103:$EQ$103,$DB40:$IO40))*1000+44)</f>
        <v/>
      </c>
      <c r="CZ40">
        <f>IF(BF40=1,1000000,IF('計算A'!$IT$54&gt;0,0,500000)+IF('計算A'!$IQ$54=2,SUMPRODUCT('計算A'!$D$104:$EQ$104,$DB40:$IO40,$IQ40:$OD40),SUMPRODUCT('計算A'!$D$104:$EQ$104,$DB40:$IO40))*1000+45)</f>
        <v/>
      </c>
      <c r="DB40">
        <f>DB39*IF(OR($C39=1,$G39=1),0,1)</f>
        <v/>
      </c>
      <c r="DC40">
        <f>DC39*IF(OR($C39=2,$G39=2),0,1)</f>
        <v/>
      </c>
      <c r="DD40">
        <f>DD39*IF(OR($C39=3,$G39=3),0,1)</f>
        <v/>
      </c>
      <c r="DE40">
        <f>DE39*IF(OR($C39=4,$G39=4),0,1)</f>
        <v/>
      </c>
      <c r="DF40">
        <f>DF39*IF(OR($C39=5,$G39=5),0,1)</f>
        <v/>
      </c>
      <c r="DG40">
        <f>DG39*IF(OR($C39=6,$G39=6),0,1)</f>
        <v/>
      </c>
      <c r="DH40">
        <f>DH39*IF(OR($C39=7,$G39=7),0,1)</f>
        <v/>
      </c>
      <c r="DI40">
        <f>DI39*IF(OR($C39=8,$G39=8),0,1)</f>
        <v/>
      </c>
      <c r="DJ40">
        <f>DJ39*IF(OR($C39=9,$G39=9),0,1)</f>
        <v/>
      </c>
      <c r="DK40">
        <f>DK39*IF(OR($C39=10,$G39=10),0,1)</f>
        <v/>
      </c>
      <c r="DL40">
        <f>DL39*IF(OR($C39=11,$G39=11),0,1)</f>
        <v/>
      </c>
      <c r="DM40">
        <f>DM39*IF(OR($C39=12,$G39=12),0,1)</f>
        <v/>
      </c>
      <c r="DN40">
        <f>DN39*IF(OR($C39=13,$G39=13),0,1)</f>
        <v/>
      </c>
      <c r="DO40">
        <f>DO39*IF(OR($C39=14,$G39=14),0,1)</f>
        <v/>
      </c>
      <c r="DP40">
        <f>DP39*IF(OR($C39=15,$G39=15),0,1)</f>
        <v/>
      </c>
      <c r="DQ40">
        <f>DQ39*IF(OR($C39=16,$G39=16),0,1)</f>
        <v/>
      </c>
      <c r="DR40">
        <f>DR39*IF(OR($C39=17,$G39=17),0,1)</f>
        <v/>
      </c>
      <c r="DS40">
        <f>DS39*IF(OR($C39=18,$G39=18),0,1)</f>
        <v/>
      </c>
      <c r="DT40">
        <f>DT39*IF(OR($C39=19,$G39=19),0,1)</f>
        <v/>
      </c>
      <c r="DU40">
        <f>DU39*IF(OR($C39=20,$G39=20),0,1)</f>
        <v/>
      </c>
      <c r="DV40">
        <f>DV39*IF(OR($C39=21,$G39=21),0,1)</f>
        <v/>
      </c>
      <c r="DW40">
        <f>DW39*IF(OR($C39=22,$G39=22),0,1)</f>
        <v/>
      </c>
      <c r="DX40">
        <f>DX39*IF(OR($C39=23,$G39=23),0,1)</f>
        <v/>
      </c>
      <c r="DY40">
        <f>DY39*IF(OR($C39=24,$G39=24),0,1)</f>
        <v/>
      </c>
      <c r="DZ40">
        <f>DZ39*IF(OR($C39=25,$G39=25),0,1)</f>
        <v/>
      </c>
      <c r="EA40">
        <f>EA39*IF(OR($C39=26,$G39=26),0,1)</f>
        <v/>
      </c>
      <c r="EB40">
        <f>EB39*IF(OR($C39=27,$G39=27),0,1)</f>
        <v/>
      </c>
      <c r="EC40">
        <f>EC39*IF(OR($C39=28,$G39=28),0,1)</f>
        <v/>
      </c>
      <c r="ED40">
        <f>ED39*IF(OR($C39=29,$G39=29),0,1)</f>
        <v/>
      </c>
      <c r="EE40">
        <f>EE39*IF(OR($C39=30,$G39=30),0,1)</f>
        <v/>
      </c>
      <c r="EF40">
        <f>EF39*IF(OR($C39=31,$G39=31),0,1)</f>
        <v/>
      </c>
      <c r="EG40">
        <f>EG39*IF(OR($C39=32,$G39=32),0,1)</f>
        <v/>
      </c>
      <c r="EH40">
        <f>EH39*IF(OR($C39=33,$G39=33),0,1)</f>
        <v/>
      </c>
      <c r="EI40">
        <f>EI39*IF(OR($C39=34,$G39=34),0,1)</f>
        <v/>
      </c>
      <c r="EJ40">
        <f>EJ39*IF(OR($C39=35,$G39=35),0,1)</f>
        <v/>
      </c>
      <c r="EK40">
        <f>EK39*IF(OR($C39=36,$G39=36),0,1)</f>
        <v/>
      </c>
      <c r="EL40">
        <f>EL39*IF(OR($C39=37,$G39=37),0,1)</f>
        <v/>
      </c>
      <c r="EM40">
        <f>EM39*IF(OR($C39=38,$G39=38),0,1)</f>
        <v/>
      </c>
      <c r="EN40">
        <f>EN39*IF(OR($C39=39,$G39=39),0,1)</f>
        <v/>
      </c>
      <c r="EO40">
        <f>EO39*IF(OR($C39=40,$G39=40),0,1)</f>
        <v/>
      </c>
      <c r="EP40">
        <f>EP39*IF(OR($C39=41,$G39=41),0,1)</f>
        <v/>
      </c>
      <c r="EQ40">
        <f>EQ39*IF(OR($C39=42,$G39=42),0,1)</f>
        <v/>
      </c>
      <c r="ER40">
        <f>ER39*IF(OR($C39=43,$G39=43),0,1)</f>
        <v/>
      </c>
      <c r="ES40">
        <f>ES39*IF(OR($C39=44,$G39=44),0,1)</f>
        <v/>
      </c>
      <c r="ET40">
        <f>ET39*IF(OR($C39=45,$G39=45),0,1)</f>
        <v/>
      </c>
      <c r="EU40">
        <f>EU39*IF(OR($C39=46,$G39=46),0,1)</f>
        <v/>
      </c>
      <c r="EV40">
        <f>EV39*IF(OR($C39=47,$G39=47),0,1)</f>
        <v/>
      </c>
      <c r="EW40">
        <f>EW39*IF(OR($C39=48,$G39=48),0,1)</f>
        <v/>
      </c>
      <c r="EX40">
        <f>EX39*IF(OR($C39=49,$G39=49),0,1)</f>
        <v/>
      </c>
      <c r="EY40">
        <f>EY39*IF(OR($C39=50,$G39=50),0,1)</f>
        <v/>
      </c>
      <c r="EZ40">
        <f>EZ39*IF(OR($C39=51,$G39=51),0,1)</f>
        <v/>
      </c>
      <c r="FA40">
        <f>FA39*IF(OR($C39=52,$G39=52),0,1)</f>
        <v/>
      </c>
      <c r="FB40">
        <f>FB39*IF(OR($C39=53,$G39=53),0,1)</f>
        <v/>
      </c>
      <c r="FC40">
        <f>FC39*IF(OR($C39=54,$G39=54),0,1)</f>
        <v/>
      </c>
      <c r="FD40">
        <f>FD39*IF(OR($C39=55,$G39=55),0,1)</f>
        <v/>
      </c>
      <c r="FE40">
        <f>FE39*IF(OR($C39=56,$G39=56),0,1)</f>
        <v/>
      </c>
      <c r="FF40">
        <f>FF39*IF(OR($C39=57,$G39=57),0,1)</f>
        <v/>
      </c>
      <c r="FG40">
        <f>FG39*IF(OR($C39=58,$G39=58),0,1)</f>
        <v/>
      </c>
      <c r="FH40">
        <f>FH39*IF(OR($C39=59,$G39=59),0,1)</f>
        <v/>
      </c>
      <c r="FI40">
        <f>FI39*IF(OR($C39=60,$G39=60),0,1)</f>
        <v/>
      </c>
      <c r="FJ40">
        <f>FJ39*IF(OR($C39=61,$G39=61),0,1)</f>
        <v/>
      </c>
      <c r="FK40">
        <f>FK39*IF(OR($C39=62,$G39=62),0,1)</f>
        <v/>
      </c>
      <c r="FL40">
        <f>FL39*IF(OR($C39=63,$G39=63),0,1)</f>
        <v/>
      </c>
      <c r="FM40">
        <f>FM39*IF(OR($C39=64,$G39=64),0,1)</f>
        <v/>
      </c>
      <c r="FN40">
        <f>FN39*IF(OR($C39=65,$G39=65),0,1)</f>
        <v/>
      </c>
      <c r="FO40">
        <f>FO39*IF(OR($C39=66,$G39=66),0,1)</f>
        <v/>
      </c>
      <c r="FP40">
        <f>FP39*IF(OR($C39=67,$G39=67),0,1)</f>
        <v/>
      </c>
      <c r="FQ40">
        <f>FQ39*IF(OR($C39=68,$G39=68),0,1)</f>
        <v/>
      </c>
      <c r="FR40">
        <f>FR39*IF(OR($C39=69,$G39=69),0,1)</f>
        <v/>
      </c>
      <c r="FS40">
        <f>FS39*IF(OR($C39=70,$G39=70),0,1)</f>
        <v/>
      </c>
      <c r="FT40">
        <f>FT39*IF(OR($C39=71,$G39=71),0,1)</f>
        <v/>
      </c>
      <c r="FU40">
        <f>FU39*IF(OR($C39=72,$G39=72),0,1)</f>
        <v/>
      </c>
      <c r="FV40">
        <f>FV39*IF(OR($C39=73,$G39=73),0,1)</f>
        <v/>
      </c>
      <c r="FW40">
        <f>FW39*IF(OR($C39=74,$G39=74),0,1)</f>
        <v/>
      </c>
      <c r="FX40">
        <f>FX39*IF(OR($C39=75,$G39=75),0,1)</f>
        <v/>
      </c>
      <c r="FY40">
        <f>FY39*IF(OR($C39=76,$G39=76),0,1)</f>
        <v/>
      </c>
      <c r="FZ40">
        <f>FZ39*IF(OR($C39=77,$G39=77),0,1)</f>
        <v/>
      </c>
      <c r="GA40">
        <f>GA39*IF(OR($C39=78,$G39=78),0,1)</f>
        <v/>
      </c>
      <c r="GB40">
        <f>GB39*IF(OR($C39=79,$G39=79),0,1)</f>
        <v/>
      </c>
      <c r="GC40">
        <f>GC39*IF(OR($C39=80,$G39=80),0,1)</f>
        <v/>
      </c>
      <c r="GD40">
        <f>GD39*IF(OR($C39=81,$G39=81),0,1)</f>
        <v/>
      </c>
      <c r="GE40">
        <f>GE39*IF(OR($C39=82,$G39=82),0,1)</f>
        <v/>
      </c>
      <c r="GF40">
        <f>GF39*IF(OR($C39=83,$G39=83),0,1)</f>
        <v/>
      </c>
      <c r="GG40">
        <f>GG39*IF(OR($C39=84,$G39=84),0,1)</f>
        <v/>
      </c>
      <c r="GH40">
        <f>GH39*IF(OR($C39=85,$G39=85),0,1)</f>
        <v/>
      </c>
      <c r="GI40">
        <f>GI39*IF(OR($C39=86,$G39=86),0,1)</f>
        <v/>
      </c>
      <c r="GJ40">
        <f>GJ39*IF(OR($C39=87,$G39=87),0,1)</f>
        <v/>
      </c>
      <c r="GK40">
        <f>GK39*IF(OR($C39=88,$G39=88),0,1)</f>
        <v/>
      </c>
      <c r="GL40">
        <f>GL39*IF(OR($C39=89,$G39=89),0,1)</f>
        <v/>
      </c>
      <c r="GM40">
        <f>GM39*IF(OR($C39=90,$G39=90),0,1)</f>
        <v/>
      </c>
      <c r="GN40">
        <f>GN39*IF(OR($C39=91,$G39=91),0,1)</f>
        <v/>
      </c>
      <c r="GO40">
        <f>GO39*IF(OR($C39=92,$G39=92),0,1)</f>
        <v/>
      </c>
      <c r="GP40">
        <f>GP39*IF(OR($C39=93,$G39=93),0,1)</f>
        <v/>
      </c>
      <c r="GQ40">
        <f>GQ39*IF(OR($C39=94,$G39=94),0,1)</f>
        <v/>
      </c>
      <c r="GR40">
        <f>GR39*IF(OR($C39=95,$G39=95),0,1)</f>
        <v/>
      </c>
      <c r="GS40">
        <f>GS39*IF(OR($C39=96,$G39=96),0,1)</f>
        <v/>
      </c>
      <c r="GT40">
        <f>GT39*IF(OR($C39=97,$G39=97),0,1)</f>
        <v/>
      </c>
      <c r="GU40">
        <f>GU39*IF(OR($C39=98,$G39=98),0,1)</f>
        <v/>
      </c>
      <c r="GV40">
        <f>GV39*IF(OR($C39=99,$G39=99),0,1)</f>
        <v/>
      </c>
      <c r="GW40">
        <f>GW39*IF(OR($C39=100,$G39=100),0,1)</f>
        <v/>
      </c>
      <c r="GX40">
        <f>GX39*IF(OR($C39=101,$G39=101),0,1)</f>
        <v/>
      </c>
      <c r="GY40">
        <f>GY39*IF(OR($C39=102,$G39=102),0,1)</f>
        <v/>
      </c>
      <c r="GZ40">
        <f>GZ39*IF(OR($C39=103,$G39=103),0,1)</f>
        <v/>
      </c>
      <c r="HA40">
        <f>HA39*IF(OR($C39=104,$G39=104),0,1)</f>
        <v/>
      </c>
      <c r="HB40">
        <f>HB39*IF(OR($C39=105,$G39=105),0,1)</f>
        <v/>
      </c>
      <c r="HC40">
        <f>HC39*IF(OR($C39=106,$G39=106),0,1)</f>
        <v/>
      </c>
      <c r="HD40">
        <f>HD39*IF(OR($C39=107,$G39=107),0,1)</f>
        <v/>
      </c>
      <c r="HE40">
        <f>HE39*IF(OR($C39=108,$G39=108),0,1)</f>
        <v/>
      </c>
      <c r="HF40">
        <f>HF39*IF(OR($C39=109,$G39=109),0,1)</f>
        <v/>
      </c>
      <c r="HG40">
        <f>HG39*IF(OR($C39=110,$G39=110),0,1)</f>
        <v/>
      </c>
      <c r="HH40">
        <f>HH39*IF(OR($C39=111,$G39=111),0,1)</f>
        <v/>
      </c>
      <c r="HI40">
        <f>HI39*IF(OR($C39=112,$G39=112),0,1)</f>
        <v/>
      </c>
      <c r="HJ40">
        <f>HJ39*IF(OR($C39=113,$G39=113),0,1)</f>
        <v/>
      </c>
      <c r="HK40">
        <f>HK39*IF(OR($C39=114,$G39=114),0,1)</f>
        <v/>
      </c>
      <c r="HL40">
        <f>HL39*IF(OR($C39=115,$G39=115),0,1)</f>
        <v/>
      </c>
      <c r="HM40">
        <f>HM39*IF(OR($C39=116,$G39=116),0,1)</f>
        <v/>
      </c>
      <c r="HN40">
        <f>HN39*IF(OR($C39=117,$G39=117),0,1)</f>
        <v/>
      </c>
      <c r="HO40">
        <f>HO39*IF(OR($C39=118,$G39=118),0,1)</f>
        <v/>
      </c>
      <c r="HP40">
        <f>HP39*IF(OR($C39=119,$G39=119),0,1)</f>
        <v/>
      </c>
      <c r="HQ40">
        <f>HQ39*IF(OR($C39=120,$G39=120),0,1)</f>
        <v/>
      </c>
      <c r="HR40">
        <f>HR39*IF(OR($C39=121,$G39=121),0,1)</f>
        <v/>
      </c>
      <c r="HS40">
        <f>HS39*IF(OR($C39=122,$G39=122),0,1)</f>
        <v/>
      </c>
      <c r="HT40">
        <f>HT39*IF(OR($C39=123,$G39=123),0,1)</f>
        <v/>
      </c>
      <c r="HU40">
        <f>HU39*IF(OR($C39=124,$G39=124),0,1)</f>
        <v/>
      </c>
      <c r="HV40">
        <f>HV39*IF(OR($C39=125,$G39=125),0,1)</f>
        <v/>
      </c>
      <c r="HW40">
        <f>HW39*IF(OR($C39=126,$G39=126),0,1)</f>
        <v/>
      </c>
      <c r="HX40">
        <f>HX39*IF(OR($C39=127,$G39=127),0,1)</f>
        <v/>
      </c>
      <c r="HY40">
        <f>HY39*IF(OR($C39=128,$G39=128),0,1)</f>
        <v/>
      </c>
      <c r="HZ40">
        <f>HZ39*IF(OR($C39=129,$G39=129),0,1)</f>
        <v/>
      </c>
      <c r="IA40">
        <f>IA39*IF(OR($C39=130,$G39=130),0,1)</f>
        <v/>
      </c>
      <c r="IB40">
        <f>IB39*IF(OR($C39=131,$G39=131),0,1)</f>
        <v/>
      </c>
      <c r="IC40">
        <f>IC39*IF(OR($C39=132,$G39=132),0,1)</f>
        <v/>
      </c>
      <c r="ID40">
        <f>ID39*IF(OR($C39=133,$G39=133),0,1)</f>
        <v/>
      </c>
      <c r="IE40">
        <f>IE39*IF(OR($C39=134,$G39=134),0,1)</f>
        <v/>
      </c>
      <c r="IF40">
        <f>IF39*IF(OR($C39=135,$G39=135),0,1)</f>
        <v/>
      </c>
      <c r="IG40">
        <f>IG39*IF(OR($C39=136,$G39=136),0,1)</f>
        <v/>
      </c>
      <c r="IH40">
        <f>IH39*IF(OR($C39=137,$G39=137),0,1)</f>
        <v/>
      </c>
      <c r="II40">
        <f>II39*IF(OR($C39=138,$G39=138),0,1)</f>
        <v/>
      </c>
      <c r="IJ40">
        <f>IJ39*IF(OR($C39=139,$G39=139),0,1)</f>
        <v/>
      </c>
      <c r="IK40">
        <f>IK39*IF(OR($C39=140,$G39=140),0,1)</f>
        <v/>
      </c>
      <c r="IL40">
        <f>IL39*IF(OR($C39=141,$G39=141),0,1)</f>
        <v/>
      </c>
      <c r="IM40">
        <f>IM39*IF(OR($C39=142,$G39=142),0,1)</f>
        <v/>
      </c>
      <c r="IN40">
        <f>IN39*IF(OR($C39=143,$G39=143),0,1)</f>
        <v/>
      </c>
      <c r="IO40">
        <f>IO39*IF(OR($C39=144,$G39=144),0,1)</f>
        <v/>
      </c>
      <c r="IQ40">
        <f>IF('計算A'!D$106=1,DC40,1)</f>
        <v/>
      </c>
      <c r="IR40">
        <f>IF('計算A'!E$106=1,DD40,1)</f>
        <v/>
      </c>
      <c r="IS40">
        <f>IF('計算A'!F$106=1,DE40,1)</f>
        <v/>
      </c>
      <c r="IT40">
        <f>IF('計算A'!G$106=1,DF40,1)</f>
        <v/>
      </c>
      <c r="IU40">
        <f>IF('計算A'!H$106=1,DG40,1)</f>
        <v/>
      </c>
      <c r="IV40">
        <f>IF('計算A'!I$106=1,DH40,1)</f>
        <v/>
      </c>
      <c r="IW40">
        <f>IF('計算A'!J$106=1,DI40,1)</f>
        <v/>
      </c>
      <c r="IX40">
        <f>IF('計算A'!K$106=1,DJ40,1)</f>
        <v/>
      </c>
      <c r="IY40">
        <f>IF('計算A'!L$106=1,DK40,1)</f>
        <v/>
      </c>
      <c r="IZ40">
        <f>IF('計算A'!M$106=1,DL40,1)</f>
        <v/>
      </c>
      <c r="JA40">
        <f>IF('計算A'!N$106=1,DM40,1)</f>
        <v/>
      </c>
      <c r="JB40">
        <f>IF('計算A'!O$106=1,DN40,1)</f>
        <v/>
      </c>
      <c r="JC40">
        <f>IF('計算A'!P$106=1,DO40,1)</f>
        <v/>
      </c>
      <c r="JD40">
        <f>IF('計算A'!Q$106=1,DP40,1)</f>
        <v/>
      </c>
      <c r="JE40">
        <f>IF('計算A'!R$106=1,DQ40,1)</f>
        <v/>
      </c>
      <c r="JF40">
        <f>IF('計算A'!S$106=1,DR40,1)</f>
        <v/>
      </c>
      <c r="JG40">
        <f>IF('計算A'!T$106=1,DS40,1)</f>
        <v/>
      </c>
      <c r="JH40">
        <f>IF('計算A'!U$106=1,DT40,1)</f>
        <v/>
      </c>
      <c r="JI40">
        <f>IF('計算A'!V$106=1,DU40,1)</f>
        <v/>
      </c>
      <c r="JJ40">
        <f>IF('計算A'!W$106=1,DV40,1)</f>
        <v/>
      </c>
      <c r="JK40">
        <f>IF('計算A'!X$106=1,DW40,1)</f>
        <v/>
      </c>
      <c r="JL40">
        <f>IF('計算A'!Y$106=1,DX40,1)</f>
        <v/>
      </c>
      <c r="JM40">
        <f>IF('計算A'!Z$106=1,DY40,1)</f>
        <v/>
      </c>
      <c r="JN40">
        <f>IF('計算A'!AA$106=1,DZ40,1)</f>
        <v/>
      </c>
      <c r="JO40">
        <f>IF('計算A'!AB$106=1,EA40,1)</f>
        <v/>
      </c>
      <c r="JP40">
        <f>IF('計算A'!AC$106=1,EB40,1)</f>
        <v/>
      </c>
      <c r="JQ40">
        <f>IF('計算A'!AD$106=1,EC40,1)</f>
        <v/>
      </c>
      <c r="JR40">
        <f>IF('計算A'!AE$106=1,ED40,1)</f>
        <v/>
      </c>
      <c r="JS40">
        <f>IF('計算A'!AF$106=1,EE40,1)</f>
        <v/>
      </c>
      <c r="JT40">
        <f>IF('計算A'!AG$106=1,EF40,1)</f>
        <v/>
      </c>
      <c r="JU40">
        <f>IF('計算A'!AH$106=1,EG40,1)</f>
        <v/>
      </c>
      <c r="JV40">
        <f>IF('計算A'!AI$106=1,EH40,1)</f>
        <v/>
      </c>
      <c r="JW40">
        <f>IF('計算A'!AJ$106=1,EI40,1)</f>
        <v/>
      </c>
      <c r="JX40">
        <f>IF('計算A'!AK$106=1,EJ40,1)</f>
        <v/>
      </c>
      <c r="JY40">
        <f>IF('計算A'!AL$106=1,EK40,1)</f>
        <v/>
      </c>
      <c r="JZ40">
        <f>IF('計算A'!AM$106=1,EL40,1)</f>
        <v/>
      </c>
      <c r="KA40">
        <f>IF('計算A'!AN$106=1,EM40,1)</f>
        <v/>
      </c>
      <c r="KB40">
        <f>IF('計算A'!AO$106=1,EN40,1)</f>
        <v/>
      </c>
      <c r="KC40">
        <f>IF('計算A'!AP$106=1,EO40,1)</f>
        <v/>
      </c>
      <c r="KD40">
        <f>IF('計算A'!AQ$106=1,EP40,1)</f>
        <v/>
      </c>
      <c r="KE40">
        <f>IF('計算A'!AR$106=1,EQ40,1)</f>
        <v/>
      </c>
      <c r="KF40">
        <f>IF('計算A'!AS$106=1,ER40,1)</f>
        <v/>
      </c>
      <c r="KG40">
        <f>IF('計算A'!AT$106=1,ES40,1)</f>
        <v/>
      </c>
      <c r="KH40">
        <f>IF('計算A'!AU$106=1,ET40,1)</f>
        <v/>
      </c>
      <c r="KI40">
        <f>IF('計算A'!AV$106=1,EU40,1)</f>
        <v/>
      </c>
      <c r="KJ40">
        <f>IF('計算A'!AW$106=1,EV40,1)</f>
        <v/>
      </c>
      <c r="KK40">
        <f>IF('計算A'!AX$106=1,EW40,1)</f>
        <v/>
      </c>
      <c r="KL40">
        <f>IF('計算A'!AY$106=1,EX40,1)</f>
        <v/>
      </c>
      <c r="KM40">
        <f>IF('計算A'!AZ$106=1,EY40,1)</f>
        <v/>
      </c>
      <c r="KN40">
        <f>IF('計算A'!BA$106=1,EZ40,1)</f>
        <v/>
      </c>
      <c r="KO40">
        <f>IF('計算A'!BB$106=1,FA40,1)</f>
        <v/>
      </c>
      <c r="KP40">
        <f>IF('計算A'!BC$106=1,FB40,1)</f>
        <v/>
      </c>
      <c r="KQ40">
        <f>IF('計算A'!BD$106=1,FC40,1)</f>
        <v/>
      </c>
      <c r="KR40">
        <f>IF('計算A'!BE$106=1,FD40,1)</f>
        <v/>
      </c>
      <c r="KS40">
        <f>IF('計算A'!BF$106=1,FE40,1)</f>
        <v/>
      </c>
      <c r="KT40">
        <f>IF('計算A'!BG$106=1,FF40,1)</f>
        <v/>
      </c>
      <c r="KU40">
        <f>IF('計算A'!BH$106=1,FG40,1)</f>
        <v/>
      </c>
      <c r="KV40">
        <f>IF('計算A'!BI$106=1,FH40,1)</f>
        <v/>
      </c>
      <c r="KW40">
        <f>IF('計算A'!BJ$106=1,FI40,1)</f>
        <v/>
      </c>
      <c r="KX40">
        <f>IF('計算A'!BK$106=1,FJ40,1)</f>
        <v/>
      </c>
      <c r="KY40">
        <f>IF('計算A'!BL$106=1,FK40,1)</f>
        <v/>
      </c>
      <c r="KZ40">
        <f>IF('計算A'!BM$106=1,FL40,1)</f>
        <v/>
      </c>
      <c r="LA40">
        <f>IF('計算A'!BN$106=1,FM40,1)</f>
        <v/>
      </c>
      <c r="LB40">
        <f>IF('計算A'!BO$106=1,FN40,1)</f>
        <v/>
      </c>
      <c r="LC40">
        <f>IF('計算A'!BP$106=1,FO40,1)</f>
        <v/>
      </c>
      <c r="LD40">
        <f>IF('計算A'!BQ$106=1,FP40,1)</f>
        <v/>
      </c>
      <c r="LE40">
        <f>IF('計算A'!BR$106=1,FQ40,1)</f>
        <v/>
      </c>
      <c r="LF40">
        <f>IF('計算A'!BS$106=1,FR40,1)</f>
        <v/>
      </c>
      <c r="LG40">
        <f>IF('計算A'!BT$106=1,FS40,1)</f>
        <v/>
      </c>
      <c r="LH40">
        <f>IF('計算A'!BU$106=1,FT40,1)</f>
        <v/>
      </c>
      <c r="LI40">
        <f>IF('計算A'!BV$106=1,FU40,1)</f>
        <v/>
      </c>
      <c r="LJ40">
        <f>IF('計算A'!BW$106=1,FV40,1)</f>
        <v/>
      </c>
      <c r="LK40">
        <f>IF('計算A'!BX$106=1,FW40,1)</f>
        <v/>
      </c>
      <c r="LL40">
        <f>IF('計算A'!BY$106=1,FX40,1)</f>
        <v/>
      </c>
      <c r="LM40">
        <f>IF('計算A'!BZ$106=1,FY40,1)</f>
        <v/>
      </c>
      <c r="LN40">
        <f>IF('計算A'!CA$106=1,FZ40,1)</f>
        <v/>
      </c>
      <c r="LO40">
        <f>IF('計算A'!CB$106=1,GA40,1)</f>
        <v/>
      </c>
      <c r="LP40">
        <f>IF('計算A'!CC$106=1,GB40,1)</f>
        <v/>
      </c>
      <c r="LQ40">
        <f>IF('計算A'!CD$106=1,GC40,1)</f>
        <v/>
      </c>
      <c r="LR40">
        <f>IF('計算A'!CE$106=1,GD40,1)</f>
        <v/>
      </c>
      <c r="LS40">
        <f>IF('計算A'!CF$106=1,GE40,1)</f>
        <v/>
      </c>
      <c r="LT40">
        <f>IF('計算A'!CG$106=1,GF40,1)</f>
        <v/>
      </c>
      <c r="LU40">
        <f>IF('計算A'!CH$106=1,GG40,1)</f>
        <v/>
      </c>
      <c r="LV40">
        <f>IF('計算A'!CI$106=1,GH40,1)</f>
        <v/>
      </c>
      <c r="LW40">
        <f>IF('計算A'!CJ$106=1,GI40,1)</f>
        <v/>
      </c>
      <c r="LX40">
        <f>IF('計算A'!CK$106=1,GJ40,1)</f>
        <v/>
      </c>
      <c r="LY40">
        <f>IF('計算A'!CL$106=1,GK40,1)</f>
        <v/>
      </c>
      <c r="LZ40">
        <f>IF('計算A'!CM$106=1,GL40,1)</f>
        <v/>
      </c>
      <c r="MA40">
        <f>IF('計算A'!CN$106=1,GM40,1)</f>
        <v/>
      </c>
      <c r="MB40">
        <f>IF('計算A'!CO$106=1,GN40,1)</f>
        <v/>
      </c>
      <c r="MC40">
        <f>IF('計算A'!CP$106=1,GO40,1)</f>
        <v/>
      </c>
      <c r="MD40">
        <f>IF('計算A'!CQ$106=1,GP40,1)</f>
        <v/>
      </c>
      <c r="ME40">
        <f>IF('計算A'!CR$106=1,GQ40,1)</f>
        <v/>
      </c>
      <c r="MF40">
        <f>IF('計算A'!CS$106=1,GR40,1)</f>
        <v/>
      </c>
      <c r="MG40">
        <f>IF('計算A'!CT$106=1,GS40,1)</f>
        <v/>
      </c>
      <c r="MH40">
        <f>IF('計算A'!CU$106=1,GT40,1)</f>
        <v/>
      </c>
      <c r="MI40">
        <f>IF('計算A'!CV$106=1,GU40,1)</f>
        <v/>
      </c>
      <c r="MJ40">
        <f>IF('計算A'!CW$106=1,GV40,1)</f>
        <v/>
      </c>
      <c r="MK40">
        <f>IF('計算A'!CX$106=1,GW40,1)</f>
        <v/>
      </c>
      <c r="ML40">
        <f>IF('計算A'!CY$106=1,GX40,1)</f>
        <v/>
      </c>
      <c r="MM40">
        <f>IF('計算A'!CZ$106=1,GY40,1)</f>
        <v/>
      </c>
      <c r="MN40">
        <f>IF('計算A'!DA$106=1,GZ40,1)</f>
        <v/>
      </c>
      <c r="MO40">
        <f>IF('計算A'!DB$106=1,HA40,1)</f>
        <v/>
      </c>
      <c r="MP40">
        <f>IF('計算A'!DC$106=1,HB40,1)</f>
        <v/>
      </c>
      <c r="MQ40">
        <f>IF('計算A'!DD$106=1,HC40,1)</f>
        <v/>
      </c>
      <c r="MR40">
        <f>IF('計算A'!DE$106=1,HD40,1)</f>
        <v/>
      </c>
      <c r="MS40">
        <f>IF('計算A'!DF$106=1,HE40,1)</f>
        <v/>
      </c>
      <c r="MT40">
        <f>IF('計算A'!DG$106=1,HF40,1)</f>
        <v/>
      </c>
      <c r="MU40">
        <f>IF('計算A'!DH$106=1,HG40,1)</f>
        <v/>
      </c>
      <c r="MV40">
        <f>IF('計算A'!DI$106=1,HH40,1)</f>
        <v/>
      </c>
      <c r="MW40">
        <f>IF('計算A'!DJ$106=1,HI40,1)</f>
        <v/>
      </c>
      <c r="MX40">
        <f>IF('計算A'!DK$106=1,HJ40,1)</f>
        <v/>
      </c>
      <c r="MY40">
        <f>IF('計算A'!DL$106=1,HK40,1)</f>
        <v/>
      </c>
      <c r="MZ40">
        <f>IF('計算A'!DM$106=1,HL40,1)</f>
        <v/>
      </c>
      <c r="NA40">
        <f>IF('計算A'!DN$106=1,HM40,1)</f>
        <v/>
      </c>
      <c r="NB40">
        <f>IF('計算A'!DO$106=1,HN40,1)</f>
        <v/>
      </c>
      <c r="NC40">
        <f>IF('計算A'!DP$106=1,HO40,1)</f>
        <v/>
      </c>
      <c r="ND40">
        <f>IF('計算A'!DQ$106=1,HP40,1)</f>
        <v/>
      </c>
      <c r="NE40">
        <f>IF('計算A'!DR$106=1,HQ40,1)</f>
        <v/>
      </c>
      <c r="NF40">
        <f>IF('計算A'!DS$106=1,HR40,1)</f>
        <v/>
      </c>
      <c r="NG40">
        <f>IF('計算A'!DT$106=1,HS40,1)</f>
        <v/>
      </c>
      <c r="NH40">
        <f>IF('計算A'!DU$106=1,HT40,1)</f>
        <v/>
      </c>
      <c r="NI40">
        <f>IF('計算A'!DV$106=1,HU40,1)</f>
        <v/>
      </c>
      <c r="NJ40">
        <f>IF('計算A'!DW$106=1,HV40,1)</f>
        <v/>
      </c>
      <c r="NK40">
        <f>IF('計算A'!DX$106=1,HW40,1)</f>
        <v/>
      </c>
      <c r="NL40">
        <f>IF('計算A'!DY$106=1,HX40,1)</f>
        <v/>
      </c>
      <c r="NM40">
        <f>IF('計算A'!DZ$106=1,HY40,1)</f>
        <v/>
      </c>
      <c r="NN40">
        <f>IF('計算A'!EA$106=1,HZ40,1)</f>
        <v/>
      </c>
      <c r="NO40">
        <f>IF('計算A'!EB$106=1,IA40,1)</f>
        <v/>
      </c>
      <c r="NP40">
        <f>IF('計算A'!EC$106=1,IB40,1)</f>
        <v/>
      </c>
      <c r="NQ40">
        <f>IF('計算A'!ED$106=1,IC40,1)</f>
        <v/>
      </c>
      <c r="NR40">
        <f>IF('計算A'!EE$106=1,ID40,1)</f>
        <v/>
      </c>
      <c r="NS40">
        <f>IF('計算A'!EF$106=1,IE40,1)</f>
        <v/>
      </c>
      <c r="NT40">
        <f>IF('計算A'!EG$106=1,IF40,1)</f>
        <v/>
      </c>
      <c r="NU40">
        <f>IF('計算A'!EH$106=1,IG40,1)</f>
        <v/>
      </c>
      <c r="NV40">
        <f>IF('計算A'!EI$106=1,IH40,1)</f>
        <v/>
      </c>
      <c r="NW40">
        <f>IF('計算A'!EJ$106=1,II40,1)</f>
        <v/>
      </c>
      <c r="NX40">
        <f>IF('計算A'!EK$106=1,IJ40,1)</f>
        <v/>
      </c>
      <c r="NY40">
        <f>IF('計算A'!EL$106=1,IK40,1)</f>
        <v/>
      </c>
      <c r="NZ40">
        <f>IF('計算A'!EM$106=1,IL40,1)</f>
        <v/>
      </c>
      <c r="OA40">
        <f>IF('計算A'!EN$106=1,IM40,1)</f>
        <v/>
      </c>
      <c r="OB40">
        <f>IF('計算A'!EO$106=1,IN40,1)</f>
        <v/>
      </c>
      <c r="OC40">
        <f>IF('計算A'!EP$106=1,IO40,1)</f>
        <v/>
      </c>
      <c r="OD40" t="n">
        <v>1</v>
      </c>
      <c r="OF40">
        <f>IF($B40=0,1000000,IF(INDEX('計算A'!$D$60:$EQ$104,$B40,1)*DB40=1,IF(AND($E40=2,IQ40=0),1000000,IF($I40&gt;0,IF(1=$J40,IF(OR(AND(1=$I40+1,OR($K40&lt;&gt;'計算A'!$A$3,'計算A'!$A$4=0)),AND(1=$I40-1,OR(1&lt;&gt;'計算A'!$A$3,'計算A'!$A$4=0))),0,IF(1=$K40,200000,ABS(1-$K40)*100)),100000+ABS(1-$J40)*1000+10)+'計算A'!D$5*50+IF(AND($E40=1,IQ40=0),25,0),INDEX('計算A'!D$110:D$114,$F40+1)+IF(AND($E40=1,IQ40=0),1000,0)+IF($H40=1,(IF('計算A'!D$117=1,INDEX('計算A'!E$10:E$54,$B40),0))*500,0)-IF(AND($L40=1,'計算A'!D$117=1,DC40=0),300,0))),1000000))</f>
        <v/>
      </c>
      <c r="OG40">
        <f>IF($B40=0,1000000,IF(INDEX('計算A'!$D$60:$EQ$104,$B40,2)*DC40=1,IF(AND($E40=2,IR40=0),1000000,IF($I40&gt;0,IF(1=$J40,IF(OR(AND(2=$I40+1,OR($K40&lt;&gt;'計算A'!$A$3,'計算A'!$A$4=0)),AND(2=$I40-1,OR(2&lt;&gt;'計算A'!$A$3,'計算A'!$A$4=0))),0,IF(2=$K40,200000,ABS(2-$K40)*100)),100000+ABS(1-$J40)*1000+20)+'計算A'!E$5*50+IF(AND($E40=1,IR40=0),25,0),INDEX('計算A'!E$110:E$114,$F40+1)+IF(AND($E40=1,IR40=0),1000,0)+IF($H40=1,(IF('計算A'!D$117=1,INDEX('計算A'!D$10:D$54,$B40),0)+IF('計算A'!E$117=1,INDEX('計算A'!F$10:F$54,$B40),0))*500,0)-IF(AND('計算A'!D$117=1,UB40&gt;0),300,0)-IF(AND($L40=1,'計算A'!E$117=1,DD40=0),300,0))),1000000))</f>
        <v/>
      </c>
      <c r="OH40">
        <f>IF($B40=0,1000000,IF(INDEX('計算A'!$D$60:$EQ$104,$B40,3)*DD40=1,IF(AND($E40=2,IS40=0),1000000,IF($I40&gt;0,IF(1=$J40,IF(OR(AND(3=$I40+1,OR($K40&lt;&gt;'計算A'!$A$3,'計算A'!$A$4=0)),AND(3=$I40-1,OR(3&lt;&gt;'計算A'!$A$3,'計算A'!$A$4=0))),0,IF(3=$K40,200000,ABS(3-$K40)*100)),100000+ABS(1-$J40)*1000+30)+'計算A'!F$5*50+IF(AND($E40=1,IS40=0),25,0),INDEX('計算A'!F$110:F$114,$F40+1)+IF(AND($E40=1,IS40=0),1000,0)+IF($H40=1,(IF('計算A'!E$117=1,INDEX('計算A'!E$10:E$54,$B40),0)+IF('計算A'!F$117=1,INDEX('計算A'!G$10:G$54,$B40),0))*500,0)-IF(AND('計算A'!E$117=1,UC40&gt;0),300,0)-IF(AND($L40=1,'計算A'!F$117=1,DE40=0),300,0))),1000000))</f>
        <v/>
      </c>
      <c r="OI40">
        <f>IF($B40=0,1000000,IF(INDEX('計算A'!$D$60:$EQ$104,$B40,4)*DE40=1,IF(AND($E40=2,IT40=0),1000000,IF($I40&gt;0,IF(1=$J40,IF(OR(AND(4=$I40+1,OR($K40&lt;&gt;'計算A'!$A$3,'計算A'!$A$4=0)),AND(4=$I40-1,OR(4&lt;&gt;'計算A'!$A$3,'計算A'!$A$4=0))),0,IF(4=$K40,200000,ABS(4-$K40)*100)),100000+ABS(1-$J40)*1000+40)+'計算A'!G$5*50+IF(AND($E40=1,IT40=0),25,0),INDEX('計算A'!G$110:G$114,$F40+1)+IF(AND($E40=1,IT40=0),1000,0)+IF($H40=1,(IF('計算A'!F$117=1,INDEX('計算A'!F$10:F$54,$B40),0)+IF('計算A'!G$117=1,INDEX('計算A'!H$10:H$54,$B40),0))*500,0)-IF(AND('計算A'!F$117=1,UD40&gt;0),300,0)-IF(AND($L40=1,'計算A'!G$117=1,DF40=0),300,0))),1000000))</f>
        <v/>
      </c>
      <c r="OJ40">
        <f>IF($B40=0,1000000,IF(INDEX('計算A'!$D$60:$EQ$104,$B40,5)*DF40=1,IF(AND($E40=2,IU40=0),1000000,IF($I40&gt;0,IF(1=$J40,IF(OR(AND(5=$I40+1,OR($K40&lt;&gt;'計算A'!$A$3,'計算A'!$A$4=0)),AND(5=$I40-1,OR(5&lt;&gt;'計算A'!$A$3,'計算A'!$A$4=0))),0,IF(5=$K40,200000,ABS(5-$K40)*100)),100000+ABS(1-$J40)*1000+50)+'計算A'!H$5*50+IF(AND($E40=1,IU40=0),25,0),INDEX('計算A'!H$110:H$114,$F40+1)+IF(AND($E40=1,IU40=0),1000,0)+IF($H40=1,(IF('計算A'!G$117=1,INDEX('計算A'!G$10:G$54,$B40),0)+IF('計算A'!H$117=1,INDEX('計算A'!I$10:I$54,$B40),0))*500,0)-IF(AND('計算A'!G$117=1,UE40&gt;0),300,0)-IF(AND($L40=1,'計算A'!H$117=1,DG40=0),300,0))),1000000))</f>
        <v/>
      </c>
      <c r="OK40">
        <f>IF($B40=0,1000000,IF(INDEX('計算A'!$D$60:$EQ$104,$B40,6)*DG40=1,IF(AND($E40=2,IV40=0),1000000,IF($I40&gt;0,IF(1=$J40,IF(OR(AND(6=$I40+1,OR($K40&lt;&gt;'計算A'!$A$3,'計算A'!$A$4=0)),AND(6=$I40-1,OR(6&lt;&gt;'計算A'!$A$3,'計算A'!$A$4=0))),0,IF(6=$K40,200000,ABS(6-$K40)*100)),100000+ABS(1-$J40)*1000+60)+'計算A'!I$5*50+IF(AND($E40=1,IV40=0),25,0),INDEX('計算A'!I$110:I$114,$F40+1)+IF(AND($E40=1,IV40=0),1000,0)+IF($H40=1,(IF('計算A'!H$117=1,INDEX('計算A'!H$10:H$54,$B40),0)+IF('計算A'!I$117=1,INDEX('計算A'!J$10:J$54,$B40),0))*500,0)-IF(AND('計算A'!H$117=1,UF40&gt;0),300,0)-IF(AND($L40=1,'計算A'!I$117=1,DH40=0),300,0))),1000000))</f>
        <v/>
      </c>
      <c r="OL40">
        <f>IF($B40=0,1000000,IF(INDEX('計算A'!$D$60:$EQ$104,$B40,7)*DH40=1,IF(AND($E40=2,IW40=0),1000000,IF($I40&gt;0,IF(1=$J40,IF(OR(AND(7=$I40+1,OR($K40&lt;&gt;'計算A'!$A$3,'計算A'!$A$4=0)),AND(7=$I40-1,OR(7&lt;&gt;'計算A'!$A$3,'計算A'!$A$4=0))),0,IF(7=$K40,200000,ABS(7-$K40)*100)),100000+ABS(1-$J40)*1000+70)+'計算A'!J$5*50+IF(AND($E40=1,IW40=0),25,0),INDEX('計算A'!J$110:J$114,$F40+1)+IF(AND($E40=1,IW40=0),1000,0)+IF($H40=1,(IF('計算A'!I$117=1,INDEX('計算A'!I$10:I$54,$B40),0)+IF('計算A'!J$117=1,INDEX('計算A'!K$10:K$54,$B40),0))*500,0)-IF(AND('計算A'!I$117=1,UG40&gt;0),300,0)-IF(AND($L40=1,'計算A'!J$117=1,DI40=0),300,0))),1000000))</f>
        <v/>
      </c>
      <c r="OM40">
        <f>IF($B40=0,1000000,IF(INDEX('計算A'!$D$60:$EQ$104,$B40,8)*DI40=1,IF(AND($E40=2,IX40=0),1000000,IF($I40&gt;0,IF(1=$J40,IF(OR(AND(8=$I40+1,OR($K40&lt;&gt;'計算A'!$A$3,'計算A'!$A$4=0)),AND(8=$I40-1,OR(8&lt;&gt;'計算A'!$A$3,'計算A'!$A$4=0))),0,IF(8=$K40,200000,ABS(8-$K40)*100)),100000+ABS(1-$J40)*1000+80)+'計算A'!K$5*50+IF(AND($E40=1,IX40=0),25,0),INDEX('計算A'!K$110:K$114,$F40+1)+IF(AND($E40=1,IX40=0),1000,0)+IF($H40=1,(IF('計算A'!J$117=1,INDEX('計算A'!J$10:J$54,$B40),0)+IF('計算A'!K$117=1,INDEX('計算A'!L$10:L$54,$B40),0))*500,0)-IF(AND('計算A'!J$117=1,UH40&gt;0),300,0)-IF(AND($L40=1,'計算A'!K$117=1,DJ40=0),300,0))),1000000))</f>
        <v/>
      </c>
      <c r="ON40">
        <f>IF($B40=0,1000000,IF(INDEX('計算A'!$D$60:$EQ$104,$B40,9)*DJ40=1,IF(AND($E40=2,IY40=0),1000000,IF($I40&gt;0,IF(1=$J40,IF(OR(AND(9=$I40+1,OR($K40&lt;&gt;'計算A'!$A$3,'計算A'!$A$4=0)),AND(9=$I40-1,OR(9&lt;&gt;'計算A'!$A$3,'計算A'!$A$4=0))),0,IF(9=$K40,200000,ABS(9-$K40)*100)),100000+ABS(1-$J40)*1000+90)+'計算A'!L$5*50+IF(AND($E40=1,IY40=0),25,0),INDEX('計算A'!L$110:L$114,$F40+1)+IF(AND($E40=1,IY40=0),1000,0)+IF($H40=1,(IF('計算A'!K$117=1,INDEX('計算A'!K$10:K$54,$B40),0)+IF('計算A'!L$117=1,INDEX('計算A'!M$10:M$54,$B40),0))*500,0)-IF(AND('計算A'!K$117=1,UI40&gt;0),300,0)-IF(AND($L40=1,'計算A'!L$117=1,DK40=0),300,0))),1000000))</f>
        <v/>
      </c>
      <c r="OO40">
        <f>IF($B40=0,1000000,IF(INDEX('計算A'!$D$60:$EQ$104,$B40,10)*DK40=1,IF(AND($E40=2,IZ40=0),1000000,IF($I40&gt;0,IF(1=$J40,IF(OR(AND(10=$I40+1,OR($K40&lt;&gt;'計算A'!$A$3,'計算A'!$A$4=0)),AND(10=$I40-1,OR(10&lt;&gt;'計算A'!$A$3,'計算A'!$A$4=0))),0,IF(10=$K40,200000,ABS(10-$K40)*100)),100000+ABS(1-$J40)*1000+100)+'計算A'!M$5*50+IF(AND($E40=1,IZ40=0),25,0),INDEX('計算A'!M$110:M$114,$F40+1)+IF(AND($E40=1,IZ40=0),1000,0)+IF($H40=1,(IF('計算A'!L$117=1,INDEX('計算A'!L$10:L$54,$B40),0)+IF('計算A'!M$117=1,INDEX('計算A'!N$10:N$54,$B40),0))*500,0)-IF(AND('計算A'!L$117=1,UJ40&gt;0),300,0)-IF(AND($L40=1,'計算A'!M$117=1,DL40=0),300,0))),1000000))</f>
        <v/>
      </c>
      <c r="OP40">
        <f>IF($B40=0,1000000,IF(INDEX('計算A'!$D$60:$EQ$104,$B40,11)*DL40=1,IF(AND($E40=2,JA40=0),1000000,IF($I40&gt;0,IF(1=$J40,IF(OR(AND(11=$I40+1,OR($K40&lt;&gt;'計算A'!$A$3,'計算A'!$A$4=0)),AND(11=$I40-1,OR(11&lt;&gt;'計算A'!$A$3,'計算A'!$A$4=0))),0,IF(11=$K40,200000,ABS(11-$K40)*100)),100000+ABS(1-$J40)*1000+110)+'計算A'!N$5*50+IF(AND($E40=1,JA40=0),25,0),INDEX('計算A'!N$110:N$114,$F40+1)+IF(AND($E40=1,JA40=0),1000,0)+IF($H40=1,(IF('計算A'!M$117=1,INDEX('計算A'!M$10:M$54,$B40),0)+IF('計算A'!N$117=1,INDEX('計算A'!O$10:O$54,$B40),0))*500,0)-IF(AND('計算A'!M$117=1,UK40&gt;0),300,0)-IF(AND($L40=1,'計算A'!N$117=1,DM40=0),300,0))),1000000))</f>
        <v/>
      </c>
      <c r="OQ40">
        <f>IF($B40=0,1000000,IF(INDEX('計算A'!$D$60:$EQ$104,$B40,12)*DM40=1,IF(AND($E40=2,JB40=0),1000000,IF($I40&gt;0,IF(1=$J40,IF(OR(AND(12=$I40+1,OR($K40&lt;&gt;'計算A'!$A$3,'計算A'!$A$4=0)),AND(12=$I40-1,OR(12&lt;&gt;'計算A'!$A$3,'計算A'!$A$4=0))),0,IF(12=$K40,200000,ABS(12-$K40)*100)),100000+ABS(1-$J40)*1000+120)+'計算A'!O$5*50+IF(AND($E40=1,JB40=0),25,0),INDEX('計算A'!O$110:O$114,$F40+1)+IF(AND($E40=1,JB40=0),1000,0)+IF($H40=1,(IF('計算A'!N$117=1,INDEX('計算A'!N$10:N$54,$B40),0)+IF('計算A'!O$117=1,INDEX('計算A'!P$10:P$54,$B40),0))*500,0)-IF(AND('計算A'!N$117=1,UL40&gt;0),300,0)-IF(AND($L40=1,'計算A'!O$117=1,DN40=0),300,0))),1000000))</f>
        <v/>
      </c>
      <c r="OR40">
        <f>IF($B40=0,1000000,IF(INDEX('計算A'!$D$60:$EQ$104,$B40,13)*DN40=1,IF(AND($E40=2,JC40=0),1000000,IF($I40&gt;0,IF(1=$J40,IF(OR(AND(13=$I40+1,OR($K40&lt;&gt;'計算A'!$A$3,'計算A'!$A$4=0)),AND(13=$I40-1,OR(13&lt;&gt;'計算A'!$A$3,'計算A'!$A$4=0))),0,IF(13=$K40,200000,ABS(13-$K40)*100)),100000+ABS(1-$J40)*1000+130)+'計算A'!P$5*50+IF(AND($E40=1,JC40=0),25,0),INDEX('計算A'!P$110:P$114,$F40+1)+IF(AND($E40=1,JC40=0),1000,0)+IF($H40=1,(IF('計算A'!O$117=1,INDEX('計算A'!O$10:O$54,$B40),0)+IF('計算A'!P$117=1,INDEX('計算A'!Q$10:Q$54,$B40),0))*500,0)-IF(AND('計算A'!O$117=1,UM40&gt;0),300,0)-IF(AND($L40=1,'計算A'!P$117=1,DO40=0),300,0))),1000000))</f>
        <v/>
      </c>
      <c r="OS40">
        <f>IF($B40=0,1000000,IF(INDEX('計算A'!$D$60:$EQ$104,$B40,14)*DO40=1,IF(AND($E40=2,JD40=0),1000000,IF($I40&gt;0,IF(1=$J40,IF(OR(AND(14=$I40+1,OR($K40&lt;&gt;'計算A'!$A$3,'計算A'!$A$4=0)),AND(14=$I40-1,OR(14&lt;&gt;'計算A'!$A$3,'計算A'!$A$4=0))),0,IF(14=$K40,200000,ABS(14-$K40)*100)),100000+ABS(1-$J40)*1000+140)+'計算A'!Q$5*50+IF(AND($E40=1,JD40=0),25,0),INDEX('計算A'!Q$110:Q$114,$F40+1)+IF(AND($E40=1,JD40=0),1000,0)+IF($H40=1,(IF('計算A'!P$117=1,INDEX('計算A'!P$10:P$54,$B40),0)+IF('計算A'!Q$117=1,INDEX('計算A'!R$10:R$54,$B40),0))*500,0)-IF(AND('計算A'!P$117=1,UN40&gt;0),300,0)-IF(AND($L40=1,'計算A'!Q$117=1,DP40=0),300,0))),1000000))</f>
        <v/>
      </c>
      <c r="OT40">
        <f>IF($B40=0,1000000,IF(INDEX('計算A'!$D$60:$EQ$104,$B40,15)*DP40=1,IF(AND($E40=2,JE40=0),1000000,IF($I40&gt;0,IF(1=$J40,IF(OR(AND(15=$I40+1,OR($K40&lt;&gt;'計算A'!$A$3,'計算A'!$A$4=0)),AND(15=$I40-1,OR(15&lt;&gt;'計算A'!$A$3,'計算A'!$A$4=0))),0,IF(15=$K40,200000,ABS(15-$K40)*100)),100000+ABS(1-$J40)*1000+150)+'計算A'!R$5*50+IF(AND($E40=1,JE40=0),25,0),INDEX('計算A'!R$110:R$114,$F40+1)+IF(AND($E40=1,JE40=0),1000,0)+IF($H40=1,(IF('計算A'!Q$117=1,INDEX('計算A'!Q$10:Q$54,$B40),0)+IF('計算A'!R$117=1,INDEX('計算A'!S$10:S$54,$B40),0))*500,0)-IF(AND('計算A'!Q$117=1,UO40&gt;0),300,0)-IF(AND($L40=1,'計算A'!R$117=1,DQ40=0),300,0))),1000000))</f>
        <v/>
      </c>
      <c r="OU40">
        <f>IF($B40=0,1000000,IF(INDEX('計算A'!$D$60:$EQ$104,$B40,16)*DQ40=1,IF(AND($E40=2,JF40=0),1000000,IF($I40&gt;0,IF(1=$J40,IF(OR(AND(16=$I40+1,OR($K40&lt;&gt;'計算A'!$A$3,'計算A'!$A$4=0)),AND(16=$I40-1,OR(16&lt;&gt;'計算A'!$A$3,'計算A'!$A$4=0))),0,IF(16=$K40,200000,ABS(16-$K40)*100)),100000+ABS(1-$J40)*1000+160)+'計算A'!S$5*50+IF(AND($E40=1,JF40=0),25,0),INDEX('計算A'!S$110:S$114,$F40+1)+IF(AND($E40=1,JF40=0),1000,0)+IF($H40=1,(IF('計算A'!R$117=1,INDEX('計算A'!R$10:R$54,$B40),0)+IF('計算A'!S$117=1,INDEX('計算A'!T$10:T$54,$B40),0))*500,0)-IF(AND('計算A'!R$117=1,UP40&gt;0),300,0)-IF(AND($L40=1,'計算A'!S$117=1,DR40=0),300,0))),1000000))</f>
        <v/>
      </c>
      <c r="OV40">
        <f>IF($B40=0,1000000,IF(INDEX('計算A'!$D$60:$EQ$104,$B40,17)*DR40=1,IF(AND($E40=2,JG40=0),1000000,IF($I40&gt;0,IF(1=$J40,IF(OR(AND(17=$I40+1,OR($K40&lt;&gt;'計算A'!$A$3,'計算A'!$A$4=0)),AND(17=$I40-1,OR(17&lt;&gt;'計算A'!$A$3,'計算A'!$A$4=0))),0,IF(17=$K40,200000,ABS(17-$K40)*100)),100000+ABS(1-$J40)*1000+170)+'計算A'!T$5*50+IF(AND($E40=1,JG40=0),25,0),INDEX('計算A'!T$110:T$114,$F40+1)+IF(AND($E40=1,JG40=0),1000,0)+IF($H40=1,(IF('計算A'!S$117=1,INDEX('計算A'!S$10:S$54,$B40),0)+IF('計算A'!T$117=1,INDEX('計算A'!U$10:U$54,$B40),0))*500,0)-IF(AND('計算A'!S$117=1,UQ40&gt;0),300,0)-IF(AND($L40=1,'計算A'!T$117=1,DS40=0),300,0))),1000000))</f>
        <v/>
      </c>
      <c r="OW40">
        <f>IF($B40=0,1000000,IF(INDEX('計算A'!$D$60:$EQ$104,$B40,18)*DS40=1,IF(AND($E40=2,JH40=0),1000000,IF($I40&gt;0,IF(1=$J40,IF(OR(AND(18=$I40+1,OR($K40&lt;&gt;'計算A'!$A$3,'計算A'!$A$4=0)),AND(18=$I40-1,OR(18&lt;&gt;'計算A'!$A$3,'計算A'!$A$4=0))),0,IF(18=$K40,200000,ABS(18-$K40)*100)),100000+ABS(1-$J40)*1000+180)+'計算A'!U$5*50+IF(AND($E40=1,JH40=0),25,0),INDEX('計算A'!U$110:U$114,$F40+1)+IF(AND($E40=1,JH40=0),1000,0)+IF($H40=1,(IF('計算A'!T$117=1,INDEX('計算A'!T$10:T$54,$B40),0)+IF('計算A'!U$117=1,INDEX('計算A'!V$10:V$54,$B40),0))*500,0)-IF(AND('計算A'!T$117=1,UR40&gt;0),300,0)-IF(AND($L40=1,'計算A'!U$117=1,DT40=0),300,0))),1000000))</f>
        <v/>
      </c>
      <c r="OX40">
        <f>IF($B40=0,1000000,IF(INDEX('計算A'!$D$60:$EQ$104,$B40,19)*DT40=1,IF(AND($E40=2,JI40=0),1000000,IF($I40&gt;0,IF(1=$J40,IF(OR(AND(19=$I40+1,OR($K40&lt;&gt;'計算A'!$A$3,'計算A'!$A$4=0)),AND(19=$I40-1,OR(19&lt;&gt;'計算A'!$A$3,'計算A'!$A$4=0))),0,IF(19=$K40,200000,ABS(19-$K40)*100)),100000+ABS(1-$J40)*1000+190)+'計算A'!V$5*50+IF(AND($E40=1,JI40=0),25,0),INDEX('計算A'!V$110:V$114,$F40+1)+IF(AND($E40=1,JI40=0),1000,0)+IF($H40=1,(IF('計算A'!U$117=1,INDEX('計算A'!U$10:U$54,$B40),0)+IF('計算A'!V$117=1,INDEX('計算A'!W$10:W$54,$B40),0))*500,0)-IF(AND('計算A'!U$117=1,US40&gt;0),300,0)-IF(AND($L40=1,'計算A'!V$117=1,DU40=0),300,0))),1000000))</f>
        <v/>
      </c>
      <c r="OY40">
        <f>IF($B40=0,1000000,IF(INDEX('計算A'!$D$60:$EQ$104,$B40,20)*DU40=1,IF(AND($E40=2,JJ40=0),1000000,IF($I40&gt;0,IF(1=$J40,IF(OR(AND(20=$I40+1,OR($K40&lt;&gt;'計算A'!$A$3,'計算A'!$A$4=0)),AND(20=$I40-1,OR(20&lt;&gt;'計算A'!$A$3,'計算A'!$A$4=0))),0,IF(20=$K40,200000,ABS(20-$K40)*100)),100000+ABS(1-$J40)*1000+200)+'計算A'!W$5*50+IF(AND($E40=1,JJ40=0),25,0),INDEX('計算A'!W$110:W$114,$F40+1)+IF(AND($E40=1,JJ40=0),1000,0)+IF($H40=1,(IF('計算A'!V$117=1,INDEX('計算A'!V$10:V$54,$B40),0)+IF('計算A'!W$117=1,INDEX('計算A'!X$10:X$54,$B40),0))*500,0)-IF(AND('計算A'!V$117=1,UT40&gt;0),300,0)-IF(AND($L40=1,'計算A'!W$117=1,DV40=0),300,0))),1000000))</f>
        <v/>
      </c>
      <c r="OZ40">
        <f>IF($B40=0,1000000,IF(INDEX('計算A'!$D$60:$EQ$104,$B40,21)*DV40=1,IF(AND($E40=2,JK40=0),1000000,IF($I40&gt;0,IF(1=$J40,IF(OR(AND(21=$I40+1,OR($K40&lt;&gt;'計算A'!$A$3,'計算A'!$A$4=0)),AND(21=$I40-1,OR(21&lt;&gt;'計算A'!$A$3,'計算A'!$A$4=0))),0,IF(21=$K40,200000,ABS(21-$K40)*100)),100000+ABS(1-$J40)*1000+210)+'計算A'!X$5*50+IF(AND($E40=1,JK40=0),25,0),INDEX('計算A'!X$110:X$114,$F40+1)+IF(AND($E40=1,JK40=0),1000,0)+IF($H40=1,(IF('計算A'!W$117=1,INDEX('計算A'!W$10:W$54,$B40),0)+IF('計算A'!X$117=1,INDEX('計算A'!Y$10:Y$54,$B40),0))*500,0)-IF(AND('計算A'!W$117=1,UU40&gt;0),300,0)-IF(AND($L40=1,'計算A'!X$117=1,DW40=0),300,0))),1000000))</f>
        <v/>
      </c>
      <c r="PA40">
        <f>IF($B40=0,1000000,IF(INDEX('計算A'!$D$60:$EQ$104,$B40,22)*DW40=1,IF(AND($E40=2,JL40=0),1000000,IF($I40&gt;0,IF(1=$J40,IF(OR(AND(22=$I40+1,OR($K40&lt;&gt;'計算A'!$A$3,'計算A'!$A$4=0)),AND(22=$I40-1,OR(22&lt;&gt;'計算A'!$A$3,'計算A'!$A$4=0))),0,IF(22=$K40,200000,ABS(22-$K40)*100)),100000+ABS(1-$J40)*1000+220)+'計算A'!Y$5*50+IF(AND($E40=1,JL40=0),25,0),INDEX('計算A'!Y$110:Y$114,$F40+1)+IF(AND($E40=1,JL40=0),1000,0)+IF($H40=1,(IF('計算A'!X$117=1,INDEX('計算A'!X$10:X$54,$B40),0)+IF('計算A'!Y$117=1,INDEX('計算A'!Z$10:Z$54,$B40),0))*500,0)-IF(AND('計算A'!X$117=1,UV40&gt;0),300,0)-IF(AND($L40=1,'計算A'!Y$117=1,DX40=0),300,0))),1000000))</f>
        <v/>
      </c>
      <c r="PB40">
        <f>IF($B40=0,1000000,IF(INDEX('計算A'!$D$60:$EQ$104,$B40,23)*DX40=1,IF(AND($E40=2,JM40=0),1000000,IF($I40&gt;0,IF(1=$J40,IF(OR(AND(23=$I40+1,OR($K40&lt;&gt;'計算A'!$A$3,'計算A'!$A$4=0)),AND(23=$I40-1,OR(23&lt;&gt;'計算A'!$A$3,'計算A'!$A$4=0))),0,IF(23=$K40,200000,ABS(23-$K40)*100)),100000+ABS(1-$J40)*1000+230)+'計算A'!Z$5*50+IF(AND($E40=1,JM40=0),25,0),INDEX('計算A'!Z$110:Z$114,$F40+1)+IF(AND($E40=1,JM40=0),1000,0)+IF($H40=1,(IF('計算A'!Y$117=1,INDEX('計算A'!Y$10:Y$54,$B40),0)+IF('計算A'!Z$117=1,INDEX('計算A'!AA$10:AA$54,$B40),0))*500,0)-IF(AND('計算A'!Y$117=1,UW40&gt;0),300,0)-IF(AND($L40=1,'計算A'!Z$117=1,DY40=0),300,0))),1000000))</f>
        <v/>
      </c>
      <c r="PC40">
        <f>IF($B40=0,1000000,IF(INDEX('計算A'!$D$60:$EQ$104,$B40,24)*DY40=1,IF(AND($E40=2,JN40=0),1000000,IF($I40&gt;0,IF(1=$J40,IF(OR(AND(24=$I40+1,OR($K40&lt;&gt;'計算A'!$A$3,'計算A'!$A$4=0)),AND(24=$I40-1,OR(24&lt;&gt;'計算A'!$A$3,'計算A'!$A$4=0))),0,IF(24=$K40,200000,ABS(24-$K40)*100)),100000+ABS(1-$J40)*1000+240)+'計算A'!AA$5*50+IF(AND($E40=1,JN40=0),25,0),INDEX('計算A'!AA$110:AA$114,$F40+1)+IF(AND($E40=1,JN40=0),1000,0)+IF($H40=1,(IF('計算A'!Z$117=1,INDEX('計算A'!Z$10:Z$54,$B40),0))*500,0)-IF(AND('計算A'!Z$117=1,UX40&gt;0),300,0))),1000000))</f>
        <v/>
      </c>
      <c r="PD40">
        <f>IF($B40=0,1000000,IF(INDEX('計算A'!$D$60:$EQ$104,$B40,25)*DZ40=1,IF(AND($E40=2,JO40=0),1000000,IF($I40&gt;0,IF(2=$J40,IF(OR(AND(25=$I40+1,OR($K40&lt;&gt;'計算A'!$A$3,'計算A'!$A$4=0)),AND(25=$I40-1,OR(1&lt;&gt;'計算A'!$A$3,'計算A'!$A$4=0))),0,IF(1=$K40,200000,ABS(1-$K40)*100)),100000+ABS(2-$J40)*1000+10)+'計算A'!AB$5*50+IF(AND($E40=1,JO40=0),25,0),INDEX('計算A'!AB$110:AB$114,$F40+1)+IF(AND($E40=1,JO40=0),1000,0)+IF($H40=1,(IF('計算A'!AB$117=1,INDEX('計算A'!AC$10:AC$54,$B40),0))*500,0)-IF(AND($L40=1,'計算A'!AB$117=1,EA40=0),300,0))),1000000))</f>
        <v/>
      </c>
      <c r="PE40">
        <f>IF($B40=0,1000000,IF(INDEX('計算A'!$D$60:$EQ$104,$B40,26)*EA40=1,IF(AND($E40=2,JP40=0),1000000,IF($I40&gt;0,IF(2=$J40,IF(OR(AND(26=$I40+1,OR($K40&lt;&gt;'計算A'!$A$3,'計算A'!$A$4=0)),AND(26=$I40-1,OR(2&lt;&gt;'計算A'!$A$3,'計算A'!$A$4=0))),0,IF(2=$K40,200000,ABS(2-$K40)*100)),100000+ABS(2-$J40)*1000+20)+'計算A'!AC$5*50+IF(AND($E40=1,JP40=0),25,0),INDEX('計算A'!AC$110:AC$114,$F40+1)+IF(AND($E40=1,JP40=0),1000,0)+IF($H40=1,(IF('計算A'!AB$117=1,INDEX('計算A'!AB$10:AB$54,$B40),0)+IF('計算A'!AC$117=1,INDEX('計算A'!AD$10:AD$54,$B40),0))*500,0)-IF(AND('計算A'!AB$117=1,UZ40&gt;0),300,0)-IF(AND($L40=1,'計算A'!AC$117=1,EB40=0),300,0))),1000000))</f>
        <v/>
      </c>
      <c r="PF40">
        <f>IF($B40=0,1000000,IF(INDEX('計算A'!$D$60:$EQ$104,$B40,27)*EB40=1,IF(AND($E40=2,JQ40=0),1000000,IF($I40&gt;0,IF(2=$J40,IF(OR(AND(27=$I40+1,OR($K40&lt;&gt;'計算A'!$A$3,'計算A'!$A$4=0)),AND(27=$I40-1,OR(3&lt;&gt;'計算A'!$A$3,'計算A'!$A$4=0))),0,IF(3=$K40,200000,ABS(3-$K40)*100)),100000+ABS(2-$J40)*1000+30)+'計算A'!AD$5*50+IF(AND($E40=1,JQ40=0),25,0),INDEX('計算A'!AD$110:AD$114,$F40+1)+IF(AND($E40=1,JQ40=0),1000,0)+IF($H40=1,(IF('計算A'!AC$117=1,INDEX('計算A'!AC$10:AC$54,$B40),0)+IF('計算A'!AD$117=1,INDEX('計算A'!AE$10:AE$54,$B40),0))*500,0)-IF(AND('計算A'!AC$117=1,VA40&gt;0),300,0)-IF(AND($L40=1,'計算A'!AD$117=1,EC40=0),300,0))),1000000))</f>
        <v/>
      </c>
      <c r="PG40">
        <f>IF($B40=0,1000000,IF(INDEX('計算A'!$D$60:$EQ$104,$B40,28)*EC40=1,IF(AND($E40=2,JR40=0),1000000,IF($I40&gt;0,IF(2=$J40,IF(OR(AND(28=$I40+1,OR($K40&lt;&gt;'計算A'!$A$3,'計算A'!$A$4=0)),AND(28=$I40-1,OR(4&lt;&gt;'計算A'!$A$3,'計算A'!$A$4=0))),0,IF(4=$K40,200000,ABS(4-$K40)*100)),100000+ABS(2-$J40)*1000+40)+'計算A'!AE$5*50+IF(AND($E40=1,JR40=0),25,0),INDEX('計算A'!AE$110:AE$114,$F40+1)+IF(AND($E40=1,JR40=0),1000,0)+IF($H40=1,(IF('計算A'!AD$117=1,INDEX('計算A'!AD$10:AD$54,$B40),0)+IF('計算A'!AE$117=1,INDEX('計算A'!AF$10:AF$54,$B40),0))*500,0)-IF(AND('計算A'!AD$117=1,VB40&gt;0),300,0)-IF(AND($L40=1,'計算A'!AE$117=1,ED40=0),300,0))),1000000))</f>
        <v/>
      </c>
      <c r="PH40">
        <f>IF($B40=0,1000000,IF(INDEX('計算A'!$D$60:$EQ$104,$B40,29)*ED40=1,IF(AND($E40=2,JS40=0),1000000,IF($I40&gt;0,IF(2=$J40,IF(OR(AND(29=$I40+1,OR($K40&lt;&gt;'計算A'!$A$3,'計算A'!$A$4=0)),AND(29=$I40-1,OR(5&lt;&gt;'計算A'!$A$3,'計算A'!$A$4=0))),0,IF(5=$K40,200000,ABS(5-$K40)*100)),100000+ABS(2-$J40)*1000+50)+'計算A'!AF$5*50+IF(AND($E40=1,JS40=0),25,0),INDEX('計算A'!AF$110:AF$114,$F40+1)+IF(AND($E40=1,JS40=0),1000,0)+IF($H40=1,(IF('計算A'!AE$117=1,INDEX('計算A'!AE$10:AE$54,$B40),0)+IF('計算A'!AF$117=1,INDEX('計算A'!AG$10:AG$54,$B40),0))*500,0)-IF(AND('計算A'!AE$117=1,VC40&gt;0),300,0)-IF(AND($L40=1,'計算A'!AF$117=1,EE40=0),300,0))),1000000))</f>
        <v/>
      </c>
      <c r="PI40">
        <f>IF($B40=0,1000000,IF(INDEX('計算A'!$D$60:$EQ$104,$B40,30)*EE40=1,IF(AND($E40=2,JT40=0),1000000,IF($I40&gt;0,IF(2=$J40,IF(OR(AND(30=$I40+1,OR($K40&lt;&gt;'計算A'!$A$3,'計算A'!$A$4=0)),AND(30=$I40-1,OR(6&lt;&gt;'計算A'!$A$3,'計算A'!$A$4=0))),0,IF(6=$K40,200000,ABS(6-$K40)*100)),100000+ABS(2-$J40)*1000+60)+'計算A'!AG$5*50+IF(AND($E40=1,JT40=0),25,0),INDEX('計算A'!AG$110:AG$114,$F40+1)+IF(AND($E40=1,JT40=0),1000,0)+IF($H40=1,(IF('計算A'!AF$117=1,INDEX('計算A'!AF$10:AF$54,$B40),0)+IF('計算A'!AG$117=1,INDEX('計算A'!AH$10:AH$54,$B40),0))*500,0)-IF(AND('計算A'!AF$117=1,VD40&gt;0),300,0)-IF(AND($L40=1,'計算A'!AG$117=1,EF40=0),300,0))),1000000))</f>
        <v/>
      </c>
      <c r="PJ40">
        <f>IF($B40=0,1000000,IF(INDEX('計算A'!$D$60:$EQ$104,$B40,31)*EF40=1,IF(AND($E40=2,JU40=0),1000000,IF($I40&gt;0,IF(2=$J40,IF(OR(AND(31=$I40+1,OR($K40&lt;&gt;'計算A'!$A$3,'計算A'!$A$4=0)),AND(31=$I40-1,OR(7&lt;&gt;'計算A'!$A$3,'計算A'!$A$4=0))),0,IF(7=$K40,200000,ABS(7-$K40)*100)),100000+ABS(2-$J40)*1000+70)+'計算A'!AH$5*50+IF(AND($E40=1,JU40=0),25,0),INDEX('計算A'!AH$110:AH$114,$F40+1)+IF(AND($E40=1,JU40=0),1000,0)+IF($H40=1,(IF('計算A'!AG$117=1,INDEX('計算A'!AG$10:AG$54,$B40),0)+IF('計算A'!AH$117=1,INDEX('計算A'!AI$10:AI$54,$B40),0))*500,0)-IF(AND('計算A'!AG$117=1,VE40&gt;0),300,0)-IF(AND($L40=1,'計算A'!AH$117=1,EG40=0),300,0))),1000000))</f>
        <v/>
      </c>
      <c r="PK40">
        <f>IF($B40=0,1000000,IF(INDEX('計算A'!$D$60:$EQ$104,$B40,32)*EG40=1,IF(AND($E40=2,JV40=0),1000000,IF($I40&gt;0,IF(2=$J40,IF(OR(AND(32=$I40+1,OR($K40&lt;&gt;'計算A'!$A$3,'計算A'!$A$4=0)),AND(32=$I40-1,OR(8&lt;&gt;'計算A'!$A$3,'計算A'!$A$4=0))),0,IF(8=$K40,200000,ABS(8-$K40)*100)),100000+ABS(2-$J40)*1000+80)+'計算A'!AI$5*50+IF(AND($E40=1,JV40=0),25,0),INDEX('計算A'!AI$110:AI$114,$F40+1)+IF(AND($E40=1,JV40=0),1000,0)+IF($H40=1,(IF('計算A'!AH$117=1,INDEX('計算A'!AH$10:AH$54,$B40),0)+IF('計算A'!AI$117=1,INDEX('計算A'!AJ$10:AJ$54,$B40),0))*500,0)-IF(AND('計算A'!AH$117=1,VF40&gt;0),300,0)-IF(AND($L40=1,'計算A'!AI$117=1,EH40=0),300,0))),1000000))</f>
        <v/>
      </c>
      <c r="PL40">
        <f>IF($B40=0,1000000,IF(INDEX('計算A'!$D$60:$EQ$104,$B40,33)*EH40=1,IF(AND($E40=2,JW40=0),1000000,IF($I40&gt;0,IF(2=$J40,IF(OR(AND(33=$I40+1,OR($K40&lt;&gt;'計算A'!$A$3,'計算A'!$A$4=0)),AND(33=$I40-1,OR(9&lt;&gt;'計算A'!$A$3,'計算A'!$A$4=0))),0,IF(9=$K40,200000,ABS(9-$K40)*100)),100000+ABS(2-$J40)*1000+90)+'計算A'!AJ$5*50+IF(AND($E40=1,JW40=0),25,0),INDEX('計算A'!AJ$110:AJ$114,$F40+1)+IF(AND($E40=1,JW40=0),1000,0)+IF($H40=1,(IF('計算A'!AI$117=1,INDEX('計算A'!AI$10:AI$54,$B40),0)+IF('計算A'!AJ$117=1,INDEX('計算A'!AK$10:AK$54,$B40),0))*500,0)-IF(AND('計算A'!AI$117=1,VG40&gt;0),300,0)-IF(AND($L40=1,'計算A'!AJ$117=1,EI40=0),300,0))),1000000))</f>
        <v/>
      </c>
      <c r="PM40">
        <f>IF($B40=0,1000000,IF(INDEX('計算A'!$D$60:$EQ$104,$B40,34)*EI40=1,IF(AND($E40=2,JX40=0),1000000,IF($I40&gt;0,IF(2=$J40,IF(OR(AND(34=$I40+1,OR($K40&lt;&gt;'計算A'!$A$3,'計算A'!$A$4=0)),AND(34=$I40-1,OR(10&lt;&gt;'計算A'!$A$3,'計算A'!$A$4=0))),0,IF(10=$K40,200000,ABS(10-$K40)*100)),100000+ABS(2-$J40)*1000+100)+'計算A'!AK$5*50+IF(AND($E40=1,JX40=0),25,0),INDEX('計算A'!AK$110:AK$114,$F40+1)+IF(AND($E40=1,JX40=0),1000,0)+IF($H40=1,(IF('計算A'!AJ$117=1,INDEX('計算A'!AJ$10:AJ$54,$B40),0)+IF('計算A'!AK$117=1,INDEX('計算A'!AL$10:AL$54,$B40),0))*500,0)-IF(AND('計算A'!AJ$117=1,VH40&gt;0),300,0)-IF(AND($L40=1,'計算A'!AK$117=1,EJ40=0),300,0))),1000000))</f>
        <v/>
      </c>
      <c r="PN40">
        <f>IF($B40=0,1000000,IF(INDEX('計算A'!$D$60:$EQ$104,$B40,35)*EJ40=1,IF(AND($E40=2,JY40=0),1000000,IF($I40&gt;0,IF(2=$J40,IF(OR(AND(35=$I40+1,OR($K40&lt;&gt;'計算A'!$A$3,'計算A'!$A$4=0)),AND(35=$I40-1,OR(11&lt;&gt;'計算A'!$A$3,'計算A'!$A$4=0))),0,IF(11=$K40,200000,ABS(11-$K40)*100)),100000+ABS(2-$J40)*1000+110)+'計算A'!AL$5*50+IF(AND($E40=1,JY40=0),25,0),INDEX('計算A'!AL$110:AL$114,$F40+1)+IF(AND($E40=1,JY40=0),1000,0)+IF($H40=1,(IF('計算A'!AK$117=1,INDEX('計算A'!AK$10:AK$54,$B40),0)+IF('計算A'!AL$117=1,INDEX('計算A'!AM$10:AM$54,$B40),0))*500,0)-IF(AND('計算A'!AK$117=1,VI40&gt;0),300,0)-IF(AND($L40=1,'計算A'!AL$117=1,EK40=0),300,0))),1000000))</f>
        <v/>
      </c>
      <c r="PO40">
        <f>IF($B40=0,1000000,IF(INDEX('計算A'!$D$60:$EQ$104,$B40,36)*EK40=1,IF(AND($E40=2,JZ40=0),1000000,IF($I40&gt;0,IF(2=$J40,IF(OR(AND(36=$I40+1,OR($K40&lt;&gt;'計算A'!$A$3,'計算A'!$A$4=0)),AND(36=$I40-1,OR(12&lt;&gt;'計算A'!$A$3,'計算A'!$A$4=0))),0,IF(12=$K40,200000,ABS(12-$K40)*100)),100000+ABS(2-$J40)*1000+120)+'計算A'!AM$5*50+IF(AND($E40=1,JZ40=0),25,0),INDEX('計算A'!AM$110:AM$114,$F40+1)+IF(AND($E40=1,JZ40=0),1000,0)+IF($H40=1,(IF('計算A'!AL$117=1,INDEX('計算A'!AL$10:AL$54,$B40),0)+IF('計算A'!AM$117=1,INDEX('計算A'!AN$10:AN$54,$B40),0))*500,0)-IF(AND('計算A'!AL$117=1,VJ40&gt;0),300,0)-IF(AND($L40=1,'計算A'!AM$117=1,EL40=0),300,0))),1000000))</f>
        <v/>
      </c>
      <c r="PP40">
        <f>IF($B40=0,1000000,IF(INDEX('計算A'!$D$60:$EQ$104,$B40,37)*EL40=1,IF(AND($E40=2,KA40=0),1000000,IF($I40&gt;0,IF(2=$J40,IF(OR(AND(37=$I40+1,OR($K40&lt;&gt;'計算A'!$A$3,'計算A'!$A$4=0)),AND(37=$I40-1,OR(13&lt;&gt;'計算A'!$A$3,'計算A'!$A$4=0))),0,IF(13=$K40,200000,ABS(13-$K40)*100)),100000+ABS(2-$J40)*1000+130)+'計算A'!AN$5*50+IF(AND($E40=1,KA40=0),25,0),INDEX('計算A'!AN$110:AN$114,$F40+1)+IF(AND($E40=1,KA40=0),1000,0)+IF($H40=1,(IF('計算A'!AM$117=1,INDEX('計算A'!AM$10:AM$54,$B40),0)+IF('計算A'!AN$117=1,INDEX('計算A'!AO$10:AO$54,$B40),0))*500,0)-IF(AND('計算A'!AM$117=1,VK40&gt;0),300,0)-IF(AND($L40=1,'計算A'!AN$117=1,EM40=0),300,0))),1000000))</f>
        <v/>
      </c>
      <c r="PQ40">
        <f>IF($B40=0,1000000,IF(INDEX('計算A'!$D$60:$EQ$104,$B40,38)*EM40=1,IF(AND($E40=2,KB40=0),1000000,IF($I40&gt;0,IF(2=$J40,IF(OR(AND(38=$I40+1,OR($K40&lt;&gt;'計算A'!$A$3,'計算A'!$A$4=0)),AND(38=$I40-1,OR(14&lt;&gt;'計算A'!$A$3,'計算A'!$A$4=0))),0,IF(14=$K40,200000,ABS(14-$K40)*100)),100000+ABS(2-$J40)*1000+140)+'計算A'!AO$5*50+IF(AND($E40=1,KB40=0),25,0),INDEX('計算A'!AO$110:AO$114,$F40+1)+IF(AND($E40=1,KB40=0),1000,0)+IF($H40=1,(IF('計算A'!AN$117=1,INDEX('計算A'!AN$10:AN$54,$B40),0)+IF('計算A'!AO$117=1,INDEX('計算A'!AP$10:AP$54,$B40),0))*500,0)-IF(AND('計算A'!AN$117=1,VL40&gt;0),300,0)-IF(AND($L40=1,'計算A'!AO$117=1,EN40=0),300,0))),1000000))</f>
        <v/>
      </c>
      <c r="PR40">
        <f>IF($B40=0,1000000,IF(INDEX('計算A'!$D$60:$EQ$104,$B40,39)*EN40=1,IF(AND($E40=2,KC40=0),1000000,IF($I40&gt;0,IF(2=$J40,IF(OR(AND(39=$I40+1,OR($K40&lt;&gt;'計算A'!$A$3,'計算A'!$A$4=0)),AND(39=$I40-1,OR(15&lt;&gt;'計算A'!$A$3,'計算A'!$A$4=0))),0,IF(15=$K40,200000,ABS(15-$K40)*100)),100000+ABS(2-$J40)*1000+150)+'計算A'!AP$5*50+IF(AND($E40=1,KC40=0),25,0),INDEX('計算A'!AP$110:AP$114,$F40+1)+IF(AND($E40=1,KC40=0),1000,0)+IF($H40=1,(IF('計算A'!AO$117=1,INDEX('計算A'!AO$10:AO$54,$B40),0)+IF('計算A'!AP$117=1,INDEX('計算A'!AQ$10:AQ$54,$B40),0))*500,0)-IF(AND('計算A'!AO$117=1,VM40&gt;0),300,0)-IF(AND($L40=1,'計算A'!AP$117=1,EO40=0),300,0))),1000000))</f>
        <v/>
      </c>
      <c r="PS40">
        <f>IF($B40=0,1000000,IF(INDEX('計算A'!$D$60:$EQ$104,$B40,40)*EO40=1,IF(AND($E40=2,KD40=0),1000000,IF($I40&gt;0,IF(2=$J40,IF(OR(AND(40=$I40+1,OR($K40&lt;&gt;'計算A'!$A$3,'計算A'!$A$4=0)),AND(40=$I40-1,OR(16&lt;&gt;'計算A'!$A$3,'計算A'!$A$4=0))),0,IF(16=$K40,200000,ABS(16-$K40)*100)),100000+ABS(2-$J40)*1000+160)+'計算A'!AQ$5*50+IF(AND($E40=1,KD40=0),25,0),INDEX('計算A'!AQ$110:AQ$114,$F40+1)+IF(AND($E40=1,KD40=0),1000,0)+IF($H40=1,(IF('計算A'!AP$117=1,INDEX('計算A'!AP$10:AP$54,$B40),0)+IF('計算A'!AQ$117=1,INDEX('計算A'!AR$10:AR$54,$B40),0))*500,0)-IF(AND('計算A'!AP$117=1,VN40&gt;0),300,0)-IF(AND($L40=1,'計算A'!AQ$117=1,EP40=0),300,0))),1000000))</f>
        <v/>
      </c>
      <c r="PT40">
        <f>IF($B40=0,1000000,IF(INDEX('計算A'!$D$60:$EQ$104,$B40,41)*EP40=1,IF(AND($E40=2,KE40=0),1000000,IF($I40&gt;0,IF(2=$J40,IF(OR(AND(41=$I40+1,OR($K40&lt;&gt;'計算A'!$A$3,'計算A'!$A$4=0)),AND(41=$I40-1,OR(17&lt;&gt;'計算A'!$A$3,'計算A'!$A$4=0))),0,IF(17=$K40,200000,ABS(17-$K40)*100)),100000+ABS(2-$J40)*1000+170)+'計算A'!AR$5*50+IF(AND($E40=1,KE40=0),25,0),INDEX('計算A'!AR$110:AR$114,$F40+1)+IF(AND($E40=1,KE40=0),1000,0)+IF($H40=1,(IF('計算A'!AQ$117=1,INDEX('計算A'!AQ$10:AQ$54,$B40),0)+IF('計算A'!AR$117=1,INDEX('計算A'!AS$10:AS$54,$B40),0))*500,0)-IF(AND('計算A'!AQ$117=1,VO40&gt;0),300,0)-IF(AND($L40=1,'計算A'!AR$117=1,EQ40=0),300,0))),1000000))</f>
        <v/>
      </c>
      <c r="PU40">
        <f>IF($B40=0,1000000,IF(INDEX('計算A'!$D$60:$EQ$104,$B40,42)*EQ40=1,IF(AND($E40=2,KF40=0),1000000,IF($I40&gt;0,IF(2=$J40,IF(OR(AND(42=$I40+1,OR($K40&lt;&gt;'計算A'!$A$3,'計算A'!$A$4=0)),AND(42=$I40-1,OR(18&lt;&gt;'計算A'!$A$3,'計算A'!$A$4=0))),0,IF(18=$K40,200000,ABS(18-$K40)*100)),100000+ABS(2-$J40)*1000+180)+'計算A'!AS$5*50+IF(AND($E40=1,KF40=0),25,0),INDEX('計算A'!AS$110:AS$114,$F40+1)+IF(AND($E40=1,KF40=0),1000,0)+IF($H40=1,(IF('計算A'!AR$117=1,INDEX('計算A'!AR$10:AR$54,$B40),0)+IF('計算A'!AS$117=1,INDEX('計算A'!AT$10:AT$54,$B40),0))*500,0)-IF(AND('計算A'!AR$117=1,VP40&gt;0),300,0)-IF(AND($L40=1,'計算A'!AS$117=1,ER40=0),300,0))),1000000))</f>
        <v/>
      </c>
      <c r="PV40">
        <f>IF($B40=0,1000000,IF(INDEX('計算A'!$D$60:$EQ$104,$B40,43)*ER40=1,IF(AND($E40=2,KG40=0),1000000,IF($I40&gt;0,IF(2=$J40,IF(OR(AND(43=$I40+1,OR($K40&lt;&gt;'計算A'!$A$3,'計算A'!$A$4=0)),AND(43=$I40-1,OR(19&lt;&gt;'計算A'!$A$3,'計算A'!$A$4=0))),0,IF(19=$K40,200000,ABS(19-$K40)*100)),100000+ABS(2-$J40)*1000+190)+'計算A'!AT$5*50+IF(AND($E40=1,KG40=0),25,0),INDEX('計算A'!AT$110:AT$114,$F40+1)+IF(AND($E40=1,KG40=0),1000,0)+IF($H40=1,(IF('計算A'!AS$117=1,INDEX('計算A'!AS$10:AS$54,$B40),0)+IF('計算A'!AT$117=1,INDEX('計算A'!AU$10:AU$54,$B40),0))*500,0)-IF(AND('計算A'!AS$117=1,VQ40&gt;0),300,0)-IF(AND($L40=1,'計算A'!AT$117=1,ES40=0),300,0))),1000000))</f>
        <v/>
      </c>
      <c r="PW40">
        <f>IF($B40=0,1000000,IF(INDEX('計算A'!$D$60:$EQ$104,$B40,44)*ES40=1,IF(AND($E40=2,KH40=0),1000000,IF($I40&gt;0,IF(2=$J40,IF(OR(AND(44=$I40+1,OR($K40&lt;&gt;'計算A'!$A$3,'計算A'!$A$4=0)),AND(44=$I40-1,OR(20&lt;&gt;'計算A'!$A$3,'計算A'!$A$4=0))),0,IF(20=$K40,200000,ABS(20-$K40)*100)),100000+ABS(2-$J40)*1000+200)+'計算A'!AU$5*50+IF(AND($E40=1,KH40=0),25,0),INDEX('計算A'!AU$110:AU$114,$F40+1)+IF(AND($E40=1,KH40=0),1000,0)+IF($H40=1,(IF('計算A'!AT$117=1,INDEX('計算A'!AT$10:AT$54,$B40),0)+IF('計算A'!AU$117=1,INDEX('計算A'!AV$10:AV$54,$B40),0))*500,0)-IF(AND('計算A'!AT$117=1,VR40&gt;0),300,0)-IF(AND($L40=1,'計算A'!AU$117=1,ET40=0),300,0))),1000000))</f>
        <v/>
      </c>
      <c r="PX40">
        <f>IF($B40=0,1000000,IF(INDEX('計算A'!$D$60:$EQ$104,$B40,45)*ET40=1,IF(AND($E40=2,KI40=0),1000000,IF($I40&gt;0,IF(2=$J40,IF(OR(AND(45=$I40+1,OR($K40&lt;&gt;'計算A'!$A$3,'計算A'!$A$4=0)),AND(45=$I40-1,OR(21&lt;&gt;'計算A'!$A$3,'計算A'!$A$4=0))),0,IF(21=$K40,200000,ABS(21-$K40)*100)),100000+ABS(2-$J40)*1000+210)+'計算A'!AV$5*50+IF(AND($E40=1,KI40=0),25,0),INDEX('計算A'!AV$110:AV$114,$F40+1)+IF(AND($E40=1,KI40=0),1000,0)+IF($H40=1,(IF('計算A'!AU$117=1,INDEX('計算A'!AU$10:AU$54,$B40),0)+IF('計算A'!AV$117=1,INDEX('計算A'!AW$10:AW$54,$B40),0))*500,0)-IF(AND('計算A'!AU$117=1,VS40&gt;0),300,0)-IF(AND($L40=1,'計算A'!AV$117=1,EU40=0),300,0))),1000000))</f>
        <v/>
      </c>
      <c r="PY40">
        <f>IF($B40=0,1000000,IF(INDEX('計算A'!$D$60:$EQ$104,$B40,46)*EU40=1,IF(AND($E40=2,KJ40=0),1000000,IF($I40&gt;0,IF(2=$J40,IF(OR(AND(46=$I40+1,OR($K40&lt;&gt;'計算A'!$A$3,'計算A'!$A$4=0)),AND(46=$I40-1,OR(22&lt;&gt;'計算A'!$A$3,'計算A'!$A$4=0))),0,IF(22=$K40,200000,ABS(22-$K40)*100)),100000+ABS(2-$J40)*1000+220)+'計算A'!AW$5*50+IF(AND($E40=1,KJ40=0),25,0),INDEX('計算A'!AW$110:AW$114,$F40+1)+IF(AND($E40=1,KJ40=0),1000,0)+IF($H40=1,(IF('計算A'!AV$117=1,INDEX('計算A'!AV$10:AV$54,$B40),0)+IF('計算A'!AW$117=1,INDEX('計算A'!AX$10:AX$54,$B40),0))*500,0)-IF(AND('計算A'!AV$117=1,VT40&gt;0),300,0)-IF(AND($L40=1,'計算A'!AW$117=1,EV40=0),300,0))),1000000))</f>
        <v/>
      </c>
      <c r="PZ40">
        <f>IF($B40=0,1000000,IF(INDEX('計算A'!$D$60:$EQ$104,$B40,47)*EV40=1,IF(AND($E40=2,KK40=0),1000000,IF($I40&gt;0,IF(2=$J40,IF(OR(AND(47=$I40+1,OR($K40&lt;&gt;'計算A'!$A$3,'計算A'!$A$4=0)),AND(47=$I40-1,OR(23&lt;&gt;'計算A'!$A$3,'計算A'!$A$4=0))),0,IF(23=$K40,200000,ABS(23-$K40)*100)),100000+ABS(2-$J40)*1000+230)+'計算A'!AX$5*50+IF(AND($E40=1,KK40=0),25,0),INDEX('計算A'!AX$110:AX$114,$F40+1)+IF(AND($E40=1,KK40=0),1000,0)+IF($H40=1,(IF('計算A'!AW$117=1,INDEX('計算A'!AW$10:AW$54,$B40),0)+IF('計算A'!AX$117=1,INDEX('計算A'!AY$10:AY$54,$B40),0))*500,0)-IF(AND('計算A'!AW$117=1,VU40&gt;0),300,0)-IF(AND($L40=1,'計算A'!AX$117=1,EW40=0),300,0))),1000000))</f>
        <v/>
      </c>
      <c r="QA40">
        <f>IF($B40=0,1000000,IF(INDEX('計算A'!$D$60:$EQ$104,$B40,48)*EW40=1,IF(AND($E40=2,KL40=0),1000000,IF($I40&gt;0,IF(2=$J40,IF(OR(AND(48=$I40+1,OR($K40&lt;&gt;'計算A'!$A$3,'計算A'!$A$4=0)),AND(48=$I40-1,OR(24&lt;&gt;'計算A'!$A$3,'計算A'!$A$4=0))),0,IF(24=$K40,200000,ABS(24-$K40)*100)),100000+ABS(2-$J40)*1000+240)+'計算A'!AY$5*50+IF(AND($E40=1,KL40=0),25,0),INDEX('計算A'!AY$110:AY$114,$F40+1)+IF(AND($E40=1,KL40=0),1000,0)+IF($H40=1,(IF('計算A'!AX$117=1,INDEX('計算A'!AX$10:AX$54,$B40),0))*500,0)-IF(AND('計算A'!AX$117=1,VV40&gt;0),300,0))),1000000))</f>
        <v/>
      </c>
      <c r="QB40">
        <f>IF($B40=0,1000000,IF(INDEX('計算A'!$D$60:$EQ$104,$B40,49)*EX40=1,IF(AND($E40=2,KM40=0),1000000,IF($I40&gt;0,IF(3=$J40,IF(OR(AND(49=$I40+1,OR($K40&lt;&gt;'計算A'!$A$3,'計算A'!$A$4=0)),AND(49=$I40-1,OR(1&lt;&gt;'計算A'!$A$3,'計算A'!$A$4=0))),0,IF(1=$K40,200000,ABS(1-$K40)*100)),100000+ABS(3-$J40)*1000+10)+'計算A'!AZ$5*50+IF(AND($E40=1,KM40=0),25,0),INDEX('計算A'!AZ$110:AZ$114,$F40+1)+IF(AND($E40=1,KM40=0),1000,0)+IF($H40=1,(IF('計算A'!AZ$117=1,INDEX('計算A'!BA$10:BA$54,$B40),0))*500,0)-IF(AND($L40=1,'計算A'!AZ$117=1,EY40=0),300,0))),1000000))</f>
        <v/>
      </c>
      <c r="QC40">
        <f>IF($B40=0,1000000,IF(INDEX('計算A'!$D$60:$EQ$104,$B40,50)*EY40=1,IF(AND($E40=2,KN40=0),1000000,IF($I40&gt;0,IF(3=$J40,IF(OR(AND(50=$I40+1,OR($K40&lt;&gt;'計算A'!$A$3,'計算A'!$A$4=0)),AND(50=$I40-1,OR(2&lt;&gt;'計算A'!$A$3,'計算A'!$A$4=0))),0,IF(2=$K40,200000,ABS(2-$K40)*100)),100000+ABS(3-$J40)*1000+20)+'計算A'!BA$5*50+IF(AND($E40=1,KN40=0),25,0),INDEX('計算A'!BA$110:BA$114,$F40+1)+IF(AND($E40=1,KN40=0),1000,0)+IF($H40=1,(IF('計算A'!AZ$117=1,INDEX('計算A'!AZ$10:AZ$54,$B40),0)+IF('計算A'!BA$117=1,INDEX('計算A'!BB$10:BB$54,$B40),0))*500,0)-IF(AND('計算A'!AZ$117=1,VX40&gt;0),300,0)-IF(AND($L40=1,'計算A'!BA$117=1,EZ40=0),300,0))),1000000))</f>
        <v/>
      </c>
      <c r="QD40">
        <f>IF($B40=0,1000000,IF(INDEX('計算A'!$D$60:$EQ$104,$B40,51)*EZ40=1,IF(AND($E40=2,KO40=0),1000000,IF($I40&gt;0,IF(3=$J40,IF(OR(AND(51=$I40+1,OR($K40&lt;&gt;'計算A'!$A$3,'計算A'!$A$4=0)),AND(51=$I40-1,OR(3&lt;&gt;'計算A'!$A$3,'計算A'!$A$4=0))),0,IF(3=$K40,200000,ABS(3-$K40)*100)),100000+ABS(3-$J40)*1000+30)+'計算A'!BB$5*50+IF(AND($E40=1,KO40=0),25,0),INDEX('計算A'!BB$110:BB$114,$F40+1)+IF(AND($E40=1,KO40=0),1000,0)+IF($H40=1,(IF('計算A'!BA$117=1,INDEX('計算A'!BA$10:BA$54,$B40),0)+IF('計算A'!BB$117=1,INDEX('計算A'!BC$10:BC$54,$B40),0))*500,0)-IF(AND('計算A'!BA$117=1,VY40&gt;0),300,0)-IF(AND($L40=1,'計算A'!BB$117=1,FA40=0),300,0))),1000000))</f>
        <v/>
      </c>
      <c r="QE40">
        <f>IF($B40=0,1000000,IF(INDEX('計算A'!$D$60:$EQ$104,$B40,52)*FA40=1,IF(AND($E40=2,KP40=0),1000000,IF($I40&gt;0,IF(3=$J40,IF(OR(AND(52=$I40+1,OR($K40&lt;&gt;'計算A'!$A$3,'計算A'!$A$4=0)),AND(52=$I40-1,OR(4&lt;&gt;'計算A'!$A$3,'計算A'!$A$4=0))),0,IF(4=$K40,200000,ABS(4-$K40)*100)),100000+ABS(3-$J40)*1000+40)+'計算A'!BC$5*50+IF(AND($E40=1,KP40=0),25,0),INDEX('計算A'!BC$110:BC$114,$F40+1)+IF(AND($E40=1,KP40=0),1000,0)+IF($H40=1,(IF('計算A'!BB$117=1,INDEX('計算A'!BB$10:BB$54,$B40),0)+IF('計算A'!BC$117=1,INDEX('計算A'!BD$10:BD$54,$B40),0))*500,0)-IF(AND('計算A'!BB$117=1,VZ40&gt;0),300,0)-IF(AND($L40=1,'計算A'!BC$117=1,FB40=0),300,0))),1000000))</f>
        <v/>
      </c>
      <c r="QF40">
        <f>IF($B40=0,1000000,IF(INDEX('計算A'!$D$60:$EQ$104,$B40,53)*FB40=1,IF(AND($E40=2,KQ40=0),1000000,IF($I40&gt;0,IF(3=$J40,IF(OR(AND(53=$I40+1,OR($K40&lt;&gt;'計算A'!$A$3,'計算A'!$A$4=0)),AND(53=$I40-1,OR(5&lt;&gt;'計算A'!$A$3,'計算A'!$A$4=0))),0,IF(5=$K40,200000,ABS(5-$K40)*100)),100000+ABS(3-$J40)*1000+50)+'計算A'!BD$5*50+IF(AND($E40=1,KQ40=0),25,0),INDEX('計算A'!BD$110:BD$114,$F40+1)+IF(AND($E40=1,KQ40=0),1000,0)+IF($H40=1,(IF('計算A'!BC$117=1,INDEX('計算A'!BC$10:BC$54,$B40),0)+IF('計算A'!BD$117=1,INDEX('計算A'!BE$10:BE$54,$B40),0))*500,0)-IF(AND('計算A'!BC$117=1,WA40&gt;0),300,0)-IF(AND($L40=1,'計算A'!BD$117=1,FC40=0),300,0))),1000000))</f>
        <v/>
      </c>
      <c r="QG40">
        <f>IF($B40=0,1000000,IF(INDEX('計算A'!$D$60:$EQ$104,$B40,54)*FC40=1,IF(AND($E40=2,KR40=0),1000000,IF($I40&gt;0,IF(3=$J40,IF(OR(AND(54=$I40+1,OR($K40&lt;&gt;'計算A'!$A$3,'計算A'!$A$4=0)),AND(54=$I40-1,OR(6&lt;&gt;'計算A'!$A$3,'計算A'!$A$4=0))),0,IF(6=$K40,200000,ABS(6-$K40)*100)),100000+ABS(3-$J40)*1000+60)+'計算A'!BE$5*50+IF(AND($E40=1,KR40=0),25,0),INDEX('計算A'!BE$110:BE$114,$F40+1)+IF(AND($E40=1,KR40=0),1000,0)+IF($H40=1,(IF('計算A'!BD$117=1,INDEX('計算A'!BD$10:BD$54,$B40),0)+IF('計算A'!BE$117=1,INDEX('計算A'!BF$10:BF$54,$B40),0))*500,0)-IF(AND('計算A'!BD$117=1,WB40&gt;0),300,0)-IF(AND($L40=1,'計算A'!BE$117=1,FD40=0),300,0))),1000000))</f>
        <v/>
      </c>
      <c r="QH40">
        <f>IF($B40=0,1000000,IF(INDEX('計算A'!$D$60:$EQ$104,$B40,55)*FD40=1,IF(AND($E40=2,KS40=0),1000000,IF($I40&gt;0,IF(3=$J40,IF(OR(AND(55=$I40+1,OR($K40&lt;&gt;'計算A'!$A$3,'計算A'!$A$4=0)),AND(55=$I40-1,OR(7&lt;&gt;'計算A'!$A$3,'計算A'!$A$4=0))),0,IF(7=$K40,200000,ABS(7-$K40)*100)),100000+ABS(3-$J40)*1000+70)+'計算A'!BF$5*50+IF(AND($E40=1,KS40=0),25,0),INDEX('計算A'!BF$110:BF$114,$F40+1)+IF(AND($E40=1,KS40=0),1000,0)+IF($H40=1,(IF('計算A'!BE$117=1,INDEX('計算A'!BE$10:BE$54,$B40),0)+IF('計算A'!BF$117=1,INDEX('計算A'!BG$10:BG$54,$B40),0))*500,0)-IF(AND('計算A'!BE$117=1,WC40&gt;0),300,0)-IF(AND($L40=1,'計算A'!BF$117=1,FE40=0),300,0))),1000000))</f>
        <v/>
      </c>
      <c r="QI40">
        <f>IF($B40=0,1000000,IF(INDEX('計算A'!$D$60:$EQ$104,$B40,56)*FE40=1,IF(AND($E40=2,KT40=0),1000000,IF($I40&gt;0,IF(3=$J40,IF(OR(AND(56=$I40+1,OR($K40&lt;&gt;'計算A'!$A$3,'計算A'!$A$4=0)),AND(56=$I40-1,OR(8&lt;&gt;'計算A'!$A$3,'計算A'!$A$4=0))),0,IF(8=$K40,200000,ABS(8-$K40)*100)),100000+ABS(3-$J40)*1000+80)+'計算A'!BG$5*50+IF(AND($E40=1,KT40=0),25,0),INDEX('計算A'!BG$110:BG$114,$F40+1)+IF(AND($E40=1,KT40=0),1000,0)+IF($H40=1,(IF('計算A'!BF$117=1,INDEX('計算A'!BF$10:BF$54,$B40),0)+IF('計算A'!BG$117=1,INDEX('計算A'!BH$10:BH$54,$B40),0))*500,0)-IF(AND('計算A'!BF$117=1,WD40&gt;0),300,0)-IF(AND($L40=1,'計算A'!BG$117=1,FF40=0),300,0))),1000000))</f>
        <v/>
      </c>
      <c r="QJ40">
        <f>IF($B40=0,1000000,IF(INDEX('計算A'!$D$60:$EQ$104,$B40,57)*FF40=1,IF(AND($E40=2,KU40=0),1000000,IF($I40&gt;0,IF(3=$J40,IF(OR(AND(57=$I40+1,OR($K40&lt;&gt;'計算A'!$A$3,'計算A'!$A$4=0)),AND(57=$I40-1,OR(9&lt;&gt;'計算A'!$A$3,'計算A'!$A$4=0))),0,IF(9=$K40,200000,ABS(9-$K40)*100)),100000+ABS(3-$J40)*1000+90)+'計算A'!BH$5*50+IF(AND($E40=1,KU40=0),25,0),INDEX('計算A'!BH$110:BH$114,$F40+1)+IF(AND($E40=1,KU40=0),1000,0)+IF($H40=1,(IF('計算A'!BG$117=1,INDEX('計算A'!BG$10:BG$54,$B40),0)+IF('計算A'!BH$117=1,INDEX('計算A'!BI$10:BI$54,$B40),0))*500,0)-IF(AND('計算A'!BG$117=1,WE40&gt;0),300,0)-IF(AND($L40=1,'計算A'!BH$117=1,FG40=0),300,0))),1000000))</f>
        <v/>
      </c>
      <c r="QK40">
        <f>IF($B40=0,1000000,IF(INDEX('計算A'!$D$60:$EQ$104,$B40,58)*FG40=1,IF(AND($E40=2,KV40=0),1000000,IF($I40&gt;0,IF(3=$J40,IF(OR(AND(58=$I40+1,OR($K40&lt;&gt;'計算A'!$A$3,'計算A'!$A$4=0)),AND(58=$I40-1,OR(10&lt;&gt;'計算A'!$A$3,'計算A'!$A$4=0))),0,IF(10=$K40,200000,ABS(10-$K40)*100)),100000+ABS(3-$J40)*1000+100)+'計算A'!BI$5*50+IF(AND($E40=1,KV40=0),25,0),INDEX('計算A'!BI$110:BI$114,$F40+1)+IF(AND($E40=1,KV40=0),1000,0)+IF($H40=1,(IF('計算A'!BH$117=1,INDEX('計算A'!BH$10:BH$54,$B40),0)+IF('計算A'!BI$117=1,INDEX('計算A'!BJ$10:BJ$54,$B40),0))*500,0)-IF(AND('計算A'!BH$117=1,WF40&gt;0),300,0)-IF(AND($L40=1,'計算A'!BI$117=1,FH40=0),300,0))),1000000))</f>
        <v/>
      </c>
      <c r="QL40">
        <f>IF($B40=0,1000000,IF(INDEX('計算A'!$D$60:$EQ$104,$B40,59)*FH40=1,IF(AND($E40=2,KW40=0),1000000,IF($I40&gt;0,IF(3=$J40,IF(OR(AND(59=$I40+1,OR($K40&lt;&gt;'計算A'!$A$3,'計算A'!$A$4=0)),AND(59=$I40-1,OR(11&lt;&gt;'計算A'!$A$3,'計算A'!$A$4=0))),0,IF(11=$K40,200000,ABS(11-$K40)*100)),100000+ABS(3-$J40)*1000+110)+'計算A'!BJ$5*50+IF(AND($E40=1,KW40=0),25,0),INDEX('計算A'!BJ$110:BJ$114,$F40+1)+IF(AND($E40=1,KW40=0),1000,0)+IF($H40=1,(IF('計算A'!BI$117=1,INDEX('計算A'!BI$10:BI$54,$B40),0)+IF('計算A'!BJ$117=1,INDEX('計算A'!BK$10:BK$54,$B40),0))*500,0)-IF(AND('計算A'!BI$117=1,WG40&gt;0),300,0)-IF(AND($L40=1,'計算A'!BJ$117=1,FI40=0),300,0))),1000000))</f>
        <v/>
      </c>
      <c r="QM40">
        <f>IF($B40=0,1000000,IF(INDEX('計算A'!$D$60:$EQ$104,$B40,60)*FI40=1,IF(AND($E40=2,KX40=0),1000000,IF($I40&gt;0,IF(3=$J40,IF(OR(AND(60=$I40+1,OR($K40&lt;&gt;'計算A'!$A$3,'計算A'!$A$4=0)),AND(60=$I40-1,OR(12&lt;&gt;'計算A'!$A$3,'計算A'!$A$4=0))),0,IF(12=$K40,200000,ABS(12-$K40)*100)),100000+ABS(3-$J40)*1000+120)+'計算A'!BK$5*50+IF(AND($E40=1,KX40=0),25,0),INDEX('計算A'!BK$110:BK$114,$F40+1)+IF(AND($E40=1,KX40=0),1000,0)+IF($H40=1,(IF('計算A'!BJ$117=1,INDEX('計算A'!BJ$10:BJ$54,$B40),0)+IF('計算A'!BK$117=1,INDEX('計算A'!BL$10:BL$54,$B40),0))*500,0)-IF(AND('計算A'!BJ$117=1,WH40&gt;0),300,0)-IF(AND($L40=1,'計算A'!BK$117=1,FJ40=0),300,0))),1000000))</f>
        <v/>
      </c>
      <c r="QN40">
        <f>IF($B40=0,1000000,IF(INDEX('計算A'!$D$60:$EQ$104,$B40,61)*FJ40=1,IF(AND($E40=2,KY40=0),1000000,IF($I40&gt;0,IF(3=$J40,IF(OR(AND(61=$I40+1,OR($K40&lt;&gt;'計算A'!$A$3,'計算A'!$A$4=0)),AND(61=$I40-1,OR(13&lt;&gt;'計算A'!$A$3,'計算A'!$A$4=0))),0,IF(13=$K40,200000,ABS(13-$K40)*100)),100000+ABS(3-$J40)*1000+130)+'計算A'!BL$5*50+IF(AND($E40=1,KY40=0),25,0),INDEX('計算A'!BL$110:BL$114,$F40+1)+IF(AND($E40=1,KY40=0),1000,0)+IF($H40=1,(IF('計算A'!BK$117=1,INDEX('計算A'!BK$10:BK$54,$B40),0)+IF('計算A'!BL$117=1,INDEX('計算A'!BM$10:BM$54,$B40),0))*500,0)-IF(AND('計算A'!BK$117=1,WI40&gt;0),300,0)-IF(AND($L40=1,'計算A'!BL$117=1,FK40=0),300,0))),1000000))</f>
        <v/>
      </c>
      <c r="QO40">
        <f>IF($B40=0,1000000,IF(INDEX('計算A'!$D$60:$EQ$104,$B40,62)*FK40=1,IF(AND($E40=2,KZ40=0),1000000,IF($I40&gt;0,IF(3=$J40,IF(OR(AND(62=$I40+1,OR($K40&lt;&gt;'計算A'!$A$3,'計算A'!$A$4=0)),AND(62=$I40-1,OR(14&lt;&gt;'計算A'!$A$3,'計算A'!$A$4=0))),0,IF(14=$K40,200000,ABS(14-$K40)*100)),100000+ABS(3-$J40)*1000+140)+'計算A'!BM$5*50+IF(AND($E40=1,KZ40=0),25,0),INDEX('計算A'!BM$110:BM$114,$F40+1)+IF(AND($E40=1,KZ40=0),1000,0)+IF($H40=1,(IF('計算A'!BL$117=1,INDEX('計算A'!BL$10:BL$54,$B40),0)+IF('計算A'!BM$117=1,INDEX('計算A'!BN$10:BN$54,$B40),0))*500,0)-IF(AND('計算A'!BL$117=1,WJ40&gt;0),300,0)-IF(AND($L40=1,'計算A'!BM$117=1,FL40=0),300,0))),1000000))</f>
        <v/>
      </c>
      <c r="QP40">
        <f>IF($B40=0,1000000,IF(INDEX('計算A'!$D$60:$EQ$104,$B40,63)*FL40=1,IF(AND($E40=2,LA40=0),1000000,IF($I40&gt;0,IF(3=$J40,IF(OR(AND(63=$I40+1,OR($K40&lt;&gt;'計算A'!$A$3,'計算A'!$A$4=0)),AND(63=$I40-1,OR(15&lt;&gt;'計算A'!$A$3,'計算A'!$A$4=0))),0,IF(15=$K40,200000,ABS(15-$K40)*100)),100000+ABS(3-$J40)*1000+150)+'計算A'!BN$5*50+IF(AND($E40=1,LA40=0),25,0),INDEX('計算A'!BN$110:BN$114,$F40+1)+IF(AND($E40=1,LA40=0),1000,0)+IF($H40=1,(IF('計算A'!BM$117=1,INDEX('計算A'!BM$10:BM$54,$B40),0)+IF('計算A'!BN$117=1,INDEX('計算A'!BO$10:BO$54,$B40),0))*500,0)-IF(AND('計算A'!BM$117=1,WK40&gt;0),300,0)-IF(AND($L40=1,'計算A'!BN$117=1,FM40=0),300,0))),1000000))</f>
        <v/>
      </c>
      <c r="QQ40">
        <f>IF($B40=0,1000000,IF(INDEX('計算A'!$D$60:$EQ$104,$B40,64)*FM40=1,IF(AND($E40=2,LB40=0),1000000,IF($I40&gt;0,IF(3=$J40,IF(OR(AND(64=$I40+1,OR($K40&lt;&gt;'計算A'!$A$3,'計算A'!$A$4=0)),AND(64=$I40-1,OR(16&lt;&gt;'計算A'!$A$3,'計算A'!$A$4=0))),0,IF(16=$K40,200000,ABS(16-$K40)*100)),100000+ABS(3-$J40)*1000+160)+'計算A'!BO$5*50+IF(AND($E40=1,LB40=0),25,0),INDEX('計算A'!BO$110:BO$114,$F40+1)+IF(AND($E40=1,LB40=0),1000,0)+IF($H40=1,(IF('計算A'!BN$117=1,INDEX('計算A'!BN$10:BN$54,$B40),0)+IF('計算A'!BO$117=1,INDEX('計算A'!BP$10:BP$54,$B40),0))*500,0)-IF(AND('計算A'!BN$117=1,WL40&gt;0),300,0)-IF(AND($L40=1,'計算A'!BO$117=1,FN40=0),300,0))),1000000))</f>
        <v/>
      </c>
      <c r="QR40">
        <f>IF($B40=0,1000000,IF(INDEX('計算A'!$D$60:$EQ$104,$B40,65)*FN40=1,IF(AND($E40=2,LC40=0),1000000,IF($I40&gt;0,IF(3=$J40,IF(OR(AND(65=$I40+1,OR($K40&lt;&gt;'計算A'!$A$3,'計算A'!$A$4=0)),AND(65=$I40-1,OR(17&lt;&gt;'計算A'!$A$3,'計算A'!$A$4=0))),0,IF(17=$K40,200000,ABS(17-$K40)*100)),100000+ABS(3-$J40)*1000+170)+'計算A'!BP$5*50+IF(AND($E40=1,LC40=0),25,0),INDEX('計算A'!BP$110:BP$114,$F40+1)+IF(AND($E40=1,LC40=0),1000,0)+IF($H40=1,(IF('計算A'!BO$117=1,INDEX('計算A'!BO$10:BO$54,$B40),0)+IF('計算A'!BP$117=1,INDEX('計算A'!BQ$10:BQ$54,$B40),0))*500,0)-IF(AND('計算A'!BO$117=1,WM40&gt;0),300,0)-IF(AND($L40=1,'計算A'!BP$117=1,FO40=0),300,0))),1000000))</f>
        <v/>
      </c>
      <c r="QS40">
        <f>IF($B40=0,1000000,IF(INDEX('計算A'!$D$60:$EQ$104,$B40,66)*FO40=1,IF(AND($E40=2,LD40=0),1000000,IF($I40&gt;0,IF(3=$J40,IF(OR(AND(66=$I40+1,OR($K40&lt;&gt;'計算A'!$A$3,'計算A'!$A$4=0)),AND(66=$I40-1,OR(18&lt;&gt;'計算A'!$A$3,'計算A'!$A$4=0))),0,IF(18=$K40,200000,ABS(18-$K40)*100)),100000+ABS(3-$J40)*1000+180)+'計算A'!BQ$5*50+IF(AND($E40=1,LD40=0),25,0),INDEX('計算A'!BQ$110:BQ$114,$F40+1)+IF(AND($E40=1,LD40=0),1000,0)+IF($H40=1,(IF('計算A'!BP$117=1,INDEX('計算A'!BP$10:BP$54,$B40),0)+IF('計算A'!BQ$117=1,INDEX('計算A'!BR$10:BR$54,$B40),0))*500,0)-IF(AND('計算A'!BP$117=1,WN40&gt;0),300,0)-IF(AND($L40=1,'計算A'!BQ$117=1,FP40=0),300,0))),1000000))</f>
        <v/>
      </c>
      <c r="QT40">
        <f>IF($B40=0,1000000,IF(INDEX('計算A'!$D$60:$EQ$104,$B40,67)*FP40=1,IF(AND($E40=2,LE40=0),1000000,IF($I40&gt;0,IF(3=$J40,IF(OR(AND(67=$I40+1,OR($K40&lt;&gt;'計算A'!$A$3,'計算A'!$A$4=0)),AND(67=$I40-1,OR(19&lt;&gt;'計算A'!$A$3,'計算A'!$A$4=0))),0,IF(19=$K40,200000,ABS(19-$K40)*100)),100000+ABS(3-$J40)*1000+190)+'計算A'!BR$5*50+IF(AND($E40=1,LE40=0),25,0),INDEX('計算A'!BR$110:BR$114,$F40+1)+IF(AND($E40=1,LE40=0),1000,0)+IF($H40=1,(IF('計算A'!BQ$117=1,INDEX('計算A'!BQ$10:BQ$54,$B40),0)+IF('計算A'!BR$117=1,INDEX('計算A'!BS$10:BS$54,$B40),0))*500,0)-IF(AND('計算A'!BQ$117=1,WO40&gt;0),300,0)-IF(AND($L40=1,'計算A'!BR$117=1,FQ40=0),300,0))),1000000))</f>
        <v/>
      </c>
      <c r="QU40">
        <f>IF($B40=0,1000000,IF(INDEX('計算A'!$D$60:$EQ$104,$B40,68)*FQ40=1,IF(AND($E40=2,LF40=0),1000000,IF($I40&gt;0,IF(3=$J40,IF(OR(AND(68=$I40+1,OR($K40&lt;&gt;'計算A'!$A$3,'計算A'!$A$4=0)),AND(68=$I40-1,OR(20&lt;&gt;'計算A'!$A$3,'計算A'!$A$4=0))),0,IF(20=$K40,200000,ABS(20-$K40)*100)),100000+ABS(3-$J40)*1000+200)+'計算A'!BS$5*50+IF(AND($E40=1,LF40=0),25,0),INDEX('計算A'!BS$110:BS$114,$F40+1)+IF(AND($E40=1,LF40=0),1000,0)+IF($H40=1,(IF('計算A'!BR$117=1,INDEX('計算A'!BR$10:BR$54,$B40),0)+IF('計算A'!BS$117=1,INDEX('計算A'!BT$10:BT$54,$B40),0))*500,0)-IF(AND('計算A'!BR$117=1,WP40&gt;0),300,0)-IF(AND($L40=1,'計算A'!BS$117=1,FR40=0),300,0))),1000000))</f>
        <v/>
      </c>
      <c r="QV40">
        <f>IF($B40=0,1000000,IF(INDEX('計算A'!$D$60:$EQ$104,$B40,69)*FR40=1,IF(AND($E40=2,LG40=0),1000000,IF($I40&gt;0,IF(3=$J40,IF(OR(AND(69=$I40+1,OR($K40&lt;&gt;'計算A'!$A$3,'計算A'!$A$4=0)),AND(69=$I40-1,OR(21&lt;&gt;'計算A'!$A$3,'計算A'!$A$4=0))),0,IF(21=$K40,200000,ABS(21-$K40)*100)),100000+ABS(3-$J40)*1000+210)+'計算A'!BT$5*50+IF(AND($E40=1,LG40=0),25,0),INDEX('計算A'!BT$110:BT$114,$F40+1)+IF(AND($E40=1,LG40=0),1000,0)+IF($H40=1,(IF('計算A'!BS$117=1,INDEX('計算A'!BS$10:BS$54,$B40),0)+IF('計算A'!BT$117=1,INDEX('計算A'!BU$10:BU$54,$B40),0))*500,0)-IF(AND('計算A'!BS$117=1,WQ40&gt;0),300,0)-IF(AND($L40=1,'計算A'!BT$117=1,FS40=0),300,0))),1000000))</f>
        <v/>
      </c>
      <c r="QW40">
        <f>IF($B40=0,1000000,IF(INDEX('計算A'!$D$60:$EQ$104,$B40,70)*FS40=1,IF(AND($E40=2,LH40=0),1000000,IF($I40&gt;0,IF(3=$J40,IF(OR(AND(70=$I40+1,OR($K40&lt;&gt;'計算A'!$A$3,'計算A'!$A$4=0)),AND(70=$I40-1,OR(22&lt;&gt;'計算A'!$A$3,'計算A'!$A$4=0))),0,IF(22=$K40,200000,ABS(22-$K40)*100)),100000+ABS(3-$J40)*1000+220)+'計算A'!BU$5*50+IF(AND($E40=1,LH40=0),25,0),INDEX('計算A'!BU$110:BU$114,$F40+1)+IF(AND($E40=1,LH40=0),1000,0)+IF($H40=1,(IF('計算A'!BT$117=1,INDEX('計算A'!BT$10:BT$54,$B40),0)+IF('計算A'!BU$117=1,INDEX('計算A'!BV$10:BV$54,$B40),0))*500,0)-IF(AND('計算A'!BT$117=1,WR40&gt;0),300,0)-IF(AND($L40=1,'計算A'!BU$117=1,FT40=0),300,0))),1000000))</f>
        <v/>
      </c>
      <c r="QX40">
        <f>IF($B40=0,1000000,IF(INDEX('計算A'!$D$60:$EQ$104,$B40,71)*FT40=1,IF(AND($E40=2,LI40=0),1000000,IF($I40&gt;0,IF(3=$J40,IF(OR(AND(71=$I40+1,OR($K40&lt;&gt;'計算A'!$A$3,'計算A'!$A$4=0)),AND(71=$I40-1,OR(23&lt;&gt;'計算A'!$A$3,'計算A'!$A$4=0))),0,IF(23=$K40,200000,ABS(23-$K40)*100)),100000+ABS(3-$J40)*1000+230)+'計算A'!BV$5*50+IF(AND($E40=1,LI40=0),25,0),INDEX('計算A'!BV$110:BV$114,$F40+1)+IF(AND($E40=1,LI40=0),1000,0)+IF($H40=1,(IF('計算A'!BU$117=1,INDEX('計算A'!BU$10:BU$54,$B40),0)+IF('計算A'!BV$117=1,INDEX('計算A'!BW$10:BW$54,$B40),0))*500,0)-IF(AND('計算A'!BU$117=1,WS40&gt;0),300,0)-IF(AND($L40=1,'計算A'!BV$117=1,FU40=0),300,0))),1000000))</f>
        <v/>
      </c>
      <c r="QY40">
        <f>IF($B40=0,1000000,IF(INDEX('計算A'!$D$60:$EQ$104,$B40,72)*FU40=1,IF(AND($E40=2,LJ40=0),1000000,IF($I40&gt;0,IF(3=$J40,IF(OR(AND(72=$I40+1,OR($K40&lt;&gt;'計算A'!$A$3,'計算A'!$A$4=0)),AND(72=$I40-1,OR(24&lt;&gt;'計算A'!$A$3,'計算A'!$A$4=0))),0,IF(24=$K40,200000,ABS(24-$K40)*100)),100000+ABS(3-$J40)*1000+240)+'計算A'!BW$5*50+IF(AND($E40=1,LJ40=0),25,0),INDEX('計算A'!BW$110:BW$114,$F40+1)+IF(AND($E40=1,LJ40=0),1000,0)+IF($H40=1,(IF('計算A'!BV$117=1,INDEX('計算A'!BV$10:BV$54,$B40),0))*500,0)-IF(AND('計算A'!BV$117=1,WT40&gt;0),300,0))),1000000))</f>
        <v/>
      </c>
      <c r="QZ40">
        <f>IF($B40=0,1000000,IF(INDEX('計算A'!$D$60:$EQ$104,$B40,73)*FV40=1,IF(AND($E40=2,LK40=0),1000000,IF($I40&gt;0,IF(4=$J40,IF(OR(AND(73=$I40+1,OR($K40&lt;&gt;'計算A'!$A$3,'計算A'!$A$4=0)),AND(73=$I40-1,OR(1&lt;&gt;'計算A'!$A$3,'計算A'!$A$4=0))),0,IF(1=$K40,200000,ABS(1-$K40)*100)),100000+ABS(4-$J40)*1000+10)+'計算A'!BX$5*50+IF(AND($E40=1,LK40=0),25,0),INDEX('計算A'!BX$110:BX$114,$F40+1)+IF(AND($E40=1,LK40=0),1000,0)+IF($H40=1,(IF('計算A'!BX$117=1,INDEX('計算A'!BY$10:BY$54,$B40),0))*500,0)-IF(AND($L40=1,'計算A'!BX$117=1,FW40=0),300,0))),1000000))</f>
        <v/>
      </c>
      <c r="RA40">
        <f>IF($B40=0,1000000,IF(INDEX('計算A'!$D$60:$EQ$104,$B40,74)*FW40=1,IF(AND($E40=2,LL40=0),1000000,IF($I40&gt;0,IF(4=$J40,IF(OR(AND(74=$I40+1,OR($K40&lt;&gt;'計算A'!$A$3,'計算A'!$A$4=0)),AND(74=$I40-1,OR(2&lt;&gt;'計算A'!$A$3,'計算A'!$A$4=0))),0,IF(2=$K40,200000,ABS(2-$K40)*100)),100000+ABS(4-$J40)*1000+20)+'計算A'!BY$5*50+IF(AND($E40=1,LL40=0),25,0),INDEX('計算A'!BY$110:BY$114,$F40+1)+IF(AND($E40=1,LL40=0),1000,0)+IF($H40=1,(IF('計算A'!BX$117=1,INDEX('計算A'!BX$10:BX$54,$B40),0)+IF('計算A'!BY$117=1,INDEX('計算A'!BZ$10:BZ$54,$B40),0))*500,0)-IF(AND('計算A'!BX$117=1,WV40&gt;0),300,0)-IF(AND($L40=1,'計算A'!BY$117=1,FX40=0),300,0))),1000000))</f>
        <v/>
      </c>
      <c r="RB40">
        <f>IF($B40=0,1000000,IF(INDEX('計算A'!$D$60:$EQ$104,$B40,75)*FX40=1,IF(AND($E40=2,LM40=0),1000000,IF($I40&gt;0,IF(4=$J40,IF(OR(AND(75=$I40+1,OR($K40&lt;&gt;'計算A'!$A$3,'計算A'!$A$4=0)),AND(75=$I40-1,OR(3&lt;&gt;'計算A'!$A$3,'計算A'!$A$4=0))),0,IF(3=$K40,200000,ABS(3-$K40)*100)),100000+ABS(4-$J40)*1000+30)+'計算A'!BZ$5*50+IF(AND($E40=1,LM40=0),25,0),INDEX('計算A'!BZ$110:BZ$114,$F40+1)+IF(AND($E40=1,LM40=0),1000,0)+IF($H40=1,(IF('計算A'!BY$117=1,INDEX('計算A'!BY$10:BY$54,$B40),0)+IF('計算A'!BZ$117=1,INDEX('計算A'!CA$10:CA$54,$B40),0))*500,0)-IF(AND('計算A'!BY$117=1,WW40&gt;0),300,0)-IF(AND($L40=1,'計算A'!BZ$117=1,FY40=0),300,0))),1000000))</f>
        <v/>
      </c>
      <c r="RC40">
        <f>IF($B40=0,1000000,IF(INDEX('計算A'!$D$60:$EQ$104,$B40,76)*FY40=1,IF(AND($E40=2,LN40=0),1000000,IF($I40&gt;0,IF(4=$J40,IF(OR(AND(76=$I40+1,OR($K40&lt;&gt;'計算A'!$A$3,'計算A'!$A$4=0)),AND(76=$I40-1,OR(4&lt;&gt;'計算A'!$A$3,'計算A'!$A$4=0))),0,IF(4=$K40,200000,ABS(4-$K40)*100)),100000+ABS(4-$J40)*1000+40)+'計算A'!CA$5*50+IF(AND($E40=1,LN40=0),25,0),INDEX('計算A'!CA$110:CA$114,$F40+1)+IF(AND($E40=1,LN40=0),1000,0)+IF($H40=1,(IF('計算A'!BZ$117=1,INDEX('計算A'!BZ$10:BZ$54,$B40),0)+IF('計算A'!CA$117=1,INDEX('計算A'!CB$10:CB$54,$B40),0))*500,0)-IF(AND('計算A'!BZ$117=1,WX40&gt;0),300,0)-IF(AND($L40=1,'計算A'!CA$117=1,FZ40=0),300,0))),1000000))</f>
        <v/>
      </c>
      <c r="RD40">
        <f>IF($B40=0,1000000,IF(INDEX('計算A'!$D$60:$EQ$104,$B40,77)*FZ40=1,IF(AND($E40=2,LO40=0),1000000,IF($I40&gt;0,IF(4=$J40,IF(OR(AND(77=$I40+1,OR($K40&lt;&gt;'計算A'!$A$3,'計算A'!$A$4=0)),AND(77=$I40-1,OR(5&lt;&gt;'計算A'!$A$3,'計算A'!$A$4=0))),0,IF(5=$K40,200000,ABS(5-$K40)*100)),100000+ABS(4-$J40)*1000+50)+'計算A'!CB$5*50+IF(AND($E40=1,LO40=0),25,0),INDEX('計算A'!CB$110:CB$114,$F40+1)+IF(AND($E40=1,LO40=0),1000,0)+IF($H40=1,(IF('計算A'!CA$117=1,INDEX('計算A'!CA$10:CA$54,$B40),0)+IF('計算A'!CB$117=1,INDEX('計算A'!CC$10:CC$54,$B40),0))*500,0)-IF(AND('計算A'!CA$117=1,WY40&gt;0),300,0)-IF(AND($L40=1,'計算A'!CB$117=1,GA40=0),300,0))),1000000))</f>
        <v/>
      </c>
      <c r="RE40">
        <f>IF($B40=0,1000000,IF(INDEX('計算A'!$D$60:$EQ$104,$B40,78)*GA40=1,IF(AND($E40=2,LP40=0),1000000,IF($I40&gt;0,IF(4=$J40,IF(OR(AND(78=$I40+1,OR($K40&lt;&gt;'計算A'!$A$3,'計算A'!$A$4=0)),AND(78=$I40-1,OR(6&lt;&gt;'計算A'!$A$3,'計算A'!$A$4=0))),0,IF(6=$K40,200000,ABS(6-$K40)*100)),100000+ABS(4-$J40)*1000+60)+'計算A'!CC$5*50+IF(AND($E40=1,LP40=0),25,0),INDEX('計算A'!CC$110:CC$114,$F40+1)+IF(AND($E40=1,LP40=0),1000,0)+IF($H40=1,(IF('計算A'!CB$117=1,INDEX('計算A'!CB$10:CB$54,$B40),0)+IF('計算A'!CC$117=1,INDEX('計算A'!CD$10:CD$54,$B40),0))*500,0)-IF(AND('計算A'!CB$117=1,WZ40&gt;0),300,0)-IF(AND($L40=1,'計算A'!CC$117=1,GB40=0),300,0))),1000000))</f>
        <v/>
      </c>
      <c r="RF40">
        <f>IF($B40=0,1000000,IF(INDEX('計算A'!$D$60:$EQ$104,$B40,79)*GB40=1,IF(AND($E40=2,LQ40=0),1000000,IF($I40&gt;0,IF(4=$J40,IF(OR(AND(79=$I40+1,OR($K40&lt;&gt;'計算A'!$A$3,'計算A'!$A$4=0)),AND(79=$I40-1,OR(7&lt;&gt;'計算A'!$A$3,'計算A'!$A$4=0))),0,IF(7=$K40,200000,ABS(7-$K40)*100)),100000+ABS(4-$J40)*1000+70)+'計算A'!CD$5*50+IF(AND($E40=1,LQ40=0),25,0),INDEX('計算A'!CD$110:CD$114,$F40+1)+IF(AND($E40=1,LQ40=0),1000,0)+IF($H40=1,(IF('計算A'!CC$117=1,INDEX('計算A'!CC$10:CC$54,$B40),0)+IF('計算A'!CD$117=1,INDEX('計算A'!CE$10:CE$54,$B40),0))*500,0)-IF(AND('計算A'!CC$117=1,XA40&gt;0),300,0)-IF(AND($L40=1,'計算A'!CD$117=1,GC40=0),300,0))),1000000))</f>
        <v/>
      </c>
      <c r="RG40">
        <f>IF($B40=0,1000000,IF(INDEX('計算A'!$D$60:$EQ$104,$B40,80)*GC40=1,IF(AND($E40=2,LR40=0),1000000,IF($I40&gt;0,IF(4=$J40,IF(OR(AND(80=$I40+1,OR($K40&lt;&gt;'計算A'!$A$3,'計算A'!$A$4=0)),AND(80=$I40-1,OR(8&lt;&gt;'計算A'!$A$3,'計算A'!$A$4=0))),0,IF(8=$K40,200000,ABS(8-$K40)*100)),100000+ABS(4-$J40)*1000+80)+'計算A'!CE$5*50+IF(AND($E40=1,LR40=0),25,0),INDEX('計算A'!CE$110:CE$114,$F40+1)+IF(AND($E40=1,LR40=0),1000,0)+IF($H40=1,(IF('計算A'!CD$117=1,INDEX('計算A'!CD$10:CD$54,$B40),0)+IF('計算A'!CE$117=1,INDEX('計算A'!CF$10:CF$54,$B40),0))*500,0)-IF(AND('計算A'!CD$117=1,XB40&gt;0),300,0)-IF(AND($L40=1,'計算A'!CE$117=1,GD40=0),300,0))),1000000))</f>
        <v/>
      </c>
      <c r="RH40">
        <f>IF($B40=0,1000000,IF(INDEX('計算A'!$D$60:$EQ$104,$B40,81)*GD40=1,IF(AND($E40=2,LS40=0),1000000,IF($I40&gt;0,IF(4=$J40,IF(OR(AND(81=$I40+1,OR($K40&lt;&gt;'計算A'!$A$3,'計算A'!$A$4=0)),AND(81=$I40-1,OR(9&lt;&gt;'計算A'!$A$3,'計算A'!$A$4=0))),0,IF(9=$K40,200000,ABS(9-$K40)*100)),100000+ABS(4-$J40)*1000+90)+'計算A'!CF$5*50+IF(AND($E40=1,LS40=0),25,0),INDEX('計算A'!CF$110:CF$114,$F40+1)+IF(AND($E40=1,LS40=0),1000,0)+IF($H40=1,(IF('計算A'!CE$117=1,INDEX('計算A'!CE$10:CE$54,$B40),0)+IF('計算A'!CF$117=1,INDEX('計算A'!CG$10:CG$54,$B40),0))*500,0)-IF(AND('計算A'!CE$117=1,XC40&gt;0),300,0)-IF(AND($L40=1,'計算A'!CF$117=1,GE40=0),300,0))),1000000))</f>
        <v/>
      </c>
      <c r="RI40">
        <f>IF($B40=0,1000000,IF(INDEX('計算A'!$D$60:$EQ$104,$B40,82)*GE40=1,IF(AND($E40=2,LT40=0),1000000,IF($I40&gt;0,IF(4=$J40,IF(OR(AND(82=$I40+1,OR($K40&lt;&gt;'計算A'!$A$3,'計算A'!$A$4=0)),AND(82=$I40-1,OR(10&lt;&gt;'計算A'!$A$3,'計算A'!$A$4=0))),0,IF(10=$K40,200000,ABS(10-$K40)*100)),100000+ABS(4-$J40)*1000+100)+'計算A'!CG$5*50+IF(AND($E40=1,LT40=0),25,0),INDEX('計算A'!CG$110:CG$114,$F40+1)+IF(AND($E40=1,LT40=0),1000,0)+IF($H40=1,(IF('計算A'!CF$117=1,INDEX('計算A'!CF$10:CF$54,$B40),0)+IF('計算A'!CG$117=1,INDEX('計算A'!CH$10:CH$54,$B40),0))*500,0)-IF(AND('計算A'!CF$117=1,XD40&gt;0),300,0)-IF(AND($L40=1,'計算A'!CG$117=1,GF40=0),300,0))),1000000))</f>
        <v/>
      </c>
      <c r="RJ40">
        <f>IF($B40=0,1000000,IF(INDEX('計算A'!$D$60:$EQ$104,$B40,83)*GF40=1,IF(AND($E40=2,LU40=0),1000000,IF($I40&gt;0,IF(4=$J40,IF(OR(AND(83=$I40+1,OR($K40&lt;&gt;'計算A'!$A$3,'計算A'!$A$4=0)),AND(83=$I40-1,OR(11&lt;&gt;'計算A'!$A$3,'計算A'!$A$4=0))),0,IF(11=$K40,200000,ABS(11-$K40)*100)),100000+ABS(4-$J40)*1000+110)+'計算A'!CH$5*50+IF(AND($E40=1,LU40=0),25,0),INDEX('計算A'!CH$110:CH$114,$F40+1)+IF(AND($E40=1,LU40=0),1000,0)+IF($H40=1,(IF('計算A'!CG$117=1,INDEX('計算A'!CG$10:CG$54,$B40),0)+IF('計算A'!CH$117=1,INDEX('計算A'!CI$10:CI$54,$B40),0))*500,0)-IF(AND('計算A'!CG$117=1,XE40&gt;0),300,0)-IF(AND($L40=1,'計算A'!CH$117=1,GG40=0),300,0))),1000000))</f>
        <v/>
      </c>
      <c r="RK40">
        <f>IF($B40=0,1000000,IF(INDEX('計算A'!$D$60:$EQ$104,$B40,84)*GG40=1,IF(AND($E40=2,LV40=0),1000000,IF($I40&gt;0,IF(4=$J40,IF(OR(AND(84=$I40+1,OR($K40&lt;&gt;'計算A'!$A$3,'計算A'!$A$4=0)),AND(84=$I40-1,OR(12&lt;&gt;'計算A'!$A$3,'計算A'!$A$4=0))),0,IF(12=$K40,200000,ABS(12-$K40)*100)),100000+ABS(4-$J40)*1000+120)+'計算A'!CI$5*50+IF(AND($E40=1,LV40=0),25,0),INDEX('計算A'!CI$110:CI$114,$F40+1)+IF(AND($E40=1,LV40=0),1000,0)+IF($H40=1,(IF('計算A'!CH$117=1,INDEX('計算A'!CH$10:CH$54,$B40),0)+IF('計算A'!CI$117=1,INDEX('計算A'!CJ$10:CJ$54,$B40),0))*500,0)-IF(AND('計算A'!CH$117=1,XF40&gt;0),300,0)-IF(AND($L40=1,'計算A'!CI$117=1,GH40=0),300,0))),1000000))</f>
        <v/>
      </c>
      <c r="RL40">
        <f>IF($B40=0,1000000,IF(INDEX('計算A'!$D$60:$EQ$104,$B40,85)*GH40=1,IF(AND($E40=2,LW40=0),1000000,IF($I40&gt;0,IF(4=$J40,IF(OR(AND(85=$I40+1,OR($K40&lt;&gt;'計算A'!$A$3,'計算A'!$A$4=0)),AND(85=$I40-1,OR(13&lt;&gt;'計算A'!$A$3,'計算A'!$A$4=0))),0,IF(13=$K40,200000,ABS(13-$K40)*100)),100000+ABS(4-$J40)*1000+130)+'計算A'!CJ$5*50+IF(AND($E40=1,LW40=0),25,0),INDEX('計算A'!CJ$110:CJ$114,$F40+1)+IF(AND($E40=1,LW40=0),1000,0)+IF($H40=1,(IF('計算A'!CI$117=1,INDEX('計算A'!CI$10:CI$54,$B40),0)+IF('計算A'!CJ$117=1,INDEX('計算A'!CK$10:CK$54,$B40),0))*500,0)-IF(AND('計算A'!CI$117=1,XG40&gt;0),300,0)-IF(AND($L40=1,'計算A'!CJ$117=1,GI40=0),300,0))),1000000))</f>
        <v/>
      </c>
      <c r="RM40">
        <f>IF($B40=0,1000000,IF(INDEX('計算A'!$D$60:$EQ$104,$B40,86)*GI40=1,IF(AND($E40=2,LX40=0),1000000,IF($I40&gt;0,IF(4=$J40,IF(OR(AND(86=$I40+1,OR($K40&lt;&gt;'計算A'!$A$3,'計算A'!$A$4=0)),AND(86=$I40-1,OR(14&lt;&gt;'計算A'!$A$3,'計算A'!$A$4=0))),0,IF(14=$K40,200000,ABS(14-$K40)*100)),100000+ABS(4-$J40)*1000+140)+'計算A'!CK$5*50+IF(AND($E40=1,LX40=0),25,0),INDEX('計算A'!CK$110:CK$114,$F40+1)+IF(AND($E40=1,LX40=0),1000,0)+IF($H40=1,(IF('計算A'!CJ$117=1,INDEX('計算A'!CJ$10:CJ$54,$B40),0)+IF('計算A'!CK$117=1,INDEX('計算A'!CL$10:CL$54,$B40),0))*500,0)-IF(AND('計算A'!CJ$117=1,XH40&gt;0),300,0)-IF(AND($L40=1,'計算A'!CK$117=1,GJ40=0),300,0))),1000000))</f>
        <v/>
      </c>
      <c r="RN40">
        <f>IF($B40=0,1000000,IF(INDEX('計算A'!$D$60:$EQ$104,$B40,87)*GJ40=1,IF(AND($E40=2,LY40=0),1000000,IF($I40&gt;0,IF(4=$J40,IF(OR(AND(87=$I40+1,OR($K40&lt;&gt;'計算A'!$A$3,'計算A'!$A$4=0)),AND(87=$I40-1,OR(15&lt;&gt;'計算A'!$A$3,'計算A'!$A$4=0))),0,IF(15=$K40,200000,ABS(15-$K40)*100)),100000+ABS(4-$J40)*1000+150)+'計算A'!CL$5*50+IF(AND($E40=1,LY40=0),25,0),INDEX('計算A'!CL$110:CL$114,$F40+1)+IF(AND($E40=1,LY40=0),1000,0)+IF($H40=1,(IF('計算A'!CK$117=1,INDEX('計算A'!CK$10:CK$54,$B40),0)+IF('計算A'!CL$117=1,INDEX('計算A'!CM$10:CM$54,$B40),0))*500,0)-IF(AND('計算A'!CK$117=1,XI40&gt;0),300,0)-IF(AND($L40=1,'計算A'!CL$117=1,GK40=0),300,0))),1000000))</f>
        <v/>
      </c>
      <c r="RO40">
        <f>IF($B40=0,1000000,IF(INDEX('計算A'!$D$60:$EQ$104,$B40,88)*GK40=1,IF(AND($E40=2,LZ40=0),1000000,IF($I40&gt;0,IF(4=$J40,IF(OR(AND(88=$I40+1,OR($K40&lt;&gt;'計算A'!$A$3,'計算A'!$A$4=0)),AND(88=$I40-1,OR(16&lt;&gt;'計算A'!$A$3,'計算A'!$A$4=0))),0,IF(16=$K40,200000,ABS(16-$K40)*100)),100000+ABS(4-$J40)*1000+160)+'計算A'!CM$5*50+IF(AND($E40=1,LZ40=0),25,0),INDEX('計算A'!CM$110:CM$114,$F40+1)+IF(AND($E40=1,LZ40=0),1000,0)+IF($H40=1,(IF('計算A'!CL$117=1,INDEX('計算A'!CL$10:CL$54,$B40),0)+IF('計算A'!CM$117=1,INDEX('計算A'!CN$10:CN$54,$B40),0))*500,0)-IF(AND('計算A'!CL$117=1,XJ40&gt;0),300,0)-IF(AND($L40=1,'計算A'!CM$117=1,GL40=0),300,0))),1000000))</f>
        <v/>
      </c>
      <c r="RP40">
        <f>IF($B40=0,1000000,IF(INDEX('計算A'!$D$60:$EQ$104,$B40,89)*GL40=1,IF(AND($E40=2,MA40=0),1000000,IF($I40&gt;0,IF(4=$J40,IF(OR(AND(89=$I40+1,OR($K40&lt;&gt;'計算A'!$A$3,'計算A'!$A$4=0)),AND(89=$I40-1,OR(17&lt;&gt;'計算A'!$A$3,'計算A'!$A$4=0))),0,IF(17=$K40,200000,ABS(17-$K40)*100)),100000+ABS(4-$J40)*1000+170)+'計算A'!CN$5*50+IF(AND($E40=1,MA40=0),25,0),INDEX('計算A'!CN$110:CN$114,$F40+1)+IF(AND($E40=1,MA40=0),1000,0)+IF($H40=1,(IF('計算A'!CM$117=1,INDEX('計算A'!CM$10:CM$54,$B40),0)+IF('計算A'!CN$117=1,INDEX('計算A'!CO$10:CO$54,$B40),0))*500,0)-IF(AND('計算A'!CM$117=1,XK40&gt;0),300,0)-IF(AND($L40=1,'計算A'!CN$117=1,GM40=0),300,0))),1000000))</f>
        <v/>
      </c>
      <c r="RQ40">
        <f>IF($B40=0,1000000,IF(INDEX('計算A'!$D$60:$EQ$104,$B40,90)*GM40=1,IF(AND($E40=2,MB40=0),1000000,IF($I40&gt;0,IF(4=$J40,IF(OR(AND(90=$I40+1,OR($K40&lt;&gt;'計算A'!$A$3,'計算A'!$A$4=0)),AND(90=$I40-1,OR(18&lt;&gt;'計算A'!$A$3,'計算A'!$A$4=0))),0,IF(18=$K40,200000,ABS(18-$K40)*100)),100000+ABS(4-$J40)*1000+180)+'計算A'!CO$5*50+IF(AND($E40=1,MB40=0),25,0),INDEX('計算A'!CO$110:CO$114,$F40+1)+IF(AND($E40=1,MB40=0),1000,0)+IF($H40=1,(IF('計算A'!CN$117=1,INDEX('計算A'!CN$10:CN$54,$B40),0)+IF('計算A'!CO$117=1,INDEX('計算A'!CP$10:CP$54,$B40),0))*500,0)-IF(AND('計算A'!CN$117=1,XL40&gt;0),300,0)-IF(AND($L40=1,'計算A'!CO$117=1,GN40=0),300,0))),1000000))</f>
        <v/>
      </c>
      <c r="RR40">
        <f>IF($B40=0,1000000,IF(INDEX('計算A'!$D$60:$EQ$104,$B40,91)*GN40=1,IF(AND($E40=2,MC40=0),1000000,IF($I40&gt;0,IF(4=$J40,IF(OR(AND(91=$I40+1,OR($K40&lt;&gt;'計算A'!$A$3,'計算A'!$A$4=0)),AND(91=$I40-1,OR(19&lt;&gt;'計算A'!$A$3,'計算A'!$A$4=0))),0,IF(19=$K40,200000,ABS(19-$K40)*100)),100000+ABS(4-$J40)*1000+190)+'計算A'!CP$5*50+IF(AND($E40=1,MC40=0),25,0),INDEX('計算A'!CP$110:CP$114,$F40+1)+IF(AND($E40=1,MC40=0),1000,0)+IF($H40=1,(IF('計算A'!CO$117=1,INDEX('計算A'!CO$10:CO$54,$B40),0)+IF('計算A'!CP$117=1,INDEX('計算A'!CQ$10:CQ$54,$B40),0))*500,0)-IF(AND('計算A'!CO$117=1,XM40&gt;0),300,0)-IF(AND($L40=1,'計算A'!CP$117=1,GO40=0),300,0))),1000000))</f>
        <v/>
      </c>
      <c r="RS40">
        <f>IF($B40=0,1000000,IF(INDEX('計算A'!$D$60:$EQ$104,$B40,92)*GO40=1,IF(AND($E40=2,MD40=0),1000000,IF($I40&gt;0,IF(4=$J40,IF(OR(AND(92=$I40+1,OR($K40&lt;&gt;'計算A'!$A$3,'計算A'!$A$4=0)),AND(92=$I40-1,OR(20&lt;&gt;'計算A'!$A$3,'計算A'!$A$4=0))),0,IF(20=$K40,200000,ABS(20-$K40)*100)),100000+ABS(4-$J40)*1000+200)+'計算A'!CQ$5*50+IF(AND($E40=1,MD40=0),25,0),INDEX('計算A'!CQ$110:CQ$114,$F40+1)+IF(AND($E40=1,MD40=0),1000,0)+IF($H40=1,(IF('計算A'!CP$117=1,INDEX('計算A'!CP$10:CP$54,$B40),0)+IF('計算A'!CQ$117=1,INDEX('計算A'!CR$10:CR$54,$B40),0))*500,0)-IF(AND('計算A'!CP$117=1,XN40&gt;0),300,0)-IF(AND($L40=1,'計算A'!CQ$117=1,GP40=0),300,0))),1000000))</f>
        <v/>
      </c>
      <c r="RT40">
        <f>IF($B40=0,1000000,IF(INDEX('計算A'!$D$60:$EQ$104,$B40,93)*GP40=1,IF(AND($E40=2,ME40=0),1000000,IF($I40&gt;0,IF(4=$J40,IF(OR(AND(93=$I40+1,OR($K40&lt;&gt;'計算A'!$A$3,'計算A'!$A$4=0)),AND(93=$I40-1,OR(21&lt;&gt;'計算A'!$A$3,'計算A'!$A$4=0))),0,IF(21=$K40,200000,ABS(21-$K40)*100)),100000+ABS(4-$J40)*1000+210)+'計算A'!CR$5*50+IF(AND($E40=1,ME40=0),25,0),INDEX('計算A'!CR$110:CR$114,$F40+1)+IF(AND($E40=1,ME40=0),1000,0)+IF($H40=1,(IF('計算A'!CQ$117=1,INDEX('計算A'!CQ$10:CQ$54,$B40),0)+IF('計算A'!CR$117=1,INDEX('計算A'!CS$10:CS$54,$B40),0))*500,0)-IF(AND('計算A'!CQ$117=1,XO40&gt;0),300,0)-IF(AND($L40=1,'計算A'!CR$117=1,GQ40=0),300,0))),1000000))</f>
        <v/>
      </c>
      <c r="RU40">
        <f>IF($B40=0,1000000,IF(INDEX('計算A'!$D$60:$EQ$104,$B40,94)*GQ40=1,IF(AND($E40=2,MF40=0),1000000,IF($I40&gt;0,IF(4=$J40,IF(OR(AND(94=$I40+1,OR($K40&lt;&gt;'計算A'!$A$3,'計算A'!$A$4=0)),AND(94=$I40-1,OR(22&lt;&gt;'計算A'!$A$3,'計算A'!$A$4=0))),0,IF(22=$K40,200000,ABS(22-$K40)*100)),100000+ABS(4-$J40)*1000+220)+'計算A'!CS$5*50+IF(AND($E40=1,MF40=0),25,0),INDEX('計算A'!CS$110:CS$114,$F40+1)+IF(AND($E40=1,MF40=0),1000,0)+IF($H40=1,(IF('計算A'!CR$117=1,INDEX('計算A'!CR$10:CR$54,$B40),0)+IF('計算A'!CS$117=1,INDEX('計算A'!CT$10:CT$54,$B40),0))*500,0)-IF(AND('計算A'!CR$117=1,XP40&gt;0),300,0)-IF(AND($L40=1,'計算A'!CS$117=1,GR40=0),300,0))),1000000))</f>
        <v/>
      </c>
      <c r="RV40">
        <f>IF($B40=0,1000000,IF(INDEX('計算A'!$D$60:$EQ$104,$B40,95)*GR40=1,IF(AND($E40=2,MG40=0),1000000,IF($I40&gt;0,IF(4=$J40,IF(OR(AND(95=$I40+1,OR($K40&lt;&gt;'計算A'!$A$3,'計算A'!$A$4=0)),AND(95=$I40-1,OR(23&lt;&gt;'計算A'!$A$3,'計算A'!$A$4=0))),0,IF(23=$K40,200000,ABS(23-$K40)*100)),100000+ABS(4-$J40)*1000+230)+'計算A'!CT$5*50+IF(AND($E40=1,MG40=0),25,0),INDEX('計算A'!CT$110:CT$114,$F40+1)+IF(AND($E40=1,MG40=0),1000,0)+IF($H40=1,(IF('計算A'!CS$117=1,INDEX('計算A'!CS$10:CS$54,$B40),0)+IF('計算A'!CT$117=1,INDEX('計算A'!CU$10:CU$54,$B40),0))*500,0)-IF(AND('計算A'!CS$117=1,XQ40&gt;0),300,0)-IF(AND($L40=1,'計算A'!CT$117=1,GS40=0),300,0))),1000000))</f>
        <v/>
      </c>
      <c r="RW40">
        <f>IF($B40=0,1000000,IF(INDEX('計算A'!$D$60:$EQ$104,$B40,96)*GS40=1,IF(AND($E40=2,MH40=0),1000000,IF($I40&gt;0,IF(4=$J40,IF(OR(AND(96=$I40+1,OR($K40&lt;&gt;'計算A'!$A$3,'計算A'!$A$4=0)),AND(96=$I40-1,OR(24&lt;&gt;'計算A'!$A$3,'計算A'!$A$4=0))),0,IF(24=$K40,200000,ABS(24-$K40)*100)),100000+ABS(4-$J40)*1000+240)+'計算A'!CU$5*50+IF(AND($E40=1,MH40=0),25,0),INDEX('計算A'!CU$110:CU$114,$F40+1)+IF(AND($E40=1,MH40=0),1000,0)+IF($H40=1,(IF('計算A'!CT$117=1,INDEX('計算A'!CT$10:CT$54,$B40),0))*500,0)-IF(AND('計算A'!CT$117=1,XR40&gt;0),300,0))),1000000))</f>
        <v/>
      </c>
      <c r="RX40">
        <f>IF($B40=0,1000000,IF(INDEX('計算A'!$D$60:$EQ$104,$B40,97)*GT40=1,IF(AND($E40=2,MI40=0),1000000,IF($I40&gt;0,IF(5=$J40,IF(OR(AND(97=$I40+1,OR($K40&lt;&gt;'計算A'!$A$3,'計算A'!$A$4=0)),AND(97=$I40-1,OR(1&lt;&gt;'計算A'!$A$3,'計算A'!$A$4=0))),0,IF(1=$K40,200000,ABS(1-$K40)*100)),100000+ABS(5-$J40)*1000+10)+'計算A'!CV$5*50+IF(AND($E40=1,MI40=0),25,0),INDEX('計算A'!CV$110:CV$114,$F40+1)+IF(AND($E40=1,MI40=0),1000,0)+IF($H40=1,(IF('計算A'!CV$117=1,INDEX('計算A'!CW$10:CW$54,$B40),0))*500,0)-IF(AND($L40=1,'計算A'!CV$117=1,GU40=0),300,0))),1000000))</f>
        <v/>
      </c>
      <c r="RY40">
        <f>IF($B40=0,1000000,IF(INDEX('計算A'!$D$60:$EQ$104,$B40,98)*GU40=1,IF(AND($E40=2,MJ40=0),1000000,IF($I40&gt;0,IF(5=$J40,IF(OR(AND(98=$I40+1,OR($K40&lt;&gt;'計算A'!$A$3,'計算A'!$A$4=0)),AND(98=$I40-1,OR(2&lt;&gt;'計算A'!$A$3,'計算A'!$A$4=0))),0,IF(2=$K40,200000,ABS(2-$K40)*100)),100000+ABS(5-$J40)*1000+20)+'計算A'!CW$5*50+IF(AND($E40=1,MJ40=0),25,0),INDEX('計算A'!CW$110:CW$114,$F40+1)+IF(AND($E40=1,MJ40=0),1000,0)+IF($H40=1,(IF('計算A'!CV$117=1,INDEX('計算A'!CV$10:CV$54,$B40),0)+IF('計算A'!CW$117=1,INDEX('計算A'!CX$10:CX$54,$B40),0))*500,0)-IF(AND('計算A'!CV$117=1,XT40&gt;0),300,0)-IF(AND($L40=1,'計算A'!CW$117=1,GV40=0),300,0))),1000000))</f>
        <v/>
      </c>
      <c r="RZ40">
        <f>IF($B40=0,1000000,IF(INDEX('計算A'!$D$60:$EQ$104,$B40,99)*GV40=1,IF(AND($E40=2,MK40=0),1000000,IF($I40&gt;0,IF(5=$J40,IF(OR(AND(99=$I40+1,OR($K40&lt;&gt;'計算A'!$A$3,'計算A'!$A$4=0)),AND(99=$I40-1,OR(3&lt;&gt;'計算A'!$A$3,'計算A'!$A$4=0))),0,IF(3=$K40,200000,ABS(3-$K40)*100)),100000+ABS(5-$J40)*1000+30)+'計算A'!CX$5*50+IF(AND($E40=1,MK40=0),25,0),INDEX('計算A'!CX$110:CX$114,$F40+1)+IF(AND($E40=1,MK40=0),1000,0)+IF($H40=1,(IF('計算A'!CW$117=1,INDEX('計算A'!CW$10:CW$54,$B40),0)+IF('計算A'!CX$117=1,INDEX('計算A'!CY$10:CY$54,$B40),0))*500,0)-IF(AND('計算A'!CW$117=1,XU40&gt;0),300,0)-IF(AND($L40=1,'計算A'!CX$117=1,GW40=0),300,0))),1000000))</f>
        <v/>
      </c>
      <c r="SA40">
        <f>IF($B40=0,1000000,IF(INDEX('計算A'!$D$60:$EQ$104,$B40,100)*GW40=1,IF(AND($E40=2,ML40=0),1000000,IF($I40&gt;0,IF(5=$J40,IF(OR(AND(100=$I40+1,OR($K40&lt;&gt;'計算A'!$A$3,'計算A'!$A$4=0)),AND(100=$I40-1,OR(4&lt;&gt;'計算A'!$A$3,'計算A'!$A$4=0))),0,IF(4=$K40,200000,ABS(4-$K40)*100)),100000+ABS(5-$J40)*1000+40)+'計算A'!CY$5*50+IF(AND($E40=1,ML40=0),25,0),INDEX('計算A'!CY$110:CY$114,$F40+1)+IF(AND($E40=1,ML40=0),1000,0)+IF($H40=1,(IF('計算A'!CX$117=1,INDEX('計算A'!CX$10:CX$54,$B40),0)+IF('計算A'!CY$117=1,INDEX('計算A'!CZ$10:CZ$54,$B40),0))*500,0)-IF(AND('計算A'!CX$117=1,XV40&gt;0),300,0)-IF(AND($L40=1,'計算A'!CY$117=1,GX40=0),300,0))),1000000))</f>
        <v/>
      </c>
      <c r="SB40">
        <f>IF($B40=0,1000000,IF(INDEX('計算A'!$D$60:$EQ$104,$B40,101)*GX40=1,IF(AND($E40=2,MM40=0),1000000,IF($I40&gt;0,IF(5=$J40,IF(OR(AND(101=$I40+1,OR($K40&lt;&gt;'計算A'!$A$3,'計算A'!$A$4=0)),AND(101=$I40-1,OR(5&lt;&gt;'計算A'!$A$3,'計算A'!$A$4=0))),0,IF(5=$K40,200000,ABS(5-$K40)*100)),100000+ABS(5-$J40)*1000+50)+'計算A'!CZ$5*50+IF(AND($E40=1,MM40=0),25,0),INDEX('計算A'!CZ$110:CZ$114,$F40+1)+IF(AND($E40=1,MM40=0),1000,0)+IF($H40=1,(IF('計算A'!CY$117=1,INDEX('計算A'!CY$10:CY$54,$B40),0)+IF('計算A'!CZ$117=1,INDEX('計算A'!DA$10:DA$54,$B40),0))*500,0)-IF(AND('計算A'!CY$117=1,XW40&gt;0),300,0)-IF(AND($L40=1,'計算A'!CZ$117=1,GY40=0),300,0))),1000000))</f>
        <v/>
      </c>
      <c r="SC40">
        <f>IF($B40=0,1000000,IF(INDEX('計算A'!$D$60:$EQ$104,$B40,102)*GY40=1,IF(AND($E40=2,MN40=0),1000000,IF($I40&gt;0,IF(5=$J40,IF(OR(AND(102=$I40+1,OR($K40&lt;&gt;'計算A'!$A$3,'計算A'!$A$4=0)),AND(102=$I40-1,OR(6&lt;&gt;'計算A'!$A$3,'計算A'!$A$4=0))),0,IF(6=$K40,200000,ABS(6-$K40)*100)),100000+ABS(5-$J40)*1000+60)+'計算A'!DA$5*50+IF(AND($E40=1,MN40=0),25,0),INDEX('計算A'!DA$110:DA$114,$F40+1)+IF(AND($E40=1,MN40=0),1000,0)+IF($H40=1,(IF('計算A'!CZ$117=1,INDEX('計算A'!CZ$10:CZ$54,$B40),0)+IF('計算A'!DA$117=1,INDEX('計算A'!DB$10:DB$54,$B40),0))*500,0)-IF(AND('計算A'!CZ$117=1,XX40&gt;0),300,0)-IF(AND($L40=1,'計算A'!DA$117=1,GZ40=0),300,0))),1000000))</f>
        <v/>
      </c>
      <c r="SD40">
        <f>IF($B40=0,1000000,IF(INDEX('計算A'!$D$60:$EQ$104,$B40,103)*GZ40=1,IF(AND($E40=2,MO40=0),1000000,IF($I40&gt;0,IF(5=$J40,IF(OR(AND(103=$I40+1,OR($K40&lt;&gt;'計算A'!$A$3,'計算A'!$A$4=0)),AND(103=$I40-1,OR(7&lt;&gt;'計算A'!$A$3,'計算A'!$A$4=0))),0,IF(7=$K40,200000,ABS(7-$K40)*100)),100000+ABS(5-$J40)*1000+70)+'計算A'!DB$5*50+IF(AND($E40=1,MO40=0),25,0),INDEX('計算A'!DB$110:DB$114,$F40+1)+IF(AND($E40=1,MO40=0),1000,0)+IF($H40=1,(IF('計算A'!DA$117=1,INDEX('計算A'!DA$10:DA$54,$B40),0)+IF('計算A'!DB$117=1,INDEX('計算A'!DC$10:DC$54,$B40),0))*500,0)-IF(AND('計算A'!DA$117=1,XY40&gt;0),300,0)-IF(AND($L40=1,'計算A'!DB$117=1,HA40=0),300,0))),1000000))</f>
        <v/>
      </c>
      <c r="SE40">
        <f>IF($B40=0,1000000,IF(INDEX('計算A'!$D$60:$EQ$104,$B40,104)*HA40=1,IF(AND($E40=2,MP40=0),1000000,IF($I40&gt;0,IF(5=$J40,IF(OR(AND(104=$I40+1,OR($K40&lt;&gt;'計算A'!$A$3,'計算A'!$A$4=0)),AND(104=$I40-1,OR(8&lt;&gt;'計算A'!$A$3,'計算A'!$A$4=0))),0,IF(8=$K40,200000,ABS(8-$K40)*100)),100000+ABS(5-$J40)*1000+80)+'計算A'!DC$5*50+IF(AND($E40=1,MP40=0),25,0),INDEX('計算A'!DC$110:DC$114,$F40+1)+IF(AND($E40=1,MP40=0),1000,0)+IF($H40=1,(IF('計算A'!DB$117=1,INDEX('計算A'!DB$10:DB$54,$B40),0)+IF('計算A'!DC$117=1,INDEX('計算A'!DD$10:DD$54,$B40),0))*500,0)-IF(AND('計算A'!DB$117=1,XZ40&gt;0),300,0)-IF(AND($L40=1,'計算A'!DC$117=1,HB40=0),300,0))),1000000))</f>
        <v/>
      </c>
      <c r="SF40">
        <f>IF($B40=0,1000000,IF(INDEX('計算A'!$D$60:$EQ$104,$B40,105)*HB40=1,IF(AND($E40=2,MQ40=0),1000000,IF($I40&gt;0,IF(5=$J40,IF(OR(AND(105=$I40+1,OR($K40&lt;&gt;'計算A'!$A$3,'計算A'!$A$4=0)),AND(105=$I40-1,OR(9&lt;&gt;'計算A'!$A$3,'計算A'!$A$4=0))),0,IF(9=$K40,200000,ABS(9-$K40)*100)),100000+ABS(5-$J40)*1000+90)+'計算A'!DD$5*50+IF(AND($E40=1,MQ40=0),25,0),INDEX('計算A'!DD$110:DD$114,$F40+1)+IF(AND($E40=1,MQ40=0),1000,0)+IF($H40=1,(IF('計算A'!DC$117=1,INDEX('計算A'!DC$10:DC$54,$B40),0)+IF('計算A'!DD$117=1,INDEX('計算A'!DE$10:DE$54,$B40),0))*500,0)-IF(AND('計算A'!DC$117=1,YA40&gt;0),300,0)-IF(AND($L40=1,'計算A'!DD$117=1,HC40=0),300,0))),1000000))</f>
        <v/>
      </c>
      <c r="SG40">
        <f>IF($B40=0,1000000,IF(INDEX('計算A'!$D$60:$EQ$104,$B40,106)*HC40=1,IF(AND($E40=2,MR40=0),1000000,IF($I40&gt;0,IF(5=$J40,IF(OR(AND(106=$I40+1,OR($K40&lt;&gt;'計算A'!$A$3,'計算A'!$A$4=0)),AND(106=$I40-1,OR(10&lt;&gt;'計算A'!$A$3,'計算A'!$A$4=0))),0,IF(10=$K40,200000,ABS(10-$K40)*100)),100000+ABS(5-$J40)*1000+100)+'計算A'!DE$5*50+IF(AND($E40=1,MR40=0),25,0),INDEX('計算A'!DE$110:DE$114,$F40+1)+IF(AND($E40=1,MR40=0),1000,0)+IF($H40=1,(IF('計算A'!DD$117=1,INDEX('計算A'!DD$10:DD$54,$B40),0)+IF('計算A'!DE$117=1,INDEX('計算A'!DF$10:DF$54,$B40),0))*500,0)-IF(AND('計算A'!DD$117=1,YB40&gt;0),300,0)-IF(AND($L40=1,'計算A'!DE$117=1,HD40=0),300,0))),1000000))</f>
        <v/>
      </c>
      <c r="SH40">
        <f>IF($B40=0,1000000,IF(INDEX('計算A'!$D$60:$EQ$104,$B40,107)*HD40=1,IF(AND($E40=2,MS40=0),1000000,IF($I40&gt;0,IF(5=$J40,IF(OR(AND(107=$I40+1,OR($K40&lt;&gt;'計算A'!$A$3,'計算A'!$A$4=0)),AND(107=$I40-1,OR(11&lt;&gt;'計算A'!$A$3,'計算A'!$A$4=0))),0,IF(11=$K40,200000,ABS(11-$K40)*100)),100000+ABS(5-$J40)*1000+110)+'計算A'!DF$5*50+IF(AND($E40=1,MS40=0),25,0),INDEX('計算A'!DF$110:DF$114,$F40+1)+IF(AND($E40=1,MS40=0),1000,0)+IF($H40=1,(IF('計算A'!DE$117=1,INDEX('計算A'!DE$10:DE$54,$B40),0)+IF('計算A'!DF$117=1,INDEX('計算A'!DG$10:DG$54,$B40),0))*500,0)-IF(AND('計算A'!DE$117=1,YC40&gt;0),300,0)-IF(AND($L40=1,'計算A'!DF$117=1,HE40=0),300,0))),1000000))</f>
        <v/>
      </c>
      <c r="SI40">
        <f>IF($B40=0,1000000,IF(INDEX('計算A'!$D$60:$EQ$104,$B40,108)*HE40=1,IF(AND($E40=2,MT40=0),1000000,IF($I40&gt;0,IF(5=$J40,IF(OR(AND(108=$I40+1,OR($K40&lt;&gt;'計算A'!$A$3,'計算A'!$A$4=0)),AND(108=$I40-1,OR(12&lt;&gt;'計算A'!$A$3,'計算A'!$A$4=0))),0,IF(12=$K40,200000,ABS(12-$K40)*100)),100000+ABS(5-$J40)*1000+120)+'計算A'!DG$5*50+IF(AND($E40=1,MT40=0),25,0),INDEX('計算A'!DG$110:DG$114,$F40+1)+IF(AND($E40=1,MT40=0),1000,0)+IF($H40=1,(IF('計算A'!DF$117=1,INDEX('計算A'!DF$10:DF$54,$B40),0)+IF('計算A'!DG$117=1,INDEX('計算A'!DH$10:DH$54,$B40),0))*500,0)-IF(AND('計算A'!DF$117=1,YD40&gt;0),300,0)-IF(AND($L40=1,'計算A'!DG$117=1,HF40=0),300,0))),1000000))</f>
        <v/>
      </c>
      <c r="SJ40">
        <f>IF($B40=0,1000000,IF(INDEX('計算A'!$D$60:$EQ$104,$B40,109)*HF40=1,IF(AND($E40=2,MU40=0),1000000,IF($I40&gt;0,IF(5=$J40,IF(OR(AND(109=$I40+1,OR($K40&lt;&gt;'計算A'!$A$3,'計算A'!$A$4=0)),AND(109=$I40-1,OR(13&lt;&gt;'計算A'!$A$3,'計算A'!$A$4=0))),0,IF(13=$K40,200000,ABS(13-$K40)*100)),100000+ABS(5-$J40)*1000+130)+'計算A'!DH$5*50+IF(AND($E40=1,MU40=0),25,0),INDEX('計算A'!DH$110:DH$114,$F40+1)+IF(AND($E40=1,MU40=0),1000,0)+IF($H40=1,(IF('計算A'!DG$117=1,INDEX('計算A'!DG$10:DG$54,$B40),0)+IF('計算A'!DH$117=1,INDEX('計算A'!DI$10:DI$54,$B40),0))*500,0)-IF(AND('計算A'!DG$117=1,YE40&gt;0),300,0)-IF(AND($L40=1,'計算A'!DH$117=1,HG40=0),300,0))),1000000))</f>
        <v/>
      </c>
      <c r="SK40">
        <f>IF($B40=0,1000000,IF(INDEX('計算A'!$D$60:$EQ$104,$B40,110)*HG40=1,IF(AND($E40=2,MV40=0),1000000,IF($I40&gt;0,IF(5=$J40,IF(OR(AND(110=$I40+1,OR($K40&lt;&gt;'計算A'!$A$3,'計算A'!$A$4=0)),AND(110=$I40-1,OR(14&lt;&gt;'計算A'!$A$3,'計算A'!$A$4=0))),0,IF(14=$K40,200000,ABS(14-$K40)*100)),100000+ABS(5-$J40)*1000+140)+'計算A'!DI$5*50+IF(AND($E40=1,MV40=0),25,0),INDEX('計算A'!DI$110:DI$114,$F40+1)+IF(AND($E40=1,MV40=0),1000,0)+IF($H40=1,(IF('計算A'!DH$117=1,INDEX('計算A'!DH$10:DH$54,$B40),0)+IF('計算A'!DI$117=1,INDEX('計算A'!DJ$10:DJ$54,$B40),0))*500,0)-IF(AND('計算A'!DH$117=1,YF40&gt;0),300,0)-IF(AND($L40=1,'計算A'!DI$117=1,HH40=0),300,0))),1000000))</f>
        <v/>
      </c>
      <c r="SL40">
        <f>IF($B40=0,1000000,IF(INDEX('計算A'!$D$60:$EQ$104,$B40,111)*HH40=1,IF(AND($E40=2,MW40=0),1000000,IF($I40&gt;0,IF(5=$J40,IF(OR(AND(111=$I40+1,OR($K40&lt;&gt;'計算A'!$A$3,'計算A'!$A$4=0)),AND(111=$I40-1,OR(15&lt;&gt;'計算A'!$A$3,'計算A'!$A$4=0))),0,IF(15=$K40,200000,ABS(15-$K40)*100)),100000+ABS(5-$J40)*1000+150)+'計算A'!DJ$5*50+IF(AND($E40=1,MW40=0),25,0),INDEX('計算A'!DJ$110:DJ$114,$F40+1)+IF(AND($E40=1,MW40=0),1000,0)+IF($H40=1,(IF('計算A'!DI$117=1,INDEX('計算A'!DI$10:DI$54,$B40),0)+IF('計算A'!DJ$117=1,INDEX('計算A'!DK$10:DK$54,$B40),0))*500,0)-IF(AND('計算A'!DI$117=1,YG40&gt;0),300,0)-IF(AND($L40=1,'計算A'!DJ$117=1,HI40=0),300,0))),1000000))</f>
        <v/>
      </c>
      <c r="SM40">
        <f>IF($B40=0,1000000,IF(INDEX('計算A'!$D$60:$EQ$104,$B40,112)*HI40=1,IF(AND($E40=2,MX40=0),1000000,IF($I40&gt;0,IF(5=$J40,IF(OR(AND(112=$I40+1,OR($K40&lt;&gt;'計算A'!$A$3,'計算A'!$A$4=0)),AND(112=$I40-1,OR(16&lt;&gt;'計算A'!$A$3,'計算A'!$A$4=0))),0,IF(16=$K40,200000,ABS(16-$K40)*100)),100000+ABS(5-$J40)*1000+160)+'計算A'!DK$5*50+IF(AND($E40=1,MX40=0),25,0),INDEX('計算A'!DK$110:DK$114,$F40+1)+IF(AND($E40=1,MX40=0),1000,0)+IF($H40=1,(IF('計算A'!DJ$117=1,INDEX('計算A'!DJ$10:DJ$54,$B40),0)+IF('計算A'!DK$117=1,INDEX('計算A'!DL$10:DL$54,$B40),0))*500,0)-IF(AND('計算A'!DJ$117=1,YH40&gt;0),300,0)-IF(AND($L40=1,'計算A'!DK$117=1,HJ40=0),300,0))),1000000))</f>
        <v/>
      </c>
      <c r="SN40">
        <f>IF($B40=0,1000000,IF(INDEX('計算A'!$D$60:$EQ$104,$B40,113)*HJ40=1,IF(AND($E40=2,MY40=0),1000000,IF($I40&gt;0,IF(5=$J40,IF(OR(AND(113=$I40+1,OR($K40&lt;&gt;'計算A'!$A$3,'計算A'!$A$4=0)),AND(113=$I40-1,OR(17&lt;&gt;'計算A'!$A$3,'計算A'!$A$4=0))),0,IF(17=$K40,200000,ABS(17-$K40)*100)),100000+ABS(5-$J40)*1000+170)+'計算A'!DL$5*50+IF(AND($E40=1,MY40=0),25,0),INDEX('計算A'!DL$110:DL$114,$F40+1)+IF(AND($E40=1,MY40=0),1000,0)+IF($H40=1,(IF('計算A'!DK$117=1,INDEX('計算A'!DK$10:DK$54,$B40),0)+IF('計算A'!DL$117=1,INDEX('計算A'!DM$10:DM$54,$B40),0))*500,0)-IF(AND('計算A'!DK$117=1,YI40&gt;0),300,0)-IF(AND($L40=1,'計算A'!DL$117=1,HK40=0),300,0))),1000000))</f>
        <v/>
      </c>
      <c r="SO40">
        <f>IF($B40=0,1000000,IF(INDEX('計算A'!$D$60:$EQ$104,$B40,114)*HK40=1,IF(AND($E40=2,MZ40=0),1000000,IF($I40&gt;0,IF(5=$J40,IF(OR(AND(114=$I40+1,OR($K40&lt;&gt;'計算A'!$A$3,'計算A'!$A$4=0)),AND(114=$I40-1,OR(18&lt;&gt;'計算A'!$A$3,'計算A'!$A$4=0))),0,IF(18=$K40,200000,ABS(18-$K40)*100)),100000+ABS(5-$J40)*1000+180)+'計算A'!DM$5*50+IF(AND($E40=1,MZ40=0),25,0),INDEX('計算A'!DM$110:DM$114,$F40+1)+IF(AND($E40=1,MZ40=0),1000,0)+IF($H40=1,(IF('計算A'!DL$117=1,INDEX('計算A'!DL$10:DL$54,$B40),0)+IF('計算A'!DM$117=1,INDEX('計算A'!DN$10:DN$54,$B40),0))*500,0)-IF(AND('計算A'!DL$117=1,YJ40&gt;0),300,0)-IF(AND($L40=1,'計算A'!DM$117=1,HL40=0),300,0))),1000000))</f>
        <v/>
      </c>
      <c r="SP40">
        <f>IF($B40=0,1000000,IF(INDEX('計算A'!$D$60:$EQ$104,$B40,115)*HL40=1,IF(AND($E40=2,NA40=0),1000000,IF($I40&gt;0,IF(5=$J40,IF(OR(AND(115=$I40+1,OR($K40&lt;&gt;'計算A'!$A$3,'計算A'!$A$4=0)),AND(115=$I40-1,OR(19&lt;&gt;'計算A'!$A$3,'計算A'!$A$4=0))),0,IF(19=$K40,200000,ABS(19-$K40)*100)),100000+ABS(5-$J40)*1000+190)+'計算A'!DN$5*50+IF(AND($E40=1,NA40=0),25,0),INDEX('計算A'!DN$110:DN$114,$F40+1)+IF(AND($E40=1,NA40=0),1000,0)+IF($H40=1,(IF('計算A'!DM$117=1,INDEX('計算A'!DM$10:DM$54,$B40),0)+IF('計算A'!DN$117=1,INDEX('計算A'!DO$10:DO$54,$B40),0))*500,0)-IF(AND('計算A'!DM$117=1,YK40&gt;0),300,0)-IF(AND($L40=1,'計算A'!DN$117=1,HM40=0),300,0))),1000000))</f>
        <v/>
      </c>
      <c r="SQ40">
        <f>IF($B40=0,1000000,IF(INDEX('計算A'!$D$60:$EQ$104,$B40,116)*HM40=1,IF(AND($E40=2,NB40=0),1000000,IF($I40&gt;0,IF(5=$J40,IF(OR(AND(116=$I40+1,OR($K40&lt;&gt;'計算A'!$A$3,'計算A'!$A$4=0)),AND(116=$I40-1,OR(20&lt;&gt;'計算A'!$A$3,'計算A'!$A$4=0))),0,IF(20=$K40,200000,ABS(20-$K40)*100)),100000+ABS(5-$J40)*1000+200)+'計算A'!DO$5*50+IF(AND($E40=1,NB40=0),25,0),INDEX('計算A'!DO$110:DO$114,$F40+1)+IF(AND($E40=1,NB40=0),1000,0)+IF($H40=1,(IF('計算A'!DN$117=1,INDEX('計算A'!DN$10:DN$54,$B40),0)+IF('計算A'!DO$117=1,INDEX('計算A'!DP$10:DP$54,$B40),0))*500,0)-IF(AND('計算A'!DN$117=1,YL40&gt;0),300,0)-IF(AND($L40=1,'計算A'!DO$117=1,HN40=0),300,0))),1000000))</f>
        <v/>
      </c>
      <c r="SR40">
        <f>IF($B40=0,1000000,IF(INDEX('計算A'!$D$60:$EQ$104,$B40,117)*HN40=1,IF(AND($E40=2,NC40=0),1000000,IF($I40&gt;0,IF(5=$J40,IF(OR(AND(117=$I40+1,OR($K40&lt;&gt;'計算A'!$A$3,'計算A'!$A$4=0)),AND(117=$I40-1,OR(21&lt;&gt;'計算A'!$A$3,'計算A'!$A$4=0))),0,IF(21=$K40,200000,ABS(21-$K40)*100)),100000+ABS(5-$J40)*1000+210)+'計算A'!DP$5*50+IF(AND($E40=1,NC40=0),25,0),INDEX('計算A'!DP$110:DP$114,$F40+1)+IF(AND($E40=1,NC40=0),1000,0)+IF($H40=1,(IF('計算A'!DO$117=1,INDEX('計算A'!DO$10:DO$54,$B40),0)+IF('計算A'!DP$117=1,INDEX('計算A'!DQ$10:DQ$54,$B40),0))*500,0)-IF(AND('計算A'!DO$117=1,YM40&gt;0),300,0)-IF(AND($L40=1,'計算A'!DP$117=1,HO40=0),300,0))),1000000))</f>
        <v/>
      </c>
      <c r="SS40">
        <f>IF($B40=0,1000000,IF(INDEX('計算A'!$D$60:$EQ$104,$B40,118)*HO40=1,IF(AND($E40=2,ND40=0),1000000,IF($I40&gt;0,IF(5=$J40,IF(OR(AND(118=$I40+1,OR($K40&lt;&gt;'計算A'!$A$3,'計算A'!$A$4=0)),AND(118=$I40-1,OR(22&lt;&gt;'計算A'!$A$3,'計算A'!$A$4=0))),0,IF(22=$K40,200000,ABS(22-$K40)*100)),100000+ABS(5-$J40)*1000+220)+'計算A'!DQ$5*50+IF(AND($E40=1,ND40=0),25,0),INDEX('計算A'!DQ$110:DQ$114,$F40+1)+IF(AND($E40=1,ND40=0),1000,0)+IF($H40=1,(IF('計算A'!DP$117=1,INDEX('計算A'!DP$10:DP$54,$B40),0)+IF('計算A'!DQ$117=1,INDEX('計算A'!DR$10:DR$54,$B40),0))*500,0)-IF(AND('計算A'!DP$117=1,YN40&gt;0),300,0)-IF(AND($L40=1,'計算A'!DQ$117=1,HP40=0),300,0))),1000000))</f>
        <v/>
      </c>
      <c r="ST40">
        <f>IF($B40=0,1000000,IF(INDEX('計算A'!$D$60:$EQ$104,$B40,119)*HP40=1,IF(AND($E40=2,NE40=0),1000000,IF($I40&gt;0,IF(5=$J40,IF(OR(AND(119=$I40+1,OR($K40&lt;&gt;'計算A'!$A$3,'計算A'!$A$4=0)),AND(119=$I40-1,OR(23&lt;&gt;'計算A'!$A$3,'計算A'!$A$4=0))),0,IF(23=$K40,200000,ABS(23-$K40)*100)),100000+ABS(5-$J40)*1000+230)+'計算A'!DR$5*50+IF(AND($E40=1,NE40=0),25,0),INDEX('計算A'!DR$110:DR$114,$F40+1)+IF(AND($E40=1,NE40=0),1000,0)+IF($H40=1,(IF('計算A'!DQ$117=1,INDEX('計算A'!DQ$10:DQ$54,$B40),0)+IF('計算A'!DR$117=1,INDEX('計算A'!DS$10:DS$54,$B40),0))*500,0)-IF(AND('計算A'!DQ$117=1,YO40&gt;0),300,0)-IF(AND($L40=1,'計算A'!DR$117=1,HQ40=0),300,0))),1000000))</f>
        <v/>
      </c>
      <c r="SU40">
        <f>IF($B40=0,1000000,IF(INDEX('計算A'!$D$60:$EQ$104,$B40,120)*HQ40=1,IF(AND($E40=2,NF40=0),1000000,IF($I40&gt;0,IF(5=$J40,IF(OR(AND(120=$I40+1,OR($K40&lt;&gt;'計算A'!$A$3,'計算A'!$A$4=0)),AND(120=$I40-1,OR(24&lt;&gt;'計算A'!$A$3,'計算A'!$A$4=0))),0,IF(24=$K40,200000,ABS(24-$K40)*100)),100000+ABS(5-$J40)*1000+240)+'計算A'!DS$5*50+IF(AND($E40=1,NF40=0),25,0),INDEX('計算A'!DS$110:DS$114,$F40+1)+IF(AND($E40=1,NF40=0),1000,0)+IF($H40=1,(IF('計算A'!DR$117=1,INDEX('計算A'!DR$10:DR$54,$B40),0))*500,0)-IF(AND('計算A'!DR$117=1,YP40&gt;0),300,0))),1000000))</f>
        <v/>
      </c>
      <c r="SV40">
        <f>IF($B40=0,1000000,IF(INDEX('計算A'!$D$60:$EQ$104,$B40,121)*HR40=1,IF(AND($E40=2,NG40=0),1000000,IF($I40&gt;0,IF(6=$J40,IF(OR(AND(121=$I40+1,OR($K40&lt;&gt;'計算A'!$A$3,'計算A'!$A$4=0)),AND(121=$I40-1,OR(1&lt;&gt;'計算A'!$A$3,'計算A'!$A$4=0))),0,IF(1=$K40,200000,ABS(1-$K40)*100)),100000+ABS(6-$J40)*1000+10)+'計算A'!DT$5*50+IF(AND($E40=1,NG40=0),25,0),INDEX('計算A'!DT$110:DT$114,$F40+1)+IF(AND($E40=1,NG40=0),1000,0)+IF($H40=1,(IF('計算A'!DT$117=1,INDEX('計算A'!DU$10:DU$54,$B40),0))*500,0)-IF(AND($L40=1,'計算A'!DT$117=1,HS40=0),300,0))),1000000))</f>
        <v/>
      </c>
      <c r="SW40">
        <f>IF($B40=0,1000000,IF(INDEX('計算A'!$D$60:$EQ$104,$B40,122)*HS40=1,IF(AND($E40=2,NH40=0),1000000,IF($I40&gt;0,IF(6=$J40,IF(OR(AND(122=$I40+1,OR($K40&lt;&gt;'計算A'!$A$3,'計算A'!$A$4=0)),AND(122=$I40-1,OR(2&lt;&gt;'計算A'!$A$3,'計算A'!$A$4=0))),0,IF(2=$K40,200000,ABS(2-$K40)*100)),100000+ABS(6-$J40)*1000+20)+'計算A'!DU$5*50+IF(AND($E40=1,NH40=0),25,0),INDEX('計算A'!DU$110:DU$114,$F40+1)+IF(AND($E40=1,NH40=0),1000,0)+IF($H40=1,(IF('計算A'!DT$117=1,INDEX('計算A'!DT$10:DT$54,$B40),0)+IF('計算A'!DU$117=1,INDEX('計算A'!DV$10:DV$54,$B40),0))*500,0)-IF(AND('計算A'!DT$117=1,YR40&gt;0),300,0)-IF(AND($L40=1,'計算A'!DU$117=1,HT40=0),300,0))),1000000))</f>
        <v/>
      </c>
      <c r="SX40">
        <f>IF($B40=0,1000000,IF(INDEX('計算A'!$D$60:$EQ$104,$B40,123)*HT40=1,IF(AND($E40=2,NI40=0),1000000,IF($I40&gt;0,IF(6=$J40,IF(OR(AND(123=$I40+1,OR($K40&lt;&gt;'計算A'!$A$3,'計算A'!$A$4=0)),AND(123=$I40-1,OR(3&lt;&gt;'計算A'!$A$3,'計算A'!$A$4=0))),0,IF(3=$K40,200000,ABS(3-$K40)*100)),100000+ABS(6-$J40)*1000+30)+'計算A'!DV$5*50+IF(AND($E40=1,NI40=0),25,0),INDEX('計算A'!DV$110:DV$114,$F40+1)+IF(AND($E40=1,NI40=0),1000,0)+IF($H40=1,(IF('計算A'!DU$117=1,INDEX('計算A'!DU$10:DU$54,$B40),0)+IF('計算A'!DV$117=1,INDEX('計算A'!DW$10:DW$54,$B40),0))*500,0)-IF(AND('計算A'!DU$117=1,YS40&gt;0),300,0)-IF(AND($L40=1,'計算A'!DV$117=1,HU40=0),300,0))),1000000))</f>
        <v/>
      </c>
      <c r="SY40">
        <f>IF($B40=0,1000000,IF(INDEX('計算A'!$D$60:$EQ$104,$B40,124)*HU40=1,IF(AND($E40=2,NJ40=0),1000000,IF($I40&gt;0,IF(6=$J40,IF(OR(AND(124=$I40+1,OR($K40&lt;&gt;'計算A'!$A$3,'計算A'!$A$4=0)),AND(124=$I40-1,OR(4&lt;&gt;'計算A'!$A$3,'計算A'!$A$4=0))),0,IF(4=$K40,200000,ABS(4-$K40)*100)),100000+ABS(6-$J40)*1000+40)+'計算A'!DW$5*50+IF(AND($E40=1,NJ40=0),25,0),INDEX('計算A'!DW$110:DW$114,$F40+1)+IF(AND($E40=1,NJ40=0),1000,0)+IF($H40=1,(IF('計算A'!DV$117=1,INDEX('計算A'!DV$10:DV$54,$B40),0)+IF('計算A'!DW$117=1,INDEX('計算A'!DX$10:DX$54,$B40),0))*500,0)-IF(AND('計算A'!DV$117=1,YT40&gt;0),300,0)-IF(AND($L40=1,'計算A'!DW$117=1,HV40=0),300,0))),1000000))</f>
        <v/>
      </c>
      <c r="SZ40">
        <f>IF($B40=0,1000000,IF(INDEX('計算A'!$D$60:$EQ$104,$B40,125)*HV40=1,IF(AND($E40=2,NK40=0),1000000,IF($I40&gt;0,IF(6=$J40,IF(OR(AND(125=$I40+1,OR($K40&lt;&gt;'計算A'!$A$3,'計算A'!$A$4=0)),AND(125=$I40-1,OR(5&lt;&gt;'計算A'!$A$3,'計算A'!$A$4=0))),0,IF(5=$K40,200000,ABS(5-$K40)*100)),100000+ABS(6-$J40)*1000+50)+'計算A'!DX$5*50+IF(AND($E40=1,NK40=0),25,0),INDEX('計算A'!DX$110:DX$114,$F40+1)+IF(AND($E40=1,NK40=0),1000,0)+IF($H40=1,(IF('計算A'!DW$117=1,INDEX('計算A'!DW$10:DW$54,$B40),0)+IF('計算A'!DX$117=1,INDEX('計算A'!DY$10:DY$54,$B40),0))*500,0)-IF(AND('計算A'!DW$117=1,YU40&gt;0),300,0)-IF(AND($L40=1,'計算A'!DX$117=1,HW40=0),300,0))),1000000))</f>
        <v/>
      </c>
      <c r="TA40">
        <f>IF($B40=0,1000000,IF(INDEX('計算A'!$D$60:$EQ$104,$B40,126)*HW40=1,IF(AND($E40=2,NL40=0),1000000,IF($I40&gt;0,IF(6=$J40,IF(OR(AND(126=$I40+1,OR($K40&lt;&gt;'計算A'!$A$3,'計算A'!$A$4=0)),AND(126=$I40-1,OR(6&lt;&gt;'計算A'!$A$3,'計算A'!$A$4=0))),0,IF(6=$K40,200000,ABS(6-$K40)*100)),100000+ABS(6-$J40)*1000+60)+'計算A'!DY$5*50+IF(AND($E40=1,NL40=0),25,0),INDEX('計算A'!DY$110:DY$114,$F40+1)+IF(AND($E40=1,NL40=0),1000,0)+IF($H40=1,(IF('計算A'!DX$117=1,INDEX('計算A'!DX$10:DX$54,$B40),0)+IF('計算A'!DY$117=1,INDEX('計算A'!DZ$10:DZ$54,$B40),0))*500,0)-IF(AND('計算A'!DX$117=1,YV40&gt;0),300,0)-IF(AND($L40=1,'計算A'!DY$117=1,HX40=0),300,0))),1000000))</f>
        <v/>
      </c>
      <c r="TB40">
        <f>IF($B40=0,1000000,IF(INDEX('計算A'!$D$60:$EQ$104,$B40,127)*HX40=1,IF(AND($E40=2,NM40=0),1000000,IF($I40&gt;0,IF(6=$J40,IF(OR(AND(127=$I40+1,OR($K40&lt;&gt;'計算A'!$A$3,'計算A'!$A$4=0)),AND(127=$I40-1,OR(7&lt;&gt;'計算A'!$A$3,'計算A'!$A$4=0))),0,IF(7=$K40,200000,ABS(7-$K40)*100)),100000+ABS(6-$J40)*1000+70)+'計算A'!DZ$5*50+IF(AND($E40=1,NM40=0),25,0),INDEX('計算A'!DZ$110:DZ$114,$F40+1)+IF(AND($E40=1,NM40=0),1000,0)+IF($H40=1,(IF('計算A'!DY$117=1,INDEX('計算A'!DY$10:DY$54,$B40),0)+IF('計算A'!DZ$117=1,INDEX('計算A'!EA$10:EA$54,$B40),0))*500,0)-IF(AND('計算A'!DY$117=1,YW40&gt;0),300,0)-IF(AND($L40=1,'計算A'!DZ$117=1,HY40=0),300,0))),1000000))</f>
        <v/>
      </c>
      <c r="TC40">
        <f>IF($B40=0,1000000,IF(INDEX('計算A'!$D$60:$EQ$104,$B40,128)*HY40=1,IF(AND($E40=2,NN40=0),1000000,IF($I40&gt;0,IF(6=$J40,IF(OR(AND(128=$I40+1,OR($K40&lt;&gt;'計算A'!$A$3,'計算A'!$A$4=0)),AND(128=$I40-1,OR(8&lt;&gt;'計算A'!$A$3,'計算A'!$A$4=0))),0,IF(8=$K40,200000,ABS(8-$K40)*100)),100000+ABS(6-$J40)*1000+80)+'計算A'!EA$5*50+IF(AND($E40=1,NN40=0),25,0),INDEX('計算A'!EA$110:EA$114,$F40+1)+IF(AND($E40=1,NN40=0),1000,0)+IF($H40=1,(IF('計算A'!DZ$117=1,INDEX('計算A'!DZ$10:DZ$54,$B40),0)+IF('計算A'!EA$117=1,INDEX('計算A'!EB$10:EB$54,$B40),0))*500,0)-IF(AND('計算A'!DZ$117=1,YX40&gt;0),300,0)-IF(AND($L40=1,'計算A'!EA$117=1,HZ40=0),300,0))),1000000))</f>
        <v/>
      </c>
      <c r="TD40">
        <f>IF($B40=0,1000000,IF(INDEX('計算A'!$D$60:$EQ$104,$B40,129)*HZ40=1,IF(AND($E40=2,NO40=0),1000000,IF($I40&gt;0,IF(6=$J40,IF(OR(AND(129=$I40+1,OR($K40&lt;&gt;'計算A'!$A$3,'計算A'!$A$4=0)),AND(129=$I40-1,OR(9&lt;&gt;'計算A'!$A$3,'計算A'!$A$4=0))),0,IF(9=$K40,200000,ABS(9-$K40)*100)),100000+ABS(6-$J40)*1000+90)+'計算A'!EB$5*50+IF(AND($E40=1,NO40=0),25,0),INDEX('計算A'!EB$110:EB$114,$F40+1)+IF(AND($E40=1,NO40=0),1000,0)+IF($H40=1,(IF('計算A'!EA$117=1,INDEX('計算A'!EA$10:EA$54,$B40),0)+IF('計算A'!EB$117=1,INDEX('計算A'!EC$10:EC$54,$B40),0))*500,0)-IF(AND('計算A'!EA$117=1,YY40&gt;0),300,0)-IF(AND($L40=1,'計算A'!EB$117=1,IA40=0),300,0))),1000000))</f>
        <v/>
      </c>
      <c r="TE40">
        <f>IF($B40=0,1000000,IF(INDEX('計算A'!$D$60:$EQ$104,$B40,130)*IA40=1,IF(AND($E40=2,NP40=0),1000000,IF($I40&gt;0,IF(6=$J40,IF(OR(AND(130=$I40+1,OR($K40&lt;&gt;'計算A'!$A$3,'計算A'!$A$4=0)),AND(130=$I40-1,OR(10&lt;&gt;'計算A'!$A$3,'計算A'!$A$4=0))),0,IF(10=$K40,200000,ABS(10-$K40)*100)),100000+ABS(6-$J40)*1000+100)+'計算A'!EC$5*50+IF(AND($E40=1,NP40=0),25,0),INDEX('計算A'!EC$110:EC$114,$F40+1)+IF(AND($E40=1,NP40=0),1000,0)+IF($H40=1,(IF('計算A'!EB$117=1,INDEX('計算A'!EB$10:EB$54,$B40),0)+IF('計算A'!EC$117=1,INDEX('計算A'!ED$10:ED$54,$B40),0))*500,0)-IF(AND('計算A'!EB$117=1,YZ40&gt;0),300,0)-IF(AND($L40=1,'計算A'!EC$117=1,IB40=0),300,0))),1000000))</f>
        <v/>
      </c>
      <c r="TF40">
        <f>IF($B40=0,1000000,IF(INDEX('計算A'!$D$60:$EQ$104,$B40,131)*IB40=1,IF(AND($E40=2,NQ40=0),1000000,IF($I40&gt;0,IF(6=$J40,IF(OR(AND(131=$I40+1,OR($K40&lt;&gt;'計算A'!$A$3,'計算A'!$A$4=0)),AND(131=$I40-1,OR(11&lt;&gt;'計算A'!$A$3,'計算A'!$A$4=0))),0,IF(11=$K40,200000,ABS(11-$K40)*100)),100000+ABS(6-$J40)*1000+110)+'計算A'!ED$5*50+IF(AND($E40=1,NQ40=0),25,0),INDEX('計算A'!ED$110:ED$114,$F40+1)+IF(AND($E40=1,NQ40=0),1000,0)+IF($H40=1,(IF('計算A'!EC$117=1,INDEX('計算A'!EC$10:EC$54,$B40),0)+IF('計算A'!ED$117=1,INDEX('計算A'!EE$10:EE$54,$B40),0))*500,0)-IF(AND('計算A'!EC$117=1,ZA40&gt;0),300,0)-IF(AND($L40=1,'計算A'!ED$117=1,IC40=0),300,0))),1000000))</f>
        <v/>
      </c>
      <c r="TG40">
        <f>IF($B40=0,1000000,IF(INDEX('計算A'!$D$60:$EQ$104,$B40,132)*IC40=1,IF(AND($E40=2,NR40=0),1000000,IF($I40&gt;0,IF(6=$J40,IF(OR(AND(132=$I40+1,OR($K40&lt;&gt;'計算A'!$A$3,'計算A'!$A$4=0)),AND(132=$I40-1,OR(12&lt;&gt;'計算A'!$A$3,'計算A'!$A$4=0))),0,IF(12=$K40,200000,ABS(12-$K40)*100)),100000+ABS(6-$J40)*1000+120)+'計算A'!EE$5*50+IF(AND($E40=1,NR40=0),25,0),INDEX('計算A'!EE$110:EE$114,$F40+1)+IF(AND($E40=1,NR40=0),1000,0)+IF($H40=1,(IF('計算A'!ED$117=1,INDEX('計算A'!ED$10:ED$54,$B40),0)+IF('計算A'!EE$117=1,INDEX('計算A'!EF$10:EF$54,$B40),0))*500,0)-IF(AND('計算A'!ED$117=1,ZB40&gt;0),300,0)-IF(AND($L40=1,'計算A'!EE$117=1,ID40=0),300,0))),1000000))</f>
        <v/>
      </c>
      <c r="TH40">
        <f>IF($B40=0,1000000,IF(INDEX('計算A'!$D$60:$EQ$104,$B40,133)*ID40=1,IF(AND($E40=2,NS40=0),1000000,IF($I40&gt;0,IF(6=$J40,IF(OR(AND(133=$I40+1,OR($K40&lt;&gt;'計算A'!$A$3,'計算A'!$A$4=0)),AND(133=$I40-1,OR(13&lt;&gt;'計算A'!$A$3,'計算A'!$A$4=0))),0,IF(13=$K40,200000,ABS(13-$K40)*100)),100000+ABS(6-$J40)*1000+130)+'計算A'!EF$5*50+IF(AND($E40=1,NS40=0),25,0),INDEX('計算A'!EF$110:EF$114,$F40+1)+IF(AND($E40=1,NS40=0),1000,0)+IF($H40=1,(IF('計算A'!EE$117=1,INDEX('計算A'!EE$10:EE$54,$B40),0)+IF('計算A'!EF$117=1,INDEX('計算A'!EG$10:EG$54,$B40),0))*500,0)-IF(AND('計算A'!EE$117=1,ZC40&gt;0),300,0)-IF(AND($L40=1,'計算A'!EF$117=1,IE40=0),300,0))),1000000))</f>
        <v/>
      </c>
      <c r="TI40">
        <f>IF($B40=0,1000000,IF(INDEX('計算A'!$D$60:$EQ$104,$B40,134)*IE40=1,IF(AND($E40=2,NT40=0),1000000,IF($I40&gt;0,IF(6=$J40,IF(OR(AND(134=$I40+1,OR($K40&lt;&gt;'計算A'!$A$3,'計算A'!$A$4=0)),AND(134=$I40-1,OR(14&lt;&gt;'計算A'!$A$3,'計算A'!$A$4=0))),0,IF(14=$K40,200000,ABS(14-$K40)*100)),100000+ABS(6-$J40)*1000+140)+'計算A'!EG$5*50+IF(AND($E40=1,NT40=0),25,0),INDEX('計算A'!EG$110:EG$114,$F40+1)+IF(AND($E40=1,NT40=0),1000,0)+IF($H40=1,(IF('計算A'!EF$117=1,INDEX('計算A'!EF$10:EF$54,$B40),0)+IF('計算A'!EG$117=1,INDEX('計算A'!EH$10:EH$54,$B40),0))*500,0)-IF(AND('計算A'!EF$117=1,ZD40&gt;0),300,0)-IF(AND($L40=1,'計算A'!EG$117=1,IF40=0),300,0))),1000000))</f>
        <v/>
      </c>
      <c r="TJ40">
        <f>IF($B40=0,1000000,IF(INDEX('計算A'!$D$60:$EQ$104,$B40,135)*IF40=1,IF(AND($E40=2,NU40=0),1000000,IF($I40&gt;0,IF(6=$J40,IF(OR(AND(135=$I40+1,OR($K40&lt;&gt;'計算A'!$A$3,'計算A'!$A$4=0)),AND(135=$I40-1,OR(15&lt;&gt;'計算A'!$A$3,'計算A'!$A$4=0))),0,IF(15=$K40,200000,ABS(15-$K40)*100)),100000+ABS(6-$J40)*1000+150)+'計算A'!EH$5*50+IF(AND($E40=1,NU40=0),25,0),INDEX('計算A'!EH$110:EH$114,$F40+1)+IF(AND($E40=1,NU40=0),1000,0)+IF($H40=1,(IF('計算A'!EG$117=1,INDEX('計算A'!EG$10:EG$54,$B40),0)+IF('計算A'!EH$117=1,INDEX('計算A'!EI$10:EI$54,$B40),0))*500,0)-IF(AND('計算A'!EG$117=1,ZE40&gt;0),300,0)-IF(AND($L40=1,'計算A'!EH$117=1,IG40=0),300,0))),1000000))</f>
        <v/>
      </c>
      <c r="TK40">
        <f>IF($B40=0,1000000,IF(INDEX('計算A'!$D$60:$EQ$104,$B40,136)*IG40=1,IF(AND($E40=2,NV40=0),1000000,IF($I40&gt;0,IF(6=$J40,IF(OR(AND(136=$I40+1,OR($K40&lt;&gt;'計算A'!$A$3,'計算A'!$A$4=0)),AND(136=$I40-1,OR(16&lt;&gt;'計算A'!$A$3,'計算A'!$A$4=0))),0,IF(16=$K40,200000,ABS(16-$K40)*100)),100000+ABS(6-$J40)*1000+160)+'計算A'!EI$5*50+IF(AND($E40=1,NV40=0),25,0),INDEX('計算A'!EI$110:EI$114,$F40+1)+IF(AND($E40=1,NV40=0),1000,0)+IF($H40=1,(IF('計算A'!EH$117=1,INDEX('計算A'!EH$10:EH$54,$B40),0)+IF('計算A'!EI$117=1,INDEX('計算A'!EJ$10:EJ$54,$B40),0))*500,0)-IF(AND('計算A'!EH$117=1,ZF40&gt;0),300,0)-IF(AND($L40=1,'計算A'!EI$117=1,IH40=0),300,0))),1000000))</f>
        <v/>
      </c>
      <c r="TL40">
        <f>IF($B40=0,1000000,IF(INDEX('計算A'!$D$60:$EQ$104,$B40,137)*IH40=1,IF(AND($E40=2,NW40=0),1000000,IF($I40&gt;0,IF(6=$J40,IF(OR(AND(137=$I40+1,OR($K40&lt;&gt;'計算A'!$A$3,'計算A'!$A$4=0)),AND(137=$I40-1,OR(17&lt;&gt;'計算A'!$A$3,'計算A'!$A$4=0))),0,IF(17=$K40,200000,ABS(17-$K40)*100)),100000+ABS(6-$J40)*1000+170)+'計算A'!EJ$5*50+IF(AND($E40=1,NW40=0),25,0),INDEX('計算A'!EJ$110:EJ$114,$F40+1)+IF(AND($E40=1,NW40=0),1000,0)+IF($H40=1,(IF('計算A'!EI$117=1,INDEX('計算A'!EI$10:EI$54,$B40),0)+IF('計算A'!EJ$117=1,INDEX('計算A'!EK$10:EK$54,$B40),0))*500,0)-IF(AND('計算A'!EI$117=1,ZG40&gt;0),300,0)-IF(AND($L40=1,'計算A'!EJ$117=1,II40=0),300,0))),1000000))</f>
        <v/>
      </c>
      <c r="TM40">
        <f>IF($B40=0,1000000,IF(INDEX('計算A'!$D$60:$EQ$104,$B40,138)*II40=1,IF(AND($E40=2,NX40=0),1000000,IF($I40&gt;0,IF(6=$J40,IF(OR(AND(138=$I40+1,OR($K40&lt;&gt;'計算A'!$A$3,'計算A'!$A$4=0)),AND(138=$I40-1,OR(18&lt;&gt;'計算A'!$A$3,'計算A'!$A$4=0))),0,IF(18=$K40,200000,ABS(18-$K40)*100)),100000+ABS(6-$J40)*1000+180)+'計算A'!EK$5*50+IF(AND($E40=1,NX40=0),25,0),INDEX('計算A'!EK$110:EK$114,$F40+1)+IF(AND($E40=1,NX40=0),1000,0)+IF($H40=1,(IF('計算A'!EJ$117=1,INDEX('計算A'!EJ$10:EJ$54,$B40),0)+IF('計算A'!EK$117=1,INDEX('計算A'!EL$10:EL$54,$B40),0))*500,0)-IF(AND('計算A'!EJ$117=1,ZH40&gt;0),300,0)-IF(AND($L40=1,'計算A'!EK$117=1,IJ40=0),300,0))),1000000))</f>
        <v/>
      </c>
      <c r="TN40">
        <f>IF($B40=0,1000000,IF(INDEX('計算A'!$D$60:$EQ$104,$B40,139)*IJ40=1,IF(AND($E40=2,NY40=0),1000000,IF($I40&gt;0,IF(6=$J40,IF(OR(AND(139=$I40+1,OR($K40&lt;&gt;'計算A'!$A$3,'計算A'!$A$4=0)),AND(139=$I40-1,OR(19&lt;&gt;'計算A'!$A$3,'計算A'!$A$4=0))),0,IF(19=$K40,200000,ABS(19-$K40)*100)),100000+ABS(6-$J40)*1000+190)+'計算A'!EL$5*50+IF(AND($E40=1,NY40=0),25,0),INDEX('計算A'!EL$110:EL$114,$F40+1)+IF(AND($E40=1,NY40=0),1000,0)+IF($H40=1,(IF('計算A'!EK$117=1,INDEX('計算A'!EK$10:EK$54,$B40),0)+IF('計算A'!EL$117=1,INDEX('計算A'!EM$10:EM$54,$B40),0))*500,0)-IF(AND('計算A'!EK$117=1,ZI40&gt;0),300,0)-IF(AND($L40=1,'計算A'!EL$117=1,IK40=0),300,0))),1000000))</f>
        <v/>
      </c>
      <c r="TO40">
        <f>IF($B40=0,1000000,IF(INDEX('計算A'!$D$60:$EQ$104,$B40,140)*IK40=1,IF(AND($E40=2,NZ40=0),1000000,IF($I40&gt;0,IF(6=$J40,IF(OR(AND(140=$I40+1,OR($K40&lt;&gt;'計算A'!$A$3,'計算A'!$A$4=0)),AND(140=$I40-1,OR(20&lt;&gt;'計算A'!$A$3,'計算A'!$A$4=0))),0,IF(20=$K40,200000,ABS(20-$K40)*100)),100000+ABS(6-$J40)*1000+200)+'計算A'!EM$5*50+IF(AND($E40=1,NZ40=0),25,0),INDEX('計算A'!EM$110:EM$114,$F40+1)+IF(AND($E40=1,NZ40=0),1000,0)+IF($H40=1,(IF('計算A'!EL$117=1,INDEX('計算A'!EL$10:EL$54,$B40),0)+IF('計算A'!EM$117=1,INDEX('計算A'!EN$10:EN$54,$B40),0))*500,0)-IF(AND('計算A'!EL$117=1,ZJ40&gt;0),300,0)-IF(AND($L40=1,'計算A'!EM$117=1,IL40=0),300,0))),1000000))</f>
        <v/>
      </c>
      <c r="TP40">
        <f>IF($B40=0,1000000,IF(INDEX('計算A'!$D$60:$EQ$104,$B40,141)*IL40=1,IF(AND($E40=2,OA40=0),1000000,IF($I40&gt;0,IF(6=$J40,IF(OR(AND(141=$I40+1,OR($K40&lt;&gt;'計算A'!$A$3,'計算A'!$A$4=0)),AND(141=$I40-1,OR(21&lt;&gt;'計算A'!$A$3,'計算A'!$A$4=0))),0,IF(21=$K40,200000,ABS(21-$K40)*100)),100000+ABS(6-$J40)*1000+210)+'計算A'!EN$5*50+IF(AND($E40=1,OA40=0),25,0),INDEX('計算A'!EN$110:EN$114,$F40+1)+IF(AND($E40=1,OA40=0),1000,0)+IF($H40=1,(IF('計算A'!EM$117=1,INDEX('計算A'!EM$10:EM$54,$B40),0)+IF('計算A'!EN$117=1,INDEX('計算A'!EO$10:EO$54,$B40),0))*500,0)-IF(AND('計算A'!EM$117=1,ZK40&gt;0),300,0)-IF(AND($L40=1,'計算A'!EN$117=1,IM40=0),300,0))),1000000))</f>
        <v/>
      </c>
      <c r="TQ40">
        <f>IF($B40=0,1000000,IF(INDEX('計算A'!$D$60:$EQ$104,$B40,142)*IM40=1,IF(AND($E40=2,OB40=0),1000000,IF($I40&gt;0,IF(6=$J40,IF(OR(AND(142=$I40+1,OR($K40&lt;&gt;'計算A'!$A$3,'計算A'!$A$4=0)),AND(142=$I40-1,OR(22&lt;&gt;'計算A'!$A$3,'計算A'!$A$4=0))),0,IF(22=$K40,200000,ABS(22-$K40)*100)),100000+ABS(6-$J40)*1000+220)+'計算A'!EO$5*50+IF(AND($E40=1,OB40=0),25,0),INDEX('計算A'!EO$110:EO$114,$F40+1)+IF(AND($E40=1,OB40=0),1000,0)+IF($H40=1,(IF('計算A'!EN$117=1,INDEX('計算A'!EN$10:EN$54,$B40),0)+IF('計算A'!EO$117=1,INDEX('計算A'!EP$10:EP$54,$B40),0))*500,0)-IF(AND('計算A'!EN$117=1,ZL40&gt;0),300,0)-IF(AND($L40=1,'計算A'!EO$117=1,IN40=0),300,0))),1000000))</f>
        <v/>
      </c>
      <c r="TR40">
        <f>IF($B40=0,1000000,IF(INDEX('計算A'!$D$60:$EQ$104,$B40,143)*IN40=1,IF(AND($E40=2,OC40=0),1000000,IF($I40&gt;0,IF(6=$J40,IF(OR(AND(143=$I40+1,OR($K40&lt;&gt;'計算A'!$A$3,'計算A'!$A$4=0)),AND(143=$I40-1,OR(23&lt;&gt;'計算A'!$A$3,'計算A'!$A$4=0))),0,IF(23=$K40,200000,ABS(23-$K40)*100)),100000+ABS(6-$J40)*1000+230)+'計算A'!EP$5*50+IF(AND($E40=1,OC40=0),25,0),INDEX('計算A'!EP$110:EP$114,$F40+1)+IF(AND($E40=1,OC40=0),1000,0)+IF($H40=1,(IF('計算A'!EO$117=1,INDEX('計算A'!EO$10:EO$54,$B40),0)+IF('計算A'!EP$117=1,INDEX('計算A'!EQ$10:EQ$54,$B40),0))*500,0)-IF(AND('計算A'!EO$117=1,ZM40&gt;0),300,0)-IF(AND($L40=1,'計算A'!EP$117=1,IO40=0),300,0))),1000000))</f>
        <v/>
      </c>
      <c r="TS40">
        <f>IF($B40=0,1000000,IF(INDEX('計算A'!$D$60:$EQ$104,$B40,144)*IO40=1,IF(AND($E40=2,OD40=0),1000000,IF($I40&gt;0,IF(6=$J40,IF(OR(AND(144=$I40+1,OR($K40&lt;&gt;'計算A'!$A$3,'計算A'!$A$4=0)),AND(144=$I40-1,OR(24&lt;&gt;'計算A'!$A$3,'計算A'!$A$4=0))),0,IF(24=$K40,200000,ABS(24-$K40)*100)),100000+ABS(6-$J40)*1000+240)+'計算A'!EQ$5*50+IF(AND($E40=1,OD40=0),25,0),INDEX('計算A'!EQ$110:EQ$114,$F40+1)+IF(AND($E40=1,OD40=0),1000,0)+IF($H40=1,(IF('計算A'!EP$117=1,INDEX('計算A'!EP$10:EP$54,$B40),0))*500,0)-IF(AND('計算A'!EP$117=1,ZN40&gt;0),300,0))),1000000))</f>
        <v/>
      </c>
      <c r="UB40">
        <f>UB39+IF(AND($C39=1,$L39=1),1,0)</f>
        <v/>
      </c>
      <c r="UC40">
        <f>UC39+IF(AND($C39=2,$L39=1),1,0)</f>
        <v/>
      </c>
      <c r="UD40">
        <f>UD39+IF(AND($C39=3,$L39=1),1,0)</f>
        <v/>
      </c>
      <c r="UE40">
        <f>UE39+IF(AND($C39=4,$L39=1),1,0)</f>
        <v/>
      </c>
      <c r="UF40">
        <f>UF39+IF(AND($C39=5,$L39=1),1,0)</f>
        <v/>
      </c>
      <c r="UG40">
        <f>UG39+IF(AND($C39=6,$L39=1),1,0)</f>
        <v/>
      </c>
      <c r="UH40">
        <f>UH39+IF(AND($C39=7,$L39=1),1,0)</f>
        <v/>
      </c>
      <c r="UI40">
        <f>UI39+IF(AND($C39=8,$L39=1),1,0)</f>
        <v/>
      </c>
      <c r="UJ40">
        <f>UJ39+IF(AND($C39=9,$L39=1),1,0)</f>
        <v/>
      </c>
      <c r="UK40">
        <f>UK39+IF(AND($C39=10,$L39=1),1,0)</f>
        <v/>
      </c>
      <c r="UL40">
        <f>UL39+IF(AND($C39=11,$L39=1),1,0)</f>
        <v/>
      </c>
      <c r="UM40">
        <f>UM39+IF(AND($C39=12,$L39=1),1,0)</f>
        <v/>
      </c>
      <c r="UN40">
        <f>UN39+IF(AND($C39=13,$L39=1),1,0)</f>
        <v/>
      </c>
      <c r="UO40">
        <f>UO39+IF(AND($C39=14,$L39=1),1,0)</f>
        <v/>
      </c>
      <c r="UP40">
        <f>UP39+IF(AND($C39=15,$L39=1),1,0)</f>
        <v/>
      </c>
      <c r="UQ40">
        <f>UQ39+IF(AND($C39=16,$L39=1),1,0)</f>
        <v/>
      </c>
      <c r="UR40">
        <f>UR39+IF(AND($C39=17,$L39=1),1,0)</f>
        <v/>
      </c>
      <c r="US40">
        <f>US39+IF(AND($C39=18,$L39=1),1,0)</f>
        <v/>
      </c>
      <c r="UT40">
        <f>UT39+IF(AND($C39=19,$L39=1),1,0)</f>
        <v/>
      </c>
      <c r="UU40">
        <f>UU39+IF(AND($C39=20,$L39=1),1,0)</f>
        <v/>
      </c>
      <c r="UV40">
        <f>UV39+IF(AND($C39=21,$L39=1),1,0)</f>
        <v/>
      </c>
      <c r="UW40">
        <f>UW39+IF(AND($C39=22,$L39=1),1,0)</f>
        <v/>
      </c>
      <c r="UX40">
        <f>UX39+IF(AND($C39=23,$L39=1),1,0)</f>
        <v/>
      </c>
      <c r="UY40">
        <f>UY39+IF(AND($C39=24,$L39=1),1,0)</f>
        <v/>
      </c>
      <c r="UZ40">
        <f>UZ39+IF(AND($C39=25,$L39=1),1,0)</f>
        <v/>
      </c>
      <c r="VA40">
        <f>VA39+IF(AND($C39=26,$L39=1),1,0)</f>
        <v/>
      </c>
      <c r="VB40">
        <f>VB39+IF(AND($C39=27,$L39=1),1,0)</f>
        <v/>
      </c>
      <c r="VC40">
        <f>VC39+IF(AND($C39=28,$L39=1),1,0)</f>
        <v/>
      </c>
      <c r="VD40">
        <f>VD39+IF(AND($C39=29,$L39=1),1,0)</f>
        <v/>
      </c>
      <c r="VE40">
        <f>VE39+IF(AND($C39=30,$L39=1),1,0)</f>
        <v/>
      </c>
      <c r="VF40">
        <f>VF39+IF(AND($C39=31,$L39=1),1,0)</f>
        <v/>
      </c>
      <c r="VG40">
        <f>VG39+IF(AND($C39=32,$L39=1),1,0)</f>
        <v/>
      </c>
      <c r="VH40">
        <f>VH39+IF(AND($C39=33,$L39=1),1,0)</f>
        <v/>
      </c>
      <c r="VI40">
        <f>VI39+IF(AND($C39=34,$L39=1),1,0)</f>
        <v/>
      </c>
      <c r="VJ40">
        <f>VJ39+IF(AND($C39=35,$L39=1),1,0)</f>
        <v/>
      </c>
      <c r="VK40">
        <f>VK39+IF(AND($C39=36,$L39=1),1,0)</f>
        <v/>
      </c>
      <c r="VL40">
        <f>VL39+IF(AND($C39=37,$L39=1),1,0)</f>
        <v/>
      </c>
      <c r="VM40">
        <f>VM39+IF(AND($C39=38,$L39=1),1,0)</f>
        <v/>
      </c>
      <c r="VN40">
        <f>VN39+IF(AND($C39=39,$L39=1),1,0)</f>
        <v/>
      </c>
      <c r="VO40">
        <f>VO39+IF(AND($C39=40,$L39=1),1,0)</f>
        <v/>
      </c>
      <c r="VP40">
        <f>VP39+IF(AND($C39=41,$L39=1),1,0)</f>
        <v/>
      </c>
      <c r="VQ40">
        <f>VQ39+IF(AND($C39=42,$L39=1),1,0)</f>
        <v/>
      </c>
      <c r="VR40">
        <f>VR39+IF(AND($C39=43,$L39=1),1,0)</f>
        <v/>
      </c>
      <c r="VS40">
        <f>VS39+IF(AND($C39=44,$L39=1),1,0)</f>
        <v/>
      </c>
      <c r="VT40">
        <f>VT39+IF(AND($C39=45,$L39=1),1,0)</f>
        <v/>
      </c>
      <c r="VU40">
        <f>VU39+IF(AND($C39=46,$L39=1),1,0)</f>
        <v/>
      </c>
      <c r="VV40">
        <f>VV39+IF(AND($C39=47,$L39=1),1,0)</f>
        <v/>
      </c>
      <c r="VW40">
        <f>VW39+IF(AND($C39=48,$L39=1),1,0)</f>
        <v/>
      </c>
      <c r="VX40">
        <f>VX39+IF(AND($C39=49,$L39=1),1,0)</f>
        <v/>
      </c>
      <c r="VY40">
        <f>VY39+IF(AND($C39=50,$L39=1),1,0)</f>
        <v/>
      </c>
      <c r="VZ40">
        <f>VZ39+IF(AND($C39=51,$L39=1),1,0)</f>
        <v/>
      </c>
      <c r="WA40">
        <f>WA39+IF(AND($C39=52,$L39=1),1,0)</f>
        <v/>
      </c>
      <c r="WB40">
        <f>WB39+IF(AND($C39=53,$L39=1),1,0)</f>
        <v/>
      </c>
      <c r="WC40">
        <f>WC39+IF(AND($C39=54,$L39=1),1,0)</f>
        <v/>
      </c>
      <c r="WD40">
        <f>WD39+IF(AND($C39=55,$L39=1),1,0)</f>
        <v/>
      </c>
      <c r="WE40">
        <f>WE39+IF(AND($C39=56,$L39=1),1,0)</f>
        <v/>
      </c>
      <c r="WF40">
        <f>WF39+IF(AND($C39=57,$L39=1),1,0)</f>
        <v/>
      </c>
      <c r="WG40">
        <f>WG39+IF(AND($C39=58,$L39=1),1,0)</f>
        <v/>
      </c>
      <c r="WH40">
        <f>WH39+IF(AND($C39=59,$L39=1),1,0)</f>
        <v/>
      </c>
      <c r="WI40">
        <f>WI39+IF(AND($C39=60,$L39=1),1,0)</f>
        <v/>
      </c>
      <c r="WJ40">
        <f>WJ39+IF(AND($C39=61,$L39=1),1,0)</f>
        <v/>
      </c>
      <c r="WK40">
        <f>WK39+IF(AND($C39=62,$L39=1),1,0)</f>
        <v/>
      </c>
      <c r="WL40">
        <f>WL39+IF(AND($C39=63,$L39=1),1,0)</f>
        <v/>
      </c>
      <c r="WM40">
        <f>WM39+IF(AND($C39=64,$L39=1),1,0)</f>
        <v/>
      </c>
      <c r="WN40">
        <f>WN39+IF(AND($C39=65,$L39=1),1,0)</f>
        <v/>
      </c>
      <c r="WO40">
        <f>WO39+IF(AND($C39=66,$L39=1),1,0)</f>
        <v/>
      </c>
      <c r="WP40">
        <f>WP39+IF(AND($C39=67,$L39=1),1,0)</f>
        <v/>
      </c>
      <c r="WQ40">
        <f>WQ39+IF(AND($C39=68,$L39=1),1,0)</f>
        <v/>
      </c>
      <c r="WR40">
        <f>WR39+IF(AND($C39=69,$L39=1),1,0)</f>
        <v/>
      </c>
      <c r="WS40">
        <f>WS39+IF(AND($C39=70,$L39=1),1,0)</f>
        <v/>
      </c>
      <c r="WT40">
        <f>WT39+IF(AND($C39=71,$L39=1),1,0)</f>
        <v/>
      </c>
      <c r="WU40">
        <f>WU39+IF(AND($C39=72,$L39=1),1,0)</f>
        <v/>
      </c>
      <c r="WV40">
        <f>WV39+IF(AND($C39=73,$L39=1),1,0)</f>
        <v/>
      </c>
      <c r="WW40">
        <f>WW39+IF(AND($C39=74,$L39=1),1,0)</f>
        <v/>
      </c>
      <c r="WX40">
        <f>WX39+IF(AND($C39=75,$L39=1),1,0)</f>
        <v/>
      </c>
      <c r="WY40">
        <f>WY39+IF(AND($C39=76,$L39=1),1,0)</f>
        <v/>
      </c>
      <c r="WZ40">
        <f>WZ39+IF(AND($C39=77,$L39=1),1,0)</f>
        <v/>
      </c>
      <c r="XA40">
        <f>XA39+IF(AND($C39=78,$L39=1),1,0)</f>
        <v/>
      </c>
      <c r="XB40">
        <f>XB39+IF(AND($C39=79,$L39=1),1,0)</f>
        <v/>
      </c>
      <c r="XC40">
        <f>XC39+IF(AND($C39=80,$L39=1),1,0)</f>
        <v/>
      </c>
      <c r="XD40">
        <f>XD39+IF(AND($C39=81,$L39=1),1,0)</f>
        <v/>
      </c>
      <c r="XE40">
        <f>XE39+IF(AND($C39=82,$L39=1),1,0)</f>
        <v/>
      </c>
      <c r="XF40">
        <f>XF39+IF(AND($C39=83,$L39=1),1,0)</f>
        <v/>
      </c>
      <c r="XG40">
        <f>XG39+IF(AND($C39=84,$L39=1),1,0)</f>
        <v/>
      </c>
      <c r="XH40">
        <f>XH39+IF(AND($C39=85,$L39=1),1,0)</f>
        <v/>
      </c>
      <c r="XI40">
        <f>XI39+IF(AND($C39=86,$L39=1),1,0)</f>
        <v/>
      </c>
      <c r="XJ40">
        <f>XJ39+IF(AND($C39=87,$L39=1),1,0)</f>
        <v/>
      </c>
      <c r="XK40">
        <f>XK39+IF(AND($C39=88,$L39=1),1,0)</f>
        <v/>
      </c>
      <c r="XL40">
        <f>XL39+IF(AND($C39=89,$L39=1),1,0)</f>
        <v/>
      </c>
      <c r="XM40">
        <f>XM39+IF(AND($C39=90,$L39=1),1,0)</f>
        <v/>
      </c>
      <c r="XN40">
        <f>XN39+IF(AND($C39=91,$L39=1),1,0)</f>
        <v/>
      </c>
      <c r="XO40">
        <f>XO39+IF(AND($C39=92,$L39=1),1,0)</f>
        <v/>
      </c>
      <c r="XP40">
        <f>XP39+IF(AND($C39=93,$L39=1),1,0)</f>
        <v/>
      </c>
      <c r="XQ40">
        <f>XQ39+IF(AND($C39=94,$L39=1),1,0)</f>
        <v/>
      </c>
      <c r="XR40">
        <f>XR39+IF(AND($C39=95,$L39=1),1,0)</f>
        <v/>
      </c>
      <c r="XS40">
        <f>XS39+IF(AND($C39=96,$L39=1),1,0)</f>
        <v/>
      </c>
      <c r="XT40">
        <f>XT39+IF(AND($C39=97,$L39=1),1,0)</f>
        <v/>
      </c>
      <c r="XU40">
        <f>XU39+IF(AND($C39=98,$L39=1),1,0)</f>
        <v/>
      </c>
      <c r="XV40">
        <f>XV39+IF(AND($C39=99,$L39=1),1,0)</f>
        <v/>
      </c>
      <c r="XW40">
        <f>XW39+IF(AND($C39=100,$L39=1),1,0)</f>
        <v/>
      </c>
      <c r="XX40">
        <f>XX39+IF(AND($C39=101,$L39=1),1,0)</f>
        <v/>
      </c>
      <c r="XY40">
        <f>XY39+IF(AND($C39=102,$L39=1),1,0)</f>
        <v/>
      </c>
      <c r="XZ40">
        <f>XZ39+IF(AND($C39=103,$L39=1),1,0)</f>
        <v/>
      </c>
      <c r="YA40">
        <f>YA39+IF(AND($C39=104,$L39=1),1,0)</f>
        <v/>
      </c>
      <c r="YB40">
        <f>YB39+IF(AND($C39=105,$L39=1),1,0)</f>
        <v/>
      </c>
      <c r="YC40">
        <f>YC39+IF(AND($C39=106,$L39=1),1,0)</f>
        <v/>
      </c>
      <c r="YD40">
        <f>YD39+IF(AND($C39=107,$L39=1),1,0)</f>
        <v/>
      </c>
      <c r="YE40">
        <f>YE39+IF(AND($C39=108,$L39=1),1,0)</f>
        <v/>
      </c>
      <c r="YF40">
        <f>YF39+IF(AND($C39=109,$L39=1),1,0)</f>
        <v/>
      </c>
      <c r="YG40">
        <f>YG39+IF(AND($C39=110,$L39=1),1,0)</f>
        <v/>
      </c>
      <c r="YH40">
        <f>YH39+IF(AND($C39=111,$L39=1),1,0)</f>
        <v/>
      </c>
      <c r="YI40">
        <f>YI39+IF(AND($C39=112,$L39=1),1,0)</f>
        <v/>
      </c>
      <c r="YJ40">
        <f>YJ39+IF(AND($C39=113,$L39=1),1,0)</f>
        <v/>
      </c>
      <c r="YK40">
        <f>YK39+IF(AND($C39=114,$L39=1),1,0)</f>
        <v/>
      </c>
      <c r="YL40">
        <f>YL39+IF(AND($C39=115,$L39=1),1,0)</f>
        <v/>
      </c>
      <c r="YM40">
        <f>YM39+IF(AND($C39=116,$L39=1),1,0)</f>
        <v/>
      </c>
      <c r="YN40">
        <f>YN39+IF(AND($C39=117,$L39=1),1,0)</f>
        <v/>
      </c>
      <c r="YO40">
        <f>YO39+IF(AND($C39=118,$L39=1),1,0)</f>
        <v/>
      </c>
      <c r="YP40">
        <f>YP39+IF(AND($C39=119,$L39=1),1,0)</f>
        <v/>
      </c>
      <c r="YQ40">
        <f>YQ39+IF(AND($C39=120,$L39=1),1,0)</f>
        <v/>
      </c>
      <c r="YR40">
        <f>YR39+IF(AND($C39=121,$L39=1),1,0)</f>
        <v/>
      </c>
      <c r="YS40">
        <f>YS39+IF(AND($C39=122,$L39=1),1,0)</f>
        <v/>
      </c>
      <c r="YT40">
        <f>YT39+IF(AND($C39=123,$L39=1),1,0)</f>
        <v/>
      </c>
      <c r="YU40">
        <f>YU39+IF(AND($C39=124,$L39=1),1,0)</f>
        <v/>
      </c>
      <c r="YV40">
        <f>YV39+IF(AND($C39=125,$L39=1),1,0)</f>
        <v/>
      </c>
      <c r="YW40">
        <f>YW39+IF(AND($C39=126,$L39=1),1,0)</f>
        <v/>
      </c>
      <c r="YX40">
        <f>YX39+IF(AND($C39=127,$L39=1),1,0)</f>
        <v/>
      </c>
      <c r="YY40">
        <f>YY39+IF(AND($C39=128,$L39=1),1,0)</f>
        <v/>
      </c>
      <c r="YZ40">
        <f>YZ39+IF(AND($C39=129,$L39=1),1,0)</f>
        <v/>
      </c>
      <c r="ZA40">
        <f>ZA39+IF(AND($C39=130,$L39=1),1,0)</f>
        <v/>
      </c>
      <c r="ZB40">
        <f>ZB39+IF(AND($C39=131,$L39=1),1,0)</f>
        <v/>
      </c>
      <c r="ZC40">
        <f>ZC39+IF(AND($C39=132,$L39=1),1,0)</f>
        <v/>
      </c>
      <c r="ZD40">
        <f>ZD39+IF(AND($C39=133,$L39=1),1,0)</f>
        <v/>
      </c>
      <c r="ZE40">
        <f>ZE39+IF(AND($C39=134,$L39=1),1,0)</f>
        <v/>
      </c>
      <c r="ZF40">
        <f>ZF39+IF(AND($C39=135,$L39=1),1,0)</f>
        <v/>
      </c>
      <c r="ZG40">
        <f>ZG39+IF(AND($C39=136,$L39=1),1,0)</f>
        <v/>
      </c>
      <c r="ZH40">
        <f>ZH39+IF(AND($C39=137,$L39=1),1,0)</f>
        <v/>
      </c>
      <c r="ZI40">
        <f>ZI39+IF(AND($C39=138,$L39=1),1,0)</f>
        <v/>
      </c>
      <c r="ZJ40">
        <f>ZJ39+IF(AND($C39=139,$L39=1),1,0)</f>
        <v/>
      </c>
      <c r="ZK40">
        <f>ZK39+IF(AND($C39=140,$L39=1),1,0)</f>
        <v/>
      </c>
      <c r="ZL40">
        <f>ZL39+IF(AND($C39=141,$L39=1),1,0)</f>
        <v/>
      </c>
      <c r="ZM40">
        <f>ZM39+IF(AND($C39=142,$L39=1),1,0)</f>
        <v/>
      </c>
      <c r="ZN40">
        <f>ZN39+IF(AND($C39=143,$L39=1),1,0)</f>
        <v/>
      </c>
      <c r="ZO40">
        <f>ZO39+IF(AND($C39=144,$L39=1),1,0)</f>
        <v/>
      </c>
    </row>
    <row r="41">
      <c r="A41" t="n">
        <v>39</v>
      </c>
      <c r="B41">
        <f>IF(MIN(BH41:CZ41)&gt;=1000000,0,MATCH(MIN(BH41:CZ41),BH41:CZ41,0))</f>
        <v/>
      </c>
      <c r="C41">
        <f>IF(MIN(OF41:TS41)&gt;=1000000,0,MATCH(MIN(OF41:TS41),OF41:TS41,0))</f>
        <v/>
      </c>
      <c r="D41">
        <f>IF(C41&gt;0,INDEX('計算A'!$D$5:$EQ$5,C41),0)</f>
        <v/>
      </c>
      <c r="E41">
        <f>IF(B41=0,0,INDEX('計算A'!$IQ$10:$IQ$54,B41))</f>
        <v/>
      </c>
      <c r="F41">
        <f>IF(B41=0,0,INDEX('計算A'!$IP$10:$IP$54,B41))</f>
        <v/>
      </c>
      <c r="G41">
        <f>IF(AND(C41&gt;0,E41&gt;0),IF(AND(INDEX('計算A'!$D$106:$EQ$106,C41)=1,INDEX($IQ41:$OD41,C41)=1),C41+1,0),0)</f>
        <v/>
      </c>
      <c r="H41">
        <f>IF(B41=0,0,INDEX('計算A'!$IW$10:$IW$54,B41))</f>
        <v/>
      </c>
      <c r="I41">
        <f>IF(B41=0,0,MAX(0,INDEX('計算A'!$IT$10:$IT$54,B41)))</f>
        <v/>
      </c>
      <c r="J41">
        <f>IF(I41=0,0,INDEX('計算A'!$D$2:$EQ$2,I41))</f>
        <v/>
      </c>
      <c r="K41">
        <f>IF(I41=0,0,INDEX('計算A'!$D$3:$EQ$3,I41))</f>
        <v/>
      </c>
      <c r="L41">
        <f>IF(B41=0,0,INDEX('計算A'!$IX$10:$IX$54,B41))</f>
        <v/>
      </c>
      <c r="N41">
        <f>MAX(N40,IF($B40=1,1,0))</f>
        <v/>
      </c>
      <c r="O41">
        <f>MAX(O40,IF($B40=2,1,0))</f>
        <v/>
      </c>
      <c r="P41">
        <f>MAX(P40,IF($B40=3,1,0))</f>
        <v/>
      </c>
      <c r="Q41">
        <f>MAX(Q40,IF($B40=4,1,0))</f>
        <v/>
      </c>
      <c r="R41">
        <f>MAX(R40,IF($B40=5,1,0))</f>
        <v/>
      </c>
      <c r="S41">
        <f>MAX(S40,IF($B40=6,1,0))</f>
        <v/>
      </c>
      <c r="T41">
        <f>MAX(T40,IF($B40=7,1,0))</f>
        <v/>
      </c>
      <c r="U41">
        <f>MAX(U40,IF($B40=8,1,0))</f>
        <v/>
      </c>
      <c r="V41">
        <f>MAX(V40,IF($B40=9,1,0))</f>
        <v/>
      </c>
      <c r="W41">
        <f>MAX(W40,IF($B40=10,1,0))</f>
        <v/>
      </c>
      <c r="X41">
        <f>MAX(X40,IF($B40=11,1,0))</f>
        <v/>
      </c>
      <c r="Y41">
        <f>MAX(Y40,IF($B40=12,1,0))</f>
        <v/>
      </c>
      <c r="Z41">
        <f>MAX(Z40,IF($B40=13,1,0))</f>
        <v/>
      </c>
      <c r="AA41">
        <f>MAX(AA40,IF($B40=14,1,0))</f>
        <v/>
      </c>
      <c r="AB41">
        <f>MAX(AB40,IF($B40=15,1,0))</f>
        <v/>
      </c>
      <c r="AC41">
        <f>MAX(AC40,IF($B40=16,1,0))</f>
        <v/>
      </c>
      <c r="AD41">
        <f>MAX(AD40,IF($B40=17,1,0))</f>
        <v/>
      </c>
      <c r="AE41">
        <f>MAX(AE40,IF($B40=18,1,0))</f>
        <v/>
      </c>
      <c r="AF41">
        <f>MAX(AF40,IF($B40=19,1,0))</f>
        <v/>
      </c>
      <c r="AG41">
        <f>MAX(AG40,IF($B40=20,1,0))</f>
        <v/>
      </c>
      <c r="AH41">
        <f>MAX(AH40,IF($B40=21,1,0))</f>
        <v/>
      </c>
      <c r="AI41">
        <f>MAX(AI40,IF($B40=22,1,0))</f>
        <v/>
      </c>
      <c r="AJ41">
        <f>MAX(AJ40,IF($B40=23,1,0))</f>
        <v/>
      </c>
      <c r="AK41">
        <f>MAX(AK40,IF($B40=24,1,0))</f>
        <v/>
      </c>
      <c r="AL41">
        <f>MAX(AL40,IF($B40=25,1,0))</f>
        <v/>
      </c>
      <c r="AM41">
        <f>MAX(AM40,IF($B40=26,1,0))</f>
        <v/>
      </c>
      <c r="AN41">
        <f>MAX(AN40,IF($B40=27,1,0))</f>
        <v/>
      </c>
      <c r="AO41">
        <f>MAX(AO40,IF($B40=28,1,0))</f>
        <v/>
      </c>
      <c r="AP41">
        <f>MAX(AP40,IF($B40=29,1,0))</f>
        <v/>
      </c>
      <c r="AQ41">
        <f>MAX(AQ40,IF($B40=30,1,0))</f>
        <v/>
      </c>
      <c r="AR41">
        <f>MAX(AR40,IF($B40=31,1,0))</f>
        <v/>
      </c>
      <c r="AS41">
        <f>MAX(AS40,IF($B40=32,1,0))</f>
        <v/>
      </c>
      <c r="AT41">
        <f>MAX(AT40,IF($B40=33,1,0))</f>
        <v/>
      </c>
      <c r="AU41">
        <f>MAX(AU40,IF($B40=34,1,0))</f>
        <v/>
      </c>
      <c r="AV41">
        <f>MAX(AV40,IF($B40=35,1,0))</f>
        <v/>
      </c>
      <c r="AW41">
        <f>MAX(AW40,IF($B40=36,1,0))</f>
        <v/>
      </c>
      <c r="AX41">
        <f>MAX(AX40,IF($B40=37,1,0))</f>
        <v/>
      </c>
      <c r="AY41">
        <f>MAX(AY40,IF($B40=38,1,0))</f>
        <v/>
      </c>
      <c r="AZ41">
        <f>MAX(AZ40,IF($B40=39,1,0))</f>
        <v/>
      </c>
      <c r="BA41">
        <f>MAX(BA40,IF($B40=40,1,0))</f>
        <v/>
      </c>
      <c r="BB41">
        <f>MAX(BB40,IF($B40=41,1,0))</f>
        <v/>
      </c>
      <c r="BC41">
        <f>MAX(BC40,IF($B40=42,1,0))</f>
        <v/>
      </c>
      <c r="BD41">
        <f>MAX(BD40,IF($B40=43,1,0))</f>
        <v/>
      </c>
      <c r="BE41">
        <f>MAX(BE40,IF($B40=44,1,0))</f>
        <v/>
      </c>
      <c r="BF41">
        <f>MAX(BF40,IF($B40=45,1,0))</f>
        <v/>
      </c>
      <c r="BH41">
        <f>IF(N41=1,1000000,IF('計算A'!$IT$10&gt;0,0,500000)+IF('計算A'!$IQ$10=2,SUMPRODUCT('計算A'!$D$60:$EQ$60,$DB41:$IO41,$IQ41:$OD41),SUMPRODUCT('計算A'!$D$60:$EQ$60,$DB41:$IO41))*1000+1)</f>
        <v/>
      </c>
      <c r="BI41">
        <f>IF(O41=1,1000000,IF('計算A'!$IT$11&gt;0,0,500000)+IF('計算A'!$IQ$11=2,SUMPRODUCT('計算A'!$D$61:$EQ$61,$DB41:$IO41,$IQ41:$OD41),SUMPRODUCT('計算A'!$D$61:$EQ$61,$DB41:$IO41))*1000+2)</f>
        <v/>
      </c>
      <c r="BJ41">
        <f>IF(P41=1,1000000,IF('計算A'!$IT$12&gt;0,0,500000)+IF('計算A'!$IQ$12=2,SUMPRODUCT('計算A'!$D$62:$EQ$62,$DB41:$IO41,$IQ41:$OD41),SUMPRODUCT('計算A'!$D$62:$EQ$62,$DB41:$IO41))*1000+3)</f>
        <v/>
      </c>
      <c r="BK41">
        <f>IF(Q41=1,1000000,IF('計算A'!$IT$13&gt;0,0,500000)+IF('計算A'!$IQ$13=2,SUMPRODUCT('計算A'!$D$63:$EQ$63,$DB41:$IO41,$IQ41:$OD41),SUMPRODUCT('計算A'!$D$63:$EQ$63,$DB41:$IO41))*1000+4)</f>
        <v/>
      </c>
      <c r="BL41">
        <f>IF(R41=1,1000000,IF('計算A'!$IT$14&gt;0,0,500000)+IF('計算A'!$IQ$14=2,SUMPRODUCT('計算A'!$D$64:$EQ$64,$DB41:$IO41,$IQ41:$OD41),SUMPRODUCT('計算A'!$D$64:$EQ$64,$DB41:$IO41))*1000+5)</f>
        <v/>
      </c>
      <c r="BM41">
        <f>IF(S41=1,1000000,IF('計算A'!$IT$15&gt;0,0,500000)+IF('計算A'!$IQ$15=2,SUMPRODUCT('計算A'!$D$65:$EQ$65,$DB41:$IO41,$IQ41:$OD41),SUMPRODUCT('計算A'!$D$65:$EQ$65,$DB41:$IO41))*1000+6)</f>
        <v/>
      </c>
      <c r="BN41">
        <f>IF(T41=1,1000000,IF('計算A'!$IT$16&gt;0,0,500000)+IF('計算A'!$IQ$16=2,SUMPRODUCT('計算A'!$D$66:$EQ$66,$DB41:$IO41,$IQ41:$OD41),SUMPRODUCT('計算A'!$D$66:$EQ$66,$DB41:$IO41))*1000+7)</f>
        <v/>
      </c>
      <c r="BO41">
        <f>IF(U41=1,1000000,IF('計算A'!$IT$17&gt;0,0,500000)+IF('計算A'!$IQ$17=2,SUMPRODUCT('計算A'!$D$67:$EQ$67,$DB41:$IO41,$IQ41:$OD41),SUMPRODUCT('計算A'!$D$67:$EQ$67,$DB41:$IO41))*1000+8)</f>
        <v/>
      </c>
      <c r="BP41">
        <f>IF(V41=1,1000000,IF('計算A'!$IT$18&gt;0,0,500000)+IF('計算A'!$IQ$18=2,SUMPRODUCT('計算A'!$D$68:$EQ$68,$DB41:$IO41,$IQ41:$OD41),SUMPRODUCT('計算A'!$D$68:$EQ$68,$DB41:$IO41))*1000+9)</f>
        <v/>
      </c>
      <c r="BQ41">
        <f>IF(W41=1,1000000,IF('計算A'!$IT$19&gt;0,0,500000)+IF('計算A'!$IQ$19=2,SUMPRODUCT('計算A'!$D$69:$EQ$69,$DB41:$IO41,$IQ41:$OD41),SUMPRODUCT('計算A'!$D$69:$EQ$69,$DB41:$IO41))*1000+10)</f>
        <v/>
      </c>
      <c r="BR41">
        <f>IF(X41=1,1000000,IF('計算A'!$IT$20&gt;0,0,500000)+IF('計算A'!$IQ$20=2,SUMPRODUCT('計算A'!$D$70:$EQ$70,$DB41:$IO41,$IQ41:$OD41),SUMPRODUCT('計算A'!$D$70:$EQ$70,$DB41:$IO41))*1000+11)</f>
        <v/>
      </c>
      <c r="BS41">
        <f>IF(Y41=1,1000000,IF('計算A'!$IT$21&gt;0,0,500000)+IF('計算A'!$IQ$21=2,SUMPRODUCT('計算A'!$D$71:$EQ$71,$DB41:$IO41,$IQ41:$OD41),SUMPRODUCT('計算A'!$D$71:$EQ$71,$DB41:$IO41))*1000+12)</f>
        <v/>
      </c>
      <c r="BT41">
        <f>IF(Z41=1,1000000,IF('計算A'!$IT$22&gt;0,0,500000)+IF('計算A'!$IQ$22=2,SUMPRODUCT('計算A'!$D$72:$EQ$72,$DB41:$IO41,$IQ41:$OD41),SUMPRODUCT('計算A'!$D$72:$EQ$72,$DB41:$IO41))*1000+13)</f>
        <v/>
      </c>
      <c r="BU41">
        <f>IF(AA41=1,1000000,IF('計算A'!$IT$23&gt;0,0,500000)+IF('計算A'!$IQ$23=2,SUMPRODUCT('計算A'!$D$73:$EQ$73,$DB41:$IO41,$IQ41:$OD41),SUMPRODUCT('計算A'!$D$73:$EQ$73,$DB41:$IO41))*1000+14)</f>
        <v/>
      </c>
      <c r="BV41">
        <f>IF(AB41=1,1000000,IF('計算A'!$IT$24&gt;0,0,500000)+IF('計算A'!$IQ$24=2,SUMPRODUCT('計算A'!$D$74:$EQ$74,$DB41:$IO41,$IQ41:$OD41),SUMPRODUCT('計算A'!$D$74:$EQ$74,$DB41:$IO41))*1000+15)</f>
        <v/>
      </c>
      <c r="BW41">
        <f>IF(AC41=1,1000000,IF('計算A'!$IT$25&gt;0,0,500000)+IF('計算A'!$IQ$25=2,SUMPRODUCT('計算A'!$D$75:$EQ$75,$DB41:$IO41,$IQ41:$OD41),SUMPRODUCT('計算A'!$D$75:$EQ$75,$DB41:$IO41))*1000+16)</f>
        <v/>
      </c>
      <c r="BX41">
        <f>IF(AD41=1,1000000,IF('計算A'!$IT$26&gt;0,0,500000)+IF('計算A'!$IQ$26=2,SUMPRODUCT('計算A'!$D$76:$EQ$76,$DB41:$IO41,$IQ41:$OD41),SUMPRODUCT('計算A'!$D$76:$EQ$76,$DB41:$IO41))*1000+17)</f>
        <v/>
      </c>
      <c r="BY41">
        <f>IF(AE41=1,1000000,IF('計算A'!$IT$27&gt;0,0,500000)+IF('計算A'!$IQ$27=2,SUMPRODUCT('計算A'!$D$77:$EQ$77,$DB41:$IO41,$IQ41:$OD41),SUMPRODUCT('計算A'!$D$77:$EQ$77,$DB41:$IO41))*1000+18)</f>
        <v/>
      </c>
      <c r="BZ41">
        <f>IF(AF41=1,1000000,IF('計算A'!$IT$28&gt;0,0,500000)+IF('計算A'!$IQ$28=2,SUMPRODUCT('計算A'!$D$78:$EQ$78,$DB41:$IO41,$IQ41:$OD41),SUMPRODUCT('計算A'!$D$78:$EQ$78,$DB41:$IO41))*1000+19)</f>
        <v/>
      </c>
      <c r="CA41">
        <f>IF(AG41=1,1000000,IF('計算A'!$IT$29&gt;0,0,500000)+IF('計算A'!$IQ$29=2,SUMPRODUCT('計算A'!$D$79:$EQ$79,$DB41:$IO41,$IQ41:$OD41),SUMPRODUCT('計算A'!$D$79:$EQ$79,$DB41:$IO41))*1000+20)</f>
        <v/>
      </c>
      <c r="CB41">
        <f>IF(AH41=1,1000000,IF('計算A'!$IT$30&gt;0,0,500000)+IF('計算A'!$IQ$30=2,SUMPRODUCT('計算A'!$D$80:$EQ$80,$DB41:$IO41,$IQ41:$OD41),SUMPRODUCT('計算A'!$D$80:$EQ$80,$DB41:$IO41))*1000+21)</f>
        <v/>
      </c>
      <c r="CC41">
        <f>IF(AI41=1,1000000,IF('計算A'!$IT$31&gt;0,0,500000)+IF('計算A'!$IQ$31=2,SUMPRODUCT('計算A'!$D$81:$EQ$81,$DB41:$IO41,$IQ41:$OD41),SUMPRODUCT('計算A'!$D$81:$EQ$81,$DB41:$IO41))*1000+22)</f>
        <v/>
      </c>
      <c r="CD41">
        <f>IF(AJ41=1,1000000,IF('計算A'!$IT$32&gt;0,0,500000)+IF('計算A'!$IQ$32=2,SUMPRODUCT('計算A'!$D$82:$EQ$82,$DB41:$IO41,$IQ41:$OD41),SUMPRODUCT('計算A'!$D$82:$EQ$82,$DB41:$IO41))*1000+23)</f>
        <v/>
      </c>
      <c r="CE41">
        <f>IF(AK41=1,1000000,IF('計算A'!$IT$33&gt;0,0,500000)+IF('計算A'!$IQ$33=2,SUMPRODUCT('計算A'!$D$83:$EQ$83,$DB41:$IO41,$IQ41:$OD41),SUMPRODUCT('計算A'!$D$83:$EQ$83,$DB41:$IO41))*1000+24)</f>
        <v/>
      </c>
      <c r="CF41">
        <f>IF(AL41=1,1000000,IF('計算A'!$IT$34&gt;0,0,500000)+IF('計算A'!$IQ$34=2,SUMPRODUCT('計算A'!$D$84:$EQ$84,$DB41:$IO41,$IQ41:$OD41),SUMPRODUCT('計算A'!$D$84:$EQ$84,$DB41:$IO41))*1000+25)</f>
        <v/>
      </c>
      <c r="CG41">
        <f>IF(AM41=1,1000000,IF('計算A'!$IT$35&gt;0,0,500000)+IF('計算A'!$IQ$35=2,SUMPRODUCT('計算A'!$D$85:$EQ$85,$DB41:$IO41,$IQ41:$OD41),SUMPRODUCT('計算A'!$D$85:$EQ$85,$DB41:$IO41))*1000+26)</f>
        <v/>
      </c>
      <c r="CH41">
        <f>IF(AN41=1,1000000,IF('計算A'!$IT$36&gt;0,0,500000)+IF('計算A'!$IQ$36=2,SUMPRODUCT('計算A'!$D$86:$EQ$86,$DB41:$IO41,$IQ41:$OD41),SUMPRODUCT('計算A'!$D$86:$EQ$86,$DB41:$IO41))*1000+27)</f>
        <v/>
      </c>
      <c r="CI41">
        <f>IF(AO41=1,1000000,IF('計算A'!$IT$37&gt;0,0,500000)+IF('計算A'!$IQ$37=2,SUMPRODUCT('計算A'!$D$87:$EQ$87,$DB41:$IO41,$IQ41:$OD41),SUMPRODUCT('計算A'!$D$87:$EQ$87,$DB41:$IO41))*1000+28)</f>
        <v/>
      </c>
      <c r="CJ41">
        <f>IF(AP41=1,1000000,IF('計算A'!$IT$38&gt;0,0,500000)+IF('計算A'!$IQ$38=2,SUMPRODUCT('計算A'!$D$88:$EQ$88,$DB41:$IO41,$IQ41:$OD41),SUMPRODUCT('計算A'!$D$88:$EQ$88,$DB41:$IO41))*1000+29)</f>
        <v/>
      </c>
      <c r="CK41">
        <f>IF(AQ41=1,1000000,IF('計算A'!$IT$39&gt;0,0,500000)+IF('計算A'!$IQ$39=2,SUMPRODUCT('計算A'!$D$89:$EQ$89,$DB41:$IO41,$IQ41:$OD41),SUMPRODUCT('計算A'!$D$89:$EQ$89,$DB41:$IO41))*1000+30)</f>
        <v/>
      </c>
      <c r="CL41">
        <f>IF(AR41=1,1000000,IF('計算A'!$IT$40&gt;0,0,500000)+IF('計算A'!$IQ$40=2,SUMPRODUCT('計算A'!$D$90:$EQ$90,$DB41:$IO41,$IQ41:$OD41),SUMPRODUCT('計算A'!$D$90:$EQ$90,$DB41:$IO41))*1000+31)</f>
        <v/>
      </c>
      <c r="CM41">
        <f>IF(AS41=1,1000000,IF('計算A'!$IT$41&gt;0,0,500000)+IF('計算A'!$IQ$41=2,SUMPRODUCT('計算A'!$D$91:$EQ$91,$DB41:$IO41,$IQ41:$OD41),SUMPRODUCT('計算A'!$D$91:$EQ$91,$DB41:$IO41))*1000+32)</f>
        <v/>
      </c>
      <c r="CN41">
        <f>IF(AT41=1,1000000,IF('計算A'!$IT$42&gt;0,0,500000)+IF('計算A'!$IQ$42=2,SUMPRODUCT('計算A'!$D$92:$EQ$92,$DB41:$IO41,$IQ41:$OD41),SUMPRODUCT('計算A'!$D$92:$EQ$92,$DB41:$IO41))*1000+33)</f>
        <v/>
      </c>
      <c r="CO41">
        <f>IF(AU41=1,1000000,IF('計算A'!$IT$43&gt;0,0,500000)+IF('計算A'!$IQ$43=2,SUMPRODUCT('計算A'!$D$93:$EQ$93,$DB41:$IO41,$IQ41:$OD41),SUMPRODUCT('計算A'!$D$93:$EQ$93,$DB41:$IO41))*1000+34)</f>
        <v/>
      </c>
      <c r="CP41">
        <f>IF(AV41=1,1000000,IF('計算A'!$IT$44&gt;0,0,500000)+IF('計算A'!$IQ$44=2,SUMPRODUCT('計算A'!$D$94:$EQ$94,$DB41:$IO41,$IQ41:$OD41),SUMPRODUCT('計算A'!$D$94:$EQ$94,$DB41:$IO41))*1000+35)</f>
        <v/>
      </c>
      <c r="CQ41">
        <f>IF(AW41=1,1000000,IF('計算A'!$IT$45&gt;0,0,500000)+IF('計算A'!$IQ$45=2,SUMPRODUCT('計算A'!$D$95:$EQ$95,$DB41:$IO41,$IQ41:$OD41),SUMPRODUCT('計算A'!$D$95:$EQ$95,$DB41:$IO41))*1000+36)</f>
        <v/>
      </c>
      <c r="CR41">
        <f>IF(AX41=1,1000000,IF('計算A'!$IT$46&gt;0,0,500000)+IF('計算A'!$IQ$46=2,SUMPRODUCT('計算A'!$D$96:$EQ$96,$DB41:$IO41,$IQ41:$OD41),SUMPRODUCT('計算A'!$D$96:$EQ$96,$DB41:$IO41))*1000+37)</f>
        <v/>
      </c>
      <c r="CS41">
        <f>IF(AY41=1,1000000,IF('計算A'!$IT$47&gt;0,0,500000)+IF('計算A'!$IQ$47=2,SUMPRODUCT('計算A'!$D$97:$EQ$97,$DB41:$IO41,$IQ41:$OD41),SUMPRODUCT('計算A'!$D$97:$EQ$97,$DB41:$IO41))*1000+38)</f>
        <v/>
      </c>
      <c r="CT41">
        <f>IF(AZ41=1,1000000,IF('計算A'!$IT$48&gt;0,0,500000)+IF('計算A'!$IQ$48=2,SUMPRODUCT('計算A'!$D$98:$EQ$98,$DB41:$IO41,$IQ41:$OD41),SUMPRODUCT('計算A'!$D$98:$EQ$98,$DB41:$IO41))*1000+39)</f>
        <v/>
      </c>
      <c r="CU41">
        <f>IF(BA41=1,1000000,IF('計算A'!$IT$49&gt;0,0,500000)+IF('計算A'!$IQ$49=2,SUMPRODUCT('計算A'!$D$99:$EQ$99,$DB41:$IO41,$IQ41:$OD41),SUMPRODUCT('計算A'!$D$99:$EQ$99,$DB41:$IO41))*1000+40)</f>
        <v/>
      </c>
      <c r="CV41">
        <f>IF(BB41=1,1000000,IF('計算A'!$IT$50&gt;0,0,500000)+IF('計算A'!$IQ$50=2,SUMPRODUCT('計算A'!$D$100:$EQ$100,$DB41:$IO41,$IQ41:$OD41),SUMPRODUCT('計算A'!$D$100:$EQ$100,$DB41:$IO41))*1000+41)</f>
        <v/>
      </c>
      <c r="CW41">
        <f>IF(BC41=1,1000000,IF('計算A'!$IT$51&gt;0,0,500000)+IF('計算A'!$IQ$51=2,SUMPRODUCT('計算A'!$D$101:$EQ$101,$DB41:$IO41,$IQ41:$OD41),SUMPRODUCT('計算A'!$D$101:$EQ$101,$DB41:$IO41))*1000+42)</f>
        <v/>
      </c>
      <c r="CX41">
        <f>IF(BD41=1,1000000,IF('計算A'!$IT$52&gt;0,0,500000)+IF('計算A'!$IQ$52=2,SUMPRODUCT('計算A'!$D$102:$EQ$102,$DB41:$IO41,$IQ41:$OD41),SUMPRODUCT('計算A'!$D$102:$EQ$102,$DB41:$IO41))*1000+43)</f>
        <v/>
      </c>
      <c r="CY41">
        <f>IF(BE41=1,1000000,IF('計算A'!$IT$53&gt;0,0,500000)+IF('計算A'!$IQ$53=2,SUMPRODUCT('計算A'!$D$103:$EQ$103,$DB41:$IO41,$IQ41:$OD41),SUMPRODUCT('計算A'!$D$103:$EQ$103,$DB41:$IO41))*1000+44)</f>
        <v/>
      </c>
      <c r="CZ41">
        <f>IF(BF41=1,1000000,IF('計算A'!$IT$54&gt;0,0,500000)+IF('計算A'!$IQ$54=2,SUMPRODUCT('計算A'!$D$104:$EQ$104,$DB41:$IO41,$IQ41:$OD41),SUMPRODUCT('計算A'!$D$104:$EQ$104,$DB41:$IO41))*1000+45)</f>
        <v/>
      </c>
      <c r="DB41">
        <f>DB40*IF(OR($C40=1,$G40=1),0,1)</f>
        <v/>
      </c>
      <c r="DC41">
        <f>DC40*IF(OR($C40=2,$G40=2),0,1)</f>
        <v/>
      </c>
      <c r="DD41">
        <f>DD40*IF(OR($C40=3,$G40=3),0,1)</f>
        <v/>
      </c>
      <c r="DE41">
        <f>DE40*IF(OR($C40=4,$G40=4),0,1)</f>
        <v/>
      </c>
      <c r="DF41">
        <f>DF40*IF(OR($C40=5,$G40=5),0,1)</f>
        <v/>
      </c>
      <c r="DG41">
        <f>DG40*IF(OR($C40=6,$G40=6),0,1)</f>
        <v/>
      </c>
      <c r="DH41">
        <f>DH40*IF(OR($C40=7,$G40=7),0,1)</f>
        <v/>
      </c>
      <c r="DI41">
        <f>DI40*IF(OR($C40=8,$G40=8),0,1)</f>
        <v/>
      </c>
      <c r="DJ41">
        <f>DJ40*IF(OR($C40=9,$G40=9),0,1)</f>
        <v/>
      </c>
      <c r="DK41">
        <f>DK40*IF(OR($C40=10,$G40=10),0,1)</f>
        <v/>
      </c>
      <c r="DL41">
        <f>DL40*IF(OR($C40=11,$G40=11),0,1)</f>
        <v/>
      </c>
      <c r="DM41">
        <f>DM40*IF(OR($C40=12,$G40=12),0,1)</f>
        <v/>
      </c>
      <c r="DN41">
        <f>DN40*IF(OR($C40=13,$G40=13),0,1)</f>
        <v/>
      </c>
      <c r="DO41">
        <f>DO40*IF(OR($C40=14,$G40=14),0,1)</f>
        <v/>
      </c>
      <c r="DP41">
        <f>DP40*IF(OR($C40=15,$G40=15),0,1)</f>
        <v/>
      </c>
      <c r="DQ41">
        <f>DQ40*IF(OR($C40=16,$G40=16),0,1)</f>
        <v/>
      </c>
      <c r="DR41">
        <f>DR40*IF(OR($C40=17,$G40=17),0,1)</f>
        <v/>
      </c>
      <c r="DS41">
        <f>DS40*IF(OR($C40=18,$G40=18),0,1)</f>
        <v/>
      </c>
      <c r="DT41">
        <f>DT40*IF(OR($C40=19,$G40=19),0,1)</f>
        <v/>
      </c>
      <c r="DU41">
        <f>DU40*IF(OR($C40=20,$G40=20),0,1)</f>
        <v/>
      </c>
      <c r="DV41">
        <f>DV40*IF(OR($C40=21,$G40=21),0,1)</f>
        <v/>
      </c>
      <c r="DW41">
        <f>DW40*IF(OR($C40=22,$G40=22),0,1)</f>
        <v/>
      </c>
      <c r="DX41">
        <f>DX40*IF(OR($C40=23,$G40=23),0,1)</f>
        <v/>
      </c>
      <c r="DY41">
        <f>DY40*IF(OR($C40=24,$G40=24),0,1)</f>
        <v/>
      </c>
      <c r="DZ41">
        <f>DZ40*IF(OR($C40=25,$G40=25),0,1)</f>
        <v/>
      </c>
      <c r="EA41">
        <f>EA40*IF(OR($C40=26,$G40=26),0,1)</f>
        <v/>
      </c>
      <c r="EB41">
        <f>EB40*IF(OR($C40=27,$G40=27),0,1)</f>
        <v/>
      </c>
      <c r="EC41">
        <f>EC40*IF(OR($C40=28,$G40=28),0,1)</f>
        <v/>
      </c>
      <c r="ED41">
        <f>ED40*IF(OR($C40=29,$G40=29),0,1)</f>
        <v/>
      </c>
      <c r="EE41">
        <f>EE40*IF(OR($C40=30,$G40=30),0,1)</f>
        <v/>
      </c>
      <c r="EF41">
        <f>EF40*IF(OR($C40=31,$G40=31),0,1)</f>
        <v/>
      </c>
      <c r="EG41">
        <f>EG40*IF(OR($C40=32,$G40=32),0,1)</f>
        <v/>
      </c>
      <c r="EH41">
        <f>EH40*IF(OR($C40=33,$G40=33),0,1)</f>
        <v/>
      </c>
      <c r="EI41">
        <f>EI40*IF(OR($C40=34,$G40=34),0,1)</f>
        <v/>
      </c>
      <c r="EJ41">
        <f>EJ40*IF(OR($C40=35,$G40=35),0,1)</f>
        <v/>
      </c>
      <c r="EK41">
        <f>EK40*IF(OR($C40=36,$G40=36),0,1)</f>
        <v/>
      </c>
      <c r="EL41">
        <f>EL40*IF(OR($C40=37,$G40=37),0,1)</f>
        <v/>
      </c>
      <c r="EM41">
        <f>EM40*IF(OR($C40=38,$G40=38),0,1)</f>
        <v/>
      </c>
      <c r="EN41">
        <f>EN40*IF(OR($C40=39,$G40=39),0,1)</f>
        <v/>
      </c>
      <c r="EO41">
        <f>EO40*IF(OR($C40=40,$G40=40),0,1)</f>
        <v/>
      </c>
      <c r="EP41">
        <f>EP40*IF(OR($C40=41,$G40=41),0,1)</f>
        <v/>
      </c>
      <c r="EQ41">
        <f>EQ40*IF(OR($C40=42,$G40=42),0,1)</f>
        <v/>
      </c>
      <c r="ER41">
        <f>ER40*IF(OR($C40=43,$G40=43),0,1)</f>
        <v/>
      </c>
      <c r="ES41">
        <f>ES40*IF(OR($C40=44,$G40=44),0,1)</f>
        <v/>
      </c>
      <c r="ET41">
        <f>ET40*IF(OR($C40=45,$G40=45),0,1)</f>
        <v/>
      </c>
      <c r="EU41">
        <f>EU40*IF(OR($C40=46,$G40=46),0,1)</f>
        <v/>
      </c>
      <c r="EV41">
        <f>EV40*IF(OR($C40=47,$G40=47),0,1)</f>
        <v/>
      </c>
      <c r="EW41">
        <f>EW40*IF(OR($C40=48,$G40=48),0,1)</f>
        <v/>
      </c>
      <c r="EX41">
        <f>EX40*IF(OR($C40=49,$G40=49),0,1)</f>
        <v/>
      </c>
      <c r="EY41">
        <f>EY40*IF(OR($C40=50,$G40=50),0,1)</f>
        <v/>
      </c>
      <c r="EZ41">
        <f>EZ40*IF(OR($C40=51,$G40=51),0,1)</f>
        <v/>
      </c>
      <c r="FA41">
        <f>FA40*IF(OR($C40=52,$G40=52),0,1)</f>
        <v/>
      </c>
      <c r="FB41">
        <f>FB40*IF(OR($C40=53,$G40=53),0,1)</f>
        <v/>
      </c>
      <c r="FC41">
        <f>FC40*IF(OR($C40=54,$G40=54),0,1)</f>
        <v/>
      </c>
      <c r="FD41">
        <f>FD40*IF(OR($C40=55,$G40=55),0,1)</f>
        <v/>
      </c>
      <c r="FE41">
        <f>FE40*IF(OR($C40=56,$G40=56),0,1)</f>
        <v/>
      </c>
      <c r="FF41">
        <f>FF40*IF(OR($C40=57,$G40=57),0,1)</f>
        <v/>
      </c>
      <c r="FG41">
        <f>FG40*IF(OR($C40=58,$G40=58),0,1)</f>
        <v/>
      </c>
      <c r="FH41">
        <f>FH40*IF(OR($C40=59,$G40=59),0,1)</f>
        <v/>
      </c>
      <c r="FI41">
        <f>FI40*IF(OR($C40=60,$G40=60),0,1)</f>
        <v/>
      </c>
      <c r="FJ41">
        <f>FJ40*IF(OR($C40=61,$G40=61),0,1)</f>
        <v/>
      </c>
      <c r="FK41">
        <f>FK40*IF(OR($C40=62,$G40=62),0,1)</f>
        <v/>
      </c>
      <c r="FL41">
        <f>FL40*IF(OR($C40=63,$G40=63),0,1)</f>
        <v/>
      </c>
      <c r="FM41">
        <f>FM40*IF(OR($C40=64,$G40=64),0,1)</f>
        <v/>
      </c>
      <c r="FN41">
        <f>FN40*IF(OR($C40=65,$G40=65),0,1)</f>
        <v/>
      </c>
      <c r="FO41">
        <f>FO40*IF(OR($C40=66,$G40=66),0,1)</f>
        <v/>
      </c>
      <c r="FP41">
        <f>FP40*IF(OR($C40=67,$G40=67),0,1)</f>
        <v/>
      </c>
      <c r="FQ41">
        <f>FQ40*IF(OR($C40=68,$G40=68),0,1)</f>
        <v/>
      </c>
      <c r="FR41">
        <f>FR40*IF(OR($C40=69,$G40=69),0,1)</f>
        <v/>
      </c>
      <c r="FS41">
        <f>FS40*IF(OR($C40=70,$G40=70),0,1)</f>
        <v/>
      </c>
      <c r="FT41">
        <f>FT40*IF(OR($C40=71,$G40=71),0,1)</f>
        <v/>
      </c>
      <c r="FU41">
        <f>FU40*IF(OR($C40=72,$G40=72),0,1)</f>
        <v/>
      </c>
      <c r="FV41">
        <f>FV40*IF(OR($C40=73,$G40=73),0,1)</f>
        <v/>
      </c>
      <c r="FW41">
        <f>FW40*IF(OR($C40=74,$G40=74),0,1)</f>
        <v/>
      </c>
      <c r="FX41">
        <f>FX40*IF(OR($C40=75,$G40=75),0,1)</f>
        <v/>
      </c>
      <c r="FY41">
        <f>FY40*IF(OR($C40=76,$G40=76),0,1)</f>
        <v/>
      </c>
      <c r="FZ41">
        <f>FZ40*IF(OR($C40=77,$G40=77),0,1)</f>
        <v/>
      </c>
      <c r="GA41">
        <f>GA40*IF(OR($C40=78,$G40=78),0,1)</f>
        <v/>
      </c>
      <c r="GB41">
        <f>GB40*IF(OR($C40=79,$G40=79),0,1)</f>
        <v/>
      </c>
      <c r="GC41">
        <f>GC40*IF(OR($C40=80,$G40=80),0,1)</f>
        <v/>
      </c>
      <c r="GD41">
        <f>GD40*IF(OR($C40=81,$G40=81),0,1)</f>
        <v/>
      </c>
      <c r="GE41">
        <f>GE40*IF(OR($C40=82,$G40=82),0,1)</f>
        <v/>
      </c>
      <c r="GF41">
        <f>GF40*IF(OR($C40=83,$G40=83),0,1)</f>
        <v/>
      </c>
      <c r="GG41">
        <f>GG40*IF(OR($C40=84,$G40=84),0,1)</f>
        <v/>
      </c>
      <c r="GH41">
        <f>GH40*IF(OR($C40=85,$G40=85),0,1)</f>
        <v/>
      </c>
      <c r="GI41">
        <f>GI40*IF(OR($C40=86,$G40=86),0,1)</f>
        <v/>
      </c>
      <c r="GJ41">
        <f>GJ40*IF(OR($C40=87,$G40=87),0,1)</f>
        <v/>
      </c>
      <c r="GK41">
        <f>GK40*IF(OR($C40=88,$G40=88),0,1)</f>
        <v/>
      </c>
      <c r="GL41">
        <f>GL40*IF(OR($C40=89,$G40=89),0,1)</f>
        <v/>
      </c>
      <c r="GM41">
        <f>GM40*IF(OR($C40=90,$G40=90),0,1)</f>
        <v/>
      </c>
      <c r="GN41">
        <f>GN40*IF(OR($C40=91,$G40=91),0,1)</f>
        <v/>
      </c>
      <c r="GO41">
        <f>GO40*IF(OR($C40=92,$G40=92),0,1)</f>
        <v/>
      </c>
      <c r="GP41">
        <f>GP40*IF(OR($C40=93,$G40=93),0,1)</f>
        <v/>
      </c>
      <c r="GQ41">
        <f>GQ40*IF(OR($C40=94,$G40=94),0,1)</f>
        <v/>
      </c>
      <c r="GR41">
        <f>GR40*IF(OR($C40=95,$G40=95),0,1)</f>
        <v/>
      </c>
      <c r="GS41">
        <f>GS40*IF(OR($C40=96,$G40=96),0,1)</f>
        <v/>
      </c>
      <c r="GT41">
        <f>GT40*IF(OR($C40=97,$G40=97),0,1)</f>
        <v/>
      </c>
      <c r="GU41">
        <f>GU40*IF(OR($C40=98,$G40=98),0,1)</f>
        <v/>
      </c>
      <c r="GV41">
        <f>GV40*IF(OR($C40=99,$G40=99),0,1)</f>
        <v/>
      </c>
      <c r="GW41">
        <f>GW40*IF(OR($C40=100,$G40=100),0,1)</f>
        <v/>
      </c>
      <c r="GX41">
        <f>GX40*IF(OR($C40=101,$G40=101),0,1)</f>
        <v/>
      </c>
      <c r="GY41">
        <f>GY40*IF(OR($C40=102,$G40=102),0,1)</f>
        <v/>
      </c>
      <c r="GZ41">
        <f>GZ40*IF(OR($C40=103,$G40=103),0,1)</f>
        <v/>
      </c>
      <c r="HA41">
        <f>HA40*IF(OR($C40=104,$G40=104),0,1)</f>
        <v/>
      </c>
      <c r="HB41">
        <f>HB40*IF(OR($C40=105,$G40=105),0,1)</f>
        <v/>
      </c>
      <c r="HC41">
        <f>HC40*IF(OR($C40=106,$G40=106),0,1)</f>
        <v/>
      </c>
      <c r="HD41">
        <f>HD40*IF(OR($C40=107,$G40=107),0,1)</f>
        <v/>
      </c>
      <c r="HE41">
        <f>HE40*IF(OR($C40=108,$G40=108),0,1)</f>
        <v/>
      </c>
      <c r="HF41">
        <f>HF40*IF(OR($C40=109,$G40=109),0,1)</f>
        <v/>
      </c>
      <c r="HG41">
        <f>HG40*IF(OR($C40=110,$G40=110),0,1)</f>
        <v/>
      </c>
      <c r="HH41">
        <f>HH40*IF(OR($C40=111,$G40=111),0,1)</f>
        <v/>
      </c>
      <c r="HI41">
        <f>HI40*IF(OR($C40=112,$G40=112),0,1)</f>
        <v/>
      </c>
      <c r="HJ41">
        <f>HJ40*IF(OR($C40=113,$G40=113),0,1)</f>
        <v/>
      </c>
      <c r="HK41">
        <f>HK40*IF(OR($C40=114,$G40=114),0,1)</f>
        <v/>
      </c>
      <c r="HL41">
        <f>HL40*IF(OR($C40=115,$G40=115),0,1)</f>
        <v/>
      </c>
      <c r="HM41">
        <f>HM40*IF(OR($C40=116,$G40=116),0,1)</f>
        <v/>
      </c>
      <c r="HN41">
        <f>HN40*IF(OR($C40=117,$G40=117),0,1)</f>
        <v/>
      </c>
      <c r="HO41">
        <f>HO40*IF(OR($C40=118,$G40=118),0,1)</f>
        <v/>
      </c>
      <c r="HP41">
        <f>HP40*IF(OR($C40=119,$G40=119),0,1)</f>
        <v/>
      </c>
      <c r="HQ41">
        <f>HQ40*IF(OR($C40=120,$G40=120),0,1)</f>
        <v/>
      </c>
      <c r="HR41">
        <f>HR40*IF(OR($C40=121,$G40=121),0,1)</f>
        <v/>
      </c>
      <c r="HS41">
        <f>HS40*IF(OR($C40=122,$G40=122),0,1)</f>
        <v/>
      </c>
      <c r="HT41">
        <f>HT40*IF(OR($C40=123,$G40=123),0,1)</f>
        <v/>
      </c>
      <c r="HU41">
        <f>HU40*IF(OR($C40=124,$G40=124),0,1)</f>
        <v/>
      </c>
      <c r="HV41">
        <f>HV40*IF(OR($C40=125,$G40=125),0,1)</f>
        <v/>
      </c>
      <c r="HW41">
        <f>HW40*IF(OR($C40=126,$G40=126),0,1)</f>
        <v/>
      </c>
      <c r="HX41">
        <f>HX40*IF(OR($C40=127,$G40=127),0,1)</f>
        <v/>
      </c>
      <c r="HY41">
        <f>HY40*IF(OR($C40=128,$G40=128),0,1)</f>
        <v/>
      </c>
      <c r="HZ41">
        <f>HZ40*IF(OR($C40=129,$G40=129),0,1)</f>
        <v/>
      </c>
      <c r="IA41">
        <f>IA40*IF(OR($C40=130,$G40=130),0,1)</f>
        <v/>
      </c>
      <c r="IB41">
        <f>IB40*IF(OR($C40=131,$G40=131),0,1)</f>
        <v/>
      </c>
      <c r="IC41">
        <f>IC40*IF(OR($C40=132,$G40=132),0,1)</f>
        <v/>
      </c>
      <c r="ID41">
        <f>ID40*IF(OR($C40=133,$G40=133),0,1)</f>
        <v/>
      </c>
      <c r="IE41">
        <f>IE40*IF(OR($C40=134,$G40=134),0,1)</f>
        <v/>
      </c>
      <c r="IF41">
        <f>IF40*IF(OR($C40=135,$G40=135),0,1)</f>
        <v/>
      </c>
      <c r="IG41">
        <f>IG40*IF(OR($C40=136,$G40=136),0,1)</f>
        <v/>
      </c>
      <c r="IH41">
        <f>IH40*IF(OR($C40=137,$G40=137),0,1)</f>
        <v/>
      </c>
      <c r="II41">
        <f>II40*IF(OR($C40=138,$G40=138),0,1)</f>
        <v/>
      </c>
      <c r="IJ41">
        <f>IJ40*IF(OR($C40=139,$G40=139),0,1)</f>
        <v/>
      </c>
      <c r="IK41">
        <f>IK40*IF(OR($C40=140,$G40=140),0,1)</f>
        <v/>
      </c>
      <c r="IL41">
        <f>IL40*IF(OR($C40=141,$G40=141),0,1)</f>
        <v/>
      </c>
      <c r="IM41">
        <f>IM40*IF(OR($C40=142,$G40=142),0,1)</f>
        <v/>
      </c>
      <c r="IN41">
        <f>IN40*IF(OR($C40=143,$G40=143),0,1)</f>
        <v/>
      </c>
      <c r="IO41">
        <f>IO40*IF(OR($C40=144,$G40=144),0,1)</f>
        <v/>
      </c>
      <c r="IQ41">
        <f>IF('計算A'!D$106=1,DC41,1)</f>
        <v/>
      </c>
      <c r="IR41">
        <f>IF('計算A'!E$106=1,DD41,1)</f>
        <v/>
      </c>
      <c r="IS41">
        <f>IF('計算A'!F$106=1,DE41,1)</f>
        <v/>
      </c>
      <c r="IT41">
        <f>IF('計算A'!G$106=1,DF41,1)</f>
        <v/>
      </c>
      <c r="IU41">
        <f>IF('計算A'!H$106=1,DG41,1)</f>
        <v/>
      </c>
      <c r="IV41">
        <f>IF('計算A'!I$106=1,DH41,1)</f>
        <v/>
      </c>
      <c r="IW41">
        <f>IF('計算A'!J$106=1,DI41,1)</f>
        <v/>
      </c>
      <c r="IX41">
        <f>IF('計算A'!K$106=1,DJ41,1)</f>
        <v/>
      </c>
      <c r="IY41">
        <f>IF('計算A'!L$106=1,DK41,1)</f>
        <v/>
      </c>
      <c r="IZ41">
        <f>IF('計算A'!M$106=1,DL41,1)</f>
        <v/>
      </c>
      <c r="JA41">
        <f>IF('計算A'!N$106=1,DM41,1)</f>
        <v/>
      </c>
      <c r="JB41">
        <f>IF('計算A'!O$106=1,DN41,1)</f>
        <v/>
      </c>
      <c r="JC41">
        <f>IF('計算A'!P$106=1,DO41,1)</f>
        <v/>
      </c>
      <c r="JD41">
        <f>IF('計算A'!Q$106=1,DP41,1)</f>
        <v/>
      </c>
      <c r="JE41">
        <f>IF('計算A'!R$106=1,DQ41,1)</f>
        <v/>
      </c>
      <c r="JF41">
        <f>IF('計算A'!S$106=1,DR41,1)</f>
        <v/>
      </c>
      <c r="JG41">
        <f>IF('計算A'!T$106=1,DS41,1)</f>
        <v/>
      </c>
      <c r="JH41">
        <f>IF('計算A'!U$106=1,DT41,1)</f>
        <v/>
      </c>
      <c r="JI41">
        <f>IF('計算A'!V$106=1,DU41,1)</f>
        <v/>
      </c>
      <c r="JJ41">
        <f>IF('計算A'!W$106=1,DV41,1)</f>
        <v/>
      </c>
      <c r="JK41">
        <f>IF('計算A'!X$106=1,DW41,1)</f>
        <v/>
      </c>
      <c r="JL41">
        <f>IF('計算A'!Y$106=1,DX41,1)</f>
        <v/>
      </c>
      <c r="JM41">
        <f>IF('計算A'!Z$106=1,DY41,1)</f>
        <v/>
      </c>
      <c r="JN41">
        <f>IF('計算A'!AA$106=1,DZ41,1)</f>
        <v/>
      </c>
      <c r="JO41">
        <f>IF('計算A'!AB$106=1,EA41,1)</f>
        <v/>
      </c>
      <c r="JP41">
        <f>IF('計算A'!AC$106=1,EB41,1)</f>
        <v/>
      </c>
      <c r="JQ41">
        <f>IF('計算A'!AD$106=1,EC41,1)</f>
        <v/>
      </c>
      <c r="JR41">
        <f>IF('計算A'!AE$106=1,ED41,1)</f>
        <v/>
      </c>
      <c r="JS41">
        <f>IF('計算A'!AF$106=1,EE41,1)</f>
        <v/>
      </c>
      <c r="JT41">
        <f>IF('計算A'!AG$106=1,EF41,1)</f>
        <v/>
      </c>
      <c r="JU41">
        <f>IF('計算A'!AH$106=1,EG41,1)</f>
        <v/>
      </c>
      <c r="JV41">
        <f>IF('計算A'!AI$106=1,EH41,1)</f>
        <v/>
      </c>
      <c r="JW41">
        <f>IF('計算A'!AJ$106=1,EI41,1)</f>
        <v/>
      </c>
      <c r="JX41">
        <f>IF('計算A'!AK$106=1,EJ41,1)</f>
        <v/>
      </c>
      <c r="JY41">
        <f>IF('計算A'!AL$106=1,EK41,1)</f>
        <v/>
      </c>
      <c r="JZ41">
        <f>IF('計算A'!AM$106=1,EL41,1)</f>
        <v/>
      </c>
      <c r="KA41">
        <f>IF('計算A'!AN$106=1,EM41,1)</f>
        <v/>
      </c>
      <c r="KB41">
        <f>IF('計算A'!AO$106=1,EN41,1)</f>
        <v/>
      </c>
      <c r="KC41">
        <f>IF('計算A'!AP$106=1,EO41,1)</f>
        <v/>
      </c>
      <c r="KD41">
        <f>IF('計算A'!AQ$106=1,EP41,1)</f>
        <v/>
      </c>
      <c r="KE41">
        <f>IF('計算A'!AR$106=1,EQ41,1)</f>
        <v/>
      </c>
      <c r="KF41">
        <f>IF('計算A'!AS$106=1,ER41,1)</f>
        <v/>
      </c>
      <c r="KG41">
        <f>IF('計算A'!AT$106=1,ES41,1)</f>
        <v/>
      </c>
      <c r="KH41">
        <f>IF('計算A'!AU$106=1,ET41,1)</f>
        <v/>
      </c>
      <c r="KI41">
        <f>IF('計算A'!AV$106=1,EU41,1)</f>
        <v/>
      </c>
      <c r="KJ41">
        <f>IF('計算A'!AW$106=1,EV41,1)</f>
        <v/>
      </c>
      <c r="KK41">
        <f>IF('計算A'!AX$106=1,EW41,1)</f>
        <v/>
      </c>
      <c r="KL41">
        <f>IF('計算A'!AY$106=1,EX41,1)</f>
        <v/>
      </c>
      <c r="KM41">
        <f>IF('計算A'!AZ$106=1,EY41,1)</f>
        <v/>
      </c>
      <c r="KN41">
        <f>IF('計算A'!BA$106=1,EZ41,1)</f>
        <v/>
      </c>
      <c r="KO41">
        <f>IF('計算A'!BB$106=1,FA41,1)</f>
        <v/>
      </c>
      <c r="KP41">
        <f>IF('計算A'!BC$106=1,FB41,1)</f>
        <v/>
      </c>
      <c r="KQ41">
        <f>IF('計算A'!BD$106=1,FC41,1)</f>
        <v/>
      </c>
      <c r="KR41">
        <f>IF('計算A'!BE$106=1,FD41,1)</f>
        <v/>
      </c>
      <c r="KS41">
        <f>IF('計算A'!BF$106=1,FE41,1)</f>
        <v/>
      </c>
      <c r="KT41">
        <f>IF('計算A'!BG$106=1,FF41,1)</f>
        <v/>
      </c>
      <c r="KU41">
        <f>IF('計算A'!BH$106=1,FG41,1)</f>
        <v/>
      </c>
      <c r="KV41">
        <f>IF('計算A'!BI$106=1,FH41,1)</f>
        <v/>
      </c>
      <c r="KW41">
        <f>IF('計算A'!BJ$106=1,FI41,1)</f>
        <v/>
      </c>
      <c r="KX41">
        <f>IF('計算A'!BK$106=1,FJ41,1)</f>
        <v/>
      </c>
      <c r="KY41">
        <f>IF('計算A'!BL$106=1,FK41,1)</f>
        <v/>
      </c>
      <c r="KZ41">
        <f>IF('計算A'!BM$106=1,FL41,1)</f>
        <v/>
      </c>
      <c r="LA41">
        <f>IF('計算A'!BN$106=1,FM41,1)</f>
        <v/>
      </c>
      <c r="LB41">
        <f>IF('計算A'!BO$106=1,FN41,1)</f>
        <v/>
      </c>
      <c r="LC41">
        <f>IF('計算A'!BP$106=1,FO41,1)</f>
        <v/>
      </c>
      <c r="LD41">
        <f>IF('計算A'!BQ$106=1,FP41,1)</f>
        <v/>
      </c>
      <c r="LE41">
        <f>IF('計算A'!BR$106=1,FQ41,1)</f>
        <v/>
      </c>
      <c r="LF41">
        <f>IF('計算A'!BS$106=1,FR41,1)</f>
        <v/>
      </c>
      <c r="LG41">
        <f>IF('計算A'!BT$106=1,FS41,1)</f>
        <v/>
      </c>
      <c r="LH41">
        <f>IF('計算A'!BU$106=1,FT41,1)</f>
        <v/>
      </c>
      <c r="LI41">
        <f>IF('計算A'!BV$106=1,FU41,1)</f>
        <v/>
      </c>
      <c r="LJ41">
        <f>IF('計算A'!BW$106=1,FV41,1)</f>
        <v/>
      </c>
      <c r="LK41">
        <f>IF('計算A'!BX$106=1,FW41,1)</f>
        <v/>
      </c>
      <c r="LL41">
        <f>IF('計算A'!BY$106=1,FX41,1)</f>
        <v/>
      </c>
      <c r="LM41">
        <f>IF('計算A'!BZ$106=1,FY41,1)</f>
        <v/>
      </c>
      <c r="LN41">
        <f>IF('計算A'!CA$106=1,FZ41,1)</f>
        <v/>
      </c>
      <c r="LO41">
        <f>IF('計算A'!CB$106=1,GA41,1)</f>
        <v/>
      </c>
      <c r="LP41">
        <f>IF('計算A'!CC$106=1,GB41,1)</f>
        <v/>
      </c>
      <c r="LQ41">
        <f>IF('計算A'!CD$106=1,GC41,1)</f>
        <v/>
      </c>
      <c r="LR41">
        <f>IF('計算A'!CE$106=1,GD41,1)</f>
        <v/>
      </c>
      <c r="LS41">
        <f>IF('計算A'!CF$106=1,GE41,1)</f>
        <v/>
      </c>
      <c r="LT41">
        <f>IF('計算A'!CG$106=1,GF41,1)</f>
        <v/>
      </c>
      <c r="LU41">
        <f>IF('計算A'!CH$106=1,GG41,1)</f>
        <v/>
      </c>
      <c r="LV41">
        <f>IF('計算A'!CI$106=1,GH41,1)</f>
        <v/>
      </c>
      <c r="LW41">
        <f>IF('計算A'!CJ$106=1,GI41,1)</f>
        <v/>
      </c>
      <c r="LX41">
        <f>IF('計算A'!CK$106=1,GJ41,1)</f>
        <v/>
      </c>
      <c r="LY41">
        <f>IF('計算A'!CL$106=1,GK41,1)</f>
        <v/>
      </c>
      <c r="LZ41">
        <f>IF('計算A'!CM$106=1,GL41,1)</f>
        <v/>
      </c>
      <c r="MA41">
        <f>IF('計算A'!CN$106=1,GM41,1)</f>
        <v/>
      </c>
      <c r="MB41">
        <f>IF('計算A'!CO$106=1,GN41,1)</f>
        <v/>
      </c>
      <c r="MC41">
        <f>IF('計算A'!CP$106=1,GO41,1)</f>
        <v/>
      </c>
      <c r="MD41">
        <f>IF('計算A'!CQ$106=1,GP41,1)</f>
        <v/>
      </c>
      <c r="ME41">
        <f>IF('計算A'!CR$106=1,GQ41,1)</f>
        <v/>
      </c>
      <c r="MF41">
        <f>IF('計算A'!CS$106=1,GR41,1)</f>
        <v/>
      </c>
      <c r="MG41">
        <f>IF('計算A'!CT$106=1,GS41,1)</f>
        <v/>
      </c>
      <c r="MH41">
        <f>IF('計算A'!CU$106=1,GT41,1)</f>
        <v/>
      </c>
      <c r="MI41">
        <f>IF('計算A'!CV$106=1,GU41,1)</f>
        <v/>
      </c>
      <c r="MJ41">
        <f>IF('計算A'!CW$106=1,GV41,1)</f>
        <v/>
      </c>
      <c r="MK41">
        <f>IF('計算A'!CX$106=1,GW41,1)</f>
        <v/>
      </c>
      <c r="ML41">
        <f>IF('計算A'!CY$106=1,GX41,1)</f>
        <v/>
      </c>
      <c r="MM41">
        <f>IF('計算A'!CZ$106=1,GY41,1)</f>
        <v/>
      </c>
      <c r="MN41">
        <f>IF('計算A'!DA$106=1,GZ41,1)</f>
        <v/>
      </c>
      <c r="MO41">
        <f>IF('計算A'!DB$106=1,HA41,1)</f>
        <v/>
      </c>
      <c r="MP41">
        <f>IF('計算A'!DC$106=1,HB41,1)</f>
        <v/>
      </c>
      <c r="MQ41">
        <f>IF('計算A'!DD$106=1,HC41,1)</f>
        <v/>
      </c>
      <c r="MR41">
        <f>IF('計算A'!DE$106=1,HD41,1)</f>
        <v/>
      </c>
      <c r="MS41">
        <f>IF('計算A'!DF$106=1,HE41,1)</f>
        <v/>
      </c>
      <c r="MT41">
        <f>IF('計算A'!DG$106=1,HF41,1)</f>
        <v/>
      </c>
      <c r="MU41">
        <f>IF('計算A'!DH$106=1,HG41,1)</f>
        <v/>
      </c>
      <c r="MV41">
        <f>IF('計算A'!DI$106=1,HH41,1)</f>
        <v/>
      </c>
      <c r="MW41">
        <f>IF('計算A'!DJ$106=1,HI41,1)</f>
        <v/>
      </c>
      <c r="MX41">
        <f>IF('計算A'!DK$106=1,HJ41,1)</f>
        <v/>
      </c>
      <c r="MY41">
        <f>IF('計算A'!DL$106=1,HK41,1)</f>
        <v/>
      </c>
      <c r="MZ41">
        <f>IF('計算A'!DM$106=1,HL41,1)</f>
        <v/>
      </c>
      <c r="NA41">
        <f>IF('計算A'!DN$106=1,HM41,1)</f>
        <v/>
      </c>
      <c r="NB41">
        <f>IF('計算A'!DO$106=1,HN41,1)</f>
        <v/>
      </c>
      <c r="NC41">
        <f>IF('計算A'!DP$106=1,HO41,1)</f>
        <v/>
      </c>
      <c r="ND41">
        <f>IF('計算A'!DQ$106=1,HP41,1)</f>
        <v/>
      </c>
      <c r="NE41">
        <f>IF('計算A'!DR$106=1,HQ41,1)</f>
        <v/>
      </c>
      <c r="NF41">
        <f>IF('計算A'!DS$106=1,HR41,1)</f>
        <v/>
      </c>
      <c r="NG41">
        <f>IF('計算A'!DT$106=1,HS41,1)</f>
        <v/>
      </c>
      <c r="NH41">
        <f>IF('計算A'!DU$106=1,HT41,1)</f>
        <v/>
      </c>
      <c r="NI41">
        <f>IF('計算A'!DV$106=1,HU41,1)</f>
        <v/>
      </c>
      <c r="NJ41">
        <f>IF('計算A'!DW$106=1,HV41,1)</f>
        <v/>
      </c>
      <c r="NK41">
        <f>IF('計算A'!DX$106=1,HW41,1)</f>
        <v/>
      </c>
      <c r="NL41">
        <f>IF('計算A'!DY$106=1,HX41,1)</f>
        <v/>
      </c>
      <c r="NM41">
        <f>IF('計算A'!DZ$106=1,HY41,1)</f>
        <v/>
      </c>
      <c r="NN41">
        <f>IF('計算A'!EA$106=1,HZ41,1)</f>
        <v/>
      </c>
      <c r="NO41">
        <f>IF('計算A'!EB$106=1,IA41,1)</f>
        <v/>
      </c>
      <c r="NP41">
        <f>IF('計算A'!EC$106=1,IB41,1)</f>
        <v/>
      </c>
      <c r="NQ41">
        <f>IF('計算A'!ED$106=1,IC41,1)</f>
        <v/>
      </c>
      <c r="NR41">
        <f>IF('計算A'!EE$106=1,ID41,1)</f>
        <v/>
      </c>
      <c r="NS41">
        <f>IF('計算A'!EF$106=1,IE41,1)</f>
        <v/>
      </c>
      <c r="NT41">
        <f>IF('計算A'!EG$106=1,IF41,1)</f>
        <v/>
      </c>
      <c r="NU41">
        <f>IF('計算A'!EH$106=1,IG41,1)</f>
        <v/>
      </c>
      <c r="NV41">
        <f>IF('計算A'!EI$106=1,IH41,1)</f>
        <v/>
      </c>
      <c r="NW41">
        <f>IF('計算A'!EJ$106=1,II41,1)</f>
        <v/>
      </c>
      <c r="NX41">
        <f>IF('計算A'!EK$106=1,IJ41,1)</f>
        <v/>
      </c>
      <c r="NY41">
        <f>IF('計算A'!EL$106=1,IK41,1)</f>
        <v/>
      </c>
      <c r="NZ41">
        <f>IF('計算A'!EM$106=1,IL41,1)</f>
        <v/>
      </c>
      <c r="OA41">
        <f>IF('計算A'!EN$106=1,IM41,1)</f>
        <v/>
      </c>
      <c r="OB41">
        <f>IF('計算A'!EO$106=1,IN41,1)</f>
        <v/>
      </c>
      <c r="OC41">
        <f>IF('計算A'!EP$106=1,IO41,1)</f>
        <v/>
      </c>
      <c r="OD41" t="n">
        <v>1</v>
      </c>
      <c r="OF41">
        <f>IF($B41=0,1000000,IF(INDEX('計算A'!$D$60:$EQ$104,$B41,1)*DB41=1,IF(AND($E41=2,IQ41=0),1000000,IF($I41&gt;0,IF(1=$J41,IF(OR(AND(1=$I41+1,OR($K41&lt;&gt;'計算A'!$A$3,'計算A'!$A$4=0)),AND(1=$I41-1,OR(1&lt;&gt;'計算A'!$A$3,'計算A'!$A$4=0))),0,IF(1=$K41,200000,ABS(1-$K41)*100)),100000+ABS(1-$J41)*1000+10)+'計算A'!D$5*50+IF(AND($E41=1,IQ41=0),25,0),INDEX('計算A'!D$110:D$114,$F41+1)+IF(AND($E41=1,IQ41=0),1000,0)+IF($H41=1,(IF('計算A'!D$117=1,INDEX('計算A'!E$10:E$54,$B41),0))*500,0)-IF(AND($L41=1,'計算A'!D$117=1,DC41=0),300,0))),1000000))</f>
        <v/>
      </c>
      <c r="OG41">
        <f>IF($B41=0,1000000,IF(INDEX('計算A'!$D$60:$EQ$104,$B41,2)*DC41=1,IF(AND($E41=2,IR41=0),1000000,IF($I41&gt;0,IF(1=$J41,IF(OR(AND(2=$I41+1,OR($K41&lt;&gt;'計算A'!$A$3,'計算A'!$A$4=0)),AND(2=$I41-1,OR(2&lt;&gt;'計算A'!$A$3,'計算A'!$A$4=0))),0,IF(2=$K41,200000,ABS(2-$K41)*100)),100000+ABS(1-$J41)*1000+20)+'計算A'!E$5*50+IF(AND($E41=1,IR41=0),25,0),INDEX('計算A'!E$110:E$114,$F41+1)+IF(AND($E41=1,IR41=0),1000,0)+IF($H41=1,(IF('計算A'!D$117=1,INDEX('計算A'!D$10:D$54,$B41),0)+IF('計算A'!E$117=1,INDEX('計算A'!F$10:F$54,$B41),0))*500,0)-IF(AND('計算A'!D$117=1,UB41&gt;0),300,0)-IF(AND($L41=1,'計算A'!E$117=1,DD41=0),300,0))),1000000))</f>
        <v/>
      </c>
      <c r="OH41">
        <f>IF($B41=0,1000000,IF(INDEX('計算A'!$D$60:$EQ$104,$B41,3)*DD41=1,IF(AND($E41=2,IS41=0),1000000,IF($I41&gt;0,IF(1=$J41,IF(OR(AND(3=$I41+1,OR($K41&lt;&gt;'計算A'!$A$3,'計算A'!$A$4=0)),AND(3=$I41-1,OR(3&lt;&gt;'計算A'!$A$3,'計算A'!$A$4=0))),0,IF(3=$K41,200000,ABS(3-$K41)*100)),100000+ABS(1-$J41)*1000+30)+'計算A'!F$5*50+IF(AND($E41=1,IS41=0),25,0),INDEX('計算A'!F$110:F$114,$F41+1)+IF(AND($E41=1,IS41=0),1000,0)+IF($H41=1,(IF('計算A'!E$117=1,INDEX('計算A'!E$10:E$54,$B41),0)+IF('計算A'!F$117=1,INDEX('計算A'!G$10:G$54,$B41),0))*500,0)-IF(AND('計算A'!E$117=1,UC41&gt;0),300,0)-IF(AND($L41=1,'計算A'!F$117=1,DE41=0),300,0))),1000000))</f>
        <v/>
      </c>
      <c r="OI41">
        <f>IF($B41=0,1000000,IF(INDEX('計算A'!$D$60:$EQ$104,$B41,4)*DE41=1,IF(AND($E41=2,IT41=0),1000000,IF($I41&gt;0,IF(1=$J41,IF(OR(AND(4=$I41+1,OR($K41&lt;&gt;'計算A'!$A$3,'計算A'!$A$4=0)),AND(4=$I41-1,OR(4&lt;&gt;'計算A'!$A$3,'計算A'!$A$4=0))),0,IF(4=$K41,200000,ABS(4-$K41)*100)),100000+ABS(1-$J41)*1000+40)+'計算A'!G$5*50+IF(AND($E41=1,IT41=0),25,0),INDEX('計算A'!G$110:G$114,$F41+1)+IF(AND($E41=1,IT41=0),1000,0)+IF($H41=1,(IF('計算A'!F$117=1,INDEX('計算A'!F$10:F$54,$B41),0)+IF('計算A'!G$117=1,INDEX('計算A'!H$10:H$54,$B41),0))*500,0)-IF(AND('計算A'!F$117=1,UD41&gt;0),300,0)-IF(AND($L41=1,'計算A'!G$117=1,DF41=0),300,0))),1000000))</f>
        <v/>
      </c>
      <c r="OJ41">
        <f>IF($B41=0,1000000,IF(INDEX('計算A'!$D$60:$EQ$104,$B41,5)*DF41=1,IF(AND($E41=2,IU41=0),1000000,IF($I41&gt;0,IF(1=$J41,IF(OR(AND(5=$I41+1,OR($K41&lt;&gt;'計算A'!$A$3,'計算A'!$A$4=0)),AND(5=$I41-1,OR(5&lt;&gt;'計算A'!$A$3,'計算A'!$A$4=0))),0,IF(5=$K41,200000,ABS(5-$K41)*100)),100000+ABS(1-$J41)*1000+50)+'計算A'!H$5*50+IF(AND($E41=1,IU41=0),25,0),INDEX('計算A'!H$110:H$114,$F41+1)+IF(AND($E41=1,IU41=0),1000,0)+IF($H41=1,(IF('計算A'!G$117=1,INDEX('計算A'!G$10:G$54,$B41),0)+IF('計算A'!H$117=1,INDEX('計算A'!I$10:I$54,$B41),0))*500,0)-IF(AND('計算A'!G$117=1,UE41&gt;0),300,0)-IF(AND($L41=1,'計算A'!H$117=1,DG41=0),300,0))),1000000))</f>
        <v/>
      </c>
      <c r="OK41">
        <f>IF($B41=0,1000000,IF(INDEX('計算A'!$D$60:$EQ$104,$B41,6)*DG41=1,IF(AND($E41=2,IV41=0),1000000,IF($I41&gt;0,IF(1=$J41,IF(OR(AND(6=$I41+1,OR($K41&lt;&gt;'計算A'!$A$3,'計算A'!$A$4=0)),AND(6=$I41-1,OR(6&lt;&gt;'計算A'!$A$3,'計算A'!$A$4=0))),0,IF(6=$K41,200000,ABS(6-$K41)*100)),100000+ABS(1-$J41)*1000+60)+'計算A'!I$5*50+IF(AND($E41=1,IV41=0),25,0),INDEX('計算A'!I$110:I$114,$F41+1)+IF(AND($E41=1,IV41=0),1000,0)+IF($H41=1,(IF('計算A'!H$117=1,INDEX('計算A'!H$10:H$54,$B41),0)+IF('計算A'!I$117=1,INDEX('計算A'!J$10:J$54,$B41),0))*500,0)-IF(AND('計算A'!H$117=1,UF41&gt;0),300,0)-IF(AND($L41=1,'計算A'!I$117=1,DH41=0),300,0))),1000000))</f>
        <v/>
      </c>
      <c r="OL41">
        <f>IF($B41=0,1000000,IF(INDEX('計算A'!$D$60:$EQ$104,$B41,7)*DH41=1,IF(AND($E41=2,IW41=0),1000000,IF($I41&gt;0,IF(1=$J41,IF(OR(AND(7=$I41+1,OR($K41&lt;&gt;'計算A'!$A$3,'計算A'!$A$4=0)),AND(7=$I41-1,OR(7&lt;&gt;'計算A'!$A$3,'計算A'!$A$4=0))),0,IF(7=$K41,200000,ABS(7-$K41)*100)),100000+ABS(1-$J41)*1000+70)+'計算A'!J$5*50+IF(AND($E41=1,IW41=0),25,0),INDEX('計算A'!J$110:J$114,$F41+1)+IF(AND($E41=1,IW41=0),1000,0)+IF($H41=1,(IF('計算A'!I$117=1,INDEX('計算A'!I$10:I$54,$B41),0)+IF('計算A'!J$117=1,INDEX('計算A'!K$10:K$54,$B41),0))*500,0)-IF(AND('計算A'!I$117=1,UG41&gt;0),300,0)-IF(AND($L41=1,'計算A'!J$117=1,DI41=0),300,0))),1000000))</f>
        <v/>
      </c>
      <c r="OM41">
        <f>IF($B41=0,1000000,IF(INDEX('計算A'!$D$60:$EQ$104,$B41,8)*DI41=1,IF(AND($E41=2,IX41=0),1000000,IF($I41&gt;0,IF(1=$J41,IF(OR(AND(8=$I41+1,OR($K41&lt;&gt;'計算A'!$A$3,'計算A'!$A$4=0)),AND(8=$I41-1,OR(8&lt;&gt;'計算A'!$A$3,'計算A'!$A$4=0))),0,IF(8=$K41,200000,ABS(8-$K41)*100)),100000+ABS(1-$J41)*1000+80)+'計算A'!K$5*50+IF(AND($E41=1,IX41=0),25,0),INDEX('計算A'!K$110:K$114,$F41+1)+IF(AND($E41=1,IX41=0),1000,0)+IF($H41=1,(IF('計算A'!J$117=1,INDEX('計算A'!J$10:J$54,$B41),0)+IF('計算A'!K$117=1,INDEX('計算A'!L$10:L$54,$B41),0))*500,0)-IF(AND('計算A'!J$117=1,UH41&gt;0),300,0)-IF(AND($L41=1,'計算A'!K$117=1,DJ41=0),300,0))),1000000))</f>
        <v/>
      </c>
      <c r="ON41">
        <f>IF($B41=0,1000000,IF(INDEX('計算A'!$D$60:$EQ$104,$B41,9)*DJ41=1,IF(AND($E41=2,IY41=0),1000000,IF($I41&gt;0,IF(1=$J41,IF(OR(AND(9=$I41+1,OR($K41&lt;&gt;'計算A'!$A$3,'計算A'!$A$4=0)),AND(9=$I41-1,OR(9&lt;&gt;'計算A'!$A$3,'計算A'!$A$4=0))),0,IF(9=$K41,200000,ABS(9-$K41)*100)),100000+ABS(1-$J41)*1000+90)+'計算A'!L$5*50+IF(AND($E41=1,IY41=0),25,0),INDEX('計算A'!L$110:L$114,$F41+1)+IF(AND($E41=1,IY41=0),1000,0)+IF($H41=1,(IF('計算A'!K$117=1,INDEX('計算A'!K$10:K$54,$B41),0)+IF('計算A'!L$117=1,INDEX('計算A'!M$10:M$54,$B41),0))*500,0)-IF(AND('計算A'!K$117=1,UI41&gt;0),300,0)-IF(AND($L41=1,'計算A'!L$117=1,DK41=0),300,0))),1000000))</f>
        <v/>
      </c>
      <c r="OO41">
        <f>IF($B41=0,1000000,IF(INDEX('計算A'!$D$60:$EQ$104,$B41,10)*DK41=1,IF(AND($E41=2,IZ41=0),1000000,IF($I41&gt;0,IF(1=$J41,IF(OR(AND(10=$I41+1,OR($K41&lt;&gt;'計算A'!$A$3,'計算A'!$A$4=0)),AND(10=$I41-1,OR(10&lt;&gt;'計算A'!$A$3,'計算A'!$A$4=0))),0,IF(10=$K41,200000,ABS(10-$K41)*100)),100000+ABS(1-$J41)*1000+100)+'計算A'!M$5*50+IF(AND($E41=1,IZ41=0),25,0),INDEX('計算A'!M$110:M$114,$F41+1)+IF(AND($E41=1,IZ41=0),1000,0)+IF($H41=1,(IF('計算A'!L$117=1,INDEX('計算A'!L$10:L$54,$B41),0)+IF('計算A'!M$117=1,INDEX('計算A'!N$10:N$54,$B41),0))*500,0)-IF(AND('計算A'!L$117=1,UJ41&gt;0),300,0)-IF(AND($L41=1,'計算A'!M$117=1,DL41=0),300,0))),1000000))</f>
        <v/>
      </c>
      <c r="OP41">
        <f>IF($B41=0,1000000,IF(INDEX('計算A'!$D$60:$EQ$104,$B41,11)*DL41=1,IF(AND($E41=2,JA41=0),1000000,IF($I41&gt;0,IF(1=$J41,IF(OR(AND(11=$I41+1,OR($K41&lt;&gt;'計算A'!$A$3,'計算A'!$A$4=0)),AND(11=$I41-1,OR(11&lt;&gt;'計算A'!$A$3,'計算A'!$A$4=0))),0,IF(11=$K41,200000,ABS(11-$K41)*100)),100000+ABS(1-$J41)*1000+110)+'計算A'!N$5*50+IF(AND($E41=1,JA41=0),25,0),INDEX('計算A'!N$110:N$114,$F41+1)+IF(AND($E41=1,JA41=0),1000,0)+IF($H41=1,(IF('計算A'!M$117=1,INDEX('計算A'!M$10:M$54,$B41),0)+IF('計算A'!N$117=1,INDEX('計算A'!O$10:O$54,$B41),0))*500,0)-IF(AND('計算A'!M$117=1,UK41&gt;0),300,0)-IF(AND($L41=1,'計算A'!N$117=1,DM41=0),300,0))),1000000))</f>
        <v/>
      </c>
      <c r="OQ41">
        <f>IF($B41=0,1000000,IF(INDEX('計算A'!$D$60:$EQ$104,$B41,12)*DM41=1,IF(AND($E41=2,JB41=0),1000000,IF($I41&gt;0,IF(1=$J41,IF(OR(AND(12=$I41+1,OR($K41&lt;&gt;'計算A'!$A$3,'計算A'!$A$4=0)),AND(12=$I41-1,OR(12&lt;&gt;'計算A'!$A$3,'計算A'!$A$4=0))),0,IF(12=$K41,200000,ABS(12-$K41)*100)),100000+ABS(1-$J41)*1000+120)+'計算A'!O$5*50+IF(AND($E41=1,JB41=0),25,0),INDEX('計算A'!O$110:O$114,$F41+1)+IF(AND($E41=1,JB41=0),1000,0)+IF($H41=1,(IF('計算A'!N$117=1,INDEX('計算A'!N$10:N$54,$B41),0)+IF('計算A'!O$117=1,INDEX('計算A'!P$10:P$54,$B41),0))*500,0)-IF(AND('計算A'!N$117=1,UL41&gt;0),300,0)-IF(AND($L41=1,'計算A'!O$117=1,DN41=0),300,0))),1000000))</f>
        <v/>
      </c>
      <c r="OR41">
        <f>IF($B41=0,1000000,IF(INDEX('計算A'!$D$60:$EQ$104,$B41,13)*DN41=1,IF(AND($E41=2,JC41=0),1000000,IF($I41&gt;0,IF(1=$J41,IF(OR(AND(13=$I41+1,OR($K41&lt;&gt;'計算A'!$A$3,'計算A'!$A$4=0)),AND(13=$I41-1,OR(13&lt;&gt;'計算A'!$A$3,'計算A'!$A$4=0))),0,IF(13=$K41,200000,ABS(13-$K41)*100)),100000+ABS(1-$J41)*1000+130)+'計算A'!P$5*50+IF(AND($E41=1,JC41=0),25,0),INDEX('計算A'!P$110:P$114,$F41+1)+IF(AND($E41=1,JC41=0),1000,0)+IF($H41=1,(IF('計算A'!O$117=1,INDEX('計算A'!O$10:O$54,$B41),0)+IF('計算A'!P$117=1,INDEX('計算A'!Q$10:Q$54,$B41),0))*500,0)-IF(AND('計算A'!O$117=1,UM41&gt;0),300,0)-IF(AND($L41=1,'計算A'!P$117=1,DO41=0),300,0))),1000000))</f>
        <v/>
      </c>
      <c r="OS41">
        <f>IF($B41=0,1000000,IF(INDEX('計算A'!$D$60:$EQ$104,$B41,14)*DO41=1,IF(AND($E41=2,JD41=0),1000000,IF($I41&gt;0,IF(1=$J41,IF(OR(AND(14=$I41+1,OR($K41&lt;&gt;'計算A'!$A$3,'計算A'!$A$4=0)),AND(14=$I41-1,OR(14&lt;&gt;'計算A'!$A$3,'計算A'!$A$4=0))),0,IF(14=$K41,200000,ABS(14-$K41)*100)),100000+ABS(1-$J41)*1000+140)+'計算A'!Q$5*50+IF(AND($E41=1,JD41=0),25,0),INDEX('計算A'!Q$110:Q$114,$F41+1)+IF(AND($E41=1,JD41=0),1000,0)+IF($H41=1,(IF('計算A'!P$117=1,INDEX('計算A'!P$10:P$54,$B41),0)+IF('計算A'!Q$117=1,INDEX('計算A'!R$10:R$54,$B41),0))*500,0)-IF(AND('計算A'!P$117=1,UN41&gt;0),300,0)-IF(AND($L41=1,'計算A'!Q$117=1,DP41=0),300,0))),1000000))</f>
        <v/>
      </c>
      <c r="OT41">
        <f>IF($B41=0,1000000,IF(INDEX('計算A'!$D$60:$EQ$104,$B41,15)*DP41=1,IF(AND($E41=2,JE41=0),1000000,IF($I41&gt;0,IF(1=$J41,IF(OR(AND(15=$I41+1,OR($K41&lt;&gt;'計算A'!$A$3,'計算A'!$A$4=0)),AND(15=$I41-1,OR(15&lt;&gt;'計算A'!$A$3,'計算A'!$A$4=0))),0,IF(15=$K41,200000,ABS(15-$K41)*100)),100000+ABS(1-$J41)*1000+150)+'計算A'!R$5*50+IF(AND($E41=1,JE41=0),25,0),INDEX('計算A'!R$110:R$114,$F41+1)+IF(AND($E41=1,JE41=0),1000,0)+IF($H41=1,(IF('計算A'!Q$117=1,INDEX('計算A'!Q$10:Q$54,$B41),0)+IF('計算A'!R$117=1,INDEX('計算A'!S$10:S$54,$B41),0))*500,0)-IF(AND('計算A'!Q$117=1,UO41&gt;0),300,0)-IF(AND($L41=1,'計算A'!R$117=1,DQ41=0),300,0))),1000000))</f>
        <v/>
      </c>
      <c r="OU41">
        <f>IF($B41=0,1000000,IF(INDEX('計算A'!$D$60:$EQ$104,$B41,16)*DQ41=1,IF(AND($E41=2,JF41=0),1000000,IF($I41&gt;0,IF(1=$J41,IF(OR(AND(16=$I41+1,OR($K41&lt;&gt;'計算A'!$A$3,'計算A'!$A$4=0)),AND(16=$I41-1,OR(16&lt;&gt;'計算A'!$A$3,'計算A'!$A$4=0))),0,IF(16=$K41,200000,ABS(16-$K41)*100)),100000+ABS(1-$J41)*1000+160)+'計算A'!S$5*50+IF(AND($E41=1,JF41=0),25,0),INDEX('計算A'!S$110:S$114,$F41+1)+IF(AND($E41=1,JF41=0),1000,0)+IF($H41=1,(IF('計算A'!R$117=1,INDEX('計算A'!R$10:R$54,$B41),0)+IF('計算A'!S$117=1,INDEX('計算A'!T$10:T$54,$B41),0))*500,0)-IF(AND('計算A'!R$117=1,UP41&gt;0),300,0)-IF(AND($L41=1,'計算A'!S$117=1,DR41=0),300,0))),1000000))</f>
        <v/>
      </c>
      <c r="OV41">
        <f>IF($B41=0,1000000,IF(INDEX('計算A'!$D$60:$EQ$104,$B41,17)*DR41=1,IF(AND($E41=2,JG41=0),1000000,IF($I41&gt;0,IF(1=$J41,IF(OR(AND(17=$I41+1,OR($K41&lt;&gt;'計算A'!$A$3,'計算A'!$A$4=0)),AND(17=$I41-1,OR(17&lt;&gt;'計算A'!$A$3,'計算A'!$A$4=0))),0,IF(17=$K41,200000,ABS(17-$K41)*100)),100000+ABS(1-$J41)*1000+170)+'計算A'!T$5*50+IF(AND($E41=1,JG41=0),25,0),INDEX('計算A'!T$110:T$114,$F41+1)+IF(AND($E41=1,JG41=0),1000,0)+IF($H41=1,(IF('計算A'!S$117=1,INDEX('計算A'!S$10:S$54,$B41),0)+IF('計算A'!T$117=1,INDEX('計算A'!U$10:U$54,$B41),0))*500,0)-IF(AND('計算A'!S$117=1,UQ41&gt;0),300,0)-IF(AND($L41=1,'計算A'!T$117=1,DS41=0),300,0))),1000000))</f>
        <v/>
      </c>
      <c r="OW41">
        <f>IF($B41=0,1000000,IF(INDEX('計算A'!$D$60:$EQ$104,$B41,18)*DS41=1,IF(AND($E41=2,JH41=0),1000000,IF($I41&gt;0,IF(1=$J41,IF(OR(AND(18=$I41+1,OR($K41&lt;&gt;'計算A'!$A$3,'計算A'!$A$4=0)),AND(18=$I41-1,OR(18&lt;&gt;'計算A'!$A$3,'計算A'!$A$4=0))),0,IF(18=$K41,200000,ABS(18-$K41)*100)),100000+ABS(1-$J41)*1000+180)+'計算A'!U$5*50+IF(AND($E41=1,JH41=0),25,0),INDEX('計算A'!U$110:U$114,$F41+1)+IF(AND($E41=1,JH41=0),1000,0)+IF($H41=1,(IF('計算A'!T$117=1,INDEX('計算A'!T$10:T$54,$B41),0)+IF('計算A'!U$117=1,INDEX('計算A'!V$10:V$54,$B41),0))*500,0)-IF(AND('計算A'!T$117=1,UR41&gt;0),300,0)-IF(AND($L41=1,'計算A'!U$117=1,DT41=0),300,0))),1000000))</f>
        <v/>
      </c>
      <c r="OX41">
        <f>IF($B41=0,1000000,IF(INDEX('計算A'!$D$60:$EQ$104,$B41,19)*DT41=1,IF(AND($E41=2,JI41=0),1000000,IF($I41&gt;0,IF(1=$J41,IF(OR(AND(19=$I41+1,OR($K41&lt;&gt;'計算A'!$A$3,'計算A'!$A$4=0)),AND(19=$I41-1,OR(19&lt;&gt;'計算A'!$A$3,'計算A'!$A$4=0))),0,IF(19=$K41,200000,ABS(19-$K41)*100)),100000+ABS(1-$J41)*1000+190)+'計算A'!V$5*50+IF(AND($E41=1,JI41=0),25,0),INDEX('計算A'!V$110:V$114,$F41+1)+IF(AND($E41=1,JI41=0),1000,0)+IF($H41=1,(IF('計算A'!U$117=1,INDEX('計算A'!U$10:U$54,$B41),0)+IF('計算A'!V$117=1,INDEX('計算A'!W$10:W$54,$B41),0))*500,0)-IF(AND('計算A'!U$117=1,US41&gt;0),300,0)-IF(AND($L41=1,'計算A'!V$117=1,DU41=0),300,0))),1000000))</f>
        <v/>
      </c>
      <c r="OY41">
        <f>IF($B41=0,1000000,IF(INDEX('計算A'!$D$60:$EQ$104,$B41,20)*DU41=1,IF(AND($E41=2,JJ41=0),1000000,IF($I41&gt;0,IF(1=$J41,IF(OR(AND(20=$I41+1,OR($K41&lt;&gt;'計算A'!$A$3,'計算A'!$A$4=0)),AND(20=$I41-1,OR(20&lt;&gt;'計算A'!$A$3,'計算A'!$A$4=0))),0,IF(20=$K41,200000,ABS(20-$K41)*100)),100000+ABS(1-$J41)*1000+200)+'計算A'!W$5*50+IF(AND($E41=1,JJ41=0),25,0),INDEX('計算A'!W$110:W$114,$F41+1)+IF(AND($E41=1,JJ41=0),1000,0)+IF($H41=1,(IF('計算A'!V$117=1,INDEX('計算A'!V$10:V$54,$B41),0)+IF('計算A'!W$117=1,INDEX('計算A'!X$10:X$54,$B41),0))*500,0)-IF(AND('計算A'!V$117=1,UT41&gt;0),300,0)-IF(AND($L41=1,'計算A'!W$117=1,DV41=0),300,0))),1000000))</f>
        <v/>
      </c>
      <c r="OZ41">
        <f>IF($B41=0,1000000,IF(INDEX('計算A'!$D$60:$EQ$104,$B41,21)*DV41=1,IF(AND($E41=2,JK41=0),1000000,IF($I41&gt;0,IF(1=$J41,IF(OR(AND(21=$I41+1,OR($K41&lt;&gt;'計算A'!$A$3,'計算A'!$A$4=0)),AND(21=$I41-1,OR(21&lt;&gt;'計算A'!$A$3,'計算A'!$A$4=0))),0,IF(21=$K41,200000,ABS(21-$K41)*100)),100000+ABS(1-$J41)*1000+210)+'計算A'!X$5*50+IF(AND($E41=1,JK41=0),25,0),INDEX('計算A'!X$110:X$114,$F41+1)+IF(AND($E41=1,JK41=0),1000,0)+IF($H41=1,(IF('計算A'!W$117=1,INDEX('計算A'!W$10:W$54,$B41),0)+IF('計算A'!X$117=1,INDEX('計算A'!Y$10:Y$54,$B41),0))*500,0)-IF(AND('計算A'!W$117=1,UU41&gt;0),300,0)-IF(AND($L41=1,'計算A'!X$117=1,DW41=0),300,0))),1000000))</f>
        <v/>
      </c>
      <c r="PA41">
        <f>IF($B41=0,1000000,IF(INDEX('計算A'!$D$60:$EQ$104,$B41,22)*DW41=1,IF(AND($E41=2,JL41=0),1000000,IF($I41&gt;0,IF(1=$J41,IF(OR(AND(22=$I41+1,OR($K41&lt;&gt;'計算A'!$A$3,'計算A'!$A$4=0)),AND(22=$I41-1,OR(22&lt;&gt;'計算A'!$A$3,'計算A'!$A$4=0))),0,IF(22=$K41,200000,ABS(22-$K41)*100)),100000+ABS(1-$J41)*1000+220)+'計算A'!Y$5*50+IF(AND($E41=1,JL41=0),25,0),INDEX('計算A'!Y$110:Y$114,$F41+1)+IF(AND($E41=1,JL41=0),1000,0)+IF($H41=1,(IF('計算A'!X$117=1,INDEX('計算A'!X$10:X$54,$B41),0)+IF('計算A'!Y$117=1,INDEX('計算A'!Z$10:Z$54,$B41),0))*500,0)-IF(AND('計算A'!X$117=1,UV41&gt;0),300,0)-IF(AND($L41=1,'計算A'!Y$117=1,DX41=0),300,0))),1000000))</f>
        <v/>
      </c>
      <c r="PB41">
        <f>IF($B41=0,1000000,IF(INDEX('計算A'!$D$60:$EQ$104,$B41,23)*DX41=1,IF(AND($E41=2,JM41=0),1000000,IF($I41&gt;0,IF(1=$J41,IF(OR(AND(23=$I41+1,OR($K41&lt;&gt;'計算A'!$A$3,'計算A'!$A$4=0)),AND(23=$I41-1,OR(23&lt;&gt;'計算A'!$A$3,'計算A'!$A$4=0))),0,IF(23=$K41,200000,ABS(23-$K41)*100)),100000+ABS(1-$J41)*1000+230)+'計算A'!Z$5*50+IF(AND($E41=1,JM41=0),25,0),INDEX('計算A'!Z$110:Z$114,$F41+1)+IF(AND($E41=1,JM41=0),1000,0)+IF($H41=1,(IF('計算A'!Y$117=1,INDEX('計算A'!Y$10:Y$54,$B41),0)+IF('計算A'!Z$117=1,INDEX('計算A'!AA$10:AA$54,$B41),0))*500,0)-IF(AND('計算A'!Y$117=1,UW41&gt;0),300,0)-IF(AND($L41=1,'計算A'!Z$117=1,DY41=0),300,0))),1000000))</f>
        <v/>
      </c>
      <c r="PC41">
        <f>IF($B41=0,1000000,IF(INDEX('計算A'!$D$60:$EQ$104,$B41,24)*DY41=1,IF(AND($E41=2,JN41=0),1000000,IF($I41&gt;0,IF(1=$J41,IF(OR(AND(24=$I41+1,OR($K41&lt;&gt;'計算A'!$A$3,'計算A'!$A$4=0)),AND(24=$I41-1,OR(24&lt;&gt;'計算A'!$A$3,'計算A'!$A$4=0))),0,IF(24=$K41,200000,ABS(24-$K41)*100)),100000+ABS(1-$J41)*1000+240)+'計算A'!AA$5*50+IF(AND($E41=1,JN41=0),25,0),INDEX('計算A'!AA$110:AA$114,$F41+1)+IF(AND($E41=1,JN41=0),1000,0)+IF($H41=1,(IF('計算A'!Z$117=1,INDEX('計算A'!Z$10:Z$54,$B41),0))*500,0)-IF(AND('計算A'!Z$117=1,UX41&gt;0),300,0))),1000000))</f>
        <v/>
      </c>
      <c r="PD41">
        <f>IF($B41=0,1000000,IF(INDEX('計算A'!$D$60:$EQ$104,$B41,25)*DZ41=1,IF(AND($E41=2,JO41=0),1000000,IF($I41&gt;0,IF(2=$J41,IF(OR(AND(25=$I41+1,OR($K41&lt;&gt;'計算A'!$A$3,'計算A'!$A$4=0)),AND(25=$I41-1,OR(1&lt;&gt;'計算A'!$A$3,'計算A'!$A$4=0))),0,IF(1=$K41,200000,ABS(1-$K41)*100)),100000+ABS(2-$J41)*1000+10)+'計算A'!AB$5*50+IF(AND($E41=1,JO41=0),25,0),INDEX('計算A'!AB$110:AB$114,$F41+1)+IF(AND($E41=1,JO41=0),1000,0)+IF($H41=1,(IF('計算A'!AB$117=1,INDEX('計算A'!AC$10:AC$54,$B41),0))*500,0)-IF(AND($L41=1,'計算A'!AB$117=1,EA41=0),300,0))),1000000))</f>
        <v/>
      </c>
      <c r="PE41">
        <f>IF($B41=0,1000000,IF(INDEX('計算A'!$D$60:$EQ$104,$B41,26)*EA41=1,IF(AND($E41=2,JP41=0),1000000,IF($I41&gt;0,IF(2=$J41,IF(OR(AND(26=$I41+1,OR($K41&lt;&gt;'計算A'!$A$3,'計算A'!$A$4=0)),AND(26=$I41-1,OR(2&lt;&gt;'計算A'!$A$3,'計算A'!$A$4=0))),0,IF(2=$K41,200000,ABS(2-$K41)*100)),100000+ABS(2-$J41)*1000+20)+'計算A'!AC$5*50+IF(AND($E41=1,JP41=0),25,0),INDEX('計算A'!AC$110:AC$114,$F41+1)+IF(AND($E41=1,JP41=0),1000,0)+IF($H41=1,(IF('計算A'!AB$117=1,INDEX('計算A'!AB$10:AB$54,$B41),0)+IF('計算A'!AC$117=1,INDEX('計算A'!AD$10:AD$54,$B41),0))*500,0)-IF(AND('計算A'!AB$117=1,UZ41&gt;0),300,0)-IF(AND($L41=1,'計算A'!AC$117=1,EB41=0),300,0))),1000000))</f>
        <v/>
      </c>
      <c r="PF41">
        <f>IF($B41=0,1000000,IF(INDEX('計算A'!$D$60:$EQ$104,$B41,27)*EB41=1,IF(AND($E41=2,JQ41=0),1000000,IF($I41&gt;0,IF(2=$J41,IF(OR(AND(27=$I41+1,OR($K41&lt;&gt;'計算A'!$A$3,'計算A'!$A$4=0)),AND(27=$I41-1,OR(3&lt;&gt;'計算A'!$A$3,'計算A'!$A$4=0))),0,IF(3=$K41,200000,ABS(3-$K41)*100)),100000+ABS(2-$J41)*1000+30)+'計算A'!AD$5*50+IF(AND($E41=1,JQ41=0),25,0),INDEX('計算A'!AD$110:AD$114,$F41+1)+IF(AND($E41=1,JQ41=0),1000,0)+IF($H41=1,(IF('計算A'!AC$117=1,INDEX('計算A'!AC$10:AC$54,$B41),0)+IF('計算A'!AD$117=1,INDEX('計算A'!AE$10:AE$54,$B41),0))*500,0)-IF(AND('計算A'!AC$117=1,VA41&gt;0),300,0)-IF(AND($L41=1,'計算A'!AD$117=1,EC41=0),300,0))),1000000))</f>
        <v/>
      </c>
      <c r="PG41">
        <f>IF($B41=0,1000000,IF(INDEX('計算A'!$D$60:$EQ$104,$B41,28)*EC41=1,IF(AND($E41=2,JR41=0),1000000,IF($I41&gt;0,IF(2=$J41,IF(OR(AND(28=$I41+1,OR($K41&lt;&gt;'計算A'!$A$3,'計算A'!$A$4=0)),AND(28=$I41-1,OR(4&lt;&gt;'計算A'!$A$3,'計算A'!$A$4=0))),0,IF(4=$K41,200000,ABS(4-$K41)*100)),100000+ABS(2-$J41)*1000+40)+'計算A'!AE$5*50+IF(AND($E41=1,JR41=0),25,0),INDEX('計算A'!AE$110:AE$114,$F41+1)+IF(AND($E41=1,JR41=0),1000,0)+IF($H41=1,(IF('計算A'!AD$117=1,INDEX('計算A'!AD$10:AD$54,$B41),0)+IF('計算A'!AE$117=1,INDEX('計算A'!AF$10:AF$54,$B41),0))*500,0)-IF(AND('計算A'!AD$117=1,VB41&gt;0),300,0)-IF(AND($L41=1,'計算A'!AE$117=1,ED41=0),300,0))),1000000))</f>
        <v/>
      </c>
      <c r="PH41">
        <f>IF($B41=0,1000000,IF(INDEX('計算A'!$D$60:$EQ$104,$B41,29)*ED41=1,IF(AND($E41=2,JS41=0),1000000,IF($I41&gt;0,IF(2=$J41,IF(OR(AND(29=$I41+1,OR($K41&lt;&gt;'計算A'!$A$3,'計算A'!$A$4=0)),AND(29=$I41-1,OR(5&lt;&gt;'計算A'!$A$3,'計算A'!$A$4=0))),0,IF(5=$K41,200000,ABS(5-$K41)*100)),100000+ABS(2-$J41)*1000+50)+'計算A'!AF$5*50+IF(AND($E41=1,JS41=0),25,0),INDEX('計算A'!AF$110:AF$114,$F41+1)+IF(AND($E41=1,JS41=0),1000,0)+IF($H41=1,(IF('計算A'!AE$117=1,INDEX('計算A'!AE$10:AE$54,$B41),0)+IF('計算A'!AF$117=1,INDEX('計算A'!AG$10:AG$54,$B41),0))*500,0)-IF(AND('計算A'!AE$117=1,VC41&gt;0),300,0)-IF(AND($L41=1,'計算A'!AF$117=1,EE41=0),300,0))),1000000))</f>
        <v/>
      </c>
      <c r="PI41">
        <f>IF($B41=0,1000000,IF(INDEX('計算A'!$D$60:$EQ$104,$B41,30)*EE41=1,IF(AND($E41=2,JT41=0),1000000,IF($I41&gt;0,IF(2=$J41,IF(OR(AND(30=$I41+1,OR($K41&lt;&gt;'計算A'!$A$3,'計算A'!$A$4=0)),AND(30=$I41-1,OR(6&lt;&gt;'計算A'!$A$3,'計算A'!$A$4=0))),0,IF(6=$K41,200000,ABS(6-$K41)*100)),100000+ABS(2-$J41)*1000+60)+'計算A'!AG$5*50+IF(AND($E41=1,JT41=0),25,0),INDEX('計算A'!AG$110:AG$114,$F41+1)+IF(AND($E41=1,JT41=0),1000,0)+IF($H41=1,(IF('計算A'!AF$117=1,INDEX('計算A'!AF$10:AF$54,$B41),0)+IF('計算A'!AG$117=1,INDEX('計算A'!AH$10:AH$54,$B41),0))*500,0)-IF(AND('計算A'!AF$117=1,VD41&gt;0),300,0)-IF(AND($L41=1,'計算A'!AG$117=1,EF41=0),300,0))),1000000))</f>
        <v/>
      </c>
      <c r="PJ41">
        <f>IF($B41=0,1000000,IF(INDEX('計算A'!$D$60:$EQ$104,$B41,31)*EF41=1,IF(AND($E41=2,JU41=0),1000000,IF($I41&gt;0,IF(2=$J41,IF(OR(AND(31=$I41+1,OR($K41&lt;&gt;'計算A'!$A$3,'計算A'!$A$4=0)),AND(31=$I41-1,OR(7&lt;&gt;'計算A'!$A$3,'計算A'!$A$4=0))),0,IF(7=$K41,200000,ABS(7-$K41)*100)),100000+ABS(2-$J41)*1000+70)+'計算A'!AH$5*50+IF(AND($E41=1,JU41=0),25,0),INDEX('計算A'!AH$110:AH$114,$F41+1)+IF(AND($E41=1,JU41=0),1000,0)+IF($H41=1,(IF('計算A'!AG$117=1,INDEX('計算A'!AG$10:AG$54,$B41),0)+IF('計算A'!AH$117=1,INDEX('計算A'!AI$10:AI$54,$B41),0))*500,0)-IF(AND('計算A'!AG$117=1,VE41&gt;0),300,0)-IF(AND($L41=1,'計算A'!AH$117=1,EG41=0),300,0))),1000000))</f>
        <v/>
      </c>
      <c r="PK41">
        <f>IF($B41=0,1000000,IF(INDEX('計算A'!$D$60:$EQ$104,$B41,32)*EG41=1,IF(AND($E41=2,JV41=0),1000000,IF($I41&gt;0,IF(2=$J41,IF(OR(AND(32=$I41+1,OR($K41&lt;&gt;'計算A'!$A$3,'計算A'!$A$4=0)),AND(32=$I41-1,OR(8&lt;&gt;'計算A'!$A$3,'計算A'!$A$4=0))),0,IF(8=$K41,200000,ABS(8-$K41)*100)),100000+ABS(2-$J41)*1000+80)+'計算A'!AI$5*50+IF(AND($E41=1,JV41=0),25,0),INDEX('計算A'!AI$110:AI$114,$F41+1)+IF(AND($E41=1,JV41=0),1000,0)+IF($H41=1,(IF('計算A'!AH$117=1,INDEX('計算A'!AH$10:AH$54,$B41),0)+IF('計算A'!AI$117=1,INDEX('計算A'!AJ$10:AJ$54,$B41),0))*500,0)-IF(AND('計算A'!AH$117=1,VF41&gt;0),300,0)-IF(AND($L41=1,'計算A'!AI$117=1,EH41=0),300,0))),1000000))</f>
        <v/>
      </c>
      <c r="PL41">
        <f>IF($B41=0,1000000,IF(INDEX('計算A'!$D$60:$EQ$104,$B41,33)*EH41=1,IF(AND($E41=2,JW41=0),1000000,IF($I41&gt;0,IF(2=$J41,IF(OR(AND(33=$I41+1,OR($K41&lt;&gt;'計算A'!$A$3,'計算A'!$A$4=0)),AND(33=$I41-1,OR(9&lt;&gt;'計算A'!$A$3,'計算A'!$A$4=0))),0,IF(9=$K41,200000,ABS(9-$K41)*100)),100000+ABS(2-$J41)*1000+90)+'計算A'!AJ$5*50+IF(AND($E41=1,JW41=0),25,0),INDEX('計算A'!AJ$110:AJ$114,$F41+1)+IF(AND($E41=1,JW41=0),1000,0)+IF($H41=1,(IF('計算A'!AI$117=1,INDEX('計算A'!AI$10:AI$54,$B41),0)+IF('計算A'!AJ$117=1,INDEX('計算A'!AK$10:AK$54,$B41),0))*500,0)-IF(AND('計算A'!AI$117=1,VG41&gt;0),300,0)-IF(AND($L41=1,'計算A'!AJ$117=1,EI41=0),300,0))),1000000))</f>
        <v/>
      </c>
      <c r="PM41">
        <f>IF($B41=0,1000000,IF(INDEX('計算A'!$D$60:$EQ$104,$B41,34)*EI41=1,IF(AND($E41=2,JX41=0),1000000,IF($I41&gt;0,IF(2=$J41,IF(OR(AND(34=$I41+1,OR($K41&lt;&gt;'計算A'!$A$3,'計算A'!$A$4=0)),AND(34=$I41-1,OR(10&lt;&gt;'計算A'!$A$3,'計算A'!$A$4=0))),0,IF(10=$K41,200000,ABS(10-$K41)*100)),100000+ABS(2-$J41)*1000+100)+'計算A'!AK$5*50+IF(AND($E41=1,JX41=0),25,0),INDEX('計算A'!AK$110:AK$114,$F41+1)+IF(AND($E41=1,JX41=0),1000,0)+IF($H41=1,(IF('計算A'!AJ$117=1,INDEX('計算A'!AJ$10:AJ$54,$B41),0)+IF('計算A'!AK$117=1,INDEX('計算A'!AL$10:AL$54,$B41),0))*500,0)-IF(AND('計算A'!AJ$117=1,VH41&gt;0),300,0)-IF(AND($L41=1,'計算A'!AK$117=1,EJ41=0),300,0))),1000000))</f>
        <v/>
      </c>
      <c r="PN41">
        <f>IF($B41=0,1000000,IF(INDEX('計算A'!$D$60:$EQ$104,$B41,35)*EJ41=1,IF(AND($E41=2,JY41=0),1000000,IF($I41&gt;0,IF(2=$J41,IF(OR(AND(35=$I41+1,OR($K41&lt;&gt;'計算A'!$A$3,'計算A'!$A$4=0)),AND(35=$I41-1,OR(11&lt;&gt;'計算A'!$A$3,'計算A'!$A$4=0))),0,IF(11=$K41,200000,ABS(11-$K41)*100)),100000+ABS(2-$J41)*1000+110)+'計算A'!AL$5*50+IF(AND($E41=1,JY41=0),25,0),INDEX('計算A'!AL$110:AL$114,$F41+1)+IF(AND($E41=1,JY41=0),1000,0)+IF($H41=1,(IF('計算A'!AK$117=1,INDEX('計算A'!AK$10:AK$54,$B41),0)+IF('計算A'!AL$117=1,INDEX('計算A'!AM$10:AM$54,$B41),0))*500,0)-IF(AND('計算A'!AK$117=1,VI41&gt;0),300,0)-IF(AND($L41=1,'計算A'!AL$117=1,EK41=0),300,0))),1000000))</f>
        <v/>
      </c>
      <c r="PO41">
        <f>IF($B41=0,1000000,IF(INDEX('計算A'!$D$60:$EQ$104,$B41,36)*EK41=1,IF(AND($E41=2,JZ41=0),1000000,IF($I41&gt;0,IF(2=$J41,IF(OR(AND(36=$I41+1,OR($K41&lt;&gt;'計算A'!$A$3,'計算A'!$A$4=0)),AND(36=$I41-1,OR(12&lt;&gt;'計算A'!$A$3,'計算A'!$A$4=0))),0,IF(12=$K41,200000,ABS(12-$K41)*100)),100000+ABS(2-$J41)*1000+120)+'計算A'!AM$5*50+IF(AND($E41=1,JZ41=0),25,0),INDEX('計算A'!AM$110:AM$114,$F41+1)+IF(AND($E41=1,JZ41=0),1000,0)+IF($H41=1,(IF('計算A'!AL$117=1,INDEX('計算A'!AL$10:AL$54,$B41),0)+IF('計算A'!AM$117=1,INDEX('計算A'!AN$10:AN$54,$B41),0))*500,0)-IF(AND('計算A'!AL$117=1,VJ41&gt;0),300,0)-IF(AND($L41=1,'計算A'!AM$117=1,EL41=0),300,0))),1000000))</f>
        <v/>
      </c>
      <c r="PP41">
        <f>IF($B41=0,1000000,IF(INDEX('計算A'!$D$60:$EQ$104,$B41,37)*EL41=1,IF(AND($E41=2,KA41=0),1000000,IF($I41&gt;0,IF(2=$J41,IF(OR(AND(37=$I41+1,OR($K41&lt;&gt;'計算A'!$A$3,'計算A'!$A$4=0)),AND(37=$I41-1,OR(13&lt;&gt;'計算A'!$A$3,'計算A'!$A$4=0))),0,IF(13=$K41,200000,ABS(13-$K41)*100)),100000+ABS(2-$J41)*1000+130)+'計算A'!AN$5*50+IF(AND($E41=1,KA41=0),25,0),INDEX('計算A'!AN$110:AN$114,$F41+1)+IF(AND($E41=1,KA41=0),1000,0)+IF($H41=1,(IF('計算A'!AM$117=1,INDEX('計算A'!AM$10:AM$54,$B41),0)+IF('計算A'!AN$117=1,INDEX('計算A'!AO$10:AO$54,$B41),0))*500,0)-IF(AND('計算A'!AM$117=1,VK41&gt;0),300,0)-IF(AND($L41=1,'計算A'!AN$117=1,EM41=0),300,0))),1000000))</f>
        <v/>
      </c>
      <c r="PQ41">
        <f>IF($B41=0,1000000,IF(INDEX('計算A'!$D$60:$EQ$104,$B41,38)*EM41=1,IF(AND($E41=2,KB41=0),1000000,IF($I41&gt;0,IF(2=$J41,IF(OR(AND(38=$I41+1,OR($K41&lt;&gt;'計算A'!$A$3,'計算A'!$A$4=0)),AND(38=$I41-1,OR(14&lt;&gt;'計算A'!$A$3,'計算A'!$A$4=0))),0,IF(14=$K41,200000,ABS(14-$K41)*100)),100000+ABS(2-$J41)*1000+140)+'計算A'!AO$5*50+IF(AND($E41=1,KB41=0),25,0),INDEX('計算A'!AO$110:AO$114,$F41+1)+IF(AND($E41=1,KB41=0),1000,0)+IF($H41=1,(IF('計算A'!AN$117=1,INDEX('計算A'!AN$10:AN$54,$B41),0)+IF('計算A'!AO$117=1,INDEX('計算A'!AP$10:AP$54,$B41),0))*500,0)-IF(AND('計算A'!AN$117=1,VL41&gt;0),300,0)-IF(AND($L41=1,'計算A'!AO$117=1,EN41=0),300,0))),1000000))</f>
        <v/>
      </c>
      <c r="PR41">
        <f>IF($B41=0,1000000,IF(INDEX('計算A'!$D$60:$EQ$104,$B41,39)*EN41=1,IF(AND($E41=2,KC41=0),1000000,IF($I41&gt;0,IF(2=$J41,IF(OR(AND(39=$I41+1,OR($K41&lt;&gt;'計算A'!$A$3,'計算A'!$A$4=0)),AND(39=$I41-1,OR(15&lt;&gt;'計算A'!$A$3,'計算A'!$A$4=0))),0,IF(15=$K41,200000,ABS(15-$K41)*100)),100000+ABS(2-$J41)*1000+150)+'計算A'!AP$5*50+IF(AND($E41=1,KC41=0),25,0),INDEX('計算A'!AP$110:AP$114,$F41+1)+IF(AND($E41=1,KC41=0),1000,0)+IF($H41=1,(IF('計算A'!AO$117=1,INDEX('計算A'!AO$10:AO$54,$B41),0)+IF('計算A'!AP$117=1,INDEX('計算A'!AQ$10:AQ$54,$B41),0))*500,0)-IF(AND('計算A'!AO$117=1,VM41&gt;0),300,0)-IF(AND($L41=1,'計算A'!AP$117=1,EO41=0),300,0))),1000000))</f>
        <v/>
      </c>
      <c r="PS41">
        <f>IF($B41=0,1000000,IF(INDEX('計算A'!$D$60:$EQ$104,$B41,40)*EO41=1,IF(AND($E41=2,KD41=0),1000000,IF($I41&gt;0,IF(2=$J41,IF(OR(AND(40=$I41+1,OR($K41&lt;&gt;'計算A'!$A$3,'計算A'!$A$4=0)),AND(40=$I41-1,OR(16&lt;&gt;'計算A'!$A$3,'計算A'!$A$4=0))),0,IF(16=$K41,200000,ABS(16-$K41)*100)),100000+ABS(2-$J41)*1000+160)+'計算A'!AQ$5*50+IF(AND($E41=1,KD41=0),25,0),INDEX('計算A'!AQ$110:AQ$114,$F41+1)+IF(AND($E41=1,KD41=0),1000,0)+IF($H41=1,(IF('計算A'!AP$117=1,INDEX('計算A'!AP$10:AP$54,$B41),0)+IF('計算A'!AQ$117=1,INDEX('計算A'!AR$10:AR$54,$B41),0))*500,0)-IF(AND('計算A'!AP$117=1,VN41&gt;0),300,0)-IF(AND($L41=1,'計算A'!AQ$117=1,EP41=0),300,0))),1000000))</f>
        <v/>
      </c>
      <c r="PT41">
        <f>IF($B41=0,1000000,IF(INDEX('計算A'!$D$60:$EQ$104,$B41,41)*EP41=1,IF(AND($E41=2,KE41=0),1000000,IF($I41&gt;0,IF(2=$J41,IF(OR(AND(41=$I41+1,OR($K41&lt;&gt;'計算A'!$A$3,'計算A'!$A$4=0)),AND(41=$I41-1,OR(17&lt;&gt;'計算A'!$A$3,'計算A'!$A$4=0))),0,IF(17=$K41,200000,ABS(17-$K41)*100)),100000+ABS(2-$J41)*1000+170)+'計算A'!AR$5*50+IF(AND($E41=1,KE41=0),25,0),INDEX('計算A'!AR$110:AR$114,$F41+1)+IF(AND($E41=1,KE41=0),1000,0)+IF($H41=1,(IF('計算A'!AQ$117=1,INDEX('計算A'!AQ$10:AQ$54,$B41),0)+IF('計算A'!AR$117=1,INDEX('計算A'!AS$10:AS$54,$B41),0))*500,0)-IF(AND('計算A'!AQ$117=1,VO41&gt;0),300,0)-IF(AND($L41=1,'計算A'!AR$117=1,EQ41=0),300,0))),1000000))</f>
        <v/>
      </c>
      <c r="PU41">
        <f>IF($B41=0,1000000,IF(INDEX('計算A'!$D$60:$EQ$104,$B41,42)*EQ41=1,IF(AND($E41=2,KF41=0),1000000,IF($I41&gt;0,IF(2=$J41,IF(OR(AND(42=$I41+1,OR($K41&lt;&gt;'計算A'!$A$3,'計算A'!$A$4=0)),AND(42=$I41-1,OR(18&lt;&gt;'計算A'!$A$3,'計算A'!$A$4=0))),0,IF(18=$K41,200000,ABS(18-$K41)*100)),100000+ABS(2-$J41)*1000+180)+'計算A'!AS$5*50+IF(AND($E41=1,KF41=0),25,0),INDEX('計算A'!AS$110:AS$114,$F41+1)+IF(AND($E41=1,KF41=0),1000,0)+IF($H41=1,(IF('計算A'!AR$117=1,INDEX('計算A'!AR$10:AR$54,$B41),0)+IF('計算A'!AS$117=1,INDEX('計算A'!AT$10:AT$54,$B41),0))*500,0)-IF(AND('計算A'!AR$117=1,VP41&gt;0),300,0)-IF(AND($L41=1,'計算A'!AS$117=1,ER41=0),300,0))),1000000))</f>
        <v/>
      </c>
      <c r="PV41">
        <f>IF($B41=0,1000000,IF(INDEX('計算A'!$D$60:$EQ$104,$B41,43)*ER41=1,IF(AND($E41=2,KG41=0),1000000,IF($I41&gt;0,IF(2=$J41,IF(OR(AND(43=$I41+1,OR($K41&lt;&gt;'計算A'!$A$3,'計算A'!$A$4=0)),AND(43=$I41-1,OR(19&lt;&gt;'計算A'!$A$3,'計算A'!$A$4=0))),0,IF(19=$K41,200000,ABS(19-$K41)*100)),100000+ABS(2-$J41)*1000+190)+'計算A'!AT$5*50+IF(AND($E41=1,KG41=0),25,0),INDEX('計算A'!AT$110:AT$114,$F41+1)+IF(AND($E41=1,KG41=0),1000,0)+IF($H41=1,(IF('計算A'!AS$117=1,INDEX('計算A'!AS$10:AS$54,$B41),0)+IF('計算A'!AT$117=1,INDEX('計算A'!AU$10:AU$54,$B41),0))*500,0)-IF(AND('計算A'!AS$117=1,VQ41&gt;0),300,0)-IF(AND($L41=1,'計算A'!AT$117=1,ES41=0),300,0))),1000000))</f>
        <v/>
      </c>
      <c r="PW41">
        <f>IF($B41=0,1000000,IF(INDEX('計算A'!$D$60:$EQ$104,$B41,44)*ES41=1,IF(AND($E41=2,KH41=0),1000000,IF($I41&gt;0,IF(2=$J41,IF(OR(AND(44=$I41+1,OR($K41&lt;&gt;'計算A'!$A$3,'計算A'!$A$4=0)),AND(44=$I41-1,OR(20&lt;&gt;'計算A'!$A$3,'計算A'!$A$4=0))),0,IF(20=$K41,200000,ABS(20-$K41)*100)),100000+ABS(2-$J41)*1000+200)+'計算A'!AU$5*50+IF(AND($E41=1,KH41=0),25,0),INDEX('計算A'!AU$110:AU$114,$F41+1)+IF(AND($E41=1,KH41=0),1000,0)+IF($H41=1,(IF('計算A'!AT$117=1,INDEX('計算A'!AT$10:AT$54,$B41),0)+IF('計算A'!AU$117=1,INDEX('計算A'!AV$10:AV$54,$B41),0))*500,0)-IF(AND('計算A'!AT$117=1,VR41&gt;0),300,0)-IF(AND($L41=1,'計算A'!AU$117=1,ET41=0),300,0))),1000000))</f>
        <v/>
      </c>
      <c r="PX41">
        <f>IF($B41=0,1000000,IF(INDEX('計算A'!$D$60:$EQ$104,$B41,45)*ET41=1,IF(AND($E41=2,KI41=0),1000000,IF($I41&gt;0,IF(2=$J41,IF(OR(AND(45=$I41+1,OR($K41&lt;&gt;'計算A'!$A$3,'計算A'!$A$4=0)),AND(45=$I41-1,OR(21&lt;&gt;'計算A'!$A$3,'計算A'!$A$4=0))),0,IF(21=$K41,200000,ABS(21-$K41)*100)),100000+ABS(2-$J41)*1000+210)+'計算A'!AV$5*50+IF(AND($E41=1,KI41=0),25,0),INDEX('計算A'!AV$110:AV$114,$F41+1)+IF(AND($E41=1,KI41=0),1000,0)+IF($H41=1,(IF('計算A'!AU$117=1,INDEX('計算A'!AU$10:AU$54,$B41),0)+IF('計算A'!AV$117=1,INDEX('計算A'!AW$10:AW$54,$B41),0))*500,0)-IF(AND('計算A'!AU$117=1,VS41&gt;0),300,0)-IF(AND($L41=1,'計算A'!AV$117=1,EU41=0),300,0))),1000000))</f>
        <v/>
      </c>
      <c r="PY41">
        <f>IF($B41=0,1000000,IF(INDEX('計算A'!$D$60:$EQ$104,$B41,46)*EU41=1,IF(AND($E41=2,KJ41=0),1000000,IF($I41&gt;0,IF(2=$J41,IF(OR(AND(46=$I41+1,OR($K41&lt;&gt;'計算A'!$A$3,'計算A'!$A$4=0)),AND(46=$I41-1,OR(22&lt;&gt;'計算A'!$A$3,'計算A'!$A$4=0))),0,IF(22=$K41,200000,ABS(22-$K41)*100)),100000+ABS(2-$J41)*1000+220)+'計算A'!AW$5*50+IF(AND($E41=1,KJ41=0),25,0),INDEX('計算A'!AW$110:AW$114,$F41+1)+IF(AND($E41=1,KJ41=0),1000,0)+IF($H41=1,(IF('計算A'!AV$117=1,INDEX('計算A'!AV$10:AV$54,$B41),0)+IF('計算A'!AW$117=1,INDEX('計算A'!AX$10:AX$54,$B41),0))*500,0)-IF(AND('計算A'!AV$117=1,VT41&gt;0),300,0)-IF(AND($L41=1,'計算A'!AW$117=1,EV41=0),300,0))),1000000))</f>
        <v/>
      </c>
      <c r="PZ41">
        <f>IF($B41=0,1000000,IF(INDEX('計算A'!$D$60:$EQ$104,$B41,47)*EV41=1,IF(AND($E41=2,KK41=0),1000000,IF($I41&gt;0,IF(2=$J41,IF(OR(AND(47=$I41+1,OR($K41&lt;&gt;'計算A'!$A$3,'計算A'!$A$4=0)),AND(47=$I41-1,OR(23&lt;&gt;'計算A'!$A$3,'計算A'!$A$4=0))),0,IF(23=$K41,200000,ABS(23-$K41)*100)),100000+ABS(2-$J41)*1000+230)+'計算A'!AX$5*50+IF(AND($E41=1,KK41=0),25,0),INDEX('計算A'!AX$110:AX$114,$F41+1)+IF(AND($E41=1,KK41=0),1000,0)+IF($H41=1,(IF('計算A'!AW$117=1,INDEX('計算A'!AW$10:AW$54,$B41),0)+IF('計算A'!AX$117=1,INDEX('計算A'!AY$10:AY$54,$B41),0))*500,0)-IF(AND('計算A'!AW$117=1,VU41&gt;0),300,0)-IF(AND($L41=1,'計算A'!AX$117=1,EW41=0),300,0))),1000000))</f>
        <v/>
      </c>
      <c r="QA41">
        <f>IF($B41=0,1000000,IF(INDEX('計算A'!$D$60:$EQ$104,$B41,48)*EW41=1,IF(AND($E41=2,KL41=0),1000000,IF($I41&gt;0,IF(2=$J41,IF(OR(AND(48=$I41+1,OR($K41&lt;&gt;'計算A'!$A$3,'計算A'!$A$4=0)),AND(48=$I41-1,OR(24&lt;&gt;'計算A'!$A$3,'計算A'!$A$4=0))),0,IF(24=$K41,200000,ABS(24-$K41)*100)),100000+ABS(2-$J41)*1000+240)+'計算A'!AY$5*50+IF(AND($E41=1,KL41=0),25,0),INDEX('計算A'!AY$110:AY$114,$F41+1)+IF(AND($E41=1,KL41=0),1000,0)+IF($H41=1,(IF('計算A'!AX$117=1,INDEX('計算A'!AX$10:AX$54,$B41),0))*500,0)-IF(AND('計算A'!AX$117=1,VV41&gt;0),300,0))),1000000))</f>
        <v/>
      </c>
      <c r="QB41">
        <f>IF($B41=0,1000000,IF(INDEX('計算A'!$D$60:$EQ$104,$B41,49)*EX41=1,IF(AND($E41=2,KM41=0),1000000,IF($I41&gt;0,IF(3=$J41,IF(OR(AND(49=$I41+1,OR($K41&lt;&gt;'計算A'!$A$3,'計算A'!$A$4=0)),AND(49=$I41-1,OR(1&lt;&gt;'計算A'!$A$3,'計算A'!$A$4=0))),0,IF(1=$K41,200000,ABS(1-$K41)*100)),100000+ABS(3-$J41)*1000+10)+'計算A'!AZ$5*50+IF(AND($E41=1,KM41=0),25,0),INDEX('計算A'!AZ$110:AZ$114,$F41+1)+IF(AND($E41=1,KM41=0),1000,0)+IF($H41=1,(IF('計算A'!AZ$117=1,INDEX('計算A'!BA$10:BA$54,$B41),0))*500,0)-IF(AND($L41=1,'計算A'!AZ$117=1,EY41=0),300,0))),1000000))</f>
        <v/>
      </c>
      <c r="QC41">
        <f>IF($B41=0,1000000,IF(INDEX('計算A'!$D$60:$EQ$104,$B41,50)*EY41=1,IF(AND($E41=2,KN41=0),1000000,IF($I41&gt;0,IF(3=$J41,IF(OR(AND(50=$I41+1,OR($K41&lt;&gt;'計算A'!$A$3,'計算A'!$A$4=0)),AND(50=$I41-1,OR(2&lt;&gt;'計算A'!$A$3,'計算A'!$A$4=0))),0,IF(2=$K41,200000,ABS(2-$K41)*100)),100000+ABS(3-$J41)*1000+20)+'計算A'!BA$5*50+IF(AND($E41=1,KN41=0),25,0),INDEX('計算A'!BA$110:BA$114,$F41+1)+IF(AND($E41=1,KN41=0),1000,0)+IF($H41=1,(IF('計算A'!AZ$117=1,INDEX('計算A'!AZ$10:AZ$54,$B41),0)+IF('計算A'!BA$117=1,INDEX('計算A'!BB$10:BB$54,$B41),0))*500,0)-IF(AND('計算A'!AZ$117=1,VX41&gt;0),300,0)-IF(AND($L41=1,'計算A'!BA$117=1,EZ41=0),300,0))),1000000))</f>
        <v/>
      </c>
      <c r="QD41">
        <f>IF($B41=0,1000000,IF(INDEX('計算A'!$D$60:$EQ$104,$B41,51)*EZ41=1,IF(AND($E41=2,KO41=0),1000000,IF($I41&gt;0,IF(3=$J41,IF(OR(AND(51=$I41+1,OR($K41&lt;&gt;'計算A'!$A$3,'計算A'!$A$4=0)),AND(51=$I41-1,OR(3&lt;&gt;'計算A'!$A$3,'計算A'!$A$4=0))),0,IF(3=$K41,200000,ABS(3-$K41)*100)),100000+ABS(3-$J41)*1000+30)+'計算A'!BB$5*50+IF(AND($E41=1,KO41=0),25,0),INDEX('計算A'!BB$110:BB$114,$F41+1)+IF(AND($E41=1,KO41=0),1000,0)+IF($H41=1,(IF('計算A'!BA$117=1,INDEX('計算A'!BA$10:BA$54,$B41),0)+IF('計算A'!BB$117=1,INDEX('計算A'!BC$10:BC$54,$B41),0))*500,0)-IF(AND('計算A'!BA$117=1,VY41&gt;0),300,0)-IF(AND($L41=1,'計算A'!BB$117=1,FA41=0),300,0))),1000000))</f>
        <v/>
      </c>
      <c r="QE41">
        <f>IF($B41=0,1000000,IF(INDEX('計算A'!$D$60:$EQ$104,$B41,52)*FA41=1,IF(AND($E41=2,KP41=0),1000000,IF($I41&gt;0,IF(3=$J41,IF(OR(AND(52=$I41+1,OR($K41&lt;&gt;'計算A'!$A$3,'計算A'!$A$4=0)),AND(52=$I41-1,OR(4&lt;&gt;'計算A'!$A$3,'計算A'!$A$4=0))),0,IF(4=$K41,200000,ABS(4-$K41)*100)),100000+ABS(3-$J41)*1000+40)+'計算A'!BC$5*50+IF(AND($E41=1,KP41=0),25,0),INDEX('計算A'!BC$110:BC$114,$F41+1)+IF(AND($E41=1,KP41=0),1000,0)+IF($H41=1,(IF('計算A'!BB$117=1,INDEX('計算A'!BB$10:BB$54,$B41),0)+IF('計算A'!BC$117=1,INDEX('計算A'!BD$10:BD$54,$B41),0))*500,0)-IF(AND('計算A'!BB$117=1,VZ41&gt;0),300,0)-IF(AND($L41=1,'計算A'!BC$117=1,FB41=0),300,0))),1000000))</f>
        <v/>
      </c>
      <c r="QF41">
        <f>IF($B41=0,1000000,IF(INDEX('計算A'!$D$60:$EQ$104,$B41,53)*FB41=1,IF(AND($E41=2,KQ41=0),1000000,IF($I41&gt;0,IF(3=$J41,IF(OR(AND(53=$I41+1,OR($K41&lt;&gt;'計算A'!$A$3,'計算A'!$A$4=0)),AND(53=$I41-1,OR(5&lt;&gt;'計算A'!$A$3,'計算A'!$A$4=0))),0,IF(5=$K41,200000,ABS(5-$K41)*100)),100000+ABS(3-$J41)*1000+50)+'計算A'!BD$5*50+IF(AND($E41=1,KQ41=0),25,0),INDEX('計算A'!BD$110:BD$114,$F41+1)+IF(AND($E41=1,KQ41=0),1000,0)+IF($H41=1,(IF('計算A'!BC$117=1,INDEX('計算A'!BC$10:BC$54,$B41),0)+IF('計算A'!BD$117=1,INDEX('計算A'!BE$10:BE$54,$B41),0))*500,0)-IF(AND('計算A'!BC$117=1,WA41&gt;0),300,0)-IF(AND($L41=1,'計算A'!BD$117=1,FC41=0),300,0))),1000000))</f>
        <v/>
      </c>
      <c r="QG41">
        <f>IF($B41=0,1000000,IF(INDEX('計算A'!$D$60:$EQ$104,$B41,54)*FC41=1,IF(AND($E41=2,KR41=0),1000000,IF($I41&gt;0,IF(3=$J41,IF(OR(AND(54=$I41+1,OR($K41&lt;&gt;'計算A'!$A$3,'計算A'!$A$4=0)),AND(54=$I41-1,OR(6&lt;&gt;'計算A'!$A$3,'計算A'!$A$4=0))),0,IF(6=$K41,200000,ABS(6-$K41)*100)),100000+ABS(3-$J41)*1000+60)+'計算A'!BE$5*50+IF(AND($E41=1,KR41=0),25,0),INDEX('計算A'!BE$110:BE$114,$F41+1)+IF(AND($E41=1,KR41=0),1000,0)+IF($H41=1,(IF('計算A'!BD$117=1,INDEX('計算A'!BD$10:BD$54,$B41),0)+IF('計算A'!BE$117=1,INDEX('計算A'!BF$10:BF$54,$B41),0))*500,0)-IF(AND('計算A'!BD$117=1,WB41&gt;0),300,0)-IF(AND($L41=1,'計算A'!BE$117=1,FD41=0),300,0))),1000000))</f>
        <v/>
      </c>
      <c r="QH41">
        <f>IF($B41=0,1000000,IF(INDEX('計算A'!$D$60:$EQ$104,$B41,55)*FD41=1,IF(AND($E41=2,KS41=0),1000000,IF($I41&gt;0,IF(3=$J41,IF(OR(AND(55=$I41+1,OR($K41&lt;&gt;'計算A'!$A$3,'計算A'!$A$4=0)),AND(55=$I41-1,OR(7&lt;&gt;'計算A'!$A$3,'計算A'!$A$4=0))),0,IF(7=$K41,200000,ABS(7-$K41)*100)),100000+ABS(3-$J41)*1000+70)+'計算A'!BF$5*50+IF(AND($E41=1,KS41=0),25,0),INDEX('計算A'!BF$110:BF$114,$F41+1)+IF(AND($E41=1,KS41=0),1000,0)+IF($H41=1,(IF('計算A'!BE$117=1,INDEX('計算A'!BE$10:BE$54,$B41),0)+IF('計算A'!BF$117=1,INDEX('計算A'!BG$10:BG$54,$B41),0))*500,0)-IF(AND('計算A'!BE$117=1,WC41&gt;0),300,0)-IF(AND($L41=1,'計算A'!BF$117=1,FE41=0),300,0))),1000000))</f>
        <v/>
      </c>
      <c r="QI41">
        <f>IF($B41=0,1000000,IF(INDEX('計算A'!$D$60:$EQ$104,$B41,56)*FE41=1,IF(AND($E41=2,KT41=0),1000000,IF($I41&gt;0,IF(3=$J41,IF(OR(AND(56=$I41+1,OR($K41&lt;&gt;'計算A'!$A$3,'計算A'!$A$4=0)),AND(56=$I41-1,OR(8&lt;&gt;'計算A'!$A$3,'計算A'!$A$4=0))),0,IF(8=$K41,200000,ABS(8-$K41)*100)),100000+ABS(3-$J41)*1000+80)+'計算A'!BG$5*50+IF(AND($E41=1,KT41=0),25,0),INDEX('計算A'!BG$110:BG$114,$F41+1)+IF(AND($E41=1,KT41=0),1000,0)+IF($H41=1,(IF('計算A'!BF$117=1,INDEX('計算A'!BF$10:BF$54,$B41),0)+IF('計算A'!BG$117=1,INDEX('計算A'!BH$10:BH$54,$B41),0))*500,0)-IF(AND('計算A'!BF$117=1,WD41&gt;0),300,0)-IF(AND($L41=1,'計算A'!BG$117=1,FF41=0),300,0))),1000000))</f>
        <v/>
      </c>
      <c r="QJ41">
        <f>IF($B41=0,1000000,IF(INDEX('計算A'!$D$60:$EQ$104,$B41,57)*FF41=1,IF(AND($E41=2,KU41=0),1000000,IF($I41&gt;0,IF(3=$J41,IF(OR(AND(57=$I41+1,OR($K41&lt;&gt;'計算A'!$A$3,'計算A'!$A$4=0)),AND(57=$I41-1,OR(9&lt;&gt;'計算A'!$A$3,'計算A'!$A$4=0))),0,IF(9=$K41,200000,ABS(9-$K41)*100)),100000+ABS(3-$J41)*1000+90)+'計算A'!BH$5*50+IF(AND($E41=1,KU41=0),25,0),INDEX('計算A'!BH$110:BH$114,$F41+1)+IF(AND($E41=1,KU41=0),1000,0)+IF($H41=1,(IF('計算A'!BG$117=1,INDEX('計算A'!BG$10:BG$54,$B41),0)+IF('計算A'!BH$117=1,INDEX('計算A'!BI$10:BI$54,$B41),0))*500,0)-IF(AND('計算A'!BG$117=1,WE41&gt;0),300,0)-IF(AND($L41=1,'計算A'!BH$117=1,FG41=0),300,0))),1000000))</f>
        <v/>
      </c>
      <c r="QK41">
        <f>IF($B41=0,1000000,IF(INDEX('計算A'!$D$60:$EQ$104,$B41,58)*FG41=1,IF(AND($E41=2,KV41=0),1000000,IF($I41&gt;0,IF(3=$J41,IF(OR(AND(58=$I41+1,OR($K41&lt;&gt;'計算A'!$A$3,'計算A'!$A$4=0)),AND(58=$I41-1,OR(10&lt;&gt;'計算A'!$A$3,'計算A'!$A$4=0))),0,IF(10=$K41,200000,ABS(10-$K41)*100)),100000+ABS(3-$J41)*1000+100)+'計算A'!BI$5*50+IF(AND($E41=1,KV41=0),25,0),INDEX('計算A'!BI$110:BI$114,$F41+1)+IF(AND($E41=1,KV41=0),1000,0)+IF($H41=1,(IF('計算A'!BH$117=1,INDEX('計算A'!BH$10:BH$54,$B41),0)+IF('計算A'!BI$117=1,INDEX('計算A'!BJ$10:BJ$54,$B41),0))*500,0)-IF(AND('計算A'!BH$117=1,WF41&gt;0),300,0)-IF(AND($L41=1,'計算A'!BI$117=1,FH41=0),300,0))),1000000))</f>
        <v/>
      </c>
      <c r="QL41">
        <f>IF($B41=0,1000000,IF(INDEX('計算A'!$D$60:$EQ$104,$B41,59)*FH41=1,IF(AND($E41=2,KW41=0),1000000,IF($I41&gt;0,IF(3=$J41,IF(OR(AND(59=$I41+1,OR($K41&lt;&gt;'計算A'!$A$3,'計算A'!$A$4=0)),AND(59=$I41-1,OR(11&lt;&gt;'計算A'!$A$3,'計算A'!$A$4=0))),0,IF(11=$K41,200000,ABS(11-$K41)*100)),100000+ABS(3-$J41)*1000+110)+'計算A'!BJ$5*50+IF(AND($E41=1,KW41=0),25,0),INDEX('計算A'!BJ$110:BJ$114,$F41+1)+IF(AND($E41=1,KW41=0),1000,0)+IF($H41=1,(IF('計算A'!BI$117=1,INDEX('計算A'!BI$10:BI$54,$B41),0)+IF('計算A'!BJ$117=1,INDEX('計算A'!BK$10:BK$54,$B41),0))*500,0)-IF(AND('計算A'!BI$117=1,WG41&gt;0),300,0)-IF(AND($L41=1,'計算A'!BJ$117=1,FI41=0),300,0))),1000000))</f>
        <v/>
      </c>
      <c r="QM41">
        <f>IF($B41=0,1000000,IF(INDEX('計算A'!$D$60:$EQ$104,$B41,60)*FI41=1,IF(AND($E41=2,KX41=0),1000000,IF($I41&gt;0,IF(3=$J41,IF(OR(AND(60=$I41+1,OR($K41&lt;&gt;'計算A'!$A$3,'計算A'!$A$4=0)),AND(60=$I41-1,OR(12&lt;&gt;'計算A'!$A$3,'計算A'!$A$4=0))),0,IF(12=$K41,200000,ABS(12-$K41)*100)),100000+ABS(3-$J41)*1000+120)+'計算A'!BK$5*50+IF(AND($E41=1,KX41=0),25,0),INDEX('計算A'!BK$110:BK$114,$F41+1)+IF(AND($E41=1,KX41=0),1000,0)+IF($H41=1,(IF('計算A'!BJ$117=1,INDEX('計算A'!BJ$10:BJ$54,$B41),0)+IF('計算A'!BK$117=1,INDEX('計算A'!BL$10:BL$54,$B41),0))*500,0)-IF(AND('計算A'!BJ$117=1,WH41&gt;0),300,0)-IF(AND($L41=1,'計算A'!BK$117=1,FJ41=0),300,0))),1000000))</f>
        <v/>
      </c>
      <c r="QN41">
        <f>IF($B41=0,1000000,IF(INDEX('計算A'!$D$60:$EQ$104,$B41,61)*FJ41=1,IF(AND($E41=2,KY41=0),1000000,IF($I41&gt;0,IF(3=$J41,IF(OR(AND(61=$I41+1,OR($K41&lt;&gt;'計算A'!$A$3,'計算A'!$A$4=0)),AND(61=$I41-1,OR(13&lt;&gt;'計算A'!$A$3,'計算A'!$A$4=0))),0,IF(13=$K41,200000,ABS(13-$K41)*100)),100000+ABS(3-$J41)*1000+130)+'計算A'!BL$5*50+IF(AND($E41=1,KY41=0),25,0),INDEX('計算A'!BL$110:BL$114,$F41+1)+IF(AND($E41=1,KY41=0),1000,0)+IF($H41=1,(IF('計算A'!BK$117=1,INDEX('計算A'!BK$10:BK$54,$B41),0)+IF('計算A'!BL$117=1,INDEX('計算A'!BM$10:BM$54,$B41),0))*500,0)-IF(AND('計算A'!BK$117=1,WI41&gt;0),300,0)-IF(AND($L41=1,'計算A'!BL$117=1,FK41=0),300,0))),1000000))</f>
        <v/>
      </c>
      <c r="QO41">
        <f>IF($B41=0,1000000,IF(INDEX('計算A'!$D$60:$EQ$104,$B41,62)*FK41=1,IF(AND($E41=2,KZ41=0),1000000,IF($I41&gt;0,IF(3=$J41,IF(OR(AND(62=$I41+1,OR($K41&lt;&gt;'計算A'!$A$3,'計算A'!$A$4=0)),AND(62=$I41-1,OR(14&lt;&gt;'計算A'!$A$3,'計算A'!$A$4=0))),0,IF(14=$K41,200000,ABS(14-$K41)*100)),100000+ABS(3-$J41)*1000+140)+'計算A'!BM$5*50+IF(AND($E41=1,KZ41=0),25,0),INDEX('計算A'!BM$110:BM$114,$F41+1)+IF(AND($E41=1,KZ41=0),1000,0)+IF($H41=1,(IF('計算A'!BL$117=1,INDEX('計算A'!BL$10:BL$54,$B41),0)+IF('計算A'!BM$117=1,INDEX('計算A'!BN$10:BN$54,$B41),0))*500,0)-IF(AND('計算A'!BL$117=1,WJ41&gt;0),300,0)-IF(AND($L41=1,'計算A'!BM$117=1,FL41=0),300,0))),1000000))</f>
        <v/>
      </c>
      <c r="QP41">
        <f>IF($B41=0,1000000,IF(INDEX('計算A'!$D$60:$EQ$104,$B41,63)*FL41=1,IF(AND($E41=2,LA41=0),1000000,IF($I41&gt;0,IF(3=$J41,IF(OR(AND(63=$I41+1,OR($K41&lt;&gt;'計算A'!$A$3,'計算A'!$A$4=0)),AND(63=$I41-1,OR(15&lt;&gt;'計算A'!$A$3,'計算A'!$A$4=0))),0,IF(15=$K41,200000,ABS(15-$K41)*100)),100000+ABS(3-$J41)*1000+150)+'計算A'!BN$5*50+IF(AND($E41=1,LA41=0),25,0),INDEX('計算A'!BN$110:BN$114,$F41+1)+IF(AND($E41=1,LA41=0),1000,0)+IF($H41=1,(IF('計算A'!BM$117=1,INDEX('計算A'!BM$10:BM$54,$B41),0)+IF('計算A'!BN$117=1,INDEX('計算A'!BO$10:BO$54,$B41),0))*500,0)-IF(AND('計算A'!BM$117=1,WK41&gt;0),300,0)-IF(AND($L41=1,'計算A'!BN$117=1,FM41=0),300,0))),1000000))</f>
        <v/>
      </c>
      <c r="QQ41">
        <f>IF($B41=0,1000000,IF(INDEX('計算A'!$D$60:$EQ$104,$B41,64)*FM41=1,IF(AND($E41=2,LB41=0),1000000,IF($I41&gt;0,IF(3=$J41,IF(OR(AND(64=$I41+1,OR($K41&lt;&gt;'計算A'!$A$3,'計算A'!$A$4=0)),AND(64=$I41-1,OR(16&lt;&gt;'計算A'!$A$3,'計算A'!$A$4=0))),0,IF(16=$K41,200000,ABS(16-$K41)*100)),100000+ABS(3-$J41)*1000+160)+'計算A'!BO$5*50+IF(AND($E41=1,LB41=0),25,0),INDEX('計算A'!BO$110:BO$114,$F41+1)+IF(AND($E41=1,LB41=0),1000,0)+IF($H41=1,(IF('計算A'!BN$117=1,INDEX('計算A'!BN$10:BN$54,$B41),0)+IF('計算A'!BO$117=1,INDEX('計算A'!BP$10:BP$54,$B41),0))*500,0)-IF(AND('計算A'!BN$117=1,WL41&gt;0),300,0)-IF(AND($L41=1,'計算A'!BO$117=1,FN41=0),300,0))),1000000))</f>
        <v/>
      </c>
      <c r="QR41">
        <f>IF($B41=0,1000000,IF(INDEX('計算A'!$D$60:$EQ$104,$B41,65)*FN41=1,IF(AND($E41=2,LC41=0),1000000,IF($I41&gt;0,IF(3=$J41,IF(OR(AND(65=$I41+1,OR($K41&lt;&gt;'計算A'!$A$3,'計算A'!$A$4=0)),AND(65=$I41-1,OR(17&lt;&gt;'計算A'!$A$3,'計算A'!$A$4=0))),0,IF(17=$K41,200000,ABS(17-$K41)*100)),100000+ABS(3-$J41)*1000+170)+'計算A'!BP$5*50+IF(AND($E41=1,LC41=0),25,0),INDEX('計算A'!BP$110:BP$114,$F41+1)+IF(AND($E41=1,LC41=0),1000,0)+IF($H41=1,(IF('計算A'!BO$117=1,INDEX('計算A'!BO$10:BO$54,$B41),0)+IF('計算A'!BP$117=1,INDEX('計算A'!BQ$10:BQ$54,$B41),0))*500,0)-IF(AND('計算A'!BO$117=1,WM41&gt;0),300,0)-IF(AND($L41=1,'計算A'!BP$117=1,FO41=0),300,0))),1000000))</f>
        <v/>
      </c>
      <c r="QS41">
        <f>IF($B41=0,1000000,IF(INDEX('計算A'!$D$60:$EQ$104,$B41,66)*FO41=1,IF(AND($E41=2,LD41=0),1000000,IF($I41&gt;0,IF(3=$J41,IF(OR(AND(66=$I41+1,OR($K41&lt;&gt;'計算A'!$A$3,'計算A'!$A$4=0)),AND(66=$I41-1,OR(18&lt;&gt;'計算A'!$A$3,'計算A'!$A$4=0))),0,IF(18=$K41,200000,ABS(18-$K41)*100)),100000+ABS(3-$J41)*1000+180)+'計算A'!BQ$5*50+IF(AND($E41=1,LD41=0),25,0),INDEX('計算A'!BQ$110:BQ$114,$F41+1)+IF(AND($E41=1,LD41=0),1000,0)+IF($H41=1,(IF('計算A'!BP$117=1,INDEX('計算A'!BP$10:BP$54,$B41),0)+IF('計算A'!BQ$117=1,INDEX('計算A'!BR$10:BR$54,$B41),0))*500,0)-IF(AND('計算A'!BP$117=1,WN41&gt;0),300,0)-IF(AND($L41=1,'計算A'!BQ$117=1,FP41=0),300,0))),1000000))</f>
        <v/>
      </c>
      <c r="QT41">
        <f>IF($B41=0,1000000,IF(INDEX('計算A'!$D$60:$EQ$104,$B41,67)*FP41=1,IF(AND($E41=2,LE41=0),1000000,IF($I41&gt;0,IF(3=$J41,IF(OR(AND(67=$I41+1,OR($K41&lt;&gt;'計算A'!$A$3,'計算A'!$A$4=0)),AND(67=$I41-1,OR(19&lt;&gt;'計算A'!$A$3,'計算A'!$A$4=0))),0,IF(19=$K41,200000,ABS(19-$K41)*100)),100000+ABS(3-$J41)*1000+190)+'計算A'!BR$5*50+IF(AND($E41=1,LE41=0),25,0),INDEX('計算A'!BR$110:BR$114,$F41+1)+IF(AND($E41=1,LE41=0),1000,0)+IF($H41=1,(IF('計算A'!BQ$117=1,INDEX('計算A'!BQ$10:BQ$54,$B41),0)+IF('計算A'!BR$117=1,INDEX('計算A'!BS$10:BS$54,$B41),0))*500,0)-IF(AND('計算A'!BQ$117=1,WO41&gt;0),300,0)-IF(AND($L41=1,'計算A'!BR$117=1,FQ41=0),300,0))),1000000))</f>
        <v/>
      </c>
      <c r="QU41">
        <f>IF($B41=0,1000000,IF(INDEX('計算A'!$D$60:$EQ$104,$B41,68)*FQ41=1,IF(AND($E41=2,LF41=0),1000000,IF($I41&gt;0,IF(3=$J41,IF(OR(AND(68=$I41+1,OR($K41&lt;&gt;'計算A'!$A$3,'計算A'!$A$4=0)),AND(68=$I41-1,OR(20&lt;&gt;'計算A'!$A$3,'計算A'!$A$4=0))),0,IF(20=$K41,200000,ABS(20-$K41)*100)),100000+ABS(3-$J41)*1000+200)+'計算A'!BS$5*50+IF(AND($E41=1,LF41=0),25,0),INDEX('計算A'!BS$110:BS$114,$F41+1)+IF(AND($E41=1,LF41=0),1000,0)+IF($H41=1,(IF('計算A'!BR$117=1,INDEX('計算A'!BR$10:BR$54,$B41),0)+IF('計算A'!BS$117=1,INDEX('計算A'!BT$10:BT$54,$B41),0))*500,0)-IF(AND('計算A'!BR$117=1,WP41&gt;0),300,0)-IF(AND($L41=1,'計算A'!BS$117=1,FR41=0),300,0))),1000000))</f>
        <v/>
      </c>
      <c r="QV41">
        <f>IF($B41=0,1000000,IF(INDEX('計算A'!$D$60:$EQ$104,$B41,69)*FR41=1,IF(AND($E41=2,LG41=0),1000000,IF($I41&gt;0,IF(3=$J41,IF(OR(AND(69=$I41+1,OR($K41&lt;&gt;'計算A'!$A$3,'計算A'!$A$4=0)),AND(69=$I41-1,OR(21&lt;&gt;'計算A'!$A$3,'計算A'!$A$4=0))),0,IF(21=$K41,200000,ABS(21-$K41)*100)),100000+ABS(3-$J41)*1000+210)+'計算A'!BT$5*50+IF(AND($E41=1,LG41=0),25,0),INDEX('計算A'!BT$110:BT$114,$F41+1)+IF(AND($E41=1,LG41=0),1000,0)+IF($H41=1,(IF('計算A'!BS$117=1,INDEX('計算A'!BS$10:BS$54,$B41),0)+IF('計算A'!BT$117=1,INDEX('計算A'!BU$10:BU$54,$B41),0))*500,0)-IF(AND('計算A'!BS$117=1,WQ41&gt;0),300,0)-IF(AND($L41=1,'計算A'!BT$117=1,FS41=0),300,0))),1000000))</f>
        <v/>
      </c>
      <c r="QW41">
        <f>IF($B41=0,1000000,IF(INDEX('計算A'!$D$60:$EQ$104,$B41,70)*FS41=1,IF(AND($E41=2,LH41=0),1000000,IF($I41&gt;0,IF(3=$J41,IF(OR(AND(70=$I41+1,OR($K41&lt;&gt;'計算A'!$A$3,'計算A'!$A$4=0)),AND(70=$I41-1,OR(22&lt;&gt;'計算A'!$A$3,'計算A'!$A$4=0))),0,IF(22=$K41,200000,ABS(22-$K41)*100)),100000+ABS(3-$J41)*1000+220)+'計算A'!BU$5*50+IF(AND($E41=1,LH41=0),25,0),INDEX('計算A'!BU$110:BU$114,$F41+1)+IF(AND($E41=1,LH41=0),1000,0)+IF($H41=1,(IF('計算A'!BT$117=1,INDEX('計算A'!BT$10:BT$54,$B41),0)+IF('計算A'!BU$117=1,INDEX('計算A'!BV$10:BV$54,$B41),0))*500,0)-IF(AND('計算A'!BT$117=1,WR41&gt;0),300,0)-IF(AND($L41=1,'計算A'!BU$117=1,FT41=0),300,0))),1000000))</f>
        <v/>
      </c>
      <c r="QX41">
        <f>IF($B41=0,1000000,IF(INDEX('計算A'!$D$60:$EQ$104,$B41,71)*FT41=1,IF(AND($E41=2,LI41=0),1000000,IF($I41&gt;0,IF(3=$J41,IF(OR(AND(71=$I41+1,OR($K41&lt;&gt;'計算A'!$A$3,'計算A'!$A$4=0)),AND(71=$I41-1,OR(23&lt;&gt;'計算A'!$A$3,'計算A'!$A$4=0))),0,IF(23=$K41,200000,ABS(23-$K41)*100)),100000+ABS(3-$J41)*1000+230)+'計算A'!BV$5*50+IF(AND($E41=1,LI41=0),25,0),INDEX('計算A'!BV$110:BV$114,$F41+1)+IF(AND($E41=1,LI41=0),1000,0)+IF($H41=1,(IF('計算A'!BU$117=1,INDEX('計算A'!BU$10:BU$54,$B41),0)+IF('計算A'!BV$117=1,INDEX('計算A'!BW$10:BW$54,$B41),0))*500,0)-IF(AND('計算A'!BU$117=1,WS41&gt;0),300,0)-IF(AND($L41=1,'計算A'!BV$117=1,FU41=0),300,0))),1000000))</f>
        <v/>
      </c>
      <c r="QY41">
        <f>IF($B41=0,1000000,IF(INDEX('計算A'!$D$60:$EQ$104,$B41,72)*FU41=1,IF(AND($E41=2,LJ41=0),1000000,IF($I41&gt;0,IF(3=$J41,IF(OR(AND(72=$I41+1,OR($K41&lt;&gt;'計算A'!$A$3,'計算A'!$A$4=0)),AND(72=$I41-1,OR(24&lt;&gt;'計算A'!$A$3,'計算A'!$A$4=0))),0,IF(24=$K41,200000,ABS(24-$K41)*100)),100000+ABS(3-$J41)*1000+240)+'計算A'!BW$5*50+IF(AND($E41=1,LJ41=0),25,0),INDEX('計算A'!BW$110:BW$114,$F41+1)+IF(AND($E41=1,LJ41=0),1000,0)+IF($H41=1,(IF('計算A'!BV$117=1,INDEX('計算A'!BV$10:BV$54,$B41),0))*500,0)-IF(AND('計算A'!BV$117=1,WT41&gt;0),300,0))),1000000))</f>
        <v/>
      </c>
      <c r="QZ41">
        <f>IF($B41=0,1000000,IF(INDEX('計算A'!$D$60:$EQ$104,$B41,73)*FV41=1,IF(AND($E41=2,LK41=0),1000000,IF($I41&gt;0,IF(4=$J41,IF(OR(AND(73=$I41+1,OR($K41&lt;&gt;'計算A'!$A$3,'計算A'!$A$4=0)),AND(73=$I41-1,OR(1&lt;&gt;'計算A'!$A$3,'計算A'!$A$4=0))),0,IF(1=$K41,200000,ABS(1-$K41)*100)),100000+ABS(4-$J41)*1000+10)+'計算A'!BX$5*50+IF(AND($E41=1,LK41=0),25,0),INDEX('計算A'!BX$110:BX$114,$F41+1)+IF(AND($E41=1,LK41=0),1000,0)+IF($H41=1,(IF('計算A'!BX$117=1,INDEX('計算A'!BY$10:BY$54,$B41),0))*500,0)-IF(AND($L41=1,'計算A'!BX$117=1,FW41=0),300,0))),1000000))</f>
        <v/>
      </c>
      <c r="RA41">
        <f>IF($B41=0,1000000,IF(INDEX('計算A'!$D$60:$EQ$104,$B41,74)*FW41=1,IF(AND($E41=2,LL41=0),1000000,IF($I41&gt;0,IF(4=$J41,IF(OR(AND(74=$I41+1,OR($K41&lt;&gt;'計算A'!$A$3,'計算A'!$A$4=0)),AND(74=$I41-1,OR(2&lt;&gt;'計算A'!$A$3,'計算A'!$A$4=0))),0,IF(2=$K41,200000,ABS(2-$K41)*100)),100000+ABS(4-$J41)*1000+20)+'計算A'!BY$5*50+IF(AND($E41=1,LL41=0),25,0),INDEX('計算A'!BY$110:BY$114,$F41+1)+IF(AND($E41=1,LL41=0),1000,0)+IF($H41=1,(IF('計算A'!BX$117=1,INDEX('計算A'!BX$10:BX$54,$B41),0)+IF('計算A'!BY$117=1,INDEX('計算A'!BZ$10:BZ$54,$B41),0))*500,0)-IF(AND('計算A'!BX$117=1,WV41&gt;0),300,0)-IF(AND($L41=1,'計算A'!BY$117=1,FX41=0),300,0))),1000000))</f>
        <v/>
      </c>
      <c r="RB41">
        <f>IF($B41=0,1000000,IF(INDEX('計算A'!$D$60:$EQ$104,$B41,75)*FX41=1,IF(AND($E41=2,LM41=0),1000000,IF($I41&gt;0,IF(4=$J41,IF(OR(AND(75=$I41+1,OR($K41&lt;&gt;'計算A'!$A$3,'計算A'!$A$4=0)),AND(75=$I41-1,OR(3&lt;&gt;'計算A'!$A$3,'計算A'!$A$4=0))),0,IF(3=$K41,200000,ABS(3-$K41)*100)),100000+ABS(4-$J41)*1000+30)+'計算A'!BZ$5*50+IF(AND($E41=1,LM41=0),25,0),INDEX('計算A'!BZ$110:BZ$114,$F41+1)+IF(AND($E41=1,LM41=0),1000,0)+IF($H41=1,(IF('計算A'!BY$117=1,INDEX('計算A'!BY$10:BY$54,$B41),0)+IF('計算A'!BZ$117=1,INDEX('計算A'!CA$10:CA$54,$B41),0))*500,0)-IF(AND('計算A'!BY$117=1,WW41&gt;0),300,0)-IF(AND($L41=1,'計算A'!BZ$117=1,FY41=0),300,0))),1000000))</f>
        <v/>
      </c>
      <c r="RC41">
        <f>IF($B41=0,1000000,IF(INDEX('計算A'!$D$60:$EQ$104,$B41,76)*FY41=1,IF(AND($E41=2,LN41=0),1000000,IF($I41&gt;0,IF(4=$J41,IF(OR(AND(76=$I41+1,OR($K41&lt;&gt;'計算A'!$A$3,'計算A'!$A$4=0)),AND(76=$I41-1,OR(4&lt;&gt;'計算A'!$A$3,'計算A'!$A$4=0))),0,IF(4=$K41,200000,ABS(4-$K41)*100)),100000+ABS(4-$J41)*1000+40)+'計算A'!CA$5*50+IF(AND($E41=1,LN41=0),25,0),INDEX('計算A'!CA$110:CA$114,$F41+1)+IF(AND($E41=1,LN41=0),1000,0)+IF($H41=1,(IF('計算A'!BZ$117=1,INDEX('計算A'!BZ$10:BZ$54,$B41),0)+IF('計算A'!CA$117=1,INDEX('計算A'!CB$10:CB$54,$B41),0))*500,0)-IF(AND('計算A'!BZ$117=1,WX41&gt;0),300,0)-IF(AND($L41=1,'計算A'!CA$117=1,FZ41=0),300,0))),1000000))</f>
        <v/>
      </c>
      <c r="RD41">
        <f>IF($B41=0,1000000,IF(INDEX('計算A'!$D$60:$EQ$104,$B41,77)*FZ41=1,IF(AND($E41=2,LO41=0),1000000,IF($I41&gt;0,IF(4=$J41,IF(OR(AND(77=$I41+1,OR($K41&lt;&gt;'計算A'!$A$3,'計算A'!$A$4=0)),AND(77=$I41-1,OR(5&lt;&gt;'計算A'!$A$3,'計算A'!$A$4=0))),0,IF(5=$K41,200000,ABS(5-$K41)*100)),100000+ABS(4-$J41)*1000+50)+'計算A'!CB$5*50+IF(AND($E41=1,LO41=0),25,0),INDEX('計算A'!CB$110:CB$114,$F41+1)+IF(AND($E41=1,LO41=0),1000,0)+IF($H41=1,(IF('計算A'!CA$117=1,INDEX('計算A'!CA$10:CA$54,$B41),0)+IF('計算A'!CB$117=1,INDEX('計算A'!CC$10:CC$54,$B41),0))*500,0)-IF(AND('計算A'!CA$117=1,WY41&gt;0),300,0)-IF(AND($L41=1,'計算A'!CB$117=1,GA41=0),300,0))),1000000))</f>
        <v/>
      </c>
      <c r="RE41">
        <f>IF($B41=0,1000000,IF(INDEX('計算A'!$D$60:$EQ$104,$B41,78)*GA41=1,IF(AND($E41=2,LP41=0),1000000,IF($I41&gt;0,IF(4=$J41,IF(OR(AND(78=$I41+1,OR($K41&lt;&gt;'計算A'!$A$3,'計算A'!$A$4=0)),AND(78=$I41-1,OR(6&lt;&gt;'計算A'!$A$3,'計算A'!$A$4=0))),0,IF(6=$K41,200000,ABS(6-$K41)*100)),100000+ABS(4-$J41)*1000+60)+'計算A'!CC$5*50+IF(AND($E41=1,LP41=0),25,0),INDEX('計算A'!CC$110:CC$114,$F41+1)+IF(AND($E41=1,LP41=0),1000,0)+IF($H41=1,(IF('計算A'!CB$117=1,INDEX('計算A'!CB$10:CB$54,$B41),0)+IF('計算A'!CC$117=1,INDEX('計算A'!CD$10:CD$54,$B41),0))*500,0)-IF(AND('計算A'!CB$117=1,WZ41&gt;0),300,0)-IF(AND($L41=1,'計算A'!CC$117=1,GB41=0),300,0))),1000000))</f>
        <v/>
      </c>
      <c r="RF41">
        <f>IF($B41=0,1000000,IF(INDEX('計算A'!$D$60:$EQ$104,$B41,79)*GB41=1,IF(AND($E41=2,LQ41=0),1000000,IF($I41&gt;0,IF(4=$J41,IF(OR(AND(79=$I41+1,OR($K41&lt;&gt;'計算A'!$A$3,'計算A'!$A$4=0)),AND(79=$I41-1,OR(7&lt;&gt;'計算A'!$A$3,'計算A'!$A$4=0))),0,IF(7=$K41,200000,ABS(7-$K41)*100)),100000+ABS(4-$J41)*1000+70)+'計算A'!CD$5*50+IF(AND($E41=1,LQ41=0),25,0),INDEX('計算A'!CD$110:CD$114,$F41+1)+IF(AND($E41=1,LQ41=0),1000,0)+IF($H41=1,(IF('計算A'!CC$117=1,INDEX('計算A'!CC$10:CC$54,$B41),0)+IF('計算A'!CD$117=1,INDEX('計算A'!CE$10:CE$54,$B41),0))*500,0)-IF(AND('計算A'!CC$117=1,XA41&gt;0),300,0)-IF(AND($L41=1,'計算A'!CD$117=1,GC41=0),300,0))),1000000))</f>
        <v/>
      </c>
      <c r="RG41">
        <f>IF($B41=0,1000000,IF(INDEX('計算A'!$D$60:$EQ$104,$B41,80)*GC41=1,IF(AND($E41=2,LR41=0),1000000,IF($I41&gt;0,IF(4=$J41,IF(OR(AND(80=$I41+1,OR($K41&lt;&gt;'計算A'!$A$3,'計算A'!$A$4=0)),AND(80=$I41-1,OR(8&lt;&gt;'計算A'!$A$3,'計算A'!$A$4=0))),0,IF(8=$K41,200000,ABS(8-$K41)*100)),100000+ABS(4-$J41)*1000+80)+'計算A'!CE$5*50+IF(AND($E41=1,LR41=0),25,0),INDEX('計算A'!CE$110:CE$114,$F41+1)+IF(AND($E41=1,LR41=0),1000,0)+IF($H41=1,(IF('計算A'!CD$117=1,INDEX('計算A'!CD$10:CD$54,$B41),0)+IF('計算A'!CE$117=1,INDEX('計算A'!CF$10:CF$54,$B41),0))*500,0)-IF(AND('計算A'!CD$117=1,XB41&gt;0),300,0)-IF(AND($L41=1,'計算A'!CE$117=1,GD41=0),300,0))),1000000))</f>
        <v/>
      </c>
      <c r="RH41">
        <f>IF($B41=0,1000000,IF(INDEX('計算A'!$D$60:$EQ$104,$B41,81)*GD41=1,IF(AND($E41=2,LS41=0),1000000,IF($I41&gt;0,IF(4=$J41,IF(OR(AND(81=$I41+1,OR($K41&lt;&gt;'計算A'!$A$3,'計算A'!$A$4=0)),AND(81=$I41-1,OR(9&lt;&gt;'計算A'!$A$3,'計算A'!$A$4=0))),0,IF(9=$K41,200000,ABS(9-$K41)*100)),100000+ABS(4-$J41)*1000+90)+'計算A'!CF$5*50+IF(AND($E41=1,LS41=0),25,0),INDEX('計算A'!CF$110:CF$114,$F41+1)+IF(AND($E41=1,LS41=0),1000,0)+IF($H41=1,(IF('計算A'!CE$117=1,INDEX('計算A'!CE$10:CE$54,$B41),0)+IF('計算A'!CF$117=1,INDEX('計算A'!CG$10:CG$54,$B41),0))*500,0)-IF(AND('計算A'!CE$117=1,XC41&gt;0),300,0)-IF(AND($L41=1,'計算A'!CF$117=1,GE41=0),300,0))),1000000))</f>
        <v/>
      </c>
      <c r="RI41">
        <f>IF($B41=0,1000000,IF(INDEX('計算A'!$D$60:$EQ$104,$B41,82)*GE41=1,IF(AND($E41=2,LT41=0),1000000,IF($I41&gt;0,IF(4=$J41,IF(OR(AND(82=$I41+1,OR($K41&lt;&gt;'計算A'!$A$3,'計算A'!$A$4=0)),AND(82=$I41-1,OR(10&lt;&gt;'計算A'!$A$3,'計算A'!$A$4=0))),0,IF(10=$K41,200000,ABS(10-$K41)*100)),100000+ABS(4-$J41)*1000+100)+'計算A'!CG$5*50+IF(AND($E41=1,LT41=0),25,0),INDEX('計算A'!CG$110:CG$114,$F41+1)+IF(AND($E41=1,LT41=0),1000,0)+IF($H41=1,(IF('計算A'!CF$117=1,INDEX('計算A'!CF$10:CF$54,$B41),0)+IF('計算A'!CG$117=1,INDEX('計算A'!CH$10:CH$54,$B41),0))*500,0)-IF(AND('計算A'!CF$117=1,XD41&gt;0),300,0)-IF(AND($L41=1,'計算A'!CG$117=1,GF41=0),300,0))),1000000))</f>
        <v/>
      </c>
      <c r="RJ41">
        <f>IF($B41=0,1000000,IF(INDEX('計算A'!$D$60:$EQ$104,$B41,83)*GF41=1,IF(AND($E41=2,LU41=0),1000000,IF($I41&gt;0,IF(4=$J41,IF(OR(AND(83=$I41+1,OR($K41&lt;&gt;'計算A'!$A$3,'計算A'!$A$4=0)),AND(83=$I41-1,OR(11&lt;&gt;'計算A'!$A$3,'計算A'!$A$4=0))),0,IF(11=$K41,200000,ABS(11-$K41)*100)),100000+ABS(4-$J41)*1000+110)+'計算A'!CH$5*50+IF(AND($E41=1,LU41=0),25,0),INDEX('計算A'!CH$110:CH$114,$F41+1)+IF(AND($E41=1,LU41=0),1000,0)+IF($H41=1,(IF('計算A'!CG$117=1,INDEX('計算A'!CG$10:CG$54,$B41),0)+IF('計算A'!CH$117=1,INDEX('計算A'!CI$10:CI$54,$B41),0))*500,0)-IF(AND('計算A'!CG$117=1,XE41&gt;0),300,0)-IF(AND($L41=1,'計算A'!CH$117=1,GG41=0),300,0))),1000000))</f>
        <v/>
      </c>
      <c r="RK41">
        <f>IF($B41=0,1000000,IF(INDEX('計算A'!$D$60:$EQ$104,$B41,84)*GG41=1,IF(AND($E41=2,LV41=0),1000000,IF($I41&gt;0,IF(4=$J41,IF(OR(AND(84=$I41+1,OR($K41&lt;&gt;'計算A'!$A$3,'計算A'!$A$4=0)),AND(84=$I41-1,OR(12&lt;&gt;'計算A'!$A$3,'計算A'!$A$4=0))),0,IF(12=$K41,200000,ABS(12-$K41)*100)),100000+ABS(4-$J41)*1000+120)+'計算A'!CI$5*50+IF(AND($E41=1,LV41=0),25,0),INDEX('計算A'!CI$110:CI$114,$F41+1)+IF(AND($E41=1,LV41=0),1000,0)+IF($H41=1,(IF('計算A'!CH$117=1,INDEX('計算A'!CH$10:CH$54,$B41),0)+IF('計算A'!CI$117=1,INDEX('計算A'!CJ$10:CJ$54,$B41),0))*500,0)-IF(AND('計算A'!CH$117=1,XF41&gt;0),300,0)-IF(AND($L41=1,'計算A'!CI$117=1,GH41=0),300,0))),1000000))</f>
        <v/>
      </c>
      <c r="RL41">
        <f>IF($B41=0,1000000,IF(INDEX('計算A'!$D$60:$EQ$104,$B41,85)*GH41=1,IF(AND($E41=2,LW41=0),1000000,IF($I41&gt;0,IF(4=$J41,IF(OR(AND(85=$I41+1,OR($K41&lt;&gt;'計算A'!$A$3,'計算A'!$A$4=0)),AND(85=$I41-1,OR(13&lt;&gt;'計算A'!$A$3,'計算A'!$A$4=0))),0,IF(13=$K41,200000,ABS(13-$K41)*100)),100000+ABS(4-$J41)*1000+130)+'計算A'!CJ$5*50+IF(AND($E41=1,LW41=0),25,0),INDEX('計算A'!CJ$110:CJ$114,$F41+1)+IF(AND($E41=1,LW41=0),1000,0)+IF($H41=1,(IF('計算A'!CI$117=1,INDEX('計算A'!CI$10:CI$54,$B41),0)+IF('計算A'!CJ$117=1,INDEX('計算A'!CK$10:CK$54,$B41),0))*500,0)-IF(AND('計算A'!CI$117=1,XG41&gt;0),300,0)-IF(AND($L41=1,'計算A'!CJ$117=1,GI41=0),300,0))),1000000))</f>
        <v/>
      </c>
      <c r="RM41">
        <f>IF($B41=0,1000000,IF(INDEX('計算A'!$D$60:$EQ$104,$B41,86)*GI41=1,IF(AND($E41=2,LX41=0),1000000,IF($I41&gt;0,IF(4=$J41,IF(OR(AND(86=$I41+1,OR($K41&lt;&gt;'計算A'!$A$3,'計算A'!$A$4=0)),AND(86=$I41-1,OR(14&lt;&gt;'計算A'!$A$3,'計算A'!$A$4=0))),0,IF(14=$K41,200000,ABS(14-$K41)*100)),100000+ABS(4-$J41)*1000+140)+'計算A'!CK$5*50+IF(AND($E41=1,LX41=0),25,0),INDEX('計算A'!CK$110:CK$114,$F41+1)+IF(AND($E41=1,LX41=0),1000,0)+IF($H41=1,(IF('計算A'!CJ$117=1,INDEX('計算A'!CJ$10:CJ$54,$B41),0)+IF('計算A'!CK$117=1,INDEX('計算A'!CL$10:CL$54,$B41),0))*500,0)-IF(AND('計算A'!CJ$117=1,XH41&gt;0),300,0)-IF(AND($L41=1,'計算A'!CK$117=1,GJ41=0),300,0))),1000000))</f>
        <v/>
      </c>
      <c r="RN41">
        <f>IF($B41=0,1000000,IF(INDEX('計算A'!$D$60:$EQ$104,$B41,87)*GJ41=1,IF(AND($E41=2,LY41=0),1000000,IF($I41&gt;0,IF(4=$J41,IF(OR(AND(87=$I41+1,OR($K41&lt;&gt;'計算A'!$A$3,'計算A'!$A$4=0)),AND(87=$I41-1,OR(15&lt;&gt;'計算A'!$A$3,'計算A'!$A$4=0))),0,IF(15=$K41,200000,ABS(15-$K41)*100)),100000+ABS(4-$J41)*1000+150)+'計算A'!CL$5*50+IF(AND($E41=1,LY41=0),25,0),INDEX('計算A'!CL$110:CL$114,$F41+1)+IF(AND($E41=1,LY41=0),1000,0)+IF($H41=1,(IF('計算A'!CK$117=1,INDEX('計算A'!CK$10:CK$54,$B41),0)+IF('計算A'!CL$117=1,INDEX('計算A'!CM$10:CM$54,$B41),0))*500,0)-IF(AND('計算A'!CK$117=1,XI41&gt;0),300,0)-IF(AND($L41=1,'計算A'!CL$117=1,GK41=0),300,0))),1000000))</f>
        <v/>
      </c>
      <c r="RO41">
        <f>IF($B41=0,1000000,IF(INDEX('計算A'!$D$60:$EQ$104,$B41,88)*GK41=1,IF(AND($E41=2,LZ41=0),1000000,IF($I41&gt;0,IF(4=$J41,IF(OR(AND(88=$I41+1,OR($K41&lt;&gt;'計算A'!$A$3,'計算A'!$A$4=0)),AND(88=$I41-1,OR(16&lt;&gt;'計算A'!$A$3,'計算A'!$A$4=0))),0,IF(16=$K41,200000,ABS(16-$K41)*100)),100000+ABS(4-$J41)*1000+160)+'計算A'!CM$5*50+IF(AND($E41=1,LZ41=0),25,0),INDEX('計算A'!CM$110:CM$114,$F41+1)+IF(AND($E41=1,LZ41=0),1000,0)+IF($H41=1,(IF('計算A'!CL$117=1,INDEX('計算A'!CL$10:CL$54,$B41),0)+IF('計算A'!CM$117=1,INDEX('計算A'!CN$10:CN$54,$B41),0))*500,0)-IF(AND('計算A'!CL$117=1,XJ41&gt;0),300,0)-IF(AND($L41=1,'計算A'!CM$117=1,GL41=0),300,0))),1000000))</f>
        <v/>
      </c>
      <c r="RP41">
        <f>IF($B41=0,1000000,IF(INDEX('計算A'!$D$60:$EQ$104,$B41,89)*GL41=1,IF(AND($E41=2,MA41=0),1000000,IF($I41&gt;0,IF(4=$J41,IF(OR(AND(89=$I41+1,OR($K41&lt;&gt;'計算A'!$A$3,'計算A'!$A$4=0)),AND(89=$I41-1,OR(17&lt;&gt;'計算A'!$A$3,'計算A'!$A$4=0))),0,IF(17=$K41,200000,ABS(17-$K41)*100)),100000+ABS(4-$J41)*1000+170)+'計算A'!CN$5*50+IF(AND($E41=1,MA41=0),25,0),INDEX('計算A'!CN$110:CN$114,$F41+1)+IF(AND($E41=1,MA41=0),1000,0)+IF($H41=1,(IF('計算A'!CM$117=1,INDEX('計算A'!CM$10:CM$54,$B41),0)+IF('計算A'!CN$117=1,INDEX('計算A'!CO$10:CO$54,$B41),0))*500,0)-IF(AND('計算A'!CM$117=1,XK41&gt;0),300,0)-IF(AND($L41=1,'計算A'!CN$117=1,GM41=0),300,0))),1000000))</f>
        <v/>
      </c>
      <c r="RQ41">
        <f>IF($B41=0,1000000,IF(INDEX('計算A'!$D$60:$EQ$104,$B41,90)*GM41=1,IF(AND($E41=2,MB41=0),1000000,IF($I41&gt;0,IF(4=$J41,IF(OR(AND(90=$I41+1,OR($K41&lt;&gt;'計算A'!$A$3,'計算A'!$A$4=0)),AND(90=$I41-1,OR(18&lt;&gt;'計算A'!$A$3,'計算A'!$A$4=0))),0,IF(18=$K41,200000,ABS(18-$K41)*100)),100000+ABS(4-$J41)*1000+180)+'計算A'!CO$5*50+IF(AND($E41=1,MB41=0),25,0),INDEX('計算A'!CO$110:CO$114,$F41+1)+IF(AND($E41=1,MB41=0),1000,0)+IF($H41=1,(IF('計算A'!CN$117=1,INDEX('計算A'!CN$10:CN$54,$B41),0)+IF('計算A'!CO$117=1,INDEX('計算A'!CP$10:CP$54,$B41),0))*500,0)-IF(AND('計算A'!CN$117=1,XL41&gt;0),300,0)-IF(AND($L41=1,'計算A'!CO$117=1,GN41=0),300,0))),1000000))</f>
        <v/>
      </c>
      <c r="RR41">
        <f>IF($B41=0,1000000,IF(INDEX('計算A'!$D$60:$EQ$104,$B41,91)*GN41=1,IF(AND($E41=2,MC41=0),1000000,IF($I41&gt;0,IF(4=$J41,IF(OR(AND(91=$I41+1,OR($K41&lt;&gt;'計算A'!$A$3,'計算A'!$A$4=0)),AND(91=$I41-1,OR(19&lt;&gt;'計算A'!$A$3,'計算A'!$A$4=0))),0,IF(19=$K41,200000,ABS(19-$K41)*100)),100000+ABS(4-$J41)*1000+190)+'計算A'!CP$5*50+IF(AND($E41=1,MC41=0),25,0),INDEX('計算A'!CP$110:CP$114,$F41+1)+IF(AND($E41=1,MC41=0),1000,0)+IF($H41=1,(IF('計算A'!CO$117=1,INDEX('計算A'!CO$10:CO$54,$B41),0)+IF('計算A'!CP$117=1,INDEX('計算A'!CQ$10:CQ$54,$B41),0))*500,0)-IF(AND('計算A'!CO$117=1,XM41&gt;0),300,0)-IF(AND($L41=1,'計算A'!CP$117=1,GO41=0),300,0))),1000000))</f>
        <v/>
      </c>
      <c r="RS41">
        <f>IF($B41=0,1000000,IF(INDEX('計算A'!$D$60:$EQ$104,$B41,92)*GO41=1,IF(AND($E41=2,MD41=0),1000000,IF($I41&gt;0,IF(4=$J41,IF(OR(AND(92=$I41+1,OR($K41&lt;&gt;'計算A'!$A$3,'計算A'!$A$4=0)),AND(92=$I41-1,OR(20&lt;&gt;'計算A'!$A$3,'計算A'!$A$4=0))),0,IF(20=$K41,200000,ABS(20-$K41)*100)),100000+ABS(4-$J41)*1000+200)+'計算A'!CQ$5*50+IF(AND($E41=1,MD41=0),25,0),INDEX('計算A'!CQ$110:CQ$114,$F41+1)+IF(AND($E41=1,MD41=0),1000,0)+IF($H41=1,(IF('計算A'!CP$117=1,INDEX('計算A'!CP$10:CP$54,$B41),0)+IF('計算A'!CQ$117=1,INDEX('計算A'!CR$10:CR$54,$B41),0))*500,0)-IF(AND('計算A'!CP$117=1,XN41&gt;0),300,0)-IF(AND($L41=1,'計算A'!CQ$117=1,GP41=0),300,0))),1000000))</f>
        <v/>
      </c>
      <c r="RT41">
        <f>IF($B41=0,1000000,IF(INDEX('計算A'!$D$60:$EQ$104,$B41,93)*GP41=1,IF(AND($E41=2,ME41=0),1000000,IF($I41&gt;0,IF(4=$J41,IF(OR(AND(93=$I41+1,OR($K41&lt;&gt;'計算A'!$A$3,'計算A'!$A$4=0)),AND(93=$I41-1,OR(21&lt;&gt;'計算A'!$A$3,'計算A'!$A$4=0))),0,IF(21=$K41,200000,ABS(21-$K41)*100)),100000+ABS(4-$J41)*1000+210)+'計算A'!CR$5*50+IF(AND($E41=1,ME41=0),25,0),INDEX('計算A'!CR$110:CR$114,$F41+1)+IF(AND($E41=1,ME41=0),1000,0)+IF($H41=1,(IF('計算A'!CQ$117=1,INDEX('計算A'!CQ$10:CQ$54,$B41),0)+IF('計算A'!CR$117=1,INDEX('計算A'!CS$10:CS$54,$B41),0))*500,0)-IF(AND('計算A'!CQ$117=1,XO41&gt;0),300,0)-IF(AND($L41=1,'計算A'!CR$117=1,GQ41=0),300,0))),1000000))</f>
        <v/>
      </c>
      <c r="RU41">
        <f>IF($B41=0,1000000,IF(INDEX('計算A'!$D$60:$EQ$104,$B41,94)*GQ41=1,IF(AND($E41=2,MF41=0),1000000,IF($I41&gt;0,IF(4=$J41,IF(OR(AND(94=$I41+1,OR($K41&lt;&gt;'計算A'!$A$3,'計算A'!$A$4=0)),AND(94=$I41-1,OR(22&lt;&gt;'計算A'!$A$3,'計算A'!$A$4=0))),0,IF(22=$K41,200000,ABS(22-$K41)*100)),100000+ABS(4-$J41)*1000+220)+'計算A'!CS$5*50+IF(AND($E41=1,MF41=0),25,0),INDEX('計算A'!CS$110:CS$114,$F41+1)+IF(AND($E41=1,MF41=0),1000,0)+IF($H41=1,(IF('計算A'!CR$117=1,INDEX('計算A'!CR$10:CR$54,$B41),0)+IF('計算A'!CS$117=1,INDEX('計算A'!CT$10:CT$54,$B41),0))*500,0)-IF(AND('計算A'!CR$117=1,XP41&gt;0),300,0)-IF(AND($L41=1,'計算A'!CS$117=1,GR41=0),300,0))),1000000))</f>
        <v/>
      </c>
      <c r="RV41">
        <f>IF($B41=0,1000000,IF(INDEX('計算A'!$D$60:$EQ$104,$B41,95)*GR41=1,IF(AND($E41=2,MG41=0),1000000,IF($I41&gt;0,IF(4=$J41,IF(OR(AND(95=$I41+1,OR($K41&lt;&gt;'計算A'!$A$3,'計算A'!$A$4=0)),AND(95=$I41-1,OR(23&lt;&gt;'計算A'!$A$3,'計算A'!$A$4=0))),0,IF(23=$K41,200000,ABS(23-$K41)*100)),100000+ABS(4-$J41)*1000+230)+'計算A'!CT$5*50+IF(AND($E41=1,MG41=0),25,0),INDEX('計算A'!CT$110:CT$114,$F41+1)+IF(AND($E41=1,MG41=0),1000,0)+IF($H41=1,(IF('計算A'!CS$117=1,INDEX('計算A'!CS$10:CS$54,$B41),0)+IF('計算A'!CT$117=1,INDEX('計算A'!CU$10:CU$54,$B41),0))*500,0)-IF(AND('計算A'!CS$117=1,XQ41&gt;0),300,0)-IF(AND($L41=1,'計算A'!CT$117=1,GS41=0),300,0))),1000000))</f>
        <v/>
      </c>
      <c r="RW41">
        <f>IF($B41=0,1000000,IF(INDEX('計算A'!$D$60:$EQ$104,$B41,96)*GS41=1,IF(AND($E41=2,MH41=0),1000000,IF($I41&gt;0,IF(4=$J41,IF(OR(AND(96=$I41+1,OR($K41&lt;&gt;'計算A'!$A$3,'計算A'!$A$4=0)),AND(96=$I41-1,OR(24&lt;&gt;'計算A'!$A$3,'計算A'!$A$4=0))),0,IF(24=$K41,200000,ABS(24-$K41)*100)),100000+ABS(4-$J41)*1000+240)+'計算A'!CU$5*50+IF(AND($E41=1,MH41=0),25,0),INDEX('計算A'!CU$110:CU$114,$F41+1)+IF(AND($E41=1,MH41=0),1000,0)+IF($H41=1,(IF('計算A'!CT$117=1,INDEX('計算A'!CT$10:CT$54,$B41),0))*500,0)-IF(AND('計算A'!CT$117=1,XR41&gt;0),300,0))),1000000))</f>
        <v/>
      </c>
      <c r="RX41">
        <f>IF($B41=0,1000000,IF(INDEX('計算A'!$D$60:$EQ$104,$B41,97)*GT41=1,IF(AND($E41=2,MI41=0),1000000,IF($I41&gt;0,IF(5=$J41,IF(OR(AND(97=$I41+1,OR($K41&lt;&gt;'計算A'!$A$3,'計算A'!$A$4=0)),AND(97=$I41-1,OR(1&lt;&gt;'計算A'!$A$3,'計算A'!$A$4=0))),0,IF(1=$K41,200000,ABS(1-$K41)*100)),100000+ABS(5-$J41)*1000+10)+'計算A'!CV$5*50+IF(AND($E41=1,MI41=0),25,0),INDEX('計算A'!CV$110:CV$114,$F41+1)+IF(AND($E41=1,MI41=0),1000,0)+IF($H41=1,(IF('計算A'!CV$117=1,INDEX('計算A'!CW$10:CW$54,$B41),0))*500,0)-IF(AND($L41=1,'計算A'!CV$117=1,GU41=0),300,0))),1000000))</f>
        <v/>
      </c>
      <c r="RY41">
        <f>IF($B41=0,1000000,IF(INDEX('計算A'!$D$60:$EQ$104,$B41,98)*GU41=1,IF(AND($E41=2,MJ41=0),1000000,IF($I41&gt;0,IF(5=$J41,IF(OR(AND(98=$I41+1,OR($K41&lt;&gt;'計算A'!$A$3,'計算A'!$A$4=0)),AND(98=$I41-1,OR(2&lt;&gt;'計算A'!$A$3,'計算A'!$A$4=0))),0,IF(2=$K41,200000,ABS(2-$K41)*100)),100000+ABS(5-$J41)*1000+20)+'計算A'!CW$5*50+IF(AND($E41=1,MJ41=0),25,0),INDEX('計算A'!CW$110:CW$114,$F41+1)+IF(AND($E41=1,MJ41=0),1000,0)+IF($H41=1,(IF('計算A'!CV$117=1,INDEX('計算A'!CV$10:CV$54,$B41),0)+IF('計算A'!CW$117=1,INDEX('計算A'!CX$10:CX$54,$B41),0))*500,0)-IF(AND('計算A'!CV$117=1,XT41&gt;0),300,0)-IF(AND($L41=1,'計算A'!CW$117=1,GV41=0),300,0))),1000000))</f>
        <v/>
      </c>
      <c r="RZ41">
        <f>IF($B41=0,1000000,IF(INDEX('計算A'!$D$60:$EQ$104,$B41,99)*GV41=1,IF(AND($E41=2,MK41=0),1000000,IF($I41&gt;0,IF(5=$J41,IF(OR(AND(99=$I41+1,OR($K41&lt;&gt;'計算A'!$A$3,'計算A'!$A$4=0)),AND(99=$I41-1,OR(3&lt;&gt;'計算A'!$A$3,'計算A'!$A$4=0))),0,IF(3=$K41,200000,ABS(3-$K41)*100)),100000+ABS(5-$J41)*1000+30)+'計算A'!CX$5*50+IF(AND($E41=1,MK41=0),25,0),INDEX('計算A'!CX$110:CX$114,$F41+1)+IF(AND($E41=1,MK41=0),1000,0)+IF($H41=1,(IF('計算A'!CW$117=1,INDEX('計算A'!CW$10:CW$54,$B41),0)+IF('計算A'!CX$117=1,INDEX('計算A'!CY$10:CY$54,$B41),0))*500,0)-IF(AND('計算A'!CW$117=1,XU41&gt;0),300,0)-IF(AND($L41=1,'計算A'!CX$117=1,GW41=0),300,0))),1000000))</f>
        <v/>
      </c>
      <c r="SA41">
        <f>IF($B41=0,1000000,IF(INDEX('計算A'!$D$60:$EQ$104,$B41,100)*GW41=1,IF(AND($E41=2,ML41=0),1000000,IF($I41&gt;0,IF(5=$J41,IF(OR(AND(100=$I41+1,OR($K41&lt;&gt;'計算A'!$A$3,'計算A'!$A$4=0)),AND(100=$I41-1,OR(4&lt;&gt;'計算A'!$A$3,'計算A'!$A$4=0))),0,IF(4=$K41,200000,ABS(4-$K41)*100)),100000+ABS(5-$J41)*1000+40)+'計算A'!CY$5*50+IF(AND($E41=1,ML41=0),25,0),INDEX('計算A'!CY$110:CY$114,$F41+1)+IF(AND($E41=1,ML41=0),1000,0)+IF($H41=1,(IF('計算A'!CX$117=1,INDEX('計算A'!CX$10:CX$54,$B41),0)+IF('計算A'!CY$117=1,INDEX('計算A'!CZ$10:CZ$54,$B41),0))*500,0)-IF(AND('計算A'!CX$117=1,XV41&gt;0),300,0)-IF(AND($L41=1,'計算A'!CY$117=1,GX41=0),300,0))),1000000))</f>
        <v/>
      </c>
      <c r="SB41">
        <f>IF($B41=0,1000000,IF(INDEX('計算A'!$D$60:$EQ$104,$B41,101)*GX41=1,IF(AND($E41=2,MM41=0),1000000,IF($I41&gt;0,IF(5=$J41,IF(OR(AND(101=$I41+1,OR($K41&lt;&gt;'計算A'!$A$3,'計算A'!$A$4=0)),AND(101=$I41-1,OR(5&lt;&gt;'計算A'!$A$3,'計算A'!$A$4=0))),0,IF(5=$K41,200000,ABS(5-$K41)*100)),100000+ABS(5-$J41)*1000+50)+'計算A'!CZ$5*50+IF(AND($E41=1,MM41=0),25,0),INDEX('計算A'!CZ$110:CZ$114,$F41+1)+IF(AND($E41=1,MM41=0),1000,0)+IF($H41=1,(IF('計算A'!CY$117=1,INDEX('計算A'!CY$10:CY$54,$B41),0)+IF('計算A'!CZ$117=1,INDEX('計算A'!DA$10:DA$54,$B41),0))*500,0)-IF(AND('計算A'!CY$117=1,XW41&gt;0),300,0)-IF(AND($L41=1,'計算A'!CZ$117=1,GY41=0),300,0))),1000000))</f>
        <v/>
      </c>
      <c r="SC41">
        <f>IF($B41=0,1000000,IF(INDEX('計算A'!$D$60:$EQ$104,$B41,102)*GY41=1,IF(AND($E41=2,MN41=0),1000000,IF($I41&gt;0,IF(5=$J41,IF(OR(AND(102=$I41+1,OR($K41&lt;&gt;'計算A'!$A$3,'計算A'!$A$4=0)),AND(102=$I41-1,OR(6&lt;&gt;'計算A'!$A$3,'計算A'!$A$4=0))),0,IF(6=$K41,200000,ABS(6-$K41)*100)),100000+ABS(5-$J41)*1000+60)+'計算A'!DA$5*50+IF(AND($E41=1,MN41=0),25,0),INDEX('計算A'!DA$110:DA$114,$F41+1)+IF(AND($E41=1,MN41=0),1000,0)+IF($H41=1,(IF('計算A'!CZ$117=1,INDEX('計算A'!CZ$10:CZ$54,$B41),0)+IF('計算A'!DA$117=1,INDEX('計算A'!DB$10:DB$54,$B41),0))*500,0)-IF(AND('計算A'!CZ$117=1,XX41&gt;0),300,0)-IF(AND($L41=1,'計算A'!DA$117=1,GZ41=0),300,0))),1000000))</f>
        <v/>
      </c>
      <c r="SD41">
        <f>IF($B41=0,1000000,IF(INDEX('計算A'!$D$60:$EQ$104,$B41,103)*GZ41=1,IF(AND($E41=2,MO41=0),1000000,IF($I41&gt;0,IF(5=$J41,IF(OR(AND(103=$I41+1,OR($K41&lt;&gt;'計算A'!$A$3,'計算A'!$A$4=0)),AND(103=$I41-1,OR(7&lt;&gt;'計算A'!$A$3,'計算A'!$A$4=0))),0,IF(7=$K41,200000,ABS(7-$K41)*100)),100000+ABS(5-$J41)*1000+70)+'計算A'!DB$5*50+IF(AND($E41=1,MO41=0),25,0),INDEX('計算A'!DB$110:DB$114,$F41+1)+IF(AND($E41=1,MO41=0),1000,0)+IF($H41=1,(IF('計算A'!DA$117=1,INDEX('計算A'!DA$10:DA$54,$B41),0)+IF('計算A'!DB$117=1,INDEX('計算A'!DC$10:DC$54,$B41),0))*500,0)-IF(AND('計算A'!DA$117=1,XY41&gt;0),300,0)-IF(AND($L41=1,'計算A'!DB$117=1,HA41=0),300,0))),1000000))</f>
        <v/>
      </c>
      <c r="SE41">
        <f>IF($B41=0,1000000,IF(INDEX('計算A'!$D$60:$EQ$104,$B41,104)*HA41=1,IF(AND($E41=2,MP41=0),1000000,IF($I41&gt;0,IF(5=$J41,IF(OR(AND(104=$I41+1,OR($K41&lt;&gt;'計算A'!$A$3,'計算A'!$A$4=0)),AND(104=$I41-1,OR(8&lt;&gt;'計算A'!$A$3,'計算A'!$A$4=0))),0,IF(8=$K41,200000,ABS(8-$K41)*100)),100000+ABS(5-$J41)*1000+80)+'計算A'!DC$5*50+IF(AND($E41=1,MP41=0),25,0),INDEX('計算A'!DC$110:DC$114,$F41+1)+IF(AND($E41=1,MP41=0),1000,0)+IF($H41=1,(IF('計算A'!DB$117=1,INDEX('計算A'!DB$10:DB$54,$B41),0)+IF('計算A'!DC$117=1,INDEX('計算A'!DD$10:DD$54,$B41),0))*500,0)-IF(AND('計算A'!DB$117=1,XZ41&gt;0),300,0)-IF(AND($L41=1,'計算A'!DC$117=1,HB41=0),300,0))),1000000))</f>
        <v/>
      </c>
      <c r="SF41">
        <f>IF($B41=0,1000000,IF(INDEX('計算A'!$D$60:$EQ$104,$B41,105)*HB41=1,IF(AND($E41=2,MQ41=0),1000000,IF($I41&gt;0,IF(5=$J41,IF(OR(AND(105=$I41+1,OR($K41&lt;&gt;'計算A'!$A$3,'計算A'!$A$4=0)),AND(105=$I41-1,OR(9&lt;&gt;'計算A'!$A$3,'計算A'!$A$4=0))),0,IF(9=$K41,200000,ABS(9-$K41)*100)),100000+ABS(5-$J41)*1000+90)+'計算A'!DD$5*50+IF(AND($E41=1,MQ41=0),25,0),INDEX('計算A'!DD$110:DD$114,$F41+1)+IF(AND($E41=1,MQ41=0),1000,0)+IF($H41=1,(IF('計算A'!DC$117=1,INDEX('計算A'!DC$10:DC$54,$B41),0)+IF('計算A'!DD$117=1,INDEX('計算A'!DE$10:DE$54,$B41),0))*500,0)-IF(AND('計算A'!DC$117=1,YA41&gt;0),300,0)-IF(AND($L41=1,'計算A'!DD$117=1,HC41=0),300,0))),1000000))</f>
        <v/>
      </c>
      <c r="SG41">
        <f>IF($B41=0,1000000,IF(INDEX('計算A'!$D$60:$EQ$104,$B41,106)*HC41=1,IF(AND($E41=2,MR41=0),1000000,IF($I41&gt;0,IF(5=$J41,IF(OR(AND(106=$I41+1,OR($K41&lt;&gt;'計算A'!$A$3,'計算A'!$A$4=0)),AND(106=$I41-1,OR(10&lt;&gt;'計算A'!$A$3,'計算A'!$A$4=0))),0,IF(10=$K41,200000,ABS(10-$K41)*100)),100000+ABS(5-$J41)*1000+100)+'計算A'!DE$5*50+IF(AND($E41=1,MR41=0),25,0),INDEX('計算A'!DE$110:DE$114,$F41+1)+IF(AND($E41=1,MR41=0),1000,0)+IF($H41=1,(IF('計算A'!DD$117=1,INDEX('計算A'!DD$10:DD$54,$B41),0)+IF('計算A'!DE$117=1,INDEX('計算A'!DF$10:DF$54,$B41),0))*500,0)-IF(AND('計算A'!DD$117=1,YB41&gt;0),300,0)-IF(AND($L41=1,'計算A'!DE$117=1,HD41=0),300,0))),1000000))</f>
        <v/>
      </c>
      <c r="SH41">
        <f>IF($B41=0,1000000,IF(INDEX('計算A'!$D$60:$EQ$104,$B41,107)*HD41=1,IF(AND($E41=2,MS41=0),1000000,IF($I41&gt;0,IF(5=$J41,IF(OR(AND(107=$I41+1,OR($K41&lt;&gt;'計算A'!$A$3,'計算A'!$A$4=0)),AND(107=$I41-1,OR(11&lt;&gt;'計算A'!$A$3,'計算A'!$A$4=0))),0,IF(11=$K41,200000,ABS(11-$K41)*100)),100000+ABS(5-$J41)*1000+110)+'計算A'!DF$5*50+IF(AND($E41=1,MS41=0),25,0),INDEX('計算A'!DF$110:DF$114,$F41+1)+IF(AND($E41=1,MS41=0),1000,0)+IF($H41=1,(IF('計算A'!DE$117=1,INDEX('計算A'!DE$10:DE$54,$B41),0)+IF('計算A'!DF$117=1,INDEX('計算A'!DG$10:DG$54,$B41),0))*500,0)-IF(AND('計算A'!DE$117=1,YC41&gt;0),300,0)-IF(AND($L41=1,'計算A'!DF$117=1,HE41=0),300,0))),1000000))</f>
        <v/>
      </c>
      <c r="SI41">
        <f>IF($B41=0,1000000,IF(INDEX('計算A'!$D$60:$EQ$104,$B41,108)*HE41=1,IF(AND($E41=2,MT41=0),1000000,IF($I41&gt;0,IF(5=$J41,IF(OR(AND(108=$I41+1,OR($K41&lt;&gt;'計算A'!$A$3,'計算A'!$A$4=0)),AND(108=$I41-1,OR(12&lt;&gt;'計算A'!$A$3,'計算A'!$A$4=0))),0,IF(12=$K41,200000,ABS(12-$K41)*100)),100000+ABS(5-$J41)*1000+120)+'計算A'!DG$5*50+IF(AND($E41=1,MT41=0),25,0),INDEX('計算A'!DG$110:DG$114,$F41+1)+IF(AND($E41=1,MT41=0),1000,0)+IF($H41=1,(IF('計算A'!DF$117=1,INDEX('計算A'!DF$10:DF$54,$B41),0)+IF('計算A'!DG$117=1,INDEX('計算A'!DH$10:DH$54,$B41),0))*500,0)-IF(AND('計算A'!DF$117=1,YD41&gt;0),300,0)-IF(AND($L41=1,'計算A'!DG$117=1,HF41=0),300,0))),1000000))</f>
        <v/>
      </c>
      <c r="SJ41">
        <f>IF($B41=0,1000000,IF(INDEX('計算A'!$D$60:$EQ$104,$B41,109)*HF41=1,IF(AND($E41=2,MU41=0),1000000,IF($I41&gt;0,IF(5=$J41,IF(OR(AND(109=$I41+1,OR($K41&lt;&gt;'計算A'!$A$3,'計算A'!$A$4=0)),AND(109=$I41-1,OR(13&lt;&gt;'計算A'!$A$3,'計算A'!$A$4=0))),0,IF(13=$K41,200000,ABS(13-$K41)*100)),100000+ABS(5-$J41)*1000+130)+'計算A'!DH$5*50+IF(AND($E41=1,MU41=0),25,0),INDEX('計算A'!DH$110:DH$114,$F41+1)+IF(AND($E41=1,MU41=0),1000,0)+IF($H41=1,(IF('計算A'!DG$117=1,INDEX('計算A'!DG$10:DG$54,$B41),0)+IF('計算A'!DH$117=1,INDEX('計算A'!DI$10:DI$54,$B41),0))*500,0)-IF(AND('計算A'!DG$117=1,YE41&gt;0),300,0)-IF(AND($L41=1,'計算A'!DH$117=1,HG41=0),300,0))),1000000))</f>
        <v/>
      </c>
      <c r="SK41">
        <f>IF($B41=0,1000000,IF(INDEX('計算A'!$D$60:$EQ$104,$B41,110)*HG41=1,IF(AND($E41=2,MV41=0),1000000,IF($I41&gt;0,IF(5=$J41,IF(OR(AND(110=$I41+1,OR($K41&lt;&gt;'計算A'!$A$3,'計算A'!$A$4=0)),AND(110=$I41-1,OR(14&lt;&gt;'計算A'!$A$3,'計算A'!$A$4=0))),0,IF(14=$K41,200000,ABS(14-$K41)*100)),100000+ABS(5-$J41)*1000+140)+'計算A'!DI$5*50+IF(AND($E41=1,MV41=0),25,0),INDEX('計算A'!DI$110:DI$114,$F41+1)+IF(AND($E41=1,MV41=0),1000,0)+IF($H41=1,(IF('計算A'!DH$117=1,INDEX('計算A'!DH$10:DH$54,$B41),0)+IF('計算A'!DI$117=1,INDEX('計算A'!DJ$10:DJ$54,$B41),0))*500,0)-IF(AND('計算A'!DH$117=1,YF41&gt;0),300,0)-IF(AND($L41=1,'計算A'!DI$117=1,HH41=0),300,0))),1000000))</f>
        <v/>
      </c>
      <c r="SL41">
        <f>IF($B41=0,1000000,IF(INDEX('計算A'!$D$60:$EQ$104,$B41,111)*HH41=1,IF(AND($E41=2,MW41=0),1000000,IF($I41&gt;0,IF(5=$J41,IF(OR(AND(111=$I41+1,OR($K41&lt;&gt;'計算A'!$A$3,'計算A'!$A$4=0)),AND(111=$I41-1,OR(15&lt;&gt;'計算A'!$A$3,'計算A'!$A$4=0))),0,IF(15=$K41,200000,ABS(15-$K41)*100)),100000+ABS(5-$J41)*1000+150)+'計算A'!DJ$5*50+IF(AND($E41=1,MW41=0),25,0),INDEX('計算A'!DJ$110:DJ$114,$F41+1)+IF(AND($E41=1,MW41=0),1000,0)+IF($H41=1,(IF('計算A'!DI$117=1,INDEX('計算A'!DI$10:DI$54,$B41),0)+IF('計算A'!DJ$117=1,INDEX('計算A'!DK$10:DK$54,$B41),0))*500,0)-IF(AND('計算A'!DI$117=1,YG41&gt;0),300,0)-IF(AND($L41=1,'計算A'!DJ$117=1,HI41=0),300,0))),1000000))</f>
        <v/>
      </c>
      <c r="SM41">
        <f>IF($B41=0,1000000,IF(INDEX('計算A'!$D$60:$EQ$104,$B41,112)*HI41=1,IF(AND($E41=2,MX41=0),1000000,IF($I41&gt;0,IF(5=$J41,IF(OR(AND(112=$I41+1,OR($K41&lt;&gt;'計算A'!$A$3,'計算A'!$A$4=0)),AND(112=$I41-1,OR(16&lt;&gt;'計算A'!$A$3,'計算A'!$A$4=0))),0,IF(16=$K41,200000,ABS(16-$K41)*100)),100000+ABS(5-$J41)*1000+160)+'計算A'!DK$5*50+IF(AND($E41=1,MX41=0),25,0),INDEX('計算A'!DK$110:DK$114,$F41+1)+IF(AND($E41=1,MX41=0),1000,0)+IF($H41=1,(IF('計算A'!DJ$117=1,INDEX('計算A'!DJ$10:DJ$54,$B41),0)+IF('計算A'!DK$117=1,INDEX('計算A'!DL$10:DL$54,$B41),0))*500,0)-IF(AND('計算A'!DJ$117=1,YH41&gt;0),300,0)-IF(AND($L41=1,'計算A'!DK$117=1,HJ41=0),300,0))),1000000))</f>
        <v/>
      </c>
      <c r="SN41">
        <f>IF($B41=0,1000000,IF(INDEX('計算A'!$D$60:$EQ$104,$B41,113)*HJ41=1,IF(AND($E41=2,MY41=0),1000000,IF($I41&gt;0,IF(5=$J41,IF(OR(AND(113=$I41+1,OR($K41&lt;&gt;'計算A'!$A$3,'計算A'!$A$4=0)),AND(113=$I41-1,OR(17&lt;&gt;'計算A'!$A$3,'計算A'!$A$4=0))),0,IF(17=$K41,200000,ABS(17-$K41)*100)),100000+ABS(5-$J41)*1000+170)+'計算A'!DL$5*50+IF(AND($E41=1,MY41=0),25,0),INDEX('計算A'!DL$110:DL$114,$F41+1)+IF(AND($E41=1,MY41=0),1000,0)+IF($H41=1,(IF('計算A'!DK$117=1,INDEX('計算A'!DK$10:DK$54,$B41),0)+IF('計算A'!DL$117=1,INDEX('計算A'!DM$10:DM$54,$B41),0))*500,0)-IF(AND('計算A'!DK$117=1,YI41&gt;0),300,0)-IF(AND($L41=1,'計算A'!DL$117=1,HK41=0),300,0))),1000000))</f>
        <v/>
      </c>
      <c r="SO41">
        <f>IF($B41=0,1000000,IF(INDEX('計算A'!$D$60:$EQ$104,$B41,114)*HK41=1,IF(AND($E41=2,MZ41=0),1000000,IF($I41&gt;0,IF(5=$J41,IF(OR(AND(114=$I41+1,OR($K41&lt;&gt;'計算A'!$A$3,'計算A'!$A$4=0)),AND(114=$I41-1,OR(18&lt;&gt;'計算A'!$A$3,'計算A'!$A$4=0))),0,IF(18=$K41,200000,ABS(18-$K41)*100)),100000+ABS(5-$J41)*1000+180)+'計算A'!DM$5*50+IF(AND($E41=1,MZ41=0),25,0),INDEX('計算A'!DM$110:DM$114,$F41+1)+IF(AND($E41=1,MZ41=0),1000,0)+IF($H41=1,(IF('計算A'!DL$117=1,INDEX('計算A'!DL$10:DL$54,$B41),0)+IF('計算A'!DM$117=1,INDEX('計算A'!DN$10:DN$54,$B41),0))*500,0)-IF(AND('計算A'!DL$117=1,YJ41&gt;0),300,0)-IF(AND($L41=1,'計算A'!DM$117=1,HL41=0),300,0))),1000000))</f>
        <v/>
      </c>
      <c r="SP41">
        <f>IF($B41=0,1000000,IF(INDEX('計算A'!$D$60:$EQ$104,$B41,115)*HL41=1,IF(AND($E41=2,NA41=0),1000000,IF($I41&gt;0,IF(5=$J41,IF(OR(AND(115=$I41+1,OR($K41&lt;&gt;'計算A'!$A$3,'計算A'!$A$4=0)),AND(115=$I41-1,OR(19&lt;&gt;'計算A'!$A$3,'計算A'!$A$4=0))),0,IF(19=$K41,200000,ABS(19-$K41)*100)),100000+ABS(5-$J41)*1000+190)+'計算A'!DN$5*50+IF(AND($E41=1,NA41=0),25,0),INDEX('計算A'!DN$110:DN$114,$F41+1)+IF(AND($E41=1,NA41=0),1000,0)+IF($H41=1,(IF('計算A'!DM$117=1,INDEX('計算A'!DM$10:DM$54,$B41),0)+IF('計算A'!DN$117=1,INDEX('計算A'!DO$10:DO$54,$B41),0))*500,0)-IF(AND('計算A'!DM$117=1,YK41&gt;0),300,0)-IF(AND($L41=1,'計算A'!DN$117=1,HM41=0),300,0))),1000000))</f>
        <v/>
      </c>
      <c r="SQ41">
        <f>IF($B41=0,1000000,IF(INDEX('計算A'!$D$60:$EQ$104,$B41,116)*HM41=1,IF(AND($E41=2,NB41=0),1000000,IF($I41&gt;0,IF(5=$J41,IF(OR(AND(116=$I41+1,OR($K41&lt;&gt;'計算A'!$A$3,'計算A'!$A$4=0)),AND(116=$I41-1,OR(20&lt;&gt;'計算A'!$A$3,'計算A'!$A$4=0))),0,IF(20=$K41,200000,ABS(20-$K41)*100)),100000+ABS(5-$J41)*1000+200)+'計算A'!DO$5*50+IF(AND($E41=1,NB41=0),25,0),INDEX('計算A'!DO$110:DO$114,$F41+1)+IF(AND($E41=1,NB41=0),1000,0)+IF($H41=1,(IF('計算A'!DN$117=1,INDEX('計算A'!DN$10:DN$54,$B41),0)+IF('計算A'!DO$117=1,INDEX('計算A'!DP$10:DP$54,$B41),0))*500,0)-IF(AND('計算A'!DN$117=1,YL41&gt;0),300,0)-IF(AND($L41=1,'計算A'!DO$117=1,HN41=0),300,0))),1000000))</f>
        <v/>
      </c>
      <c r="SR41">
        <f>IF($B41=0,1000000,IF(INDEX('計算A'!$D$60:$EQ$104,$B41,117)*HN41=1,IF(AND($E41=2,NC41=0),1000000,IF($I41&gt;0,IF(5=$J41,IF(OR(AND(117=$I41+1,OR($K41&lt;&gt;'計算A'!$A$3,'計算A'!$A$4=0)),AND(117=$I41-1,OR(21&lt;&gt;'計算A'!$A$3,'計算A'!$A$4=0))),0,IF(21=$K41,200000,ABS(21-$K41)*100)),100000+ABS(5-$J41)*1000+210)+'計算A'!DP$5*50+IF(AND($E41=1,NC41=0),25,0),INDEX('計算A'!DP$110:DP$114,$F41+1)+IF(AND($E41=1,NC41=0),1000,0)+IF($H41=1,(IF('計算A'!DO$117=1,INDEX('計算A'!DO$10:DO$54,$B41),0)+IF('計算A'!DP$117=1,INDEX('計算A'!DQ$10:DQ$54,$B41),0))*500,0)-IF(AND('計算A'!DO$117=1,YM41&gt;0),300,0)-IF(AND($L41=1,'計算A'!DP$117=1,HO41=0),300,0))),1000000))</f>
        <v/>
      </c>
      <c r="SS41">
        <f>IF($B41=0,1000000,IF(INDEX('計算A'!$D$60:$EQ$104,$B41,118)*HO41=1,IF(AND($E41=2,ND41=0),1000000,IF($I41&gt;0,IF(5=$J41,IF(OR(AND(118=$I41+1,OR($K41&lt;&gt;'計算A'!$A$3,'計算A'!$A$4=0)),AND(118=$I41-1,OR(22&lt;&gt;'計算A'!$A$3,'計算A'!$A$4=0))),0,IF(22=$K41,200000,ABS(22-$K41)*100)),100000+ABS(5-$J41)*1000+220)+'計算A'!DQ$5*50+IF(AND($E41=1,ND41=0),25,0),INDEX('計算A'!DQ$110:DQ$114,$F41+1)+IF(AND($E41=1,ND41=0),1000,0)+IF($H41=1,(IF('計算A'!DP$117=1,INDEX('計算A'!DP$10:DP$54,$B41),0)+IF('計算A'!DQ$117=1,INDEX('計算A'!DR$10:DR$54,$B41),0))*500,0)-IF(AND('計算A'!DP$117=1,YN41&gt;0),300,0)-IF(AND($L41=1,'計算A'!DQ$117=1,HP41=0),300,0))),1000000))</f>
        <v/>
      </c>
      <c r="ST41">
        <f>IF($B41=0,1000000,IF(INDEX('計算A'!$D$60:$EQ$104,$B41,119)*HP41=1,IF(AND($E41=2,NE41=0),1000000,IF($I41&gt;0,IF(5=$J41,IF(OR(AND(119=$I41+1,OR($K41&lt;&gt;'計算A'!$A$3,'計算A'!$A$4=0)),AND(119=$I41-1,OR(23&lt;&gt;'計算A'!$A$3,'計算A'!$A$4=0))),0,IF(23=$K41,200000,ABS(23-$K41)*100)),100000+ABS(5-$J41)*1000+230)+'計算A'!DR$5*50+IF(AND($E41=1,NE41=0),25,0),INDEX('計算A'!DR$110:DR$114,$F41+1)+IF(AND($E41=1,NE41=0),1000,0)+IF($H41=1,(IF('計算A'!DQ$117=1,INDEX('計算A'!DQ$10:DQ$54,$B41),0)+IF('計算A'!DR$117=1,INDEX('計算A'!DS$10:DS$54,$B41),0))*500,0)-IF(AND('計算A'!DQ$117=1,YO41&gt;0),300,0)-IF(AND($L41=1,'計算A'!DR$117=1,HQ41=0),300,0))),1000000))</f>
        <v/>
      </c>
      <c r="SU41">
        <f>IF($B41=0,1000000,IF(INDEX('計算A'!$D$60:$EQ$104,$B41,120)*HQ41=1,IF(AND($E41=2,NF41=0),1000000,IF($I41&gt;0,IF(5=$J41,IF(OR(AND(120=$I41+1,OR($K41&lt;&gt;'計算A'!$A$3,'計算A'!$A$4=0)),AND(120=$I41-1,OR(24&lt;&gt;'計算A'!$A$3,'計算A'!$A$4=0))),0,IF(24=$K41,200000,ABS(24-$K41)*100)),100000+ABS(5-$J41)*1000+240)+'計算A'!DS$5*50+IF(AND($E41=1,NF41=0),25,0),INDEX('計算A'!DS$110:DS$114,$F41+1)+IF(AND($E41=1,NF41=0),1000,0)+IF($H41=1,(IF('計算A'!DR$117=1,INDEX('計算A'!DR$10:DR$54,$B41),0))*500,0)-IF(AND('計算A'!DR$117=1,YP41&gt;0),300,0))),1000000))</f>
        <v/>
      </c>
      <c r="SV41">
        <f>IF($B41=0,1000000,IF(INDEX('計算A'!$D$60:$EQ$104,$B41,121)*HR41=1,IF(AND($E41=2,NG41=0),1000000,IF($I41&gt;0,IF(6=$J41,IF(OR(AND(121=$I41+1,OR($K41&lt;&gt;'計算A'!$A$3,'計算A'!$A$4=0)),AND(121=$I41-1,OR(1&lt;&gt;'計算A'!$A$3,'計算A'!$A$4=0))),0,IF(1=$K41,200000,ABS(1-$K41)*100)),100000+ABS(6-$J41)*1000+10)+'計算A'!DT$5*50+IF(AND($E41=1,NG41=0),25,0),INDEX('計算A'!DT$110:DT$114,$F41+1)+IF(AND($E41=1,NG41=0),1000,0)+IF($H41=1,(IF('計算A'!DT$117=1,INDEX('計算A'!DU$10:DU$54,$B41),0))*500,0)-IF(AND($L41=1,'計算A'!DT$117=1,HS41=0),300,0))),1000000))</f>
        <v/>
      </c>
      <c r="SW41">
        <f>IF($B41=0,1000000,IF(INDEX('計算A'!$D$60:$EQ$104,$B41,122)*HS41=1,IF(AND($E41=2,NH41=0),1000000,IF($I41&gt;0,IF(6=$J41,IF(OR(AND(122=$I41+1,OR($K41&lt;&gt;'計算A'!$A$3,'計算A'!$A$4=0)),AND(122=$I41-1,OR(2&lt;&gt;'計算A'!$A$3,'計算A'!$A$4=0))),0,IF(2=$K41,200000,ABS(2-$K41)*100)),100000+ABS(6-$J41)*1000+20)+'計算A'!DU$5*50+IF(AND($E41=1,NH41=0),25,0),INDEX('計算A'!DU$110:DU$114,$F41+1)+IF(AND($E41=1,NH41=0),1000,0)+IF($H41=1,(IF('計算A'!DT$117=1,INDEX('計算A'!DT$10:DT$54,$B41),0)+IF('計算A'!DU$117=1,INDEX('計算A'!DV$10:DV$54,$B41),0))*500,0)-IF(AND('計算A'!DT$117=1,YR41&gt;0),300,0)-IF(AND($L41=1,'計算A'!DU$117=1,HT41=0),300,0))),1000000))</f>
        <v/>
      </c>
      <c r="SX41">
        <f>IF($B41=0,1000000,IF(INDEX('計算A'!$D$60:$EQ$104,$B41,123)*HT41=1,IF(AND($E41=2,NI41=0),1000000,IF($I41&gt;0,IF(6=$J41,IF(OR(AND(123=$I41+1,OR($K41&lt;&gt;'計算A'!$A$3,'計算A'!$A$4=0)),AND(123=$I41-1,OR(3&lt;&gt;'計算A'!$A$3,'計算A'!$A$4=0))),0,IF(3=$K41,200000,ABS(3-$K41)*100)),100000+ABS(6-$J41)*1000+30)+'計算A'!DV$5*50+IF(AND($E41=1,NI41=0),25,0),INDEX('計算A'!DV$110:DV$114,$F41+1)+IF(AND($E41=1,NI41=0),1000,0)+IF($H41=1,(IF('計算A'!DU$117=1,INDEX('計算A'!DU$10:DU$54,$B41),0)+IF('計算A'!DV$117=1,INDEX('計算A'!DW$10:DW$54,$B41),0))*500,0)-IF(AND('計算A'!DU$117=1,YS41&gt;0),300,0)-IF(AND($L41=1,'計算A'!DV$117=1,HU41=0),300,0))),1000000))</f>
        <v/>
      </c>
      <c r="SY41">
        <f>IF($B41=0,1000000,IF(INDEX('計算A'!$D$60:$EQ$104,$B41,124)*HU41=1,IF(AND($E41=2,NJ41=0),1000000,IF($I41&gt;0,IF(6=$J41,IF(OR(AND(124=$I41+1,OR($K41&lt;&gt;'計算A'!$A$3,'計算A'!$A$4=0)),AND(124=$I41-1,OR(4&lt;&gt;'計算A'!$A$3,'計算A'!$A$4=0))),0,IF(4=$K41,200000,ABS(4-$K41)*100)),100000+ABS(6-$J41)*1000+40)+'計算A'!DW$5*50+IF(AND($E41=1,NJ41=0),25,0),INDEX('計算A'!DW$110:DW$114,$F41+1)+IF(AND($E41=1,NJ41=0),1000,0)+IF($H41=1,(IF('計算A'!DV$117=1,INDEX('計算A'!DV$10:DV$54,$B41),0)+IF('計算A'!DW$117=1,INDEX('計算A'!DX$10:DX$54,$B41),0))*500,0)-IF(AND('計算A'!DV$117=1,YT41&gt;0),300,0)-IF(AND($L41=1,'計算A'!DW$117=1,HV41=0),300,0))),1000000))</f>
        <v/>
      </c>
      <c r="SZ41">
        <f>IF($B41=0,1000000,IF(INDEX('計算A'!$D$60:$EQ$104,$B41,125)*HV41=1,IF(AND($E41=2,NK41=0),1000000,IF($I41&gt;0,IF(6=$J41,IF(OR(AND(125=$I41+1,OR($K41&lt;&gt;'計算A'!$A$3,'計算A'!$A$4=0)),AND(125=$I41-1,OR(5&lt;&gt;'計算A'!$A$3,'計算A'!$A$4=0))),0,IF(5=$K41,200000,ABS(5-$K41)*100)),100000+ABS(6-$J41)*1000+50)+'計算A'!DX$5*50+IF(AND($E41=1,NK41=0),25,0),INDEX('計算A'!DX$110:DX$114,$F41+1)+IF(AND($E41=1,NK41=0),1000,0)+IF($H41=1,(IF('計算A'!DW$117=1,INDEX('計算A'!DW$10:DW$54,$B41),0)+IF('計算A'!DX$117=1,INDEX('計算A'!DY$10:DY$54,$B41),0))*500,0)-IF(AND('計算A'!DW$117=1,YU41&gt;0),300,0)-IF(AND($L41=1,'計算A'!DX$117=1,HW41=0),300,0))),1000000))</f>
        <v/>
      </c>
      <c r="TA41">
        <f>IF($B41=0,1000000,IF(INDEX('計算A'!$D$60:$EQ$104,$B41,126)*HW41=1,IF(AND($E41=2,NL41=0),1000000,IF($I41&gt;0,IF(6=$J41,IF(OR(AND(126=$I41+1,OR($K41&lt;&gt;'計算A'!$A$3,'計算A'!$A$4=0)),AND(126=$I41-1,OR(6&lt;&gt;'計算A'!$A$3,'計算A'!$A$4=0))),0,IF(6=$K41,200000,ABS(6-$K41)*100)),100000+ABS(6-$J41)*1000+60)+'計算A'!DY$5*50+IF(AND($E41=1,NL41=0),25,0),INDEX('計算A'!DY$110:DY$114,$F41+1)+IF(AND($E41=1,NL41=0),1000,0)+IF($H41=1,(IF('計算A'!DX$117=1,INDEX('計算A'!DX$10:DX$54,$B41),0)+IF('計算A'!DY$117=1,INDEX('計算A'!DZ$10:DZ$54,$B41),0))*500,0)-IF(AND('計算A'!DX$117=1,YV41&gt;0),300,0)-IF(AND($L41=1,'計算A'!DY$117=1,HX41=0),300,0))),1000000))</f>
        <v/>
      </c>
      <c r="TB41">
        <f>IF($B41=0,1000000,IF(INDEX('計算A'!$D$60:$EQ$104,$B41,127)*HX41=1,IF(AND($E41=2,NM41=0),1000000,IF($I41&gt;0,IF(6=$J41,IF(OR(AND(127=$I41+1,OR($K41&lt;&gt;'計算A'!$A$3,'計算A'!$A$4=0)),AND(127=$I41-1,OR(7&lt;&gt;'計算A'!$A$3,'計算A'!$A$4=0))),0,IF(7=$K41,200000,ABS(7-$K41)*100)),100000+ABS(6-$J41)*1000+70)+'計算A'!DZ$5*50+IF(AND($E41=1,NM41=0),25,0),INDEX('計算A'!DZ$110:DZ$114,$F41+1)+IF(AND($E41=1,NM41=0),1000,0)+IF($H41=1,(IF('計算A'!DY$117=1,INDEX('計算A'!DY$10:DY$54,$B41),0)+IF('計算A'!DZ$117=1,INDEX('計算A'!EA$10:EA$54,$B41),0))*500,0)-IF(AND('計算A'!DY$117=1,YW41&gt;0),300,0)-IF(AND($L41=1,'計算A'!DZ$117=1,HY41=0),300,0))),1000000))</f>
        <v/>
      </c>
      <c r="TC41">
        <f>IF($B41=0,1000000,IF(INDEX('計算A'!$D$60:$EQ$104,$B41,128)*HY41=1,IF(AND($E41=2,NN41=0),1000000,IF($I41&gt;0,IF(6=$J41,IF(OR(AND(128=$I41+1,OR($K41&lt;&gt;'計算A'!$A$3,'計算A'!$A$4=0)),AND(128=$I41-1,OR(8&lt;&gt;'計算A'!$A$3,'計算A'!$A$4=0))),0,IF(8=$K41,200000,ABS(8-$K41)*100)),100000+ABS(6-$J41)*1000+80)+'計算A'!EA$5*50+IF(AND($E41=1,NN41=0),25,0),INDEX('計算A'!EA$110:EA$114,$F41+1)+IF(AND($E41=1,NN41=0),1000,0)+IF($H41=1,(IF('計算A'!DZ$117=1,INDEX('計算A'!DZ$10:DZ$54,$B41),0)+IF('計算A'!EA$117=1,INDEX('計算A'!EB$10:EB$54,$B41),0))*500,0)-IF(AND('計算A'!DZ$117=1,YX41&gt;0),300,0)-IF(AND($L41=1,'計算A'!EA$117=1,HZ41=0),300,0))),1000000))</f>
        <v/>
      </c>
      <c r="TD41">
        <f>IF($B41=0,1000000,IF(INDEX('計算A'!$D$60:$EQ$104,$B41,129)*HZ41=1,IF(AND($E41=2,NO41=0),1000000,IF($I41&gt;0,IF(6=$J41,IF(OR(AND(129=$I41+1,OR($K41&lt;&gt;'計算A'!$A$3,'計算A'!$A$4=0)),AND(129=$I41-1,OR(9&lt;&gt;'計算A'!$A$3,'計算A'!$A$4=0))),0,IF(9=$K41,200000,ABS(9-$K41)*100)),100000+ABS(6-$J41)*1000+90)+'計算A'!EB$5*50+IF(AND($E41=1,NO41=0),25,0),INDEX('計算A'!EB$110:EB$114,$F41+1)+IF(AND($E41=1,NO41=0),1000,0)+IF($H41=1,(IF('計算A'!EA$117=1,INDEX('計算A'!EA$10:EA$54,$B41),0)+IF('計算A'!EB$117=1,INDEX('計算A'!EC$10:EC$54,$B41),0))*500,0)-IF(AND('計算A'!EA$117=1,YY41&gt;0),300,0)-IF(AND($L41=1,'計算A'!EB$117=1,IA41=0),300,0))),1000000))</f>
        <v/>
      </c>
      <c r="TE41">
        <f>IF($B41=0,1000000,IF(INDEX('計算A'!$D$60:$EQ$104,$B41,130)*IA41=1,IF(AND($E41=2,NP41=0),1000000,IF($I41&gt;0,IF(6=$J41,IF(OR(AND(130=$I41+1,OR($K41&lt;&gt;'計算A'!$A$3,'計算A'!$A$4=0)),AND(130=$I41-1,OR(10&lt;&gt;'計算A'!$A$3,'計算A'!$A$4=0))),0,IF(10=$K41,200000,ABS(10-$K41)*100)),100000+ABS(6-$J41)*1000+100)+'計算A'!EC$5*50+IF(AND($E41=1,NP41=0),25,0),INDEX('計算A'!EC$110:EC$114,$F41+1)+IF(AND($E41=1,NP41=0),1000,0)+IF($H41=1,(IF('計算A'!EB$117=1,INDEX('計算A'!EB$10:EB$54,$B41),0)+IF('計算A'!EC$117=1,INDEX('計算A'!ED$10:ED$54,$B41),0))*500,0)-IF(AND('計算A'!EB$117=1,YZ41&gt;0),300,0)-IF(AND($L41=1,'計算A'!EC$117=1,IB41=0),300,0))),1000000))</f>
        <v/>
      </c>
      <c r="TF41">
        <f>IF($B41=0,1000000,IF(INDEX('計算A'!$D$60:$EQ$104,$B41,131)*IB41=1,IF(AND($E41=2,NQ41=0),1000000,IF($I41&gt;0,IF(6=$J41,IF(OR(AND(131=$I41+1,OR($K41&lt;&gt;'計算A'!$A$3,'計算A'!$A$4=0)),AND(131=$I41-1,OR(11&lt;&gt;'計算A'!$A$3,'計算A'!$A$4=0))),0,IF(11=$K41,200000,ABS(11-$K41)*100)),100000+ABS(6-$J41)*1000+110)+'計算A'!ED$5*50+IF(AND($E41=1,NQ41=0),25,0),INDEX('計算A'!ED$110:ED$114,$F41+1)+IF(AND($E41=1,NQ41=0),1000,0)+IF($H41=1,(IF('計算A'!EC$117=1,INDEX('計算A'!EC$10:EC$54,$B41),0)+IF('計算A'!ED$117=1,INDEX('計算A'!EE$10:EE$54,$B41),0))*500,0)-IF(AND('計算A'!EC$117=1,ZA41&gt;0),300,0)-IF(AND($L41=1,'計算A'!ED$117=1,IC41=0),300,0))),1000000))</f>
        <v/>
      </c>
      <c r="TG41">
        <f>IF($B41=0,1000000,IF(INDEX('計算A'!$D$60:$EQ$104,$B41,132)*IC41=1,IF(AND($E41=2,NR41=0),1000000,IF($I41&gt;0,IF(6=$J41,IF(OR(AND(132=$I41+1,OR($K41&lt;&gt;'計算A'!$A$3,'計算A'!$A$4=0)),AND(132=$I41-1,OR(12&lt;&gt;'計算A'!$A$3,'計算A'!$A$4=0))),0,IF(12=$K41,200000,ABS(12-$K41)*100)),100000+ABS(6-$J41)*1000+120)+'計算A'!EE$5*50+IF(AND($E41=1,NR41=0),25,0),INDEX('計算A'!EE$110:EE$114,$F41+1)+IF(AND($E41=1,NR41=0),1000,0)+IF($H41=1,(IF('計算A'!ED$117=1,INDEX('計算A'!ED$10:ED$54,$B41),0)+IF('計算A'!EE$117=1,INDEX('計算A'!EF$10:EF$54,$B41),0))*500,0)-IF(AND('計算A'!ED$117=1,ZB41&gt;0),300,0)-IF(AND($L41=1,'計算A'!EE$117=1,ID41=0),300,0))),1000000))</f>
        <v/>
      </c>
      <c r="TH41">
        <f>IF($B41=0,1000000,IF(INDEX('計算A'!$D$60:$EQ$104,$B41,133)*ID41=1,IF(AND($E41=2,NS41=0),1000000,IF($I41&gt;0,IF(6=$J41,IF(OR(AND(133=$I41+1,OR($K41&lt;&gt;'計算A'!$A$3,'計算A'!$A$4=0)),AND(133=$I41-1,OR(13&lt;&gt;'計算A'!$A$3,'計算A'!$A$4=0))),0,IF(13=$K41,200000,ABS(13-$K41)*100)),100000+ABS(6-$J41)*1000+130)+'計算A'!EF$5*50+IF(AND($E41=1,NS41=0),25,0),INDEX('計算A'!EF$110:EF$114,$F41+1)+IF(AND($E41=1,NS41=0),1000,0)+IF($H41=1,(IF('計算A'!EE$117=1,INDEX('計算A'!EE$10:EE$54,$B41),0)+IF('計算A'!EF$117=1,INDEX('計算A'!EG$10:EG$54,$B41),0))*500,0)-IF(AND('計算A'!EE$117=1,ZC41&gt;0),300,0)-IF(AND($L41=1,'計算A'!EF$117=1,IE41=0),300,0))),1000000))</f>
        <v/>
      </c>
      <c r="TI41">
        <f>IF($B41=0,1000000,IF(INDEX('計算A'!$D$60:$EQ$104,$B41,134)*IE41=1,IF(AND($E41=2,NT41=0),1000000,IF($I41&gt;0,IF(6=$J41,IF(OR(AND(134=$I41+1,OR($K41&lt;&gt;'計算A'!$A$3,'計算A'!$A$4=0)),AND(134=$I41-1,OR(14&lt;&gt;'計算A'!$A$3,'計算A'!$A$4=0))),0,IF(14=$K41,200000,ABS(14-$K41)*100)),100000+ABS(6-$J41)*1000+140)+'計算A'!EG$5*50+IF(AND($E41=1,NT41=0),25,0),INDEX('計算A'!EG$110:EG$114,$F41+1)+IF(AND($E41=1,NT41=0),1000,0)+IF($H41=1,(IF('計算A'!EF$117=1,INDEX('計算A'!EF$10:EF$54,$B41),0)+IF('計算A'!EG$117=1,INDEX('計算A'!EH$10:EH$54,$B41),0))*500,0)-IF(AND('計算A'!EF$117=1,ZD41&gt;0),300,0)-IF(AND($L41=1,'計算A'!EG$117=1,IF41=0),300,0))),1000000))</f>
        <v/>
      </c>
      <c r="TJ41">
        <f>IF($B41=0,1000000,IF(INDEX('計算A'!$D$60:$EQ$104,$B41,135)*IF41=1,IF(AND($E41=2,NU41=0),1000000,IF($I41&gt;0,IF(6=$J41,IF(OR(AND(135=$I41+1,OR($K41&lt;&gt;'計算A'!$A$3,'計算A'!$A$4=0)),AND(135=$I41-1,OR(15&lt;&gt;'計算A'!$A$3,'計算A'!$A$4=0))),0,IF(15=$K41,200000,ABS(15-$K41)*100)),100000+ABS(6-$J41)*1000+150)+'計算A'!EH$5*50+IF(AND($E41=1,NU41=0),25,0),INDEX('計算A'!EH$110:EH$114,$F41+1)+IF(AND($E41=1,NU41=0),1000,0)+IF($H41=1,(IF('計算A'!EG$117=1,INDEX('計算A'!EG$10:EG$54,$B41),0)+IF('計算A'!EH$117=1,INDEX('計算A'!EI$10:EI$54,$B41),0))*500,0)-IF(AND('計算A'!EG$117=1,ZE41&gt;0),300,0)-IF(AND($L41=1,'計算A'!EH$117=1,IG41=0),300,0))),1000000))</f>
        <v/>
      </c>
      <c r="TK41">
        <f>IF($B41=0,1000000,IF(INDEX('計算A'!$D$60:$EQ$104,$B41,136)*IG41=1,IF(AND($E41=2,NV41=0),1000000,IF($I41&gt;0,IF(6=$J41,IF(OR(AND(136=$I41+1,OR($K41&lt;&gt;'計算A'!$A$3,'計算A'!$A$4=0)),AND(136=$I41-1,OR(16&lt;&gt;'計算A'!$A$3,'計算A'!$A$4=0))),0,IF(16=$K41,200000,ABS(16-$K41)*100)),100000+ABS(6-$J41)*1000+160)+'計算A'!EI$5*50+IF(AND($E41=1,NV41=0),25,0),INDEX('計算A'!EI$110:EI$114,$F41+1)+IF(AND($E41=1,NV41=0),1000,0)+IF($H41=1,(IF('計算A'!EH$117=1,INDEX('計算A'!EH$10:EH$54,$B41),0)+IF('計算A'!EI$117=1,INDEX('計算A'!EJ$10:EJ$54,$B41),0))*500,0)-IF(AND('計算A'!EH$117=1,ZF41&gt;0),300,0)-IF(AND($L41=1,'計算A'!EI$117=1,IH41=0),300,0))),1000000))</f>
        <v/>
      </c>
      <c r="TL41">
        <f>IF($B41=0,1000000,IF(INDEX('計算A'!$D$60:$EQ$104,$B41,137)*IH41=1,IF(AND($E41=2,NW41=0),1000000,IF($I41&gt;0,IF(6=$J41,IF(OR(AND(137=$I41+1,OR($K41&lt;&gt;'計算A'!$A$3,'計算A'!$A$4=0)),AND(137=$I41-1,OR(17&lt;&gt;'計算A'!$A$3,'計算A'!$A$4=0))),0,IF(17=$K41,200000,ABS(17-$K41)*100)),100000+ABS(6-$J41)*1000+170)+'計算A'!EJ$5*50+IF(AND($E41=1,NW41=0),25,0),INDEX('計算A'!EJ$110:EJ$114,$F41+1)+IF(AND($E41=1,NW41=0),1000,0)+IF($H41=1,(IF('計算A'!EI$117=1,INDEX('計算A'!EI$10:EI$54,$B41),0)+IF('計算A'!EJ$117=1,INDEX('計算A'!EK$10:EK$54,$B41),0))*500,0)-IF(AND('計算A'!EI$117=1,ZG41&gt;0),300,0)-IF(AND($L41=1,'計算A'!EJ$117=1,II41=0),300,0))),1000000))</f>
        <v/>
      </c>
      <c r="TM41">
        <f>IF($B41=0,1000000,IF(INDEX('計算A'!$D$60:$EQ$104,$B41,138)*II41=1,IF(AND($E41=2,NX41=0),1000000,IF($I41&gt;0,IF(6=$J41,IF(OR(AND(138=$I41+1,OR($K41&lt;&gt;'計算A'!$A$3,'計算A'!$A$4=0)),AND(138=$I41-1,OR(18&lt;&gt;'計算A'!$A$3,'計算A'!$A$4=0))),0,IF(18=$K41,200000,ABS(18-$K41)*100)),100000+ABS(6-$J41)*1000+180)+'計算A'!EK$5*50+IF(AND($E41=1,NX41=0),25,0),INDEX('計算A'!EK$110:EK$114,$F41+1)+IF(AND($E41=1,NX41=0),1000,0)+IF($H41=1,(IF('計算A'!EJ$117=1,INDEX('計算A'!EJ$10:EJ$54,$B41),0)+IF('計算A'!EK$117=1,INDEX('計算A'!EL$10:EL$54,$B41),0))*500,0)-IF(AND('計算A'!EJ$117=1,ZH41&gt;0),300,0)-IF(AND($L41=1,'計算A'!EK$117=1,IJ41=0),300,0))),1000000))</f>
        <v/>
      </c>
      <c r="TN41">
        <f>IF($B41=0,1000000,IF(INDEX('計算A'!$D$60:$EQ$104,$B41,139)*IJ41=1,IF(AND($E41=2,NY41=0),1000000,IF($I41&gt;0,IF(6=$J41,IF(OR(AND(139=$I41+1,OR($K41&lt;&gt;'計算A'!$A$3,'計算A'!$A$4=0)),AND(139=$I41-1,OR(19&lt;&gt;'計算A'!$A$3,'計算A'!$A$4=0))),0,IF(19=$K41,200000,ABS(19-$K41)*100)),100000+ABS(6-$J41)*1000+190)+'計算A'!EL$5*50+IF(AND($E41=1,NY41=0),25,0),INDEX('計算A'!EL$110:EL$114,$F41+1)+IF(AND($E41=1,NY41=0),1000,0)+IF($H41=1,(IF('計算A'!EK$117=1,INDEX('計算A'!EK$10:EK$54,$B41),0)+IF('計算A'!EL$117=1,INDEX('計算A'!EM$10:EM$54,$B41),0))*500,0)-IF(AND('計算A'!EK$117=1,ZI41&gt;0),300,0)-IF(AND($L41=1,'計算A'!EL$117=1,IK41=0),300,0))),1000000))</f>
        <v/>
      </c>
      <c r="TO41">
        <f>IF($B41=0,1000000,IF(INDEX('計算A'!$D$60:$EQ$104,$B41,140)*IK41=1,IF(AND($E41=2,NZ41=0),1000000,IF($I41&gt;0,IF(6=$J41,IF(OR(AND(140=$I41+1,OR($K41&lt;&gt;'計算A'!$A$3,'計算A'!$A$4=0)),AND(140=$I41-1,OR(20&lt;&gt;'計算A'!$A$3,'計算A'!$A$4=0))),0,IF(20=$K41,200000,ABS(20-$K41)*100)),100000+ABS(6-$J41)*1000+200)+'計算A'!EM$5*50+IF(AND($E41=1,NZ41=0),25,0),INDEX('計算A'!EM$110:EM$114,$F41+1)+IF(AND($E41=1,NZ41=0),1000,0)+IF($H41=1,(IF('計算A'!EL$117=1,INDEX('計算A'!EL$10:EL$54,$B41),0)+IF('計算A'!EM$117=1,INDEX('計算A'!EN$10:EN$54,$B41),0))*500,0)-IF(AND('計算A'!EL$117=1,ZJ41&gt;0),300,0)-IF(AND($L41=1,'計算A'!EM$117=1,IL41=0),300,0))),1000000))</f>
        <v/>
      </c>
      <c r="TP41">
        <f>IF($B41=0,1000000,IF(INDEX('計算A'!$D$60:$EQ$104,$B41,141)*IL41=1,IF(AND($E41=2,OA41=0),1000000,IF($I41&gt;0,IF(6=$J41,IF(OR(AND(141=$I41+1,OR($K41&lt;&gt;'計算A'!$A$3,'計算A'!$A$4=0)),AND(141=$I41-1,OR(21&lt;&gt;'計算A'!$A$3,'計算A'!$A$4=0))),0,IF(21=$K41,200000,ABS(21-$K41)*100)),100000+ABS(6-$J41)*1000+210)+'計算A'!EN$5*50+IF(AND($E41=1,OA41=0),25,0),INDEX('計算A'!EN$110:EN$114,$F41+1)+IF(AND($E41=1,OA41=0),1000,0)+IF($H41=1,(IF('計算A'!EM$117=1,INDEX('計算A'!EM$10:EM$54,$B41),0)+IF('計算A'!EN$117=1,INDEX('計算A'!EO$10:EO$54,$B41),0))*500,0)-IF(AND('計算A'!EM$117=1,ZK41&gt;0),300,0)-IF(AND($L41=1,'計算A'!EN$117=1,IM41=0),300,0))),1000000))</f>
        <v/>
      </c>
      <c r="TQ41">
        <f>IF($B41=0,1000000,IF(INDEX('計算A'!$D$60:$EQ$104,$B41,142)*IM41=1,IF(AND($E41=2,OB41=0),1000000,IF($I41&gt;0,IF(6=$J41,IF(OR(AND(142=$I41+1,OR($K41&lt;&gt;'計算A'!$A$3,'計算A'!$A$4=0)),AND(142=$I41-1,OR(22&lt;&gt;'計算A'!$A$3,'計算A'!$A$4=0))),0,IF(22=$K41,200000,ABS(22-$K41)*100)),100000+ABS(6-$J41)*1000+220)+'計算A'!EO$5*50+IF(AND($E41=1,OB41=0),25,0),INDEX('計算A'!EO$110:EO$114,$F41+1)+IF(AND($E41=1,OB41=0),1000,0)+IF($H41=1,(IF('計算A'!EN$117=1,INDEX('計算A'!EN$10:EN$54,$B41),0)+IF('計算A'!EO$117=1,INDEX('計算A'!EP$10:EP$54,$B41),0))*500,0)-IF(AND('計算A'!EN$117=1,ZL41&gt;0),300,0)-IF(AND($L41=1,'計算A'!EO$117=1,IN41=0),300,0))),1000000))</f>
        <v/>
      </c>
      <c r="TR41">
        <f>IF($B41=0,1000000,IF(INDEX('計算A'!$D$60:$EQ$104,$B41,143)*IN41=1,IF(AND($E41=2,OC41=0),1000000,IF($I41&gt;0,IF(6=$J41,IF(OR(AND(143=$I41+1,OR($K41&lt;&gt;'計算A'!$A$3,'計算A'!$A$4=0)),AND(143=$I41-1,OR(23&lt;&gt;'計算A'!$A$3,'計算A'!$A$4=0))),0,IF(23=$K41,200000,ABS(23-$K41)*100)),100000+ABS(6-$J41)*1000+230)+'計算A'!EP$5*50+IF(AND($E41=1,OC41=0),25,0),INDEX('計算A'!EP$110:EP$114,$F41+1)+IF(AND($E41=1,OC41=0),1000,0)+IF($H41=1,(IF('計算A'!EO$117=1,INDEX('計算A'!EO$10:EO$54,$B41),0)+IF('計算A'!EP$117=1,INDEX('計算A'!EQ$10:EQ$54,$B41),0))*500,0)-IF(AND('計算A'!EO$117=1,ZM41&gt;0),300,0)-IF(AND($L41=1,'計算A'!EP$117=1,IO41=0),300,0))),1000000))</f>
        <v/>
      </c>
      <c r="TS41">
        <f>IF($B41=0,1000000,IF(INDEX('計算A'!$D$60:$EQ$104,$B41,144)*IO41=1,IF(AND($E41=2,OD41=0),1000000,IF($I41&gt;0,IF(6=$J41,IF(OR(AND(144=$I41+1,OR($K41&lt;&gt;'計算A'!$A$3,'計算A'!$A$4=0)),AND(144=$I41-1,OR(24&lt;&gt;'計算A'!$A$3,'計算A'!$A$4=0))),0,IF(24=$K41,200000,ABS(24-$K41)*100)),100000+ABS(6-$J41)*1000+240)+'計算A'!EQ$5*50+IF(AND($E41=1,OD41=0),25,0),INDEX('計算A'!EQ$110:EQ$114,$F41+1)+IF(AND($E41=1,OD41=0),1000,0)+IF($H41=1,(IF('計算A'!EP$117=1,INDEX('計算A'!EP$10:EP$54,$B41),0))*500,0)-IF(AND('計算A'!EP$117=1,ZN41&gt;0),300,0))),1000000))</f>
        <v/>
      </c>
      <c r="UB41">
        <f>UB40+IF(AND($C40=1,$L40=1),1,0)</f>
        <v/>
      </c>
      <c r="UC41">
        <f>UC40+IF(AND($C40=2,$L40=1),1,0)</f>
        <v/>
      </c>
      <c r="UD41">
        <f>UD40+IF(AND($C40=3,$L40=1),1,0)</f>
        <v/>
      </c>
      <c r="UE41">
        <f>UE40+IF(AND($C40=4,$L40=1),1,0)</f>
        <v/>
      </c>
      <c r="UF41">
        <f>UF40+IF(AND($C40=5,$L40=1),1,0)</f>
        <v/>
      </c>
      <c r="UG41">
        <f>UG40+IF(AND($C40=6,$L40=1),1,0)</f>
        <v/>
      </c>
      <c r="UH41">
        <f>UH40+IF(AND($C40=7,$L40=1),1,0)</f>
        <v/>
      </c>
      <c r="UI41">
        <f>UI40+IF(AND($C40=8,$L40=1),1,0)</f>
        <v/>
      </c>
      <c r="UJ41">
        <f>UJ40+IF(AND($C40=9,$L40=1),1,0)</f>
        <v/>
      </c>
      <c r="UK41">
        <f>UK40+IF(AND($C40=10,$L40=1),1,0)</f>
        <v/>
      </c>
      <c r="UL41">
        <f>UL40+IF(AND($C40=11,$L40=1),1,0)</f>
        <v/>
      </c>
      <c r="UM41">
        <f>UM40+IF(AND($C40=12,$L40=1),1,0)</f>
        <v/>
      </c>
      <c r="UN41">
        <f>UN40+IF(AND($C40=13,$L40=1),1,0)</f>
        <v/>
      </c>
      <c r="UO41">
        <f>UO40+IF(AND($C40=14,$L40=1),1,0)</f>
        <v/>
      </c>
      <c r="UP41">
        <f>UP40+IF(AND($C40=15,$L40=1),1,0)</f>
        <v/>
      </c>
      <c r="UQ41">
        <f>UQ40+IF(AND($C40=16,$L40=1),1,0)</f>
        <v/>
      </c>
      <c r="UR41">
        <f>UR40+IF(AND($C40=17,$L40=1),1,0)</f>
        <v/>
      </c>
      <c r="US41">
        <f>US40+IF(AND($C40=18,$L40=1),1,0)</f>
        <v/>
      </c>
      <c r="UT41">
        <f>UT40+IF(AND($C40=19,$L40=1),1,0)</f>
        <v/>
      </c>
      <c r="UU41">
        <f>UU40+IF(AND($C40=20,$L40=1),1,0)</f>
        <v/>
      </c>
      <c r="UV41">
        <f>UV40+IF(AND($C40=21,$L40=1),1,0)</f>
        <v/>
      </c>
      <c r="UW41">
        <f>UW40+IF(AND($C40=22,$L40=1),1,0)</f>
        <v/>
      </c>
      <c r="UX41">
        <f>UX40+IF(AND($C40=23,$L40=1),1,0)</f>
        <v/>
      </c>
      <c r="UY41">
        <f>UY40+IF(AND($C40=24,$L40=1),1,0)</f>
        <v/>
      </c>
      <c r="UZ41">
        <f>UZ40+IF(AND($C40=25,$L40=1),1,0)</f>
        <v/>
      </c>
      <c r="VA41">
        <f>VA40+IF(AND($C40=26,$L40=1),1,0)</f>
        <v/>
      </c>
      <c r="VB41">
        <f>VB40+IF(AND($C40=27,$L40=1),1,0)</f>
        <v/>
      </c>
      <c r="VC41">
        <f>VC40+IF(AND($C40=28,$L40=1),1,0)</f>
        <v/>
      </c>
      <c r="VD41">
        <f>VD40+IF(AND($C40=29,$L40=1),1,0)</f>
        <v/>
      </c>
      <c r="VE41">
        <f>VE40+IF(AND($C40=30,$L40=1),1,0)</f>
        <v/>
      </c>
      <c r="VF41">
        <f>VF40+IF(AND($C40=31,$L40=1),1,0)</f>
        <v/>
      </c>
      <c r="VG41">
        <f>VG40+IF(AND($C40=32,$L40=1),1,0)</f>
        <v/>
      </c>
      <c r="VH41">
        <f>VH40+IF(AND($C40=33,$L40=1),1,0)</f>
        <v/>
      </c>
      <c r="VI41">
        <f>VI40+IF(AND($C40=34,$L40=1),1,0)</f>
        <v/>
      </c>
      <c r="VJ41">
        <f>VJ40+IF(AND($C40=35,$L40=1),1,0)</f>
        <v/>
      </c>
      <c r="VK41">
        <f>VK40+IF(AND($C40=36,$L40=1),1,0)</f>
        <v/>
      </c>
      <c r="VL41">
        <f>VL40+IF(AND($C40=37,$L40=1),1,0)</f>
        <v/>
      </c>
      <c r="VM41">
        <f>VM40+IF(AND($C40=38,$L40=1),1,0)</f>
        <v/>
      </c>
      <c r="VN41">
        <f>VN40+IF(AND($C40=39,$L40=1),1,0)</f>
        <v/>
      </c>
      <c r="VO41">
        <f>VO40+IF(AND($C40=40,$L40=1),1,0)</f>
        <v/>
      </c>
      <c r="VP41">
        <f>VP40+IF(AND($C40=41,$L40=1),1,0)</f>
        <v/>
      </c>
      <c r="VQ41">
        <f>VQ40+IF(AND($C40=42,$L40=1),1,0)</f>
        <v/>
      </c>
      <c r="VR41">
        <f>VR40+IF(AND($C40=43,$L40=1),1,0)</f>
        <v/>
      </c>
      <c r="VS41">
        <f>VS40+IF(AND($C40=44,$L40=1),1,0)</f>
        <v/>
      </c>
      <c r="VT41">
        <f>VT40+IF(AND($C40=45,$L40=1),1,0)</f>
        <v/>
      </c>
      <c r="VU41">
        <f>VU40+IF(AND($C40=46,$L40=1),1,0)</f>
        <v/>
      </c>
      <c r="VV41">
        <f>VV40+IF(AND($C40=47,$L40=1),1,0)</f>
        <v/>
      </c>
      <c r="VW41">
        <f>VW40+IF(AND($C40=48,$L40=1),1,0)</f>
        <v/>
      </c>
      <c r="VX41">
        <f>VX40+IF(AND($C40=49,$L40=1),1,0)</f>
        <v/>
      </c>
      <c r="VY41">
        <f>VY40+IF(AND($C40=50,$L40=1),1,0)</f>
        <v/>
      </c>
      <c r="VZ41">
        <f>VZ40+IF(AND($C40=51,$L40=1),1,0)</f>
        <v/>
      </c>
      <c r="WA41">
        <f>WA40+IF(AND($C40=52,$L40=1),1,0)</f>
        <v/>
      </c>
      <c r="WB41">
        <f>WB40+IF(AND($C40=53,$L40=1),1,0)</f>
        <v/>
      </c>
      <c r="WC41">
        <f>WC40+IF(AND($C40=54,$L40=1),1,0)</f>
        <v/>
      </c>
      <c r="WD41">
        <f>WD40+IF(AND($C40=55,$L40=1),1,0)</f>
        <v/>
      </c>
      <c r="WE41">
        <f>WE40+IF(AND($C40=56,$L40=1),1,0)</f>
        <v/>
      </c>
      <c r="WF41">
        <f>WF40+IF(AND($C40=57,$L40=1),1,0)</f>
        <v/>
      </c>
      <c r="WG41">
        <f>WG40+IF(AND($C40=58,$L40=1),1,0)</f>
        <v/>
      </c>
      <c r="WH41">
        <f>WH40+IF(AND($C40=59,$L40=1),1,0)</f>
        <v/>
      </c>
      <c r="WI41">
        <f>WI40+IF(AND($C40=60,$L40=1),1,0)</f>
        <v/>
      </c>
      <c r="WJ41">
        <f>WJ40+IF(AND($C40=61,$L40=1),1,0)</f>
        <v/>
      </c>
      <c r="WK41">
        <f>WK40+IF(AND($C40=62,$L40=1),1,0)</f>
        <v/>
      </c>
      <c r="WL41">
        <f>WL40+IF(AND($C40=63,$L40=1),1,0)</f>
        <v/>
      </c>
      <c r="WM41">
        <f>WM40+IF(AND($C40=64,$L40=1),1,0)</f>
        <v/>
      </c>
      <c r="WN41">
        <f>WN40+IF(AND($C40=65,$L40=1),1,0)</f>
        <v/>
      </c>
      <c r="WO41">
        <f>WO40+IF(AND($C40=66,$L40=1),1,0)</f>
        <v/>
      </c>
      <c r="WP41">
        <f>WP40+IF(AND($C40=67,$L40=1),1,0)</f>
        <v/>
      </c>
      <c r="WQ41">
        <f>WQ40+IF(AND($C40=68,$L40=1),1,0)</f>
        <v/>
      </c>
      <c r="WR41">
        <f>WR40+IF(AND($C40=69,$L40=1),1,0)</f>
        <v/>
      </c>
      <c r="WS41">
        <f>WS40+IF(AND($C40=70,$L40=1),1,0)</f>
        <v/>
      </c>
      <c r="WT41">
        <f>WT40+IF(AND($C40=71,$L40=1),1,0)</f>
        <v/>
      </c>
      <c r="WU41">
        <f>WU40+IF(AND($C40=72,$L40=1),1,0)</f>
        <v/>
      </c>
      <c r="WV41">
        <f>WV40+IF(AND($C40=73,$L40=1),1,0)</f>
        <v/>
      </c>
      <c r="WW41">
        <f>WW40+IF(AND($C40=74,$L40=1),1,0)</f>
        <v/>
      </c>
      <c r="WX41">
        <f>WX40+IF(AND($C40=75,$L40=1),1,0)</f>
        <v/>
      </c>
      <c r="WY41">
        <f>WY40+IF(AND($C40=76,$L40=1),1,0)</f>
        <v/>
      </c>
      <c r="WZ41">
        <f>WZ40+IF(AND($C40=77,$L40=1),1,0)</f>
        <v/>
      </c>
      <c r="XA41">
        <f>XA40+IF(AND($C40=78,$L40=1),1,0)</f>
        <v/>
      </c>
      <c r="XB41">
        <f>XB40+IF(AND($C40=79,$L40=1),1,0)</f>
        <v/>
      </c>
      <c r="XC41">
        <f>XC40+IF(AND($C40=80,$L40=1),1,0)</f>
        <v/>
      </c>
      <c r="XD41">
        <f>XD40+IF(AND($C40=81,$L40=1),1,0)</f>
        <v/>
      </c>
      <c r="XE41">
        <f>XE40+IF(AND($C40=82,$L40=1),1,0)</f>
        <v/>
      </c>
      <c r="XF41">
        <f>XF40+IF(AND($C40=83,$L40=1),1,0)</f>
        <v/>
      </c>
      <c r="XG41">
        <f>XG40+IF(AND($C40=84,$L40=1),1,0)</f>
        <v/>
      </c>
      <c r="XH41">
        <f>XH40+IF(AND($C40=85,$L40=1),1,0)</f>
        <v/>
      </c>
      <c r="XI41">
        <f>XI40+IF(AND($C40=86,$L40=1),1,0)</f>
        <v/>
      </c>
      <c r="XJ41">
        <f>XJ40+IF(AND($C40=87,$L40=1),1,0)</f>
        <v/>
      </c>
      <c r="XK41">
        <f>XK40+IF(AND($C40=88,$L40=1),1,0)</f>
        <v/>
      </c>
      <c r="XL41">
        <f>XL40+IF(AND($C40=89,$L40=1),1,0)</f>
        <v/>
      </c>
      <c r="XM41">
        <f>XM40+IF(AND($C40=90,$L40=1),1,0)</f>
        <v/>
      </c>
      <c r="XN41">
        <f>XN40+IF(AND($C40=91,$L40=1),1,0)</f>
        <v/>
      </c>
      <c r="XO41">
        <f>XO40+IF(AND($C40=92,$L40=1),1,0)</f>
        <v/>
      </c>
      <c r="XP41">
        <f>XP40+IF(AND($C40=93,$L40=1),1,0)</f>
        <v/>
      </c>
      <c r="XQ41">
        <f>XQ40+IF(AND($C40=94,$L40=1),1,0)</f>
        <v/>
      </c>
      <c r="XR41">
        <f>XR40+IF(AND($C40=95,$L40=1),1,0)</f>
        <v/>
      </c>
      <c r="XS41">
        <f>XS40+IF(AND($C40=96,$L40=1),1,0)</f>
        <v/>
      </c>
      <c r="XT41">
        <f>XT40+IF(AND($C40=97,$L40=1),1,0)</f>
        <v/>
      </c>
      <c r="XU41">
        <f>XU40+IF(AND($C40=98,$L40=1),1,0)</f>
        <v/>
      </c>
      <c r="XV41">
        <f>XV40+IF(AND($C40=99,$L40=1),1,0)</f>
        <v/>
      </c>
      <c r="XW41">
        <f>XW40+IF(AND($C40=100,$L40=1),1,0)</f>
        <v/>
      </c>
      <c r="XX41">
        <f>XX40+IF(AND($C40=101,$L40=1),1,0)</f>
        <v/>
      </c>
      <c r="XY41">
        <f>XY40+IF(AND($C40=102,$L40=1),1,0)</f>
        <v/>
      </c>
      <c r="XZ41">
        <f>XZ40+IF(AND($C40=103,$L40=1),1,0)</f>
        <v/>
      </c>
      <c r="YA41">
        <f>YA40+IF(AND($C40=104,$L40=1),1,0)</f>
        <v/>
      </c>
      <c r="YB41">
        <f>YB40+IF(AND($C40=105,$L40=1),1,0)</f>
        <v/>
      </c>
      <c r="YC41">
        <f>YC40+IF(AND($C40=106,$L40=1),1,0)</f>
        <v/>
      </c>
      <c r="YD41">
        <f>YD40+IF(AND($C40=107,$L40=1),1,0)</f>
        <v/>
      </c>
      <c r="YE41">
        <f>YE40+IF(AND($C40=108,$L40=1),1,0)</f>
        <v/>
      </c>
      <c r="YF41">
        <f>YF40+IF(AND($C40=109,$L40=1),1,0)</f>
        <v/>
      </c>
      <c r="YG41">
        <f>YG40+IF(AND($C40=110,$L40=1),1,0)</f>
        <v/>
      </c>
      <c r="YH41">
        <f>YH40+IF(AND($C40=111,$L40=1),1,0)</f>
        <v/>
      </c>
      <c r="YI41">
        <f>YI40+IF(AND($C40=112,$L40=1),1,0)</f>
        <v/>
      </c>
      <c r="YJ41">
        <f>YJ40+IF(AND($C40=113,$L40=1),1,0)</f>
        <v/>
      </c>
      <c r="YK41">
        <f>YK40+IF(AND($C40=114,$L40=1),1,0)</f>
        <v/>
      </c>
      <c r="YL41">
        <f>YL40+IF(AND($C40=115,$L40=1),1,0)</f>
        <v/>
      </c>
      <c r="YM41">
        <f>YM40+IF(AND($C40=116,$L40=1),1,0)</f>
        <v/>
      </c>
      <c r="YN41">
        <f>YN40+IF(AND($C40=117,$L40=1),1,0)</f>
        <v/>
      </c>
      <c r="YO41">
        <f>YO40+IF(AND($C40=118,$L40=1),1,0)</f>
        <v/>
      </c>
      <c r="YP41">
        <f>YP40+IF(AND($C40=119,$L40=1),1,0)</f>
        <v/>
      </c>
      <c r="YQ41">
        <f>YQ40+IF(AND($C40=120,$L40=1),1,0)</f>
        <v/>
      </c>
      <c r="YR41">
        <f>YR40+IF(AND($C40=121,$L40=1),1,0)</f>
        <v/>
      </c>
      <c r="YS41">
        <f>YS40+IF(AND($C40=122,$L40=1),1,0)</f>
        <v/>
      </c>
      <c r="YT41">
        <f>YT40+IF(AND($C40=123,$L40=1),1,0)</f>
        <v/>
      </c>
      <c r="YU41">
        <f>YU40+IF(AND($C40=124,$L40=1),1,0)</f>
        <v/>
      </c>
      <c r="YV41">
        <f>YV40+IF(AND($C40=125,$L40=1),1,0)</f>
        <v/>
      </c>
      <c r="YW41">
        <f>YW40+IF(AND($C40=126,$L40=1),1,0)</f>
        <v/>
      </c>
      <c r="YX41">
        <f>YX40+IF(AND($C40=127,$L40=1),1,0)</f>
        <v/>
      </c>
      <c r="YY41">
        <f>YY40+IF(AND($C40=128,$L40=1),1,0)</f>
        <v/>
      </c>
      <c r="YZ41">
        <f>YZ40+IF(AND($C40=129,$L40=1),1,0)</f>
        <v/>
      </c>
      <c r="ZA41">
        <f>ZA40+IF(AND($C40=130,$L40=1),1,0)</f>
        <v/>
      </c>
      <c r="ZB41">
        <f>ZB40+IF(AND($C40=131,$L40=1),1,0)</f>
        <v/>
      </c>
      <c r="ZC41">
        <f>ZC40+IF(AND($C40=132,$L40=1),1,0)</f>
        <v/>
      </c>
      <c r="ZD41">
        <f>ZD40+IF(AND($C40=133,$L40=1),1,0)</f>
        <v/>
      </c>
      <c r="ZE41">
        <f>ZE40+IF(AND($C40=134,$L40=1),1,0)</f>
        <v/>
      </c>
      <c r="ZF41">
        <f>ZF40+IF(AND($C40=135,$L40=1),1,0)</f>
        <v/>
      </c>
      <c r="ZG41">
        <f>ZG40+IF(AND($C40=136,$L40=1),1,0)</f>
        <v/>
      </c>
      <c r="ZH41">
        <f>ZH40+IF(AND($C40=137,$L40=1),1,0)</f>
        <v/>
      </c>
      <c r="ZI41">
        <f>ZI40+IF(AND($C40=138,$L40=1),1,0)</f>
        <v/>
      </c>
      <c r="ZJ41">
        <f>ZJ40+IF(AND($C40=139,$L40=1),1,0)</f>
        <v/>
      </c>
      <c r="ZK41">
        <f>ZK40+IF(AND($C40=140,$L40=1),1,0)</f>
        <v/>
      </c>
      <c r="ZL41">
        <f>ZL40+IF(AND($C40=141,$L40=1),1,0)</f>
        <v/>
      </c>
      <c r="ZM41">
        <f>ZM40+IF(AND($C40=142,$L40=1),1,0)</f>
        <v/>
      </c>
      <c r="ZN41">
        <f>ZN40+IF(AND($C40=143,$L40=1),1,0)</f>
        <v/>
      </c>
      <c r="ZO41">
        <f>ZO40+IF(AND($C40=144,$L40=1),1,0)</f>
        <v/>
      </c>
    </row>
    <row r="42">
      <c r="A42" t="n">
        <v>40</v>
      </c>
      <c r="B42">
        <f>IF(MIN(BH42:CZ42)&gt;=1000000,0,MATCH(MIN(BH42:CZ42),BH42:CZ42,0))</f>
        <v/>
      </c>
      <c r="C42">
        <f>IF(MIN(OF42:TS42)&gt;=1000000,0,MATCH(MIN(OF42:TS42),OF42:TS42,0))</f>
        <v/>
      </c>
      <c r="D42">
        <f>IF(C42&gt;0,INDEX('計算A'!$D$5:$EQ$5,C42),0)</f>
        <v/>
      </c>
      <c r="E42">
        <f>IF(B42=0,0,INDEX('計算A'!$IQ$10:$IQ$54,B42))</f>
        <v/>
      </c>
      <c r="F42">
        <f>IF(B42=0,0,INDEX('計算A'!$IP$10:$IP$54,B42))</f>
        <v/>
      </c>
      <c r="G42">
        <f>IF(AND(C42&gt;0,E42&gt;0),IF(AND(INDEX('計算A'!$D$106:$EQ$106,C42)=1,INDEX($IQ42:$OD42,C42)=1),C42+1,0),0)</f>
        <v/>
      </c>
      <c r="H42">
        <f>IF(B42=0,0,INDEX('計算A'!$IW$10:$IW$54,B42))</f>
        <v/>
      </c>
      <c r="I42">
        <f>IF(B42=0,0,MAX(0,INDEX('計算A'!$IT$10:$IT$54,B42)))</f>
        <v/>
      </c>
      <c r="J42">
        <f>IF(I42=0,0,INDEX('計算A'!$D$2:$EQ$2,I42))</f>
        <v/>
      </c>
      <c r="K42">
        <f>IF(I42=0,0,INDEX('計算A'!$D$3:$EQ$3,I42))</f>
        <v/>
      </c>
      <c r="L42">
        <f>IF(B42=0,0,INDEX('計算A'!$IX$10:$IX$54,B42))</f>
        <v/>
      </c>
      <c r="N42">
        <f>MAX(N41,IF($B41=1,1,0))</f>
        <v/>
      </c>
      <c r="O42">
        <f>MAX(O41,IF($B41=2,1,0))</f>
        <v/>
      </c>
      <c r="P42">
        <f>MAX(P41,IF($B41=3,1,0))</f>
        <v/>
      </c>
      <c r="Q42">
        <f>MAX(Q41,IF($B41=4,1,0))</f>
        <v/>
      </c>
      <c r="R42">
        <f>MAX(R41,IF($B41=5,1,0))</f>
        <v/>
      </c>
      <c r="S42">
        <f>MAX(S41,IF($B41=6,1,0))</f>
        <v/>
      </c>
      <c r="T42">
        <f>MAX(T41,IF($B41=7,1,0))</f>
        <v/>
      </c>
      <c r="U42">
        <f>MAX(U41,IF($B41=8,1,0))</f>
        <v/>
      </c>
      <c r="V42">
        <f>MAX(V41,IF($B41=9,1,0))</f>
        <v/>
      </c>
      <c r="W42">
        <f>MAX(W41,IF($B41=10,1,0))</f>
        <v/>
      </c>
      <c r="X42">
        <f>MAX(X41,IF($B41=11,1,0))</f>
        <v/>
      </c>
      <c r="Y42">
        <f>MAX(Y41,IF($B41=12,1,0))</f>
        <v/>
      </c>
      <c r="Z42">
        <f>MAX(Z41,IF($B41=13,1,0))</f>
        <v/>
      </c>
      <c r="AA42">
        <f>MAX(AA41,IF($B41=14,1,0))</f>
        <v/>
      </c>
      <c r="AB42">
        <f>MAX(AB41,IF($B41=15,1,0))</f>
        <v/>
      </c>
      <c r="AC42">
        <f>MAX(AC41,IF($B41=16,1,0))</f>
        <v/>
      </c>
      <c r="AD42">
        <f>MAX(AD41,IF($B41=17,1,0))</f>
        <v/>
      </c>
      <c r="AE42">
        <f>MAX(AE41,IF($B41=18,1,0))</f>
        <v/>
      </c>
      <c r="AF42">
        <f>MAX(AF41,IF($B41=19,1,0))</f>
        <v/>
      </c>
      <c r="AG42">
        <f>MAX(AG41,IF($B41=20,1,0))</f>
        <v/>
      </c>
      <c r="AH42">
        <f>MAX(AH41,IF($B41=21,1,0))</f>
        <v/>
      </c>
      <c r="AI42">
        <f>MAX(AI41,IF($B41=22,1,0))</f>
        <v/>
      </c>
      <c r="AJ42">
        <f>MAX(AJ41,IF($B41=23,1,0))</f>
        <v/>
      </c>
      <c r="AK42">
        <f>MAX(AK41,IF($B41=24,1,0))</f>
        <v/>
      </c>
      <c r="AL42">
        <f>MAX(AL41,IF($B41=25,1,0))</f>
        <v/>
      </c>
      <c r="AM42">
        <f>MAX(AM41,IF($B41=26,1,0))</f>
        <v/>
      </c>
      <c r="AN42">
        <f>MAX(AN41,IF($B41=27,1,0))</f>
        <v/>
      </c>
      <c r="AO42">
        <f>MAX(AO41,IF($B41=28,1,0))</f>
        <v/>
      </c>
      <c r="AP42">
        <f>MAX(AP41,IF($B41=29,1,0))</f>
        <v/>
      </c>
      <c r="AQ42">
        <f>MAX(AQ41,IF($B41=30,1,0))</f>
        <v/>
      </c>
      <c r="AR42">
        <f>MAX(AR41,IF($B41=31,1,0))</f>
        <v/>
      </c>
      <c r="AS42">
        <f>MAX(AS41,IF($B41=32,1,0))</f>
        <v/>
      </c>
      <c r="AT42">
        <f>MAX(AT41,IF($B41=33,1,0))</f>
        <v/>
      </c>
      <c r="AU42">
        <f>MAX(AU41,IF($B41=34,1,0))</f>
        <v/>
      </c>
      <c r="AV42">
        <f>MAX(AV41,IF($B41=35,1,0))</f>
        <v/>
      </c>
      <c r="AW42">
        <f>MAX(AW41,IF($B41=36,1,0))</f>
        <v/>
      </c>
      <c r="AX42">
        <f>MAX(AX41,IF($B41=37,1,0))</f>
        <v/>
      </c>
      <c r="AY42">
        <f>MAX(AY41,IF($B41=38,1,0))</f>
        <v/>
      </c>
      <c r="AZ42">
        <f>MAX(AZ41,IF($B41=39,1,0))</f>
        <v/>
      </c>
      <c r="BA42">
        <f>MAX(BA41,IF($B41=40,1,0))</f>
        <v/>
      </c>
      <c r="BB42">
        <f>MAX(BB41,IF($B41=41,1,0))</f>
        <v/>
      </c>
      <c r="BC42">
        <f>MAX(BC41,IF($B41=42,1,0))</f>
        <v/>
      </c>
      <c r="BD42">
        <f>MAX(BD41,IF($B41=43,1,0))</f>
        <v/>
      </c>
      <c r="BE42">
        <f>MAX(BE41,IF($B41=44,1,0))</f>
        <v/>
      </c>
      <c r="BF42">
        <f>MAX(BF41,IF($B41=45,1,0))</f>
        <v/>
      </c>
      <c r="BH42">
        <f>IF(N42=1,1000000,IF('計算A'!$IT$10&gt;0,0,500000)+IF('計算A'!$IQ$10=2,SUMPRODUCT('計算A'!$D$60:$EQ$60,$DB42:$IO42,$IQ42:$OD42),SUMPRODUCT('計算A'!$D$60:$EQ$60,$DB42:$IO42))*1000+1)</f>
        <v/>
      </c>
      <c r="BI42">
        <f>IF(O42=1,1000000,IF('計算A'!$IT$11&gt;0,0,500000)+IF('計算A'!$IQ$11=2,SUMPRODUCT('計算A'!$D$61:$EQ$61,$DB42:$IO42,$IQ42:$OD42),SUMPRODUCT('計算A'!$D$61:$EQ$61,$DB42:$IO42))*1000+2)</f>
        <v/>
      </c>
      <c r="BJ42">
        <f>IF(P42=1,1000000,IF('計算A'!$IT$12&gt;0,0,500000)+IF('計算A'!$IQ$12=2,SUMPRODUCT('計算A'!$D$62:$EQ$62,$DB42:$IO42,$IQ42:$OD42),SUMPRODUCT('計算A'!$D$62:$EQ$62,$DB42:$IO42))*1000+3)</f>
        <v/>
      </c>
      <c r="BK42">
        <f>IF(Q42=1,1000000,IF('計算A'!$IT$13&gt;0,0,500000)+IF('計算A'!$IQ$13=2,SUMPRODUCT('計算A'!$D$63:$EQ$63,$DB42:$IO42,$IQ42:$OD42),SUMPRODUCT('計算A'!$D$63:$EQ$63,$DB42:$IO42))*1000+4)</f>
        <v/>
      </c>
      <c r="BL42">
        <f>IF(R42=1,1000000,IF('計算A'!$IT$14&gt;0,0,500000)+IF('計算A'!$IQ$14=2,SUMPRODUCT('計算A'!$D$64:$EQ$64,$DB42:$IO42,$IQ42:$OD42),SUMPRODUCT('計算A'!$D$64:$EQ$64,$DB42:$IO42))*1000+5)</f>
        <v/>
      </c>
      <c r="BM42">
        <f>IF(S42=1,1000000,IF('計算A'!$IT$15&gt;0,0,500000)+IF('計算A'!$IQ$15=2,SUMPRODUCT('計算A'!$D$65:$EQ$65,$DB42:$IO42,$IQ42:$OD42),SUMPRODUCT('計算A'!$D$65:$EQ$65,$DB42:$IO42))*1000+6)</f>
        <v/>
      </c>
      <c r="BN42">
        <f>IF(T42=1,1000000,IF('計算A'!$IT$16&gt;0,0,500000)+IF('計算A'!$IQ$16=2,SUMPRODUCT('計算A'!$D$66:$EQ$66,$DB42:$IO42,$IQ42:$OD42),SUMPRODUCT('計算A'!$D$66:$EQ$66,$DB42:$IO42))*1000+7)</f>
        <v/>
      </c>
      <c r="BO42">
        <f>IF(U42=1,1000000,IF('計算A'!$IT$17&gt;0,0,500000)+IF('計算A'!$IQ$17=2,SUMPRODUCT('計算A'!$D$67:$EQ$67,$DB42:$IO42,$IQ42:$OD42),SUMPRODUCT('計算A'!$D$67:$EQ$67,$DB42:$IO42))*1000+8)</f>
        <v/>
      </c>
      <c r="BP42">
        <f>IF(V42=1,1000000,IF('計算A'!$IT$18&gt;0,0,500000)+IF('計算A'!$IQ$18=2,SUMPRODUCT('計算A'!$D$68:$EQ$68,$DB42:$IO42,$IQ42:$OD42),SUMPRODUCT('計算A'!$D$68:$EQ$68,$DB42:$IO42))*1000+9)</f>
        <v/>
      </c>
      <c r="BQ42">
        <f>IF(W42=1,1000000,IF('計算A'!$IT$19&gt;0,0,500000)+IF('計算A'!$IQ$19=2,SUMPRODUCT('計算A'!$D$69:$EQ$69,$DB42:$IO42,$IQ42:$OD42),SUMPRODUCT('計算A'!$D$69:$EQ$69,$DB42:$IO42))*1000+10)</f>
        <v/>
      </c>
      <c r="BR42">
        <f>IF(X42=1,1000000,IF('計算A'!$IT$20&gt;0,0,500000)+IF('計算A'!$IQ$20=2,SUMPRODUCT('計算A'!$D$70:$EQ$70,$DB42:$IO42,$IQ42:$OD42),SUMPRODUCT('計算A'!$D$70:$EQ$70,$DB42:$IO42))*1000+11)</f>
        <v/>
      </c>
      <c r="BS42">
        <f>IF(Y42=1,1000000,IF('計算A'!$IT$21&gt;0,0,500000)+IF('計算A'!$IQ$21=2,SUMPRODUCT('計算A'!$D$71:$EQ$71,$DB42:$IO42,$IQ42:$OD42),SUMPRODUCT('計算A'!$D$71:$EQ$71,$DB42:$IO42))*1000+12)</f>
        <v/>
      </c>
      <c r="BT42">
        <f>IF(Z42=1,1000000,IF('計算A'!$IT$22&gt;0,0,500000)+IF('計算A'!$IQ$22=2,SUMPRODUCT('計算A'!$D$72:$EQ$72,$DB42:$IO42,$IQ42:$OD42),SUMPRODUCT('計算A'!$D$72:$EQ$72,$DB42:$IO42))*1000+13)</f>
        <v/>
      </c>
      <c r="BU42">
        <f>IF(AA42=1,1000000,IF('計算A'!$IT$23&gt;0,0,500000)+IF('計算A'!$IQ$23=2,SUMPRODUCT('計算A'!$D$73:$EQ$73,$DB42:$IO42,$IQ42:$OD42),SUMPRODUCT('計算A'!$D$73:$EQ$73,$DB42:$IO42))*1000+14)</f>
        <v/>
      </c>
      <c r="BV42">
        <f>IF(AB42=1,1000000,IF('計算A'!$IT$24&gt;0,0,500000)+IF('計算A'!$IQ$24=2,SUMPRODUCT('計算A'!$D$74:$EQ$74,$DB42:$IO42,$IQ42:$OD42),SUMPRODUCT('計算A'!$D$74:$EQ$74,$DB42:$IO42))*1000+15)</f>
        <v/>
      </c>
      <c r="BW42">
        <f>IF(AC42=1,1000000,IF('計算A'!$IT$25&gt;0,0,500000)+IF('計算A'!$IQ$25=2,SUMPRODUCT('計算A'!$D$75:$EQ$75,$DB42:$IO42,$IQ42:$OD42),SUMPRODUCT('計算A'!$D$75:$EQ$75,$DB42:$IO42))*1000+16)</f>
        <v/>
      </c>
      <c r="BX42">
        <f>IF(AD42=1,1000000,IF('計算A'!$IT$26&gt;0,0,500000)+IF('計算A'!$IQ$26=2,SUMPRODUCT('計算A'!$D$76:$EQ$76,$DB42:$IO42,$IQ42:$OD42),SUMPRODUCT('計算A'!$D$76:$EQ$76,$DB42:$IO42))*1000+17)</f>
        <v/>
      </c>
      <c r="BY42">
        <f>IF(AE42=1,1000000,IF('計算A'!$IT$27&gt;0,0,500000)+IF('計算A'!$IQ$27=2,SUMPRODUCT('計算A'!$D$77:$EQ$77,$DB42:$IO42,$IQ42:$OD42),SUMPRODUCT('計算A'!$D$77:$EQ$77,$DB42:$IO42))*1000+18)</f>
        <v/>
      </c>
      <c r="BZ42">
        <f>IF(AF42=1,1000000,IF('計算A'!$IT$28&gt;0,0,500000)+IF('計算A'!$IQ$28=2,SUMPRODUCT('計算A'!$D$78:$EQ$78,$DB42:$IO42,$IQ42:$OD42),SUMPRODUCT('計算A'!$D$78:$EQ$78,$DB42:$IO42))*1000+19)</f>
        <v/>
      </c>
      <c r="CA42">
        <f>IF(AG42=1,1000000,IF('計算A'!$IT$29&gt;0,0,500000)+IF('計算A'!$IQ$29=2,SUMPRODUCT('計算A'!$D$79:$EQ$79,$DB42:$IO42,$IQ42:$OD42),SUMPRODUCT('計算A'!$D$79:$EQ$79,$DB42:$IO42))*1000+20)</f>
        <v/>
      </c>
      <c r="CB42">
        <f>IF(AH42=1,1000000,IF('計算A'!$IT$30&gt;0,0,500000)+IF('計算A'!$IQ$30=2,SUMPRODUCT('計算A'!$D$80:$EQ$80,$DB42:$IO42,$IQ42:$OD42),SUMPRODUCT('計算A'!$D$80:$EQ$80,$DB42:$IO42))*1000+21)</f>
        <v/>
      </c>
      <c r="CC42">
        <f>IF(AI42=1,1000000,IF('計算A'!$IT$31&gt;0,0,500000)+IF('計算A'!$IQ$31=2,SUMPRODUCT('計算A'!$D$81:$EQ$81,$DB42:$IO42,$IQ42:$OD42),SUMPRODUCT('計算A'!$D$81:$EQ$81,$DB42:$IO42))*1000+22)</f>
        <v/>
      </c>
      <c r="CD42">
        <f>IF(AJ42=1,1000000,IF('計算A'!$IT$32&gt;0,0,500000)+IF('計算A'!$IQ$32=2,SUMPRODUCT('計算A'!$D$82:$EQ$82,$DB42:$IO42,$IQ42:$OD42),SUMPRODUCT('計算A'!$D$82:$EQ$82,$DB42:$IO42))*1000+23)</f>
        <v/>
      </c>
      <c r="CE42">
        <f>IF(AK42=1,1000000,IF('計算A'!$IT$33&gt;0,0,500000)+IF('計算A'!$IQ$33=2,SUMPRODUCT('計算A'!$D$83:$EQ$83,$DB42:$IO42,$IQ42:$OD42),SUMPRODUCT('計算A'!$D$83:$EQ$83,$DB42:$IO42))*1000+24)</f>
        <v/>
      </c>
      <c r="CF42">
        <f>IF(AL42=1,1000000,IF('計算A'!$IT$34&gt;0,0,500000)+IF('計算A'!$IQ$34=2,SUMPRODUCT('計算A'!$D$84:$EQ$84,$DB42:$IO42,$IQ42:$OD42),SUMPRODUCT('計算A'!$D$84:$EQ$84,$DB42:$IO42))*1000+25)</f>
        <v/>
      </c>
      <c r="CG42">
        <f>IF(AM42=1,1000000,IF('計算A'!$IT$35&gt;0,0,500000)+IF('計算A'!$IQ$35=2,SUMPRODUCT('計算A'!$D$85:$EQ$85,$DB42:$IO42,$IQ42:$OD42),SUMPRODUCT('計算A'!$D$85:$EQ$85,$DB42:$IO42))*1000+26)</f>
        <v/>
      </c>
      <c r="CH42">
        <f>IF(AN42=1,1000000,IF('計算A'!$IT$36&gt;0,0,500000)+IF('計算A'!$IQ$36=2,SUMPRODUCT('計算A'!$D$86:$EQ$86,$DB42:$IO42,$IQ42:$OD42),SUMPRODUCT('計算A'!$D$86:$EQ$86,$DB42:$IO42))*1000+27)</f>
        <v/>
      </c>
      <c r="CI42">
        <f>IF(AO42=1,1000000,IF('計算A'!$IT$37&gt;0,0,500000)+IF('計算A'!$IQ$37=2,SUMPRODUCT('計算A'!$D$87:$EQ$87,$DB42:$IO42,$IQ42:$OD42),SUMPRODUCT('計算A'!$D$87:$EQ$87,$DB42:$IO42))*1000+28)</f>
        <v/>
      </c>
      <c r="CJ42">
        <f>IF(AP42=1,1000000,IF('計算A'!$IT$38&gt;0,0,500000)+IF('計算A'!$IQ$38=2,SUMPRODUCT('計算A'!$D$88:$EQ$88,$DB42:$IO42,$IQ42:$OD42),SUMPRODUCT('計算A'!$D$88:$EQ$88,$DB42:$IO42))*1000+29)</f>
        <v/>
      </c>
      <c r="CK42">
        <f>IF(AQ42=1,1000000,IF('計算A'!$IT$39&gt;0,0,500000)+IF('計算A'!$IQ$39=2,SUMPRODUCT('計算A'!$D$89:$EQ$89,$DB42:$IO42,$IQ42:$OD42),SUMPRODUCT('計算A'!$D$89:$EQ$89,$DB42:$IO42))*1000+30)</f>
        <v/>
      </c>
      <c r="CL42">
        <f>IF(AR42=1,1000000,IF('計算A'!$IT$40&gt;0,0,500000)+IF('計算A'!$IQ$40=2,SUMPRODUCT('計算A'!$D$90:$EQ$90,$DB42:$IO42,$IQ42:$OD42),SUMPRODUCT('計算A'!$D$90:$EQ$90,$DB42:$IO42))*1000+31)</f>
        <v/>
      </c>
      <c r="CM42">
        <f>IF(AS42=1,1000000,IF('計算A'!$IT$41&gt;0,0,500000)+IF('計算A'!$IQ$41=2,SUMPRODUCT('計算A'!$D$91:$EQ$91,$DB42:$IO42,$IQ42:$OD42),SUMPRODUCT('計算A'!$D$91:$EQ$91,$DB42:$IO42))*1000+32)</f>
        <v/>
      </c>
      <c r="CN42">
        <f>IF(AT42=1,1000000,IF('計算A'!$IT$42&gt;0,0,500000)+IF('計算A'!$IQ$42=2,SUMPRODUCT('計算A'!$D$92:$EQ$92,$DB42:$IO42,$IQ42:$OD42),SUMPRODUCT('計算A'!$D$92:$EQ$92,$DB42:$IO42))*1000+33)</f>
        <v/>
      </c>
      <c r="CO42">
        <f>IF(AU42=1,1000000,IF('計算A'!$IT$43&gt;0,0,500000)+IF('計算A'!$IQ$43=2,SUMPRODUCT('計算A'!$D$93:$EQ$93,$DB42:$IO42,$IQ42:$OD42),SUMPRODUCT('計算A'!$D$93:$EQ$93,$DB42:$IO42))*1000+34)</f>
        <v/>
      </c>
      <c r="CP42">
        <f>IF(AV42=1,1000000,IF('計算A'!$IT$44&gt;0,0,500000)+IF('計算A'!$IQ$44=2,SUMPRODUCT('計算A'!$D$94:$EQ$94,$DB42:$IO42,$IQ42:$OD42),SUMPRODUCT('計算A'!$D$94:$EQ$94,$DB42:$IO42))*1000+35)</f>
        <v/>
      </c>
      <c r="CQ42">
        <f>IF(AW42=1,1000000,IF('計算A'!$IT$45&gt;0,0,500000)+IF('計算A'!$IQ$45=2,SUMPRODUCT('計算A'!$D$95:$EQ$95,$DB42:$IO42,$IQ42:$OD42),SUMPRODUCT('計算A'!$D$95:$EQ$95,$DB42:$IO42))*1000+36)</f>
        <v/>
      </c>
      <c r="CR42">
        <f>IF(AX42=1,1000000,IF('計算A'!$IT$46&gt;0,0,500000)+IF('計算A'!$IQ$46=2,SUMPRODUCT('計算A'!$D$96:$EQ$96,$DB42:$IO42,$IQ42:$OD42),SUMPRODUCT('計算A'!$D$96:$EQ$96,$DB42:$IO42))*1000+37)</f>
        <v/>
      </c>
      <c r="CS42">
        <f>IF(AY42=1,1000000,IF('計算A'!$IT$47&gt;0,0,500000)+IF('計算A'!$IQ$47=2,SUMPRODUCT('計算A'!$D$97:$EQ$97,$DB42:$IO42,$IQ42:$OD42),SUMPRODUCT('計算A'!$D$97:$EQ$97,$DB42:$IO42))*1000+38)</f>
        <v/>
      </c>
      <c r="CT42">
        <f>IF(AZ42=1,1000000,IF('計算A'!$IT$48&gt;0,0,500000)+IF('計算A'!$IQ$48=2,SUMPRODUCT('計算A'!$D$98:$EQ$98,$DB42:$IO42,$IQ42:$OD42),SUMPRODUCT('計算A'!$D$98:$EQ$98,$DB42:$IO42))*1000+39)</f>
        <v/>
      </c>
      <c r="CU42">
        <f>IF(BA42=1,1000000,IF('計算A'!$IT$49&gt;0,0,500000)+IF('計算A'!$IQ$49=2,SUMPRODUCT('計算A'!$D$99:$EQ$99,$DB42:$IO42,$IQ42:$OD42),SUMPRODUCT('計算A'!$D$99:$EQ$99,$DB42:$IO42))*1000+40)</f>
        <v/>
      </c>
      <c r="CV42">
        <f>IF(BB42=1,1000000,IF('計算A'!$IT$50&gt;0,0,500000)+IF('計算A'!$IQ$50=2,SUMPRODUCT('計算A'!$D$100:$EQ$100,$DB42:$IO42,$IQ42:$OD42),SUMPRODUCT('計算A'!$D$100:$EQ$100,$DB42:$IO42))*1000+41)</f>
        <v/>
      </c>
      <c r="CW42">
        <f>IF(BC42=1,1000000,IF('計算A'!$IT$51&gt;0,0,500000)+IF('計算A'!$IQ$51=2,SUMPRODUCT('計算A'!$D$101:$EQ$101,$DB42:$IO42,$IQ42:$OD42),SUMPRODUCT('計算A'!$D$101:$EQ$101,$DB42:$IO42))*1000+42)</f>
        <v/>
      </c>
      <c r="CX42">
        <f>IF(BD42=1,1000000,IF('計算A'!$IT$52&gt;0,0,500000)+IF('計算A'!$IQ$52=2,SUMPRODUCT('計算A'!$D$102:$EQ$102,$DB42:$IO42,$IQ42:$OD42),SUMPRODUCT('計算A'!$D$102:$EQ$102,$DB42:$IO42))*1000+43)</f>
        <v/>
      </c>
      <c r="CY42">
        <f>IF(BE42=1,1000000,IF('計算A'!$IT$53&gt;0,0,500000)+IF('計算A'!$IQ$53=2,SUMPRODUCT('計算A'!$D$103:$EQ$103,$DB42:$IO42,$IQ42:$OD42),SUMPRODUCT('計算A'!$D$103:$EQ$103,$DB42:$IO42))*1000+44)</f>
        <v/>
      </c>
      <c r="CZ42">
        <f>IF(BF42=1,1000000,IF('計算A'!$IT$54&gt;0,0,500000)+IF('計算A'!$IQ$54=2,SUMPRODUCT('計算A'!$D$104:$EQ$104,$DB42:$IO42,$IQ42:$OD42),SUMPRODUCT('計算A'!$D$104:$EQ$104,$DB42:$IO42))*1000+45)</f>
        <v/>
      </c>
      <c r="DB42">
        <f>DB41*IF(OR($C41=1,$G41=1),0,1)</f>
        <v/>
      </c>
      <c r="DC42">
        <f>DC41*IF(OR($C41=2,$G41=2),0,1)</f>
        <v/>
      </c>
      <c r="DD42">
        <f>DD41*IF(OR($C41=3,$G41=3),0,1)</f>
        <v/>
      </c>
      <c r="DE42">
        <f>DE41*IF(OR($C41=4,$G41=4),0,1)</f>
        <v/>
      </c>
      <c r="DF42">
        <f>DF41*IF(OR($C41=5,$G41=5),0,1)</f>
        <v/>
      </c>
      <c r="DG42">
        <f>DG41*IF(OR($C41=6,$G41=6),0,1)</f>
        <v/>
      </c>
      <c r="DH42">
        <f>DH41*IF(OR($C41=7,$G41=7),0,1)</f>
        <v/>
      </c>
      <c r="DI42">
        <f>DI41*IF(OR($C41=8,$G41=8),0,1)</f>
        <v/>
      </c>
      <c r="DJ42">
        <f>DJ41*IF(OR($C41=9,$G41=9),0,1)</f>
        <v/>
      </c>
      <c r="DK42">
        <f>DK41*IF(OR($C41=10,$G41=10),0,1)</f>
        <v/>
      </c>
      <c r="DL42">
        <f>DL41*IF(OR($C41=11,$G41=11),0,1)</f>
        <v/>
      </c>
      <c r="DM42">
        <f>DM41*IF(OR($C41=12,$G41=12),0,1)</f>
        <v/>
      </c>
      <c r="DN42">
        <f>DN41*IF(OR($C41=13,$G41=13),0,1)</f>
        <v/>
      </c>
      <c r="DO42">
        <f>DO41*IF(OR($C41=14,$G41=14),0,1)</f>
        <v/>
      </c>
      <c r="DP42">
        <f>DP41*IF(OR($C41=15,$G41=15),0,1)</f>
        <v/>
      </c>
      <c r="DQ42">
        <f>DQ41*IF(OR($C41=16,$G41=16),0,1)</f>
        <v/>
      </c>
      <c r="DR42">
        <f>DR41*IF(OR($C41=17,$G41=17),0,1)</f>
        <v/>
      </c>
      <c r="DS42">
        <f>DS41*IF(OR($C41=18,$G41=18),0,1)</f>
        <v/>
      </c>
      <c r="DT42">
        <f>DT41*IF(OR($C41=19,$G41=19),0,1)</f>
        <v/>
      </c>
      <c r="DU42">
        <f>DU41*IF(OR($C41=20,$G41=20),0,1)</f>
        <v/>
      </c>
      <c r="DV42">
        <f>DV41*IF(OR($C41=21,$G41=21),0,1)</f>
        <v/>
      </c>
      <c r="DW42">
        <f>DW41*IF(OR($C41=22,$G41=22),0,1)</f>
        <v/>
      </c>
      <c r="DX42">
        <f>DX41*IF(OR($C41=23,$G41=23),0,1)</f>
        <v/>
      </c>
      <c r="DY42">
        <f>DY41*IF(OR($C41=24,$G41=24),0,1)</f>
        <v/>
      </c>
      <c r="DZ42">
        <f>DZ41*IF(OR($C41=25,$G41=25),0,1)</f>
        <v/>
      </c>
      <c r="EA42">
        <f>EA41*IF(OR($C41=26,$G41=26),0,1)</f>
        <v/>
      </c>
      <c r="EB42">
        <f>EB41*IF(OR($C41=27,$G41=27),0,1)</f>
        <v/>
      </c>
      <c r="EC42">
        <f>EC41*IF(OR($C41=28,$G41=28),0,1)</f>
        <v/>
      </c>
      <c r="ED42">
        <f>ED41*IF(OR($C41=29,$G41=29),0,1)</f>
        <v/>
      </c>
      <c r="EE42">
        <f>EE41*IF(OR($C41=30,$G41=30),0,1)</f>
        <v/>
      </c>
      <c r="EF42">
        <f>EF41*IF(OR($C41=31,$G41=31),0,1)</f>
        <v/>
      </c>
      <c r="EG42">
        <f>EG41*IF(OR($C41=32,$G41=32),0,1)</f>
        <v/>
      </c>
      <c r="EH42">
        <f>EH41*IF(OR($C41=33,$G41=33),0,1)</f>
        <v/>
      </c>
      <c r="EI42">
        <f>EI41*IF(OR($C41=34,$G41=34),0,1)</f>
        <v/>
      </c>
      <c r="EJ42">
        <f>EJ41*IF(OR($C41=35,$G41=35),0,1)</f>
        <v/>
      </c>
      <c r="EK42">
        <f>EK41*IF(OR($C41=36,$G41=36),0,1)</f>
        <v/>
      </c>
      <c r="EL42">
        <f>EL41*IF(OR($C41=37,$G41=37),0,1)</f>
        <v/>
      </c>
      <c r="EM42">
        <f>EM41*IF(OR($C41=38,$G41=38),0,1)</f>
        <v/>
      </c>
      <c r="EN42">
        <f>EN41*IF(OR($C41=39,$G41=39),0,1)</f>
        <v/>
      </c>
      <c r="EO42">
        <f>EO41*IF(OR($C41=40,$G41=40),0,1)</f>
        <v/>
      </c>
      <c r="EP42">
        <f>EP41*IF(OR($C41=41,$G41=41),0,1)</f>
        <v/>
      </c>
      <c r="EQ42">
        <f>EQ41*IF(OR($C41=42,$G41=42),0,1)</f>
        <v/>
      </c>
      <c r="ER42">
        <f>ER41*IF(OR($C41=43,$G41=43),0,1)</f>
        <v/>
      </c>
      <c r="ES42">
        <f>ES41*IF(OR($C41=44,$G41=44),0,1)</f>
        <v/>
      </c>
      <c r="ET42">
        <f>ET41*IF(OR($C41=45,$G41=45),0,1)</f>
        <v/>
      </c>
      <c r="EU42">
        <f>EU41*IF(OR($C41=46,$G41=46),0,1)</f>
        <v/>
      </c>
      <c r="EV42">
        <f>EV41*IF(OR($C41=47,$G41=47),0,1)</f>
        <v/>
      </c>
      <c r="EW42">
        <f>EW41*IF(OR($C41=48,$G41=48),0,1)</f>
        <v/>
      </c>
      <c r="EX42">
        <f>EX41*IF(OR($C41=49,$G41=49),0,1)</f>
        <v/>
      </c>
      <c r="EY42">
        <f>EY41*IF(OR($C41=50,$G41=50),0,1)</f>
        <v/>
      </c>
      <c r="EZ42">
        <f>EZ41*IF(OR($C41=51,$G41=51),0,1)</f>
        <v/>
      </c>
      <c r="FA42">
        <f>FA41*IF(OR($C41=52,$G41=52),0,1)</f>
        <v/>
      </c>
      <c r="FB42">
        <f>FB41*IF(OR($C41=53,$G41=53),0,1)</f>
        <v/>
      </c>
      <c r="FC42">
        <f>FC41*IF(OR($C41=54,$G41=54),0,1)</f>
        <v/>
      </c>
      <c r="FD42">
        <f>FD41*IF(OR($C41=55,$G41=55),0,1)</f>
        <v/>
      </c>
      <c r="FE42">
        <f>FE41*IF(OR($C41=56,$G41=56),0,1)</f>
        <v/>
      </c>
      <c r="FF42">
        <f>FF41*IF(OR($C41=57,$G41=57),0,1)</f>
        <v/>
      </c>
      <c r="FG42">
        <f>FG41*IF(OR($C41=58,$G41=58),0,1)</f>
        <v/>
      </c>
      <c r="FH42">
        <f>FH41*IF(OR($C41=59,$G41=59),0,1)</f>
        <v/>
      </c>
      <c r="FI42">
        <f>FI41*IF(OR($C41=60,$G41=60),0,1)</f>
        <v/>
      </c>
      <c r="FJ42">
        <f>FJ41*IF(OR($C41=61,$G41=61),0,1)</f>
        <v/>
      </c>
      <c r="FK42">
        <f>FK41*IF(OR($C41=62,$G41=62),0,1)</f>
        <v/>
      </c>
      <c r="FL42">
        <f>FL41*IF(OR($C41=63,$G41=63),0,1)</f>
        <v/>
      </c>
      <c r="FM42">
        <f>FM41*IF(OR($C41=64,$G41=64),0,1)</f>
        <v/>
      </c>
      <c r="FN42">
        <f>FN41*IF(OR($C41=65,$G41=65),0,1)</f>
        <v/>
      </c>
      <c r="FO42">
        <f>FO41*IF(OR($C41=66,$G41=66),0,1)</f>
        <v/>
      </c>
      <c r="FP42">
        <f>FP41*IF(OR($C41=67,$G41=67),0,1)</f>
        <v/>
      </c>
      <c r="FQ42">
        <f>FQ41*IF(OR($C41=68,$G41=68),0,1)</f>
        <v/>
      </c>
      <c r="FR42">
        <f>FR41*IF(OR($C41=69,$G41=69),0,1)</f>
        <v/>
      </c>
      <c r="FS42">
        <f>FS41*IF(OR($C41=70,$G41=70),0,1)</f>
        <v/>
      </c>
      <c r="FT42">
        <f>FT41*IF(OR($C41=71,$G41=71),0,1)</f>
        <v/>
      </c>
      <c r="FU42">
        <f>FU41*IF(OR($C41=72,$G41=72),0,1)</f>
        <v/>
      </c>
      <c r="FV42">
        <f>FV41*IF(OR($C41=73,$G41=73),0,1)</f>
        <v/>
      </c>
      <c r="FW42">
        <f>FW41*IF(OR($C41=74,$G41=74),0,1)</f>
        <v/>
      </c>
      <c r="FX42">
        <f>FX41*IF(OR($C41=75,$G41=75),0,1)</f>
        <v/>
      </c>
      <c r="FY42">
        <f>FY41*IF(OR($C41=76,$G41=76),0,1)</f>
        <v/>
      </c>
      <c r="FZ42">
        <f>FZ41*IF(OR($C41=77,$G41=77),0,1)</f>
        <v/>
      </c>
      <c r="GA42">
        <f>GA41*IF(OR($C41=78,$G41=78),0,1)</f>
        <v/>
      </c>
      <c r="GB42">
        <f>GB41*IF(OR($C41=79,$G41=79),0,1)</f>
        <v/>
      </c>
      <c r="GC42">
        <f>GC41*IF(OR($C41=80,$G41=80),0,1)</f>
        <v/>
      </c>
      <c r="GD42">
        <f>GD41*IF(OR($C41=81,$G41=81),0,1)</f>
        <v/>
      </c>
      <c r="GE42">
        <f>GE41*IF(OR($C41=82,$G41=82),0,1)</f>
        <v/>
      </c>
      <c r="GF42">
        <f>GF41*IF(OR($C41=83,$G41=83),0,1)</f>
        <v/>
      </c>
      <c r="GG42">
        <f>GG41*IF(OR($C41=84,$G41=84),0,1)</f>
        <v/>
      </c>
      <c r="GH42">
        <f>GH41*IF(OR($C41=85,$G41=85),0,1)</f>
        <v/>
      </c>
      <c r="GI42">
        <f>GI41*IF(OR($C41=86,$G41=86),0,1)</f>
        <v/>
      </c>
      <c r="GJ42">
        <f>GJ41*IF(OR($C41=87,$G41=87),0,1)</f>
        <v/>
      </c>
      <c r="GK42">
        <f>GK41*IF(OR($C41=88,$G41=88),0,1)</f>
        <v/>
      </c>
      <c r="GL42">
        <f>GL41*IF(OR($C41=89,$G41=89),0,1)</f>
        <v/>
      </c>
      <c r="GM42">
        <f>GM41*IF(OR($C41=90,$G41=90),0,1)</f>
        <v/>
      </c>
      <c r="GN42">
        <f>GN41*IF(OR($C41=91,$G41=91),0,1)</f>
        <v/>
      </c>
      <c r="GO42">
        <f>GO41*IF(OR($C41=92,$G41=92),0,1)</f>
        <v/>
      </c>
      <c r="GP42">
        <f>GP41*IF(OR($C41=93,$G41=93),0,1)</f>
        <v/>
      </c>
      <c r="GQ42">
        <f>GQ41*IF(OR($C41=94,$G41=94),0,1)</f>
        <v/>
      </c>
      <c r="GR42">
        <f>GR41*IF(OR($C41=95,$G41=95),0,1)</f>
        <v/>
      </c>
      <c r="GS42">
        <f>GS41*IF(OR($C41=96,$G41=96),0,1)</f>
        <v/>
      </c>
      <c r="GT42">
        <f>GT41*IF(OR($C41=97,$G41=97),0,1)</f>
        <v/>
      </c>
      <c r="GU42">
        <f>GU41*IF(OR($C41=98,$G41=98),0,1)</f>
        <v/>
      </c>
      <c r="GV42">
        <f>GV41*IF(OR($C41=99,$G41=99),0,1)</f>
        <v/>
      </c>
      <c r="GW42">
        <f>GW41*IF(OR($C41=100,$G41=100),0,1)</f>
        <v/>
      </c>
      <c r="GX42">
        <f>GX41*IF(OR($C41=101,$G41=101),0,1)</f>
        <v/>
      </c>
      <c r="GY42">
        <f>GY41*IF(OR($C41=102,$G41=102),0,1)</f>
        <v/>
      </c>
      <c r="GZ42">
        <f>GZ41*IF(OR($C41=103,$G41=103),0,1)</f>
        <v/>
      </c>
      <c r="HA42">
        <f>HA41*IF(OR($C41=104,$G41=104),0,1)</f>
        <v/>
      </c>
      <c r="HB42">
        <f>HB41*IF(OR($C41=105,$G41=105),0,1)</f>
        <v/>
      </c>
      <c r="HC42">
        <f>HC41*IF(OR($C41=106,$G41=106),0,1)</f>
        <v/>
      </c>
      <c r="HD42">
        <f>HD41*IF(OR($C41=107,$G41=107),0,1)</f>
        <v/>
      </c>
      <c r="HE42">
        <f>HE41*IF(OR($C41=108,$G41=108),0,1)</f>
        <v/>
      </c>
      <c r="HF42">
        <f>HF41*IF(OR($C41=109,$G41=109),0,1)</f>
        <v/>
      </c>
      <c r="HG42">
        <f>HG41*IF(OR($C41=110,$G41=110),0,1)</f>
        <v/>
      </c>
      <c r="HH42">
        <f>HH41*IF(OR($C41=111,$G41=111),0,1)</f>
        <v/>
      </c>
      <c r="HI42">
        <f>HI41*IF(OR($C41=112,$G41=112),0,1)</f>
        <v/>
      </c>
      <c r="HJ42">
        <f>HJ41*IF(OR($C41=113,$G41=113),0,1)</f>
        <v/>
      </c>
      <c r="HK42">
        <f>HK41*IF(OR($C41=114,$G41=114),0,1)</f>
        <v/>
      </c>
      <c r="HL42">
        <f>HL41*IF(OR($C41=115,$G41=115),0,1)</f>
        <v/>
      </c>
      <c r="HM42">
        <f>HM41*IF(OR($C41=116,$G41=116),0,1)</f>
        <v/>
      </c>
      <c r="HN42">
        <f>HN41*IF(OR($C41=117,$G41=117),0,1)</f>
        <v/>
      </c>
      <c r="HO42">
        <f>HO41*IF(OR($C41=118,$G41=118),0,1)</f>
        <v/>
      </c>
      <c r="HP42">
        <f>HP41*IF(OR($C41=119,$G41=119),0,1)</f>
        <v/>
      </c>
      <c r="HQ42">
        <f>HQ41*IF(OR($C41=120,$G41=120),0,1)</f>
        <v/>
      </c>
      <c r="HR42">
        <f>HR41*IF(OR($C41=121,$G41=121),0,1)</f>
        <v/>
      </c>
      <c r="HS42">
        <f>HS41*IF(OR($C41=122,$G41=122),0,1)</f>
        <v/>
      </c>
      <c r="HT42">
        <f>HT41*IF(OR($C41=123,$G41=123),0,1)</f>
        <v/>
      </c>
      <c r="HU42">
        <f>HU41*IF(OR($C41=124,$G41=124),0,1)</f>
        <v/>
      </c>
      <c r="HV42">
        <f>HV41*IF(OR($C41=125,$G41=125),0,1)</f>
        <v/>
      </c>
      <c r="HW42">
        <f>HW41*IF(OR($C41=126,$G41=126),0,1)</f>
        <v/>
      </c>
      <c r="HX42">
        <f>HX41*IF(OR($C41=127,$G41=127),0,1)</f>
        <v/>
      </c>
      <c r="HY42">
        <f>HY41*IF(OR($C41=128,$G41=128),0,1)</f>
        <v/>
      </c>
      <c r="HZ42">
        <f>HZ41*IF(OR($C41=129,$G41=129),0,1)</f>
        <v/>
      </c>
      <c r="IA42">
        <f>IA41*IF(OR($C41=130,$G41=130),0,1)</f>
        <v/>
      </c>
      <c r="IB42">
        <f>IB41*IF(OR($C41=131,$G41=131),0,1)</f>
        <v/>
      </c>
      <c r="IC42">
        <f>IC41*IF(OR($C41=132,$G41=132),0,1)</f>
        <v/>
      </c>
      <c r="ID42">
        <f>ID41*IF(OR($C41=133,$G41=133),0,1)</f>
        <v/>
      </c>
      <c r="IE42">
        <f>IE41*IF(OR($C41=134,$G41=134),0,1)</f>
        <v/>
      </c>
      <c r="IF42">
        <f>IF41*IF(OR($C41=135,$G41=135),0,1)</f>
        <v/>
      </c>
      <c r="IG42">
        <f>IG41*IF(OR($C41=136,$G41=136),0,1)</f>
        <v/>
      </c>
      <c r="IH42">
        <f>IH41*IF(OR($C41=137,$G41=137),0,1)</f>
        <v/>
      </c>
      <c r="II42">
        <f>II41*IF(OR($C41=138,$G41=138),0,1)</f>
        <v/>
      </c>
      <c r="IJ42">
        <f>IJ41*IF(OR($C41=139,$G41=139),0,1)</f>
        <v/>
      </c>
      <c r="IK42">
        <f>IK41*IF(OR($C41=140,$G41=140),0,1)</f>
        <v/>
      </c>
      <c r="IL42">
        <f>IL41*IF(OR($C41=141,$G41=141),0,1)</f>
        <v/>
      </c>
      <c r="IM42">
        <f>IM41*IF(OR($C41=142,$G41=142),0,1)</f>
        <v/>
      </c>
      <c r="IN42">
        <f>IN41*IF(OR($C41=143,$G41=143),0,1)</f>
        <v/>
      </c>
      <c r="IO42">
        <f>IO41*IF(OR($C41=144,$G41=144),0,1)</f>
        <v/>
      </c>
      <c r="IQ42">
        <f>IF('計算A'!D$106=1,DC42,1)</f>
        <v/>
      </c>
      <c r="IR42">
        <f>IF('計算A'!E$106=1,DD42,1)</f>
        <v/>
      </c>
      <c r="IS42">
        <f>IF('計算A'!F$106=1,DE42,1)</f>
        <v/>
      </c>
      <c r="IT42">
        <f>IF('計算A'!G$106=1,DF42,1)</f>
        <v/>
      </c>
      <c r="IU42">
        <f>IF('計算A'!H$106=1,DG42,1)</f>
        <v/>
      </c>
      <c r="IV42">
        <f>IF('計算A'!I$106=1,DH42,1)</f>
        <v/>
      </c>
      <c r="IW42">
        <f>IF('計算A'!J$106=1,DI42,1)</f>
        <v/>
      </c>
      <c r="IX42">
        <f>IF('計算A'!K$106=1,DJ42,1)</f>
        <v/>
      </c>
      <c r="IY42">
        <f>IF('計算A'!L$106=1,DK42,1)</f>
        <v/>
      </c>
      <c r="IZ42">
        <f>IF('計算A'!M$106=1,DL42,1)</f>
        <v/>
      </c>
      <c r="JA42">
        <f>IF('計算A'!N$106=1,DM42,1)</f>
        <v/>
      </c>
      <c r="JB42">
        <f>IF('計算A'!O$106=1,DN42,1)</f>
        <v/>
      </c>
      <c r="JC42">
        <f>IF('計算A'!P$106=1,DO42,1)</f>
        <v/>
      </c>
      <c r="JD42">
        <f>IF('計算A'!Q$106=1,DP42,1)</f>
        <v/>
      </c>
      <c r="JE42">
        <f>IF('計算A'!R$106=1,DQ42,1)</f>
        <v/>
      </c>
      <c r="JF42">
        <f>IF('計算A'!S$106=1,DR42,1)</f>
        <v/>
      </c>
      <c r="JG42">
        <f>IF('計算A'!T$106=1,DS42,1)</f>
        <v/>
      </c>
      <c r="JH42">
        <f>IF('計算A'!U$106=1,DT42,1)</f>
        <v/>
      </c>
      <c r="JI42">
        <f>IF('計算A'!V$106=1,DU42,1)</f>
        <v/>
      </c>
      <c r="JJ42">
        <f>IF('計算A'!W$106=1,DV42,1)</f>
        <v/>
      </c>
      <c r="JK42">
        <f>IF('計算A'!X$106=1,DW42,1)</f>
        <v/>
      </c>
      <c r="JL42">
        <f>IF('計算A'!Y$106=1,DX42,1)</f>
        <v/>
      </c>
      <c r="JM42">
        <f>IF('計算A'!Z$106=1,DY42,1)</f>
        <v/>
      </c>
      <c r="JN42">
        <f>IF('計算A'!AA$106=1,DZ42,1)</f>
        <v/>
      </c>
      <c r="JO42">
        <f>IF('計算A'!AB$106=1,EA42,1)</f>
        <v/>
      </c>
      <c r="JP42">
        <f>IF('計算A'!AC$106=1,EB42,1)</f>
        <v/>
      </c>
      <c r="JQ42">
        <f>IF('計算A'!AD$106=1,EC42,1)</f>
        <v/>
      </c>
      <c r="JR42">
        <f>IF('計算A'!AE$106=1,ED42,1)</f>
        <v/>
      </c>
      <c r="JS42">
        <f>IF('計算A'!AF$106=1,EE42,1)</f>
        <v/>
      </c>
      <c r="JT42">
        <f>IF('計算A'!AG$106=1,EF42,1)</f>
        <v/>
      </c>
      <c r="JU42">
        <f>IF('計算A'!AH$106=1,EG42,1)</f>
        <v/>
      </c>
      <c r="JV42">
        <f>IF('計算A'!AI$106=1,EH42,1)</f>
        <v/>
      </c>
      <c r="JW42">
        <f>IF('計算A'!AJ$106=1,EI42,1)</f>
        <v/>
      </c>
      <c r="JX42">
        <f>IF('計算A'!AK$106=1,EJ42,1)</f>
        <v/>
      </c>
      <c r="JY42">
        <f>IF('計算A'!AL$106=1,EK42,1)</f>
        <v/>
      </c>
      <c r="JZ42">
        <f>IF('計算A'!AM$106=1,EL42,1)</f>
        <v/>
      </c>
      <c r="KA42">
        <f>IF('計算A'!AN$106=1,EM42,1)</f>
        <v/>
      </c>
      <c r="KB42">
        <f>IF('計算A'!AO$106=1,EN42,1)</f>
        <v/>
      </c>
      <c r="KC42">
        <f>IF('計算A'!AP$106=1,EO42,1)</f>
        <v/>
      </c>
      <c r="KD42">
        <f>IF('計算A'!AQ$106=1,EP42,1)</f>
        <v/>
      </c>
      <c r="KE42">
        <f>IF('計算A'!AR$106=1,EQ42,1)</f>
        <v/>
      </c>
      <c r="KF42">
        <f>IF('計算A'!AS$106=1,ER42,1)</f>
        <v/>
      </c>
      <c r="KG42">
        <f>IF('計算A'!AT$106=1,ES42,1)</f>
        <v/>
      </c>
      <c r="KH42">
        <f>IF('計算A'!AU$106=1,ET42,1)</f>
        <v/>
      </c>
      <c r="KI42">
        <f>IF('計算A'!AV$106=1,EU42,1)</f>
        <v/>
      </c>
      <c r="KJ42">
        <f>IF('計算A'!AW$106=1,EV42,1)</f>
        <v/>
      </c>
      <c r="KK42">
        <f>IF('計算A'!AX$106=1,EW42,1)</f>
        <v/>
      </c>
      <c r="KL42">
        <f>IF('計算A'!AY$106=1,EX42,1)</f>
        <v/>
      </c>
      <c r="KM42">
        <f>IF('計算A'!AZ$106=1,EY42,1)</f>
        <v/>
      </c>
      <c r="KN42">
        <f>IF('計算A'!BA$106=1,EZ42,1)</f>
        <v/>
      </c>
      <c r="KO42">
        <f>IF('計算A'!BB$106=1,FA42,1)</f>
        <v/>
      </c>
      <c r="KP42">
        <f>IF('計算A'!BC$106=1,FB42,1)</f>
        <v/>
      </c>
      <c r="KQ42">
        <f>IF('計算A'!BD$106=1,FC42,1)</f>
        <v/>
      </c>
      <c r="KR42">
        <f>IF('計算A'!BE$106=1,FD42,1)</f>
        <v/>
      </c>
      <c r="KS42">
        <f>IF('計算A'!BF$106=1,FE42,1)</f>
        <v/>
      </c>
      <c r="KT42">
        <f>IF('計算A'!BG$106=1,FF42,1)</f>
        <v/>
      </c>
      <c r="KU42">
        <f>IF('計算A'!BH$106=1,FG42,1)</f>
        <v/>
      </c>
      <c r="KV42">
        <f>IF('計算A'!BI$106=1,FH42,1)</f>
        <v/>
      </c>
      <c r="KW42">
        <f>IF('計算A'!BJ$106=1,FI42,1)</f>
        <v/>
      </c>
      <c r="KX42">
        <f>IF('計算A'!BK$106=1,FJ42,1)</f>
        <v/>
      </c>
      <c r="KY42">
        <f>IF('計算A'!BL$106=1,FK42,1)</f>
        <v/>
      </c>
      <c r="KZ42">
        <f>IF('計算A'!BM$106=1,FL42,1)</f>
        <v/>
      </c>
      <c r="LA42">
        <f>IF('計算A'!BN$106=1,FM42,1)</f>
        <v/>
      </c>
      <c r="LB42">
        <f>IF('計算A'!BO$106=1,FN42,1)</f>
        <v/>
      </c>
      <c r="LC42">
        <f>IF('計算A'!BP$106=1,FO42,1)</f>
        <v/>
      </c>
      <c r="LD42">
        <f>IF('計算A'!BQ$106=1,FP42,1)</f>
        <v/>
      </c>
      <c r="LE42">
        <f>IF('計算A'!BR$106=1,FQ42,1)</f>
        <v/>
      </c>
      <c r="LF42">
        <f>IF('計算A'!BS$106=1,FR42,1)</f>
        <v/>
      </c>
      <c r="LG42">
        <f>IF('計算A'!BT$106=1,FS42,1)</f>
        <v/>
      </c>
      <c r="LH42">
        <f>IF('計算A'!BU$106=1,FT42,1)</f>
        <v/>
      </c>
      <c r="LI42">
        <f>IF('計算A'!BV$106=1,FU42,1)</f>
        <v/>
      </c>
      <c r="LJ42">
        <f>IF('計算A'!BW$106=1,FV42,1)</f>
        <v/>
      </c>
      <c r="LK42">
        <f>IF('計算A'!BX$106=1,FW42,1)</f>
        <v/>
      </c>
      <c r="LL42">
        <f>IF('計算A'!BY$106=1,FX42,1)</f>
        <v/>
      </c>
      <c r="LM42">
        <f>IF('計算A'!BZ$106=1,FY42,1)</f>
        <v/>
      </c>
      <c r="LN42">
        <f>IF('計算A'!CA$106=1,FZ42,1)</f>
        <v/>
      </c>
      <c r="LO42">
        <f>IF('計算A'!CB$106=1,GA42,1)</f>
        <v/>
      </c>
      <c r="LP42">
        <f>IF('計算A'!CC$106=1,GB42,1)</f>
        <v/>
      </c>
      <c r="LQ42">
        <f>IF('計算A'!CD$106=1,GC42,1)</f>
        <v/>
      </c>
      <c r="LR42">
        <f>IF('計算A'!CE$106=1,GD42,1)</f>
        <v/>
      </c>
      <c r="LS42">
        <f>IF('計算A'!CF$106=1,GE42,1)</f>
        <v/>
      </c>
      <c r="LT42">
        <f>IF('計算A'!CG$106=1,GF42,1)</f>
        <v/>
      </c>
      <c r="LU42">
        <f>IF('計算A'!CH$106=1,GG42,1)</f>
        <v/>
      </c>
      <c r="LV42">
        <f>IF('計算A'!CI$106=1,GH42,1)</f>
        <v/>
      </c>
      <c r="LW42">
        <f>IF('計算A'!CJ$106=1,GI42,1)</f>
        <v/>
      </c>
      <c r="LX42">
        <f>IF('計算A'!CK$106=1,GJ42,1)</f>
        <v/>
      </c>
      <c r="LY42">
        <f>IF('計算A'!CL$106=1,GK42,1)</f>
        <v/>
      </c>
      <c r="LZ42">
        <f>IF('計算A'!CM$106=1,GL42,1)</f>
        <v/>
      </c>
      <c r="MA42">
        <f>IF('計算A'!CN$106=1,GM42,1)</f>
        <v/>
      </c>
      <c r="MB42">
        <f>IF('計算A'!CO$106=1,GN42,1)</f>
        <v/>
      </c>
      <c r="MC42">
        <f>IF('計算A'!CP$106=1,GO42,1)</f>
        <v/>
      </c>
      <c r="MD42">
        <f>IF('計算A'!CQ$106=1,GP42,1)</f>
        <v/>
      </c>
      <c r="ME42">
        <f>IF('計算A'!CR$106=1,GQ42,1)</f>
        <v/>
      </c>
      <c r="MF42">
        <f>IF('計算A'!CS$106=1,GR42,1)</f>
        <v/>
      </c>
      <c r="MG42">
        <f>IF('計算A'!CT$106=1,GS42,1)</f>
        <v/>
      </c>
      <c r="MH42">
        <f>IF('計算A'!CU$106=1,GT42,1)</f>
        <v/>
      </c>
      <c r="MI42">
        <f>IF('計算A'!CV$106=1,GU42,1)</f>
        <v/>
      </c>
      <c r="MJ42">
        <f>IF('計算A'!CW$106=1,GV42,1)</f>
        <v/>
      </c>
      <c r="MK42">
        <f>IF('計算A'!CX$106=1,GW42,1)</f>
        <v/>
      </c>
      <c r="ML42">
        <f>IF('計算A'!CY$106=1,GX42,1)</f>
        <v/>
      </c>
      <c r="MM42">
        <f>IF('計算A'!CZ$106=1,GY42,1)</f>
        <v/>
      </c>
      <c r="MN42">
        <f>IF('計算A'!DA$106=1,GZ42,1)</f>
        <v/>
      </c>
      <c r="MO42">
        <f>IF('計算A'!DB$106=1,HA42,1)</f>
        <v/>
      </c>
      <c r="MP42">
        <f>IF('計算A'!DC$106=1,HB42,1)</f>
        <v/>
      </c>
      <c r="MQ42">
        <f>IF('計算A'!DD$106=1,HC42,1)</f>
        <v/>
      </c>
      <c r="MR42">
        <f>IF('計算A'!DE$106=1,HD42,1)</f>
        <v/>
      </c>
      <c r="MS42">
        <f>IF('計算A'!DF$106=1,HE42,1)</f>
        <v/>
      </c>
      <c r="MT42">
        <f>IF('計算A'!DG$106=1,HF42,1)</f>
        <v/>
      </c>
      <c r="MU42">
        <f>IF('計算A'!DH$106=1,HG42,1)</f>
        <v/>
      </c>
      <c r="MV42">
        <f>IF('計算A'!DI$106=1,HH42,1)</f>
        <v/>
      </c>
      <c r="MW42">
        <f>IF('計算A'!DJ$106=1,HI42,1)</f>
        <v/>
      </c>
      <c r="MX42">
        <f>IF('計算A'!DK$106=1,HJ42,1)</f>
        <v/>
      </c>
      <c r="MY42">
        <f>IF('計算A'!DL$106=1,HK42,1)</f>
        <v/>
      </c>
      <c r="MZ42">
        <f>IF('計算A'!DM$106=1,HL42,1)</f>
        <v/>
      </c>
      <c r="NA42">
        <f>IF('計算A'!DN$106=1,HM42,1)</f>
        <v/>
      </c>
      <c r="NB42">
        <f>IF('計算A'!DO$106=1,HN42,1)</f>
        <v/>
      </c>
      <c r="NC42">
        <f>IF('計算A'!DP$106=1,HO42,1)</f>
        <v/>
      </c>
      <c r="ND42">
        <f>IF('計算A'!DQ$106=1,HP42,1)</f>
        <v/>
      </c>
      <c r="NE42">
        <f>IF('計算A'!DR$106=1,HQ42,1)</f>
        <v/>
      </c>
      <c r="NF42">
        <f>IF('計算A'!DS$106=1,HR42,1)</f>
        <v/>
      </c>
      <c r="NG42">
        <f>IF('計算A'!DT$106=1,HS42,1)</f>
        <v/>
      </c>
      <c r="NH42">
        <f>IF('計算A'!DU$106=1,HT42,1)</f>
        <v/>
      </c>
      <c r="NI42">
        <f>IF('計算A'!DV$106=1,HU42,1)</f>
        <v/>
      </c>
      <c r="NJ42">
        <f>IF('計算A'!DW$106=1,HV42,1)</f>
        <v/>
      </c>
      <c r="NK42">
        <f>IF('計算A'!DX$106=1,HW42,1)</f>
        <v/>
      </c>
      <c r="NL42">
        <f>IF('計算A'!DY$106=1,HX42,1)</f>
        <v/>
      </c>
      <c r="NM42">
        <f>IF('計算A'!DZ$106=1,HY42,1)</f>
        <v/>
      </c>
      <c r="NN42">
        <f>IF('計算A'!EA$106=1,HZ42,1)</f>
        <v/>
      </c>
      <c r="NO42">
        <f>IF('計算A'!EB$106=1,IA42,1)</f>
        <v/>
      </c>
      <c r="NP42">
        <f>IF('計算A'!EC$106=1,IB42,1)</f>
        <v/>
      </c>
      <c r="NQ42">
        <f>IF('計算A'!ED$106=1,IC42,1)</f>
        <v/>
      </c>
      <c r="NR42">
        <f>IF('計算A'!EE$106=1,ID42,1)</f>
        <v/>
      </c>
      <c r="NS42">
        <f>IF('計算A'!EF$106=1,IE42,1)</f>
        <v/>
      </c>
      <c r="NT42">
        <f>IF('計算A'!EG$106=1,IF42,1)</f>
        <v/>
      </c>
      <c r="NU42">
        <f>IF('計算A'!EH$106=1,IG42,1)</f>
        <v/>
      </c>
      <c r="NV42">
        <f>IF('計算A'!EI$106=1,IH42,1)</f>
        <v/>
      </c>
      <c r="NW42">
        <f>IF('計算A'!EJ$106=1,II42,1)</f>
        <v/>
      </c>
      <c r="NX42">
        <f>IF('計算A'!EK$106=1,IJ42,1)</f>
        <v/>
      </c>
      <c r="NY42">
        <f>IF('計算A'!EL$106=1,IK42,1)</f>
        <v/>
      </c>
      <c r="NZ42">
        <f>IF('計算A'!EM$106=1,IL42,1)</f>
        <v/>
      </c>
      <c r="OA42">
        <f>IF('計算A'!EN$106=1,IM42,1)</f>
        <v/>
      </c>
      <c r="OB42">
        <f>IF('計算A'!EO$106=1,IN42,1)</f>
        <v/>
      </c>
      <c r="OC42">
        <f>IF('計算A'!EP$106=1,IO42,1)</f>
        <v/>
      </c>
      <c r="OD42" t="n">
        <v>1</v>
      </c>
      <c r="OF42">
        <f>IF($B42=0,1000000,IF(INDEX('計算A'!$D$60:$EQ$104,$B42,1)*DB42=1,IF(AND($E42=2,IQ42=0),1000000,IF($I42&gt;0,IF(1=$J42,IF(OR(AND(1=$I42+1,OR($K42&lt;&gt;'計算A'!$A$3,'計算A'!$A$4=0)),AND(1=$I42-1,OR(1&lt;&gt;'計算A'!$A$3,'計算A'!$A$4=0))),0,IF(1=$K42,200000,ABS(1-$K42)*100)),100000+ABS(1-$J42)*1000+10)+'計算A'!D$5*50+IF(AND($E42=1,IQ42=0),25,0),INDEX('計算A'!D$110:D$114,$F42+1)+IF(AND($E42=1,IQ42=0),1000,0)+IF($H42=1,(IF('計算A'!D$117=1,INDEX('計算A'!E$10:E$54,$B42),0))*500,0)-IF(AND($L42=1,'計算A'!D$117=1,DC42=0),300,0))),1000000))</f>
        <v/>
      </c>
      <c r="OG42">
        <f>IF($B42=0,1000000,IF(INDEX('計算A'!$D$60:$EQ$104,$B42,2)*DC42=1,IF(AND($E42=2,IR42=0),1000000,IF($I42&gt;0,IF(1=$J42,IF(OR(AND(2=$I42+1,OR($K42&lt;&gt;'計算A'!$A$3,'計算A'!$A$4=0)),AND(2=$I42-1,OR(2&lt;&gt;'計算A'!$A$3,'計算A'!$A$4=0))),0,IF(2=$K42,200000,ABS(2-$K42)*100)),100000+ABS(1-$J42)*1000+20)+'計算A'!E$5*50+IF(AND($E42=1,IR42=0),25,0),INDEX('計算A'!E$110:E$114,$F42+1)+IF(AND($E42=1,IR42=0),1000,0)+IF($H42=1,(IF('計算A'!D$117=1,INDEX('計算A'!D$10:D$54,$B42),0)+IF('計算A'!E$117=1,INDEX('計算A'!F$10:F$54,$B42),0))*500,0)-IF(AND('計算A'!D$117=1,UB42&gt;0),300,0)-IF(AND($L42=1,'計算A'!E$117=1,DD42=0),300,0))),1000000))</f>
        <v/>
      </c>
      <c r="OH42">
        <f>IF($B42=0,1000000,IF(INDEX('計算A'!$D$60:$EQ$104,$B42,3)*DD42=1,IF(AND($E42=2,IS42=0),1000000,IF($I42&gt;0,IF(1=$J42,IF(OR(AND(3=$I42+1,OR($K42&lt;&gt;'計算A'!$A$3,'計算A'!$A$4=0)),AND(3=$I42-1,OR(3&lt;&gt;'計算A'!$A$3,'計算A'!$A$4=0))),0,IF(3=$K42,200000,ABS(3-$K42)*100)),100000+ABS(1-$J42)*1000+30)+'計算A'!F$5*50+IF(AND($E42=1,IS42=0),25,0),INDEX('計算A'!F$110:F$114,$F42+1)+IF(AND($E42=1,IS42=0),1000,0)+IF($H42=1,(IF('計算A'!E$117=1,INDEX('計算A'!E$10:E$54,$B42),0)+IF('計算A'!F$117=1,INDEX('計算A'!G$10:G$54,$B42),0))*500,0)-IF(AND('計算A'!E$117=1,UC42&gt;0),300,0)-IF(AND($L42=1,'計算A'!F$117=1,DE42=0),300,0))),1000000))</f>
        <v/>
      </c>
      <c r="OI42">
        <f>IF($B42=0,1000000,IF(INDEX('計算A'!$D$60:$EQ$104,$B42,4)*DE42=1,IF(AND($E42=2,IT42=0),1000000,IF($I42&gt;0,IF(1=$J42,IF(OR(AND(4=$I42+1,OR($K42&lt;&gt;'計算A'!$A$3,'計算A'!$A$4=0)),AND(4=$I42-1,OR(4&lt;&gt;'計算A'!$A$3,'計算A'!$A$4=0))),0,IF(4=$K42,200000,ABS(4-$K42)*100)),100000+ABS(1-$J42)*1000+40)+'計算A'!G$5*50+IF(AND($E42=1,IT42=0),25,0),INDEX('計算A'!G$110:G$114,$F42+1)+IF(AND($E42=1,IT42=0),1000,0)+IF($H42=1,(IF('計算A'!F$117=1,INDEX('計算A'!F$10:F$54,$B42),0)+IF('計算A'!G$117=1,INDEX('計算A'!H$10:H$54,$B42),0))*500,0)-IF(AND('計算A'!F$117=1,UD42&gt;0),300,0)-IF(AND($L42=1,'計算A'!G$117=1,DF42=0),300,0))),1000000))</f>
        <v/>
      </c>
      <c r="OJ42">
        <f>IF($B42=0,1000000,IF(INDEX('計算A'!$D$60:$EQ$104,$B42,5)*DF42=1,IF(AND($E42=2,IU42=0),1000000,IF($I42&gt;0,IF(1=$J42,IF(OR(AND(5=$I42+1,OR($K42&lt;&gt;'計算A'!$A$3,'計算A'!$A$4=0)),AND(5=$I42-1,OR(5&lt;&gt;'計算A'!$A$3,'計算A'!$A$4=0))),0,IF(5=$K42,200000,ABS(5-$K42)*100)),100000+ABS(1-$J42)*1000+50)+'計算A'!H$5*50+IF(AND($E42=1,IU42=0),25,0),INDEX('計算A'!H$110:H$114,$F42+1)+IF(AND($E42=1,IU42=0),1000,0)+IF($H42=1,(IF('計算A'!G$117=1,INDEX('計算A'!G$10:G$54,$B42),0)+IF('計算A'!H$117=1,INDEX('計算A'!I$10:I$54,$B42),0))*500,0)-IF(AND('計算A'!G$117=1,UE42&gt;0),300,0)-IF(AND($L42=1,'計算A'!H$117=1,DG42=0),300,0))),1000000))</f>
        <v/>
      </c>
      <c r="OK42">
        <f>IF($B42=0,1000000,IF(INDEX('計算A'!$D$60:$EQ$104,$B42,6)*DG42=1,IF(AND($E42=2,IV42=0),1000000,IF($I42&gt;0,IF(1=$J42,IF(OR(AND(6=$I42+1,OR($K42&lt;&gt;'計算A'!$A$3,'計算A'!$A$4=0)),AND(6=$I42-1,OR(6&lt;&gt;'計算A'!$A$3,'計算A'!$A$4=0))),0,IF(6=$K42,200000,ABS(6-$K42)*100)),100000+ABS(1-$J42)*1000+60)+'計算A'!I$5*50+IF(AND($E42=1,IV42=0),25,0),INDEX('計算A'!I$110:I$114,$F42+1)+IF(AND($E42=1,IV42=0),1000,0)+IF($H42=1,(IF('計算A'!H$117=1,INDEX('計算A'!H$10:H$54,$B42),0)+IF('計算A'!I$117=1,INDEX('計算A'!J$10:J$54,$B42),0))*500,0)-IF(AND('計算A'!H$117=1,UF42&gt;0),300,0)-IF(AND($L42=1,'計算A'!I$117=1,DH42=0),300,0))),1000000))</f>
        <v/>
      </c>
      <c r="OL42">
        <f>IF($B42=0,1000000,IF(INDEX('計算A'!$D$60:$EQ$104,$B42,7)*DH42=1,IF(AND($E42=2,IW42=0),1000000,IF($I42&gt;0,IF(1=$J42,IF(OR(AND(7=$I42+1,OR($K42&lt;&gt;'計算A'!$A$3,'計算A'!$A$4=0)),AND(7=$I42-1,OR(7&lt;&gt;'計算A'!$A$3,'計算A'!$A$4=0))),0,IF(7=$K42,200000,ABS(7-$K42)*100)),100000+ABS(1-$J42)*1000+70)+'計算A'!J$5*50+IF(AND($E42=1,IW42=0),25,0),INDEX('計算A'!J$110:J$114,$F42+1)+IF(AND($E42=1,IW42=0),1000,0)+IF($H42=1,(IF('計算A'!I$117=1,INDEX('計算A'!I$10:I$54,$B42),0)+IF('計算A'!J$117=1,INDEX('計算A'!K$10:K$54,$B42),0))*500,0)-IF(AND('計算A'!I$117=1,UG42&gt;0),300,0)-IF(AND($L42=1,'計算A'!J$117=1,DI42=0),300,0))),1000000))</f>
        <v/>
      </c>
      <c r="OM42">
        <f>IF($B42=0,1000000,IF(INDEX('計算A'!$D$60:$EQ$104,$B42,8)*DI42=1,IF(AND($E42=2,IX42=0),1000000,IF($I42&gt;0,IF(1=$J42,IF(OR(AND(8=$I42+1,OR($K42&lt;&gt;'計算A'!$A$3,'計算A'!$A$4=0)),AND(8=$I42-1,OR(8&lt;&gt;'計算A'!$A$3,'計算A'!$A$4=0))),0,IF(8=$K42,200000,ABS(8-$K42)*100)),100000+ABS(1-$J42)*1000+80)+'計算A'!K$5*50+IF(AND($E42=1,IX42=0),25,0),INDEX('計算A'!K$110:K$114,$F42+1)+IF(AND($E42=1,IX42=0),1000,0)+IF($H42=1,(IF('計算A'!J$117=1,INDEX('計算A'!J$10:J$54,$B42),0)+IF('計算A'!K$117=1,INDEX('計算A'!L$10:L$54,$B42),0))*500,0)-IF(AND('計算A'!J$117=1,UH42&gt;0),300,0)-IF(AND($L42=1,'計算A'!K$117=1,DJ42=0),300,0))),1000000))</f>
        <v/>
      </c>
      <c r="ON42">
        <f>IF($B42=0,1000000,IF(INDEX('計算A'!$D$60:$EQ$104,$B42,9)*DJ42=1,IF(AND($E42=2,IY42=0),1000000,IF($I42&gt;0,IF(1=$J42,IF(OR(AND(9=$I42+1,OR($K42&lt;&gt;'計算A'!$A$3,'計算A'!$A$4=0)),AND(9=$I42-1,OR(9&lt;&gt;'計算A'!$A$3,'計算A'!$A$4=0))),0,IF(9=$K42,200000,ABS(9-$K42)*100)),100000+ABS(1-$J42)*1000+90)+'計算A'!L$5*50+IF(AND($E42=1,IY42=0),25,0),INDEX('計算A'!L$110:L$114,$F42+1)+IF(AND($E42=1,IY42=0),1000,0)+IF($H42=1,(IF('計算A'!K$117=1,INDEX('計算A'!K$10:K$54,$B42),0)+IF('計算A'!L$117=1,INDEX('計算A'!M$10:M$54,$B42),0))*500,0)-IF(AND('計算A'!K$117=1,UI42&gt;0),300,0)-IF(AND($L42=1,'計算A'!L$117=1,DK42=0),300,0))),1000000))</f>
        <v/>
      </c>
      <c r="OO42">
        <f>IF($B42=0,1000000,IF(INDEX('計算A'!$D$60:$EQ$104,$B42,10)*DK42=1,IF(AND($E42=2,IZ42=0),1000000,IF($I42&gt;0,IF(1=$J42,IF(OR(AND(10=$I42+1,OR($K42&lt;&gt;'計算A'!$A$3,'計算A'!$A$4=0)),AND(10=$I42-1,OR(10&lt;&gt;'計算A'!$A$3,'計算A'!$A$4=0))),0,IF(10=$K42,200000,ABS(10-$K42)*100)),100000+ABS(1-$J42)*1000+100)+'計算A'!M$5*50+IF(AND($E42=1,IZ42=0),25,0),INDEX('計算A'!M$110:M$114,$F42+1)+IF(AND($E42=1,IZ42=0),1000,0)+IF($H42=1,(IF('計算A'!L$117=1,INDEX('計算A'!L$10:L$54,$B42),0)+IF('計算A'!M$117=1,INDEX('計算A'!N$10:N$54,$B42),0))*500,0)-IF(AND('計算A'!L$117=1,UJ42&gt;0),300,0)-IF(AND($L42=1,'計算A'!M$117=1,DL42=0),300,0))),1000000))</f>
        <v/>
      </c>
      <c r="OP42">
        <f>IF($B42=0,1000000,IF(INDEX('計算A'!$D$60:$EQ$104,$B42,11)*DL42=1,IF(AND($E42=2,JA42=0),1000000,IF($I42&gt;0,IF(1=$J42,IF(OR(AND(11=$I42+1,OR($K42&lt;&gt;'計算A'!$A$3,'計算A'!$A$4=0)),AND(11=$I42-1,OR(11&lt;&gt;'計算A'!$A$3,'計算A'!$A$4=0))),0,IF(11=$K42,200000,ABS(11-$K42)*100)),100000+ABS(1-$J42)*1000+110)+'計算A'!N$5*50+IF(AND($E42=1,JA42=0),25,0),INDEX('計算A'!N$110:N$114,$F42+1)+IF(AND($E42=1,JA42=0),1000,0)+IF($H42=1,(IF('計算A'!M$117=1,INDEX('計算A'!M$10:M$54,$B42),0)+IF('計算A'!N$117=1,INDEX('計算A'!O$10:O$54,$B42),0))*500,0)-IF(AND('計算A'!M$117=1,UK42&gt;0),300,0)-IF(AND($L42=1,'計算A'!N$117=1,DM42=0),300,0))),1000000))</f>
        <v/>
      </c>
      <c r="OQ42">
        <f>IF($B42=0,1000000,IF(INDEX('計算A'!$D$60:$EQ$104,$B42,12)*DM42=1,IF(AND($E42=2,JB42=0),1000000,IF($I42&gt;0,IF(1=$J42,IF(OR(AND(12=$I42+1,OR($K42&lt;&gt;'計算A'!$A$3,'計算A'!$A$4=0)),AND(12=$I42-1,OR(12&lt;&gt;'計算A'!$A$3,'計算A'!$A$4=0))),0,IF(12=$K42,200000,ABS(12-$K42)*100)),100000+ABS(1-$J42)*1000+120)+'計算A'!O$5*50+IF(AND($E42=1,JB42=0),25,0),INDEX('計算A'!O$110:O$114,$F42+1)+IF(AND($E42=1,JB42=0),1000,0)+IF($H42=1,(IF('計算A'!N$117=1,INDEX('計算A'!N$10:N$54,$B42),0)+IF('計算A'!O$117=1,INDEX('計算A'!P$10:P$54,$B42),0))*500,0)-IF(AND('計算A'!N$117=1,UL42&gt;0),300,0)-IF(AND($L42=1,'計算A'!O$117=1,DN42=0),300,0))),1000000))</f>
        <v/>
      </c>
      <c r="OR42">
        <f>IF($B42=0,1000000,IF(INDEX('計算A'!$D$60:$EQ$104,$B42,13)*DN42=1,IF(AND($E42=2,JC42=0),1000000,IF($I42&gt;0,IF(1=$J42,IF(OR(AND(13=$I42+1,OR($K42&lt;&gt;'計算A'!$A$3,'計算A'!$A$4=0)),AND(13=$I42-1,OR(13&lt;&gt;'計算A'!$A$3,'計算A'!$A$4=0))),0,IF(13=$K42,200000,ABS(13-$K42)*100)),100000+ABS(1-$J42)*1000+130)+'計算A'!P$5*50+IF(AND($E42=1,JC42=0),25,0),INDEX('計算A'!P$110:P$114,$F42+1)+IF(AND($E42=1,JC42=0),1000,0)+IF($H42=1,(IF('計算A'!O$117=1,INDEX('計算A'!O$10:O$54,$B42),0)+IF('計算A'!P$117=1,INDEX('計算A'!Q$10:Q$54,$B42),0))*500,0)-IF(AND('計算A'!O$117=1,UM42&gt;0),300,0)-IF(AND($L42=1,'計算A'!P$117=1,DO42=0),300,0))),1000000))</f>
        <v/>
      </c>
      <c r="OS42">
        <f>IF($B42=0,1000000,IF(INDEX('計算A'!$D$60:$EQ$104,$B42,14)*DO42=1,IF(AND($E42=2,JD42=0),1000000,IF($I42&gt;0,IF(1=$J42,IF(OR(AND(14=$I42+1,OR($K42&lt;&gt;'計算A'!$A$3,'計算A'!$A$4=0)),AND(14=$I42-1,OR(14&lt;&gt;'計算A'!$A$3,'計算A'!$A$4=0))),0,IF(14=$K42,200000,ABS(14-$K42)*100)),100000+ABS(1-$J42)*1000+140)+'計算A'!Q$5*50+IF(AND($E42=1,JD42=0),25,0),INDEX('計算A'!Q$110:Q$114,$F42+1)+IF(AND($E42=1,JD42=0),1000,0)+IF($H42=1,(IF('計算A'!P$117=1,INDEX('計算A'!P$10:P$54,$B42),0)+IF('計算A'!Q$117=1,INDEX('計算A'!R$10:R$54,$B42),0))*500,0)-IF(AND('計算A'!P$117=1,UN42&gt;0),300,0)-IF(AND($L42=1,'計算A'!Q$117=1,DP42=0),300,0))),1000000))</f>
        <v/>
      </c>
      <c r="OT42">
        <f>IF($B42=0,1000000,IF(INDEX('計算A'!$D$60:$EQ$104,$B42,15)*DP42=1,IF(AND($E42=2,JE42=0),1000000,IF($I42&gt;0,IF(1=$J42,IF(OR(AND(15=$I42+1,OR($K42&lt;&gt;'計算A'!$A$3,'計算A'!$A$4=0)),AND(15=$I42-1,OR(15&lt;&gt;'計算A'!$A$3,'計算A'!$A$4=0))),0,IF(15=$K42,200000,ABS(15-$K42)*100)),100000+ABS(1-$J42)*1000+150)+'計算A'!R$5*50+IF(AND($E42=1,JE42=0),25,0),INDEX('計算A'!R$110:R$114,$F42+1)+IF(AND($E42=1,JE42=0),1000,0)+IF($H42=1,(IF('計算A'!Q$117=1,INDEX('計算A'!Q$10:Q$54,$B42),0)+IF('計算A'!R$117=1,INDEX('計算A'!S$10:S$54,$B42),0))*500,0)-IF(AND('計算A'!Q$117=1,UO42&gt;0),300,0)-IF(AND($L42=1,'計算A'!R$117=1,DQ42=0),300,0))),1000000))</f>
        <v/>
      </c>
      <c r="OU42">
        <f>IF($B42=0,1000000,IF(INDEX('計算A'!$D$60:$EQ$104,$B42,16)*DQ42=1,IF(AND($E42=2,JF42=0),1000000,IF($I42&gt;0,IF(1=$J42,IF(OR(AND(16=$I42+1,OR($K42&lt;&gt;'計算A'!$A$3,'計算A'!$A$4=0)),AND(16=$I42-1,OR(16&lt;&gt;'計算A'!$A$3,'計算A'!$A$4=0))),0,IF(16=$K42,200000,ABS(16-$K42)*100)),100000+ABS(1-$J42)*1000+160)+'計算A'!S$5*50+IF(AND($E42=1,JF42=0),25,0),INDEX('計算A'!S$110:S$114,$F42+1)+IF(AND($E42=1,JF42=0),1000,0)+IF($H42=1,(IF('計算A'!R$117=1,INDEX('計算A'!R$10:R$54,$B42),0)+IF('計算A'!S$117=1,INDEX('計算A'!T$10:T$54,$B42),0))*500,0)-IF(AND('計算A'!R$117=1,UP42&gt;0),300,0)-IF(AND($L42=1,'計算A'!S$117=1,DR42=0),300,0))),1000000))</f>
        <v/>
      </c>
      <c r="OV42">
        <f>IF($B42=0,1000000,IF(INDEX('計算A'!$D$60:$EQ$104,$B42,17)*DR42=1,IF(AND($E42=2,JG42=0),1000000,IF($I42&gt;0,IF(1=$J42,IF(OR(AND(17=$I42+1,OR($K42&lt;&gt;'計算A'!$A$3,'計算A'!$A$4=0)),AND(17=$I42-1,OR(17&lt;&gt;'計算A'!$A$3,'計算A'!$A$4=0))),0,IF(17=$K42,200000,ABS(17-$K42)*100)),100000+ABS(1-$J42)*1000+170)+'計算A'!T$5*50+IF(AND($E42=1,JG42=0),25,0),INDEX('計算A'!T$110:T$114,$F42+1)+IF(AND($E42=1,JG42=0),1000,0)+IF($H42=1,(IF('計算A'!S$117=1,INDEX('計算A'!S$10:S$54,$B42),0)+IF('計算A'!T$117=1,INDEX('計算A'!U$10:U$54,$B42),0))*500,0)-IF(AND('計算A'!S$117=1,UQ42&gt;0),300,0)-IF(AND($L42=1,'計算A'!T$117=1,DS42=0),300,0))),1000000))</f>
        <v/>
      </c>
      <c r="OW42">
        <f>IF($B42=0,1000000,IF(INDEX('計算A'!$D$60:$EQ$104,$B42,18)*DS42=1,IF(AND($E42=2,JH42=0),1000000,IF($I42&gt;0,IF(1=$J42,IF(OR(AND(18=$I42+1,OR($K42&lt;&gt;'計算A'!$A$3,'計算A'!$A$4=0)),AND(18=$I42-1,OR(18&lt;&gt;'計算A'!$A$3,'計算A'!$A$4=0))),0,IF(18=$K42,200000,ABS(18-$K42)*100)),100000+ABS(1-$J42)*1000+180)+'計算A'!U$5*50+IF(AND($E42=1,JH42=0),25,0),INDEX('計算A'!U$110:U$114,$F42+1)+IF(AND($E42=1,JH42=0),1000,0)+IF($H42=1,(IF('計算A'!T$117=1,INDEX('計算A'!T$10:T$54,$B42),0)+IF('計算A'!U$117=1,INDEX('計算A'!V$10:V$54,$B42),0))*500,0)-IF(AND('計算A'!T$117=1,UR42&gt;0),300,0)-IF(AND($L42=1,'計算A'!U$117=1,DT42=0),300,0))),1000000))</f>
        <v/>
      </c>
      <c r="OX42">
        <f>IF($B42=0,1000000,IF(INDEX('計算A'!$D$60:$EQ$104,$B42,19)*DT42=1,IF(AND($E42=2,JI42=0),1000000,IF($I42&gt;0,IF(1=$J42,IF(OR(AND(19=$I42+1,OR($K42&lt;&gt;'計算A'!$A$3,'計算A'!$A$4=0)),AND(19=$I42-1,OR(19&lt;&gt;'計算A'!$A$3,'計算A'!$A$4=0))),0,IF(19=$K42,200000,ABS(19-$K42)*100)),100000+ABS(1-$J42)*1000+190)+'計算A'!V$5*50+IF(AND($E42=1,JI42=0),25,0),INDEX('計算A'!V$110:V$114,$F42+1)+IF(AND($E42=1,JI42=0),1000,0)+IF($H42=1,(IF('計算A'!U$117=1,INDEX('計算A'!U$10:U$54,$B42),0)+IF('計算A'!V$117=1,INDEX('計算A'!W$10:W$54,$B42),0))*500,0)-IF(AND('計算A'!U$117=1,US42&gt;0),300,0)-IF(AND($L42=1,'計算A'!V$117=1,DU42=0),300,0))),1000000))</f>
        <v/>
      </c>
      <c r="OY42">
        <f>IF($B42=0,1000000,IF(INDEX('計算A'!$D$60:$EQ$104,$B42,20)*DU42=1,IF(AND($E42=2,JJ42=0),1000000,IF($I42&gt;0,IF(1=$J42,IF(OR(AND(20=$I42+1,OR($K42&lt;&gt;'計算A'!$A$3,'計算A'!$A$4=0)),AND(20=$I42-1,OR(20&lt;&gt;'計算A'!$A$3,'計算A'!$A$4=0))),0,IF(20=$K42,200000,ABS(20-$K42)*100)),100000+ABS(1-$J42)*1000+200)+'計算A'!W$5*50+IF(AND($E42=1,JJ42=0),25,0),INDEX('計算A'!W$110:W$114,$F42+1)+IF(AND($E42=1,JJ42=0),1000,0)+IF($H42=1,(IF('計算A'!V$117=1,INDEX('計算A'!V$10:V$54,$B42),0)+IF('計算A'!W$117=1,INDEX('計算A'!X$10:X$54,$B42),0))*500,0)-IF(AND('計算A'!V$117=1,UT42&gt;0),300,0)-IF(AND($L42=1,'計算A'!W$117=1,DV42=0),300,0))),1000000))</f>
        <v/>
      </c>
      <c r="OZ42">
        <f>IF($B42=0,1000000,IF(INDEX('計算A'!$D$60:$EQ$104,$B42,21)*DV42=1,IF(AND($E42=2,JK42=0),1000000,IF($I42&gt;0,IF(1=$J42,IF(OR(AND(21=$I42+1,OR($K42&lt;&gt;'計算A'!$A$3,'計算A'!$A$4=0)),AND(21=$I42-1,OR(21&lt;&gt;'計算A'!$A$3,'計算A'!$A$4=0))),0,IF(21=$K42,200000,ABS(21-$K42)*100)),100000+ABS(1-$J42)*1000+210)+'計算A'!X$5*50+IF(AND($E42=1,JK42=0),25,0),INDEX('計算A'!X$110:X$114,$F42+1)+IF(AND($E42=1,JK42=0),1000,0)+IF($H42=1,(IF('計算A'!W$117=1,INDEX('計算A'!W$10:W$54,$B42),0)+IF('計算A'!X$117=1,INDEX('計算A'!Y$10:Y$54,$B42),0))*500,0)-IF(AND('計算A'!W$117=1,UU42&gt;0),300,0)-IF(AND($L42=1,'計算A'!X$117=1,DW42=0),300,0))),1000000))</f>
        <v/>
      </c>
      <c r="PA42">
        <f>IF($B42=0,1000000,IF(INDEX('計算A'!$D$60:$EQ$104,$B42,22)*DW42=1,IF(AND($E42=2,JL42=0),1000000,IF($I42&gt;0,IF(1=$J42,IF(OR(AND(22=$I42+1,OR($K42&lt;&gt;'計算A'!$A$3,'計算A'!$A$4=0)),AND(22=$I42-1,OR(22&lt;&gt;'計算A'!$A$3,'計算A'!$A$4=0))),0,IF(22=$K42,200000,ABS(22-$K42)*100)),100000+ABS(1-$J42)*1000+220)+'計算A'!Y$5*50+IF(AND($E42=1,JL42=0),25,0),INDEX('計算A'!Y$110:Y$114,$F42+1)+IF(AND($E42=1,JL42=0),1000,0)+IF($H42=1,(IF('計算A'!X$117=1,INDEX('計算A'!X$10:X$54,$B42),0)+IF('計算A'!Y$117=1,INDEX('計算A'!Z$10:Z$54,$B42),0))*500,0)-IF(AND('計算A'!X$117=1,UV42&gt;0),300,0)-IF(AND($L42=1,'計算A'!Y$117=1,DX42=0),300,0))),1000000))</f>
        <v/>
      </c>
      <c r="PB42">
        <f>IF($B42=0,1000000,IF(INDEX('計算A'!$D$60:$EQ$104,$B42,23)*DX42=1,IF(AND($E42=2,JM42=0),1000000,IF($I42&gt;0,IF(1=$J42,IF(OR(AND(23=$I42+1,OR($K42&lt;&gt;'計算A'!$A$3,'計算A'!$A$4=0)),AND(23=$I42-1,OR(23&lt;&gt;'計算A'!$A$3,'計算A'!$A$4=0))),0,IF(23=$K42,200000,ABS(23-$K42)*100)),100000+ABS(1-$J42)*1000+230)+'計算A'!Z$5*50+IF(AND($E42=1,JM42=0),25,0),INDEX('計算A'!Z$110:Z$114,$F42+1)+IF(AND($E42=1,JM42=0),1000,0)+IF($H42=1,(IF('計算A'!Y$117=1,INDEX('計算A'!Y$10:Y$54,$B42),0)+IF('計算A'!Z$117=1,INDEX('計算A'!AA$10:AA$54,$B42),0))*500,0)-IF(AND('計算A'!Y$117=1,UW42&gt;0),300,0)-IF(AND($L42=1,'計算A'!Z$117=1,DY42=0),300,0))),1000000))</f>
        <v/>
      </c>
      <c r="PC42">
        <f>IF($B42=0,1000000,IF(INDEX('計算A'!$D$60:$EQ$104,$B42,24)*DY42=1,IF(AND($E42=2,JN42=0),1000000,IF($I42&gt;0,IF(1=$J42,IF(OR(AND(24=$I42+1,OR($K42&lt;&gt;'計算A'!$A$3,'計算A'!$A$4=0)),AND(24=$I42-1,OR(24&lt;&gt;'計算A'!$A$3,'計算A'!$A$4=0))),0,IF(24=$K42,200000,ABS(24-$K42)*100)),100000+ABS(1-$J42)*1000+240)+'計算A'!AA$5*50+IF(AND($E42=1,JN42=0),25,0),INDEX('計算A'!AA$110:AA$114,$F42+1)+IF(AND($E42=1,JN42=0),1000,0)+IF($H42=1,(IF('計算A'!Z$117=1,INDEX('計算A'!Z$10:Z$54,$B42),0))*500,0)-IF(AND('計算A'!Z$117=1,UX42&gt;0),300,0))),1000000))</f>
        <v/>
      </c>
      <c r="PD42">
        <f>IF($B42=0,1000000,IF(INDEX('計算A'!$D$60:$EQ$104,$B42,25)*DZ42=1,IF(AND($E42=2,JO42=0),1000000,IF($I42&gt;0,IF(2=$J42,IF(OR(AND(25=$I42+1,OR($K42&lt;&gt;'計算A'!$A$3,'計算A'!$A$4=0)),AND(25=$I42-1,OR(1&lt;&gt;'計算A'!$A$3,'計算A'!$A$4=0))),0,IF(1=$K42,200000,ABS(1-$K42)*100)),100000+ABS(2-$J42)*1000+10)+'計算A'!AB$5*50+IF(AND($E42=1,JO42=0),25,0),INDEX('計算A'!AB$110:AB$114,$F42+1)+IF(AND($E42=1,JO42=0),1000,0)+IF($H42=1,(IF('計算A'!AB$117=1,INDEX('計算A'!AC$10:AC$54,$B42),0))*500,0)-IF(AND($L42=1,'計算A'!AB$117=1,EA42=0),300,0))),1000000))</f>
        <v/>
      </c>
      <c r="PE42">
        <f>IF($B42=0,1000000,IF(INDEX('計算A'!$D$60:$EQ$104,$B42,26)*EA42=1,IF(AND($E42=2,JP42=0),1000000,IF($I42&gt;0,IF(2=$J42,IF(OR(AND(26=$I42+1,OR($K42&lt;&gt;'計算A'!$A$3,'計算A'!$A$4=0)),AND(26=$I42-1,OR(2&lt;&gt;'計算A'!$A$3,'計算A'!$A$4=0))),0,IF(2=$K42,200000,ABS(2-$K42)*100)),100000+ABS(2-$J42)*1000+20)+'計算A'!AC$5*50+IF(AND($E42=1,JP42=0),25,0),INDEX('計算A'!AC$110:AC$114,$F42+1)+IF(AND($E42=1,JP42=0),1000,0)+IF($H42=1,(IF('計算A'!AB$117=1,INDEX('計算A'!AB$10:AB$54,$B42),0)+IF('計算A'!AC$117=1,INDEX('計算A'!AD$10:AD$54,$B42),0))*500,0)-IF(AND('計算A'!AB$117=1,UZ42&gt;0),300,0)-IF(AND($L42=1,'計算A'!AC$117=1,EB42=0),300,0))),1000000))</f>
        <v/>
      </c>
      <c r="PF42">
        <f>IF($B42=0,1000000,IF(INDEX('計算A'!$D$60:$EQ$104,$B42,27)*EB42=1,IF(AND($E42=2,JQ42=0),1000000,IF($I42&gt;0,IF(2=$J42,IF(OR(AND(27=$I42+1,OR($K42&lt;&gt;'計算A'!$A$3,'計算A'!$A$4=0)),AND(27=$I42-1,OR(3&lt;&gt;'計算A'!$A$3,'計算A'!$A$4=0))),0,IF(3=$K42,200000,ABS(3-$K42)*100)),100000+ABS(2-$J42)*1000+30)+'計算A'!AD$5*50+IF(AND($E42=1,JQ42=0),25,0),INDEX('計算A'!AD$110:AD$114,$F42+1)+IF(AND($E42=1,JQ42=0),1000,0)+IF($H42=1,(IF('計算A'!AC$117=1,INDEX('計算A'!AC$10:AC$54,$B42),0)+IF('計算A'!AD$117=1,INDEX('計算A'!AE$10:AE$54,$B42),0))*500,0)-IF(AND('計算A'!AC$117=1,VA42&gt;0),300,0)-IF(AND($L42=1,'計算A'!AD$117=1,EC42=0),300,0))),1000000))</f>
        <v/>
      </c>
      <c r="PG42">
        <f>IF($B42=0,1000000,IF(INDEX('計算A'!$D$60:$EQ$104,$B42,28)*EC42=1,IF(AND($E42=2,JR42=0),1000000,IF($I42&gt;0,IF(2=$J42,IF(OR(AND(28=$I42+1,OR($K42&lt;&gt;'計算A'!$A$3,'計算A'!$A$4=0)),AND(28=$I42-1,OR(4&lt;&gt;'計算A'!$A$3,'計算A'!$A$4=0))),0,IF(4=$K42,200000,ABS(4-$K42)*100)),100000+ABS(2-$J42)*1000+40)+'計算A'!AE$5*50+IF(AND($E42=1,JR42=0),25,0),INDEX('計算A'!AE$110:AE$114,$F42+1)+IF(AND($E42=1,JR42=0),1000,0)+IF($H42=1,(IF('計算A'!AD$117=1,INDEX('計算A'!AD$10:AD$54,$B42),0)+IF('計算A'!AE$117=1,INDEX('計算A'!AF$10:AF$54,$B42),0))*500,0)-IF(AND('計算A'!AD$117=1,VB42&gt;0),300,0)-IF(AND($L42=1,'計算A'!AE$117=1,ED42=0),300,0))),1000000))</f>
        <v/>
      </c>
      <c r="PH42">
        <f>IF($B42=0,1000000,IF(INDEX('計算A'!$D$60:$EQ$104,$B42,29)*ED42=1,IF(AND($E42=2,JS42=0),1000000,IF($I42&gt;0,IF(2=$J42,IF(OR(AND(29=$I42+1,OR($K42&lt;&gt;'計算A'!$A$3,'計算A'!$A$4=0)),AND(29=$I42-1,OR(5&lt;&gt;'計算A'!$A$3,'計算A'!$A$4=0))),0,IF(5=$K42,200000,ABS(5-$K42)*100)),100000+ABS(2-$J42)*1000+50)+'計算A'!AF$5*50+IF(AND($E42=1,JS42=0),25,0),INDEX('計算A'!AF$110:AF$114,$F42+1)+IF(AND($E42=1,JS42=0),1000,0)+IF($H42=1,(IF('計算A'!AE$117=1,INDEX('計算A'!AE$10:AE$54,$B42),0)+IF('計算A'!AF$117=1,INDEX('計算A'!AG$10:AG$54,$B42),0))*500,0)-IF(AND('計算A'!AE$117=1,VC42&gt;0),300,0)-IF(AND($L42=1,'計算A'!AF$117=1,EE42=0),300,0))),1000000))</f>
        <v/>
      </c>
      <c r="PI42">
        <f>IF($B42=0,1000000,IF(INDEX('計算A'!$D$60:$EQ$104,$B42,30)*EE42=1,IF(AND($E42=2,JT42=0),1000000,IF($I42&gt;0,IF(2=$J42,IF(OR(AND(30=$I42+1,OR($K42&lt;&gt;'計算A'!$A$3,'計算A'!$A$4=0)),AND(30=$I42-1,OR(6&lt;&gt;'計算A'!$A$3,'計算A'!$A$4=0))),0,IF(6=$K42,200000,ABS(6-$K42)*100)),100000+ABS(2-$J42)*1000+60)+'計算A'!AG$5*50+IF(AND($E42=1,JT42=0),25,0),INDEX('計算A'!AG$110:AG$114,$F42+1)+IF(AND($E42=1,JT42=0),1000,0)+IF($H42=1,(IF('計算A'!AF$117=1,INDEX('計算A'!AF$10:AF$54,$B42),0)+IF('計算A'!AG$117=1,INDEX('計算A'!AH$10:AH$54,$B42),0))*500,0)-IF(AND('計算A'!AF$117=1,VD42&gt;0),300,0)-IF(AND($L42=1,'計算A'!AG$117=1,EF42=0),300,0))),1000000))</f>
        <v/>
      </c>
      <c r="PJ42">
        <f>IF($B42=0,1000000,IF(INDEX('計算A'!$D$60:$EQ$104,$B42,31)*EF42=1,IF(AND($E42=2,JU42=0),1000000,IF($I42&gt;0,IF(2=$J42,IF(OR(AND(31=$I42+1,OR($K42&lt;&gt;'計算A'!$A$3,'計算A'!$A$4=0)),AND(31=$I42-1,OR(7&lt;&gt;'計算A'!$A$3,'計算A'!$A$4=0))),0,IF(7=$K42,200000,ABS(7-$K42)*100)),100000+ABS(2-$J42)*1000+70)+'計算A'!AH$5*50+IF(AND($E42=1,JU42=0),25,0),INDEX('計算A'!AH$110:AH$114,$F42+1)+IF(AND($E42=1,JU42=0),1000,0)+IF($H42=1,(IF('計算A'!AG$117=1,INDEX('計算A'!AG$10:AG$54,$B42),0)+IF('計算A'!AH$117=1,INDEX('計算A'!AI$10:AI$54,$B42),0))*500,0)-IF(AND('計算A'!AG$117=1,VE42&gt;0),300,0)-IF(AND($L42=1,'計算A'!AH$117=1,EG42=0),300,0))),1000000))</f>
        <v/>
      </c>
      <c r="PK42">
        <f>IF($B42=0,1000000,IF(INDEX('計算A'!$D$60:$EQ$104,$B42,32)*EG42=1,IF(AND($E42=2,JV42=0),1000000,IF($I42&gt;0,IF(2=$J42,IF(OR(AND(32=$I42+1,OR($K42&lt;&gt;'計算A'!$A$3,'計算A'!$A$4=0)),AND(32=$I42-1,OR(8&lt;&gt;'計算A'!$A$3,'計算A'!$A$4=0))),0,IF(8=$K42,200000,ABS(8-$K42)*100)),100000+ABS(2-$J42)*1000+80)+'計算A'!AI$5*50+IF(AND($E42=1,JV42=0),25,0),INDEX('計算A'!AI$110:AI$114,$F42+1)+IF(AND($E42=1,JV42=0),1000,0)+IF($H42=1,(IF('計算A'!AH$117=1,INDEX('計算A'!AH$10:AH$54,$B42),0)+IF('計算A'!AI$117=1,INDEX('計算A'!AJ$10:AJ$54,$B42),0))*500,0)-IF(AND('計算A'!AH$117=1,VF42&gt;0),300,0)-IF(AND($L42=1,'計算A'!AI$117=1,EH42=0),300,0))),1000000))</f>
        <v/>
      </c>
      <c r="PL42">
        <f>IF($B42=0,1000000,IF(INDEX('計算A'!$D$60:$EQ$104,$B42,33)*EH42=1,IF(AND($E42=2,JW42=0),1000000,IF($I42&gt;0,IF(2=$J42,IF(OR(AND(33=$I42+1,OR($K42&lt;&gt;'計算A'!$A$3,'計算A'!$A$4=0)),AND(33=$I42-1,OR(9&lt;&gt;'計算A'!$A$3,'計算A'!$A$4=0))),0,IF(9=$K42,200000,ABS(9-$K42)*100)),100000+ABS(2-$J42)*1000+90)+'計算A'!AJ$5*50+IF(AND($E42=1,JW42=0),25,0),INDEX('計算A'!AJ$110:AJ$114,$F42+1)+IF(AND($E42=1,JW42=0),1000,0)+IF($H42=1,(IF('計算A'!AI$117=1,INDEX('計算A'!AI$10:AI$54,$B42),0)+IF('計算A'!AJ$117=1,INDEX('計算A'!AK$10:AK$54,$B42),0))*500,0)-IF(AND('計算A'!AI$117=1,VG42&gt;0),300,0)-IF(AND($L42=1,'計算A'!AJ$117=1,EI42=0),300,0))),1000000))</f>
        <v/>
      </c>
      <c r="PM42">
        <f>IF($B42=0,1000000,IF(INDEX('計算A'!$D$60:$EQ$104,$B42,34)*EI42=1,IF(AND($E42=2,JX42=0),1000000,IF($I42&gt;0,IF(2=$J42,IF(OR(AND(34=$I42+1,OR($K42&lt;&gt;'計算A'!$A$3,'計算A'!$A$4=0)),AND(34=$I42-1,OR(10&lt;&gt;'計算A'!$A$3,'計算A'!$A$4=0))),0,IF(10=$K42,200000,ABS(10-$K42)*100)),100000+ABS(2-$J42)*1000+100)+'計算A'!AK$5*50+IF(AND($E42=1,JX42=0),25,0),INDEX('計算A'!AK$110:AK$114,$F42+1)+IF(AND($E42=1,JX42=0),1000,0)+IF($H42=1,(IF('計算A'!AJ$117=1,INDEX('計算A'!AJ$10:AJ$54,$B42),0)+IF('計算A'!AK$117=1,INDEX('計算A'!AL$10:AL$54,$B42),0))*500,0)-IF(AND('計算A'!AJ$117=1,VH42&gt;0),300,0)-IF(AND($L42=1,'計算A'!AK$117=1,EJ42=0),300,0))),1000000))</f>
        <v/>
      </c>
      <c r="PN42">
        <f>IF($B42=0,1000000,IF(INDEX('計算A'!$D$60:$EQ$104,$B42,35)*EJ42=1,IF(AND($E42=2,JY42=0),1000000,IF($I42&gt;0,IF(2=$J42,IF(OR(AND(35=$I42+1,OR($K42&lt;&gt;'計算A'!$A$3,'計算A'!$A$4=0)),AND(35=$I42-1,OR(11&lt;&gt;'計算A'!$A$3,'計算A'!$A$4=0))),0,IF(11=$K42,200000,ABS(11-$K42)*100)),100000+ABS(2-$J42)*1000+110)+'計算A'!AL$5*50+IF(AND($E42=1,JY42=0),25,0),INDEX('計算A'!AL$110:AL$114,$F42+1)+IF(AND($E42=1,JY42=0),1000,0)+IF($H42=1,(IF('計算A'!AK$117=1,INDEX('計算A'!AK$10:AK$54,$B42),0)+IF('計算A'!AL$117=1,INDEX('計算A'!AM$10:AM$54,$B42),0))*500,0)-IF(AND('計算A'!AK$117=1,VI42&gt;0),300,0)-IF(AND($L42=1,'計算A'!AL$117=1,EK42=0),300,0))),1000000))</f>
        <v/>
      </c>
      <c r="PO42">
        <f>IF($B42=0,1000000,IF(INDEX('計算A'!$D$60:$EQ$104,$B42,36)*EK42=1,IF(AND($E42=2,JZ42=0),1000000,IF($I42&gt;0,IF(2=$J42,IF(OR(AND(36=$I42+1,OR($K42&lt;&gt;'計算A'!$A$3,'計算A'!$A$4=0)),AND(36=$I42-1,OR(12&lt;&gt;'計算A'!$A$3,'計算A'!$A$4=0))),0,IF(12=$K42,200000,ABS(12-$K42)*100)),100000+ABS(2-$J42)*1000+120)+'計算A'!AM$5*50+IF(AND($E42=1,JZ42=0),25,0),INDEX('計算A'!AM$110:AM$114,$F42+1)+IF(AND($E42=1,JZ42=0),1000,0)+IF($H42=1,(IF('計算A'!AL$117=1,INDEX('計算A'!AL$10:AL$54,$B42),0)+IF('計算A'!AM$117=1,INDEX('計算A'!AN$10:AN$54,$B42),0))*500,0)-IF(AND('計算A'!AL$117=1,VJ42&gt;0),300,0)-IF(AND($L42=1,'計算A'!AM$117=1,EL42=0),300,0))),1000000))</f>
        <v/>
      </c>
      <c r="PP42">
        <f>IF($B42=0,1000000,IF(INDEX('計算A'!$D$60:$EQ$104,$B42,37)*EL42=1,IF(AND($E42=2,KA42=0),1000000,IF($I42&gt;0,IF(2=$J42,IF(OR(AND(37=$I42+1,OR($K42&lt;&gt;'計算A'!$A$3,'計算A'!$A$4=0)),AND(37=$I42-1,OR(13&lt;&gt;'計算A'!$A$3,'計算A'!$A$4=0))),0,IF(13=$K42,200000,ABS(13-$K42)*100)),100000+ABS(2-$J42)*1000+130)+'計算A'!AN$5*50+IF(AND($E42=1,KA42=0),25,0),INDEX('計算A'!AN$110:AN$114,$F42+1)+IF(AND($E42=1,KA42=0),1000,0)+IF($H42=1,(IF('計算A'!AM$117=1,INDEX('計算A'!AM$10:AM$54,$B42),0)+IF('計算A'!AN$117=1,INDEX('計算A'!AO$10:AO$54,$B42),0))*500,0)-IF(AND('計算A'!AM$117=1,VK42&gt;0),300,0)-IF(AND($L42=1,'計算A'!AN$117=1,EM42=0),300,0))),1000000))</f>
        <v/>
      </c>
      <c r="PQ42">
        <f>IF($B42=0,1000000,IF(INDEX('計算A'!$D$60:$EQ$104,$B42,38)*EM42=1,IF(AND($E42=2,KB42=0),1000000,IF($I42&gt;0,IF(2=$J42,IF(OR(AND(38=$I42+1,OR($K42&lt;&gt;'計算A'!$A$3,'計算A'!$A$4=0)),AND(38=$I42-1,OR(14&lt;&gt;'計算A'!$A$3,'計算A'!$A$4=0))),0,IF(14=$K42,200000,ABS(14-$K42)*100)),100000+ABS(2-$J42)*1000+140)+'計算A'!AO$5*50+IF(AND($E42=1,KB42=0),25,0),INDEX('計算A'!AO$110:AO$114,$F42+1)+IF(AND($E42=1,KB42=0),1000,0)+IF($H42=1,(IF('計算A'!AN$117=1,INDEX('計算A'!AN$10:AN$54,$B42),0)+IF('計算A'!AO$117=1,INDEX('計算A'!AP$10:AP$54,$B42),0))*500,0)-IF(AND('計算A'!AN$117=1,VL42&gt;0),300,0)-IF(AND($L42=1,'計算A'!AO$117=1,EN42=0),300,0))),1000000))</f>
        <v/>
      </c>
      <c r="PR42">
        <f>IF($B42=0,1000000,IF(INDEX('計算A'!$D$60:$EQ$104,$B42,39)*EN42=1,IF(AND($E42=2,KC42=0),1000000,IF($I42&gt;0,IF(2=$J42,IF(OR(AND(39=$I42+1,OR($K42&lt;&gt;'計算A'!$A$3,'計算A'!$A$4=0)),AND(39=$I42-1,OR(15&lt;&gt;'計算A'!$A$3,'計算A'!$A$4=0))),0,IF(15=$K42,200000,ABS(15-$K42)*100)),100000+ABS(2-$J42)*1000+150)+'計算A'!AP$5*50+IF(AND($E42=1,KC42=0),25,0),INDEX('計算A'!AP$110:AP$114,$F42+1)+IF(AND($E42=1,KC42=0),1000,0)+IF($H42=1,(IF('計算A'!AO$117=1,INDEX('計算A'!AO$10:AO$54,$B42),0)+IF('計算A'!AP$117=1,INDEX('計算A'!AQ$10:AQ$54,$B42),0))*500,0)-IF(AND('計算A'!AO$117=1,VM42&gt;0),300,0)-IF(AND($L42=1,'計算A'!AP$117=1,EO42=0),300,0))),1000000))</f>
        <v/>
      </c>
      <c r="PS42">
        <f>IF($B42=0,1000000,IF(INDEX('計算A'!$D$60:$EQ$104,$B42,40)*EO42=1,IF(AND($E42=2,KD42=0),1000000,IF($I42&gt;0,IF(2=$J42,IF(OR(AND(40=$I42+1,OR($K42&lt;&gt;'計算A'!$A$3,'計算A'!$A$4=0)),AND(40=$I42-1,OR(16&lt;&gt;'計算A'!$A$3,'計算A'!$A$4=0))),0,IF(16=$K42,200000,ABS(16-$K42)*100)),100000+ABS(2-$J42)*1000+160)+'計算A'!AQ$5*50+IF(AND($E42=1,KD42=0),25,0),INDEX('計算A'!AQ$110:AQ$114,$F42+1)+IF(AND($E42=1,KD42=0),1000,0)+IF($H42=1,(IF('計算A'!AP$117=1,INDEX('計算A'!AP$10:AP$54,$B42),0)+IF('計算A'!AQ$117=1,INDEX('計算A'!AR$10:AR$54,$B42),0))*500,0)-IF(AND('計算A'!AP$117=1,VN42&gt;0),300,0)-IF(AND($L42=1,'計算A'!AQ$117=1,EP42=0),300,0))),1000000))</f>
        <v/>
      </c>
      <c r="PT42">
        <f>IF($B42=0,1000000,IF(INDEX('計算A'!$D$60:$EQ$104,$B42,41)*EP42=1,IF(AND($E42=2,KE42=0),1000000,IF($I42&gt;0,IF(2=$J42,IF(OR(AND(41=$I42+1,OR($K42&lt;&gt;'計算A'!$A$3,'計算A'!$A$4=0)),AND(41=$I42-1,OR(17&lt;&gt;'計算A'!$A$3,'計算A'!$A$4=0))),0,IF(17=$K42,200000,ABS(17-$K42)*100)),100000+ABS(2-$J42)*1000+170)+'計算A'!AR$5*50+IF(AND($E42=1,KE42=0),25,0),INDEX('計算A'!AR$110:AR$114,$F42+1)+IF(AND($E42=1,KE42=0),1000,0)+IF($H42=1,(IF('計算A'!AQ$117=1,INDEX('計算A'!AQ$10:AQ$54,$B42),0)+IF('計算A'!AR$117=1,INDEX('計算A'!AS$10:AS$54,$B42),0))*500,0)-IF(AND('計算A'!AQ$117=1,VO42&gt;0),300,0)-IF(AND($L42=1,'計算A'!AR$117=1,EQ42=0),300,0))),1000000))</f>
        <v/>
      </c>
      <c r="PU42">
        <f>IF($B42=0,1000000,IF(INDEX('計算A'!$D$60:$EQ$104,$B42,42)*EQ42=1,IF(AND($E42=2,KF42=0),1000000,IF($I42&gt;0,IF(2=$J42,IF(OR(AND(42=$I42+1,OR($K42&lt;&gt;'計算A'!$A$3,'計算A'!$A$4=0)),AND(42=$I42-1,OR(18&lt;&gt;'計算A'!$A$3,'計算A'!$A$4=0))),0,IF(18=$K42,200000,ABS(18-$K42)*100)),100000+ABS(2-$J42)*1000+180)+'計算A'!AS$5*50+IF(AND($E42=1,KF42=0),25,0),INDEX('計算A'!AS$110:AS$114,$F42+1)+IF(AND($E42=1,KF42=0),1000,0)+IF($H42=1,(IF('計算A'!AR$117=1,INDEX('計算A'!AR$10:AR$54,$B42),0)+IF('計算A'!AS$117=1,INDEX('計算A'!AT$10:AT$54,$B42),0))*500,0)-IF(AND('計算A'!AR$117=1,VP42&gt;0),300,0)-IF(AND($L42=1,'計算A'!AS$117=1,ER42=0),300,0))),1000000))</f>
        <v/>
      </c>
      <c r="PV42">
        <f>IF($B42=0,1000000,IF(INDEX('計算A'!$D$60:$EQ$104,$B42,43)*ER42=1,IF(AND($E42=2,KG42=0),1000000,IF($I42&gt;0,IF(2=$J42,IF(OR(AND(43=$I42+1,OR($K42&lt;&gt;'計算A'!$A$3,'計算A'!$A$4=0)),AND(43=$I42-1,OR(19&lt;&gt;'計算A'!$A$3,'計算A'!$A$4=0))),0,IF(19=$K42,200000,ABS(19-$K42)*100)),100000+ABS(2-$J42)*1000+190)+'計算A'!AT$5*50+IF(AND($E42=1,KG42=0),25,0),INDEX('計算A'!AT$110:AT$114,$F42+1)+IF(AND($E42=1,KG42=0),1000,0)+IF($H42=1,(IF('計算A'!AS$117=1,INDEX('計算A'!AS$10:AS$54,$B42),0)+IF('計算A'!AT$117=1,INDEX('計算A'!AU$10:AU$54,$B42),0))*500,0)-IF(AND('計算A'!AS$117=1,VQ42&gt;0),300,0)-IF(AND($L42=1,'計算A'!AT$117=1,ES42=0),300,0))),1000000))</f>
        <v/>
      </c>
      <c r="PW42">
        <f>IF($B42=0,1000000,IF(INDEX('計算A'!$D$60:$EQ$104,$B42,44)*ES42=1,IF(AND($E42=2,KH42=0),1000000,IF($I42&gt;0,IF(2=$J42,IF(OR(AND(44=$I42+1,OR($K42&lt;&gt;'計算A'!$A$3,'計算A'!$A$4=0)),AND(44=$I42-1,OR(20&lt;&gt;'計算A'!$A$3,'計算A'!$A$4=0))),0,IF(20=$K42,200000,ABS(20-$K42)*100)),100000+ABS(2-$J42)*1000+200)+'計算A'!AU$5*50+IF(AND($E42=1,KH42=0),25,0),INDEX('計算A'!AU$110:AU$114,$F42+1)+IF(AND($E42=1,KH42=0),1000,0)+IF($H42=1,(IF('計算A'!AT$117=1,INDEX('計算A'!AT$10:AT$54,$B42),0)+IF('計算A'!AU$117=1,INDEX('計算A'!AV$10:AV$54,$B42),0))*500,0)-IF(AND('計算A'!AT$117=1,VR42&gt;0),300,0)-IF(AND($L42=1,'計算A'!AU$117=1,ET42=0),300,0))),1000000))</f>
        <v/>
      </c>
      <c r="PX42">
        <f>IF($B42=0,1000000,IF(INDEX('計算A'!$D$60:$EQ$104,$B42,45)*ET42=1,IF(AND($E42=2,KI42=0),1000000,IF($I42&gt;0,IF(2=$J42,IF(OR(AND(45=$I42+1,OR($K42&lt;&gt;'計算A'!$A$3,'計算A'!$A$4=0)),AND(45=$I42-1,OR(21&lt;&gt;'計算A'!$A$3,'計算A'!$A$4=0))),0,IF(21=$K42,200000,ABS(21-$K42)*100)),100000+ABS(2-$J42)*1000+210)+'計算A'!AV$5*50+IF(AND($E42=1,KI42=0),25,0),INDEX('計算A'!AV$110:AV$114,$F42+1)+IF(AND($E42=1,KI42=0),1000,0)+IF($H42=1,(IF('計算A'!AU$117=1,INDEX('計算A'!AU$10:AU$54,$B42),0)+IF('計算A'!AV$117=1,INDEX('計算A'!AW$10:AW$54,$B42),0))*500,0)-IF(AND('計算A'!AU$117=1,VS42&gt;0),300,0)-IF(AND($L42=1,'計算A'!AV$117=1,EU42=0),300,0))),1000000))</f>
        <v/>
      </c>
      <c r="PY42">
        <f>IF($B42=0,1000000,IF(INDEX('計算A'!$D$60:$EQ$104,$B42,46)*EU42=1,IF(AND($E42=2,KJ42=0),1000000,IF($I42&gt;0,IF(2=$J42,IF(OR(AND(46=$I42+1,OR($K42&lt;&gt;'計算A'!$A$3,'計算A'!$A$4=0)),AND(46=$I42-1,OR(22&lt;&gt;'計算A'!$A$3,'計算A'!$A$4=0))),0,IF(22=$K42,200000,ABS(22-$K42)*100)),100000+ABS(2-$J42)*1000+220)+'計算A'!AW$5*50+IF(AND($E42=1,KJ42=0),25,0),INDEX('計算A'!AW$110:AW$114,$F42+1)+IF(AND($E42=1,KJ42=0),1000,0)+IF($H42=1,(IF('計算A'!AV$117=1,INDEX('計算A'!AV$10:AV$54,$B42),0)+IF('計算A'!AW$117=1,INDEX('計算A'!AX$10:AX$54,$B42),0))*500,0)-IF(AND('計算A'!AV$117=1,VT42&gt;0),300,0)-IF(AND($L42=1,'計算A'!AW$117=1,EV42=0),300,0))),1000000))</f>
        <v/>
      </c>
      <c r="PZ42">
        <f>IF($B42=0,1000000,IF(INDEX('計算A'!$D$60:$EQ$104,$B42,47)*EV42=1,IF(AND($E42=2,KK42=0),1000000,IF($I42&gt;0,IF(2=$J42,IF(OR(AND(47=$I42+1,OR($K42&lt;&gt;'計算A'!$A$3,'計算A'!$A$4=0)),AND(47=$I42-1,OR(23&lt;&gt;'計算A'!$A$3,'計算A'!$A$4=0))),0,IF(23=$K42,200000,ABS(23-$K42)*100)),100000+ABS(2-$J42)*1000+230)+'計算A'!AX$5*50+IF(AND($E42=1,KK42=0),25,0),INDEX('計算A'!AX$110:AX$114,$F42+1)+IF(AND($E42=1,KK42=0),1000,0)+IF($H42=1,(IF('計算A'!AW$117=1,INDEX('計算A'!AW$10:AW$54,$B42),0)+IF('計算A'!AX$117=1,INDEX('計算A'!AY$10:AY$54,$B42),0))*500,0)-IF(AND('計算A'!AW$117=1,VU42&gt;0),300,0)-IF(AND($L42=1,'計算A'!AX$117=1,EW42=0),300,0))),1000000))</f>
        <v/>
      </c>
      <c r="QA42">
        <f>IF($B42=0,1000000,IF(INDEX('計算A'!$D$60:$EQ$104,$B42,48)*EW42=1,IF(AND($E42=2,KL42=0),1000000,IF($I42&gt;0,IF(2=$J42,IF(OR(AND(48=$I42+1,OR($K42&lt;&gt;'計算A'!$A$3,'計算A'!$A$4=0)),AND(48=$I42-1,OR(24&lt;&gt;'計算A'!$A$3,'計算A'!$A$4=0))),0,IF(24=$K42,200000,ABS(24-$K42)*100)),100000+ABS(2-$J42)*1000+240)+'計算A'!AY$5*50+IF(AND($E42=1,KL42=0),25,0),INDEX('計算A'!AY$110:AY$114,$F42+1)+IF(AND($E42=1,KL42=0),1000,0)+IF($H42=1,(IF('計算A'!AX$117=1,INDEX('計算A'!AX$10:AX$54,$B42),0))*500,0)-IF(AND('計算A'!AX$117=1,VV42&gt;0),300,0))),1000000))</f>
        <v/>
      </c>
      <c r="QB42">
        <f>IF($B42=0,1000000,IF(INDEX('計算A'!$D$60:$EQ$104,$B42,49)*EX42=1,IF(AND($E42=2,KM42=0),1000000,IF($I42&gt;0,IF(3=$J42,IF(OR(AND(49=$I42+1,OR($K42&lt;&gt;'計算A'!$A$3,'計算A'!$A$4=0)),AND(49=$I42-1,OR(1&lt;&gt;'計算A'!$A$3,'計算A'!$A$4=0))),0,IF(1=$K42,200000,ABS(1-$K42)*100)),100000+ABS(3-$J42)*1000+10)+'計算A'!AZ$5*50+IF(AND($E42=1,KM42=0),25,0),INDEX('計算A'!AZ$110:AZ$114,$F42+1)+IF(AND($E42=1,KM42=0),1000,0)+IF($H42=1,(IF('計算A'!AZ$117=1,INDEX('計算A'!BA$10:BA$54,$B42),0))*500,0)-IF(AND($L42=1,'計算A'!AZ$117=1,EY42=0),300,0))),1000000))</f>
        <v/>
      </c>
      <c r="QC42">
        <f>IF($B42=0,1000000,IF(INDEX('計算A'!$D$60:$EQ$104,$B42,50)*EY42=1,IF(AND($E42=2,KN42=0),1000000,IF($I42&gt;0,IF(3=$J42,IF(OR(AND(50=$I42+1,OR($K42&lt;&gt;'計算A'!$A$3,'計算A'!$A$4=0)),AND(50=$I42-1,OR(2&lt;&gt;'計算A'!$A$3,'計算A'!$A$4=0))),0,IF(2=$K42,200000,ABS(2-$K42)*100)),100000+ABS(3-$J42)*1000+20)+'計算A'!BA$5*50+IF(AND($E42=1,KN42=0),25,0),INDEX('計算A'!BA$110:BA$114,$F42+1)+IF(AND($E42=1,KN42=0),1000,0)+IF($H42=1,(IF('計算A'!AZ$117=1,INDEX('計算A'!AZ$10:AZ$54,$B42),0)+IF('計算A'!BA$117=1,INDEX('計算A'!BB$10:BB$54,$B42),0))*500,0)-IF(AND('計算A'!AZ$117=1,VX42&gt;0),300,0)-IF(AND($L42=1,'計算A'!BA$117=1,EZ42=0),300,0))),1000000))</f>
        <v/>
      </c>
      <c r="QD42">
        <f>IF($B42=0,1000000,IF(INDEX('計算A'!$D$60:$EQ$104,$B42,51)*EZ42=1,IF(AND($E42=2,KO42=0),1000000,IF($I42&gt;0,IF(3=$J42,IF(OR(AND(51=$I42+1,OR($K42&lt;&gt;'計算A'!$A$3,'計算A'!$A$4=0)),AND(51=$I42-1,OR(3&lt;&gt;'計算A'!$A$3,'計算A'!$A$4=0))),0,IF(3=$K42,200000,ABS(3-$K42)*100)),100000+ABS(3-$J42)*1000+30)+'計算A'!BB$5*50+IF(AND($E42=1,KO42=0),25,0),INDEX('計算A'!BB$110:BB$114,$F42+1)+IF(AND($E42=1,KO42=0),1000,0)+IF($H42=1,(IF('計算A'!BA$117=1,INDEX('計算A'!BA$10:BA$54,$B42),0)+IF('計算A'!BB$117=1,INDEX('計算A'!BC$10:BC$54,$B42),0))*500,0)-IF(AND('計算A'!BA$117=1,VY42&gt;0),300,0)-IF(AND($L42=1,'計算A'!BB$117=1,FA42=0),300,0))),1000000))</f>
        <v/>
      </c>
      <c r="QE42">
        <f>IF($B42=0,1000000,IF(INDEX('計算A'!$D$60:$EQ$104,$B42,52)*FA42=1,IF(AND($E42=2,KP42=0),1000000,IF($I42&gt;0,IF(3=$J42,IF(OR(AND(52=$I42+1,OR($K42&lt;&gt;'計算A'!$A$3,'計算A'!$A$4=0)),AND(52=$I42-1,OR(4&lt;&gt;'計算A'!$A$3,'計算A'!$A$4=0))),0,IF(4=$K42,200000,ABS(4-$K42)*100)),100000+ABS(3-$J42)*1000+40)+'計算A'!BC$5*50+IF(AND($E42=1,KP42=0),25,0),INDEX('計算A'!BC$110:BC$114,$F42+1)+IF(AND($E42=1,KP42=0),1000,0)+IF($H42=1,(IF('計算A'!BB$117=1,INDEX('計算A'!BB$10:BB$54,$B42),0)+IF('計算A'!BC$117=1,INDEX('計算A'!BD$10:BD$54,$B42),0))*500,0)-IF(AND('計算A'!BB$117=1,VZ42&gt;0),300,0)-IF(AND($L42=1,'計算A'!BC$117=1,FB42=0),300,0))),1000000))</f>
        <v/>
      </c>
      <c r="QF42">
        <f>IF($B42=0,1000000,IF(INDEX('計算A'!$D$60:$EQ$104,$B42,53)*FB42=1,IF(AND($E42=2,KQ42=0),1000000,IF($I42&gt;0,IF(3=$J42,IF(OR(AND(53=$I42+1,OR($K42&lt;&gt;'計算A'!$A$3,'計算A'!$A$4=0)),AND(53=$I42-1,OR(5&lt;&gt;'計算A'!$A$3,'計算A'!$A$4=0))),0,IF(5=$K42,200000,ABS(5-$K42)*100)),100000+ABS(3-$J42)*1000+50)+'計算A'!BD$5*50+IF(AND($E42=1,KQ42=0),25,0),INDEX('計算A'!BD$110:BD$114,$F42+1)+IF(AND($E42=1,KQ42=0),1000,0)+IF($H42=1,(IF('計算A'!BC$117=1,INDEX('計算A'!BC$10:BC$54,$B42),0)+IF('計算A'!BD$117=1,INDEX('計算A'!BE$10:BE$54,$B42),0))*500,0)-IF(AND('計算A'!BC$117=1,WA42&gt;0),300,0)-IF(AND($L42=1,'計算A'!BD$117=1,FC42=0),300,0))),1000000))</f>
        <v/>
      </c>
      <c r="QG42">
        <f>IF($B42=0,1000000,IF(INDEX('計算A'!$D$60:$EQ$104,$B42,54)*FC42=1,IF(AND($E42=2,KR42=0),1000000,IF($I42&gt;0,IF(3=$J42,IF(OR(AND(54=$I42+1,OR($K42&lt;&gt;'計算A'!$A$3,'計算A'!$A$4=0)),AND(54=$I42-1,OR(6&lt;&gt;'計算A'!$A$3,'計算A'!$A$4=0))),0,IF(6=$K42,200000,ABS(6-$K42)*100)),100000+ABS(3-$J42)*1000+60)+'計算A'!BE$5*50+IF(AND($E42=1,KR42=0),25,0),INDEX('計算A'!BE$110:BE$114,$F42+1)+IF(AND($E42=1,KR42=0),1000,0)+IF($H42=1,(IF('計算A'!BD$117=1,INDEX('計算A'!BD$10:BD$54,$B42),0)+IF('計算A'!BE$117=1,INDEX('計算A'!BF$10:BF$54,$B42),0))*500,0)-IF(AND('計算A'!BD$117=1,WB42&gt;0),300,0)-IF(AND($L42=1,'計算A'!BE$117=1,FD42=0),300,0))),1000000))</f>
        <v/>
      </c>
      <c r="QH42">
        <f>IF($B42=0,1000000,IF(INDEX('計算A'!$D$60:$EQ$104,$B42,55)*FD42=1,IF(AND($E42=2,KS42=0),1000000,IF($I42&gt;0,IF(3=$J42,IF(OR(AND(55=$I42+1,OR($K42&lt;&gt;'計算A'!$A$3,'計算A'!$A$4=0)),AND(55=$I42-1,OR(7&lt;&gt;'計算A'!$A$3,'計算A'!$A$4=0))),0,IF(7=$K42,200000,ABS(7-$K42)*100)),100000+ABS(3-$J42)*1000+70)+'計算A'!BF$5*50+IF(AND($E42=1,KS42=0),25,0),INDEX('計算A'!BF$110:BF$114,$F42+1)+IF(AND($E42=1,KS42=0),1000,0)+IF($H42=1,(IF('計算A'!BE$117=1,INDEX('計算A'!BE$10:BE$54,$B42),0)+IF('計算A'!BF$117=1,INDEX('計算A'!BG$10:BG$54,$B42),0))*500,0)-IF(AND('計算A'!BE$117=1,WC42&gt;0),300,0)-IF(AND($L42=1,'計算A'!BF$117=1,FE42=0),300,0))),1000000))</f>
        <v/>
      </c>
      <c r="QI42">
        <f>IF($B42=0,1000000,IF(INDEX('計算A'!$D$60:$EQ$104,$B42,56)*FE42=1,IF(AND($E42=2,KT42=0),1000000,IF($I42&gt;0,IF(3=$J42,IF(OR(AND(56=$I42+1,OR($K42&lt;&gt;'計算A'!$A$3,'計算A'!$A$4=0)),AND(56=$I42-1,OR(8&lt;&gt;'計算A'!$A$3,'計算A'!$A$4=0))),0,IF(8=$K42,200000,ABS(8-$K42)*100)),100000+ABS(3-$J42)*1000+80)+'計算A'!BG$5*50+IF(AND($E42=1,KT42=0),25,0),INDEX('計算A'!BG$110:BG$114,$F42+1)+IF(AND($E42=1,KT42=0),1000,0)+IF($H42=1,(IF('計算A'!BF$117=1,INDEX('計算A'!BF$10:BF$54,$B42),0)+IF('計算A'!BG$117=1,INDEX('計算A'!BH$10:BH$54,$B42),0))*500,0)-IF(AND('計算A'!BF$117=1,WD42&gt;0),300,0)-IF(AND($L42=1,'計算A'!BG$117=1,FF42=0),300,0))),1000000))</f>
        <v/>
      </c>
      <c r="QJ42">
        <f>IF($B42=0,1000000,IF(INDEX('計算A'!$D$60:$EQ$104,$B42,57)*FF42=1,IF(AND($E42=2,KU42=0),1000000,IF($I42&gt;0,IF(3=$J42,IF(OR(AND(57=$I42+1,OR($K42&lt;&gt;'計算A'!$A$3,'計算A'!$A$4=0)),AND(57=$I42-1,OR(9&lt;&gt;'計算A'!$A$3,'計算A'!$A$4=0))),0,IF(9=$K42,200000,ABS(9-$K42)*100)),100000+ABS(3-$J42)*1000+90)+'計算A'!BH$5*50+IF(AND($E42=1,KU42=0),25,0),INDEX('計算A'!BH$110:BH$114,$F42+1)+IF(AND($E42=1,KU42=0),1000,0)+IF($H42=1,(IF('計算A'!BG$117=1,INDEX('計算A'!BG$10:BG$54,$B42),0)+IF('計算A'!BH$117=1,INDEX('計算A'!BI$10:BI$54,$B42),0))*500,0)-IF(AND('計算A'!BG$117=1,WE42&gt;0),300,0)-IF(AND($L42=1,'計算A'!BH$117=1,FG42=0),300,0))),1000000))</f>
        <v/>
      </c>
      <c r="QK42">
        <f>IF($B42=0,1000000,IF(INDEX('計算A'!$D$60:$EQ$104,$B42,58)*FG42=1,IF(AND($E42=2,KV42=0),1000000,IF($I42&gt;0,IF(3=$J42,IF(OR(AND(58=$I42+1,OR($K42&lt;&gt;'計算A'!$A$3,'計算A'!$A$4=0)),AND(58=$I42-1,OR(10&lt;&gt;'計算A'!$A$3,'計算A'!$A$4=0))),0,IF(10=$K42,200000,ABS(10-$K42)*100)),100000+ABS(3-$J42)*1000+100)+'計算A'!BI$5*50+IF(AND($E42=1,KV42=0),25,0),INDEX('計算A'!BI$110:BI$114,$F42+1)+IF(AND($E42=1,KV42=0),1000,0)+IF($H42=1,(IF('計算A'!BH$117=1,INDEX('計算A'!BH$10:BH$54,$B42),0)+IF('計算A'!BI$117=1,INDEX('計算A'!BJ$10:BJ$54,$B42),0))*500,0)-IF(AND('計算A'!BH$117=1,WF42&gt;0),300,0)-IF(AND($L42=1,'計算A'!BI$117=1,FH42=0),300,0))),1000000))</f>
        <v/>
      </c>
      <c r="QL42">
        <f>IF($B42=0,1000000,IF(INDEX('計算A'!$D$60:$EQ$104,$B42,59)*FH42=1,IF(AND($E42=2,KW42=0),1000000,IF($I42&gt;0,IF(3=$J42,IF(OR(AND(59=$I42+1,OR($K42&lt;&gt;'計算A'!$A$3,'計算A'!$A$4=0)),AND(59=$I42-1,OR(11&lt;&gt;'計算A'!$A$3,'計算A'!$A$4=0))),0,IF(11=$K42,200000,ABS(11-$K42)*100)),100000+ABS(3-$J42)*1000+110)+'計算A'!BJ$5*50+IF(AND($E42=1,KW42=0),25,0),INDEX('計算A'!BJ$110:BJ$114,$F42+1)+IF(AND($E42=1,KW42=0),1000,0)+IF($H42=1,(IF('計算A'!BI$117=1,INDEX('計算A'!BI$10:BI$54,$B42),0)+IF('計算A'!BJ$117=1,INDEX('計算A'!BK$10:BK$54,$B42),0))*500,0)-IF(AND('計算A'!BI$117=1,WG42&gt;0),300,0)-IF(AND($L42=1,'計算A'!BJ$117=1,FI42=0),300,0))),1000000))</f>
        <v/>
      </c>
      <c r="QM42">
        <f>IF($B42=0,1000000,IF(INDEX('計算A'!$D$60:$EQ$104,$B42,60)*FI42=1,IF(AND($E42=2,KX42=0),1000000,IF($I42&gt;0,IF(3=$J42,IF(OR(AND(60=$I42+1,OR($K42&lt;&gt;'計算A'!$A$3,'計算A'!$A$4=0)),AND(60=$I42-1,OR(12&lt;&gt;'計算A'!$A$3,'計算A'!$A$4=0))),0,IF(12=$K42,200000,ABS(12-$K42)*100)),100000+ABS(3-$J42)*1000+120)+'計算A'!BK$5*50+IF(AND($E42=1,KX42=0),25,0),INDEX('計算A'!BK$110:BK$114,$F42+1)+IF(AND($E42=1,KX42=0),1000,0)+IF($H42=1,(IF('計算A'!BJ$117=1,INDEX('計算A'!BJ$10:BJ$54,$B42),0)+IF('計算A'!BK$117=1,INDEX('計算A'!BL$10:BL$54,$B42),0))*500,0)-IF(AND('計算A'!BJ$117=1,WH42&gt;0),300,0)-IF(AND($L42=1,'計算A'!BK$117=1,FJ42=0),300,0))),1000000))</f>
        <v/>
      </c>
      <c r="QN42">
        <f>IF($B42=0,1000000,IF(INDEX('計算A'!$D$60:$EQ$104,$B42,61)*FJ42=1,IF(AND($E42=2,KY42=0),1000000,IF($I42&gt;0,IF(3=$J42,IF(OR(AND(61=$I42+1,OR($K42&lt;&gt;'計算A'!$A$3,'計算A'!$A$4=0)),AND(61=$I42-1,OR(13&lt;&gt;'計算A'!$A$3,'計算A'!$A$4=0))),0,IF(13=$K42,200000,ABS(13-$K42)*100)),100000+ABS(3-$J42)*1000+130)+'計算A'!BL$5*50+IF(AND($E42=1,KY42=0),25,0),INDEX('計算A'!BL$110:BL$114,$F42+1)+IF(AND($E42=1,KY42=0),1000,0)+IF($H42=1,(IF('計算A'!BK$117=1,INDEX('計算A'!BK$10:BK$54,$B42),0)+IF('計算A'!BL$117=1,INDEX('計算A'!BM$10:BM$54,$B42),0))*500,0)-IF(AND('計算A'!BK$117=1,WI42&gt;0),300,0)-IF(AND($L42=1,'計算A'!BL$117=1,FK42=0),300,0))),1000000))</f>
        <v/>
      </c>
      <c r="QO42">
        <f>IF($B42=0,1000000,IF(INDEX('計算A'!$D$60:$EQ$104,$B42,62)*FK42=1,IF(AND($E42=2,KZ42=0),1000000,IF($I42&gt;0,IF(3=$J42,IF(OR(AND(62=$I42+1,OR($K42&lt;&gt;'計算A'!$A$3,'計算A'!$A$4=0)),AND(62=$I42-1,OR(14&lt;&gt;'計算A'!$A$3,'計算A'!$A$4=0))),0,IF(14=$K42,200000,ABS(14-$K42)*100)),100000+ABS(3-$J42)*1000+140)+'計算A'!BM$5*50+IF(AND($E42=1,KZ42=0),25,0),INDEX('計算A'!BM$110:BM$114,$F42+1)+IF(AND($E42=1,KZ42=0),1000,0)+IF($H42=1,(IF('計算A'!BL$117=1,INDEX('計算A'!BL$10:BL$54,$B42),0)+IF('計算A'!BM$117=1,INDEX('計算A'!BN$10:BN$54,$B42),0))*500,0)-IF(AND('計算A'!BL$117=1,WJ42&gt;0),300,0)-IF(AND($L42=1,'計算A'!BM$117=1,FL42=0),300,0))),1000000))</f>
        <v/>
      </c>
      <c r="QP42">
        <f>IF($B42=0,1000000,IF(INDEX('計算A'!$D$60:$EQ$104,$B42,63)*FL42=1,IF(AND($E42=2,LA42=0),1000000,IF($I42&gt;0,IF(3=$J42,IF(OR(AND(63=$I42+1,OR($K42&lt;&gt;'計算A'!$A$3,'計算A'!$A$4=0)),AND(63=$I42-1,OR(15&lt;&gt;'計算A'!$A$3,'計算A'!$A$4=0))),0,IF(15=$K42,200000,ABS(15-$K42)*100)),100000+ABS(3-$J42)*1000+150)+'計算A'!BN$5*50+IF(AND($E42=1,LA42=0),25,0),INDEX('計算A'!BN$110:BN$114,$F42+1)+IF(AND($E42=1,LA42=0),1000,0)+IF($H42=1,(IF('計算A'!BM$117=1,INDEX('計算A'!BM$10:BM$54,$B42),0)+IF('計算A'!BN$117=1,INDEX('計算A'!BO$10:BO$54,$B42),0))*500,0)-IF(AND('計算A'!BM$117=1,WK42&gt;0),300,0)-IF(AND($L42=1,'計算A'!BN$117=1,FM42=0),300,0))),1000000))</f>
        <v/>
      </c>
      <c r="QQ42">
        <f>IF($B42=0,1000000,IF(INDEX('計算A'!$D$60:$EQ$104,$B42,64)*FM42=1,IF(AND($E42=2,LB42=0),1000000,IF($I42&gt;0,IF(3=$J42,IF(OR(AND(64=$I42+1,OR($K42&lt;&gt;'計算A'!$A$3,'計算A'!$A$4=0)),AND(64=$I42-1,OR(16&lt;&gt;'計算A'!$A$3,'計算A'!$A$4=0))),0,IF(16=$K42,200000,ABS(16-$K42)*100)),100000+ABS(3-$J42)*1000+160)+'計算A'!BO$5*50+IF(AND($E42=1,LB42=0),25,0),INDEX('計算A'!BO$110:BO$114,$F42+1)+IF(AND($E42=1,LB42=0),1000,0)+IF($H42=1,(IF('計算A'!BN$117=1,INDEX('計算A'!BN$10:BN$54,$B42),0)+IF('計算A'!BO$117=1,INDEX('計算A'!BP$10:BP$54,$B42),0))*500,0)-IF(AND('計算A'!BN$117=1,WL42&gt;0),300,0)-IF(AND($L42=1,'計算A'!BO$117=1,FN42=0),300,0))),1000000))</f>
        <v/>
      </c>
      <c r="QR42">
        <f>IF($B42=0,1000000,IF(INDEX('計算A'!$D$60:$EQ$104,$B42,65)*FN42=1,IF(AND($E42=2,LC42=0),1000000,IF($I42&gt;0,IF(3=$J42,IF(OR(AND(65=$I42+1,OR($K42&lt;&gt;'計算A'!$A$3,'計算A'!$A$4=0)),AND(65=$I42-1,OR(17&lt;&gt;'計算A'!$A$3,'計算A'!$A$4=0))),0,IF(17=$K42,200000,ABS(17-$K42)*100)),100000+ABS(3-$J42)*1000+170)+'計算A'!BP$5*50+IF(AND($E42=1,LC42=0),25,0),INDEX('計算A'!BP$110:BP$114,$F42+1)+IF(AND($E42=1,LC42=0),1000,0)+IF($H42=1,(IF('計算A'!BO$117=1,INDEX('計算A'!BO$10:BO$54,$B42),0)+IF('計算A'!BP$117=1,INDEX('計算A'!BQ$10:BQ$54,$B42),0))*500,0)-IF(AND('計算A'!BO$117=1,WM42&gt;0),300,0)-IF(AND($L42=1,'計算A'!BP$117=1,FO42=0),300,0))),1000000))</f>
        <v/>
      </c>
      <c r="QS42">
        <f>IF($B42=0,1000000,IF(INDEX('計算A'!$D$60:$EQ$104,$B42,66)*FO42=1,IF(AND($E42=2,LD42=0),1000000,IF($I42&gt;0,IF(3=$J42,IF(OR(AND(66=$I42+1,OR($K42&lt;&gt;'計算A'!$A$3,'計算A'!$A$4=0)),AND(66=$I42-1,OR(18&lt;&gt;'計算A'!$A$3,'計算A'!$A$4=0))),0,IF(18=$K42,200000,ABS(18-$K42)*100)),100000+ABS(3-$J42)*1000+180)+'計算A'!BQ$5*50+IF(AND($E42=1,LD42=0),25,0),INDEX('計算A'!BQ$110:BQ$114,$F42+1)+IF(AND($E42=1,LD42=0),1000,0)+IF($H42=1,(IF('計算A'!BP$117=1,INDEX('計算A'!BP$10:BP$54,$B42),0)+IF('計算A'!BQ$117=1,INDEX('計算A'!BR$10:BR$54,$B42),0))*500,0)-IF(AND('計算A'!BP$117=1,WN42&gt;0),300,0)-IF(AND($L42=1,'計算A'!BQ$117=1,FP42=0),300,0))),1000000))</f>
        <v/>
      </c>
      <c r="QT42">
        <f>IF($B42=0,1000000,IF(INDEX('計算A'!$D$60:$EQ$104,$B42,67)*FP42=1,IF(AND($E42=2,LE42=0),1000000,IF($I42&gt;0,IF(3=$J42,IF(OR(AND(67=$I42+1,OR($K42&lt;&gt;'計算A'!$A$3,'計算A'!$A$4=0)),AND(67=$I42-1,OR(19&lt;&gt;'計算A'!$A$3,'計算A'!$A$4=0))),0,IF(19=$K42,200000,ABS(19-$K42)*100)),100000+ABS(3-$J42)*1000+190)+'計算A'!BR$5*50+IF(AND($E42=1,LE42=0),25,0),INDEX('計算A'!BR$110:BR$114,$F42+1)+IF(AND($E42=1,LE42=0),1000,0)+IF($H42=1,(IF('計算A'!BQ$117=1,INDEX('計算A'!BQ$10:BQ$54,$B42),0)+IF('計算A'!BR$117=1,INDEX('計算A'!BS$10:BS$54,$B42),0))*500,0)-IF(AND('計算A'!BQ$117=1,WO42&gt;0),300,0)-IF(AND($L42=1,'計算A'!BR$117=1,FQ42=0),300,0))),1000000))</f>
        <v/>
      </c>
      <c r="QU42">
        <f>IF($B42=0,1000000,IF(INDEX('計算A'!$D$60:$EQ$104,$B42,68)*FQ42=1,IF(AND($E42=2,LF42=0),1000000,IF($I42&gt;0,IF(3=$J42,IF(OR(AND(68=$I42+1,OR($K42&lt;&gt;'計算A'!$A$3,'計算A'!$A$4=0)),AND(68=$I42-1,OR(20&lt;&gt;'計算A'!$A$3,'計算A'!$A$4=0))),0,IF(20=$K42,200000,ABS(20-$K42)*100)),100000+ABS(3-$J42)*1000+200)+'計算A'!BS$5*50+IF(AND($E42=1,LF42=0),25,0),INDEX('計算A'!BS$110:BS$114,$F42+1)+IF(AND($E42=1,LF42=0),1000,0)+IF($H42=1,(IF('計算A'!BR$117=1,INDEX('計算A'!BR$10:BR$54,$B42),0)+IF('計算A'!BS$117=1,INDEX('計算A'!BT$10:BT$54,$B42),0))*500,0)-IF(AND('計算A'!BR$117=1,WP42&gt;0),300,0)-IF(AND($L42=1,'計算A'!BS$117=1,FR42=0),300,0))),1000000))</f>
        <v/>
      </c>
      <c r="QV42">
        <f>IF($B42=0,1000000,IF(INDEX('計算A'!$D$60:$EQ$104,$B42,69)*FR42=1,IF(AND($E42=2,LG42=0),1000000,IF($I42&gt;0,IF(3=$J42,IF(OR(AND(69=$I42+1,OR($K42&lt;&gt;'計算A'!$A$3,'計算A'!$A$4=0)),AND(69=$I42-1,OR(21&lt;&gt;'計算A'!$A$3,'計算A'!$A$4=0))),0,IF(21=$K42,200000,ABS(21-$K42)*100)),100000+ABS(3-$J42)*1000+210)+'計算A'!BT$5*50+IF(AND($E42=1,LG42=0),25,0),INDEX('計算A'!BT$110:BT$114,$F42+1)+IF(AND($E42=1,LG42=0),1000,0)+IF($H42=1,(IF('計算A'!BS$117=1,INDEX('計算A'!BS$10:BS$54,$B42),0)+IF('計算A'!BT$117=1,INDEX('計算A'!BU$10:BU$54,$B42),0))*500,0)-IF(AND('計算A'!BS$117=1,WQ42&gt;0),300,0)-IF(AND($L42=1,'計算A'!BT$117=1,FS42=0),300,0))),1000000))</f>
        <v/>
      </c>
      <c r="QW42">
        <f>IF($B42=0,1000000,IF(INDEX('計算A'!$D$60:$EQ$104,$B42,70)*FS42=1,IF(AND($E42=2,LH42=0),1000000,IF($I42&gt;0,IF(3=$J42,IF(OR(AND(70=$I42+1,OR($K42&lt;&gt;'計算A'!$A$3,'計算A'!$A$4=0)),AND(70=$I42-1,OR(22&lt;&gt;'計算A'!$A$3,'計算A'!$A$4=0))),0,IF(22=$K42,200000,ABS(22-$K42)*100)),100000+ABS(3-$J42)*1000+220)+'計算A'!BU$5*50+IF(AND($E42=1,LH42=0),25,0),INDEX('計算A'!BU$110:BU$114,$F42+1)+IF(AND($E42=1,LH42=0),1000,0)+IF($H42=1,(IF('計算A'!BT$117=1,INDEX('計算A'!BT$10:BT$54,$B42),0)+IF('計算A'!BU$117=1,INDEX('計算A'!BV$10:BV$54,$B42),0))*500,0)-IF(AND('計算A'!BT$117=1,WR42&gt;0),300,0)-IF(AND($L42=1,'計算A'!BU$117=1,FT42=0),300,0))),1000000))</f>
        <v/>
      </c>
      <c r="QX42">
        <f>IF($B42=0,1000000,IF(INDEX('計算A'!$D$60:$EQ$104,$B42,71)*FT42=1,IF(AND($E42=2,LI42=0),1000000,IF($I42&gt;0,IF(3=$J42,IF(OR(AND(71=$I42+1,OR($K42&lt;&gt;'計算A'!$A$3,'計算A'!$A$4=0)),AND(71=$I42-1,OR(23&lt;&gt;'計算A'!$A$3,'計算A'!$A$4=0))),0,IF(23=$K42,200000,ABS(23-$K42)*100)),100000+ABS(3-$J42)*1000+230)+'計算A'!BV$5*50+IF(AND($E42=1,LI42=0),25,0),INDEX('計算A'!BV$110:BV$114,$F42+1)+IF(AND($E42=1,LI42=0),1000,0)+IF($H42=1,(IF('計算A'!BU$117=1,INDEX('計算A'!BU$10:BU$54,$B42),0)+IF('計算A'!BV$117=1,INDEX('計算A'!BW$10:BW$54,$B42),0))*500,0)-IF(AND('計算A'!BU$117=1,WS42&gt;0),300,0)-IF(AND($L42=1,'計算A'!BV$117=1,FU42=0),300,0))),1000000))</f>
        <v/>
      </c>
      <c r="QY42">
        <f>IF($B42=0,1000000,IF(INDEX('計算A'!$D$60:$EQ$104,$B42,72)*FU42=1,IF(AND($E42=2,LJ42=0),1000000,IF($I42&gt;0,IF(3=$J42,IF(OR(AND(72=$I42+1,OR($K42&lt;&gt;'計算A'!$A$3,'計算A'!$A$4=0)),AND(72=$I42-1,OR(24&lt;&gt;'計算A'!$A$3,'計算A'!$A$4=0))),0,IF(24=$K42,200000,ABS(24-$K42)*100)),100000+ABS(3-$J42)*1000+240)+'計算A'!BW$5*50+IF(AND($E42=1,LJ42=0),25,0),INDEX('計算A'!BW$110:BW$114,$F42+1)+IF(AND($E42=1,LJ42=0),1000,0)+IF($H42=1,(IF('計算A'!BV$117=1,INDEX('計算A'!BV$10:BV$54,$B42),0))*500,0)-IF(AND('計算A'!BV$117=1,WT42&gt;0),300,0))),1000000))</f>
        <v/>
      </c>
      <c r="QZ42">
        <f>IF($B42=0,1000000,IF(INDEX('計算A'!$D$60:$EQ$104,$B42,73)*FV42=1,IF(AND($E42=2,LK42=0),1000000,IF($I42&gt;0,IF(4=$J42,IF(OR(AND(73=$I42+1,OR($K42&lt;&gt;'計算A'!$A$3,'計算A'!$A$4=0)),AND(73=$I42-1,OR(1&lt;&gt;'計算A'!$A$3,'計算A'!$A$4=0))),0,IF(1=$K42,200000,ABS(1-$K42)*100)),100000+ABS(4-$J42)*1000+10)+'計算A'!BX$5*50+IF(AND($E42=1,LK42=0),25,0),INDEX('計算A'!BX$110:BX$114,$F42+1)+IF(AND($E42=1,LK42=0),1000,0)+IF($H42=1,(IF('計算A'!BX$117=1,INDEX('計算A'!BY$10:BY$54,$B42),0))*500,0)-IF(AND($L42=1,'計算A'!BX$117=1,FW42=0),300,0))),1000000))</f>
        <v/>
      </c>
      <c r="RA42">
        <f>IF($B42=0,1000000,IF(INDEX('計算A'!$D$60:$EQ$104,$B42,74)*FW42=1,IF(AND($E42=2,LL42=0),1000000,IF($I42&gt;0,IF(4=$J42,IF(OR(AND(74=$I42+1,OR($K42&lt;&gt;'計算A'!$A$3,'計算A'!$A$4=0)),AND(74=$I42-1,OR(2&lt;&gt;'計算A'!$A$3,'計算A'!$A$4=0))),0,IF(2=$K42,200000,ABS(2-$K42)*100)),100000+ABS(4-$J42)*1000+20)+'計算A'!BY$5*50+IF(AND($E42=1,LL42=0),25,0),INDEX('計算A'!BY$110:BY$114,$F42+1)+IF(AND($E42=1,LL42=0),1000,0)+IF($H42=1,(IF('計算A'!BX$117=1,INDEX('計算A'!BX$10:BX$54,$B42),0)+IF('計算A'!BY$117=1,INDEX('計算A'!BZ$10:BZ$54,$B42),0))*500,0)-IF(AND('計算A'!BX$117=1,WV42&gt;0),300,0)-IF(AND($L42=1,'計算A'!BY$117=1,FX42=0),300,0))),1000000))</f>
        <v/>
      </c>
      <c r="RB42">
        <f>IF($B42=0,1000000,IF(INDEX('計算A'!$D$60:$EQ$104,$B42,75)*FX42=1,IF(AND($E42=2,LM42=0),1000000,IF($I42&gt;0,IF(4=$J42,IF(OR(AND(75=$I42+1,OR($K42&lt;&gt;'計算A'!$A$3,'計算A'!$A$4=0)),AND(75=$I42-1,OR(3&lt;&gt;'計算A'!$A$3,'計算A'!$A$4=0))),0,IF(3=$K42,200000,ABS(3-$K42)*100)),100000+ABS(4-$J42)*1000+30)+'計算A'!BZ$5*50+IF(AND($E42=1,LM42=0),25,0),INDEX('計算A'!BZ$110:BZ$114,$F42+1)+IF(AND($E42=1,LM42=0),1000,0)+IF($H42=1,(IF('計算A'!BY$117=1,INDEX('計算A'!BY$10:BY$54,$B42),0)+IF('計算A'!BZ$117=1,INDEX('計算A'!CA$10:CA$54,$B42),0))*500,0)-IF(AND('計算A'!BY$117=1,WW42&gt;0),300,0)-IF(AND($L42=1,'計算A'!BZ$117=1,FY42=0),300,0))),1000000))</f>
        <v/>
      </c>
      <c r="RC42">
        <f>IF($B42=0,1000000,IF(INDEX('計算A'!$D$60:$EQ$104,$B42,76)*FY42=1,IF(AND($E42=2,LN42=0),1000000,IF($I42&gt;0,IF(4=$J42,IF(OR(AND(76=$I42+1,OR($K42&lt;&gt;'計算A'!$A$3,'計算A'!$A$4=0)),AND(76=$I42-1,OR(4&lt;&gt;'計算A'!$A$3,'計算A'!$A$4=0))),0,IF(4=$K42,200000,ABS(4-$K42)*100)),100000+ABS(4-$J42)*1000+40)+'計算A'!CA$5*50+IF(AND($E42=1,LN42=0),25,0),INDEX('計算A'!CA$110:CA$114,$F42+1)+IF(AND($E42=1,LN42=0),1000,0)+IF($H42=1,(IF('計算A'!BZ$117=1,INDEX('計算A'!BZ$10:BZ$54,$B42),0)+IF('計算A'!CA$117=1,INDEX('計算A'!CB$10:CB$54,$B42),0))*500,0)-IF(AND('計算A'!BZ$117=1,WX42&gt;0),300,0)-IF(AND($L42=1,'計算A'!CA$117=1,FZ42=0),300,0))),1000000))</f>
        <v/>
      </c>
      <c r="RD42">
        <f>IF($B42=0,1000000,IF(INDEX('計算A'!$D$60:$EQ$104,$B42,77)*FZ42=1,IF(AND($E42=2,LO42=0),1000000,IF($I42&gt;0,IF(4=$J42,IF(OR(AND(77=$I42+1,OR($K42&lt;&gt;'計算A'!$A$3,'計算A'!$A$4=0)),AND(77=$I42-1,OR(5&lt;&gt;'計算A'!$A$3,'計算A'!$A$4=0))),0,IF(5=$K42,200000,ABS(5-$K42)*100)),100000+ABS(4-$J42)*1000+50)+'計算A'!CB$5*50+IF(AND($E42=1,LO42=0),25,0),INDEX('計算A'!CB$110:CB$114,$F42+1)+IF(AND($E42=1,LO42=0),1000,0)+IF($H42=1,(IF('計算A'!CA$117=1,INDEX('計算A'!CA$10:CA$54,$B42),0)+IF('計算A'!CB$117=1,INDEX('計算A'!CC$10:CC$54,$B42),0))*500,0)-IF(AND('計算A'!CA$117=1,WY42&gt;0),300,0)-IF(AND($L42=1,'計算A'!CB$117=1,GA42=0),300,0))),1000000))</f>
        <v/>
      </c>
      <c r="RE42">
        <f>IF($B42=0,1000000,IF(INDEX('計算A'!$D$60:$EQ$104,$B42,78)*GA42=1,IF(AND($E42=2,LP42=0),1000000,IF($I42&gt;0,IF(4=$J42,IF(OR(AND(78=$I42+1,OR($K42&lt;&gt;'計算A'!$A$3,'計算A'!$A$4=0)),AND(78=$I42-1,OR(6&lt;&gt;'計算A'!$A$3,'計算A'!$A$4=0))),0,IF(6=$K42,200000,ABS(6-$K42)*100)),100000+ABS(4-$J42)*1000+60)+'計算A'!CC$5*50+IF(AND($E42=1,LP42=0),25,0),INDEX('計算A'!CC$110:CC$114,$F42+1)+IF(AND($E42=1,LP42=0),1000,0)+IF($H42=1,(IF('計算A'!CB$117=1,INDEX('計算A'!CB$10:CB$54,$B42),0)+IF('計算A'!CC$117=1,INDEX('計算A'!CD$10:CD$54,$B42),0))*500,0)-IF(AND('計算A'!CB$117=1,WZ42&gt;0),300,0)-IF(AND($L42=1,'計算A'!CC$117=1,GB42=0),300,0))),1000000))</f>
        <v/>
      </c>
      <c r="RF42">
        <f>IF($B42=0,1000000,IF(INDEX('計算A'!$D$60:$EQ$104,$B42,79)*GB42=1,IF(AND($E42=2,LQ42=0),1000000,IF($I42&gt;0,IF(4=$J42,IF(OR(AND(79=$I42+1,OR($K42&lt;&gt;'計算A'!$A$3,'計算A'!$A$4=0)),AND(79=$I42-1,OR(7&lt;&gt;'計算A'!$A$3,'計算A'!$A$4=0))),0,IF(7=$K42,200000,ABS(7-$K42)*100)),100000+ABS(4-$J42)*1000+70)+'計算A'!CD$5*50+IF(AND($E42=1,LQ42=0),25,0),INDEX('計算A'!CD$110:CD$114,$F42+1)+IF(AND($E42=1,LQ42=0),1000,0)+IF($H42=1,(IF('計算A'!CC$117=1,INDEX('計算A'!CC$10:CC$54,$B42),0)+IF('計算A'!CD$117=1,INDEX('計算A'!CE$10:CE$54,$B42),0))*500,0)-IF(AND('計算A'!CC$117=1,XA42&gt;0),300,0)-IF(AND($L42=1,'計算A'!CD$117=1,GC42=0),300,0))),1000000))</f>
        <v/>
      </c>
      <c r="RG42">
        <f>IF($B42=0,1000000,IF(INDEX('計算A'!$D$60:$EQ$104,$B42,80)*GC42=1,IF(AND($E42=2,LR42=0),1000000,IF($I42&gt;0,IF(4=$J42,IF(OR(AND(80=$I42+1,OR($K42&lt;&gt;'計算A'!$A$3,'計算A'!$A$4=0)),AND(80=$I42-1,OR(8&lt;&gt;'計算A'!$A$3,'計算A'!$A$4=0))),0,IF(8=$K42,200000,ABS(8-$K42)*100)),100000+ABS(4-$J42)*1000+80)+'計算A'!CE$5*50+IF(AND($E42=1,LR42=0),25,0),INDEX('計算A'!CE$110:CE$114,$F42+1)+IF(AND($E42=1,LR42=0),1000,0)+IF($H42=1,(IF('計算A'!CD$117=1,INDEX('計算A'!CD$10:CD$54,$B42),0)+IF('計算A'!CE$117=1,INDEX('計算A'!CF$10:CF$54,$B42),0))*500,0)-IF(AND('計算A'!CD$117=1,XB42&gt;0),300,0)-IF(AND($L42=1,'計算A'!CE$117=1,GD42=0),300,0))),1000000))</f>
        <v/>
      </c>
      <c r="RH42">
        <f>IF($B42=0,1000000,IF(INDEX('計算A'!$D$60:$EQ$104,$B42,81)*GD42=1,IF(AND($E42=2,LS42=0),1000000,IF($I42&gt;0,IF(4=$J42,IF(OR(AND(81=$I42+1,OR($K42&lt;&gt;'計算A'!$A$3,'計算A'!$A$4=0)),AND(81=$I42-1,OR(9&lt;&gt;'計算A'!$A$3,'計算A'!$A$4=0))),0,IF(9=$K42,200000,ABS(9-$K42)*100)),100000+ABS(4-$J42)*1000+90)+'計算A'!CF$5*50+IF(AND($E42=1,LS42=0),25,0),INDEX('計算A'!CF$110:CF$114,$F42+1)+IF(AND($E42=1,LS42=0),1000,0)+IF($H42=1,(IF('計算A'!CE$117=1,INDEX('計算A'!CE$10:CE$54,$B42),0)+IF('計算A'!CF$117=1,INDEX('計算A'!CG$10:CG$54,$B42),0))*500,0)-IF(AND('計算A'!CE$117=1,XC42&gt;0),300,0)-IF(AND($L42=1,'計算A'!CF$117=1,GE42=0),300,0))),1000000))</f>
        <v/>
      </c>
      <c r="RI42">
        <f>IF($B42=0,1000000,IF(INDEX('計算A'!$D$60:$EQ$104,$B42,82)*GE42=1,IF(AND($E42=2,LT42=0),1000000,IF($I42&gt;0,IF(4=$J42,IF(OR(AND(82=$I42+1,OR($K42&lt;&gt;'計算A'!$A$3,'計算A'!$A$4=0)),AND(82=$I42-1,OR(10&lt;&gt;'計算A'!$A$3,'計算A'!$A$4=0))),0,IF(10=$K42,200000,ABS(10-$K42)*100)),100000+ABS(4-$J42)*1000+100)+'計算A'!CG$5*50+IF(AND($E42=1,LT42=0),25,0),INDEX('計算A'!CG$110:CG$114,$F42+1)+IF(AND($E42=1,LT42=0),1000,0)+IF($H42=1,(IF('計算A'!CF$117=1,INDEX('計算A'!CF$10:CF$54,$B42),0)+IF('計算A'!CG$117=1,INDEX('計算A'!CH$10:CH$54,$B42),0))*500,0)-IF(AND('計算A'!CF$117=1,XD42&gt;0),300,0)-IF(AND($L42=1,'計算A'!CG$117=1,GF42=0),300,0))),1000000))</f>
        <v/>
      </c>
      <c r="RJ42">
        <f>IF($B42=0,1000000,IF(INDEX('計算A'!$D$60:$EQ$104,$B42,83)*GF42=1,IF(AND($E42=2,LU42=0),1000000,IF($I42&gt;0,IF(4=$J42,IF(OR(AND(83=$I42+1,OR($K42&lt;&gt;'計算A'!$A$3,'計算A'!$A$4=0)),AND(83=$I42-1,OR(11&lt;&gt;'計算A'!$A$3,'計算A'!$A$4=0))),0,IF(11=$K42,200000,ABS(11-$K42)*100)),100000+ABS(4-$J42)*1000+110)+'計算A'!CH$5*50+IF(AND($E42=1,LU42=0),25,0),INDEX('計算A'!CH$110:CH$114,$F42+1)+IF(AND($E42=1,LU42=0),1000,0)+IF($H42=1,(IF('計算A'!CG$117=1,INDEX('計算A'!CG$10:CG$54,$B42),0)+IF('計算A'!CH$117=1,INDEX('計算A'!CI$10:CI$54,$B42),0))*500,0)-IF(AND('計算A'!CG$117=1,XE42&gt;0),300,0)-IF(AND($L42=1,'計算A'!CH$117=1,GG42=0),300,0))),1000000))</f>
        <v/>
      </c>
      <c r="RK42">
        <f>IF($B42=0,1000000,IF(INDEX('計算A'!$D$60:$EQ$104,$B42,84)*GG42=1,IF(AND($E42=2,LV42=0),1000000,IF($I42&gt;0,IF(4=$J42,IF(OR(AND(84=$I42+1,OR($K42&lt;&gt;'計算A'!$A$3,'計算A'!$A$4=0)),AND(84=$I42-1,OR(12&lt;&gt;'計算A'!$A$3,'計算A'!$A$4=0))),0,IF(12=$K42,200000,ABS(12-$K42)*100)),100000+ABS(4-$J42)*1000+120)+'計算A'!CI$5*50+IF(AND($E42=1,LV42=0),25,0),INDEX('計算A'!CI$110:CI$114,$F42+1)+IF(AND($E42=1,LV42=0),1000,0)+IF($H42=1,(IF('計算A'!CH$117=1,INDEX('計算A'!CH$10:CH$54,$B42),0)+IF('計算A'!CI$117=1,INDEX('計算A'!CJ$10:CJ$54,$B42),0))*500,0)-IF(AND('計算A'!CH$117=1,XF42&gt;0),300,0)-IF(AND($L42=1,'計算A'!CI$117=1,GH42=0),300,0))),1000000))</f>
        <v/>
      </c>
      <c r="RL42">
        <f>IF($B42=0,1000000,IF(INDEX('計算A'!$D$60:$EQ$104,$B42,85)*GH42=1,IF(AND($E42=2,LW42=0),1000000,IF($I42&gt;0,IF(4=$J42,IF(OR(AND(85=$I42+1,OR($K42&lt;&gt;'計算A'!$A$3,'計算A'!$A$4=0)),AND(85=$I42-1,OR(13&lt;&gt;'計算A'!$A$3,'計算A'!$A$4=0))),0,IF(13=$K42,200000,ABS(13-$K42)*100)),100000+ABS(4-$J42)*1000+130)+'計算A'!CJ$5*50+IF(AND($E42=1,LW42=0),25,0),INDEX('計算A'!CJ$110:CJ$114,$F42+1)+IF(AND($E42=1,LW42=0),1000,0)+IF($H42=1,(IF('計算A'!CI$117=1,INDEX('計算A'!CI$10:CI$54,$B42),0)+IF('計算A'!CJ$117=1,INDEX('計算A'!CK$10:CK$54,$B42),0))*500,0)-IF(AND('計算A'!CI$117=1,XG42&gt;0),300,0)-IF(AND($L42=1,'計算A'!CJ$117=1,GI42=0),300,0))),1000000))</f>
        <v/>
      </c>
      <c r="RM42">
        <f>IF($B42=0,1000000,IF(INDEX('計算A'!$D$60:$EQ$104,$B42,86)*GI42=1,IF(AND($E42=2,LX42=0),1000000,IF($I42&gt;0,IF(4=$J42,IF(OR(AND(86=$I42+1,OR($K42&lt;&gt;'計算A'!$A$3,'計算A'!$A$4=0)),AND(86=$I42-1,OR(14&lt;&gt;'計算A'!$A$3,'計算A'!$A$4=0))),0,IF(14=$K42,200000,ABS(14-$K42)*100)),100000+ABS(4-$J42)*1000+140)+'計算A'!CK$5*50+IF(AND($E42=1,LX42=0),25,0),INDEX('計算A'!CK$110:CK$114,$F42+1)+IF(AND($E42=1,LX42=0),1000,0)+IF($H42=1,(IF('計算A'!CJ$117=1,INDEX('計算A'!CJ$10:CJ$54,$B42),0)+IF('計算A'!CK$117=1,INDEX('計算A'!CL$10:CL$54,$B42),0))*500,0)-IF(AND('計算A'!CJ$117=1,XH42&gt;0),300,0)-IF(AND($L42=1,'計算A'!CK$117=1,GJ42=0),300,0))),1000000))</f>
        <v/>
      </c>
      <c r="RN42">
        <f>IF($B42=0,1000000,IF(INDEX('計算A'!$D$60:$EQ$104,$B42,87)*GJ42=1,IF(AND($E42=2,LY42=0),1000000,IF($I42&gt;0,IF(4=$J42,IF(OR(AND(87=$I42+1,OR($K42&lt;&gt;'計算A'!$A$3,'計算A'!$A$4=0)),AND(87=$I42-1,OR(15&lt;&gt;'計算A'!$A$3,'計算A'!$A$4=0))),0,IF(15=$K42,200000,ABS(15-$K42)*100)),100000+ABS(4-$J42)*1000+150)+'計算A'!CL$5*50+IF(AND($E42=1,LY42=0),25,0),INDEX('計算A'!CL$110:CL$114,$F42+1)+IF(AND($E42=1,LY42=0),1000,0)+IF($H42=1,(IF('計算A'!CK$117=1,INDEX('計算A'!CK$10:CK$54,$B42),0)+IF('計算A'!CL$117=1,INDEX('計算A'!CM$10:CM$54,$B42),0))*500,0)-IF(AND('計算A'!CK$117=1,XI42&gt;0),300,0)-IF(AND($L42=1,'計算A'!CL$117=1,GK42=0),300,0))),1000000))</f>
        <v/>
      </c>
      <c r="RO42">
        <f>IF($B42=0,1000000,IF(INDEX('計算A'!$D$60:$EQ$104,$B42,88)*GK42=1,IF(AND($E42=2,LZ42=0),1000000,IF($I42&gt;0,IF(4=$J42,IF(OR(AND(88=$I42+1,OR($K42&lt;&gt;'計算A'!$A$3,'計算A'!$A$4=0)),AND(88=$I42-1,OR(16&lt;&gt;'計算A'!$A$3,'計算A'!$A$4=0))),0,IF(16=$K42,200000,ABS(16-$K42)*100)),100000+ABS(4-$J42)*1000+160)+'計算A'!CM$5*50+IF(AND($E42=1,LZ42=0),25,0),INDEX('計算A'!CM$110:CM$114,$F42+1)+IF(AND($E42=1,LZ42=0),1000,0)+IF($H42=1,(IF('計算A'!CL$117=1,INDEX('計算A'!CL$10:CL$54,$B42),0)+IF('計算A'!CM$117=1,INDEX('計算A'!CN$10:CN$54,$B42),0))*500,0)-IF(AND('計算A'!CL$117=1,XJ42&gt;0),300,0)-IF(AND($L42=1,'計算A'!CM$117=1,GL42=0),300,0))),1000000))</f>
        <v/>
      </c>
      <c r="RP42">
        <f>IF($B42=0,1000000,IF(INDEX('計算A'!$D$60:$EQ$104,$B42,89)*GL42=1,IF(AND($E42=2,MA42=0),1000000,IF($I42&gt;0,IF(4=$J42,IF(OR(AND(89=$I42+1,OR($K42&lt;&gt;'計算A'!$A$3,'計算A'!$A$4=0)),AND(89=$I42-1,OR(17&lt;&gt;'計算A'!$A$3,'計算A'!$A$4=0))),0,IF(17=$K42,200000,ABS(17-$K42)*100)),100000+ABS(4-$J42)*1000+170)+'計算A'!CN$5*50+IF(AND($E42=1,MA42=0),25,0),INDEX('計算A'!CN$110:CN$114,$F42+1)+IF(AND($E42=1,MA42=0),1000,0)+IF($H42=1,(IF('計算A'!CM$117=1,INDEX('計算A'!CM$10:CM$54,$B42),0)+IF('計算A'!CN$117=1,INDEX('計算A'!CO$10:CO$54,$B42),0))*500,0)-IF(AND('計算A'!CM$117=1,XK42&gt;0),300,0)-IF(AND($L42=1,'計算A'!CN$117=1,GM42=0),300,0))),1000000))</f>
        <v/>
      </c>
      <c r="RQ42">
        <f>IF($B42=0,1000000,IF(INDEX('計算A'!$D$60:$EQ$104,$B42,90)*GM42=1,IF(AND($E42=2,MB42=0),1000000,IF($I42&gt;0,IF(4=$J42,IF(OR(AND(90=$I42+1,OR($K42&lt;&gt;'計算A'!$A$3,'計算A'!$A$4=0)),AND(90=$I42-1,OR(18&lt;&gt;'計算A'!$A$3,'計算A'!$A$4=0))),0,IF(18=$K42,200000,ABS(18-$K42)*100)),100000+ABS(4-$J42)*1000+180)+'計算A'!CO$5*50+IF(AND($E42=1,MB42=0),25,0),INDEX('計算A'!CO$110:CO$114,$F42+1)+IF(AND($E42=1,MB42=0),1000,0)+IF($H42=1,(IF('計算A'!CN$117=1,INDEX('計算A'!CN$10:CN$54,$B42),0)+IF('計算A'!CO$117=1,INDEX('計算A'!CP$10:CP$54,$B42),0))*500,0)-IF(AND('計算A'!CN$117=1,XL42&gt;0),300,0)-IF(AND($L42=1,'計算A'!CO$117=1,GN42=0),300,0))),1000000))</f>
        <v/>
      </c>
      <c r="RR42">
        <f>IF($B42=0,1000000,IF(INDEX('計算A'!$D$60:$EQ$104,$B42,91)*GN42=1,IF(AND($E42=2,MC42=0),1000000,IF($I42&gt;0,IF(4=$J42,IF(OR(AND(91=$I42+1,OR($K42&lt;&gt;'計算A'!$A$3,'計算A'!$A$4=0)),AND(91=$I42-1,OR(19&lt;&gt;'計算A'!$A$3,'計算A'!$A$4=0))),0,IF(19=$K42,200000,ABS(19-$K42)*100)),100000+ABS(4-$J42)*1000+190)+'計算A'!CP$5*50+IF(AND($E42=1,MC42=0),25,0),INDEX('計算A'!CP$110:CP$114,$F42+1)+IF(AND($E42=1,MC42=0),1000,0)+IF($H42=1,(IF('計算A'!CO$117=1,INDEX('計算A'!CO$10:CO$54,$B42),0)+IF('計算A'!CP$117=1,INDEX('計算A'!CQ$10:CQ$54,$B42),0))*500,0)-IF(AND('計算A'!CO$117=1,XM42&gt;0),300,0)-IF(AND($L42=1,'計算A'!CP$117=1,GO42=0),300,0))),1000000))</f>
        <v/>
      </c>
      <c r="RS42">
        <f>IF($B42=0,1000000,IF(INDEX('計算A'!$D$60:$EQ$104,$B42,92)*GO42=1,IF(AND($E42=2,MD42=0),1000000,IF($I42&gt;0,IF(4=$J42,IF(OR(AND(92=$I42+1,OR($K42&lt;&gt;'計算A'!$A$3,'計算A'!$A$4=0)),AND(92=$I42-1,OR(20&lt;&gt;'計算A'!$A$3,'計算A'!$A$4=0))),0,IF(20=$K42,200000,ABS(20-$K42)*100)),100000+ABS(4-$J42)*1000+200)+'計算A'!CQ$5*50+IF(AND($E42=1,MD42=0),25,0),INDEX('計算A'!CQ$110:CQ$114,$F42+1)+IF(AND($E42=1,MD42=0),1000,0)+IF($H42=1,(IF('計算A'!CP$117=1,INDEX('計算A'!CP$10:CP$54,$B42),0)+IF('計算A'!CQ$117=1,INDEX('計算A'!CR$10:CR$54,$B42),0))*500,0)-IF(AND('計算A'!CP$117=1,XN42&gt;0),300,0)-IF(AND($L42=1,'計算A'!CQ$117=1,GP42=0),300,0))),1000000))</f>
        <v/>
      </c>
      <c r="RT42">
        <f>IF($B42=0,1000000,IF(INDEX('計算A'!$D$60:$EQ$104,$B42,93)*GP42=1,IF(AND($E42=2,ME42=0),1000000,IF($I42&gt;0,IF(4=$J42,IF(OR(AND(93=$I42+1,OR($K42&lt;&gt;'計算A'!$A$3,'計算A'!$A$4=0)),AND(93=$I42-1,OR(21&lt;&gt;'計算A'!$A$3,'計算A'!$A$4=0))),0,IF(21=$K42,200000,ABS(21-$K42)*100)),100000+ABS(4-$J42)*1000+210)+'計算A'!CR$5*50+IF(AND($E42=1,ME42=0),25,0),INDEX('計算A'!CR$110:CR$114,$F42+1)+IF(AND($E42=1,ME42=0),1000,0)+IF($H42=1,(IF('計算A'!CQ$117=1,INDEX('計算A'!CQ$10:CQ$54,$B42),0)+IF('計算A'!CR$117=1,INDEX('計算A'!CS$10:CS$54,$B42),0))*500,0)-IF(AND('計算A'!CQ$117=1,XO42&gt;0),300,0)-IF(AND($L42=1,'計算A'!CR$117=1,GQ42=0),300,0))),1000000))</f>
        <v/>
      </c>
      <c r="RU42">
        <f>IF($B42=0,1000000,IF(INDEX('計算A'!$D$60:$EQ$104,$B42,94)*GQ42=1,IF(AND($E42=2,MF42=0),1000000,IF($I42&gt;0,IF(4=$J42,IF(OR(AND(94=$I42+1,OR($K42&lt;&gt;'計算A'!$A$3,'計算A'!$A$4=0)),AND(94=$I42-1,OR(22&lt;&gt;'計算A'!$A$3,'計算A'!$A$4=0))),0,IF(22=$K42,200000,ABS(22-$K42)*100)),100000+ABS(4-$J42)*1000+220)+'計算A'!CS$5*50+IF(AND($E42=1,MF42=0),25,0),INDEX('計算A'!CS$110:CS$114,$F42+1)+IF(AND($E42=1,MF42=0),1000,0)+IF($H42=1,(IF('計算A'!CR$117=1,INDEX('計算A'!CR$10:CR$54,$B42),0)+IF('計算A'!CS$117=1,INDEX('計算A'!CT$10:CT$54,$B42),0))*500,0)-IF(AND('計算A'!CR$117=1,XP42&gt;0),300,0)-IF(AND($L42=1,'計算A'!CS$117=1,GR42=0),300,0))),1000000))</f>
        <v/>
      </c>
      <c r="RV42">
        <f>IF($B42=0,1000000,IF(INDEX('計算A'!$D$60:$EQ$104,$B42,95)*GR42=1,IF(AND($E42=2,MG42=0),1000000,IF($I42&gt;0,IF(4=$J42,IF(OR(AND(95=$I42+1,OR($K42&lt;&gt;'計算A'!$A$3,'計算A'!$A$4=0)),AND(95=$I42-1,OR(23&lt;&gt;'計算A'!$A$3,'計算A'!$A$4=0))),0,IF(23=$K42,200000,ABS(23-$K42)*100)),100000+ABS(4-$J42)*1000+230)+'計算A'!CT$5*50+IF(AND($E42=1,MG42=0),25,0),INDEX('計算A'!CT$110:CT$114,$F42+1)+IF(AND($E42=1,MG42=0),1000,0)+IF($H42=1,(IF('計算A'!CS$117=1,INDEX('計算A'!CS$10:CS$54,$B42),0)+IF('計算A'!CT$117=1,INDEX('計算A'!CU$10:CU$54,$B42),0))*500,0)-IF(AND('計算A'!CS$117=1,XQ42&gt;0),300,0)-IF(AND($L42=1,'計算A'!CT$117=1,GS42=0),300,0))),1000000))</f>
        <v/>
      </c>
      <c r="RW42">
        <f>IF($B42=0,1000000,IF(INDEX('計算A'!$D$60:$EQ$104,$B42,96)*GS42=1,IF(AND($E42=2,MH42=0),1000000,IF($I42&gt;0,IF(4=$J42,IF(OR(AND(96=$I42+1,OR($K42&lt;&gt;'計算A'!$A$3,'計算A'!$A$4=0)),AND(96=$I42-1,OR(24&lt;&gt;'計算A'!$A$3,'計算A'!$A$4=0))),0,IF(24=$K42,200000,ABS(24-$K42)*100)),100000+ABS(4-$J42)*1000+240)+'計算A'!CU$5*50+IF(AND($E42=1,MH42=0),25,0),INDEX('計算A'!CU$110:CU$114,$F42+1)+IF(AND($E42=1,MH42=0),1000,0)+IF($H42=1,(IF('計算A'!CT$117=1,INDEX('計算A'!CT$10:CT$54,$B42),0))*500,0)-IF(AND('計算A'!CT$117=1,XR42&gt;0),300,0))),1000000))</f>
        <v/>
      </c>
      <c r="RX42">
        <f>IF($B42=0,1000000,IF(INDEX('計算A'!$D$60:$EQ$104,$B42,97)*GT42=1,IF(AND($E42=2,MI42=0),1000000,IF($I42&gt;0,IF(5=$J42,IF(OR(AND(97=$I42+1,OR($K42&lt;&gt;'計算A'!$A$3,'計算A'!$A$4=0)),AND(97=$I42-1,OR(1&lt;&gt;'計算A'!$A$3,'計算A'!$A$4=0))),0,IF(1=$K42,200000,ABS(1-$K42)*100)),100000+ABS(5-$J42)*1000+10)+'計算A'!CV$5*50+IF(AND($E42=1,MI42=0),25,0),INDEX('計算A'!CV$110:CV$114,$F42+1)+IF(AND($E42=1,MI42=0),1000,0)+IF($H42=1,(IF('計算A'!CV$117=1,INDEX('計算A'!CW$10:CW$54,$B42),0))*500,0)-IF(AND($L42=1,'計算A'!CV$117=1,GU42=0),300,0))),1000000))</f>
        <v/>
      </c>
      <c r="RY42">
        <f>IF($B42=0,1000000,IF(INDEX('計算A'!$D$60:$EQ$104,$B42,98)*GU42=1,IF(AND($E42=2,MJ42=0),1000000,IF($I42&gt;0,IF(5=$J42,IF(OR(AND(98=$I42+1,OR($K42&lt;&gt;'計算A'!$A$3,'計算A'!$A$4=0)),AND(98=$I42-1,OR(2&lt;&gt;'計算A'!$A$3,'計算A'!$A$4=0))),0,IF(2=$K42,200000,ABS(2-$K42)*100)),100000+ABS(5-$J42)*1000+20)+'計算A'!CW$5*50+IF(AND($E42=1,MJ42=0),25,0),INDEX('計算A'!CW$110:CW$114,$F42+1)+IF(AND($E42=1,MJ42=0),1000,0)+IF($H42=1,(IF('計算A'!CV$117=1,INDEX('計算A'!CV$10:CV$54,$B42),0)+IF('計算A'!CW$117=1,INDEX('計算A'!CX$10:CX$54,$B42),0))*500,0)-IF(AND('計算A'!CV$117=1,XT42&gt;0),300,0)-IF(AND($L42=1,'計算A'!CW$117=1,GV42=0),300,0))),1000000))</f>
        <v/>
      </c>
      <c r="RZ42">
        <f>IF($B42=0,1000000,IF(INDEX('計算A'!$D$60:$EQ$104,$B42,99)*GV42=1,IF(AND($E42=2,MK42=0),1000000,IF($I42&gt;0,IF(5=$J42,IF(OR(AND(99=$I42+1,OR($K42&lt;&gt;'計算A'!$A$3,'計算A'!$A$4=0)),AND(99=$I42-1,OR(3&lt;&gt;'計算A'!$A$3,'計算A'!$A$4=0))),0,IF(3=$K42,200000,ABS(3-$K42)*100)),100000+ABS(5-$J42)*1000+30)+'計算A'!CX$5*50+IF(AND($E42=1,MK42=0),25,0),INDEX('計算A'!CX$110:CX$114,$F42+1)+IF(AND($E42=1,MK42=0),1000,0)+IF($H42=1,(IF('計算A'!CW$117=1,INDEX('計算A'!CW$10:CW$54,$B42),0)+IF('計算A'!CX$117=1,INDEX('計算A'!CY$10:CY$54,$B42),0))*500,0)-IF(AND('計算A'!CW$117=1,XU42&gt;0),300,0)-IF(AND($L42=1,'計算A'!CX$117=1,GW42=0),300,0))),1000000))</f>
        <v/>
      </c>
      <c r="SA42">
        <f>IF($B42=0,1000000,IF(INDEX('計算A'!$D$60:$EQ$104,$B42,100)*GW42=1,IF(AND($E42=2,ML42=0),1000000,IF($I42&gt;0,IF(5=$J42,IF(OR(AND(100=$I42+1,OR($K42&lt;&gt;'計算A'!$A$3,'計算A'!$A$4=0)),AND(100=$I42-1,OR(4&lt;&gt;'計算A'!$A$3,'計算A'!$A$4=0))),0,IF(4=$K42,200000,ABS(4-$K42)*100)),100000+ABS(5-$J42)*1000+40)+'計算A'!CY$5*50+IF(AND($E42=1,ML42=0),25,0),INDEX('計算A'!CY$110:CY$114,$F42+1)+IF(AND($E42=1,ML42=0),1000,0)+IF($H42=1,(IF('計算A'!CX$117=1,INDEX('計算A'!CX$10:CX$54,$B42),0)+IF('計算A'!CY$117=1,INDEX('計算A'!CZ$10:CZ$54,$B42),0))*500,0)-IF(AND('計算A'!CX$117=1,XV42&gt;0),300,0)-IF(AND($L42=1,'計算A'!CY$117=1,GX42=0),300,0))),1000000))</f>
        <v/>
      </c>
      <c r="SB42">
        <f>IF($B42=0,1000000,IF(INDEX('計算A'!$D$60:$EQ$104,$B42,101)*GX42=1,IF(AND($E42=2,MM42=0),1000000,IF($I42&gt;0,IF(5=$J42,IF(OR(AND(101=$I42+1,OR($K42&lt;&gt;'計算A'!$A$3,'計算A'!$A$4=0)),AND(101=$I42-1,OR(5&lt;&gt;'計算A'!$A$3,'計算A'!$A$4=0))),0,IF(5=$K42,200000,ABS(5-$K42)*100)),100000+ABS(5-$J42)*1000+50)+'計算A'!CZ$5*50+IF(AND($E42=1,MM42=0),25,0),INDEX('計算A'!CZ$110:CZ$114,$F42+1)+IF(AND($E42=1,MM42=0),1000,0)+IF($H42=1,(IF('計算A'!CY$117=1,INDEX('計算A'!CY$10:CY$54,$B42),0)+IF('計算A'!CZ$117=1,INDEX('計算A'!DA$10:DA$54,$B42),0))*500,0)-IF(AND('計算A'!CY$117=1,XW42&gt;0),300,0)-IF(AND($L42=1,'計算A'!CZ$117=1,GY42=0),300,0))),1000000))</f>
        <v/>
      </c>
      <c r="SC42">
        <f>IF($B42=0,1000000,IF(INDEX('計算A'!$D$60:$EQ$104,$B42,102)*GY42=1,IF(AND($E42=2,MN42=0),1000000,IF($I42&gt;0,IF(5=$J42,IF(OR(AND(102=$I42+1,OR($K42&lt;&gt;'計算A'!$A$3,'計算A'!$A$4=0)),AND(102=$I42-1,OR(6&lt;&gt;'計算A'!$A$3,'計算A'!$A$4=0))),0,IF(6=$K42,200000,ABS(6-$K42)*100)),100000+ABS(5-$J42)*1000+60)+'計算A'!DA$5*50+IF(AND($E42=1,MN42=0),25,0),INDEX('計算A'!DA$110:DA$114,$F42+1)+IF(AND($E42=1,MN42=0),1000,0)+IF($H42=1,(IF('計算A'!CZ$117=1,INDEX('計算A'!CZ$10:CZ$54,$B42),0)+IF('計算A'!DA$117=1,INDEX('計算A'!DB$10:DB$54,$B42),0))*500,0)-IF(AND('計算A'!CZ$117=1,XX42&gt;0),300,0)-IF(AND($L42=1,'計算A'!DA$117=1,GZ42=0),300,0))),1000000))</f>
        <v/>
      </c>
      <c r="SD42">
        <f>IF($B42=0,1000000,IF(INDEX('計算A'!$D$60:$EQ$104,$B42,103)*GZ42=1,IF(AND($E42=2,MO42=0),1000000,IF($I42&gt;0,IF(5=$J42,IF(OR(AND(103=$I42+1,OR($K42&lt;&gt;'計算A'!$A$3,'計算A'!$A$4=0)),AND(103=$I42-1,OR(7&lt;&gt;'計算A'!$A$3,'計算A'!$A$4=0))),0,IF(7=$K42,200000,ABS(7-$K42)*100)),100000+ABS(5-$J42)*1000+70)+'計算A'!DB$5*50+IF(AND($E42=1,MO42=0),25,0),INDEX('計算A'!DB$110:DB$114,$F42+1)+IF(AND($E42=1,MO42=0),1000,0)+IF($H42=1,(IF('計算A'!DA$117=1,INDEX('計算A'!DA$10:DA$54,$B42),0)+IF('計算A'!DB$117=1,INDEX('計算A'!DC$10:DC$54,$B42),0))*500,0)-IF(AND('計算A'!DA$117=1,XY42&gt;0),300,0)-IF(AND($L42=1,'計算A'!DB$117=1,HA42=0),300,0))),1000000))</f>
        <v/>
      </c>
      <c r="SE42">
        <f>IF($B42=0,1000000,IF(INDEX('計算A'!$D$60:$EQ$104,$B42,104)*HA42=1,IF(AND($E42=2,MP42=0),1000000,IF($I42&gt;0,IF(5=$J42,IF(OR(AND(104=$I42+1,OR($K42&lt;&gt;'計算A'!$A$3,'計算A'!$A$4=0)),AND(104=$I42-1,OR(8&lt;&gt;'計算A'!$A$3,'計算A'!$A$4=0))),0,IF(8=$K42,200000,ABS(8-$K42)*100)),100000+ABS(5-$J42)*1000+80)+'計算A'!DC$5*50+IF(AND($E42=1,MP42=0),25,0),INDEX('計算A'!DC$110:DC$114,$F42+1)+IF(AND($E42=1,MP42=0),1000,0)+IF($H42=1,(IF('計算A'!DB$117=1,INDEX('計算A'!DB$10:DB$54,$B42),0)+IF('計算A'!DC$117=1,INDEX('計算A'!DD$10:DD$54,$B42),0))*500,0)-IF(AND('計算A'!DB$117=1,XZ42&gt;0),300,0)-IF(AND($L42=1,'計算A'!DC$117=1,HB42=0),300,0))),1000000))</f>
        <v/>
      </c>
      <c r="SF42">
        <f>IF($B42=0,1000000,IF(INDEX('計算A'!$D$60:$EQ$104,$B42,105)*HB42=1,IF(AND($E42=2,MQ42=0),1000000,IF($I42&gt;0,IF(5=$J42,IF(OR(AND(105=$I42+1,OR($K42&lt;&gt;'計算A'!$A$3,'計算A'!$A$4=0)),AND(105=$I42-1,OR(9&lt;&gt;'計算A'!$A$3,'計算A'!$A$4=0))),0,IF(9=$K42,200000,ABS(9-$K42)*100)),100000+ABS(5-$J42)*1000+90)+'計算A'!DD$5*50+IF(AND($E42=1,MQ42=0),25,0),INDEX('計算A'!DD$110:DD$114,$F42+1)+IF(AND($E42=1,MQ42=0),1000,0)+IF($H42=1,(IF('計算A'!DC$117=1,INDEX('計算A'!DC$10:DC$54,$B42),0)+IF('計算A'!DD$117=1,INDEX('計算A'!DE$10:DE$54,$B42),0))*500,0)-IF(AND('計算A'!DC$117=1,YA42&gt;0),300,0)-IF(AND($L42=1,'計算A'!DD$117=1,HC42=0),300,0))),1000000))</f>
        <v/>
      </c>
      <c r="SG42">
        <f>IF($B42=0,1000000,IF(INDEX('計算A'!$D$60:$EQ$104,$B42,106)*HC42=1,IF(AND($E42=2,MR42=0),1000000,IF($I42&gt;0,IF(5=$J42,IF(OR(AND(106=$I42+1,OR($K42&lt;&gt;'計算A'!$A$3,'計算A'!$A$4=0)),AND(106=$I42-1,OR(10&lt;&gt;'計算A'!$A$3,'計算A'!$A$4=0))),0,IF(10=$K42,200000,ABS(10-$K42)*100)),100000+ABS(5-$J42)*1000+100)+'計算A'!DE$5*50+IF(AND($E42=1,MR42=0),25,0),INDEX('計算A'!DE$110:DE$114,$F42+1)+IF(AND($E42=1,MR42=0),1000,0)+IF($H42=1,(IF('計算A'!DD$117=1,INDEX('計算A'!DD$10:DD$54,$B42),0)+IF('計算A'!DE$117=1,INDEX('計算A'!DF$10:DF$54,$B42),0))*500,0)-IF(AND('計算A'!DD$117=1,YB42&gt;0),300,0)-IF(AND($L42=1,'計算A'!DE$117=1,HD42=0),300,0))),1000000))</f>
        <v/>
      </c>
      <c r="SH42">
        <f>IF($B42=0,1000000,IF(INDEX('計算A'!$D$60:$EQ$104,$B42,107)*HD42=1,IF(AND($E42=2,MS42=0),1000000,IF($I42&gt;0,IF(5=$J42,IF(OR(AND(107=$I42+1,OR($K42&lt;&gt;'計算A'!$A$3,'計算A'!$A$4=0)),AND(107=$I42-1,OR(11&lt;&gt;'計算A'!$A$3,'計算A'!$A$4=0))),0,IF(11=$K42,200000,ABS(11-$K42)*100)),100000+ABS(5-$J42)*1000+110)+'計算A'!DF$5*50+IF(AND($E42=1,MS42=0),25,0),INDEX('計算A'!DF$110:DF$114,$F42+1)+IF(AND($E42=1,MS42=0),1000,0)+IF($H42=1,(IF('計算A'!DE$117=1,INDEX('計算A'!DE$10:DE$54,$B42),0)+IF('計算A'!DF$117=1,INDEX('計算A'!DG$10:DG$54,$B42),0))*500,0)-IF(AND('計算A'!DE$117=1,YC42&gt;0),300,0)-IF(AND($L42=1,'計算A'!DF$117=1,HE42=0),300,0))),1000000))</f>
        <v/>
      </c>
      <c r="SI42">
        <f>IF($B42=0,1000000,IF(INDEX('計算A'!$D$60:$EQ$104,$B42,108)*HE42=1,IF(AND($E42=2,MT42=0),1000000,IF($I42&gt;0,IF(5=$J42,IF(OR(AND(108=$I42+1,OR($K42&lt;&gt;'計算A'!$A$3,'計算A'!$A$4=0)),AND(108=$I42-1,OR(12&lt;&gt;'計算A'!$A$3,'計算A'!$A$4=0))),0,IF(12=$K42,200000,ABS(12-$K42)*100)),100000+ABS(5-$J42)*1000+120)+'計算A'!DG$5*50+IF(AND($E42=1,MT42=0),25,0),INDEX('計算A'!DG$110:DG$114,$F42+1)+IF(AND($E42=1,MT42=0),1000,0)+IF($H42=1,(IF('計算A'!DF$117=1,INDEX('計算A'!DF$10:DF$54,$B42),0)+IF('計算A'!DG$117=1,INDEX('計算A'!DH$10:DH$54,$B42),0))*500,0)-IF(AND('計算A'!DF$117=1,YD42&gt;0),300,0)-IF(AND($L42=1,'計算A'!DG$117=1,HF42=0),300,0))),1000000))</f>
        <v/>
      </c>
      <c r="SJ42">
        <f>IF($B42=0,1000000,IF(INDEX('計算A'!$D$60:$EQ$104,$B42,109)*HF42=1,IF(AND($E42=2,MU42=0),1000000,IF($I42&gt;0,IF(5=$J42,IF(OR(AND(109=$I42+1,OR($K42&lt;&gt;'計算A'!$A$3,'計算A'!$A$4=0)),AND(109=$I42-1,OR(13&lt;&gt;'計算A'!$A$3,'計算A'!$A$4=0))),0,IF(13=$K42,200000,ABS(13-$K42)*100)),100000+ABS(5-$J42)*1000+130)+'計算A'!DH$5*50+IF(AND($E42=1,MU42=0),25,0),INDEX('計算A'!DH$110:DH$114,$F42+1)+IF(AND($E42=1,MU42=0),1000,0)+IF($H42=1,(IF('計算A'!DG$117=1,INDEX('計算A'!DG$10:DG$54,$B42),0)+IF('計算A'!DH$117=1,INDEX('計算A'!DI$10:DI$54,$B42),0))*500,0)-IF(AND('計算A'!DG$117=1,YE42&gt;0),300,0)-IF(AND($L42=1,'計算A'!DH$117=1,HG42=0),300,0))),1000000))</f>
        <v/>
      </c>
      <c r="SK42">
        <f>IF($B42=0,1000000,IF(INDEX('計算A'!$D$60:$EQ$104,$B42,110)*HG42=1,IF(AND($E42=2,MV42=0),1000000,IF($I42&gt;0,IF(5=$J42,IF(OR(AND(110=$I42+1,OR($K42&lt;&gt;'計算A'!$A$3,'計算A'!$A$4=0)),AND(110=$I42-1,OR(14&lt;&gt;'計算A'!$A$3,'計算A'!$A$4=0))),0,IF(14=$K42,200000,ABS(14-$K42)*100)),100000+ABS(5-$J42)*1000+140)+'計算A'!DI$5*50+IF(AND($E42=1,MV42=0),25,0),INDEX('計算A'!DI$110:DI$114,$F42+1)+IF(AND($E42=1,MV42=0),1000,0)+IF($H42=1,(IF('計算A'!DH$117=1,INDEX('計算A'!DH$10:DH$54,$B42),0)+IF('計算A'!DI$117=1,INDEX('計算A'!DJ$10:DJ$54,$B42),0))*500,0)-IF(AND('計算A'!DH$117=1,YF42&gt;0),300,0)-IF(AND($L42=1,'計算A'!DI$117=1,HH42=0),300,0))),1000000))</f>
        <v/>
      </c>
      <c r="SL42">
        <f>IF($B42=0,1000000,IF(INDEX('計算A'!$D$60:$EQ$104,$B42,111)*HH42=1,IF(AND($E42=2,MW42=0),1000000,IF($I42&gt;0,IF(5=$J42,IF(OR(AND(111=$I42+1,OR($K42&lt;&gt;'計算A'!$A$3,'計算A'!$A$4=0)),AND(111=$I42-1,OR(15&lt;&gt;'計算A'!$A$3,'計算A'!$A$4=0))),0,IF(15=$K42,200000,ABS(15-$K42)*100)),100000+ABS(5-$J42)*1000+150)+'計算A'!DJ$5*50+IF(AND($E42=1,MW42=0),25,0),INDEX('計算A'!DJ$110:DJ$114,$F42+1)+IF(AND($E42=1,MW42=0),1000,0)+IF($H42=1,(IF('計算A'!DI$117=1,INDEX('計算A'!DI$10:DI$54,$B42),0)+IF('計算A'!DJ$117=1,INDEX('計算A'!DK$10:DK$54,$B42),0))*500,0)-IF(AND('計算A'!DI$117=1,YG42&gt;0),300,0)-IF(AND($L42=1,'計算A'!DJ$117=1,HI42=0),300,0))),1000000))</f>
        <v/>
      </c>
      <c r="SM42">
        <f>IF($B42=0,1000000,IF(INDEX('計算A'!$D$60:$EQ$104,$B42,112)*HI42=1,IF(AND($E42=2,MX42=0),1000000,IF($I42&gt;0,IF(5=$J42,IF(OR(AND(112=$I42+1,OR($K42&lt;&gt;'計算A'!$A$3,'計算A'!$A$4=0)),AND(112=$I42-1,OR(16&lt;&gt;'計算A'!$A$3,'計算A'!$A$4=0))),0,IF(16=$K42,200000,ABS(16-$K42)*100)),100000+ABS(5-$J42)*1000+160)+'計算A'!DK$5*50+IF(AND($E42=1,MX42=0),25,0),INDEX('計算A'!DK$110:DK$114,$F42+1)+IF(AND($E42=1,MX42=0),1000,0)+IF($H42=1,(IF('計算A'!DJ$117=1,INDEX('計算A'!DJ$10:DJ$54,$B42),0)+IF('計算A'!DK$117=1,INDEX('計算A'!DL$10:DL$54,$B42),0))*500,0)-IF(AND('計算A'!DJ$117=1,YH42&gt;0),300,0)-IF(AND($L42=1,'計算A'!DK$117=1,HJ42=0),300,0))),1000000))</f>
        <v/>
      </c>
      <c r="SN42">
        <f>IF($B42=0,1000000,IF(INDEX('計算A'!$D$60:$EQ$104,$B42,113)*HJ42=1,IF(AND($E42=2,MY42=0),1000000,IF($I42&gt;0,IF(5=$J42,IF(OR(AND(113=$I42+1,OR($K42&lt;&gt;'計算A'!$A$3,'計算A'!$A$4=0)),AND(113=$I42-1,OR(17&lt;&gt;'計算A'!$A$3,'計算A'!$A$4=0))),0,IF(17=$K42,200000,ABS(17-$K42)*100)),100000+ABS(5-$J42)*1000+170)+'計算A'!DL$5*50+IF(AND($E42=1,MY42=0),25,0),INDEX('計算A'!DL$110:DL$114,$F42+1)+IF(AND($E42=1,MY42=0),1000,0)+IF($H42=1,(IF('計算A'!DK$117=1,INDEX('計算A'!DK$10:DK$54,$B42),0)+IF('計算A'!DL$117=1,INDEX('計算A'!DM$10:DM$54,$B42),0))*500,0)-IF(AND('計算A'!DK$117=1,YI42&gt;0),300,0)-IF(AND($L42=1,'計算A'!DL$117=1,HK42=0),300,0))),1000000))</f>
        <v/>
      </c>
      <c r="SO42">
        <f>IF($B42=0,1000000,IF(INDEX('計算A'!$D$60:$EQ$104,$B42,114)*HK42=1,IF(AND($E42=2,MZ42=0),1000000,IF($I42&gt;0,IF(5=$J42,IF(OR(AND(114=$I42+1,OR($K42&lt;&gt;'計算A'!$A$3,'計算A'!$A$4=0)),AND(114=$I42-1,OR(18&lt;&gt;'計算A'!$A$3,'計算A'!$A$4=0))),0,IF(18=$K42,200000,ABS(18-$K42)*100)),100000+ABS(5-$J42)*1000+180)+'計算A'!DM$5*50+IF(AND($E42=1,MZ42=0),25,0),INDEX('計算A'!DM$110:DM$114,$F42+1)+IF(AND($E42=1,MZ42=0),1000,0)+IF($H42=1,(IF('計算A'!DL$117=1,INDEX('計算A'!DL$10:DL$54,$B42),0)+IF('計算A'!DM$117=1,INDEX('計算A'!DN$10:DN$54,$B42),0))*500,0)-IF(AND('計算A'!DL$117=1,YJ42&gt;0),300,0)-IF(AND($L42=1,'計算A'!DM$117=1,HL42=0),300,0))),1000000))</f>
        <v/>
      </c>
      <c r="SP42">
        <f>IF($B42=0,1000000,IF(INDEX('計算A'!$D$60:$EQ$104,$B42,115)*HL42=1,IF(AND($E42=2,NA42=0),1000000,IF($I42&gt;0,IF(5=$J42,IF(OR(AND(115=$I42+1,OR($K42&lt;&gt;'計算A'!$A$3,'計算A'!$A$4=0)),AND(115=$I42-1,OR(19&lt;&gt;'計算A'!$A$3,'計算A'!$A$4=0))),0,IF(19=$K42,200000,ABS(19-$K42)*100)),100000+ABS(5-$J42)*1000+190)+'計算A'!DN$5*50+IF(AND($E42=1,NA42=0),25,0),INDEX('計算A'!DN$110:DN$114,$F42+1)+IF(AND($E42=1,NA42=0),1000,0)+IF($H42=1,(IF('計算A'!DM$117=1,INDEX('計算A'!DM$10:DM$54,$B42),0)+IF('計算A'!DN$117=1,INDEX('計算A'!DO$10:DO$54,$B42),0))*500,0)-IF(AND('計算A'!DM$117=1,YK42&gt;0),300,0)-IF(AND($L42=1,'計算A'!DN$117=1,HM42=0),300,0))),1000000))</f>
        <v/>
      </c>
      <c r="SQ42">
        <f>IF($B42=0,1000000,IF(INDEX('計算A'!$D$60:$EQ$104,$B42,116)*HM42=1,IF(AND($E42=2,NB42=0),1000000,IF($I42&gt;0,IF(5=$J42,IF(OR(AND(116=$I42+1,OR($K42&lt;&gt;'計算A'!$A$3,'計算A'!$A$4=0)),AND(116=$I42-1,OR(20&lt;&gt;'計算A'!$A$3,'計算A'!$A$4=0))),0,IF(20=$K42,200000,ABS(20-$K42)*100)),100000+ABS(5-$J42)*1000+200)+'計算A'!DO$5*50+IF(AND($E42=1,NB42=0),25,0),INDEX('計算A'!DO$110:DO$114,$F42+1)+IF(AND($E42=1,NB42=0),1000,0)+IF($H42=1,(IF('計算A'!DN$117=1,INDEX('計算A'!DN$10:DN$54,$B42),0)+IF('計算A'!DO$117=1,INDEX('計算A'!DP$10:DP$54,$B42),0))*500,0)-IF(AND('計算A'!DN$117=1,YL42&gt;0),300,0)-IF(AND($L42=1,'計算A'!DO$117=1,HN42=0),300,0))),1000000))</f>
        <v/>
      </c>
      <c r="SR42">
        <f>IF($B42=0,1000000,IF(INDEX('計算A'!$D$60:$EQ$104,$B42,117)*HN42=1,IF(AND($E42=2,NC42=0),1000000,IF($I42&gt;0,IF(5=$J42,IF(OR(AND(117=$I42+1,OR($K42&lt;&gt;'計算A'!$A$3,'計算A'!$A$4=0)),AND(117=$I42-1,OR(21&lt;&gt;'計算A'!$A$3,'計算A'!$A$4=0))),0,IF(21=$K42,200000,ABS(21-$K42)*100)),100000+ABS(5-$J42)*1000+210)+'計算A'!DP$5*50+IF(AND($E42=1,NC42=0),25,0),INDEX('計算A'!DP$110:DP$114,$F42+1)+IF(AND($E42=1,NC42=0),1000,0)+IF($H42=1,(IF('計算A'!DO$117=1,INDEX('計算A'!DO$10:DO$54,$B42),0)+IF('計算A'!DP$117=1,INDEX('計算A'!DQ$10:DQ$54,$B42),0))*500,0)-IF(AND('計算A'!DO$117=1,YM42&gt;0),300,0)-IF(AND($L42=1,'計算A'!DP$117=1,HO42=0),300,0))),1000000))</f>
        <v/>
      </c>
      <c r="SS42">
        <f>IF($B42=0,1000000,IF(INDEX('計算A'!$D$60:$EQ$104,$B42,118)*HO42=1,IF(AND($E42=2,ND42=0),1000000,IF($I42&gt;0,IF(5=$J42,IF(OR(AND(118=$I42+1,OR($K42&lt;&gt;'計算A'!$A$3,'計算A'!$A$4=0)),AND(118=$I42-1,OR(22&lt;&gt;'計算A'!$A$3,'計算A'!$A$4=0))),0,IF(22=$K42,200000,ABS(22-$K42)*100)),100000+ABS(5-$J42)*1000+220)+'計算A'!DQ$5*50+IF(AND($E42=1,ND42=0),25,0),INDEX('計算A'!DQ$110:DQ$114,$F42+1)+IF(AND($E42=1,ND42=0),1000,0)+IF($H42=1,(IF('計算A'!DP$117=1,INDEX('計算A'!DP$10:DP$54,$B42),0)+IF('計算A'!DQ$117=1,INDEX('計算A'!DR$10:DR$54,$B42),0))*500,0)-IF(AND('計算A'!DP$117=1,YN42&gt;0),300,0)-IF(AND($L42=1,'計算A'!DQ$117=1,HP42=0),300,0))),1000000))</f>
        <v/>
      </c>
      <c r="ST42">
        <f>IF($B42=0,1000000,IF(INDEX('計算A'!$D$60:$EQ$104,$B42,119)*HP42=1,IF(AND($E42=2,NE42=0),1000000,IF($I42&gt;0,IF(5=$J42,IF(OR(AND(119=$I42+1,OR($K42&lt;&gt;'計算A'!$A$3,'計算A'!$A$4=0)),AND(119=$I42-1,OR(23&lt;&gt;'計算A'!$A$3,'計算A'!$A$4=0))),0,IF(23=$K42,200000,ABS(23-$K42)*100)),100000+ABS(5-$J42)*1000+230)+'計算A'!DR$5*50+IF(AND($E42=1,NE42=0),25,0),INDEX('計算A'!DR$110:DR$114,$F42+1)+IF(AND($E42=1,NE42=0),1000,0)+IF($H42=1,(IF('計算A'!DQ$117=1,INDEX('計算A'!DQ$10:DQ$54,$B42),0)+IF('計算A'!DR$117=1,INDEX('計算A'!DS$10:DS$54,$B42),0))*500,0)-IF(AND('計算A'!DQ$117=1,YO42&gt;0),300,0)-IF(AND($L42=1,'計算A'!DR$117=1,HQ42=0),300,0))),1000000))</f>
        <v/>
      </c>
      <c r="SU42">
        <f>IF($B42=0,1000000,IF(INDEX('計算A'!$D$60:$EQ$104,$B42,120)*HQ42=1,IF(AND($E42=2,NF42=0),1000000,IF($I42&gt;0,IF(5=$J42,IF(OR(AND(120=$I42+1,OR($K42&lt;&gt;'計算A'!$A$3,'計算A'!$A$4=0)),AND(120=$I42-1,OR(24&lt;&gt;'計算A'!$A$3,'計算A'!$A$4=0))),0,IF(24=$K42,200000,ABS(24-$K42)*100)),100000+ABS(5-$J42)*1000+240)+'計算A'!DS$5*50+IF(AND($E42=1,NF42=0),25,0),INDEX('計算A'!DS$110:DS$114,$F42+1)+IF(AND($E42=1,NF42=0),1000,0)+IF($H42=1,(IF('計算A'!DR$117=1,INDEX('計算A'!DR$10:DR$54,$B42),0))*500,0)-IF(AND('計算A'!DR$117=1,YP42&gt;0),300,0))),1000000))</f>
        <v/>
      </c>
      <c r="SV42">
        <f>IF($B42=0,1000000,IF(INDEX('計算A'!$D$60:$EQ$104,$B42,121)*HR42=1,IF(AND($E42=2,NG42=0),1000000,IF($I42&gt;0,IF(6=$J42,IF(OR(AND(121=$I42+1,OR($K42&lt;&gt;'計算A'!$A$3,'計算A'!$A$4=0)),AND(121=$I42-1,OR(1&lt;&gt;'計算A'!$A$3,'計算A'!$A$4=0))),0,IF(1=$K42,200000,ABS(1-$K42)*100)),100000+ABS(6-$J42)*1000+10)+'計算A'!DT$5*50+IF(AND($E42=1,NG42=0),25,0),INDEX('計算A'!DT$110:DT$114,$F42+1)+IF(AND($E42=1,NG42=0),1000,0)+IF($H42=1,(IF('計算A'!DT$117=1,INDEX('計算A'!DU$10:DU$54,$B42),0))*500,0)-IF(AND($L42=1,'計算A'!DT$117=1,HS42=0),300,0))),1000000))</f>
        <v/>
      </c>
      <c r="SW42">
        <f>IF($B42=0,1000000,IF(INDEX('計算A'!$D$60:$EQ$104,$B42,122)*HS42=1,IF(AND($E42=2,NH42=0),1000000,IF($I42&gt;0,IF(6=$J42,IF(OR(AND(122=$I42+1,OR($K42&lt;&gt;'計算A'!$A$3,'計算A'!$A$4=0)),AND(122=$I42-1,OR(2&lt;&gt;'計算A'!$A$3,'計算A'!$A$4=0))),0,IF(2=$K42,200000,ABS(2-$K42)*100)),100000+ABS(6-$J42)*1000+20)+'計算A'!DU$5*50+IF(AND($E42=1,NH42=0),25,0),INDEX('計算A'!DU$110:DU$114,$F42+1)+IF(AND($E42=1,NH42=0),1000,0)+IF($H42=1,(IF('計算A'!DT$117=1,INDEX('計算A'!DT$10:DT$54,$B42),0)+IF('計算A'!DU$117=1,INDEX('計算A'!DV$10:DV$54,$B42),0))*500,0)-IF(AND('計算A'!DT$117=1,YR42&gt;0),300,0)-IF(AND($L42=1,'計算A'!DU$117=1,HT42=0),300,0))),1000000))</f>
        <v/>
      </c>
      <c r="SX42">
        <f>IF($B42=0,1000000,IF(INDEX('計算A'!$D$60:$EQ$104,$B42,123)*HT42=1,IF(AND($E42=2,NI42=0),1000000,IF($I42&gt;0,IF(6=$J42,IF(OR(AND(123=$I42+1,OR($K42&lt;&gt;'計算A'!$A$3,'計算A'!$A$4=0)),AND(123=$I42-1,OR(3&lt;&gt;'計算A'!$A$3,'計算A'!$A$4=0))),0,IF(3=$K42,200000,ABS(3-$K42)*100)),100000+ABS(6-$J42)*1000+30)+'計算A'!DV$5*50+IF(AND($E42=1,NI42=0),25,0),INDEX('計算A'!DV$110:DV$114,$F42+1)+IF(AND($E42=1,NI42=0),1000,0)+IF($H42=1,(IF('計算A'!DU$117=1,INDEX('計算A'!DU$10:DU$54,$B42),0)+IF('計算A'!DV$117=1,INDEX('計算A'!DW$10:DW$54,$B42),0))*500,0)-IF(AND('計算A'!DU$117=1,YS42&gt;0),300,0)-IF(AND($L42=1,'計算A'!DV$117=1,HU42=0),300,0))),1000000))</f>
        <v/>
      </c>
      <c r="SY42">
        <f>IF($B42=0,1000000,IF(INDEX('計算A'!$D$60:$EQ$104,$B42,124)*HU42=1,IF(AND($E42=2,NJ42=0),1000000,IF($I42&gt;0,IF(6=$J42,IF(OR(AND(124=$I42+1,OR($K42&lt;&gt;'計算A'!$A$3,'計算A'!$A$4=0)),AND(124=$I42-1,OR(4&lt;&gt;'計算A'!$A$3,'計算A'!$A$4=0))),0,IF(4=$K42,200000,ABS(4-$K42)*100)),100000+ABS(6-$J42)*1000+40)+'計算A'!DW$5*50+IF(AND($E42=1,NJ42=0),25,0),INDEX('計算A'!DW$110:DW$114,$F42+1)+IF(AND($E42=1,NJ42=0),1000,0)+IF($H42=1,(IF('計算A'!DV$117=1,INDEX('計算A'!DV$10:DV$54,$B42),0)+IF('計算A'!DW$117=1,INDEX('計算A'!DX$10:DX$54,$B42),0))*500,0)-IF(AND('計算A'!DV$117=1,YT42&gt;0),300,0)-IF(AND($L42=1,'計算A'!DW$117=1,HV42=0),300,0))),1000000))</f>
        <v/>
      </c>
      <c r="SZ42">
        <f>IF($B42=0,1000000,IF(INDEX('計算A'!$D$60:$EQ$104,$B42,125)*HV42=1,IF(AND($E42=2,NK42=0),1000000,IF($I42&gt;0,IF(6=$J42,IF(OR(AND(125=$I42+1,OR($K42&lt;&gt;'計算A'!$A$3,'計算A'!$A$4=0)),AND(125=$I42-1,OR(5&lt;&gt;'計算A'!$A$3,'計算A'!$A$4=0))),0,IF(5=$K42,200000,ABS(5-$K42)*100)),100000+ABS(6-$J42)*1000+50)+'計算A'!DX$5*50+IF(AND($E42=1,NK42=0),25,0),INDEX('計算A'!DX$110:DX$114,$F42+1)+IF(AND($E42=1,NK42=0),1000,0)+IF($H42=1,(IF('計算A'!DW$117=1,INDEX('計算A'!DW$10:DW$54,$B42),0)+IF('計算A'!DX$117=1,INDEX('計算A'!DY$10:DY$54,$B42),0))*500,0)-IF(AND('計算A'!DW$117=1,YU42&gt;0),300,0)-IF(AND($L42=1,'計算A'!DX$117=1,HW42=0),300,0))),1000000))</f>
        <v/>
      </c>
      <c r="TA42">
        <f>IF($B42=0,1000000,IF(INDEX('計算A'!$D$60:$EQ$104,$B42,126)*HW42=1,IF(AND($E42=2,NL42=0),1000000,IF($I42&gt;0,IF(6=$J42,IF(OR(AND(126=$I42+1,OR($K42&lt;&gt;'計算A'!$A$3,'計算A'!$A$4=0)),AND(126=$I42-1,OR(6&lt;&gt;'計算A'!$A$3,'計算A'!$A$4=0))),0,IF(6=$K42,200000,ABS(6-$K42)*100)),100000+ABS(6-$J42)*1000+60)+'計算A'!DY$5*50+IF(AND($E42=1,NL42=0),25,0),INDEX('計算A'!DY$110:DY$114,$F42+1)+IF(AND($E42=1,NL42=0),1000,0)+IF($H42=1,(IF('計算A'!DX$117=1,INDEX('計算A'!DX$10:DX$54,$B42),0)+IF('計算A'!DY$117=1,INDEX('計算A'!DZ$10:DZ$54,$B42),0))*500,0)-IF(AND('計算A'!DX$117=1,YV42&gt;0),300,0)-IF(AND($L42=1,'計算A'!DY$117=1,HX42=0),300,0))),1000000))</f>
        <v/>
      </c>
      <c r="TB42">
        <f>IF($B42=0,1000000,IF(INDEX('計算A'!$D$60:$EQ$104,$B42,127)*HX42=1,IF(AND($E42=2,NM42=0),1000000,IF($I42&gt;0,IF(6=$J42,IF(OR(AND(127=$I42+1,OR($K42&lt;&gt;'計算A'!$A$3,'計算A'!$A$4=0)),AND(127=$I42-1,OR(7&lt;&gt;'計算A'!$A$3,'計算A'!$A$4=0))),0,IF(7=$K42,200000,ABS(7-$K42)*100)),100000+ABS(6-$J42)*1000+70)+'計算A'!DZ$5*50+IF(AND($E42=1,NM42=0),25,0),INDEX('計算A'!DZ$110:DZ$114,$F42+1)+IF(AND($E42=1,NM42=0),1000,0)+IF($H42=1,(IF('計算A'!DY$117=1,INDEX('計算A'!DY$10:DY$54,$B42),0)+IF('計算A'!DZ$117=1,INDEX('計算A'!EA$10:EA$54,$B42),0))*500,0)-IF(AND('計算A'!DY$117=1,YW42&gt;0),300,0)-IF(AND($L42=1,'計算A'!DZ$117=1,HY42=0),300,0))),1000000))</f>
        <v/>
      </c>
      <c r="TC42">
        <f>IF($B42=0,1000000,IF(INDEX('計算A'!$D$60:$EQ$104,$B42,128)*HY42=1,IF(AND($E42=2,NN42=0),1000000,IF($I42&gt;0,IF(6=$J42,IF(OR(AND(128=$I42+1,OR($K42&lt;&gt;'計算A'!$A$3,'計算A'!$A$4=0)),AND(128=$I42-1,OR(8&lt;&gt;'計算A'!$A$3,'計算A'!$A$4=0))),0,IF(8=$K42,200000,ABS(8-$K42)*100)),100000+ABS(6-$J42)*1000+80)+'計算A'!EA$5*50+IF(AND($E42=1,NN42=0),25,0),INDEX('計算A'!EA$110:EA$114,$F42+1)+IF(AND($E42=1,NN42=0),1000,0)+IF($H42=1,(IF('計算A'!DZ$117=1,INDEX('計算A'!DZ$10:DZ$54,$B42),0)+IF('計算A'!EA$117=1,INDEX('計算A'!EB$10:EB$54,$B42),0))*500,0)-IF(AND('計算A'!DZ$117=1,YX42&gt;0),300,0)-IF(AND($L42=1,'計算A'!EA$117=1,HZ42=0),300,0))),1000000))</f>
        <v/>
      </c>
      <c r="TD42">
        <f>IF($B42=0,1000000,IF(INDEX('計算A'!$D$60:$EQ$104,$B42,129)*HZ42=1,IF(AND($E42=2,NO42=0),1000000,IF($I42&gt;0,IF(6=$J42,IF(OR(AND(129=$I42+1,OR($K42&lt;&gt;'計算A'!$A$3,'計算A'!$A$4=0)),AND(129=$I42-1,OR(9&lt;&gt;'計算A'!$A$3,'計算A'!$A$4=0))),0,IF(9=$K42,200000,ABS(9-$K42)*100)),100000+ABS(6-$J42)*1000+90)+'計算A'!EB$5*50+IF(AND($E42=1,NO42=0),25,0),INDEX('計算A'!EB$110:EB$114,$F42+1)+IF(AND($E42=1,NO42=0),1000,0)+IF($H42=1,(IF('計算A'!EA$117=1,INDEX('計算A'!EA$10:EA$54,$B42),0)+IF('計算A'!EB$117=1,INDEX('計算A'!EC$10:EC$54,$B42),0))*500,0)-IF(AND('計算A'!EA$117=1,YY42&gt;0),300,0)-IF(AND($L42=1,'計算A'!EB$117=1,IA42=0),300,0))),1000000))</f>
        <v/>
      </c>
      <c r="TE42">
        <f>IF($B42=0,1000000,IF(INDEX('計算A'!$D$60:$EQ$104,$B42,130)*IA42=1,IF(AND($E42=2,NP42=0),1000000,IF($I42&gt;0,IF(6=$J42,IF(OR(AND(130=$I42+1,OR($K42&lt;&gt;'計算A'!$A$3,'計算A'!$A$4=0)),AND(130=$I42-1,OR(10&lt;&gt;'計算A'!$A$3,'計算A'!$A$4=0))),0,IF(10=$K42,200000,ABS(10-$K42)*100)),100000+ABS(6-$J42)*1000+100)+'計算A'!EC$5*50+IF(AND($E42=1,NP42=0),25,0),INDEX('計算A'!EC$110:EC$114,$F42+1)+IF(AND($E42=1,NP42=0),1000,0)+IF($H42=1,(IF('計算A'!EB$117=1,INDEX('計算A'!EB$10:EB$54,$B42),0)+IF('計算A'!EC$117=1,INDEX('計算A'!ED$10:ED$54,$B42),0))*500,0)-IF(AND('計算A'!EB$117=1,YZ42&gt;0),300,0)-IF(AND($L42=1,'計算A'!EC$117=1,IB42=0),300,0))),1000000))</f>
        <v/>
      </c>
      <c r="TF42">
        <f>IF($B42=0,1000000,IF(INDEX('計算A'!$D$60:$EQ$104,$B42,131)*IB42=1,IF(AND($E42=2,NQ42=0),1000000,IF($I42&gt;0,IF(6=$J42,IF(OR(AND(131=$I42+1,OR($K42&lt;&gt;'計算A'!$A$3,'計算A'!$A$4=0)),AND(131=$I42-1,OR(11&lt;&gt;'計算A'!$A$3,'計算A'!$A$4=0))),0,IF(11=$K42,200000,ABS(11-$K42)*100)),100000+ABS(6-$J42)*1000+110)+'計算A'!ED$5*50+IF(AND($E42=1,NQ42=0),25,0),INDEX('計算A'!ED$110:ED$114,$F42+1)+IF(AND($E42=1,NQ42=0),1000,0)+IF($H42=1,(IF('計算A'!EC$117=1,INDEX('計算A'!EC$10:EC$54,$B42),0)+IF('計算A'!ED$117=1,INDEX('計算A'!EE$10:EE$54,$B42),0))*500,0)-IF(AND('計算A'!EC$117=1,ZA42&gt;0),300,0)-IF(AND($L42=1,'計算A'!ED$117=1,IC42=0),300,0))),1000000))</f>
        <v/>
      </c>
      <c r="TG42">
        <f>IF($B42=0,1000000,IF(INDEX('計算A'!$D$60:$EQ$104,$B42,132)*IC42=1,IF(AND($E42=2,NR42=0),1000000,IF($I42&gt;0,IF(6=$J42,IF(OR(AND(132=$I42+1,OR($K42&lt;&gt;'計算A'!$A$3,'計算A'!$A$4=0)),AND(132=$I42-1,OR(12&lt;&gt;'計算A'!$A$3,'計算A'!$A$4=0))),0,IF(12=$K42,200000,ABS(12-$K42)*100)),100000+ABS(6-$J42)*1000+120)+'計算A'!EE$5*50+IF(AND($E42=1,NR42=0),25,0),INDEX('計算A'!EE$110:EE$114,$F42+1)+IF(AND($E42=1,NR42=0),1000,0)+IF($H42=1,(IF('計算A'!ED$117=1,INDEX('計算A'!ED$10:ED$54,$B42),0)+IF('計算A'!EE$117=1,INDEX('計算A'!EF$10:EF$54,$B42),0))*500,0)-IF(AND('計算A'!ED$117=1,ZB42&gt;0),300,0)-IF(AND($L42=1,'計算A'!EE$117=1,ID42=0),300,0))),1000000))</f>
        <v/>
      </c>
      <c r="TH42">
        <f>IF($B42=0,1000000,IF(INDEX('計算A'!$D$60:$EQ$104,$B42,133)*ID42=1,IF(AND($E42=2,NS42=0),1000000,IF($I42&gt;0,IF(6=$J42,IF(OR(AND(133=$I42+1,OR($K42&lt;&gt;'計算A'!$A$3,'計算A'!$A$4=0)),AND(133=$I42-1,OR(13&lt;&gt;'計算A'!$A$3,'計算A'!$A$4=0))),0,IF(13=$K42,200000,ABS(13-$K42)*100)),100000+ABS(6-$J42)*1000+130)+'計算A'!EF$5*50+IF(AND($E42=1,NS42=0),25,0),INDEX('計算A'!EF$110:EF$114,$F42+1)+IF(AND($E42=1,NS42=0),1000,0)+IF($H42=1,(IF('計算A'!EE$117=1,INDEX('計算A'!EE$10:EE$54,$B42),0)+IF('計算A'!EF$117=1,INDEX('計算A'!EG$10:EG$54,$B42),0))*500,0)-IF(AND('計算A'!EE$117=1,ZC42&gt;0),300,0)-IF(AND($L42=1,'計算A'!EF$117=1,IE42=0),300,0))),1000000))</f>
        <v/>
      </c>
      <c r="TI42">
        <f>IF($B42=0,1000000,IF(INDEX('計算A'!$D$60:$EQ$104,$B42,134)*IE42=1,IF(AND($E42=2,NT42=0),1000000,IF($I42&gt;0,IF(6=$J42,IF(OR(AND(134=$I42+1,OR($K42&lt;&gt;'計算A'!$A$3,'計算A'!$A$4=0)),AND(134=$I42-1,OR(14&lt;&gt;'計算A'!$A$3,'計算A'!$A$4=0))),0,IF(14=$K42,200000,ABS(14-$K42)*100)),100000+ABS(6-$J42)*1000+140)+'計算A'!EG$5*50+IF(AND($E42=1,NT42=0),25,0),INDEX('計算A'!EG$110:EG$114,$F42+1)+IF(AND($E42=1,NT42=0),1000,0)+IF($H42=1,(IF('計算A'!EF$117=1,INDEX('計算A'!EF$10:EF$54,$B42),0)+IF('計算A'!EG$117=1,INDEX('計算A'!EH$10:EH$54,$B42),0))*500,0)-IF(AND('計算A'!EF$117=1,ZD42&gt;0),300,0)-IF(AND($L42=1,'計算A'!EG$117=1,IF42=0),300,0))),1000000))</f>
        <v/>
      </c>
      <c r="TJ42">
        <f>IF($B42=0,1000000,IF(INDEX('計算A'!$D$60:$EQ$104,$B42,135)*IF42=1,IF(AND($E42=2,NU42=0),1000000,IF($I42&gt;0,IF(6=$J42,IF(OR(AND(135=$I42+1,OR($K42&lt;&gt;'計算A'!$A$3,'計算A'!$A$4=0)),AND(135=$I42-1,OR(15&lt;&gt;'計算A'!$A$3,'計算A'!$A$4=0))),0,IF(15=$K42,200000,ABS(15-$K42)*100)),100000+ABS(6-$J42)*1000+150)+'計算A'!EH$5*50+IF(AND($E42=1,NU42=0),25,0),INDEX('計算A'!EH$110:EH$114,$F42+1)+IF(AND($E42=1,NU42=0),1000,0)+IF($H42=1,(IF('計算A'!EG$117=1,INDEX('計算A'!EG$10:EG$54,$B42),0)+IF('計算A'!EH$117=1,INDEX('計算A'!EI$10:EI$54,$B42),0))*500,0)-IF(AND('計算A'!EG$117=1,ZE42&gt;0),300,0)-IF(AND($L42=1,'計算A'!EH$117=1,IG42=0),300,0))),1000000))</f>
        <v/>
      </c>
      <c r="TK42">
        <f>IF($B42=0,1000000,IF(INDEX('計算A'!$D$60:$EQ$104,$B42,136)*IG42=1,IF(AND($E42=2,NV42=0),1000000,IF($I42&gt;0,IF(6=$J42,IF(OR(AND(136=$I42+1,OR($K42&lt;&gt;'計算A'!$A$3,'計算A'!$A$4=0)),AND(136=$I42-1,OR(16&lt;&gt;'計算A'!$A$3,'計算A'!$A$4=0))),0,IF(16=$K42,200000,ABS(16-$K42)*100)),100000+ABS(6-$J42)*1000+160)+'計算A'!EI$5*50+IF(AND($E42=1,NV42=0),25,0),INDEX('計算A'!EI$110:EI$114,$F42+1)+IF(AND($E42=1,NV42=0),1000,0)+IF($H42=1,(IF('計算A'!EH$117=1,INDEX('計算A'!EH$10:EH$54,$B42),0)+IF('計算A'!EI$117=1,INDEX('計算A'!EJ$10:EJ$54,$B42),0))*500,0)-IF(AND('計算A'!EH$117=1,ZF42&gt;0),300,0)-IF(AND($L42=1,'計算A'!EI$117=1,IH42=0),300,0))),1000000))</f>
        <v/>
      </c>
      <c r="TL42">
        <f>IF($B42=0,1000000,IF(INDEX('計算A'!$D$60:$EQ$104,$B42,137)*IH42=1,IF(AND($E42=2,NW42=0),1000000,IF($I42&gt;0,IF(6=$J42,IF(OR(AND(137=$I42+1,OR($K42&lt;&gt;'計算A'!$A$3,'計算A'!$A$4=0)),AND(137=$I42-1,OR(17&lt;&gt;'計算A'!$A$3,'計算A'!$A$4=0))),0,IF(17=$K42,200000,ABS(17-$K42)*100)),100000+ABS(6-$J42)*1000+170)+'計算A'!EJ$5*50+IF(AND($E42=1,NW42=0),25,0),INDEX('計算A'!EJ$110:EJ$114,$F42+1)+IF(AND($E42=1,NW42=0),1000,0)+IF($H42=1,(IF('計算A'!EI$117=1,INDEX('計算A'!EI$10:EI$54,$B42),0)+IF('計算A'!EJ$117=1,INDEX('計算A'!EK$10:EK$54,$B42),0))*500,0)-IF(AND('計算A'!EI$117=1,ZG42&gt;0),300,0)-IF(AND($L42=1,'計算A'!EJ$117=1,II42=0),300,0))),1000000))</f>
        <v/>
      </c>
      <c r="TM42">
        <f>IF($B42=0,1000000,IF(INDEX('計算A'!$D$60:$EQ$104,$B42,138)*II42=1,IF(AND($E42=2,NX42=0),1000000,IF($I42&gt;0,IF(6=$J42,IF(OR(AND(138=$I42+1,OR($K42&lt;&gt;'計算A'!$A$3,'計算A'!$A$4=0)),AND(138=$I42-1,OR(18&lt;&gt;'計算A'!$A$3,'計算A'!$A$4=0))),0,IF(18=$K42,200000,ABS(18-$K42)*100)),100000+ABS(6-$J42)*1000+180)+'計算A'!EK$5*50+IF(AND($E42=1,NX42=0),25,0),INDEX('計算A'!EK$110:EK$114,$F42+1)+IF(AND($E42=1,NX42=0),1000,0)+IF($H42=1,(IF('計算A'!EJ$117=1,INDEX('計算A'!EJ$10:EJ$54,$B42),0)+IF('計算A'!EK$117=1,INDEX('計算A'!EL$10:EL$54,$B42),0))*500,0)-IF(AND('計算A'!EJ$117=1,ZH42&gt;0),300,0)-IF(AND($L42=1,'計算A'!EK$117=1,IJ42=0),300,0))),1000000))</f>
        <v/>
      </c>
      <c r="TN42">
        <f>IF($B42=0,1000000,IF(INDEX('計算A'!$D$60:$EQ$104,$B42,139)*IJ42=1,IF(AND($E42=2,NY42=0),1000000,IF($I42&gt;0,IF(6=$J42,IF(OR(AND(139=$I42+1,OR($K42&lt;&gt;'計算A'!$A$3,'計算A'!$A$4=0)),AND(139=$I42-1,OR(19&lt;&gt;'計算A'!$A$3,'計算A'!$A$4=0))),0,IF(19=$K42,200000,ABS(19-$K42)*100)),100000+ABS(6-$J42)*1000+190)+'計算A'!EL$5*50+IF(AND($E42=1,NY42=0),25,0),INDEX('計算A'!EL$110:EL$114,$F42+1)+IF(AND($E42=1,NY42=0),1000,0)+IF($H42=1,(IF('計算A'!EK$117=1,INDEX('計算A'!EK$10:EK$54,$B42),0)+IF('計算A'!EL$117=1,INDEX('計算A'!EM$10:EM$54,$B42),0))*500,0)-IF(AND('計算A'!EK$117=1,ZI42&gt;0),300,0)-IF(AND($L42=1,'計算A'!EL$117=1,IK42=0),300,0))),1000000))</f>
        <v/>
      </c>
      <c r="TO42">
        <f>IF($B42=0,1000000,IF(INDEX('計算A'!$D$60:$EQ$104,$B42,140)*IK42=1,IF(AND($E42=2,NZ42=0),1000000,IF($I42&gt;0,IF(6=$J42,IF(OR(AND(140=$I42+1,OR($K42&lt;&gt;'計算A'!$A$3,'計算A'!$A$4=0)),AND(140=$I42-1,OR(20&lt;&gt;'計算A'!$A$3,'計算A'!$A$4=0))),0,IF(20=$K42,200000,ABS(20-$K42)*100)),100000+ABS(6-$J42)*1000+200)+'計算A'!EM$5*50+IF(AND($E42=1,NZ42=0),25,0),INDEX('計算A'!EM$110:EM$114,$F42+1)+IF(AND($E42=1,NZ42=0),1000,0)+IF($H42=1,(IF('計算A'!EL$117=1,INDEX('計算A'!EL$10:EL$54,$B42),0)+IF('計算A'!EM$117=1,INDEX('計算A'!EN$10:EN$54,$B42),0))*500,0)-IF(AND('計算A'!EL$117=1,ZJ42&gt;0),300,0)-IF(AND($L42=1,'計算A'!EM$117=1,IL42=0),300,0))),1000000))</f>
        <v/>
      </c>
      <c r="TP42">
        <f>IF($B42=0,1000000,IF(INDEX('計算A'!$D$60:$EQ$104,$B42,141)*IL42=1,IF(AND($E42=2,OA42=0),1000000,IF($I42&gt;0,IF(6=$J42,IF(OR(AND(141=$I42+1,OR($K42&lt;&gt;'計算A'!$A$3,'計算A'!$A$4=0)),AND(141=$I42-1,OR(21&lt;&gt;'計算A'!$A$3,'計算A'!$A$4=0))),0,IF(21=$K42,200000,ABS(21-$K42)*100)),100000+ABS(6-$J42)*1000+210)+'計算A'!EN$5*50+IF(AND($E42=1,OA42=0),25,0),INDEX('計算A'!EN$110:EN$114,$F42+1)+IF(AND($E42=1,OA42=0),1000,0)+IF($H42=1,(IF('計算A'!EM$117=1,INDEX('計算A'!EM$10:EM$54,$B42),0)+IF('計算A'!EN$117=1,INDEX('計算A'!EO$10:EO$54,$B42),0))*500,0)-IF(AND('計算A'!EM$117=1,ZK42&gt;0),300,0)-IF(AND($L42=1,'計算A'!EN$117=1,IM42=0),300,0))),1000000))</f>
        <v/>
      </c>
      <c r="TQ42">
        <f>IF($B42=0,1000000,IF(INDEX('計算A'!$D$60:$EQ$104,$B42,142)*IM42=1,IF(AND($E42=2,OB42=0),1000000,IF($I42&gt;0,IF(6=$J42,IF(OR(AND(142=$I42+1,OR($K42&lt;&gt;'計算A'!$A$3,'計算A'!$A$4=0)),AND(142=$I42-1,OR(22&lt;&gt;'計算A'!$A$3,'計算A'!$A$4=0))),0,IF(22=$K42,200000,ABS(22-$K42)*100)),100000+ABS(6-$J42)*1000+220)+'計算A'!EO$5*50+IF(AND($E42=1,OB42=0),25,0),INDEX('計算A'!EO$110:EO$114,$F42+1)+IF(AND($E42=1,OB42=0),1000,0)+IF($H42=1,(IF('計算A'!EN$117=1,INDEX('計算A'!EN$10:EN$54,$B42),0)+IF('計算A'!EO$117=1,INDEX('計算A'!EP$10:EP$54,$B42),0))*500,0)-IF(AND('計算A'!EN$117=1,ZL42&gt;0),300,0)-IF(AND($L42=1,'計算A'!EO$117=1,IN42=0),300,0))),1000000))</f>
        <v/>
      </c>
      <c r="TR42">
        <f>IF($B42=0,1000000,IF(INDEX('計算A'!$D$60:$EQ$104,$B42,143)*IN42=1,IF(AND($E42=2,OC42=0),1000000,IF($I42&gt;0,IF(6=$J42,IF(OR(AND(143=$I42+1,OR($K42&lt;&gt;'計算A'!$A$3,'計算A'!$A$4=0)),AND(143=$I42-1,OR(23&lt;&gt;'計算A'!$A$3,'計算A'!$A$4=0))),0,IF(23=$K42,200000,ABS(23-$K42)*100)),100000+ABS(6-$J42)*1000+230)+'計算A'!EP$5*50+IF(AND($E42=1,OC42=0),25,0),INDEX('計算A'!EP$110:EP$114,$F42+1)+IF(AND($E42=1,OC42=0),1000,0)+IF($H42=1,(IF('計算A'!EO$117=1,INDEX('計算A'!EO$10:EO$54,$B42),0)+IF('計算A'!EP$117=1,INDEX('計算A'!EQ$10:EQ$54,$B42),0))*500,0)-IF(AND('計算A'!EO$117=1,ZM42&gt;0),300,0)-IF(AND($L42=1,'計算A'!EP$117=1,IO42=0),300,0))),1000000))</f>
        <v/>
      </c>
      <c r="TS42">
        <f>IF($B42=0,1000000,IF(INDEX('計算A'!$D$60:$EQ$104,$B42,144)*IO42=1,IF(AND($E42=2,OD42=0),1000000,IF($I42&gt;0,IF(6=$J42,IF(OR(AND(144=$I42+1,OR($K42&lt;&gt;'計算A'!$A$3,'計算A'!$A$4=0)),AND(144=$I42-1,OR(24&lt;&gt;'計算A'!$A$3,'計算A'!$A$4=0))),0,IF(24=$K42,200000,ABS(24-$K42)*100)),100000+ABS(6-$J42)*1000+240)+'計算A'!EQ$5*50+IF(AND($E42=1,OD42=0),25,0),INDEX('計算A'!EQ$110:EQ$114,$F42+1)+IF(AND($E42=1,OD42=0),1000,0)+IF($H42=1,(IF('計算A'!EP$117=1,INDEX('計算A'!EP$10:EP$54,$B42),0))*500,0)-IF(AND('計算A'!EP$117=1,ZN42&gt;0),300,0))),1000000))</f>
        <v/>
      </c>
      <c r="UB42">
        <f>UB41+IF(AND($C41=1,$L41=1),1,0)</f>
        <v/>
      </c>
      <c r="UC42">
        <f>UC41+IF(AND($C41=2,$L41=1),1,0)</f>
        <v/>
      </c>
      <c r="UD42">
        <f>UD41+IF(AND($C41=3,$L41=1),1,0)</f>
        <v/>
      </c>
      <c r="UE42">
        <f>UE41+IF(AND($C41=4,$L41=1),1,0)</f>
        <v/>
      </c>
      <c r="UF42">
        <f>UF41+IF(AND($C41=5,$L41=1),1,0)</f>
        <v/>
      </c>
      <c r="UG42">
        <f>UG41+IF(AND($C41=6,$L41=1),1,0)</f>
        <v/>
      </c>
      <c r="UH42">
        <f>UH41+IF(AND($C41=7,$L41=1),1,0)</f>
        <v/>
      </c>
      <c r="UI42">
        <f>UI41+IF(AND($C41=8,$L41=1),1,0)</f>
        <v/>
      </c>
      <c r="UJ42">
        <f>UJ41+IF(AND($C41=9,$L41=1),1,0)</f>
        <v/>
      </c>
      <c r="UK42">
        <f>UK41+IF(AND($C41=10,$L41=1),1,0)</f>
        <v/>
      </c>
      <c r="UL42">
        <f>UL41+IF(AND($C41=11,$L41=1),1,0)</f>
        <v/>
      </c>
      <c r="UM42">
        <f>UM41+IF(AND($C41=12,$L41=1),1,0)</f>
        <v/>
      </c>
      <c r="UN42">
        <f>UN41+IF(AND($C41=13,$L41=1),1,0)</f>
        <v/>
      </c>
      <c r="UO42">
        <f>UO41+IF(AND($C41=14,$L41=1),1,0)</f>
        <v/>
      </c>
      <c r="UP42">
        <f>UP41+IF(AND($C41=15,$L41=1),1,0)</f>
        <v/>
      </c>
      <c r="UQ42">
        <f>UQ41+IF(AND($C41=16,$L41=1),1,0)</f>
        <v/>
      </c>
      <c r="UR42">
        <f>UR41+IF(AND($C41=17,$L41=1),1,0)</f>
        <v/>
      </c>
      <c r="US42">
        <f>US41+IF(AND($C41=18,$L41=1),1,0)</f>
        <v/>
      </c>
      <c r="UT42">
        <f>UT41+IF(AND($C41=19,$L41=1),1,0)</f>
        <v/>
      </c>
      <c r="UU42">
        <f>UU41+IF(AND($C41=20,$L41=1),1,0)</f>
        <v/>
      </c>
      <c r="UV42">
        <f>UV41+IF(AND($C41=21,$L41=1),1,0)</f>
        <v/>
      </c>
      <c r="UW42">
        <f>UW41+IF(AND($C41=22,$L41=1),1,0)</f>
        <v/>
      </c>
      <c r="UX42">
        <f>UX41+IF(AND($C41=23,$L41=1),1,0)</f>
        <v/>
      </c>
      <c r="UY42">
        <f>UY41+IF(AND($C41=24,$L41=1),1,0)</f>
        <v/>
      </c>
      <c r="UZ42">
        <f>UZ41+IF(AND($C41=25,$L41=1),1,0)</f>
        <v/>
      </c>
      <c r="VA42">
        <f>VA41+IF(AND($C41=26,$L41=1),1,0)</f>
        <v/>
      </c>
      <c r="VB42">
        <f>VB41+IF(AND($C41=27,$L41=1),1,0)</f>
        <v/>
      </c>
      <c r="VC42">
        <f>VC41+IF(AND($C41=28,$L41=1),1,0)</f>
        <v/>
      </c>
      <c r="VD42">
        <f>VD41+IF(AND($C41=29,$L41=1),1,0)</f>
        <v/>
      </c>
      <c r="VE42">
        <f>VE41+IF(AND($C41=30,$L41=1),1,0)</f>
        <v/>
      </c>
      <c r="VF42">
        <f>VF41+IF(AND($C41=31,$L41=1),1,0)</f>
        <v/>
      </c>
      <c r="VG42">
        <f>VG41+IF(AND($C41=32,$L41=1),1,0)</f>
        <v/>
      </c>
      <c r="VH42">
        <f>VH41+IF(AND($C41=33,$L41=1),1,0)</f>
        <v/>
      </c>
      <c r="VI42">
        <f>VI41+IF(AND($C41=34,$L41=1),1,0)</f>
        <v/>
      </c>
      <c r="VJ42">
        <f>VJ41+IF(AND($C41=35,$L41=1),1,0)</f>
        <v/>
      </c>
      <c r="VK42">
        <f>VK41+IF(AND($C41=36,$L41=1),1,0)</f>
        <v/>
      </c>
      <c r="VL42">
        <f>VL41+IF(AND($C41=37,$L41=1),1,0)</f>
        <v/>
      </c>
      <c r="VM42">
        <f>VM41+IF(AND($C41=38,$L41=1),1,0)</f>
        <v/>
      </c>
      <c r="VN42">
        <f>VN41+IF(AND($C41=39,$L41=1),1,0)</f>
        <v/>
      </c>
      <c r="VO42">
        <f>VO41+IF(AND($C41=40,$L41=1),1,0)</f>
        <v/>
      </c>
      <c r="VP42">
        <f>VP41+IF(AND($C41=41,$L41=1),1,0)</f>
        <v/>
      </c>
      <c r="VQ42">
        <f>VQ41+IF(AND($C41=42,$L41=1),1,0)</f>
        <v/>
      </c>
      <c r="VR42">
        <f>VR41+IF(AND($C41=43,$L41=1),1,0)</f>
        <v/>
      </c>
      <c r="VS42">
        <f>VS41+IF(AND($C41=44,$L41=1),1,0)</f>
        <v/>
      </c>
      <c r="VT42">
        <f>VT41+IF(AND($C41=45,$L41=1),1,0)</f>
        <v/>
      </c>
      <c r="VU42">
        <f>VU41+IF(AND($C41=46,$L41=1),1,0)</f>
        <v/>
      </c>
      <c r="VV42">
        <f>VV41+IF(AND($C41=47,$L41=1),1,0)</f>
        <v/>
      </c>
      <c r="VW42">
        <f>VW41+IF(AND($C41=48,$L41=1),1,0)</f>
        <v/>
      </c>
      <c r="VX42">
        <f>VX41+IF(AND($C41=49,$L41=1),1,0)</f>
        <v/>
      </c>
      <c r="VY42">
        <f>VY41+IF(AND($C41=50,$L41=1),1,0)</f>
        <v/>
      </c>
      <c r="VZ42">
        <f>VZ41+IF(AND($C41=51,$L41=1),1,0)</f>
        <v/>
      </c>
      <c r="WA42">
        <f>WA41+IF(AND($C41=52,$L41=1),1,0)</f>
        <v/>
      </c>
      <c r="WB42">
        <f>WB41+IF(AND($C41=53,$L41=1),1,0)</f>
        <v/>
      </c>
      <c r="WC42">
        <f>WC41+IF(AND($C41=54,$L41=1),1,0)</f>
        <v/>
      </c>
      <c r="WD42">
        <f>WD41+IF(AND($C41=55,$L41=1),1,0)</f>
        <v/>
      </c>
      <c r="WE42">
        <f>WE41+IF(AND($C41=56,$L41=1),1,0)</f>
        <v/>
      </c>
      <c r="WF42">
        <f>WF41+IF(AND($C41=57,$L41=1),1,0)</f>
        <v/>
      </c>
      <c r="WG42">
        <f>WG41+IF(AND($C41=58,$L41=1),1,0)</f>
        <v/>
      </c>
      <c r="WH42">
        <f>WH41+IF(AND($C41=59,$L41=1),1,0)</f>
        <v/>
      </c>
      <c r="WI42">
        <f>WI41+IF(AND($C41=60,$L41=1),1,0)</f>
        <v/>
      </c>
      <c r="WJ42">
        <f>WJ41+IF(AND($C41=61,$L41=1),1,0)</f>
        <v/>
      </c>
      <c r="WK42">
        <f>WK41+IF(AND($C41=62,$L41=1),1,0)</f>
        <v/>
      </c>
      <c r="WL42">
        <f>WL41+IF(AND($C41=63,$L41=1),1,0)</f>
        <v/>
      </c>
      <c r="WM42">
        <f>WM41+IF(AND($C41=64,$L41=1),1,0)</f>
        <v/>
      </c>
      <c r="WN42">
        <f>WN41+IF(AND($C41=65,$L41=1),1,0)</f>
        <v/>
      </c>
      <c r="WO42">
        <f>WO41+IF(AND($C41=66,$L41=1),1,0)</f>
        <v/>
      </c>
      <c r="WP42">
        <f>WP41+IF(AND($C41=67,$L41=1),1,0)</f>
        <v/>
      </c>
      <c r="WQ42">
        <f>WQ41+IF(AND($C41=68,$L41=1),1,0)</f>
        <v/>
      </c>
      <c r="WR42">
        <f>WR41+IF(AND($C41=69,$L41=1),1,0)</f>
        <v/>
      </c>
      <c r="WS42">
        <f>WS41+IF(AND($C41=70,$L41=1),1,0)</f>
        <v/>
      </c>
      <c r="WT42">
        <f>WT41+IF(AND($C41=71,$L41=1),1,0)</f>
        <v/>
      </c>
      <c r="WU42">
        <f>WU41+IF(AND($C41=72,$L41=1),1,0)</f>
        <v/>
      </c>
      <c r="WV42">
        <f>WV41+IF(AND($C41=73,$L41=1),1,0)</f>
        <v/>
      </c>
      <c r="WW42">
        <f>WW41+IF(AND($C41=74,$L41=1),1,0)</f>
        <v/>
      </c>
      <c r="WX42">
        <f>WX41+IF(AND($C41=75,$L41=1),1,0)</f>
        <v/>
      </c>
      <c r="WY42">
        <f>WY41+IF(AND($C41=76,$L41=1),1,0)</f>
        <v/>
      </c>
      <c r="WZ42">
        <f>WZ41+IF(AND($C41=77,$L41=1),1,0)</f>
        <v/>
      </c>
      <c r="XA42">
        <f>XA41+IF(AND($C41=78,$L41=1),1,0)</f>
        <v/>
      </c>
      <c r="XB42">
        <f>XB41+IF(AND($C41=79,$L41=1),1,0)</f>
        <v/>
      </c>
      <c r="XC42">
        <f>XC41+IF(AND($C41=80,$L41=1),1,0)</f>
        <v/>
      </c>
      <c r="XD42">
        <f>XD41+IF(AND($C41=81,$L41=1),1,0)</f>
        <v/>
      </c>
      <c r="XE42">
        <f>XE41+IF(AND($C41=82,$L41=1),1,0)</f>
        <v/>
      </c>
      <c r="XF42">
        <f>XF41+IF(AND($C41=83,$L41=1),1,0)</f>
        <v/>
      </c>
      <c r="XG42">
        <f>XG41+IF(AND($C41=84,$L41=1),1,0)</f>
        <v/>
      </c>
      <c r="XH42">
        <f>XH41+IF(AND($C41=85,$L41=1),1,0)</f>
        <v/>
      </c>
      <c r="XI42">
        <f>XI41+IF(AND($C41=86,$L41=1),1,0)</f>
        <v/>
      </c>
      <c r="XJ42">
        <f>XJ41+IF(AND($C41=87,$L41=1),1,0)</f>
        <v/>
      </c>
      <c r="XK42">
        <f>XK41+IF(AND($C41=88,$L41=1),1,0)</f>
        <v/>
      </c>
      <c r="XL42">
        <f>XL41+IF(AND($C41=89,$L41=1),1,0)</f>
        <v/>
      </c>
      <c r="XM42">
        <f>XM41+IF(AND($C41=90,$L41=1),1,0)</f>
        <v/>
      </c>
      <c r="XN42">
        <f>XN41+IF(AND($C41=91,$L41=1),1,0)</f>
        <v/>
      </c>
      <c r="XO42">
        <f>XO41+IF(AND($C41=92,$L41=1),1,0)</f>
        <v/>
      </c>
      <c r="XP42">
        <f>XP41+IF(AND($C41=93,$L41=1),1,0)</f>
        <v/>
      </c>
      <c r="XQ42">
        <f>XQ41+IF(AND($C41=94,$L41=1),1,0)</f>
        <v/>
      </c>
      <c r="XR42">
        <f>XR41+IF(AND($C41=95,$L41=1),1,0)</f>
        <v/>
      </c>
      <c r="XS42">
        <f>XS41+IF(AND($C41=96,$L41=1),1,0)</f>
        <v/>
      </c>
      <c r="XT42">
        <f>XT41+IF(AND($C41=97,$L41=1),1,0)</f>
        <v/>
      </c>
      <c r="XU42">
        <f>XU41+IF(AND($C41=98,$L41=1),1,0)</f>
        <v/>
      </c>
      <c r="XV42">
        <f>XV41+IF(AND($C41=99,$L41=1),1,0)</f>
        <v/>
      </c>
      <c r="XW42">
        <f>XW41+IF(AND($C41=100,$L41=1),1,0)</f>
        <v/>
      </c>
      <c r="XX42">
        <f>XX41+IF(AND($C41=101,$L41=1),1,0)</f>
        <v/>
      </c>
      <c r="XY42">
        <f>XY41+IF(AND($C41=102,$L41=1),1,0)</f>
        <v/>
      </c>
      <c r="XZ42">
        <f>XZ41+IF(AND($C41=103,$L41=1),1,0)</f>
        <v/>
      </c>
      <c r="YA42">
        <f>YA41+IF(AND($C41=104,$L41=1),1,0)</f>
        <v/>
      </c>
      <c r="YB42">
        <f>YB41+IF(AND($C41=105,$L41=1),1,0)</f>
        <v/>
      </c>
      <c r="YC42">
        <f>YC41+IF(AND($C41=106,$L41=1),1,0)</f>
        <v/>
      </c>
      <c r="YD42">
        <f>YD41+IF(AND($C41=107,$L41=1),1,0)</f>
        <v/>
      </c>
      <c r="YE42">
        <f>YE41+IF(AND($C41=108,$L41=1),1,0)</f>
        <v/>
      </c>
      <c r="YF42">
        <f>YF41+IF(AND($C41=109,$L41=1),1,0)</f>
        <v/>
      </c>
      <c r="YG42">
        <f>YG41+IF(AND($C41=110,$L41=1),1,0)</f>
        <v/>
      </c>
      <c r="YH42">
        <f>YH41+IF(AND($C41=111,$L41=1),1,0)</f>
        <v/>
      </c>
      <c r="YI42">
        <f>YI41+IF(AND($C41=112,$L41=1),1,0)</f>
        <v/>
      </c>
      <c r="YJ42">
        <f>YJ41+IF(AND($C41=113,$L41=1),1,0)</f>
        <v/>
      </c>
      <c r="YK42">
        <f>YK41+IF(AND($C41=114,$L41=1),1,0)</f>
        <v/>
      </c>
      <c r="YL42">
        <f>YL41+IF(AND($C41=115,$L41=1),1,0)</f>
        <v/>
      </c>
      <c r="YM42">
        <f>YM41+IF(AND($C41=116,$L41=1),1,0)</f>
        <v/>
      </c>
      <c r="YN42">
        <f>YN41+IF(AND($C41=117,$L41=1),1,0)</f>
        <v/>
      </c>
      <c r="YO42">
        <f>YO41+IF(AND($C41=118,$L41=1),1,0)</f>
        <v/>
      </c>
      <c r="YP42">
        <f>YP41+IF(AND($C41=119,$L41=1),1,0)</f>
        <v/>
      </c>
      <c r="YQ42">
        <f>YQ41+IF(AND($C41=120,$L41=1),1,0)</f>
        <v/>
      </c>
      <c r="YR42">
        <f>YR41+IF(AND($C41=121,$L41=1),1,0)</f>
        <v/>
      </c>
      <c r="YS42">
        <f>YS41+IF(AND($C41=122,$L41=1),1,0)</f>
        <v/>
      </c>
      <c r="YT42">
        <f>YT41+IF(AND($C41=123,$L41=1),1,0)</f>
        <v/>
      </c>
      <c r="YU42">
        <f>YU41+IF(AND($C41=124,$L41=1),1,0)</f>
        <v/>
      </c>
      <c r="YV42">
        <f>YV41+IF(AND($C41=125,$L41=1),1,0)</f>
        <v/>
      </c>
      <c r="YW42">
        <f>YW41+IF(AND($C41=126,$L41=1),1,0)</f>
        <v/>
      </c>
      <c r="YX42">
        <f>YX41+IF(AND($C41=127,$L41=1),1,0)</f>
        <v/>
      </c>
      <c r="YY42">
        <f>YY41+IF(AND($C41=128,$L41=1),1,0)</f>
        <v/>
      </c>
      <c r="YZ42">
        <f>YZ41+IF(AND($C41=129,$L41=1),1,0)</f>
        <v/>
      </c>
      <c r="ZA42">
        <f>ZA41+IF(AND($C41=130,$L41=1),1,0)</f>
        <v/>
      </c>
      <c r="ZB42">
        <f>ZB41+IF(AND($C41=131,$L41=1),1,0)</f>
        <v/>
      </c>
      <c r="ZC42">
        <f>ZC41+IF(AND($C41=132,$L41=1),1,0)</f>
        <v/>
      </c>
      <c r="ZD42">
        <f>ZD41+IF(AND($C41=133,$L41=1),1,0)</f>
        <v/>
      </c>
      <c r="ZE42">
        <f>ZE41+IF(AND($C41=134,$L41=1),1,0)</f>
        <v/>
      </c>
      <c r="ZF42">
        <f>ZF41+IF(AND($C41=135,$L41=1),1,0)</f>
        <v/>
      </c>
      <c r="ZG42">
        <f>ZG41+IF(AND($C41=136,$L41=1),1,0)</f>
        <v/>
      </c>
      <c r="ZH42">
        <f>ZH41+IF(AND($C41=137,$L41=1),1,0)</f>
        <v/>
      </c>
      <c r="ZI42">
        <f>ZI41+IF(AND($C41=138,$L41=1),1,0)</f>
        <v/>
      </c>
      <c r="ZJ42">
        <f>ZJ41+IF(AND($C41=139,$L41=1),1,0)</f>
        <v/>
      </c>
      <c r="ZK42">
        <f>ZK41+IF(AND($C41=140,$L41=1),1,0)</f>
        <v/>
      </c>
      <c r="ZL42">
        <f>ZL41+IF(AND($C41=141,$L41=1),1,0)</f>
        <v/>
      </c>
      <c r="ZM42">
        <f>ZM41+IF(AND($C41=142,$L41=1),1,0)</f>
        <v/>
      </c>
      <c r="ZN42">
        <f>ZN41+IF(AND($C41=143,$L41=1),1,0)</f>
        <v/>
      </c>
      <c r="ZO42">
        <f>ZO41+IF(AND($C41=144,$L41=1),1,0)</f>
        <v/>
      </c>
    </row>
    <row r="43">
      <c r="A43" t="n">
        <v>41</v>
      </c>
      <c r="B43">
        <f>IF(MIN(BH43:CZ43)&gt;=1000000,0,MATCH(MIN(BH43:CZ43),BH43:CZ43,0))</f>
        <v/>
      </c>
      <c r="C43">
        <f>IF(MIN(OF43:TS43)&gt;=1000000,0,MATCH(MIN(OF43:TS43),OF43:TS43,0))</f>
        <v/>
      </c>
      <c r="D43">
        <f>IF(C43&gt;0,INDEX('計算A'!$D$5:$EQ$5,C43),0)</f>
        <v/>
      </c>
      <c r="E43">
        <f>IF(B43=0,0,INDEX('計算A'!$IQ$10:$IQ$54,B43))</f>
        <v/>
      </c>
      <c r="F43">
        <f>IF(B43=0,0,INDEX('計算A'!$IP$10:$IP$54,B43))</f>
        <v/>
      </c>
      <c r="G43">
        <f>IF(AND(C43&gt;0,E43&gt;0),IF(AND(INDEX('計算A'!$D$106:$EQ$106,C43)=1,INDEX($IQ43:$OD43,C43)=1),C43+1,0),0)</f>
        <v/>
      </c>
      <c r="H43">
        <f>IF(B43=0,0,INDEX('計算A'!$IW$10:$IW$54,B43))</f>
        <v/>
      </c>
      <c r="I43">
        <f>IF(B43=0,0,MAX(0,INDEX('計算A'!$IT$10:$IT$54,B43)))</f>
        <v/>
      </c>
      <c r="J43">
        <f>IF(I43=0,0,INDEX('計算A'!$D$2:$EQ$2,I43))</f>
        <v/>
      </c>
      <c r="K43">
        <f>IF(I43=0,0,INDEX('計算A'!$D$3:$EQ$3,I43))</f>
        <v/>
      </c>
      <c r="L43">
        <f>IF(B43=0,0,INDEX('計算A'!$IX$10:$IX$54,B43))</f>
        <v/>
      </c>
      <c r="N43">
        <f>MAX(N42,IF($B42=1,1,0))</f>
        <v/>
      </c>
      <c r="O43">
        <f>MAX(O42,IF($B42=2,1,0))</f>
        <v/>
      </c>
      <c r="P43">
        <f>MAX(P42,IF($B42=3,1,0))</f>
        <v/>
      </c>
      <c r="Q43">
        <f>MAX(Q42,IF($B42=4,1,0))</f>
        <v/>
      </c>
      <c r="R43">
        <f>MAX(R42,IF($B42=5,1,0))</f>
        <v/>
      </c>
      <c r="S43">
        <f>MAX(S42,IF($B42=6,1,0))</f>
        <v/>
      </c>
      <c r="T43">
        <f>MAX(T42,IF($B42=7,1,0))</f>
        <v/>
      </c>
      <c r="U43">
        <f>MAX(U42,IF($B42=8,1,0))</f>
        <v/>
      </c>
      <c r="V43">
        <f>MAX(V42,IF($B42=9,1,0))</f>
        <v/>
      </c>
      <c r="W43">
        <f>MAX(W42,IF($B42=10,1,0))</f>
        <v/>
      </c>
      <c r="X43">
        <f>MAX(X42,IF($B42=11,1,0))</f>
        <v/>
      </c>
      <c r="Y43">
        <f>MAX(Y42,IF($B42=12,1,0))</f>
        <v/>
      </c>
      <c r="Z43">
        <f>MAX(Z42,IF($B42=13,1,0))</f>
        <v/>
      </c>
      <c r="AA43">
        <f>MAX(AA42,IF($B42=14,1,0))</f>
        <v/>
      </c>
      <c r="AB43">
        <f>MAX(AB42,IF($B42=15,1,0))</f>
        <v/>
      </c>
      <c r="AC43">
        <f>MAX(AC42,IF($B42=16,1,0))</f>
        <v/>
      </c>
      <c r="AD43">
        <f>MAX(AD42,IF($B42=17,1,0))</f>
        <v/>
      </c>
      <c r="AE43">
        <f>MAX(AE42,IF($B42=18,1,0))</f>
        <v/>
      </c>
      <c r="AF43">
        <f>MAX(AF42,IF($B42=19,1,0))</f>
        <v/>
      </c>
      <c r="AG43">
        <f>MAX(AG42,IF($B42=20,1,0))</f>
        <v/>
      </c>
      <c r="AH43">
        <f>MAX(AH42,IF($B42=21,1,0))</f>
        <v/>
      </c>
      <c r="AI43">
        <f>MAX(AI42,IF($B42=22,1,0))</f>
        <v/>
      </c>
      <c r="AJ43">
        <f>MAX(AJ42,IF($B42=23,1,0))</f>
        <v/>
      </c>
      <c r="AK43">
        <f>MAX(AK42,IF($B42=24,1,0))</f>
        <v/>
      </c>
      <c r="AL43">
        <f>MAX(AL42,IF($B42=25,1,0))</f>
        <v/>
      </c>
      <c r="AM43">
        <f>MAX(AM42,IF($B42=26,1,0))</f>
        <v/>
      </c>
      <c r="AN43">
        <f>MAX(AN42,IF($B42=27,1,0))</f>
        <v/>
      </c>
      <c r="AO43">
        <f>MAX(AO42,IF($B42=28,1,0))</f>
        <v/>
      </c>
      <c r="AP43">
        <f>MAX(AP42,IF($B42=29,1,0))</f>
        <v/>
      </c>
      <c r="AQ43">
        <f>MAX(AQ42,IF($B42=30,1,0))</f>
        <v/>
      </c>
      <c r="AR43">
        <f>MAX(AR42,IF($B42=31,1,0))</f>
        <v/>
      </c>
      <c r="AS43">
        <f>MAX(AS42,IF($B42=32,1,0))</f>
        <v/>
      </c>
      <c r="AT43">
        <f>MAX(AT42,IF($B42=33,1,0))</f>
        <v/>
      </c>
      <c r="AU43">
        <f>MAX(AU42,IF($B42=34,1,0))</f>
        <v/>
      </c>
      <c r="AV43">
        <f>MAX(AV42,IF($B42=35,1,0))</f>
        <v/>
      </c>
      <c r="AW43">
        <f>MAX(AW42,IF($B42=36,1,0))</f>
        <v/>
      </c>
      <c r="AX43">
        <f>MAX(AX42,IF($B42=37,1,0))</f>
        <v/>
      </c>
      <c r="AY43">
        <f>MAX(AY42,IF($B42=38,1,0))</f>
        <v/>
      </c>
      <c r="AZ43">
        <f>MAX(AZ42,IF($B42=39,1,0))</f>
        <v/>
      </c>
      <c r="BA43">
        <f>MAX(BA42,IF($B42=40,1,0))</f>
        <v/>
      </c>
      <c r="BB43">
        <f>MAX(BB42,IF($B42=41,1,0))</f>
        <v/>
      </c>
      <c r="BC43">
        <f>MAX(BC42,IF($B42=42,1,0))</f>
        <v/>
      </c>
      <c r="BD43">
        <f>MAX(BD42,IF($B42=43,1,0))</f>
        <v/>
      </c>
      <c r="BE43">
        <f>MAX(BE42,IF($B42=44,1,0))</f>
        <v/>
      </c>
      <c r="BF43">
        <f>MAX(BF42,IF($B42=45,1,0))</f>
        <v/>
      </c>
      <c r="BH43">
        <f>IF(N43=1,1000000,IF('計算A'!$IT$10&gt;0,0,500000)+IF('計算A'!$IQ$10=2,SUMPRODUCT('計算A'!$D$60:$EQ$60,$DB43:$IO43,$IQ43:$OD43),SUMPRODUCT('計算A'!$D$60:$EQ$60,$DB43:$IO43))*1000+1)</f>
        <v/>
      </c>
      <c r="BI43">
        <f>IF(O43=1,1000000,IF('計算A'!$IT$11&gt;0,0,500000)+IF('計算A'!$IQ$11=2,SUMPRODUCT('計算A'!$D$61:$EQ$61,$DB43:$IO43,$IQ43:$OD43),SUMPRODUCT('計算A'!$D$61:$EQ$61,$DB43:$IO43))*1000+2)</f>
        <v/>
      </c>
      <c r="BJ43">
        <f>IF(P43=1,1000000,IF('計算A'!$IT$12&gt;0,0,500000)+IF('計算A'!$IQ$12=2,SUMPRODUCT('計算A'!$D$62:$EQ$62,$DB43:$IO43,$IQ43:$OD43),SUMPRODUCT('計算A'!$D$62:$EQ$62,$DB43:$IO43))*1000+3)</f>
        <v/>
      </c>
      <c r="BK43">
        <f>IF(Q43=1,1000000,IF('計算A'!$IT$13&gt;0,0,500000)+IF('計算A'!$IQ$13=2,SUMPRODUCT('計算A'!$D$63:$EQ$63,$DB43:$IO43,$IQ43:$OD43),SUMPRODUCT('計算A'!$D$63:$EQ$63,$DB43:$IO43))*1000+4)</f>
        <v/>
      </c>
      <c r="BL43">
        <f>IF(R43=1,1000000,IF('計算A'!$IT$14&gt;0,0,500000)+IF('計算A'!$IQ$14=2,SUMPRODUCT('計算A'!$D$64:$EQ$64,$DB43:$IO43,$IQ43:$OD43),SUMPRODUCT('計算A'!$D$64:$EQ$64,$DB43:$IO43))*1000+5)</f>
        <v/>
      </c>
      <c r="BM43">
        <f>IF(S43=1,1000000,IF('計算A'!$IT$15&gt;0,0,500000)+IF('計算A'!$IQ$15=2,SUMPRODUCT('計算A'!$D$65:$EQ$65,$DB43:$IO43,$IQ43:$OD43),SUMPRODUCT('計算A'!$D$65:$EQ$65,$DB43:$IO43))*1000+6)</f>
        <v/>
      </c>
      <c r="BN43">
        <f>IF(T43=1,1000000,IF('計算A'!$IT$16&gt;0,0,500000)+IF('計算A'!$IQ$16=2,SUMPRODUCT('計算A'!$D$66:$EQ$66,$DB43:$IO43,$IQ43:$OD43),SUMPRODUCT('計算A'!$D$66:$EQ$66,$DB43:$IO43))*1000+7)</f>
        <v/>
      </c>
      <c r="BO43">
        <f>IF(U43=1,1000000,IF('計算A'!$IT$17&gt;0,0,500000)+IF('計算A'!$IQ$17=2,SUMPRODUCT('計算A'!$D$67:$EQ$67,$DB43:$IO43,$IQ43:$OD43),SUMPRODUCT('計算A'!$D$67:$EQ$67,$DB43:$IO43))*1000+8)</f>
        <v/>
      </c>
      <c r="BP43">
        <f>IF(V43=1,1000000,IF('計算A'!$IT$18&gt;0,0,500000)+IF('計算A'!$IQ$18=2,SUMPRODUCT('計算A'!$D$68:$EQ$68,$DB43:$IO43,$IQ43:$OD43),SUMPRODUCT('計算A'!$D$68:$EQ$68,$DB43:$IO43))*1000+9)</f>
        <v/>
      </c>
      <c r="BQ43">
        <f>IF(W43=1,1000000,IF('計算A'!$IT$19&gt;0,0,500000)+IF('計算A'!$IQ$19=2,SUMPRODUCT('計算A'!$D$69:$EQ$69,$DB43:$IO43,$IQ43:$OD43),SUMPRODUCT('計算A'!$D$69:$EQ$69,$DB43:$IO43))*1000+10)</f>
        <v/>
      </c>
      <c r="BR43">
        <f>IF(X43=1,1000000,IF('計算A'!$IT$20&gt;0,0,500000)+IF('計算A'!$IQ$20=2,SUMPRODUCT('計算A'!$D$70:$EQ$70,$DB43:$IO43,$IQ43:$OD43),SUMPRODUCT('計算A'!$D$70:$EQ$70,$DB43:$IO43))*1000+11)</f>
        <v/>
      </c>
      <c r="BS43">
        <f>IF(Y43=1,1000000,IF('計算A'!$IT$21&gt;0,0,500000)+IF('計算A'!$IQ$21=2,SUMPRODUCT('計算A'!$D$71:$EQ$71,$DB43:$IO43,$IQ43:$OD43),SUMPRODUCT('計算A'!$D$71:$EQ$71,$DB43:$IO43))*1000+12)</f>
        <v/>
      </c>
      <c r="BT43">
        <f>IF(Z43=1,1000000,IF('計算A'!$IT$22&gt;0,0,500000)+IF('計算A'!$IQ$22=2,SUMPRODUCT('計算A'!$D$72:$EQ$72,$DB43:$IO43,$IQ43:$OD43),SUMPRODUCT('計算A'!$D$72:$EQ$72,$DB43:$IO43))*1000+13)</f>
        <v/>
      </c>
      <c r="BU43">
        <f>IF(AA43=1,1000000,IF('計算A'!$IT$23&gt;0,0,500000)+IF('計算A'!$IQ$23=2,SUMPRODUCT('計算A'!$D$73:$EQ$73,$DB43:$IO43,$IQ43:$OD43),SUMPRODUCT('計算A'!$D$73:$EQ$73,$DB43:$IO43))*1000+14)</f>
        <v/>
      </c>
      <c r="BV43">
        <f>IF(AB43=1,1000000,IF('計算A'!$IT$24&gt;0,0,500000)+IF('計算A'!$IQ$24=2,SUMPRODUCT('計算A'!$D$74:$EQ$74,$DB43:$IO43,$IQ43:$OD43),SUMPRODUCT('計算A'!$D$74:$EQ$74,$DB43:$IO43))*1000+15)</f>
        <v/>
      </c>
      <c r="BW43">
        <f>IF(AC43=1,1000000,IF('計算A'!$IT$25&gt;0,0,500000)+IF('計算A'!$IQ$25=2,SUMPRODUCT('計算A'!$D$75:$EQ$75,$DB43:$IO43,$IQ43:$OD43),SUMPRODUCT('計算A'!$D$75:$EQ$75,$DB43:$IO43))*1000+16)</f>
        <v/>
      </c>
      <c r="BX43">
        <f>IF(AD43=1,1000000,IF('計算A'!$IT$26&gt;0,0,500000)+IF('計算A'!$IQ$26=2,SUMPRODUCT('計算A'!$D$76:$EQ$76,$DB43:$IO43,$IQ43:$OD43),SUMPRODUCT('計算A'!$D$76:$EQ$76,$DB43:$IO43))*1000+17)</f>
        <v/>
      </c>
      <c r="BY43">
        <f>IF(AE43=1,1000000,IF('計算A'!$IT$27&gt;0,0,500000)+IF('計算A'!$IQ$27=2,SUMPRODUCT('計算A'!$D$77:$EQ$77,$DB43:$IO43,$IQ43:$OD43),SUMPRODUCT('計算A'!$D$77:$EQ$77,$DB43:$IO43))*1000+18)</f>
        <v/>
      </c>
      <c r="BZ43">
        <f>IF(AF43=1,1000000,IF('計算A'!$IT$28&gt;0,0,500000)+IF('計算A'!$IQ$28=2,SUMPRODUCT('計算A'!$D$78:$EQ$78,$DB43:$IO43,$IQ43:$OD43),SUMPRODUCT('計算A'!$D$78:$EQ$78,$DB43:$IO43))*1000+19)</f>
        <v/>
      </c>
      <c r="CA43">
        <f>IF(AG43=1,1000000,IF('計算A'!$IT$29&gt;0,0,500000)+IF('計算A'!$IQ$29=2,SUMPRODUCT('計算A'!$D$79:$EQ$79,$DB43:$IO43,$IQ43:$OD43),SUMPRODUCT('計算A'!$D$79:$EQ$79,$DB43:$IO43))*1000+20)</f>
        <v/>
      </c>
      <c r="CB43">
        <f>IF(AH43=1,1000000,IF('計算A'!$IT$30&gt;0,0,500000)+IF('計算A'!$IQ$30=2,SUMPRODUCT('計算A'!$D$80:$EQ$80,$DB43:$IO43,$IQ43:$OD43),SUMPRODUCT('計算A'!$D$80:$EQ$80,$DB43:$IO43))*1000+21)</f>
        <v/>
      </c>
      <c r="CC43">
        <f>IF(AI43=1,1000000,IF('計算A'!$IT$31&gt;0,0,500000)+IF('計算A'!$IQ$31=2,SUMPRODUCT('計算A'!$D$81:$EQ$81,$DB43:$IO43,$IQ43:$OD43),SUMPRODUCT('計算A'!$D$81:$EQ$81,$DB43:$IO43))*1000+22)</f>
        <v/>
      </c>
      <c r="CD43">
        <f>IF(AJ43=1,1000000,IF('計算A'!$IT$32&gt;0,0,500000)+IF('計算A'!$IQ$32=2,SUMPRODUCT('計算A'!$D$82:$EQ$82,$DB43:$IO43,$IQ43:$OD43),SUMPRODUCT('計算A'!$D$82:$EQ$82,$DB43:$IO43))*1000+23)</f>
        <v/>
      </c>
      <c r="CE43">
        <f>IF(AK43=1,1000000,IF('計算A'!$IT$33&gt;0,0,500000)+IF('計算A'!$IQ$33=2,SUMPRODUCT('計算A'!$D$83:$EQ$83,$DB43:$IO43,$IQ43:$OD43),SUMPRODUCT('計算A'!$D$83:$EQ$83,$DB43:$IO43))*1000+24)</f>
        <v/>
      </c>
      <c r="CF43">
        <f>IF(AL43=1,1000000,IF('計算A'!$IT$34&gt;0,0,500000)+IF('計算A'!$IQ$34=2,SUMPRODUCT('計算A'!$D$84:$EQ$84,$DB43:$IO43,$IQ43:$OD43),SUMPRODUCT('計算A'!$D$84:$EQ$84,$DB43:$IO43))*1000+25)</f>
        <v/>
      </c>
      <c r="CG43">
        <f>IF(AM43=1,1000000,IF('計算A'!$IT$35&gt;0,0,500000)+IF('計算A'!$IQ$35=2,SUMPRODUCT('計算A'!$D$85:$EQ$85,$DB43:$IO43,$IQ43:$OD43),SUMPRODUCT('計算A'!$D$85:$EQ$85,$DB43:$IO43))*1000+26)</f>
        <v/>
      </c>
      <c r="CH43">
        <f>IF(AN43=1,1000000,IF('計算A'!$IT$36&gt;0,0,500000)+IF('計算A'!$IQ$36=2,SUMPRODUCT('計算A'!$D$86:$EQ$86,$DB43:$IO43,$IQ43:$OD43),SUMPRODUCT('計算A'!$D$86:$EQ$86,$DB43:$IO43))*1000+27)</f>
        <v/>
      </c>
      <c r="CI43">
        <f>IF(AO43=1,1000000,IF('計算A'!$IT$37&gt;0,0,500000)+IF('計算A'!$IQ$37=2,SUMPRODUCT('計算A'!$D$87:$EQ$87,$DB43:$IO43,$IQ43:$OD43),SUMPRODUCT('計算A'!$D$87:$EQ$87,$DB43:$IO43))*1000+28)</f>
        <v/>
      </c>
      <c r="CJ43">
        <f>IF(AP43=1,1000000,IF('計算A'!$IT$38&gt;0,0,500000)+IF('計算A'!$IQ$38=2,SUMPRODUCT('計算A'!$D$88:$EQ$88,$DB43:$IO43,$IQ43:$OD43),SUMPRODUCT('計算A'!$D$88:$EQ$88,$DB43:$IO43))*1000+29)</f>
        <v/>
      </c>
      <c r="CK43">
        <f>IF(AQ43=1,1000000,IF('計算A'!$IT$39&gt;0,0,500000)+IF('計算A'!$IQ$39=2,SUMPRODUCT('計算A'!$D$89:$EQ$89,$DB43:$IO43,$IQ43:$OD43),SUMPRODUCT('計算A'!$D$89:$EQ$89,$DB43:$IO43))*1000+30)</f>
        <v/>
      </c>
      <c r="CL43">
        <f>IF(AR43=1,1000000,IF('計算A'!$IT$40&gt;0,0,500000)+IF('計算A'!$IQ$40=2,SUMPRODUCT('計算A'!$D$90:$EQ$90,$DB43:$IO43,$IQ43:$OD43),SUMPRODUCT('計算A'!$D$90:$EQ$90,$DB43:$IO43))*1000+31)</f>
        <v/>
      </c>
      <c r="CM43">
        <f>IF(AS43=1,1000000,IF('計算A'!$IT$41&gt;0,0,500000)+IF('計算A'!$IQ$41=2,SUMPRODUCT('計算A'!$D$91:$EQ$91,$DB43:$IO43,$IQ43:$OD43),SUMPRODUCT('計算A'!$D$91:$EQ$91,$DB43:$IO43))*1000+32)</f>
        <v/>
      </c>
      <c r="CN43">
        <f>IF(AT43=1,1000000,IF('計算A'!$IT$42&gt;0,0,500000)+IF('計算A'!$IQ$42=2,SUMPRODUCT('計算A'!$D$92:$EQ$92,$DB43:$IO43,$IQ43:$OD43),SUMPRODUCT('計算A'!$D$92:$EQ$92,$DB43:$IO43))*1000+33)</f>
        <v/>
      </c>
      <c r="CO43">
        <f>IF(AU43=1,1000000,IF('計算A'!$IT$43&gt;0,0,500000)+IF('計算A'!$IQ$43=2,SUMPRODUCT('計算A'!$D$93:$EQ$93,$DB43:$IO43,$IQ43:$OD43),SUMPRODUCT('計算A'!$D$93:$EQ$93,$DB43:$IO43))*1000+34)</f>
        <v/>
      </c>
      <c r="CP43">
        <f>IF(AV43=1,1000000,IF('計算A'!$IT$44&gt;0,0,500000)+IF('計算A'!$IQ$44=2,SUMPRODUCT('計算A'!$D$94:$EQ$94,$DB43:$IO43,$IQ43:$OD43),SUMPRODUCT('計算A'!$D$94:$EQ$94,$DB43:$IO43))*1000+35)</f>
        <v/>
      </c>
      <c r="CQ43">
        <f>IF(AW43=1,1000000,IF('計算A'!$IT$45&gt;0,0,500000)+IF('計算A'!$IQ$45=2,SUMPRODUCT('計算A'!$D$95:$EQ$95,$DB43:$IO43,$IQ43:$OD43),SUMPRODUCT('計算A'!$D$95:$EQ$95,$DB43:$IO43))*1000+36)</f>
        <v/>
      </c>
      <c r="CR43">
        <f>IF(AX43=1,1000000,IF('計算A'!$IT$46&gt;0,0,500000)+IF('計算A'!$IQ$46=2,SUMPRODUCT('計算A'!$D$96:$EQ$96,$DB43:$IO43,$IQ43:$OD43),SUMPRODUCT('計算A'!$D$96:$EQ$96,$DB43:$IO43))*1000+37)</f>
        <v/>
      </c>
      <c r="CS43">
        <f>IF(AY43=1,1000000,IF('計算A'!$IT$47&gt;0,0,500000)+IF('計算A'!$IQ$47=2,SUMPRODUCT('計算A'!$D$97:$EQ$97,$DB43:$IO43,$IQ43:$OD43),SUMPRODUCT('計算A'!$D$97:$EQ$97,$DB43:$IO43))*1000+38)</f>
        <v/>
      </c>
      <c r="CT43">
        <f>IF(AZ43=1,1000000,IF('計算A'!$IT$48&gt;0,0,500000)+IF('計算A'!$IQ$48=2,SUMPRODUCT('計算A'!$D$98:$EQ$98,$DB43:$IO43,$IQ43:$OD43),SUMPRODUCT('計算A'!$D$98:$EQ$98,$DB43:$IO43))*1000+39)</f>
        <v/>
      </c>
      <c r="CU43">
        <f>IF(BA43=1,1000000,IF('計算A'!$IT$49&gt;0,0,500000)+IF('計算A'!$IQ$49=2,SUMPRODUCT('計算A'!$D$99:$EQ$99,$DB43:$IO43,$IQ43:$OD43),SUMPRODUCT('計算A'!$D$99:$EQ$99,$DB43:$IO43))*1000+40)</f>
        <v/>
      </c>
      <c r="CV43">
        <f>IF(BB43=1,1000000,IF('計算A'!$IT$50&gt;0,0,500000)+IF('計算A'!$IQ$50=2,SUMPRODUCT('計算A'!$D$100:$EQ$100,$DB43:$IO43,$IQ43:$OD43),SUMPRODUCT('計算A'!$D$100:$EQ$100,$DB43:$IO43))*1000+41)</f>
        <v/>
      </c>
      <c r="CW43">
        <f>IF(BC43=1,1000000,IF('計算A'!$IT$51&gt;0,0,500000)+IF('計算A'!$IQ$51=2,SUMPRODUCT('計算A'!$D$101:$EQ$101,$DB43:$IO43,$IQ43:$OD43),SUMPRODUCT('計算A'!$D$101:$EQ$101,$DB43:$IO43))*1000+42)</f>
        <v/>
      </c>
      <c r="CX43">
        <f>IF(BD43=1,1000000,IF('計算A'!$IT$52&gt;0,0,500000)+IF('計算A'!$IQ$52=2,SUMPRODUCT('計算A'!$D$102:$EQ$102,$DB43:$IO43,$IQ43:$OD43),SUMPRODUCT('計算A'!$D$102:$EQ$102,$DB43:$IO43))*1000+43)</f>
        <v/>
      </c>
      <c r="CY43">
        <f>IF(BE43=1,1000000,IF('計算A'!$IT$53&gt;0,0,500000)+IF('計算A'!$IQ$53=2,SUMPRODUCT('計算A'!$D$103:$EQ$103,$DB43:$IO43,$IQ43:$OD43),SUMPRODUCT('計算A'!$D$103:$EQ$103,$DB43:$IO43))*1000+44)</f>
        <v/>
      </c>
      <c r="CZ43">
        <f>IF(BF43=1,1000000,IF('計算A'!$IT$54&gt;0,0,500000)+IF('計算A'!$IQ$54=2,SUMPRODUCT('計算A'!$D$104:$EQ$104,$DB43:$IO43,$IQ43:$OD43),SUMPRODUCT('計算A'!$D$104:$EQ$104,$DB43:$IO43))*1000+45)</f>
        <v/>
      </c>
      <c r="DB43">
        <f>DB42*IF(OR($C42=1,$G42=1),0,1)</f>
        <v/>
      </c>
      <c r="DC43">
        <f>DC42*IF(OR($C42=2,$G42=2),0,1)</f>
        <v/>
      </c>
      <c r="DD43">
        <f>DD42*IF(OR($C42=3,$G42=3),0,1)</f>
        <v/>
      </c>
      <c r="DE43">
        <f>DE42*IF(OR($C42=4,$G42=4),0,1)</f>
        <v/>
      </c>
      <c r="DF43">
        <f>DF42*IF(OR($C42=5,$G42=5),0,1)</f>
        <v/>
      </c>
      <c r="DG43">
        <f>DG42*IF(OR($C42=6,$G42=6),0,1)</f>
        <v/>
      </c>
      <c r="DH43">
        <f>DH42*IF(OR($C42=7,$G42=7),0,1)</f>
        <v/>
      </c>
      <c r="DI43">
        <f>DI42*IF(OR($C42=8,$G42=8),0,1)</f>
        <v/>
      </c>
      <c r="DJ43">
        <f>DJ42*IF(OR($C42=9,$G42=9),0,1)</f>
        <v/>
      </c>
      <c r="DK43">
        <f>DK42*IF(OR($C42=10,$G42=10),0,1)</f>
        <v/>
      </c>
      <c r="DL43">
        <f>DL42*IF(OR($C42=11,$G42=11),0,1)</f>
        <v/>
      </c>
      <c r="DM43">
        <f>DM42*IF(OR($C42=12,$G42=12),0,1)</f>
        <v/>
      </c>
      <c r="DN43">
        <f>DN42*IF(OR($C42=13,$G42=13),0,1)</f>
        <v/>
      </c>
      <c r="DO43">
        <f>DO42*IF(OR($C42=14,$G42=14),0,1)</f>
        <v/>
      </c>
      <c r="DP43">
        <f>DP42*IF(OR($C42=15,$G42=15),0,1)</f>
        <v/>
      </c>
      <c r="DQ43">
        <f>DQ42*IF(OR($C42=16,$G42=16),0,1)</f>
        <v/>
      </c>
      <c r="DR43">
        <f>DR42*IF(OR($C42=17,$G42=17),0,1)</f>
        <v/>
      </c>
      <c r="DS43">
        <f>DS42*IF(OR($C42=18,$G42=18),0,1)</f>
        <v/>
      </c>
      <c r="DT43">
        <f>DT42*IF(OR($C42=19,$G42=19),0,1)</f>
        <v/>
      </c>
      <c r="DU43">
        <f>DU42*IF(OR($C42=20,$G42=20),0,1)</f>
        <v/>
      </c>
      <c r="DV43">
        <f>DV42*IF(OR($C42=21,$G42=21),0,1)</f>
        <v/>
      </c>
      <c r="DW43">
        <f>DW42*IF(OR($C42=22,$G42=22),0,1)</f>
        <v/>
      </c>
      <c r="DX43">
        <f>DX42*IF(OR($C42=23,$G42=23),0,1)</f>
        <v/>
      </c>
      <c r="DY43">
        <f>DY42*IF(OR($C42=24,$G42=24),0,1)</f>
        <v/>
      </c>
      <c r="DZ43">
        <f>DZ42*IF(OR($C42=25,$G42=25),0,1)</f>
        <v/>
      </c>
      <c r="EA43">
        <f>EA42*IF(OR($C42=26,$G42=26),0,1)</f>
        <v/>
      </c>
      <c r="EB43">
        <f>EB42*IF(OR($C42=27,$G42=27),0,1)</f>
        <v/>
      </c>
      <c r="EC43">
        <f>EC42*IF(OR($C42=28,$G42=28),0,1)</f>
        <v/>
      </c>
      <c r="ED43">
        <f>ED42*IF(OR($C42=29,$G42=29),0,1)</f>
        <v/>
      </c>
      <c r="EE43">
        <f>EE42*IF(OR($C42=30,$G42=30),0,1)</f>
        <v/>
      </c>
      <c r="EF43">
        <f>EF42*IF(OR($C42=31,$G42=31),0,1)</f>
        <v/>
      </c>
      <c r="EG43">
        <f>EG42*IF(OR($C42=32,$G42=32),0,1)</f>
        <v/>
      </c>
      <c r="EH43">
        <f>EH42*IF(OR($C42=33,$G42=33),0,1)</f>
        <v/>
      </c>
      <c r="EI43">
        <f>EI42*IF(OR($C42=34,$G42=34),0,1)</f>
        <v/>
      </c>
      <c r="EJ43">
        <f>EJ42*IF(OR($C42=35,$G42=35),0,1)</f>
        <v/>
      </c>
      <c r="EK43">
        <f>EK42*IF(OR($C42=36,$G42=36),0,1)</f>
        <v/>
      </c>
      <c r="EL43">
        <f>EL42*IF(OR($C42=37,$G42=37),0,1)</f>
        <v/>
      </c>
      <c r="EM43">
        <f>EM42*IF(OR($C42=38,$G42=38),0,1)</f>
        <v/>
      </c>
      <c r="EN43">
        <f>EN42*IF(OR($C42=39,$G42=39),0,1)</f>
        <v/>
      </c>
      <c r="EO43">
        <f>EO42*IF(OR($C42=40,$G42=40),0,1)</f>
        <v/>
      </c>
      <c r="EP43">
        <f>EP42*IF(OR($C42=41,$G42=41),0,1)</f>
        <v/>
      </c>
      <c r="EQ43">
        <f>EQ42*IF(OR($C42=42,$G42=42),0,1)</f>
        <v/>
      </c>
      <c r="ER43">
        <f>ER42*IF(OR($C42=43,$G42=43),0,1)</f>
        <v/>
      </c>
      <c r="ES43">
        <f>ES42*IF(OR($C42=44,$G42=44),0,1)</f>
        <v/>
      </c>
      <c r="ET43">
        <f>ET42*IF(OR($C42=45,$G42=45),0,1)</f>
        <v/>
      </c>
      <c r="EU43">
        <f>EU42*IF(OR($C42=46,$G42=46),0,1)</f>
        <v/>
      </c>
      <c r="EV43">
        <f>EV42*IF(OR($C42=47,$G42=47),0,1)</f>
        <v/>
      </c>
      <c r="EW43">
        <f>EW42*IF(OR($C42=48,$G42=48),0,1)</f>
        <v/>
      </c>
      <c r="EX43">
        <f>EX42*IF(OR($C42=49,$G42=49),0,1)</f>
        <v/>
      </c>
      <c r="EY43">
        <f>EY42*IF(OR($C42=50,$G42=50),0,1)</f>
        <v/>
      </c>
      <c r="EZ43">
        <f>EZ42*IF(OR($C42=51,$G42=51),0,1)</f>
        <v/>
      </c>
      <c r="FA43">
        <f>FA42*IF(OR($C42=52,$G42=52),0,1)</f>
        <v/>
      </c>
      <c r="FB43">
        <f>FB42*IF(OR($C42=53,$G42=53),0,1)</f>
        <v/>
      </c>
      <c r="FC43">
        <f>FC42*IF(OR($C42=54,$G42=54),0,1)</f>
        <v/>
      </c>
      <c r="FD43">
        <f>FD42*IF(OR($C42=55,$G42=55),0,1)</f>
        <v/>
      </c>
      <c r="FE43">
        <f>FE42*IF(OR($C42=56,$G42=56),0,1)</f>
        <v/>
      </c>
      <c r="FF43">
        <f>FF42*IF(OR($C42=57,$G42=57),0,1)</f>
        <v/>
      </c>
      <c r="FG43">
        <f>FG42*IF(OR($C42=58,$G42=58),0,1)</f>
        <v/>
      </c>
      <c r="FH43">
        <f>FH42*IF(OR($C42=59,$G42=59),0,1)</f>
        <v/>
      </c>
      <c r="FI43">
        <f>FI42*IF(OR($C42=60,$G42=60),0,1)</f>
        <v/>
      </c>
      <c r="FJ43">
        <f>FJ42*IF(OR($C42=61,$G42=61),0,1)</f>
        <v/>
      </c>
      <c r="FK43">
        <f>FK42*IF(OR($C42=62,$G42=62),0,1)</f>
        <v/>
      </c>
      <c r="FL43">
        <f>FL42*IF(OR($C42=63,$G42=63),0,1)</f>
        <v/>
      </c>
      <c r="FM43">
        <f>FM42*IF(OR($C42=64,$G42=64),0,1)</f>
        <v/>
      </c>
      <c r="FN43">
        <f>FN42*IF(OR($C42=65,$G42=65),0,1)</f>
        <v/>
      </c>
      <c r="FO43">
        <f>FO42*IF(OR($C42=66,$G42=66),0,1)</f>
        <v/>
      </c>
      <c r="FP43">
        <f>FP42*IF(OR($C42=67,$G42=67),0,1)</f>
        <v/>
      </c>
      <c r="FQ43">
        <f>FQ42*IF(OR($C42=68,$G42=68),0,1)</f>
        <v/>
      </c>
      <c r="FR43">
        <f>FR42*IF(OR($C42=69,$G42=69),0,1)</f>
        <v/>
      </c>
      <c r="FS43">
        <f>FS42*IF(OR($C42=70,$G42=70),0,1)</f>
        <v/>
      </c>
      <c r="FT43">
        <f>FT42*IF(OR($C42=71,$G42=71),0,1)</f>
        <v/>
      </c>
      <c r="FU43">
        <f>FU42*IF(OR($C42=72,$G42=72),0,1)</f>
        <v/>
      </c>
      <c r="FV43">
        <f>FV42*IF(OR($C42=73,$G42=73),0,1)</f>
        <v/>
      </c>
      <c r="FW43">
        <f>FW42*IF(OR($C42=74,$G42=74),0,1)</f>
        <v/>
      </c>
      <c r="FX43">
        <f>FX42*IF(OR($C42=75,$G42=75),0,1)</f>
        <v/>
      </c>
      <c r="FY43">
        <f>FY42*IF(OR($C42=76,$G42=76),0,1)</f>
        <v/>
      </c>
      <c r="FZ43">
        <f>FZ42*IF(OR($C42=77,$G42=77),0,1)</f>
        <v/>
      </c>
      <c r="GA43">
        <f>GA42*IF(OR($C42=78,$G42=78),0,1)</f>
        <v/>
      </c>
      <c r="GB43">
        <f>GB42*IF(OR($C42=79,$G42=79),0,1)</f>
        <v/>
      </c>
      <c r="GC43">
        <f>GC42*IF(OR($C42=80,$G42=80),0,1)</f>
        <v/>
      </c>
      <c r="GD43">
        <f>GD42*IF(OR($C42=81,$G42=81),0,1)</f>
        <v/>
      </c>
      <c r="GE43">
        <f>GE42*IF(OR($C42=82,$G42=82),0,1)</f>
        <v/>
      </c>
      <c r="GF43">
        <f>GF42*IF(OR($C42=83,$G42=83),0,1)</f>
        <v/>
      </c>
      <c r="GG43">
        <f>GG42*IF(OR($C42=84,$G42=84),0,1)</f>
        <v/>
      </c>
      <c r="GH43">
        <f>GH42*IF(OR($C42=85,$G42=85),0,1)</f>
        <v/>
      </c>
      <c r="GI43">
        <f>GI42*IF(OR($C42=86,$G42=86),0,1)</f>
        <v/>
      </c>
      <c r="GJ43">
        <f>GJ42*IF(OR($C42=87,$G42=87),0,1)</f>
        <v/>
      </c>
      <c r="GK43">
        <f>GK42*IF(OR($C42=88,$G42=88),0,1)</f>
        <v/>
      </c>
      <c r="GL43">
        <f>GL42*IF(OR($C42=89,$G42=89),0,1)</f>
        <v/>
      </c>
      <c r="GM43">
        <f>GM42*IF(OR($C42=90,$G42=90),0,1)</f>
        <v/>
      </c>
      <c r="GN43">
        <f>GN42*IF(OR($C42=91,$G42=91),0,1)</f>
        <v/>
      </c>
      <c r="GO43">
        <f>GO42*IF(OR($C42=92,$G42=92),0,1)</f>
        <v/>
      </c>
      <c r="GP43">
        <f>GP42*IF(OR($C42=93,$G42=93),0,1)</f>
        <v/>
      </c>
      <c r="GQ43">
        <f>GQ42*IF(OR($C42=94,$G42=94),0,1)</f>
        <v/>
      </c>
      <c r="GR43">
        <f>GR42*IF(OR($C42=95,$G42=95),0,1)</f>
        <v/>
      </c>
      <c r="GS43">
        <f>GS42*IF(OR($C42=96,$G42=96),0,1)</f>
        <v/>
      </c>
      <c r="GT43">
        <f>GT42*IF(OR($C42=97,$G42=97),0,1)</f>
        <v/>
      </c>
      <c r="GU43">
        <f>GU42*IF(OR($C42=98,$G42=98),0,1)</f>
        <v/>
      </c>
      <c r="GV43">
        <f>GV42*IF(OR($C42=99,$G42=99),0,1)</f>
        <v/>
      </c>
      <c r="GW43">
        <f>GW42*IF(OR($C42=100,$G42=100),0,1)</f>
        <v/>
      </c>
      <c r="GX43">
        <f>GX42*IF(OR($C42=101,$G42=101),0,1)</f>
        <v/>
      </c>
      <c r="GY43">
        <f>GY42*IF(OR($C42=102,$G42=102),0,1)</f>
        <v/>
      </c>
      <c r="GZ43">
        <f>GZ42*IF(OR($C42=103,$G42=103),0,1)</f>
        <v/>
      </c>
      <c r="HA43">
        <f>HA42*IF(OR($C42=104,$G42=104),0,1)</f>
        <v/>
      </c>
      <c r="HB43">
        <f>HB42*IF(OR($C42=105,$G42=105),0,1)</f>
        <v/>
      </c>
      <c r="HC43">
        <f>HC42*IF(OR($C42=106,$G42=106),0,1)</f>
        <v/>
      </c>
      <c r="HD43">
        <f>HD42*IF(OR($C42=107,$G42=107),0,1)</f>
        <v/>
      </c>
      <c r="HE43">
        <f>HE42*IF(OR($C42=108,$G42=108),0,1)</f>
        <v/>
      </c>
      <c r="HF43">
        <f>HF42*IF(OR($C42=109,$G42=109),0,1)</f>
        <v/>
      </c>
      <c r="HG43">
        <f>HG42*IF(OR($C42=110,$G42=110),0,1)</f>
        <v/>
      </c>
      <c r="HH43">
        <f>HH42*IF(OR($C42=111,$G42=111),0,1)</f>
        <v/>
      </c>
      <c r="HI43">
        <f>HI42*IF(OR($C42=112,$G42=112),0,1)</f>
        <v/>
      </c>
      <c r="HJ43">
        <f>HJ42*IF(OR($C42=113,$G42=113),0,1)</f>
        <v/>
      </c>
      <c r="HK43">
        <f>HK42*IF(OR($C42=114,$G42=114),0,1)</f>
        <v/>
      </c>
      <c r="HL43">
        <f>HL42*IF(OR($C42=115,$G42=115),0,1)</f>
        <v/>
      </c>
      <c r="HM43">
        <f>HM42*IF(OR($C42=116,$G42=116),0,1)</f>
        <v/>
      </c>
      <c r="HN43">
        <f>HN42*IF(OR($C42=117,$G42=117),0,1)</f>
        <v/>
      </c>
      <c r="HO43">
        <f>HO42*IF(OR($C42=118,$G42=118),0,1)</f>
        <v/>
      </c>
      <c r="HP43">
        <f>HP42*IF(OR($C42=119,$G42=119),0,1)</f>
        <v/>
      </c>
      <c r="HQ43">
        <f>HQ42*IF(OR($C42=120,$G42=120),0,1)</f>
        <v/>
      </c>
      <c r="HR43">
        <f>HR42*IF(OR($C42=121,$G42=121),0,1)</f>
        <v/>
      </c>
      <c r="HS43">
        <f>HS42*IF(OR($C42=122,$G42=122),0,1)</f>
        <v/>
      </c>
      <c r="HT43">
        <f>HT42*IF(OR($C42=123,$G42=123),0,1)</f>
        <v/>
      </c>
      <c r="HU43">
        <f>HU42*IF(OR($C42=124,$G42=124),0,1)</f>
        <v/>
      </c>
      <c r="HV43">
        <f>HV42*IF(OR($C42=125,$G42=125),0,1)</f>
        <v/>
      </c>
      <c r="HW43">
        <f>HW42*IF(OR($C42=126,$G42=126),0,1)</f>
        <v/>
      </c>
      <c r="HX43">
        <f>HX42*IF(OR($C42=127,$G42=127),0,1)</f>
        <v/>
      </c>
      <c r="HY43">
        <f>HY42*IF(OR($C42=128,$G42=128),0,1)</f>
        <v/>
      </c>
      <c r="HZ43">
        <f>HZ42*IF(OR($C42=129,$G42=129),0,1)</f>
        <v/>
      </c>
      <c r="IA43">
        <f>IA42*IF(OR($C42=130,$G42=130),0,1)</f>
        <v/>
      </c>
      <c r="IB43">
        <f>IB42*IF(OR($C42=131,$G42=131),0,1)</f>
        <v/>
      </c>
      <c r="IC43">
        <f>IC42*IF(OR($C42=132,$G42=132),0,1)</f>
        <v/>
      </c>
      <c r="ID43">
        <f>ID42*IF(OR($C42=133,$G42=133),0,1)</f>
        <v/>
      </c>
      <c r="IE43">
        <f>IE42*IF(OR($C42=134,$G42=134),0,1)</f>
        <v/>
      </c>
      <c r="IF43">
        <f>IF42*IF(OR($C42=135,$G42=135),0,1)</f>
        <v/>
      </c>
      <c r="IG43">
        <f>IG42*IF(OR($C42=136,$G42=136),0,1)</f>
        <v/>
      </c>
      <c r="IH43">
        <f>IH42*IF(OR($C42=137,$G42=137),0,1)</f>
        <v/>
      </c>
      <c r="II43">
        <f>II42*IF(OR($C42=138,$G42=138),0,1)</f>
        <v/>
      </c>
      <c r="IJ43">
        <f>IJ42*IF(OR($C42=139,$G42=139),0,1)</f>
        <v/>
      </c>
      <c r="IK43">
        <f>IK42*IF(OR($C42=140,$G42=140),0,1)</f>
        <v/>
      </c>
      <c r="IL43">
        <f>IL42*IF(OR($C42=141,$G42=141),0,1)</f>
        <v/>
      </c>
      <c r="IM43">
        <f>IM42*IF(OR($C42=142,$G42=142),0,1)</f>
        <v/>
      </c>
      <c r="IN43">
        <f>IN42*IF(OR($C42=143,$G42=143),0,1)</f>
        <v/>
      </c>
      <c r="IO43">
        <f>IO42*IF(OR($C42=144,$G42=144),0,1)</f>
        <v/>
      </c>
      <c r="IQ43">
        <f>IF('計算A'!D$106=1,DC43,1)</f>
        <v/>
      </c>
      <c r="IR43">
        <f>IF('計算A'!E$106=1,DD43,1)</f>
        <v/>
      </c>
      <c r="IS43">
        <f>IF('計算A'!F$106=1,DE43,1)</f>
        <v/>
      </c>
      <c r="IT43">
        <f>IF('計算A'!G$106=1,DF43,1)</f>
        <v/>
      </c>
      <c r="IU43">
        <f>IF('計算A'!H$106=1,DG43,1)</f>
        <v/>
      </c>
      <c r="IV43">
        <f>IF('計算A'!I$106=1,DH43,1)</f>
        <v/>
      </c>
      <c r="IW43">
        <f>IF('計算A'!J$106=1,DI43,1)</f>
        <v/>
      </c>
      <c r="IX43">
        <f>IF('計算A'!K$106=1,DJ43,1)</f>
        <v/>
      </c>
      <c r="IY43">
        <f>IF('計算A'!L$106=1,DK43,1)</f>
        <v/>
      </c>
      <c r="IZ43">
        <f>IF('計算A'!M$106=1,DL43,1)</f>
        <v/>
      </c>
      <c r="JA43">
        <f>IF('計算A'!N$106=1,DM43,1)</f>
        <v/>
      </c>
      <c r="JB43">
        <f>IF('計算A'!O$106=1,DN43,1)</f>
        <v/>
      </c>
      <c r="JC43">
        <f>IF('計算A'!P$106=1,DO43,1)</f>
        <v/>
      </c>
      <c r="JD43">
        <f>IF('計算A'!Q$106=1,DP43,1)</f>
        <v/>
      </c>
      <c r="JE43">
        <f>IF('計算A'!R$106=1,DQ43,1)</f>
        <v/>
      </c>
      <c r="JF43">
        <f>IF('計算A'!S$106=1,DR43,1)</f>
        <v/>
      </c>
      <c r="JG43">
        <f>IF('計算A'!T$106=1,DS43,1)</f>
        <v/>
      </c>
      <c r="JH43">
        <f>IF('計算A'!U$106=1,DT43,1)</f>
        <v/>
      </c>
      <c r="JI43">
        <f>IF('計算A'!V$106=1,DU43,1)</f>
        <v/>
      </c>
      <c r="JJ43">
        <f>IF('計算A'!W$106=1,DV43,1)</f>
        <v/>
      </c>
      <c r="JK43">
        <f>IF('計算A'!X$106=1,DW43,1)</f>
        <v/>
      </c>
      <c r="JL43">
        <f>IF('計算A'!Y$106=1,DX43,1)</f>
        <v/>
      </c>
      <c r="JM43">
        <f>IF('計算A'!Z$106=1,DY43,1)</f>
        <v/>
      </c>
      <c r="JN43">
        <f>IF('計算A'!AA$106=1,DZ43,1)</f>
        <v/>
      </c>
      <c r="JO43">
        <f>IF('計算A'!AB$106=1,EA43,1)</f>
        <v/>
      </c>
      <c r="JP43">
        <f>IF('計算A'!AC$106=1,EB43,1)</f>
        <v/>
      </c>
      <c r="JQ43">
        <f>IF('計算A'!AD$106=1,EC43,1)</f>
        <v/>
      </c>
      <c r="JR43">
        <f>IF('計算A'!AE$106=1,ED43,1)</f>
        <v/>
      </c>
      <c r="JS43">
        <f>IF('計算A'!AF$106=1,EE43,1)</f>
        <v/>
      </c>
      <c r="JT43">
        <f>IF('計算A'!AG$106=1,EF43,1)</f>
        <v/>
      </c>
      <c r="JU43">
        <f>IF('計算A'!AH$106=1,EG43,1)</f>
        <v/>
      </c>
      <c r="JV43">
        <f>IF('計算A'!AI$106=1,EH43,1)</f>
        <v/>
      </c>
      <c r="JW43">
        <f>IF('計算A'!AJ$106=1,EI43,1)</f>
        <v/>
      </c>
      <c r="JX43">
        <f>IF('計算A'!AK$106=1,EJ43,1)</f>
        <v/>
      </c>
      <c r="JY43">
        <f>IF('計算A'!AL$106=1,EK43,1)</f>
        <v/>
      </c>
      <c r="JZ43">
        <f>IF('計算A'!AM$106=1,EL43,1)</f>
        <v/>
      </c>
      <c r="KA43">
        <f>IF('計算A'!AN$106=1,EM43,1)</f>
        <v/>
      </c>
      <c r="KB43">
        <f>IF('計算A'!AO$106=1,EN43,1)</f>
        <v/>
      </c>
      <c r="KC43">
        <f>IF('計算A'!AP$106=1,EO43,1)</f>
        <v/>
      </c>
      <c r="KD43">
        <f>IF('計算A'!AQ$106=1,EP43,1)</f>
        <v/>
      </c>
      <c r="KE43">
        <f>IF('計算A'!AR$106=1,EQ43,1)</f>
        <v/>
      </c>
      <c r="KF43">
        <f>IF('計算A'!AS$106=1,ER43,1)</f>
        <v/>
      </c>
      <c r="KG43">
        <f>IF('計算A'!AT$106=1,ES43,1)</f>
        <v/>
      </c>
      <c r="KH43">
        <f>IF('計算A'!AU$106=1,ET43,1)</f>
        <v/>
      </c>
      <c r="KI43">
        <f>IF('計算A'!AV$106=1,EU43,1)</f>
        <v/>
      </c>
      <c r="KJ43">
        <f>IF('計算A'!AW$106=1,EV43,1)</f>
        <v/>
      </c>
      <c r="KK43">
        <f>IF('計算A'!AX$106=1,EW43,1)</f>
        <v/>
      </c>
      <c r="KL43">
        <f>IF('計算A'!AY$106=1,EX43,1)</f>
        <v/>
      </c>
      <c r="KM43">
        <f>IF('計算A'!AZ$106=1,EY43,1)</f>
        <v/>
      </c>
      <c r="KN43">
        <f>IF('計算A'!BA$106=1,EZ43,1)</f>
        <v/>
      </c>
      <c r="KO43">
        <f>IF('計算A'!BB$106=1,FA43,1)</f>
        <v/>
      </c>
      <c r="KP43">
        <f>IF('計算A'!BC$106=1,FB43,1)</f>
        <v/>
      </c>
      <c r="KQ43">
        <f>IF('計算A'!BD$106=1,FC43,1)</f>
        <v/>
      </c>
      <c r="KR43">
        <f>IF('計算A'!BE$106=1,FD43,1)</f>
        <v/>
      </c>
      <c r="KS43">
        <f>IF('計算A'!BF$106=1,FE43,1)</f>
        <v/>
      </c>
      <c r="KT43">
        <f>IF('計算A'!BG$106=1,FF43,1)</f>
        <v/>
      </c>
      <c r="KU43">
        <f>IF('計算A'!BH$106=1,FG43,1)</f>
        <v/>
      </c>
      <c r="KV43">
        <f>IF('計算A'!BI$106=1,FH43,1)</f>
        <v/>
      </c>
      <c r="KW43">
        <f>IF('計算A'!BJ$106=1,FI43,1)</f>
        <v/>
      </c>
      <c r="KX43">
        <f>IF('計算A'!BK$106=1,FJ43,1)</f>
        <v/>
      </c>
      <c r="KY43">
        <f>IF('計算A'!BL$106=1,FK43,1)</f>
        <v/>
      </c>
      <c r="KZ43">
        <f>IF('計算A'!BM$106=1,FL43,1)</f>
        <v/>
      </c>
      <c r="LA43">
        <f>IF('計算A'!BN$106=1,FM43,1)</f>
        <v/>
      </c>
      <c r="LB43">
        <f>IF('計算A'!BO$106=1,FN43,1)</f>
        <v/>
      </c>
      <c r="LC43">
        <f>IF('計算A'!BP$106=1,FO43,1)</f>
        <v/>
      </c>
      <c r="LD43">
        <f>IF('計算A'!BQ$106=1,FP43,1)</f>
        <v/>
      </c>
      <c r="LE43">
        <f>IF('計算A'!BR$106=1,FQ43,1)</f>
        <v/>
      </c>
      <c r="LF43">
        <f>IF('計算A'!BS$106=1,FR43,1)</f>
        <v/>
      </c>
      <c r="LG43">
        <f>IF('計算A'!BT$106=1,FS43,1)</f>
        <v/>
      </c>
      <c r="LH43">
        <f>IF('計算A'!BU$106=1,FT43,1)</f>
        <v/>
      </c>
      <c r="LI43">
        <f>IF('計算A'!BV$106=1,FU43,1)</f>
        <v/>
      </c>
      <c r="LJ43">
        <f>IF('計算A'!BW$106=1,FV43,1)</f>
        <v/>
      </c>
      <c r="LK43">
        <f>IF('計算A'!BX$106=1,FW43,1)</f>
        <v/>
      </c>
      <c r="LL43">
        <f>IF('計算A'!BY$106=1,FX43,1)</f>
        <v/>
      </c>
      <c r="LM43">
        <f>IF('計算A'!BZ$106=1,FY43,1)</f>
        <v/>
      </c>
      <c r="LN43">
        <f>IF('計算A'!CA$106=1,FZ43,1)</f>
        <v/>
      </c>
      <c r="LO43">
        <f>IF('計算A'!CB$106=1,GA43,1)</f>
        <v/>
      </c>
      <c r="LP43">
        <f>IF('計算A'!CC$106=1,GB43,1)</f>
        <v/>
      </c>
      <c r="LQ43">
        <f>IF('計算A'!CD$106=1,GC43,1)</f>
        <v/>
      </c>
      <c r="LR43">
        <f>IF('計算A'!CE$106=1,GD43,1)</f>
        <v/>
      </c>
      <c r="LS43">
        <f>IF('計算A'!CF$106=1,GE43,1)</f>
        <v/>
      </c>
      <c r="LT43">
        <f>IF('計算A'!CG$106=1,GF43,1)</f>
        <v/>
      </c>
      <c r="LU43">
        <f>IF('計算A'!CH$106=1,GG43,1)</f>
        <v/>
      </c>
      <c r="LV43">
        <f>IF('計算A'!CI$106=1,GH43,1)</f>
        <v/>
      </c>
      <c r="LW43">
        <f>IF('計算A'!CJ$106=1,GI43,1)</f>
        <v/>
      </c>
      <c r="LX43">
        <f>IF('計算A'!CK$106=1,GJ43,1)</f>
        <v/>
      </c>
      <c r="LY43">
        <f>IF('計算A'!CL$106=1,GK43,1)</f>
        <v/>
      </c>
      <c r="LZ43">
        <f>IF('計算A'!CM$106=1,GL43,1)</f>
        <v/>
      </c>
      <c r="MA43">
        <f>IF('計算A'!CN$106=1,GM43,1)</f>
        <v/>
      </c>
      <c r="MB43">
        <f>IF('計算A'!CO$106=1,GN43,1)</f>
        <v/>
      </c>
      <c r="MC43">
        <f>IF('計算A'!CP$106=1,GO43,1)</f>
        <v/>
      </c>
      <c r="MD43">
        <f>IF('計算A'!CQ$106=1,GP43,1)</f>
        <v/>
      </c>
      <c r="ME43">
        <f>IF('計算A'!CR$106=1,GQ43,1)</f>
        <v/>
      </c>
      <c r="MF43">
        <f>IF('計算A'!CS$106=1,GR43,1)</f>
        <v/>
      </c>
      <c r="MG43">
        <f>IF('計算A'!CT$106=1,GS43,1)</f>
        <v/>
      </c>
      <c r="MH43">
        <f>IF('計算A'!CU$106=1,GT43,1)</f>
        <v/>
      </c>
      <c r="MI43">
        <f>IF('計算A'!CV$106=1,GU43,1)</f>
        <v/>
      </c>
      <c r="MJ43">
        <f>IF('計算A'!CW$106=1,GV43,1)</f>
        <v/>
      </c>
      <c r="MK43">
        <f>IF('計算A'!CX$106=1,GW43,1)</f>
        <v/>
      </c>
      <c r="ML43">
        <f>IF('計算A'!CY$106=1,GX43,1)</f>
        <v/>
      </c>
      <c r="MM43">
        <f>IF('計算A'!CZ$106=1,GY43,1)</f>
        <v/>
      </c>
      <c r="MN43">
        <f>IF('計算A'!DA$106=1,GZ43,1)</f>
        <v/>
      </c>
      <c r="MO43">
        <f>IF('計算A'!DB$106=1,HA43,1)</f>
        <v/>
      </c>
      <c r="MP43">
        <f>IF('計算A'!DC$106=1,HB43,1)</f>
        <v/>
      </c>
      <c r="MQ43">
        <f>IF('計算A'!DD$106=1,HC43,1)</f>
        <v/>
      </c>
      <c r="MR43">
        <f>IF('計算A'!DE$106=1,HD43,1)</f>
        <v/>
      </c>
      <c r="MS43">
        <f>IF('計算A'!DF$106=1,HE43,1)</f>
        <v/>
      </c>
      <c r="MT43">
        <f>IF('計算A'!DG$106=1,HF43,1)</f>
        <v/>
      </c>
      <c r="MU43">
        <f>IF('計算A'!DH$106=1,HG43,1)</f>
        <v/>
      </c>
      <c r="MV43">
        <f>IF('計算A'!DI$106=1,HH43,1)</f>
        <v/>
      </c>
      <c r="MW43">
        <f>IF('計算A'!DJ$106=1,HI43,1)</f>
        <v/>
      </c>
      <c r="MX43">
        <f>IF('計算A'!DK$106=1,HJ43,1)</f>
        <v/>
      </c>
      <c r="MY43">
        <f>IF('計算A'!DL$106=1,HK43,1)</f>
        <v/>
      </c>
      <c r="MZ43">
        <f>IF('計算A'!DM$106=1,HL43,1)</f>
        <v/>
      </c>
      <c r="NA43">
        <f>IF('計算A'!DN$106=1,HM43,1)</f>
        <v/>
      </c>
      <c r="NB43">
        <f>IF('計算A'!DO$106=1,HN43,1)</f>
        <v/>
      </c>
      <c r="NC43">
        <f>IF('計算A'!DP$106=1,HO43,1)</f>
        <v/>
      </c>
      <c r="ND43">
        <f>IF('計算A'!DQ$106=1,HP43,1)</f>
        <v/>
      </c>
      <c r="NE43">
        <f>IF('計算A'!DR$106=1,HQ43,1)</f>
        <v/>
      </c>
      <c r="NF43">
        <f>IF('計算A'!DS$106=1,HR43,1)</f>
        <v/>
      </c>
      <c r="NG43">
        <f>IF('計算A'!DT$106=1,HS43,1)</f>
        <v/>
      </c>
      <c r="NH43">
        <f>IF('計算A'!DU$106=1,HT43,1)</f>
        <v/>
      </c>
      <c r="NI43">
        <f>IF('計算A'!DV$106=1,HU43,1)</f>
        <v/>
      </c>
      <c r="NJ43">
        <f>IF('計算A'!DW$106=1,HV43,1)</f>
        <v/>
      </c>
      <c r="NK43">
        <f>IF('計算A'!DX$106=1,HW43,1)</f>
        <v/>
      </c>
      <c r="NL43">
        <f>IF('計算A'!DY$106=1,HX43,1)</f>
        <v/>
      </c>
      <c r="NM43">
        <f>IF('計算A'!DZ$106=1,HY43,1)</f>
        <v/>
      </c>
      <c r="NN43">
        <f>IF('計算A'!EA$106=1,HZ43,1)</f>
        <v/>
      </c>
      <c r="NO43">
        <f>IF('計算A'!EB$106=1,IA43,1)</f>
        <v/>
      </c>
      <c r="NP43">
        <f>IF('計算A'!EC$106=1,IB43,1)</f>
        <v/>
      </c>
      <c r="NQ43">
        <f>IF('計算A'!ED$106=1,IC43,1)</f>
        <v/>
      </c>
      <c r="NR43">
        <f>IF('計算A'!EE$106=1,ID43,1)</f>
        <v/>
      </c>
      <c r="NS43">
        <f>IF('計算A'!EF$106=1,IE43,1)</f>
        <v/>
      </c>
      <c r="NT43">
        <f>IF('計算A'!EG$106=1,IF43,1)</f>
        <v/>
      </c>
      <c r="NU43">
        <f>IF('計算A'!EH$106=1,IG43,1)</f>
        <v/>
      </c>
      <c r="NV43">
        <f>IF('計算A'!EI$106=1,IH43,1)</f>
        <v/>
      </c>
      <c r="NW43">
        <f>IF('計算A'!EJ$106=1,II43,1)</f>
        <v/>
      </c>
      <c r="NX43">
        <f>IF('計算A'!EK$106=1,IJ43,1)</f>
        <v/>
      </c>
      <c r="NY43">
        <f>IF('計算A'!EL$106=1,IK43,1)</f>
        <v/>
      </c>
      <c r="NZ43">
        <f>IF('計算A'!EM$106=1,IL43,1)</f>
        <v/>
      </c>
      <c r="OA43">
        <f>IF('計算A'!EN$106=1,IM43,1)</f>
        <v/>
      </c>
      <c r="OB43">
        <f>IF('計算A'!EO$106=1,IN43,1)</f>
        <v/>
      </c>
      <c r="OC43">
        <f>IF('計算A'!EP$106=1,IO43,1)</f>
        <v/>
      </c>
      <c r="OD43" t="n">
        <v>1</v>
      </c>
      <c r="OF43">
        <f>IF($B43=0,1000000,IF(INDEX('計算A'!$D$60:$EQ$104,$B43,1)*DB43=1,IF(AND($E43=2,IQ43=0),1000000,IF($I43&gt;0,IF(1=$J43,IF(OR(AND(1=$I43+1,OR($K43&lt;&gt;'計算A'!$A$3,'計算A'!$A$4=0)),AND(1=$I43-1,OR(1&lt;&gt;'計算A'!$A$3,'計算A'!$A$4=0))),0,IF(1=$K43,200000,ABS(1-$K43)*100)),100000+ABS(1-$J43)*1000+10)+'計算A'!D$5*50+IF(AND($E43=1,IQ43=0),25,0),INDEX('計算A'!D$110:D$114,$F43+1)+IF(AND($E43=1,IQ43=0),1000,0)+IF($H43=1,(IF('計算A'!D$117=1,INDEX('計算A'!E$10:E$54,$B43),0))*500,0)-IF(AND($L43=1,'計算A'!D$117=1,DC43=0),300,0))),1000000))</f>
        <v/>
      </c>
      <c r="OG43">
        <f>IF($B43=0,1000000,IF(INDEX('計算A'!$D$60:$EQ$104,$B43,2)*DC43=1,IF(AND($E43=2,IR43=0),1000000,IF($I43&gt;0,IF(1=$J43,IF(OR(AND(2=$I43+1,OR($K43&lt;&gt;'計算A'!$A$3,'計算A'!$A$4=0)),AND(2=$I43-1,OR(2&lt;&gt;'計算A'!$A$3,'計算A'!$A$4=0))),0,IF(2=$K43,200000,ABS(2-$K43)*100)),100000+ABS(1-$J43)*1000+20)+'計算A'!E$5*50+IF(AND($E43=1,IR43=0),25,0),INDEX('計算A'!E$110:E$114,$F43+1)+IF(AND($E43=1,IR43=0),1000,0)+IF($H43=1,(IF('計算A'!D$117=1,INDEX('計算A'!D$10:D$54,$B43),0)+IF('計算A'!E$117=1,INDEX('計算A'!F$10:F$54,$B43),0))*500,0)-IF(AND('計算A'!D$117=1,UB43&gt;0),300,0)-IF(AND($L43=1,'計算A'!E$117=1,DD43=0),300,0))),1000000))</f>
        <v/>
      </c>
      <c r="OH43">
        <f>IF($B43=0,1000000,IF(INDEX('計算A'!$D$60:$EQ$104,$B43,3)*DD43=1,IF(AND($E43=2,IS43=0),1000000,IF($I43&gt;0,IF(1=$J43,IF(OR(AND(3=$I43+1,OR($K43&lt;&gt;'計算A'!$A$3,'計算A'!$A$4=0)),AND(3=$I43-1,OR(3&lt;&gt;'計算A'!$A$3,'計算A'!$A$4=0))),0,IF(3=$K43,200000,ABS(3-$K43)*100)),100000+ABS(1-$J43)*1000+30)+'計算A'!F$5*50+IF(AND($E43=1,IS43=0),25,0),INDEX('計算A'!F$110:F$114,$F43+1)+IF(AND($E43=1,IS43=0),1000,0)+IF($H43=1,(IF('計算A'!E$117=1,INDEX('計算A'!E$10:E$54,$B43),0)+IF('計算A'!F$117=1,INDEX('計算A'!G$10:G$54,$B43),0))*500,0)-IF(AND('計算A'!E$117=1,UC43&gt;0),300,0)-IF(AND($L43=1,'計算A'!F$117=1,DE43=0),300,0))),1000000))</f>
        <v/>
      </c>
      <c r="OI43">
        <f>IF($B43=0,1000000,IF(INDEX('計算A'!$D$60:$EQ$104,$B43,4)*DE43=1,IF(AND($E43=2,IT43=0),1000000,IF($I43&gt;0,IF(1=$J43,IF(OR(AND(4=$I43+1,OR($K43&lt;&gt;'計算A'!$A$3,'計算A'!$A$4=0)),AND(4=$I43-1,OR(4&lt;&gt;'計算A'!$A$3,'計算A'!$A$4=0))),0,IF(4=$K43,200000,ABS(4-$K43)*100)),100000+ABS(1-$J43)*1000+40)+'計算A'!G$5*50+IF(AND($E43=1,IT43=0),25,0),INDEX('計算A'!G$110:G$114,$F43+1)+IF(AND($E43=1,IT43=0),1000,0)+IF($H43=1,(IF('計算A'!F$117=1,INDEX('計算A'!F$10:F$54,$B43),0)+IF('計算A'!G$117=1,INDEX('計算A'!H$10:H$54,$B43),0))*500,0)-IF(AND('計算A'!F$117=1,UD43&gt;0),300,0)-IF(AND($L43=1,'計算A'!G$117=1,DF43=0),300,0))),1000000))</f>
        <v/>
      </c>
      <c r="OJ43">
        <f>IF($B43=0,1000000,IF(INDEX('計算A'!$D$60:$EQ$104,$B43,5)*DF43=1,IF(AND($E43=2,IU43=0),1000000,IF($I43&gt;0,IF(1=$J43,IF(OR(AND(5=$I43+1,OR($K43&lt;&gt;'計算A'!$A$3,'計算A'!$A$4=0)),AND(5=$I43-1,OR(5&lt;&gt;'計算A'!$A$3,'計算A'!$A$4=0))),0,IF(5=$K43,200000,ABS(5-$K43)*100)),100000+ABS(1-$J43)*1000+50)+'計算A'!H$5*50+IF(AND($E43=1,IU43=0),25,0),INDEX('計算A'!H$110:H$114,$F43+1)+IF(AND($E43=1,IU43=0),1000,0)+IF($H43=1,(IF('計算A'!G$117=1,INDEX('計算A'!G$10:G$54,$B43),0)+IF('計算A'!H$117=1,INDEX('計算A'!I$10:I$54,$B43),0))*500,0)-IF(AND('計算A'!G$117=1,UE43&gt;0),300,0)-IF(AND($L43=1,'計算A'!H$117=1,DG43=0),300,0))),1000000))</f>
        <v/>
      </c>
      <c r="OK43">
        <f>IF($B43=0,1000000,IF(INDEX('計算A'!$D$60:$EQ$104,$B43,6)*DG43=1,IF(AND($E43=2,IV43=0),1000000,IF($I43&gt;0,IF(1=$J43,IF(OR(AND(6=$I43+1,OR($K43&lt;&gt;'計算A'!$A$3,'計算A'!$A$4=0)),AND(6=$I43-1,OR(6&lt;&gt;'計算A'!$A$3,'計算A'!$A$4=0))),0,IF(6=$K43,200000,ABS(6-$K43)*100)),100000+ABS(1-$J43)*1000+60)+'計算A'!I$5*50+IF(AND($E43=1,IV43=0),25,0),INDEX('計算A'!I$110:I$114,$F43+1)+IF(AND($E43=1,IV43=0),1000,0)+IF($H43=1,(IF('計算A'!H$117=1,INDEX('計算A'!H$10:H$54,$B43),0)+IF('計算A'!I$117=1,INDEX('計算A'!J$10:J$54,$B43),0))*500,0)-IF(AND('計算A'!H$117=1,UF43&gt;0),300,0)-IF(AND($L43=1,'計算A'!I$117=1,DH43=0),300,0))),1000000))</f>
        <v/>
      </c>
      <c r="OL43">
        <f>IF($B43=0,1000000,IF(INDEX('計算A'!$D$60:$EQ$104,$B43,7)*DH43=1,IF(AND($E43=2,IW43=0),1000000,IF($I43&gt;0,IF(1=$J43,IF(OR(AND(7=$I43+1,OR($K43&lt;&gt;'計算A'!$A$3,'計算A'!$A$4=0)),AND(7=$I43-1,OR(7&lt;&gt;'計算A'!$A$3,'計算A'!$A$4=0))),0,IF(7=$K43,200000,ABS(7-$K43)*100)),100000+ABS(1-$J43)*1000+70)+'計算A'!J$5*50+IF(AND($E43=1,IW43=0),25,0),INDEX('計算A'!J$110:J$114,$F43+1)+IF(AND($E43=1,IW43=0),1000,0)+IF($H43=1,(IF('計算A'!I$117=1,INDEX('計算A'!I$10:I$54,$B43),0)+IF('計算A'!J$117=1,INDEX('計算A'!K$10:K$54,$B43),0))*500,0)-IF(AND('計算A'!I$117=1,UG43&gt;0),300,0)-IF(AND($L43=1,'計算A'!J$117=1,DI43=0),300,0))),1000000))</f>
        <v/>
      </c>
      <c r="OM43">
        <f>IF($B43=0,1000000,IF(INDEX('計算A'!$D$60:$EQ$104,$B43,8)*DI43=1,IF(AND($E43=2,IX43=0),1000000,IF($I43&gt;0,IF(1=$J43,IF(OR(AND(8=$I43+1,OR($K43&lt;&gt;'計算A'!$A$3,'計算A'!$A$4=0)),AND(8=$I43-1,OR(8&lt;&gt;'計算A'!$A$3,'計算A'!$A$4=0))),0,IF(8=$K43,200000,ABS(8-$K43)*100)),100000+ABS(1-$J43)*1000+80)+'計算A'!K$5*50+IF(AND($E43=1,IX43=0),25,0),INDEX('計算A'!K$110:K$114,$F43+1)+IF(AND($E43=1,IX43=0),1000,0)+IF($H43=1,(IF('計算A'!J$117=1,INDEX('計算A'!J$10:J$54,$B43),0)+IF('計算A'!K$117=1,INDEX('計算A'!L$10:L$54,$B43),0))*500,0)-IF(AND('計算A'!J$117=1,UH43&gt;0),300,0)-IF(AND($L43=1,'計算A'!K$117=1,DJ43=0),300,0))),1000000))</f>
        <v/>
      </c>
      <c r="ON43">
        <f>IF($B43=0,1000000,IF(INDEX('計算A'!$D$60:$EQ$104,$B43,9)*DJ43=1,IF(AND($E43=2,IY43=0),1000000,IF($I43&gt;0,IF(1=$J43,IF(OR(AND(9=$I43+1,OR($K43&lt;&gt;'計算A'!$A$3,'計算A'!$A$4=0)),AND(9=$I43-1,OR(9&lt;&gt;'計算A'!$A$3,'計算A'!$A$4=0))),0,IF(9=$K43,200000,ABS(9-$K43)*100)),100000+ABS(1-$J43)*1000+90)+'計算A'!L$5*50+IF(AND($E43=1,IY43=0),25,0),INDEX('計算A'!L$110:L$114,$F43+1)+IF(AND($E43=1,IY43=0),1000,0)+IF($H43=1,(IF('計算A'!K$117=1,INDEX('計算A'!K$10:K$54,$B43),0)+IF('計算A'!L$117=1,INDEX('計算A'!M$10:M$54,$B43),0))*500,0)-IF(AND('計算A'!K$117=1,UI43&gt;0),300,0)-IF(AND($L43=1,'計算A'!L$117=1,DK43=0),300,0))),1000000))</f>
        <v/>
      </c>
      <c r="OO43">
        <f>IF($B43=0,1000000,IF(INDEX('計算A'!$D$60:$EQ$104,$B43,10)*DK43=1,IF(AND($E43=2,IZ43=0),1000000,IF($I43&gt;0,IF(1=$J43,IF(OR(AND(10=$I43+1,OR($K43&lt;&gt;'計算A'!$A$3,'計算A'!$A$4=0)),AND(10=$I43-1,OR(10&lt;&gt;'計算A'!$A$3,'計算A'!$A$4=0))),0,IF(10=$K43,200000,ABS(10-$K43)*100)),100000+ABS(1-$J43)*1000+100)+'計算A'!M$5*50+IF(AND($E43=1,IZ43=0),25,0),INDEX('計算A'!M$110:M$114,$F43+1)+IF(AND($E43=1,IZ43=0),1000,0)+IF($H43=1,(IF('計算A'!L$117=1,INDEX('計算A'!L$10:L$54,$B43),0)+IF('計算A'!M$117=1,INDEX('計算A'!N$10:N$54,$B43),0))*500,0)-IF(AND('計算A'!L$117=1,UJ43&gt;0),300,0)-IF(AND($L43=1,'計算A'!M$117=1,DL43=0),300,0))),1000000))</f>
        <v/>
      </c>
      <c r="OP43">
        <f>IF($B43=0,1000000,IF(INDEX('計算A'!$D$60:$EQ$104,$B43,11)*DL43=1,IF(AND($E43=2,JA43=0),1000000,IF($I43&gt;0,IF(1=$J43,IF(OR(AND(11=$I43+1,OR($K43&lt;&gt;'計算A'!$A$3,'計算A'!$A$4=0)),AND(11=$I43-1,OR(11&lt;&gt;'計算A'!$A$3,'計算A'!$A$4=0))),0,IF(11=$K43,200000,ABS(11-$K43)*100)),100000+ABS(1-$J43)*1000+110)+'計算A'!N$5*50+IF(AND($E43=1,JA43=0),25,0),INDEX('計算A'!N$110:N$114,$F43+1)+IF(AND($E43=1,JA43=0),1000,0)+IF($H43=1,(IF('計算A'!M$117=1,INDEX('計算A'!M$10:M$54,$B43),0)+IF('計算A'!N$117=1,INDEX('計算A'!O$10:O$54,$B43),0))*500,0)-IF(AND('計算A'!M$117=1,UK43&gt;0),300,0)-IF(AND($L43=1,'計算A'!N$117=1,DM43=0),300,0))),1000000))</f>
        <v/>
      </c>
      <c r="OQ43">
        <f>IF($B43=0,1000000,IF(INDEX('計算A'!$D$60:$EQ$104,$B43,12)*DM43=1,IF(AND($E43=2,JB43=0),1000000,IF($I43&gt;0,IF(1=$J43,IF(OR(AND(12=$I43+1,OR($K43&lt;&gt;'計算A'!$A$3,'計算A'!$A$4=0)),AND(12=$I43-1,OR(12&lt;&gt;'計算A'!$A$3,'計算A'!$A$4=0))),0,IF(12=$K43,200000,ABS(12-$K43)*100)),100000+ABS(1-$J43)*1000+120)+'計算A'!O$5*50+IF(AND($E43=1,JB43=0),25,0),INDEX('計算A'!O$110:O$114,$F43+1)+IF(AND($E43=1,JB43=0),1000,0)+IF($H43=1,(IF('計算A'!N$117=1,INDEX('計算A'!N$10:N$54,$B43),0)+IF('計算A'!O$117=1,INDEX('計算A'!P$10:P$54,$B43),0))*500,0)-IF(AND('計算A'!N$117=1,UL43&gt;0),300,0)-IF(AND($L43=1,'計算A'!O$117=1,DN43=0),300,0))),1000000))</f>
        <v/>
      </c>
      <c r="OR43">
        <f>IF($B43=0,1000000,IF(INDEX('計算A'!$D$60:$EQ$104,$B43,13)*DN43=1,IF(AND($E43=2,JC43=0),1000000,IF($I43&gt;0,IF(1=$J43,IF(OR(AND(13=$I43+1,OR($K43&lt;&gt;'計算A'!$A$3,'計算A'!$A$4=0)),AND(13=$I43-1,OR(13&lt;&gt;'計算A'!$A$3,'計算A'!$A$4=0))),0,IF(13=$K43,200000,ABS(13-$K43)*100)),100000+ABS(1-$J43)*1000+130)+'計算A'!P$5*50+IF(AND($E43=1,JC43=0),25,0),INDEX('計算A'!P$110:P$114,$F43+1)+IF(AND($E43=1,JC43=0),1000,0)+IF($H43=1,(IF('計算A'!O$117=1,INDEX('計算A'!O$10:O$54,$B43),0)+IF('計算A'!P$117=1,INDEX('計算A'!Q$10:Q$54,$B43),0))*500,0)-IF(AND('計算A'!O$117=1,UM43&gt;0),300,0)-IF(AND($L43=1,'計算A'!P$117=1,DO43=0),300,0))),1000000))</f>
        <v/>
      </c>
      <c r="OS43">
        <f>IF($B43=0,1000000,IF(INDEX('計算A'!$D$60:$EQ$104,$B43,14)*DO43=1,IF(AND($E43=2,JD43=0),1000000,IF($I43&gt;0,IF(1=$J43,IF(OR(AND(14=$I43+1,OR($K43&lt;&gt;'計算A'!$A$3,'計算A'!$A$4=0)),AND(14=$I43-1,OR(14&lt;&gt;'計算A'!$A$3,'計算A'!$A$4=0))),0,IF(14=$K43,200000,ABS(14-$K43)*100)),100000+ABS(1-$J43)*1000+140)+'計算A'!Q$5*50+IF(AND($E43=1,JD43=0),25,0),INDEX('計算A'!Q$110:Q$114,$F43+1)+IF(AND($E43=1,JD43=0),1000,0)+IF($H43=1,(IF('計算A'!P$117=1,INDEX('計算A'!P$10:P$54,$B43),0)+IF('計算A'!Q$117=1,INDEX('計算A'!R$10:R$54,$B43),0))*500,0)-IF(AND('計算A'!P$117=1,UN43&gt;0),300,0)-IF(AND($L43=1,'計算A'!Q$117=1,DP43=0),300,0))),1000000))</f>
        <v/>
      </c>
      <c r="OT43">
        <f>IF($B43=0,1000000,IF(INDEX('計算A'!$D$60:$EQ$104,$B43,15)*DP43=1,IF(AND($E43=2,JE43=0),1000000,IF($I43&gt;0,IF(1=$J43,IF(OR(AND(15=$I43+1,OR($K43&lt;&gt;'計算A'!$A$3,'計算A'!$A$4=0)),AND(15=$I43-1,OR(15&lt;&gt;'計算A'!$A$3,'計算A'!$A$4=0))),0,IF(15=$K43,200000,ABS(15-$K43)*100)),100000+ABS(1-$J43)*1000+150)+'計算A'!R$5*50+IF(AND($E43=1,JE43=0),25,0),INDEX('計算A'!R$110:R$114,$F43+1)+IF(AND($E43=1,JE43=0),1000,0)+IF($H43=1,(IF('計算A'!Q$117=1,INDEX('計算A'!Q$10:Q$54,$B43),0)+IF('計算A'!R$117=1,INDEX('計算A'!S$10:S$54,$B43),0))*500,0)-IF(AND('計算A'!Q$117=1,UO43&gt;0),300,0)-IF(AND($L43=1,'計算A'!R$117=1,DQ43=0),300,0))),1000000))</f>
        <v/>
      </c>
      <c r="OU43">
        <f>IF($B43=0,1000000,IF(INDEX('計算A'!$D$60:$EQ$104,$B43,16)*DQ43=1,IF(AND($E43=2,JF43=0),1000000,IF($I43&gt;0,IF(1=$J43,IF(OR(AND(16=$I43+1,OR($K43&lt;&gt;'計算A'!$A$3,'計算A'!$A$4=0)),AND(16=$I43-1,OR(16&lt;&gt;'計算A'!$A$3,'計算A'!$A$4=0))),0,IF(16=$K43,200000,ABS(16-$K43)*100)),100000+ABS(1-$J43)*1000+160)+'計算A'!S$5*50+IF(AND($E43=1,JF43=0),25,0),INDEX('計算A'!S$110:S$114,$F43+1)+IF(AND($E43=1,JF43=0),1000,0)+IF($H43=1,(IF('計算A'!R$117=1,INDEX('計算A'!R$10:R$54,$B43),0)+IF('計算A'!S$117=1,INDEX('計算A'!T$10:T$54,$B43),0))*500,0)-IF(AND('計算A'!R$117=1,UP43&gt;0),300,0)-IF(AND($L43=1,'計算A'!S$117=1,DR43=0),300,0))),1000000))</f>
        <v/>
      </c>
      <c r="OV43">
        <f>IF($B43=0,1000000,IF(INDEX('計算A'!$D$60:$EQ$104,$B43,17)*DR43=1,IF(AND($E43=2,JG43=0),1000000,IF($I43&gt;0,IF(1=$J43,IF(OR(AND(17=$I43+1,OR($K43&lt;&gt;'計算A'!$A$3,'計算A'!$A$4=0)),AND(17=$I43-1,OR(17&lt;&gt;'計算A'!$A$3,'計算A'!$A$4=0))),0,IF(17=$K43,200000,ABS(17-$K43)*100)),100000+ABS(1-$J43)*1000+170)+'計算A'!T$5*50+IF(AND($E43=1,JG43=0),25,0),INDEX('計算A'!T$110:T$114,$F43+1)+IF(AND($E43=1,JG43=0),1000,0)+IF($H43=1,(IF('計算A'!S$117=1,INDEX('計算A'!S$10:S$54,$B43),0)+IF('計算A'!T$117=1,INDEX('計算A'!U$10:U$54,$B43),0))*500,0)-IF(AND('計算A'!S$117=1,UQ43&gt;0),300,0)-IF(AND($L43=1,'計算A'!T$117=1,DS43=0),300,0))),1000000))</f>
        <v/>
      </c>
      <c r="OW43">
        <f>IF($B43=0,1000000,IF(INDEX('計算A'!$D$60:$EQ$104,$B43,18)*DS43=1,IF(AND($E43=2,JH43=0),1000000,IF($I43&gt;0,IF(1=$J43,IF(OR(AND(18=$I43+1,OR($K43&lt;&gt;'計算A'!$A$3,'計算A'!$A$4=0)),AND(18=$I43-1,OR(18&lt;&gt;'計算A'!$A$3,'計算A'!$A$4=0))),0,IF(18=$K43,200000,ABS(18-$K43)*100)),100000+ABS(1-$J43)*1000+180)+'計算A'!U$5*50+IF(AND($E43=1,JH43=0),25,0),INDEX('計算A'!U$110:U$114,$F43+1)+IF(AND($E43=1,JH43=0),1000,0)+IF($H43=1,(IF('計算A'!T$117=1,INDEX('計算A'!T$10:T$54,$B43),0)+IF('計算A'!U$117=1,INDEX('計算A'!V$10:V$54,$B43),0))*500,0)-IF(AND('計算A'!T$117=1,UR43&gt;0),300,0)-IF(AND($L43=1,'計算A'!U$117=1,DT43=0),300,0))),1000000))</f>
        <v/>
      </c>
      <c r="OX43">
        <f>IF($B43=0,1000000,IF(INDEX('計算A'!$D$60:$EQ$104,$B43,19)*DT43=1,IF(AND($E43=2,JI43=0),1000000,IF($I43&gt;0,IF(1=$J43,IF(OR(AND(19=$I43+1,OR($K43&lt;&gt;'計算A'!$A$3,'計算A'!$A$4=0)),AND(19=$I43-1,OR(19&lt;&gt;'計算A'!$A$3,'計算A'!$A$4=0))),0,IF(19=$K43,200000,ABS(19-$K43)*100)),100000+ABS(1-$J43)*1000+190)+'計算A'!V$5*50+IF(AND($E43=1,JI43=0),25,0),INDEX('計算A'!V$110:V$114,$F43+1)+IF(AND($E43=1,JI43=0),1000,0)+IF($H43=1,(IF('計算A'!U$117=1,INDEX('計算A'!U$10:U$54,$B43),0)+IF('計算A'!V$117=1,INDEX('計算A'!W$10:W$54,$B43),0))*500,0)-IF(AND('計算A'!U$117=1,US43&gt;0),300,0)-IF(AND($L43=1,'計算A'!V$117=1,DU43=0),300,0))),1000000))</f>
        <v/>
      </c>
      <c r="OY43">
        <f>IF($B43=0,1000000,IF(INDEX('計算A'!$D$60:$EQ$104,$B43,20)*DU43=1,IF(AND($E43=2,JJ43=0),1000000,IF($I43&gt;0,IF(1=$J43,IF(OR(AND(20=$I43+1,OR($K43&lt;&gt;'計算A'!$A$3,'計算A'!$A$4=0)),AND(20=$I43-1,OR(20&lt;&gt;'計算A'!$A$3,'計算A'!$A$4=0))),0,IF(20=$K43,200000,ABS(20-$K43)*100)),100000+ABS(1-$J43)*1000+200)+'計算A'!W$5*50+IF(AND($E43=1,JJ43=0),25,0),INDEX('計算A'!W$110:W$114,$F43+1)+IF(AND($E43=1,JJ43=0),1000,0)+IF($H43=1,(IF('計算A'!V$117=1,INDEX('計算A'!V$10:V$54,$B43),0)+IF('計算A'!W$117=1,INDEX('計算A'!X$10:X$54,$B43),0))*500,0)-IF(AND('計算A'!V$117=1,UT43&gt;0),300,0)-IF(AND($L43=1,'計算A'!W$117=1,DV43=0),300,0))),1000000))</f>
        <v/>
      </c>
      <c r="OZ43">
        <f>IF($B43=0,1000000,IF(INDEX('計算A'!$D$60:$EQ$104,$B43,21)*DV43=1,IF(AND($E43=2,JK43=0),1000000,IF($I43&gt;0,IF(1=$J43,IF(OR(AND(21=$I43+1,OR($K43&lt;&gt;'計算A'!$A$3,'計算A'!$A$4=0)),AND(21=$I43-1,OR(21&lt;&gt;'計算A'!$A$3,'計算A'!$A$4=0))),0,IF(21=$K43,200000,ABS(21-$K43)*100)),100000+ABS(1-$J43)*1000+210)+'計算A'!X$5*50+IF(AND($E43=1,JK43=0),25,0),INDEX('計算A'!X$110:X$114,$F43+1)+IF(AND($E43=1,JK43=0),1000,0)+IF($H43=1,(IF('計算A'!W$117=1,INDEX('計算A'!W$10:W$54,$B43),0)+IF('計算A'!X$117=1,INDEX('計算A'!Y$10:Y$54,$B43),0))*500,0)-IF(AND('計算A'!W$117=1,UU43&gt;0),300,0)-IF(AND($L43=1,'計算A'!X$117=1,DW43=0),300,0))),1000000))</f>
        <v/>
      </c>
      <c r="PA43">
        <f>IF($B43=0,1000000,IF(INDEX('計算A'!$D$60:$EQ$104,$B43,22)*DW43=1,IF(AND($E43=2,JL43=0),1000000,IF($I43&gt;0,IF(1=$J43,IF(OR(AND(22=$I43+1,OR($K43&lt;&gt;'計算A'!$A$3,'計算A'!$A$4=0)),AND(22=$I43-1,OR(22&lt;&gt;'計算A'!$A$3,'計算A'!$A$4=0))),0,IF(22=$K43,200000,ABS(22-$K43)*100)),100000+ABS(1-$J43)*1000+220)+'計算A'!Y$5*50+IF(AND($E43=1,JL43=0),25,0),INDEX('計算A'!Y$110:Y$114,$F43+1)+IF(AND($E43=1,JL43=0),1000,0)+IF($H43=1,(IF('計算A'!X$117=1,INDEX('計算A'!X$10:X$54,$B43),0)+IF('計算A'!Y$117=1,INDEX('計算A'!Z$10:Z$54,$B43),0))*500,0)-IF(AND('計算A'!X$117=1,UV43&gt;0),300,0)-IF(AND($L43=1,'計算A'!Y$117=1,DX43=0),300,0))),1000000))</f>
        <v/>
      </c>
      <c r="PB43">
        <f>IF($B43=0,1000000,IF(INDEX('計算A'!$D$60:$EQ$104,$B43,23)*DX43=1,IF(AND($E43=2,JM43=0),1000000,IF($I43&gt;0,IF(1=$J43,IF(OR(AND(23=$I43+1,OR($K43&lt;&gt;'計算A'!$A$3,'計算A'!$A$4=0)),AND(23=$I43-1,OR(23&lt;&gt;'計算A'!$A$3,'計算A'!$A$4=0))),0,IF(23=$K43,200000,ABS(23-$K43)*100)),100000+ABS(1-$J43)*1000+230)+'計算A'!Z$5*50+IF(AND($E43=1,JM43=0),25,0),INDEX('計算A'!Z$110:Z$114,$F43+1)+IF(AND($E43=1,JM43=0),1000,0)+IF($H43=1,(IF('計算A'!Y$117=1,INDEX('計算A'!Y$10:Y$54,$B43),0)+IF('計算A'!Z$117=1,INDEX('計算A'!AA$10:AA$54,$B43),0))*500,0)-IF(AND('計算A'!Y$117=1,UW43&gt;0),300,0)-IF(AND($L43=1,'計算A'!Z$117=1,DY43=0),300,0))),1000000))</f>
        <v/>
      </c>
      <c r="PC43">
        <f>IF($B43=0,1000000,IF(INDEX('計算A'!$D$60:$EQ$104,$B43,24)*DY43=1,IF(AND($E43=2,JN43=0),1000000,IF($I43&gt;0,IF(1=$J43,IF(OR(AND(24=$I43+1,OR($K43&lt;&gt;'計算A'!$A$3,'計算A'!$A$4=0)),AND(24=$I43-1,OR(24&lt;&gt;'計算A'!$A$3,'計算A'!$A$4=0))),0,IF(24=$K43,200000,ABS(24-$K43)*100)),100000+ABS(1-$J43)*1000+240)+'計算A'!AA$5*50+IF(AND($E43=1,JN43=0),25,0),INDEX('計算A'!AA$110:AA$114,$F43+1)+IF(AND($E43=1,JN43=0),1000,0)+IF($H43=1,(IF('計算A'!Z$117=1,INDEX('計算A'!Z$10:Z$54,$B43),0))*500,0)-IF(AND('計算A'!Z$117=1,UX43&gt;0),300,0))),1000000))</f>
        <v/>
      </c>
      <c r="PD43">
        <f>IF($B43=0,1000000,IF(INDEX('計算A'!$D$60:$EQ$104,$B43,25)*DZ43=1,IF(AND($E43=2,JO43=0),1000000,IF($I43&gt;0,IF(2=$J43,IF(OR(AND(25=$I43+1,OR($K43&lt;&gt;'計算A'!$A$3,'計算A'!$A$4=0)),AND(25=$I43-1,OR(1&lt;&gt;'計算A'!$A$3,'計算A'!$A$4=0))),0,IF(1=$K43,200000,ABS(1-$K43)*100)),100000+ABS(2-$J43)*1000+10)+'計算A'!AB$5*50+IF(AND($E43=1,JO43=0),25,0),INDEX('計算A'!AB$110:AB$114,$F43+1)+IF(AND($E43=1,JO43=0),1000,0)+IF($H43=1,(IF('計算A'!AB$117=1,INDEX('計算A'!AC$10:AC$54,$B43),0))*500,0)-IF(AND($L43=1,'計算A'!AB$117=1,EA43=0),300,0))),1000000))</f>
        <v/>
      </c>
      <c r="PE43">
        <f>IF($B43=0,1000000,IF(INDEX('計算A'!$D$60:$EQ$104,$B43,26)*EA43=1,IF(AND($E43=2,JP43=0),1000000,IF($I43&gt;0,IF(2=$J43,IF(OR(AND(26=$I43+1,OR($K43&lt;&gt;'計算A'!$A$3,'計算A'!$A$4=0)),AND(26=$I43-1,OR(2&lt;&gt;'計算A'!$A$3,'計算A'!$A$4=0))),0,IF(2=$K43,200000,ABS(2-$K43)*100)),100000+ABS(2-$J43)*1000+20)+'計算A'!AC$5*50+IF(AND($E43=1,JP43=0),25,0),INDEX('計算A'!AC$110:AC$114,$F43+1)+IF(AND($E43=1,JP43=0),1000,0)+IF($H43=1,(IF('計算A'!AB$117=1,INDEX('計算A'!AB$10:AB$54,$B43),0)+IF('計算A'!AC$117=1,INDEX('計算A'!AD$10:AD$54,$B43),0))*500,0)-IF(AND('計算A'!AB$117=1,UZ43&gt;0),300,0)-IF(AND($L43=1,'計算A'!AC$117=1,EB43=0),300,0))),1000000))</f>
        <v/>
      </c>
      <c r="PF43">
        <f>IF($B43=0,1000000,IF(INDEX('計算A'!$D$60:$EQ$104,$B43,27)*EB43=1,IF(AND($E43=2,JQ43=0),1000000,IF($I43&gt;0,IF(2=$J43,IF(OR(AND(27=$I43+1,OR($K43&lt;&gt;'計算A'!$A$3,'計算A'!$A$4=0)),AND(27=$I43-1,OR(3&lt;&gt;'計算A'!$A$3,'計算A'!$A$4=0))),0,IF(3=$K43,200000,ABS(3-$K43)*100)),100000+ABS(2-$J43)*1000+30)+'計算A'!AD$5*50+IF(AND($E43=1,JQ43=0),25,0),INDEX('計算A'!AD$110:AD$114,$F43+1)+IF(AND($E43=1,JQ43=0),1000,0)+IF($H43=1,(IF('計算A'!AC$117=1,INDEX('計算A'!AC$10:AC$54,$B43),0)+IF('計算A'!AD$117=1,INDEX('計算A'!AE$10:AE$54,$B43),0))*500,0)-IF(AND('計算A'!AC$117=1,VA43&gt;0),300,0)-IF(AND($L43=1,'計算A'!AD$117=1,EC43=0),300,0))),1000000))</f>
        <v/>
      </c>
      <c r="PG43">
        <f>IF($B43=0,1000000,IF(INDEX('計算A'!$D$60:$EQ$104,$B43,28)*EC43=1,IF(AND($E43=2,JR43=0),1000000,IF($I43&gt;0,IF(2=$J43,IF(OR(AND(28=$I43+1,OR($K43&lt;&gt;'計算A'!$A$3,'計算A'!$A$4=0)),AND(28=$I43-1,OR(4&lt;&gt;'計算A'!$A$3,'計算A'!$A$4=0))),0,IF(4=$K43,200000,ABS(4-$K43)*100)),100000+ABS(2-$J43)*1000+40)+'計算A'!AE$5*50+IF(AND($E43=1,JR43=0),25,0),INDEX('計算A'!AE$110:AE$114,$F43+1)+IF(AND($E43=1,JR43=0),1000,0)+IF($H43=1,(IF('計算A'!AD$117=1,INDEX('計算A'!AD$10:AD$54,$B43),0)+IF('計算A'!AE$117=1,INDEX('計算A'!AF$10:AF$54,$B43),0))*500,0)-IF(AND('計算A'!AD$117=1,VB43&gt;0),300,0)-IF(AND($L43=1,'計算A'!AE$117=1,ED43=0),300,0))),1000000))</f>
        <v/>
      </c>
      <c r="PH43">
        <f>IF($B43=0,1000000,IF(INDEX('計算A'!$D$60:$EQ$104,$B43,29)*ED43=1,IF(AND($E43=2,JS43=0),1000000,IF($I43&gt;0,IF(2=$J43,IF(OR(AND(29=$I43+1,OR($K43&lt;&gt;'計算A'!$A$3,'計算A'!$A$4=0)),AND(29=$I43-1,OR(5&lt;&gt;'計算A'!$A$3,'計算A'!$A$4=0))),0,IF(5=$K43,200000,ABS(5-$K43)*100)),100000+ABS(2-$J43)*1000+50)+'計算A'!AF$5*50+IF(AND($E43=1,JS43=0),25,0),INDEX('計算A'!AF$110:AF$114,$F43+1)+IF(AND($E43=1,JS43=0),1000,0)+IF($H43=1,(IF('計算A'!AE$117=1,INDEX('計算A'!AE$10:AE$54,$B43),0)+IF('計算A'!AF$117=1,INDEX('計算A'!AG$10:AG$54,$B43),0))*500,0)-IF(AND('計算A'!AE$117=1,VC43&gt;0),300,0)-IF(AND($L43=1,'計算A'!AF$117=1,EE43=0),300,0))),1000000))</f>
        <v/>
      </c>
      <c r="PI43">
        <f>IF($B43=0,1000000,IF(INDEX('計算A'!$D$60:$EQ$104,$B43,30)*EE43=1,IF(AND($E43=2,JT43=0),1000000,IF($I43&gt;0,IF(2=$J43,IF(OR(AND(30=$I43+1,OR($K43&lt;&gt;'計算A'!$A$3,'計算A'!$A$4=0)),AND(30=$I43-1,OR(6&lt;&gt;'計算A'!$A$3,'計算A'!$A$4=0))),0,IF(6=$K43,200000,ABS(6-$K43)*100)),100000+ABS(2-$J43)*1000+60)+'計算A'!AG$5*50+IF(AND($E43=1,JT43=0),25,0),INDEX('計算A'!AG$110:AG$114,$F43+1)+IF(AND($E43=1,JT43=0),1000,0)+IF($H43=1,(IF('計算A'!AF$117=1,INDEX('計算A'!AF$10:AF$54,$B43),0)+IF('計算A'!AG$117=1,INDEX('計算A'!AH$10:AH$54,$B43),0))*500,0)-IF(AND('計算A'!AF$117=1,VD43&gt;0),300,0)-IF(AND($L43=1,'計算A'!AG$117=1,EF43=0),300,0))),1000000))</f>
        <v/>
      </c>
      <c r="PJ43">
        <f>IF($B43=0,1000000,IF(INDEX('計算A'!$D$60:$EQ$104,$B43,31)*EF43=1,IF(AND($E43=2,JU43=0),1000000,IF($I43&gt;0,IF(2=$J43,IF(OR(AND(31=$I43+1,OR($K43&lt;&gt;'計算A'!$A$3,'計算A'!$A$4=0)),AND(31=$I43-1,OR(7&lt;&gt;'計算A'!$A$3,'計算A'!$A$4=0))),0,IF(7=$K43,200000,ABS(7-$K43)*100)),100000+ABS(2-$J43)*1000+70)+'計算A'!AH$5*50+IF(AND($E43=1,JU43=0),25,0),INDEX('計算A'!AH$110:AH$114,$F43+1)+IF(AND($E43=1,JU43=0),1000,0)+IF($H43=1,(IF('計算A'!AG$117=1,INDEX('計算A'!AG$10:AG$54,$B43),0)+IF('計算A'!AH$117=1,INDEX('計算A'!AI$10:AI$54,$B43),0))*500,0)-IF(AND('計算A'!AG$117=1,VE43&gt;0),300,0)-IF(AND($L43=1,'計算A'!AH$117=1,EG43=0),300,0))),1000000))</f>
        <v/>
      </c>
      <c r="PK43">
        <f>IF($B43=0,1000000,IF(INDEX('計算A'!$D$60:$EQ$104,$B43,32)*EG43=1,IF(AND($E43=2,JV43=0),1000000,IF($I43&gt;0,IF(2=$J43,IF(OR(AND(32=$I43+1,OR($K43&lt;&gt;'計算A'!$A$3,'計算A'!$A$4=0)),AND(32=$I43-1,OR(8&lt;&gt;'計算A'!$A$3,'計算A'!$A$4=0))),0,IF(8=$K43,200000,ABS(8-$K43)*100)),100000+ABS(2-$J43)*1000+80)+'計算A'!AI$5*50+IF(AND($E43=1,JV43=0),25,0),INDEX('計算A'!AI$110:AI$114,$F43+1)+IF(AND($E43=1,JV43=0),1000,0)+IF($H43=1,(IF('計算A'!AH$117=1,INDEX('計算A'!AH$10:AH$54,$B43),0)+IF('計算A'!AI$117=1,INDEX('計算A'!AJ$10:AJ$54,$B43),0))*500,0)-IF(AND('計算A'!AH$117=1,VF43&gt;0),300,0)-IF(AND($L43=1,'計算A'!AI$117=1,EH43=0),300,0))),1000000))</f>
        <v/>
      </c>
      <c r="PL43">
        <f>IF($B43=0,1000000,IF(INDEX('計算A'!$D$60:$EQ$104,$B43,33)*EH43=1,IF(AND($E43=2,JW43=0),1000000,IF($I43&gt;0,IF(2=$J43,IF(OR(AND(33=$I43+1,OR($K43&lt;&gt;'計算A'!$A$3,'計算A'!$A$4=0)),AND(33=$I43-1,OR(9&lt;&gt;'計算A'!$A$3,'計算A'!$A$4=0))),0,IF(9=$K43,200000,ABS(9-$K43)*100)),100000+ABS(2-$J43)*1000+90)+'計算A'!AJ$5*50+IF(AND($E43=1,JW43=0),25,0),INDEX('計算A'!AJ$110:AJ$114,$F43+1)+IF(AND($E43=1,JW43=0),1000,0)+IF($H43=1,(IF('計算A'!AI$117=1,INDEX('計算A'!AI$10:AI$54,$B43),0)+IF('計算A'!AJ$117=1,INDEX('計算A'!AK$10:AK$54,$B43),0))*500,0)-IF(AND('計算A'!AI$117=1,VG43&gt;0),300,0)-IF(AND($L43=1,'計算A'!AJ$117=1,EI43=0),300,0))),1000000))</f>
        <v/>
      </c>
      <c r="PM43">
        <f>IF($B43=0,1000000,IF(INDEX('計算A'!$D$60:$EQ$104,$B43,34)*EI43=1,IF(AND($E43=2,JX43=0),1000000,IF($I43&gt;0,IF(2=$J43,IF(OR(AND(34=$I43+1,OR($K43&lt;&gt;'計算A'!$A$3,'計算A'!$A$4=0)),AND(34=$I43-1,OR(10&lt;&gt;'計算A'!$A$3,'計算A'!$A$4=0))),0,IF(10=$K43,200000,ABS(10-$K43)*100)),100000+ABS(2-$J43)*1000+100)+'計算A'!AK$5*50+IF(AND($E43=1,JX43=0),25,0),INDEX('計算A'!AK$110:AK$114,$F43+1)+IF(AND($E43=1,JX43=0),1000,0)+IF($H43=1,(IF('計算A'!AJ$117=1,INDEX('計算A'!AJ$10:AJ$54,$B43),0)+IF('計算A'!AK$117=1,INDEX('計算A'!AL$10:AL$54,$B43),0))*500,0)-IF(AND('計算A'!AJ$117=1,VH43&gt;0),300,0)-IF(AND($L43=1,'計算A'!AK$117=1,EJ43=0),300,0))),1000000))</f>
        <v/>
      </c>
      <c r="PN43">
        <f>IF($B43=0,1000000,IF(INDEX('計算A'!$D$60:$EQ$104,$B43,35)*EJ43=1,IF(AND($E43=2,JY43=0),1000000,IF($I43&gt;0,IF(2=$J43,IF(OR(AND(35=$I43+1,OR($K43&lt;&gt;'計算A'!$A$3,'計算A'!$A$4=0)),AND(35=$I43-1,OR(11&lt;&gt;'計算A'!$A$3,'計算A'!$A$4=0))),0,IF(11=$K43,200000,ABS(11-$K43)*100)),100000+ABS(2-$J43)*1000+110)+'計算A'!AL$5*50+IF(AND($E43=1,JY43=0),25,0),INDEX('計算A'!AL$110:AL$114,$F43+1)+IF(AND($E43=1,JY43=0),1000,0)+IF($H43=1,(IF('計算A'!AK$117=1,INDEX('計算A'!AK$10:AK$54,$B43),0)+IF('計算A'!AL$117=1,INDEX('計算A'!AM$10:AM$54,$B43),0))*500,0)-IF(AND('計算A'!AK$117=1,VI43&gt;0),300,0)-IF(AND($L43=1,'計算A'!AL$117=1,EK43=0),300,0))),1000000))</f>
        <v/>
      </c>
      <c r="PO43">
        <f>IF($B43=0,1000000,IF(INDEX('計算A'!$D$60:$EQ$104,$B43,36)*EK43=1,IF(AND($E43=2,JZ43=0),1000000,IF($I43&gt;0,IF(2=$J43,IF(OR(AND(36=$I43+1,OR($K43&lt;&gt;'計算A'!$A$3,'計算A'!$A$4=0)),AND(36=$I43-1,OR(12&lt;&gt;'計算A'!$A$3,'計算A'!$A$4=0))),0,IF(12=$K43,200000,ABS(12-$K43)*100)),100000+ABS(2-$J43)*1000+120)+'計算A'!AM$5*50+IF(AND($E43=1,JZ43=0),25,0),INDEX('計算A'!AM$110:AM$114,$F43+1)+IF(AND($E43=1,JZ43=0),1000,0)+IF($H43=1,(IF('計算A'!AL$117=1,INDEX('計算A'!AL$10:AL$54,$B43),0)+IF('計算A'!AM$117=1,INDEX('計算A'!AN$10:AN$54,$B43),0))*500,0)-IF(AND('計算A'!AL$117=1,VJ43&gt;0),300,0)-IF(AND($L43=1,'計算A'!AM$117=1,EL43=0),300,0))),1000000))</f>
        <v/>
      </c>
      <c r="PP43">
        <f>IF($B43=0,1000000,IF(INDEX('計算A'!$D$60:$EQ$104,$B43,37)*EL43=1,IF(AND($E43=2,KA43=0),1000000,IF($I43&gt;0,IF(2=$J43,IF(OR(AND(37=$I43+1,OR($K43&lt;&gt;'計算A'!$A$3,'計算A'!$A$4=0)),AND(37=$I43-1,OR(13&lt;&gt;'計算A'!$A$3,'計算A'!$A$4=0))),0,IF(13=$K43,200000,ABS(13-$K43)*100)),100000+ABS(2-$J43)*1000+130)+'計算A'!AN$5*50+IF(AND($E43=1,KA43=0),25,0),INDEX('計算A'!AN$110:AN$114,$F43+1)+IF(AND($E43=1,KA43=0),1000,0)+IF($H43=1,(IF('計算A'!AM$117=1,INDEX('計算A'!AM$10:AM$54,$B43),0)+IF('計算A'!AN$117=1,INDEX('計算A'!AO$10:AO$54,$B43),0))*500,0)-IF(AND('計算A'!AM$117=1,VK43&gt;0),300,0)-IF(AND($L43=1,'計算A'!AN$117=1,EM43=0),300,0))),1000000))</f>
        <v/>
      </c>
      <c r="PQ43">
        <f>IF($B43=0,1000000,IF(INDEX('計算A'!$D$60:$EQ$104,$B43,38)*EM43=1,IF(AND($E43=2,KB43=0),1000000,IF($I43&gt;0,IF(2=$J43,IF(OR(AND(38=$I43+1,OR($K43&lt;&gt;'計算A'!$A$3,'計算A'!$A$4=0)),AND(38=$I43-1,OR(14&lt;&gt;'計算A'!$A$3,'計算A'!$A$4=0))),0,IF(14=$K43,200000,ABS(14-$K43)*100)),100000+ABS(2-$J43)*1000+140)+'計算A'!AO$5*50+IF(AND($E43=1,KB43=0),25,0),INDEX('計算A'!AO$110:AO$114,$F43+1)+IF(AND($E43=1,KB43=0),1000,0)+IF($H43=1,(IF('計算A'!AN$117=1,INDEX('計算A'!AN$10:AN$54,$B43),0)+IF('計算A'!AO$117=1,INDEX('計算A'!AP$10:AP$54,$B43),0))*500,0)-IF(AND('計算A'!AN$117=1,VL43&gt;0),300,0)-IF(AND($L43=1,'計算A'!AO$117=1,EN43=0),300,0))),1000000))</f>
        <v/>
      </c>
      <c r="PR43">
        <f>IF($B43=0,1000000,IF(INDEX('計算A'!$D$60:$EQ$104,$B43,39)*EN43=1,IF(AND($E43=2,KC43=0),1000000,IF($I43&gt;0,IF(2=$J43,IF(OR(AND(39=$I43+1,OR($K43&lt;&gt;'計算A'!$A$3,'計算A'!$A$4=0)),AND(39=$I43-1,OR(15&lt;&gt;'計算A'!$A$3,'計算A'!$A$4=0))),0,IF(15=$K43,200000,ABS(15-$K43)*100)),100000+ABS(2-$J43)*1000+150)+'計算A'!AP$5*50+IF(AND($E43=1,KC43=0),25,0),INDEX('計算A'!AP$110:AP$114,$F43+1)+IF(AND($E43=1,KC43=0),1000,0)+IF($H43=1,(IF('計算A'!AO$117=1,INDEX('計算A'!AO$10:AO$54,$B43),0)+IF('計算A'!AP$117=1,INDEX('計算A'!AQ$10:AQ$54,$B43),0))*500,0)-IF(AND('計算A'!AO$117=1,VM43&gt;0),300,0)-IF(AND($L43=1,'計算A'!AP$117=1,EO43=0),300,0))),1000000))</f>
        <v/>
      </c>
      <c r="PS43">
        <f>IF($B43=0,1000000,IF(INDEX('計算A'!$D$60:$EQ$104,$B43,40)*EO43=1,IF(AND($E43=2,KD43=0),1000000,IF($I43&gt;0,IF(2=$J43,IF(OR(AND(40=$I43+1,OR($K43&lt;&gt;'計算A'!$A$3,'計算A'!$A$4=0)),AND(40=$I43-1,OR(16&lt;&gt;'計算A'!$A$3,'計算A'!$A$4=0))),0,IF(16=$K43,200000,ABS(16-$K43)*100)),100000+ABS(2-$J43)*1000+160)+'計算A'!AQ$5*50+IF(AND($E43=1,KD43=0),25,0),INDEX('計算A'!AQ$110:AQ$114,$F43+1)+IF(AND($E43=1,KD43=0),1000,0)+IF($H43=1,(IF('計算A'!AP$117=1,INDEX('計算A'!AP$10:AP$54,$B43),0)+IF('計算A'!AQ$117=1,INDEX('計算A'!AR$10:AR$54,$B43),0))*500,0)-IF(AND('計算A'!AP$117=1,VN43&gt;0),300,0)-IF(AND($L43=1,'計算A'!AQ$117=1,EP43=0),300,0))),1000000))</f>
        <v/>
      </c>
      <c r="PT43">
        <f>IF($B43=0,1000000,IF(INDEX('計算A'!$D$60:$EQ$104,$B43,41)*EP43=1,IF(AND($E43=2,KE43=0),1000000,IF($I43&gt;0,IF(2=$J43,IF(OR(AND(41=$I43+1,OR($K43&lt;&gt;'計算A'!$A$3,'計算A'!$A$4=0)),AND(41=$I43-1,OR(17&lt;&gt;'計算A'!$A$3,'計算A'!$A$4=0))),0,IF(17=$K43,200000,ABS(17-$K43)*100)),100000+ABS(2-$J43)*1000+170)+'計算A'!AR$5*50+IF(AND($E43=1,KE43=0),25,0),INDEX('計算A'!AR$110:AR$114,$F43+1)+IF(AND($E43=1,KE43=0),1000,0)+IF($H43=1,(IF('計算A'!AQ$117=1,INDEX('計算A'!AQ$10:AQ$54,$B43),0)+IF('計算A'!AR$117=1,INDEX('計算A'!AS$10:AS$54,$B43),0))*500,0)-IF(AND('計算A'!AQ$117=1,VO43&gt;0),300,0)-IF(AND($L43=1,'計算A'!AR$117=1,EQ43=0),300,0))),1000000))</f>
        <v/>
      </c>
      <c r="PU43">
        <f>IF($B43=0,1000000,IF(INDEX('計算A'!$D$60:$EQ$104,$B43,42)*EQ43=1,IF(AND($E43=2,KF43=0),1000000,IF($I43&gt;0,IF(2=$J43,IF(OR(AND(42=$I43+1,OR($K43&lt;&gt;'計算A'!$A$3,'計算A'!$A$4=0)),AND(42=$I43-1,OR(18&lt;&gt;'計算A'!$A$3,'計算A'!$A$4=0))),0,IF(18=$K43,200000,ABS(18-$K43)*100)),100000+ABS(2-$J43)*1000+180)+'計算A'!AS$5*50+IF(AND($E43=1,KF43=0),25,0),INDEX('計算A'!AS$110:AS$114,$F43+1)+IF(AND($E43=1,KF43=0),1000,0)+IF($H43=1,(IF('計算A'!AR$117=1,INDEX('計算A'!AR$10:AR$54,$B43),0)+IF('計算A'!AS$117=1,INDEX('計算A'!AT$10:AT$54,$B43),0))*500,0)-IF(AND('計算A'!AR$117=1,VP43&gt;0),300,0)-IF(AND($L43=1,'計算A'!AS$117=1,ER43=0),300,0))),1000000))</f>
        <v/>
      </c>
      <c r="PV43">
        <f>IF($B43=0,1000000,IF(INDEX('計算A'!$D$60:$EQ$104,$B43,43)*ER43=1,IF(AND($E43=2,KG43=0),1000000,IF($I43&gt;0,IF(2=$J43,IF(OR(AND(43=$I43+1,OR($K43&lt;&gt;'計算A'!$A$3,'計算A'!$A$4=0)),AND(43=$I43-1,OR(19&lt;&gt;'計算A'!$A$3,'計算A'!$A$4=0))),0,IF(19=$K43,200000,ABS(19-$K43)*100)),100000+ABS(2-$J43)*1000+190)+'計算A'!AT$5*50+IF(AND($E43=1,KG43=0),25,0),INDEX('計算A'!AT$110:AT$114,$F43+1)+IF(AND($E43=1,KG43=0),1000,0)+IF($H43=1,(IF('計算A'!AS$117=1,INDEX('計算A'!AS$10:AS$54,$B43),0)+IF('計算A'!AT$117=1,INDEX('計算A'!AU$10:AU$54,$B43),0))*500,0)-IF(AND('計算A'!AS$117=1,VQ43&gt;0),300,0)-IF(AND($L43=1,'計算A'!AT$117=1,ES43=0),300,0))),1000000))</f>
        <v/>
      </c>
      <c r="PW43">
        <f>IF($B43=0,1000000,IF(INDEX('計算A'!$D$60:$EQ$104,$B43,44)*ES43=1,IF(AND($E43=2,KH43=0),1000000,IF($I43&gt;0,IF(2=$J43,IF(OR(AND(44=$I43+1,OR($K43&lt;&gt;'計算A'!$A$3,'計算A'!$A$4=0)),AND(44=$I43-1,OR(20&lt;&gt;'計算A'!$A$3,'計算A'!$A$4=0))),0,IF(20=$K43,200000,ABS(20-$K43)*100)),100000+ABS(2-$J43)*1000+200)+'計算A'!AU$5*50+IF(AND($E43=1,KH43=0),25,0),INDEX('計算A'!AU$110:AU$114,$F43+1)+IF(AND($E43=1,KH43=0),1000,0)+IF($H43=1,(IF('計算A'!AT$117=1,INDEX('計算A'!AT$10:AT$54,$B43),0)+IF('計算A'!AU$117=1,INDEX('計算A'!AV$10:AV$54,$B43),0))*500,0)-IF(AND('計算A'!AT$117=1,VR43&gt;0),300,0)-IF(AND($L43=1,'計算A'!AU$117=1,ET43=0),300,0))),1000000))</f>
        <v/>
      </c>
      <c r="PX43">
        <f>IF($B43=0,1000000,IF(INDEX('計算A'!$D$60:$EQ$104,$B43,45)*ET43=1,IF(AND($E43=2,KI43=0),1000000,IF($I43&gt;0,IF(2=$J43,IF(OR(AND(45=$I43+1,OR($K43&lt;&gt;'計算A'!$A$3,'計算A'!$A$4=0)),AND(45=$I43-1,OR(21&lt;&gt;'計算A'!$A$3,'計算A'!$A$4=0))),0,IF(21=$K43,200000,ABS(21-$K43)*100)),100000+ABS(2-$J43)*1000+210)+'計算A'!AV$5*50+IF(AND($E43=1,KI43=0),25,0),INDEX('計算A'!AV$110:AV$114,$F43+1)+IF(AND($E43=1,KI43=0),1000,0)+IF($H43=1,(IF('計算A'!AU$117=1,INDEX('計算A'!AU$10:AU$54,$B43),0)+IF('計算A'!AV$117=1,INDEX('計算A'!AW$10:AW$54,$B43),0))*500,0)-IF(AND('計算A'!AU$117=1,VS43&gt;0),300,0)-IF(AND($L43=1,'計算A'!AV$117=1,EU43=0),300,0))),1000000))</f>
        <v/>
      </c>
      <c r="PY43">
        <f>IF($B43=0,1000000,IF(INDEX('計算A'!$D$60:$EQ$104,$B43,46)*EU43=1,IF(AND($E43=2,KJ43=0),1000000,IF($I43&gt;0,IF(2=$J43,IF(OR(AND(46=$I43+1,OR($K43&lt;&gt;'計算A'!$A$3,'計算A'!$A$4=0)),AND(46=$I43-1,OR(22&lt;&gt;'計算A'!$A$3,'計算A'!$A$4=0))),0,IF(22=$K43,200000,ABS(22-$K43)*100)),100000+ABS(2-$J43)*1000+220)+'計算A'!AW$5*50+IF(AND($E43=1,KJ43=0),25,0),INDEX('計算A'!AW$110:AW$114,$F43+1)+IF(AND($E43=1,KJ43=0),1000,0)+IF($H43=1,(IF('計算A'!AV$117=1,INDEX('計算A'!AV$10:AV$54,$B43),0)+IF('計算A'!AW$117=1,INDEX('計算A'!AX$10:AX$54,$B43),0))*500,0)-IF(AND('計算A'!AV$117=1,VT43&gt;0),300,0)-IF(AND($L43=1,'計算A'!AW$117=1,EV43=0),300,0))),1000000))</f>
        <v/>
      </c>
      <c r="PZ43">
        <f>IF($B43=0,1000000,IF(INDEX('計算A'!$D$60:$EQ$104,$B43,47)*EV43=1,IF(AND($E43=2,KK43=0),1000000,IF($I43&gt;0,IF(2=$J43,IF(OR(AND(47=$I43+1,OR($K43&lt;&gt;'計算A'!$A$3,'計算A'!$A$4=0)),AND(47=$I43-1,OR(23&lt;&gt;'計算A'!$A$3,'計算A'!$A$4=0))),0,IF(23=$K43,200000,ABS(23-$K43)*100)),100000+ABS(2-$J43)*1000+230)+'計算A'!AX$5*50+IF(AND($E43=1,KK43=0),25,0),INDEX('計算A'!AX$110:AX$114,$F43+1)+IF(AND($E43=1,KK43=0),1000,0)+IF($H43=1,(IF('計算A'!AW$117=1,INDEX('計算A'!AW$10:AW$54,$B43),0)+IF('計算A'!AX$117=1,INDEX('計算A'!AY$10:AY$54,$B43),0))*500,0)-IF(AND('計算A'!AW$117=1,VU43&gt;0),300,0)-IF(AND($L43=1,'計算A'!AX$117=1,EW43=0),300,0))),1000000))</f>
        <v/>
      </c>
      <c r="QA43">
        <f>IF($B43=0,1000000,IF(INDEX('計算A'!$D$60:$EQ$104,$B43,48)*EW43=1,IF(AND($E43=2,KL43=0),1000000,IF($I43&gt;0,IF(2=$J43,IF(OR(AND(48=$I43+1,OR($K43&lt;&gt;'計算A'!$A$3,'計算A'!$A$4=0)),AND(48=$I43-1,OR(24&lt;&gt;'計算A'!$A$3,'計算A'!$A$4=0))),0,IF(24=$K43,200000,ABS(24-$K43)*100)),100000+ABS(2-$J43)*1000+240)+'計算A'!AY$5*50+IF(AND($E43=1,KL43=0),25,0),INDEX('計算A'!AY$110:AY$114,$F43+1)+IF(AND($E43=1,KL43=0),1000,0)+IF($H43=1,(IF('計算A'!AX$117=1,INDEX('計算A'!AX$10:AX$54,$B43),0))*500,0)-IF(AND('計算A'!AX$117=1,VV43&gt;0),300,0))),1000000))</f>
        <v/>
      </c>
      <c r="QB43">
        <f>IF($B43=0,1000000,IF(INDEX('計算A'!$D$60:$EQ$104,$B43,49)*EX43=1,IF(AND($E43=2,KM43=0),1000000,IF($I43&gt;0,IF(3=$J43,IF(OR(AND(49=$I43+1,OR($K43&lt;&gt;'計算A'!$A$3,'計算A'!$A$4=0)),AND(49=$I43-1,OR(1&lt;&gt;'計算A'!$A$3,'計算A'!$A$4=0))),0,IF(1=$K43,200000,ABS(1-$K43)*100)),100000+ABS(3-$J43)*1000+10)+'計算A'!AZ$5*50+IF(AND($E43=1,KM43=0),25,0),INDEX('計算A'!AZ$110:AZ$114,$F43+1)+IF(AND($E43=1,KM43=0),1000,0)+IF($H43=1,(IF('計算A'!AZ$117=1,INDEX('計算A'!BA$10:BA$54,$B43),0))*500,0)-IF(AND($L43=1,'計算A'!AZ$117=1,EY43=0),300,0))),1000000))</f>
        <v/>
      </c>
      <c r="QC43">
        <f>IF($B43=0,1000000,IF(INDEX('計算A'!$D$60:$EQ$104,$B43,50)*EY43=1,IF(AND($E43=2,KN43=0),1000000,IF($I43&gt;0,IF(3=$J43,IF(OR(AND(50=$I43+1,OR($K43&lt;&gt;'計算A'!$A$3,'計算A'!$A$4=0)),AND(50=$I43-1,OR(2&lt;&gt;'計算A'!$A$3,'計算A'!$A$4=0))),0,IF(2=$K43,200000,ABS(2-$K43)*100)),100000+ABS(3-$J43)*1000+20)+'計算A'!BA$5*50+IF(AND($E43=1,KN43=0),25,0),INDEX('計算A'!BA$110:BA$114,$F43+1)+IF(AND($E43=1,KN43=0),1000,0)+IF($H43=1,(IF('計算A'!AZ$117=1,INDEX('計算A'!AZ$10:AZ$54,$B43),0)+IF('計算A'!BA$117=1,INDEX('計算A'!BB$10:BB$54,$B43),0))*500,0)-IF(AND('計算A'!AZ$117=1,VX43&gt;0),300,0)-IF(AND($L43=1,'計算A'!BA$117=1,EZ43=0),300,0))),1000000))</f>
        <v/>
      </c>
      <c r="QD43">
        <f>IF($B43=0,1000000,IF(INDEX('計算A'!$D$60:$EQ$104,$B43,51)*EZ43=1,IF(AND($E43=2,KO43=0),1000000,IF($I43&gt;0,IF(3=$J43,IF(OR(AND(51=$I43+1,OR($K43&lt;&gt;'計算A'!$A$3,'計算A'!$A$4=0)),AND(51=$I43-1,OR(3&lt;&gt;'計算A'!$A$3,'計算A'!$A$4=0))),0,IF(3=$K43,200000,ABS(3-$K43)*100)),100000+ABS(3-$J43)*1000+30)+'計算A'!BB$5*50+IF(AND($E43=1,KO43=0),25,0),INDEX('計算A'!BB$110:BB$114,$F43+1)+IF(AND($E43=1,KO43=0),1000,0)+IF($H43=1,(IF('計算A'!BA$117=1,INDEX('計算A'!BA$10:BA$54,$B43),0)+IF('計算A'!BB$117=1,INDEX('計算A'!BC$10:BC$54,$B43),0))*500,0)-IF(AND('計算A'!BA$117=1,VY43&gt;0),300,0)-IF(AND($L43=1,'計算A'!BB$117=1,FA43=0),300,0))),1000000))</f>
        <v/>
      </c>
      <c r="QE43">
        <f>IF($B43=0,1000000,IF(INDEX('計算A'!$D$60:$EQ$104,$B43,52)*FA43=1,IF(AND($E43=2,KP43=0),1000000,IF($I43&gt;0,IF(3=$J43,IF(OR(AND(52=$I43+1,OR($K43&lt;&gt;'計算A'!$A$3,'計算A'!$A$4=0)),AND(52=$I43-1,OR(4&lt;&gt;'計算A'!$A$3,'計算A'!$A$4=0))),0,IF(4=$K43,200000,ABS(4-$K43)*100)),100000+ABS(3-$J43)*1000+40)+'計算A'!BC$5*50+IF(AND($E43=1,KP43=0),25,0),INDEX('計算A'!BC$110:BC$114,$F43+1)+IF(AND($E43=1,KP43=0),1000,0)+IF($H43=1,(IF('計算A'!BB$117=1,INDEX('計算A'!BB$10:BB$54,$B43),0)+IF('計算A'!BC$117=1,INDEX('計算A'!BD$10:BD$54,$B43),0))*500,0)-IF(AND('計算A'!BB$117=1,VZ43&gt;0),300,0)-IF(AND($L43=1,'計算A'!BC$117=1,FB43=0),300,0))),1000000))</f>
        <v/>
      </c>
      <c r="QF43">
        <f>IF($B43=0,1000000,IF(INDEX('計算A'!$D$60:$EQ$104,$B43,53)*FB43=1,IF(AND($E43=2,KQ43=0),1000000,IF($I43&gt;0,IF(3=$J43,IF(OR(AND(53=$I43+1,OR($K43&lt;&gt;'計算A'!$A$3,'計算A'!$A$4=0)),AND(53=$I43-1,OR(5&lt;&gt;'計算A'!$A$3,'計算A'!$A$4=0))),0,IF(5=$K43,200000,ABS(5-$K43)*100)),100000+ABS(3-$J43)*1000+50)+'計算A'!BD$5*50+IF(AND($E43=1,KQ43=0),25,0),INDEX('計算A'!BD$110:BD$114,$F43+1)+IF(AND($E43=1,KQ43=0),1000,0)+IF($H43=1,(IF('計算A'!BC$117=1,INDEX('計算A'!BC$10:BC$54,$B43),0)+IF('計算A'!BD$117=1,INDEX('計算A'!BE$10:BE$54,$B43),0))*500,0)-IF(AND('計算A'!BC$117=1,WA43&gt;0),300,0)-IF(AND($L43=1,'計算A'!BD$117=1,FC43=0),300,0))),1000000))</f>
        <v/>
      </c>
      <c r="QG43">
        <f>IF($B43=0,1000000,IF(INDEX('計算A'!$D$60:$EQ$104,$B43,54)*FC43=1,IF(AND($E43=2,KR43=0),1000000,IF($I43&gt;0,IF(3=$J43,IF(OR(AND(54=$I43+1,OR($K43&lt;&gt;'計算A'!$A$3,'計算A'!$A$4=0)),AND(54=$I43-1,OR(6&lt;&gt;'計算A'!$A$3,'計算A'!$A$4=0))),0,IF(6=$K43,200000,ABS(6-$K43)*100)),100000+ABS(3-$J43)*1000+60)+'計算A'!BE$5*50+IF(AND($E43=1,KR43=0),25,0),INDEX('計算A'!BE$110:BE$114,$F43+1)+IF(AND($E43=1,KR43=0),1000,0)+IF($H43=1,(IF('計算A'!BD$117=1,INDEX('計算A'!BD$10:BD$54,$B43),0)+IF('計算A'!BE$117=1,INDEX('計算A'!BF$10:BF$54,$B43),0))*500,0)-IF(AND('計算A'!BD$117=1,WB43&gt;0),300,0)-IF(AND($L43=1,'計算A'!BE$117=1,FD43=0),300,0))),1000000))</f>
        <v/>
      </c>
      <c r="QH43">
        <f>IF($B43=0,1000000,IF(INDEX('計算A'!$D$60:$EQ$104,$B43,55)*FD43=1,IF(AND($E43=2,KS43=0),1000000,IF($I43&gt;0,IF(3=$J43,IF(OR(AND(55=$I43+1,OR($K43&lt;&gt;'計算A'!$A$3,'計算A'!$A$4=0)),AND(55=$I43-1,OR(7&lt;&gt;'計算A'!$A$3,'計算A'!$A$4=0))),0,IF(7=$K43,200000,ABS(7-$K43)*100)),100000+ABS(3-$J43)*1000+70)+'計算A'!BF$5*50+IF(AND($E43=1,KS43=0),25,0),INDEX('計算A'!BF$110:BF$114,$F43+1)+IF(AND($E43=1,KS43=0),1000,0)+IF($H43=1,(IF('計算A'!BE$117=1,INDEX('計算A'!BE$10:BE$54,$B43),0)+IF('計算A'!BF$117=1,INDEX('計算A'!BG$10:BG$54,$B43),0))*500,0)-IF(AND('計算A'!BE$117=1,WC43&gt;0),300,0)-IF(AND($L43=1,'計算A'!BF$117=1,FE43=0),300,0))),1000000))</f>
        <v/>
      </c>
      <c r="QI43">
        <f>IF($B43=0,1000000,IF(INDEX('計算A'!$D$60:$EQ$104,$B43,56)*FE43=1,IF(AND($E43=2,KT43=0),1000000,IF($I43&gt;0,IF(3=$J43,IF(OR(AND(56=$I43+1,OR($K43&lt;&gt;'計算A'!$A$3,'計算A'!$A$4=0)),AND(56=$I43-1,OR(8&lt;&gt;'計算A'!$A$3,'計算A'!$A$4=0))),0,IF(8=$K43,200000,ABS(8-$K43)*100)),100000+ABS(3-$J43)*1000+80)+'計算A'!BG$5*50+IF(AND($E43=1,KT43=0),25,0),INDEX('計算A'!BG$110:BG$114,$F43+1)+IF(AND($E43=1,KT43=0),1000,0)+IF($H43=1,(IF('計算A'!BF$117=1,INDEX('計算A'!BF$10:BF$54,$B43),0)+IF('計算A'!BG$117=1,INDEX('計算A'!BH$10:BH$54,$B43),0))*500,0)-IF(AND('計算A'!BF$117=1,WD43&gt;0),300,0)-IF(AND($L43=1,'計算A'!BG$117=1,FF43=0),300,0))),1000000))</f>
        <v/>
      </c>
      <c r="QJ43">
        <f>IF($B43=0,1000000,IF(INDEX('計算A'!$D$60:$EQ$104,$B43,57)*FF43=1,IF(AND($E43=2,KU43=0),1000000,IF($I43&gt;0,IF(3=$J43,IF(OR(AND(57=$I43+1,OR($K43&lt;&gt;'計算A'!$A$3,'計算A'!$A$4=0)),AND(57=$I43-1,OR(9&lt;&gt;'計算A'!$A$3,'計算A'!$A$4=0))),0,IF(9=$K43,200000,ABS(9-$K43)*100)),100000+ABS(3-$J43)*1000+90)+'計算A'!BH$5*50+IF(AND($E43=1,KU43=0),25,0),INDEX('計算A'!BH$110:BH$114,$F43+1)+IF(AND($E43=1,KU43=0),1000,0)+IF($H43=1,(IF('計算A'!BG$117=1,INDEX('計算A'!BG$10:BG$54,$B43),0)+IF('計算A'!BH$117=1,INDEX('計算A'!BI$10:BI$54,$B43),0))*500,0)-IF(AND('計算A'!BG$117=1,WE43&gt;0),300,0)-IF(AND($L43=1,'計算A'!BH$117=1,FG43=0),300,0))),1000000))</f>
        <v/>
      </c>
      <c r="QK43">
        <f>IF($B43=0,1000000,IF(INDEX('計算A'!$D$60:$EQ$104,$B43,58)*FG43=1,IF(AND($E43=2,KV43=0),1000000,IF($I43&gt;0,IF(3=$J43,IF(OR(AND(58=$I43+1,OR($K43&lt;&gt;'計算A'!$A$3,'計算A'!$A$4=0)),AND(58=$I43-1,OR(10&lt;&gt;'計算A'!$A$3,'計算A'!$A$4=0))),0,IF(10=$K43,200000,ABS(10-$K43)*100)),100000+ABS(3-$J43)*1000+100)+'計算A'!BI$5*50+IF(AND($E43=1,KV43=0),25,0),INDEX('計算A'!BI$110:BI$114,$F43+1)+IF(AND($E43=1,KV43=0),1000,0)+IF($H43=1,(IF('計算A'!BH$117=1,INDEX('計算A'!BH$10:BH$54,$B43),0)+IF('計算A'!BI$117=1,INDEX('計算A'!BJ$10:BJ$54,$B43),0))*500,0)-IF(AND('計算A'!BH$117=1,WF43&gt;0),300,0)-IF(AND($L43=1,'計算A'!BI$117=1,FH43=0),300,0))),1000000))</f>
        <v/>
      </c>
      <c r="QL43">
        <f>IF($B43=0,1000000,IF(INDEX('計算A'!$D$60:$EQ$104,$B43,59)*FH43=1,IF(AND($E43=2,KW43=0),1000000,IF($I43&gt;0,IF(3=$J43,IF(OR(AND(59=$I43+1,OR($K43&lt;&gt;'計算A'!$A$3,'計算A'!$A$4=0)),AND(59=$I43-1,OR(11&lt;&gt;'計算A'!$A$3,'計算A'!$A$4=0))),0,IF(11=$K43,200000,ABS(11-$K43)*100)),100000+ABS(3-$J43)*1000+110)+'計算A'!BJ$5*50+IF(AND($E43=1,KW43=0),25,0),INDEX('計算A'!BJ$110:BJ$114,$F43+1)+IF(AND($E43=1,KW43=0),1000,0)+IF($H43=1,(IF('計算A'!BI$117=1,INDEX('計算A'!BI$10:BI$54,$B43),0)+IF('計算A'!BJ$117=1,INDEX('計算A'!BK$10:BK$54,$B43),0))*500,0)-IF(AND('計算A'!BI$117=1,WG43&gt;0),300,0)-IF(AND($L43=1,'計算A'!BJ$117=1,FI43=0),300,0))),1000000))</f>
        <v/>
      </c>
      <c r="QM43">
        <f>IF($B43=0,1000000,IF(INDEX('計算A'!$D$60:$EQ$104,$B43,60)*FI43=1,IF(AND($E43=2,KX43=0),1000000,IF($I43&gt;0,IF(3=$J43,IF(OR(AND(60=$I43+1,OR($K43&lt;&gt;'計算A'!$A$3,'計算A'!$A$4=0)),AND(60=$I43-1,OR(12&lt;&gt;'計算A'!$A$3,'計算A'!$A$4=0))),0,IF(12=$K43,200000,ABS(12-$K43)*100)),100000+ABS(3-$J43)*1000+120)+'計算A'!BK$5*50+IF(AND($E43=1,KX43=0),25,0),INDEX('計算A'!BK$110:BK$114,$F43+1)+IF(AND($E43=1,KX43=0),1000,0)+IF($H43=1,(IF('計算A'!BJ$117=1,INDEX('計算A'!BJ$10:BJ$54,$B43),0)+IF('計算A'!BK$117=1,INDEX('計算A'!BL$10:BL$54,$B43),0))*500,0)-IF(AND('計算A'!BJ$117=1,WH43&gt;0),300,0)-IF(AND($L43=1,'計算A'!BK$117=1,FJ43=0),300,0))),1000000))</f>
        <v/>
      </c>
      <c r="QN43">
        <f>IF($B43=0,1000000,IF(INDEX('計算A'!$D$60:$EQ$104,$B43,61)*FJ43=1,IF(AND($E43=2,KY43=0),1000000,IF($I43&gt;0,IF(3=$J43,IF(OR(AND(61=$I43+1,OR($K43&lt;&gt;'計算A'!$A$3,'計算A'!$A$4=0)),AND(61=$I43-1,OR(13&lt;&gt;'計算A'!$A$3,'計算A'!$A$4=0))),0,IF(13=$K43,200000,ABS(13-$K43)*100)),100000+ABS(3-$J43)*1000+130)+'計算A'!BL$5*50+IF(AND($E43=1,KY43=0),25,0),INDEX('計算A'!BL$110:BL$114,$F43+1)+IF(AND($E43=1,KY43=0),1000,0)+IF($H43=1,(IF('計算A'!BK$117=1,INDEX('計算A'!BK$10:BK$54,$B43),0)+IF('計算A'!BL$117=1,INDEX('計算A'!BM$10:BM$54,$B43),0))*500,0)-IF(AND('計算A'!BK$117=1,WI43&gt;0),300,0)-IF(AND($L43=1,'計算A'!BL$117=1,FK43=0),300,0))),1000000))</f>
        <v/>
      </c>
      <c r="QO43">
        <f>IF($B43=0,1000000,IF(INDEX('計算A'!$D$60:$EQ$104,$B43,62)*FK43=1,IF(AND($E43=2,KZ43=0),1000000,IF($I43&gt;0,IF(3=$J43,IF(OR(AND(62=$I43+1,OR($K43&lt;&gt;'計算A'!$A$3,'計算A'!$A$4=0)),AND(62=$I43-1,OR(14&lt;&gt;'計算A'!$A$3,'計算A'!$A$4=0))),0,IF(14=$K43,200000,ABS(14-$K43)*100)),100000+ABS(3-$J43)*1000+140)+'計算A'!BM$5*50+IF(AND($E43=1,KZ43=0),25,0),INDEX('計算A'!BM$110:BM$114,$F43+1)+IF(AND($E43=1,KZ43=0),1000,0)+IF($H43=1,(IF('計算A'!BL$117=1,INDEX('計算A'!BL$10:BL$54,$B43),0)+IF('計算A'!BM$117=1,INDEX('計算A'!BN$10:BN$54,$B43),0))*500,0)-IF(AND('計算A'!BL$117=1,WJ43&gt;0),300,0)-IF(AND($L43=1,'計算A'!BM$117=1,FL43=0),300,0))),1000000))</f>
        <v/>
      </c>
      <c r="QP43">
        <f>IF($B43=0,1000000,IF(INDEX('計算A'!$D$60:$EQ$104,$B43,63)*FL43=1,IF(AND($E43=2,LA43=0),1000000,IF($I43&gt;0,IF(3=$J43,IF(OR(AND(63=$I43+1,OR($K43&lt;&gt;'計算A'!$A$3,'計算A'!$A$4=0)),AND(63=$I43-1,OR(15&lt;&gt;'計算A'!$A$3,'計算A'!$A$4=0))),0,IF(15=$K43,200000,ABS(15-$K43)*100)),100000+ABS(3-$J43)*1000+150)+'計算A'!BN$5*50+IF(AND($E43=1,LA43=0),25,0),INDEX('計算A'!BN$110:BN$114,$F43+1)+IF(AND($E43=1,LA43=0),1000,0)+IF($H43=1,(IF('計算A'!BM$117=1,INDEX('計算A'!BM$10:BM$54,$B43),0)+IF('計算A'!BN$117=1,INDEX('計算A'!BO$10:BO$54,$B43),0))*500,0)-IF(AND('計算A'!BM$117=1,WK43&gt;0),300,0)-IF(AND($L43=1,'計算A'!BN$117=1,FM43=0),300,0))),1000000))</f>
        <v/>
      </c>
      <c r="QQ43">
        <f>IF($B43=0,1000000,IF(INDEX('計算A'!$D$60:$EQ$104,$B43,64)*FM43=1,IF(AND($E43=2,LB43=0),1000000,IF($I43&gt;0,IF(3=$J43,IF(OR(AND(64=$I43+1,OR($K43&lt;&gt;'計算A'!$A$3,'計算A'!$A$4=0)),AND(64=$I43-1,OR(16&lt;&gt;'計算A'!$A$3,'計算A'!$A$4=0))),0,IF(16=$K43,200000,ABS(16-$K43)*100)),100000+ABS(3-$J43)*1000+160)+'計算A'!BO$5*50+IF(AND($E43=1,LB43=0),25,0),INDEX('計算A'!BO$110:BO$114,$F43+1)+IF(AND($E43=1,LB43=0),1000,0)+IF($H43=1,(IF('計算A'!BN$117=1,INDEX('計算A'!BN$10:BN$54,$B43),0)+IF('計算A'!BO$117=1,INDEX('計算A'!BP$10:BP$54,$B43),0))*500,0)-IF(AND('計算A'!BN$117=1,WL43&gt;0),300,0)-IF(AND($L43=1,'計算A'!BO$117=1,FN43=0),300,0))),1000000))</f>
        <v/>
      </c>
      <c r="QR43">
        <f>IF($B43=0,1000000,IF(INDEX('計算A'!$D$60:$EQ$104,$B43,65)*FN43=1,IF(AND($E43=2,LC43=0),1000000,IF($I43&gt;0,IF(3=$J43,IF(OR(AND(65=$I43+1,OR($K43&lt;&gt;'計算A'!$A$3,'計算A'!$A$4=0)),AND(65=$I43-1,OR(17&lt;&gt;'計算A'!$A$3,'計算A'!$A$4=0))),0,IF(17=$K43,200000,ABS(17-$K43)*100)),100000+ABS(3-$J43)*1000+170)+'計算A'!BP$5*50+IF(AND($E43=1,LC43=0),25,0),INDEX('計算A'!BP$110:BP$114,$F43+1)+IF(AND($E43=1,LC43=0),1000,0)+IF($H43=1,(IF('計算A'!BO$117=1,INDEX('計算A'!BO$10:BO$54,$B43),0)+IF('計算A'!BP$117=1,INDEX('計算A'!BQ$10:BQ$54,$B43),0))*500,0)-IF(AND('計算A'!BO$117=1,WM43&gt;0),300,0)-IF(AND($L43=1,'計算A'!BP$117=1,FO43=0),300,0))),1000000))</f>
        <v/>
      </c>
      <c r="QS43">
        <f>IF($B43=0,1000000,IF(INDEX('計算A'!$D$60:$EQ$104,$B43,66)*FO43=1,IF(AND($E43=2,LD43=0),1000000,IF($I43&gt;0,IF(3=$J43,IF(OR(AND(66=$I43+1,OR($K43&lt;&gt;'計算A'!$A$3,'計算A'!$A$4=0)),AND(66=$I43-1,OR(18&lt;&gt;'計算A'!$A$3,'計算A'!$A$4=0))),0,IF(18=$K43,200000,ABS(18-$K43)*100)),100000+ABS(3-$J43)*1000+180)+'計算A'!BQ$5*50+IF(AND($E43=1,LD43=0),25,0),INDEX('計算A'!BQ$110:BQ$114,$F43+1)+IF(AND($E43=1,LD43=0),1000,0)+IF($H43=1,(IF('計算A'!BP$117=1,INDEX('計算A'!BP$10:BP$54,$B43),0)+IF('計算A'!BQ$117=1,INDEX('計算A'!BR$10:BR$54,$B43),0))*500,0)-IF(AND('計算A'!BP$117=1,WN43&gt;0),300,0)-IF(AND($L43=1,'計算A'!BQ$117=1,FP43=0),300,0))),1000000))</f>
        <v/>
      </c>
      <c r="QT43">
        <f>IF($B43=0,1000000,IF(INDEX('計算A'!$D$60:$EQ$104,$B43,67)*FP43=1,IF(AND($E43=2,LE43=0),1000000,IF($I43&gt;0,IF(3=$J43,IF(OR(AND(67=$I43+1,OR($K43&lt;&gt;'計算A'!$A$3,'計算A'!$A$4=0)),AND(67=$I43-1,OR(19&lt;&gt;'計算A'!$A$3,'計算A'!$A$4=0))),0,IF(19=$K43,200000,ABS(19-$K43)*100)),100000+ABS(3-$J43)*1000+190)+'計算A'!BR$5*50+IF(AND($E43=1,LE43=0),25,0),INDEX('計算A'!BR$110:BR$114,$F43+1)+IF(AND($E43=1,LE43=0),1000,0)+IF($H43=1,(IF('計算A'!BQ$117=1,INDEX('計算A'!BQ$10:BQ$54,$B43),0)+IF('計算A'!BR$117=1,INDEX('計算A'!BS$10:BS$54,$B43),0))*500,0)-IF(AND('計算A'!BQ$117=1,WO43&gt;0),300,0)-IF(AND($L43=1,'計算A'!BR$117=1,FQ43=0),300,0))),1000000))</f>
        <v/>
      </c>
      <c r="QU43">
        <f>IF($B43=0,1000000,IF(INDEX('計算A'!$D$60:$EQ$104,$B43,68)*FQ43=1,IF(AND($E43=2,LF43=0),1000000,IF($I43&gt;0,IF(3=$J43,IF(OR(AND(68=$I43+1,OR($K43&lt;&gt;'計算A'!$A$3,'計算A'!$A$4=0)),AND(68=$I43-1,OR(20&lt;&gt;'計算A'!$A$3,'計算A'!$A$4=0))),0,IF(20=$K43,200000,ABS(20-$K43)*100)),100000+ABS(3-$J43)*1000+200)+'計算A'!BS$5*50+IF(AND($E43=1,LF43=0),25,0),INDEX('計算A'!BS$110:BS$114,$F43+1)+IF(AND($E43=1,LF43=0),1000,0)+IF($H43=1,(IF('計算A'!BR$117=1,INDEX('計算A'!BR$10:BR$54,$B43),0)+IF('計算A'!BS$117=1,INDEX('計算A'!BT$10:BT$54,$B43),0))*500,0)-IF(AND('計算A'!BR$117=1,WP43&gt;0),300,0)-IF(AND($L43=1,'計算A'!BS$117=1,FR43=0),300,0))),1000000))</f>
        <v/>
      </c>
      <c r="QV43">
        <f>IF($B43=0,1000000,IF(INDEX('計算A'!$D$60:$EQ$104,$B43,69)*FR43=1,IF(AND($E43=2,LG43=0),1000000,IF($I43&gt;0,IF(3=$J43,IF(OR(AND(69=$I43+1,OR($K43&lt;&gt;'計算A'!$A$3,'計算A'!$A$4=0)),AND(69=$I43-1,OR(21&lt;&gt;'計算A'!$A$3,'計算A'!$A$4=0))),0,IF(21=$K43,200000,ABS(21-$K43)*100)),100000+ABS(3-$J43)*1000+210)+'計算A'!BT$5*50+IF(AND($E43=1,LG43=0),25,0),INDEX('計算A'!BT$110:BT$114,$F43+1)+IF(AND($E43=1,LG43=0),1000,0)+IF($H43=1,(IF('計算A'!BS$117=1,INDEX('計算A'!BS$10:BS$54,$B43),0)+IF('計算A'!BT$117=1,INDEX('計算A'!BU$10:BU$54,$B43),0))*500,0)-IF(AND('計算A'!BS$117=1,WQ43&gt;0),300,0)-IF(AND($L43=1,'計算A'!BT$117=1,FS43=0),300,0))),1000000))</f>
        <v/>
      </c>
      <c r="QW43">
        <f>IF($B43=0,1000000,IF(INDEX('計算A'!$D$60:$EQ$104,$B43,70)*FS43=1,IF(AND($E43=2,LH43=0),1000000,IF($I43&gt;0,IF(3=$J43,IF(OR(AND(70=$I43+1,OR($K43&lt;&gt;'計算A'!$A$3,'計算A'!$A$4=0)),AND(70=$I43-1,OR(22&lt;&gt;'計算A'!$A$3,'計算A'!$A$4=0))),0,IF(22=$K43,200000,ABS(22-$K43)*100)),100000+ABS(3-$J43)*1000+220)+'計算A'!BU$5*50+IF(AND($E43=1,LH43=0),25,0),INDEX('計算A'!BU$110:BU$114,$F43+1)+IF(AND($E43=1,LH43=0),1000,0)+IF($H43=1,(IF('計算A'!BT$117=1,INDEX('計算A'!BT$10:BT$54,$B43),0)+IF('計算A'!BU$117=1,INDEX('計算A'!BV$10:BV$54,$B43),0))*500,0)-IF(AND('計算A'!BT$117=1,WR43&gt;0),300,0)-IF(AND($L43=1,'計算A'!BU$117=1,FT43=0),300,0))),1000000))</f>
        <v/>
      </c>
      <c r="QX43">
        <f>IF($B43=0,1000000,IF(INDEX('計算A'!$D$60:$EQ$104,$B43,71)*FT43=1,IF(AND($E43=2,LI43=0),1000000,IF($I43&gt;0,IF(3=$J43,IF(OR(AND(71=$I43+1,OR($K43&lt;&gt;'計算A'!$A$3,'計算A'!$A$4=0)),AND(71=$I43-1,OR(23&lt;&gt;'計算A'!$A$3,'計算A'!$A$4=0))),0,IF(23=$K43,200000,ABS(23-$K43)*100)),100000+ABS(3-$J43)*1000+230)+'計算A'!BV$5*50+IF(AND($E43=1,LI43=0),25,0),INDEX('計算A'!BV$110:BV$114,$F43+1)+IF(AND($E43=1,LI43=0),1000,0)+IF($H43=1,(IF('計算A'!BU$117=1,INDEX('計算A'!BU$10:BU$54,$B43),0)+IF('計算A'!BV$117=1,INDEX('計算A'!BW$10:BW$54,$B43),0))*500,0)-IF(AND('計算A'!BU$117=1,WS43&gt;0),300,0)-IF(AND($L43=1,'計算A'!BV$117=1,FU43=0),300,0))),1000000))</f>
        <v/>
      </c>
      <c r="QY43">
        <f>IF($B43=0,1000000,IF(INDEX('計算A'!$D$60:$EQ$104,$B43,72)*FU43=1,IF(AND($E43=2,LJ43=0),1000000,IF($I43&gt;0,IF(3=$J43,IF(OR(AND(72=$I43+1,OR($K43&lt;&gt;'計算A'!$A$3,'計算A'!$A$4=0)),AND(72=$I43-1,OR(24&lt;&gt;'計算A'!$A$3,'計算A'!$A$4=0))),0,IF(24=$K43,200000,ABS(24-$K43)*100)),100000+ABS(3-$J43)*1000+240)+'計算A'!BW$5*50+IF(AND($E43=1,LJ43=0),25,0),INDEX('計算A'!BW$110:BW$114,$F43+1)+IF(AND($E43=1,LJ43=0),1000,0)+IF($H43=1,(IF('計算A'!BV$117=1,INDEX('計算A'!BV$10:BV$54,$B43),0))*500,0)-IF(AND('計算A'!BV$117=1,WT43&gt;0),300,0))),1000000))</f>
        <v/>
      </c>
      <c r="QZ43">
        <f>IF($B43=0,1000000,IF(INDEX('計算A'!$D$60:$EQ$104,$B43,73)*FV43=1,IF(AND($E43=2,LK43=0),1000000,IF($I43&gt;0,IF(4=$J43,IF(OR(AND(73=$I43+1,OR($K43&lt;&gt;'計算A'!$A$3,'計算A'!$A$4=0)),AND(73=$I43-1,OR(1&lt;&gt;'計算A'!$A$3,'計算A'!$A$4=0))),0,IF(1=$K43,200000,ABS(1-$K43)*100)),100000+ABS(4-$J43)*1000+10)+'計算A'!BX$5*50+IF(AND($E43=1,LK43=0),25,0),INDEX('計算A'!BX$110:BX$114,$F43+1)+IF(AND($E43=1,LK43=0),1000,0)+IF($H43=1,(IF('計算A'!BX$117=1,INDEX('計算A'!BY$10:BY$54,$B43),0))*500,0)-IF(AND($L43=1,'計算A'!BX$117=1,FW43=0),300,0))),1000000))</f>
        <v/>
      </c>
      <c r="RA43">
        <f>IF($B43=0,1000000,IF(INDEX('計算A'!$D$60:$EQ$104,$B43,74)*FW43=1,IF(AND($E43=2,LL43=0),1000000,IF($I43&gt;0,IF(4=$J43,IF(OR(AND(74=$I43+1,OR($K43&lt;&gt;'計算A'!$A$3,'計算A'!$A$4=0)),AND(74=$I43-1,OR(2&lt;&gt;'計算A'!$A$3,'計算A'!$A$4=0))),0,IF(2=$K43,200000,ABS(2-$K43)*100)),100000+ABS(4-$J43)*1000+20)+'計算A'!BY$5*50+IF(AND($E43=1,LL43=0),25,0),INDEX('計算A'!BY$110:BY$114,$F43+1)+IF(AND($E43=1,LL43=0),1000,0)+IF($H43=1,(IF('計算A'!BX$117=1,INDEX('計算A'!BX$10:BX$54,$B43),0)+IF('計算A'!BY$117=1,INDEX('計算A'!BZ$10:BZ$54,$B43),0))*500,0)-IF(AND('計算A'!BX$117=1,WV43&gt;0),300,0)-IF(AND($L43=1,'計算A'!BY$117=1,FX43=0),300,0))),1000000))</f>
        <v/>
      </c>
      <c r="RB43">
        <f>IF($B43=0,1000000,IF(INDEX('計算A'!$D$60:$EQ$104,$B43,75)*FX43=1,IF(AND($E43=2,LM43=0),1000000,IF($I43&gt;0,IF(4=$J43,IF(OR(AND(75=$I43+1,OR($K43&lt;&gt;'計算A'!$A$3,'計算A'!$A$4=0)),AND(75=$I43-1,OR(3&lt;&gt;'計算A'!$A$3,'計算A'!$A$4=0))),0,IF(3=$K43,200000,ABS(3-$K43)*100)),100000+ABS(4-$J43)*1000+30)+'計算A'!BZ$5*50+IF(AND($E43=1,LM43=0),25,0),INDEX('計算A'!BZ$110:BZ$114,$F43+1)+IF(AND($E43=1,LM43=0),1000,0)+IF($H43=1,(IF('計算A'!BY$117=1,INDEX('計算A'!BY$10:BY$54,$B43),0)+IF('計算A'!BZ$117=1,INDEX('計算A'!CA$10:CA$54,$B43),0))*500,0)-IF(AND('計算A'!BY$117=1,WW43&gt;0),300,0)-IF(AND($L43=1,'計算A'!BZ$117=1,FY43=0),300,0))),1000000))</f>
        <v/>
      </c>
      <c r="RC43">
        <f>IF($B43=0,1000000,IF(INDEX('計算A'!$D$60:$EQ$104,$B43,76)*FY43=1,IF(AND($E43=2,LN43=0),1000000,IF($I43&gt;0,IF(4=$J43,IF(OR(AND(76=$I43+1,OR($K43&lt;&gt;'計算A'!$A$3,'計算A'!$A$4=0)),AND(76=$I43-1,OR(4&lt;&gt;'計算A'!$A$3,'計算A'!$A$4=0))),0,IF(4=$K43,200000,ABS(4-$K43)*100)),100000+ABS(4-$J43)*1000+40)+'計算A'!CA$5*50+IF(AND($E43=1,LN43=0),25,0),INDEX('計算A'!CA$110:CA$114,$F43+1)+IF(AND($E43=1,LN43=0),1000,0)+IF($H43=1,(IF('計算A'!BZ$117=1,INDEX('計算A'!BZ$10:BZ$54,$B43),0)+IF('計算A'!CA$117=1,INDEX('計算A'!CB$10:CB$54,$B43),0))*500,0)-IF(AND('計算A'!BZ$117=1,WX43&gt;0),300,0)-IF(AND($L43=1,'計算A'!CA$117=1,FZ43=0),300,0))),1000000))</f>
        <v/>
      </c>
      <c r="RD43">
        <f>IF($B43=0,1000000,IF(INDEX('計算A'!$D$60:$EQ$104,$B43,77)*FZ43=1,IF(AND($E43=2,LO43=0),1000000,IF($I43&gt;0,IF(4=$J43,IF(OR(AND(77=$I43+1,OR($K43&lt;&gt;'計算A'!$A$3,'計算A'!$A$4=0)),AND(77=$I43-1,OR(5&lt;&gt;'計算A'!$A$3,'計算A'!$A$4=0))),0,IF(5=$K43,200000,ABS(5-$K43)*100)),100000+ABS(4-$J43)*1000+50)+'計算A'!CB$5*50+IF(AND($E43=1,LO43=0),25,0),INDEX('計算A'!CB$110:CB$114,$F43+1)+IF(AND($E43=1,LO43=0),1000,0)+IF($H43=1,(IF('計算A'!CA$117=1,INDEX('計算A'!CA$10:CA$54,$B43),0)+IF('計算A'!CB$117=1,INDEX('計算A'!CC$10:CC$54,$B43),0))*500,0)-IF(AND('計算A'!CA$117=1,WY43&gt;0),300,0)-IF(AND($L43=1,'計算A'!CB$117=1,GA43=0),300,0))),1000000))</f>
        <v/>
      </c>
      <c r="RE43">
        <f>IF($B43=0,1000000,IF(INDEX('計算A'!$D$60:$EQ$104,$B43,78)*GA43=1,IF(AND($E43=2,LP43=0),1000000,IF($I43&gt;0,IF(4=$J43,IF(OR(AND(78=$I43+1,OR($K43&lt;&gt;'計算A'!$A$3,'計算A'!$A$4=0)),AND(78=$I43-1,OR(6&lt;&gt;'計算A'!$A$3,'計算A'!$A$4=0))),0,IF(6=$K43,200000,ABS(6-$K43)*100)),100000+ABS(4-$J43)*1000+60)+'計算A'!CC$5*50+IF(AND($E43=1,LP43=0),25,0),INDEX('計算A'!CC$110:CC$114,$F43+1)+IF(AND($E43=1,LP43=0),1000,0)+IF($H43=1,(IF('計算A'!CB$117=1,INDEX('計算A'!CB$10:CB$54,$B43),0)+IF('計算A'!CC$117=1,INDEX('計算A'!CD$10:CD$54,$B43),0))*500,0)-IF(AND('計算A'!CB$117=1,WZ43&gt;0),300,0)-IF(AND($L43=1,'計算A'!CC$117=1,GB43=0),300,0))),1000000))</f>
        <v/>
      </c>
      <c r="RF43">
        <f>IF($B43=0,1000000,IF(INDEX('計算A'!$D$60:$EQ$104,$B43,79)*GB43=1,IF(AND($E43=2,LQ43=0),1000000,IF($I43&gt;0,IF(4=$J43,IF(OR(AND(79=$I43+1,OR($K43&lt;&gt;'計算A'!$A$3,'計算A'!$A$4=0)),AND(79=$I43-1,OR(7&lt;&gt;'計算A'!$A$3,'計算A'!$A$4=0))),0,IF(7=$K43,200000,ABS(7-$K43)*100)),100000+ABS(4-$J43)*1000+70)+'計算A'!CD$5*50+IF(AND($E43=1,LQ43=0),25,0),INDEX('計算A'!CD$110:CD$114,$F43+1)+IF(AND($E43=1,LQ43=0),1000,0)+IF($H43=1,(IF('計算A'!CC$117=1,INDEX('計算A'!CC$10:CC$54,$B43),0)+IF('計算A'!CD$117=1,INDEX('計算A'!CE$10:CE$54,$B43),0))*500,0)-IF(AND('計算A'!CC$117=1,XA43&gt;0),300,0)-IF(AND($L43=1,'計算A'!CD$117=1,GC43=0),300,0))),1000000))</f>
        <v/>
      </c>
      <c r="RG43">
        <f>IF($B43=0,1000000,IF(INDEX('計算A'!$D$60:$EQ$104,$B43,80)*GC43=1,IF(AND($E43=2,LR43=0),1000000,IF($I43&gt;0,IF(4=$J43,IF(OR(AND(80=$I43+1,OR($K43&lt;&gt;'計算A'!$A$3,'計算A'!$A$4=0)),AND(80=$I43-1,OR(8&lt;&gt;'計算A'!$A$3,'計算A'!$A$4=0))),0,IF(8=$K43,200000,ABS(8-$K43)*100)),100000+ABS(4-$J43)*1000+80)+'計算A'!CE$5*50+IF(AND($E43=1,LR43=0),25,0),INDEX('計算A'!CE$110:CE$114,$F43+1)+IF(AND($E43=1,LR43=0),1000,0)+IF($H43=1,(IF('計算A'!CD$117=1,INDEX('計算A'!CD$10:CD$54,$B43),0)+IF('計算A'!CE$117=1,INDEX('計算A'!CF$10:CF$54,$B43),0))*500,0)-IF(AND('計算A'!CD$117=1,XB43&gt;0),300,0)-IF(AND($L43=1,'計算A'!CE$117=1,GD43=0),300,0))),1000000))</f>
        <v/>
      </c>
      <c r="RH43">
        <f>IF($B43=0,1000000,IF(INDEX('計算A'!$D$60:$EQ$104,$B43,81)*GD43=1,IF(AND($E43=2,LS43=0),1000000,IF($I43&gt;0,IF(4=$J43,IF(OR(AND(81=$I43+1,OR($K43&lt;&gt;'計算A'!$A$3,'計算A'!$A$4=0)),AND(81=$I43-1,OR(9&lt;&gt;'計算A'!$A$3,'計算A'!$A$4=0))),0,IF(9=$K43,200000,ABS(9-$K43)*100)),100000+ABS(4-$J43)*1000+90)+'計算A'!CF$5*50+IF(AND($E43=1,LS43=0),25,0),INDEX('計算A'!CF$110:CF$114,$F43+1)+IF(AND($E43=1,LS43=0),1000,0)+IF($H43=1,(IF('計算A'!CE$117=1,INDEX('計算A'!CE$10:CE$54,$B43),0)+IF('計算A'!CF$117=1,INDEX('計算A'!CG$10:CG$54,$B43),0))*500,0)-IF(AND('計算A'!CE$117=1,XC43&gt;0),300,0)-IF(AND($L43=1,'計算A'!CF$117=1,GE43=0),300,0))),1000000))</f>
        <v/>
      </c>
      <c r="RI43">
        <f>IF($B43=0,1000000,IF(INDEX('計算A'!$D$60:$EQ$104,$B43,82)*GE43=1,IF(AND($E43=2,LT43=0),1000000,IF($I43&gt;0,IF(4=$J43,IF(OR(AND(82=$I43+1,OR($K43&lt;&gt;'計算A'!$A$3,'計算A'!$A$4=0)),AND(82=$I43-1,OR(10&lt;&gt;'計算A'!$A$3,'計算A'!$A$4=0))),0,IF(10=$K43,200000,ABS(10-$K43)*100)),100000+ABS(4-$J43)*1000+100)+'計算A'!CG$5*50+IF(AND($E43=1,LT43=0),25,0),INDEX('計算A'!CG$110:CG$114,$F43+1)+IF(AND($E43=1,LT43=0),1000,0)+IF($H43=1,(IF('計算A'!CF$117=1,INDEX('計算A'!CF$10:CF$54,$B43),0)+IF('計算A'!CG$117=1,INDEX('計算A'!CH$10:CH$54,$B43),0))*500,0)-IF(AND('計算A'!CF$117=1,XD43&gt;0),300,0)-IF(AND($L43=1,'計算A'!CG$117=1,GF43=0),300,0))),1000000))</f>
        <v/>
      </c>
      <c r="RJ43">
        <f>IF($B43=0,1000000,IF(INDEX('計算A'!$D$60:$EQ$104,$B43,83)*GF43=1,IF(AND($E43=2,LU43=0),1000000,IF($I43&gt;0,IF(4=$J43,IF(OR(AND(83=$I43+1,OR($K43&lt;&gt;'計算A'!$A$3,'計算A'!$A$4=0)),AND(83=$I43-1,OR(11&lt;&gt;'計算A'!$A$3,'計算A'!$A$4=0))),0,IF(11=$K43,200000,ABS(11-$K43)*100)),100000+ABS(4-$J43)*1000+110)+'計算A'!CH$5*50+IF(AND($E43=1,LU43=0),25,0),INDEX('計算A'!CH$110:CH$114,$F43+1)+IF(AND($E43=1,LU43=0),1000,0)+IF($H43=1,(IF('計算A'!CG$117=1,INDEX('計算A'!CG$10:CG$54,$B43),0)+IF('計算A'!CH$117=1,INDEX('計算A'!CI$10:CI$54,$B43),0))*500,0)-IF(AND('計算A'!CG$117=1,XE43&gt;0),300,0)-IF(AND($L43=1,'計算A'!CH$117=1,GG43=0),300,0))),1000000))</f>
        <v/>
      </c>
      <c r="RK43">
        <f>IF($B43=0,1000000,IF(INDEX('計算A'!$D$60:$EQ$104,$B43,84)*GG43=1,IF(AND($E43=2,LV43=0),1000000,IF($I43&gt;0,IF(4=$J43,IF(OR(AND(84=$I43+1,OR($K43&lt;&gt;'計算A'!$A$3,'計算A'!$A$4=0)),AND(84=$I43-1,OR(12&lt;&gt;'計算A'!$A$3,'計算A'!$A$4=0))),0,IF(12=$K43,200000,ABS(12-$K43)*100)),100000+ABS(4-$J43)*1000+120)+'計算A'!CI$5*50+IF(AND($E43=1,LV43=0),25,0),INDEX('計算A'!CI$110:CI$114,$F43+1)+IF(AND($E43=1,LV43=0),1000,0)+IF($H43=1,(IF('計算A'!CH$117=1,INDEX('計算A'!CH$10:CH$54,$B43),0)+IF('計算A'!CI$117=1,INDEX('計算A'!CJ$10:CJ$54,$B43),0))*500,0)-IF(AND('計算A'!CH$117=1,XF43&gt;0),300,0)-IF(AND($L43=1,'計算A'!CI$117=1,GH43=0),300,0))),1000000))</f>
        <v/>
      </c>
      <c r="RL43">
        <f>IF($B43=0,1000000,IF(INDEX('計算A'!$D$60:$EQ$104,$B43,85)*GH43=1,IF(AND($E43=2,LW43=0),1000000,IF($I43&gt;0,IF(4=$J43,IF(OR(AND(85=$I43+1,OR($K43&lt;&gt;'計算A'!$A$3,'計算A'!$A$4=0)),AND(85=$I43-1,OR(13&lt;&gt;'計算A'!$A$3,'計算A'!$A$4=0))),0,IF(13=$K43,200000,ABS(13-$K43)*100)),100000+ABS(4-$J43)*1000+130)+'計算A'!CJ$5*50+IF(AND($E43=1,LW43=0),25,0),INDEX('計算A'!CJ$110:CJ$114,$F43+1)+IF(AND($E43=1,LW43=0),1000,0)+IF($H43=1,(IF('計算A'!CI$117=1,INDEX('計算A'!CI$10:CI$54,$B43),0)+IF('計算A'!CJ$117=1,INDEX('計算A'!CK$10:CK$54,$B43),0))*500,0)-IF(AND('計算A'!CI$117=1,XG43&gt;0),300,0)-IF(AND($L43=1,'計算A'!CJ$117=1,GI43=0),300,0))),1000000))</f>
        <v/>
      </c>
      <c r="RM43">
        <f>IF($B43=0,1000000,IF(INDEX('計算A'!$D$60:$EQ$104,$B43,86)*GI43=1,IF(AND($E43=2,LX43=0),1000000,IF($I43&gt;0,IF(4=$J43,IF(OR(AND(86=$I43+1,OR($K43&lt;&gt;'計算A'!$A$3,'計算A'!$A$4=0)),AND(86=$I43-1,OR(14&lt;&gt;'計算A'!$A$3,'計算A'!$A$4=0))),0,IF(14=$K43,200000,ABS(14-$K43)*100)),100000+ABS(4-$J43)*1000+140)+'計算A'!CK$5*50+IF(AND($E43=1,LX43=0),25,0),INDEX('計算A'!CK$110:CK$114,$F43+1)+IF(AND($E43=1,LX43=0),1000,0)+IF($H43=1,(IF('計算A'!CJ$117=1,INDEX('計算A'!CJ$10:CJ$54,$B43),0)+IF('計算A'!CK$117=1,INDEX('計算A'!CL$10:CL$54,$B43),0))*500,0)-IF(AND('計算A'!CJ$117=1,XH43&gt;0),300,0)-IF(AND($L43=1,'計算A'!CK$117=1,GJ43=0),300,0))),1000000))</f>
        <v/>
      </c>
      <c r="RN43">
        <f>IF($B43=0,1000000,IF(INDEX('計算A'!$D$60:$EQ$104,$B43,87)*GJ43=1,IF(AND($E43=2,LY43=0),1000000,IF($I43&gt;0,IF(4=$J43,IF(OR(AND(87=$I43+1,OR($K43&lt;&gt;'計算A'!$A$3,'計算A'!$A$4=0)),AND(87=$I43-1,OR(15&lt;&gt;'計算A'!$A$3,'計算A'!$A$4=0))),0,IF(15=$K43,200000,ABS(15-$K43)*100)),100000+ABS(4-$J43)*1000+150)+'計算A'!CL$5*50+IF(AND($E43=1,LY43=0),25,0),INDEX('計算A'!CL$110:CL$114,$F43+1)+IF(AND($E43=1,LY43=0),1000,0)+IF($H43=1,(IF('計算A'!CK$117=1,INDEX('計算A'!CK$10:CK$54,$B43),0)+IF('計算A'!CL$117=1,INDEX('計算A'!CM$10:CM$54,$B43),0))*500,0)-IF(AND('計算A'!CK$117=1,XI43&gt;0),300,0)-IF(AND($L43=1,'計算A'!CL$117=1,GK43=0),300,0))),1000000))</f>
        <v/>
      </c>
      <c r="RO43">
        <f>IF($B43=0,1000000,IF(INDEX('計算A'!$D$60:$EQ$104,$B43,88)*GK43=1,IF(AND($E43=2,LZ43=0),1000000,IF($I43&gt;0,IF(4=$J43,IF(OR(AND(88=$I43+1,OR($K43&lt;&gt;'計算A'!$A$3,'計算A'!$A$4=0)),AND(88=$I43-1,OR(16&lt;&gt;'計算A'!$A$3,'計算A'!$A$4=0))),0,IF(16=$K43,200000,ABS(16-$K43)*100)),100000+ABS(4-$J43)*1000+160)+'計算A'!CM$5*50+IF(AND($E43=1,LZ43=0),25,0),INDEX('計算A'!CM$110:CM$114,$F43+1)+IF(AND($E43=1,LZ43=0),1000,0)+IF($H43=1,(IF('計算A'!CL$117=1,INDEX('計算A'!CL$10:CL$54,$B43),0)+IF('計算A'!CM$117=1,INDEX('計算A'!CN$10:CN$54,$B43),0))*500,0)-IF(AND('計算A'!CL$117=1,XJ43&gt;0),300,0)-IF(AND($L43=1,'計算A'!CM$117=1,GL43=0),300,0))),1000000))</f>
        <v/>
      </c>
      <c r="RP43">
        <f>IF($B43=0,1000000,IF(INDEX('計算A'!$D$60:$EQ$104,$B43,89)*GL43=1,IF(AND($E43=2,MA43=0),1000000,IF($I43&gt;0,IF(4=$J43,IF(OR(AND(89=$I43+1,OR($K43&lt;&gt;'計算A'!$A$3,'計算A'!$A$4=0)),AND(89=$I43-1,OR(17&lt;&gt;'計算A'!$A$3,'計算A'!$A$4=0))),0,IF(17=$K43,200000,ABS(17-$K43)*100)),100000+ABS(4-$J43)*1000+170)+'計算A'!CN$5*50+IF(AND($E43=1,MA43=0),25,0),INDEX('計算A'!CN$110:CN$114,$F43+1)+IF(AND($E43=1,MA43=0),1000,0)+IF($H43=1,(IF('計算A'!CM$117=1,INDEX('計算A'!CM$10:CM$54,$B43),0)+IF('計算A'!CN$117=1,INDEX('計算A'!CO$10:CO$54,$B43),0))*500,0)-IF(AND('計算A'!CM$117=1,XK43&gt;0),300,0)-IF(AND($L43=1,'計算A'!CN$117=1,GM43=0),300,0))),1000000))</f>
        <v/>
      </c>
      <c r="RQ43">
        <f>IF($B43=0,1000000,IF(INDEX('計算A'!$D$60:$EQ$104,$B43,90)*GM43=1,IF(AND($E43=2,MB43=0),1000000,IF($I43&gt;0,IF(4=$J43,IF(OR(AND(90=$I43+1,OR($K43&lt;&gt;'計算A'!$A$3,'計算A'!$A$4=0)),AND(90=$I43-1,OR(18&lt;&gt;'計算A'!$A$3,'計算A'!$A$4=0))),0,IF(18=$K43,200000,ABS(18-$K43)*100)),100000+ABS(4-$J43)*1000+180)+'計算A'!CO$5*50+IF(AND($E43=1,MB43=0),25,0),INDEX('計算A'!CO$110:CO$114,$F43+1)+IF(AND($E43=1,MB43=0),1000,0)+IF($H43=1,(IF('計算A'!CN$117=1,INDEX('計算A'!CN$10:CN$54,$B43),0)+IF('計算A'!CO$117=1,INDEX('計算A'!CP$10:CP$54,$B43),0))*500,0)-IF(AND('計算A'!CN$117=1,XL43&gt;0),300,0)-IF(AND($L43=1,'計算A'!CO$117=1,GN43=0),300,0))),1000000))</f>
        <v/>
      </c>
      <c r="RR43">
        <f>IF($B43=0,1000000,IF(INDEX('計算A'!$D$60:$EQ$104,$B43,91)*GN43=1,IF(AND($E43=2,MC43=0),1000000,IF($I43&gt;0,IF(4=$J43,IF(OR(AND(91=$I43+1,OR($K43&lt;&gt;'計算A'!$A$3,'計算A'!$A$4=0)),AND(91=$I43-1,OR(19&lt;&gt;'計算A'!$A$3,'計算A'!$A$4=0))),0,IF(19=$K43,200000,ABS(19-$K43)*100)),100000+ABS(4-$J43)*1000+190)+'計算A'!CP$5*50+IF(AND($E43=1,MC43=0),25,0),INDEX('計算A'!CP$110:CP$114,$F43+1)+IF(AND($E43=1,MC43=0),1000,0)+IF($H43=1,(IF('計算A'!CO$117=1,INDEX('計算A'!CO$10:CO$54,$B43),0)+IF('計算A'!CP$117=1,INDEX('計算A'!CQ$10:CQ$54,$B43),0))*500,0)-IF(AND('計算A'!CO$117=1,XM43&gt;0),300,0)-IF(AND($L43=1,'計算A'!CP$117=1,GO43=0),300,0))),1000000))</f>
        <v/>
      </c>
      <c r="RS43">
        <f>IF($B43=0,1000000,IF(INDEX('計算A'!$D$60:$EQ$104,$B43,92)*GO43=1,IF(AND($E43=2,MD43=0),1000000,IF($I43&gt;0,IF(4=$J43,IF(OR(AND(92=$I43+1,OR($K43&lt;&gt;'計算A'!$A$3,'計算A'!$A$4=0)),AND(92=$I43-1,OR(20&lt;&gt;'計算A'!$A$3,'計算A'!$A$4=0))),0,IF(20=$K43,200000,ABS(20-$K43)*100)),100000+ABS(4-$J43)*1000+200)+'計算A'!CQ$5*50+IF(AND($E43=1,MD43=0),25,0),INDEX('計算A'!CQ$110:CQ$114,$F43+1)+IF(AND($E43=1,MD43=0),1000,0)+IF($H43=1,(IF('計算A'!CP$117=1,INDEX('計算A'!CP$10:CP$54,$B43),0)+IF('計算A'!CQ$117=1,INDEX('計算A'!CR$10:CR$54,$B43),0))*500,0)-IF(AND('計算A'!CP$117=1,XN43&gt;0),300,0)-IF(AND($L43=1,'計算A'!CQ$117=1,GP43=0),300,0))),1000000))</f>
        <v/>
      </c>
      <c r="RT43">
        <f>IF($B43=0,1000000,IF(INDEX('計算A'!$D$60:$EQ$104,$B43,93)*GP43=1,IF(AND($E43=2,ME43=0),1000000,IF($I43&gt;0,IF(4=$J43,IF(OR(AND(93=$I43+1,OR($K43&lt;&gt;'計算A'!$A$3,'計算A'!$A$4=0)),AND(93=$I43-1,OR(21&lt;&gt;'計算A'!$A$3,'計算A'!$A$4=0))),0,IF(21=$K43,200000,ABS(21-$K43)*100)),100000+ABS(4-$J43)*1000+210)+'計算A'!CR$5*50+IF(AND($E43=1,ME43=0),25,0),INDEX('計算A'!CR$110:CR$114,$F43+1)+IF(AND($E43=1,ME43=0),1000,0)+IF($H43=1,(IF('計算A'!CQ$117=1,INDEX('計算A'!CQ$10:CQ$54,$B43),0)+IF('計算A'!CR$117=1,INDEX('計算A'!CS$10:CS$54,$B43),0))*500,0)-IF(AND('計算A'!CQ$117=1,XO43&gt;0),300,0)-IF(AND($L43=1,'計算A'!CR$117=1,GQ43=0),300,0))),1000000))</f>
        <v/>
      </c>
      <c r="RU43">
        <f>IF($B43=0,1000000,IF(INDEX('計算A'!$D$60:$EQ$104,$B43,94)*GQ43=1,IF(AND($E43=2,MF43=0),1000000,IF($I43&gt;0,IF(4=$J43,IF(OR(AND(94=$I43+1,OR($K43&lt;&gt;'計算A'!$A$3,'計算A'!$A$4=0)),AND(94=$I43-1,OR(22&lt;&gt;'計算A'!$A$3,'計算A'!$A$4=0))),0,IF(22=$K43,200000,ABS(22-$K43)*100)),100000+ABS(4-$J43)*1000+220)+'計算A'!CS$5*50+IF(AND($E43=1,MF43=0),25,0),INDEX('計算A'!CS$110:CS$114,$F43+1)+IF(AND($E43=1,MF43=0),1000,0)+IF($H43=1,(IF('計算A'!CR$117=1,INDEX('計算A'!CR$10:CR$54,$B43),0)+IF('計算A'!CS$117=1,INDEX('計算A'!CT$10:CT$54,$B43),0))*500,0)-IF(AND('計算A'!CR$117=1,XP43&gt;0),300,0)-IF(AND($L43=1,'計算A'!CS$117=1,GR43=0),300,0))),1000000))</f>
        <v/>
      </c>
      <c r="RV43">
        <f>IF($B43=0,1000000,IF(INDEX('計算A'!$D$60:$EQ$104,$B43,95)*GR43=1,IF(AND($E43=2,MG43=0),1000000,IF($I43&gt;0,IF(4=$J43,IF(OR(AND(95=$I43+1,OR($K43&lt;&gt;'計算A'!$A$3,'計算A'!$A$4=0)),AND(95=$I43-1,OR(23&lt;&gt;'計算A'!$A$3,'計算A'!$A$4=0))),0,IF(23=$K43,200000,ABS(23-$K43)*100)),100000+ABS(4-$J43)*1000+230)+'計算A'!CT$5*50+IF(AND($E43=1,MG43=0),25,0),INDEX('計算A'!CT$110:CT$114,$F43+1)+IF(AND($E43=1,MG43=0),1000,0)+IF($H43=1,(IF('計算A'!CS$117=1,INDEX('計算A'!CS$10:CS$54,$B43),0)+IF('計算A'!CT$117=1,INDEX('計算A'!CU$10:CU$54,$B43),0))*500,0)-IF(AND('計算A'!CS$117=1,XQ43&gt;0),300,0)-IF(AND($L43=1,'計算A'!CT$117=1,GS43=0),300,0))),1000000))</f>
        <v/>
      </c>
      <c r="RW43">
        <f>IF($B43=0,1000000,IF(INDEX('計算A'!$D$60:$EQ$104,$B43,96)*GS43=1,IF(AND($E43=2,MH43=0),1000000,IF($I43&gt;0,IF(4=$J43,IF(OR(AND(96=$I43+1,OR($K43&lt;&gt;'計算A'!$A$3,'計算A'!$A$4=0)),AND(96=$I43-1,OR(24&lt;&gt;'計算A'!$A$3,'計算A'!$A$4=0))),0,IF(24=$K43,200000,ABS(24-$K43)*100)),100000+ABS(4-$J43)*1000+240)+'計算A'!CU$5*50+IF(AND($E43=1,MH43=0),25,0),INDEX('計算A'!CU$110:CU$114,$F43+1)+IF(AND($E43=1,MH43=0),1000,0)+IF($H43=1,(IF('計算A'!CT$117=1,INDEX('計算A'!CT$10:CT$54,$B43),0))*500,0)-IF(AND('計算A'!CT$117=1,XR43&gt;0),300,0))),1000000))</f>
        <v/>
      </c>
      <c r="RX43">
        <f>IF($B43=0,1000000,IF(INDEX('計算A'!$D$60:$EQ$104,$B43,97)*GT43=1,IF(AND($E43=2,MI43=0),1000000,IF($I43&gt;0,IF(5=$J43,IF(OR(AND(97=$I43+1,OR($K43&lt;&gt;'計算A'!$A$3,'計算A'!$A$4=0)),AND(97=$I43-1,OR(1&lt;&gt;'計算A'!$A$3,'計算A'!$A$4=0))),0,IF(1=$K43,200000,ABS(1-$K43)*100)),100000+ABS(5-$J43)*1000+10)+'計算A'!CV$5*50+IF(AND($E43=1,MI43=0),25,0),INDEX('計算A'!CV$110:CV$114,$F43+1)+IF(AND($E43=1,MI43=0),1000,0)+IF($H43=1,(IF('計算A'!CV$117=1,INDEX('計算A'!CW$10:CW$54,$B43),0))*500,0)-IF(AND($L43=1,'計算A'!CV$117=1,GU43=0),300,0))),1000000))</f>
        <v/>
      </c>
      <c r="RY43">
        <f>IF($B43=0,1000000,IF(INDEX('計算A'!$D$60:$EQ$104,$B43,98)*GU43=1,IF(AND($E43=2,MJ43=0),1000000,IF($I43&gt;0,IF(5=$J43,IF(OR(AND(98=$I43+1,OR($K43&lt;&gt;'計算A'!$A$3,'計算A'!$A$4=0)),AND(98=$I43-1,OR(2&lt;&gt;'計算A'!$A$3,'計算A'!$A$4=0))),0,IF(2=$K43,200000,ABS(2-$K43)*100)),100000+ABS(5-$J43)*1000+20)+'計算A'!CW$5*50+IF(AND($E43=1,MJ43=0),25,0),INDEX('計算A'!CW$110:CW$114,$F43+1)+IF(AND($E43=1,MJ43=0),1000,0)+IF($H43=1,(IF('計算A'!CV$117=1,INDEX('計算A'!CV$10:CV$54,$B43),0)+IF('計算A'!CW$117=1,INDEX('計算A'!CX$10:CX$54,$B43),0))*500,0)-IF(AND('計算A'!CV$117=1,XT43&gt;0),300,0)-IF(AND($L43=1,'計算A'!CW$117=1,GV43=0),300,0))),1000000))</f>
        <v/>
      </c>
      <c r="RZ43">
        <f>IF($B43=0,1000000,IF(INDEX('計算A'!$D$60:$EQ$104,$B43,99)*GV43=1,IF(AND($E43=2,MK43=0),1000000,IF($I43&gt;0,IF(5=$J43,IF(OR(AND(99=$I43+1,OR($K43&lt;&gt;'計算A'!$A$3,'計算A'!$A$4=0)),AND(99=$I43-1,OR(3&lt;&gt;'計算A'!$A$3,'計算A'!$A$4=0))),0,IF(3=$K43,200000,ABS(3-$K43)*100)),100000+ABS(5-$J43)*1000+30)+'計算A'!CX$5*50+IF(AND($E43=1,MK43=0),25,0),INDEX('計算A'!CX$110:CX$114,$F43+1)+IF(AND($E43=1,MK43=0),1000,0)+IF($H43=1,(IF('計算A'!CW$117=1,INDEX('計算A'!CW$10:CW$54,$B43),0)+IF('計算A'!CX$117=1,INDEX('計算A'!CY$10:CY$54,$B43),0))*500,0)-IF(AND('計算A'!CW$117=1,XU43&gt;0),300,0)-IF(AND($L43=1,'計算A'!CX$117=1,GW43=0),300,0))),1000000))</f>
        <v/>
      </c>
      <c r="SA43">
        <f>IF($B43=0,1000000,IF(INDEX('計算A'!$D$60:$EQ$104,$B43,100)*GW43=1,IF(AND($E43=2,ML43=0),1000000,IF($I43&gt;0,IF(5=$J43,IF(OR(AND(100=$I43+1,OR($K43&lt;&gt;'計算A'!$A$3,'計算A'!$A$4=0)),AND(100=$I43-1,OR(4&lt;&gt;'計算A'!$A$3,'計算A'!$A$4=0))),0,IF(4=$K43,200000,ABS(4-$K43)*100)),100000+ABS(5-$J43)*1000+40)+'計算A'!CY$5*50+IF(AND($E43=1,ML43=0),25,0),INDEX('計算A'!CY$110:CY$114,$F43+1)+IF(AND($E43=1,ML43=0),1000,0)+IF($H43=1,(IF('計算A'!CX$117=1,INDEX('計算A'!CX$10:CX$54,$B43),0)+IF('計算A'!CY$117=1,INDEX('計算A'!CZ$10:CZ$54,$B43),0))*500,0)-IF(AND('計算A'!CX$117=1,XV43&gt;0),300,0)-IF(AND($L43=1,'計算A'!CY$117=1,GX43=0),300,0))),1000000))</f>
        <v/>
      </c>
      <c r="SB43">
        <f>IF($B43=0,1000000,IF(INDEX('計算A'!$D$60:$EQ$104,$B43,101)*GX43=1,IF(AND($E43=2,MM43=0),1000000,IF($I43&gt;0,IF(5=$J43,IF(OR(AND(101=$I43+1,OR($K43&lt;&gt;'計算A'!$A$3,'計算A'!$A$4=0)),AND(101=$I43-1,OR(5&lt;&gt;'計算A'!$A$3,'計算A'!$A$4=0))),0,IF(5=$K43,200000,ABS(5-$K43)*100)),100000+ABS(5-$J43)*1000+50)+'計算A'!CZ$5*50+IF(AND($E43=1,MM43=0),25,0),INDEX('計算A'!CZ$110:CZ$114,$F43+1)+IF(AND($E43=1,MM43=0),1000,0)+IF($H43=1,(IF('計算A'!CY$117=1,INDEX('計算A'!CY$10:CY$54,$B43),0)+IF('計算A'!CZ$117=1,INDEX('計算A'!DA$10:DA$54,$B43),0))*500,0)-IF(AND('計算A'!CY$117=1,XW43&gt;0),300,0)-IF(AND($L43=1,'計算A'!CZ$117=1,GY43=0),300,0))),1000000))</f>
        <v/>
      </c>
      <c r="SC43">
        <f>IF($B43=0,1000000,IF(INDEX('計算A'!$D$60:$EQ$104,$B43,102)*GY43=1,IF(AND($E43=2,MN43=0),1000000,IF($I43&gt;0,IF(5=$J43,IF(OR(AND(102=$I43+1,OR($K43&lt;&gt;'計算A'!$A$3,'計算A'!$A$4=0)),AND(102=$I43-1,OR(6&lt;&gt;'計算A'!$A$3,'計算A'!$A$4=0))),0,IF(6=$K43,200000,ABS(6-$K43)*100)),100000+ABS(5-$J43)*1000+60)+'計算A'!DA$5*50+IF(AND($E43=1,MN43=0),25,0),INDEX('計算A'!DA$110:DA$114,$F43+1)+IF(AND($E43=1,MN43=0),1000,0)+IF($H43=1,(IF('計算A'!CZ$117=1,INDEX('計算A'!CZ$10:CZ$54,$B43),0)+IF('計算A'!DA$117=1,INDEX('計算A'!DB$10:DB$54,$B43),0))*500,0)-IF(AND('計算A'!CZ$117=1,XX43&gt;0),300,0)-IF(AND($L43=1,'計算A'!DA$117=1,GZ43=0),300,0))),1000000))</f>
        <v/>
      </c>
      <c r="SD43">
        <f>IF($B43=0,1000000,IF(INDEX('計算A'!$D$60:$EQ$104,$B43,103)*GZ43=1,IF(AND($E43=2,MO43=0),1000000,IF($I43&gt;0,IF(5=$J43,IF(OR(AND(103=$I43+1,OR($K43&lt;&gt;'計算A'!$A$3,'計算A'!$A$4=0)),AND(103=$I43-1,OR(7&lt;&gt;'計算A'!$A$3,'計算A'!$A$4=0))),0,IF(7=$K43,200000,ABS(7-$K43)*100)),100000+ABS(5-$J43)*1000+70)+'計算A'!DB$5*50+IF(AND($E43=1,MO43=0),25,0),INDEX('計算A'!DB$110:DB$114,$F43+1)+IF(AND($E43=1,MO43=0),1000,0)+IF($H43=1,(IF('計算A'!DA$117=1,INDEX('計算A'!DA$10:DA$54,$B43),0)+IF('計算A'!DB$117=1,INDEX('計算A'!DC$10:DC$54,$B43),0))*500,0)-IF(AND('計算A'!DA$117=1,XY43&gt;0),300,0)-IF(AND($L43=1,'計算A'!DB$117=1,HA43=0),300,0))),1000000))</f>
        <v/>
      </c>
      <c r="SE43">
        <f>IF($B43=0,1000000,IF(INDEX('計算A'!$D$60:$EQ$104,$B43,104)*HA43=1,IF(AND($E43=2,MP43=0),1000000,IF($I43&gt;0,IF(5=$J43,IF(OR(AND(104=$I43+1,OR($K43&lt;&gt;'計算A'!$A$3,'計算A'!$A$4=0)),AND(104=$I43-1,OR(8&lt;&gt;'計算A'!$A$3,'計算A'!$A$4=0))),0,IF(8=$K43,200000,ABS(8-$K43)*100)),100000+ABS(5-$J43)*1000+80)+'計算A'!DC$5*50+IF(AND($E43=1,MP43=0),25,0),INDEX('計算A'!DC$110:DC$114,$F43+1)+IF(AND($E43=1,MP43=0),1000,0)+IF($H43=1,(IF('計算A'!DB$117=1,INDEX('計算A'!DB$10:DB$54,$B43),0)+IF('計算A'!DC$117=1,INDEX('計算A'!DD$10:DD$54,$B43),0))*500,0)-IF(AND('計算A'!DB$117=1,XZ43&gt;0),300,0)-IF(AND($L43=1,'計算A'!DC$117=1,HB43=0),300,0))),1000000))</f>
        <v/>
      </c>
      <c r="SF43">
        <f>IF($B43=0,1000000,IF(INDEX('計算A'!$D$60:$EQ$104,$B43,105)*HB43=1,IF(AND($E43=2,MQ43=0),1000000,IF($I43&gt;0,IF(5=$J43,IF(OR(AND(105=$I43+1,OR($K43&lt;&gt;'計算A'!$A$3,'計算A'!$A$4=0)),AND(105=$I43-1,OR(9&lt;&gt;'計算A'!$A$3,'計算A'!$A$4=0))),0,IF(9=$K43,200000,ABS(9-$K43)*100)),100000+ABS(5-$J43)*1000+90)+'計算A'!DD$5*50+IF(AND($E43=1,MQ43=0),25,0),INDEX('計算A'!DD$110:DD$114,$F43+1)+IF(AND($E43=1,MQ43=0),1000,0)+IF($H43=1,(IF('計算A'!DC$117=1,INDEX('計算A'!DC$10:DC$54,$B43),0)+IF('計算A'!DD$117=1,INDEX('計算A'!DE$10:DE$54,$B43),0))*500,0)-IF(AND('計算A'!DC$117=1,YA43&gt;0),300,0)-IF(AND($L43=1,'計算A'!DD$117=1,HC43=0),300,0))),1000000))</f>
        <v/>
      </c>
      <c r="SG43">
        <f>IF($B43=0,1000000,IF(INDEX('計算A'!$D$60:$EQ$104,$B43,106)*HC43=1,IF(AND($E43=2,MR43=0),1000000,IF($I43&gt;0,IF(5=$J43,IF(OR(AND(106=$I43+1,OR($K43&lt;&gt;'計算A'!$A$3,'計算A'!$A$4=0)),AND(106=$I43-1,OR(10&lt;&gt;'計算A'!$A$3,'計算A'!$A$4=0))),0,IF(10=$K43,200000,ABS(10-$K43)*100)),100000+ABS(5-$J43)*1000+100)+'計算A'!DE$5*50+IF(AND($E43=1,MR43=0),25,0),INDEX('計算A'!DE$110:DE$114,$F43+1)+IF(AND($E43=1,MR43=0),1000,0)+IF($H43=1,(IF('計算A'!DD$117=1,INDEX('計算A'!DD$10:DD$54,$B43),0)+IF('計算A'!DE$117=1,INDEX('計算A'!DF$10:DF$54,$B43),0))*500,0)-IF(AND('計算A'!DD$117=1,YB43&gt;0),300,0)-IF(AND($L43=1,'計算A'!DE$117=1,HD43=0),300,0))),1000000))</f>
        <v/>
      </c>
      <c r="SH43">
        <f>IF($B43=0,1000000,IF(INDEX('計算A'!$D$60:$EQ$104,$B43,107)*HD43=1,IF(AND($E43=2,MS43=0),1000000,IF($I43&gt;0,IF(5=$J43,IF(OR(AND(107=$I43+1,OR($K43&lt;&gt;'計算A'!$A$3,'計算A'!$A$4=0)),AND(107=$I43-1,OR(11&lt;&gt;'計算A'!$A$3,'計算A'!$A$4=0))),0,IF(11=$K43,200000,ABS(11-$K43)*100)),100000+ABS(5-$J43)*1000+110)+'計算A'!DF$5*50+IF(AND($E43=1,MS43=0),25,0),INDEX('計算A'!DF$110:DF$114,$F43+1)+IF(AND($E43=1,MS43=0),1000,0)+IF($H43=1,(IF('計算A'!DE$117=1,INDEX('計算A'!DE$10:DE$54,$B43),0)+IF('計算A'!DF$117=1,INDEX('計算A'!DG$10:DG$54,$B43),0))*500,0)-IF(AND('計算A'!DE$117=1,YC43&gt;0),300,0)-IF(AND($L43=1,'計算A'!DF$117=1,HE43=0),300,0))),1000000))</f>
        <v/>
      </c>
      <c r="SI43">
        <f>IF($B43=0,1000000,IF(INDEX('計算A'!$D$60:$EQ$104,$B43,108)*HE43=1,IF(AND($E43=2,MT43=0),1000000,IF($I43&gt;0,IF(5=$J43,IF(OR(AND(108=$I43+1,OR($K43&lt;&gt;'計算A'!$A$3,'計算A'!$A$4=0)),AND(108=$I43-1,OR(12&lt;&gt;'計算A'!$A$3,'計算A'!$A$4=0))),0,IF(12=$K43,200000,ABS(12-$K43)*100)),100000+ABS(5-$J43)*1000+120)+'計算A'!DG$5*50+IF(AND($E43=1,MT43=0),25,0),INDEX('計算A'!DG$110:DG$114,$F43+1)+IF(AND($E43=1,MT43=0),1000,0)+IF($H43=1,(IF('計算A'!DF$117=1,INDEX('計算A'!DF$10:DF$54,$B43),0)+IF('計算A'!DG$117=1,INDEX('計算A'!DH$10:DH$54,$B43),0))*500,0)-IF(AND('計算A'!DF$117=1,YD43&gt;0),300,0)-IF(AND($L43=1,'計算A'!DG$117=1,HF43=0),300,0))),1000000))</f>
        <v/>
      </c>
      <c r="SJ43">
        <f>IF($B43=0,1000000,IF(INDEX('計算A'!$D$60:$EQ$104,$B43,109)*HF43=1,IF(AND($E43=2,MU43=0),1000000,IF($I43&gt;0,IF(5=$J43,IF(OR(AND(109=$I43+1,OR($K43&lt;&gt;'計算A'!$A$3,'計算A'!$A$4=0)),AND(109=$I43-1,OR(13&lt;&gt;'計算A'!$A$3,'計算A'!$A$4=0))),0,IF(13=$K43,200000,ABS(13-$K43)*100)),100000+ABS(5-$J43)*1000+130)+'計算A'!DH$5*50+IF(AND($E43=1,MU43=0),25,0),INDEX('計算A'!DH$110:DH$114,$F43+1)+IF(AND($E43=1,MU43=0),1000,0)+IF($H43=1,(IF('計算A'!DG$117=1,INDEX('計算A'!DG$10:DG$54,$B43),0)+IF('計算A'!DH$117=1,INDEX('計算A'!DI$10:DI$54,$B43),0))*500,0)-IF(AND('計算A'!DG$117=1,YE43&gt;0),300,0)-IF(AND($L43=1,'計算A'!DH$117=1,HG43=0),300,0))),1000000))</f>
        <v/>
      </c>
      <c r="SK43">
        <f>IF($B43=0,1000000,IF(INDEX('計算A'!$D$60:$EQ$104,$B43,110)*HG43=1,IF(AND($E43=2,MV43=0),1000000,IF($I43&gt;0,IF(5=$J43,IF(OR(AND(110=$I43+1,OR($K43&lt;&gt;'計算A'!$A$3,'計算A'!$A$4=0)),AND(110=$I43-1,OR(14&lt;&gt;'計算A'!$A$3,'計算A'!$A$4=0))),0,IF(14=$K43,200000,ABS(14-$K43)*100)),100000+ABS(5-$J43)*1000+140)+'計算A'!DI$5*50+IF(AND($E43=1,MV43=0),25,0),INDEX('計算A'!DI$110:DI$114,$F43+1)+IF(AND($E43=1,MV43=0),1000,0)+IF($H43=1,(IF('計算A'!DH$117=1,INDEX('計算A'!DH$10:DH$54,$B43),0)+IF('計算A'!DI$117=1,INDEX('計算A'!DJ$10:DJ$54,$B43),0))*500,0)-IF(AND('計算A'!DH$117=1,YF43&gt;0),300,0)-IF(AND($L43=1,'計算A'!DI$117=1,HH43=0),300,0))),1000000))</f>
        <v/>
      </c>
      <c r="SL43">
        <f>IF($B43=0,1000000,IF(INDEX('計算A'!$D$60:$EQ$104,$B43,111)*HH43=1,IF(AND($E43=2,MW43=0),1000000,IF($I43&gt;0,IF(5=$J43,IF(OR(AND(111=$I43+1,OR($K43&lt;&gt;'計算A'!$A$3,'計算A'!$A$4=0)),AND(111=$I43-1,OR(15&lt;&gt;'計算A'!$A$3,'計算A'!$A$4=0))),0,IF(15=$K43,200000,ABS(15-$K43)*100)),100000+ABS(5-$J43)*1000+150)+'計算A'!DJ$5*50+IF(AND($E43=1,MW43=0),25,0),INDEX('計算A'!DJ$110:DJ$114,$F43+1)+IF(AND($E43=1,MW43=0),1000,0)+IF($H43=1,(IF('計算A'!DI$117=1,INDEX('計算A'!DI$10:DI$54,$B43),0)+IF('計算A'!DJ$117=1,INDEX('計算A'!DK$10:DK$54,$B43),0))*500,0)-IF(AND('計算A'!DI$117=1,YG43&gt;0),300,0)-IF(AND($L43=1,'計算A'!DJ$117=1,HI43=0),300,0))),1000000))</f>
        <v/>
      </c>
      <c r="SM43">
        <f>IF($B43=0,1000000,IF(INDEX('計算A'!$D$60:$EQ$104,$B43,112)*HI43=1,IF(AND($E43=2,MX43=0),1000000,IF($I43&gt;0,IF(5=$J43,IF(OR(AND(112=$I43+1,OR($K43&lt;&gt;'計算A'!$A$3,'計算A'!$A$4=0)),AND(112=$I43-1,OR(16&lt;&gt;'計算A'!$A$3,'計算A'!$A$4=0))),0,IF(16=$K43,200000,ABS(16-$K43)*100)),100000+ABS(5-$J43)*1000+160)+'計算A'!DK$5*50+IF(AND($E43=1,MX43=0),25,0),INDEX('計算A'!DK$110:DK$114,$F43+1)+IF(AND($E43=1,MX43=0),1000,0)+IF($H43=1,(IF('計算A'!DJ$117=1,INDEX('計算A'!DJ$10:DJ$54,$B43),0)+IF('計算A'!DK$117=1,INDEX('計算A'!DL$10:DL$54,$B43),0))*500,0)-IF(AND('計算A'!DJ$117=1,YH43&gt;0),300,0)-IF(AND($L43=1,'計算A'!DK$117=1,HJ43=0),300,0))),1000000))</f>
        <v/>
      </c>
      <c r="SN43">
        <f>IF($B43=0,1000000,IF(INDEX('計算A'!$D$60:$EQ$104,$B43,113)*HJ43=1,IF(AND($E43=2,MY43=0),1000000,IF($I43&gt;0,IF(5=$J43,IF(OR(AND(113=$I43+1,OR($K43&lt;&gt;'計算A'!$A$3,'計算A'!$A$4=0)),AND(113=$I43-1,OR(17&lt;&gt;'計算A'!$A$3,'計算A'!$A$4=0))),0,IF(17=$K43,200000,ABS(17-$K43)*100)),100000+ABS(5-$J43)*1000+170)+'計算A'!DL$5*50+IF(AND($E43=1,MY43=0),25,0),INDEX('計算A'!DL$110:DL$114,$F43+1)+IF(AND($E43=1,MY43=0),1000,0)+IF($H43=1,(IF('計算A'!DK$117=1,INDEX('計算A'!DK$10:DK$54,$B43),0)+IF('計算A'!DL$117=1,INDEX('計算A'!DM$10:DM$54,$B43),0))*500,0)-IF(AND('計算A'!DK$117=1,YI43&gt;0),300,0)-IF(AND($L43=1,'計算A'!DL$117=1,HK43=0),300,0))),1000000))</f>
        <v/>
      </c>
      <c r="SO43">
        <f>IF($B43=0,1000000,IF(INDEX('計算A'!$D$60:$EQ$104,$B43,114)*HK43=1,IF(AND($E43=2,MZ43=0),1000000,IF($I43&gt;0,IF(5=$J43,IF(OR(AND(114=$I43+1,OR($K43&lt;&gt;'計算A'!$A$3,'計算A'!$A$4=0)),AND(114=$I43-1,OR(18&lt;&gt;'計算A'!$A$3,'計算A'!$A$4=0))),0,IF(18=$K43,200000,ABS(18-$K43)*100)),100000+ABS(5-$J43)*1000+180)+'計算A'!DM$5*50+IF(AND($E43=1,MZ43=0),25,0),INDEX('計算A'!DM$110:DM$114,$F43+1)+IF(AND($E43=1,MZ43=0),1000,0)+IF($H43=1,(IF('計算A'!DL$117=1,INDEX('計算A'!DL$10:DL$54,$B43),0)+IF('計算A'!DM$117=1,INDEX('計算A'!DN$10:DN$54,$B43),0))*500,0)-IF(AND('計算A'!DL$117=1,YJ43&gt;0),300,0)-IF(AND($L43=1,'計算A'!DM$117=1,HL43=0),300,0))),1000000))</f>
        <v/>
      </c>
      <c r="SP43">
        <f>IF($B43=0,1000000,IF(INDEX('計算A'!$D$60:$EQ$104,$B43,115)*HL43=1,IF(AND($E43=2,NA43=0),1000000,IF($I43&gt;0,IF(5=$J43,IF(OR(AND(115=$I43+1,OR($K43&lt;&gt;'計算A'!$A$3,'計算A'!$A$4=0)),AND(115=$I43-1,OR(19&lt;&gt;'計算A'!$A$3,'計算A'!$A$4=0))),0,IF(19=$K43,200000,ABS(19-$K43)*100)),100000+ABS(5-$J43)*1000+190)+'計算A'!DN$5*50+IF(AND($E43=1,NA43=0),25,0),INDEX('計算A'!DN$110:DN$114,$F43+1)+IF(AND($E43=1,NA43=0),1000,0)+IF($H43=1,(IF('計算A'!DM$117=1,INDEX('計算A'!DM$10:DM$54,$B43),0)+IF('計算A'!DN$117=1,INDEX('計算A'!DO$10:DO$54,$B43),0))*500,0)-IF(AND('計算A'!DM$117=1,YK43&gt;0),300,0)-IF(AND($L43=1,'計算A'!DN$117=1,HM43=0),300,0))),1000000))</f>
        <v/>
      </c>
      <c r="SQ43">
        <f>IF($B43=0,1000000,IF(INDEX('計算A'!$D$60:$EQ$104,$B43,116)*HM43=1,IF(AND($E43=2,NB43=0),1000000,IF($I43&gt;0,IF(5=$J43,IF(OR(AND(116=$I43+1,OR($K43&lt;&gt;'計算A'!$A$3,'計算A'!$A$4=0)),AND(116=$I43-1,OR(20&lt;&gt;'計算A'!$A$3,'計算A'!$A$4=0))),0,IF(20=$K43,200000,ABS(20-$K43)*100)),100000+ABS(5-$J43)*1000+200)+'計算A'!DO$5*50+IF(AND($E43=1,NB43=0),25,0),INDEX('計算A'!DO$110:DO$114,$F43+1)+IF(AND($E43=1,NB43=0),1000,0)+IF($H43=1,(IF('計算A'!DN$117=1,INDEX('計算A'!DN$10:DN$54,$B43),0)+IF('計算A'!DO$117=1,INDEX('計算A'!DP$10:DP$54,$B43),0))*500,0)-IF(AND('計算A'!DN$117=1,YL43&gt;0),300,0)-IF(AND($L43=1,'計算A'!DO$117=1,HN43=0),300,0))),1000000))</f>
        <v/>
      </c>
      <c r="SR43">
        <f>IF($B43=0,1000000,IF(INDEX('計算A'!$D$60:$EQ$104,$B43,117)*HN43=1,IF(AND($E43=2,NC43=0),1000000,IF($I43&gt;0,IF(5=$J43,IF(OR(AND(117=$I43+1,OR($K43&lt;&gt;'計算A'!$A$3,'計算A'!$A$4=0)),AND(117=$I43-1,OR(21&lt;&gt;'計算A'!$A$3,'計算A'!$A$4=0))),0,IF(21=$K43,200000,ABS(21-$K43)*100)),100000+ABS(5-$J43)*1000+210)+'計算A'!DP$5*50+IF(AND($E43=1,NC43=0),25,0),INDEX('計算A'!DP$110:DP$114,$F43+1)+IF(AND($E43=1,NC43=0),1000,0)+IF($H43=1,(IF('計算A'!DO$117=1,INDEX('計算A'!DO$10:DO$54,$B43),0)+IF('計算A'!DP$117=1,INDEX('計算A'!DQ$10:DQ$54,$B43),0))*500,0)-IF(AND('計算A'!DO$117=1,YM43&gt;0),300,0)-IF(AND($L43=1,'計算A'!DP$117=1,HO43=0),300,0))),1000000))</f>
        <v/>
      </c>
      <c r="SS43">
        <f>IF($B43=0,1000000,IF(INDEX('計算A'!$D$60:$EQ$104,$B43,118)*HO43=1,IF(AND($E43=2,ND43=0),1000000,IF($I43&gt;0,IF(5=$J43,IF(OR(AND(118=$I43+1,OR($K43&lt;&gt;'計算A'!$A$3,'計算A'!$A$4=0)),AND(118=$I43-1,OR(22&lt;&gt;'計算A'!$A$3,'計算A'!$A$4=0))),0,IF(22=$K43,200000,ABS(22-$K43)*100)),100000+ABS(5-$J43)*1000+220)+'計算A'!DQ$5*50+IF(AND($E43=1,ND43=0),25,0),INDEX('計算A'!DQ$110:DQ$114,$F43+1)+IF(AND($E43=1,ND43=0),1000,0)+IF($H43=1,(IF('計算A'!DP$117=1,INDEX('計算A'!DP$10:DP$54,$B43),0)+IF('計算A'!DQ$117=1,INDEX('計算A'!DR$10:DR$54,$B43),0))*500,0)-IF(AND('計算A'!DP$117=1,YN43&gt;0),300,0)-IF(AND($L43=1,'計算A'!DQ$117=1,HP43=0),300,0))),1000000))</f>
        <v/>
      </c>
      <c r="ST43">
        <f>IF($B43=0,1000000,IF(INDEX('計算A'!$D$60:$EQ$104,$B43,119)*HP43=1,IF(AND($E43=2,NE43=0),1000000,IF($I43&gt;0,IF(5=$J43,IF(OR(AND(119=$I43+1,OR($K43&lt;&gt;'計算A'!$A$3,'計算A'!$A$4=0)),AND(119=$I43-1,OR(23&lt;&gt;'計算A'!$A$3,'計算A'!$A$4=0))),0,IF(23=$K43,200000,ABS(23-$K43)*100)),100000+ABS(5-$J43)*1000+230)+'計算A'!DR$5*50+IF(AND($E43=1,NE43=0),25,0),INDEX('計算A'!DR$110:DR$114,$F43+1)+IF(AND($E43=1,NE43=0),1000,0)+IF($H43=1,(IF('計算A'!DQ$117=1,INDEX('計算A'!DQ$10:DQ$54,$B43),0)+IF('計算A'!DR$117=1,INDEX('計算A'!DS$10:DS$54,$B43),0))*500,0)-IF(AND('計算A'!DQ$117=1,YO43&gt;0),300,0)-IF(AND($L43=1,'計算A'!DR$117=1,HQ43=0),300,0))),1000000))</f>
        <v/>
      </c>
      <c r="SU43">
        <f>IF($B43=0,1000000,IF(INDEX('計算A'!$D$60:$EQ$104,$B43,120)*HQ43=1,IF(AND($E43=2,NF43=0),1000000,IF($I43&gt;0,IF(5=$J43,IF(OR(AND(120=$I43+1,OR($K43&lt;&gt;'計算A'!$A$3,'計算A'!$A$4=0)),AND(120=$I43-1,OR(24&lt;&gt;'計算A'!$A$3,'計算A'!$A$4=0))),0,IF(24=$K43,200000,ABS(24-$K43)*100)),100000+ABS(5-$J43)*1000+240)+'計算A'!DS$5*50+IF(AND($E43=1,NF43=0),25,0),INDEX('計算A'!DS$110:DS$114,$F43+1)+IF(AND($E43=1,NF43=0),1000,0)+IF($H43=1,(IF('計算A'!DR$117=1,INDEX('計算A'!DR$10:DR$54,$B43),0))*500,0)-IF(AND('計算A'!DR$117=1,YP43&gt;0),300,0))),1000000))</f>
        <v/>
      </c>
      <c r="SV43">
        <f>IF($B43=0,1000000,IF(INDEX('計算A'!$D$60:$EQ$104,$B43,121)*HR43=1,IF(AND($E43=2,NG43=0),1000000,IF($I43&gt;0,IF(6=$J43,IF(OR(AND(121=$I43+1,OR($K43&lt;&gt;'計算A'!$A$3,'計算A'!$A$4=0)),AND(121=$I43-1,OR(1&lt;&gt;'計算A'!$A$3,'計算A'!$A$4=0))),0,IF(1=$K43,200000,ABS(1-$K43)*100)),100000+ABS(6-$J43)*1000+10)+'計算A'!DT$5*50+IF(AND($E43=1,NG43=0),25,0),INDEX('計算A'!DT$110:DT$114,$F43+1)+IF(AND($E43=1,NG43=0),1000,0)+IF($H43=1,(IF('計算A'!DT$117=1,INDEX('計算A'!DU$10:DU$54,$B43),0))*500,0)-IF(AND($L43=1,'計算A'!DT$117=1,HS43=0),300,0))),1000000))</f>
        <v/>
      </c>
      <c r="SW43">
        <f>IF($B43=0,1000000,IF(INDEX('計算A'!$D$60:$EQ$104,$B43,122)*HS43=1,IF(AND($E43=2,NH43=0),1000000,IF($I43&gt;0,IF(6=$J43,IF(OR(AND(122=$I43+1,OR($K43&lt;&gt;'計算A'!$A$3,'計算A'!$A$4=0)),AND(122=$I43-1,OR(2&lt;&gt;'計算A'!$A$3,'計算A'!$A$4=0))),0,IF(2=$K43,200000,ABS(2-$K43)*100)),100000+ABS(6-$J43)*1000+20)+'計算A'!DU$5*50+IF(AND($E43=1,NH43=0),25,0),INDEX('計算A'!DU$110:DU$114,$F43+1)+IF(AND($E43=1,NH43=0),1000,0)+IF($H43=1,(IF('計算A'!DT$117=1,INDEX('計算A'!DT$10:DT$54,$B43),0)+IF('計算A'!DU$117=1,INDEX('計算A'!DV$10:DV$54,$B43),0))*500,0)-IF(AND('計算A'!DT$117=1,YR43&gt;0),300,0)-IF(AND($L43=1,'計算A'!DU$117=1,HT43=0),300,0))),1000000))</f>
        <v/>
      </c>
      <c r="SX43">
        <f>IF($B43=0,1000000,IF(INDEX('計算A'!$D$60:$EQ$104,$B43,123)*HT43=1,IF(AND($E43=2,NI43=0),1000000,IF($I43&gt;0,IF(6=$J43,IF(OR(AND(123=$I43+1,OR($K43&lt;&gt;'計算A'!$A$3,'計算A'!$A$4=0)),AND(123=$I43-1,OR(3&lt;&gt;'計算A'!$A$3,'計算A'!$A$4=0))),0,IF(3=$K43,200000,ABS(3-$K43)*100)),100000+ABS(6-$J43)*1000+30)+'計算A'!DV$5*50+IF(AND($E43=1,NI43=0),25,0),INDEX('計算A'!DV$110:DV$114,$F43+1)+IF(AND($E43=1,NI43=0),1000,0)+IF($H43=1,(IF('計算A'!DU$117=1,INDEX('計算A'!DU$10:DU$54,$B43),0)+IF('計算A'!DV$117=1,INDEX('計算A'!DW$10:DW$54,$B43),0))*500,0)-IF(AND('計算A'!DU$117=1,YS43&gt;0),300,0)-IF(AND($L43=1,'計算A'!DV$117=1,HU43=0),300,0))),1000000))</f>
        <v/>
      </c>
      <c r="SY43">
        <f>IF($B43=0,1000000,IF(INDEX('計算A'!$D$60:$EQ$104,$B43,124)*HU43=1,IF(AND($E43=2,NJ43=0),1000000,IF($I43&gt;0,IF(6=$J43,IF(OR(AND(124=$I43+1,OR($K43&lt;&gt;'計算A'!$A$3,'計算A'!$A$4=0)),AND(124=$I43-1,OR(4&lt;&gt;'計算A'!$A$3,'計算A'!$A$4=0))),0,IF(4=$K43,200000,ABS(4-$K43)*100)),100000+ABS(6-$J43)*1000+40)+'計算A'!DW$5*50+IF(AND($E43=1,NJ43=0),25,0),INDEX('計算A'!DW$110:DW$114,$F43+1)+IF(AND($E43=1,NJ43=0),1000,0)+IF($H43=1,(IF('計算A'!DV$117=1,INDEX('計算A'!DV$10:DV$54,$B43),0)+IF('計算A'!DW$117=1,INDEX('計算A'!DX$10:DX$54,$B43),0))*500,0)-IF(AND('計算A'!DV$117=1,YT43&gt;0),300,0)-IF(AND($L43=1,'計算A'!DW$117=1,HV43=0),300,0))),1000000))</f>
        <v/>
      </c>
      <c r="SZ43">
        <f>IF($B43=0,1000000,IF(INDEX('計算A'!$D$60:$EQ$104,$B43,125)*HV43=1,IF(AND($E43=2,NK43=0),1000000,IF($I43&gt;0,IF(6=$J43,IF(OR(AND(125=$I43+1,OR($K43&lt;&gt;'計算A'!$A$3,'計算A'!$A$4=0)),AND(125=$I43-1,OR(5&lt;&gt;'計算A'!$A$3,'計算A'!$A$4=0))),0,IF(5=$K43,200000,ABS(5-$K43)*100)),100000+ABS(6-$J43)*1000+50)+'計算A'!DX$5*50+IF(AND($E43=1,NK43=0),25,0),INDEX('計算A'!DX$110:DX$114,$F43+1)+IF(AND($E43=1,NK43=0),1000,0)+IF($H43=1,(IF('計算A'!DW$117=1,INDEX('計算A'!DW$10:DW$54,$B43),0)+IF('計算A'!DX$117=1,INDEX('計算A'!DY$10:DY$54,$B43),0))*500,0)-IF(AND('計算A'!DW$117=1,YU43&gt;0),300,0)-IF(AND($L43=1,'計算A'!DX$117=1,HW43=0),300,0))),1000000))</f>
        <v/>
      </c>
      <c r="TA43">
        <f>IF($B43=0,1000000,IF(INDEX('計算A'!$D$60:$EQ$104,$B43,126)*HW43=1,IF(AND($E43=2,NL43=0),1000000,IF($I43&gt;0,IF(6=$J43,IF(OR(AND(126=$I43+1,OR($K43&lt;&gt;'計算A'!$A$3,'計算A'!$A$4=0)),AND(126=$I43-1,OR(6&lt;&gt;'計算A'!$A$3,'計算A'!$A$4=0))),0,IF(6=$K43,200000,ABS(6-$K43)*100)),100000+ABS(6-$J43)*1000+60)+'計算A'!DY$5*50+IF(AND($E43=1,NL43=0),25,0),INDEX('計算A'!DY$110:DY$114,$F43+1)+IF(AND($E43=1,NL43=0),1000,0)+IF($H43=1,(IF('計算A'!DX$117=1,INDEX('計算A'!DX$10:DX$54,$B43),0)+IF('計算A'!DY$117=1,INDEX('計算A'!DZ$10:DZ$54,$B43),0))*500,0)-IF(AND('計算A'!DX$117=1,YV43&gt;0),300,0)-IF(AND($L43=1,'計算A'!DY$117=1,HX43=0),300,0))),1000000))</f>
        <v/>
      </c>
      <c r="TB43">
        <f>IF($B43=0,1000000,IF(INDEX('計算A'!$D$60:$EQ$104,$B43,127)*HX43=1,IF(AND($E43=2,NM43=0),1000000,IF($I43&gt;0,IF(6=$J43,IF(OR(AND(127=$I43+1,OR($K43&lt;&gt;'計算A'!$A$3,'計算A'!$A$4=0)),AND(127=$I43-1,OR(7&lt;&gt;'計算A'!$A$3,'計算A'!$A$4=0))),0,IF(7=$K43,200000,ABS(7-$K43)*100)),100000+ABS(6-$J43)*1000+70)+'計算A'!DZ$5*50+IF(AND($E43=1,NM43=0),25,0),INDEX('計算A'!DZ$110:DZ$114,$F43+1)+IF(AND($E43=1,NM43=0),1000,0)+IF($H43=1,(IF('計算A'!DY$117=1,INDEX('計算A'!DY$10:DY$54,$B43),0)+IF('計算A'!DZ$117=1,INDEX('計算A'!EA$10:EA$54,$B43),0))*500,0)-IF(AND('計算A'!DY$117=1,YW43&gt;0),300,0)-IF(AND($L43=1,'計算A'!DZ$117=1,HY43=0),300,0))),1000000))</f>
        <v/>
      </c>
      <c r="TC43">
        <f>IF($B43=0,1000000,IF(INDEX('計算A'!$D$60:$EQ$104,$B43,128)*HY43=1,IF(AND($E43=2,NN43=0),1000000,IF($I43&gt;0,IF(6=$J43,IF(OR(AND(128=$I43+1,OR($K43&lt;&gt;'計算A'!$A$3,'計算A'!$A$4=0)),AND(128=$I43-1,OR(8&lt;&gt;'計算A'!$A$3,'計算A'!$A$4=0))),0,IF(8=$K43,200000,ABS(8-$K43)*100)),100000+ABS(6-$J43)*1000+80)+'計算A'!EA$5*50+IF(AND($E43=1,NN43=0),25,0),INDEX('計算A'!EA$110:EA$114,$F43+1)+IF(AND($E43=1,NN43=0),1000,0)+IF($H43=1,(IF('計算A'!DZ$117=1,INDEX('計算A'!DZ$10:DZ$54,$B43),0)+IF('計算A'!EA$117=1,INDEX('計算A'!EB$10:EB$54,$B43),0))*500,0)-IF(AND('計算A'!DZ$117=1,YX43&gt;0),300,0)-IF(AND($L43=1,'計算A'!EA$117=1,HZ43=0),300,0))),1000000))</f>
        <v/>
      </c>
      <c r="TD43">
        <f>IF($B43=0,1000000,IF(INDEX('計算A'!$D$60:$EQ$104,$B43,129)*HZ43=1,IF(AND($E43=2,NO43=0),1000000,IF($I43&gt;0,IF(6=$J43,IF(OR(AND(129=$I43+1,OR($K43&lt;&gt;'計算A'!$A$3,'計算A'!$A$4=0)),AND(129=$I43-1,OR(9&lt;&gt;'計算A'!$A$3,'計算A'!$A$4=0))),0,IF(9=$K43,200000,ABS(9-$K43)*100)),100000+ABS(6-$J43)*1000+90)+'計算A'!EB$5*50+IF(AND($E43=1,NO43=0),25,0),INDEX('計算A'!EB$110:EB$114,$F43+1)+IF(AND($E43=1,NO43=0),1000,0)+IF($H43=1,(IF('計算A'!EA$117=1,INDEX('計算A'!EA$10:EA$54,$B43),0)+IF('計算A'!EB$117=1,INDEX('計算A'!EC$10:EC$54,$B43),0))*500,0)-IF(AND('計算A'!EA$117=1,YY43&gt;0),300,0)-IF(AND($L43=1,'計算A'!EB$117=1,IA43=0),300,0))),1000000))</f>
        <v/>
      </c>
      <c r="TE43">
        <f>IF($B43=0,1000000,IF(INDEX('計算A'!$D$60:$EQ$104,$B43,130)*IA43=1,IF(AND($E43=2,NP43=0),1000000,IF($I43&gt;0,IF(6=$J43,IF(OR(AND(130=$I43+1,OR($K43&lt;&gt;'計算A'!$A$3,'計算A'!$A$4=0)),AND(130=$I43-1,OR(10&lt;&gt;'計算A'!$A$3,'計算A'!$A$4=0))),0,IF(10=$K43,200000,ABS(10-$K43)*100)),100000+ABS(6-$J43)*1000+100)+'計算A'!EC$5*50+IF(AND($E43=1,NP43=0),25,0),INDEX('計算A'!EC$110:EC$114,$F43+1)+IF(AND($E43=1,NP43=0),1000,0)+IF($H43=1,(IF('計算A'!EB$117=1,INDEX('計算A'!EB$10:EB$54,$B43),0)+IF('計算A'!EC$117=1,INDEX('計算A'!ED$10:ED$54,$B43),0))*500,0)-IF(AND('計算A'!EB$117=1,YZ43&gt;0),300,0)-IF(AND($L43=1,'計算A'!EC$117=1,IB43=0),300,0))),1000000))</f>
        <v/>
      </c>
      <c r="TF43">
        <f>IF($B43=0,1000000,IF(INDEX('計算A'!$D$60:$EQ$104,$B43,131)*IB43=1,IF(AND($E43=2,NQ43=0),1000000,IF($I43&gt;0,IF(6=$J43,IF(OR(AND(131=$I43+1,OR($K43&lt;&gt;'計算A'!$A$3,'計算A'!$A$4=0)),AND(131=$I43-1,OR(11&lt;&gt;'計算A'!$A$3,'計算A'!$A$4=0))),0,IF(11=$K43,200000,ABS(11-$K43)*100)),100000+ABS(6-$J43)*1000+110)+'計算A'!ED$5*50+IF(AND($E43=1,NQ43=0),25,0),INDEX('計算A'!ED$110:ED$114,$F43+1)+IF(AND($E43=1,NQ43=0),1000,0)+IF($H43=1,(IF('計算A'!EC$117=1,INDEX('計算A'!EC$10:EC$54,$B43),0)+IF('計算A'!ED$117=1,INDEX('計算A'!EE$10:EE$54,$B43),0))*500,0)-IF(AND('計算A'!EC$117=1,ZA43&gt;0),300,0)-IF(AND($L43=1,'計算A'!ED$117=1,IC43=0),300,0))),1000000))</f>
        <v/>
      </c>
      <c r="TG43">
        <f>IF($B43=0,1000000,IF(INDEX('計算A'!$D$60:$EQ$104,$B43,132)*IC43=1,IF(AND($E43=2,NR43=0),1000000,IF($I43&gt;0,IF(6=$J43,IF(OR(AND(132=$I43+1,OR($K43&lt;&gt;'計算A'!$A$3,'計算A'!$A$4=0)),AND(132=$I43-1,OR(12&lt;&gt;'計算A'!$A$3,'計算A'!$A$4=0))),0,IF(12=$K43,200000,ABS(12-$K43)*100)),100000+ABS(6-$J43)*1000+120)+'計算A'!EE$5*50+IF(AND($E43=1,NR43=0),25,0),INDEX('計算A'!EE$110:EE$114,$F43+1)+IF(AND($E43=1,NR43=0),1000,0)+IF($H43=1,(IF('計算A'!ED$117=1,INDEX('計算A'!ED$10:ED$54,$B43),0)+IF('計算A'!EE$117=1,INDEX('計算A'!EF$10:EF$54,$B43),0))*500,0)-IF(AND('計算A'!ED$117=1,ZB43&gt;0),300,0)-IF(AND($L43=1,'計算A'!EE$117=1,ID43=0),300,0))),1000000))</f>
        <v/>
      </c>
      <c r="TH43">
        <f>IF($B43=0,1000000,IF(INDEX('計算A'!$D$60:$EQ$104,$B43,133)*ID43=1,IF(AND($E43=2,NS43=0),1000000,IF($I43&gt;0,IF(6=$J43,IF(OR(AND(133=$I43+1,OR($K43&lt;&gt;'計算A'!$A$3,'計算A'!$A$4=0)),AND(133=$I43-1,OR(13&lt;&gt;'計算A'!$A$3,'計算A'!$A$4=0))),0,IF(13=$K43,200000,ABS(13-$K43)*100)),100000+ABS(6-$J43)*1000+130)+'計算A'!EF$5*50+IF(AND($E43=1,NS43=0),25,0),INDEX('計算A'!EF$110:EF$114,$F43+1)+IF(AND($E43=1,NS43=0),1000,0)+IF($H43=1,(IF('計算A'!EE$117=1,INDEX('計算A'!EE$10:EE$54,$B43),0)+IF('計算A'!EF$117=1,INDEX('計算A'!EG$10:EG$54,$B43),0))*500,0)-IF(AND('計算A'!EE$117=1,ZC43&gt;0),300,0)-IF(AND($L43=1,'計算A'!EF$117=1,IE43=0),300,0))),1000000))</f>
        <v/>
      </c>
      <c r="TI43">
        <f>IF($B43=0,1000000,IF(INDEX('計算A'!$D$60:$EQ$104,$B43,134)*IE43=1,IF(AND($E43=2,NT43=0),1000000,IF($I43&gt;0,IF(6=$J43,IF(OR(AND(134=$I43+1,OR($K43&lt;&gt;'計算A'!$A$3,'計算A'!$A$4=0)),AND(134=$I43-1,OR(14&lt;&gt;'計算A'!$A$3,'計算A'!$A$4=0))),0,IF(14=$K43,200000,ABS(14-$K43)*100)),100000+ABS(6-$J43)*1000+140)+'計算A'!EG$5*50+IF(AND($E43=1,NT43=0),25,0),INDEX('計算A'!EG$110:EG$114,$F43+1)+IF(AND($E43=1,NT43=0),1000,0)+IF($H43=1,(IF('計算A'!EF$117=1,INDEX('計算A'!EF$10:EF$54,$B43),0)+IF('計算A'!EG$117=1,INDEX('計算A'!EH$10:EH$54,$B43),0))*500,0)-IF(AND('計算A'!EF$117=1,ZD43&gt;0),300,0)-IF(AND($L43=1,'計算A'!EG$117=1,IF43=0),300,0))),1000000))</f>
        <v/>
      </c>
      <c r="TJ43">
        <f>IF($B43=0,1000000,IF(INDEX('計算A'!$D$60:$EQ$104,$B43,135)*IF43=1,IF(AND($E43=2,NU43=0),1000000,IF($I43&gt;0,IF(6=$J43,IF(OR(AND(135=$I43+1,OR($K43&lt;&gt;'計算A'!$A$3,'計算A'!$A$4=0)),AND(135=$I43-1,OR(15&lt;&gt;'計算A'!$A$3,'計算A'!$A$4=0))),0,IF(15=$K43,200000,ABS(15-$K43)*100)),100000+ABS(6-$J43)*1000+150)+'計算A'!EH$5*50+IF(AND($E43=1,NU43=0),25,0),INDEX('計算A'!EH$110:EH$114,$F43+1)+IF(AND($E43=1,NU43=0),1000,0)+IF($H43=1,(IF('計算A'!EG$117=1,INDEX('計算A'!EG$10:EG$54,$B43),0)+IF('計算A'!EH$117=1,INDEX('計算A'!EI$10:EI$54,$B43),0))*500,0)-IF(AND('計算A'!EG$117=1,ZE43&gt;0),300,0)-IF(AND($L43=1,'計算A'!EH$117=1,IG43=0),300,0))),1000000))</f>
        <v/>
      </c>
      <c r="TK43">
        <f>IF($B43=0,1000000,IF(INDEX('計算A'!$D$60:$EQ$104,$B43,136)*IG43=1,IF(AND($E43=2,NV43=0),1000000,IF($I43&gt;0,IF(6=$J43,IF(OR(AND(136=$I43+1,OR($K43&lt;&gt;'計算A'!$A$3,'計算A'!$A$4=0)),AND(136=$I43-1,OR(16&lt;&gt;'計算A'!$A$3,'計算A'!$A$4=0))),0,IF(16=$K43,200000,ABS(16-$K43)*100)),100000+ABS(6-$J43)*1000+160)+'計算A'!EI$5*50+IF(AND($E43=1,NV43=0),25,0),INDEX('計算A'!EI$110:EI$114,$F43+1)+IF(AND($E43=1,NV43=0),1000,0)+IF($H43=1,(IF('計算A'!EH$117=1,INDEX('計算A'!EH$10:EH$54,$B43),0)+IF('計算A'!EI$117=1,INDEX('計算A'!EJ$10:EJ$54,$B43),0))*500,0)-IF(AND('計算A'!EH$117=1,ZF43&gt;0),300,0)-IF(AND($L43=1,'計算A'!EI$117=1,IH43=0),300,0))),1000000))</f>
        <v/>
      </c>
      <c r="TL43">
        <f>IF($B43=0,1000000,IF(INDEX('計算A'!$D$60:$EQ$104,$B43,137)*IH43=1,IF(AND($E43=2,NW43=0),1000000,IF($I43&gt;0,IF(6=$J43,IF(OR(AND(137=$I43+1,OR($K43&lt;&gt;'計算A'!$A$3,'計算A'!$A$4=0)),AND(137=$I43-1,OR(17&lt;&gt;'計算A'!$A$3,'計算A'!$A$4=0))),0,IF(17=$K43,200000,ABS(17-$K43)*100)),100000+ABS(6-$J43)*1000+170)+'計算A'!EJ$5*50+IF(AND($E43=1,NW43=0),25,0),INDEX('計算A'!EJ$110:EJ$114,$F43+1)+IF(AND($E43=1,NW43=0),1000,0)+IF($H43=1,(IF('計算A'!EI$117=1,INDEX('計算A'!EI$10:EI$54,$B43),0)+IF('計算A'!EJ$117=1,INDEX('計算A'!EK$10:EK$54,$B43),0))*500,0)-IF(AND('計算A'!EI$117=1,ZG43&gt;0),300,0)-IF(AND($L43=1,'計算A'!EJ$117=1,II43=0),300,0))),1000000))</f>
        <v/>
      </c>
      <c r="TM43">
        <f>IF($B43=0,1000000,IF(INDEX('計算A'!$D$60:$EQ$104,$B43,138)*II43=1,IF(AND($E43=2,NX43=0),1000000,IF($I43&gt;0,IF(6=$J43,IF(OR(AND(138=$I43+1,OR($K43&lt;&gt;'計算A'!$A$3,'計算A'!$A$4=0)),AND(138=$I43-1,OR(18&lt;&gt;'計算A'!$A$3,'計算A'!$A$4=0))),0,IF(18=$K43,200000,ABS(18-$K43)*100)),100000+ABS(6-$J43)*1000+180)+'計算A'!EK$5*50+IF(AND($E43=1,NX43=0),25,0),INDEX('計算A'!EK$110:EK$114,$F43+1)+IF(AND($E43=1,NX43=0),1000,0)+IF($H43=1,(IF('計算A'!EJ$117=1,INDEX('計算A'!EJ$10:EJ$54,$B43),0)+IF('計算A'!EK$117=1,INDEX('計算A'!EL$10:EL$54,$B43),0))*500,0)-IF(AND('計算A'!EJ$117=1,ZH43&gt;0),300,0)-IF(AND($L43=1,'計算A'!EK$117=1,IJ43=0),300,0))),1000000))</f>
        <v/>
      </c>
      <c r="TN43">
        <f>IF($B43=0,1000000,IF(INDEX('計算A'!$D$60:$EQ$104,$B43,139)*IJ43=1,IF(AND($E43=2,NY43=0),1000000,IF($I43&gt;0,IF(6=$J43,IF(OR(AND(139=$I43+1,OR($K43&lt;&gt;'計算A'!$A$3,'計算A'!$A$4=0)),AND(139=$I43-1,OR(19&lt;&gt;'計算A'!$A$3,'計算A'!$A$4=0))),0,IF(19=$K43,200000,ABS(19-$K43)*100)),100000+ABS(6-$J43)*1000+190)+'計算A'!EL$5*50+IF(AND($E43=1,NY43=0),25,0),INDEX('計算A'!EL$110:EL$114,$F43+1)+IF(AND($E43=1,NY43=0),1000,0)+IF($H43=1,(IF('計算A'!EK$117=1,INDEX('計算A'!EK$10:EK$54,$B43),0)+IF('計算A'!EL$117=1,INDEX('計算A'!EM$10:EM$54,$B43),0))*500,0)-IF(AND('計算A'!EK$117=1,ZI43&gt;0),300,0)-IF(AND($L43=1,'計算A'!EL$117=1,IK43=0),300,0))),1000000))</f>
        <v/>
      </c>
      <c r="TO43">
        <f>IF($B43=0,1000000,IF(INDEX('計算A'!$D$60:$EQ$104,$B43,140)*IK43=1,IF(AND($E43=2,NZ43=0),1000000,IF($I43&gt;0,IF(6=$J43,IF(OR(AND(140=$I43+1,OR($K43&lt;&gt;'計算A'!$A$3,'計算A'!$A$4=0)),AND(140=$I43-1,OR(20&lt;&gt;'計算A'!$A$3,'計算A'!$A$4=0))),0,IF(20=$K43,200000,ABS(20-$K43)*100)),100000+ABS(6-$J43)*1000+200)+'計算A'!EM$5*50+IF(AND($E43=1,NZ43=0),25,0),INDEX('計算A'!EM$110:EM$114,$F43+1)+IF(AND($E43=1,NZ43=0),1000,0)+IF($H43=1,(IF('計算A'!EL$117=1,INDEX('計算A'!EL$10:EL$54,$B43),0)+IF('計算A'!EM$117=1,INDEX('計算A'!EN$10:EN$54,$B43),0))*500,0)-IF(AND('計算A'!EL$117=1,ZJ43&gt;0),300,0)-IF(AND($L43=1,'計算A'!EM$117=1,IL43=0),300,0))),1000000))</f>
        <v/>
      </c>
      <c r="TP43">
        <f>IF($B43=0,1000000,IF(INDEX('計算A'!$D$60:$EQ$104,$B43,141)*IL43=1,IF(AND($E43=2,OA43=0),1000000,IF($I43&gt;0,IF(6=$J43,IF(OR(AND(141=$I43+1,OR($K43&lt;&gt;'計算A'!$A$3,'計算A'!$A$4=0)),AND(141=$I43-1,OR(21&lt;&gt;'計算A'!$A$3,'計算A'!$A$4=0))),0,IF(21=$K43,200000,ABS(21-$K43)*100)),100000+ABS(6-$J43)*1000+210)+'計算A'!EN$5*50+IF(AND($E43=1,OA43=0),25,0),INDEX('計算A'!EN$110:EN$114,$F43+1)+IF(AND($E43=1,OA43=0),1000,0)+IF($H43=1,(IF('計算A'!EM$117=1,INDEX('計算A'!EM$10:EM$54,$B43),0)+IF('計算A'!EN$117=1,INDEX('計算A'!EO$10:EO$54,$B43),0))*500,0)-IF(AND('計算A'!EM$117=1,ZK43&gt;0),300,0)-IF(AND($L43=1,'計算A'!EN$117=1,IM43=0),300,0))),1000000))</f>
        <v/>
      </c>
      <c r="TQ43">
        <f>IF($B43=0,1000000,IF(INDEX('計算A'!$D$60:$EQ$104,$B43,142)*IM43=1,IF(AND($E43=2,OB43=0),1000000,IF($I43&gt;0,IF(6=$J43,IF(OR(AND(142=$I43+1,OR($K43&lt;&gt;'計算A'!$A$3,'計算A'!$A$4=0)),AND(142=$I43-1,OR(22&lt;&gt;'計算A'!$A$3,'計算A'!$A$4=0))),0,IF(22=$K43,200000,ABS(22-$K43)*100)),100000+ABS(6-$J43)*1000+220)+'計算A'!EO$5*50+IF(AND($E43=1,OB43=0),25,0),INDEX('計算A'!EO$110:EO$114,$F43+1)+IF(AND($E43=1,OB43=0),1000,0)+IF($H43=1,(IF('計算A'!EN$117=1,INDEX('計算A'!EN$10:EN$54,$B43),0)+IF('計算A'!EO$117=1,INDEX('計算A'!EP$10:EP$54,$B43),0))*500,0)-IF(AND('計算A'!EN$117=1,ZL43&gt;0),300,0)-IF(AND($L43=1,'計算A'!EO$117=1,IN43=0),300,0))),1000000))</f>
        <v/>
      </c>
      <c r="TR43">
        <f>IF($B43=0,1000000,IF(INDEX('計算A'!$D$60:$EQ$104,$B43,143)*IN43=1,IF(AND($E43=2,OC43=0),1000000,IF($I43&gt;0,IF(6=$J43,IF(OR(AND(143=$I43+1,OR($K43&lt;&gt;'計算A'!$A$3,'計算A'!$A$4=0)),AND(143=$I43-1,OR(23&lt;&gt;'計算A'!$A$3,'計算A'!$A$4=0))),0,IF(23=$K43,200000,ABS(23-$K43)*100)),100000+ABS(6-$J43)*1000+230)+'計算A'!EP$5*50+IF(AND($E43=1,OC43=0),25,0),INDEX('計算A'!EP$110:EP$114,$F43+1)+IF(AND($E43=1,OC43=0),1000,0)+IF($H43=1,(IF('計算A'!EO$117=1,INDEX('計算A'!EO$10:EO$54,$B43),0)+IF('計算A'!EP$117=1,INDEX('計算A'!EQ$10:EQ$54,$B43),0))*500,0)-IF(AND('計算A'!EO$117=1,ZM43&gt;0),300,0)-IF(AND($L43=1,'計算A'!EP$117=1,IO43=0),300,0))),1000000))</f>
        <v/>
      </c>
      <c r="TS43">
        <f>IF($B43=0,1000000,IF(INDEX('計算A'!$D$60:$EQ$104,$B43,144)*IO43=1,IF(AND($E43=2,OD43=0),1000000,IF($I43&gt;0,IF(6=$J43,IF(OR(AND(144=$I43+1,OR($K43&lt;&gt;'計算A'!$A$3,'計算A'!$A$4=0)),AND(144=$I43-1,OR(24&lt;&gt;'計算A'!$A$3,'計算A'!$A$4=0))),0,IF(24=$K43,200000,ABS(24-$K43)*100)),100000+ABS(6-$J43)*1000+240)+'計算A'!EQ$5*50+IF(AND($E43=1,OD43=0),25,0),INDEX('計算A'!EQ$110:EQ$114,$F43+1)+IF(AND($E43=1,OD43=0),1000,0)+IF($H43=1,(IF('計算A'!EP$117=1,INDEX('計算A'!EP$10:EP$54,$B43),0))*500,0)-IF(AND('計算A'!EP$117=1,ZN43&gt;0),300,0))),1000000))</f>
        <v/>
      </c>
      <c r="UB43">
        <f>UB42+IF(AND($C42=1,$L42=1),1,0)</f>
        <v/>
      </c>
      <c r="UC43">
        <f>UC42+IF(AND($C42=2,$L42=1),1,0)</f>
        <v/>
      </c>
      <c r="UD43">
        <f>UD42+IF(AND($C42=3,$L42=1),1,0)</f>
        <v/>
      </c>
      <c r="UE43">
        <f>UE42+IF(AND($C42=4,$L42=1),1,0)</f>
        <v/>
      </c>
      <c r="UF43">
        <f>UF42+IF(AND($C42=5,$L42=1),1,0)</f>
        <v/>
      </c>
      <c r="UG43">
        <f>UG42+IF(AND($C42=6,$L42=1),1,0)</f>
        <v/>
      </c>
      <c r="UH43">
        <f>UH42+IF(AND($C42=7,$L42=1),1,0)</f>
        <v/>
      </c>
      <c r="UI43">
        <f>UI42+IF(AND($C42=8,$L42=1),1,0)</f>
        <v/>
      </c>
      <c r="UJ43">
        <f>UJ42+IF(AND($C42=9,$L42=1),1,0)</f>
        <v/>
      </c>
      <c r="UK43">
        <f>UK42+IF(AND($C42=10,$L42=1),1,0)</f>
        <v/>
      </c>
      <c r="UL43">
        <f>UL42+IF(AND($C42=11,$L42=1),1,0)</f>
        <v/>
      </c>
      <c r="UM43">
        <f>UM42+IF(AND($C42=12,$L42=1),1,0)</f>
        <v/>
      </c>
      <c r="UN43">
        <f>UN42+IF(AND($C42=13,$L42=1),1,0)</f>
        <v/>
      </c>
      <c r="UO43">
        <f>UO42+IF(AND($C42=14,$L42=1),1,0)</f>
        <v/>
      </c>
      <c r="UP43">
        <f>UP42+IF(AND($C42=15,$L42=1),1,0)</f>
        <v/>
      </c>
      <c r="UQ43">
        <f>UQ42+IF(AND($C42=16,$L42=1),1,0)</f>
        <v/>
      </c>
      <c r="UR43">
        <f>UR42+IF(AND($C42=17,$L42=1),1,0)</f>
        <v/>
      </c>
      <c r="US43">
        <f>US42+IF(AND($C42=18,$L42=1),1,0)</f>
        <v/>
      </c>
      <c r="UT43">
        <f>UT42+IF(AND($C42=19,$L42=1),1,0)</f>
        <v/>
      </c>
      <c r="UU43">
        <f>UU42+IF(AND($C42=20,$L42=1),1,0)</f>
        <v/>
      </c>
      <c r="UV43">
        <f>UV42+IF(AND($C42=21,$L42=1),1,0)</f>
        <v/>
      </c>
      <c r="UW43">
        <f>UW42+IF(AND($C42=22,$L42=1),1,0)</f>
        <v/>
      </c>
      <c r="UX43">
        <f>UX42+IF(AND($C42=23,$L42=1),1,0)</f>
        <v/>
      </c>
      <c r="UY43">
        <f>UY42+IF(AND($C42=24,$L42=1),1,0)</f>
        <v/>
      </c>
      <c r="UZ43">
        <f>UZ42+IF(AND($C42=25,$L42=1),1,0)</f>
        <v/>
      </c>
      <c r="VA43">
        <f>VA42+IF(AND($C42=26,$L42=1),1,0)</f>
        <v/>
      </c>
      <c r="VB43">
        <f>VB42+IF(AND($C42=27,$L42=1),1,0)</f>
        <v/>
      </c>
      <c r="VC43">
        <f>VC42+IF(AND($C42=28,$L42=1),1,0)</f>
        <v/>
      </c>
      <c r="VD43">
        <f>VD42+IF(AND($C42=29,$L42=1),1,0)</f>
        <v/>
      </c>
      <c r="VE43">
        <f>VE42+IF(AND($C42=30,$L42=1),1,0)</f>
        <v/>
      </c>
      <c r="VF43">
        <f>VF42+IF(AND($C42=31,$L42=1),1,0)</f>
        <v/>
      </c>
      <c r="VG43">
        <f>VG42+IF(AND($C42=32,$L42=1),1,0)</f>
        <v/>
      </c>
      <c r="VH43">
        <f>VH42+IF(AND($C42=33,$L42=1),1,0)</f>
        <v/>
      </c>
      <c r="VI43">
        <f>VI42+IF(AND($C42=34,$L42=1),1,0)</f>
        <v/>
      </c>
      <c r="VJ43">
        <f>VJ42+IF(AND($C42=35,$L42=1),1,0)</f>
        <v/>
      </c>
      <c r="VK43">
        <f>VK42+IF(AND($C42=36,$L42=1),1,0)</f>
        <v/>
      </c>
      <c r="VL43">
        <f>VL42+IF(AND($C42=37,$L42=1),1,0)</f>
        <v/>
      </c>
      <c r="VM43">
        <f>VM42+IF(AND($C42=38,$L42=1),1,0)</f>
        <v/>
      </c>
      <c r="VN43">
        <f>VN42+IF(AND($C42=39,$L42=1),1,0)</f>
        <v/>
      </c>
      <c r="VO43">
        <f>VO42+IF(AND($C42=40,$L42=1),1,0)</f>
        <v/>
      </c>
      <c r="VP43">
        <f>VP42+IF(AND($C42=41,$L42=1),1,0)</f>
        <v/>
      </c>
      <c r="VQ43">
        <f>VQ42+IF(AND($C42=42,$L42=1),1,0)</f>
        <v/>
      </c>
      <c r="VR43">
        <f>VR42+IF(AND($C42=43,$L42=1),1,0)</f>
        <v/>
      </c>
      <c r="VS43">
        <f>VS42+IF(AND($C42=44,$L42=1),1,0)</f>
        <v/>
      </c>
      <c r="VT43">
        <f>VT42+IF(AND($C42=45,$L42=1),1,0)</f>
        <v/>
      </c>
      <c r="VU43">
        <f>VU42+IF(AND($C42=46,$L42=1),1,0)</f>
        <v/>
      </c>
      <c r="VV43">
        <f>VV42+IF(AND($C42=47,$L42=1),1,0)</f>
        <v/>
      </c>
      <c r="VW43">
        <f>VW42+IF(AND($C42=48,$L42=1),1,0)</f>
        <v/>
      </c>
      <c r="VX43">
        <f>VX42+IF(AND($C42=49,$L42=1),1,0)</f>
        <v/>
      </c>
      <c r="VY43">
        <f>VY42+IF(AND($C42=50,$L42=1),1,0)</f>
        <v/>
      </c>
      <c r="VZ43">
        <f>VZ42+IF(AND($C42=51,$L42=1),1,0)</f>
        <v/>
      </c>
      <c r="WA43">
        <f>WA42+IF(AND($C42=52,$L42=1),1,0)</f>
        <v/>
      </c>
      <c r="WB43">
        <f>WB42+IF(AND($C42=53,$L42=1),1,0)</f>
        <v/>
      </c>
      <c r="WC43">
        <f>WC42+IF(AND($C42=54,$L42=1),1,0)</f>
        <v/>
      </c>
      <c r="WD43">
        <f>WD42+IF(AND($C42=55,$L42=1),1,0)</f>
        <v/>
      </c>
      <c r="WE43">
        <f>WE42+IF(AND($C42=56,$L42=1),1,0)</f>
        <v/>
      </c>
      <c r="WF43">
        <f>WF42+IF(AND($C42=57,$L42=1),1,0)</f>
        <v/>
      </c>
      <c r="WG43">
        <f>WG42+IF(AND($C42=58,$L42=1),1,0)</f>
        <v/>
      </c>
      <c r="WH43">
        <f>WH42+IF(AND($C42=59,$L42=1),1,0)</f>
        <v/>
      </c>
      <c r="WI43">
        <f>WI42+IF(AND($C42=60,$L42=1),1,0)</f>
        <v/>
      </c>
      <c r="WJ43">
        <f>WJ42+IF(AND($C42=61,$L42=1),1,0)</f>
        <v/>
      </c>
      <c r="WK43">
        <f>WK42+IF(AND($C42=62,$L42=1),1,0)</f>
        <v/>
      </c>
      <c r="WL43">
        <f>WL42+IF(AND($C42=63,$L42=1),1,0)</f>
        <v/>
      </c>
      <c r="WM43">
        <f>WM42+IF(AND($C42=64,$L42=1),1,0)</f>
        <v/>
      </c>
      <c r="WN43">
        <f>WN42+IF(AND($C42=65,$L42=1),1,0)</f>
        <v/>
      </c>
      <c r="WO43">
        <f>WO42+IF(AND($C42=66,$L42=1),1,0)</f>
        <v/>
      </c>
      <c r="WP43">
        <f>WP42+IF(AND($C42=67,$L42=1),1,0)</f>
        <v/>
      </c>
      <c r="WQ43">
        <f>WQ42+IF(AND($C42=68,$L42=1),1,0)</f>
        <v/>
      </c>
      <c r="WR43">
        <f>WR42+IF(AND($C42=69,$L42=1),1,0)</f>
        <v/>
      </c>
      <c r="WS43">
        <f>WS42+IF(AND($C42=70,$L42=1),1,0)</f>
        <v/>
      </c>
      <c r="WT43">
        <f>WT42+IF(AND($C42=71,$L42=1),1,0)</f>
        <v/>
      </c>
      <c r="WU43">
        <f>WU42+IF(AND($C42=72,$L42=1),1,0)</f>
        <v/>
      </c>
      <c r="WV43">
        <f>WV42+IF(AND($C42=73,$L42=1),1,0)</f>
        <v/>
      </c>
      <c r="WW43">
        <f>WW42+IF(AND($C42=74,$L42=1),1,0)</f>
        <v/>
      </c>
      <c r="WX43">
        <f>WX42+IF(AND($C42=75,$L42=1),1,0)</f>
        <v/>
      </c>
      <c r="WY43">
        <f>WY42+IF(AND($C42=76,$L42=1),1,0)</f>
        <v/>
      </c>
      <c r="WZ43">
        <f>WZ42+IF(AND($C42=77,$L42=1),1,0)</f>
        <v/>
      </c>
      <c r="XA43">
        <f>XA42+IF(AND($C42=78,$L42=1),1,0)</f>
        <v/>
      </c>
      <c r="XB43">
        <f>XB42+IF(AND($C42=79,$L42=1),1,0)</f>
        <v/>
      </c>
      <c r="XC43">
        <f>XC42+IF(AND($C42=80,$L42=1),1,0)</f>
        <v/>
      </c>
      <c r="XD43">
        <f>XD42+IF(AND($C42=81,$L42=1),1,0)</f>
        <v/>
      </c>
      <c r="XE43">
        <f>XE42+IF(AND($C42=82,$L42=1),1,0)</f>
        <v/>
      </c>
      <c r="XF43">
        <f>XF42+IF(AND($C42=83,$L42=1),1,0)</f>
        <v/>
      </c>
      <c r="XG43">
        <f>XG42+IF(AND($C42=84,$L42=1),1,0)</f>
        <v/>
      </c>
      <c r="XH43">
        <f>XH42+IF(AND($C42=85,$L42=1),1,0)</f>
        <v/>
      </c>
      <c r="XI43">
        <f>XI42+IF(AND($C42=86,$L42=1),1,0)</f>
        <v/>
      </c>
      <c r="XJ43">
        <f>XJ42+IF(AND($C42=87,$L42=1),1,0)</f>
        <v/>
      </c>
      <c r="XK43">
        <f>XK42+IF(AND($C42=88,$L42=1),1,0)</f>
        <v/>
      </c>
      <c r="XL43">
        <f>XL42+IF(AND($C42=89,$L42=1),1,0)</f>
        <v/>
      </c>
      <c r="XM43">
        <f>XM42+IF(AND($C42=90,$L42=1),1,0)</f>
        <v/>
      </c>
      <c r="XN43">
        <f>XN42+IF(AND($C42=91,$L42=1),1,0)</f>
        <v/>
      </c>
      <c r="XO43">
        <f>XO42+IF(AND($C42=92,$L42=1),1,0)</f>
        <v/>
      </c>
      <c r="XP43">
        <f>XP42+IF(AND($C42=93,$L42=1),1,0)</f>
        <v/>
      </c>
      <c r="XQ43">
        <f>XQ42+IF(AND($C42=94,$L42=1),1,0)</f>
        <v/>
      </c>
      <c r="XR43">
        <f>XR42+IF(AND($C42=95,$L42=1),1,0)</f>
        <v/>
      </c>
      <c r="XS43">
        <f>XS42+IF(AND($C42=96,$L42=1),1,0)</f>
        <v/>
      </c>
      <c r="XT43">
        <f>XT42+IF(AND($C42=97,$L42=1),1,0)</f>
        <v/>
      </c>
      <c r="XU43">
        <f>XU42+IF(AND($C42=98,$L42=1),1,0)</f>
        <v/>
      </c>
      <c r="XV43">
        <f>XV42+IF(AND($C42=99,$L42=1),1,0)</f>
        <v/>
      </c>
      <c r="XW43">
        <f>XW42+IF(AND($C42=100,$L42=1),1,0)</f>
        <v/>
      </c>
      <c r="XX43">
        <f>XX42+IF(AND($C42=101,$L42=1),1,0)</f>
        <v/>
      </c>
      <c r="XY43">
        <f>XY42+IF(AND($C42=102,$L42=1),1,0)</f>
        <v/>
      </c>
      <c r="XZ43">
        <f>XZ42+IF(AND($C42=103,$L42=1),1,0)</f>
        <v/>
      </c>
      <c r="YA43">
        <f>YA42+IF(AND($C42=104,$L42=1),1,0)</f>
        <v/>
      </c>
      <c r="YB43">
        <f>YB42+IF(AND($C42=105,$L42=1),1,0)</f>
        <v/>
      </c>
      <c r="YC43">
        <f>YC42+IF(AND($C42=106,$L42=1),1,0)</f>
        <v/>
      </c>
      <c r="YD43">
        <f>YD42+IF(AND($C42=107,$L42=1),1,0)</f>
        <v/>
      </c>
      <c r="YE43">
        <f>YE42+IF(AND($C42=108,$L42=1),1,0)</f>
        <v/>
      </c>
      <c r="YF43">
        <f>YF42+IF(AND($C42=109,$L42=1),1,0)</f>
        <v/>
      </c>
      <c r="YG43">
        <f>YG42+IF(AND($C42=110,$L42=1),1,0)</f>
        <v/>
      </c>
      <c r="YH43">
        <f>YH42+IF(AND($C42=111,$L42=1),1,0)</f>
        <v/>
      </c>
      <c r="YI43">
        <f>YI42+IF(AND($C42=112,$L42=1),1,0)</f>
        <v/>
      </c>
      <c r="YJ43">
        <f>YJ42+IF(AND($C42=113,$L42=1),1,0)</f>
        <v/>
      </c>
      <c r="YK43">
        <f>YK42+IF(AND($C42=114,$L42=1),1,0)</f>
        <v/>
      </c>
      <c r="YL43">
        <f>YL42+IF(AND($C42=115,$L42=1),1,0)</f>
        <v/>
      </c>
      <c r="YM43">
        <f>YM42+IF(AND($C42=116,$L42=1),1,0)</f>
        <v/>
      </c>
      <c r="YN43">
        <f>YN42+IF(AND($C42=117,$L42=1),1,0)</f>
        <v/>
      </c>
      <c r="YO43">
        <f>YO42+IF(AND($C42=118,$L42=1),1,0)</f>
        <v/>
      </c>
      <c r="YP43">
        <f>YP42+IF(AND($C42=119,$L42=1),1,0)</f>
        <v/>
      </c>
      <c r="YQ43">
        <f>YQ42+IF(AND($C42=120,$L42=1),1,0)</f>
        <v/>
      </c>
      <c r="YR43">
        <f>YR42+IF(AND($C42=121,$L42=1),1,0)</f>
        <v/>
      </c>
      <c r="YS43">
        <f>YS42+IF(AND($C42=122,$L42=1),1,0)</f>
        <v/>
      </c>
      <c r="YT43">
        <f>YT42+IF(AND($C42=123,$L42=1),1,0)</f>
        <v/>
      </c>
      <c r="YU43">
        <f>YU42+IF(AND($C42=124,$L42=1),1,0)</f>
        <v/>
      </c>
      <c r="YV43">
        <f>YV42+IF(AND($C42=125,$L42=1),1,0)</f>
        <v/>
      </c>
      <c r="YW43">
        <f>YW42+IF(AND($C42=126,$L42=1),1,0)</f>
        <v/>
      </c>
      <c r="YX43">
        <f>YX42+IF(AND($C42=127,$L42=1),1,0)</f>
        <v/>
      </c>
      <c r="YY43">
        <f>YY42+IF(AND($C42=128,$L42=1),1,0)</f>
        <v/>
      </c>
      <c r="YZ43">
        <f>YZ42+IF(AND($C42=129,$L42=1),1,0)</f>
        <v/>
      </c>
      <c r="ZA43">
        <f>ZA42+IF(AND($C42=130,$L42=1),1,0)</f>
        <v/>
      </c>
      <c r="ZB43">
        <f>ZB42+IF(AND($C42=131,$L42=1),1,0)</f>
        <v/>
      </c>
      <c r="ZC43">
        <f>ZC42+IF(AND($C42=132,$L42=1),1,0)</f>
        <v/>
      </c>
      <c r="ZD43">
        <f>ZD42+IF(AND($C42=133,$L42=1),1,0)</f>
        <v/>
      </c>
      <c r="ZE43">
        <f>ZE42+IF(AND($C42=134,$L42=1),1,0)</f>
        <v/>
      </c>
      <c r="ZF43">
        <f>ZF42+IF(AND($C42=135,$L42=1),1,0)</f>
        <v/>
      </c>
      <c r="ZG43">
        <f>ZG42+IF(AND($C42=136,$L42=1),1,0)</f>
        <v/>
      </c>
      <c r="ZH43">
        <f>ZH42+IF(AND($C42=137,$L42=1),1,0)</f>
        <v/>
      </c>
      <c r="ZI43">
        <f>ZI42+IF(AND($C42=138,$L42=1),1,0)</f>
        <v/>
      </c>
      <c r="ZJ43">
        <f>ZJ42+IF(AND($C42=139,$L42=1),1,0)</f>
        <v/>
      </c>
      <c r="ZK43">
        <f>ZK42+IF(AND($C42=140,$L42=1),1,0)</f>
        <v/>
      </c>
      <c r="ZL43">
        <f>ZL42+IF(AND($C42=141,$L42=1),1,0)</f>
        <v/>
      </c>
      <c r="ZM43">
        <f>ZM42+IF(AND($C42=142,$L42=1),1,0)</f>
        <v/>
      </c>
      <c r="ZN43">
        <f>ZN42+IF(AND($C42=143,$L42=1),1,0)</f>
        <v/>
      </c>
      <c r="ZO43">
        <f>ZO42+IF(AND($C42=144,$L42=1),1,0)</f>
        <v/>
      </c>
    </row>
    <row r="44">
      <c r="A44" t="n">
        <v>42</v>
      </c>
      <c r="B44">
        <f>IF(MIN(BH44:CZ44)&gt;=1000000,0,MATCH(MIN(BH44:CZ44),BH44:CZ44,0))</f>
        <v/>
      </c>
      <c r="C44">
        <f>IF(MIN(OF44:TS44)&gt;=1000000,0,MATCH(MIN(OF44:TS44),OF44:TS44,0))</f>
        <v/>
      </c>
      <c r="D44">
        <f>IF(C44&gt;0,INDEX('計算A'!$D$5:$EQ$5,C44),0)</f>
        <v/>
      </c>
      <c r="E44">
        <f>IF(B44=0,0,INDEX('計算A'!$IQ$10:$IQ$54,B44))</f>
        <v/>
      </c>
      <c r="F44">
        <f>IF(B44=0,0,INDEX('計算A'!$IP$10:$IP$54,B44))</f>
        <v/>
      </c>
      <c r="G44">
        <f>IF(AND(C44&gt;0,E44&gt;0),IF(AND(INDEX('計算A'!$D$106:$EQ$106,C44)=1,INDEX($IQ44:$OD44,C44)=1),C44+1,0),0)</f>
        <v/>
      </c>
      <c r="H44">
        <f>IF(B44=0,0,INDEX('計算A'!$IW$10:$IW$54,B44))</f>
        <v/>
      </c>
      <c r="I44">
        <f>IF(B44=0,0,MAX(0,INDEX('計算A'!$IT$10:$IT$54,B44)))</f>
        <v/>
      </c>
      <c r="J44">
        <f>IF(I44=0,0,INDEX('計算A'!$D$2:$EQ$2,I44))</f>
        <v/>
      </c>
      <c r="K44">
        <f>IF(I44=0,0,INDEX('計算A'!$D$3:$EQ$3,I44))</f>
        <v/>
      </c>
      <c r="L44">
        <f>IF(B44=0,0,INDEX('計算A'!$IX$10:$IX$54,B44))</f>
        <v/>
      </c>
      <c r="N44">
        <f>MAX(N43,IF($B43=1,1,0))</f>
        <v/>
      </c>
      <c r="O44">
        <f>MAX(O43,IF($B43=2,1,0))</f>
        <v/>
      </c>
      <c r="P44">
        <f>MAX(P43,IF($B43=3,1,0))</f>
        <v/>
      </c>
      <c r="Q44">
        <f>MAX(Q43,IF($B43=4,1,0))</f>
        <v/>
      </c>
      <c r="R44">
        <f>MAX(R43,IF($B43=5,1,0))</f>
        <v/>
      </c>
      <c r="S44">
        <f>MAX(S43,IF($B43=6,1,0))</f>
        <v/>
      </c>
      <c r="T44">
        <f>MAX(T43,IF($B43=7,1,0))</f>
        <v/>
      </c>
      <c r="U44">
        <f>MAX(U43,IF($B43=8,1,0))</f>
        <v/>
      </c>
      <c r="V44">
        <f>MAX(V43,IF($B43=9,1,0))</f>
        <v/>
      </c>
      <c r="W44">
        <f>MAX(W43,IF($B43=10,1,0))</f>
        <v/>
      </c>
      <c r="X44">
        <f>MAX(X43,IF($B43=11,1,0))</f>
        <v/>
      </c>
      <c r="Y44">
        <f>MAX(Y43,IF($B43=12,1,0))</f>
        <v/>
      </c>
      <c r="Z44">
        <f>MAX(Z43,IF($B43=13,1,0))</f>
        <v/>
      </c>
      <c r="AA44">
        <f>MAX(AA43,IF($B43=14,1,0))</f>
        <v/>
      </c>
      <c r="AB44">
        <f>MAX(AB43,IF($B43=15,1,0))</f>
        <v/>
      </c>
      <c r="AC44">
        <f>MAX(AC43,IF($B43=16,1,0))</f>
        <v/>
      </c>
      <c r="AD44">
        <f>MAX(AD43,IF($B43=17,1,0))</f>
        <v/>
      </c>
      <c r="AE44">
        <f>MAX(AE43,IF($B43=18,1,0))</f>
        <v/>
      </c>
      <c r="AF44">
        <f>MAX(AF43,IF($B43=19,1,0))</f>
        <v/>
      </c>
      <c r="AG44">
        <f>MAX(AG43,IF($B43=20,1,0))</f>
        <v/>
      </c>
      <c r="AH44">
        <f>MAX(AH43,IF($B43=21,1,0))</f>
        <v/>
      </c>
      <c r="AI44">
        <f>MAX(AI43,IF($B43=22,1,0))</f>
        <v/>
      </c>
      <c r="AJ44">
        <f>MAX(AJ43,IF($B43=23,1,0))</f>
        <v/>
      </c>
      <c r="AK44">
        <f>MAX(AK43,IF($B43=24,1,0))</f>
        <v/>
      </c>
      <c r="AL44">
        <f>MAX(AL43,IF($B43=25,1,0))</f>
        <v/>
      </c>
      <c r="AM44">
        <f>MAX(AM43,IF($B43=26,1,0))</f>
        <v/>
      </c>
      <c r="AN44">
        <f>MAX(AN43,IF($B43=27,1,0))</f>
        <v/>
      </c>
      <c r="AO44">
        <f>MAX(AO43,IF($B43=28,1,0))</f>
        <v/>
      </c>
      <c r="AP44">
        <f>MAX(AP43,IF($B43=29,1,0))</f>
        <v/>
      </c>
      <c r="AQ44">
        <f>MAX(AQ43,IF($B43=30,1,0))</f>
        <v/>
      </c>
      <c r="AR44">
        <f>MAX(AR43,IF($B43=31,1,0))</f>
        <v/>
      </c>
      <c r="AS44">
        <f>MAX(AS43,IF($B43=32,1,0))</f>
        <v/>
      </c>
      <c r="AT44">
        <f>MAX(AT43,IF($B43=33,1,0))</f>
        <v/>
      </c>
      <c r="AU44">
        <f>MAX(AU43,IF($B43=34,1,0))</f>
        <v/>
      </c>
      <c r="AV44">
        <f>MAX(AV43,IF($B43=35,1,0))</f>
        <v/>
      </c>
      <c r="AW44">
        <f>MAX(AW43,IF($B43=36,1,0))</f>
        <v/>
      </c>
      <c r="AX44">
        <f>MAX(AX43,IF($B43=37,1,0))</f>
        <v/>
      </c>
      <c r="AY44">
        <f>MAX(AY43,IF($B43=38,1,0))</f>
        <v/>
      </c>
      <c r="AZ44">
        <f>MAX(AZ43,IF($B43=39,1,0))</f>
        <v/>
      </c>
      <c r="BA44">
        <f>MAX(BA43,IF($B43=40,1,0))</f>
        <v/>
      </c>
      <c r="BB44">
        <f>MAX(BB43,IF($B43=41,1,0))</f>
        <v/>
      </c>
      <c r="BC44">
        <f>MAX(BC43,IF($B43=42,1,0))</f>
        <v/>
      </c>
      <c r="BD44">
        <f>MAX(BD43,IF($B43=43,1,0))</f>
        <v/>
      </c>
      <c r="BE44">
        <f>MAX(BE43,IF($B43=44,1,0))</f>
        <v/>
      </c>
      <c r="BF44">
        <f>MAX(BF43,IF($B43=45,1,0))</f>
        <v/>
      </c>
      <c r="BH44">
        <f>IF(N44=1,1000000,IF('計算A'!$IT$10&gt;0,0,500000)+IF('計算A'!$IQ$10=2,SUMPRODUCT('計算A'!$D$60:$EQ$60,$DB44:$IO44,$IQ44:$OD44),SUMPRODUCT('計算A'!$D$60:$EQ$60,$DB44:$IO44))*1000+1)</f>
        <v/>
      </c>
      <c r="BI44">
        <f>IF(O44=1,1000000,IF('計算A'!$IT$11&gt;0,0,500000)+IF('計算A'!$IQ$11=2,SUMPRODUCT('計算A'!$D$61:$EQ$61,$DB44:$IO44,$IQ44:$OD44),SUMPRODUCT('計算A'!$D$61:$EQ$61,$DB44:$IO44))*1000+2)</f>
        <v/>
      </c>
      <c r="BJ44">
        <f>IF(P44=1,1000000,IF('計算A'!$IT$12&gt;0,0,500000)+IF('計算A'!$IQ$12=2,SUMPRODUCT('計算A'!$D$62:$EQ$62,$DB44:$IO44,$IQ44:$OD44),SUMPRODUCT('計算A'!$D$62:$EQ$62,$DB44:$IO44))*1000+3)</f>
        <v/>
      </c>
      <c r="BK44">
        <f>IF(Q44=1,1000000,IF('計算A'!$IT$13&gt;0,0,500000)+IF('計算A'!$IQ$13=2,SUMPRODUCT('計算A'!$D$63:$EQ$63,$DB44:$IO44,$IQ44:$OD44),SUMPRODUCT('計算A'!$D$63:$EQ$63,$DB44:$IO44))*1000+4)</f>
        <v/>
      </c>
      <c r="BL44">
        <f>IF(R44=1,1000000,IF('計算A'!$IT$14&gt;0,0,500000)+IF('計算A'!$IQ$14=2,SUMPRODUCT('計算A'!$D$64:$EQ$64,$DB44:$IO44,$IQ44:$OD44),SUMPRODUCT('計算A'!$D$64:$EQ$64,$DB44:$IO44))*1000+5)</f>
        <v/>
      </c>
      <c r="BM44">
        <f>IF(S44=1,1000000,IF('計算A'!$IT$15&gt;0,0,500000)+IF('計算A'!$IQ$15=2,SUMPRODUCT('計算A'!$D$65:$EQ$65,$DB44:$IO44,$IQ44:$OD44),SUMPRODUCT('計算A'!$D$65:$EQ$65,$DB44:$IO44))*1000+6)</f>
        <v/>
      </c>
      <c r="BN44">
        <f>IF(T44=1,1000000,IF('計算A'!$IT$16&gt;0,0,500000)+IF('計算A'!$IQ$16=2,SUMPRODUCT('計算A'!$D$66:$EQ$66,$DB44:$IO44,$IQ44:$OD44),SUMPRODUCT('計算A'!$D$66:$EQ$66,$DB44:$IO44))*1000+7)</f>
        <v/>
      </c>
      <c r="BO44">
        <f>IF(U44=1,1000000,IF('計算A'!$IT$17&gt;0,0,500000)+IF('計算A'!$IQ$17=2,SUMPRODUCT('計算A'!$D$67:$EQ$67,$DB44:$IO44,$IQ44:$OD44),SUMPRODUCT('計算A'!$D$67:$EQ$67,$DB44:$IO44))*1000+8)</f>
        <v/>
      </c>
      <c r="BP44">
        <f>IF(V44=1,1000000,IF('計算A'!$IT$18&gt;0,0,500000)+IF('計算A'!$IQ$18=2,SUMPRODUCT('計算A'!$D$68:$EQ$68,$DB44:$IO44,$IQ44:$OD44),SUMPRODUCT('計算A'!$D$68:$EQ$68,$DB44:$IO44))*1000+9)</f>
        <v/>
      </c>
      <c r="BQ44">
        <f>IF(W44=1,1000000,IF('計算A'!$IT$19&gt;0,0,500000)+IF('計算A'!$IQ$19=2,SUMPRODUCT('計算A'!$D$69:$EQ$69,$DB44:$IO44,$IQ44:$OD44),SUMPRODUCT('計算A'!$D$69:$EQ$69,$DB44:$IO44))*1000+10)</f>
        <v/>
      </c>
      <c r="BR44">
        <f>IF(X44=1,1000000,IF('計算A'!$IT$20&gt;0,0,500000)+IF('計算A'!$IQ$20=2,SUMPRODUCT('計算A'!$D$70:$EQ$70,$DB44:$IO44,$IQ44:$OD44),SUMPRODUCT('計算A'!$D$70:$EQ$70,$DB44:$IO44))*1000+11)</f>
        <v/>
      </c>
      <c r="BS44">
        <f>IF(Y44=1,1000000,IF('計算A'!$IT$21&gt;0,0,500000)+IF('計算A'!$IQ$21=2,SUMPRODUCT('計算A'!$D$71:$EQ$71,$DB44:$IO44,$IQ44:$OD44),SUMPRODUCT('計算A'!$D$71:$EQ$71,$DB44:$IO44))*1000+12)</f>
        <v/>
      </c>
      <c r="BT44">
        <f>IF(Z44=1,1000000,IF('計算A'!$IT$22&gt;0,0,500000)+IF('計算A'!$IQ$22=2,SUMPRODUCT('計算A'!$D$72:$EQ$72,$DB44:$IO44,$IQ44:$OD44),SUMPRODUCT('計算A'!$D$72:$EQ$72,$DB44:$IO44))*1000+13)</f>
        <v/>
      </c>
      <c r="BU44">
        <f>IF(AA44=1,1000000,IF('計算A'!$IT$23&gt;0,0,500000)+IF('計算A'!$IQ$23=2,SUMPRODUCT('計算A'!$D$73:$EQ$73,$DB44:$IO44,$IQ44:$OD44),SUMPRODUCT('計算A'!$D$73:$EQ$73,$DB44:$IO44))*1000+14)</f>
        <v/>
      </c>
      <c r="BV44">
        <f>IF(AB44=1,1000000,IF('計算A'!$IT$24&gt;0,0,500000)+IF('計算A'!$IQ$24=2,SUMPRODUCT('計算A'!$D$74:$EQ$74,$DB44:$IO44,$IQ44:$OD44),SUMPRODUCT('計算A'!$D$74:$EQ$74,$DB44:$IO44))*1000+15)</f>
        <v/>
      </c>
      <c r="BW44">
        <f>IF(AC44=1,1000000,IF('計算A'!$IT$25&gt;0,0,500000)+IF('計算A'!$IQ$25=2,SUMPRODUCT('計算A'!$D$75:$EQ$75,$DB44:$IO44,$IQ44:$OD44),SUMPRODUCT('計算A'!$D$75:$EQ$75,$DB44:$IO44))*1000+16)</f>
        <v/>
      </c>
      <c r="BX44">
        <f>IF(AD44=1,1000000,IF('計算A'!$IT$26&gt;0,0,500000)+IF('計算A'!$IQ$26=2,SUMPRODUCT('計算A'!$D$76:$EQ$76,$DB44:$IO44,$IQ44:$OD44),SUMPRODUCT('計算A'!$D$76:$EQ$76,$DB44:$IO44))*1000+17)</f>
        <v/>
      </c>
      <c r="BY44">
        <f>IF(AE44=1,1000000,IF('計算A'!$IT$27&gt;0,0,500000)+IF('計算A'!$IQ$27=2,SUMPRODUCT('計算A'!$D$77:$EQ$77,$DB44:$IO44,$IQ44:$OD44),SUMPRODUCT('計算A'!$D$77:$EQ$77,$DB44:$IO44))*1000+18)</f>
        <v/>
      </c>
      <c r="BZ44">
        <f>IF(AF44=1,1000000,IF('計算A'!$IT$28&gt;0,0,500000)+IF('計算A'!$IQ$28=2,SUMPRODUCT('計算A'!$D$78:$EQ$78,$DB44:$IO44,$IQ44:$OD44),SUMPRODUCT('計算A'!$D$78:$EQ$78,$DB44:$IO44))*1000+19)</f>
        <v/>
      </c>
      <c r="CA44">
        <f>IF(AG44=1,1000000,IF('計算A'!$IT$29&gt;0,0,500000)+IF('計算A'!$IQ$29=2,SUMPRODUCT('計算A'!$D$79:$EQ$79,$DB44:$IO44,$IQ44:$OD44),SUMPRODUCT('計算A'!$D$79:$EQ$79,$DB44:$IO44))*1000+20)</f>
        <v/>
      </c>
      <c r="CB44">
        <f>IF(AH44=1,1000000,IF('計算A'!$IT$30&gt;0,0,500000)+IF('計算A'!$IQ$30=2,SUMPRODUCT('計算A'!$D$80:$EQ$80,$DB44:$IO44,$IQ44:$OD44),SUMPRODUCT('計算A'!$D$80:$EQ$80,$DB44:$IO44))*1000+21)</f>
        <v/>
      </c>
      <c r="CC44">
        <f>IF(AI44=1,1000000,IF('計算A'!$IT$31&gt;0,0,500000)+IF('計算A'!$IQ$31=2,SUMPRODUCT('計算A'!$D$81:$EQ$81,$DB44:$IO44,$IQ44:$OD44),SUMPRODUCT('計算A'!$D$81:$EQ$81,$DB44:$IO44))*1000+22)</f>
        <v/>
      </c>
      <c r="CD44">
        <f>IF(AJ44=1,1000000,IF('計算A'!$IT$32&gt;0,0,500000)+IF('計算A'!$IQ$32=2,SUMPRODUCT('計算A'!$D$82:$EQ$82,$DB44:$IO44,$IQ44:$OD44),SUMPRODUCT('計算A'!$D$82:$EQ$82,$DB44:$IO44))*1000+23)</f>
        <v/>
      </c>
      <c r="CE44">
        <f>IF(AK44=1,1000000,IF('計算A'!$IT$33&gt;0,0,500000)+IF('計算A'!$IQ$33=2,SUMPRODUCT('計算A'!$D$83:$EQ$83,$DB44:$IO44,$IQ44:$OD44),SUMPRODUCT('計算A'!$D$83:$EQ$83,$DB44:$IO44))*1000+24)</f>
        <v/>
      </c>
      <c r="CF44">
        <f>IF(AL44=1,1000000,IF('計算A'!$IT$34&gt;0,0,500000)+IF('計算A'!$IQ$34=2,SUMPRODUCT('計算A'!$D$84:$EQ$84,$DB44:$IO44,$IQ44:$OD44),SUMPRODUCT('計算A'!$D$84:$EQ$84,$DB44:$IO44))*1000+25)</f>
        <v/>
      </c>
      <c r="CG44">
        <f>IF(AM44=1,1000000,IF('計算A'!$IT$35&gt;0,0,500000)+IF('計算A'!$IQ$35=2,SUMPRODUCT('計算A'!$D$85:$EQ$85,$DB44:$IO44,$IQ44:$OD44),SUMPRODUCT('計算A'!$D$85:$EQ$85,$DB44:$IO44))*1000+26)</f>
        <v/>
      </c>
      <c r="CH44">
        <f>IF(AN44=1,1000000,IF('計算A'!$IT$36&gt;0,0,500000)+IF('計算A'!$IQ$36=2,SUMPRODUCT('計算A'!$D$86:$EQ$86,$DB44:$IO44,$IQ44:$OD44),SUMPRODUCT('計算A'!$D$86:$EQ$86,$DB44:$IO44))*1000+27)</f>
        <v/>
      </c>
      <c r="CI44">
        <f>IF(AO44=1,1000000,IF('計算A'!$IT$37&gt;0,0,500000)+IF('計算A'!$IQ$37=2,SUMPRODUCT('計算A'!$D$87:$EQ$87,$DB44:$IO44,$IQ44:$OD44),SUMPRODUCT('計算A'!$D$87:$EQ$87,$DB44:$IO44))*1000+28)</f>
        <v/>
      </c>
      <c r="CJ44">
        <f>IF(AP44=1,1000000,IF('計算A'!$IT$38&gt;0,0,500000)+IF('計算A'!$IQ$38=2,SUMPRODUCT('計算A'!$D$88:$EQ$88,$DB44:$IO44,$IQ44:$OD44),SUMPRODUCT('計算A'!$D$88:$EQ$88,$DB44:$IO44))*1000+29)</f>
        <v/>
      </c>
      <c r="CK44">
        <f>IF(AQ44=1,1000000,IF('計算A'!$IT$39&gt;0,0,500000)+IF('計算A'!$IQ$39=2,SUMPRODUCT('計算A'!$D$89:$EQ$89,$DB44:$IO44,$IQ44:$OD44),SUMPRODUCT('計算A'!$D$89:$EQ$89,$DB44:$IO44))*1000+30)</f>
        <v/>
      </c>
      <c r="CL44">
        <f>IF(AR44=1,1000000,IF('計算A'!$IT$40&gt;0,0,500000)+IF('計算A'!$IQ$40=2,SUMPRODUCT('計算A'!$D$90:$EQ$90,$DB44:$IO44,$IQ44:$OD44),SUMPRODUCT('計算A'!$D$90:$EQ$90,$DB44:$IO44))*1000+31)</f>
        <v/>
      </c>
      <c r="CM44">
        <f>IF(AS44=1,1000000,IF('計算A'!$IT$41&gt;0,0,500000)+IF('計算A'!$IQ$41=2,SUMPRODUCT('計算A'!$D$91:$EQ$91,$DB44:$IO44,$IQ44:$OD44),SUMPRODUCT('計算A'!$D$91:$EQ$91,$DB44:$IO44))*1000+32)</f>
        <v/>
      </c>
      <c r="CN44">
        <f>IF(AT44=1,1000000,IF('計算A'!$IT$42&gt;0,0,500000)+IF('計算A'!$IQ$42=2,SUMPRODUCT('計算A'!$D$92:$EQ$92,$DB44:$IO44,$IQ44:$OD44),SUMPRODUCT('計算A'!$D$92:$EQ$92,$DB44:$IO44))*1000+33)</f>
        <v/>
      </c>
      <c r="CO44">
        <f>IF(AU44=1,1000000,IF('計算A'!$IT$43&gt;0,0,500000)+IF('計算A'!$IQ$43=2,SUMPRODUCT('計算A'!$D$93:$EQ$93,$DB44:$IO44,$IQ44:$OD44),SUMPRODUCT('計算A'!$D$93:$EQ$93,$DB44:$IO44))*1000+34)</f>
        <v/>
      </c>
      <c r="CP44">
        <f>IF(AV44=1,1000000,IF('計算A'!$IT$44&gt;0,0,500000)+IF('計算A'!$IQ$44=2,SUMPRODUCT('計算A'!$D$94:$EQ$94,$DB44:$IO44,$IQ44:$OD44),SUMPRODUCT('計算A'!$D$94:$EQ$94,$DB44:$IO44))*1000+35)</f>
        <v/>
      </c>
      <c r="CQ44">
        <f>IF(AW44=1,1000000,IF('計算A'!$IT$45&gt;0,0,500000)+IF('計算A'!$IQ$45=2,SUMPRODUCT('計算A'!$D$95:$EQ$95,$DB44:$IO44,$IQ44:$OD44),SUMPRODUCT('計算A'!$D$95:$EQ$95,$DB44:$IO44))*1000+36)</f>
        <v/>
      </c>
      <c r="CR44">
        <f>IF(AX44=1,1000000,IF('計算A'!$IT$46&gt;0,0,500000)+IF('計算A'!$IQ$46=2,SUMPRODUCT('計算A'!$D$96:$EQ$96,$DB44:$IO44,$IQ44:$OD44),SUMPRODUCT('計算A'!$D$96:$EQ$96,$DB44:$IO44))*1000+37)</f>
        <v/>
      </c>
      <c r="CS44">
        <f>IF(AY44=1,1000000,IF('計算A'!$IT$47&gt;0,0,500000)+IF('計算A'!$IQ$47=2,SUMPRODUCT('計算A'!$D$97:$EQ$97,$DB44:$IO44,$IQ44:$OD44),SUMPRODUCT('計算A'!$D$97:$EQ$97,$DB44:$IO44))*1000+38)</f>
        <v/>
      </c>
      <c r="CT44">
        <f>IF(AZ44=1,1000000,IF('計算A'!$IT$48&gt;0,0,500000)+IF('計算A'!$IQ$48=2,SUMPRODUCT('計算A'!$D$98:$EQ$98,$DB44:$IO44,$IQ44:$OD44),SUMPRODUCT('計算A'!$D$98:$EQ$98,$DB44:$IO44))*1000+39)</f>
        <v/>
      </c>
      <c r="CU44">
        <f>IF(BA44=1,1000000,IF('計算A'!$IT$49&gt;0,0,500000)+IF('計算A'!$IQ$49=2,SUMPRODUCT('計算A'!$D$99:$EQ$99,$DB44:$IO44,$IQ44:$OD44),SUMPRODUCT('計算A'!$D$99:$EQ$99,$DB44:$IO44))*1000+40)</f>
        <v/>
      </c>
      <c r="CV44">
        <f>IF(BB44=1,1000000,IF('計算A'!$IT$50&gt;0,0,500000)+IF('計算A'!$IQ$50=2,SUMPRODUCT('計算A'!$D$100:$EQ$100,$DB44:$IO44,$IQ44:$OD44),SUMPRODUCT('計算A'!$D$100:$EQ$100,$DB44:$IO44))*1000+41)</f>
        <v/>
      </c>
      <c r="CW44">
        <f>IF(BC44=1,1000000,IF('計算A'!$IT$51&gt;0,0,500000)+IF('計算A'!$IQ$51=2,SUMPRODUCT('計算A'!$D$101:$EQ$101,$DB44:$IO44,$IQ44:$OD44),SUMPRODUCT('計算A'!$D$101:$EQ$101,$DB44:$IO44))*1000+42)</f>
        <v/>
      </c>
      <c r="CX44">
        <f>IF(BD44=1,1000000,IF('計算A'!$IT$52&gt;0,0,500000)+IF('計算A'!$IQ$52=2,SUMPRODUCT('計算A'!$D$102:$EQ$102,$DB44:$IO44,$IQ44:$OD44),SUMPRODUCT('計算A'!$D$102:$EQ$102,$DB44:$IO44))*1000+43)</f>
        <v/>
      </c>
      <c r="CY44">
        <f>IF(BE44=1,1000000,IF('計算A'!$IT$53&gt;0,0,500000)+IF('計算A'!$IQ$53=2,SUMPRODUCT('計算A'!$D$103:$EQ$103,$DB44:$IO44,$IQ44:$OD44),SUMPRODUCT('計算A'!$D$103:$EQ$103,$DB44:$IO44))*1000+44)</f>
        <v/>
      </c>
      <c r="CZ44">
        <f>IF(BF44=1,1000000,IF('計算A'!$IT$54&gt;0,0,500000)+IF('計算A'!$IQ$54=2,SUMPRODUCT('計算A'!$D$104:$EQ$104,$DB44:$IO44,$IQ44:$OD44),SUMPRODUCT('計算A'!$D$104:$EQ$104,$DB44:$IO44))*1000+45)</f>
        <v/>
      </c>
      <c r="DB44">
        <f>DB43*IF(OR($C43=1,$G43=1),0,1)</f>
        <v/>
      </c>
      <c r="DC44">
        <f>DC43*IF(OR($C43=2,$G43=2),0,1)</f>
        <v/>
      </c>
      <c r="DD44">
        <f>DD43*IF(OR($C43=3,$G43=3),0,1)</f>
        <v/>
      </c>
      <c r="DE44">
        <f>DE43*IF(OR($C43=4,$G43=4),0,1)</f>
        <v/>
      </c>
      <c r="DF44">
        <f>DF43*IF(OR($C43=5,$G43=5),0,1)</f>
        <v/>
      </c>
      <c r="DG44">
        <f>DG43*IF(OR($C43=6,$G43=6),0,1)</f>
        <v/>
      </c>
      <c r="DH44">
        <f>DH43*IF(OR($C43=7,$G43=7),0,1)</f>
        <v/>
      </c>
      <c r="DI44">
        <f>DI43*IF(OR($C43=8,$G43=8),0,1)</f>
        <v/>
      </c>
      <c r="DJ44">
        <f>DJ43*IF(OR($C43=9,$G43=9),0,1)</f>
        <v/>
      </c>
      <c r="DK44">
        <f>DK43*IF(OR($C43=10,$G43=10),0,1)</f>
        <v/>
      </c>
      <c r="DL44">
        <f>DL43*IF(OR($C43=11,$G43=11),0,1)</f>
        <v/>
      </c>
      <c r="DM44">
        <f>DM43*IF(OR($C43=12,$G43=12),0,1)</f>
        <v/>
      </c>
      <c r="DN44">
        <f>DN43*IF(OR($C43=13,$G43=13),0,1)</f>
        <v/>
      </c>
      <c r="DO44">
        <f>DO43*IF(OR($C43=14,$G43=14),0,1)</f>
        <v/>
      </c>
      <c r="DP44">
        <f>DP43*IF(OR($C43=15,$G43=15),0,1)</f>
        <v/>
      </c>
      <c r="DQ44">
        <f>DQ43*IF(OR($C43=16,$G43=16),0,1)</f>
        <v/>
      </c>
      <c r="DR44">
        <f>DR43*IF(OR($C43=17,$G43=17),0,1)</f>
        <v/>
      </c>
      <c r="DS44">
        <f>DS43*IF(OR($C43=18,$G43=18),0,1)</f>
        <v/>
      </c>
      <c r="DT44">
        <f>DT43*IF(OR($C43=19,$G43=19),0,1)</f>
        <v/>
      </c>
      <c r="DU44">
        <f>DU43*IF(OR($C43=20,$G43=20),0,1)</f>
        <v/>
      </c>
      <c r="DV44">
        <f>DV43*IF(OR($C43=21,$G43=21),0,1)</f>
        <v/>
      </c>
      <c r="DW44">
        <f>DW43*IF(OR($C43=22,$G43=22),0,1)</f>
        <v/>
      </c>
      <c r="DX44">
        <f>DX43*IF(OR($C43=23,$G43=23),0,1)</f>
        <v/>
      </c>
      <c r="DY44">
        <f>DY43*IF(OR($C43=24,$G43=24),0,1)</f>
        <v/>
      </c>
      <c r="DZ44">
        <f>DZ43*IF(OR($C43=25,$G43=25),0,1)</f>
        <v/>
      </c>
      <c r="EA44">
        <f>EA43*IF(OR($C43=26,$G43=26),0,1)</f>
        <v/>
      </c>
      <c r="EB44">
        <f>EB43*IF(OR($C43=27,$G43=27),0,1)</f>
        <v/>
      </c>
      <c r="EC44">
        <f>EC43*IF(OR($C43=28,$G43=28),0,1)</f>
        <v/>
      </c>
      <c r="ED44">
        <f>ED43*IF(OR($C43=29,$G43=29),0,1)</f>
        <v/>
      </c>
      <c r="EE44">
        <f>EE43*IF(OR($C43=30,$G43=30),0,1)</f>
        <v/>
      </c>
      <c r="EF44">
        <f>EF43*IF(OR($C43=31,$G43=31),0,1)</f>
        <v/>
      </c>
      <c r="EG44">
        <f>EG43*IF(OR($C43=32,$G43=32),0,1)</f>
        <v/>
      </c>
      <c r="EH44">
        <f>EH43*IF(OR($C43=33,$G43=33),0,1)</f>
        <v/>
      </c>
      <c r="EI44">
        <f>EI43*IF(OR($C43=34,$G43=34),0,1)</f>
        <v/>
      </c>
      <c r="EJ44">
        <f>EJ43*IF(OR($C43=35,$G43=35),0,1)</f>
        <v/>
      </c>
      <c r="EK44">
        <f>EK43*IF(OR($C43=36,$G43=36),0,1)</f>
        <v/>
      </c>
      <c r="EL44">
        <f>EL43*IF(OR($C43=37,$G43=37),0,1)</f>
        <v/>
      </c>
      <c r="EM44">
        <f>EM43*IF(OR($C43=38,$G43=38),0,1)</f>
        <v/>
      </c>
      <c r="EN44">
        <f>EN43*IF(OR($C43=39,$G43=39),0,1)</f>
        <v/>
      </c>
      <c r="EO44">
        <f>EO43*IF(OR($C43=40,$G43=40),0,1)</f>
        <v/>
      </c>
      <c r="EP44">
        <f>EP43*IF(OR($C43=41,$G43=41),0,1)</f>
        <v/>
      </c>
      <c r="EQ44">
        <f>EQ43*IF(OR($C43=42,$G43=42),0,1)</f>
        <v/>
      </c>
      <c r="ER44">
        <f>ER43*IF(OR($C43=43,$G43=43),0,1)</f>
        <v/>
      </c>
      <c r="ES44">
        <f>ES43*IF(OR($C43=44,$G43=44),0,1)</f>
        <v/>
      </c>
      <c r="ET44">
        <f>ET43*IF(OR($C43=45,$G43=45),0,1)</f>
        <v/>
      </c>
      <c r="EU44">
        <f>EU43*IF(OR($C43=46,$G43=46),0,1)</f>
        <v/>
      </c>
      <c r="EV44">
        <f>EV43*IF(OR($C43=47,$G43=47),0,1)</f>
        <v/>
      </c>
      <c r="EW44">
        <f>EW43*IF(OR($C43=48,$G43=48),0,1)</f>
        <v/>
      </c>
      <c r="EX44">
        <f>EX43*IF(OR($C43=49,$G43=49),0,1)</f>
        <v/>
      </c>
      <c r="EY44">
        <f>EY43*IF(OR($C43=50,$G43=50),0,1)</f>
        <v/>
      </c>
      <c r="EZ44">
        <f>EZ43*IF(OR($C43=51,$G43=51),0,1)</f>
        <v/>
      </c>
      <c r="FA44">
        <f>FA43*IF(OR($C43=52,$G43=52),0,1)</f>
        <v/>
      </c>
      <c r="FB44">
        <f>FB43*IF(OR($C43=53,$G43=53),0,1)</f>
        <v/>
      </c>
      <c r="FC44">
        <f>FC43*IF(OR($C43=54,$G43=54),0,1)</f>
        <v/>
      </c>
      <c r="FD44">
        <f>FD43*IF(OR($C43=55,$G43=55),0,1)</f>
        <v/>
      </c>
      <c r="FE44">
        <f>FE43*IF(OR($C43=56,$G43=56),0,1)</f>
        <v/>
      </c>
      <c r="FF44">
        <f>FF43*IF(OR($C43=57,$G43=57),0,1)</f>
        <v/>
      </c>
      <c r="FG44">
        <f>FG43*IF(OR($C43=58,$G43=58),0,1)</f>
        <v/>
      </c>
      <c r="FH44">
        <f>FH43*IF(OR($C43=59,$G43=59),0,1)</f>
        <v/>
      </c>
      <c r="FI44">
        <f>FI43*IF(OR($C43=60,$G43=60),0,1)</f>
        <v/>
      </c>
      <c r="FJ44">
        <f>FJ43*IF(OR($C43=61,$G43=61),0,1)</f>
        <v/>
      </c>
      <c r="FK44">
        <f>FK43*IF(OR($C43=62,$G43=62),0,1)</f>
        <v/>
      </c>
      <c r="FL44">
        <f>FL43*IF(OR($C43=63,$G43=63),0,1)</f>
        <v/>
      </c>
      <c r="FM44">
        <f>FM43*IF(OR($C43=64,$G43=64),0,1)</f>
        <v/>
      </c>
      <c r="FN44">
        <f>FN43*IF(OR($C43=65,$G43=65),0,1)</f>
        <v/>
      </c>
      <c r="FO44">
        <f>FO43*IF(OR($C43=66,$G43=66),0,1)</f>
        <v/>
      </c>
      <c r="FP44">
        <f>FP43*IF(OR($C43=67,$G43=67),0,1)</f>
        <v/>
      </c>
      <c r="FQ44">
        <f>FQ43*IF(OR($C43=68,$G43=68),0,1)</f>
        <v/>
      </c>
      <c r="FR44">
        <f>FR43*IF(OR($C43=69,$G43=69),0,1)</f>
        <v/>
      </c>
      <c r="FS44">
        <f>FS43*IF(OR($C43=70,$G43=70),0,1)</f>
        <v/>
      </c>
      <c r="FT44">
        <f>FT43*IF(OR($C43=71,$G43=71),0,1)</f>
        <v/>
      </c>
      <c r="FU44">
        <f>FU43*IF(OR($C43=72,$G43=72),0,1)</f>
        <v/>
      </c>
      <c r="FV44">
        <f>FV43*IF(OR($C43=73,$G43=73),0,1)</f>
        <v/>
      </c>
      <c r="FW44">
        <f>FW43*IF(OR($C43=74,$G43=74),0,1)</f>
        <v/>
      </c>
      <c r="FX44">
        <f>FX43*IF(OR($C43=75,$G43=75),0,1)</f>
        <v/>
      </c>
      <c r="FY44">
        <f>FY43*IF(OR($C43=76,$G43=76),0,1)</f>
        <v/>
      </c>
      <c r="FZ44">
        <f>FZ43*IF(OR($C43=77,$G43=77),0,1)</f>
        <v/>
      </c>
      <c r="GA44">
        <f>GA43*IF(OR($C43=78,$G43=78),0,1)</f>
        <v/>
      </c>
      <c r="GB44">
        <f>GB43*IF(OR($C43=79,$G43=79),0,1)</f>
        <v/>
      </c>
      <c r="GC44">
        <f>GC43*IF(OR($C43=80,$G43=80),0,1)</f>
        <v/>
      </c>
      <c r="GD44">
        <f>GD43*IF(OR($C43=81,$G43=81),0,1)</f>
        <v/>
      </c>
      <c r="GE44">
        <f>GE43*IF(OR($C43=82,$G43=82),0,1)</f>
        <v/>
      </c>
      <c r="GF44">
        <f>GF43*IF(OR($C43=83,$G43=83),0,1)</f>
        <v/>
      </c>
      <c r="GG44">
        <f>GG43*IF(OR($C43=84,$G43=84),0,1)</f>
        <v/>
      </c>
      <c r="GH44">
        <f>GH43*IF(OR($C43=85,$G43=85),0,1)</f>
        <v/>
      </c>
      <c r="GI44">
        <f>GI43*IF(OR($C43=86,$G43=86),0,1)</f>
        <v/>
      </c>
      <c r="GJ44">
        <f>GJ43*IF(OR($C43=87,$G43=87),0,1)</f>
        <v/>
      </c>
      <c r="GK44">
        <f>GK43*IF(OR($C43=88,$G43=88),0,1)</f>
        <v/>
      </c>
      <c r="GL44">
        <f>GL43*IF(OR($C43=89,$G43=89),0,1)</f>
        <v/>
      </c>
      <c r="GM44">
        <f>GM43*IF(OR($C43=90,$G43=90),0,1)</f>
        <v/>
      </c>
      <c r="GN44">
        <f>GN43*IF(OR($C43=91,$G43=91),0,1)</f>
        <v/>
      </c>
      <c r="GO44">
        <f>GO43*IF(OR($C43=92,$G43=92),0,1)</f>
        <v/>
      </c>
      <c r="GP44">
        <f>GP43*IF(OR($C43=93,$G43=93),0,1)</f>
        <v/>
      </c>
      <c r="GQ44">
        <f>GQ43*IF(OR($C43=94,$G43=94),0,1)</f>
        <v/>
      </c>
      <c r="GR44">
        <f>GR43*IF(OR($C43=95,$G43=95),0,1)</f>
        <v/>
      </c>
      <c r="GS44">
        <f>GS43*IF(OR($C43=96,$G43=96),0,1)</f>
        <v/>
      </c>
      <c r="GT44">
        <f>GT43*IF(OR($C43=97,$G43=97),0,1)</f>
        <v/>
      </c>
      <c r="GU44">
        <f>GU43*IF(OR($C43=98,$G43=98),0,1)</f>
        <v/>
      </c>
      <c r="GV44">
        <f>GV43*IF(OR($C43=99,$G43=99),0,1)</f>
        <v/>
      </c>
      <c r="GW44">
        <f>GW43*IF(OR($C43=100,$G43=100),0,1)</f>
        <v/>
      </c>
      <c r="GX44">
        <f>GX43*IF(OR($C43=101,$G43=101),0,1)</f>
        <v/>
      </c>
      <c r="GY44">
        <f>GY43*IF(OR($C43=102,$G43=102),0,1)</f>
        <v/>
      </c>
      <c r="GZ44">
        <f>GZ43*IF(OR($C43=103,$G43=103),0,1)</f>
        <v/>
      </c>
      <c r="HA44">
        <f>HA43*IF(OR($C43=104,$G43=104),0,1)</f>
        <v/>
      </c>
      <c r="HB44">
        <f>HB43*IF(OR($C43=105,$G43=105),0,1)</f>
        <v/>
      </c>
      <c r="HC44">
        <f>HC43*IF(OR($C43=106,$G43=106),0,1)</f>
        <v/>
      </c>
      <c r="HD44">
        <f>HD43*IF(OR($C43=107,$G43=107),0,1)</f>
        <v/>
      </c>
      <c r="HE44">
        <f>HE43*IF(OR($C43=108,$G43=108),0,1)</f>
        <v/>
      </c>
      <c r="HF44">
        <f>HF43*IF(OR($C43=109,$G43=109),0,1)</f>
        <v/>
      </c>
      <c r="HG44">
        <f>HG43*IF(OR($C43=110,$G43=110),0,1)</f>
        <v/>
      </c>
      <c r="HH44">
        <f>HH43*IF(OR($C43=111,$G43=111),0,1)</f>
        <v/>
      </c>
      <c r="HI44">
        <f>HI43*IF(OR($C43=112,$G43=112),0,1)</f>
        <v/>
      </c>
      <c r="HJ44">
        <f>HJ43*IF(OR($C43=113,$G43=113),0,1)</f>
        <v/>
      </c>
      <c r="HK44">
        <f>HK43*IF(OR($C43=114,$G43=114),0,1)</f>
        <v/>
      </c>
      <c r="HL44">
        <f>HL43*IF(OR($C43=115,$G43=115),0,1)</f>
        <v/>
      </c>
      <c r="HM44">
        <f>HM43*IF(OR($C43=116,$G43=116),0,1)</f>
        <v/>
      </c>
      <c r="HN44">
        <f>HN43*IF(OR($C43=117,$G43=117),0,1)</f>
        <v/>
      </c>
      <c r="HO44">
        <f>HO43*IF(OR($C43=118,$G43=118),0,1)</f>
        <v/>
      </c>
      <c r="HP44">
        <f>HP43*IF(OR($C43=119,$G43=119),0,1)</f>
        <v/>
      </c>
      <c r="HQ44">
        <f>HQ43*IF(OR($C43=120,$G43=120),0,1)</f>
        <v/>
      </c>
      <c r="HR44">
        <f>HR43*IF(OR($C43=121,$G43=121),0,1)</f>
        <v/>
      </c>
      <c r="HS44">
        <f>HS43*IF(OR($C43=122,$G43=122),0,1)</f>
        <v/>
      </c>
      <c r="HT44">
        <f>HT43*IF(OR($C43=123,$G43=123),0,1)</f>
        <v/>
      </c>
      <c r="HU44">
        <f>HU43*IF(OR($C43=124,$G43=124),0,1)</f>
        <v/>
      </c>
      <c r="HV44">
        <f>HV43*IF(OR($C43=125,$G43=125),0,1)</f>
        <v/>
      </c>
      <c r="HW44">
        <f>HW43*IF(OR($C43=126,$G43=126),0,1)</f>
        <v/>
      </c>
      <c r="HX44">
        <f>HX43*IF(OR($C43=127,$G43=127),0,1)</f>
        <v/>
      </c>
      <c r="HY44">
        <f>HY43*IF(OR($C43=128,$G43=128),0,1)</f>
        <v/>
      </c>
      <c r="HZ44">
        <f>HZ43*IF(OR($C43=129,$G43=129),0,1)</f>
        <v/>
      </c>
      <c r="IA44">
        <f>IA43*IF(OR($C43=130,$G43=130),0,1)</f>
        <v/>
      </c>
      <c r="IB44">
        <f>IB43*IF(OR($C43=131,$G43=131),0,1)</f>
        <v/>
      </c>
      <c r="IC44">
        <f>IC43*IF(OR($C43=132,$G43=132),0,1)</f>
        <v/>
      </c>
      <c r="ID44">
        <f>ID43*IF(OR($C43=133,$G43=133),0,1)</f>
        <v/>
      </c>
      <c r="IE44">
        <f>IE43*IF(OR($C43=134,$G43=134),0,1)</f>
        <v/>
      </c>
      <c r="IF44">
        <f>IF43*IF(OR($C43=135,$G43=135),0,1)</f>
        <v/>
      </c>
      <c r="IG44">
        <f>IG43*IF(OR($C43=136,$G43=136),0,1)</f>
        <v/>
      </c>
      <c r="IH44">
        <f>IH43*IF(OR($C43=137,$G43=137),0,1)</f>
        <v/>
      </c>
      <c r="II44">
        <f>II43*IF(OR($C43=138,$G43=138),0,1)</f>
        <v/>
      </c>
      <c r="IJ44">
        <f>IJ43*IF(OR($C43=139,$G43=139),0,1)</f>
        <v/>
      </c>
      <c r="IK44">
        <f>IK43*IF(OR($C43=140,$G43=140),0,1)</f>
        <v/>
      </c>
      <c r="IL44">
        <f>IL43*IF(OR($C43=141,$G43=141),0,1)</f>
        <v/>
      </c>
      <c r="IM44">
        <f>IM43*IF(OR($C43=142,$G43=142),0,1)</f>
        <v/>
      </c>
      <c r="IN44">
        <f>IN43*IF(OR($C43=143,$G43=143),0,1)</f>
        <v/>
      </c>
      <c r="IO44">
        <f>IO43*IF(OR($C43=144,$G43=144),0,1)</f>
        <v/>
      </c>
      <c r="IQ44">
        <f>IF('計算A'!D$106=1,DC44,1)</f>
        <v/>
      </c>
      <c r="IR44">
        <f>IF('計算A'!E$106=1,DD44,1)</f>
        <v/>
      </c>
      <c r="IS44">
        <f>IF('計算A'!F$106=1,DE44,1)</f>
        <v/>
      </c>
      <c r="IT44">
        <f>IF('計算A'!G$106=1,DF44,1)</f>
        <v/>
      </c>
      <c r="IU44">
        <f>IF('計算A'!H$106=1,DG44,1)</f>
        <v/>
      </c>
      <c r="IV44">
        <f>IF('計算A'!I$106=1,DH44,1)</f>
        <v/>
      </c>
      <c r="IW44">
        <f>IF('計算A'!J$106=1,DI44,1)</f>
        <v/>
      </c>
      <c r="IX44">
        <f>IF('計算A'!K$106=1,DJ44,1)</f>
        <v/>
      </c>
      <c r="IY44">
        <f>IF('計算A'!L$106=1,DK44,1)</f>
        <v/>
      </c>
      <c r="IZ44">
        <f>IF('計算A'!M$106=1,DL44,1)</f>
        <v/>
      </c>
      <c r="JA44">
        <f>IF('計算A'!N$106=1,DM44,1)</f>
        <v/>
      </c>
      <c r="JB44">
        <f>IF('計算A'!O$106=1,DN44,1)</f>
        <v/>
      </c>
      <c r="JC44">
        <f>IF('計算A'!P$106=1,DO44,1)</f>
        <v/>
      </c>
      <c r="JD44">
        <f>IF('計算A'!Q$106=1,DP44,1)</f>
        <v/>
      </c>
      <c r="JE44">
        <f>IF('計算A'!R$106=1,DQ44,1)</f>
        <v/>
      </c>
      <c r="JF44">
        <f>IF('計算A'!S$106=1,DR44,1)</f>
        <v/>
      </c>
      <c r="JG44">
        <f>IF('計算A'!T$106=1,DS44,1)</f>
        <v/>
      </c>
      <c r="JH44">
        <f>IF('計算A'!U$106=1,DT44,1)</f>
        <v/>
      </c>
      <c r="JI44">
        <f>IF('計算A'!V$106=1,DU44,1)</f>
        <v/>
      </c>
      <c r="JJ44">
        <f>IF('計算A'!W$106=1,DV44,1)</f>
        <v/>
      </c>
      <c r="JK44">
        <f>IF('計算A'!X$106=1,DW44,1)</f>
        <v/>
      </c>
      <c r="JL44">
        <f>IF('計算A'!Y$106=1,DX44,1)</f>
        <v/>
      </c>
      <c r="JM44">
        <f>IF('計算A'!Z$106=1,DY44,1)</f>
        <v/>
      </c>
      <c r="JN44">
        <f>IF('計算A'!AA$106=1,DZ44,1)</f>
        <v/>
      </c>
      <c r="JO44">
        <f>IF('計算A'!AB$106=1,EA44,1)</f>
        <v/>
      </c>
      <c r="JP44">
        <f>IF('計算A'!AC$106=1,EB44,1)</f>
        <v/>
      </c>
      <c r="JQ44">
        <f>IF('計算A'!AD$106=1,EC44,1)</f>
        <v/>
      </c>
      <c r="JR44">
        <f>IF('計算A'!AE$106=1,ED44,1)</f>
        <v/>
      </c>
      <c r="JS44">
        <f>IF('計算A'!AF$106=1,EE44,1)</f>
        <v/>
      </c>
      <c r="JT44">
        <f>IF('計算A'!AG$106=1,EF44,1)</f>
        <v/>
      </c>
      <c r="JU44">
        <f>IF('計算A'!AH$106=1,EG44,1)</f>
        <v/>
      </c>
      <c r="JV44">
        <f>IF('計算A'!AI$106=1,EH44,1)</f>
        <v/>
      </c>
      <c r="JW44">
        <f>IF('計算A'!AJ$106=1,EI44,1)</f>
        <v/>
      </c>
      <c r="JX44">
        <f>IF('計算A'!AK$106=1,EJ44,1)</f>
        <v/>
      </c>
      <c r="JY44">
        <f>IF('計算A'!AL$106=1,EK44,1)</f>
        <v/>
      </c>
      <c r="JZ44">
        <f>IF('計算A'!AM$106=1,EL44,1)</f>
        <v/>
      </c>
      <c r="KA44">
        <f>IF('計算A'!AN$106=1,EM44,1)</f>
        <v/>
      </c>
      <c r="KB44">
        <f>IF('計算A'!AO$106=1,EN44,1)</f>
        <v/>
      </c>
      <c r="KC44">
        <f>IF('計算A'!AP$106=1,EO44,1)</f>
        <v/>
      </c>
      <c r="KD44">
        <f>IF('計算A'!AQ$106=1,EP44,1)</f>
        <v/>
      </c>
      <c r="KE44">
        <f>IF('計算A'!AR$106=1,EQ44,1)</f>
        <v/>
      </c>
      <c r="KF44">
        <f>IF('計算A'!AS$106=1,ER44,1)</f>
        <v/>
      </c>
      <c r="KG44">
        <f>IF('計算A'!AT$106=1,ES44,1)</f>
        <v/>
      </c>
      <c r="KH44">
        <f>IF('計算A'!AU$106=1,ET44,1)</f>
        <v/>
      </c>
      <c r="KI44">
        <f>IF('計算A'!AV$106=1,EU44,1)</f>
        <v/>
      </c>
      <c r="KJ44">
        <f>IF('計算A'!AW$106=1,EV44,1)</f>
        <v/>
      </c>
      <c r="KK44">
        <f>IF('計算A'!AX$106=1,EW44,1)</f>
        <v/>
      </c>
      <c r="KL44">
        <f>IF('計算A'!AY$106=1,EX44,1)</f>
        <v/>
      </c>
      <c r="KM44">
        <f>IF('計算A'!AZ$106=1,EY44,1)</f>
        <v/>
      </c>
      <c r="KN44">
        <f>IF('計算A'!BA$106=1,EZ44,1)</f>
        <v/>
      </c>
      <c r="KO44">
        <f>IF('計算A'!BB$106=1,FA44,1)</f>
        <v/>
      </c>
      <c r="KP44">
        <f>IF('計算A'!BC$106=1,FB44,1)</f>
        <v/>
      </c>
      <c r="KQ44">
        <f>IF('計算A'!BD$106=1,FC44,1)</f>
        <v/>
      </c>
      <c r="KR44">
        <f>IF('計算A'!BE$106=1,FD44,1)</f>
        <v/>
      </c>
      <c r="KS44">
        <f>IF('計算A'!BF$106=1,FE44,1)</f>
        <v/>
      </c>
      <c r="KT44">
        <f>IF('計算A'!BG$106=1,FF44,1)</f>
        <v/>
      </c>
      <c r="KU44">
        <f>IF('計算A'!BH$106=1,FG44,1)</f>
        <v/>
      </c>
      <c r="KV44">
        <f>IF('計算A'!BI$106=1,FH44,1)</f>
        <v/>
      </c>
      <c r="KW44">
        <f>IF('計算A'!BJ$106=1,FI44,1)</f>
        <v/>
      </c>
      <c r="KX44">
        <f>IF('計算A'!BK$106=1,FJ44,1)</f>
        <v/>
      </c>
      <c r="KY44">
        <f>IF('計算A'!BL$106=1,FK44,1)</f>
        <v/>
      </c>
      <c r="KZ44">
        <f>IF('計算A'!BM$106=1,FL44,1)</f>
        <v/>
      </c>
      <c r="LA44">
        <f>IF('計算A'!BN$106=1,FM44,1)</f>
        <v/>
      </c>
      <c r="LB44">
        <f>IF('計算A'!BO$106=1,FN44,1)</f>
        <v/>
      </c>
      <c r="LC44">
        <f>IF('計算A'!BP$106=1,FO44,1)</f>
        <v/>
      </c>
      <c r="LD44">
        <f>IF('計算A'!BQ$106=1,FP44,1)</f>
        <v/>
      </c>
      <c r="LE44">
        <f>IF('計算A'!BR$106=1,FQ44,1)</f>
        <v/>
      </c>
      <c r="LF44">
        <f>IF('計算A'!BS$106=1,FR44,1)</f>
        <v/>
      </c>
      <c r="LG44">
        <f>IF('計算A'!BT$106=1,FS44,1)</f>
        <v/>
      </c>
      <c r="LH44">
        <f>IF('計算A'!BU$106=1,FT44,1)</f>
        <v/>
      </c>
      <c r="LI44">
        <f>IF('計算A'!BV$106=1,FU44,1)</f>
        <v/>
      </c>
      <c r="LJ44">
        <f>IF('計算A'!BW$106=1,FV44,1)</f>
        <v/>
      </c>
      <c r="LK44">
        <f>IF('計算A'!BX$106=1,FW44,1)</f>
        <v/>
      </c>
      <c r="LL44">
        <f>IF('計算A'!BY$106=1,FX44,1)</f>
        <v/>
      </c>
      <c r="LM44">
        <f>IF('計算A'!BZ$106=1,FY44,1)</f>
        <v/>
      </c>
      <c r="LN44">
        <f>IF('計算A'!CA$106=1,FZ44,1)</f>
        <v/>
      </c>
      <c r="LO44">
        <f>IF('計算A'!CB$106=1,GA44,1)</f>
        <v/>
      </c>
      <c r="LP44">
        <f>IF('計算A'!CC$106=1,GB44,1)</f>
        <v/>
      </c>
      <c r="LQ44">
        <f>IF('計算A'!CD$106=1,GC44,1)</f>
        <v/>
      </c>
      <c r="LR44">
        <f>IF('計算A'!CE$106=1,GD44,1)</f>
        <v/>
      </c>
      <c r="LS44">
        <f>IF('計算A'!CF$106=1,GE44,1)</f>
        <v/>
      </c>
      <c r="LT44">
        <f>IF('計算A'!CG$106=1,GF44,1)</f>
        <v/>
      </c>
      <c r="LU44">
        <f>IF('計算A'!CH$106=1,GG44,1)</f>
        <v/>
      </c>
      <c r="LV44">
        <f>IF('計算A'!CI$106=1,GH44,1)</f>
        <v/>
      </c>
      <c r="LW44">
        <f>IF('計算A'!CJ$106=1,GI44,1)</f>
        <v/>
      </c>
      <c r="LX44">
        <f>IF('計算A'!CK$106=1,GJ44,1)</f>
        <v/>
      </c>
      <c r="LY44">
        <f>IF('計算A'!CL$106=1,GK44,1)</f>
        <v/>
      </c>
      <c r="LZ44">
        <f>IF('計算A'!CM$106=1,GL44,1)</f>
        <v/>
      </c>
      <c r="MA44">
        <f>IF('計算A'!CN$106=1,GM44,1)</f>
        <v/>
      </c>
      <c r="MB44">
        <f>IF('計算A'!CO$106=1,GN44,1)</f>
        <v/>
      </c>
      <c r="MC44">
        <f>IF('計算A'!CP$106=1,GO44,1)</f>
        <v/>
      </c>
      <c r="MD44">
        <f>IF('計算A'!CQ$106=1,GP44,1)</f>
        <v/>
      </c>
      <c r="ME44">
        <f>IF('計算A'!CR$106=1,GQ44,1)</f>
        <v/>
      </c>
      <c r="MF44">
        <f>IF('計算A'!CS$106=1,GR44,1)</f>
        <v/>
      </c>
      <c r="MG44">
        <f>IF('計算A'!CT$106=1,GS44,1)</f>
        <v/>
      </c>
      <c r="MH44">
        <f>IF('計算A'!CU$106=1,GT44,1)</f>
        <v/>
      </c>
      <c r="MI44">
        <f>IF('計算A'!CV$106=1,GU44,1)</f>
        <v/>
      </c>
      <c r="MJ44">
        <f>IF('計算A'!CW$106=1,GV44,1)</f>
        <v/>
      </c>
      <c r="MK44">
        <f>IF('計算A'!CX$106=1,GW44,1)</f>
        <v/>
      </c>
      <c r="ML44">
        <f>IF('計算A'!CY$106=1,GX44,1)</f>
        <v/>
      </c>
      <c r="MM44">
        <f>IF('計算A'!CZ$106=1,GY44,1)</f>
        <v/>
      </c>
      <c r="MN44">
        <f>IF('計算A'!DA$106=1,GZ44,1)</f>
        <v/>
      </c>
      <c r="MO44">
        <f>IF('計算A'!DB$106=1,HA44,1)</f>
        <v/>
      </c>
      <c r="MP44">
        <f>IF('計算A'!DC$106=1,HB44,1)</f>
        <v/>
      </c>
      <c r="MQ44">
        <f>IF('計算A'!DD$106=1,HC44,1)</f>
        <v/>
      </c>
      <c r="MR44">
        <f>IF('計算A'!DE$106=1,HD44,1)</f>
        <v/>
      </c>
      <c r="MS44">
        <f>IF('計算A'!DF$106=1,HE44,1)</f>
        <v/>
      </c>
      <c r="MT44">
        <f>IF('計算A'!DG$106=1,HF44,1)</f>
        <v/>
      </c>
      <c r="MU44">
        <f>IF('計算A'!DH$106=1,HG44,1)</f>
        <v/>
      </c>
      <c r="MV44">
        <f>IF('計算A'!DI$106=1,HH44,1)</f>
        <v/>
      </c>
      <c r="MW44">
        <f>IF('計算A'!DJ$106=1,HI44,1)</f>
        <v/>
      </c>
      <c r="MX44">
        <f>IF('計算A'!DK$106=1,HJ44,1)</f>
        <v/>
      </c>
      <c r="MY44">
        <f>IF('計算A'!DL$106=1,HK44,1)</f>
        <v/>
      </c>
      <c r="MZ44">
        <f>IF('計算A'!DM$106=1,HL44,1)</f>
        <v/>
      </c>
      <c r="NA44">
        <f>IF('計算A'!DN$106=1,HM44,1)</f>
        <v/>
      </c>
      <c r="NB44">
        <f>IF('計算A'!DO$106=1,HN44,1)</f>
        <v/>
      </c>
      <c r="NC44">
        <f>IF('計算A'!DP$106=1,HO44,1)</f>
        <v/>
      </c>
      <c r="ND44">
        <f>IF('計算A'!DQ$106=1,HP44,1)</f>
        <v/>
      </c>
      <c r="NE44">
        <f>IF('計算A'!DR$106=1,HQ44,1)</f>
        <v/>
      </c>
      <c r="NF44">
        <f>IF('計算A'!DS$106=1,HR44,1)</f>
        <v/>
      </c>
      <c r="NG44">
        <f>IF('計算A'!DT$106=1,HS44,1)</f>
        <v/>
      </c>
      <c r="NH44">
        <f>IF('計算A'!DU$106=1,HT44,1)</f>
        <v/>
      </c>
      <c r="NI44">
        <f>IF('計算A'!DV$106=1,HU44,1)</f>
        <v/>
      </c>
      <c r="NJ44">
        <f>IF('計算A'!DW$106=1,HV44,1)</f>
        <v/>
      </c>
      <c r="NK44">
        <f>IF('計算A'!DX$106=1,HW44,1)</f>
        <v/>
      </c>
      <c r="NL44">
        <f>IF('計算A'!DY$106=1,HX44,1)</f>
        <v/>
      </c>
      <c r="NM44">
        <f>IF('計算A'!DZ$106=1,HY44,1)</f>
        <v/>
      </c>
      <c r="NN44">
        <f>IF('計算A'!EA$106=1,HZ44,1)</f>
        <v/>
      </c>
      <c r="NO44">
        <f>IF('計算A'!EB$106=1,IA44,1)</f>
        <v/>
      </c>
      <c r="NP44">
        <f>IF('計算A'!EC$106=1,IB44,1)</f>
        <v/>
      </c>
      <c r="NQ44">
        <f>IF('計算A'!ED$106=1,IC44,1)</f>
        <v/>
      </c>
      <c r="NR44">
        <f>IF('計算A'!EE$106=1,ID44,1)</f>
        <v/>
      </c>
      <c r="NS44">
        <f>IF('計算A'!EF$106=1,IE44,1)</f>
        <v/>
      </c>
      <c r="NT44">
        <f>IF('計算A'!EG$106=1,IF44,1)</f>
        <v/>
      </c>
      <c r="NU44">
        <f>IF('計算A'!EH$106=1,IG44,1)</f>
        <v/>
      </c>
      <c r="NV44">
        <f>IF('計算A'!EI$106=1,IH44,1)</f>
        <v/>
      </c>
      <c r="NW44">
        <f>IF('計算A'!EJ$106=1,II44,1)</f>
        <v/>
      </c>
      <c r="NX44">
        <f>IF('計算A'!EK$106=1,IJ44,1)</f>
        <v/>
      </c>
      <c r="NY44">
        <f>IF('計算A'!EL$106=1,IK44,1)</f>
        <v/>
      </c>
      <c r="NZ44">
        <f>IF('計算A'!EM$106=1,IL44,1)</f>
        <v/>
      </c>
      <c r="OA44">
        <f>IF('計算A'!EN$106=1,IM44,1)</f>
        <v/>
      </c>
      <c r="OB44">
        <f>IF('計算A'!EO$106=1,IN44,1)</f>
        <v/>
      </c>
      <c r="OC44">
        <f>IF('計算A'!EP$106=1,IO44,1)</f>
        <v/>
      </c>
      <c r="OD44" t="n">
        <v>1</v>
      </c>
      <c r="OF44">
        <f>IF($B44=0,1000000,IF(INDEX('計算A'!$D$60:$EQ$104,$B44,1)*DB44=1,IF(AND($E44=2,IQ44=0),1000000,IF($I44&gt;0,IF(1=$J44,IF(OR(AND(1=$I44+1,OR($K44&lt;&gt;'計算A'!$A$3,'計算A'!$A$4=0)),AND(1=$I44-1,OR(1&lt;&gt;'計算A'!$A$3,'計算A'!$A$4=0))),0,IF(1=$K44,200000,ABS(1-$K44)*100)),100000+ABS(1-$J44)*1000+10)+'計算A'!D$5*50+IF(AND($E44=1,IQ44=0),25,0),INDEX('計算A'!D$110:D$114,$F44+1)+IF(AND($E44=1,IQ44=0),1000,0)+IF($H44=1,(IF('計算A'!D$117=1,INDEX('計算A'!E$10:E$54,$B44),0))*500,0)-IF(AND($L44=1,'計算A'!D$117=1,DC44=0),300,0))),1000000))</f>
        <v/>
      </c>
      <c r="OG44">
        <f>IF($B44=0,1000000,IF(INDEX('計算A'!$D$60:$EQ$104,$B44,2)*DC44=1,IF(AND($E44=2,IR44=0),1000000,IF($I44&gt;0,IF(1=$J44,IF(OR(AND(2=$I44+1,OR($K44&lt;&gt;'計算A'!$A$3,'計算A'!$A$4=0)),AND(2=$I44-1,OR(2&lt;&gt;'計算A'!$A$3,'計算A'!$A$4=0))),0,IF(2=$K44,200000,ABS(2-$K44)*100)),100000+ABS(1-$J44)*1000+20)+'計算A'!E$5*50+IF(AND($E44=1,IR44=0),25,0),INDEX('計算A'!E$110:E$114,$F44+1)+IF(AND($E44=1,IR44=0),1000,0)+IF($H44=1,(IF('計算A'!D$117=1,INDEX('計算A'!D$10:D$54,$B44),0)+IF('計算A'!E$117=1,INDEX('計算A'!F$10:F$54,$B44),0))*500,0)-IF(AND('計算A'!D$117=1,UB44&gt;0),300,0)-IF(AND($L44=1,'計算A'!E$117=1,DD44=0),300,0))),1000000))</f>
        <v/>
      </c>
      <c r="OH44">
        <f>IF($B44=0,1000000,IF(INDEX('計算A'!$D$60:$EQ$104,$B44,3)*DD44=1,IF(AND($E44=2,IS44=0),1000000,IF($I44&gt;0,IF(1=$J44,IF(OR(AND(3=$I44+1,OR($K44&lt;&gt;'計算A'!$A$3,'計算A'!$A$4=0)),AND(3=$I44-1,OR(3&lt;&gt;'計算A'!$A$3,'計算A'!$A$4=0))),0,IF(3=$K44,200000,ABS(3-$K44)*100)),100000+ABS(1-$J44)*1000+30)+'計算A'!F$5*50+IF(AND($E44=1,IS44=0),25,0),INDEX('計算A'!F$110:F$114,$F44+1)+IF(AND($E44=1,IS44=0),1000,0)+IF($H44=1,(IF('計算A'!E$117=1,INDEX('計算A'!E$10:E$54,$B44),0)+IF('計算A'!F$117=1,INDEX('計算A'!G$10:G$54,$B44),0))*500,0)-IF(AND('計算A'!E$117=1,UC44&gt;0),300,0)-IF(AND($L44=1,'計算A'!F$117=1,DE44=0),300,0))),1000000))</f>
        <v/>
      </c>
      <c r="OI44">
        <f>IF($B44=0,1000000,IF(INDEX('計算A'!$D$60:$EQ$104,$B44,4)*DE44=1,IF(AND($E44=2,IT44=0),1000000,IF($I44&gt;0,IF(1=$J44,IF(OR(AND(4=$I44+1,OR($K44&lt;&gt;'計算A'!$A$3,'計算A'!$A$4=0)),AND(4=$I44-1,OR(4&lt;&gt;'計算A'!$A$3,'計算A'!$A$4=0))),0,IF(4=$K44,200000,ABS(4-$K44)*100)),100000+ABS(1-$J44)*1000+40)+'計算A'!G$5*50+IF(AND($E44=1,IT44=0),25,0),INDEX('計算A'!G$110:G$114,$F44+1)+IF(AND($E44=1,IT44=0),1000,0)+IF($H44=1,(IF('計算A'!F$117=1,INDEX('計算A'!F$10:F$54,$B44),0)+IF('計算A'!G$117=1,INDEX('計算A'!H$10:H$54,$B44),0))*500,0)-IF(AND('計算A'!F$117=1,UD44&gt;0),300,0)-IF(AND($L44=1,'計算A'!G$117=1,DF44=0),300,0))),1000000))</f>
        <v/>
      </c>
      <c r="OJ44">
        <f>IF($B44=0,1000000,IF(INDEX('計算A'!$D$60:$EQ$104,$B44,5)*DF44=1,IF(AND($E44=2,IU44=0),1000000,IF($I44&gt;0,IF(1=$J44,IF(OR(AND(5=$I44+1,OR($K44&lt;&gt;'計算A'!$A$3,'計算A'!$A$4=0)),AND(5=$I44-1,OR(5&lt;&gt;'計算A'!$A$3,'計算A'!$A$4=0))),0,IF(5=$K44,200000,ABS(5-$K44)*100)),100000+ABS(1-$J44)*1000+50)+'計算A'!H$5*50+IF(AND($E44=1,IU44=0),25,0),INDEX('計算A'!H$110:H$114,$F44+1)+IF(AND($E44=1,IU44=0),1000,0)+IF($H44=1,(IF('計算A'!G$117=1,INDEX('計算A'!G$10:G$54,$B44),0)+IF('計算A'!H$117=1,INDEX('計算A'!I$10:I$54,$B44),0))*500,0)-IF(AND('計算A'!G$117=1,UE44&gt;0),300,0)-IF(AND($L44=1,'計算A'!H$117=1,DG44=0),300,0))),1000000))</f>
        <v/>
      </c>
      <c r="OK44">
        <f>IF($B44=0,1000000,IF(INDEX('計算A'!$D$60:$EQ$104,$B44,6)*DG44=1,IF(AND($E44=2,IV44=0),1000000,IF($I44&gt;0,IF(1=$J44,IF(OR(AND(6=$I44+1,OR($K44&lt;&gt;'計算A'!$A$3,'計算A'!$A$4=0)),AND(6=$I44-1,OR(6&lt;&gt;'計算A'!$A$3,'計算A'!$A$4=0))),0,IF(6=$K44,200000,ABS(6-$K44)*100)),100000+ABS(1-$J44)*1000+60)+'計算A'!I$5*50+IF(AND($E44=1,IV44=0),25,0),INDEX('計算A'!I$110:I$114,$F44+1)+IF(AND($E44=1,IV44=0),1000,0)+IF($H44=1,(IF('計算A'!H$117=1,INDEX('計算A'!H$10:H$54,$B44),0)+IF('計算A'!I$117=1,INDEX('計算A'!J$10:J$54,$B44),0))*500,0)-IF(AND('計算A'!H$117=1,UF44&gt;0),300,0)-IF(AND($L44=1,'計算A'!I$117=1,DH44=0),300,0))),1000000))</f>
        <v/>
      </c>
      <c r="OL44">
        <f>IF($B44=0,1000000,IF(INDEX('計算A'!$D$60:$EQ$104,$B44,7)*DH44=1,IF(AND($E44=2,IW44=0),1000000,IF($I44&gt;0,IF(1=$J44,IF(OR(AND(7=$I44+1,OR($K44&lt;&gt;'計算A'!$A$3,'計算A'!$A$4=0)),AND(7=$I44-1,OR(7&lt;&gt;'計算A'!$A$3,'計算A'!$A$4=0))),0,IF(7=$K44,200000,ABS(7-$K44)*100)),100000+ABS(1-$J44)*1000+70)+'計算A'!J$5*50+IF(AND($E44=1,IW44=0),25,0),INDEX('計算A'!J$110:J$114,$F44+1)+IF(AND($E44=1,IW44=0),1000,0)+IF($H44=1,(IF('計算A'!I$117=1,INDEX('計算A'!I$10:I$54,$B44),0)+IF('計算A'!J$117=1,INDEX('計算A'!K$10:K$54,$B44),0))*500,0)-IF(AND('計算A'!I$117=1,UG44&gt;0),300,0)-IF(AND($L44=1,'計算A'!J$117=1,DI44=0),300,0))),1000000))</f>
        <v/>
      </c>
      <c r="OM44">
        <f>IF($B44=0,1000000,IF(INDEX('計算A'!$D$60:$EQ$104,$B44,8)*DI44=1,IF(AND($E44=2,IX44=0),1000000,IF($I44&gt;0,IF(1=$J44,IF(OR(AND(8=$I44+1,OR($K44&lt;&gt;'計算A'!$A$3,'計算A'!$A$4=0)),AND(8=$I44-1,OR(8&lt;&gt;'計算A'!$A$3,'計算A'!$A$4=0))),0,IF(8=$K44,200000,ABS(8-$K44)*100)),100000+ABS(1-$J44)*1000+80)+'計算A'!K$5*50+IF(AND($E44=1,IX44=0),25,0),INDEX('計算A'!K$110:K$114,$F44+1)+IF(AND($E44=1,IX44=0),1000,0)+IF($H44=1,(IF('計算A'!J$117=1,INDEX('計算A'!J$10:J$54,$B44),0)+IF('計算A'!K$117=1,INDEX('計算A'!L$10:L$54,$B44),0))*500,0)-IF(AND('計算A'!J$117=1,UH44&gt;0),300,0)-IF(AND($L44=1,'計算A'!K$117=1,DJ44=0),300,0))),1000000))</f>
        <v/>
      </c>
      <c r="ON44">
        <f>IF($B44=0,1000000,IF(INDEX('計算A'!$D$60:$EQ$104,$B44,9)*DJ44=1,IF(AND($E44=2,IY44=0),1000000,IF($I44&gt;0,IF(1=$J44,IF(OR(AND(9=$I44+1,OR($K44&lt;&gt;'計算A'!$A$3,'計算A'!$A$4=0)),AND(9=$I44-1,OR(9&lt;&gt;'計算A'!$A$3,'計算A'!$A$4=0))),0,IF(9=$K44,200000,ABS(9-$K44)*100)),100000+ABS(1-$J44)*1000+90)+'計算A'!L$5*50+IF(AND($E44=1,IY44=0),25,0),INDEX('計算A'!L$110:L$114,$F44+1)+IF(AND($E44=1,IY44=0),1000,0)+IF($H44=1,(IF('計算A'!K$117=1,INDEX('計算A'!K$10:K$54,$B44),0)+IF('計算A'!L$117=1,INDEX('計算A'!M$10:M$54,$B44),0))*500,0)-IF(AND('計算A'!K$117=1,UI44&gt;0),300,0)-IF(AND($L44=1,'計算A'!L$117=1,DK44=0),300,0))),1000000))</f>
        <v/>
      </c>
      <c r="OO44">
        <f>IF($B44=0,1000000,IF(INDEX('計算A'!$D$60:$EQ$104,$B44,10)*DK44=1,IF(AND($E44=2,IZ44=0),1000000,IF($I44&gt;0,IF(1=$J44,IF(OR(AND(10=$I44+1,OR($K44&lt;&gt;'計算A'!$A$3,'計算A'!$A$4=0)),AND(10=$I44-1,OR(10&lt;&gt;'計算A'!$A$3,'計算A'!$A$4=0))),0,IF(10=$K44,200000,ABS(10-$K44)*100)),100000+ABS(1-$J44)*1000+100)+'計算A'!M$5*50+IF(AND($E44=1,IZ44=0),25,0),INDEX('計算A'!M$110:M$114,$F44+1)+IF(AND($E44=1,IZ44=0),1000,0)+IF($H44=1,(IF('計算A'!L$117=1,INDEX('計算A'!L$10:L$54,$B44),0)+IF('計算A'!M$117=1,INDEX('計算A'!N$10:N$54,$B44),0))*500,0)-IF(AND('計算A'!L$117=1,UJ44&gt;0),300,0)-IF(AND($L44=1,'計算A'!M$117=1,DL44=0),300,0))),1000000))</f>
        <v/>
      </c>
      <c r="OP44">
        <f>IF($B44=0,1000000,IF(INDEX('計算A'!$D$60:$EQ$104,$B44,11)*DL44=1,IF(AND($E44=2,JA44=0),1000000,IF($I44&gt;0,IF(1=$J44,IF(OR(AND(11=$I44+1,OR($K44&lt;&gt;'計算A'!$A$3,'計算A'!$A$4=0)),AND(11=$I44-1,OR(11&lt;&gt;'計算A'!$A$3,'計算A'!$A$4=0))),0,IF(11=$K44,200000,ABS(11-$K44)*100)),100000+ABS(1-$J44)*1000+110)+'計算A'!N$5*50+IF(AND($E44=1,JA44=0),25,0),INDEX('計算A'!N$110:N$114,$F44+1)+IF(AND($E44=1,JA44=0),1000,0)+IF($H44=1,(IF('計算A'!M$117=1,INDEX('計算A'!M$10:M$54,$B44),0)+IF('計算A'!N$117=1,INDEX('計算A'!O$10:O$54,$B44),0))*500,0)-IF(AND('計算A'!M$117=1,UK44&gt;0),300,0)-IF(AND($L44=1,'計算A'!N$117=1,DM44=0),300,0))),1000000))</f>
        <v/>
      </c>
      <c r="OQ44">
        <f>IF($B44=0,1000000,IF(INDEX('計算A'!$D$60:$EQ$104,$B44,12)*DM44=1,IF(AND($E44=2,JB44=0),1000000,IF($I44&gt;0,IF(1=$J44,IF(OR(AND(12=$I44+1,OR($K44&lt;&gt;'計算A'!$A$3,'計算A'!$A$4=0)),AND(12=$I44-1,OR(12&lt;&gt;'計算A'!$A$3,'計算A'!$A$4=0))),0,IF(12=$K44,200000,ABS(12-$K44)*100)),100000+ABS(1-$J44)*1000+120)+'計算A'!O$5*50+IF(AND($E44=1,JB44=0),25,0),INDEX('計算A'!O$110:O$114,$F44+1)+IF(AND($E44=1,JB44=0),1000,0)+IF($H44=1,(IF('計算A'!N$117=1,INDEX('計算A'!N$10:N$54,$B44),0)+IF('計算A'!O$117=1,INDEX('計算A'!P$10:P$54,$B44),0))*500,0)-IF(AND('計算A'!N$117=1,UL44&gt;0),300,0)-IF(AND($L44=1,'計算A'!O$117=1,DN44=0),300,0))),1000000))</f>
        <v/>
      </c>
      <c r="OR44">
        <f>IF($B44=0,1000000,IF(INDEX('計算A'!$D$60:$EQ$104,$B44,13)*DN44=1,IF(AND($E44=2,JC44=0),1000000,IF($I44&gt;0,IF(1=$J44,IF(OR(AND(13=$I44+1,OR($K44&lt;&gt;'計算A'!$A$3,'計算A'!$A$4=0)),AND(13=$I44-1,OR(13&lt;&gt;'計算A'!$A$3,'計算A'!$A$4=0))),0,IF(13=$K44,200000,ABS(13-$K44)*100)),100000+ABS(1-$J44)*1000+130)+'計算A'!P$5*50+IF(AND($E44=1,JC44=0),25,0),INDEX('計算A'!P$110:P$114,$F44+1)+IF(AND($E44=1,JC44=0),1000,0)+IF($H44=1,(IF('計算A'!O$117=1,INDEX('計算A'!O$10:O$54,$B44),0)+IF('計算A'!P$117=1,INDEX('計算A'!Q$10:Q$54,$B44),0))*500,0)-IF(AND('計算A'!O$117=1,UM44&gt;0),300,0)-IF(AND($L44=1,'計算A'!P$117=1,DO44=0),300,0))),1000000))</f>
        <v/>
      </c>
      <c r="OS44">
        <f>IF($B44=0,1000000,IF(INDEX('計算A'!$D$60:$EQ$104,$B44,14)*DO44=1,IF(AND($E44=2,JD44=0),1000000,IF($I44&gt;0,IF(1=$J44,IF(OR(AND(14=$I44+1,OR($K44&lt;&gt;'計算A'!$A$3,'計算A'!$A$4=0)),AND(14=$I44-1,OR(14&lt;&gt;'計算A'!$A$3,'計算A'!$A$4=0))),0,IF(14=$K44,200000,ABS(14-$K44)*100)),100000+ABS(1-$J44)*1000+140)+'計算A'!Q$5*50+IF(AND($E44=1,JD44=0),25,0),INDEX('計算A'!Q$110:Q$114,$F44+1)+IF(AND($E44=1,JD44=0),1000,0)+IF($H44=1,(IF('計算A'!P$117=1,INDEX('計算A'!P$10:P$54,$B44),0)+IF('計算A'!Q$117=1,INDEX('計算A'!R$10:R$54,$B44),0))*500,0)-IF(AND('計算A'!P$117=1,UN44&gt;0),300,0)-IF(AND($L44=1,'計算A'!Q$117=1,DP44=0),300,0))),1000000))</f>
        <v/>
      </c>
      <c r="OT44">
        <f>IF($B44=0,1000000,IF(INDEX('計算A'!$D$60:$EQ$104,$B44,15)*DP44=1,IF(AND($E44=2,JE44=0),1000000,IF($I44&gt;0,IF(1=$J44,IF(OR(AND(15=$I44+1,OR($K44&lt;&gt;'計算A'!$A$3,'計算A'!$A$4=0)),AND(15=$I44-1,OR(15&lt;&gt;'計算A'!$A$3,'計算A'!$A$4=0))),0,IF(15=$K44,200000,ABS(15-$K44)*100)),100000+ABS(1-$J44)*1000+150)+'計算A'!R$5*50+IF(AND($E44=1,JE44=0),25,0),INDEX('計算A'!R$110:R$114,$F44+1)+IF(AND($E44=1,JE44=0),1000,0)+IF($H44=1,(IF('計算A'!Q$117=1,INDEX('計算A'!Q$10:Q$54,$B44),0)+IF('計算A'!R$117=1,INDEX('計算A'!S$10:S$54,$B44),0))*500,0)-IF(AND('計算A'!Q$117=1,UO44&gt;0),300,0)-IF(AND($L44=1,'計算A'!R$117=1,DQ44=0),300,0))),1000000))</f>
        <v/>
      </c>
      <c r="OU44">
        <f>IF($B44=0,1000000,IF(INDEX('計算A'!$D$60:$EQ$104,$B44,16)*DQ44=1,IF(AND($E44=2,JF44=0),1000000,IF($I44&gt;0,IF(1=$J44,IF(OR(AND(16=$I44+1,OR($K44&lt;&gt;'計算A'!$A$3,'計算A'!$A$4=0)),AND(16=$I44-1,OR(16&lt;&gt;'計算A'!$A$3,'計算A'!$A$4=0))),0,IF(16=$K44,200000,ABS(16-$K44)*100)),100000+ABS(1-$J44)*1000+160)+'計算A'!S$5*50+IF(AND($E44=1,JF44=0),25,0),INDEX('計算A'!S$110:S$114,$F44+1)+IF(AND($E44=1,JF44=0),1000,0)+IF($H44=1,(IF('計算A'!R$117=1,INDEX('計算A'!R$10:R$54,$B44),0)+IF('計算A'!S$117=1,INDEX('計算A'!T$10:T$54,$B44),0))*500,0)-IF(AND('計算A'!R$117=1,UP44&gt;0),300,0)-IF(AND($L44=1,'計算A'!S$117=1,DR44=0),300,0))),1000000))</f>
        <v/>
      </c>
      <c r="OV44">
        <f>IF($B44=0,1000000,IF(INDEX('計算A'!$D$60:$EQ$104,$B44,17)*DR44=1,IF(AND($E44=2,JG44=0),1000000,IF($I44&gt;0,IF(1=$J44,IF(OR(AND(17=$I44+1,OR($K44&lt;&gt;'計算A'!$A$3,'計算A'!$A$4=0)),AND(17=$I44-1,OR(17&lt;&gt;'計算A'!$A$3,'計算A'!$A$4=0))),0,IF(17=$K44,200000,ABS(17-$K44)*100)),100000+ABS(1-$J44)*1000+170)+'計算A'!T$5*50+IF(AND($E44=1,JG44=0),25,0),INDEX('計算A'!T$110:T$114,$F44+1)+IF(AND($E44=1,JG44=0),1000,0)+IF($H44=1,(IF('計算A'!S$117=1,INDEX('計算A'!S$10:S$54,$B44),0)+IF('計算A'!T$117=1,INDEX('計算A'!U$10:U$54,$B44),0))*500,0)-IF(AND('計算A'!S$117=1,UQ44&gt;0),300,0)-IF(AND($L44=1,'計算A'!T$117=1,DS44=0),300,0))),1000000))</f>
        <v/>
      </c>
      <c r="OW44">
        <f>IF($B44=0,1000000,IF(INDEX('計算A'!$D$60:$EQ$104,$B44,18)*DS44=1,IF(AND($E44=2,JH44=0),1000000,IF($I44&gt;0,IF(1=$J44,IF(OR(AND(18=$I44+1,OR($K44&lt;&gt;'計算A'!$A$3,'計算A'!$A$4=0)),AND(18=$I44-1,OR(18&lt;&gt;'計算A'!$A$3,'計算A'!$A$4=0))),0,IF(18=$K44,200000,ABS(18-$K44)*100)),100000+ABS(1-$J44)*1000+180)+'計算A'!U$5*50+IF(AND($E44=1,JH44=0),25,0),INDEX('計算A'!U$110:U$114,$F44+1)+IF(AND($E44=1,JH44=0),1000,0)+IF($H44=1,(IF('計算A'!T$117=1,INDEX('計算A'!T$10:T$54,$B44),0)+IF('計算A'!U$117=1,INDEX('計算A'!V$10:V$54,$B44),0))*500,0)-IF(AND('計算A'!T$117=1,UR44&gt;0),300,0)-IF(AND($L44=1,'計算A'!U$117=1,DT44=0),300,0))),1000000))</f>
        <v/>
      </c>
      <c r="OX44">
        <f>IF($B44=0,1000000,IF(INDEX('計算A'!$D$60:$EQ$104,$B44,19)*DT44=1,IF(AND($E44=2,JI44=0),1000000,IF($I44&gt;0,IF(1=$J44,IF(OR(AND(19=$I44+1,OR($K44&lt;&gt;'計算A'!$A$3,'計算A'!$A$4=0)),AND(19=$I44-1,OR(19&lt;&gt;'計算A'!$A$3,'計算A'!$A$4=0))),0,IF(19=$K44,200000,ABS(19-$K44)*100)),100000+ABS(1-$J44)*1000+190)+'計算A'!V$5*50+IF(AND($E44=1,JI44=0),25,0),INDEX('計算A'!V$110:V$114,$F44+1)+IF(AND($E44=1,JI44=0),1000,0)+IF($H44=1,(IF('計算A'!U$117=1,INDEX('計算A'!U$10:U$54,$B44),0)+IF('計算A'!V$117=1,INDEX('計算A'!W$10:W$54,$B44),0))*500,0)-IF(AND('計算A'!U$117=1,US44&gt;0),300,0)-IF(AND($L44=1,'計算A'!V$117=1,DU44=0),300,0))),1000000))</f>
        <v/>
      </c>
      <c r="OY44">
        <f>IF($B44=0,1000000,IF(INDEX('計算A'!$D$60:$EQ$104,$B44,20)*DU44=1,IF(AND($E44=2,JJ44=0),1000000,IF($I44&gt;0,IF(1=$J44,IF(OR(AND(20=$I44+1,OR($K44&lt;&gt;'計算A'!$A$3,'計算A'!$A$4=0)),AND(20=$I44-1,OR(20&lt;&gt;'計算A'!$A$3,'計算A'!$A$4=0))),0,IF(20=$K44,200000,ABS(20-$K44)*100)),100000+ABS(1-$J44)*1000+200)+'計算A'!W$5*50+IF(AND($E44=1,JJ44=0),25,0),INDEX('計算A'!W$110:W$114,$F44+1)+IF(AND($E44=1,JJ44=0),1000,0)+IF($H44=1,(IF('計算A'!V$117=1,INDEX('計算A'!V$10:V$54,$B44),0)+IF('計算A'!W$117=1,INDEX('計算A'!X$10:X$54,$B44),0))*500,0)-IF(AND('計算A'!V$117=1,UT44&gt;0),300,0)-IF(AND($L44=1,'計算A'!W$117=1,DV44=0),300,0))),1000000))</f>
        <v/>
      </c>
      <c r="OZ44">
        <f>IF($B44=0,1000000,IF(INDEX('計算A'!$D$60:$EQ$104,$B44,21)*DV44=1,IF(AND($E44=2,JK44=0),1000000,IF($I44&gt;0,IF(1=$J44,IF(OR(AND(21=$I44+1,OR($K44&lt;&gt;'計算A'!$A$3,'計算A'!$A$4=0)),AND(21=$I44-1,OR(21&lt;&gt;'計算A'!$A$3,'計算A'!$A$4=0))),0,IF(21=$K44,200000,ABS(21-$K44)*100)),100000+ABS(1-$J44)*1000+210)+'計算A'!X$5*50+IF(AND($E44=1,JK44=0),25,0),INDEX('計算A'!X$110:X$114,$F44+1)+IF(AND($E44=1,JK44=0),1000,0)+IF($H44=1,(IF('計算A'!W$117=1,INDEX('計算A'!W$10:W$54,$B44),0)+IF('計算A'!X$117=1,INDEX('計算A'!Y$10:Y$54,$B44),0))*500,0)-IF(AND('計算A'!W$117=1,UU44&gt;0),300,0)-IF(AND($L44=1,'計算A'!X$117=1,DW44=0),300,0))),1000000))</f>
        <v/>
      </c>
      <c r="PA44">
        <f>IF($B44=0,1000000,IF(INDEX('計算A'!$D$60:$EQ$104,$B44,22)*DW44=1,IF(AND($E44=2,JL44=0),1000000,IF($I44&gt;0,IF(1=$J44,IF(OR(AND(22=$I44+1,OR($K44&lt;&gt;'計算A'!$A$3,'計算A'!$A$4=0)),AND(22=$I44-1,OR(22&lt;&gt;'計算A'!$A$3,'計算A'!$A$4=0))),0,IF(22=$K44,200000,ABS(22-$K44)*100)),100000+ABS(1-$J44)*1000+220)+'計算A'!Y$5*50+IF(AND($E44=1,JL44=0),25,0),INDEX('計算A'!Y$110:Y$114,$F44+1)+IF(AND($E44=1,JL44=0),1000,0)+IF($H44=1,(IF('計算A'!X$117=1,INDEX('計算A'!X$10:X$54,$B44),0)+IF('計算A'!Y$117=1,INDEX('計算A'!Z$10:Z$54,$B44),0))*500,0)-IF(AND('計算A'!X$117=1,UV44&gt;0),300,0)-IF(AND($L44=1,'計算A'!Y$117=1,DX44=0),300,0))),1000000))</f>
        <v/>
      </c>
      <c r="PB44">
        <f>IF($B44=0,1000000,IF(INDEX('計算A'!$D$60:$EQ$104,$B44,23)*DX44=1,IF(AND($E44=2,JM44=0),1000000,IF($I44&gt;0,IF(1=$J44,IF(OR(AND(23=$I44+1,OR($K44&lt;&gt;'計算A'!$A$3,'計算A'!$A$4=0)),AND(23=$I44-1,OR(23&lt;&gt;'計算A'!$A$3,'計算A'!$A$4=0))),0,IF(23=$K44,200000,ABS(23-$K44)*100)),100000+ABS(1-$J44)*1000+230)+'計算A'!Z$5*50+IF(AND($E44=1,JM44=0),25,0),INDEX('計算A'!Z$110:Z$114,$F44+1)+IF(AND($E44=1,JM44=0),1000,0)+IF($H44=1,(IF('計算A'!Y$117=1,INDEX('計算A'!Y$10:Y$54,$B44),0)+IF('計算A'!Z$117=1,INDEX('計算A'!AA$10:AA$54,$B44),0))*500,0)-IF(AND('計算A'!Y$117=1,UW44&gt;0),300,0)-IF(AND($L44=1,'計算A'!Z$117=1,DY44=0),300,0))),1000000))</f>
        <v/>
      </c>
      <c r="PC44">
        <f>IF($B44=0,1000000,IF(INDEX('計算A'!$D$60:$EQ$104,$B44,24)*DY44=1,IF(AND($E44=2,JN44=0),1000000,IF($I44&gt;0,IF(1=$J44,IF(OR(AND(24=$I44+1,OR($K44&lt;&gt;'計算A'!$A$3,'計算A'!$A$4=0)),AND(24=$I44-1,OR(24&lt;&gt;'計算A'!$A$3,'計算A'!$A$4=0))),0,IF(24=$K44,200000,ABS(24-$K44)*100)),100000+ABS(1-$J44)*1000+240)+'計算A'!AA$5*50+IF(AND($E44=1,JN44=0),25,0),INDEX('計算A'!AA$110:AA$114,$F44+1)+IF(AND($E44=1,JN44=0),1000,0)+IF($H44=1,(IF('計算A'!Z$117=1,INDEX('計算A'!Z$10:Z$54,$B44),0))*500,0)-IF(AND('計算A'!Z$117=1,UX44&gt;0),300,0))),1000000))</f>
        <v/>
      </c>
      <c r="PD44">
        <f>IF($B44=0,1000000,IF(INDEX('計算A'!$D$60:$EQ$104,$B44,25)*DZ44=1,IF(AND($E44=2,JO44=0),1000000,IF($I44&gt;0,IF(2=$J44,IF(OR(AND(25=$I44+1,OR($K44&lt;&gt;'計算A'!$A$3,'計算A'!$A$4=0)),AND(25=$I44-1,OR(1&lt;&gt;'計算A'!$A$3,'計算A'!$A$4=0))),0,IF(1=$K44,200000,ABS(1-$K44)*100)),100000+ABS(2-$J44)*1000+10)+'計算A'!AB$5*50+IF(AND($E44=1,JO44=0),25,0),INDEX('計算A'!AB$110:AB$114,$F44+1)+IF(AND($E44=1,JO44=0),1000,0)+IF($H44=1,(IF('計算A'!AB$117=1,INDEX('計算A'!AC$10:AC$54,$B44),0))*500,0)-IF(AND($L44=1,'計算A'!AB$117=1,EA44=0),300,0))),1000000))</f>
        <v/>
      </c>
      <c r="PE44">
        <f>IF($B44=0,1000000,IF(INDEX('計算A'!$D$60:$EQ$104,$B44,26)*EA44=1,IF(AND($E44=2,JP44=0),1000000,IF($I44&gt;0,IF(2=$J44,IF(OR(AND(26=$I44+1,OR($K44&lt;&gt;'計算A'!$A$3,'計算A'!$A$4=0)),AND(26=$I44-1,OR(2&lt;&gt;'計算A'!$A$3,'計算A'!$A$4=0))),0,IF(2=$K44,200000,ABS(2-$K44)*100)),100000+ABS(2-$J44)*1000+20)+'計算A'!AC$5*50+IF(AND($E44=1,JP44=0),25,0),INDEX('計算A'!AC$110:AC$114,$F44+1)+IF(AND($E44=1,JP44=0),1000,0)+IF($H44=1,(IF('計算A'!AB$117=1,INDEX('計算A'!AB$10:AB$54,$B44),0)+IF('計算A'!AC$117=1,INDEX('計算A'!AD$10:AD$54,$B44),0))*500,0)-IF(AND('計算A'!AB$117=1,UZ44&gt;0),300,0)-IF(AND($L44=1,'計算A'!AC$117=1,EB44=0),300,0))),1000000))</f>
        <v/>
      </c>
      <c r="PF44">
        <f>IF($B44=0,1000000,IF(INDEX('計算A'!$D$60:$EQ$104,$B44,27)*EB44=1,IF(AND($E44=2,JQ44=0),1000000,IF($I44&gt;0,IF(2=$J44,IF(OR(AND(27=$I44+1,OR($K44&lt;&gt;'計算A'!$A$3,'計算A'!$A$4=0)),AND(27=$I44-1,OR(3&lt;&gt;'計算A'!$A$3,'計算A'!$A$4=0))),0,IF(3=$K44,200000,ABS(3-$K44)*100)),100000+ABS(2-$J44)*1000+30)+'計算A'!AD$5*50+IF(AND($E44=1,JQ44=0),25,0),INDEX('計算A'!AD$110:AD$114,$F44+1)+IF(AND($E44=1,JQ44=0),1000,0)+IF($H44=1,(IF('計算A'!AC$117=1,INDEX('計算A'!AC$10:AC$54,$B44),0)+IF('計算A'!AD$117=1,INDEX('計算A'!AE$10:AE$54,$B44),0))*500,0)-IF(AND('計算A'!AC$117=1,VA44&gt;0),300,0)-IF(AND($L44=1,'計算A'!AD$117=1,EC44=0),300,0))),1000000))</f>
        <v/>
      </c>
      <c r="PG44">
        <f>IF($B44=0,1000000,IF(INDEX('計算A'!$D$60:$EQ$104,$B44,28)*EC44=1,IF(AND($E44=2,JR44=0),1000000,IF($I44&gt;0,IF(2=$J44,IF(OR(AND(28=$I44+1,OR($K44&lt;&gt;'計算A'!$A$3,'計算A'!$A$4=0)),AND(28=$I44-1,OR(4&lt;&gt;'計算A'!$A$3,'計算A'!$A$4=0))),0,IF(4=$K44,200000,ABS(4-$K44)*100)),100000+ABS(2-$J44)*1000+40)+'計算A'!AE$5*50+IF(AND($E44=1,JR44=0),25,0),INDEX('計算A'!AE$110:AE$114,$F44+1)+IF(AND($E44=1,JR44=0),1000,0)+IF($H44=1,(IF('計算A'!AD$117=1,INDEX('計算A'!AD$10:AD$54,$B44),0)+IF('計算A'!AE$117=1,INDEX('計算A'!AF$10:AF$54,$B44),0))*500,0)-IF(AND('計算A'!AD$117=1,VB44&gt;0),300,0)-IF(AND($L44=1,'計算A'!AE$117=1,ED44=0),300,0))),1000000))</f>
        <v/>
      </c>
      <c r="PH44">
        <f>IF($B44=0,1000000,IF(INDEX('計算A'!$D$60:$EQ$104,$B44,29)*ED44=1,IF(AND($E44=2,JS44=0),1000000,IF($I44&gt;0,IF(2=$J44,IF(OR(AND(29=$I44+1,OR($K44&lt;&gt;'計算A'!$A$3,'計算A'!$A$4=0)),AND(29=$I44-1,OR(5&lt;&gt;'計算A'!$A$3,'計算A'!$A$4=0))),0,IF(5=$K44,200000,ABS(5-$K44)*100)),100000+ABS(2-$J44)*1000+50)+'計算A'!AF$5*50+IF(AND($E44=1,JS44=0),25,0),INDEX('計算A'!AF$110:AF$114,$F44+1)+IF(AND($E44=1,JS44=0),1000,0)+IF($H44=1,(IF('計算A'!AE$117=1,INDEX('計算A'!AE$10:AE$54,$B44),0)+IF('計算A'!AF$117=1,INDEX('計算A'!AG$10:AG$54,$B44),0))*500,0)-IF(AND('計算A'!AE$117=1,VC44&gt;0),300,0)-IF(AND($L44=1,'計算A'!AF$117=1,EE44=0),300,0))),1000000))</f>
        <v/>
      </c>
      <c r="PI44">
        <f>IF($B44=0,1000000,IF(INDEX('計算A'!$D$60:$EQ$104,$B44,30)*EE44=1,IF(AND($E44=2,JT44=0),1000000,IF($I44&gt;0,IF(2=$J44,IF(OR(AND(30=$I44+1,OR($K44&lt;&gt;'計算A'!$A$3,'計算A'!$A$4=0)),AND(30=$I44-1,OR(6&lt;&gt;'計算A'!$A$3,'計算A'!$A$4=0))),0,IF(6=$K44,200000,ABS(6-$K44)*100)),100000+ABS(2-$J44)*1000+60)+'計算A'!AG$5*50+IF(AND($E44=1,JT44=0),25,0),INDEX('計算A'!AG$110:AG$114,$F44+1)+IF(AND($E44=1,JT44=0),1000,0)+IF($H44=1,(IF('計算A'!AF$117=1,INDEX('計算A'!AF$10:AF$54,$B44),0)+IF('計算A'!AG$117=1,INDEX('計算A'!AH$10:AH$54,$B44),0))*500,0)-IF(AND('計算A'!AF$117=1,VD44&gt;0),300,0)-IF(AND($L44=1,'計算A'!AG$117=1,EF44=0),300,0))),1000000))</f>
        <v/>
      </c>
      <c r="PJ44">
        <f>IF($B44=0,1000000,IF(INDEX('計算A'!$D$60:$EQ$104,$B44,31)*EF44=1,IF(AND($E44=2,JU44=0),1000000,IF($I44&gt;0,IF(2=$J44,IF(OR(AND(31=$I44+1,OR($K44&lt;&gt;'計算A'!$A$3,'計算A'!$A$4=0)),AND(31=$I44-1,OR(7&lt;&gt;'計算A'!$A$3,'計算A'!$A$4=0))),0,IF(7=$K44,200000,ABS(7-$K44)*100)),100000+ABS(2-$J44)*1000+70)+'計算A'!AH$5*50+IF(AND($E44=1,JU44=0),25,0),INDEX('計算A'!AH$110:AH$114,$F44+1)+IF(AND($E44=1,JU44=0),1000,0)+IF($H44=1,(IF('計算A'!AG$117=1,INDEX('計算A'!AG$10:AG$54,$B44),0)+IF('計算A'!AH$117=1,INDEX('計算A'!AI$10:AI$54,$B44),0))*500,0)-IF(AND('計算A'!AG$117=1,VE44&gt;0),300,0)-IF(AND($L44=1,'計算A'!AH$117=1,EG44=0),300,0))),1000000))</f>
        <v/>
      </c>
      <c r="PK44">
        <f>IF($B44=0,1000000,IF(INDEX('計算A'!$D$60:$EQ$104,$B44,32)*EG44=1,IF(AND($E44=2,JV44=0),1000000,IF($I44&gt;0,IF(2=$J44,IF(OR(AND(32=$I44+1,OR($K44&lt;&gt;'計算A'!$A$3,'計算A'!$A$4=0)),AND(32=$I44-1,OR(8&lt;&gt;'計算A'!$A$3,'計算A'!$A$4=0))),0,IF(8=$K44,200000,ABS(8-$K44)*100)),100000+ABS(2-$J44)*1000+80)+'計算A'!AI$5*50+IF(AND($E44=1,JV44=0),25,0),INDEX('計算A'!AI$110:AI$114,$F44+1)+IF(AND($E44=1,JV44=0),1000,0)+IF($H44=1,(IF('計算A'!AH$117=1,INDEX('計算A'!AH$10:AH$54,$B44),0)+IF('計算A'!AI$117=1,INDEX('計算A'!AJ$10:AJ$54,$B44),0))*500,0)-IF(AND('計算A'!AH$117=1,VF44&gt;0),300,0)-IF(AND($L44=1,'計算A'!AI$117=1,EH44=0),300,0))),1000000))</f>
        <v/>
      </c>
      <c r="PL44">
        <f>IF($B44=0,1000000,IF(INDEX('計算A'!$D$60:$EQ$104,$B44,33)*EH44=1,IF(AND($E44=2,JW44=0),1000000,IF($I44&gt;0,IF(2=$J44,IF(OR(AND(33=$I44+1,OR($K44&lt;&gt;'計算A'!$A$3,'計算A'!$A$4=0)),AND(33=$I44-1,OR(9&lt;&gt;'計算A'!$A$3,'計算A'!$A$4=0))),0,IF(9=$K44,200000,ABS(9-$K44)*100)),100000+ABS(2-$J44)*1000+90)+'計算A'!AJ$5*50+IF(AND($E44=1,JW44=0),25,0),INDEX('計算A'!AJ$110:AJ$114,$F44+1)+IF(AND($E44=1,JW44=0),1000,0)+IF($H44=1,(IF('計算A'!AI$117=1,INDEX('計算A'!AI$10:AI$54,$B44),0)+IF('計算A'!AJ$117=1,INDEX('計算A'!AK$10:AK$54,$B44),0))*500,0)-IF(AND('計算A'!AI$117=1,VG44&gt;0),300,0)-IF(AND($L44=1,'計算A'!AJ$117=1,EI44=0),300,0))),1000000))</f>
        <v/>
      </c>
      <c r="PM44">
        <f>IF($B44=0,1000000,IF(INDEX('計算A'!$D$60:$EQ$104,$B44,34)*EI44=1,IF(AND($E44=2,JX44=0),1000000,IF($I44&gt;0,IF(2=$J44,IF(OR(AND(34=$I44+1,OR($K44&lt;&gt;'計算A'!$A$3,'計算A'!$A$4=0)),AND(34=$I44-1,OR(10&lt;&gt;'計算A'!$A$3,'計算A'!$A$4=0))),0,IF(10=$K44,200000,ABS(10-$K44)*100)),100000+ABS(2-$J44)*1000+100)+'計算A'!AK$5*50+IF(AND($E44=1,JX44=0),25,0),INDEX('計算A'!AK$110:AK$114,$F44+1)+IF(AND($E44=1,JX44=0),1000,0)+IF($H44=1,(IF('計算A'!AJ$117=1,INDEX('計算A'!AJ$10:AJ$54,$B44),0)+IF('計算A'!AK$117=1,INDEX('計算A'!AL$10:AL$54,$B44),0))*500,0)-IF(AND('計算A'!AJ$117=1,VH44&gt;0),300,0)-IF(AND($L44=1,'計算A'!AK$117=1,EJ44=0),300,0))),1000000))</f>
        <v/>
      </c>
      <c r="PN44">
        <f>IF($B44=0,1000000,IF(INDEX('計算A'!$D$60:$EQ$104,$B44,35)*EJ44=1,IF(AND($E44=2,JY44=0),1000000,IF($I44&gt;0,IF(2=$J44,IF(OR(AND(35=$I44+1,OR($K44&lt;&gt;'計算A'!$A$3,'計算A'!$A$4=0)),AND(35=$I44-1,OR(11&lt;&gt;'計算A'!$A$3,'計算A'!$A$4=0))),0,IF(11=$K44,200000,ABS(11-$K44)*100)),100000+ABS(2-$J44)*1000+110)+'計算A'!AL$5*50+IF(AND($E44=1,JY44=0),25,0),INDEX('計算A'!AL$110:AL$114,$F44+1)+IF(AND($E44=1,JY44=0),1000,0)+IF($H44=1,(IF('計算A'!AK$117=1,INDEX('計算A'!AK$10:AK$54,$B44),0)+IF('計算A'!AL$117=1,INDEX('計算A'!AM$10:AM$54,$B44),0))*500,0)-IF(AND('計算A'!AK$117=1,VI44&gt;0),300,0)-IF(AND($L44=1,'計算A'!AL$117=1,EK44=0),300,0))),1000000))</f>
        <v/>
      </c>
      <c r="PO44">
        <f>IF($B44=0,1000000,IF(INDEX('計算A'!$D$60:$EQ$104,$B44,36)*EK44=1,IF(AND($E44=2,JZ44=0),1000000,IF($I44&gt;0,IF(2=$J44,IF(OR(AND(36=$I44+1,OR($K44&lt;&gt;'計算A'!$A$3,'計算A'!$A$4=0)),AND(36=$I44-1,OR(12&lt;&gt;'計算A'!$A$3,'計算A'!$A$4=0))),0,IF(12=$K44,200000,ABS(12-$K44)*100)),100000+ABS(2-$J44)*1000+120)+'計算A'!AM$5*50+IF(AND($E44=1,JZ44=0),25,0),INDEX('計算A'!AM$110:AM$114,$F44+1)+IF(AND($E44=1,JZ44=0),1000,0)+IF($H44=1,(IF('計算A'!AL$117=1,INDEX('計算A'!AL$10:AL$54,$B44),0)+IF('計算A'!AM$117=1,INDEX('計算A'!AN$10:AN$54,$B44),0))*500,0)-IF(AND('計算A'!AL$117=1,VJ44&gt;0),300,0)-IF(AND($L44=1,'計算A'!AM$117=1,EL44=0),300,0))),1000000))</f>
        <v/>
      </c>
      <c r="PP44">
        <f>IF($B44=0,1000000,IF(INDEX('計算A'!$D$60:$EQ$104,$B44,37)*EL44=1,IF(AND($E44=2,KA44=0),1000000,IF($I44&gt;0,IF(2=$J44,IF(OR(AND(37=$I44+1,OR($K44&lt;&gt;'計算A'!$A$3,'計算A'!$A$4=0)),AND(37=$I44-1,OR(13&lt;&gt;'計算A'!$A$3,'計算A'!$A$4=0))),0,IF(13=$K44,200000,ABS(13-$K44)*100)),100000+ABS(2-$J44)*1000+130)+'計算A'!AN$5*50+IF(AND($E44=1,KA44=0),25,0),INDEX('計算A'!AN$110:AN$114,$F44+1)+IF(AND($E44=1,KA44=0),1000,0)+IF($H44=1,(IF('計算A'!AM$117=1,INDEX('計算A'!AM$10:AM$54,$B44),0)+IF('計算A'!AN$117=1,INDEX('計算A'!AO$10:AO$54,$B44),0))*500,0)-IF(AND('計算A'!AM$117=1,VK44&gt;0),300,0)-IF(AND($L44=1,'計算A'!AN$117=1,EM44=0),300,0))),1000000))</f>
        <v/>
      </c>
      <c r="PQ44">
        <f>IF($B44=0,1000000,IF(INDEX('計算A'!$D$60:$EQ$104,$B44,38)*EM44=1,IF(AND($E44=2,KB44=0),1000000,IF($I44&gt;0,IF(2=$J44,IF(OR(AND(38=$I44+1,OR($K44&lt;&gt;'計算A'!$A$3,'計算A'!$A$4=0)),AND(38=$I44-1,OR(14&lt;&gt;'計算A'!$A$3,'計算A'!$A$4=0))),0,IF(14=$K44,200000,ABS(14-$K44)*100)),100000+ABS(2-$J44)*1000+140)+'計算A'!AO$5*50+IF(AND($E44=1,KB44=0),25,0),INDEX('計算A'!AO$110:AO$114,$F44+1)+IF(AND($E44=1,KB44=0),1000,0)+IF($H44=1,(IF('計算A'!AN$117=1,INDEX('計算A'!AN$10:AN$54,$B44),0)+IF('計算A'!AO$117=1,INDEX('計算A'!AP$10:AP$54,$B44),0))*500,0)-IF(AND('計算A'!AN$117=1,VL44&gt;0),300,0)-IF(AND($L44=1,'計算A'!AO$117=1,EN44=0),300,0))),1000000))</f>
        <v/>
      </c>
      <c r="PR44">
        <f>IF($B44=0,1000000,IF(INDEX('計算A'!$D$60:$EQ$104,$B44,39)*EN44=1,IF(AND($E44=2,KC44=0),1000000,IF($I44&gt;0,IF(2=$J44,IF(OR(AND(39=$I44+1,OR($K44&lt;&gt;'計算A'!$A$3,'計算A'!$A$4=0)),AND(39=$I44-1,OR(15&lt;&gt;'計算A'!$A$3,'計算A'!$A$4=0))),0,IF(15=$K44,200000,ABS(15-$K44)*100)),100000+ABS(2-$J44)*1000+150)+'計算A'!AP$5*50+IF(AND($E44=1,KC44=0),25,0),INDEX('計算A'!AP$110:AP$114,$F44+1)+IF(AND($E44=1,KC44=0),1000,0)+IF($H44=1,(IF('計算A'!AO$117=1,INDEX('計算A'!AO$10:AO$54,$B44),0)+IF('計算A'!AP$117=1,INDEX('計算A'!AQ$10:AQ$54,$B44),0))*500,0)-IF(AND('計算A'!AO$117=1,VM44&gt;0),300,0)-IF(AND($L44=1,'計算A'!AP$117=1,EO44=0),300,0))),1000000))</f>
        <v/>
      </c>
      <c r="PS44">
        <f>IF($B44=0,1000000,IF(INDEX('計算A'!$D$60:$EQ$104,$B44,40)*EO44=1,IF(AND($E44=2,KD44=0),1000000,IF($I44&gt;0,IF(2=$J44,IF(OR(AND(40=$I44+1,OR($K44&lt;&gt;'計算A'!$A$3,'計算A'!$A$4=0)),AND(40=$I44-1,OR(16&lt;&gt;'計算A'!$A$3,'計算A'!$A$4=0))),0,IF(16=$K44,200000,ABS(16-$K44)*100)),100000+ABS(2-$J44)*1000+160)+'計算A'!AQ$5*50+IF(AND($E44=1,KD44=0),25,0),INDEX('計算A'!AQ$110:AQ$114,$F44+1)+IF(AND($E44=1,KD44=0),1000,0)+IF($H44=1,(IF('計算A'!AP$117=1,INDEX('計算A'!AP$10:AP$54,$B44),0)+IF('計算A'!AQ$117=1,INDEX('計算A'!AR$10:AR$54,$B44),0))*500,0)-IF(AND('計算A'!AP$117=1,VN44&gt;0),300,0)-IF(AND($L44=1,'計算A'!AQ$117=1,EP44=0),300,0))),1000000))</f>
        <v/>
      </c>
      <c r="PT44">
        <f>IF($B44=0,1000000,IF(INDEX('計算A'!$D$60:$EQ$104,$B44,41)*EP44=1,IF(AND($E44=2,KE44=0),1000000,IF($I44&gt;0,IF(2=$J44,IF(OR(AND(41=$I44+1,OR($K44&lt;&gt;'計算A'!$A$3,'計算A'!$A$4=0)),AND(41=$I44-1,OR(17&lt;&gt;'計算A'!$A$3,'計算A'!$A$4=0))),0,IF(17=$K44,200000,ABS(17-$K44)*100)),100000+ABS(2-$J44)*1000+170)+'計算A'!AR$5*50+IF(AND($E44=1,KE44=0),25,0),INDEX('計算A'!AR$110:AR$114,$F44+1)+IF(AND($E44=1,KE44=0),1000,0)+IF($H44=1,(IF('計算A'!AQ$117=1,INDEX('計算A'!AQ$10:AQ$54,$B44),0)+IF('計算A'!AR$117=1,INDEX('計算A'!AS$10:AS$54,$B44),0))*500,0)-IF(AND('計算A'!AQ$117=1,VO44&gt;0),300,0)-IF(AND($L44=1,'計算A'!AR$117=1,EQ44=0),300,0))),1000000))</f>
        <v/>
      </c>
      <c r="PU44">
        <f>IF($B44=0,1000000,IF(INDEX('計算A'!$D$60:$EQ$104,$B44,42)*EQ44=1,IF(AND($E44=2,KF44=0),1000000,IF($I44&gt;0,IF(2=$J44,IF(OR(AND(42=$I44+1,OR($K44&lt;&gt;'計算A'!$A$3,'計算A'!$A$4=0)),AND(42=$I44-1,OR(18&lt;&gt;'計算A'!$A$3,'計算A'!$A$4=0))),0,IF(18=$K44,200000,ABS(18-$K44)*100)),100000+ABS(2-$J44)*1000+180)+'計算A'!AS$5*50+IF(AND($E44=1,KF44=0),25,0),INDEX('計算A'!AS$110:AS$114,$F44+1)+IF(AND($E44=1,KF44=0),1000,0)+IF($H44=1,(IF('計算A'!AR$117=1,INDEX('計算A'!AR$10:AR$54,$B44),0)+IF('計算A'!AS$117=1,INDEX('計算A'!AT$10:AT$54,$B44),0))*500,0)-IF(AND('計算A'!AR$117=1,VP44&gt;0),300,0)-IF(AND($L44=1,'計算A'!AS$117=1,ER44=0),300,0))),1000000))</f>
        <v/>
      </c>
      <c r="PV44">
        <f>IF($B44=0,1000000,IF(INDEX('計算A'!$D$60:$EQ$104,$B44,43)*ER44=1,IF(AND($E44=2,KG44=0),1000000,IF($I44&gt;0,IF(2=$J44,IF(OR(AND(43=$I44+1,OR($K44&lt;&gt;'計算A'!$A$3,'計算A'!$A$4=0)),AND(43=$I44-1,OR(19&lt;&gt;'計算A'!$A$3,'計算A'!$A$4=0))),0,IF(19=$K44,200000,ABS(19-$K44)*100)),100000+ABS(2-$J44)*1000+190)+'計算A'!AT$5*50+IF(AND($E44=1,KG44=0),25,0),INDEX('計算A'!AT$110:AT$114,$F44+1)+IF(AND($E44=1,KG44=0),1000,0)+IF($H44=1,(IF('計算A'!AS$117=1,INDEX('計算A'!AS$10:AS$54,$B44),0)+IF('計算A'!AT$117=1,INDEX('計算A'!AU$10:AU$54,$B44),0))*500,0)-IF(AND('計算A'!AS$117=1,VQ44&gt;0),300,0)-IF(AND($L44=1,'計算A'!AT$117=1,ES44=0),300,0))),1000000))</f>
        <v/>
      </c>
      <c r="PW44">
        <f>IF($B44=0,1000000,IF(INDEX('計算A'!$D$60:$EQ$104,$B44,44)*ES44=1,IF(AND($E44=2,KH44=0),1000000,IF($I44&gt;0,IF(2=$J44,IF(OR(AND(44=$I44+1,OR($K44&lt;&gt;'計算A'!$A$3,'計算A'!$A$4=0)),AND(44=$I44-1,OR(20&lt;&gt;'計算A'!$A$3,'計算A'!$A$4=0))),0,IF(20=$K44,200000,ABS(20-$K44)*100)),100000+ABS(2-$J44)*1000+200)+'計算A'!AU$5*50+IF(AND($E44=1,KH44=0),25,0),INDEX('計算A'!AU$110:AU$114,$F44+1)+IF(AND($E44=1,KH44=0),1000,0)+IF($H44=1,(IF('計算A'!AT$117=1,INDEX('計算A'!AT$10:AT$54,$B44),0)+IF('計算A'!AU$117=1,INDEX('計算A'!AV$10:AV$54,$B44),0))*500,0)-IF(AND('計算A'!AT$117=1,VR44&gt;0),300,0)-IF(AND($L44=1,'計算A'!AU$117=1,ET44=0),300,0))),1000000))</f>
        <v/>
      </c>
      <c r="PX44">
        <f>IF($B44=0,1000000,IF(INDEX('計算A'!$D$60:$EQ$104,$B44,45)*ET44=1,IF(AND($E44=2,KI44=0),1000000,IF($I44&gt;0,IF(2=$J44,IF(OR(AND(45=$I44+1,OR($K44&lt;&gt;'計算A'!$A$3,'計算A'!$A$4=0)),AND(45=$I44-1,OR(21&lt;&gt;'計算A'!$A$3,'計算A'!$A$4=0))),0,IF(21=$K44,200000,ABS(21-$K44)*100)),100000+ABS(2-$J44)*1000+210)+'計算A'!AV$5*50+IF(AND($E44=1,KI44=0),25,0),INDEX('計算A'!AV$110:AV$114,$F44+1)+IF(AND($E44=1,KI44=0),1000,0)+IF($H44=1,(IF('計算A'!AU$117=1,INDEX('計算A'!AU$10:AU$54,$B44),0)+IF('計算A'!AV$117=1,INDEX('計算A'!AW$10:AW$54,$B44),0))*500,0)-IF(AND('計算A'!AU$117=1,VS44&gt;0),300,0)-IF(AND($L44=1,'計算A'!AV$117=1,EU44=0),300,0))),1000000))</f>
        <v/>
      </c>
      <c r="PY44">
        <f>IF($B44=0,1000000,IF(INDEX('計算A'!$D$60:$EQ$104,$B44,46)*EU44=1,IF(AND($E44=2,KJ44=0),1000000,IF($I44&gt;0,IF(2=$J44,IF(OR(AND(46=$I44+1,OR($K44&lt;&gt;'計算A'!$A$3,'計算A'!$A$4=0)),AND(46=$I44-1,OR(22&lt;&gt;'計算A'!$A$3,'計算A'!$A$4=0))),0,IF(22=$K44,200000,ABS(22-$K44)*100)),100000+ABS(2-$J44)*1000+220)+'計算A'!AW$5*50+IF(AND($E44=1,KJ44=0),25,0),INDEX('計算A'!AW$110:AW$114,$F44+1)+IF(AND($E44=1,KJ44=0),1000,0)+IF($H44=1,(IF('計算A'!AV$117=1,INDEX('計算A'!AV$10:AV$54,$B44),0)+IF('計算A'!AW$117=1,INDEX('計算A'!AX$10:AX$54,$B44),0))*500,0)-IF(AND('計算A'!AV$117=1,VT44&gt;0),300,0)-IF(AND($L44=1,'計算A'!AW$117=1,EV44=0),300,0))),1000000))</f>
        <v/>
      </c>
      <c r="PZ44">
        <f>IF($B44=0,1000000,IF(INDEX('計算A'!$D$60:$EQ$104,$B44,47)*EV44=1,IF(AND($E44=2,KK44=0),1000000,IF($I44&gt;0,IF(2=$J44,IF(OR(AND(47=$I44+1,OR($K44&lt;&gt;'計算A'!$A$3,'計算A'!$A$4=0)),AND(47=$I44-1,OR(23&lt;&gt;'計算A'!$A$3,'計算A'!$A$4=0))),0,IF(23=$K44,200000,ABS(23-$K44)*100)),100000+ABS(2-$J44)*1000+230)+'計算A'!AX$5*50+IF(AND($E44=1,KK44=0),25,0),INDEX('計算A'!AX$110:AX$114,$F44+1)+IF(AND($E44=1,KK44=0),1000,0)+IF($H44=1,(IF('計算A'!AW$117=1,INDEX('計算A'!AW$10:AW$54,$B44),0)+IF('計算A'!AX$117=1,INDEX('計算A'!AY$10:AY$54,$B44),0))*500,0)-IF(AND('計算A'!AW$117=1,VU44&gt;0),300,0)-IF(AND($L44=1,'計算A'!AX$117=1,EW44=0),300,0))),1000000))</f>
        <v/>
      </c>
      <c r="QA44">
        <f>IF($B44=0,1000000,IF(INDEX('計算A'!$D$60:$EQ$104,$B44,48)*EW44=1,IF(AND($E44=2,KL44=0),1000000,IF($I44&gt;0,IF(2=$J44,IF(OR(AND(48=$I44+1,OR($K44&lt;&gt;'計算A'!$A$3,'計算A'!$A$4=0)),AND(48=$I44-1,OR(24&lt;&gt;'計算A'!$A$3,'計算A'!$A$4=0))),0,IF(24=$K44,200000,ABS(24-$K44)*100)),100000+ABS(2-$J44)*1000+240)+'計算A'!AY$5*50+IF(AND($E44=1,KL44=0),25,0),INDEX('計算A'!AY$110:AY$114,$F44+1)+IF(AND($E44=1,KL44=0),1000,0)+IF($H44=1,(IF('計算A'!AX$117=1,INDEX('計算A'!AX$10:AX$54,$B44),0))*500,0)-IF(AND('計算A'!AX$117=1,VV44&gt;0),300,0))),1000000))</f>
        <v/>
      </c>
      <c r="QB44">
        <f>IF($B44=0,1000000,IF(INDEX('計算A'!$D$60:$EQ$104,$B44,49)*EX44=1,IF(AND($E44=2,KM44=0),1000000,IF($I44&gt;0,IF(3=$J44,IF(OR(AND(49=$I44+1,OR($K44&lt;&gt;'計算A'!$A$3,'計算A'!$A$4=0)),AND(49=$I44-1,OR(1&lt;&gt;'計算A'!$A$3,'計算A'!$A$4=0))),0,IF(1=$K44,200000,ABS(1-$K44)*100)),100000+ABS(3-$J44)*1000+10)+'計算A'!AZ$5*50+IF(AND($E44=1,KM44=0),25,0),INDEX('計算A'!AZ$110:AZ$114,$F44+1)+IF(AND($E44=1,KM44=0),1000,0)+IF($H44=1,(IF('計算A'!AZ$117=1,INDEX('計算A'!BA$10:BA$54,$B44),0))*500,0)-IF(AND($L44=1,'計算A'!AZ$117=1,EY44=0),300,0))),1000000))</f>
        <v/>
      </c>
      <c r="QC44">
        <f>IF($B44=0,1000000,IF(INDEX('計算A'!$D$60:$EQ$104,$B44,50)*EY44=1,IF(AND($E44=2,KN44=0),1000000,IF($I44&gt;0,IF(3=$J44,IF(OR(AND(50=$I44+1,OR($K44&lt;&gt;'計算A'!$A$3,'計算A'!$A$4=0)),AND(50=$I44-1,OR(2&lt;&gt;'計算A'!$A$3,'計算A'!$A$4=0))),0,IF(2=$K44,200000,ABS(2-$K44)*100)),100000+ABS(3-$J44)*1000+20)+'計算A'!BA$5*50+IF(AND($E44=1,KN44=0),25,0),INDEX('計算A'!BA$110:BA$114,$F44+1)+IF(AND($E44=1,KN44=0),1000,0)+IF($H44=1,(IF('計算A'!AZ$117=1,INDEX('計算A'!AZ$10:AZ$54,$B44),0)+IF('計算A'!BA$117=1,INDEX('計算A'!BB$10:BB$54,$B44),0))*500,0)-IF(AND('計算A'!AZ$117=1,VX44&gt;0),300,0)-IF(AND($L44=1,'計算A'!BA$117=1,EZ44=0),300,0))),1000000))</f>
        <v/>
      </c>
      <c r="QD44">
        <f>IF($B44=0,1000000,IF(INDEX('計算A'!$D$60:$EQ$104,$B44,51)*EZ44=1,IF(AND($E44=2,KO44=0),1000000,IF($I44&gt;0,IF(3=$J44,IF(OR(AND(51=$I44+1,OR($K44&lt;&gt;'計算A'!$A$3,'計算A'!$A$4=0)),AND(51=$I44-1,OR(3&lt;&gt;'計算A'!$A$3,'計算A'!$A$4=0))),0,IF(3=$K44,200000,ABS(3-$K44)*100)),100000+ABS(3-$J44)*1000+30)+'計算A'!BB$5*50+IF(AND($E44=1,KO44=0),25,0),INDEX('計算A'!BB$110:BB$114,$F44+1)+IF(AND($E44=1,KO44=0),1000,0)+IF($H44=1,(IF('計算A'!BA$117=1,INDEX('計算A'!BA$10:BA$54,$B44),0)+IF('計算A'!BB$117=1,INDEX('計算A'!BC$10:BC$54,$B44),0))*500,0)-IF(AND('計算A'!BA$117=1,VY44&gt;0),300,0)-IF(AND($L44=1,'計算A'!BB$117=1,FA44=0),300,0))),1000000))</f>
        <v/>
      </c>
      <c r="QE44">
        <f>IF($B44=0,1000000,IF(INDEX('計算A'!$D$60:$EQ$104,$B44,52)*FA44=1,IF(AND($E44=2,KP44=0),1000000,IF($I44&gt;0,IF(3=$J44,IF(OR(AND(52=$I44+1,OR($K44&lt;&gt;'計算A'!$A$3,'計算A'!$A$4=0)),AND(52=$I44-1,OR(4&lt;&gt;'計算A'!$A$3,'計算A'!$A$4=0))),0,IF(4=$K44,200000,ABS(4-$K44)*100)),100000+ABS(3-$J44)*1000+40)+'計算A'!BC$5*50+IF(AND($E44=1,KP44=0),25,0),INDEX('計算A'!BC$110:BC$114,$F44+1)+IF(AND($E44=1,KP44=0),1000,0)+IF($H44=1,(IF('計算A'!BB$117=1,INDEX('計算A'!BB$10:BB$54,$B44),0)+IF('計算A'!BC$117=1,INDEX('計算A'!BD$10:BD$54,$B44),0))*500,0)-IF(AND('計算A'!BB$117=1,VZ44&gt;0),300,0)-IF(AND($L44=1,'計算A'!BC$117=1,FB44=0),300,0))),1000000))</f>
        <v/>
      </c>
      <c r="QF44">
        <f>IF($B44=0,1000000,IF(INDEX('計算A'!$D$60:$EQ$104,$B44,53)*FB44=1,IF(AND($E44=2,KQ44=0),1000000,IF($I44&gt;0,IF(3=$J44,IF(OR(AND(53=$I44+1,OR($K44&lt;&gt;'計算A'!$A$3,'計算A'!$A$4=0)),AND(53=$I44-1,OR(5&lt;&gt;'計算A'!$A$3,'計算A'!$A$4=0))),0,IF(5=$K44,200000,ABS(5-$K44)*100)),100000+ABS(3-$J44)*1000+50)+'計算A'!BD$5*50+IF(AND($E44=1,KQ44=0),25,0),INDEX('計算A'!BD$110:BD$114,$F44+1)+IF(AND($E44=1,KQ44=0),1000,0)+IF($H44=1,(IF('計算A'!BC$117=1,INDEX('計算A'!BC$10:BC$54,$B44),0)+IF('計算A'!BD$117=1,INDEX('計算A'!BE$10:BE$54,$B44),0))*500,0)-IF(AND('計算A'!BC$117=1,WA44&gt;0),300,0)-IF(AND($L44=1,'計算A'!BD$117=1,FC44=0),300,0))),1000000))</f>
        <v/>
      </c>
      <c r="QG44">
        <f>IF($B44=0,1000000,IF(INDEX('計算A'!$D$60:$EQ$104,$B44,54)*FC44=1,IF(AND($E44=2,KR44=0),1000000,IF($I44&gt;0,IF(3=$J44,IF(OR(AND(54=$I44+1,OR($K44&lt;&gt;'計算A'!$A$3,'計算A'!$A$4=0)),AND(54=$I44-1,OR(6&lt;&gt;'計算A'!$A$3,'計算A'!$A$4=0))),0,IF(6=$K44,200000,ABS(6-$K44)*100)),100000+ABS(3-$J44)*1000+60)+'計算A'!BE$5*50+IF(AND($E44=1,KR44=0),25,0),INDEX('計算A'!BE$110:BE$114,$F44+1)+IF(AND($E44=1,KR44=0),1000,0)+IF($H44=1,(IF('計算A'!BD$117=1,INDEX('計算A'!BD$10:BD$54,$B44),0)+IF('計算A'!BE$117=1,INDEX('計算A'!BF$10:BF$54,$B44),0))*500,0)-IF(AND('計算A'!BD$117=1,WB44&gt;0),300,0)-IF(AND($L44=1,'計算A'!BE$117=1,FD44=0),300,0))),1000000))</f>
        <v/>
      </c>
      <c r="QH44">
        <f>IF($B44=0,1000000,IF(INDEX('計算A'!$D$60:$EQ$104,$B44,55)*FD44=1,IF(AND($E44=2,KS44=0),1000000,IF($I44&gt;0,IF(3=$J44,IF(OR(AND(55=$I44+1,OR($K44&lt;&gt;'計算A'!$A$3,'計算A'!$A$4=0)),AND(55=$I44-1,OR(7&lt;&gt;'計算A'!$A$3,'計算A'!$A$4=0))),0,IF(7=$K44,200000,ABS(7-$K44)*100)),100000+ABS(3-$J44)*1000+70)+'計算A'!BF$5*50+IF(AND($E44=1,KS44=0),25,0),INDEX('計算A'!BF$110:BF$114,$F44+1)+IF(AND($E44=1,KS44=0),1000,0)+IF($H44=1,(IF('計算A'!BE$117=1,INDEX('計算A'!BE$10:BE$54,$B44),0)+IF('計算A'!BF$117=1,INDEX('計算A'!BG$10:BG$54,$B44),0))*500,0)-IF(AND('計算A'!BE$117=1,WC44&gt;0),300,0)-IF(AND($L44=1,'計算A'!BF$117=1,FE44=0),300,0))),1000000))</f>
        <v/>
      </c>
      <c r="QI44">
        <f>IF($B44=0,1000000,IF(INDEX('計算A'!$D$60:$EQ$104,$B44,56)*FE44=1,IF(AND($E44=2,KT44=0),1000000,IF($I44&gt;0,IF(3=$J44,IF(OR(AND(56=$I44+1,OR($K44&lt;&gt;'計算A'!$A$3,'計算A'!$A$4=0)),AND(56=$I44-1,OR(8&lt;&gt;'計算A'!$A$3,'計算A'!$A$4=0))),0,IF(8=$K44,200000,ABS(8-$K44)*100)),100000+ABS(3-$J44)*1000+80)+'計算A'!BG$5*50+IF(AND($E44=1,KT44=0),25,0),INDEX('計算A'!BG$110:BG$114,$F44+1)+IF(AND($E44=1,KT44=0),1000,0)+IF($H44=1,(IF('計算A'!BF$117=1,INDEX('計算A'!BF$10:BF$54,$B44),0)+IF('計算A'!BG$117=1,INDEX('計算A'!BH$10:BH$54,$B44),0))*500,0)-IF(AND('計算A'!BF$117=1,WD44&gt;0),300,0)-IF(AND($L44=1,'計算A'!BG$117=1,FF44=0),300,0))),1000000))</f>
        <v/>
      </c>
      <c r="QJ44">
        <f>IF($B44=0,1000000,IF(INDEX('計算A'!$D$60:$EQ$104,$B44,57)*FF44=1,IF(AND($E44=2,KU44=0),1000000,IF($I44&gt;0,IF(3=$J44,IF(OR(AND(57=$I44+1,OR($K44&lt;&gt;'計算A'!$A$3,'計算A'!$A$4=0)),AND(57=$I44-1,OR(9&lt;&gt;'計算A'!$A$3,'計算A'!$A$4=0))),0,IF(9=$K44,200000,ABS(9-$K44)*100)),100000+ABS(3-$J44)*1000+90)+'計算A'!BH$5*50+IF(AND($E44=1,KU44=0),25,0),INDEX('計算A'!BH$110:BH$114,$F44+1)+IF(AND($E44=1,KU44=0),1000,0)+IF($H44=1,(IF('計算A'!BG$117=1,INDEX('計算A'!BG$10:BG$54,$B44),0)+IF('計算A'!BH$117=1,INDEX('計算A'!BI$10:BI$54,$B44),0))*500,0)-IF(AND('計算A'!BG$117=1,WE44&gt;0),300,0)-IF(AND($L44=1,'計算A'!BH$117=1,FG44=0),300,0))),1000000))</f>
        <v/>
      </c>
      <c r="QK44">
        <f>IF($B44=0,1000000,IF(INDEX('計算A'!$D$60:$EQ$104,$B44,58)*FG44=1,IF(AND($E44=2,KV44=0),1000000,IF($I44&gt;0,IF(3=$J44,IF(OR(AND(58=$I44+1,OR($K44&lt;&gt;'計算A'!$A$3,'計算A'!$A$4=0)),AND(58=$I44-1,OR(10&lt;&gt;'計算A'!$A$3,'計算A'!$A$4=0))),0,IF(10=$K44,200000,ABS(10-$K44)*100)),100000+ABS(3-$J44)*1000+100)+'計算A'!BI$5*50+IF(AND($E44=1,KV44=0),25,0),INDEX('計算A'!BI$110:BI$114,$F44+1)+IF(AND($E44=1,KV44=0),1000,0)+IF($H44=1,(IF('計算A'!BH$117=1,INDEX('計算A'!BH$10:BH$54,$B44),0)+IF('計算A'!BI$117=1,INDEX('計算A'!BJ$10:BJ$54,$B44),0))*500,0)-IF(AND('計算A'!BH$117=1,WF44&gt;0),300,0)-IF(AND($L44=1,'計算A'!BI$117=1,FH44=0),300,0))),1000000))</f>
        <v/>
      </c>
      <c r="QL44">
        <f>IF($B44=0,1000000,IF(INDEX('計算A'!$D$60:$EQ$104,$B44,59)*FH44=1,IF(AND($E44=2,KW44=0),1000000,IF($I44&gt;0,IF(3=$J44,IF(OR(AND(59=$I44+1,OR($K44&lt;&gt;'計算A'!$A$3,'計算A'!$A$4=0)),AND(59=$I44-1,OR(11&lt;&gt;'計算A'!$A$3,'計算A'!$A$4=0))),0,IF(11=$K44,200000,ABS(11-$K44)*100)),100000+ABS(3-$J44)*1000+110)+'計算A'!BJ$5*50+IF(AND($E44=1,KW44=0),25,0),INDEX('計算A'!BJ$110:BJ$114,$F44+1)+IF(AND($E44=1,KW44=0),1000,0)+IF($H44=1,(IF('計算A'!BI$117=1,INDEX('計算A'!BI$10:BI$54,$B44),0)+IF('計算A'!BJ$117=1,INDEX('計算A'!BK$10:BK$54,$B44),0))*500,0)-IF(AND('計算A'!BI$117=1,WG44&gt;0),300,0)-IF(AND($L44=1,'計算A'!BJ$117=1,FI44=0),300,0))),1000000))</f>
        <v/>
      </c>
      <c r="QM44">
        <f>IF($B44=0,1000000,IF(INDEX('計算A'!$D$60:$EQ$104,$B44,60)*FI44=1,IF(AND($E44=2,KX44=0),1000000,IF($I44&gt;0,IF(3=$J44,IF(OR(AND(60=$I44+1,OR($K44&lt;&gt;'計算A'!$A$3,'計算A'!$A$4=0)),AND(60=$I44-1,OR(12&lt;&gt;'計算A'!$A$3,'計算A'!$A$4=0))),0,IF(12=$K44,200000,ABS(12-$K44)*100)),100000+ABS(3-$J44)*1000+120)+'計算A'!BK$5*50+IF(AND($E44=1,KX44=0),25,0),INDEX('計算A'!BK$110:BK$114,$F44+1)+IF(AND($E44=1,KX44=0),1000,0)+IF($H44=1,(IF('計算A'!BJ$117=1,INDEX('計算A'!BJ$10:BJ$54,$B44),0)+IF('計算A'!BK$117=1,INDEX('計算A'!BL$10:BL$54,$B44),0))*500,0)-IF(AND('計算A'!BJ$117=1,WH44&gt;0),300,0)-IF(AND($L44=1,'計算A'!BK$117=1,FJ44=0),300,0))),1000000))</f>
        <v/>
      </c>
      <c r="QN44">
        <f>IF($B44=0,1000000,IF(INDEX('計算A'!$D$60:$EQ$104,$B44,61)*FJ44=1,IF(AND($E44=2,KY44=0),1000000,IF($I44&gt;0,IF(3=$J44,IF(OR(AND(61=$I44+1,OR($K44&lt;&gt;'計算A'!$A$3,'計算A'!$A$4=0)),AND(61=$I44-1,OR(13&lt;&gt;'計算A'!$A$3,'計算A'!$A$4=0))),0,IF(13=$K44,200000,ABS(13-$K44)*100)),100000+ABS(3-$J44)*1000+130)+'計算A'!BL$5*50+IF(AND($E44=1,KY44=0),25,0),INDEX('計算A'!BL$110:BL$114,$F44+1)+IF(AND($E44=1,KY44=0),1000,0)+IF($H44=1,(IF('計算A'!BK$117=1,INDEX('計算A'!BK$10:BK$54,$B44),0)+IF('計算A'!BL$117=1,INDEX('計算A'!BM$10:BM$54,$B44),0))*500,0)-IF(AND('計算A'!BK$117=1,WI44&gt;0),300,0)-IF(AND($L44=1,'計算A'!BL$117=1,FK44=0),300,0))),1000000))</f>
        <v/>
      </c>
      <c r="QO44">
        <f>IF($B44=0,1000000,IF(INDEX('計算A'!$D$60:$EQ$104,$B44,62)*FK44=1,IF(AND($E44=2,KZ44=0),1000000,IF($I44&gt;0,IF(3=$J44,IF(OR(AND(62=$I44+1,OR($K44&lt;&gt;'計算A'!$A$3,'計算A'!$A$4=0)),AND(62=$I44-1,OR(14&lt;&gt;'計算A'!$A$3,'計算A'!$A$4=0))),0,IF(14=$K44,200000,ABS(14-$K44)*100)),100000+ABS(3-$J44)*1000+140)+'計算A'!BM$5*50+IF(AND($E44=1,KZ44=0),25,0),INDEX('計算A'!BM$110:BM$114,$F44+1)+IF(AND($E44=1,KZ44=0),1000,0)+IF($H44=1,(IF('計算A'!BL$117=1,INDEX('計算A'!BL$10:BL$54,$B44),0)+IF('計算A'!BM$117=1,INDEX('計算A'!BN$10:BN$54,$B44),0))*500,0)-IF(AND('計算A'!BL$117=1,WJ44&gt;0),300,0)-IF(AND($L44=1,'計算A'!BM$117=1,FL44=0),300,0))),1000000))</f>
        <v/>
      </c>
      <c r="QP44">
        <f>IF($B44=0,1000000,IF(INDEX('計算A'!$D$60:$EQ$104,$B44,63)*FL44=1,IF(AND($E44=2,LA44=0),1000000,IF($I44&gt;0,IF(3=$J44,IF(OR(AND(63=$I44+1,OR($K44&lt;&gt;'計算A'!$A$3,'計算A'!$A$4=0)),AND(63=$I44-1,OR(15&lt;&gt;'計算A'!$A$3,'計算A'!$A$4=0))),0,IF(15=$K44,200000,ABS(15-$K44)*100)),100000+ABS(3-$J44)*1000+150)+'計算A'!BN$5*50+IF(AND($E44=1,LA44=0),25,0),INDEX('計算A'!BN$110:BN$114,$F44+1)+IF(AND($E44=1,LA44=0),1000,0)+IF($H44=1,(IF('計算A'!BM$117=1,INDEX('計算A'!BM$10:BM$54,$B44),0)+IF('計算A'!BN$117=1,INDEX('計算A'!BO$10:BO$54,$B44),0))*500,0)-IF(AND('計算A'!BM$117=1,WK44&gt;0),300,0)-IF(AND($L44=1,'計算A'!BN$117=1,FM44=0),300,0))),1000000))</f>
        <v/>
      </c>
      <c r="QQ44">
        <f>IF($B44=0,1000000,IF(INDEX('計算A'!$D$60:$EQ$104,$B44,64)*FM44=1,IF(AND($E44=2,LB44=0),1000000,IF($I44&gt;0,IF(3=$J44,IF(OR(AND(64=$I44+1,OR($K44&lt;&gt;'計算A'!$A$3,'計算A'!$A$4=0)),AND(64=$I44-1,OR(16&lt;&gt;'計算A'!$A$3,'計算A'!$A$4=0))),0,IF(16=$K44,200000,ABS(16-$K44)*100)),100000+ABS(3-$J44)*1000+160)+'計算A'!BO$5*50+IF(AND($E44=1,LB44=0),25,0),INDEX('計算A'!BO$110:BO$114,$F44+1)+IF(AND($E44=1,LB44=0),1000,0)+IF($H44=1,(IF('計算A'!BN$117=1,INDEX('計算A'!BN$10:BN$54,$B44),0)+IF('計算A'!BO$117=1,INDEX('計算A'!BP$10:BP$54,$B44),0))*500,0)-IF(AND('計算A'!BN$117=1,WL44&gt;0),300,0)-IF(AND($L44=1,'計算A'!BO$117=1,FN44=0),300,0))),1000000))</f>
        <v/>
      </c>
      <c r="QR44">
        <f>IF($B44=0,1000000,IF(INDEX('計算A'!$D$60:$EQ$104,$B44,65)*FN44=1,IF(AND($E44=2,LC44=0),1000000,IF($I44&gt;0,IF(3=$J44,IF(OR(AND(65=$I44+1,OR($K44&lt;&gt;'計算A'!$A$3,'計算A'!$A$4=0)),AND(65=$I44-1,OR(17&lt;&gt;'計算A'!$A$3,'計算A'!$A$4=0))),0,IF(17=$K44,200000,ABS(17-$K44)*100)),100000+ABS(3-$J44)*1000+170)+'計算A'!BP$5*50+IF(AND($E44=1,LC44=0),25,0),INDEX('計算A'!BP$110:BP$114,$F44+1)+IF(AND($E44=1,LC44=0),1000,0)+IF($H44=1,(IF('計算A'!BO$117=1,INDEX('計算A'!BO$10:BO$54,$B44),0)+IF('計算A'!BP$117=1,INDEX('計算A'!BQ$10:BQ$54,$B44),0))*500,0)-IF(AND('計算A'!BO$117=1,WM44&gt;0),300,0)-IF(AND($L44=1,'計算A'!BP$117=1,FO44=0),300,0))),1000000))</f>
        <v/>
      </c>
      <c r="QS44">
        <f>IF($B44=0,1000000,IF(INDEX('計算A'!$D$60:$EQ$104,$B44,66)*FO44=1,IF(AND($E44=2,LD44=0),1000000,IF($I44&gt;0,IF(3=$J44,IF(OR(AND(66=$I44+1,OR($K44&lt;&gt;'計算A'!$A$3,'計算A'!$A$4=0)),AND(66=$I44-1,OR(18&lt;&gt;'計算A'!$A$3,'計算A'!$A$4=0))),0,IF(18=$K44,200000,ABS(18-$K44)*100)),100000+ABS(3-$J44)*1000+180)+'計算A'!BQ$5*50+IF(AND($E44=1,LD44=0),25,0),INDEX('計算A'!BQ$110:BQ$114,$F44+1)+IF(AND($E44=1,LD44=0),1000,0)+IF($H44=1,(IF('計算A'!BP$117=1,INDEX('計算A'!BP$10:BP$54,$B44),0)+IF('計算A'!BQ$117=1,INDEX('計算A'!BR$10:BR$54,$B44),0))*500,0)-IF(AND('計算A'!BP$117=1,WN44&gt;0),300,0)-IF(AND($L44=1,'計算A'!BQ$117=1,FP44=0),300,0))),1000000))</f>
        <v/>
      </c>
      <c r="QT44">
        <f>IF($B44=0,1000000,IF(INDEX('計算A'!$D$60:$EQ$104,$B44,67)*FP44=1,IF(AND($E44=2,LE44=0),1000000,IF($I44&gt;0,IF(3=$J44,IF(OR(AND(67=$I44+1,OR($K44&lt;&gt;'計算A'!$A$3,'計算A'!$A$4=0)),AND(67=$I44-1,OR(19&lt;&gt;'計算A'!$A$3,'計算A'!$A$4=0))),0,IF(19=$K44,200000,ABS(19-$K44)*100)),100000+ABS(3-$J44)*1000+190)+'計算A'!BR$5*50+IF(AND($E44=1,LE44=0),25,0),INDEX('計算A'!BR$110:BR$114,$F44+1)+IF(AND($E44=1,LE44=0),1000,0)+IF($H44=1,(IF('計算A'!BQ$117=1,INDEX('計算A'!BQ$10:BQ$54,$B44),0)+IF('計算A'!BR$117=1,INDEX('計算A'!BS$10:BS$54,$B44),0))*500,0)-IF(AND('計算A'!BQ$117=1,WO44&gt;0),300,0)-IF(AND($L44=1,'計算A'!BR$117=1,FQ44=0),300,0))),1000000))</f>
        <v/>
      </c>
      <c r="QU44">
        <f>IF($B44=0,1000000,IF(INDEX('計算A'!$D$60:$EQ$104,$B44,68)*FQ44=1,IF(AND($E44=2,LF44=0),1000000,IF($I44&gt;0,IF(3=$J44,IF(OR(AND(68=$I44+1,OR($K44&lt;&gt;'計算A'!$A$3,'計算A'!$A$4=0)),AND(68=$I44-1,OR(20&lt;&gt;'計算A'!$A$3,'計算A'!$A$4=0))),0,IF(20=$K44,200000,ABS(20-$K44)*100)),100000+ABS(3-$J44)*1000+200)+'計算A'!BS$5*50+IF(AND($E44=1,LF44=0),25,0),INDEX('計算A'!BS$110:BS$114,$F44+1)+IF(AND($E44=1,LF44=0),1000,0)+IF($H44=1,(IF('計算A'!BR$117=1,INDEX('計算A'!BR$10:BR$54,$B44),0)+IF('計算A'!BS$117=1,INDEX('計算A'!BT$10:BT$54,$B44),0))*500,0)-IF(AND('計算A'!BR$117=1,WP44&gt;0),300,0)-IF(AND($L44=1,'計算A'!BS$117=1,FR44=0),300,0))),1000000))</f>
        <v/>
      </c>
      <c r="QV44">
        <f>IF($B44=0,1000000,IF(INDEX('計算A'!$D$60:$EQ$104,$B44,69)*FR44=1,IF(AND($E44=2,LG44=0),1000000,IF($I44&gt;0,IF(3=$J44,IF(OR(AND(69=$I44+1,OR($K44&lt;&gt;'計算A'!$A$3,'計算A'!$A$4=0)),AND(69=$I44-1,OR(21&lt;&gt;'計算A'!$A$3,'計算A'!$A$4=0))),0,IF(21=$K44,200000,ABS(21-$K44)*100)),100000+ABS(3-$J44)*1000+210)+'計算A'!BT$5*50+IF(AND($E44=1,LG44=0),25,0),INDEX('計算A'!BT$110:BT$114,$F44+1)+IF(AND($E44=1,LG44=0),1000,0)+IF($H44=1,(IF('計算A'!BS$117=1,INDEX('計算A'!BS$10:BS$54,$B44),0)+IF('計算A'!BT$117=1,INDEX('計算A'!BU$10:BU$54,$B44),0))*500,0)-IF(AND('計算A'!BS$117=1,WQ44&gt;0),300,0)-IF(AND($L44=1,'計算A'!BT$117=1,FS44=0),300,0))),1000000))</f>
        <v/>
      </c>
      <c r="QW44">
        <f>IF($B44=0,1000000,IF(INDEX('計算A'!$D$60:$EQ$104,$B44,70)*FS44=1,IF(AND($E44=2,LH44=0),1000000,IF($I44&gt;0,IF(3=$J44,IF(OR(AND(70=$I44+1,OR($K44&lt;&gt;'計算A'!$A$3,'計算A'!$A$4=0)),AND(70=$I44-1,OR(22&lt;&gt;'計算A'!$A$3,'計算A'!$A$4=0))),0,IF(22=$K44,200000,ABS(22-$K44)*100)),100000+ABS(3-$J44)*1000+220)+'計算A'!BU$5*50+IF(AND($E44=1,LH44=0),25,0),INDEX('計算A'!BU$110:BU$114,$F44+1)+IF(AND($E44=1,LH44=0),1000,0)+IF($H44=1,(IF('計算A'!BT$117=1,INDEX('計算A'!BT$10:BT$54,$B44),0)+IF('計算A'!BU$117=1,INDEX('計算A'!BV$10:BV$54,$B44),0))*500,0)-IF(AND('計算A'!BT$117=1,WR44&gt;0),300,0)-IF(AND($L44=1,'計算A'!BU$117=1,FT44=0),300,0))),1000000))</f>
        <v/>
      </c>
      <c r="QX44">
        <f>IF($B44=0,1000000,IF(INDEX('計算A'!$D$60:$EQ$104,$B44,71)*FT44=1,IF(AND($E44=2,LI44=0),1000000,IF($I44&gt;0,IF(3=$J44,IF(OR(AND(71=$I44+1,OR($K44&lt;&gt;'計算A'!$A$3,'計算A'!$A$4=0)),AND(71=$I44-1,OR(23&lt;&gt;'計算A'!$A$3,'計算A'!$A$4=0))),0,IF(23=$K44,200000,ABS(23-$K44)*100)),100000+ABS(3-$J44)*1000+230)+'計算A'!BV$5*50+IF(AND($E44=1,LI44=0),25,0),INDEX('計算A'!BV$110:BV$114,$F44+1)+IF(AND($E44=1,LI44=0),1000,0)+IF($H44=1,(IF('計算A'!BU$117=1,INDEX('計算A'!BU$10:BU$54,$B44),0)+IF('計算A'!BV$117=1,INDEX('計算A'!BW$10:BW$54,$B44),0))*500,0)-IF(AND('計算A'!BU$117=1,WS44&gt;0),300,0)-IF(AND($L44=1,'計算A'!BV$117=1,FU44=0),300,0))),1000000))</f>
        <v/>
      </c>
      <c r="QY44">
        <f>IF($B44=0,1000000,IF(INDEX('計算A'!$D$60:$EQ$104,$B44,72)*FU44=1,IF(AND($E44=2,LJ44=0),1000000,IF($I44&gt;0,IF(3=$J44,IF(OR(AND(72=$I44+1,OR($K44&lt;&gt;'計算A'!$A$3,'計算A'!$A$4=0)),AND(72=$I44-1,OR(24&lt;&gt;'計算A'!$A$3,'計算A'!$A$4=0))),0,IF(24=$K44,200000,ABS(24-$K44)*100)),100000+ABS(3-$J44)*1000+240)+'計算A'!BW$5*50+IF(AND($E44=1,LJ44=0),25,0),INDEX('計算A'!BW$110:BW$114,$F44+1)+IF(AND($E44=1,LJ44=0),1000,0)+IF($H44=1,(IF('計算A'!BV$117=1,INDEX('計算A'!BV$10:BV$54,$B44),0))*500,0)-IF(AND('計算A'!BV$117=1,WT44&gt;0),300,0))),1000000))</f>
        <v/>
      </c>
      <c r="QZ44">
        <f>IF($B44=0,1000000,IF(INDEX('計算A'!$D$60:$EQ$104,$B44,73)*FV44=1,IF(AND($E44=2,LK44=0),1000000,IF($I44&gt;0,IF(4=$J44,IF(OR(AND(73=$I44+1,OR($K44&lt;&gt;'計算A'!$A$3,'計算A'!$A$4=0)),AND(73=$I44-1,OR(1&lt;&gt;'計算A'!$A$3,'計算A'!$A$4=0))),0,IF(1=$K44,200000,ABS(1-$K44)*100)),100000+ABS(4-$J44)*1000+10)+'計算A'!BX$5*50+IF(AND($E44=1,LK44=0),25,0),INDEX('計算A'!BX$110:BX$114,$F44+1)+IF(AND($E44=1,LK44=0),1000,0)+IF($H44=1,(IF('計算A'!BX$117=1,INDEX('計算A'!BY$10:BY$54,$B44),0))*500,0)-IF(AND($L44=1,'計算A'!BX$117=1,FW44=0),300,0))),1000000))</f>
        <v/>
      </c>
      <c r="RA44">
        <f>IF($B44=0,1000000,IF(INDEX('計算A'!$D$60:$EQ$104,$B44,74)*FW44=1,IF(AND($E44=2,LL44=0),1000000,IF($I44&gt;0,IF(4=$J44,IF(OR(AND(74=$I44+1,OR($K44&lt;&gt;'計算A'!$A$3,'計算A'!$A$4=0)),AND(74=$I44-1,OR(2&lt;&gt;'計算A'!$A$3,'計算A'!$A$4=0))),0,IF(2=$K44,200000,ABS(2-$K44)*100)),100000+ABS(4-$J44)*1000+20)+'計算A'!BY$5*50+IF(AND($E44=1,LL44=0),25,0),INDEX('計算A'!BY$110:BY$114,$F44+1)+IF(AND($E44=1,LL44=0),1000,0)+IF($H44=1,(IF('計算A'!BX$117=1,INDEX('計算A'!BX$10:BX$54,$B44),0)+IF('計算A'!BY$117=1,INDEX('計算A'!BZ$10:BZ$54,$B44),0))*500,0)-IF(AND('計算A'!BX$117=1,WV44&gt;0),300,0)-IF(AND($L44=1,'計算A'!BY$117=1,FX44=0),300,0))),1000000))</f>
        <v/>
      </c>
      <c r="RB44">
        <f>IF($B44=0,1000000,IF(INDEX('計算A'!$D$60:$EQ$104,$B44,75)*FX44=1,IF(AND($E44=2,LM44=0),1000000,IF($I44&gt;0,IF(4=$J44,IF(OR(AND(75=$I44+1,OR($K44&lt;&gt;'計算A'!$A$3,'計算A'!$A$4=0)),AND(75=$I44-1,OR(3&lt;&gt;'計算A'!$A$3,'計算A'!$A$4=0))),0,IF(3=$K44,200000,ABS(3-$K44)*100)),100000+ABS(4-$J44)*1000+30)+'計算A'!BZ$5*50+IF(AND($E44=1,LM44=0),25,0),INDEX('計算A'!BZ$110:BZ$114,$F44+1)+IF(AND($E44=1,LM44=0),1000,0)+IF($H44=1,(IF('計算A'!BY$117=1,INDEX('計算A'!BY$10:BY$54,$B44),0)+IF('計算A'!BZ$117=1,INDEX('計算A'!CA$10:CA$54,$B44),0))*500,0)-IF(AND('計算A'!BY$117=1,WW44&gt;0),300,0)-IF(AND($L44=1,'計算A'!BZ$117=1,FY44=0),300,0))),1000000))</f>
        <v/>
      </c>
      <c r="RC44">
        <f>IF($B44=0,1000000,IF(INDEX('計算A'!$D$60:$EQ$104,$B44,76)*FY44=1,IF(AND($E44=2,LN44=0),1000000,IF($I44&gt;0,IF(4=$J44,IF(OR(AND(76=$I44+1,OR($K44&lt;&gt;'計算A'!$A$3,'計算A'!$A$4=0)),AND(76=$I44-1,OR(4&lt;&gt;'計算A'!$A$3,'計算A'!$A$4=0))),0,IF(4=$K44,200000,ABS(4-$K44)*100)),100000+ABS(4-$J44)*1000+40)+'計算A'!CA$5*50+IF(AND($E44=1,LN44=0),25,0),INDEX('計算A'!CA$110:CA$114,$F44+1)+IF(AND($E44=1,LN44=0),1000,0)+IF($H44=1,(IF('計算A'!BZ$117=1,INDEX('計算A'!BZ$10:BZ$54,$B44),0)+IF('計算A'!CA$117=1,INDEX('計算A'!CB$10:CB$54,$B44),0))*500,0)-IF(AND('計算A'!BZ$117=1,WX44&gt;0),300,0)-IF(AND($L44=1,'計算A'!CA$117=1,FZ44=0),300,0))),1000000))</f>
        <v/>
      </c>
      <c r="RD44">
        <f>IF($B44=0,1000000,IF(INDEX('計算A'!$D$60:$EQ$104,$B44,77)*FZ44=1,IF(AND($E44=2,LO44=0),1000000,IF($I44&gt;0,IF(4=$J44,IF(OR(AND(77=$I44+1,OR($K44&lt;&gt;'計算A'!$A$3,'計算A'!$A$4=0)),AND(77=$I44-1,OR(5&lt;&gt;'計算A'!$A$3,'計算A'!$A$4=0))),0,IF(5=$K44,200000,ABS(5-$K44)*100)),100000+ABS(4-$J44)*1000+50)+'計算A'!CB$5*50+IF(AND($E44=1,LO44=0),25,0),INDEX('計算A'!CB$110:CB$114,$F44+1)+IF(AND($E44=1,LO44=0),1000,0)+IF($H44=1,(IF('計算A'!CA$117=1,INDEX('計算A'!CA$10:CA$54,$B44),0)+IF('計算A'!CB$117=1,INDEX('計算A'!CC$10:CC$54,$B44),0))*500,0)-IF(AND('計算A'!CA$117=1,WY44&gt;0),300,0)-IF(AND($L44=1,'計算A'!CB$117=1,GA44=0),300,0))),1000000))</f>
        <v/>
      </c>
      <c r="RE44">
        <f>IF($B44=0,1000000,IF(INDEX('計算A'!$D$60:$EQ$104,$B44,78)*GA44=1,IF(AND($E44=2,LP44=0),1000000,IF($I44&gt;0,IF(4=$J44,IF(OR(AND(78=$I44+1,OR($K44&lt;&gt;'計算A'!$A$3,'計算A'!$A$4=0)),AND(78=$I44-1,OR(6&lt;&gt;'計算A'!$A$3,'計算A'!$A$4=0))),0,IF(6=$K44,200000,ABS(6-$K44)*100)),100000+ABS(4-$J44)*1000+60)+'計算A'!CC$5*50+IF(AND($E44=1,LP44=0),25,0),INDEX('計算A'!CC$110:CC$114,$F44+1)+IF(AND($E44=1,LP44=0),1000,0)+IF($H44=1,(IF('計算A'!CB$117=1,INDEX('計算A'!CB$10:CB$54,$B44),0)+IF('計算A'!CC$117=1,INDEX('計算A'!CD$10:CD$54,$B44),0))*500,0)-IF(AND('計算A'!CB$117=1,WZ44&gt;0),300,0)-IF(AND($L44=1,'計算A'!CC$117=1,GB44=0),300,0))),1000000))</f>
        <v/>
      </c>
      <c r="RF44">
        <f>IF($B44=0,1000000,IF(INDEX('計算A'!$D$60:$EQ$104,$B44,79)*GB44=1,IF(AND($E44=2,LQ44=0),1000000,IF($I44&gt;0,IF(4=$J44,IF(OR(AND(79=$I44+1,OR($K44&lt;&gt;'計算A'!$A$3,'計算A'!$A$4=0)),AND(79=$I44-1,OR(7&lt;&gt;'計算A'!$A$3,'計算A'!$A$4=0))),0,IF(7=$K44,200000,ABS(7-$K44)*100)),100000+ABS(4-$J44)*1000+70)+'計算A'!CD$5*50+IF(AND($E44=1,LQ44=0),25,0),INDEX('計算A'!CD$110:CD$114,$F44+1)+IF(AND($E44=1,LQ44=0),1000,0)+IF($H44=1,(IF('計算A'!CC$117=1,INDEX('計算A'!CC$10:CC$54,$B44),0)+IF('計算A'!CD$117=1,INDEX('計算A'!CE$10:CE$54,$B44),0))*500,0)-IF(AND('計算A'!CC$117=1,XA44&gt;0),300,0)-IF(AND($L44=1,'計算A'!CD$117=1,GC44=0),300,0))),1000000))</f>
        <v/>
      </c>
      <c r="RG44">
        <f>IF($B44=0,1000000,IF(INDEX('計算A'!$D$60:$EQ$104,$B44,80)*GC44=1,IF(AND($E44=2,LR44=0),1000000,IF($I44&gt;0,IF(4=$J44,IF(OR(AND(80=$I44+1,OR($K44&lt;&gt;'計算A'!$A$3,'計算A'!$A$4=0)),AND(80=$I44-1,OR(8&lt;&gt;'計算A'!$A$3,'計算A'!$A$4=0))),0,IF(8=$K44,200000,ABS(8-$K44)*100)),100000+ABS(4-$J44)*1000+80)+'計算A'!CE$5*50+IF(AND($E44=1,LR44=0),25,0),INDEX('計算A'!CE$110:CE$114,$F44+1)+IF(AND($E44=1,LR44=0),1000,0)+IF($H44=1,(IF('計算A'!CD$117=1,INDEX('計算A'!CD$10:CD$54,$B44),0)+IF('計算A'!CE$117=1,INDEX('計算A'!CF$10:CF$54,$B44),0))*500,0)-IF(AND('計算A'!CD$117=1,XB44&gt;0),300,0)-IF(AND($L44=1,'計算A'!CE$117=1,GD44=0),300,0))),1000000))</f>
        <v/>
      </c>
      <c r="RH44">
        <f>IF($B44=0,1000000,IF(INDEX('計算A'!$D$60:$EQ$104,$B44,81)*GD44=1,IF(AND($E44=2,LS44=0),1000000,IF($I44&gt;0,IF(4=$J44,IF(OR(AND(81=$I44+1,OR($K44&lt;&gt;'計算A'!$A$3,'計算A'!$A$4=0)),AND(81=$I44-1,OR(9&lt;&gt;'計算A'!$A$3,'計算A'!$A$4=0))),0,IF(9=$K44,200000,ABS(9-$K44)*100)),100000+ABS(4-$J44)*1000+90)+'計算A'!CF$5*50+IF(AND($E44=1,LS44=0),25,0),INDEX('計算A'!CF$110:CF$114,$F44+1)+IF(AND($E44=1,LS44=0),1000,0)+IF($H44=1,(IF('計算A'!CE$117=1,INDEX('計算A'!CE$10:CE$54,$B44),0)+IF('計算A'!CF$117=1,INDEX('計算A'!CG$10:CG$54,$B44),0))*500,0)-IF(AND('計算A'!CE$117=1,XC44&gt;0),300,0)-IF(AND($L44=1,'計算A'!CF$117=1,GE44=0),300,0))),1000000))</f>
        <v/>
      </c>
      <c r="RI44">
        <f>IF($B44=0,1000000,IF(INDEX('計算A'!$D$60:$EQ$104,$B44,82)*GE44=1,IF(AND($E44=2,LT44=0),1000000,IF($I44&gt;0,IF(4=$J44,IF(OR(AND(82=$I44+1,OR($K44&lt;&gt;'計算A'!$A$3,'計算A'!$A$4=0)),AND(82=$I44-1,OR(10&lt;&gt;'計算A'!$A$3,'計算A'!$A$4=0))),0,IF(10=$K44,200000,ABS(10-$K44)*100)),100000+ABS(4-$J44)*1000+100)+'計算A'!CG$5*50+IF(AND($E44=1,LT44=0),25,0),INDEX('計算A'!CG$110:CG$114,$F44+1)+IF(AND($E44=1,LT44=0),1000,0)+IF($H44=1,(IF('計算A'!CF$117=1,INDEX('計算A'!CF$10:CF$54,$B44),0)+IF('計算A'!CG$117=1,INDEX('計算A'!CH$10:CH$54,$B44),0))*500,0)-IF(AND('計算A'!CF$117=1,XD44&gt;0),300,0)-IF(AND($L44=1,'計算A'!CG$117=1,GF44=0),300,0))),1000000))</f>
        <v/>
      </c>
      <c r="RJ44">
        <f>IF($B44=0,1000000,IF(INDEX('計算A'!$D$60:$EQ$104,$B44,83)*GF44=1,IF(AND($E44=2,LU44=0),1000000,IF($I44&gt;0,IF(4=$J44,IF(OR(AND(83=$I44+1,OR($K44&lt;&gt;'計算A'!$A$3,'計算A'!$A$4=0)),AND(83=$I44-1,OR(11&lt;&gt;'計算A'!$A$3,'計算A'!$A$4=0))),0,IF(11=$K44,200000,ABS(11-$K44)*100)),100000+ABS(4-$J44)*1000+110)+'計算A'!CH$5*50+IF(AND($E44=1,LU44=0),25,0),INDEX('計算A'!CH$110:CH$114,$F44+1)+IF(AND($E44=1,LU44=0),1000,0)+IF($H44=1,(IF('計算A'!CG$117=1,INDEX('計算A'!CG$10:CG$54,$B44),0)+IF('計算A'!CH$117=1,INDEX('計算A'!CI$10:CI$54,$B44),0))*500,0)-IF(AND('計算A'!CG$117=1,XE44&gt;0),300,0)-IF(AND($L44=1,'計算A'!CH$117=1,GG44=0),300,0))),1000000))</f>
        <v/>
      </c>
      <c r="RK44">
        <f>IF($B44=0,1000000,IF(INDEX('計算A'!$D$60:$EQ$104,$B44,84)*GG44=1,IF(AND($E44=2,LV44=0),1000000,IF($I44&gt;0,IF(4=$J44,IF(OR(AND(84=$I44+1,OR($K44&lt;&gt;'計算A'!$A$3,'計算A'!$A$4=0)),AND(84=$I44-1,OR(12&lt;&gt;'計算A'!$A$3,'計算A'!$A$4=0))),0,IF(12=$K44,200000,ABS(12-$K44)*100)),100000+ABS(4-$J44)*1000+120)+'計算A'!CI$5*50+IF(AND($E44=1,LV44=0),25,0),INDEX('計算A'!CI$110:CI$114,$F44+1)+IF(AND($E44=1,LV44=0),1000,0)+IF($H44=1,(IF('計算A'!CH$117=1,INDEX('計算A'!CH$10:CH$54,$B44),0)+IF('計算A'!CI$117=1,INDEX('計算A'!CJ$10:CJ$54,$B44),0))*500,0)-IF(AND('計算A'!CH$117=1,XF44&gt;0),300,0)-IF(AND($L44=1,'計算A'!CI$117=1,GH44=0),300,0))),1000000))</f>
        <v/>
      </c>
      <c r="RL44">
        <f>IF($B44=0,1000000,IF(INDEX('計算A'!$D$60:$EQ$104,$B44,85)*GH44=1,IF(AND($E44=2,LW44=0),1000000,IF($I44&gt;0,IF(4=$J44,IF(OR(AND(85=$I44+1,OR($K44&lt;&gt;'計算A'!$A$3,'計算A'!$A$4=0)),AND(85=$I44-1,OR(13&lt;&gt;'計算A'!$A$3,'計算A'!$A$4=0))),0,IF(13=$K44,200000,ABS(13-$K44)*100)),100000+ABS(4-$J44)*1000+130)+'計算A'!CJ$5*50+IF(AND($E44=1,LW44=0),25,0),INDEX('計算A'!CJ$110:CJ$114,$F44+1)+IF(AND($E44=1,LW44=0),1000,0)+IF($H44=1,(IF('計算A'!CI$117=1,INDEX('計算A'!CI$10:CI$54,$B44),0)+IF('計算A'!CJ$117=1,INDEX('計算A'!CK$10:CK$54,$B44),0))*500,0)-IF(AND('計算A'!CI$117=1,XG44&gt;0),300,0)-IF(AND($L44=1,'計算A'!CJ$117=1,GI44=0),300,0))),1000000))</f>
        <v/>
      </c>
      <c r="RM44">
        <f>IF($B44=0,1000000,IF(INDEX('計算A'!$D$60:$EQ$104,$B44,86)*GI44=1,IF(AND($E44=2,LX44=0),1000000,IF($I44&gt;0,IF(4=$J44,IF(OR(AND(86=$I44+1,OR($K44&lt;&gt;'計算A'!$A$3,'計算A'!$A$4=0)),AND(86=$I44-1,OR(14&lt;&gt;'計算A'!$A$3,'計算A'!$A$4=0))),0,IF(14=$K44,200000,ABS(14-$K44)*100)),100000+ABS(4-$J44)*1000+140)+'計算A'!CK$5*50+IF(AND($E44=1,LX44=0),25,0),INDEX('計算A'!CK$110:CK$114,$F44+1)+IF(AND($E44=1,LX44=0),1000,0)+IF($H44=1,(IF('計算A'!CJ$117=1,INDEX('計算A'!CJ$10:CJ$54,$B44),0)+IF('計算A'!CK$117=1,INDEX('計算A'!CL$10:CL$54,$B44),0))*500,0)-IF(AND('計算A'!CJ$117=1,XH44&gt;0),300,0)-IF(AND($L44=1,'計算A'!CK$117=1,GJ44=0),300,0))),1000000))</f>
        <v/>
      </c>
      <c r="RN44">
        <f>IF($B44=0,1000000,IF(INDEX('計算A'!$D$60:$EQ$104,$B44,87)*GJ44=1,IF(AND($E44=2,LY44=0),1000000,IF($I44&gt;0,IF(4=$J44,IF(OR(AND(87=$I44+1,OR($K44&lt;&gt;'計算A'!$A$3,'計算A'!$A$4=0)),AND(87=$I44-1,OR(15&lt;&gt;'計算A'!$A$3,'計算A'!$A$4=0))),0,IF(15=$K44,200000,ABS(15-$K44)*100)),100000+ABS(4-$J44)*1000+150)+'計算A'!CL$5*50+IF(AND($E44=1,LY44=0),25,0),INDEX('計算A'!CL$110:CL$114,$F44+1)+IF(AND($E44=1,LY44=0),1000,0)+IF($H44=1,(IF('計算A'!CK$117=1,INDEX('計算A'!CK$10:CK$54,$B44),0)+IF('計算A'!CL$117=1,INDEX('計算A'!CM$10:CM$54,$B44),0))*500,0)-IF(AND('計算A'!CK$117=1,XI44&gt;0),300,0)-IF(AND($L44=1,'計算A'!CL$117=1,GK44=0),300,0))),1000000))</f>
        <v/>
      </c>
      <c r="RO44">
        <f>IF($B44=0,1000000,IF(INDEX('計算A'!$D$60:$EQ$104,$B44,88)*GK44=1,IF(AND($E44=2,LZ44=0),1000000,IF($I44&gt;0,IF(4=$J44,IF(OR(AND(88=$I44+1,OR($K44&lt;&gt;'計算A'!$A$3,'計算A'!$A$4=0)),AND(88=$I44-1,OR(16&lt;&gt;'計算A'!$A$3,'計算A'!$A$4=0))),0,IF(16=$K44,200000,ABS(16-$K44)*100)),100000+ABS(4-$J44)*1000+160)+'計算A'!CM$5*50+IF(AND($E44=1,LZ44=0),25,0),INDEX('計算A'!CM$110:CM$114,$F44+1)+IF(AND($E44=1,LZ44=0),1000,0)+IF($H44=1,(IF('計算A'!CL$117=1,INDEX('計算A'!CL$10:CL$54,$B44),0)+IF('計算A'!CM$117=1,INDEX('計算A'!CN$10:CN$54,$B44),0))*500,0)-IF(AND('計算A'!CL$117=1,XJ44&gt;0),300,0)-IF(AND($L44=1,'計算A'!CM$117=1,GL44=0),300,0))),1000000))</f>
        <v/>
      </c>
      <c r="RP44">
        <f>IF($B44=0,1000000,IF(INDEX('計算A'!$D$60:$EQ$104,$B44,89)*GL44=1,IF(AND($E44=2,MA44=0),1000000,IF($I44&gt;0,IF(4=$J44,IF(OR(AND(89=$I44+1,OR($K44&lt;&gt;'計算A'!$A$3,'計算A'!$A$4=0)),AND(89=$I44-1,OR(17&lt;&gt;'計算A'!$A$3,'計算A'!$A$4=0))),0,IF(17=$K44,200000,ABS(17-$K44)*100)),100000+ABS(4-$J44)*1000+170)+'計算A'!CN$5*50+IF(AND($E44=1,MA44=0),25,0),INDEX('計算A'!CN$110:CN$114,$F44+1)+IF(AND($E44=1,MA44=0),1000,0)+IF($H44=1,(IF('計算A'!CM$117=1,INDEX('計算A'!CM$10:CM$54,$B44),0)+IF('計算A'!CN$117=1,INDEX('計算A'!CO$10:CO$54,$B44),0))*500,0)-IF(AND('計算A'!CM$117=1,XK44&gt;0),300,0)-IF(AND($L44=1,'計算A'!CN$117=1,GM44=0),300,0))),1000000))</f>
        <v/>
      </c>
      <c r="RQ44">
        <f>IF($B44=0,1000000,IF(INDEX('計算A'!$D$60:$EQ$104,$B44,90)*GM44=1,IF(AND($E44=2,MB44=0),1000000,IF($I44&gt;0,IF(4=$J44,IF(OR(AND(90=$I44+1,OR($K44&lt;&gt;'計算A'!$A$3,'計算A'!$A$4=0)),AND(90=$I44-1,OR(18&lt;&gt;'計算A'!$A$3,'計算A'!$A$4=0))),0,IF(18=$K44,200000,ABS(18-$K44)*100)),100000+ABS(4-$J44)*1000+180)+'計算A'!CO$5*50+IF(AND($E44=1,MB44=0),25,0),INDEX('計算A'!CO$110:CO$114,$F44+1)+IF(AND($E44=1,MB44=0),1000,0)+IF($H44=1,(IF('計算A'!CN$117=1,INDEX('計算A'!CN$10:CN$54,$B44),0)+IF('計算A'!CO$117=1,INDEX('計算A'!CP$10:CP$54,$B44),0))*500,0)-IF(AND('計算A'!CN$117=1,XL44&gt;0),300,0)-IF(AND($L44=1,'計算A'!CO$117=1,GN44=0),300,0))),1000000))</f>
        <v/>
      </c>
      <c r="RR44">
        <f>IF($B44=0,1000000,IF(INDEX('計算A'!$D$60:$EQ$104,$B44,91)*GN44=1,IF(AND($E44=2,MC44=0),1000000,IF($I44&gt;0,IF(4=$J44,IF(OR(AND(91=$I44+1,OR($K44&lt;&gt;'計算A'!$A$3,'計算A'!$A$4=0)),AND(91=$I44-1,OR(19&lt;&gt;'計算A'!$A$3,'計算A'!$A$4=0))),0,IF(19=$K44,200000,ABS(19-$K44)*100)),100000+ABS(4-$J44)*1000+190)+'計算A'!CP$5*50+IF(AND($E44=1,MC44=0),25,0),INDEX('計算A'!CP$110:CP$114,$F44+1)+IF(AND($E44=1,MC44=0),1000,0)+IF($H44=1,(IF('計算A'!CO$117=1,INDEX('計算A'!CO$10:CO$54,$B44),0)+IF('計算A'!CP$117=1,INDEX('計算A'!CQ$10:CQ$54,$B44),0))*500,0)-IF(AND('計算A'!CO$117=1,XM44&gt;0),300,0)-IF(AND($L44=1,'計算A'!CP$117=1,GO44=0),300,0))),1000000))</f>
        <v/>
      </c>
      <c r="RS44">
        <f>IF($B44=0,1000000,IF(INDEX('計算A'!$D$60:$EQ$104,$B44,92)*GO44=1,IF(AND($E44=2,MD44=0),1000000,IF($I44&gt;0,IF(4=$J44,IF(OR(AND(92=$I44+1,OR($K44&lt;&gt;'計算A'!$A$3,'計算A'!$A$4=0)),AND(92=$I44-1,OR(20&lt;&gt;'計算A'!$A$3,'計算A'!$A$4=0))),0,IF(20=$K44,200000,ABS(20-$K44)*100)),100000+ABS(4-$J44)*1000+200)+'計算A'!CQ$5*50+IF(AND($E44=1,MD44=0),25,0),INDEX('計算A'!CQ$110:CQ$114,$F44+1)+IF(AND($E44=1,MD44=0),1000,0)+IF($H44=1,(IF('計算A'!CP$117=1,INDEX('計算A'!CP$10:CP$54,$B44),0)+IF('計算A'!CQ$117=1,INDEX('計算A'!CR$10:CR$54,$B44),0))*500,0)-IF(AND('計算A'!CP$117=1,XN44&gt;0),300,0)-IF(AND($L44=1,'計算A'!CQ$117=1,GP44=0),300,0))),1000000))</f>
        <v/>
      </c>
      <c r="RT44">
        <f>IF($B44=0,1000000,IF(INDEX('計算A'!$D$60:$EQ$104,$B44,93)*GP44=1,IF(AND($E44=2,ME44=0),1000000,IF($I44&gt;0,IF(4=$J44,IF(OR(AND(93=$I44+1,OR($K44&lt;&gt;'計算A'!$A$3,'計算A'!$A$4=0)),AND(93=$I44-1,OR(21&lt;&gt;'計算A'!$A$3,'計算A'!$A$4=0))),0,IF(21=$K44,200000,ABS(21-$K44)*100)),100000+ABS(4-$J44)*1000+210)+'計算A'!CR$5*50+IF(AND($E44=1,ME44=0),25,0),INDEX('計算A'!CR$110:CR$114,$F44+1)+IF(AND($E44=1,ME44=0),1000,0)+IF($H44=1,(IF('計算A'!CQ$117=1,INDEX('計算A'!CQ$10:CQ$54,$B44),0)+IF('計算A'!CR$117=1,INDEX('計算A'!CS$10:CS$54,$B44),0))*500,0)-IF(AND('計算A'!CQ$117=1,XO44&gt;0),300,0)-IF(AND($L44=1,'計算A'!CR$117=1,GQ44=0),300,0))),1000000))</f>
        <v/>
      </c>
      <c r="RU44">
        <f>IF($B44=0,1000000,IF(INDEX('計算A'!$D$60:$EQ$104,$B44,94)*GQ44=1,IF(AND($E44=2,MF44=0),1000000,IF($I44&gt;0,IF(4=$J44,IF(OR(AND(94=$I44+1,OR($K44&lt;&gt;'計算A'!$A$3,'計算A'!$A$4=0)),AND(94=$I44-1,OR(22&lt;&gt;'計算A'!$A$3,'計算A'!$A$4=0))),0,IF(22=$K44,200000,ABS(22-$K44)*100)),100000+ABS(4-$J44)*1000+220)+'計算A'!CS$5*50+IF(AND($E44=1,MF44=0),25,0),INDEX('計算A'!CS$110:CS$114,$F44+1)+IF(AND($E44=1,MF44=0),1000,0)+IF($H44=1,(IF('計算A'!CR$117=1,INDEX('計算A'!CR$10:CR$54,$B44),0)+IF('計算A'!CS$117=1,INDEX('計算A'!CT$10:CT$54,$B44),0))*500,0)-IF(AND('計算A'!CR$117=1,XP44&gt;0),300,0)-IF(AND($L44=1,'計算A'!CS$117=1,GR44=0),300,0))),1000000))</f>
        <v/>
      </c>
      <c r="RV44">
        <f>IF($B44=0,1000000,IF(INDEX('計算A'!$D$60:$EQ$104,$B44,95)*GR44=1,IF(AND($E44=2,MG44=0),1000000,IF($I44&gt;0,IF(4=$J44,IF(OR(AND(95=$I44+1,OR($K44&lt;&gt;'計算A'!$A$3,'計算A'!$A$4=0)),AND(95=$I44-1,OR(23&lt;&gt;'計算A'!$A$3,'計算A'!$A$4=0))),0,IF(23=$K44,200000,ABS(23-$K44)*100)),100000+ABS(4-$J44)*1000+230)+'計算A'!CT$5*50+IF(AND($E44=1,MG44=0),25,0),INDEX('計算A'!CT$110:CT$114,$F44+1)+IF(AND($E44=1,MG44=0),1000,0)+IF($H44=1,(IF('計算A'!CS$117=1,INDEX('計算A'!CS$10:CS$54,$B44),0)+IF('計算A'!CT$117=1,INDEX('計算A'!CU$10:CU$54,$B44),0))*500,0)-IF(AND('計算A'!CS$117=1,XQ44&gt;0),300,0)-IF(AND($L44=1,'計算A'!CT$117=1,GS44=0),300,0))),1000000))</f>
        <v/>
      </c>
      <c r="RW44">
        <f>IF($B44=0,1000000,IF(INDEX('計算A'!$D$60:$EQ$104,$B44,96)*GS44=1,IF(AND($E44=2,MH44=0),1000000,IF($I44&gt;0,IF(4=$J44,IF(OR(AND(96=$I44+1,OR($K44&lt;&gt;'計算A'!$A$3,'計算A'!$A$4=0)),AND(96=$I44-1,OR(24&lt;&gt;'計算A'!$A$3,'計算A'!$A$4=0))),0,IF(24=$K44,200000,ABS(24-$K44)*100)),100000+ABS(4-$J44)*1000+240)+'計算A'!CU$5*50+IF(AND($E44=1,MH44=0),25,0),INDEX('計算A'!CU$110:CU$114,$F44+1)+IF(AND($E44=1,MH44=0),1000,0)+IF($H44=1,(IF('計算A'!CT$117=1,INDEX('計算A'!CT$10:CT$54,$B44),0))*500,0)-IF(AND('計算A'!CT$117=1,XR44&gt;0),300,0))),1000000))</f>
        <v/>
      </c>
      <c r="RX44">
        <f>IF($B44=0,1000000,IF(INDEX('計算A'!$D$60:$EQ$104,$B44,97)*GT44=1,IF(AND($E44=2,MI44=0),1000000,IF($I44&gt;0,IF(5=$J44,IF(OR(AND(97=$I44+1,OR($K44&lt;&gt;'計算A'!$A$3,'計算A'!$A$4=0)),AND(97=$I44-1,OR(1&lt;&gt;'計算A'!$A$3,'計算A'!$A$4=0))),0,IF(1=$K44,200000,ABS(1-$K44)*100)),100000+ABS(5-$J44)*1000+10)+'計算A'!CV$5*50+IF(AND($E44=1,MI44=0),25,0),INDEX('計算A'!CV$110:CV$114,$F44+1)+IF(AND($E44=1,MI44=0),1000,0)+IF($H44=1,(IF('計算A'!CV$117=1,INDEX('計算A'!CW$10:CW$54,$B44),0))*500,0)-IF(AND($L44=1,'計算A'!CV$117=1,GU44=0),300,0))),1000000))</f>
        <v/>
      </c>
      <c r="RY44">
        <f>IF($B44=0,1000000,IF(INDEX('計算A'!$D$60:$EQ$104,$B44,98)*GU44=1,IF(AND($E44=2,MJ44=0),1000000,IF($I44&gt;0,IF(5=$J44,IF(OR(AND(98=$I44+1,OR($K44&lt;&gt;'計算A'!$A$3,'計算A'!$A$4=0)),AND(98=$I44-1,OR(2&lt;&gt;'計算A'!$A$3,'計算A'!$A$4=0))),0,IF(2=$K44,200000,ABS(2-$K44)*100)),100000+ABS(5-$J44)*1000+20)+'計算A'!CW$5*50+IF(AND($E44=1,MJ44=0),25,0),INDEX('計算A'!CW$110:CW$114,$F44+1)+IF(AND($E44=1,MJ44=0),1000,0)+IF($H44=1,(IF('計算A'!CV$117=1,INDEX('計算A'!CV$10:CV$54,$B44),0)+IF('計算A'!CW$117=1,INDEX('計算A'!CX$10:CX$54,$B44),0))*500,0)-IF(AND('計算A'!CV$117=1,XT44&gt;0),300,0)-IF(AND($L44=1,'計算A'!CW$117=1,GV44=0),300,0))),1000000))</f>
        <v/>
      </c>
      <c r="RZ44">
        <f>IF($B44=0,1000000,IF(INDEX('計算A'!$D$60:$EQ$104,$B44,99)*GV44=1,IF(AND($E44=2,MK44=0),1000000,IF($I44&gt;0,IF(5=$J44,IF(OR(AND(99=$I44+1,OR($K44&lt;&gt;'計算A'!$A$3,'計算A'!$A$4=0)),AND(99=$I44-1,OR(3&lt;&gt;'計算A'!$A$3,'計算A'!$A$4=0))),0,IF(3=$K44,200000,ABS(3-$K44)*100)),100000+ABS(5-$J44)*1000+30)+'計算A'!CX$5*50+IF(AND($E44=1,MK44=0),25,0),INDEX('計算A'!CX$110:CX$114,$F44+1)+IF(AND($E44=1,MK44=0),1000,0)+IF($H44=1,(IF('計算A'!CW$117=1,INDEX('計算A'!CW$10:CW$54,$B44),0)+IF('計算A'!CX$117=1,INDEX('計算A'!CY$10:CY$54,$B44),0))*500,0)-IF(AND('計算A'!CW$117=1,XU44&gt;0),300,0)-IF(AND($L44=1,'計算A'!CX$117=1,GW44=0),300,0))),1000000))</f>
        <v/>
      </c>
      <c r="SA44">
        <f>IF($B44=0,1000000,IF(INDEX('計算A'!$D$60:$EQ$104,$B44,100)*GW44=1,IF(AND($E44=2,ML44=0),1000000,IF($I44&gt;0,IF(5=$J44,IF(OR(AND(100=$I44+1,OR($K44&lt;&gt;'計算A'!$A$3,'計算A'!$A$4=0)),AND(100=$I44-1,OR(4&lt;&gt;'計算A'!$A$3,'計算A'!$A$4=0))),0,IF(4=$K44,200000,ABS(4-$K44)*100)),100000+ABS(5-$J44)*1000+40)+'計算A'!CY$5*50+IF(AND($E44=1,ML44=0),25,0),INDEX('計算A'!CY$110:CY$114,$F44+1)+IF(AND($E44=1,ML44=0),1000,0)+IF($H44=1,(IF('計算A'!CX$117=1,INDEX('計算A'!CX$10:CX$54,$B44),0)+IF('計算A'!CY$117=1,INDEX('計算A'!CZ$10:CZ$54,$B44),0))*500,0)-IF(AND('計算A'!CX$117=1,XV44&gt;0),300,0)-IF(AND($L44=1,'計算A'!CY$117=1,GX44=0),300,0))),1000000))</f>
        <v/>
      </c>
      <c r="SB44">
        <f>IF($B44=0,1000000,IF(INDEX('計算A'!$D$60:$EQ$104,$B44,101)*GX44=1,IF(AND($E44=2,MM44=0),1000000,IF($I44&gt;0,IF(5=$J44,IF(OR(AND(101=$I44+1,OR($K44&lt;&gt;'計算A'!$A$3,'計算A'!$A$4=0)),AND(101=$I44-1,OR(5&lt;&gt;'計算A'!$A$3,'計算A'!$A$4=0))),0,IF(5=$K44,200000,ABS(5-$K44)*100)),100000+ABS(5-$J44)*1000+50)+'計算A'!CZ$5*50+IF(AND($E44=1,MM44=0),25,0),INDEX('計算A'!CZ$110:CZ$114,$F44+1)+IF(AND($E44=1,MM44=0),1000,0)+IF($H44=1,(IF('計算A'!CY$117=1,INDEX('計算A'!CY$10:CY$54,$B44),0)+IF('計算A'!CZ$117=1,INDEX('計算A'!DA$10:DA$54,$B44),0))*500,0)-IF(AND('計算A'!CY$117=1,XW44&gt;0),300,0)-IF(AND($L44=1,'計算A'!CZ$117=1,GY44=0),300,0))),1000000))</f>
        <v/>
      </c>
      <c r="SC44">
        <f>IF($B44=0,1000000,IF(INDEX('計算A'!$D$60:$EQ$104,$B44,102)*GY44=1,IF(AND($E44=2,MN44=0),1000000,IF($I44&gt;0,IF(5=$J44,IF(OR(AND(102=$I44+1,OR($K44&lt;&gt;'計算A'!$A$3,'計算A'!$A$4=0)),AND(102=$I44-1,OR(6&lt;&gt;'計算A'!$A$3,'計算A'!$A$4=0))),0,IF(6=$K44,200000,ABS(6-$K44)*100)),100000+ABS(5-$J44)*1000+60)+'計算A'!DA$5*50+IF(AND($E44=1,MN44=0),25,0),INDEX('計算A'!DA$110:DA$114,$F44+1)+IF(AND($E44=1,MN44=0),1000,0)+IF($H44=1,(IF('計算A'!CZ$117=1,INDEX('計算A'!CZ$10:CZ$54,$B44),0)+IF('計算A'!DA$117=1,INDEX('計算A'!DB$10:DB$54,$B44),0))*500,0)-IF(AND('計算A'!CZ$117=1,XX44&gt;0),300,0)-IF(AND($L44=1,'計算A'!DA$117=1,GZ44=0),300,0))),1000000))</f>
        <v/>
      </c>
      <c r="SD44">
        <f>IF($B44=0,1000000,IF(INDEX('計算A'!$D$60:$EQ$104,$B44,103)*GZ44=1,IF(AND($E44=2,MO44=0),1000000,IF($I44&gt;0,IF(5=$J44,IF(OR(AND(103=$I44+1,OR($K44&lt;&gt;'計算A'!$A$3,'計算A'!$A$4=0)),AND(103=$I44-1,OR(7&lt;&gt;'計算A'!$A$3,'計算A'!$A$4=0))),0,IF(7=$K44,200000,ABS(7-$K44)*100)),100000+ABS(5-$J44)*1000+70)+'計算A'!DB$5*50+IF(AND($E44=1,MO44=0),25,0),INDEX('計算A'!DB$110:DB$114,$F44+1)+IF(AND($E44=1,MO44=0),1000,0)+IF($H44=1,(IF('計算A'!DA$117=1,INDEX('計算A'!DA$10:DA$54,$B44),0)+IF('計算A'!DB$117=1,INDEX('計算A'!DC$10:DC$54,$B44),0))*500,0)-IF(AND('計算A'!DA$117=1,XY44&gt;0),300,0)-IF(AND($L44=1,'計算A'!DB$117=1,HA44=0),300,0))),1000000))</f>
        <v/>
      </c>
      <c r="SE44">
        <f>IF($B44=0,1000000,IF(INDEX('計算A'!$D$60:$EQ$104,$B44,104)*HA44=1,IF(AND($E44=2,MP44=0),1000000,IF($I44&gt;0,IF(5=$J44,IF(OR(AND(104=$I44+1,OR($K44&lt;&gt;'計算A'!$A$3,'計算A'!$A$4=0)),AND(104=$I44-1,OR(8&lt;&gt;'計算A'!$A$3,'計算A'!$A$4=0))),0,IF(8=$K44,200000,ABS(8-$K44)*100)),100000+ABS(5-$J44)*1000+80)+'計算A'!DC$5*50+IF(AND($E44=1,MP44=0),25,0),INDEX('計算A'!DC$110:DC$114,$F44+1)+IF(AND($E44=1,MP44=0),1000,0)+IF($H44=1,(IF('計算A'!DB$117=1,INDEX('計算A'!DB$10:DB$54,$B44),0)+IF('計算A'!DC$117=1,INDEX('計算A'!DD$10:DD$54,$B44),0))*500,0)-IF(AND('計算A'!DB$117=1,XZ44&gt;0),300,0)-IF(AND($L44=1,'計算A'!DC$117=1,HB44=0),300,0))),1000000))</f>
        <v/>
      </c>
      <c r="SF44">
        <f>IF($B44=0,1000000,IF(INDEX('計算A'!$D$60:$EQ$104,$B44,105)*HB44=1,IF(AND($E44=2,MQ44=0),1000000,IF($I44&gt;0,IF(5=$J44,IF(OR(AND(105=$I44+1,OR($K44&lt;&gt;'計算A'!$A$3,'計算A'!$A$4=0)),AND(105=$I44-1,OR(9&lt;&gt;'計算A'!$A$3,'計算A'!$A$4=0))),0,IF(9=$K44,200000,ABS(9-$K44)*100)),100000+ABS(5-$J44)*1000+90)+'計算A'!DD$5*50+IF(AND($E44=1,MQ44=0),25,0),INDEX('計算A'!DD$110:DD$114,$F44+1)+IF(AND($E44=1,MQ44=0),1000,0)+IF($H44=1,(IF('計算A'!DC$117=1,INDEX('計算A'!DC$10:DC$54,$B44),0)+IF('計算A'!DD$117=1,INDEX('計算A'!DE$10:DE$54,$B44),0))*500,0)-IF(AND('計算A'!DC$117=1,YA44&gt;0),300,0)-IF(AND($L44=1,'計算A'!DD$117=1,HC44=0),300,0))),1000000))</f>
        <v/>
      </c>
      <c r="SG44">
        <f>IF($B44=0,1000000,IF(INDEX('計算A'!$D$60:$EQ$104,$B44,106)*HC44=1,IF(AND($E44=2,MR44=0),1000000,IF($I44&gt;0,IF(5=$J44,IF(OR(AND(106=$I44+1,OR($K44&lt;&gt;'計算A'!$A$3,'計算A'!$A$4=0)),AND(106=$I44-1,OR(10&lt;&gt;'計算A'!$A$3,'計算A'!$A$4=0))),0,IF(10=$K44,200000,ABS(10-$K44)*100)),100000+ABS(5-$J44)*1000+100)+'計算A'!DE$5*50+IF(AND($E44=1,MR44=0),25,0),INDEX('計算A'!DE$110:DE$114,$F44+1)+IF(AND($E44=1,MR44=0),1000,0)+IF($H44=1,(IF('計算A'!DD$117=1,INDEX('計算A'!DD$10:DD$54,$B44),0)+IF('計算A'!DE$117=1,INDEX('計算A'!DF$10:DF$54,$B44),0))*500,0)-IF(AND('計算A'!DD$117=1,YB44&gt;0),300,0)-IF(AND($L44=1,'計算A'!DE$117=1,HD44=0),300,0))),1000000))</f>
        <v/>
      </c>
      <c r="SH44">
        <f>IF($B44=0,1000000,IF(INDEX('計算A'!$D$60:$EQ$104,$B44,107)*HD44=1,IF(AND($E44=2,MS44=0),1000000,IF($I44&gt;0,IF(5=$J44,IF(OR(AND(107=$I44+1,OR($K44&lt;&gt;'計算A'!$A$3,'計算A'!$A$4=0)),AND(107=$I44-1,OR(11&lt;&gt;'計算A'!$A$3,'計算A'!$A$4=0))),0,IF(11=$K44,200000,ABS(11-$K44)*100)),100000+ABS(5-$J44)*1000+110)+'計算A'!DF$5*50+IF(AND($E44=1,MS44=0),25,0),INDEX('計算A'!DF$110:DF$114,$F44+1)+IF(AND($E44=1,MS44=0),1000,0)+IF($H44=1,(IF('計算A'!DE$117=1,INDEX('計算A'!DE$10:DE$54,$B44),0)+IF('計算A'!DF$117=1,INDEX('計算A'!DG$10:DG$54,$B44),0))*500,0)-IF(AND('計算A'!DE$117=1,YC44&gt;0),300,0)-IF(AND($L44=1,'計算A'!DF$117=1,HE44=0),300,0))),1000000))</f>
        <v/>
      </c>
      <c r="SI44">
        <f>IF($B44=0,1000000,IF(INDEX('計算A'!$D$60:$EQ$104,$B44,108)*HE44=1,IF(AND($E44=2,MT44=0),1000000,IF($I44&gt;0,IF(5=$J44,IF(OR(AND(108=$I44+1,OR($K44&lt;&gt;'計算A'!$A$3,'計算A'!$A$4=0)),AND(108=$I44-1,OR(12&lt;&gt;'計算A'!$A$3,'計算A'!$A$4=0))),0,IF(12=$K44,200000,ABS(12-$K44)*100)),100000+ABS(5-$J44)*1000+120)+'計算A'!DG$5*50+IF(AND($E44=1,MT44=0),25,0),INDEX('計算A'!DG$110:DG$114,$F44+1)+IF(AND($E44=1,MT44=0),1000,0)+IF($H44=1,(IF('計算A'!DF$117=1,INDEX('計算A'!DF$10:DF$54,$B44),0)+IF('計算A'!DG$117=1,INDEX('計算A'!DH$10:DH$54,$B44),0))*500,0)-IF(AND('計算A'!DF$117=1,YD44&gt;0),300,0)-IF(AND($L44=1,'計算A'!DG$117=1,HF44=0),300,0))),1000000))</f>
        <v/>
      </c>
      <c r="SJ44">
        <f>IF($B44=0,1000000,IF(INDEX('計算A'!$D$60:$EQ$104,$B44,109)*HF44=1,IF(AND($E44=2,MU44=0),1000000,IF($I44&gt;0,IF(5=$J44,IF(OR(AND(109=$I44+1,OR($K44&lt;&gt;'計算A'!$A$3,'計算A'!$A$4=0)),AND(109=$I44-1,OR(13&lt;&gt;'計算A'!$A$3,'計算A'!$A$4=0))),0,IF(13=$K44,200000,ABS(13-$K44)*100)),100000+ABS(5-$J44)*1000+130)+'計算A'!DH$5*50+IF(AND($E44=1,MU44=0),25,0),INDEX('計算A'!DH$110:DH$114,$F44+1)+IF(AND($E44=1,MU44=0),1000,0)+IF($H44=1,(IF('計算A'!DG$117=1,INDEX('計算A'!DG$10:DG$54,$B44),0)+IF('計算A'!DH$117=1,INDEX('計算A'!DI$10:DI$54,$B44),0))*500,0)-IF(AND('計算A'!DG$117=1,YE44&gt;0),300,0)-IF(AND($L44=1,'計算A'!DH$117=1,HG44=0),300,0))),1000000))</f>
        <v/>
      </c>
      <c r="SK44">
        <f>IF($B44=0,1000000,IF(INDEX('計算A'!$D$60:$EQ$104,$B44,110)*HG44=1,IF(AND($E44=2,MV44=0),1000000,IF($I44&gt;0,IF(5=$J44,IF(OR(AND(110=$I44+1,OR($K44&lt;&gt;'計算A'!$A$3,'計算A'!$A$4=0)),AND(110=$I44-1,OR(14&lt;&gt;'計算A'!$A$3,'計算A'!$A$4=0))),0,IF(14=$K44,200000,ABS(14-$K44)*100)),100000+ABS(5-$J44)*1000+140)+'計算A'!DI$5*50+IF(AND($E44=1,MV44=0),25,0),INDEX('計算A'!DI$110:DI$114,$F44+1)+IF(AND($E44=1,MV44=0),1000,0)+IF($H44=1,(IF('計算A'!DH$117=1,INDEX('計算A'!DH$10:DH$54,$B44),0)+IF('計算A'!DI$117=1,INDEX('計算A'!DJ$10:DJ$54,$B44),0))*500,0)-IF(AND('計算A'!DH$117=1,YF44&gt;0),300,0)-IF(AND($L44=1,'計算A'!DI$117=1,HH44=0),300,0))),1000000))</f>
        <v/>
      </c>
      <c r="SL44">
        <f>IF($B44=0,1000000,IF(INDEX('計算A'!$D$60:$EQ$104,$B44,111)*HH44=1,IF(AND($E44=2,MW44=0),1000000,IF($I44&gt;0,IF(5=$J44,IF(OR(AND(111=$I44+1,OR($K44&lt;&gt;'計算A'!$A$3,'計算A'!$A$4=0)),AND(111=$I44-1,OR(15&lt;&gt;'計算A'!$A$3,'計算A'!$A$4=0))),0,IF(15=$K44,200000,ABS(15-$K44)*100)),100000+ABS(5-$J44)*1000+150)+'計算A'!DJ$5*50+IF(AND($E44=1,MW44=0),25,0),INDEX('計算A'!DJ$110:DJ$114,$F44+1)+IF(AND($E44=1,MW44=0),1000,0)+IF($H44=1,(IF('計算A'!DI$117=1,INDEX('計算A'!DI$10:DI$54,$B44),0)+IF('計算A'!DJ$117=1,INDEX('計算A'!DK$10:DK$54,$B44),0))*500,0)-IF(AND('計算A'!DI$117=1,YG44&gt;0),300,0)-IF(AND($L44=1,'計算A'!DJ$117=1,HI44=0),300,0))),1000000))</f>
        <v/>
      </c>
      <c r="SM44">
        <f>IF($B44=0,1000000,IF(INDEX('計算A'!$D$60:$EQ$104,$B44,112)*HI44=1,IF(AND($E44=2,MX44=0),1000000,IF($I44&gt;0,IF(5=$J44,IF(OR(AND(112=$I44+1,OR($K44&lt;&gt;'計算A'!$A$3,'計算A'!$A$4=0)),AND(112=$I44-1,OR(16&lt;&gt;'計算A'!$A$3,'計算A'!$A$4=0))),0,IF(16=$K44,200000,ABS(16-$K44)*100)),100000+ABS(5-$J44)*1000+160)+'計算A'!DK$5*50+IF(AND($E44=1,MX44=0),25,0),INDEX('計算A'!DK$110:DK$114,$F44+1)+IF(AND($E44=1,MX44=0),1000,0)+IF($H44=1,(IF('計算A'!DJ$117=1,INDEX('計算A'!DJ$10:DJ$54,$B44),0)+IF('計算A'!DK$117=1,INDEX('計算A'!DL$10:DL$54,$B44),0))*500,0)-IF(AND('計算A'!DJ$117=1,YH44&gt;0),300,0)-IF(AND($L44=1,'計算A'!DK$117=1,HJ44=0),300,0))),1000000))</f>
        <v/>
      </c>
      <c r="SN44">
        <f>IF($B44=0,1000000,IF(INDEX('計算A'!$D$60:$EQ$104,$B44,113)*HJ44=1,IF(AND($E44=2,MY44=0),1000000,IF($I44&gt;0,IF(5=$J44,IF(OR(AND(113=$I44+1,OR($K44&lt;&gt;'計算A'!$A$3,'計算A'!$A$4=0)),AND(113=$I44-1,OR(17&lt;&gt;'計算A'!$A$3,'計算A'!$A$4=0))),0,IF(17=$K44,200000,ABS(17-$K44)*100)),100000+ABS(5-$J44)*1000+170)+'計算A'!DL$5*50+IF(AND($E44=1,MY44=0),25,0),INDEX('計算A'!DL$110:DL$114,$F44+1)+IF(AND($E44=1,MY44=0),1000,0)+IF($H44=1,(IF('計算A'!DK$117=1,INDEX('計算A'!DK$10:DK$54,$B44),0)+IF('計算A'!DL$117=1,INDEX('計算A'!DM$10:DM$54,$B44),0))*500,0)-IF(AND('計算A'!DK$117=1,YI44&gt;0),300,0)-IF(AND($L44=1,'計算A'!DL$117=1,HK44=0),300,0))),1000000))</f>
        <v/>
      </c>
      <c r="SO44">
        <f>IF($B44=0,1000000,IF(INDEX('計算A'!$D$60:$EQ$104,$B44,114)*HK44=1,IF(AND($E44=2,MZ44=0),1000000,IF($I44&gt;0,IF(5=$J44,IF(OR(AND(114=$I44+1,OR($K44&lt;&gt;'計算A'!$A$3,'計算A'!$A$4=0)),AND(114=$I44-1,OR(18&lt;&gt;'計算A'!$A$3,'計算A'!$A$4=0))),0,IF(18=$K44,200000,ABS(18-$K44)*100)),100000+ABS(5-$J44)*1000+180)+'計算A'!DM$5*50+IF(AND($E44=1,MZ44=0),25,0),INDEX('計算A'!DM$110:DM$114,$F44+1)+IF(AND($E44=1,MZ44=0),1000,0)+IF($H44=1,(IF('計算A'!DL$117=1,INDEX('計算A'!DL$10:DL$54,$B44),0)+IF('計算A'!DM$117=1,INDEX('計算A'!DN$10:DN$54,$B44),0))*500,0)-IF(AND('計算A'!DL$117=1,YJ44&gt;0),300,0)-IF(AND($L44=1,'計算A'!DM$117=1,HL44=0),300,0))),1000000))</f>
        <v/>
      </c>
      <c r="SP44">
        <f>IF($B44=0,1000000,IF(INDEX('計算A'!$D$60:$EQ$104,$B44,115)*HL44=1,IF(AND($E44=2,NA44=0),1000000,IF($I44&gt;0,IF(5=$J44,IF(OR(AND(115=$I44+1,OR($K44&lt;&gt;'計算A'!$A$3,'計算A'!$A$4=0)),AND(115=$I44-1,OR(19&lt;&gt;'計算A'!$A$3,'計算A'!$A$4=0))),0,IF(19=$K44,200000,ABS(19-$K44)*100)),100000+ABS(5-$J44)*1000+190)+'計算A'!DN$5*50+IF(AND($E44=1,NA44=0),25,0),INDEX('計算A'!DN$110:DN$114,$F44+1)+IF(AND($E44=1,NA44=0),1000,0)+IF($H44=1,(IF('計算A'!DM$117=1,INDEX('計算A'!DM$10:DM$54,$B44),0)+IF('計算A'!DN$117=1,INDEX('計算A'!DO$10:DO$54,$B44),0))*500,0)-IF(AND('計算A'!DM$117=1,YK44&gt;0),300,0)-IF(AND($L44=1,'計算A'!DN$117=1,HM44=0),300,0))),1000000))</f>
        <v/>
      </c>
      <c r="SQ44">
        <f>IF($B44=0,1000000,IF(INDEX('計算A'!$D$60:$EQ$104,$B44,116)*HM44=1,IF(AND($E44=2,NB44=0),1000000,IF($I44&gt;0,IF(5=$J44,IF(OR(AND(116=$I44+1,OR($K44&lt;&gt;'計算A'!$A$3,'計算A'!$A$4=0)),AND(116=$I44-1,OR(20&lt;&gt;'計算A'!$A$3,'計算A'!$A$4=0))),0,IF(20=$K44,200000,ABS(20-$K44)*100)),100000+ABS(5-$J44)*1000+200)+'計算A'!DO$5*50+IF(AND($E44=1,NB44=0),25,0),INDEX('計算A'!DO$110:DO$114,$F44+1)+IF(AND($E44=1,NB44=0),1000,0)+IF($H44=1,(IF('計算A'!DN$117=1,INDEX('計算A'!DN$10:DN$54,$B44),0)+IF('計算A'!DO$117=1,INDEX('計算A'!DP$10:DP$54,$B44),0))*500,0)-IF(AND('計算A'!DN$117=1,YL44&gt;0),300,0)-IF(AND($L44=1,'計算A'!DO$117=1,HN44=0),300,0))),1000000))</f>
        <v/>
      </c>
      <c r="SR44">
        <f>IF($B44=0,1000000,IF(INDEX('計算A'!$D$60:$EQ$104,$B44,117)*HN44=1,IF(AND($E44=2,NC44=0),1000000,IF($I44&gt;0,IF(5=$J44,IF(OR(AND(117=$I44+1,OR($K44&lt;&gt;'計算A'!$A$3,'計算A'!$A$4=0)),AND(117=$I44-1,OR(21&lt;&gt;'計算A'!$A$3,'計算A'!$A$4=0))),0,IF(21=$K44,200000,ABS(21-$K44)*100)),100000+ABS(5-$J44)*1000+210)+'計算A'!DP$5*50+IF(AND($E44=1,NC44=0),25,0),INDEX('計算A'!DP$110:DP$114,$F44+1)+IF(AND($E44=1,NC44=0),1000,0)+IF($H44=1,(IF('計算A'!DO$117=1,INDEX('計算A'!DO$10:DO$54,$B44),0)+IF('計算A'!DP$117=1,INDEX('計算A'!DQ$10:DQ$54,$B44),0))*500,0)-IF(AND('計算A'!DO$117=1,YM44&gt;0),300,0)-IF(AND($L44=1,'計算A'!DP$117=1,HO44=0),300,0))),1000000))</f>
        <v/>
      </c>
      <c r="SS44">
        <f>IF($B44=0,1000000,IF(INDEX('計算A'!$D$60:$EQ$104,$B44,118)*HO44=1,IF(AND($E44=2,ND44=0),1000000,IF($I44&gt;0,IF(5=$J44,IF(OR(AND(118=$I44+1,OR($K44&lt;&gt;'計算A'!$A$3,'計算A'!$A$4=0)),AND(118=$I44-1,OR(22&lt;&gt;'計算A'!$A$3,'計算A'!$A$4=0))),0,IF(22=$K44,200000,ABS(22-$K44)*100)),100000+ABS(5-$J44)*1000+220)+'計算A'!DQ$5*50+IF(AND($E44=1,ND44=0),25,0),INDEX('計算A'!DQ$110:DQ$114,$F44+1)+IF(AND($E44=1,ND44=0),1000,0)+IF($H44=1,(IF('計算A'!DP$117=1,INDEX('計算A'!DP$10:DP$54,$B44),0)+IF('計算A'!DQ$117=1,INDEX('計算A'!DR$10:DR$54,$B44),0))*500,0)-IF(AND('計算A'!DP$117=1,YN44&gt;0),300,0)-IF(AND($L44=1,'計算A'!DQ$117=1,HP44=0),300,0))),1000000))</f>
        <v/>
      </c>
      <c r="ST44">
        <f>IF($B44=0,1000000,IF(INDEX('計算A'!$D$60:$EQ$104,$B44,119)*HP44=1,IF(AND($E44=2,NE44=0),1000000,IF($I44&gt;0,IF(5=$J44,IF(OR(AND(119=$I44+1,OR($K44&lt;&gt;'計算A'!$A$3,'計算A'!$A$4=0)),AND(119=$I44-1,OR(23&lt;&gt;'計算A'!$A$3,'計算A'!$A$4=0))),0,IF(23=$K44,200000,ABS(23-$K44)*100)),100000+ABS(5-$J44)*1000+230)+'計算A'!DR$5*50+IF(AND($E44=1,NE44=0),25,0),INDEX('計算A'!DR$110:DR$114,$F44+1)+IF(AND($E44=1,NE44=0),1000,0)+IF($H44=1,(IF('計算A'!DQ$117=1,INDEX('計算A'!DQ$10:DQ$54,$B44),0)+IF('計算A'!DR$117=1,INDEX('計算A'!DS$10:DS$54,$B44),0))*500,0)-IF(AND('計算A'!DQ$117=1,YO44&gt;0),300,0)-IF(AND($L44=1,'計算A'!DR$117=1,HQ44=0),300,0))),1000000))</f>
        <v/>
      </c>
      <c r="SU44">
        <f>IF($B44=0,1000000,IF(INDEX('計算A'!$D$60:$EQ$104,$B44,120)*HQ44=1,IF(AND($E44=2,NF44=0),1000000,IF($I44&gt;0,IF(5=$J44,IF(OR(AND(120=$I44+1,OR($K44&lt;&gt;'計算A'!$A$3,'計算A'!$A$4=0)),AND(120=$I44-1,OR(24&lt;&gt;'計算A'!$A$3,'計算A'!$A$4=0))),0,IF(24=$K44,200000,ABS(24-$K44)*100)),100000+ABS(5-$J44)*1000+240)+'計算A'!DS$5*50+IF(AND($E44=1,NF44=0),25,0),INDEX('計算A'!DS$110:DS$114,$F44+1)+IF(AND($E44=1,NF44=0),1000,0)+IF($H44=1,(IF('計算A'!DR$117=1,INDEX('計算A'!DR$10:DR$54,$B44),0))*500,0)-IF(AND('計算A'!DR$117=1,YP44&gt;0),300,0))),1000000))</f>
        <v/>
      </c>
      <c r="SV44">
        <f>IF($B44=0,1000000,IF(INDEX('計算A'!$D$60:$EQ$104,$B44,121)*HR44=1,IF(AND($E44=2,NG44=0),1000000,IF($I44&gt;0,IF(6=$J44,IF(OR(AND(121=$I44+1,OR($K44&lt;&gt;'計算A'!$A$3,'計算A'!$A$4=0)),AND(121=$I44-1,OR(1&lt;&gt;'計算A'!$A$3,'計算A'!$A$4=0))),0,IF(1=$K44,200000,ABS(1-$K44)*100)),100000+ABS(6-$J44)*1000+10)+'計算A'!DT$5*50+IF(AND($E44=1,NG44=0),25,0),INDEX('計算A'!DT$110:DT$114,$F44+1)+IF(AND($E44=1,NG44=0),1000,0)+IF($H44=1,(IF('計算A'!DT$117=1,INDEX('計算A'!DU$10:DU$54,$B44),0))*500,0)-IF(AND($L44=1,'計算A'!DT$117=1,HS44=0),300,0))),1000000))</f>
        <v/>
      </c>
      <c r="SW44">
        <f>IF($B44=0,1000000,IF(INDEX('計算A'!$D$60:$EQ$104,$B44,122)*HS44=1,IF(AND($E44=2,NH44=0),1000000,IF($I44&gt;0,IF(6=$J44,IF(OR(AND(122=$I44+1,OR($K44&lt;&gt;'計算A'!$A$3,'計算A'!$A$4=0)),AND(122=$I44-1,OR(2&lt;&gt;'計算A'!$A$3,'計算A'!$A$4=0))),0,IF(2=$K44,200000,ABS(2-$K44)*100)),100000+ABS(6-$J44)*1000+20)+'計算A'!DU$5*50+IF(AND($E44=1,NH44=0),25,0),INDEX('計算A'!DU$110:DU$114,$F44+1)+IF(AND($E44=1,NH44=0),1000,0)+IF($H44=1,(IF('計算A'!DT$117=1,INDEX('計算A'!DT$10:DT$54,$B44),0)+IF('計算A'!DU$117=1,INDEX('計算A'!DV$10:DV$54,$B44),0))*500,0)-IF(AND('計算A'!DT$117=1,YR44&gt;0),300,0)-IF(AND($L44=1,'計算A'!DU$117=1,HT44=0),300,0))),1000000))</f>
        <v/>
      </c>
      <c r="SX44">
        <f>IF($B44=0,1000000,IF(INDEX('計算A'!$D$60:$EQ$104,$B44,123)*HT44=1,IF(AND($E44=2,NI44=0),1000000,IF($I44&gt;0,IF(6=$J44,IF(OR(AND(123=$I44+1,OR($K44&lt;&gt;'計算A'!$A$3,'計算A'!$A$4=0)),AND(123=$I44-1,OR(3&lt;&gt;'計算A'!$A$3,'計算A'!$A$4=0))),0,IF(3=$K44,200000,ABS(3-$K44)*100)),100000+ABS(6-$J44)*1000+30)+'計算A'!DV$5*50+IF(AND($E44=1,NI44=0),25,0),INDEX('計算A'!DV$110:DV$114,$F44+1)+IF(AND($E44=1,NI44=0),1000,0)+IF($H44=1,(IF('計算A'!DU$117=1,INDEX('計算A'!DU$10:DU$54,$B44),0)+IF('計算A'!DV$117=1,INDEX('計算A'!DW$10:DW$54,$B44),0))*500,0)-IF(AND('計算A'!DU$117=1,YS44&gt;0),300,0)-IF(AND($L44=1,'計算A'!DV$117=1,HU44=0),300,0))),1000000))</f>
        <v/>
      </c>
      <c r="SY44">
        <f>IF($B44=0,1000000,IF(INDEX('計算A'!$D$60:$EQ$104,$B44,124)*HU44=1,IF(AND($E44=2,NJ44=0),1000000,IF($I44&gt;0,IF(6=$J44,IF(OR(AND(124=$I44+1,OR($K44&lt;&gt;'計算A'!$A$3,'計算A'!$A$4=0)),AND(124=$I44-1,OR(4&lt;&gt;'計算A'!$A$3,'計算A'!$A$4=0))),0,IF(4=$K44,200000,ABS(4-$K44)*100)),100000+ABS(6-$J44)*1000+40)+'計算A'!DW$5*50+IF(AND($E44=1,NJ44=0),25,0),INDEX('計算A'!DW$110:DW$114,$F44+1)+IF(AND($E44=1,NJ44=0),1000,0)+IF($H44=1,(IF('計算A'!DV$117=1,INDEX('計算A'!DV$10:DV$54,$B44),0)+IF('計算A'!DW$117=1,INDEX('計算A'!DX$10:DX$54,$B44),0))*500,0)-IF(AND('計算A'!DV$117=1,YT44&gt;0),300,0)-IF(AND($L44=1,'計算A'!DW$117=1,HV44=0),300,0))),1000000))</f>
        <v/>
      </c>
      <c r="SZ44">
        <f>IF($B44=0,1000000,IF(INDEX('計算A'!$D$60:$EQ$104,$B44,125)*HV44=1,IF(AND($E44=2,NK44=0),1000000,IF($I44&gt;0,IF(6=$J44,IF(OR(AND(125=$I44+1,OR($K44&lt;&gt;'計算A'!$A$3,'計算A'!$A$4=0)),AND(125=$I44-1,OR(5&lt;&gt;'計算A'!$A$3,'計算A'!$A$4=0))),0,IF(5=$K44,200000,ABS(5-$K44)*100)),100000+ABS(6-$J44)*1000+50)+'計算A'!DX$5*50+IF(AND($E44=1,NK44=0),25,0),INDEX('計算A'!DX$110:DX$114,$F44+1)+IF(AND($E44=1,NK44=0),1000,0)+IF($H44=1,(IF('計算A'!DW$117=1,INDEX('計算A'!DW$10:DW$54,$B44),0)+IF('計算A'!DX$117=1,INDEX('計算A'!DY$10:DY$54,$B44),0))*500,0)-IF(AND('計算A'!DW$117=1,YU44&gt;0),300,0)-IF(AND($L44=1,'計算A'!DX$117=1,HW44=0),300,0))),1000000))</f>
        <v/>
      </c>
      <c r="TA44">
        <f>IF($B44=0,1000000,IF(INDEX('計算A'!$D$60:$EQ$104,$B44,126)*HW44=1,IF(AND($E44=2,NL44=0),1000000,IF($I44&gt;0,IF(6=$J44,IF(OR(AND(126=$I44+1,OR($K44&lt;&gt;'計算A'!$A$3,'計算A'!$A$4=0)),AND(126=$I44-1,OR(6&lt;&gt;'計算A'!$A$3,'計算A'!$A$4=0))),0,IF(6=$K44,200000,ABS(6-$K44)*100)),100000+ABS(6-$J44)*1000+60)+'計算A'!DY$5*50+IF(AND($E44=1,NL44=0),25,0),INDEX('計算A'!DY$110:DY$114,$F44+1)+IF(AND($E44=1,NL44=0),1000,0)+IF($H44=1,(IF('計算A'!DX$117=1,INDEX('計算A'!DX$10:DX$54,$B44),0)+IF('計算A'!DY$117=1,INDEX('計算A'!DZ$10:DZ$54,$B44),0))*500,0)-IF(AND('計算A'!DX$117=1,YV44&gt;0),300,0)-IF(AND($L44=1,'計算A'!DY$117=1,HX44=0),300,0))),1000000))</f>
        <v/>
      </c>
      <c r="TB44">
        <f>IF($B44=0,1000000,IF(INDEX('計算A'!$D$60:$EQ$104,$B44,127)*HX44=1,IF(AND($E44=2,NM44=0),1000000,IF($I44&gt;0,IF(6=$J44,IF(OR(AND(127=$I44+1,OR($K44&lt;&gt;'計算A'!$A$3,'計算A'!$A$4=0)),AND(127=$I44-1,OR(7&lt;&gt;'計算A'!$A$3,'計算A'!$A$4=0))),0,IF(7=$K44,200000,ABS(7-$K44)*100)),100000+ABS(6-$J44)*1000+70)+'計算A'!DZ$5*50+IF(AND($E44=1,NM44=0),25,0),INDEX('計算A'!DZ$110:DZ$114,$F44+1)+IF(AND($E44=1,NM44=0),1000,0)+IF($H44=1,(IF('計算A'!DY$117=1,INDEX('計算A'!DY$10:DY$54,$B44),0)+IF('計算A'!DZ$117=1,INDEX('計算A'!EA$10:EA$54,$B44),0))*500,0)-IF(AND('計算A'!DY$117=1,YW44&gt;0),300,0)-IF(AND($L44=1,'計算A'!DZ$117=1,HY44=0),300,0))),1000000))</f>
        <v/>
      </c>
      <c r="TC44">
        <f>IF($B44=0,1000000,IF(INDEX('計算A'!$D$60:$EQ$104,$B44,128)*HY44=1,IF(AND($E44=2,NN44=0),1000000,IF($I44&gt;0,IF(6=$J44,IF(OR(AND(128=$I44+1,OR($K44&lt;&gt;'計算A'!$A$3,'計算A'!$A$4=0)),AND(128=$I44-1,OR(8&lt;&gt;'計算A'!$A$3,'計算A'!$A$4=0))),0,IF(8=$K44,200000,ABS(8-$K44)*100)),100000+ABS(6-$J44)*1000+80)+'計算A'!EA$5*50+IF(AND($E44=1,NN44=0),25,0),INDEX('計算A'!EA$110:EA$114,$F44+1)+IF(AND($E44=1,NN44=0),1000,0)+IF($H44=1,(IF('計算A'!DZ$117=1,INDEX('計算A'!DZ$10:DZ$54,$B44),0)+IF('計算A'!EA$117=1,INDEX('計算A'!EB$10:EB$54,$B44),0))*500,0)-IF(AND('計算A'!DZ$117=1,YX44&gt;0),300,0)-IF(AND($L44=1,'計算A'!EA$117=1,HZ44=0),300,0))),1000000))</f>
        <v/>
      </c>
      <c r="TD44">
        <f>IF($B44=0,1000000,IF(INDEX('計算A'!$D$60:$EQ$104,$B44,129)*HZ44=1,IF(AND($E44=2,NO44=0),1000000,IF($I44&gt;0,IF(6=$J44,IF(OR(AND(129=$I44+1,OR($K44&lt;&gt;'計算A'!$A$3,'計算A'!$A$4=0)),AND(129=$I44-1,OR(9&lt;&gt;'計算A'!$A$3,'計算A'!$A$4=0))),0,IF(9=$K44,200000,ABS(9-$K44)*100)),100000+ABS(6-$J44)*1000+90)+'計算A'!EB$5*50+IF(AND($E44=1,NO44=0),25,0),INDEX('計算A'!EB$110:EB$114,$F44+1)+IF(AND($E44=1,NO44=0),1000,0)+IF($H44=1,(IF('計算A'!EA$117=1,INDEX('計算A'!EA$10:EA$54,$B44),0)+IF('計算A'!EB$117=1,INDEX('計算A'!EC$10:EC$54,$B44),0))*500,0)-IF(AND('計算A'!EA$117=1,YY44&gt;0),300,0)-IF(AND($L44=1,'計算A'!EB$117=1,IA44=0),300,0))),1000000))</f>
        <v/>
      </c>
      <c r="TE44">
        <f>IF($B44=0,1000000,IF(INDEX('計算A'!$D$60:$EQ$104,$B44,130)*IA44=1,IF(AND($E44=2,NP44=0),1000000,IF($I44&gt;0,IF(6=$J44,IF(OR(AND(130=$I44+1,OR($K44&lt;&gt;'計算A'!$A$3,'計算A'!$A$4=0)),AND(130=$I44-1,OR(10&lt;&gt;'計算A'!$A$3,'計算A'!$A$4=0))),0,IF(10=$K44,200000,ABS(10-$K44)*100)),100000+ABS(6-$J44)*1000+100)+'計算A'!EC$5*50+IF(AND($E44=1,NP44=0),25,0),INDEX('計算A'!EC$110:EC$114,$F44+1)+IF(AND($E44=1,NP44=0),1000,0)+IF($H44=1,(IF('計算A'!EB$117=1,INDEX('計算A'!EB$10:EB$54,$B44),0)+IF('計算A'!EC$117=1,INDEX('計算A'!ED$10:ED$54,$B44),0))*500,0)-IF(AND('計算A'!EB$117=1,YZ44&gt;0),300,0)-IF(AND($L44=1,'計算A'!EC$117=1,IB44=0),300,0))),1000000))</f>
        <v/>
      </c>
      <c r="TF44">
        <f>IF($B44=0,1000000,IF(INDEX('計算A'!$D$60:$EQ$104,$B44,131)*IB44=1,IF(AND($E44=2,NQ44=0),1000000,IF($I44&gt;0,IF(6=$J44,IF(OR(AND(131=$I44+1,OR($K44&lt;&gt;'計算A'!$A$3,'計算A'!$A$4=0)),AND(131=$I44-1,OR(11&lt;&gt;'計算A'!$A$3,'計算A'!$A$4=0))),0,IF(11=$K44,200000,ABS(11-$K44)*100)),100000+ABS(6-$J44)*1000+110)+'計算A'!ED$5*50+IF(AND($E44=1,NQ44=0),25,0),INDEX('計算A'!ED$110:ED$114,$F44+1)+IF(AND($E44=1,NQ44=0),1000,0)+IF($H44=1,(IF('計算A'!EC$117=1,INDEX('計算A'!EC$10:EC$54,$B44),0)+IF('計算A'!ED$117=1,INDEX('計算A'!EE$10:EE$54,$B44),0))*500,0)-IF(AND('計算A'!EC$117=1,ZA44&gt;0),300,0)-IF(AND($L44=1,'計算A'!ED$117=1,IC44=0),300,0))),1000000))</f>
        <v/>
      </c>
      <c r="TG44">
        <f>IF($B44=0,1000000,IF(INDEX('計算A'!$D$60:$EQ$104,$B44,132)*IC44=1,IF(AND($E44=2,NR44=0),1000000,IF($I44&gt;0,IF(6=$J44,IF(OR(AND(132=$I44+1,OR($K44&lt;&gt;'計算A'!$A$3,'計算A'!$A$4=0)),AND(132=$I44-1,OR(12&lt;&gt;'計算A'!$A$3,'計算A'!$A$4=0))),0,IF(12=$K44,200000,ABS(12-$K44)*100)),100000+ABS(6-$J44)*1000+120)+'計算A'!EE$5*50+IF(AND($E44=1,NR44=0),25,0),INDEX('計算A'!EE$110:EE$114,$F44+1)+IF(AND($E44=1,NR44=0),1000,0)+IF($H44=1,(IF('計算A'!ED$117=1,INDEX('計算A'!ED$10:ED$54,$B44),0)+IF('計算A'!EE$117=1,INDEX('計算A'!EF$10:EF$54,$B44),0))*500,0)-IF(AND('計算A'!ED$117=1,ZB44&gt;0),300,0)-IF(AND($L44=1,'計算A'!EE$117=1,ID44=0),300,0))),1000000))</f>
        <v/>
      </c>
      <c r="TH44">
        <f>IF($B44=0,1000000,IF(INDEX('計算A'!$D$60:$EQ$104,$B44,133)*ID44=1,IF(AND($E44=2,NS44=0),1000000,IF($I44&gt;0,IF(6=$J44,IF(OR(AND(133=$I44+1,OR($K44&lt;&gt;'計算A'!$A$3,'計算A'!$A$4=0)),AND(133=$I44-1,OR(13&lt;&gt;'計算A'!$A$3,'計算A'!$A$4=0))),0,IF(13=$K44,200000,ABS(13-$K44)*100)),100000+ABS(6-$J44)*1000+130)+'計算A'!EF$5*50+IF(AND($E44=1,NS44=0),25,0),INDEX('計算A'!EF$110:EF$114,$F44+1)+IF(AND($E44=1,NS44=0),1000,0)+IF($H44=1,(IF('計算A'!EE$117=1,INDEX('計算A'!EE$10:EE$54,$B44),0)+IF('計算A'!EF$117=1,INDEX('計算A'!EG$10:EG$54,$B44),0))*500,0)-IF(AND('計算A'!EE$117=1,ZC44&gt;0),300,0)-IF(AND($L44=1,'計算A'!EF$117=1,IE44=0),300,0))),1000000))</f>
        <v/>
      </c>
      <c r="TI44">
        <f>IF($B44=0,1000000,IF(INDEX('計算A'!$D$60:$EQ$104,$B44,134)*IE44=1,IF(AND($E44=2,NT44=0),1000000,IF($I44&gt;0,IF(6=$J44,IF(OR(AND(134=$I44+1,OR($K44&lt;&gt;'計算A'!$A$3,'計算A'!$A$4=0)),AND(134=$I44-1,OR(14&lt;&gt;'計算A'!$A$3,'計算A'!$A$4=0))),0,IF(14=$K44,200000,ABS(14-$K44)*100)),100000+ABS(6-$J44)*1000+140)+'計算A'!EG$5*50+IF(AND($E44=1,NT44=0),25,0),INDEX('計算A'!EG$110:EG$114,$F44+1)+IF(AND($E44=1,NT44=0),1000,0)+IF($H44=1,(IF('計算A'!EF$117=1,INDEX('計算A'!EF$10:EF$54,$B44),0)+IF('計算A'!EG$117=1,INDEX('計算A'!EH$10:EH$54,$B44),0))*500,0)-IF(AND('計算A'!EF$117=1,ZD44&gt;0),300,0)-IF(AND($L44=1,'計算A'!EG$117=1,IF44=0),300,0))),1000000))</f>
        <v/>
      </c>
      <c r="TJ44">
        <f>IF($B44=0,1000000,IF(INDEX('計算A'!$D$60:$EQ$104,$B44,135)*IF44=1,IF(AND($E44=2,NU44=0),1000000,IF($I44&gt;0,IF(6=$J44,IF(OR(AND(135=$I44+1,OR($K44&lt;&gt;'計算A'!$A$3,'計算A'!$A$4=0)),AND(135=$I44-1,OR(15&lt;&gt;'計算A'!$A$3,'計算A'!$A$4=0))),0,IF(15=$K44,200000,ABS(15-$K44)*100)),100000+ABS(6-$J44)*1000+150)+'計算A'!EH$5*50+IF(AND($E44=1,NU44=0),25,0),INDEX('計算A'!EH$110:EH$114,$F44+1)+IF(AND($E44=1,NU44=0),1000,0)+IF($H44=1,(IF('計算A'!EG$117=1,INDEX('計算A'!EG$10:EG$54,$B44),0)+IF('計算A'!EH$117=1,INDEX('計算A'!EI$10:EI$54,$B44),0))*500,0)-IF(AND('計算A'!EG$117=1,ZE44&gt;0),300,0)-IF(AND($L44=1,'計算A'!EH$117=1,IG44=0),300,0))),1000000))</f>
        <v/>
      </c>
      <c r="TK44">
        <f>IF($B44=0,1000000,IF(INDEX('計算A'!$D$60:$EQ$104,$B44,136)*IG44=1,IF(AND($E44=2,NV44=0),1000000,IF($I44&gt;0,IF(6=$J44,IF(OR(AND(136=$I44+1,OR($K44&lt;&gt;'計算A'!$A$3,'計算A'!$A$4=0)),AND(136=$I44-1,OR(16&lt;&gt;'計算A'!$A$3,'計算A'!$A$4=0))),0,IF(16=$K44,200000,ABS(16-$K44)*100)),100000+ABS(6-$J44)*1000+160)+'計算A'!EI$5*50+IF(AND($E44=1,NV44=0),25,0),INDEX('計算A'!EI$110:EI$114,$F44+1)+IF(AND($E44=1,NV44=0),1000,0)+IF($H44=1,(IF('計算A'!EH$117=1,INDEX('計算A'!EH$10:EH$54,$B44),0)+IF('計算A'!EI$117=1,INDEX('計算A'!EJ$10:EJ$54,$B44),0))*500,0)-IF(AND('計算A'!EH$117=1,ZF44&gt;0),300,0)-IF(AND($L44=1,'計算A'!EI$117=1,IH44=0),300,0))),1000000))</f>
        <v/>
      </c>
      <c r="TL44">
        <f>IF($B44=0,1000000,IF(INDEX('計算A'!$D$60:$EQ$104,$B44,137)*IH44=1,IF(AND($E44=2,NW44=0),1000000,IF($I44&gt;0,IF(6=$J44,IF(OR(AND(137=$I44+1,OR($K44&lt;&gt;'計算A'!$A$3,'計算A'!$A$4=0)),AND(137=$I44-1,OR(17&lt;&gt;'計算A'!$A$3,'計算A'!$A$4=0))),0,IF(17=$K44,200000,ABS(17-$K44)*100)),100000+ABS(6-$J44)*1000+170)+'計算A'!EJ$5*50+IF(AND($E44=1,NW44=0),25,0),INDEX('計算A'!EJ$110:EJ$114,$F44+1)+IF(AND($E44=1,NW44=0),1000,0)+IF($H44=1,(IF('計算A'!EI$117=1,INDEX('計算A'!EI$10:EI$54,$B44),0)+IF('計算A'!EJ$117=1,INDEX('計算A'!EK$10:EK$54,$B44),0))*500,0)-IF(AND('計算A'!EI$117=1,ZG44&gt;0),300,0)-IF(AND($L44=1,'計算A'!EJ$117=1,II44=0),300,0))),1000000))</f>
        <v/>
      </c>
      <c r="TM44">
        <f>IF($B44=0,1000000,IF(INDEX('計算A'!$D$60:$EQ$104,$B44,138)*II44=1,IF(AND($E44=2,NX44=0),1000000,IF($I44&gt;0,IF(6=$J44,IF(OR(AND(138=$I44+1,OR($K44&lt;&gt;'計算A'!$A$3,'計算A'!$A$4=0)),AND(138=$I44-1,OR(18&lt;&gt;'計算A'!$A$3,'計算A'!$A$4=0))),0,IF(18=$K44,200000,ABS(18-$K44)*100)),100000+ABS(6-$J44)*1000+180)+'計算A'!EK$5*50+IF(AND($E44=1,NX44=0),25,0),INDEX('計算A'!EK$110:EK$114,$F44+1)+IF(AND($E44=1,NX44=0),1000,0)+IF($H44=1,(IF('計算A'!EJ$117=1,INDEX('計算A'!EJ$10:EJ$54,$B44),0)+IF('計算A'!EK$117=1,INDEX('計算A'!EL$10:EL$54,$B44),0))*500,0)-IF(AND('計算A'!EJ$117=1,ZH44&gt;0),300,0)-IF(AND($L44=1,'計算A'!EK$117=1,IJ44=0),300,0))),1000000))</f>
        <v/>
      </c>
      <c r="TN44">
        <f>IF($B44=0,1000000,IF(INDEX('計算A'!$D$60:$EQ$104,$B44,139)*IJ44=1,IF(AND($E44=2,NY44=0),1000000,IF($I44&gt;0,IF(6=$J44,IF(OR(AND(139=$I44+1,OR($K44&lt;&gt;'計算A'!$A$3,'計算A'!$A$4=0)),AND(139=$I44-1,OR(19&lt;&gt;'計算A'!$A$3,'計算A'!$A$4=0))),0,IF(19=$K44,200000,ABS(19-$K44)*100)),100000+ABS(6-$J44)*1000+190)+'計算A'!EL$5*50+IF(AND($E44=1,NY44=0),25,0),INDEX('計算A'!EL$110:EL$114,$F44+1)+IF(AND($E44=1,NY44=0),1000,0)+IF($H44=1,(IF('計算A'!EK$117=1,INDEX('計算A'!EK$10:EK$54,$B44),0)+IF('計算A'!EL$117=1,INDEX('計算A'!EM$10:EM$54,$B44),0))*500,0)-IF(AND('計算A'!EK$117=1,ZI44&gt;0),300,0)-IF(AND($L44=1,'計算A'!EL$117=1,IK44=0),300,0))),1000000))</f>
        <v/>
      </c>
      <c r="TO44">
        <f>IF($B44=0,1000000,IF(INDEX('計算A'!$D$60:$EQ$104,$B44,140)*IK44=1,IF(AND($E44=2,NZ44=0),1000000,IF($I44&gt;0,IF(6=$J44,IF(OR(AND(140=$I44+1,OR($K44&lt;&gt;'計算A'!$A$3,'計算A'!$A$4=0)),AND(140=$I44-1,OR(20&lt;&gt;'計算A'!$A$3,'計算A'!$A$4=0))),0,IF(20=$K44,200000,ABS(20-$K44)*100)),100000+ABS(6-$J44)*1000+200)+'計算A'!EM$5*50+IF(AND($E44=1,NZ44=0),25,0),INDEX('計算A'!EM$110:EM$114,$F44+1)+IF(AND($E44=1,NZ44=0),1000,0)+IF($H44=1,(IF('計算A'!EL$117=1,INDEX('計算A'!EL$10:EL$54,$B44),0)+IF('計算A'!EM$117=1,INDEX('計算A'!EN$10:EN$54,$B44),0))*500,0)-IF(AND('計算A'!EL$117=1,ZJ44&gt;0),300,0)-IF(AND($L44=1,'計算A'!EM$117=1,IL44=0),300,0))),1000000))</f>
        <v/>
      </c>
      <c r="TP44">
        <f>IF($B44=0,1000000,IF(INDEX('計算A'!$D$60:$EQ$104,$B44,141)*IL44=1,IF(AND($E44=2,OA44=0),1000000,IF($I44&gt;0,IF(6=$J44,IF(OR(AND(141=$I44+1,OR($K44&lt;&gt;'計算A'!$A$3,'計算A'!$A$4=0)),AND(141=$I44-1,OR(21&lt;&gt;'計算A'!$A$3,'計算A'!$A$4=0))),0,IF(21=$K44,200000,ABS(21-$K44)*100)),100000+ABS(6-$J44)*1000+210)+'計算A'!EN$5*50+IF(AND($E44=1,OA44=0),25,0),INDEX('計算A'!EN$110:EN$114,$F44+1)+IF(AND($E44=1,OA44=0),1000,0)+IF($H44=1,(IF('計算A'!EM$117=1,INDEX('計算A'!EM$10:EM$54,$B44),0)+IF('計算A'!EN$117=1,INDEX('計算A'!EO$10:EO$54,$B44),0))*500,0)-IF(AND('計算A'!EM$117=1,ZK44&gt;0),300,0)-IF(AND($L44=1,'計算A'!EN$117=1,IM44=0),300,0))),1000000))</f>
        <v/>
      </c>
      <c r="TQ44">
        <f>IF($B44=0,1000000,IF(INDEX('計算A'!$D$60:$EQ$104,$B44,142)*IM44=1,IF(AND($E44=2,OB44=0),1000000,IF($I44&gt;0,IF(6=$J44,IF(OR(AND(142=$I44+1,OR($K44&lt;&gt;'計算A'!$A$3,'計算A'!$A$4=0)),AND(142=$I44-1,OR(22&lt;&gt;'計算A'!$A$3,'計算A'!$A$4=0))),0,IF(22=$K44,200000,ABS(22-$K44)*100)),100000+ABS(6-$J44)*1000+220)+'計算A'!EO$5*50+IF(AND($E44=1,OB44=0),25,0),INDEX('計算A'!EO$110:EO$114,$F44+1)+IF(AND($E44=1,OB44=0),1000,0)+IF($H44=1,(IF('計算A'!EN$117=1,INDEX('計算A'!EN$10:EN$54,$B44),0)+IF('計算A'!EO$117=1,INDEX('計算A'!EP$10:EP$54,$B44),0))*500,0)-IF(AND('計算A'!EN$117=1,ZL44&gt;0),300,0)-IF(AND($L44=1,'計算A'!EO$117=1,IN44=0),300,0))),1000000))</f>
        <v/>
      </c>
      <c r="TR44">
        <f>IF($B44=0,1000000,IF(INDEX('計算A'!$D$60:$EQ$104,$B44,143)*IN44=1,IF(AND($E44=2,OC44=0),1000000,IF($I44&gt;0,IF(6=$J44,IF(OR(AND(143=$I44+1,OR($K44&lt;&gt;'計算A'!$A$3,'計算A'!$A$4=0)),AND(143=$I44-1,OR(23&lt;&gt;'計算A'!$A$3,'計算A'!$A$4=0))),0,IF(23=$K44,200000,ABS(23-$K44)*100)),100000+ABS(6-$J44)*1000+230)+'計算A'!EP$5*50+IF(AND($E44=1,OC44=0),25,0),INDEX('計算A'!EP$110:EP$114,$F44+1)+IF(AND($E44=1,OC44=0),1000,0)+IF($H44=1,(IF('計算A'!EO$117=1,INDEX('計算A'!EO$10:EO$54,$B44),0)+IF('計算A'!EP$117=1,INDEX('計算A'!EQ$10:EQ$54,$B44),0))*500,0)-IF(AND('計算A'!EO$117=1,ZM44&gt;0),300,0)-IF(AND($L44=1,'計算A'!EP$117=1,IO44=0),300,0))),1000000))</f>
        <v/>
      </c>
      <c r="TS44">
        <f>IF($B44=0,1000000,IF(INDEX('計算A'!$D$60:$EQ$104,$B44,144)*IO44=1,IF(AND($E44=2,OD44=0),1000000,IF($I44&gt;0,IF(6=$J44,IF(OR(AND(144=$I44+1,OR($K44&lt;&gt;'計算A'!$A$3,'計算A'!$A$4=0)),AND(144=$I44-1,OR(24&lt;&gt;'計算A'!$A$3,'計算A'!$A$4=0))),0,IF(24=$K44,200000,ABS(24-$K44)*100)),100000+ABS(6-$J44)*1000+240)+'計算A'!EQ$5*50+IF(AND($E44=1,OD44=0),25,0),INDEX('計算A'!EQ$110:EQ$114,$F44+1)+IF(AND($E44=1,OD44=0),1000,0)+IF($H44=1,(IF('計算A'!EP$117=1,INDEX('計算A'!EP$10:EP$54,$B44),0))*500,0)-IF(AND('計算A'!EP$117=1,ZN44&gt;0),300,0))),1000000))</f>
        <v/>
      </c>
      <c r="UB44">
        <f>UB43+IF(AND($C43=1,$L43=1),1,0)</f>
        <v/>
      </c>
      <c r="UC44">
        <f>UC43+IF(AND($C43=2,$L43=1),1,0)</f>
        <v/>
      </c>
      <c r="UD44">
        <f>UD43+IF(AND($C43=3,$L43=1),1,0)</f>
        <v/>
      </c>
      <c r="UE44">
        <f>UE43+IF(AND($C43=4,$L43=1),1,0)</f>
        <v/>
      </c>
      <c r="UF44">
        <f>UF43+IF(AND($C43=5,$L43=1),1,0)</f>
        <v/>
      </c>
      <c r="UG44">
        <f>UG43+IF(AND($C43=6,$L43=1),1,0)</f>
        <v/>
      </c>
      <c r="UH44">
        <f>UH43+IF(AND($C43=7,$L43=1),1,0)</f>
        <v/>
      </c>
      <c r="UI44">
        <f>UI43+IF(AND($C43=8,$L43=1),1,0)</f>
        <v/>
      </c>
      <c r="UJ44">
        <f>UJ43+IF(AND($C43=9,$L43=1),1,0)</f>
        <v/>
      </c>
      <c r="UK44">
        <f>UK43+IF(AND($C43=10,$L43=1),1,0)</f>
        <v/>
      </c>
      <c r="UL44">
        <f>UL43+IF(AND($C43=11,$L43=1),1,0)</f>
        <v/>
      </c>
      <c r="UM44">
        <f>UM43+IF(AND($C43=12,$L43=1),1,0)</f>
        <v/>
      </c>
      <c r="UN44">
        <f>UN43+IF(AND($C43=13,$L43=1),1,0)</f>
        <v/>
      </c>
      <c r="UO44">
        <f>UO43+IF(AND($C43=14,$L43=1),1,0)</f>
        <v/>
      </c>
      <c r="UP44">
        <f>UP43+IF(AND($C43=15,$L43=1),1,0)</f>
        <v/>
      </c>
      <c r="UQ44">
        <f>UQ43+IF(AND($C43=16,$L43=1),1,0)</f>
        <v/>
      </c>
      <c r="UR44">
        <f>UR43+IF(AND($C43=17,$L43=1),1,0)</f>
        <v/>
      </c>
      <c r="US44">
        <f>US43+IF(AND($C43=18,$L43=1),1,0)</f>
        <v/>
      </c>
      <c r="UT44">
        <f>UT43+IF(AND($C43=19,$L43=1),1,0)</f>
        <v/>
      </c>
      <c r="UU44">
        <f>UU43+IF(AND($C43=20,$L43=1),1,0)</f>
        <v/>
      </c>
      <c r="UV44">
        <f>UV43+IF(AND($C43=21,$L43=1),1,0)</f>
        <v/>
      </c>
      <c r="UW44">
        <f>UW43+IF(AND($C43=22,$L43=1),1,0)</f>
        <v/>
      </c>
      <c r="UX44">
        <f>UX43+IF(AND($C43=23,$L43=1),1,0)</f>
        <v/>
      </c>
      <c r="UY44">
        <f>UY43+IF(AND($C43=24,$L43=1),1,0)</f>
        <v/>
      </c>
      <c r="UZ44">
        <f>UZ43+IF(AND($C43=25,$L43=1),1,0)</f>
        <v/>
      </c>
      <c r="VA44">
        <f>VA43+IF(AND($C43=26,$L43=1),1,0)</f>
        <v/>
      </c>
      <c r="VB44">
        <f>VB43+IF(AND($C43=27,$L43=1),1,0)</f>
        <v/>
      </c>
      <c r="VC44">
        <f>VC43+IF(AND($C43=28,$L43=1),1,0)</f>
        <v/>
      </c>
      <c r="VD44">
        <f>VD43+IF(AND($C43=29,$L43=1),1,0)</f>
        <v/>
      </c>
      <c r="VE44">
        <f>VE43+IF(AND($C43=30,$L43=1),1,0)</f>
        <v/>
      </c>
      <c r="VF44">
        <f>VF43+IF(AND($C43=31,$L43=1),1,0)</f>
        <v/>
      </c>
      <c r="VG44">
        <f>VG43+IF(AND($C43=32,$L43=1),1,0)</f>
        <v/>
      </c>
      <c r="VH44">
        <f>VH43+IF(AND($C43=33,$L43=1),1,0)</f>
        <v/>
      </c>
      <c r="VI44">
        <f>VI43+IF(AND($C43=34,$L43=1),1,0)</f>
        <v/>
      </c>
      <c r="VJ44">
        <f>VJ43+IF(AND($C43=35,$L43=1),1,0)</f>
        <v/>
      </c>
      <c r="VK44">
        <f>VK43+IF(AND($C43=36,$L43=1),1,0)</f>
        <v/>
      </c>
      <c r="VL44">
        <f>VL43+IF(AND($C43=37,$L43=1),1,0)</f>
        <v/>
      </c>
      <c r="VM44">
        <f>VM43+IF(AND($C43=38,$L43=1),1,0)</f>
        <v/>
      </c>
      <c r="VN44">
        <f>VN43+IF(AND($C43=39,$L43=1),1,0)</f>
        <v/>
      </c>
      <c r="VO44">
        <f>VO43+IF(AND($C43=40,$L43=1),1,0)</f>
        <v/>
      </c>
      <c r="VP44">
        <f>VP43+IF(AND($C43=41,$L43=1),1,0)</f>
        <v/>
      </c>
      <c r="VQ44">
        <f>VQ43+IF(AND($C43=42,$L43=1),1,0)</f>
        <v/>
      </c>
      <c r="VR44">
        <f>VR43+IF(AND($C43=43,$L43=1),1,0)</f>
        <v/>
      </c>
      <c r="VS44">
        <f>VS43+IF(AND($C43=44,$L43=1),1,0)</f>
        <v/>
      </c>
      <c r="VT44">
        <f>VT43+IF(AND($C43=45,$L43=1),1,0)</f>
        <v/>
      </c>
      <c r="VU44">
        <f>VU43+IF(AND($C43=46,$L43=1),1,0)</f>
        <v/>
      </c>
      <c r="VV44">
        <f>VV43+IF(AND($C43=47,$L43=1),1,0)</f>
        <v/>
      </c>
      <c r="VW44">
        <f>VW43+IF(AND($C43=48,$L43=1),1,0)</f>
        <v/>
      </c>
      <c r="VX44">
        <f>VX43+IF(AND($C43=49,$L43=1),1,0)</f>
        <v/>
      </c>
      <c r="VY44">
        <f>VY43+IF(AND($C43=50,$L43=1),1,0)</f>
        <v/>
      </c>
      <c r="VZ44">
        <f>VZ43+IF(AND($C43=51,$L43=1),1,0)</f>
        <v/>
      </c>
      <c r="WA44">
        <f>WA43+IF(AND($C43=52,$L43=1),1,0)</f>
        <v/>
      </c>
      <c r="WB44">
        <f>WB43+IF(AND($C43=53,$L43=1),1,0)</f>
        <v/>
      </c>
      <c r="WC44">
        <f>WC43+IF(AND($C43=54,$L43=1),1,0)</f>
        <v/>
      </c>
      <c r="WD44">
        <f>WD43+IF(AND($C43=55,$L43=1),1,0)</f>
        <v/>
      </c>
      <c r="WE44">
        <f>WE43+IF(AND($C43=56,$L43=1),1,0)</f>
        <v/>
      </c>
      <c r="WF44">
        <f>WF43+IF(AND($C43=57,$L43=1),1,0)</f>
        <v/>
      </c>
      <c r="WG44">
        <f>WG43+IF(AND($C43=58,$L43=1),1,0)</f>
        <v/>
      </c>
      <c r="WH44">
        <f>WH43+IF(AND($C43=59,$L43=1),1,0)</f>
        <v/>
      </c>
      <c r="WI44">
        <f>WI43+IF(AND($C43=60,$L43=1),1,0)</f>
        <v/>
      </c>
      <c r="WJ44">
        <f>WJ43+IF(AND($C43=61,$L43=1),1,0)</f>
        <v/>
      </c>
      <c r="WK44">
        <f>WK43+IF(AND($C43=62,$L43=1),1,0)</f>
        <v/>
      </c>
      <c r="WL44">
        <f>WL43+IF(AND($C43=63,$L43=1),1,0)</f>
        <v/>
      </c>
      <c r="WM44">
        <f>WM43+IF(AND($C43=64,$L43=1),1,0)</f>
        <v/>
      </c>
      <c r="WN44">
        <f>WN43+IF(AND($C43=65,$L43=1),1,0)</f>
        <v/>
      </c>
      <c r="WO44">
        <f>WO43+IF(AND($C43=66,$L43=1),1,0)</f>
        <v/>
      </c>
      <c r="WP44">
        <f>WP43+IF(AND($C43=67,$L43=1),1,0)</f>
        <v/>
      </c>
      <c r="WQ44">
        <f>WQ43+IF(AND($C43=68,$L43=1),1,0)</f>
        <v/>
      </c>
      <c r="WR44">
        <f>WR43+IF(AND($C43=69,$L43=1),1,0)</f>
        <v/>
      </c>
      <c r="WS44">
        <f>WS43+IF(AND($C43=70,$L43=1),1,0)</f>
        <v/>
      </c>
      <c r="WT44">
        <f>WT43+IF(AND($C43=71,$L43=1),1,0)</f>
        <v/>
      </c>
      <c r="WU44">
        <f>WU43+IF(AND($C43=72,$L43=1),1,0)</f>
        <v/>
      </c>
      <c r="WV44">
        <f>WV43+IF(AND($C43=73,$L43=1),1,0)</f>
        <v/>
      </c>
      <c r="WW44">
        <f>WW43+IF(AND($C43=74,$L43=1),1,0)</f>
        <v/>
      </c>
      <c r="WX44">
        <f>WX43+IF(AND($C43=75,$L43=1),1,0)</f>
        <v/>
      </c>
      <c r="WY44">
        <f>WY43+IF(AND($C43=76,$L43=1),1,0)</f>
        <v/>
      </c>
      <c r="WZ44">
        <f>WZ43+IF(AND($C43=77,$L43=1),1,0)</f>
        <v/>
      </c>
      <c r="XA44">
        <f>XA43+IF(AND($C43=78,$L43=1),1,0)</f>
        <v/>
      </c>
      <c r="XB44">
        <f>XB43+IF(AND($C43=79,$L43=1),1,0)</f>
        <v/>
      </c>
      <c r="XC44">
        <f>XC43+IF(AND($C43=80,$L43=1),1,0)</f>
        <v/>
      </c>
      <c r="XD44">
        <f>XD43+IF(AND($C43=81,$L43=1),1,0)</f>
        <v/>
      </c>
      <c r="XE44">
        <f>XE43+IF(AND($C43=82,$L43=1),1,0)</f>
        <v/>
      </c>
      <c r="XF44">
        <f>XF43+IF(AND($C43=83,$L43=1),1,0)</f>
        <v/>
      </c>
      <c r="XG44">
        <f>XG43+IF(AND($C43=84,$L43=1),1,0)</f>
        <v/>
      </c>
      <c r="XH44">
        <f>XH43+IF(AND($C43=85,$L43=1),1,0)</f>
        <v/>
      </c>
      <c r="XI44">
        <f>XI43+IF(AND($C43=86,$L43=1),1,0)</f>
        <v/>
      </c>
      <c r="XJ44">
        <f>XJ43+IF(AND($C43=87,$L43=1),1,0)</f>
        <v/>
      </c>
      <c r="XK44">
        <f>XK43+IF(AND($C43=88,$L43=1),1,0)</f>
        <v/>
      </c>
      <c r="XL44">
        <f>XL43+IF(AND($C43=89,$L43=1),1,0)</f>
        <v/>
      </c>
      <c r="XM44">
        <f>XM43+IF(AND($C43=90,$L43=1),1,0)</f>
        <v/>
      </c>
      <c r="XN44">
        <f>XN43+IF(AND($C43=91,$L43=1),1,0)</f>
        <v/>
      </c>
      <c r="XO44">
        <f>XO43+IF(AND($C43=92,$L43=1),1,0)</f>
        <v/>
      </c>
      <c r="XP44">
        <f>XP43+IF(AND($C43=93,$L43=1),1,0)</f>
        <v/>
      </c>
      <c r="XQ44">
        <f>XQ43+IF(AND($C43=94,$L43=1),1,0)</f>
        <v/>
      </c>
      <c r="XR44">
        <f>XR43+IF(AND($C43=95,$L43=1),1,0)</f>
        <v/>
      </c>
      <c r="XS44">
        <f>XS43+IF(AND($C43=96,$L43=1),1,0)</f>
        <v/>
      </c>
      <c r="XT44">
        <f>XT43+IF(AND($C43=97,$L43=1),1,0)</f>
        <v/>
      </c>
      <c r="XU44">
        <f>XU43+IF(AND($C43=98,$L43=1),1,0)</f>
        <v/>
      </c>
      <c r="XV44">
        <f>XV43+IF(AND($C43=99,$L43=1),1,0)</f>
        <v/>
      </c>
      <c r="XW44">
        <f>XW43+IF(AND($C43=100,$L43=1),1,0)</f>
        <v/>
      </c>
      <c r="XX44">
        <f>XX43+IF(AND($C43=101,$L43=1),1,0)</f>
        <v/>
      </c>
      <c r="XY44">
        <f>XY43+IF(AND($C43=102,$L43=1),1,0)</f>
        <v/>
      </c>
      <c r="XZ44">
        <f>XZ43+IF(AND($C43=103,$L43=1),1,0)</f>
        <v/>
      </c>
      <c r="YA44">
        <f>YA43+IF(AND($C43=104,$L43=1),1,0)</f>
        <v/>
      </c>
      <c r="YB44">
        <f>YB43+IF(AND($C43=105,$L43=1),1,0)</f>
        <v/>
      </c>
      <c r="YC44">
        <f>YC43+IF(AND($C43=106,$L43=1),1,0)</f>
        <v/>
      </c>
      <c r="YD44">
        <f>YD43+IF(AND($C43=107,$L43=1),1,0)</f>
        <v/>
      </c>
      <c r="YE44">
        <f>YE43+IF(AND($C43=108,$L43=1),1,0)</f>
        <v/>
      </c>
      <c r="YF44">
        <f>YF43+IF(AND($C43=109,$L43=1),1,0)</f>
        <v/>
      </c>
      <c r="YG44">
        <f>YG43+IF(AND($C43=110,$L43=1),1,0)</f>
        <v/>
      </c>
      <c r="YH44">
        <f>YH43+IF(AND($C43=111,$L43=1),1,0)</f>
        <v/>
      </c>
      <c r="YI44">
        <f>YI43+IF(AND($C43=112,$L43=1),1,0)</f>
        <v/>
      </c>
      <c r="YJ44">
        <f>YJ43+IF(AND($C43=113,$L43=1),1,0)</f>
        <v/>
      </c>
      <c r="YK44">
        <f>YK43+IF(AND($C43=114,$L43=1),1,0)</f>
        <v/>
      </c>
      <c r="YL44">
        <f>YL43+IF(AND($C43=115,$L43=1),1,0)</f>
        <v/>
      </c>
      <c r="YM44">
        <f>YM43+IF(AND($C43=116,$L43=1),1,0)</f>
        <v/>
      </c>
      <c r="YN44">
        <f>YN43+IF(AND($C43=117,$L43=1),1,0)</f>
        <v/>
      </c>
      <c r="YO44">
        <f>YO43+IF(AND($C43=118,$L43=1),1,0)</f>
        <v/>
      </c>
      <c r="YP44">
        <f>YP43+IF(AND($C43=119,$L43=1),1,0)</f>
        <v/>
      </c>
      <c r="YQ44">
        <f>YQ43+IF(AND($C43=120,$L43=1),1,0)</f>
        <v/>
      </c>
      <c r="YR44">
        <f>YR43+IF(AND($C43=121,$L43=1),1,0)</f>
        <v/>
      </c>
      <c r="YS44">
        <f>YS43+IF(AND($C43=122,$L43=1),1,0)</f>
        <v/>
      </c>
      <c r="YT44">
        <f>YT43+IF(AND($C43=123,$L43=1),1,0)</f>
        <v/>
      </c>
      <c r="YU44">
        <f>YU43+IF(AND($C43=124,$L43=1),1,0)</f>
        <v/>
      </c>
      <c r="YV44">
        <f>YV43+IF(AND($C43=125,$L43=1),1,0)</f>
        <v/>
      </c>
      <c r="YW44">
        <f>YW43+IF(AND($C43=126,$L43=1),1,0)</f>
        <v/>
      </c>
      <c r="YX44">
        <f>YX43+IF(AND($C43=127,$L43=1),1,0)</f>
        <v/>
      </c>
      <c r="YY44">
        <f>YY43+IF(AND($C43=128,$L43=1),1,0)</f>
        <v/>
      </c>
      <c r="YZ44">
        <f>YZ43+IF(AND($C43=129,$L43=1),1,0)</f>
        <v/>
      </c>
      <c r="ZA44">
        <f>ZA43+IF(AND($C43=130,$L43=1),1,0)</f>
        <v/>
      </c>
      <c r="ZB44">
        <f>ZB43+IF(AND($C43=131,$L43=1),1,0)</f>
        <v/>
      </c>
      <c r="ZC44">
        <f>ZC43+IF(AND($C43=132,$L43=1),1,0)</f>
        <v/>
      </c>
      <c r="ZD44">
        <f>ZD43+IF(AND($C43=133,$L43=1),1,0)</f>
        <v/>
      </c>
      <c r="ZE44">
        <f>ZE43+IF(AND($C43=134,$L43=1),1,0)</f>
        <v/>
      </c>
      <c r="ZF44">
        <f>ZF43+IF(AND($C43=135,$L43=1),1,0)</f>
        <v/>
      </c>
      <c r="ZG44">
        <f>ZG43+IF(AND($C43=136,$L43=1),1,0)</f>
        <v/>
      </c>
      <c r="ZH44">
        <f>ZH43+IF(AND($C43=137,$L43=1),1,0)</f>
        <v/>
      </c>
      <c r="ZI44">
        <f>ZI43+IF(AND($C43=138,$L43=1),1,0)</f>
        <v/>
      </c>
      <c r="ZJ44">
        <f>ZJ43+IF(AND($C43=139,$L43=1),1,0)</f>
        <v/>
      </c>
      <c r="ZK44">
        <f>ZK43+IF(AND($C43=140,$L43=1),1,0)</f>
        <v/>
      </c>
      <c r="ZL44">
        <f>ZL43+IF(AND($C43=141,$L43=1),1,0)</f>
        <v/>
      </c>
      <c r="ZM44">
        <f>ZM43+IF(AND($C43=142,$L43=1),1,0)</f>
        <v/>
      </c>
      <c r="ZN44">
        <f>ZN43+IF(AND($C43=143,$L43=1),1,0)</f>
        <v/>
      </c>
      <c r="ZO44">
        <f>ZO43+IF(AND($C43=144,$L43=1),1,0)</f>
        <v/>
      </c>
    </row>
    <row r="45">
      <c r="A45" t="n">
        <v>43</v>
      </c>
      <c r="B45">
        <f>IF(MIN(BH45:CZ45)&gt;=1000000,0,MATCH(MIN(BH45:CZ45),BH45:CZ45,0))</f>
        <v/>
      </c>
      <c r="C45">
        <f>IF(MIN(OF45:TS45)&gt;=1000000,0,MATCH(MIN(OF45:TS45),OF45:TS45,0))</f>
        <v/>
      </c>
      <c r="D45">
        <f>IF(C45&gt;0,INDEX('計算A'!$D$5:$EQ$5,C45),0)</f>
        <v/>
      </c>
      <c r="E45">
        <f>IF(B45=0,0,INDEX('計算A'!$IQ$10:$IQ$54,B45))</f>
        <v/>
      </c>
      <c r="F45">
        <f>IF(B45=0,0,INDEX('計算A'!$IP$10:$IP$54,B45))</f>
        <v/>
      </c>
      <c r="G45">
        <f>IF(AND(C45&gt;0,E45&gt;0),IF(AND(INDEX('計算A'!$D$106:$EQ$106,C45)=1,INDEX($IQ45:$OD45,C45)=1),C45+1,0),0)</f>
        <v/>
      </c>
      <c r="H45">
        <f>IF(B45=0,0,INDEX('計算A'!$IW$10:$IW$54,B45))</f>
        <v/>
      </c>
      <c r="I45">
        <f>IF(B45=0,0,MAX(0,INDEX('計算A'!$IT$10:$IT$54,B45)))</f>
        <v/>
      </c>
      <c r="J45">
        <f>IF(I45=0,0,INDEX('計算A'!$D$2:$EQ$2,I45))</f>
        <v/>
      </c>
      <c r="K45">
        <f>IF(I45=0,0,INDEX('計算A'!$D$3:$EQ$3,I45))</f>
        <v/>
      </c>
      <c r="L45">
        <f>IF(B45=0,0,INDEX('計算A'!$IX$10:$IX$54,B45))</f>
        <v/>
      </c>
      <c r="N45">
        <f>MAX(N44,IF($B44=1,1,0))</f>
        <v/>
      </c>
      <c r="O45">
        <f>MAX(O44,IF($B44=2,1,0))</f>
        <v/>
      </c>
      <c r="P45">
        <f>MAX(P44,IF($B44=3,1,0))</f>
        <v/>
      </c>
      <c r="Q45">
        <f>MAX(Q44,IF($B44=4,1,0))</f>
        <v/>
      </c>
      <c r="R45">
        <f>MAX(R44,IF($B44=5,1,0))</f>
        <v/>
      </c>
      <c r="S45">
        <f>MAX(S44,IF($B44=6,1,0))</f>
        <v/>
      </c>
      <c r="T45">
        <f>MAX(T44,IF($B44=7,1,0))</f>
        <v/>
      </c>
      <c r="U45">
        <f>MAX(U44,IF($B44=8,1,0))</f>
        <v/>
      </c>
      <c r="V45">
        <f>MAX(V44,IF($B44=9,1,0))</f>
        <v/>
      </c>
      <c r="W45">
        <f>MAX(W44,IF($B44=10,1,0))</f>
        <v/>
      </c>
      <c r="X45">
        <f>MAX(X44,IF($B44=11,1,0))</f>
        <v/>
      </c>
      <c r="Y45">
        <f>MAX(Y44,IF($B44=12,1,0))</f>
        <v/>
      </c>
      <c r="Z45">
        <f>MAX(Z44,IF($B44=13,1,0))</f>
        <v/>
      </c>
      <c r="AA45">
        <f>MAX(AA44,IF($B44=14,1,0))</f>
        <v/>
      </c>
      <c r="AB45">
        <f>MAX(AB44,IF($B44=15,1,0))</f>
        <v/>
      </c>
      <c r="AC45">
        <f>MAX(AC44,IF($B44=16,1,0))</f>
        <v/>
      </c>
      <c r="AD45">
        <f>MAX(AD44,IF($B44=17,1,0))</f>
        <v/>
      </c>
      <c r="AE45">
        <f>MAX(AE44,IF($B44=18,1,0))</f>
        <v/>
      </c>
      <c r="AF45">
        <f>MAX(AF44,IF($B44=19,1,0))</f>
        <v/>
      </c>
      <c r="AG45">
        <f>MAX(AG44,IF($B44=20,1,0))</f>
        <v/>
      </c>
      <c r="AH45">
        <f>MAX(AH44,IF($B44=21,1,0))</f>
        <v/>
      </c>
      <c r="AI45">
        <f>MAX(AI44,IF($B44=22,1,0))</f>
        <v/>
      </c>
      <c r="AJ45">
        <f>MAX(AJ44,IF($B44=23,1,0))</f>
        <v/>
      </c>
      <c r="AK45">
        <f>MAX(AK44,IF($B44=24,1,0))</f>
        <v/>
      </c>
      <c r="AL45">
        <f>MAX(AL44,IF($B44=25,1,0))</f>
        <v/>
      </c>
      <c r="AM45">
        <f>MAX(AM44,IF($B44=26,1,0))</f>
        <v/>
      </c>
      <c r="AN45">
        <f>MAX(AN44,IF($B44=27,1,0))</f>
        <v/>
      </c>
      <c r="AO45">
        <f>MAX(AO44,IF($B44=28,1,0))</f>
        <v/>
      </c>
      <c r="AP45">
        <f>MAX(AP44,IF($B44=29,1,0))</f>
        <v/>
      </c>
      <c r="AQ45">
        <f>MAX(AQ44,IF($B44=30,1,0))</f>
        <v/>
      </c>
      <c r="AR45">
        <f>MAX(AR44,IF($B44=31,1,0))</f>
        <v/>
      </c>
      <c r="AS45">
        <f>MAX(AS44,IF($B44=32,1,0))</f>
        <v/>
      </c>
      <c r="AT45">
        <f>MAX(AT44,IF($B44=33,1,0))</f>
        <v/>
      </c>
      <c r="AU45">
        <f>MAX(AU44,IF($B44=34,1,0))</f>
        <v/>
      </c>
      <c r="AV45">
        <f>MAX(AV44,IF($B44=35,1,0))</f>
        <v/>
      </c>
      <c r="AW45">
        <f>MAX(AW44,IF($B44=36,1,0))</f>
        <v/>
      </c>
      <c r="AX45">
        <f>MAX(AX44,IF($B44=37,1,0))</f>
        <v/>
      </c>
      <c r="AY45">
        <f>MAX(AY44,IF($B44=38,1,0))</f>
        <v/>
      </c>
      <c r="AZ45">
        <f>MAX(AZ44,IF($B44=39,1,0))</f>
        <v/>
      </c>
      <c r="BA45">
        <f>MAX(BA44,IF($B44=40,1,0))</f>
        <v/>
      </c>
      <c r="BB45">
        <f>MAX(BB44,IF($B44=41,1,0))</f>
        <v/>
      </c>
      <c r="BC45">
        <f>MAX(BC44,IF($B44=42,1,0))</f>
        <v/>
      </c>
      <c r="BD45">
        <f>MAX(BD44,IF($B44=43,1,0))</f>
        <v/>
      </c>
      <c r="BE45">
        <f>MAX(BE44,IF($B44=44,1,0))</f>
        <v/>
      </c>
      <c r="BF45">
        <f>MAX(BF44,IF($B44=45,1,0))</f>
        <v/>
      </c>
      <c r="BH45">
        <f>IF(N45=1,1000000,IF('計算A'!$IT$10&gt;0,0,500000)+IF('計算A'!$IQ$10=2,SUMPRODUCT('計算A'!$D$60:$EQ$60,$DB45:$IO45,$IQ45:$OD45),SUMPRODUCT('計算A'!$D$60:$EQ$60,$DB45:$IO45))*1000+1)</f>
        <v/>
      </c>
      <c r="BI45">
        <f>IF(O45=1,1000000,IF('計算A'!$IT$11&gt;0,0,500000)+IF('計算A'!$IQ$11=2,SUMPRODUCT('計算A'!$D$61:$EQ$61,$DB45:$IO45,$IQ45:$OD45),SUMPRODUCT('計算A'!$D$61:$EQ$61,$DB45:$IO45))*1000+2)</f>
        <v/>
      </c>
      <c r="BJ45">
        <f>IF(P45=1,1000000,IF('計算A'!$IT$12&gt;0,0,500000)+IF('計算A'!$IQ$12=2,SUMPRODUCT('計算A'!$D$62:$EQ$62,$DB45:$IO45,$IQ45:$OD45),SUMPRODUCT('計算A'!$D$62:$EQ$62,$DB45:$IO45))*1000+3)</f>
        <v/>
      </c>
      <c r="BK45">
        <f>IF(Q45=1,1000000,IF('計算A'!$IT$13&gt;0,0,500000)+IF('計算A'!$IQ$13=2,SUMPRODUCT('計算A'!$D$63:$EQ$63,$DB45:$IO45,$IQ45:$OD45),SUMPRODUCT('計算A'!$D$63:$EQ$63,$DB45:$IO45))*1000+4)</f>
        <v/>
      </c>
      <c r="BL45">
        <f>IF(R45=1,1000000,IF('計算A'!$IT$14&gt;0,0,500000)+IF('計算A'!$IQ$14=2,SUMPRODUCT('計算A'!$D$64:$EQ$64,$DB45:$IO45,$IQ45:$OD45),SUMPRODUCT('計算A'!$D$64:$EQ$64,$DB45:$IO45))*1000+5)</f>
        <v/>
      </c>
      <c r="BM45">
        <f>IF(S45=1,1000000,IF('計算A'!$IT$15&gt;0,0,500000)+IF('計算A'!$IQ$15=2,SUMPRODUCT('計算A'!$D$65:$EQ$65,$DB45:$IO45,$IQ45:$OD45),SUMPRODUCT('計算A'!$D$65:$EQ$65,$DB45:$IO45))*1000+6)</f>
        <v/>
      </c>
      <c r="BN45">
        <f>IF(T45=1,1000000,IF('計算A'!$IT$16&gt;0,0,500000)+IF('計算A'!$IQ$16=2,SUMPRODUCT('計算A'!$D$66:$EQ$66,$DB45:$IO45,$IQ45:$OD45),SUMPRODUCT('計算A'!$D$66:$EQ$66,$DB45:$IO45))*1000+7)</f>
        <v/>
      </c>
      <c r="BO45">
        <f>IF(U45=1,1000000,IF('計算A'!$IT$17&gt;0,0,500000)+IF('計算A'!$IQ$17=2,SUMPRODUCT('計算A'!$D$67:$EQ$67,$DB45:$IO45,$IQ45:$OD45),SUMPRODUCT('計算A'!$D$67:$EQ$67,$DB45:$IO45))*1000+8)</f>
        <v/>
      </c>
      <c r="BP45">
        <f>IF(V45=1,1000000,IF('計算A'!$IT$18&gt;0,0,500000)+IF('計算A'!$IQ$18=2,SUMPRODUCT('計算A'!$D$68:$EQ$68,$DB45:$IO45,$IQ45:$OD45),SUMPRODUCT('計算A'!$D$68:$EQ$68,$DB45:$IO45))*1000+9)</f>
        <v/>
      </c>
      <c r="BQ45">
        <f>IF(W45=1,1000000,IF('計算A'!$IT$19&gt;0,0,500000)+IF('計算A'!$IQ$19=2,SUMPRODUCT('計算A'!$D$69:$EQ$69,$DB45:$IO45,$IQ45:$OD45),SUMPRODUCT('計算A'!$D$69:$EQ$69,$DB45:$IO45))*1000+10)</f>
        <v/>
      </c>
      <c r="BR45">
        <f>IF(X45=1,1000000,IF('計算A'!$IT$20&gt;0,0,500000)+IF('計算A'!$IQ$20=2,SUMPRODUCT('計算A'!$D$70:$EQ$70,$DB45:$IO45,$IQ45:$OD45),SUMPRODUCT('計算A'!$D$70:$EQ$70,$DB45:$IO45))*1000+11)</f>
        <v/>
      </c>
      <c r="BS45">
        <f>IF(Y45=1,1000000,IF('計算A'!$IT$21&gt;0,0,500000)+IF('計算A'!$IQ$21=2,SUMPRODUCT('計算A'!$D$71:$EQ$71,$DB45:$IO45,$IQ45:$OD45),SUMPRODUCT('計算A'!$D$71:$EQ$71,$DB45:$IO45))*1000+12)</f>
        <v/>
      </c>
      <c r="BT45">
        <f>IF(Z45=1,1000000,IF('計算A'!$IT$22&gt;0,0,500000)+IF('計算A'!$IQ$22=2,SUMPRODUCT('計算A'!$D$72:$EQ$72,$DB45:$IO45,$IQ45:$OD45),SUMPRODUCT('計算A'!$D$72:$EQ$72,$DB45:$IO45))*1000+13)</f>
        <v/>
      </c>
      <c r="BU45">
        <f>IF(AA45=1,1000000,IF('計算A'!$IT$23&gt;0,0,500000)+IF('計算A'!$IQ$23=2,SUMPRODUCT('計算A'!$D$73:$EQ$73,$DB45:$IO45,$IQ45:$OD45),SUMPRODUCT('計算A'!$D$73:$EQ$73,$DB45:$IO45))*1000+14)</f>
        <v/>
      </c>
      <c r="BV45">
        <f>IF(AB45=1,1000000,IF('計算A'!$IT$24&gt;0,0,500000)+IF('計算A'!$IQ$24=2,SUMPRODUCT('計算A'!$D$74:$EQ$74,$DB45:$IO45,$IQ45:$OD45),SUMPRODUCT('計算A'!$D$74:$EQ$74,$DB45:$IO45))*1000+15)</f>
        <v/>
      </c>
      <c r="BW45">
        <f>IF(AC45=1,1000000,IF('計算A'!$IT$25&gt;0,0,500000)+IF('計算A'!$IQ$25=2,SUMPRODUCT('計算A'!$D$75:$EQ$75,$DB45:$IO45,$IQ45:$OD45),SUMPRODUCT('計算A'!$D$75:$EQ$75,$DB45:$IO45))*1000+16)</f>
        <v/>
      </c>
      <c r="BX45">
        <f>IF(AD45=1,1000000,IF('計算A'!$IT$26&gt;0,0,500000)+IF('計算A'!$IQ$26=2,SUMPRODUCT('計算A'!$D$76:$EQ$76,$DB45:$IO45,$IQ45:$OD45),SUMPRODUCT('計算A'!$D$76:$EQ$76,$DB45:$IO45))*1000+17)</f>
        <v/>
      </c>
      <c r="BY45">
        <f>IF(AE45=1,1000000,IF('計算A'!$IT$27&gt;0,0,500000)+IF('計算A'!$IQ$27=2,SUMPRODUCT('計算A'!$D$77:$EQ$77,$DB45:$IO45,$IQ45:$OD45),SUMPRODUCT('計算A'!$D$77:$EQ$77,$DB45:$IO45))*1000+18)</f>
        <v/>
      </c>
      <c r="BZ45">
        <f>IF(AF45=1,1000000,IF('計算A'!$IT$28&gt;0,0,500000)+IF('計算A'!$IQ$28=2,SUMPRODUCT('計算A'!$D$78:$EQ$78,$DB45:$IO45,$IQ45:$OD45),SUMPRODUCT('計算A'!$D$78:$EQ$78,$DB45:$IO45))*1000+19)</f>
        <v/>
      </c>
      <c r="CA45">
        <f>IF(AG45=1,1000000,IF('計算A'!$IT$29&gt;0,0,500000)+IF('計算A'!$IQ$29=2,SUMPRODUCT('計算A'!$D$79:$EQ$79,$DB45:$IO45,$IQ45:$OD45),SUMPRODUCT('計算A'!$D$79:$EQ$79,$DB45:$IO45))*1000+20)</f>
        <v/>
      </c>
      <c r="CB45">
        <f>IF(AH45=1,1000000,IF('計算A'!$IT$30&gt;0,0,500000)+IF('計算A'!$IQ$30=2,SUMPRODUCT('計算A'!$D$80:$EQ$80,$DB45:$IO45,$IQ45:$OD45),SUMPRODUCT('計算A'!$D$80:$EQ$80,$DB45:$IO45))*1000+21)</f>
        <v/>
      </c>
      <c r="CC45">
        <f>IF(AI45=1,1000000,IF('計算A'!$IT$31&gt;0,0,500000)+IF('計算A'!$IQ$31=2,SUMPRODUCT('計算A'!$D$81:$EQ$81,$DB45:$IO45,$IQ45:$OD45),SUMPRODUCT('計算A'!$D$81:$EQ$81,$DB45:$IO45))*1000+22)</f>
        <v/>
      </c>
      <c r="CD45">
        <f>IF(AJ45=1,1000000,IF('計算A'!$IT$32&gt;0,0,500000)+IF('計算A'!$IQ$32=2,SUMPRODUCT('計算A'!$D$82:$EQ$82,$DB45:$IO45,$IQ45:$OD45),SUMPRODUCT('計算A'!$D$82:$EQ$82,$DB45:$IO45))*1000+23)</f>
        <v/>
      </c>
      <c r="CE45">
        <f>IF(AK45=1,1000000,IF('計算A'!$IT$33&gt;0,0,500000)+IF('計算A'!$IQ$33=2,SUMPRODUCT('計算A'!$D$83:$EQ$83,$DB45:$IO45,$IQ45:$OD45),SUMPRODUCT('計算A'!$D$83:$EQ$83,$DB45:$IO45))*1000+24)</f>
        <v/>
      </c>
      <c r="CF45">
        <f>IF(AL45=1,1000000,IF('計算A'!$IT$34&gt;0,0,500000)+IF('計算A'!$IQ$34=2,SUMPRODUCT('計算A'!$D$84:$EQ$84,$DB45:$IO45,$IQ45:$OD45),SUMPRODUCT('計算A'!$D$84:$EQ$84,$DB45:$IO45))*1000+25)</f>
        <v/>
      </c>
      <c r="CG45">
        <f>IF(AM45=1,1000000,IF('計算A'!$IT$35&gt;0,0,500000)+IF('計算A'!$IQ$35=2,SUMPRODUCT('計算A'!$D$85:$EQ$85,$DB45:$IO45,$IQ45:$OD45),SUMPRODUCT('計算A'!$D$85:$EQ$85,$DB45:$IO45))*1000+26)</f>
        <v/>
      </c>
      <c r="CH45">
        <f>IF(AN45=1,1000000,IF('計算A'!$IT$36&gt;0,0,500000)+IF('計算A'!$IQ$36=2,SUMPRODUCT('計算A'!$D$86:$EQ$86,$DB45:$IO45,$IQ45:$OD45),SUMPRODUCT('計算A'!$D$86:$EQ$86,$DB45:$IO45))*1000+27)</f>
        <v/>
      </c>
      <c r="CI45">
        <f>IF(AO45=1,1000000,IF('計算A'!$IT$37&gt;0,0,500000)+IF('計算A'!$IQ$37=2,SUMPRODUCT('計算A'!$D$87:$EQ$87,$DB45:$IO45,$IQ45:$OD45),SUMPRODUCT('計算A'!$D$87:$EQ$87,$DB45:$IO45))*1000+28)</f>
        <v/>
      </c>
      <c r="CJ45">
        <f>IF(AP45=1,1000000,IF('計算A'!$IT$38&gt;0,0,500000)+IF('計算A'!$IQ$38=2,SUMPRODUCT('計算A'!$D$88:$EQ$88,$DB45:$IO45,$IQ45:$OD45),SUMPRODUCT('計算A'!$D$88:$EQ$88,$DB45:$IO45))*1000+29)</f>
        <v/>
      </c>
      <c r="CK45">
        <f>IF(AQ45=1,1000000,IF('計算A'!$IT$39&gt;0,0,500000)+IF('計算A'!$IQ$39=2,SUMPRODUCT('計算A'!$D$89:$EQ$89,$DB45:$IO45,$IQ45:$OD45),SUMPRODUCT('計算A'!$D$89:$EQ$89,$DB45:$IO45))*1000+30)</f>
        <v/>
      </c>
      <c r="CL45">
        <f>IF(AR45=1,1000000,IF('計算A'!$IT$40&gt;0,0,500000)+IF('計算A'!$IQ$40=2,SUMPRODUCT('計算A'!$D$90:$EQ$90,$DB45:$IO45,$IQ45:$OD45),SUMPRODUCT('計算A'!$D$90:$EQ$90,$DB45:$IO45))*1000+31)</f>
        <v/>
      </c>
      <c r="CM45">
        <f>IF(AS45=1,1000000,IF('計算A'!$IT$41&gt;0,0,500000)+IF('計算A'!$IQ$41=2,SUMPRODUCT('計算A'!$D$91:$EQ$91,$DB45:$IO45,$IQ45:$OD45),SUMPRODUCT('計算A'!$D$91:$EQ$91,$DB45:$IO45))*1000+32)</f>
        <v/>
      </c>
      <c r="CN45">
        <f>IF(AT45=1,1000000,IF('計算A'!$IT$42&gt;0,0,500000)+IF('計算A'!$IQ$42=2,SUMPRODUCT('計算A'!$D$92:$EQ$92,$DB45:$IO45,$IQ45:$OD45),SUMPRODUCT('計算A'!$D$92:$EQ$92,$DB45:$IO45))*1000+33)</f>
        <v/>
      </c>
      <c r="CO45">
        <f>IF(AU45=1,1000000,IF('計算A'!$IT$43&gt;0,0,500000)+IF('計算A'!$IQ$43=2,SUMPRODUCT('計算A'!$D$93:$EQ$93,$DB45:$IO45,$IQ45:$OD45),SUMPRODUCT('計算A'!$D$93:$EQ$93,$DB45:$IO45))*1000+34)</f>
        <v/>
      </c>
      <c r="CP45">
        <f>IF(AV45=1,1000000,IF('計算A'!$IT$44&gt;0,0,500000)+IF('計算A'!$IQ$44=2,SUMPRODUCT('計算A'!$D$94:$EQ$94,$DB45:$IO45,$IQ45:$OD45),SUMPRODUCT('計算A'!$D$94:$EQ$94,$DB45:$IO45))*1000+35)</f>
        <v/>
      </c>
      <c r="CQ45">
        <f>IF(AW45=1,1000000,IF('計算A'!$IT$45&gt;0,0,500000)+IF('計算A'!$IQ$45=2,SUMPRODUCT('計算A'!$D$95:$EQ$95,$DB45:$IO45,$IQ45:$OD45),SUMPRODUCT('計算A'!$D$95:$EQ$95,$DB45:$IO45))*1000+36)</f>
        <v/>
      </c>
      <c r="CR45">
        <f>IF(AX45=1,1000000,IF('計算A'!$IT$46&gt;0,0,500000)+IF('計算A'!$IQ$46=2,SUMPRODUCT('計算A'!$D$96:$EQ$96,$DB45:$IO45,$IQ45:$OD45),SUMPRODUCT('計算A'!$D$96:$EQ$96,$DB45:$IO45))*1000+37)</f>
        <v/>
      </c>
      <c r="CS45">
        <f>IF(AY45=1,1000000,IF('計算A'!$IT$47&gt;0,0,500000)+IF('計算A'!$IQ$47=2,SUMPRODUCT('計算A'!$D$97:$EQ$97,$DB45:$IO45,$IQ45:$OD45),SUMPRODUCT('計算A'!$D$97:$EQ$97,$DB45:$IO45))*1000+38)</f>
        <v/>
      </c>
      <c r="CT45">
        <f>IF(AZ45=1,1000000,IF('計算A'!$IT$48&gt;0,0,500000)+IF('計算A'!$IQ$48=2,SUMPRODUCT('計算A'!$D$98:$EQ$98,$DB45:$IO45,$IQ45:$OD45),SUMPRODUCT('計算A'!$D$98:$EQ$98,$DB45:$IO45))*1000+39)</f>
        <v/>
      </c>
      <c r="CU45">
        <f>IF(BA45=1,1000000,IF('計算A'!$IT$49&gt;0,0,500000)+IF('計算A'!$IQ$49=2,SUMPRODUCT('計算A'!$D$99:$EQ$99,$DB45:$IO45,$IQ45:$OD45),SUMPRODUCT('計算A'!$D$99:$EQ$99,$DB45:$IO45))*1000+40)</f>
        <v/>
      </c>
      <c r="CV45">
        <f>IF(BB45=1,1000000,IF('計算A'!$IT$50&gt;0,0,500000)+IF('計算A'!$IQ$50=2,SUMPRODUCT('計算A'!$D$100:$EQ$100,$DB45:$IO45,$IQ45:$OD45),SUMPRODUCT('計算A'!$D$100:$EQ$100,$DB45:$IO45))*1000+41)</f>
        <v/>
      </c>
      <c r="CW45">
        <f>IF(BC45=1,1000000,IF('計算A'!$IT$51&gt;0,0,500000)+IF('計算A'!$IQ$51=2,SUMPRODUCT('計算A'!$D$101:$EQ$101,$DB45:$IO45,$IQ45:$OD45),SUMPRODUCT('計算A'!$D$101:$EQ$101,$DB45:$IO45))*1000+42)</f>
        <v/>
      </c>
      <c r="CX45">
        <f>IF(BD45=1,1000000,IF('計算A'!$IT$52&gt;0,0,500000)+IF('計算A'!$IQ$52=2,SUMPRODUCT('計算A'!$D$102:$EQ$102,$DB45:$IO45,$IQ45:$OD45),SUMPRODUCT('計算A'!$D$102:$EQ$102,$DB45:$IO45))*1000+43)</f>
        <v/>
      </c>
      <c r="CY45">
        <f>IF(BE45=1,1000000,IF('計算A'!$IT$53&gt;0,0,500000)+IF('計算A'!$IQ$53=2,SUMPRODUCT('計算A'!$D$103:$EQ$103,$DB45:$IO45,$IQ45:$OD45),SUMPRODUCT('計算A'!$D$103:$EQ$103,$DB45:$IO45))*1000+44)</f>
        <v/>
      </c>
      <c r="CZ45">
        <f>IF(BF45=1,1000000,IF('計算A'!$IT$54&gt;0,0,500000)+IF('計算A'!$IQ$54=2,SUMPRODUCT('計算A'!$D$104:$EQ$104,$DB45:$IO45,$IQ45:$OD45),SUMPRODUCT('計算A'!$D$104:$EQ$104,$DB45:$IO45))*1000+45)</f>
        <v/>
      </c>
      <c r="DB45">
        <f>DB44*IF(OR($C44=1,$G44=1),0,1)</f>
        <v/>
      </c>
      <c r="DC45">
        <f>DC44*IF(OR($C44=2,$G44=2),0,1)</f>
        <v/>
      </c>
      <c r="DD45">
        <f>DD44*IF(OR($C44=3,$G44=3),0,1)</f>
        <v/>
      </c>
      <c r="DE45">
        <f>DE44*IF(OR($C44=4,$G44=4),0,1)</f>
        <v/>
      </c>
      <c r="DF45">
        <f>DF44*IF(OR($C44=5,$G44=5),0,1)</f>
        <v/>
      </c>
      <c r="DG45">
        <f>DG44*IF(OR($C44=6,$G44=6),0,1)</f>
        <v/>
      </c>
      <c r="DH45">
        <f>DH44*IF(OR($C44=7,$G44=7),0,1)</f>
        <v/>
      </c>
      <c r="DI45">
        <f>DI44*IF(OR($C44=8,$G44=8),0,1)</f>
        <v/>
      </c>
      <c r="DJ45">
        <f>DJ44*IF(OR($C44=9,$G44=9),0,1)</f>
        <v/>
      </c>
      <c r="DK45">
        <f>DK44*IF(OR($C44=10,$G44=10),0,1)</f>
        <v/>
      </c>
      <c r="DL45">
        <f>DL44*IF(OR($C44=11,$G44=11),0,1)</f>
        <v/>
      </c>
      <c r="DM45">
        <f>DM44*IF(OR($C44=12,$G44=12),0,1)</f>
        <v/>
      </c>
      <c r="DN45">
        <f>DN44*IF(OR($C44=13,$G44=13),0,1)</f>
        <v/>
      </c>
      <c r="DO45">
        <f>DO44*IF(OR($C44=14,$G44=14),0,1)</f>
        <v/>
      </c>
      <c r="DP45">
        <f>DP44*IF(OR($C44=15,$G44=15),0,1)</f>
        <v/>
      </c>
      <c r="DQ45">
        <f>DQ44*IF(OR($C44=16,$G44=16),0,1)</f>
        <v/>
      </c>
      <c r="DR45">
        <f>DR44*IF(OR($C44=17,$G44=17),0,1)</f>
        <v/>
      </c>
      <c r="DS45">
        <f>DS44*IF(OR($C44=18,$G44=18),0,1)</f>
        <v/>
      </c>
      <c r="DT45">
        <f>DT44*IF(OR($C44=19,$G44=19),0,1)</f>
        <v/>
      </c>
      <c r="DU45">
        <f>DU44*IF(OR($C44=20,$G44=20),0,1)</f>
        <v/>
      </c>
      <c r="DV45">
        <f>DV44*IF(OR($C44=21,$G44=21),0,1)</f>
        <v/>
      </c>
      <c r="DW45">
        <f>DW44*IF(OR($C44=22,$G44=22),0,1)</f>
        <v/>
      </c>
      <c r="DX45">
        <f>DX44*IF(OR($C44=23,$G44=23),0,1)</f>
        <v/>
      </c>
      <c r="DY45">
        <f>DY44*IF(OR($C44=24,$G44=24),0,1)</f>
        <v/>
      </c>
      <c r="DZ45">
        <f>DZ44*IF(OR($C44=25,$G44=25),0,1)</f>
        <v/>
      </c>
      <c r="EA45">
        <f>EA44*IF(OR($C44=26,$G44=26),0,1)</f>
        <v/>
      </c>
      <c r="EB45">
        <f>EB44*IF(OR($C44=27,$G44=27),0,1)</f>
        <v/>
      </c>
      <c r="EC45">
        <f>EC44*IF(OR($C44=28,$G44=28),0,1)</f>
        <v/>
      </c>
      <c r="ED45">
        <f>ED44*IF(OR($C44=29,$G44=29),0,1)</f>
        <v/>
      </c>
      <c r="EE45">
        <f>EE44*IF(OR($C44=30,$G44=30),0,1)</f>
        <v/>
      </c>
      <c r="EF45">
        <f>EF44*IF(OR($C44=31,$G44=31),0,1)</f>
        <v/>
      </c>
      <c r="EG45">
        <f>EG44*IF(OR($C44=32,$G44=32),0,1)</f>
        <v/>
      </c>
      <c r="EH45">
        <f>EH44*IF(OR($C44=33,$G44=33),0,1)</f>
        <v/>
      </c>
      <c r="EI45">
        <f>EI44*IF(OR($C44=34,$G44=34),0,1)</f>
        <v/>
      </c>
      <c r="EJ45">
        <f>EJ44*IF(OR($C44=35,$G44=35),0,1)</f>
        <v/>
      </c>
      <c r="EK45">
        <f>EK44*IF(OR($C44=36,$G44=36),0,1)</f>
        <v/>
      </c>
      <c r="EL45">
        <f>EL44*IF(OR($C44=37,$G44=37),0,1)</f>
        <v/>
      </c>
      <c r="EM45">
        <f>EM44*IF(OR($C44=38,$G44=38),0,1)</f>
        <v/>
      </c>
      <c r="EN45">
        <f>EN44*IF(OR($C44=39,$G44=39),0,1)</f>
        <v/>
      </c>
      <c r="EO45">
        <f>EO44*IF(OR($C44=40,$G44=40),0,1)</f>
        <v/>
      </c>
      <c r="EP45">
        <f>EP44*IF(OR($C44=41,$G44=41),0,1)</f>
        <v/>
      </c>
      <c r="EQ45">
        <f>EQ44*IF(OR($C44=42,$G44=42),0,1)</f>
        <v/>
      </c>
      <c r="ER45">
        <f>ER44*IF(OR($C44=43,$G44=43),0,1)</f>
        <v/>
      </c>
      <c r="ES45">
        <f>ES44*IF(OR($C44=44,$G44=44),0,1)</f>
        <v/>
      </c>
      <c r="ET45">
        <f>ET44*IF(OR($C44=45,$G44=45),0,1)</f>
        <v/>
      </c>
      <c r="EU45">
        <f>EU44*IF(OR($C44=46,$G44=46),0,1)</f>
        <v/>
      </c>
      <c r="EV45">
        <f>EV44*IF(OR($C44=47,$G44=47),0,1)</f>
        <v/>
      </c>
      <c r="EW45">
        <f>EW44*IF(OR($C44=48,$G44=48),0,1)</f>
        <v/>
      </c>
      <c r="EX45">
        <f>EX44*IF(OR($C44=49,$G44=49),0,1)</f>
        <v/>
      </c>
      <c r="EY45">
        <f>EY44*IF(OR($C44=50,$G44=50),0,1)</f>
        <v/>
      </c>
      <c r="EZ45">
        <f>EZ44*IF(OR($C44=51,$G44=51),0,1)</f>
        <v/>
      </c>
      <c r="FA45">
        <f>FA44*IF(OR($C44=52,$G44=52),0,1)</f>
        <v/>
      </c>
      <c r="FB45">
        <f>FB44*IF(OR($C44=53,$G44=53),0,1)</f>
        <v/>
      </c>
      <c r="FC45">
        <f>FC44*IF(OR($C44=54,$G44=54),0,1)</f>
        <v/>
      </c>
      <c r="FD45">
        <f>FD44*IF(OR($C44=55,$G44=55),0,1)</f>
        <v/>
      </c>
      <c r="FE45">
        <f>FE44*IF(OR($C44=56,$G44=56),0,1)</f>
        <v/>
      </c>
      <c r="FF45">
        <f>FF44*IF(OR($C44=57,$G44=57),0,1)</f>
        <v/>
      </c>
      <c r="FG45">
        <f>FG44*IF(OR($C44=58,$G44=58),0,1)</f>
        <v/>
      </c>
      <c r="FH45">
        <f>FH44*IF(OR($C44=59,$G44=59),0,1)</f>
        <v/>
      </c>
      <c r="FI45">
        <f>FI44*IF(OR($C44=60,$G44=60),0,1)</f>
        <v/>
      </c>
      <c r="FJ45">
        <f>FJ44*IF(OR($C44=61,$G44=61),0,1)</f>
        <v/>
      </c>
      <c r="FK45">
        <f>FK44*IF(OR($C44=62,$G44=62),0,1)</f>
        <v/>
      </c>
      <c r="FL45">
        <f>FL44*IF(OR($C44=63,$G44=63),0,1)</f>
        <v/>
      </c>
      <c r="FM45">
        <f>FM44*IF(OR($C44=64,$G44=64),0,1)</f>
        <v/>
      </c>
      <c r="FN45">
        <f>FN44*IF(OR($C44=65,$G44=65),0,1)</f>
        <v/>
      </c>
      <c r="FO45">
        <f>FO44*IF(OR($C44=66,$G44=66),0,1)</f>
        <v/>
      </c>
      <c r="FP45">
        <f>FP44*IF(OR($C44=67,$G44=67),0,1)</f>
        <v/>
      </c>
      <c r="FQ45">
        <f>FQ44*IF(OR($C44=68,$G44=68),0,1)</f>
        <v/>
      </c>
      <c r="FR45">
        <f>FR44*IF(OR($C44=69,$G44=69),0,1)</f>
        <v/>
      </c>
      <c r="FS45">
        <f>FS44*IF(OR($C44=70,$G44=70),0,1)</f>
        <v/>
      </c>
      <c r="FT45">
        <f>FT44*IF(OR($C44=71,$G44=71),0,1)</f>
        <v/>
      </c>
      <c r="FU45">
        <f>FU44*IF(OR($C44=72,$G44=72),0,1)</f>
        <v/>
      </c>
      <c r="FV45">
        <f>FV44*IF(OR($C44=73,$G44=73),0,1)</f>
        <v/>
      </c>
      <c r="FW45">
        <f>FW44*IF(OR($C44=74,$G44=74),0,1)</f>
        <v/>
      </c>
      <c r="FX45">
        <f>FX44*IF(OR($C44=75,$G44=75),0,1)</f>
        <v/>
      </c>
      <c r="FY45">
        <f>FY44*IF(OR($C44=76,$G44=76),0,1)</f>
        <v/>
      </c>
      <c r="FZ45">
        <f>FZ44*IF(OR($C44=77,$G44=77),0,1)</f>
        <v/>
      </c>
      <c r="GA45">
        <f>GA44*IF(OR($C44=78,$G44=78),0,1)</f>
        <v/>
      </c>
      <c r="GB45">
        <f>GB44*IF(OR($C44=79,$G44=79),0,1)</f>
        <v/>
      </c>
      <c r="GC45">
        <f>GC44*IF(OR($C44=80,$G44=80),0,1)</f>
        <v/>
      </c>
      <c r="GD45">
        <f>GD44*IF(OR($C44=81,$G44=81),0,1)</f>
        <v/>
      </c>
      <c r="GE45">
        <f>GE44*IF(OR($C44=82,$G44=82),0,1)</f>
        <v/>
      </c>
      <c r="GF45">
        <f>GF44*IF(OR($C44=83,$G44=83),0,1)</f>
        <v/>
      </c>
      <c r="GG45">
        <f>GG44*IF(OR($C44=84,$G44=84),0,1)</f>
        <v/>
      </c>
      <c r="GH45">
        <f>GH44*IF(OR($C44=85,$G44=85),0,1)</f>
        <v/>
      </c>
      <c r="GI45">
        <f>GI44*IF(OR($C44=86,$G44=86),0,1)</f>
        <v/>
      </c>
      <c r="GJ45">
        <f>GJ44*IF(OR($C44=87,$G44=87),0,1)</f>
        <v/>
      </c>
      <c r="GK45">
        <f>GK44*IF(OR($C44=88,$G44=88),0,1)</f>
        <v/>
      </c>
      <c r="GL45">
        <f>GL44*IF(OR($C44=89,$G44=89),0,1)</f>
        <v/>
      </c>
      <c r="GM45">
        <f>GM44*IF(OR($C44=90,$G44=90),0,1)</f>
        <v/>
      </c>
      <c r="GN45">
        <f>GN44*IF(OR($C44=91,$G44=91),0,1)</f>
        <v/>
      </c>
      <c r="GO45">
        <f>GO44*IF(OR($C44=92,$G44=92),0,1)</f>
        <v/>
      </c>
      <c r="GP45">
        <f>GP44*IF(OR($C44=93,$G44=93),0,1)</f>
        <v/>
      </c>
      <c r="GQ45">
        <f>GQ44*IF(OR($C44=94,$G44=94),0,1)</f>
        <v/>
      </c>
      <c r="GR45">
        <f>GR44*IF(OR($C44=95,$G44=95),0,1)</f>
        <v/>
      </c>
      <c r="GS45">
        <f>GS44*IF(OR($C44=96,$G44=96),0,1)</f>
        <v/>
      </c>
      <c r="GT45">
        <f>GT44*IF(OR($C44=97,$G44=97),0,1)</f>
        <v/>
      </c>
      <c r="GU45">
        <f>GU44*IF(OR($C44=98,$G44=98),0,1)</f>
        <v/>
      </c>
      <c r="GV45">
        <f>GV44*IF(OR($C44=99,$G44=99),0,1)</f>
        <v/>
      </c>
      <c r="GW45">
        <f>GW44*IF(OR($C44=100,$G44=100),0,1)</f>
        <v/>
      </c>
      <c r="GX45">
        <f>GX44*IF(OR($C44=101,$G44=101),0,1)</f>
        <v/>
      </c>
      <c r="GY45">
        <f>GY44*IF(OR($C44=102,$G44=102),0,1)</f>
        <v/>
      </c>
      <c r="GZ45">
        <f>GZ44*IF(OR($C44=103,$G44=103),0,1)</f>
        <v/>
      </c>
      <c r="HA45">
        <f>HA44*IF(OR($C44=104,$G44=104),0,1)</f>
        <v/>
      </c>
      <c r="HB45">
        <f>HB44*IF(OR($C44=105,$G44=105),0,1)</f>
        <v/>
      </c>
      <c r="HC45">
        <f>HC44*IF(OR($C44=106,$G44=106),0,1)</f>
        <v/>
      </c>
      <c r="HD45">
        <f>HD44*IF(OR($C44=107,$G44=107),0,1)</f>
        <v/>
      </c>
      <c r="HE45">
        <f>HE44*IF(OR($C44=108,$G44=108),0,1)</f>
        <v/>
      </c>
      <c r="HF45">
        <f>HF44*IF(OR($C44=109,$G44=109),0,1)</f>
        <v/>
      </c>
      <c r="HG45">
        <f>HG44*IF(OR($C44=110,$G44=110),0,1)</f>
        <v/>
      </c>
      <c r="HH45">
        <f>HH44*IF(OR($C44=111,$G44=111),0,1)</f>
        <v/>
      </c>
      <c r="HI45">
        <f>HI44*IF(OR($C44=112,$G44=112),0,1)</f>
        <v/>
      </c>
      <c r="HJ45">
        <f>HJ44*IF(OR($C44=113,$G44=113),0,1)</f>
        <v/>
      </c>
      <c r="HK45">
        <f>HK44*IF(OR($C44=114,$G44=114),0,1)</f>
        <v/>
      </c>
      <c r="HL45">
        <f>HL44*IF(OR($C44=115,$G44=115),0,1)</f>
        <v/>
      </c>
      <c r="HM45">
        <f>HM44*IF(OR($C44=116,$G44=116),0,1)</f>
        <v/>
      </c>
      <c r="HN45">
        <f>HN44*IF(OR($C44=117,$G44=117),0,1)</f>
        <v/>
      </c>
      <c r="HO45">
        <f>HO44*IF(OR($C44=118,$G44=118),0,1)</f>
        <v/>
      </c>
      <c r="HP45">
        <f>HP44*IF(OR($C44=119,$G44=119),0,1)</f>
        <v/>
      </c>
      <c r="HQ45">
        <f>HQ44*IF(OR($C44=120,$G44=120),0,1)</f>
        <v/>
      </c>
      <c r="HR45">
        <f>HR44*IF(OR($C44=121,$G44=121),0,1)</f>
        <v/>
      </c>
      <c r="HS45">
        <f>HS44*IF(OR($C44=122,$G44=122),0,1)</f>
        <v/>
      </c>
      <c r="HT45">
        <f>HT44*IF(OR($C44=123,$G44=123),0,1)</f>
        <v/>
      </c>
      <c r="HU45">
        <f>HU44*IF(OR($C44=124,$G44=124),0,1)</f>
        <v/>
      </c>
      <c r="HV45">
        <f>HV44*IF(OR($C44=125,$G44=125),0,1)</f>
        <v/>
      </c>
      <c r="HW45">
        <f>HW44*IF(OR($C44=126,$G44=126),0,1)</f>
        <v/>
      </c>
      <c r="HX45">
        <f>HX44*IF(OR($C44=127,$G44=127),0,1)</f>
        <v/>
      </c>
      <c r="HY45">
        <f>HY44*IF(OR($C44=128,$G44=128),0,1)</f>
        <v/>
      </c>
      <c r="HZ45">
        <f>HZ44*IF(OR($C44=129,$G44=129),0,1)</f>
        <v/>
      </c>
      <c r="IA45">
        <f>IA44*IF(OR($C44=130,$G44=130),0,1)</f>
        <v/>
      </c>
      <c r="IB45">
        <f>IB44*IF(OR($C44=131,$G44=131),0,1)</f>
        <v/>
      </c>
      <c r="IC45">
        <f>IC44*IF(OR($C44=132,$G44=132),0,1)</f>
        <v/>
      </c>
      <c r="ID45">
        <f>ID44*IF(OR($C44=133,$G44=133),0,1)</f>
        <v/>
      </c>
      <c r="IE45">
        <f>IE44*IF(OR($C44=134,$G44=134),0,1)</f>
        <v/>
      </c>
      <c r="IF45">
        <f>IF44*IF(OR($C44=135,$G44=135),0,1)</f>
        <v/>
      </c>
      <c r="IG45">
        <f>IG44*IF(OR($C44=136,$G44=136),0,1)</f>
        <v/>
      </c>
      <c r="IH45">
        <f>IH44*IF(OR($C44=137,$G44=137),0,1)</f>
        <v/>
      </c>
      <c r="II45">
        <f>II44*IF(OR($C44=138,$G44=138),0,1)</f>
        <v/>
      </c>
      <c r="IJ45">
        <f>IJ44*IF(OR($C44=139,$G44=139),0,1)</f>
        <v/>
      </c>
      <c r="IK45">
        <f>IK44*IF(OR($C44=140,$G44=140),0,1)</f>
        <v/>
      </c>
      <c r="IL45">
        <f>IL44*IF(OR($C44=141,$G44=141),0,1)</f>
        <v/>
      </c>
      <c r="IM45">
        <f>IM44*IF(OR($C44=142,$G44=142),0,1)</f>
        <v/>
      </c>
      <c r="IN45">
        <f>IN44*IF(OR($C44=143,$G44=143),0,1)</f>
        <v/>
      </c>
      <c r="IO45">
        <f>IO44*IF(OR($C44=144,$G44=144),0,1)</f>
        <v/>
      </c>
      <c r="IQ45">
        <f>IF('計算A'!D$106=1,DC45,1)</f>
        <v/>
      </c>
      <c r="IR45">
        <f>IF('計算A'!E$106=1,DD45,1)</f>
        <v/>
      </c>
      <c r="IS45">
        <f>IF('計算A'!F$106=1,DE45,1)</f>
        <v/>
      </c>
      <c r="IT45">
        <f>IF('計算A'!G$106=1,DF45,1)</f>
        <v/>
      </c>
      <c r="IU45">
        <f>IF('計算A'!H$106=1,DG45,1)</f>
        <v/>
      </c>
      <c r="IV45">
        <f>IF('計算A'!I$106=1,DH45,1)</f>
        <v/>
      </c>
      <c r="IW45">
        <f>IF('計算A'!J$106=1,DI45,1)</f>
        <v/>
      </c>
      <c r="IX45">
        <f>IF('計算A'!K$106=1,DJ45,1)</f>
        <v/>
      </c>
      <c r="IY45">
        <f>IF('計算A'!L$106=1,DK45,1)</f>
        <v/>
      </c>
      <c r="IZ45">
        <f>IF('計算A'!M$106=1,DL45,1)</f>
        <v/>
      </c>
      <c r="JA45">
        <f>IF('計算A'!N$106=1,DM45,1)</f>
        <v/>
      </c>
      <c r="JB45">
        <f>IF('計算A'!O$106=1,DN45,1)</f>
        <v/>
      </c>
      <c r="JC45">
        <f>IF('計算A'!P$106=1,DO45,1)</f>
        <v/>
      </c>
      <c r="JD45">
        <f>IF('計算A'!Q$106=1,DP45,1)</f>
        <v/>
      </c>
      <c r="JE45">
        <f>IF('計算A'!R$106=1,DQ45,1)</f>
        <v/>
      </c>
      <c r="JF45">
        <f>IF('計算A'!S$106=1,DR45,1)</f>
        <v/>
      </c>
      <c r="JG45">
        <f>IF('計算A'!T$106=1,DS45,1)</f>
        <v/>
      </c>
      <c r="JH45">
        <f>IF('計算A'!U$106=1,DT45,1)</f>
        <v/>
      </c>
      <c r="JI45">
        <f>IF('計算A'!V$106=1,DU45,1)</f>
        <v/>
      </c>
      <c r="JJ45">
        <f>IF('計算A'!W$106=1,DV45,1)</f>
        <v/>
      </c>
      <c r="JK45">
        <f>IF('計算A'!X$106=1,DW45,1)</f>
        <v/>
      </c>
      <c r="JL45">
        <f>IF('計算A'!Y$106=1,DX45,1)</f>
        <v/>
      </c>
      <c r="JM45">
        <f>IF('計算A'!Z$106=1,DY45,1)</f>
        <v/>
      </c>
      <c r="JN45">
        <f>IF('計算A'!AA$106=1,DZ45,1)</f>
        <v/>
      </c>
      <c r="JO45">
        <f>IF('計算A'!AB$106=1,EA45,1)</f>
        <v/>
      </c>
      <c r="JP45">
        <f>IF('計算A'!AC$106=1,EB45,1)</f>
        <v/>
      </c>
      <c r="JQ45">
        <f>IF('計算A'!AD$106=1,EC45,1)</f>
        <v/>
      </c>
      <c r="JR45">
        <f>IF('計算A'!AE$106=1,ED45,1)</f>
        <v/>
      </c>
      <c r="JS45">
        <f>IF('計算A'!AF$106=1,EE45,1)</f>
        <v/>
      </c>
      <c r="JT45">
        <f>IF('計算A'!AG$106=1,EF45,1)</f>
        <v/>
      </c>
      <c r="JU45">
        <f>IF('計算A'!AH$106=1,EG45,1)</f>
        <v/>
      </c>
      <c r="JV45">
        <f>IF('計算A'!AI$106=1,EH45,1)</f>
        <v/>
      </c>
      <c r="JW45">
        <f>IF('計算A'!AJ$106=1,EI45,1)</f>
        <v/>
      </c>
      <c r="JX45">
        <f>IF('計算A'!AK$106=1,EJ45,1)</f>
        <v/>
      </c>
      <c r="JY45">
        <f>IF('計算A'!AL$106=1,EK45,1)</f>
        <v/>
      </c>
      <c r="JZ45">
        <f>IF('計算A'!AM$106=1,EL45,1)</f>
        <v/>
      </c>
      <c r="KA45">
        <f>IF('計算A'!AN$106=1,EM45,1)</f>
        <v/>
      </c>
      <c r="KB45">
        <f>IF('計算A'!AO$106=1,EN45,1)</f>
        <v/>
      </c>
      <c r="KC45">
        <f>IF('計算A'!AP$106=1,EO45,1)</f>
        <v/>
      </c>
      <c r="KD45">
        <f>IF('計算A'!AQ$106=1,EP45,1)</f>
        <v/>
      </c>
      <c r="KE45">
        <f>IF('計算A'!AR$106=1,EQ45,1)</f>
        <v/>
      </c>
      <c r="KF45">
        <f>IF('計算A'!AS$106=1,ER45,1)</f>
        <v/>
      </c>
      <c r="KG45">
        <f>IF('計算A'!AT$106=1,ES45,1)</f>
        <v/>
      </c>
      <c r="KH45">
        <f>IF('計算A'!AU$106=1,ET45,1)</f>
        <v/>
      </c>
      <c r="KI45">
        <f>IF('計算A'!AV$106=1,EU45,1)</f>
        <v/>
      </c>
      <c r="KJ45">
        <f>IF('計算A'!AW$106=1,EV45,1)</f>
        <v/>
      </c>
      <c r="KK45">
        <f>IF('計算A'!AX$106=1,EW45,1)</f>
        <v/>
      </c>
      <c r="KL45">
        <f>IF('計算A'!AY$106=1,EX45,1)</f>
        <v/>
      </c>
      <c r="KM45">
        <f>IF('計算A'!AZ$106=1,EY45,1)</f>
        <v/>
      </c>
      <c r="KN45">
        <f>IF('計算A'!BA$106=1,EZ45,1)</f>
        <v/>
      </c>
      <c r="KO45">
        <f>IF('計算A'!BB$106=1,FA45,1)</f>
        <v/>
      </c>
      <c r="KP45">
        <f>IF('計算A'!BC$106=1,FB45,1)</f>
        <v/>
      </c>
      <c r="KQ45">
        <f>IF('計算A'!BD$106=1,FC45,1)</f>
        <v/>
      </c>
      <c r="KR45">
        <f>IF('計算A'!BE$106=1,FD45,1)</f>
        <v/>
      </c>
      <c r="KS45">
        <f>IF('計算A'!BF$106=1,FE45,1)</f>
        <v/>
      </c>
      <c r="KT45">
        <f>IF('計算A'!BG$106=1,FF45,1)</f>
        <v/>
      </c>
      <c r="KU45">
        <f>IF('計算A'!BH$106=1,FG45,1)</f>
        <v/>
      </c>
      <c r="KV45">
        <f>IF('計算A'!BI$106=1,FH45,1)</f>
        <v/>
      </c>
      <c r="KW45">
        <f>IF('計算A'!BJ$106=1,FI45,1)</f>
        <v/>
      </c>
      <c r="KX45">
        <f>IF('計算A'!BK$106=1,FJ45,1)</f>
        <v/>
      </c>
      <c r="KY45">
        <f>IF('計算A'!BL$106=1,FK45,1)</f>
        <v/>
      </c>
      <c r="KZ45">
        <f>IF('計算A'!BM$106=1,FL45,1)</f>
        <v/>
      </c>
      <c r="LA45">
        <f>IF('計算A'!BN$106=1,FM45,1)</f>
        <v/>
      </c>
      <c r="LB45">
        <f>IF('計算A'!BO$106=1,FN45,1)</f>
        <v/>
      </c>
      <c r="LC45">
        <f>IF('計算A'!BP$106=1,FO45,1)</f>
        <v/>
      </c>
      <c r="LD45">
        <f>IF('計算A'!BQ$106=1,FP45,1)</f>
        <v/>
      </c>
      <c r="LE45">
        <f>IF('計算A'!BR$106=1,FQ45,1)</f>
        <v/>
      </c>
      <c r="LF45">
        <f>IF('計算A'!BS$106=1,FR45,1)</f>
        <v/>
      </c>
      <c r="LG45">
        <f>IF('計算A'!BT$106=1,FS45,1)</f>
        <v/>
      </c>
      <c r="LH45">
        <f>IF('計算A'!BU$106=1,FT45,1)</f>
        <v/>
      </c>
      <c r="LI45">
        <f>IF('計算A'!BV$106=1,FU45,1)</f>
        <v/>
      </c>
      <c r="LJ45">
        <f>IF('計算A'!BW$106=1,FV45,1)</f>
        <v/>
      </c>
      <c r="LK45">
        <f>IF('計算A'!BX$106=1,FW45,1)</f>
        <v/>
      </c>
      <c r="LL45">
        <f>IF('計算A'!BY$106=1,FX45,1)</f>
        <v/>
      </c>
      <c r="LM45">
        <f>IF('計算A'!BZ$106=1,FY45,1)</f>
        <v/>
      </c>
      <c r="LN45">
        <f>IF('計算A'!CA$106=1,FZ45,1)</f>
        <v/>
      </c>
      <c r="LO45">
        <f>IF('計算A'!CB$106=1,GA45,1)</f>
        <v/>
      </c>
      <c r="LP45">
        <f>IF('計算A'!CC$106=1,GB45,1)</f>
        <v/>
      </c>
      <c r="LQ45">
        <f>IF('計算A'!CD$106=1,GC45,1)</f>
        <v/>
      </c>
      <c r="LR45">
        <f>IF('計算A'!CE$106=1,GD45,1)</f>
        <v/>
      </c>
      <c r="LS45">
        <f>IF('計算A'!CF$106=1,GE45,1)</f>
        <v/>
      </c>
      <c r="LT45">
        <f>IF('計算A'!CG$106=1,GF45,1)</f>
        <v/>
      </c>
      <c r="LU45">
        <f>IF('計算A'!CH$106=1,GG45,1)</f>
        <v/>
      </c>
      <c r="LV45">
        <f>IF('計算A'!CI$106=1,GH45,1)</f>
        <v/>
      </c>
      <c r="LW45">
        <f>IF('計算A'!CJ$106=1,GI45,1)</f>
        <v/>
      </c>
      <c r="LX45">
        <f>IF('計算A'!CK$106=1,GJ45,1)</f>
        <v/>
      </c>
      <c r="LY45">
        <f>IF('計算A'!CL$106=1,GK45,1)</f>
        <v/>
      </c>
      <c r="LZ45">
        <f>IF('計算A'!CM$106=1,GL45,1)</f>
        <v/>
      </c>
      <c r="MA45">
        <f>IF('計算A'!CN$106=1,GM45,1)</f>
        <v/>
      </c>
      <c r="MB45">
        <f>IF('計算A'!CO$106=1,GN45,1)</f>
        <v/>
      </c>
      <c r="MC45">
        <f>IF('計算A'!CP$106=1,GO45,1)</f>
        <v/>
      </c>
      <c r="MD45">
        <f>IF('計算A'!CQ$106=1,GP45,1)</f>
        <v/>
      </c>
      <c r="ME45">
        <f>IF('計算A'!CR$106=1,GQ45,1)</f>
        <v/>
      </c>
      <c r="MF45">
        <f>IF('計算A'!CS$106=1,GR45,1)</f>
        <v/>
      </c>
      <c r="MG45">
        <f>IF('計算A'!CT$106=1,GS45,1)</f>
        <v/>
      </c>
      <c r="MH45">
        <f>IF('計算A'!CU$106=1,GT45,1)</f>
        <v/>
      </c>
      <c r="MI45">
        <f>IF('計算A'!CV$106=1,GU45,1)</f>
        <v/>
      </c>
      <c r="MJ45">
        <f>IF('計算A'!CW$106=1,GV45,1)</f>
        <v/>
      </c>
      <c r="MK45">
        <f>IF('計算A'!CX$106=1,GW45,1)</f>
        <v/>
      </c>
      <c r="ML45">
        <f>IF('計算A'!CY$106=1,GX45,1)</f>
        <v/>
      </c>
      <c r="MM45">
        <f>IF('計算A'!CZ$106=1,GY45,1)</f>
        <v/>
      </c>
      <c r="MN45">
        <f>IF('計算A'!DA$106=1,GZ45,1)</f>
        <v/>
      </c>
      <c r="MO45">
        <f>IF('計算A'!DB$106=1,HA45,1)</f>
        <v/>
      </c>
      <c r="MP45">
        <f>IF('計算A'!DC$106=1,HB45,1)</f>
        <v/>
      </c>
      <c r="MQ45">
        <f>IF('計算A'!DD$106=1,HC45,1)</f>
        <v/>
      </c>
      <c r="MR45">
        <f>IF('計算A'!DE$106=1,HD45,1)</f>
        <v/>
      </c>
      <c r="MS45">
        <f>IF('計算A'!DF$106=1,HE45,1)</f>
        <v/>
      </c>
      <c r="MT45">
        <f>IF('計算A'!DG$106=1,HF45,1)</f>
        <v/>
      </c>
      <c r="MU45">
        <f>IF('計算A'!DH$106=1,HG45,1)</f>
        <v/>
      </c>
      <c r="MV45">
        <f>IF('計算A'!DI$106=1,HH45,1)</f>
        <v/>
      </c>
      <c r="MW45">
        <f>IF('計算A'!DJ$106=1,HI45,1)</f>
        <v/>
      </c>
      <c r="MX45">
        <f>IF('計算A'!DK$106=1,HJ45,1)</f>
        <v/>
      </c>
      <c r="MY45">
        <f>IF('計算A'!DL$106=1,HK45,1)</f>
        <v/>
      </c>
      <c r="MZ45">
        <f>IF('計算A'!DM$106=1,HL45,1)</f>
        <v/>
      </c>
      <c r="NA45">
        <f>IF('計算A'!DN$106=1,HM45,1)</f>
        <v/>
      </c>
      <c r="NB45">
        <f>IF('計算A'!DO$106=1,HN45,1)</f>
        <v/>
      </c>
      <c r="NC45">
        <f>IF('計算A'!DP$106=1,HO45,1)</f>
        <v/>
      </c>
      <c r="ND45">
        <f>IF('計算A'!DQ$106=1,HP45,1)</f>
        <v/>
      </c>
      <c r="NE45">
        <f>IF('計算A'!DR$106=1,HQ45,1)</f>
        <v/>
      </c>
      <c r="NF45">
        <f>IF('計算A'!DS$106=1,HR45,1)</f>
        <v/>
      </c>
      <c r="NG45">
        <f>IF('計算A'!DT$106=1,HS45,1)</f>
        <v/>
      </c>
      <c r="NH45">
        <f>IF('計算A'!DU$106=1,HT45,1)</f>
        <v/>
      </c>
      <c r="NI45">
        <f>IF('計算A'!DV$106=1,HU45,1)</f>
        <v/>
      </c>
      <c r="NJ45">
        <f>IF('計算A'!DW$106=1,HV45,1)</f>
        <v/>
      </c>
      <c r="NK45">
        <f>IF('計算A'!DX$106=1,HW45,1)</f>
        <v/>
      </c>
      <c r="NL45">
        <f>IF('計算A'!DY$106=1,HX45,1)</f>
        <v/>
      </c>
      <c r="NM45">
        <f>IF('計算A'!DZ$106=1,HY45,1)</f>
        <v/>
      </c>
      <c r="NN45">
        <f>IF('計算A'!EA$106=1,HZ45,1)</f>
        <v/>
      </c>
      <c r="NO45">
        <f>IF('計算A'!EB$106=1,IA45,1)</f>
        <v/>
      </c>
      <c r="NP45">
        <f>IF('計算A'!EC$106=1,IB45,1)</f>
        <v/>
      </c>
      <c r="NQ45">
        <f>IF('計算A'!ED$106=1,IC45,1)</f>
        <v/>
      </c>
      <c r="NR45">
        <f>IF('計算A'!EE$106=1,ID45,1)</f>
        <v/>
      </c>
      <c r="NS45">
        <f>IF('計算A'!EF$106=1,IE45,1)</f>
        <v/>
      </c>
      <c r="NT45">
        <f>IF('計算A'!EG$106=1,IF45,1)</f>
        <v/>
      </c>
      <c r="NU45">
        <f>IF('計算A'!EH$106=1,IG45,1)</f>
        <v/>
      </c>
      <c r="NV45">
        <f>IF('計算A'!EI$106=1,IH45,1)</f>
        <v/>
      </c>
      <c r="NW45">
        <f>IF('計算A'!EJ$106=1,II45,1)</f>
        <v/>
      </c>
      <c r="NX45">
        <f>IF('計算A'!EK$106=1,IJ45,1)</f>
        <v/>
      </c>
      <c r="NY45">
        <f>IF('計算A'!EL$106=1,IK45,1)</f>
        <v/>
      </c>
      <c r="NZ45">
        <f>IF('計算A'!EM$106=1,IL45,1)</f>
        <v/>
      </c>
      <c r="OA45">
        <f>IF('計算A'!EN$106=1,IM45,1)</f>
        <v/>
      </c>
      <c r="OB45">
        <f>IF('計算A'!EO$106=1,IN45,1)</f>
        <v/>
      </c>
      <c r="OC45">
        <f>IF('計算A'!EP$106=1,IO45,1)</f>
        <v/>
      </c>
      <c r="OD45" t="n">
        <v>1</v>
      </c>
      <c r="OF45">
        <f>IF($B45=0,1000000,IF(INDEX('計算A'!$D$60:$EQ$104,$B45,1)*DB45=1,IF(AND($E45=2,IQ45=0),1000000,IF($I45&gt;0,IF(1=$J45,IF(OR(AND(1=$I45+1,OR($K45&lt;&gt;'計算A'!$A$3,'計算A'!$A$4=0)),AND(1=$I45-1,OR(1&lt;&gt;'計算A'!$A$3,'計算A'!$A$4=0))),0,IF(1=$K45,200000,ABS(1-$K45)*100)),100000+ABS(1-$J45)*1000+10)+'計算A'!D$5*50+IF(AND($E45=1,IQ45=0),25,0),INDEX('計算A'!D$110:D$114,$F45+1)+IF(AND($E45=1,IQ45=0),1000,0)+IF($H45=1,(IF('計算A'!D$117=1,INDEX('計算A'!E$10:E$54,$B45),0))*500,0)-IF(AND($L45=1,'計算A'!D$117=1,DC45=0),300,0))),1000000))</f>
        <v/>
      </c>
      <c r="OG45">
        <f>IF($B45=0,1000000,IF(INDEX('計算A'!$D$60:$EQ$104,$B45,2)*DC45=1,IF(AND($E45=2,IR45=0),1000000,IF($I45&gt;0,IF(1=$J45,IF(OR(AND(2=$I45+1,OR($K45&lt;&gt;'計算A'!$A$3,'計算A'!$A$4=0)),AND(2=$I45-1,OR(2&lt;&gt;'計算A'!$A$3,'計算A'!$A$4=0))),0,IF(2=$K45,200000,ABS(2-$K45)*100)),100000+ABS(1-$J45)*1000+20)+'計算A'!E$5*50+IF(AND($E45=1,IR45=0),25,0),INDEX('計算A'!E$110:E$114,$F45+1)+IF(AND($E45=1,IR45=0),1000,0)+IF($H45=1,(IF('計算A'!D$117=1,INDEX('計算A'!D$10:D$54,$B45),0)+IF('計算A'!E$117=1,INDEX('計算A'!F$10:F$54,$B45),0))*500,0)-IF(AND('計算A'!D$117=1,UB45&gt;0),300,0)-IF(AND($L45=1,'計算A'!E$117=1,DD45=0),300,0))),1000000))</f>
        <v/>
      </c>
      <c r="OH45">
        <f>IF($B45=0,1000000,IF(INDEX('計算A'!$D$60:$EQ$104,$B45,3)*DD45=1,IF(AND($E45=2,IS45=0),1000000,IF($I45&gt;0,IF(1=$J45,IF(OR(AND(3=$I45+1,OR($K45&lt;&gt;'計算A'!$A$3,'計算A'!$A$4=0)),AND(3=$I45-1,OR(3&lt;&gt;'計算A'!$A$3,'計算A'!$A$4=0))),0,IF(3=$K45,200000,ABS(3-$K45)*100)),100000+ABS(1-$J45)*1000+30)+'計算A'!F$5*50+IF(AND($E45=1,IS45=0),25,0),INDEX('計算A'!F$110:F$114,$F45+1)+IF(AND($E45=1,IS45=0),1000,0)+IF($H45=1,(IF('計算A'!E$117=1,INDEX('計算A'!E$10:E$54,$B45),0)+IF('計算A'!F$117=1,INDEX('計算A'!G$10:G$54,$B45),0))*500,0)-IF(AND('計算A'!E$117=1,UC45&gt;0),300,0)-IF(AND($L45=1,'計算A'!F$117=1,DE45=0),300,0))),1000000))</f>
        <v/>
      </c>
      <c r="OI45">
        <f>IF($B45=0,1000000,IF(INDEX('計算A'!$D$60:$EQ$104,$B45,4)*DE45=1,IF(AND($E45=2,IT45=0),1000000,IF($I45&gt;0,IF(1=$J45,IF(OR(AND(4=$I45+1,OR($K45&lt;&gt;'計算A'!$A$3,'計算A'!$A$4=0)),AND(4=$I45-1,OR(4&lt;&gt;'計算A'!$A$3,'計算A'!$A$4=0))),0,IF(4=$K45,200000,ABS(4-$K45)*100)),100000+ABS(1-$J45)*1000+40)+'計算A'!G$5*50+IF(AND($E45=1,IT45=0),25,0),INDEX('計算A'!G$110:G$114,$F45+1)+IF(AND($E45=1,IT45=0),1000,0)+IF($H45=1,(IF('計算A'!F$117=1,INDEX('計算A'!F$10:F$54,$B45),0)+IF('計算A'!G$117=1,INDEX('計算A'!H$10:H$54,$B45),0))*500,0)-IF(AND('計算A'!F$117=1,UD45&gt;0),300,0)-IF(AND($L45=1,'計算A'!G$117=1,DF45=0),300,0))),1000000))</f>
        <v/>
      </c>
      <c r="OJ45">
        <f>IF($B45=0,1000000,IF(INDEX('計算A'!$D$60:$EQ$104,$B45,5)*DF45=1,IF(AND($E45=2,IU45=0),1000000,IF($I45&gt;0,IF(1=$J45,IF(OR(AND(5=$I45+1,OR($K45&lt;&gt;'計算A'!$A$3,'計算A'!$A$4=0)),AND(5=$I45-1,OR(5&lt;&gt;'計算A'!$A$3,'計算A'!$A$4=0))),0,IF(5=$K45,200000,ABS(5-$K45)*100)),100000+ABS(1-$J45)*1000+50)+'計算A'!H$5*50+IF(AND($E45=1,IU45=0),25,0),INDEX('計算A'!H$110:H$114,$F45+1)+IF(AND($E45=1,IU45=0),1000,0)+IF($H45=1,(IF('計算A'!G$117=1,INDEX('計算A'!G$10:G$54,$B45),0)+IF('計算A'!H$117=1,INDEX('計算A'!I$10:I$54,$B45),0))*500,0)-IF(AND('計算A'!G$117=1,UE45&gt;0),300,0)-IF(AND($L45=1,'計算A'!H$117=1,DG45=0),300,0))),1000000))</f>
        <v/>
      </c>
      <c r="OK45">
        <f>IF($B45=0,1000000,IF(INDEX('計算A'!$D$60:$EQ$104,$B45,6)*DG45=1,IF(AND($E45=2,IV45=0),1000000,IF($I45&gt;0,IF(1=$J45,IF(OR(AND(6=$I45+1,OR($K45&lt;&gt;'計算A'!$A$3,'計算A'!$A$4=0)),AND(6=$I45-1,OR(6&lt;&gt;'計算A'!$A$3,'計算A'!$A$4=0))),0,IF(6=$K45,200000,ABS(6-$K45)*100)),100000+ABS(1-$J45)*1000+60)+'計算A'!I$5*50+IF(AND($E45=1,IV45=0),25,0),INDEX('計算A'!I$110:I$114,$F45+1)+IF(AND($E45=1,IV45=0),1000,0)+IF($H45=1,(IF('計算A'!H$117=1,INDEX('計算A'!H$10:H$54,$B45),0)+IF('計算A'!I$117=1,INDEX('計算A'!J$10:J$54,$B45),0))*500,0)-IF(AND('計算A'!H$117=1,UF45&gt;0),300,0)-IF(AND($L45=1,'計算A'!I$117=1,DH45=0),300,0))),1000000))</f>
        <v/>
      </c>
      <c r="OL45">
        <f>IF($B45=0,1000000,IF(INDEX('計算A'!$D$60:$EQ$104,$B45,7)*DH45=1,IF(AND($E45=2,IW45=0),1000000,IF($I45&gt;0,IF(1=$J45,IF(OR(AND(7=$I45+1,OR($K45&lt;&gt;'計算A'!$A$3,'計算A'!$A$4=0)),AND(7=$I45-1,OR(7&lt;&gt;'計算A'!$A$3,'計算A'!$A$4=0))),0,IF(7=$K45,200000,ABS(7-$K45)*100)),100000+ABS(1-$J45)*1000+70)+'計算A'!J$5*50+IF(AND($E45=1,IW45=0),25,0),INDEX('計算A'!J$110:J$114,$F45+1)+IF(AND($E45=1,IW45=0),1000,0)+IF($H45=1,(IF('計算A'!I$117=1,INDEX('計算A'!I$10:I$54,$B45),0)+IF('計算A'!J$117=1,INDEX('計算A'!K$10:K$54,$B45),0))*500,0)-IF(AND('計算A'!I$117=1,UG45&gt;0),300,0)-IF(AND($L45=1,'計算A'!J$117=1,DI45=0),300,0))),1000000))</f>
        <v/>
      </c>
      <c r="OM45">
        <f>IF($B45=0,1000000,IF(INDEX('計算A'!$D$60:$EQ$104,$B45,8)*DI45=1,IF(AND($E45=2,IX45=0),1000000,IF($I45&gt;0,IF(1=$J45,IF(OR(AND(8=$I45+1,OR($K45&lt;&gt;'計算A'!$A$3,'計算A'!$A$4=0)),AND(8=$I45-1,OR(8&lt;&gt;'計算A'!$A$3,'計算A'!$A$4=0))),0,IF(8=$K45,200000,ABS(8-$K45)*100)),100000+ABS(1-$J45)*1000+80)+'計算A'!K$5*50+IF(AND($E45=1,IX45=0),25,0),INDEX('計算A'!K$110:K$114,$F45+1)+IF(AND($E45=1,IX45=0),1000,0)+IF($H45=1,(IF('計算A'!J$117=1,INDEX('計算A'!J$10:J$54,$B45),0)+IF('計算A'!K$117=1,INDEX('計算A'!L$10:L$54,$B45),0))*500,0)-IF(AND('計算A'!J$117=1,UH45&gt;0),300,0)-IF(AND($L45=1,'計算A'!K$117=1,DJ45=0),300,0))),1000000))</f>
        <v/>
      </c>
      <c r="ON45">
        <f>IF($B45=0,1000000,IF(INDEX('計算A'!$D$60:$EQ$104,$B45,9)*DJ45=1,IF(AND($E45=2,IY45=0),1000000,IF($I45&gt;0,IF(1=$J45,IF(OR(AND(9=$I45+1,OR($K45&lt;&gt;'計算A'!$A$3,'計算A'!$A$4=0)),AND(9=$I45-1,OR(9&lt;&gt;'計算A'!$A$3,'計算A'!$A$4=0))),0,IF(9=$K45,200000,ABS(9-$K45)*100)),100000+ABS(1-$J45)*1000+90)+'計算A'!L$5*50+IF(AND($E45=1,IY45=0),25,0),INDEX('計算A'!L$110:L$114,$F45+1)+IF(AND($E45=1,IY45=0),1000,0)+IF($H45=1,(IF('計算A'!K$117=1,INDEX('計算A'!K$10:K$54,$B45),0)+IF('計算A'!L$117=1,INDEX('計算A'!M$10:M$54,$B45),0))*500,0)-IF(AND('計算A'!K$117=1,UI45&gt;0),300,0)-IF(AND($L45=1,'計算A'!L$117=1,DK45=0),300,0))),1000000))</f>
        <v/>
      </c>
      <c r="OO45">
        <f>IF($B45=0,1000000,IF(INDEX('計算A'!$D$60:$EQ$104,$B45,10)*DK45=1,IF(AND($E45=2,IZ45=0),1000000,IF($I45&gt;0,IF(1=$J45,IF(OR(AND(10=$I45+1,OR($K45&lt;&gt;'計算A'!$A$3,'計算A'!$A$4=0)),AND(10=$I45-1,OR(10&lt;&gt;'計算A'!$A$3,'計算A'!$A$4=0))),0,IF(10=$K45,200000,ABS(10-$K45)*100)),100000+ABS(1-$J45)*1000+100)+'計算A'!M$5*50+IF(AND($E45=1,IZ45=0),25,0),INDEX('計算A'!M$110:M$114,$F45+1)+IF(AND($E45=1,IZ45=0),1000,0)+IF($H45=1,(IF('計算A'!L$117=1,INDEX('計算A'!L$10:L$54,$B45),0)+IF('計算A'!M$117=1,INDEX('計算A'!N$10:N$54,$B45),0))*500,0)-IF(AND('計算A'!L$117=1,UJ45&gt;0),300,0)-IF(AND($L45=1,'計算A'!M$117=1,DL45=0),300,0))),1000000))</f>
        <v/>
      </c>
      <c r="OP45">
        <f>IF($B45=0,1000000,IF(INDEX('計算A'!$D$60:$EQ$104,$B45,11)*DL45=1,IF(AND($E45=2,JA45=0),1000000,IF($I45&gt;0,IF(1=$J45,IF(OR(AND(11=$I45+1,OR($K45&lt;&gt;'計算A'!$A$3,'計算A'!$A$4=0)),AND(11=$I45-1,OR(11&lt;&gt;'計算A'!$A$3,'計算A'!$A$4=0))),0,IF(11=$K45,200000,ABS(11-$K45)*100)),100000+ABS(1-$J45)*1000+110)+'計算A'!N$5*50+IF(AND($E45=1,JA45=0),25,0),INDEX('計算A'!N$110:N$114,$F45+1)+IF(AND($E45=1,JA45=0),1000,0)+IF($H45=1,(IF('計算A'!M$117=1,INDEX('計算A'!M$10:M$54,$B45),0)+IF('計算A'!N$117=1,INDEX('計算A'!O$10:O$54,$B45),0))*500,0)-IF(AND('計算A'!M$117=1,UK45&gt;0),300,0)-IF(AND($L45=1,'計算A'!N$117=1,DM45=0),300,0))),1000000))</f>
        <v/>
      </c>
      <c r="OQ45">
        <f>IF($B45=0,1000000,IF(INDEX('計算A'!$D$60:$EQ$104,$B45,12)*DM45=1,IF(AND($E45=2,JB45=0),1000000,IF($I45&gt;0,IF(1=$J45,IF(OR(AND(12=$I45+1,OR($K45&lt;&gt;'計算A'!$A$3,'計算A'!$A$4=0)),AND(12=$I45-1,OR(12&lt;&gt;'計算A'!$A$3,'計算A'!$A$4=0))),0,IF(12=$K45,200000,ABS(12-$K45)*100)),100000+ABS(1-$J45)*1000+120)+'計算A'!O$5*50+IF(AND($E45=1,JB45=0),25,0),INDEX('計算A'!O$110:O$114,$F45+1)+IF(AND($E45=1,JB45=0),1000,0)+IF($H45=1,(IF('計算A'!N$117=1,INDEX('計算A'!N$10:N$54,$B45),0)+IF('計算A'!O$117=1,INDEX('計算A'!P$10:P$54,$B45),0))*500,0)-IF(AND('計算A'!N$117=1,UL45&gt;0),300,0)-IF(AND($L45=1,'計算A'!O$117=1,DN45=0),300,0))),1000000))</f>
        <v/>
      </c>
      <c r="OR45">
        <f>IF($B45=0,1000000,IF(INDEX('計算A'!$D$60:$EQ$104,$B45,13)*DN45=1,IF(AND($E45=2,JC45=0),1000000,IF($I45&gt;0,IF(1=$J45,IF(OR(AND(13=$I45+1,OR($K45&lt;&gt;'計算A'!$A$3,'計算A'!$A$4=0)),AND(13=$I45-1,OR(13&lt;&gt;'計算A'!$A$3,'計算A'!$A$4=0))),0,IF(13=$K45,200000,ABS(13-$K45)*100)),100000+ABS(1-$J45)*1000+130)+'計算A'!P$5*50+IF(AND($E45=1,JC45=0),25,0),INDEX('計算A'!P$110:P$114,$F45+1)+IF(AND($E45=1,JC45=0),1000,0)+IF($H45=1,(IF('計算A'!O$117=1,INDEX('計算A'!O$10:O$54,$B45),0)+IF('計算A'!P$117=1,INDEX('計算A'!Q$10:Q$54,$B45),0))*500,0)-IF(AND('計算A'!O$117=1,UM45&gt;0),300,0)-IF(AND($L45=1,'計算A'!P$117=1,DO45=0),300,0))),1000000))</f>
        <v/>
      </c>
      <c r="OS45">
        <f>IF($B45=0,1000000,IF(INDEX('計算A'!$D$60:$EQ$104,$B45,14)*DO45=1,IF(AND($E45=2,JD45=0),1000000,IF($I45&gt;0,IF(1=$J45,IF(OR(AND(14=$I45+1,OR($K45&lt;&gt;'計算A'!$A$3,'計算A'!$A$4=0)),AND(14=$I45-1,OR(14&lt;&gt;'計算A'!$A$3,'計算A'!$A$4=0))),0,IF(14=$K45,200000,ABS(14-$K45)*100)),100000+ABS(1-$J45)*1000+140)+'計算A'!Q$5*50+IF(AND($E45=1,JD45=0),25,0),INDEX('計算A'!Q$110:Q$114,$F45+1)+IF(AND($E45=1,JD45=0),1000,0)+IF($H45=1,(IF('計算A'!P$117=1,INDEX('計算A'!P$10:P$54,$B45),0)+IF('計算A'!Q$117=1,INDEX('計算A'!R$10:R$54,$B45),0))*500,0)-IF(AND('計算A'!P$117=1,UN45&gt;0),300,0)-IF(AND($L45=1,'計算A'!Q$117=1,DP45=0),300,0))),1000000))</f>
        <v/>
      </c>
      <c r="OT45">
        <f>IF($B45=0,1000000,IF(INDEX('計算A'!$D$60:$EQ$104,$B45,15)*DP45=1,IF(AND($E45=2,JE45=0),1000000,IF($I45&gt;0,IF(1=$J45,IF(OR(AND(15=$I45+1,OR($K45&lt;&gt;'計算A'!$A$3,'計算A'!$A$4=0)),AND(15=$I45-1,OR(15&lt;&gt;'計算A'!$A$3,'計算A'!$A$4=0))),0,IF(15=$K45,200000,ABS(15-$K45)*100)),100000+ABS(1-$J45)*1000+150)+'計算A'!R$5*50+IF(AND($E45=1,JE45=0),25,0),INDEX('計算A'!R$110:R$114,$F45+1)+IF(AND($E45=1,JE45=0),1000,0)+IF($H45=1,(IF('計算A'!Q$117=1,INDEX('計算A'!Q$10:Q$54,$B45),0)+IF('計算A'!R$117=1,INDEX('計算A'!S$10:S$54,$B45),0))*500,0)-IF(AND('計算A'!Q$117=1,UO45&gt;0),300,0)-IF(AND($L45=1,'計算A'!R$117=1,DQ45=0),300,0))),1000000))</f>
        <v/>
      </c>
      <c r="OU45">
        <f>IF($B45=0,1000000,IF(INDEX('計算A'!$D$60:$EQ$104,$B45,16)*DQ45=1,IF(AND($E45=2,JF45=0),1000000,IF($I45&gt;0,IF(1=$J45,IF(OR(AND(16=$I45+1,OR($K45&lt;&gt;'計算A'!$A$3,'計算A'!$A$4=0)),AND(16=$I45-1,OR(16&lt;&gt;'計算A'!$A$3,'計算A'!$A$4=0))),0,IF(16=$K45,200000,ABS(16-$K45)*100)),100000+ABS(1-$J45)*1000+160)+'計算A'!S$5*50+IF(AND($E45=1,JF45=0),25,0),INDEX('計算A'!S$110:S$114,$F45+1)+IF(AND($E45=1,JF45=0),1000,0)+IF($H45=1,(IF('計算A'!R$117=1,INDEX('計算A'!R$10:R$54,$B45),0)+IF('計算A'!S$117=1,INDEX('計算A'!T$10:T$54,$B45),0))*500,0)-IF(AND('計算A'!R$117=1,UP45&gt;0),300,0)-IF(AND($L45=1,'計算A'!S$117=1,DR45=0),300,0))),1000000))</f>
        <v/>
      </c>
      <c r="OV45">
        <f>IF($B45=0,1000000,IF(INDEX('計算A'!$D$60:$EQ$104,$B45,17)*DR45=1,IF(AND($E45=2,JG45=0),1000000,IF($I45&gt;0,IF(1=$J45,IF(OR(AND(17=$I45+1,OR($K45&lt;&gt;'計算A'!$A$3,'計算A'!$A$4=0)),AND(17=$I45-1,OR(17&lt;&gt;'計算A'!$A$3,'計算A'!$A$4=0))),0,IF(17=$K45,200000,ABS(17-$K45)*100)),100000+ABS(1-$J45)*1000+170)+'計算A'!T$5*50+IF(AND($E45=1,JG45=0),25,0),INDEX('計算A'!T$110:T$114,$F45+1)+IF(AND($E45=1,JG45=0),1000,0)+IF($H45=1,(IF('計算A'!S$117=1,INDEX('計算A'!S$10:S$54,$B45),0)+IF('計算A'!T$117=1,INDEX('計算A'!U$10:U$54,$B45),0))*500,0)-IF(AND('計算A'!S$117=1,UQ45&gt;0),300,0)-IF(AND($L45=1,'計算A'!T$117=1,DS45=0),300,0))),1000000))</f>
        <v/>
      </c>
      <c r="OW45">
        <f>IF($B45=0,1000000,IF(INDEX('計算A'!$D$60:$EQ$104,$B45,18)*DS45=1,IF(AND($E45=2,JH45=0),1000000,IF($I45&gt;0,IF(1=$J45,IF(OR(AND(18=$I45+1,OR($K45&lt;&gt;'計算A'!$A$3,'計算A'!$A$4=0)),AND(18=$I45-1,OR(18&lt;&gt;'計算A'!$A$3,'計算A'!$A$4=0))),0,IF(18=$K45,200000,ABS(18-$K45)*100)),100000+ABS(1-$J45)*1000+180)+'計算A'!U$5*50+IF(AND($E45=1,JH45=0),25,0),INDEX('計算A'!U$110:U$114,$F45+1)+IF(AND($E45=1,JH45=0),1000,0)+IF($H45=1,(IF('計算A'!T$117=1,INDEX('計算A'!T$10:T$54,$B45),0)+IF('計算A'!U$117=1,INDEX('計算A'!V$10:V$54,$B45),0))*500,0)-IF(AND('計算A'!T$117=1,UR45&gt;0),300,0)-IF(AND($L45=1,'計算A'!U$117=1,DT45=0),300,0))),1000000))</f>
        <v/>
      </c>
      <c r="OX45">
        <f>IF($B45=0,1000000,IF(INDEX('計算A'!$D$60:$EQ$104,$B45,19)*DT45=1,IF(AND($E45=2,JI45=0),1000000,IF($I45&gt;0,IF(1=$J45,IF(OR(AND(19=$I45+1,OR($K45&lt;&gt;'計算A'!$A$3,'計算A'!$A$4=0)),AND(19=$I45-1,OR(19&lt;&gt;'計算A'!$A$3,'計算A'!$A$4=0))),0,IF(19=$K45,200000,ABS(19-$K45)*100)),100000+ABS(1-$J45)*1000+190)+'計算A'!V$5*50+IF(AND($E45=1,JI45=0),25,0),INDEX('計算A'!V$110:V$114,$F45+1)+IF(AND($E45=1,JI45=0),1000,0)+IF($H45=1,(IF('計算A'!U$117=1,INDEX('計算A'!U$10:U$54,$B45),0)+IF('計算A'!V$117=1,INDEX('計算A'!W$10:W$54,$B45),0))*500,0)-IF(AND('計算A'!U$117=1,US45&gt;0),300,0)-IF(AND($L45=1,'計算A'!V$117=1,DU45=0),300,0))),1000000))</f>
        <v/>
      </c>
      <c r="OY45">
        <f>IF($B45=0,1000000,IF(INDEX('計算A'!$D$60:$EQ$104,$B45,20)*DU45=1,IF(AND($E45=2,JJ45=0),1000000,IF($I45&gt;0,IF(1=$J45,IF(OR(AND(20=$I45+1,OR($K45&lt;&gt;'計算A'!$A$3,'計算A'!$A$4=0)),AND(20=$I45-1,OR(20&lt;&gt;'計算A'!$A$3,'計算A'!$A$4=0))),0,IF(20=$K45,200000,ABS(20-$K45)*100)),100000+ABS(1-$J45)*1000+200)+'計算A'!W$5*50+IF(AND($E45=1,JJ45=0),25,0),INDEX('計算A'!W$110:W$114,$F45+1)+IF(AND($E45=1,JJ45=0),1000,0)+IF($H45=1,(IF('計算A'!V$117=1,INDEX('計算A'!V$10:V$54,$B45),0)+IF('計算A'!W$117=1,INDEX('計算A'!X$10:X$54,$B45),0))*500,0)-IF(AND('計算A'!V$117=1,UT45&gt;0),300,0)-IF(AND($L45=1,'計算A'!W$117=1,DV45=0),300,0))),1000000))</f>
        <v/>
      </c>
      <c r="OZ45">
        <f>IF($B45=0,1000000,IF(INDEX('計算A'!$D$60:$EQ$104,$B45,21)*DV45=1,IF(AND($E45=2,JK45=0),1000000,IF($I45&gt;0,IF(1=$J45,IF(OR(AND(21=$I45+1,OR($K45&lt;&gt;'計算A'!$A$3,'計算A'!$A$4=0)),AND(21=$I45-1,OR(21&lt;&gt;'計算A'!$A$3,'計算A'!$A$4=0))),0,IF(21=$K45,200000,ABS(21-$K45)*100)),100000+ABS(1-$J45)*1000+210)+'計算A'!X$5*50+IF(AND($E45=1,JK45=0),25,0),INDEX('計算A'!X$110:X$114,$F45+1)+IF(AND($E45=1,JK45=0),1000,0)+IF($H45=1,(IF('計算A'!W$117=1,INDEX('計算A'!W$10:W$54,$B45),0)+IF('計算A'!X$117=1,INDEX('計算A'!Y$10:Y$54,$B45),0))*500,0)-IF(AND('計算A'!W$117=1,UU45&gt;0),300,0)-IF(AND($L45=1,'計算A'!X$117=1,DW45=0),300,0))),1000000))</f>
        <v/>
      </c>
      <c r="PA45">
        <f>IF($B45=0,1000000,IF(INDEX('計算A'!$D$60:$EQ$104,$B45,22)*DW45=1,IF(AND($E45=2,JL45=0),1000000,IF($I45&gt;0,IF(1=$J45,IF(OR(AND(22=$I45+1,OR($K45&lt;&gt;'計算A'!$A$3,'計算A'!$A$4=0)),AND(22=$I45-1,OR(22&lt;&gt;'計算A'!$A$3,'計算A'!$A$4=0))),0,IF(22=$K45,200000,ABS(22-$K45)*100)),100000+ABS(1-$J45)*1000+220)+'計算A'!Y$5*50+IF(AND($E45=1,JL45=0),25,0),INDEX('計算A'!Y$110:Y$114,$F45+1)+IF(AND($E45=1,JL45=0),1000,0)+IF($H45=1,(IF('計算A'!X$117=1,INDEX('計算A'!X$10:X$54,$B45),0)+IF('計算A'!Y$117=1,INDEX('計算A'!Z$10:Z$54,$B45),0))*500,0)-IF(AND('計算A'!X$117=1,UV45&gt;0),300,0)-IF(AND($L45=1,'計算A'!Y$117=1,DX45=0),300,0))),1000000))</f>
        <v/>
      </c>
      <c r="PB45">
        <f>IF($B45=0,1000000,IF(INDEX('計算A'!$D$60:$EQ$104,$B45,23)*DX45=1,IF(AND($E45=2,JM45=0),1000000,IF($I45&gt;0,IF(1=$J45,IF(OR(AND(23=$I45+1,OR($K45&lt;&gt;'計算A'!$A$3,'計算A'!$A$4=0)),AND(23=$I45-1,OR(23&lt;&gt;'計算A'!$A$3,'計算A'!$A$4=0))),0,IF(23=$K45,200000,ABS(23-$K45)*100)),100000+ABS(1-$J45)*1000+230)+'計算A'!Z$5*50+IF(AND($E45=1,JM45=0),25,0),INDEX('計算A'!Z$110:Z$114,$F45+1)+IF(AND($E45=1,JM45=0),1000,0)+IF($H45=1,(IF('計算A'!Y$117=1,INDEX('計算A'!Y$10:Y$54,$B45),0)+IF('計算A'!Z$117=1,INDEX('計算A'!AA$10:AA$54,$B45),0))*500,0)-IF(AND('計算A'!Y$117=1,UW45&gt;0),300,0)-IF(AND($L45=1,'計算A'!Z$117=1,DY45=0),300,0))),1000000))</f>
        <v/>
      </c>
      <c r="PC45">
        <f>IF($B45=0,1000000,IF(INDEX('計算A'!$D$60:$EQ$104,$B45,24)*DY45=1,IF(AND($E45=2,JN45=0),1000000,IF($I45&gt;0,IF(1=$J45,IF(OR(AND(24=$I45+1,OR($K45&lt;&gt;'計算A'!$A$3,'計算A'!$A$4=0)),AND(24=$I45-1,OR(24&lt;&gt;'計算A'!$A$3,'計算A'!$A$4=0))),0,IF(24=$K45,200000,ABS(24-$K45)*100)),100000+ABS(1-$J45)*1000+240)+'計算A'!AA$5*50+IF(AND($E45=1,JN45=0),25,0),INDEX('計算A'!AA$110:AA$114,$F45+1)+IF(AND($E45=1,JN45=0),1000,0)+IF($H45=1,(IF('計算A'!Z$117=1,INDEX('計算A'!Z$10:Z$54,$B45),0))*500,0)-IF(AND('計算A'!Z$117=1,UX45&gt;0),300,0))),1000000))</f>
        <v/>
      </c>
      <c r="PD45">
        <f>IF($B45=0,1000000,IF(INDEX('計算A'!$D$60:$EQ$104,$B45,25)*DZ45=1,IF(AND($E45=2,JO45=0),1000000,IF($I45&gt;0,IF(2=$J45,IF(OR(AND(25=$I45+1,OR($K45&lt;&gt;'計算A'!$A$3,'計算A'!$A$4=0)),AND(25=$I45-1,OR(1&lt;&gt;'計算A'!$A$3,'計算A'!$A$4=0))),0,IF(1=$K45,200000,ABS(1-$K45)*100)),100000+ABS(2-$J45)*1000+10)+'計算A'!AB$5*50+IF(AND($E45=1,JO45=0),25,0),INDEX('計算A'!AB$110:AB$114,$F45+1)+IF(AND($E45=1,JO45=0),1000,0)+IF($H45=1,(IF('計算A'!AB$117=1,INDEX('計算A'!AC$10:AC$54,$B45),0))*500,0)-IF(AND($L45=1,'計算A'!AB$117=1,EA45=0),300,0))),1000000))</f>
        <v/>
      </c>
      <c r="PE45">
        <f>IF($B45=0,1000000,IF(INDEX('計算A'!$D$60:$EQ$104,$B45,26)*EA45=1,IF(AND($E45=2,JP45=0),1000000,IF($I45&gt;0,IF(2=$J45,IF(OR(AND(26=$I45+1,OR($K45&lt;&gt;'計算A'!$A$3,'計算A'!$A$4=0)),AND(26=$I45-1,OR(2&lt;&gt;'計算A'!$A$3,'計算A'!$A$4=0))),0,IF(2=$K45,200000,ABS(2-$K45)*100)),100000+ABS(2-$J45)*1000+20)+'計算A'!AC$5*50+IF(AND($E45=1,JP45=0),25,0),INDEX('計算A'!AC$110:AC$114,$F45+1)+IF(AND($E45=1,JP45=0),1000,0)+IF($H45=1,(IF('計算A'!AB$117=1,INDEX('計算A'!AB$10:AB$54,$B45),0)+IF('計算A'!AC$117=1,INDEX('計算A'!AD$10:AD$54,$B45),0))*500,0)-IF(AND('計算A'!AB$117=1,UZ45&gt;0),300,0)-IF(AND($L45=1,'計算A'!AC$117=1,EB45=0),300,0))),1000000))</f>
        <v/>
      </c>
      <c r="PF45">
        <f>IF($B45=0,1000000,IF(INDEX('計算A'!$D$60:$EQ$104,$B45,27)*EB45=1,IF(AND($E45=2,JQ45=0),1000000,IF($I45&gt;0,IF(2=$J45,IF(OR(AND(27=$I45+1,OR($K45&lt;&gt;'計算A'!$A$3,'計算A'!$A$4=0)),AND(27=$I45-1,OR(3&lt;&gt;'計算A'!$A$3,'計算A'!$A$4=0))),0,IF(3=$K45,200000,ABS(3-$K45)*100)),100000+ABS(2-$J45)*1000+30)+'計算A'!AD$5*50+IF(AND($E45=1,JQ45=0),25,0),INDEX('計算A'!AD$110:AD$114,$F45+1)+IF(AND($E45=1,JQ45=0),1000,0)+IF($H45=1,(IF('計算A'!AC$117=1,INDEX('計算A'!AC$10:AC$54,$B45),0)+IF('計算A'!AD$117=1,INDEX('計算A'!AE$10:AE$54,$B45),0))*500,0)-IF(AND('計算A'!AC$117=1,VA45&gt;0),300,0)-IF(AND($L45=1,'計算A'!AD$117=1,EC45=0),300,0))),1000000))</f>
        <v/>
      </c>
      <c r="PG45">
        <f>IF($B45=0,1000000,IF(INDEX('計算A'!$D$60:$EQ$104,$B45,28)*EC45=1,IF(AND($E45=2,JR45=0),1000000,IF($I45&gt;0,IF(2=$J45,IF(OR(AND(28=$I45+1,OR($K45&lt;&gt;'計算A'!$A$3,'計算A'!$A$4=0)),AND(28=$I45-1,OR(4&lt;&gt;'計算A'!$A$3,'計算A'!$A$4=0))),0,IF(4=$K45,200000,ABS(4-$K45)*100)),100000+ABS(2-$J45)*1000+40)+'計算A'!AE$5*50+IF(AND($E45=1,JR45=0),25,0),INDEX('計算A'!AE$110:AE$114,$F45+1)+IF(AND($E45=1,JR45=0),1000,0)+IF($H45=1,(IF('計算A'!AD$117=1,INDEX('計算A'!AD$10:AD$54,$B45),0)+IF('計算A'!AE$117=1,INDEX('計算A'!AF$10:AF$54,$B45),0))*500,0)-IF(AND('計算A'!AD$117=1,VB45&gt;0),300,0)-IF(AND($L45=1,'計算A'!AE$117=1,ED45=0),300,0))),1000000))</f>
        <v/>
      </c>
      <c r="PH45">
        <f>IF($B45=0,1000000,IF(INDEX('計算A'!$D$60:$EQ$104,$B45,29)*ED45=1,IF(AND($E45=2,JS45=0),1000000,IF($I45&gt;0,IF(2=$J45,IF(OR(AND(29=$I45+1,OR($K45&lt;&gt;'計算A'!$A$3,'計算A'!$A$4=0)),AND(29=$I45-1,OR(5&lt;&gt;'計算A'!$A$3,'計算A'!$A$4=0))),0,IF(5=$K45,200000,ABS(5-$K45)*100)),100000+ABS(2-$J45)*1000+50)+'計算A'!AF$5*50+IF(AND($E45=1,JS45=0),25,0),INDEX('計算A'!AF$110:AF$114,$F45+1)+IF(AND($E45=1,JS45=0),1000,0)+IF($H45=1,(IF('計算A'!AE$117=1,INDEX('計算A'!AE$10:AE$54,$B45),0)+IF('計算A'!AF$117=1,INDEX('計算A'!AG$10:AG$54,$B45),0))*500,0)-IF(AND('計算A'!AE$117=1,VC45&gt;0),300,0)-IF(AND($L45=1,'計算A'!AF$117=1,EE45=0),300,0))),1000000))</f>
        <v/>
      </c>
      <c r="PI45">
        <f>IF($B45=0,1000000,IF(INDEX('計算A'!$D$60:$EQ$104,$B45,30)*EE45=1,IF(AND($E45=2,JT45=0),1000000,IF($I45&gt;0,IF(2=$J45,IF(OR(AND(30=$I45+1,OR($K45&lt;&gt;'計算A'!$A$3,'計算A'!$A$4=0)),AND(30=$I45-1,OR(6&lt;&gt;'計算A'!$A$3,'計算A'!$A$4=0))),0,IF(6=$K45,200000,ABS(6-$K45)*100)),100000+ABS(2-$J45)*1000+60)+'計算A'!AG$5*50+IF(AND($E45=1,JT45=0),25,0),INDEX('計算A'!AG$110:AG$114,$F45+1)+IF(AND($E45=1,JT45=0),1000,0)+IF($H45=1,(IF('計算A'!AF$117=1,INDEX('計算A'!AF$10:AF$54,$B45),0)+IF('計算A'!AG$117=1,INDEX('計算A'!AH$10:AH$54,$B45),0))*500,0)-IF(AND('計算A'!AF$117=1,VD45&gt;0),300,0)-IF(AND($L45=1,'計算A'!AG$117=1,EF45=0),300,0))),1000000))</f>
        <v/>
      </c>
      <c r="PJ45">
        <f>IF($B45=0,1000000,IF(INDEX('計算A'!$D$60:$EQ$104,$B45,31)*EF45=1,IF(AND($E45=2,JU45=0),1000000,IF($I45&gt;0,IF(2=$J45,IF(OR(AND(31=$I45+1,OR($K45&lt;&gt;'計算A'!$A$3,'計算A'!$A$4=0)),AND(31=$I45-1,OR(7&lt;&gt;'計算A'!$A$3,'計算A'!$A$4=0))),0,IF(7=$K45,200000,ABS(7-$K45)*100)),100000+ABS(2-$J45)*1000+70)+'計算A'!AH$5*50+IF(AND($E45=1,JU45=0),25,0),INDEX('計算A'!AH$110:AH$114,$F45+1)+IF(AND($E45=1,JU45=0),1000,0)+IF($H45=1,(IF('計算A'!AG$117=1,INDEX('計算A'!AG$10:AG$54,$B45),0)+IF('計算A'!AH$117=1,INDEX('計算A'!AI$10:AI$54,$B45),0))*500,0)-IF(AND('計算A'!AG$117=1,VE45&gt;0),300,0)-IF(AND($L45=1,'計算A'!AH$117=1,EG45=0),300,0))),1000000))</f>
        <v/>
      </c>
      <c r="PK45">
        <f>IF($B45=0,1000000,IF(INDEX('計算A'!$D$60:$EQ$104,$B45,32)*EG45=1,IF(AND($E45=2,JV45=0),1000000,IF($I45&gt;0,IF(2=$J45,IF(OR(AND(32=$I45+1,OR($K45&lt;&gt;'計算A'!$A$3,'計算A'!$A$4=0)),AND(32=$I45-1,OR(8&lt;&gt;'計算A'!$A$3,'計算A'!$A$4=0))),0,IF(8=$K45,200000,ABS(8-$K45)*100)),100000+ABS(2-$J45)*1000+80)+'計算A'!AI$5*50+IF(AND($E45=1,JV45=0),25,0),INDEX('計算A'!AI$110:AI$114,$F45+1)+IF(AND($E45=1,JV45=0),1000,0)+IF($H45=1,(IF('計算A'!AH$117=1,INDEX('計算A'!AH$10:AH$54,$B45),0)+IF('計算A'!AI$117=1,INDEX('計算A'!AJ$10:AJ$54,$B45),0))*500,0)-IF(AND('計算A'!AH$117=1,VF45&gt;0),300,0)-IF(AND($L45=1,'計算A'!AI$117=1,EH45=0),300,0))),1000000))</f>
        <v/>
      </c>
      <c r="PL45">
        <f>IF($B45=0,1000000,IF(INDEX('計算A'!$D$60:$EQ$104,$B45,33)*EH45=1,IF(AND($E45=2,JW45=0),1000000,IF($I45&gt;0,IF(2=$J45,IF(OR(AND(33=$I45+1,OR($K45&lt;&gt;'計算A'!$A$3,'計算A'!$A$4=0)),AND(33=$I45-1,OR(9&lt;&gt;'計算A'!$A$3,'計算A'!$A$4=0))),0,IF(9=$K45,200000,ABS(9-$K45)*100)),100000+ABS(2-$J45)*1000+90)+'計算A'!AJ$5*50+IF(AND($E45=1,JW45=0),25,0),INDEX('計算A'!AJ$110:AJ$114,$F45+1)+IF(AND($E45=1,JW45=0),1000,0)+IF($H45=1,(IF('計算A'!AI$117=1,INDEX('計算A'!AI$10:AI$54,$B45),0)+IF('計算A'!AJ$117=1,INDEX('計算A'!AK$10:AK$54,$B45),0))*500,0)-IF(AND('計算A'!AI$117=1,VG45&gt;0),300,0)-IF(AND($L45=1,'計算A'!AJ$117=1,EI45=0),300,0))),1000000))</f>
        <v/>
      </c>
      <c r="PM45">
        <f>IF($B45=0,1000000,IF(INDEX('計算A'!$D$60:$EQ$104,$B45,34)*EI45=1,IF(AND($E45=2,JX45=0),1000000,IF($I45&gt;0,IF(2=$J45,IF(OR(AND(34=$I45+1,OR($K45&lt;&gt;'計算A'!$A$3,'計算A'!$A$4=0)),AND(34=$I45-1,OR(10&lt;&gt;'計算A'!$A$3,'計算A'!$A$4=0))),0,IF(10=$K45,200000,ABS(10-$K45)*100)),100000+ABS(2-$J45)*1000+100)+'計算A'!AK$5*50+IF(AND($E45=1,JX45=0),25,0),INDEX('計算A'!AK$110:AK$114,$F45+1)+IF(AND($E45=1,JX45=0),1000,0)+IF($H45=1,(IF('計算A'!AJ$117=1,INDEX('計算A'!AJ$10:AJ$54,$B45),0)+IF('計算A'!AK$117=1,INDEX('計算A'!AL$10:AL$54,$B45),0))*500,0)-IF(AND('計算A'!AJ$117=1,VH45&gt;0),300,0)-IF(AND($L45=1,'計算A'!AK$117=1,EJ45=0),300,0))),1000000))</f>
        <v/>
      </c>
      <c r="PN45">
        <f>IF($B45=0,1000000,IF(INDEX('計算A'!$D$60:$EQ$104,$B45,35)*EJ45=1,IF(AND($E45=2,JY45=0),1000000,IF($I45&gt;0,IF(2=$J45,IF(OR(AND(35=$I45+1,OR($K45&lt;&gt;'計算A'!$A$3,'計算A'!$A$4=0)),AND(35=$I45-1,OR(11&lt;&gt;'計算A'!$A$3,'計算A'!$A$4=0))),0,IF(11=$K45,200000,ABS(11-$K45)*100)),100000+ABS(2-$J45)*1000+110)+'計算A'!AL$5*50+IF(AND($E45=1,JY45=0),25,0),INDEX('計算A'!AL$110:AL$114,$F45+1)+IF(AND($E45=1,JY45=0),1000,0)+IF($H45=1,(IF('計算A'!AK$117=1,INDEX('計算A'!AK$10:AK$54,$B45),0)+IF('計算A'!AL$117=1,INDEX('計算A'!AM$10:AM$54,$B45),0))*500,0)-IF(AND('計算A'!AK$117=1,VI45&gt;0),300,0)-IF(AND($L45=1,'計算A'!AL$117=1,EK45=0),300,0))),1000000))</f>
        <v/>
      </c>
      <c r="PO45">
        <f>IF($B45=0,1000000,IF(INDEX('計算A'!$D$60:$EQ$104,$B45,36)*EK45=1,IF(AND($E45=2,JZ45=0),1000000,IF($I45&gt;0,IF(2=$J45,IF(OR(AND(36=$I45+1,OR($K45&lt;&gt;'計算A'!$A$3,'計算A'!$A$4=0)),AND(36=$I45-1,OR(12&lt;&gt;'計算A'!$A$3,'計算A'!$A$4=0))),0,IF(12=$K45,200000,ABS(12-$K45)*100)),100000+ABS(2-$J45)*1000+120)+'計算A'!AM$5*50+IF(AND($E45=1,JZ45=0),25,0),INDEX('計算A'!AM$110:AM$114,$F45+1)+IF(AND($E45=1,JZ45=0),1000,0)+IF($H45=1,(IF('計算A'!AL$117=1,INDEX('計算A'!AL$10:AL$54,$B45),0)+IF('計算A'!AM$117=1,INDEX('計算A'!AN$10:AN$54,$B45),0))*500,0)-IF(AND('計算A'!AL$117=1,VJ45&gt;0),300,0)-IF(AND($L45=1,'計算A'!AM$117=1,EL45=0),300,0))),1000000))</f>
        <v/>
      </c>
      <c r="PP45">
        <f>IF($B45=0,1000000,IF(INDEX('計算A'!$D$60:$EQ$104,$B45,37)*EL45=1,IF(AND($E45=2,KA45=0),1000000,IF($I45&gt;0,IF(2=$J45,IF(OR(AND(37=$I45+1,OR($K45&lt;&gt;'計算A'!$A$3,'計算A'!$A$4=0)),AND(37=$I45-1,OR(13&lt;&gt;'計算A'!$A$3,'計算A'!$A$4=0))),0,IF(13=$K45,200000,ABS(13-$K45)*100)),100000+ABS(2-$J45)*1000+130)+'計算A'!AN$5*50+IF(AND($E45=1,KA45=0),25,0),INDEX('計算A'!AN$110:AN$114,$F45+1)+IF(AND($E45=1,KA45=0),1000,0)+IF($H45=1,(IF('計算A'!AM$117=1,INDEX('計算A'!AM$10:AM$54,$B45),0)+IF('計算A'!AN$117=1,INDEX('計算A'!AO$10:AO$54,$B45),0))*500,0)-IF(AND('計算A'!AM$117=1,VK45&gt;0),300,0)-IF(AND($L45=1,'計算A'!AN$117=1,EM45=0),300,0))),1000000))</f>
        <v/>
      </c>
      <c r="PQ45">
        <f>IF($B45=0,1000000,IF(INDEX('計算A'!$D$60:$EQ$104,$B45,38)*EM45=1,IF(AND($E45=2,KB45=0),1000000,IF($I45&gt;0,IF(2=$J45,IF(OR(AND(38=$I45+1,OR($K45&lt;&gt;'計算A'!$A$3,'計算A'!$A$4=0)),AND(38=$I45-1,OR(14&lt;&gt;'計算A'!$A$3,'計算A'!$A$4=0))),0,IF(14=$K45,200000,ABS(14-$K45)*100)),100000+ABS(2-$J45)*1000+140)+'計算A'!AO$5*50+IF(AND($E45=1,KB45=0),25,0),INDEX('計算A'!AO$110:AO$114,$F45+1)+IF(AND($E45=1,KB45=0),1000,0)+IF($H45=1,(IF('計算A'!AN$117=1,INDEX('計算A'!AN$10:AN$54,$B45),0)+IF('計算A'!AO$117=1,INDEX('計算A'!AP$10:AP$54,$B45),0))*500,0)-IF(AND('計算A'!AN$117=1,VL45&gt;0),300,0)-IF(AND($L45=1,'計算A'!AO$117=1,EN45=0),300,0))),1000000))</f>
        <v/>
      </c>
      <c r="PR45">
        <f>IF($B45=0,1000000,IF(INDEX('計算A'!$D$60:$EQ$104,$B45,39)*EN45=1,IF(AND($E45=2,KC45=0),1000000,IF($I45&gt;0,IF(2=$J45,IF(OR(AND(39=$I45+1,OR($K45&lt;&gt;'計算A'!$A$3,'計算A'!$A$4=0)),AND(39=$I45-1,OR(15&lt;&gt;'計算A'!$A$3,'計算A'!$A$4=0))),0,IF(15=$K45,200000,ABS(15-$K45)*100)),100000+ABS(2-$J45)*1000+150)+'計算A'!AP$5*50+IF(AND($E45=1,KC45=0),25,0),INDEX('計算A'!AP$110:AP$114,$F45+1)+IF(AND($E45=1,KC45=0),1000,0)+IF($H45=1,(IF('計算A'!AO$117=1,INDEX('計算A'!AO$10:AO$54,$B45),0)+IF('計算A'!AP$117=1,INDEX('計算A'!AQ$10:AQ$54,$B45),0))*500,0)-IF(AND('計算A'!AO$117=1,VM45&gt;0),300,0)-IF(AND($L45=1,'計算A'!AP$117=1,EO45=0),300,0))),1000000))</f>
        <v/>
      </c>
      <c r="PS45">
        <f>IF($B45=0,1000000,IF(INDEX('計算A'!$D$60:$EQ$104,$B45,40)*EO45=1,IF(AND($E45=2,KD45=0),1000000,IF($I45&gt;0,IF(2=$J45,IF(OR(AND(40=$I45+1,OR($K45&lt;&gt;'計算A'!$A$3,'計算A'!$A$4=0)),AND(40=$I45-1,OR(16&lt;&gt;'計算A'!$A$3,'計算A'!$A$4=0))),0,IF(16=$K45,200000,ABS(16-$K45)*100)),100000+ABS(2-$J45)*1000+160)+'計算A'!AQ$5*50+IF(AND($E45=1,KD45=0),25,0),INDEX('計算A'!AQ$110:AQ$114,$F45+1)+IF(AND($E45=1,KD45=0),1000,0)+IF($H45=1,(IF('計算A'!AP$117=1,INDEX('計算A'!AP$10:AP$54,$B45),0)+IF('計算A'!AQ$117=1,INDEX('計算A'!AR$10:AR$54,$B45),0))*500,0)-IF(AND('計算A'!AP$117=1,VN45&gt;0),300,0)-IF(AND($L45=1,'計算A'!AQ$117=1,EP45=0),300,0))),1000000))</f>
        <v/>
      </c>
      <c r="PT45">
        <f>IF($B45=0,1000000,IF(INDEX('計算A'!$D$60:$EQ$104,$B45,41)*EP45=1,IF(AND($E45=2,KE45=0),1000000,IF($I45&gt;0,IF(2=$J45,IF(OR(AND(41=$I45+1,OR($K45&lt;&gt;'計算A'!$A$3,'計算A'!$A$4=0)),AND(41=$I45-1,OR(17&lt;&gt;'計算A'!$A$3,'計算A'!$A$4=0))),0,IF(17=$K45,200000,ABS(17-$K45)*100)),100000+ABS(2-$J45)*1000+170)+'計算A'!AR$5*50+IF(AND($E45=1,KE45=0),25,0),INDEX('計算A'!AR$110:AR$114,$F45+1)+IF(AND($E45=1,KE45=0),1000,0)+IF($H45=1,(IF('計算A'!AQ$117=1,INDEX('計算A'!AQ$10:AQ$54,$B45),0)+IF('計算A'!AR$117=1,INDEX('計算A'!AS$10:AS$54,$B45),0))*500,0)-IF(AND('計算A'!AQ$117=1,VO45&gt;0),300,0)-IF(AND($L45=1,'計算A'!AR$117=1,EQ45=0),300,0))),1000000))</f>
        <v/>
      </c>
      <c r="PU45">
        <f>IF($B45=0,1000000,IF(INDEX('計算A'!$D$60:$EQ$104,$B45,42)*EQ45=1,IF(AND($E45=2,KF45=0),1000000,IF($I45&gt;0,IF(2=$J45,IF(OR(AND(42=$I45+1,OR($K45&lt;&gt;'計算A'!$A$3,'計算A'!$A$4=0)),AND(42=$I45-1,OR(18&lt;&gt;'計算A'!$A$3,'計算A'!$A$4=0))),0,IF(18=$K45,200000,ABS(18-$K45)*100)),100000+ABS(2-$J45)*1000+180)+'計算A'!AS$5*50+IF(AND($E45=1,KF45=0),25,0),INDEX('計算A'!AS$110:AS$114,$F45+1)+IF(AND($E45=1,KF45=0),1000,0)+IF($H45=1,(IF('計算A'!AR$117=1,INDEX('計算A'!AR$10:AR$54,$B45),0)+IF('計算A'!AS$117=1,INDEX('計算A'!AT$10:AT$54,$B45),0))*500,0)-IF(AND('計算A'!AR$117=1,VP45&gt;0),300,0)-IF(AND($L45=1,'計算A'!AS$117=1,ER45=0),300,0))),1000000))</f>
        <v/>
      </c>
      <c r="PV45">
        <f>IF($B45=0,1000000,IF(INDEX('計算A'!$D$60:$EQ$104,$B45,43)*ER45=1,IF(AND($E45=2,KG45=0),1000000,IF($I45&gt;0,IF(2=$J45,IF(OR(AND(43=$I45+1,OR($K45&lt;&gt;'計算A'!$A$3,'計算A'!$A$4=0)),AND(43=$I45-1,OR(19&lt;&gt;'計算A'!$A$3,'計算A'!$A$4=0))),0,IF(19=$K45,200000,ABS(19-$K45)*100)),100000+ABS(2-$J45)*1000+190)+'計算A'!AT$5*50+IF(AND($E45=1,KG45=0),25,0),INDEX('計算A'!AT$110:AT$114,$F45+1)+IF(AND($E45=1,KG45=0),1000,0)+IF($H45=1,(IF('計算A'!AS$117=1,INDEX('計算A'!AS$10:AS$54,$B45),0)+IF('計算A'!AT$117=1,INDEX('計算A'!AU$10:AU$54,$B45),0))*500,0)-IF(AND('計算A'!AS$117=1,VQ45&gt;0),300,0)-IF(AND($L45=1,'計算A'!AT$117=1,ES45=0),300,0))),1000000))</f>
        <v/>
      </c>
      <c r="PW45">
        <f>IF($B45=0,1000000,IF(INDEX('計算A'!$D$60:$EQ$104,$B45,44)*ES45=1,IF(AND($E45=2,KH45=0),1000000,IF($I45&gt;0,IF(2=$J45,IF(OR(AND(44=$I45+1,OR($K45&lt;&gt;'計算A'!$A$3,'計算A'!$A$4=0)),AND(44=$I45-1,OR(20&lt;&gt;'計算A'!$A$3,'計算A'!$A$4=0))),0,IF(20=$K45,200000,ABS(20-$K45)*100)),100000+ABS(2-$J45)*1000+200)+'計算A'!AU$5*50+IF(AND($E45=1,KH45=0),25,0),INDEX('計算A'!AU$110:AU$114,$F45+1)+IF(AND($E45=1,KH45=0),1000,0)+IF($H45=1,(IF('計算A'!AT$117=1,INDEX('計算A'!AT$10:AT$54,$B45),0)+IF('計算A'!AU$117=1,INDEX('計算A'!AV$10:AV$54,$B45),0))*500,0)-IF(AND('計算A'!AT$117=1,VR45&gt;0),300,0)-IF(AND($L45=1,'計算A'!AU$117=1,ET45=0),300,0))),1000000))</f>
        <v/>
      </c>
      <c r="PX45">
        <f>IF($B45=0,1000000,IF(INDEX('計算A'!$D$60:$EQ$104,$B45,45)*ET45=1,IF(AND($E45=2,KI45=0),1000000,IF($I45&gt;0,IF(2=$J45,IF(OR(AND(45=$I45+1,OR($K45&lt;&gt;'計算A'!$A$3,'計算A'!$A$4=0)),AND(45=$I45-1,OR(21&lt;&gt;'計算A'!$A$3,'計算A'!$A$4=0))),0,IF(21=$K45,200000,ABS(21-$K45)*100)),100000+ABS(2-$J45)*1000+210)+'計算A'!AV$5*50+IF(AND($E45=1,KI45=0),25,0),INDEX('計算A'!AV$110:AV$114,$F45+1)+IF(AND($E45=1,KI45=0),1000,0)+IF($H45=1,(IF('計算A'!AU$117=1,INDEX('計算A'!AU$10:AU$54,$B45),0)+IF('計算A'!AV$117=1,INDEX('計算A'!AW$10:AW$54,$B45),0))*500,0)-IF(AND('計算A'!AU$117=1,VS45&gt;0),300,0)-IF(AND($L45=1,'計算A'!AV$117=1,EU45=0),300,0))),1000000))</f>
        <v/>
      </c>
      <c r="PY45">
        <f>IF($B45=0,1000000,IF(INDEX('計算A'!$D$60:$EQ$104,$B45,46)*EU45=1,IF(AND($E45=2,KJ45=0),1000000,IF($I45&gt;0,IF(2=$J45,IF(OR(AND(46=$I45+1,OR($K45&lt;&gt;'計算A'!$A$3,'計算A'!$A$4=0)),AND(46=$I45-1,OR(22&lt;&gt;'計算A'!$A$3,'計算A'!$A$4=0))),0,IF(22=$K45,200000,ABS(22-$K45)*100)),100000+ABS(2-$J45)*1000+220)+'計算A'!AW$5*50+IF(AND($E45=1,KJ45=0),25,0),INDEX('計算A'!AW$110:AW$114,$F45+1)+IF(AND($E45=1,KJ45=0),1000,0)+IF($H45=1,(IF('計算A'!AV$117=1,INDEX('計算A'!AV$10:AV$54,$B45),0)+IF('計算A'!AW$117=1,INDEX('計算A'!AX$10:AX$54,$B45),0))*500,0)-IF(AND('計算A'!AV$117=1,VT45&gt;0),300,0)-IF(AND($L45=1,'計算A'!AW$117=1,EV45=0),300,0))),1000000))</f>
        <v/>
      </c>
      <c r="PZ45">
        <f>IF($B45=0,1000000,IF(INDEX('計算A'!$D$60:$EQ$104,$B45,47)*EV45=1,IF(AND($E45=2,KK45=0),1000000,IF($I45&gt;0,IF(2=$J45,IF(OR(AND(47=$I45+1,OR($K45&lt;&gt;'計算A'!$A$3,'計算A'!$A$4=0)),AND(47=$I45-1,OR(23&lt;&gt;'計算A'!$A$3,'計算A'!$A$4=0))),0,IF(23=$K45,200000,ABS(23-$K45)*100)),100000+ABS(2-$J45)*1000+230)+'計算A'!AX$5*50+IF(AND($E45=1,KK45=0),25,0),INDEX('計算A'!AX$110:AX$114,$F45+1)+IF(AND($E45=1,KK45=0),1000,0)+IF($H45=1,(IF('計算A'!AW$117=1,INDEX('計算A'!AW$10:AW$54,$B45),0)+IF('計算A'!AX$117=1,INDEX('計算A'!AY$10:AY$54,$B45),0))*500,0)-IF(AND('計算A'!AW$117=1,VU45&gt;0),300,0)-IF(AND($L45=1,'計算A'!AX$117=1,EW45=0),300,0))),1000000))</f>
        <v/>
      </c>
      <c r="QA45">
        <f>IF($B45=0,1000000,IF(INDEX('計算A'!$D$60:$EQ$104,$B45,48)*EW45=1,IF(AND($E45=2,KL45=0),1000000,IF($I45&gt;0,IF(2=$J45,IF(OR(AND(48=$I45+1,OR($K45&lt;&gt;'計算A'!$A$3,'計算A'!$A$4=0)),AND(48=$I45-1,OR(24&lt;&gt;'計算A'!$A$3,'計算A'!$A$4=0))),0,IF(24=$K45,200000,ABS(24-$K45)*100)),100000+ABS(2-$J45)*1000+240)+'計算A'!AY$5*50+IF(AND($E45=1,KL45=0),25,0),INDEX('計算A'!AY$110:AY$114,$F45+1)+IF(AND($E45=1,KL45=0),1000,0)+IF($H45=1,(IF('計算A'!AX$117=1,INDEX('計算A'!AX$10:AX$54,$B45),0))*500,0)-IF(AND('計算A'!AX$117=1,VV45&gt;0),300,0))),1000000))</f>
        <v/>
      </c>
      <c r="QB45">
        <f>IF($B45=0,1000000,IF(INDEX('計算A'!$D$60:$EQ$104,$B45,49)*EX45=1,IF(AND($E45=2,KM45=0),1000000,IF($I45&gt;0,IF(3=$J45,IF(OR(AND(49=$I45+1,OR($K45&lt;&gt;'計算A'!$A$3,'計算A'!$A$4=0)),AND(49=$I45-1,OR(1&lt;&gt;'計算A'!$A$3,'計算A'!$A$4=0))),0,IF(1=$K45,200000,ABS(1-$K45)*100)),100000+ABS(3-$J45)*1000+10)+'計算A'!AZ$5*50+IF(AND($E45=1,KM45=0),25,0),INDEX('計算A'!AZ$110:AZ$114,$F45+1)+IF(AND($E45=1,KM45=0),1000,0)+IF($H45=1,(IF('計算A'!AZ$117=1,INDEX('計算A'!BA$10:BA$54,$B45),0))*500,0)-IF(AND($L45=1,'計算A'!AZ$117=1,EY45=0),300,0))),1000000))</f>
        <v/>
      </c>
      <c r="QC45">
        <f>IF($B45=0,1000000,IF(INDEX('計算A'!$D$60:$EQ$104,$B45,50)*EY45=1,IF(AND($E45=2,KN45=0),1000000,IF($I45&gt;0,IF(3=$J45,IF(OR(AND(50=$I45+1,OR($K45&lt;&gt;'計算A'!$A$3,'計算A'!$A$4=0)),AND(50=$I45-1,OR(2&lt;&gt;'計算A'!$A$3,'計算A'!$A$4=0))),0,IF(2=$K45,200000,ABS(2-$K45)*100)),100000+ABS(3-$J45)*1000+20)+'計算A'!BA$5*50+IF(AND($E45=1,KN45=0),25,0),INDEX('計算A'!BA$110:BA$114,$F45+1)+IF(AND($E45=1,KN45=0),1000,0)+IF($H45=1,(IF('計算A'!AZ$117=1,INDEX('計算A'!AZ$10:AZ$54,$B45),0)+IF('計算A'!BA$117=1,INDEX('計算A'!BB$10:BB$54,$B45),0))*500,0)-IF(AND('計算A'!AZ$117=1,VX45&gt;0),300,0)-IF(AND($L45=1,'計算A'!BA$117=1,EZ45=0),300,0))),1000000))</f>
        <v/>
      </c>
      <c r="QD45">
        <f>IF($B45=0,1000000,IF(INDEX('計算A'!$D$60:$EQ$104,$B45,51)*EZ45=1,IF(AND($E45=2,KO45=0),1000000,IF($I45&gt;0,IF(3=$J45,IF(OR(AND(51=$I45+1,OR($K45&lt;&gt;'計算A'!$A$3,'計算A'!$A$4=0)),AND(51=$I45-1,OR(3&lt;&gt;'計算A'!$A$3,'計算A'!$A$4=0))),0,IF(3=$K45,200000,ABS(3-$K45)*100)),100000+ABS(3-$J45)*1000+30)+'計算A'!BB$5*50+IF(AND($E45=1,KO45=0),25,0),INDEX('計算A'!BB$110:BB$114,$F45+1)+IF(AND($E45=1,KO45=0),1000,0)+IF($H45=1,(IF('計算A'!BA$117=1,INDEX('計算A'!BA$10:BA$54,$B45),0)+IF('計算A'!BB$117=1,INDEX('計算A'!BC$10:BC$54,$B45),0))*500,0)-IF(AND('計算A'!BA$117=1,VY45&gt;0),300,0)-IF(AND($L45=1,'計算A'!BB$117=1,FA45=0),300,0))),1000000))</f>
        <v/>
      </c>
      <c r="QE45">
        <f>IF($B45=0,1000000,IF(INDEX('計算A'!$D$60:$EQ$104,$B45,52)*FA45=1,IF(AND($E45=2,KP45=0),1000000,IF($I45&gt;0,IF(3=$J45,IF(OR(AND(52=$I45+1,OR($K45&lt;&gt;'計算A'!$A$3,'計算A'!$A$4=0)),AND(52=$I45-1,OR(4&lt;&gt;'計算A'!$A$3,'計算A'!$A$4=0))),0,IF(4=$K45,200000,ABS(4-$K45)*100)),100000+ABS(3-$J45)*1000+40)+'計算A'!BC$5*50+IF(AND($E45=1,KP45=0),25,0),INDEX('計算A'!BC$110:BC$114,$F45+1)+IF(AND($E45=1,KP45=0),1000,0)+IF($H45=1,(IF('計算A'!BB$117=1,INDEX('計算A'!BB$10:BB$54,$B45),0)+IF('計算A'!BC$117=1,INDEX('計算A'!BD$10:BD$54,$B45),0))*500,0)-IF(AND('計算A'!BB$117=1,VZ45&gt;0),300,0)-IF(AND($L45=1,'計算A'!BC$117=1,FB45=0),300,0))),1000000))</f>
        <v/>
      </c>
      <c r="QF45">
        <f>IF($B45=0,1000000,IF(INDEX('計算A'!$D$60:$EQ$104,$B45,53)*FB45=1,IF(AND($E45=2,KQ45=0),1000000,IF($I45&gt;0,IF(3=$J45,IF(OR(AND(53=$I45+1,OR($K45&lt;&gt;'計算A'!$A$3,'計算A'!$A$4=0)),AND(53=$I45-1,OR(5&lt;&gt;'計算A'!$A$3,'計算A'!$A$4=0))),0,IF(5=$K45,200000,ABS(5-$K45)*100)),100000+ABS(3-$J45)*1000+50)+'計算A'!BD$5*50+IF(AND($E45=1,KQ45=0),25,0),INDEX('計算A'!BD$110:BD$114,$F45+1)+IF(AND($E45=1,KQ45=0),1000,0)+IF($H45=1,(IF('計算A'!BC$117=1,INDEX('計算A'!BC$10:BC$54,$B45),0)+IF('計算A'!BD$117=1,INDEX('計算A'!BE$10:BE$54,$B45),0))*500,0)-IF(AND('計算A'!BC$117=1,WA45&gt;0),300,0)-IF(AND($L45=1,'計算A'!BD$117=1,FC45=0),300,0))),1000000))</f>
        <v/>
      </c>
      <c r="QG45">
        <f>IF($B45=0,1000000,IF(INDEX('計算A'!$D$60:$EQ$104,$B45,54)*FC45=1,IF(AND($E45=2,KR45=0),1000000,IF($I45&gt;0,IF(3=$J45,IF(OR(AND(54=$I45+1,OR($K45&lt;&gt;'計算A'!$A$3,'計算A'!$A$4=0)),AND(54=$I45-1,OR(6&lt;&gt;'計算A'!$A$3,'計算A'!$A$4=0))),0,IF(6=$K45,200000,ABS(6-$K45)*100)),100000+ABS(3-$J45)*1000+60)+'計算A'!BE$5*50+IF(AND($E45=1,KR45=0),25,0),INDEX('計算A'!BE$110:BE$114,$F45+1)+IF(AND($E45=1,KR45=0),1000,0)+IF($H45=1,(IF('計算A'!BD$117=1,INDEX('計算A'!BD$10:BD$54,$B45),0)+IF('計算A'!BE$117=1,INDEX('計算A'!BF$10:BF$54,$B45),0))*500,0)-IF(AND('計算A'!BD$117=1,WB45&gt;0),300,0)-IF(AND($L45=1,'計算A'!BE$117=1,FD45=0),300,0))),1000000))</f>
        <v/>
      </c>
      <c r="QH45">
        <f>IF($B45=0,1000000,IF(INDEX('計算A'!$D$60:$EQ$104,$B45,55)*FD45=1,IF(AND($E45=2,KS45=0),1000000,IF($I45&gt;0,IF(3=$J45,IF(OR(AND(55=$I45+1,OR($K45&lt;&gt;'計算A'!$A$3,'計算A'!$A$4=0)),AND(55=$I45-1,OR(7&lt;&gt;'計算A'!$A$3,'計算A'!$A$4=0))),0,IF(7=$K45,200000,ABS(7-$K45)*100)),100000+ABS(3-$J45)*1000+70)+'計算A'!BF$5*50+IF(AND($E45=1,KS45=0),25,0),INDEX('計算A'!BF$110:BF$114,$F45+1)+IF(AND($E45=1,KS45=0),1000,0)+IF($H45=1,(IF('計算A'!BE$117=1,INDEX('計算A'!BE$10:BE$54,$B45),0)+IF('計算A'!BF$117=1,INDEX('計算A'!BG$10:BG$54,$B45),0))*500,0)-IF(AND('計算A'!BE$117=1,WC45&gt;0),300,0)-IF(AND($L45=1,'計算A'!BF$117=1,FE45=0),300,0))),1000000))</f>
        <v/>
      </c>
      <c r="QI45">
        <f>IF($B45=0,1000000,IF(INDEX('計算A'!$D$60:$EQ$104,$B45,56)*FE45=1,IF(AND($E45=2,KT45=0),1000000,IF($I45&gt;0,IF(3=$J45,IF(OR(AND(56=$I45+1,OR($K45&lt;&gt;'計算A'!$A$3,'計算A'!$A$4=0)),AND(56=$I45-1,OR(8&lt;&gt;'計算A'!$A$3,'計算A'!$A$4=0))),0,IF(8=$K45,200000,ABS(8-$K45)*100)),100000+ABS(3-$J45)*1000+80)+'計算A'!BG$5*50+IF(AND($E45=1,KT45=0),25,0),INDEX('計算A'!BG$110:BG$114,$F45+1)+IF(AND($E45=1,KT45=0),1000,0)+IF($H45=1,(IF('計算A'!BF$117=1,INDEX('計算A'!BF$10:BF$54,$B45),0)+IF('計算A'!BG$117=1,INDEX('計算A'!BH$10:BH$54,$B45),0))*500,0)-IF(AND('計算A'!BF$117=1,WD45&gt;0),300,0)-IF(AND($L45=1,'計算A'!BG$117=1,FF45=0),300,0))),1000000))</f>
        <v/>
      </c>
      <c r="QJ45">
        <f>IF($B45=0,1000000,IF(INDEX('計算A'!$D$60:$EQ$104,$B45,57)*FF45=1,IF(AND($E45=2,KU45=0),1000000,IF($I45&gt;0,IF(3=$J45,IF(OR(AND(57=$I45+1,OR($K45&lt;&gt;'計算A'!$A$3,'計算A'!$A$4=0)),AND(57=$I45-1,OR(9&lt;&gt;'計算A'!$A$3,'計算A'!$A$4=0))),0,IF(9=$K45,200000,ABS(9-$K45)*100)),100000+ABS(3-$J45)*1000+90)+'計算A'!BH$5*50+IF(AND($E45=1,KU45=0),25,0),INDEX('計算A'!BH$110:BH$114,$F45+1)+IF(AND($E45=1,KU45=0),1000,0)+IF($H45=1,(IF('計算A'!BG$117=1,INDEX('計算A'!BG$10:BG$54,$B45),0)+IF('計算A'!BH$117=1,INDEX('計算A'!BI$10:BI$54,$B45),0))*500,0)-IF(AND('計算A'!BG$117=1,WE45&gt;0),300,0)-IF(AND($L45=1,'計算A'!BH$117=1,FG45=0),300,0))),1000000))</f>
        <v/>
      </c>
      <c r="QK45">
        <f>IF($B45=0,1000000,IF(INDEX('計算A'!$D$60:$EQ$104,$B45,58)*FG45=1,IF(AND($E45=2,KV45=0),1000000,IF($I45&gt;0,IF(3=$J45,IF(OR(AND(58=$I45+1,OR($K45&lt;&gt;'計算A'!$A$3,'計算A'!$A$4=0)),AND(58=$I45-1,OR(10&lt;&gt;'計算A'!$A$3,'計算A'!$A$4=0))),0,IF(10=$K45,200000,ABS(10-$K45)*100)),100000+ABS(3-$J45)*1000+100)+'計算A'!BI$5*50+IF(AND($E45=1,KV45=0),25,0),INDEX('計算A'!BI$110:BI$114,$F45+1)+IF(AND($E45=1,KV45=0),1000,0)+IF($H45=1,(IF('計算A'!BH$117=1,INDEX('計算A'!BH$10:BH$54,$B45),0)+IF('計算A'!BI$117=1,INDEX('計算A'!BJ$10:BJ$54,$B45),0))*500,0)-IF(AND('計算A'!BH$117=1,WF45&gt;0),300,0)-IF(AND($L45=1,'計算A'!BI$117=1,FH45=0),300,0))),1000000))</f>
        <v/>
      </c>
      <c r="QL45">
        <f>IF($B45=0,1000000,IF(INDEX('計算A'!$D$60:$EQ$104,$B45,59)*FH45=1,IF(AND($E45=2,KW45=0),1000000,IF($I45&gt;0,IF(3=$J45,IF(OR(AND(59=$I45+1,OR($K45&lt;&gt;'計算A'!$A$3,'計算A'!$A$4=0)),AND(59=$I45-1,OR(11&lt;&gt;'計算A'!$A$3,'計算A'!$A$4=0))),0,IF(11=$K45,200000,ABS(11-$K45)*100)),100000+ABS(3-$J45)*1000+110)+'計算A'!BJ$5*50+IF(AND($E45=1,KW45=0),25,0),INDEX('計算A'!BJ$110:BJ$114,$F45+1)+IF(AND($E45=1,KW45=0),1000,0)+IF($H45=1,(IF('計算A'!BI$117=1,INDEX('計算A'!BI$10:BI$54,$B45),0)+IF('計算A'!BJ$117=1,INDEX('計算A'!BK$10:BK$54,$B45),0))*500,0)-IF(AND('計算A'!BI$117=1,WG45&gt;0),300,0)-IF(AND($L45=1,'計算A'!BJ$117=1,FI45=0),300,0))),1000000))</f>
        <v/>
      </c>
      <c r="QM45">
        <f>IF($B45=0,1000000,IF(INDEX('計算A'!$D$60:$EQ$104,$B45,60)*FI45=1,IF(AND($E45=2,KX45=0),1000000,IF($I45&gt;0,IF(3=$J45,IF(OR(AND(60=$I45+1,OR($K45&lt;&gt;'計算A'!$A$3,'計算A'!$A$4=0)),AND(60=$I45-1,OR(12&lt;&gt;'計算A'!$A$3,'計算A'!$A$4=0))),0,IF(12=$K45,200000,ABS(12-$K45)*100)),100000+ABS(3-$J45)*1000+120)+'計算A'!BK$5*50+IF(AND($E45=1,KX45=0),25,0),INDEX('計算A'!BK$110:BK$114,$F45+1)+IF(AND($E45=1,KX45=0),1000,0)+IF($H45=1,(IF('計算A'!BJ$117=1,INDEX('計算A'!BJ$10:BJ$54,$B45),0)+IF('計算A'!BK$117=1,INDEX('計算A'!BL$10:BL$54,$B45),0))*500,0)-IF(AND('計算A'!BJ$117=1,WH45&gt;0),300,0)-IF(AND($L45=1,'計算A'!BK$117=1,FJ45=0),300,0))),1000000))</f>
        <v/>
      </c>
      <c r="QN45">
        <f>IF($B45=0,1000000,IF(INDEX('計算A'!$D$60:$EQ$104,$B45,61)*FJ45=1,IF(AND($E45=2,KY45=0),1000000,IF($I45&gt;0,IF(3=$J45,IF(OR(AND(61=$I45+1,OR($K45&lt;&gt;'計算A'!$A$3,'計算A'!$A$4=0)),AND(61=$I45-1,OR(13&lt;&gt;'計算A'!$A$3,'計算A'!$A$4=0))),0,IF(13=$K45,200000,ABS(13-$K45)*100)),100000+ABS(3-$J45)*1000+130)+'計算A'!BL$5*50+IF(AND($E45=1,KY45=0),25,0),INDEX('計算A'!BL$110:BL$114,$F45+1)+IF(AND($E45=1,KY45=0),1000,0)+IF($H45=1,(IF('計算A'!BK$117=1,INDEX('計算A'!BK$10:BK$54,$B45),0)+IF('計算A'!BL$117=1,INDEX('計算A'!BM$10:BM$54,$B45),0))*500,0)-IF(AND('計算A'!BK$117=1,WI45&gt;0),300,0)-IF(AND($L45=1,'計算A'!BL$117=1,FK45=0),300,0))),1000000))</f>
        <v/>
      </c>
      <c r="QO45">
        <f>IF($B45=0,1000000,IF(INDEX('計算A'!$D$60:$EQ$104,$B45,62)*FK45=1,IF(AND($E45=2,KZ45=0),1000000,IF($I45&gt;0,IF(3=$J45,IF(OR(AND(62=$I45+1,OR($K45&lt;&gt;'計算A'!$A$3,'計算A'!$A$4=0)),AND(62=$I45-1,OR(14&lt;&gt;'計算A'!$A$3,'計算A'!$A$4=0))),0,IF(14=$K45,200000,ABS(14-$K45)*100)),100000+ABS(3-$J45)*1000+140)+'計算A'!BM$5*50+IF(AND($E45=1,KZ45=0),25,0),INDEX('計算A'!BM$110:BM$114,$F45+1)+IF(AND($E45=1,KZ45=0),1000,0)+IF($H45=1,(IF('計算A'!BL$117=1,INDEX('計算A'!BL$10:BL$54,$B45),0)+IF('計算A'!BM$117=1,INDEX('計算A'!BN$10:BN$54,$B45),0))*500,0)-IF(AND('計算A'!BL$117=1,WJ45&gt;0),300,0)-IF(AND($L45=1,'計算A'!BM$117=1,FL45=0),300,0))),1000000))</f>
        <v/>
      </c>
      <c r="QP45">
        <f>IF($B45=0,1000000,IF(INDEX('計算A'!$D$60:$EQ$104,$B45,63)*FL45=1,IF(AND($E45=2,LA45=0),1000000,IF($I45&gt;0,IF(3=$J45,IF(OR(AND(63=$I45+1,OR($K45&lt;&gt;'計算A'!$A$3,'計算A'!$A$4=0)),AND(63=$I45-1,OR(15&lt;&gt;'計算A'!$A$3,'計算A'!$A$4=0))),0,IF(15=$K45,200000,ABS(15-$K45)*100)),100000+ABS(3-$J45)*1000+150)+'計算A'!BN$5*50+IF(AND($E45=1,LA45=0),25,0),INDEX('計算A'!BN$110:BN$114,$F45+1)+IF(AND($E45=1,LA45=0),1000,0)+IF($H45=1,(IF('計算A'!BM$117=1,INDEX('計算A'!BM$10:BM$54,$B45),0)+IF('計算A'!BN$117=1,INDEX('計算A'!BO$10:BO$54,$B45),0))*500,0)-IF(AND('計算A'!BM$117=1,WK45&gt;0),300,0)-IF(AND($L45=1,'計算A'!BN$117=1,FM45=0),300,0))),1000000))</f>
        <v/>
      </c>
      <c r="QQ45">
        <f>IF($B45=0,1000000,IF(INDEX('計算A'!$D$60:$EQ$104,$B45,64)*FM45=1,IF(AND($E45=2,LB45=0),1000000,IF($I45&gt;0,IF(3=$J45,IF(OR(AND(64=$I45+1,OR($K45&lt;&gt;'計算A'!$A$3,'計算A'!$A$4=0)),AND(64=$I45-1,OR(16&lt;&gt;'計算A'!$A$3,'計算A'!$A$4=0))),0,IF(16=$K45,200000,ABS(16-$K45)*100)),100000+ABS(3-$J45)*1000+160)+'計算A'!BO$5*50+IF(AND($E45=1,LB45=0),25,0),INDEX('計算A'!BO$110:BO$114,$F45+1)+IF(AND($E45=1,LB45=0),1000,0)+IF($H45=1,(IF('計算A'!BN$117=1,INDEX('計算A'!BN$10:BN$54,$B45),0)+IF('計算A'!BO$117=1,INDEX('計算A'!BP$10:BP$54,$B45),0))*500,0)-IF(AND('計算A'!BN$117=1,WL45&gt;0),300,0)-IF(AND($L45=1,'計算A'!BO$117=1,FN45=0),300,0))),1000000))</f>
        <v/>
      </c>
      <c r="QR45">
        <f>IF($B45=0,1000000,IF(INDEX('計算A'!$D$60:$EQ$104,$B45,65)*FN45=1,IF(AND($E45=2,LC45=0),1000000,IF($I45&gt;0,IF(3=$J45,IF(OR(AND(65=$I45+1,OR($K45&lt;&gt;'計算A'!$A$3,'計算A'!$A$4=0)),AND(65=$I45-1,OR(17&lt;&gt;'計算A'!$A$3,'計算A'!$A$4=0))),0,IF(17=$K45,200000,ABS(17-$K45)*100)),100000+ABS(3-$J45)*1000+170)+'計算A'!BP$5*50+IF(AND($E45=1,LC45=0),25,0),INDEX('計算A'!BP$110:BP$114,$F45+1)+IF(AND($E45=1,LC45=0),1000,0)+IF($H45=1,(IF('計算A'!BO$117=1,INDEX('計算A'!BO$10:BO$54,$B45),0)+IF('計算A'!BP$117=1,INDEX('計算A'!BQ$10:BQ$54,$B45),0))*500,0)-IF(AND('計算A'!BO$117=1,WM45&gt;0),300,0)-IF(AND($L45=1,'計算A'!BP$117=1,FO45=0),300,0))),1000000))</f>
        <v/>
      </c>
      <c r="QS45">
        <f>IF($B45=0,1000000,IF(INDEX('計算A'!$D$60:$EQ$104,$B45,66)*FO45=1,IF(AND($E45=2,LD45=0),1000000,IF($I45&gt;0,IF(3=$J45,IF(OR(AND(66=$I45+1,OR($K45&lt;&gt;'計算A'!$A$3,'計算A'!$A$4=0)),AND(66=$I45-1,OR(18&lt;&gt;'計算A'!$A$3,'計算A'!$A$4=0))),0,IF(18=$K45,200000,ABS(18-$K45)*100)),100000+ABS(3-$J45)*1000+180)+'計算A'!BQ$5*50+IF(AND($E45=1,LD45=0),25,0),INDEX('計算A'!BQ$110:BQ$114,$F45+1)+IF(AND($E45=1,LD45=0),1000,0)+IF($H45=1,(IF('計算A'!BP$117=1,INDEX('計算A'!BP$10:BP$54,$B45),0)+IF('計算A'!BQ$117=1,INDEX('計算A'!BR$10:BR$54,$B45),0))*500,0)-IF(AND('計算A'!BP$117=1,WN45&gt;0),300,0)-IF(AND($L45=1,'計算A'!BQ$117=1,FP45=0),300,0))),1000000))</f>
        <v/>
      </c>
      <c r="QT45">
        <f>IF($B45=0,1000000,IF(INDEX('計算A'!$D$60:$EQ$104,$B45,67)*FP45=1,IF(AND($E45=2,LE45=0),1000000,IF($I45&gt;0,IF(3=$J45,IF(OR(AND(67=$I45+1,OR($K45&lt;&gt;'計算A'!$A$3,'計算A'!$A$4=0)),AND(67=$I45-1,OR(19&lt;&gt;'計算A'!$A$3,'計算A'!$A$4=0))),0,IF(19=$K45,200000,ABS(19-$K45)*100)),100000+ABS(3-$J45)*1000+190)+'計算A'!BR$5*50+IF(AND($E45=1,LE45=0),25,0),INDEX('計算A'!BR$110:BR$114,$F45+1)+IF(AND($E45=1,LE45=0),1000,0)+IF($H45=1,(IF('計算A'!BQ$117=1,INDEX('計算A'!BQ$10:BQ$54,$B45),0)+IF('計算A'!BR$117=1,INDEX('計算A'!BS$10:BS$54,$B45),0))*500,0)-IF(AND('計算A'!BQ$117=1,WO45&gt;0),300,0)-IF(AND($L45=1,'計算A'!BR$117=1,FQ45=0),300,0))),1000000))</f>
        <v/>
      </c>
      <c r="QU45">
        <f>IF($B45=0,1000000,IF(INDEX('計算A'!$D$60:$EQ$104,$B45,68)*FQ45=1,IF(AND($E45=2,LF45=0),1000000,IF($I45&gt;0,IF(3=$J45,IF(OR(AND(68=$I45+1,OR($K45&lt;&gt;'計算A'!$A$3,'計算A'!$A$4=0)),AND(68=$I45-1,OR(20&lt;&gt;'計算A'!$A$3,'計算A'!$A$4=0))),0,IF(20=$K45,200000,ABS(20-$K45)*100)),100000+ABS(3-$J45)*1000+200)+'計算A'!BS$5*50+IF(AND($E45=1,LF45=0),25,0),INDEX('計算A'!BS$110:BS$114,$F45+1)+IF(AND($E45=1,LF45=0),1000,0)+IF($H45=1,(IF('計算A'!BR$117=1,INDEX('計算A'!BR$10:BR$54,$B45),0)+IF('計算A'!BS$117=1,INDEX('計算A'!BT$10:BT$54,$B45),0))*500,0)-IF(AND('計算A'!BR$117=1,WP45&gt;0),300,0)-IF(AND($L45=1,'計算A'!BS$117=1,FR45=0),300,0))),1000000))</f>
        <v/>
      </c>
      <c r="QV45">
        <f>IF($B45=0,1000000,IF(INDEX('計算A'!$D$60:$EQ$104,$B45,69)*FR45=1,IF(AND($E45=2,LG45=0),1000000,IF($I45&gt;0,IF(3=$J45,IF(OR(AND(69=$I45+1,OR($K45&lt;&gt;'計算A'!$A$3,'計算A'!$A$4=0)),AND(69=$I45-1,OR(21&lt;&gt;'計算A'!$A$3,'計算A'!$A$4=0))),0,IF(21=$K45,200000,ABS(21-$K45)*100)),100000+ABS(3-$J45)*1000+210)+'計算A'!BT$5*50+IF(AND($E45=1,LG45=0),25,0),INDEX('計算A'!BT$110:BT$114,$F45+1)+IF(AND($E45=1,LG45=0),1000,0)+IF($H45=1,(IF('計算A'!BS$117=1,INDEX('計算A'!BS$10:BS$54,$B45),0)+IF('計算A'!BT$117=1,INDEX('計算A'!BU$10:BU$54,$B45),0))*500,0)-IF(AND('計算A'!BS$117=1,WQ45&gt;0),300,0)-IF(AND($L45=1,'計算A'!BT$117=1,FS45=0),300,0))),1000000))</f>
        <v/>
      </c>
      <c r="QW45">
        <f>IF($B45=0,1000000,IF(INDEX('計算A'!$D$60:$EQ$104,$B45,70)*FS45=1,IF(AND($E45=2,LH45=0),1000000,IF($I45&gt;0,IF(3=$J45,IF(OR(AND(70=$I45+1,OR($K45&lt;&gt;'計算A'!$A$3,'計算A'!$A$4=0)),AND(70=$I45-1,OR(22&lt;&gt;'計算A'!$A$3,'計算A'!$A$4=0))),0,IF(22=$K45,200000,ABS(22-$K45)*100)),100000+ABS(3-$J45)*1000+220)+'計算A'!BU$5*50+IF(AND($E45=1,LH45=0),25,0),INDEX('計算A'!BU$110:BU$114,$F45+1)+IF(AND($E45=1,LH45=0),1000,0)+IF($H45=1,(IF('計算A'!BT$117=1,INDEX('計算A'!BT$10:BT$54,$B45),0)+IF('計算A'!BU$117=1,INDEX('計算A'!BV$10:BV$54,$B45),0))*500,0)-IF(AND('計算A'!BT$117=1,WR45&gt;0),300,0)-IF(AND($L45=1,'計算A'!BU$117=1,FT45=0),300,0))),1000000))</f>
        <v/>
      </c>
      <c r="QX45">
        <f>IF($B45=0,1000000,IF(INDEX('計算A'!$D$60:$EQ$104,$B45,71)*FT45=1,IF(AND($E45=2,LI45=0),1000000,IF($I45&gt;0,IF(3=$J45,IF(OR(AND(71=$I45+1,OR($K45&lt;&gt;'計算A'!$A$3,'計算A'!$A$4=0)),AND(71=$I45-1,OR(23&lt;&gt;'計算A'!$A$3,'計算A'!$A$4=0))),0,IF(23=$K45,200000,ABS(23-$K45)*100)),100000+ABS(3-$J45)*1000+230)+'計算A'!BV$5*50+IF(AND($E45=1,LI45=0),25,0),INDEX('計算A'!BV$110:BV$114,$F45+1)+IF(AND($E45=1,LI45=0),1000,0)+IF($H45=1,(IF('計算A'!BU$117=1,INDEX('計算A'!BU$10:BU$54,$B45),0)+IF('計算A'!BV$117=1,INDEX('計算A'!BW$10:BW$54,$B45),0))*500,0)-IF(AND('計算A'!BU$117=1,WS45&gt;0),300,0)-IF(AND($L45=1,'計算A'!BV$117=1,FU45=0),300,0))),1000000))</f>
        <v/>
      </c>
      <c r="QY45">
        <f>IF($B45=0,1000000,IF(INDEX('計算A'!$D$60:$EQ$104,$B45,72)*FU45=1,IF(AND($E45=2,LJ45=0),1000000,IF($I45&gt;0,IF(3=$J45,IF(OR(AND(72=$I45+1,OR($K45&lt;&gt;'計算A'!$A$3,'計算A'!$A$4=0)),AND(72=$I45-1,OR(24&lt;&gt;'計算A'!$A$3,'計算A'!$A$4=0))),0,IF(24=$K45,200000,ABS(24-$K45)*100)),100000+ABS(3-$J45)*1000+240)+'計算A'!BW$5*50+IF(AND($E45=1,LJ45=0),25,0),INDEX('計算A'!BW$110:BW$114,$F45+1)+IF(AND($E45=1,LJ45=0),1000,0)+IF($H45=1,(IF('計算A'!BV$117=1,INDEX('計算A'!BV$10:BV$54,$B45),0))*500,0)-IF(AND('計算A'!BV$117=1,WT45&gt;0),300,0))),1000000))</f>
        <v/>
      </c>
      <c r="QZ45">
        <f>IF($B45=0,1000000,IF(INDEX('計算A'!$D$60:$EQ$104,$B45,73)*FV45=1,IF(AND($E45=2,LK45=0),1000000,IF($I45&gt;0,IF(4=$J45,IF(OR(AND(73=$I45+1,OR($K45&lt;&gt;'計算A'!$A$3,'計算A'!$A$4=0)),AND(73=$I45-1,OR(1&lt;&gt;'計算A'!$A$3,'計算A'!$A$4=0))),0,IF(1=$K45,200000,ABS(1-$K45)*100)),100000+ABS(4-$J45)*1000+10)+'計算A'!BX$5*50+IF(AND($E45=1,LK45=0),25,0),INDEX('計算A'!BX$110:BX$114,$F45+1)+IF(AND($E45=1,LK45=0),1000,0)+IF($H45=1,(IF('計算A'!BX$117=1,INDEX('計算A'!BY$10:BY$54,$B45),0))*500,0)-IF(AND($L45=1,'計算A'!BX$117=1,FW45=0),300,0))),1000000))</f>
        <v/>
      </c>
      <c r="RA45">
        <f>IF($B45=0,1000000,IF(INDEX('計算A'!$D$60:$EQ$104,$B45,74)*FW45=1,IF(AND($E45=2,LL45=0),1000000,IF($I45&gt;0,IF(4=$J45,IF(OR(AND(74=$I45+1,OR($K45&lt;&gt;'計算A'!$A$3,'計算A'!$A$4=0)),AND(74=$I45-1,OR(2&lt;&gt;'計算A'!$A$3,'計算A'!$A$4=0))),0,IF(2=$K45,200000,ABS(2-$K45)*100)),100000+ABS(4-$J45)*1000+20)+'計算A'!BY$5*50+IF(AND($E45=1,LL45=0),25,0),INDEX('計算A'!BY$110:BY$114,$F45+1)+IF(AND($E45=1,LL45=0),1000,0)+IF($H45=1,(IF('計算A'!BX$117=1,INDEX('計算A'!BX$10:BX$54,$B45),0)+IF('計算A'!BY$117=1,INDEX('計算A'!BZ$10:BZ$54,$B45),0))*500,0)-IF(AND('計算A'!BX$117=1,WV45&gt;0),300,0)-IF(AND($L45=1,'計算A'!BY$117=1,FX45=0),300,0))),1000000))</f>
        <v/>
      </c>
      <c r="RB45">
        <f>IF($B45=0,1000000,IF(INDEX('計算A'!$D$60:$EQ$104,$B45,75)*FX45=1,IF(AND($E45=2,LM45=0),1000000,IF($I45&gt;0,IF(4=$J45,IF(OR(AND(75=$I45+1,OR($K45&lt;&gt;'計算A'!$A$3,'計算A'!$A$4=0)),AND(75=$I45-1,OR(3&lt;&gt;'計算A'!$A$3,'計算A'!$A$4=0))),0,IF(3=$K45,200000,ABS(3-$K45)*100)),100000+ABS(4-$J45)*1000+30)+'計算A'!BZ$5*50+IF(AND($E45=1,LM45=0),25,0),INDEX('計算A'!BZ$110:BZ$114,$F45+1)+IF(AND($E45=1,LM45=0),1000,0)+IF($H45=1,(IF('計算A'!BY$117=1,INDEX('計算A'!BY$10:BY$54,$B45),0)+IF('計算A'!BZ$117=1,INDEX('計算A'!CA$10:CA$54,$B45),0))*500,0)-IF(AND('計算A'!BY$117=1,WW45&gt;0),300,0)-IF(AND($L45=1,'計算A'!BZ$117=1,FY45=0),300,0))),1000000))</f>
        <v/>
      </c>
      <c r="RC45">
        <f>IF($B45=0,1000000,IF(INDEX('計算A'!$D$60:$EQ$104,$B45,76)*FY45=1,IF(AND($E45=2,LN45=0),1000000,IF($I45&gt;0,IF(4=$J45,IF(OR(AND(76=$I45+1,OR($K45&lt;&gt;'計算A'!$A$3,'計算A'!$A$4=0)),AND(76=$I45-1,OR(4&lt;&gt;'計算A'!$A$3,'計算A'!$A$4=0))),0,IF(4=$K45,200000,ABS(4-$K45)*100)),100000+ABS(4-$J45)*1000+40)+'計算A'!CA$5*50+IF(AND($E45=1,LN45=0),25,0),INDEX('計算A'!CA$110:CA$114,$F45+1)+IF(AND($E45=1,LN45=0),1000,0)+IF($H45=1,(IF('計算A'!BZ$117=1,INDEX('計算A'!BZ$10:BZ$54,$B45),0)+IF('計算A'!CA$117=1,INDEX('計算A'!CB$10:CB$54,$B45),0))*500,0)-IF(AND('計算A'!BZ$117=1,WX45&gt;0),300,0)-IF(AND($L45=1,'計算A'!CA$117=1,FZ45=0),300,0))),1000000))</f>
        <v/>
      </c>
      <c r="RD45">
        <f>IF($B45=0,1000000,IF(INDEX('計算A'!$D$60:$EQ$104,$B45,77)*FZ45=1,IF(AND($E45=2,LO45=0),1000000,IF($I45&gt;0,IF(4=$J45,IF(OR(AND(77=$I45+1,OR($K45&lt;&gt;'計算A'!$A$3,'計算A'!$A$4=0)),AND(77=$I45-1,OR(5&lt;&gt;'計算A'!$A$3,'計算A'!$A$4=0))),0,IF(5=$K45,200000,ABS(5-$K45)*100)),100000+ABS(4-$J45)*1000+50)+'計算A'!CB$5*50+IF(AND($E45=1,LO45=0),25,0),INDEX('計算A'!CB$110:CB$114,$F45+1)+IF(AND($E45=1,LO45=0),1000,0)+IF($H45=1,(IF('計算A'!CA$117=1,INDEX('計算A'!CA$10:CA$54,$B45),0)+IF('計算A'!CB$117=1,INDEX('計算A'!CC$10:CC$54,$B45),0))*500,0)-IF(AND('計算A'!CA$117=1,WY45&gt;0),300,0)-IF(AND($L45=1,'計算A'!CB$117=1,GA45=0),300,0))),1000000))</f>
        <v/>
      </c>
      <c r="RE45">
        <f>IF($B45=0,1000000,IF(INDEX('計算A'!$D$60:$EQ$104,$B45,78)*GA45=1,IF(AND($E45=2,LP45=0),1000000,IF($I45&gt;0,IF(4=$J45,IF(OR(AND(78=$I45+1,OR($K45&lt;&gt;'計算A'!$A$3,'計算A'!$A$4=0)),AND(78=$I45-1,OR(6&lt;&gt;'計算A'!$A$3,'計算A'!$A$4=0))),0,IF(6=$K45,200000,ABS(6-$K45)*100)),100000+ABS(4-$J45)*1000+60)+'計算A'!CC$5*50+IF(AND($E45=1,LP45=0),25,0),INDEX('計算A'!CC$110:CC$114,$F45+1)+IF(AND($E45=1,LP45=0),1000,0)+IF($H45=1,(IF('計算A'!CB$117=1,INDEX('計算A'!CB$10:CB$54,$B45),0)+IF('計算A'!CC$117=1,INDEX('計算A'!CD$10:CD$54,$B45),0))*500,0)-IF(AND('計算A'!CB$117=1,WZ45&gt;0),300,0)-IF(AND($L45=1,'計算A'!CC$117=1,GB45=0),300,0))),1000000))</f>
        <v/>
      </c>
      <c r="RF45">
        <f>IF($B45=0,1000000,IF(INDEX('計算A'!$D$60:$EQ$104,$B45,79)*GB45=1,IF(AND($E45=2,LQ45=0),1000000,IF($I45&gt;0,IF(4=$J45,IF(OR(AND(79=$I45+1,OR($K45&lt;&gt;'計算A'!$A$3,'計算A'!$A$4=0)),AND(79=$I45-1,OR(7&lt;&gt;'計算A'!$A$3,'計算A'!$A$4=0))),0,IF(7=$K45,200000,ABS(7-$K45)*100)),100000+ABS(4-$J45)*1000+70)+'計算A'!CD$5*50+IF(AND($E45=1,LQ45=0),25,0),INDEX('計算A'!CD$110:CD$114,$F45+1)+IF(AND($E45=1,LQ45=0),1000,0)+IF($H45=1,(IF('計算A'!CC$117=1,INDEX('計算A'!CC$10:CC$54,$B45),0)+IF('計算A'!CD$117=1,INDEX('計算A'!CE$10:CE$54,$B45),0))*500,0)-IF(AND('計算A'!CC$117=1,XA45&gt;0),300,0)-IF(AND($L45=1,'計算A'!CD$117=1,GC45=0),300,0))),1000000))</f>
        <v/>
      </c>
      <c r="RG45">
        <f>IF($B45=0,1000000,IF(INDEX('計算A'!$D$60:$EQ$104,$B45,80)*GC45=1,IF(AND($E45=2,LR45=0),1000000,IF($I45&gt;0,IF(4=$J45,IF(OR(AND(80=$I45+1,OR($K45&lt;&gt;'計算A'!$A$3,'計算A'!$A$4=0)),AND(80=$I45-1,OR(8&lt;&gt;'計算A'!$A$3,'計算A'!$A$4=0))),0,IF(8=$K45,200000,ABS(8-$K45)*100)),100000+ABS(4-$J45)*1000+80)+'計算A'!CE$5*50+IF(AND($E45=1,LR45=0),25,0),INDEX('計算A'!CE$110:CE$114,$F45+1)+IF(AND($E45=1,LR45=0),1000,0)+IF($H45=1,(IF('計算A'!CD$117=1,INDEX('計算A'!CD$10:CD$54,$B45),0)+IF('計算A'!CE$117=1,INDEX('計算A'!CF$10:CF$54,$B45),0))*500,0)-IF(AND('計算A'!CD$117=1,XB45&gt;0),300,0)-IF(AND($L45=1,'計算A'!CE$117=1,GD45=0),300,0))),1000000))</f>
        <v/>
      </c>
      <c r="RH45">
        <f>IF($B45=0,1000000,IF(INDEX('計算A'!$D$60:$EQ$104,$B45,81)*GD45=1,IF(AND($E45=2,LS45=0),1000000,IF($I45&gt;0,IF(4=$J45,IF(OR(AND(81=$I45+1,OR($K45&lt;&gt;'計算A'!$A$3,'計算A'!$A$4=0)),AND(81=$I45-1,OR(9&lt;&gt;'計算A'!$A$3,'計算A'!$A$4=0))),0,IF(9=$K45,200000,ABS(9-$K45)*100)),100000+ABS(4-$J45)*1000+90)+'計算A'!CF$5*50+IF(AND($E45=1,LS45=0),25,0),INDEX('計算A'!CF$110:CF$114,$F45+1)+IF(AND($E45=1,LS45=0),1000,0)+IF($H45=1,(IF('計算A'!CE$117=1,INDEX('計算A'!CE$10:CE$54,$B45),0)+IF('計算A'!CF$117=1,INDEX('計算A'!CG$10:CG$54,$B45),0))*500,0)-IF(AND('計算A'!CE$117=1,XC45&gt;0),300,0)-IF(AND($L45=1,'計算A'!CF$117=1,GE45=0),300,0))),1000000))</f>
        <v/>
      </c>
      <c r="RI45">
        <f>IF($B45=0,1000000,IF(INDEX('計算A'!$D$60:$EQ$104,$B45,82)*GE45=1,IF(AND($E45=2,LT45=0),1000000,IF($I45&gt;0,IF(4=$J45,IF(OR(AND(82=$I45+1,OR($K45&lt;&gt;'計算A'!$A$3,'計算A'!$A$4=0)),AND(82=$I45-1,OR(10&lt;&gt;'計算A'!$A$3,'計算A'!$A$4=0))),0,IF(10=$K45,200000,ABS(10-$K45)*100)),100000+ABS(4-$J45)*1000+100)+'計算A'!CG$5*50+IF(AND($E45=1,LT45=0),25,0),INDEX('計算A'!CG$110:CG$114,$F45+1)+IF(AND($E45=1,LT45=0),1000,0)+IF($H45=1,(IF('計算A'!CF$117=1,INDEX('計算A'!CF$10:CF$54,$B45),0)+IF('計算A'!CG$117=1,INDEX('計算A'!CH$10:CH$54,$B45),0))*500,0)-IF(AND('計算A'!CF$117=1,XD45&gt;0),300,0)-IF(AND($L45=1,'計算A'!CG$117=1,GF45=0),300,0))),1000000))</f>
        <v/>
      </c>
      <c r="RJ45">
        <f>IF($B45=0,1000000,IF(INDEX('計算A'!$D$60:$EQ$104,$B45,83)*GF45=1,IF(AND($E45=2,LU45=0),1000000,IF($I45&gt;0,IF(4=$J45,IF(OR(AND(83=$I45+1,OR($K45&lt;&gt;'計算A'!$A$3,'計算A'!$A$4=0)),AND(83=$I45-1,OR(11&lt;&gt;'計算A'!$A$3,'計算A'!$A$4=0))),0,IF(11=$K45,200000,ABS(11-$K45)*100)),100000+ABS(4-$J45)*1000+110)+'計算A'!CH$5*50+IF(AND($E45=1,LU45=0),25,0),INDEX('計算A'!CH$110:CH$114,$F45+1)+IF(AND($E45=1,LU45=0),1000,0)+IF($H45=1,(IF('計算A'!CG$117=1,INDEX('計算A'!CG$10:CG$54,$B45),0)+IF('計算A'!CH$117=1,INDEX('計算A'!CI$10:CI$54,$B45),0))*500,0)-IF(AND('計算A'!CG$117=1,XE45&gt;0),300,0)-IF(AND($L45=1,'計算A'!CH$117=1,GG45=0),300,0))),1000000))</f>
        <v/>
      </c>
      <c r="RK45">
        <f>IF($B45=0,1000000,IF(INDEX('計算A'!$D$60:$EQ$104,$B45,84)*GG45=1,IF(AND($E45=2,LV45=0),1000000,IF($I45&gt;0,IF(4=$J45,IF(OR(AND(84=$I45+1,OR($K45&lt;&gt;'計算A'!$A$3,'計算A'!$A$4=0)),AND(84=$I45-1,OR(12&lt;&gt;'計算A'!$A$3,'計算A'!$A$4=0))),0,IF(12=$K45,200000,ABS(12-$K45)*100)),100000+ABS(4-$J45)*1000+120)+'計算A'!CI$5*50+IF(AND($E45=1,LV45=0),25,0),INDEX('計算A'!CI$110:CI$114,$F45+1)+IF(AND($E45=1,LV45=0),1000,0)+IF($H45=1,(IF('計算A'!CH$117=1,INDEX('計算A'!CH$10:CH$54,$B45),0)+IF('計算A'!CI$117=1,INDEX('計算A'!CJ$10:CJ$54,$B45),0))*500,0)-IF(AND('計算A'!CH$117=1,XF45&gt;0),300,0)-IF(AND($L45=1,'計算A'!CI$117=1,GH45=0),300,0))),1000000))</f>
        <v/>
      </c>
      <c r="RL45">
        <f>IF($B45=0,1000000,IF(INDEX('計算A'!$D$60:$EQ$104,$B45,85)*GH45=1,IF(AND($E45=2,LW45=0),1000000,IF($I45&gt;0,IF(4=$J45,IF(OR(AND(85=$I45+1,OR($K45&lt;&gt;'計算A'!$A$3,'計算A'!$A$4=0)),AND(85=$I45-1,OR(13&lt;&gt;'計算A'!$A$3,'計算A'!$A$4=0))),0,IF(13=$K45,200000,ABS(13-$K45)*100)),100000+ABS(4-$J45)*1000+130)+'計算A'!CJ$5*50+IF(AND($E45=1,LW45=0),25,0),INDEX('計算A'!CJ$110:CJ$114,$F45+1)+IF(AND($E45=1,LW45=0),1000,0)+IF($H45=1,(IF('計算A'!CI$117=1,INDEX('計算A'!CI$10:CI$54,$B45),0)+IF('計算A'!CJ$117=1,INDEX('計算A'!CK$10:CK$54,$B45),0))*500,0)-IF(AND('計算A'!CI$117=1,XG45&gt;0),300,0)-IF(AND($L45=1,'計算A'!CJ$117=1,GI45=0),300,0))),1000000))</f>
        <v/>
      </c>
      <c r="RM45">
        <f>IF($B45=0,1000000,IF(INDEX('計算A'!$D$60:$EQ$104,$B45,86)*GI45=1,IF(AND($E45=2,LX45=0),1000000,IF($I45&gt;0,IF(4=$J45,IF(OR(AND(86=$I45+1,OR($K45&lt;&gt;'計算A'!$A$3,'計算A'!$A$4=0)),AND(86=$I45-1,OR(14&lt;&gt;'計算A'!$A$3,'計算A'!$A$4=0))),0,IF(14=$K45,200000,ABS(14-$K45)*100)),100000+ABS(4-$J45)*1000+140)+'計算A'!CK$5*50+IF(AND($E45=1,LX45=0),25,0),INDEX('計算A'!CK$110:CK$114,$F45+1)+IF(AND($E45=1,LX45=0),1000,0)+IF($H45=1,(IF('計算A'!CJ$117=1,INDEX('計算A'!CJ$10:CJ$54,$B45),0)+IF('計算A'!CK$117=1,INDEX('計算A'!CL$10:CL$54,$B45),0))*500,0)-IF(AND('計算A'!CJ$117=1,XH45&gt;0),300,0)-IF(AND($L45=1,'計算A'!CK$117=1,GJ45=0),300,0))),1000000))</f>
        <v/>
      </c>
      <c r="RN45">
        <f>IF($B45=0,1000000,IF(INDEX('計算A'!$D$60:$EQ$104,$B45,87)*GJ45=1,IF(AND($E45=2,LY45=0),1000000,IF($I45&gt;0,IF(4=$J45,IF(OR(AND(87=$I45+1,OR($K45&lt;&gt;'計算A'!$A$3,'計算A'!$A$4=0)),AND(87=$I45-1,OR(15&lt;&gt;'計算A'!$A$3,'計算A'!$A$4=0))),0,IF(15=$K45,200000,ABS(15-$K45)*100)),100000+ABS(4-$J45)*1000+150)+'計算A'!CL$5*50+IF(AND($E45=1,LY45=0),25,0),INDEX('計算A'!CL$110:CL$114,$F45+1)+IF(AND($E45=1,LY45=0),1000,0)+IF($H45=1,(IF('計算A'!CK$117=1,INDEX('計算A'!CK$10:CK$54,$B45),0)+IF('計算A'!CL$117=1,INDEX('計算A'!CM$10:CM$54,$B45),0))*500,0)-IF(AND('計算A'!CK$117=1,XI45&gt;0),300,0)-IF(AND($L45=1,'計算A'!CL$117=1,GK45=0),300,0))),1000000))</f>
        <v/>
      </c>
      <c r="RO45">
        <f>IF($B45=0,1000000,IF(INDEX('計算A'!$D$60:$EQ$104,$B45,88)*GK45=1,IF(AND($E45=2,LZ45=0),1000000,IF($I45&gt;0,IF(4=$J45,IF(OR(AND(88=$I45+1,OR($K45&lt;&gt;'計算A'!$A$3,'計算A'!$A$4=0)),AND(88=$I45-1,OR(16&lt;&gt;'計算A'!$A$3,'計算A'!$A$4=0))),0,IF(16=$K45,200000,ABS(16-$K45)*100)),100000+ABS(4-$J45)*1000+160)+'計算A'!CM$5*50+IF(AND($E45=1,LZ45=0),25,0),INDEX('計算A'!CM$110:CM$114,$F45+1)+IF(AND($E45=1,LZ45=0),1000,0)+IF($H45=1,(IF('計算A'!CL$117=1,INDEX('計算A'!CL$10:CL$54,$B45),0)+IF('計算A'!CM$117=1,INDEX('計算A'!CN$10:CN$54,$B45),0))*500,0)-IF(AND('計算A'!CL$117=1,XJ45&gt;0),300,0)-IF(AND($L45=1,'計算A'!CM$117=1,GL45=0),300,0))),1000000))</f>
        <v/>
      </c>
      <c r="RP45">
        <f>IF($B45=0,1000000,IF(INDEX('計算A'!$D$60:$EQ$104,$B45,89)*GL45=1,IF(AND($E45=2,MA45=0),1000000,IF($I45&gt;0,IF(4=$J45,IF(OR(AND(89=$I45+1,OR($K45&lt;&gt;'計算A'!$A$3,'計算A'!$A$4=0)),AND(89=$I45-1,OR(17&lt;&gt;'計算A'!$A$3,'計算A'!$A$4=0))),0,IF(17=$K45,200000,ABS(17-$K45)*100)),100000+ABS(4-$J45)*1000+170)+'計算A'!CN$5*50+IF(AND($E45=1,MA45=0),25,0),INDEX('計算A'!CN$110:CN$114,$F45+1)+IF(AND($E45=1,MA45=0),1000,0)+IF($H45=1,(IF('計算A'!CM$117=1,INDEX('計算A'!CM$10:CM$54,$B45),0)+IF('計算A'!CN$117=1,INDEX('計算A'!CO$10:CO$54,$B45),0))*500,0)-IF(AND('計算A'!CM$117=1,XK45&gt;0),300,0)-IF(AND($L45=1,'計算A'!CN$117=1,GM45=0),300,0))),1000000))</f>
        <v/>
      </c>
      <c r="RQ45">
        <f>IF($B45=0,1000000,IF(INDEX('計算A'!$D$60:$EQ$104,$B45,90)*GM45=1,IF(AND($E45=2,MB45=0),1000000,IF($I45&gt;0,IF(4=$J45,IF(OR(AND(90=$I45+1,OR($K45&lt;&gt;'計算A'!$A$3,'計算A'!$A$4=0)),AND(90=$I45-1,OR(18&lt;&gt;'計算A'!$A$3,'計算A'!$A$4=0))),0,IF(18=$K45,200000,ABS(18-$K45)*100)),100000+ABS(4-$J45)*1000+180)+'計算A'!CO$5*50+IF(AND($E45=1,MB45=0),25,0),INDEX('計算A'!CO$110:CO$114,$F45+1)+IF(AND($E45=1,MB45=0),1000,0)+IF($H45=1,(IF('計算A'!CN$117=1,INDEX('計算A'!CN$10:CN$54,$B45),0)+IF('計算A'!CO$117=1,INDEX('計算A'!CP$10:CP$54,$B45),0))*500,0)-IF(AND('計算A'!CN$117=1,XL45&gt;0),300,0)-IF(AND($L45=1,'計算A'!CO$117=1,GN45=0),300,0))),1000000))</f>
        <v/>
      </c>
      <c r="RR45">
        <f>IF($B45=0,1000000,IF(INDEX('計算A'!$D$60:$EQ$104,$B45,91)*GN45=1,IF(AND($E45=2,MC45=0),1000000,IF($I45&gt;0,IF(4=$J45,IF(OR(AND(91=$I45+1,OR($K45&lt;&gt;'計算A'!$A$3,'計算A'!$A$4=0)),AND(91=$I45-1,OR(19&lt;&gt;'計算A'!$A$3,'計算A'!$A$4=0))),0,IF(19=$K45,200000,ABS(19-$K45)*100)),100000+ABS(4-$J45)*1000+190)+'計算A'!CP$5*50+IF(AND($E45=1,MC45=0),25,0),INDEX('計算A'!CP$110:CP$114,$F45+1)+IF(AND($E45=1,MC45=0),1000,0)+IF($H45=1,(IF('計算A'!CO$117=1,INDEX('計算A'!CO$10:CO$54,$B45),0)+IF('計算A'!CP$117=1,INDEX('計算A'!CQ$10:CQ$54,$B45),0))*500,0)-IF(AND('計算A'!CO$117=1,XM45&gt;0),300,0)-IF(AND($L45=1,'計算A'!CP$117=1,GO45=0),300,0))),1000000))</f>
        <v/>
      </c>
      <c r="RS45">
        <f>IF($B45=0,1000000,IF(INDEX('計算A'!$D$60:$EQ$104,$B45,92)*GO45=1,IF(AND($E45=2,MD45=0),1000000,IF($I45&gt;0,IF(4=$J45,IF(OR(AND(92=$I45+1,OR($K45&lt;&gt;'計算A'!$A$3,'計算A'!$A$4=0)),AND(92=$I45-1,OR(20&lt;&gt;'計算A'!$A$3,'計算A'!$A$4=0))),0,IF(20=$K45,200000,ABS(20-$K45)*100)),100000+ABS(4-$J45)*1000+200)+'計算A'!CQ$5*50+IF(AND($E45=1,MD45=0),25,0),INDEX('計算A'!CQ$110:CQ$114,$F45+1)+IF(AND($E45=1,MD45=0),1000,0)+IF($H45=1,(IF('計算A'!CP$117=1,INDEX('計算A'!CP$10:CP$54,$B45),0)+IF('計算A'!CQ$117=1,INDEX('計算A'!CR$10:CR$54,$B45),0))*500,0)-IF(AND('計算A'!CP$117=1,XN45&gt;0),300,0)-IF(AND($L45=1,'計算A'!CQ$117=1,GP45=0),300,0))),1000000))</f>
        <v/>
      </c>
      <c r="RT45">
        <f>IF($B45=0,1000000,IF(INDEX('計算A'!$D$60:$EQ$104,$B45,93)*GP45=1,IF(AND($E45=2,ME45=0),1000000,IF($I45&gt;0,IF(4=$J45,IF(OR(AND(93=$I45+1,OR($K45&lt;&gt;'計算A'!$A$3,'計算A'!$A$4=0)),AND(93=$I45-1,OR(21&lt;&gt;'計算A'!$A$3,'計算A'!$A$4=0))),0,IF(21=$K45,200000,ABS(21-$K45)*100)),100000+ABS(4-$J45)*1000+210)+'計算A'!CR$5*50+IF(AND($E45=1,ME45=0),25,0),INDEX('計算A'!CR$110:CR$114,$F45+1)+IF(AND($E45=1,ME45=0),1000,0)+IF($H45=1,(IF('計算A'!CQ$117=1,INDEX('計算A'!CQ$10:CQ$54,$B45),0)+IF('計算A'!CR$117=1,INDEX('計算A'!CS$10:CS$54,$B45),0))*500,0)-IF(AND('計算A'!CQ$117=1,XO45&gt;0),300,0)-IF(AND($L45=1,'計算A'!CR$117=1,GQ45=0),300,0))),1000000))</f>
        <v/>
      </c>
      <c r="RU45">
        <f>IF($B45=0,1000000,IF(INDEX('計算A'!$D$60:$EQ$104,$B45,94)*GQ45=1,IF(AND($E45=2,MF45=0),1000000,IF($I45&gt;0,IF(4=$J45,IF(OR(AND(94=$I45+1,OR($K45&lt;&gt;'計算A'!$A$3,'計算A'!$A$4=0)),AND(94=$I45-1,OR(22&lt;&gt;'計算A'!$A$3,'計算A'!$A$4=0))),0,IF(22=$K45,200000,ABS(22-$K45)*100)),100000+ABS(4-$J45)*1000+220)+'計算A'!CS$5*50+IF(AND($E45=1,MF45=0),25,0),INDEX('計算A'!CS$110:CS$114,$F45+1)+IF(AND($E45=1,MF45=0),1000,0)+IF($H45=1,(IF('計算A'!CR$117=1,INDEX('計算A'!CR$10:CR$54,$B45),0)+IF('計算A'!CS$117=1,INDEX('計算A'!CT$10:CT$54,$B45),0))*500,0)-IF(AND('計算A'!CR$117=1,XP45&gt;0),300,0)-IF(AND($L45=1,'計算A'!CS$117=1,GR45=0),300,0))),1000000))</f>
        <v/>
      </c>
      <c r="RV45">
        <f>IF($B45=0,1000000,IF(INDEX('計算A'!$D$60:$EQ$104,$B45,95)*GR45=1,IF(AND($E45=2,MG45=0),1000000,IF($I45&gt;0,IF(4=$J45,IF(OR(AND(95=$I45+1,OR($K45&lt;&gt;'計算A'!$A$3,'計算A'!$A$4=0)),AND(95=$I45-1,OR(23&lt;&gt;'計算A'!$A$3,'計算A'!$A$4=0))),0,IF(23=$K45,200000,ABS(23-$K45)*100)),100000+ABS(4-$J45)*1000+230)+'計算A'!CT$5*50+IF(AND($E45=1,MG45=0),25,0),INDEX('計算A'!CT$110:CT$114,$F45+1)+IF(AND($E45=1,MG45=0),1000,0)+IF($H45=1,(IF('計算A'!CS$117=1,INDEX('計算A'!CS$10:CS$54,$B45),0)+IF('計算A'!CT$117=1,INDEX('計算A'!CU$10:CU$54,$B45),0))*500,0)-IF(AND('計算A'!CS$117=1,XQ45&gt;0),300,0)-IF(AND($L45=1,'計算A'!CT$117=1,GS45=0),300,0))),1000000))</f>
        <v/>
      </c>
      <c r="RW45">
        <f>IF($B45=0,1000000,IF(INDEX('計算A'!$D$60:$EQ$104,$B45,96)*GS45=1,IF(AND($E45=2,MH45=0),1000000,IF($I45&gt;0,IF(4=$J45,IF(OR(AND(96=$I45+1,OR($K45&lt;&gt;'計算A'!$A$3,'計算A'!$A$4=0)),AND(96=$I45-1,OR(24&lt;&gt;'計算A'!$A$3,'計算A'!$A$4=0))),0,IF(24=$K45,200000,ABS(24-$K45)*100)),100000+ABS(4-$J45)*1000+240)+'計算A'!CU$5*50+IF(AND($E45=1,MH45=0),25,0),INDEX('計算A'!CU$110:CU$114,$F45+1)+IF(AND($E45=1,MH45=0),1000,0)+IF($H45=1,(IF('計算A'!CT$117=1,INDEX('計算A'!CT$10:CT$54,$B45),0))*500,0)-IF(AND('計算A'!CT$117=1,XR45&gt;0),300,0))),1000000))</f>
        <v/>
      </c>
      <c r="RX45">
        <f>IF($B45=0,1000000,IF(INDEX('計算A'!$D$60:$EQ$104,$B45,97)*GT45=1,IF(AND($E45=2,MI45=0),1000000,IF($I45&gt;0,IF(5=$J45,IF(OR(AND(97=$I45+1,OR($K45&lt;&gt;'計算A'!$A$3,'計算A'!$A$4=0)),AND(97=$I45-1,OR(1&lt;&gt;'計算A'!$A$3,'計算A'!$A$4=0))),0,IF(1=$K45,200000,ABS(1-$K45)*100)),100000+ABS(5-$J45)*1000+10)+'計算A'!CV$5*50+IF(AND($E45=1,MI45=0),25,0),INDEX('計算A'!CV$110:CV$114,$F45+1)+IF(AND($E45=1,MI45=0),1000,0)+IF($H45=1,(IF('計算A'!CV$117=1,INDEX('計算A'!CW$10:CW$54,$B45),0))*500,0)-IF(AND($L45=1,'計算A'!CV$117=1,GU45=0),300,0))),1000000))</f>
        <v/>
      </c>
      <c r="RY45">
        <f>IF($B45=0,1000000,IF(INDEX('計算A'!$D$60:$EQ$104,$B45,98)*GU45=1,IF(AND($E45=2,MJ45=0),1000000,IF($I45&gt;0,IF(5=$J45,IF(OR(AND(98=$I45+1,OR($K45&lt;&gt;'計算A'!$A$3,'計算A'!$A$4=0)),AND(98=$I45-1,OR(2&lt;&gt;'計算A'!$A$3,'計算A'!$A$4=0))),0,IF(2=$K45,200000,ABS(2-$K45)*100)),100000+ABS(5-$J45)*1000+20)+'計算A'!CW$5*50+IF(AND($E45=1,MJ45=0),25,0),INDEX('計算A'!CW$110:CW$114,$F45+1)+IF(AND($E45=1,MJ45=0),1000,0)+IF($H45=1,(IF('計算A'!CV$117=1,INDEX('計算A'!CV$10:CV$54,$B45),0)+IF('計算A'!CW$117=1,INDEX('計算A'!CX$10:CX$54,$B45),0))*500,0)-IF(AND('計算A'!CV$117=1,XT45&gt;0),300,0)-IF(AND($L45=1,'計算A'!CW$117=1,GV45=0),300,0))),1000000))</f>
        <v/>
      </c>
      <c r="RZ45">
        <f>IF($B45=0,1000000,IF(INDEX('計算A'!$D$60:$EQ$104,$B45,99)*GV45=1,IF(AND($E45=2,MK45=0),1000000,IF($I45&gt;0,IF(5=$J45,IF(OR(AND(99=$I45+1,OR($K45&lt;&gt;'計算A'!$A$3,'計算A'!$A$4=0)),AND(99=$I45-1,OR(3&lt;&gt;'計算A'!$A$3,'計算A'!$A$4=0))),0,IF(3=$K45,200000,ABS(3-$K45)*100)),100000+ABS(5-$J45)*1000+30)+'計算A'!CX$5*50+IF(AND($E45=1,MK45=0),25,0),INDEX('計算A'!CX$110:CX$114,$F45+1)+IF(AND($E45=1,MK45=0),1000,0)+IF($H45=1,(IF('計算A'!CW$117=1,INDEX('計算A'!CW$10:CW$54,$B45),0)+IF('計算A'!CX$117=1,INDEX('計算A'!CY$10:CY$54,$B45),0))*500,0)-IF(AND('計算A'!CW$117=1,XU45&gt;0),300,0)-IF(AND($L45=1,'計算A'!CX$117=1,GW45=0),300,0))),1000000))</f>
        <v/>
      </c>
      <c r="SA45">
        <f>IF($B45=0,1000000,IF(INDEX('計算A'!$D$60:$EQ$104,$B45,100)*GW45=1,IF(AND($E45=2,ML45=0),1000000,IF($I45&gt;0,IF(5=$J45,IF(OR(AND(100=$I45+1,OR($K45&lt;&gt;'計算A'!$A$3,'計算A'!$A$4=0)),AND(100=$I45-1,OR(4&lt;&gt;'計算A'!$A$3,'計算A'!$A$4=0))),0,IF(4=$K45,200000,ABS(4-$K45)*100)),100000+ABS(5-$J45)*1000+40)+'計算A'!CY$5*50+IF(AND($E45=1,ML45=0),25,0),INDEX('計算A'!CY$110:CY$114,$F45+1)+IF(AND($E45=1,ML45=0),1000,0)+IF($H45=1,(IF('計算A'!CX$117=1,INDEX('計算A'!CX$10:CX$54,$B45),0)+IF('計算A'!CY$117=1,INDEX('計算A'!CZ$10:CZ$54,$B45),0))*500,0)-IF(AND('計算A'!CX$117=1,XV45&gt;0),300,0)-IF(AND($L45=1,'計算A'!CY$117=1,GX45=0),300,0))),1000000))</f>
        <v/>
      </c>
      <c r="SB45">
        <f>IF($B45=0,1000000,IF(INDEX('計算A'!$D$60:$EQ$104,$B45,101)*GX45=1,IF(AND($E45=2,MM45=0),1000000,IF($I45&gt;0,IF(5=$J45,IF(OR(AND(101=$I45+1,OR($K45&lt;&gt;'計算A'!$A$3,'計算A'!$A$4=0)),AND(101=$I45-1,OR(5&lt;&gt;'計算A'!$A$3,'計算A'!$A$4=0))),0,IF(5=$K45,200000,ABS(5-$K45)*100)),100000+ABS(5-$J45)*1000+50)+'計算A'!CZ$5*50+IF(AND($E45=1,MM45=0),25,0),INDEX('計算A'!CZ$110:CZ$114,$F45+1)+IF(AND($E45=1,MM45=0),1000,0)+IF($H45=1,(IF('計算A'!CY$117=1,INDEX('計算A'!CY$10:CY$54,$B45),0)+IF('計算A'!CZ$117=1,INDEX('計算A'!DA$10:DA$54,$B45),0))*500,0)-IF(AND('計算A'!CY$117=1,XW45&gt;0),300,0)-IF(AND($L45=1,'計算A'!CZ$117=1,GY45=0),300,0))),1000000))</f>
        <v/>
      </c>
      <c r="SC45">
        <f>IF($B45=0,1000000,IF(INDEX('計算A'!$D$60:$EQ$104,$B45,102)*GY45=1,IF(AND($E45=2,MN45=0),1000000,IF($I45&gt;0,IF(5=$J45,IF(OR(AND(102=$I45+1,OR($K45&lt;&gt;'計算A'!$A$3,'計算A'!$A$4=0)),AND(102=$I45-1,OR(6&lt;&gt;'計算A'!$A$3,'計算A'!$A$4=0))),0,IF(6=$K45,200000,ABS(6-$K45)*100)),100000+ABS(5-$J45)*1000+60)+'計算A'!DA$5*50+IF(AND($E45=1,MN45=0),25,0),INDEX('計算A'!DA$110:DA$114,$F45+1)+IF(AND($E45=1,MN45=0),1000,0)+IF($H45=1,(IF('計算A'!CZ$117=1,INDEX('計算A'!CZ$10:CZ$54,$B45),0)+IF('計算A'!DA$117=1,INDEX('計算A'!DB$10:DB$54,$B45),0))*500,0)-IF(AND('計算A'!CZ$117=1,XX45&gt;0),300,0)-IF(AND($L45=1,'計算A'!DA$117=1,GZ45=0),300,0))),1000000))</f>
        <v/>
      </c>
      <c r="SD45">
        <f>IF($B45=0,1000000,IF(INDEX('計算A'!$D$60:$EQ$104,$B45,103)*GZ45=1,IF(AND($E45=2,MO45=0),1000000,IF($I45&gt;0,IF(5=$J45,IF(OR(AND(103=$I45+1,OR($K45&lt;&gt;'計算A'!$A$3,'計算A'!$A$4=0)),AND(103=$I45-1,OR(7&lt;&gt;'計算A'!$A$3,'計算A'!$A$4=0))),0,IF(7=$K45,200000,ABS(7-$K45)*100)),100000+ABS(5-$J45)*1000+70)+'計算A'!DB$5*50+IF(AND($E45=1,MO45=0),25,0),INDEX('計算A'!DB$110:DB$114,$F45+1)+IF(AND($E45=1,MO45=0),1000,0)+IF($H45=1,(IF('計算A'!DA$117=1,INDEX('計算A'!DA$10:DA$54,$B45),0)+IF('計算A'!DB$117=1,INDEX('計算A'!DC$10:DC$54,$B45),0))*500,0)-IF(AND('計算A'!DA$117=1,XY45&gt;0),300,0)-IF(AND($L45=1,'計算A'!DB$117=1,HA45=0),300,0))),1000000))</f>
        <v/>
      </c>
      <c r="SE45">
        <f>IF($B45=0,1000000,IF(INDEX('計算A'!$D$60:$EQ$104,$B45,104)*HA45=1,IF(AND($E45=2,MP45=0),1000000,IF($I45&gt;0,IF(5=$J45,IF(OR(AND(104=$I45+1,OR($K45&lt;&gt;'計算A'!$A$3,'計算A'!$A$4=0)),AND(104=$I45-1,OR(8&lt;&gt;'計算A'!$A$3,'計算A'!$A$4=0))),0,IF(8=$K45,200000,ABS(8-$K45)*100)),100000+ABS(5-$J45)*1000+80)+'計算A'!DC$5*50+IF(AND($E45=1,MP45=0),25,0),INDEX('計算A'!DC$110:DC$114,$F45+1)+IF(AND($E45=1,MP45=0),1000,0)+IF($H45=1,(IF('計算A'!DB$117=1,INDEX('計算A'!DB$10:DB$54,$B45),0)+IF('計算A'!DC$117=1,INDEX('計算A'!DD$10:DD$54,$B45),0))*500,0)-IF(AND('計算A'!DB$117=1,XZ45&gt;0),300,0)-IF(AND($L45=1,'計算A'!DC$117=1,HB45=0),300,0))),1000000))</f>
        <v/>
      </c>
      <c r="SF45">
        <f>IF($B45=0,1000000,IF(INDEX('計算A'!$D$60:$EQ$104,$B45,105)*HB45=1,IF(AND($E45=2,MQ45=0),1000000,IF($I45&gt;0,IF(5=$J45,IF(OR(AND(105=$I45+1,OR($K45&lt;&gt;'計算A'!$A$3,'計算A'!$A$4=0)),AND(105=$I45-1,OR(9&lt;&gt;'計算A'!$A$3,'計算A'!$A$4=0))),0,IF(9=$K45,200000,ABS(9-$K45)*100)),100000+ABS(5-$J45)*1000+90)+'計算A'!DD$5*50+IF(AND($E45=1,MQ45=0),25,0),INDEX('計算A'!DD$110:DD$114,$F45+1)+IF(AND($E45=1,MQ45=0),1000,0)+IF($H45=1,(IF('計算A'!DC$117=1,INDEX('計算A'!DC$10:DC$54,$B45),0)+IF('計算A'!DD$117=1,INDEX('計算A'!DE$10:DE$54,$B45),0))*500,0)-IF(AND('計算A'!DC$117=1,YA45&gt;0),300,0)-IF(AND($L45=1,'計算A'!DD$117=1,HC45=0),300,0))),1000000))</f>
        <v/>
      </c>
      <c r="SG45">
        <f>IF($B45=0,1000000,IF(INDEX('計算A'!$D$60:$EQ$104,$B45,106)*HC45=1,IF(AND($E45=2,MR45=0),1000000,IF($I45&gt;0,IF(5=$J45,IF(OR(AND(106=$I45+1,OR($K45&lt;&gt;'計算A'!$A$3,'計算A'!$A$4=0)),AND(106=$I45-1,OR(10&lt;&gt;'計算A'!$A$3,'計算A'!$A$4=0))),0,IF(10=$K45,200000,ABS(10-$K45)*100)),100000+ABS(5-$J45)*1000+100)+'計算A'!DE$5*50+IF(AND($E45=1,MR45=0),25,0),INDEX('計算A'!DE$110:DE$114,$F45+1)+IF(AND($E45=1,MR45=0),1000,0)+IF($H45=1,(IF('計算A'!DD$117=1,INDEX('計算A'!DD$10:DD$54,$B45),0)+IF('計算A'!DE$117=1,INDEX('計算A'!DF$10:DF$54,$B45),0))*500,0)-IF(AND('計算A'!DD$117=1,YB45&gt;0),300,0)-IF(AND($L45=1,'計算A'!DE$117=1,HD45=0),300,0))),1000000))</f>
        <v/>
      </c>
      <c r="SH45">
        <f>IF($B45=0,1000000,IF(INDEX('計算A'!$D$60:$EQ$104,$B45,107)*HD45=1,IF(AND($E45=2,MS45=0),1000000,IF($I45&gt;0,IF(5=$J45,IF(OR(AND(107=$I45+1,OR($K45&lt;&gt;'計算A'!$A$3,'計算A'!$A$4=0)),AND(107=$I45-1,OR(11&lt;&gt;'計算A'!$A$3,'計算A'!$A$4=0))),0,IF(11=$K45,200000,ABS(11-$K45)*100)),100000+ABS(5-$J45)*1000+110)+'計算A'!DF$5*50+IF(AND($E45=1,MS45=0),25,0),INDEX('計算A'!DF$110:DF$114,$F45+1)+IF(AND($E45=1,MS45=0),1000,0)+IF($H45=1,(IF('計算A'!DE$117=1,INDEX('計算A'!DE$10:DE$54,$B45),0)+IF('計算A'!DF$117=1,INDEX('計算A'!DG$10:DG$54,$B45),0))*500,0)-IF(AND('計算A'!DE$117=1,YC45&gt;0),300,0)-IF(AND($L45=1,'計算A'!DF$117=1,HE45=0),300,0))),1000000))</f>
        <v/>
      </c>
      <c r="SI45">
        <f>IF($B45=0,1000000,IF(INDEX('計算A'!$D$60:$EQ$104,$B45,108)*HE45=1,IF(AND($E45=2,MT45=0),1000000,IF($I45&gt;0,IF(5=$J45,IF(OR(AND(108=$I45+1,OR($K45&lt;&gt;'計算A'!$A$3,'計算A'!$A$4=0)),AND(108=$I45-1,OR(12&lt;&gt;'計算A'!$A$3,'計算A'!$A$4=0))),0,IF(12=$K45,200000,ABS(12-$K45)*100)),100000+ABS(5-$J45)*1000+120)+'計算A'!DG$5*50+IF(AND($E45=1,MT45=0),25,0),INDEX('計算A'!DG$110:DG$114,$F45+1)+IF(AND($E45=1,MT45=0),1000,0)+IF($H45=1,(IF('計算A'!DF$117=1,INDEX('計算A'!DF$10:DF$54,$B45),0)+IF('計算A'!DG$117=1,INDEX('計算A'!DH$10:DH$54,$B45),0))*500,0)-IF(AND('計算A'!DF$117=1,YD45&gt;0),300,0)-IF(AND($L45=1,'計算A'!DG$117=1,HF45=0),300,0))),1000000))</f>
        <v/>
      </c>
      <c r="SJ45">
        <f>IF($B45=0,1000000,IF(INDEX('計算A'!$D$60:$EQ$104,$B45,109)*HF45=1,IF(AND($E45=2,MU45=0),1000000,IF($I45&gt;0,IF(5=$J45,IF(OR(AND(109=$I45+1,OR($K45&lt;&gt;'計算A'!$A$3,'計算A'!$A$4=0)),AND(109=$I45-1,OR(13&lt;&gt;'計算A'!$A$3,'計算A'!$A$4=0))),0,IF(13=$K45,200000,ABS(13-$K45)*100)),100000+ABS(5-$J45)*1000+130)+'計算A'!DH$5*50+IF(AND($E45=1,MU45=0),25,0),INDEX('計算A'!DH$110:DH$114,$F45+1)+IF(AND($E45=1,MU45=0),1000,0)+IF($H45=1,(IF('計算A'!DG$117=1,INDEX('計算A'!DG$10:DG$54,$B45),0)+IF('計算A'!DH$117=1,INDEX('計算A'!DI$10:DI$54,$B45),0))*500,0)-IF(AND('計算A'!DG$117=1,YE45&gt;0),300,0)-IF(AND($L45=1,'計算A'!DH$117=1,HG45=0),300,0))),1000000))</f>
        <v/>
      </c>
      <c r="SK45">
        <f>IF($B45=0,1000000,IF(INDEX('計算A'!$D$60:$EQ$104,$B45,110)*HG45=1,IF(AND($E45=2,MV45=0),1000000,IF($I45&gt;0,IF(5=$J45,IF(OR(AND(110=$I45+1,OR($K45&lt;&gt;'計算A'!$A$3,'計算A'!$A$4=0)),AND(110=$I45-1,OR(14&lt;&gt;'計算A'!$A$3,'計算A'!$A$4=0))),0,IF(14=$K45,200000,ABS(14-$K45)*100)),100000+ABS(5-$J45)*1000+140)+'計算A'!DI$5*50+IF(AND($E45=1,MV45=0),25,0),INDEX('計算A'!DI$110:DI$114,$F45+1)+IF(AND($E45=1,MV45=0),1000,0)+IF($H45=1,(IF('計算A'!DH$117=1,INDEX('計算A'!DH$10:DH$54,$B45),0)+IF('計算A'!DI$117=1,INDEX('計算A'!DJ$10:DJ$54,$B45),0))*500,0)-IF(AND('計算A'!DH$117=1,YF45&gt;0),300,0)-IF(AND($L45=1,'計算A'!DI$117=1,HH45=0),300,0))),1000000))</f>
        <v/>
      </c>
      <c r="SL45">
        <f>IF($B45=0,1000000,IF(INDEX('計算A'!$D$60:$EQ$104,$B45,111)*HH45=1,IF(AND($E45=2,MW45=0),1000000,IF($I45&gt;0,IF(5=$J45,IF(OR(AND(111=$I45+1,OR($K45&lt;&gt;'計算A'!$A$3,'計算A'!$A$4=0)),AND(111=$I45-1,OR(15&lt;&gt;'計算A'!$A$3,'計算A'!$A$4=0))),0,IF(15=$K45,200000,ABS(15-$K45)*100)),100000+ABS(5-$J45)*1000+150)+'計算A'!DJ$5*50+IF(AND($E45=1,MW45=0),25,0),INDEX('計算A'!DJ$110:DJ$114,$F45+1)+IF(AND($E45=1,MW45=0),1000,0)+IF($H45=1,(IF('計算A'!DI$117=1,INDEX('計算A'!DI$10:DI$54,$B45),0)+IF('計算A'!DJ$117=1,INDEX('計算A'!DK$10:DK$54,$B45),0))*500,0)-IF(AND('計算A'!DI$117=1,YG45&gt;0),300,0)-IF(AND($L45=1,'計算A'!DJ$117=1,HI45=0),300,0))),1000000))</f>
        <v/>
      </c>
      <c r="SM45">
        <f>IF($B45=0,1000000,IF(INDEX('計算A'!$D$60:$EQ$104,$B45,112)*HI45=1,IF(AND($E45=2,MX45=0),1000000,IF($I45&gt;0,IF(5=$J45,IF(OR(AND(112=$I45+1,OR($K45&lt;&gt;'計算A'!$A$3,'計算A'!$A$4=0)),AND(112=$I45-1,OR(16&lt;&gt;'計算A'!$A$3,'計算A'!$A$4=0))),0,IF(16=$K45,200000,ABS(16-$K45)*100)),100000+ABS(5-$J45)*1000+160)+'計算A'!DK$5*50+IF(AND($E45=1,MX45=0),25,0),INDEX('計算A'!DK$110:DK$114,$F45+1)+IF(AND($E45=1,MX45=0),1000,0)+IF($H45=1,(IF('計算A'!DJ$117=1,INDEX('計算A'!DJ$10:DJ$54,$B45),0)+IF('計算A'!DK$117=1,INDEX('計算A'!DL$10:DL$54,$B45),0))*500,0)-IF(AND('計算A'!DJ$117=1,YH45&gt;0),300,0)-IF(AND($L45=1,'計算A'!DK$117=1,HJ45=0),300,0))),1000000))</f>
        <v/>
      </c>
      <c r="SN45">
        <f>IF($B45=0,1000000,IF(INDEX('計算A'!$D$60:$EQ$104,$B45,113)*HJ45=1,IF(AND($E45=2,MY45=0),1000000,IF($I45&gt;0,IF(5=$J45,IF(OR(AND(113=$I45+1,OR($K45&lt;&gt;'計算A'!$A$3,'計算A'!$A$4=0)),AND(113=$I45-1,OR(17&lt;&gt;'計算A'!$A$3,'計算A'!$A$4=0))),0,IF(17=$K45,200000,ABS(17-$K45)*100)),100000+ABS(5-$J45)*1000+170)+'計算A'!DL$5*50+IF(AND($E45=1,MY45=0),25,0),INDEX('計算A'!DL$110:DL$114,$F45+1)+IF(AND($E45=1,MY45=0),1000,0)+IF($H45=1,(IF('計算A'!DK$117=1,INDEX('計算A'!DK$10:DK$54,$B45),0)+IF('計算A'!DL$117=1,INDEX('計算A'!DM$10:DM$54,$B45),0))*500,0)-IF(AND('計算A'!DK$117=1,YI45&gt;0),300,0)-IF(AND($L45=1,'計算A'!DL$117=1,HK45=0),300,0))),1000000))</f>
        <v/>
      </c>
      <c r="SO45">
        <f>IF($B45=0,1000000,IF(INDEX('計算A'!$D$60:$EQ$104,$B45,114)*HK45=1,IF(AND($E45=2,MZ45=0),1000000,IF($I45&gt;0,IF(5=$J45,IF(OR(AND(114=$I45+1,OR($K45&lt;&gt;'計算A'!$A$3,'計算A'!$A$4=0)),AND(114=$I45-1,OR(18&lt;&gt;'計算A'!$A$3,'計算A'!$A$4=0))),0,IF(18=$K45,200000,ABS(18-$K45)*100)),100000+ABS(5-$J45)*1000+180)+'計算A'!DM$5*50+IF(AND($E45=1,MZ45=0),25,0),INDEX('計算A'!DM$110:DM$114,$F45+1)+IF(AND($E45=1,MZ45=0),1000,0)+IF($H45=1,(IF('計算A'!DL$117=1,INDEX('計算A'!DL$10:DL$54,$B45),0)+IF('計算A'!DM$117=1,INDEX('計算A'!DN$10:DN$54,$B45),0))*500,0)-IF(AND('計算A'!DL$117=1,YJ45&gt;0),300,0)-IF(AND($L45=1,'計算A'!DM$117=1,HL45=0),300,0))),1000000))</f>
        <v/>
      </c>
      <c r="SP45">
        <f>IF($B45=0,1000000,IF(INDEX('計算A'!$D$60:$EQ$104,$B45,115)*HL45=1,IF(AND($E45=2,NA45=0),1000000,IF($I45&gt;0,IF(5=$J45,IF(OR(AND(115=$I45+1,OR($K45&lt;&gt;'計算A'!$A$3,'計算A'!$A$4=0)),AND(115=$I45-1,OR(19&lt;&gt;'計算A'!$A$3,'計算A'!$A$4=0))),0,IF(19=$K45,200000,ABS(19-$K45)*100)),100000+ABS(5-$J45)*1000+190)+'計算A'!DN$5*50+IF(AND($E45=1,NA45=0),25,0),INDEX('計算A'!DN$110:DN$114,$F45+1)+IF(AND($E45=1,NA45=0),1000,0)+IF($H45=1,(IF('計算A'!DM$117=1,INDEX('計算A'!DM$10:DM$54,$B45),0)+IF('計算A'!DN$117=1,INDEX('計算A'!DO$10:DO$54,$B45),0))*500,0)-IF(AND('計算A'!DM$117=1,YK45&gt;0),300,0)-IF(AND($L45=1,'計算A'!DN$117=1,HM45=0),300,0))),1000000))</f>
        <v/>
      </c>
      <c r="SQ45">
        <f>IF($B45=0,1000000,IF(INDEX('計算A'!$D$60:$EQ$104,$B45,116)*HM45=1,IF(AND($E45=2,NB45=0),1000000,IF($I45&gt;0,IF(5=$J45,IF(OR(AND(116=$I45+1,OR($K45&lt;&gt;'計算A'!$A$3,'計算A'!$A$4=0)),AND(116=$I45-1,OR(20&lt;&gt;'計算A'!$A$3,'計算A'!$A$4=0))),0,IF(20=$K45,200000,ABS(20-$K45)*100)),100000+ABS(5-$J45)*1000+200)+'計算A'!DO$5*50+IF(AND($E45=1,NB45=0),25,0),INDEX('計算A'!DO$110:DO$114,$F45+1)+IF(AND($E45=1,NB45=0),1000,0)+IF($H45=1,(IF('計算A'!DN$117=1,INDEX('計算A'!DN$10:DN$54,$B45),0)+IF('計算A'!DO$117=1,INDEX('計算A'!DP$10:DP$54,$B45),0))*500,0)-IF(AND('計算A'!DN$117=1,YL45&gt;0),300,0)-IF(AND($L45=1,'計算A'!DO$117=1,HN45=0),300,0))),1000000))</f>
        <v/>
      </c>
      <c r="SR45">
        <f>IF($B45=0,1000000,IF(INDEX('計算A'!$D$60:$EQ$104,$B45,117)*HN45=1,IF(AND($E45=2,NC45=0),1000000,IF($I45&gt;0,IF(5=$J45,IF(OR(AND(117=$I45+1,OR($K45&lt;&gt;'計算A'!$A$3,'計算A'!$A$4=0)),AND(117=$I45-1,OR(21&lt;&gt;'計算A'!$A$3,'計算A'!$A$4=0))),0,IF(21=$K45,200000,ABS(21-$K45)*100)),100000+ABS(5-$J45)*1000+210)+'計算A'!DP$5*50+IF(AND($E45=1,NC45=0),25,0),INDEX('計算A'!DP$110:DP$114,$F45+1)+IF(AND($E45=1,NC45=0),1000,0)+IF($H45=1,(IF('計算A'!DO$117=1,INDEX('計算A'!DO$10:DO$54,$B45),0)+IF('計算A'!DP$117=1,INDEX('計算A'!DQ$10:DQ$54,$B45),0))*500,0)-IF(AND('計算A'!DO$117=1,YM45&gt;0),300,0)-IF(AND($L45=1,'計算A'!DP$117=1,HO45=0),300,0))),1000000))</f>
        <v/>
      </c>
      <c r="SS45">
        <f>IF($B45=0,1000000,IF(INDEX('計算A'!$D$60:$EQ$104,$B45,118)*HO45=1,IF(AND($E45=2,ND45=0),1000000,IF($I45&gt;0,IF(5=$J45,IF(OR(AND(118=$I45+1,OR($K45&lt;&gt;'計算A'!$A$3,'計算A'!$A$4=0)),AND(118=$I45-1,OR(22&lt;&gt;'計算A'!$A$3,'計算A'!$A$4=0))),0,IF(22=$K45,200000,ABS(22-$K45)*100)),100000+ABS(5-$J45)*1000+220)+'計算A'!DQ$5*50+IF(AND($E45=1,ND45=0),25,0),INDEX('計算A'!DQ$110:DQ$114,$F45+1)+IF(AND($E45=1,ND45=0),1000,0)+IF($H45=1,(IF('計算A'!DP$117=1,INDEX('計算A'!DP$10:DP$54,$B45),0)+IF('計算A'!DQ$117=1,INDEX('計算A'!DR$10:DR$54,$B45),0))*500,0)-IF(AND('計算A'!DP$117=1,YN45&gt;0),300,0)-IF(AND($L45=1,'計算A'!DQ$117=1,HP45=0),300,0))),1000000))</f>
        <v/>
      </c>
      <c r="ST45">
        <f>IF($B45=0,1000000,IF(INDEX('計算A'!$D$60:$EQ$104,$B45,119)*HP45=1,IF(AND($E45=2,NE45=0),1000000,IF($I45&gt;0,IF(5=$J45,IF(OR(AND(119=$I45+1,OR($K45&lt;&gt;'計算A'!$A$3,'計算A'!$A$4=0)),AND(119=$I45-1,OR(23&lt;&gt;'計算A'!$A$3,'計算A'!$A$4=0))),0,IF(23=$K45,200000,ABS(23-$K45)*100)),100000+ABS(5-$J45)*1000+230)+'計算A'!DR$5*50+IF(AND($E45=1,NE45=0),25,0),INDEX('計算A'!DR$110:DR$114,$F45+1)+IF(AND($E45=1,NE45=0),1000,0)+IF($H45=1,(IF('計算A'!DQ$117=1,INDEX('計算A'!DQ$10:DQ$54,$B45),0)+IF('計算A'!DR$117=1,INDEX('計算A'!DS$10:DS$54,$B45),0))*500,0)-IF(AND('計算A'!DQ$117=1,YO45&gt;0),300,0)-IF(AND($L45=1,'計算A'!DR$117=1,HQ45=0),300,0))),1000000))</f>
        <v/>
      </c>
      <c r="SU45">
        <f>IF($B45=0,1000000,IF(INDEX('計算A'!$D$60:$EQ$104,$B45,120)*HQ45=1,IF(AND($E45=2,NF45=0),1000000,IF($I45&gt;0,IF(5=$J45,IF(OR(AND(120=$I45+1,OR($K45&lt;&gt;'計算A'!$A$3,'計算A'!$A$4=0)),AND(120=$I45-1,OR(24&lt;&gt;'計算A'!$A$3,'計算A'!$A$4=0))),0,IF(24=$K45,200000,ABS(24-$K45)*100)),100000+ABS(5-$J45)*1000+240)+'計算A'!DS$5*50+IF(AND($E45=1,NF45=0),25,0),INDEX('計算A'!DS$110:DS$114,$F45+1)+IF(AND($E45=1,NF45=0),1000,0)+IF($H45=1,(IF('計算A'!DR$117=1,INDEX('計算A'!DR$10:DR$54,$B45),0))*500,0)-IF(AND('計算A'!DR$117=1,YP45&gt;0),300,0))),1000000))</f>
        <v/>
      </c>
      <c r="SV45">
        <f>IF($B45=0,1000000,IF(INDEX('計算A'!$D$60:$EQ$104,$B45,121)*HR45=1,IF(AND($E45=2,NG45=0),1000000,IF($I45&gt;0,IF(6=$J45,IF(OR(AND(121=$I45+1,OR($K45&lt;&gt;'計算A'!$A$3,'計算A'!$A$4=0)),AND(121=$I45-1,OR(1&lt;&gt;'計算A'!$A$3,'計算A'!$A$4=0))),0,IF(1=$K45,200000,ABS(1-$K45)*100)),100000+ABS(6-$J45)*1000+10)+'計算A'!DT$5*50+IF(AND($E45=1,NG45=0),25,0),INDEX('計算A'!DT$110:DT$114,$F45+1)+IF(AND($E45=1,NG45=0),1000,0)+IF($H45=1,(IF('計算A'!DT$117=1,INDEX('計算A'!DU$10:DU$54,$B45),0))*500,0)-IF(AND($L45=1,'計算A'!DT$117=1,HS45=0),300,0))),1000000))</f>
        <v/>
      </c>
      <c r="SW45">
        <f>IF($B45=0,1000000,IF(INDEX('計算A'!$D$60:$EQ$104,$B45,122)*HS45=1,IF(AND($E45=2,NH45=0),1000000,IF($I45&gt;0,IF(6=$J45,IF(OR(AND(122=$I45+1,OR($K45&lt;&gt;'計算A'!$A$3,'計算A'!$A$4=0)),AND(122=$I45-1,OR(2&lt;&gt;'計算A'!$A$3,'計算A'!$A$4=0))),0,IF(2=$K45,200000,ABS(2-$K45)*100)),100000+ABS(6-$J45)*1000+20)+'計算A'!DU$5*50+IF(AND($E45=1,NH45=0),25,0),INDEX('計算A'!DU$110:DU$114,$F45+1)+IF(AND($E45=1,NH45=0),1000,0)+IF($H45=1,(IF('計算A'!DT$117=1,INDEX('計算A'!DT$10:DT$54,$B45),0)+IF('計算A'!DU$117=1,INDEX('計算A'!DV$10:DV$54,$B45),0))*500,0)-IF(AND('計算A'!DT$117=1,YR45&gt;0),300,0)-IF(AND($L45=1,'計算A'!DU$117=1,HT45=0),300,0))),1000000))</f>
        <v/>
      </c>
      <c r="SX45">
        <f>IF($B45=0,1000000,IF(INDEX('計算A'!$D$60:$EQ$104,$B45,123)*HT45=1,IF(AND($E45=2,NI45=0),1000000,IF($I45&gt;0,IF(6=$J45,IF(OR(AND(123=$I45+1,OR($K45&lt;&gt;'計算A'!$A$3,'計算A'!$A$4=0)),AND(123=$I45-1,OR(3&lt;&gt;'計算A'!$A$3,'計算A'!$A$4=0))),0,IF(3=$K45,200000,ABS(3-$K45)*100)),100000+ABS(6-$J45)*1000+30)+'計算A'!DV$5*50+IF(AND($E45=1,NI45=0),25,0),INDEX('計算A'!DV$110:DV$114,$F45+1)+IF(AND($E45=1,NI45=0),1000,0)+IF($H45=1,(IF('計算A'!DU$117=1,INDEX('計算A'!DU$10:DU$54,$B45),0)+IF('計算A'!DV$117=1,INDEX('計算A'!DW$10:DW$54,$B45),0))*500,0)-IF(AND('計算A'!DU$117=1,YS45&gt;0),300,0)-IF(AND($L45=1,'計算A'!DV$117=1,HU45=0),300,0))),1000000))</f>
        <v/>
      </c>
      <c r="SY45">
        <f>IF($B45=0,1000000,IF(INDEX('計算A'!$D$60:$EQ$104,$B45,124)*HU45=1,IF(AND($E45=2,NJ45=0),1000000,IF($I45&gt;0,IF(6=$J45,IF(OR(AND(124=$I45+1,OR($K45&lt;&gt;'計算A'!$A$3,'計算A'!$A$4=0)),AND(124=$I45-1,OR(4&lt;&gt;'計算A'!$A$3,'計算A'!$A$4=0))),0,IF(4=$K45,200000,ABS(4-$K45)*100)),100000+ABS(6-$J45)*1000+40)+'計算A'!DW$5*50+IF(AND($E45=1,NJ45=0),25,0),INDEX('計算A'!DW$110:DW$114,$F45+1)+IF(AND($E45=1,NJ45=0),1000,0)+IF($H45=1,(IF('計算A'!DV$117=1,INDEX('計算A'!DV$10:DV$54,$B45),0)+IF('計算A'!DW$117=1,INDEX('計算A'!DX$10:DX$54,$B45),0))*500,0)-IF(AND('計算A'!DV$117=1,YT45&gt;0),300,0)-IF(AND($L45=1,'計算A'!DW$117=1,HV45=0),300,0))),1000000))</f>
        <v/>
      </c>
      <c r="SZ45">
        <f>IF($B45=0,1000000,IF(INDEX('計算A'!$D$60:$EQ$104,$B45,125)*HV45=1,IF(AND($E45=2,NK45=0),1000000,IF($I45&gt;0,IF(6=$J45,IF(OR(AND(125=$I45+1,OR($K45&lt;&gt;'計算A'!$A$3,'計算A'!$A$4=0)),AND(125=$I45-1,OR(5&lt;&gt;'計算A'!$A$3,'計算A'!$A$4=0))),0,IF(5=$K45,200000,ABS(5-$K45)*100)),100000+ABS(6-$J45)*1000+50)+'計算A'!DX$5*50+IF(AND($E45=1,NK45=0),25,0),INDEX('計算A'!DX$110:DX$114,$F45+1)+IF(AND($E45=1,NK45=0),1000,0)+IF($H45=1,(IF('計算A'!DW$117=1,INDEX('計算A'!DW$10:DW$54,$B45),0)+IF('計算A'!DX$117=1,INDEX('計算A'!DY$10:DY$54,$B45),0))*500,0)-IF(AND('計算A'!DW$117=1,YU45&gt;0),300,0)-IF(AND($L45=1,'計算A'!DX$117=1,HW45=0),300,0))),1000000))</f>
        <v/>
      </c>
      <c r="TA45">
        <f>IF($B45=0,1000000,IF(INDEX('計算A'!$D$60:$EQ$104,$B45,126)*HW45=1,IF(AND($E45=2,NL45=0),1000000,IF($I45&gt;0,IF(6=$J45,IF(OR(AND(126=$I45+1,OR($K45&lt;&gt;'計算A'!$A$3,'計算A'!$A$4=0)),AND(126=$I45-1,OR(6&lt;&gt;'計算A'!$A$3,'計算A'!$A$4=0))),0,IF(6=$K45,200000,ABS(6-$K45)*100)),100000+ABS(6-$J45)*1000+60)+'計算A'!DY$5*50+IF(AND($E45=1,NL45=0),25,0),INDEX('計算A'!DY$110:DY$114,$F45+1)+IF(AND($E45=1,NL45=0),1000,0)+IF($H45=1,(IF('計算A'!DX$117=1,INDEX('計算A'!DX$10:DX$54,$B45),0)+IF('計算A'!DY$117=1,INDEX('計算A'!DZ$10:DZ$54,$B45),0))*500,0)-IF(AND('計算A'!DX$117=1,YV45&gt;0),300,0)-IF(AND($L45=1,'計算A'!DY$117=1,HX45=0),300,0))),1000000))</f>
        <v/>
      </c>
      <c r="TB45">
        <f>IF($B45=0,1000000,IF(INDEX('計算A'!$D$60:$EQ$104,$B45,127)*HX45=1,IF(AND($E45=2,NM45=0),1000000,IF($I45&gt;0,IF(6=$J45,IF(OR(AND(127=$I45+1,OR($K45&lt;&gt;'計算A'!$A$3,'計算A'!$A$4=0)),AND(127=$I45-1,OR(7&lt;&gt;'計算A'!$A$3,'計算A'!$A$4=0))),0,IF(7=$K45,200000,ABS(7-$K45)*100)),100000+ABS(6-$J45)*1000+70)+'計算A'!DZ$5*50+IF(AND($E45=1,NM45=0),25,0),INDEX('計算A'!DZ$110:DZ$114,$F45+1)+IF(AND($E45=1,NM45=0),1000,0)+IF($H45=1,(IF('計算A'!DY$117=1,INDEX('計算A'!DY$10:DY$54,$B45),0)+IF('計算A'!DZ$117=1,INDEX('計算A'!EA$10:EA$54,$B45),0))*500,0)-IF(AND('計算A'!DY$117=1,YW45&gt;0),300,0)-IF(AND($L45=1,'計算A'!DZ$117=1,HY45=0),300,0))),1000000))</f>
        <v/>
      </c>
      <c r="TC45">
        <f>IF($B45=0,1000000,IF(INDEX('計算A'!$D$60:$EQ$104,$B45,128)*HY45=1,IF(AND($E45=2,NN45=0),1000000,IF($I45&gt;0,IF(6=$J45,IF(OR(AND(128=$I45+1,OR($K45&lt;&gt;'計算A'!$A$3,'計算A'!$A$4=0)),AND(128=$I45-1,OR(8&lt;&gt;'計算A'!$A$3,'計算A'!$A$4=0))),0,IF(8=$K45,200000,ABS(8-$K45)*100)),100000+ABS(6-$J45)*1000+80)+'計算A'!EA$5*50+IF(AND($E45=1,NN45=0),25,0),INDEX('計算A'!EA$110:EA$114,$F45+1)+IF(AND($E45=1,NN45=0),1000,0)+IF($H45=1,(IF('計算A'!DZ$117=1,INDEX('計算A'!DZ$10:DZ$54,$B45),0)+IF('計算A'!EA$117=1,INDEX('計算A'!EB$10:EB$54,$B45),0))*500,0)-IF(AND('計算A'!DZ$117=1,YX45&gt;0),300,0)-IF(AND($L45=1,'計算A'!EA$117=1,HZ45=0),300,0))),1000000))</f>
        <v/>
      </c>
      <c r="TD45">
        <f>IF($B45=0,1000000,IF(INDEX('計算A'!$D$60:$EQ$104,$B45,129)*HZ45=1,IF(AND($E45=2,NO45=0),1000000,IF($I45&gt;0,IF(6=$J45,IF(OR(AND(129=$I45+1,OR($K45&lt;&gt;'計算A'!$A$3,'計算A'!$A$4=0)),AND(129=$I45-1,OR(9&lt;&gt;'計算A'!$A$3,'計算A'!$A$4=0))),0,IF(9=$K45,200000,ABS(9-$K45)*100)),100000+ABS(6-$J45)*1000+90)+'計算A'!EB$5*50+IF(AND($E45=1,NO45=0),25,0),INDEX('計算A'!EB$110:EB$114,$F45+1)+IF(AND($E45=1,NO45=0),1000,0)+IF($H45=1,(IF('計算A'!EA$117=1,INDEX('計算A'!EA$10:EA$54,$B45),0)+IF('計算A'!EB$117=1,INDEX('計算A'!EC$10:EC$54,$B45),0))*500,0)-IF(AND('計算A'!EA$117=1,YY45&gt;0),300,0)-IF(AND($L45=1,'計算A'!EB$117=1,IA45=0),300,0))),1000000))</f>
        <v/>
      </c>
      <c r="TE45">
        <f>IF($B45=0,1000000,IF(INDEX('計算A'!$D$60:$EQ$104,$B45,130)*IA45=1,IF(AND($E45=2,NP45=0),1000000,IF($I45&gt;0,IF(6=$J45,IF(OR(AND(130=$I45+1,OR($K45&lt;&gt;'計算A'!$A$3,'計算A'!$A$4=0)),AND(130=$I45-1,OR(10&lt;&gt;'計算A'!$A$3,'計算A'!$A$4=0))),0,IF(10=$K45,200000,ABS(10-$K45)*100)),100000+ABS(6-$J45)*1000+100)+'計算A'!EC$5*50+IF(AND($E45=1,NP45=0),25,0),INDEX('計算A'!EC$110:EC$114,$F45+1)+IF(AND($E45=1,NP45=0),1000,0)+IF($H45=1,(IF('計算A'!EB$117=1,INDEX('計算A'!EB$10:EB$54,$B45),0)+IF('計算A'!EC$117=1,INDEX('計算A'!ED$10:ED$54,$B45),0))*500,0)-IF(AND('計算A'!EB$117=1,YZ45&gt;0),300,0)-IF(AND($L45=1,'計算A'!EC$117=1,IB45=0),300,0))),1000000))</f>
        <v/>
      </c>
      <c r="TF45">
        <f>IF($B45=0,1000000,IF(INDEX('計算A'!$D$60:$EQ$104,$B45,131)*IB45=1,IF(AND($E45=2,NQ45=0),1000000,IF($I45&gt;0,IF(6=$J45,IF(OR(AND(131=$I45+1,OR($K45&lt;&gt;'計算A'!$A$3,'計算A'!$A$4=0)),AND(131=$I45-1,OR(11&lt;&gt;'計算A'!$A$3,'計算A'!$A$4=0))),0,IF(11=$K45,200000,ABS(11-$K45)*100)),100000+ABS(6-$J45)*1000+110)+'計算A'!ED$5*50+IF(AND($E45=1,NQ45=0),25,0),INDEX('計算A'!ED$110:ED$114,$F45+1)+IF(AND($E45=1,NQ45=0),1000,0)+IF($H45=1,(IF('計算A'!EC$117=1,INDEX('計算A'!EC$10:EC$54,$B45),0)+IF('計算A'!ED$117=1,INDEX('計算A'!EE$10:EE$54,$B45),0))*500,0)-IF(AND('計算A'!EC$117=1,ZA45&gt;0),300,0)-IF(AND($L45=1,'計算A'!ED$117=1,IC45=0),300,0))),1000000))</f>
        <v/>
      </c>
      <c r="TG45">
        <f>IF($B45=0,1000000,IF(INDEX('計算A'!$D$60:$EQ$104,$B45,132)*IC45=1,IF(AND($E45=2,NR45=0),1000000,IF($I45&gt;0,IF(6=$J45,IF(OR(AND(132=$I45+1,OR($K45&lt;&gt;'計算A'!$A$3,'計算A'!$A$4=0)),AND(132=$I45-1,OR(12&lt;&gt;'計算A'!$A$3,'計算A'!$A$4=0))),0,IF(12=$K45,200000,ABS(12-$K45)*100)),100000+ABS(6-$J45)*1000+120)+'計算A'!EE$5*50+IF(AND($E45=1,NR45=0),25,0),INDEX('計算A'!EE$110:EE$114,$F45+1)+IF(AND($E45=1,NR45=0),1000,0)+IF($H45=1,(IF('計算A'!ED$117=1,INDEX('計算A'!ED$10:ED$54,$B45),0)+IF('計算A'!EE$117=1,INDEX('計算A'!EF$10:EF$54,$B45),0))*500,0)-IF(AND('計算A'!ED$117=1,ZB45&gt;0),300,0)-IF(AND($L45=1,'計算A'!EE$117=1,ID45=0),300,0))),1000000))</f>
        <v/>
      </c>
      <c r="TH45">
        <f>IF($B45=0,1000000,IF(INDEX('計算A'!$D$60:$EQ$104,$B45,133)*ID45=1,IF(AND($E45=2,NS45=0),1000000,IF($I45&gt;0,IF(6=$J45,IF(OR(AND(133=$I45+1,OR($K45&lt;&gt;'計算A'!$A$3,'計算A'!$A$4=0)),AND(133=$I45-1,OR(13&lt;&gt;'計算A'!$A$3,'計算A'!$A$4=0))),0,IF(13=$K45,200000,ABS(13-$K45)*100)),100000+ABS(6-$J45)*1000+130)+'計算A'!EF$5*50+IF(AND($E45=1,NS45=0),25,0),INDEX('計算A'!EF$110:EF$114,$F45+1)+IF(AND($E45=1,NS45=0),1000,0)+IF($H45=1,(IF('計算A'!EE$117=1,INDEX('計算A'!EE$10:EE$54,$B45),0)+IF('計算A'!EF$117=1,INDEX('計算A'!EG$10:EG$54,$B45),0))*500,0)-IF(AND('計算A'!EE$117=1,ZC45&gt;0),300,0)-IF(AND($L45=1,'計算A'!EF$117=1,IE45=0),300,0))),1000000))</f>
        <v/>
      </c>
      <c r="TI45">
        <f>IF($B45=0,1000000,IF(INDEX('計算A'!$D$60:$EQ$104,$B45,134)*IE45=1,IF(AND($E45=2,NT45=0),1000000,IF($I45&gt;0,IF(6=$J45,IF(OR(AND(134=$I45+1,OR($K45&lt;&gt;'計算A'!$A$3,'計算A'!$A$4=0)),AND(134=$I45-1,OR(14&lt;&gt;'計算A'!$A$3,'計算A'!$A$4=0))),0,IF(14=$K45,200000,ABS(14-$K45)*100)),100000+ABS(6-$J45)*1000+140)+'計算A'!EG$5*50+IF(AND($E45=1,NT45=0),25,0),INDEX('計算A'!EG$110:EG$114,$F45+1)+IF(AND($E45=1,NT45=0),1000,0)+IF($H45=1,(IF('計算A'!EF$117=1,INDEX('計算A'!EF$10:EF$54,$B45),0)+IF('計算A'!EG$117=1,INDEX('計算A'!EH$10:EH$54,$B45),0))*500,0)-IF(AND('計算A'!EF$117=1,ZD45&gt;0),300,0)-IF(AND($L45=1,'計算A'!EG$117=1,IF45=0),300,0))),1000000))</f>
        <v/>
      </c>
      <c r="TJ45">
        <f>IF($B45=0,1000000,IF(INDEX('計算A'!$D$60:$EQ$104,$B45,135)*IF45=1,IF(AND($E45=2,NU45=0),1000000,IF($I45&gt;0,IF(6=$J45,IF(OR(AND(135=$I45+1,OR($K45&lt;&gt;'計算A'!$A$3,'計算A'!$A$4=0)),AND(135=$I45-1,OR(15&lt;&gt;'計算A'!$A$3,'計算A'!$A$4=0))),0,IF(15=$K45,200000,ABS(15-$K45)*100)),100000+ABS(6-$J45)*1000+150)+'計算A'!EH$5*50+IF(AND($E45=1,NU45=0),25,0),INDEX('計算A'!EH$110:EH$114,$F45+1)+IF(AND($E45=1,NU45=0),1000,0)+IF($H45=1,(IF('計算A'!EG$117=1,INDEX('計算A'!EG$10:EG$54,$B45),0)+IF('計算A'!EH$117=1,INDEX('計算A'!EI$10:EI$54,$B45),0))*500,0)-IF(AND('計算A'!EG$117=1,ZE45&gt;0),300,0)-IF(AND($L45=1,'計算A'!EH$117=1,IG45=0),300,0))),1000000))</f>
        <v/>
      </c>
      <c r="TK45">
        <f>IF($B45=0,1000000,IF(INDEX('計算A'!$D$60:$EQ$104,$B45,136)*IG45=1,IF(AND($E45=2,NV45=0),1000000,IF($I45&gt;0,IF(6=$J45,IF(OR(AND(136=$I45+1,OR($K45&lt;&gt;'計算A'!$A$3,'計算A'!$A$4=0)),AND(136=$I45-1,OR(16&lt;&gt;'計算A'!$A$3,'計算A'!$A$4=0))),0,IF(16=$K45,200000,ABS(16-$K45)*100)),100000+ABS(6-$J45)*1000+160)+'計算A'!EI$5*50+IF(AND($E45=1,NV45=0),25,0),INDEX('計算A'!EI$110:EI$114,$F45+1)+IF(AND($E45=1,NV45=0),1000,0)+IF($H45=1,(IF('計算A'!EH$117=1,INDEX('計算A'!EH$10:EH$54,$B45),0)+IF('計算A'!EI$117=1,INDEX('計算A'!EJ$10:EJ$54,$B45),0))*500,0)-IF(AND('計算A'!EH$117=1,ZF45&gt;0),300,0)-IF(AND($L45=1,'計算A'!EI$117=1,IH45=0),300,0))),1000000))</f>
        <v/>
      </c>
      <c r="TL45">
        <f>IF($B45=0,1000000,IF(INDEX('計算A'!$D$60:$EQ$104,$B45,137)*IH45=1,IF(AND($E45=2,NW45=0),1000000,IF($I45&gt;0,IF(6=$J45,IF(OR(AND(137=$I45+1,OR($K45&lt;&gt;'計算A'!$A$3,'計算A'!$A$4=0)),AND(137=$I45-1,OR(17&lt;&gt;'計算A'!$A$3,'計算A'!$A$4=0))),0,IF(17=$K45,200000,ABS(17-$K45)*100)),100000+ABS(6-$J45)*1000+170)+'計算A'!EJ$5*50+IF(AND($E45=1,NW45=0),25,0),INDEX('計算A'!EJ$110:EJ$114,$F45+1)+IF(AND($E45=1,NW45=0),1000,0)+IF($H45=1,(IF('計算A'!EI$117=1,INDEX('計算A'!EI$10:EI$54,$B45),0)+IF('計算A'!EJ$117=1,INDEX('計算A'!EK$10:EK$54,$B45),0))*500,0)-IF(AND('計算A'!EI$117=1,ZG45&gt;0),300,0)-IF(AND($L45=1,'計算A'!EJ$117=1,II45=0),300,0))),1000000))</f>
        <v/>
      </c>
      <c r="TM45">
        <f>IF($B45=0,1000000,IF(INDEX('計算A'!$D$60:$EQ$104,$B45,138)*II45=1,IF(AND($E45=2,NX45=0),1000000,IF($I45&gt;0,IF(6=$J45,IF(OR(AND(138=$I45+1,OR($K45&lt;&gt;'計算A'!$A$3,'計算A'!$A$4=0)),AND(138=$I45-1,OR(18&lt;&gt;'計算A'!$A$3,'計算A'!$A$4=0))),0,IF(18=$K45,200000,ABS(18-$K45)*100)),100000+ABS(6-$J45)*1000+180)+'計算A'!EK$5*50+IF(AND($E45=1,NX45=0),25,0),INDEX('計算A'!EK$110:EK$114,$F45+1)+IF(AND($E45=1,NX45=0),1000,0)+IF($H45=1,(IF('計算A'!EJ$117=1,INDEX('計算A'!EJ$10:EJ$54,$B45),0)+IF('計算A'!EK$117=1,INDEX('計算A'!EL$10:EL$54,$B45),0))*500,0)-IF(AND('計算A'!EJ$117=1,ZH45&gt;0),300,0)-IF(AND($L45=1,'計算A'!EK$117=1,IJ45=0),300,0))),1000000))</f>
        <v/>
      </c>
      <c r="TN45">
        <f>IF($B45=0,1000000,IF(INDEX('計算A'!$D$60:$EQ$104,$B45,139)*IJ45=1,IF(AND($E45=2,NY45=0),1000000,IF($I45&gt;0,IF(6=$J45,IF(OR(AND(139=$I45+1,OR($K45&lt;&gt;'計算A'!$A$3,'計算A'!$A$4=0)),AND(139=$I45-1,OR(19&lt;&gt;'計算A'!$A$3,'計算A'!$A$4=0))),0,IF(19=$K45,200000,ABS(19-$K45)*100)),100000+ABS(6-$J45)*1000+190)+'計算A'!EL$5*50+IF(AND($E45=1,NY45=0),25,0),INDEX('計算A'!EL$110:EL$114,$F45+1)+IF(AND($E45=1,NY45=0),1000,0)+IF($H45=1,(IF('計算A'!EK$117=1,INDEX('計算A'!EK$10:EK$54,$B45),0)+IF('計算A'!EL$117=1,INDEX('計算A'!EM$10:EM$54,$B45),0))*500,0)-IF(AND('計算A'!EK$117=1,ZI45&gt;0),300,0)-IF(AND($L45=1,'計算A'!EL$117=1,IK45=0),300,0))),1000000))</f>
        <v/>
      </c>
      <c r="TO45">
        <f>IF($B45=0,1000000,IF(INDEX('計算A'!$D$60:$EQ$104,$B45,140)*IK45=1,IF(AND($E45=2,NZ45=0),1000000,IF($I45&gt;0,IF(6=$J45,IF(OR(AND(140=$I45+1,OR($K45&lt;&gt;'計算A'!$A$3,'計算A'!$A$4=0)),AND(140=$I45-1,OR(20&lt;&gt;'計算A'!$A$3,'計算A'!$A$4=0))),0,IF(20=$K45,200000,ABS(20-$K45)*100)),100000+ABS(6-$J45)*1000+200)+'計算A'!EM$5*50+IF(AND($E45=1,NZ45=0),25,0),INDEX('計算A'!EM$110:EM$114,$F45+1)+IF(AND($E45=1,NZ45=0),1000,0)+IF($H45=1,(IF('計算A'!EL$117=1,INDEX('計算A'!EL$10:EL$54,$B45),0)+IF('計算A'!EM$117=1,INDEX('計算A'!EN$10:EN$54,$B45),0))*500,0)-IF(AND('計算A'!EL$117=1,ZJ45&gt;0),300,0)-IF(AND($L45=1,'計算A'!EM$117=1,IL45=0),300,0))),1000000))</f>
        <v/>
      </c>
      <c r="TP45">
        <f>IF($B45=0,1000000,IF(INDEX('計算A'!$D$60:$EQ$104,$B45,141)*IL45=1,IF(AND($E45=2,OA45=0),1000000,IF($I45&gt;0,IF(6=$J45,IF(OR(AND(141=$I45+1,OR($K45&lt;&gt;'計算A'!$A$3,'計算A'!$A$4=0)),AND(141=$I45-1,OR(21&lt;&gt;'計算A'!$A$3,'計算A'!$A$4=0))),0,IF(21=$K45,200000,ABS(21-$K45)*100)),100000+ABS(6-$J45)*1000+210)+'計算A'!EN$5*50+IF(AND($E45=1,OA45=0),25,0),INDEX('計算A'!EN$110:EN$114,$F45+1)+IF(AND($E45=1,OA45=0),1000,0)+IF($H45=1,(IF('計算A'!EM$117=1,INDEX('計算A'!EM$10:EM$54,$B45),0)+IF('計算A'!EN$117=1,INDEX('計算A'!EO$10:EO$54,$B45),0))*500,0)-IF(AND('計算A'!EM$117=1,ZK45&gt;0),300,0)-IF(AND($L45=1,'計算A'!EN$117=1,IM45=0),300,0))),1000000))</f>
        <v/>
      </c>
      <c r="TQ45">
        <f>IF($B45=0,1000000,IF(INDEX('計算A'!$D$60:$EQ$104,$B45,142)*IM45=1,IF(AND($E45=2,OB45=0),1000000,IF($I45&gt;0,IF(6=$J45,IF(OR(AND(142=$I45+1,OR($K45&lt;&gt;'計算A'!$A$3,'計算A'!$A$4=0)),AND(142=$I45-1,OR(22&lt;&gt;'計算A'!$A$3,'計算A'!$A$4=0))),0,IF(22=$K45,200000,ABS(22-$K45)*100)),100000+ABS(6-$J45)*1000+220)+'計算A'!EO$5*50+IF(AND($E45=1,OB45=0),25,0),INDEX('計算A'!EO$110:EO$114,$F45+1)+IF(AND($E45=1,OB45=0),1000,0)+IF($H45=1,(IF('計算A'!EN$117=1,INDEX('計算A'!EN$10:EN$54,$B45),0)+IF('計算A'!EO$117=1,INDEX('計算A'!EP$10:EP$54,$B45),0))*500,0)-IF(AND('計算A'!EN$117=1,ZL45&gt;0),300,0)-IF(AND($L45=1,'計算A'!EO$117=1,IN45=0),300,0))),1000000))</f>
        <v/>
      </c>
      <c r="TR45">
        <f>IF($B45=0,1000000,IF(INDEX('計算A'!$D$60:$EQ$104,$B45,143)*IN45=1,IF(AND($E45=2,OC45=0),1000000,IF($I45&gt;0,IF(6=$J45,IF(OR(AND(143=$I45+1,OR($K45&lt;&gt;'計算A'!$A$3,'計算A'!$A$4=0)),AND(143=$I45-1,OR(23&lt;&gt;'計算A'!$A$3,'計算A'!$A$4=0))),0,IF(23=$K45,200000,ABS(23-$K45)*100)),100000+ABS(6-$J45)*1000+230)+'計算A'!EP$5*50+IF(AND($E45=1,OC45=0),25,0),INDEX('計算A'!EP$110:EP$114,$F45+1)+IF(AND($E45=1,OC45=0),1000,0)+IF($H45=1,(IF('計算A'!EO$117=1,INDEX('計算A'!EO$10:EO$54,$B45),0)+IF('計算A'!EP$117=1,INDEX('計算A'!EQ$10:EQ$54,$B45),0))*500,0)-IF(AND('計算A'!EO$117=1,ZM45&gt;0),300,0)-IF(AND($L45=1,'計算A'!EP$117=1,IO45=0),300,0))),1000000))</f>
        <v/>
      </c>
      <c r="TS45">
        <f>IF($B45=0,1000000,IF(INDEX('計算A'!$D$60:$EQ$104,$B45,144)*IO45=1,IF(AND($E45=2,OD45=0),1000000,IF($I45&gt;0,IF(6=$J45,IF(OR(AND(144=$I45+1,OR($K45&lt;&gt;'計算A'!$A$3,'計算A'!$A$4=0)),AND(144=$I45-1,OR(24&lt;&gt;'計算A'!$A$3,'計算A'!$A$4=0))),0,IF(24=$K45,200000,ABS(24-$K45)*100)),100000+ABS(6-$J45)*1000+240)+'計算A'!EQ$5*50+IF(AND($E45=1,OD45=0),25,0),INDEX('計算A'!EQ$110:EQ$114,$F45+1)+IF(AND($E45=1,OD45=0),1000,0)+IF($H45=1,(IF('計算A'!EP$117=1,INDEX('計算A'!EP$10:EP$54,$B45),0))*500,0)-IF(AND('計算A'!EP$117=1,ZN45&gt;0),300,0))),1000000))</f>
        <v/>
      </c>
      <c r="UB45">
        <f>UB44+IF(AND($C44=1,$L44=1),1,0)</f>
        <v/>
      </c>
      <c r="UC45">
        <f>UC44+IF(AND($C44=2,$L44=1),1,0)</f>
        <v/>
      </c>
      <c r="UD45">
        <f>UD44+IF(AND($C44=3,$L44=1),1,0)</f>
        <v/>
      </c>
      <c r="UE45">
        <f>UE44+IF(AND($C44=4,$L44=1),1,0)</f>
        <v/>
      </c>
      <c r="UF45">
        <f>UF44+IF(AND($C44=5,$L44=1),1,0)</f>
        <v/>
      </c>
      <c r="UG45">
        <f>UG44+IF(AND($C44=6,$L44=1),1,0)</f>
        <v/>
      </c>
      <c r="UH45">
        <f>UH44+IF(AND($C44=7,$L44=1),1,0)</f>
        <v/>
      </c>
      <c r="UI45">
        <f>UI44+IF(AND($C44=8,$L44=1),1,0)</f>
        <v/>
      </c>
      <c r="UJ45">
        <f>UJ44+IF(AND($C44=9,$L44=1),1,0)</f>
        <v/>
      </c>
      <c r="UK45">
        <f>UK44+IF(AND($C44=10,$L44=1),1,0)</f>
        <v/>
      </c>
      <c r="UL45">
        <f>UL44+IF(AND($C44=11,$L44=1),1,0)</f>
        <v/>
      </c>
      <c r="UM45">
        <f>UM44+IF(AND($C44=12,$L44=1),1,0)</f>
        <v/>
      </c>
      <c r="UN45">
        <f>UN44+IF(AND($C44=13,$L44=1),1,0)</f>
        <v/>
      </c>
      <c r="UO45">
        <f>UO44+IF(AND($C44=14,$L44=1),1,0)</f>
        <v/>
      </c>
      <c r="UP45">
        <f>UP44+IF(AND($C44=15,$L44=1),1,0)</f>
        <v/>
      </c>
      <c r="UQ45">
        <f>UQ44+IF(AND($C44=16,$L44=1),1,0)</f>
        <v/>
      </c>
      <c r="UR45">
        <f>UR44+IF(AND($C44=17,$L44=1),1,0)</f>
        <v/>
      </c>
      <c r="US45">
        <f>US44+IF(AND($C44=18,$L44=1),1,0)</f>
        <v/>
      </c>
      <c r="UT45">
        <f>UT44+IF(AND($C44=19,$L44=1),1,0)</f>
        <v/>
      </c>
      <c r="UU45">
        <f>UU44+IF(AND($C44=20,$L44=1),1,0)</f>
        <v/>
      </c>
      <c r="UV45">
        <f>UV44+IF(AND($C44=21,$L44=1),1,0)</f>
        <v/>
      </c>
      <c r="UW45">
        <f>UW44+IF(AND($C44=22,$L44=1),1,0)</f>
        <v/>
      </c>
      <c r="UX45">
        <f>UX44+IF(AND($C44=23,$L44=1),1,0)</f>
        <v/>
      </c>
      <c r="UY45">
        <f>UY44+IF(AND($C44=24,$L44=1),1,0)</f>
        <v/>
      </c>
      <c r="UZ45">
        <f>UZ44+IF(AND($C44=25,$L44=1),1,0)</f>
        <v/>
      </c>
      <c r="VA45">
        <f>VA44+IF(AND($C44=26,$L44=1),1,0)</f>
        <v/>
      </c>
      <c r="VB45">
        <f>VB44+IF(AND($C44=27,$L44=1),1,0)</f>
        <v/>
      </c>
      <c r="VC45">
        <f>VC44+IF(AND($C44=28,$L44=1),1,0)</f>
        <v/>
      </c>
      <c r="VD45">
        <f>VD44+IF(AND($C44=29,$L44=1),1,0)</f>
        <v/>
      </c>
      <c r="VE45">
        <f>VE44+IF(AND($C44=30,$L44=1),1,0)</f>
        <v/>
      </c>
      <c r="VF45">
        <f>VF44+IF(AND($C44=31,$L44=1),1,0)</f>
        <v/>
      </c>
      <c r="VG45">
        <f>VG44+IF(AND($C44=32,$L44=1),1,0)</f>
        <v/>
      </c>
      <c r="VH45">
        <f>VH44+IF(AND($C44=33,$L44=1),1,0)</f>
        <v/>
      </c>
      <c r="VI45">
        <f>VI44+IF(AND($C44=34,$L44=1),1,0)</f>
        <v/>
      </c>
      <c r="VJ45">
        <f>VJ44+IF(AND($C44=35,$L44=1),1,0)</f>
        <v/>
      </c>
      <c r="VK45">
        <f>VK44+IF(AND($C44=36,$L44=1),1,0)</f>
        <v/>
      </c>
      <c r="VL45">
        <f>VL44+IF(AND($C44=37,$L44=1),1,0)</f>
        <v/>
      </c>
      <c r="VM45">
        <f>VM44+IF(AND($C44=38,$L44=1),1,0)</f>
        <v/>
      </c>
      <c r="VN45">
        <f>VN44+IF(AND($C44=39,$L44=1),1,0)</f>
        <v/>
      </c>
      <c r="VO45">
        <f>VO44+IF(AND($C44=40,$L44=1),1,0)</f>
        <v/>
      </c>
      <c r="VP45">
        <f>VP44+IF(AND($C44=41,$L44=1),1,0)</f>
        <v/>
      </c>
      <c r="VQ45">
        <f>VQ44+IF(AND($C44=42,$L44=1),1,0)</f>
        <v/>
      </c>
      <c r="VR45">
        <f>VR44+IF(AND($C44=43,$L44=1),1,0)</f>
        <v/>
      </c>
      <c r="VS45">
        <f>VS44+IF(AND($C44=44,$L44=1),1,0)</f>
        <v/>
      </c>
      <c r="VT45">
        <f>VT44+IF(AND($C44=45,$L44=1),1,0)</f>
        <v/>
      </c>
      <c r="VU45">
        <f>VU44+IF(AND($C44=46,$L44=1),1,0)</f>
        <v/>
      </c>
      <c r="VV45">
        <f>VV44+IF(AND($C44=47,$L44=1),1,0)</f>
        <v/>
      </c>
      <c r="VW45">
        <f>VW44+IF(AND($C44=48,$L44=1),1,0)</f>
        <v/>
      </c>
      <c r="VX45">
        <f>VX44+IF(AND($C44=49,$L44=1),1,0)</f>
        <v/>
      </c>
      <c r="VY45">
        <f>VY44+IF(AND($C44=50,$L44=1),1,0)</f>
        <v/>
      </c>
      <c r="VZ45">
        <f>VZ44+IF(AND($C44=51,$L44=1),1,0)</f>
        <v/>
      </c>
      <c r="WA45">
        <f>WA44+IF(AND($C44=52,$L44=1),1,0)</f>
        <v/>
      </c>
      <c r="WB45">
        <f>WB44+IF(AND($C44=53,$L44=1),1,0)</f>
        <v/>
      </c>
      <c r="WC45">
        <f>WC44+IF(AND($C44=54,$L44=1),1,0)</f>
        <v/>
      </c>
      <c r="WD45">
        <f>WD44+IF(AND($C44=55,$L44=1),1,0)</f>
        <v/>
      </c>
      <c r="WE45">
        <f>WE44+IF(AND($C44=56,$L44=1),1,0)</f>
        <v/>
      </c>
      <c r="WF45">
        <f>WF44+IF(AND($C44=57,$L44=1),1,0)</f>
        <v/>
      </c>
      <c r="WG45">
        <f>WG44+IF(AND($C44=58,$L44=1),1,0)</f>
        <v/>
      </c>
      <c r="WH45">
        <f>WH44+IF(AND($C44=59,$L44=1),1,0)</f>
        <v/>
      </c>
      <c r="WI45">
        <f>WI44+IF(AND($C44=60,$L44=1),1,0)</f>
        <v/>
      </c>
      <c r="WJ45">
        <f>WJ44+IF(AND($C44=61,$L44=1),1,0)</f>
        <v/>
      </c>
      <c r="WK45">
        <f>WK44+IF(AND($C44=62,$L44=1),1,0)</f>
        <v/>
      </c>
      <c r="WL45">
        <f>WL44+IF(AND($C44=63,$L44=1),1,0)</f>
        <v/>
      </c>
      <c r="WM45">
        <f>WM44+IF(AND($C44=64,$L44=1),1,0)</f>
        <v/>
      </c>
      <c r="WN45">
        <f>WN44+IF(AND($C44=65,$L44=1),1,0)</f>
        <v/>
      </c>
      <c r="WO45">
        <f>WO44+IF(AND($C44=66,$L44=1),1,0)</f>
        <v/>
      </c>
      <c r="WP45">
        <f>WP44+IF(AND($C44=67,$L44=1),1,0)</f>
        <v/>
      </c>
      <c r="WQ45">
        <f>WQ44+IF(AND($C44=68,$L44=1),1,0)</f>
        <v/>
      </c>
      <c r="WR45">
        <f>WR44+IF(AND($C44=69,$L44=1),1,0)</f>
        <v/>
      </c>
      <c r="WS45">
        <f>WS44+IF(AND($C44=70,$L44=1),1,0)</f>
        <v/>
      </c>
      <c r="WT45">
        <f>WT44+IF(AND($C44=71,$L44=1),1,0)</f>
        <v/>
      </c>
      <c r="WU45">
        <f>WU44+IF(AND($C44=72,$L44=1),1,0)</f>
        <v/>
      </c>
      <c r="WV45">
        <f>WV44+IF(AND($C44=73,$L44=1),1,0)</f>
        <v/>
      </c>
      <c r="WW45">
        <f>WW44+IF(AND($C44=74,$L44=1),1,0)</f>
        <v/>
      </c>
      <c r="WX45">
        <f>WX44+IF(AND($C44=75,$L44=1),1,0)</f>
        <v/>
      </c>
      <c r="WY45">
        <f>WY44+IF(AND($C44=76,$L44=1),1,0)</f>
        <v/>
      </c>
      <c r="WZ45">
        <f>WZ44+IF(AND($C44=77,$L44=1),1,0)</f>
        <v/>
      </c>
      <c r="XA45">
        <f>XA44+IF(AND($C44=78,$L44=1),1,0)</f>
        <v/>
      </c>
      <c r="XB45">
        <f>XB44+IF(AND($C44=79,$L44=1),1,0)</f>
        <v/>
      </c>
      <c r="XC45">
        <f>XC44+IF(AND($C44=80,$L44=1),1,0)</f>
        <v/>
      </c>
      <c r="XD45">
        <f>XD44+IF(AND($C44=81,$L44=1),1,0)</f>
        <v/>
      </c>
      <c r="XE45">
        <f>XE44+IF(AND($C44=82,$L44=1),1,0)</f>
        <v/>
      </c>
      <c r="XF45">
        <f>XF44+IF(AND($C44=83,$L44=1),1,0)</f>
        <v/>
      </c>
      <c r="XG45">
        <f>XG44+IF(AND($C44=84,$L44=1),1,0)</f>
        <v/>
      </c>
      <c r="XH45">
        <f>XH44+IF(AND($C44=85,$L44=1),1,0)</f>
        <v/>
      </c>
      <c r="XI45">
        <f>XI44+IF(AND($C44=86,$L44=1),1,0)</f>
        <v/>
      </c>
      <c r="XJ45">
        <f>XJ44+IF(AND($C44=87,$L44=1),1,0)</f>
        <v/>
      </c>
      <c r="XK45">
        <f>XK44+IF(AND($C44=88,$L44=1),1,0)</f>
        <v/>
      </c>
      <c r="XL45">
        <f>XL44+IF(AND($C44=89,$L44=1),1,0)</f>
        <v/>
      </c>
      <c r="XM45">
        <f>XM44+IF(AND($C44=90,$L44=1),1,0)</f>
        <v/>
      </c>
      <c r="XN45">
        <f>XN44+IF(AND($C44=91,$L44=1),1,0)</f>
        <v/>
      </c>
      <c r="XO45">
        <f>XO44+IF(AND($C44=92,$L44=1),1,0)</f>
        <v/>
      </c>
      <c r="XP45">
        <f>XP44+IF(AND($C44=93,$L44=1),1,0)</f>
        <v/>
      </c>
      <c r="XQ45">
        <f>XQ44+IF(AND($C44=94,$L44=1),1,0)</f>
        <v/>
      </c>
      <c r="XR45">
        <f>XR44+IF(AND($C44=95,$L44=1),1,0)</f>
        <v/>
      </c>
      <c r="XS45">
        <f>XS44+IF(AND($C44=96,$L44=1),1,0)</f>
        <v/>
      </c>
      <c r="XT45">
        <f>XT44+IF(AND($C44=97,$L44=1),1,0)</f>
        <v/>
      </c>
      <c r="XU45">
        <f>XU44+IF(AND($C44=98,$L44=1),1,0)</f>
        <v/>
      </c>
      <c r="XV45">
        <f>XV44+IF(AND($C44=99,$L44=1),1,0)</f>
        <v/>
      </c>
      <c r="XW45">
        <f>XW44+IF(AND($C44=100,$L44=1),1,0)</f>
        <v/>
      </c>
      <c r="XX45">
        <f>XX44+IF(AND($C44=101,$L44=1),1,0)</f>
        <v/>
      </c>
      <c r="XY45">
        <f>XY44+IF(AND($C44=102,$L44=1),1,0)</f>
        <v/>
      </c>
      <c r="XZ45">
        <f>XZ44+IF(AND($C44=103,$L44=1),1,0)</f>
        <v/>
      </c>
      <c r="YA45">
        <f>YA44+IF(AND($C44=104,$L44=1),1,0)</f>
        <v/>
      </c>
      <c r="YB45">
        <f>YB44+IF(AND($C44=105,$L44=1),1,0)</f>
        <v/>
      </c>
      <c r="YC45">
        <f>YC44+IF(AND($C44=106,$L44=1),1,0)</f>
        <v/>
      </c>
      <c r="YD45">
        <f>YD44+IF(AND($C44=107,$L44=1),1,0)</f>
        <v/>
      </c>
      <c r="YE45">
        <f>YE44+IF(AND($C44=108,$L44=1),1,0)</f>
        <v/>
      </c>
      <c r="YF45">
        <f>YF44+IF(AND($C44=109,$L44=1),1,0)</f>
        <v/>
      </c>
      <c r="YG45">
        <f>YG44+IF(AND($C44=110,$L44=1),1,0)</f>
        <v/>
      </c>
      <c r="YH45">
        <f>YH44+IF(AND($C44=111,$L44=1),1,0)</f>
        <v/>
      </c>
      <c r="YI45">
        <f>YI44+IF(AND($C44=112,$L44=1),1,0)</f>
        <v/>
      </c>
      <c r="YJ45">
        <f>YJ44+IF(AND($C44=113,$L44=1),1,0)</f>
        <v/>
      </c>
      <c r="YK45">
        <f>YK44+IF(AND($C44=114,$L44=1),1,0)</f>
        <v/>
      </c>
      <c r="YL45">
        <f>YL44+IF(AND($C44=115,$L44=1),1,0)</f>
        <v/>
      </c>
      <c r="YM45">
        <f>YM44+IF(AND($C44=116,$L44=1),1,0)</f>
        <v/>
      </c>
      <c r="YN45">
        <f>YN44+IF(AND($C44=117,$L44=1),1,0)</f>
        <v/>
      </c>
      <c r="YO45">
        <f>YO44+IF(AND($C44=118,$L44=1),1,0)</f>
        <v/>
      </c>
      <c r="YP45">
        <f>YP44+IF(AND($C44=119,$L44=1),1,0)</f>
        <v/>
      </c>
      <c r="YQ45">
        <f>YQ44+IF(AND($C44=120,$L44=1),1,0)</f>
        <v/>
      </c>
      <c r="YR45">
        <f>YR44+IF(AND($C44=121,$L44=1),1,0)</f>
        <v/>
      </c>
      <c r="YS45">
        <f>YS44+IF(AND($C44=122,$L44=1),1,0)</f>
        <v/>
      </c>
      <c r="YT45">
        <f>YT44+IF(AND($C44=123,$L44=1),1,0)</f>
        <v/>
      </c>
      <c r="YU45">
        <f>YU44+IF(AND($C44=124,$L44=1),1,0)</f>
        <v/>
      </c>
      <c r="YV45">
        <f>YV44+IF(AND($C44=125,$L44=1),1,0)</f>
        <v/>
      </c>
      <c r="YW45">
        <f>YW44+IF(AND($C44=126,$L44=1),1,0)</f>
        <v/>
      </c>
      <c r="YX45">
        <f>YX44+IF(AND($C44=127,$L44=1),1,0)</f>
        <v/>
      </c>
      <c r="YY45">
        <f>YY44+IF(AND($C44=128,$L44=1),1,0)</f>
        <v/>
      </c>
      <c r="YZ45">
        <f>YZ44+IF(AND($C44=129,$L44=1),1,0)</f>
        <v/>
      </c>
      <c r="ZA45">
        <f>ZA44+IF(AND($C44=130,$L44=1),1,0)</f>
        <v/>
      </c>
      <c r="ZB45">
        <f>ZB44+IF(AND($C44=131,$L44=1),1,0)</f>
        <v/>
      </c>
      <c r="ZC45">
        <f>ZC44+IF(AND($C44=132,$L44=1),1,0)</f>
        <v/>
      </c>
      <c r="ZD45">
        <f>ZD44+IF(AND($C44=133,$L44=1),1,0)</f>
        <v/>
      </c>
      <c r="ZE45">
        <f>ZE44+IF(AND($C44=134,$L44=1),1,0)</f>
        <v/>
      </c>
      <c r="ZF45">
        <f>ZF44+IF(AND($C44=135,$L44=1),1,0)</f>
        <v/>
      </c>
      <c r="ZG45">
        <f>ZG44+IF(AND($C44=136,$L44=1),1,0)</f>
        <v/>
      </c>
      <c r="ZH45">
        <f>ZH44+IF(AND($C44=137,$L44=1),1,0)</f>
        <v/>
      </c>
      <c r="ZI45">
        <f>ZI44+IF(AND($C44=138,$L44=1),1,0)</f>
        <v/>
      </c>
      <c r="ZJ45">
        <f>ZJ44+IF(AND($C44=139,$L44=1),1,0)</f>
        <v/>
      </c>
      <c r="ZK45">
        <f>ZK44+IF(AND($C44=140,$L44=1),1,0)</f>
        <v/>
      </c>
      <c r="ZL45">
        <f>ZL44+IF(AND($C44=141,$L44=1),1,0)</f>
        <v/>
      </c>
      <c r="ZM45">
        <f>ZM44+IF(AND($C44=142,$L44=1),1,0)</f>
        <v/>
      </c>
      <c r="ZN45">
        <f>ZN44+IF(AND($C44=143,$L44=1),1,0)</f>
        <v/>
      </c>
      <c r="ZO45">
        <f>ZO44+IF(AND($C44=144,$L44=1),1,0)</f>
        <v/>
      </c>
    </row>
    <row r="46">
      <c r="A46" t="n">
        <v>44</v>
      </c>
      <c r="B46">
        <f>IF(MIN(BH46:CZ46)&gt;=1000000,0,MATCH(MIN(BH46:CZ46),BH46:CZ46,0))</f>
        <v/>
      </c>
      <c r="C46">
        <f>IF(MIN(OF46:TS46)&gt;=1000000,0,MATCH(MIN(OF46:TS46),OF46:TS46,0))</f>
        <v/>
      </c>
      <c r="D46">
        <f>IF(C46&gt;0,INDEX('計算A'!$D$5:$EQ$5,C46),0)</f>
        <v/>
      </c>
      <c r="E46">
        <f>IF(B46=0,0,INDEX('計算A'!$IQ$10:$IQ$54,B46))</f>
        <v/>
      </c>
      <c r="F46">
        <f>IF(B46=0,0,INDEX('計算A'!$IP$10:$IP$54,B46))</f>
        <v/>
      </c>
      <c r="G46">
        <f>IF(AND(C46&gt;0,E46&gt;0),IF(AND(INDEX('計算A'!$D$106:$EQ$106,C46)=1,INDEX($IQ46:$OD46,C46)=1),C46+1,0),0)</f>
        <v/>
      </c>
      <c r="H46">
        <f>IF(B46=0,0,INDEX('計算A'!$IW$10:$IW$54,B46))</f>
        <v/>
      </c>
      <c r="I46">
        <f>IF(B46=0,0,MAX(0,INDEX('計算A'!$IT$10:$IT$54,B46)))</f>
        <v/>
      </c>
      <c r="J46">
        <f>IF(I46=0,0,INDEX('計算A'!$D$2:$EQ$2,I46))</f>
        <v/>
      </c>
      <c r="K46">
        <f>IF(I46=0,0,INDEX('計算A'!$D$3:$EQ$3,I46))</f>
        <v/>
      </c>
      <c r="L46">
        <f>IF(B46=0,0,INDEX('計算A'!$IX$10:$IX$54,B46))</f>
        <v/>
      </c>
      <c r="N46">
        <f>MAX(N45,IF($B45=1,1,0))</f>
        <v/>
      </c>
      <c r="O46">
        <f>MAX(O45,IF($B45=2,1,0))</f>
        <v/>
      </c>
      <c r="P46">
        <f>MAX(P45,IF($B45=3,1,0))</f>
        <v/>
      </c>
      <c r="Q46">
        <f>MAX(Q45,IF($B45=4,1,0))</f>
        <v/>
      </c>
      <c r="R46">
        <f>MAX(R45,IF($B45=5,1,0))</f>
        <v/>
      </c>
      <c r="S46">
        <f>MAX(S45,IF($B45=6,1,0))</f>
        <v/>
      </c>
      <c r="T46">
        <f>MAX(T45,IF($B45=7,1,0))</f>
        <v/>
      </c>
      <c r="U46">
        <f>MAX(U45,IF($B45=8,1,0))</f>
        <v/>
      </c>
      <c r="V46">
        <f>MAX(V45,IF($B45=9,1,0))</f>
        <v/>
      </c>
      <c r="W46">
        <f>MAX(W45,IF($B45=10,1,0))</f>
        <v/>
      </c>
      <c r="X46">
        <f>MAX(X45,IF($B45=11,1,0))</f>
        <v/>
      </c>
      <c r="Y46">
        <f>MAX(Y45,IF($B45=12,1,0))</f>
        <v/>
      </c>
      <c r="Z46">
        <f>MAX(Z45,IF($B45=13,1,0))</f>
        <v/>
      </c>
      <c r="AA46">
        <f>MAX(AA45,IF($B45=14,1,0))</f>
        <v/>
      </c>
      <c r="AB46">
        <f>MAX(AB45,IF($B45=15,1,0))</f>
        <v/>
      </c>
      <c r="AC46">
        <f>MAX(AC45,IF($B45=16,1,0))</f>
        <v/>
      </c>
      <c r="AD46">
        <f>MAX(AD45,IF($B45=17,1,0))</f>
        <v/>
      </c>
      <c r="AE46">
        <f>MAX(AE45,IF($B45=18,1,0))</f>
        <v/>
      </c>
      <c r="AF46">
        <f>MAX(AF45,IF($B45=19,1,0))</f>
        <v/>
      </c>
      <c r="AG46">
        <f>MAX(AG45,IF($B45=20,1,0))</f>
        <v/>
      </c>
      <c r="AH46">
        <f>MAX(AH45,IF($B45=21,1,0))</f>
        <v/>
      </c>
      <c r="AI46">
        <f>MAX(AI45,IF($B45=22,1,0))</f>
        <v/>
      </c>
      <c r="AJ46">
        <f>MAX(AJ45,IF($B45=23,1,0))</f>
        <v/>
      </c>
      <c r="AK46">
        <f>MAX(AK45,IF($B45=24,1,0))</f>
        <v/>
      </c>
      <c r="AL46">
        <f>MAX(AL45,IF($B45=25,1,0))</f>
        <v/>
      </c>
      <c r="AM46">
        <f>MAX(AM45,IF($B45=26,1,0))</f>
        <v/>
      </c>
      <c r="AN46">
        <f>MAX(AN45,IF($B45=27,1,0))</f>
        <v/>
      </c>
      <c r="AO46">
        <f>MAX(AO45,IF($B45=28,1,0))</f>
        <v/>
      </c>
      <c r="AP46">
        <f>MAX(AP45,IF($B45=29,1,0))</f>
        <v/>
      </c>
      <c r="AQ46">
        <f>MAX(AQ45,IF($B45=30,1,0))</f>
        <v/>
      </c>
      <c r="AR46">
        <f>MAX(AR45,IF($B45=31,1,0))</f>
        <v/>
      </c>
      <c r="AS46">
        <f>MAX(AS45,IF($B45=32,1,0))</f>
        <v/>
      </c>
      <c r="AT46">
        <f>MAX(AT45,IF($B45=33,1,0))</f>
        <v/>
      </c>
      <c r="AU46">
        <f>MAX(AU45,IF($B45=34,1,0))</f>
        <v/>
      </c>
      <c r="AV46">
        <f>MAX(AV45,IF($B45=35,1,0))</f>
        <v/>
      </c>
      <c r="AW46">
        <f>MAX(AW45,IF($B45=36,1,0))</f>
        <v/>
      </c>
      <c r="AX46">
        <f>MAX(AX45,IF($B45=37,1,0))</f>
        <v/>
      </c>
      <c r="AY46">
        <f>MAX(AY45,IF($B45=38,1,0))</f>
        <v/>
      </c>
      <c r="AZ46">
        <f>MAX(AZ45,IF($B45=39,1,0))</f>
        <v/>
      </c>
      <c r="BA46">
        <f>MAX(BA45,IF($B45=40,1,0))</f>
        <v/>
      </c>
      <c r="BB46">
        <f>MAX(BB45,IF($B45=41,1,0))</f>
        <v/>
      </c>
      <c r="BC46">
        <f>MAX(BC45,IF($B45=42,1,0))</f>
        <v/>
      </c>
      <c r="BD46">
        <f>MAX(BD45,IF($B45=43,1,0))</f>
        <v/>
      </c>
      <c r="BE46">
        <f>MAX(BE45,IF($B45=44,1,0))</f>
        <v/>
      </c>
      <c r="BF46">
        <f>MAX(BF45,IF($B45=45,1,0))</f>
        <v/>
      </c>
      <c r="BH46">
        <f>IF(N46=1,1000000,IF('計算A'!$IT$10&gt;0,0,500000)+IF('計算A'!$IQ$10=2,SUMPRODUCT('計算A'!$D$60:$EQ$60,$DB46:$IO46,$IQ46:$OD46),SUMPRODUCT('計算A'!$D$60:$EQ$60,$DB46:$IO46))*1000+1)</f>
        <v/>
      </c>
      <c r="BI46">
        <f>IF(O46=1,1000000,IF('計算A'!$IT$11&gt;0,0,500000)+IF('計算A'!$IQ$11=2,SUMPRODUCT('計算A'!$D$61:$EQ$61,$DB46:$IO46,$IQ46:$OD46),SUMPRODUCT('計算A'!$D$61:$EQ$61,$DB46:$IO46))*1000+2)</f>
        <v/>
      </c>
      <c r="BJ46">
        <f>IF(P46=1,1000000,IF('計算A'!$IT$12&gt;0,0,500000)+IF('計算A'!$IQ$12=2,SUMPRODUCT('計算A'!$D$62:$EQ$62,$DB46:$IO46,$IQ46:$OD46),SUMPRODUCT('計算A'!$D$62:$EQ$62,$DB46:$IO46))*1000+3)</f>
        <v/>
      </c>
      <c r="BK46">
        <f>IF(Q46=1,1000000,IF('計算A'!$IT$13&gt;0,0,500000)+IF('計算A'!$IQ$13=2,SUMPRODUCT('計算A'!$D$63:$EQ$63,$DB46:$IO46,$IQ46:$OD46),SUMPRODUCT('計算A'!$D$63:$EQ$63,$DB46:$IO46))*1000+4)</f>
        <v/>
      </c>
      <c r="BL46">
        <f>IF(R46=1,1000000,IF('計算A'!$IT$14&gt;0,0,500000)+IF('計算A'!$IQ$14=2,SUMPRODUCT('計算A'!$D$64:$EQ$64,$DB46:$IO46,$IQ46:$OD46),SUMPRODUCT('計算A'!$D$64:$EQ$64,$DB46:$IO46))*1000+5)</f>
        <v/>
      </c>
      <c r="BM46">
        <f>IF(S46=1,1000000,IF('計算A'!$IT$15&gt;0,0,500000)+IF('計算A'!$IQ$15=2,SUMPRODUCT('計算A'!$D$65:$EQ$65,$DB46:$IO46,$IQ46:$OD46),SUMPRODUCT('計算A'!$D$65:$EQ$65,$DB46:$IO46))*1000+6)</f>
        <v/>
      </c>
      <c r="BN46">
        <f>IF(T46=1,1000000,IF('計算A'!$IT$16&gt;0,0,500000)+IF('計算A'!$IQ$16=2,SUMPRODUCT('計算A'!$D$66:$EQ$66,$DB46:$IO46,$IQ46:$OD46),SUMPRODUCT('計算A'!$D$66:$EQ$66,$DB46:$IO46))*1000+7)</f>
        <v/>
      </c>
      <c r="BO46">
        <f>IF(U46=1,1000000,IF('計算A'!$IT$17&gt;0,0,500000)+IF('計算A'!$IQ$17=2,SUMPRODUCT('計算A'!$D$67:$EQ$67,$DB46:$IO46,$IQ46:$OD46),SUMPRODUCT('計算A'!$D$67:$EQ$67,$DB46:$IO46))*1000+8)</f>
        <v/>
      </c>
      <c r="BP46">
        <f>IF(V46=1,1000000,IF('計算A'!$IT$18&gt;0,0,500000)+IF('計算A'!$IQ$18=2,SUMPRODUCT('計算A'!$D$68:$EQ$68,$DB46:$IO46,$IQ46:$OD46),SUMPRODUCT('計算A'!$D$68:$EQ$68,$DB46:$IO46))*1000+9)</f>
        <v/>
      </c>
      <c r="BQ46">
        <f>IF(W46=1,1000000,IF('計算A'!$IT$19&gt;0,0,500000)+IF('計算A'!$IQ$19=2,SUMPRODUCT('計算A'!$D$69:$EQ$69,$DB46:$IO46,$IQ46:$OD46),SUMPRODUCT('計算A'!$D$69:$EQ$69,$DB46:$IO46))*1000+10)</f>
        <v/>
      </c>
      <c r="BR46">
        <f>IF(X46=1,1000000,IF('計算A'!$IT$20&gt;0,0,500000)+IF('計算A'!$IQ$20=2,SUMPRODUCT('計算A'!$D$70:$EQ$70,$DB46:$IO46,$IQ46:$OD46),SUMPRODUCT('計算A'!$D$70:$EQ$70,$DB46:$IO46))*1000+11)</f>
        <v/>
      </c>
      <c r="BS46">
        <f>IF(Y46=1,1000000,IF('計算A'!$IT$21&gt;0,0,500000)+IF('計算A'!$IQ$21=2,SUMPRODUCT('計算A'!$D$71:$EQ$71,$DB46:$IO46,$IQ46:$OD46),SUMPRODUCT('計算A'!$D$71:$EQ$71,$DB46:$IO46))*1000+12)</f>
        <v/>
      </c>
      <c r="BT46">
        <f>IF(Z46=1,1000000,IF('計算A'!$IT$22&gt;0,0,500000)+IF('計算A'!$IQ$22=2,SUMPRODUCT('計算A'!$D$72:$EQ$72,$DB46:$IO46,$IQ46:$OD46),SUMPRODUCT('計算A'!$D$72:$EQ$72,$DB46:$IO46))*1000+13)</f>
        <v/>
      </c>
      <c r="BU46">
        <f>IF(AA46=1,1000000,IF('計算A'!$IT$23&gt;0,0,500000)+IF('計算A'!$IQ$23=2,SUMPRODUCT('計算A'!$D$73:$EQ$73,$DB46:$IO46,$IQ46:$OD46),SUMPRODUCT('計算A'!$D$73:$EQ$73,$DB46:$IO46))*1000+14)</f>
        <v/>
      </c>
      <c r="BV46">
        <f>IF(AB46=1,1000000,IF('計算A'!$IT$24&gt;0,0,500000)+IF('計算A'!$IQ$24=2,SUMPRODUCT('計算A'!$D$74:$EQ$74,$DB46:$IO46,$IQ46:$OD46),SUMPRODUCT('計算A'!$D$74:$EQ$74,$DB46:$IO46))*1000+15)</f>
        <v/>
      </c>
      <c r="BW46">
        <f>IF(AC46=1,1000000,IF('計算A'!$IT$25&gt;0,0,500000)+IF('計算A'!$IQ$25=2,SUMPRODUCT('計算A'!$D$75:$EQ$75,$DB46:$IO46,$IQ46:$OD46),SUMPRODUCT('計算A'!$D$75:$EQ$75,$DB46:$IO46))*1000+16)</f>
        <v/>
      </c>
      <c r="BX46">
        <f>IF(AD46=1,1000000,IF('計算A'!$IT$26&gt;0,0,500000)+IF('計算A'!$IQ$26=2,SUMPRODUCT('計算A'!$D$76:$EQ$76,$DB46:$IO46,$IQ46:$OD46),SUMPRODUCT('計算A'!$D$76:$EQ$76,$DB46:$IO46))*1000+17)</f>
        <v/>
      </c>
      <c r="BY46">
        <f>IF(AE46=1,1000000,IF('計算A'!$IT$27&gt;0,0,500000)+IF('計算A'!$IQ$27=2,SUMPRODUCT('計算A'!$D$77:$EQ$77,$DB46:$IO46,$IQ46:$OD46),SUMPRODUCT('計算A'!$D$77:$EQ$77,$DB46:$IO46))*1000+18)</f>
        <v/>
      </c>
      <c r="BZ46">
        <f>IF(AF46=1,1000000,IF('計算A'!$IT$28&gt;0,0,500000)+IF('計算A'!$IQ$28=2,SUMPRODUCT('計算A'!$D$78:$EQ$78,$DB46:$IO46,$IQ46:$OD46),SUMPRODUCT('計算A'!$D$78:$EQ$78,$DB46:$IO46))*1000+19)</f>
        <v/>
      </c>
      <c r="CA46">
        <f>IF(AG46=1,1000000,IF('計算A'!$IT$29&gt;0,0,500000)+IF('計算A'!$IQ$29=2,SUMPRODUCT('計算A'!$D$79:$EQ$79,$DB46:$IO46,$IQ46:$OD46),SUMPRODUCT('計算A'!$D$79:$EQ$79,$DB46:$IO46))*1000+20)</f>
        <v/>
      </c>
      <c r="CB46">
        <f>IF(AH46=1,1000000,IF('計算A'!$IT$30&gt;0,0,500000)+IF('計算A'!$IQ$30=2,SUMPRODUCT('計算A'!$D$80:$EQ$80,$DB46:$IO46,$IQ46:$OD46),SUMPRODUCT('計算A'!$D$80:$EQ$80,$DB46:$IO46))*1000+21)</f>
        <v/>
      </c>
      <c r="CC46">
        <f>IF(AI46=1,1000000,IF('計算A'!$IT$31&gt;0,0,500000)+IF('計算A'!$IQ$31=2,SUMPRODUCT('計算A'!$D$81:$EQ$81,$DB46:$IO46,$IQ46:$OD46),SUMPRODUCT('計算A'!$D$81:$EQ$81,$DB46:$IO46))*1000+22)</f>
        <v/>
      </c>
      <c r="CD46">
        <f>IF(AJ46=1,1000000,IF('計算A'!$IT$32&gt;0,0,500000)+IF('計算A'!$IQ$32=2,SUMPRODUCT('計算A'!$D$82:$EQ$82,$DB46:$IO46,$IQ46:$OD46),SUMPRODUCT('計算A'!$D$82:$EQ$82,$DB46:$IO46))*1000+23)</f>
        <v/>
      </c>
      <c r="CE46">
        <f>IF(AK46=1,1000000,IF('計算A'!$IT$33&gt;0,0,500000)+IF('計算A'!$IQ$33=2,SUMPRODUCT('計算A'!$D$83:$EQ$83,$DB46:$IO46,$IQ46:$OD46),SUMPRODUCT('計算A'!$D$83:$EQ$83,$DB46:$IO46))*1000+24)</f>
        <v/>
      </c>
      <c r="CF46">
        <f>IF(AL46=1,1000000,IF('計算A'!$IT$34&gt;0,0,500000)+IF('計算A'!$IQ$34=2,SUMPRODUCT('計算A'!$D$84:$EQ$84,$DB46:$IO46,$IQ46:$OD46),SUMPRODUCT('計算A'!$D$84:$EQ$84,$DB46:$IO46))*1000+25)</f>
        <v/>
      </c>
      <c r="CG46">
        <f>IF(AM46=1,1000000,IF('計算A'!$IT$35&gt;0,0,500000)+IF('計算A'!$IQ$35=2,SUMPRODUCT('計算A'!$D$85:$EQ$85,$DB46:$IO46,$IQ46:$OD46),SUMPRODUCT('計算A'!$D$85:$EQ$85,$DB46:$IO46))*1000+26)</f>
        <v/>
      </c>
      <c r="CH46">
        <f>IF(AN46=1,1000000,IF('計算A'!$IT$36&gt;0,0,500000)+IF('計算A'!$IQ$36=2,SUMPRODUCT('計算A'!$D$86:$EQ$86,$DB46:$IO46,$IQ46:$OD46),SUMPRODUCT('計算A'!$D$86:$EQ$86,$DB46:$IO46))*1000+27)</f>
        <v/>
      </c>
      <c r="CI46">
        <f>IF(AO46=1,1000000,IF('計算A'!$IT$37&gt;0,0,500000)+IF('計算A'!$IQ$37=2,SUMPRODUCT('計算A'!$D$87:$EQ$87,$DB46:$IO46,$IQ46:$OD46),SUMPRODUCT('計算A'!$D$87:$EQ$87,$DB46:$IO46))*1000+28)</f>
        <v/>
      </c>
      <c r="CJ46">
        <f>IF(AP46=1,1000000,IF('計算A'!$IT$38&gt;0,0,500000)+IF('計算A'!$IQ$38=2,SUMPRODUCT('計算A'!$D$88:$EQ$88,$DB46:$IO46,$IQ46:$OD46),SUMPRODUCT('計算A'!$D$88:$EQ$88,$DB46:$IO46))*1000+29)</f>
        <v/>
      </c>
      <c r="CK46">
        <f>IF(AQ46=1,1000000,IF('計算A'!$IT$39&gt;0,0,500000)+IF('計算A'!$IQ$39=2,SUMPRODUCT('計算A'!$D$89:$EQ$89,$DB46:$IO46,$IQ46:$OD46),SUMPRODUCT('計算A'!$D$89:$EQ$89,$DB46:$IO46))*1000+30)</f>
        <v/>
      </c>
      <c r="CL46">
        <f>IF(AR46=1,1000000,IF('計算A'!$IT$40&gt;0,0,500000)+IF('計算A'!$IQ$40=2,SUMPRODUCT('計算A'!$D$90:$EQ$90,$DB46:$IO46,$IQ46:$OD46),SUMPRODUCT('計算A'!$D$90:$EQ$90,$DB46:$IO46))*1000+31)</f>
        <v/>
      </c>
      <c r="CM46">
        <f>IF(AS46=1,1000000,IF('計算A'!$IT$41&gt;0,0,500000)+IF('計算A'!$IQ$41=2,SUMPRODUCT('計算A'!$D$91:$EQ$91,$DB46:$IO46,$IQ46:$OD46),SUMPRODUCT('計算A'!$D$91:$EQ$91,$DB46:$IO46))*1000+32)</f>
        <v/>
      </c>
      <c r="CN46">
        <f>IF(AT46=1,1000000,IF('計算A'!$IT$42&gt;0,0,500000)+IF('計算A'!$IQ$42=2,SUMPRODUCT('計算A'!$D$92:$EQ$92,$DB46:$IO46,$IQ46:$OD46),SUMPRODUCT('計算A'!$D$92:$EQ$92,$DB46:$IO46))*1000+33)</f>
        <v/>
      </c>
      <c r="CO46">
        <f>IF(AU46=1,1000000,IF('計算A'!$IT$43&gt;0,0,500000)+IF('計算A'!$IQ$43=2,SUMPRODUCT('計算A'!$D$93:$EQ$93,$DB46:$IO46,$IQ46:$OD46),SUMPRODUCT('計算A'!$D$93:$EQ$93,$DB46:$IO46))*1000+34)</f>
        <v/>
      </c>
      <c r="CP46">
        <f>IF(AV46=1,1000000,IF('計算A'!$IT$44&gt;0,0,500000)+IF('計算A'!$IQ$44=2,SUMPRODUCT('計算A'!$D$94:$EQ$94,$DB46:$IO46,$IQ46:$OD46),SUMPRODUCT('計算A'!$D$94:$EQ$94,$DB46:$IO46))*1000+35)</f>
        <v/>
      </c>
      <c r="CQ46">
        <f>IF(AW46=1,1000000,IF('計算A'!$IT$45&gt;0,0,500000)+IF('計算A'!$IQ$45=2,SUMPRODUCT('計算A'!$D$95:$EQ$95,$DB46:$IO46,$IQ46:$OD46),SUMPRODUCT('計算A'!$D$95:$EQ$95,$DB46:$IO46))*1000+36)</f>
        <v/>
      </c>
      <c r="CR46">
        <f>IF(AX46=1,1000000,IF('計算A'!$IT$46&gt;0,0,500000)+IF('計算A'!$IQ$46=2,SUMPRODUCT('計算A'!$D$96:$EQ$96,$DB46:$IO46,$IQ46:$OD46),SUMPRODUCT('計算A'!$D$96:$EQ$96,$DB46:$IO46))*1000+37)</f>
        <v/>
      </c>
      <c r="CS46">
        <f>IF(AY46=1,1000000,IF('計算A'!$IT$47&gt;0,0,500000)+IF('計算A'!$IQ$47=2,SUMPRODUCT('計算A'!$D$97:$EQ$97,$DB46:$IO46,$IQ46:$OD46),SUMPRODUCT('計算A'!$D$97:$EQ$97,$DB46:$IO46))*1000+38)</f>
        <v/>
      </c>
      <c r="CT46">
        <f>IF(AZ46=1,1000000,IF('計算A'!$IT$48&gt;0,0,500000)+IF('計算A'!$IQ$48=2,SUMPRODUCT('計算A'!$D$98:$EQ$98,$DB46:$IO46,$IQ46:$OD46),SUMPRODUCT('計算A'!$D$98:$EQ$98,$DB46:$IO46))*1000+39)</f>
        <v/>
      </c>
      <c r="CU46">
        <f>IF(BA46=1,1000000,IF('計算A'!$IT$49&gt;0,0,500000)+IF('計算A'!$IQ$49=2,SUMPRODUCT('計算A'!$D$99:$EQ$99,$DB46:$IO46,$IQ46:$OD46),SUMPRODUCT('計算A'!$D$99:$EQ$99,$DB46:$IO46))*1000+40)</f>
        <v/>
      </c>
      <c r="CV46">
        <f>IF(BB46=1,1000000,IF('計算A'!$IT$50&gt;0,0,500000)+IF('計算A'!$IQ$50=2,SUMPRODUCT('計算A'!$D$100:$EQ$100,$DB46:$IO46,$IQ46:$OD46),SUMPRODUCT('計算A'!$D$100:$EQ$100,$DB46:$IO46))*1000+41)</f>
        <v/>
      </c>
      <c r="CW46">
        <f>IF(BC46=1,1000000,IF('計算A'!$IT$51&gt;0,0,500000)+IF('計算A'!$IQ$51=2,SUMPRODUCT('計算A'!$D$101:$EQ$101,$DB46:$IO46,$IQ46:$OD46),SUMPRODUCT('計算A'!$D$101:$EQ$101,$DB46:$IO46))*1000+42)</f>
        <v/>
      </c>
      <c r="CX46">
        <f>IF(BD46=1,1000000,IF('計算A'!$IT$52&gt;0,0,500000)+IF('計算A'!$IQ$52=2,SUMPRODUCT('計算A'!$D$102:$EQ$102,$DB46:$IO46,$IQ46:$OD46),SUMPRODUCT('計算A'!$D$102:$EQ$102,$DB46:$IO46))*1000+43)</f>
        <v/>
      </c>
      <c r="CY46">
        <f>IF(BE46=1,1000000,IF('計算A'!$IT$53&gt;0,0,500000)+IF('計算A'!$IQ$53=2,SUMPRODUCT('計算A'!$D$103:$EQ$103,$DB46:$IO46,$IQ46:$OD46),SUMPRODUCT('計算A'!$D$103:$EQ$103,$DB46:$IO46))*1000+44)</f>
        <v/>
      </c>
      <c r="CZ46">
        <f>IF(BF46=1,1000000,IF('計算A'!$IT$54&gt;0,0,500000)+IF('計算A'!$IQ$54=2,SUMPRODUCT('計算A'!$D$104:$EQ$104,$DB46:$IO46,$IQ46:$OD46),SUMPRODUCT('計算A'!$D$104:$EQ$104,$DB46:$IO46))*1000+45)</f>
        <v/>
      </c>
      <c r="DB46">
        <f>DB45*IF(OR($C45=1,$G45=1),0,1)</f>
        <v/>
      </c>
      <c r="DC46">
        <f>DC45*IF(OR($C45=2,$G45=2),0,1)</f>
        <v/>
      </c>
      <c r="DD46">
        <f>DD45*IF(OR($C45=3,$G45=3),0,1)</f>
        <v/>
      </c>
      <c r="DE46">
        <f>DE45*IF(OR($C45=4,$G45=4),0,1)</f>
        <v/>
      </c>
      <c r="DF46">
        <f>DF45*IF(OR($C45=5,$G45=5),0,1)</f>
        <v/>
      </c>
      <c r="DG46">
        <f>DG45*IF(OR($C45=6,$G45=6),0,1)</f>
        <v/>
      </c>
      <c r="DH46">
        <f>DH45*IF(OR($C45=7,$G45=7),0,1)</f>
        <v/>
      </c>
      <c r="DI46">
        <f>DI45*IF(OR($C45=8,$G45=8),0,1)</f>
        <v/>
      </c>
      <c r="DJ46">
        <f>DJ45*IF(OR($C45=9,$G45=9),0,1)</f>
        <v/>
      </c>
      <c r="DK46">
        <f>DK45*IF(OR($C45=10,$G45=10),0,1)</f>
        <v/>
      </c>
      <c r="DL46">
        <f>DL45*IF(OR($C45=11,$G45=11),0,1)</f>
        <v/>
      </c>
      <c r="DM46">
        <f>DM45*IF(OR($C45=12,$G45=12),0,1)</f>
        <v/>
      </c>
      <c r="DN46">
        <f>DN45*IF(OR($C45=13,$G45=13),0,1)</f>
        <v/>
      </c>
      <c r="DO46">
        <f>DO45*IF(OR($C45=14,$G45=14),0,1)</f>
        <v/>
      </c>
      <c r="DP46">
        <f>DP45*IF(OR($C45=15,$G45=15),0,1)</f>
        <v/>
      </c>
      <c r="DQ46">
        <f>DQ45*IF(OR($C45=16,$G45=16),0,1)</f>
        <v/>
      </c>
      <c r="DR46">
        <f>DR45*IF(OR($C45=17,$G45=17),0,1)</f>
        <v/>
      </c>
      <c r="DS46">
        <f>DS45*IF(OR($C45=18,$G45=18),0,1)</f>
        <v/>
      </c>
      <c r="DT46">
        <f>DT45*IF(OR($C45=19,$G45=19),0,1)</f>
        <v/>
      </c>
      <c r="DU46">
        <f>DU45*IF(OR($C45=20,$G45=20),0,1)</f>
        <v/>
      </c>
      <c r="DV46">
        <f>DV45*IF(OR($C45=21,$G45=21),0,1)</f>
        <v/>
      </c>
      <c r="DW46">
        <f>DW45*IF(OR($C45=22,$G45=22),0,1)</f>
        <v/>
      </c>
      <c r="DX46">
        <f>DX45*IF(OR($C45=23,$G45=23),0,1)</f>
        <v/>
      </c>
      <c r="DY46">
        <f>DY45*IF(OR($C45=24,$G45=24),0,1)</f>
        <v/>
      </c>
      <c r="DZ46">
        <f>DZ45*IF(OR($C45=25,$G45=25),0,1)</f>
        <v/>
      </c>
      <c r="EA46">
        <f>EA45*IF(OR($C45=26,$G45=26),0,1)</f>
        <v/>
      </c>
      <c r="EB46">
        <f>EB45*IF(OR($C45=27,$G45=27),0,1)</f>
        <v/>
      </c>
      <c r="EC46">
        <f>EC45*IF(OR($C45=28,$G45=28),0,1)</f>
        <v/>
      </c>
      <c r="ED46">
        <f>ED45*IF(OR($C45=29,$G45=29),0,1)</f>
        <v/>
      </c>
      <c r="EE46">
        <f>EE45*IF(OR($C45=30,$G45=30),0,1)</f>
        <v/>
      </c>
      <c r="EF46">
        <f>EF45*IF(OR($C45=31,$G45=31),0,1)</f>
        <v/>
      </c>
      <c r="EG46">
        <f>EG45*IF(OR($C45=32,$G45=32),0,1)</f>
        <v/>
      </c>
      <c r="EH46">
        <f>EH45*IF(OR($C45=33,$G45=33),0,1)</f>
        <v/>
      </c>
      <c r="EI46">
        <f>EI45*IF(OR($C45=34,$G45=34),0,1)</f>
        <v/>
      </c>
      <c r="EJ46">
        <f>EJ45*IF(OR($C45=35,$G45=35),0,1)</f>
        <v/>
      </c>
      <c r="EK46">
        <f>EK45*IF(OR($C45=36,$G45=36),0,1)</f>
        <v/>
      </c>
      <c r="EL46">
        <f>EL45*IF(OR($C45=37,$G45=37),0,1)</f>
        <v/>
      </c>
      <c r="EM46">
        <f>EM45*IF(OR($C45=38,$G45=38),0,1)</f>
        <v/>
      </c>
      <c r="EN46">
        <f>EN45*IF(OR($C45=39,$G45=39),0,1)</f>
        <v/>
      </c>
      <c r="EO46">
        <f>EO45*IF(OR($C45=40,$G45=40),0,1)</f>
        <v/>
      </c>
      <c r="EP46">
        <f>EP45*IF(OR($C45=41,$G45=41),0,1)</f>
        <v/>
      </c>
      <c r="EQ46">
        <f>EQ45*IF(OR($C45=42,$G45=42),0,1)</f>
        <v/>
      </c>
      <c r="ER46">
        <f>ER45*IF(OR($C45=43,$G45=43),0,1)</f>
        <v/>
      </c>
      <c r="ES46">
        <f>ES45*IF(OR($C45=44,$G45=44),0,1)</f>
        <v/>
      </c>
      <c r="ET46">
        <f>ET45*IF(OR($C45=45,$G45=45),0,1)</f>
        <v/>
      </c>
      <c r="EU46">
        <f>EU45*IF(OR($C45=46,$G45=46),0,1)</f>
        <v/>
      </c>
      <c r="EV46">
        <f>EV45*IF(OR($C45=47,$G45=47),0,1)</f>
        <v/>
      </c>
      <c r="EW46">
        <f>EW45*IF(OR($C45=48,$G45=48),0,1)</f>
        <v/>
      </c>
      <c r="EX46">
        <f>EX45*IF(OR($C45=49,$G45=49),0,1)</f>
        <v/>
      </c>
      <c r="EY46">
        <f>EY45*IF(OR($C45=50,$G45=50),0,1)</f>
        <v/>
      </c>
      <c r="EZ46">
        <f>EZ45*IF(OR($C45=51,$G45=51),0,1)</f>
        <v/>
      </c>
      <c r="FA46">
        <f>FA45*IF(OR($C45=52,$G45=52),0,1)</f>
        <v/>
      </c>
      <c r="FB46">
        <f>FB45*IF(OR($C45=53,$G45=53),0,1)</f>
        <v/>
      </c>
      <c r="FC46">
        <f>FC45*IF(OR($C45=54,$G45=54),0,1)</f>
        <v/>
      </c>
      <c r="FD46">
        <f>FD45*IF(OR($C45=55,$G45=55),0,1)</f>
        <v/>
      </c>
      <c r="FE46">
        <f>FE45*IF(OR($C45=56,$G45=56),0,1)</f>
        <v/>
      </c>
      <c r="FF46">
        <f>FF45*IF(OR($C45=57,$G45=57),0,1)</f>
        <v/>
      </c>
      <c r="FG46">
        <f>FG45*IF(OR($C45=58,$G45=58),0,1)</f>
        <v/>
      </c>
      <c r="FH46">
        <f>FH45*IF(OR($C45=59,$G45=59),0,1)</f>
        <v/>
      </c>
      <c r="FI46">
        <f>FI45*IF(OR($C45=60,$G45=60),0,1)</f>
        <v/>
      </c>
      <c r="FJ46">
        <f>FJ45*IF(OR($C45=61,$G45=61),0,1)</f>
        <v/>
      </c>
      <c r="FK46">
        <f>FK45*IF(OR($C45=62,$G45=62),0,1)</f>
        <v/>
      </c>
      <c r="FL46">
        <f>FL45*IF(OR($C45=63,$G45=63),0,1)</f>
        <v/>
      </c>
      <c r="FM46">
        <f>FM45*IF(OR($C45=64,$G45=64),0,1)</f>
        <v/>
      </c>
      <c r="FN46">
        <f>FN45*IF(OR($C45=65,$G45=65),0,1)</f>
        <v/>
      </c>
      <c r="FO46">
        <f>FO45*IF(OR($C45=66,$G45=66),0,1)</f>
        <v/>
      </c>
      <c r="FP46">
        <f>FP45*IF(OR($C45=67,$G45=67),0,1)</f>
        <v/>
      </c>
      <c r="FQ46">
        <f>FQ45*IF(OR($C45=68,$G45=68),0,1)</f>
        <v/>
      </c>
      <c r="FR46">
        <f>FR45*IF(OR($C45=69,$G45=69),0,1)</f>
        <v/>
      </c>
      <c r="FS46">
        <f>FS45*IF(OR($C45=70,$G45=70),0,1)</f>
        <v/>
      </c>
      <c r="FT46">
        <f>FT45*IF(OR($C45=71,$G45=71),0,1)</f>
        <v/>
      </c>
      <c r="FU46">
        <f>FU45*IF(OR($C45=72,$G45=72),0,1)</f>
        <v/>
      </c>
      <c r="FV46">
        <f>FV45*IF(OR($C45=73,$G45=73),0,1)</f>
        <v/>
      </c>
      <c r="FW46">
        <f>FW45*IF(OR($C45=74,$G45=74),0,1)</f>
        <v/>
      </c>
      <c r="FX46">
        <f>FX45*IF(OR($C45=75,$G45=75),0,1)</f>
        <v/>
      </c>
      <c r="FY46">
        <f>FY45*IF(OR($C45=76,$G45=76),0,1)</f>
        <v/>
      </c>
      <c r="FZ46">
        <f>FZ45*IF(OR($C45=77,$G45=77),0,1)</f>
        <v/>
      </c>
      <c r="GA46">
        <f>GA45*IF(OR($C45=78,$G45=78),0,1)</f>
        <v/>
      </c>
      <c r="GB46">
        <f>GB45*IF(OR($C45=79,$G45=79),0,1)</f>
        <v/>
      </c>
      <c r="GC46">
        <f>GC45*IF(OR($C45=80,$G45=80),0,1)</f>
        <v/>
      </c>
      <c r="GD46">
        <f>GD45*IF(OR($C45=81,$G45=81),0,1)</f>
        <v/>
      </c>
      <c r="GE46">
        <f>GE45*IF(OR($C45=82,$G45=82),0,1)</f>
        <v/>
      </c>
      <c r="GF46">
        <f>GF45*IF(OR($C45=83,$G45=83),0,1)</f>
        <v/>
      </c>
      <c r="GG46">
        <f>GG45*IF(OR($C45=84,$G45=84),0,1)</f>
        <v/>
      </c>
      <c r="GH46">
        <f>GH45*IF(OR($C45=85,$G45=85),0,1)</f>
        <v/>
      </c>
      <c r="GI46">
        <f>GI45*IF(OR($C45=86,$G45=86),0,1)</f>
        <v/>
      </c>
      <c r="GJ46">
        <f>GJ45*IF(OR($C45=87,$G45=87),0,1)</f>
        <v/>
      </c>
      <c r="GK46">
        <f>GK45*IF(OR($C45=88,$G45=88),0,1)</f>
        <v/>
      </c>
      <c r="GL46">
        <f>GL45*IF(OR($C45=89,$G45=89),0,1)</f>
        <v/>
      </c>
      <c r="GM46">
        <f>GM45*IF(OR($C45=90,$G45=90),0,1)</f>
        <v/>
      </c>
      <c r="GN46">
        <f>GN45*IF(OR($C45=91,$G45=91),0,1)</f>
        <v/>
      </c>
      <c r="GO46">
        <f>GO45*IF(OR($C45=92,$G45=92),0,1)</f>
        <v/>
      </c>
      <c r="GP46">
        <f>GP45*IF(OR($C45=93,$G45=93),0,1)</f>
        <v/>
      </c>
      <c r="GQ46">
        <f>GQ45*IF(OR($C45=94,$G45=94),0,1)</f>
        <v/>
      </c>
      <c r="GR46">
        <f>GR45*IF(OR($C45=95,$G45=95),0,1)</f>
        <v/>
      </c>
      <c r="GS46">
        <f>GS45*IF(OR($C45=96,$G45=96),0,1)</f>
        <v/>
      </c>
      <c r="GT46">
        <f>GT45*IF(OR($C45=97,$G45=97),0,1)</f>
        <v/>
      </c>
      <c r="GU46">
        <f>GU45*IF(OR($C45=98,$G45=98),0,1)</f>
        <v/>
      </c>
      <c r="GV46">
        <f>GV45*IF(OR($C45=99,$G45=99),0,1)</f>
        <v/>
      </c>
      <c r="GW46">
        <f>GW45*IF(OR($C45=100,$G45=100),0,1)</f>
        <v/>
      </c>
      <c r="GX46">
        <f>GX45*IF(OR($C45=101,$G45=101),0,1)</f>
        <v/>
      </c>
      <c r="GY46">
        <f>GY45*IF(OR($C45=102,$G45=102),0,1)</f>
        <v/>
      </c>
      <c r="GZ46">
        <f>GZ45*IF(OR($C45=103,$G45=103),0,1)</f>
        <v/>
      </c>
      <c r="HA46">
        <f>HA45*IF(OR($C45=104,$G45=104),0,1)</f>
        <v/>
      </c>
      <c r="HB46">
        <f>HB45*IF(OR($C45=105,$G45=105),0,1)</f>
        <v/>
      </c>
      <c r="HC46">
        <f>HC45*IF(OR($C45=106,$G45=106),0,1)</f>
        <v/>
      </c>
      <c r="HD46">
        <f>HD45*IF(OR($C45=107,$G45=107),0,1)</f>
        <v/>
      </c>
      <c r="HE46">
        <f>HE45*IF(OR($C45=108,$G45=108),0,1)</f>
        <v/>
      </c>
      <c r="HF46">
        <f>HF45*IF(OR($C45=109,$G45=109),0,1)</f>
        <v/>
      </c>
      <c r="HG46">
        <f>HG45*IF(OR($C45=110,$G45=110),0,1)</f>
        <v/>
      </c>
      <c r="HH46">
        <f>HH45*IF(OR($C45=111,$G45=111),0,1)</f>
        <v/>
      </c>
      <c r="HI46">
        <f>HI45*IF(OR($C45=112,$G45=112),0,1)</f>
        <v/>
      </c>
      <c r="HJ46">
        <f>HJ45*IF(OR($C45=113,$G45=113),0,1)</f>
        <v/>
      </c>
      <c r="HK46">
        <f>HK45*IF(OR($C45=114,$G45=114),0,1)</f>
        <v/>
      </c>
      <c r="HL46">
        <f>HL45*IF(OR($C45=115,$G45=115),0,1)</f>
        <v/>
      </c>
      <c r="HM46">
        <f>HM45*IF(OR($C45=116,$G45=116),0,1)</f>
        <v/>
      </c>
      <c r="HN46">
        <f>HN45*IF(OR($C45=117,$G45=117),0,1)</f>
        <v/>
      </c>
      <c r="HO46">
        <f>HO45*IF(OR($C45=118,$G45=118),0,1)</f>
        <v/>
      </c>
      <c r="HP46">
        <f>HP45*IF(OR($C45=119,$G45=119),0,1)</f>
        <v/>
      </c>
      <c r="HQ46">
        <f>HQ45*IF(OR($C45=120,$G45=120),0,1)</f>
        <v/>
      </c>
      <c r="HR46">
        <f>HR45*IF(OR($C45=121,$G45=121),0,1)</f>
        <v/>
      </c>
      <c r="HS46">
        <f>HS45*IF(OR($C45=122,$G45=122),0,1)</f>
        <v/>
      </c>
      <c r="HT46">
        <f>HT45*IF(OR($C45=123,$G45=123),0,1)</f>
        <v/>
      </c>
      <c r="HU46">
        <f>HU45*IF(OR($C45=124,$G45=124),0,1)</f>
        <v/>
      </c>
      <c r="HV46">
        <f>HV45*IF(OR($C45=125,$G45=125),0,1)</f>
        <v/>
      </c>
      <c r="HW46">
        <f>HW45*IF(OR($C45=126,$G45=126),0,1)</f>
        <v/>
      </c>
      <c r="HX46">
        <f>HX45*IF(OR($C45=127,$G45=127),0,1)</f>
        <v/>
      </c>
      <c r="HY46">
        <f>HY45*IF(OR($C45=128,$G45=128),0,1)</f>
        <v/>
      </c>
      <c r="HZ46">
        <f>HZ45*IF(OR($C45=129,$G45=129),0,1)</f>
        <v/>
      </c>
      <c r="IA46">
        <f>IA45*IF(OR($C45=130,$G45=130),0,1)</f>
        <v/>
      </c>
      <c r="IB46">
        <f>IB45*IF(OR($C45=131,$G45=131),0,1)</f>
        <v/>
      </c>
      <c r="IC46">
        <f>IC45*IF(OR($C45=132,$G45=132),0,1)</f>
        <v/>
      </c>
      <c r="ID46">
        <f>ID45*IF(OR($C45=133,$G45=133),0,1)</f>
        <v/>
      </c>
      <c r="IE46">
        <f>IE45*IF(OR($C45=134,$G45=134),0,1)</f>
        <v/>
      </c>
      <c r="IF46">
        <f>IF45*IF(OR($C45=135,$G45=135),0,1)</f>
        <v/>
      </c>
      <c r="IG46">
        <f>IG45*IF(OR($C45=136,$G45=136),0,1)</f>
        <v/>
      </c>
      <c r="IH46">
        <f>IH45*IF(OR($C45=137,$G45=137),0,1)</f>
        <v/>
      </c>
      <c r="II46">
        <f>II45*IF(OR($C45=138,$G45=138),0,1)</f>
        <v/>
      </c>
      <c r="IJ46">
        <f>IJ45*IF(OR($C45=139,$G45=139),0,1)</f>
        <v/>
      </c>
      <c r="IK46">
        <f>IK45*IF(OR($C45=140,$G45=140),0,1)</f>
        <v/>
      </c>
      <c r="IL46">
        <f>IL45*IF(OR($C45=141,$G45=141),0,1)</f>
        <v/>
      </c>
      <c r="IM46">
        <f>IM45*IF(OR($C45=142,$G45=142),0,1)</f>
        <v/>
      </c>
      <c r="IN46">
        <f>IN45*IF(OR($C45=143,$G45=143),0,1)</f>
        <v/>
      </c>
      <c r="IO46">
        <f>IO45*IF(OR($C45=144,$G45=144),0,1)</f>
        <v/>
      </c>
      <c r="IQ46">
        <f>IF('計算A'!D$106=1,DC46,1)</f>
        <v/>
      </c>
      <c r="IR46">
        <f>IF('計算A'!E$106=1,DD46,1)</f>
        <v/>
      </c>
      <c r="IS46">
        <f>IF('計算A'!F$106=1,DE46,1)</f>
        <v/>
      </c>
      <c r="IT46">
        <f>IF('計算A'!G$106=1,DF46,1)</f>
        <v/>
      </c>
      <c r="IU46">
        <f>IF('計算A'!H$106=1,DG46,1)</f>
        <v/>
      </c>
      <c r="IV46">
        <f>IF('計算A'!I$106=1,DH46,1)</f>
        <v/>
      </c>
      <c r="IW46">
        <f>IF('計算A'!J$106=1,DI46,1)</f>
        <v/>
      </c>
      <c r="IX46">
        <f>IF('計算A'!K$106=1,DJ46,1)</f>
        <v/>
      </c>
      <c r="IY46">
        <f>IF('計算A'!L$106=1,DK46,1)</f>
        <v/>
      </c>
      <c r="IZ46">
        <f>IF('計算A'!M$106=1,DL46,1)</f>
        <v/>
      </c>
      <c r="JA46">
        <f>IF('計算A'!N$106=1,DM46,1)</f>
        <v/>
      </c>
      <c r="JB46">
        <f>IF('計算A'!O$106=1,DN46,1)</f>
        <v/>
      </c>
      <c r="JC46">
        <f>IF('計算A'!P$106=1,DO46,1)</f>
        <v/>
      </c>
      <c r="JD46">
        <f>IF('計算A'!Q$106=1,DP46,1)</f>
        <v/>
      </c>
      <c r="JE46">
        <f>IF('計算A'!R$106=1,DQ46,1)</f>
        <v/>
      </c>
      <c r="JF46">
        <f>IF('計算A'!S$106=1,DR46,1)</f>
        <v/>
      </c>
      <c r="JG46">
        <f>IF('計算A'!T$106=1,DS46,1)</f>
        <v/>
      </c>
      <c r="JH46">
        <f>IF('計算A'!U$106=1,DT46,1)</f>
        <v/>
      </c>
      <c r="JI46">
        <f>IF('計算A'!V$106=1,DU46,1)</f>
        <v/>
      </c>
      <c r="JJ46">
        <f>IF('計算A'!W$106=1,DV46,1)</f>
        <v/>
      </c>
      <c r="JK46">
        <f>IF('計算A'!X$106=1,DW46,1)</f>
        <v/>
      </c>
      <c r="JL46">
        <f>IF('計算A'!Y$106=1,DX46,1)</f>
        <v/>
      </c>
      <c r="JM46">
        <f>IF('計算A'!Z$106=1,DY46,1)</f>
        <v/>
      </c>
      <c r="JN46">
        <f>IF('計算A'!AA$106=1,DZ46,1)</f>
        <v/>
      </c>
      <c r="JO46">
        <f>IF('計算A'!AB$106=1,EA46,1)</f>
        <v/>
      </c>
      <c r="JP46">
        <f>IF('計算A'!AC$106=1,EB46,1)</f>
        <v/>
      </c>
      <c r="JQ46">
        <f>IF('計算A'!AD$106=1,EC46,1)</f>
        <v/>
      </c>
      <c r="JR46">
        <f>IF('計算A'!AE$106=1,ED46,1)</f>
        <v/>
      </c>
      <c r="JS46">
        <f>IF('計算A'!AF$106=1,EE46,1)</f>
        <v/>
      </c>
      <c r="JT46">
        <f>IF('計算A'!AG$106=1,EF46,1)</f>
        <v/>
      </c>
      <c r="JU46">
        <f>IF('計算A'!AH$106=1,EG46,1)</f>
        <v/>
      </c>
      <c r="JV46">
        <f>IF('計算A'!AI$106=1,EH46,1)</f>
        <v/>
      </c>
      <c r="JW46">
        <f>IF('計算A'!AJ$106=1,EI46,1)</f>
        <v/>
      </c>
      <c r="JX46">
        <f>IF('計算A'!AK$106=1,EJ46,1)</f>
        <v/>
      </c>
      <c r="JY46">
        <f>IF('計算A'!AL$106=1,EK46,1)</f>
        <v/>
      </c>
      <c r="JZ46">
        <f>IF('計算A'!AM$106=1,EL46,1)</f>
        <v/>
      </c>
      <c r="KA46">
        <f>IF('計算A'!AN$106=1,EM46,1)</f>
        <v/>
      </c>
      <c r="KB46">
        <f>IF('計算A'!AO$106=1,EN46,1)</f>
        <v/>
      </c>
      <c r="KC46">
        <f>IF('計算A'!AP$106=1,EO46,1)</f>
        <v/>
      </c>
      <c r="KD46">
        <f>IF('計算A'!AQ$106=1,EP46,1)</f>
        <v/>
      </c>
      <c r="KE46">
        <f>IF('計算A'!AR$106=1,EQ46,1)</f>
        <v/>
      </c>
      <c r="KF46">
        <f>IF('計算A'!AS$106=1,ER46,1)</f>
        <v/>
      </c>
      <c r="KG46">
        <f>IF('計算A'!AT$106=1,ES46,1)</f>
        <v/>
      </c>
      <c r="KH46">
        <f>IF('計算A'!AU$106=1,ET46,1)</f>
        <v/>
      </c>
      <c r="KI46">
        <f>IF('計算A'!AV$106=1,EU46,1)</f>
        <v/>
      </c>
      <c r="KJ46">
        <f>IF('計算A'!AW$106=1,EV46,1)</f>
        <v/>
      </c>
      <c r="KK46">
        <f>IF('計算A'!AX$106=1,EW46,1)</f>
        <v/>
      </c>
      <c r="KL46">
        <f>IF('計算A'!AY$106=1,EX46,1)</f>
        <v/>
      </c>
      <c r="KM46">
        <f>IF('計算A'!AZ$106=1,EY46,1)</f>
        <v/>
      </c>
      <c r="KN46">
        <f>IF('計算A'!BA$106=1,EZ46,1)</f>
        <v/>
      </c>
      <c r="KO46">
        <f>IF('計算A'!BB$106=1,FA46,1)</f>
        <v/>
      </c>
      <c r="KP46">
        <f>IF('計算A'!BC$106=1,FB46,1)</f>
        <v/>
      </c>
      <c r="KQ46">
        <f>IF('計算A'!BD$106=1,FC46,1)</f>
        <v/>
      </c>
      <c r="KR46">
        <f>IF('計算A'!BE$106=1,FD46,1)</f>
        <v/>
      </c>
      <c r="KS46">
        <f>IF('計算A'!BF$106=1,FE46,1)</f>
        <v/>
      </c>
      <c r="KT46">
        <f>IF('計算A'!BG$106=1,FF46,1)</f>
        <v/>
      </c>
      <c r="KU46">
        <f>IF('計算A'!BH$106=1,FG46,1)</f>
        <v/>
      </c>
      <c r="KV46">
        <f>IF('計算A'!BI$106=1,FH46,1)</f>
        <v/>
      </c>
      <c r="KW46">
        <f>IF('計算A'!BJ$106=1,FI46,1)</f>
        <v/>
      </c>
      <c r="KX46">
        <f>IF('計算A'!BK$106=1,FJ46,1)</f>
        <v/>
      </c>
      <c r="KY46">
        <f>IF('計算A'!BL$106=1,FK46,1)</f>
        <v/>
      </c>
      <c r="KZ46">
        <f>IF('計算A'!BM$106=1,FL46,1)</f>
        <v/>
      </c>
      <c r="LA46">
        <f>IF('計算A'!BN$106=1,FM46,1)</f>
        <v/>
      </c>
      <c r="LB46">
        <f>IF('計算A'!BO$106=1,FN46,1)</f>
        <v/>
      </c>
      <c r="LC46">
        <f>IF('計算A'!BP$106=1,FO46,1)</f>
        <v/>
      </c>
      <c r="LD46">
        <f>IF('計算A'!BQ$106=1,FP46,1)</f>
        <v/>
      </c>
      <c r="LE46">
        <f>IF('計算A'!BR$106=1,FQ46,1)</f>
        <v/>
      </c>
      <c r="LF46">
        <f>IF('計算A'!BS$106=1,FR46,1)</f>
        <v/>
      </c>
      <c r="LG46">
        <f>IF('計算A'!BT$106=1,FS46,1)</f>
        <v/>
      </c>
      <c r="LH46">
        <f>IF('計算A'!BU$106=1,FT46,1)</f>
        <v/>
      </c>
      <c r="LI46">
        <f>IF('計算A'!BV$106=1,FU46,1)</f>
        <v/>
      </c>
      <c r="LJ46">
        <f>IF('計算A'!BW$106=1,FV46,1)</f>
        <v/>
      </c>
      <c r="LK46">
        <f>IF('計算A'!BX$106=1,FW46,1)</f>
        <v/>
      </c>
      <c r="LL46">
        <f>IF('計算A'!BY$106=1,FX46,1)</f>
        <v/>
      </c>
      <c r="LM46">
        <f>IF('計算A'!BZ$106=1,FY46,1)</f>
        <v/>
      </c>
      <c r="LN46">
        <f>IF('計算A'!CA$106=1,FZ46,1)</f>
        <v/>
      </c>
      <c r="LO46">
        <f>IF('計算A'!CB$106=1,GA46,1)</f>
        <v/>
      </c>
      <c r="LP46">
        <f>IF('計算A'!CC$106=1,GB46,1)</f>
        <v/>
      </c>
      <c r="LQ46">
        <f>IF('計算A'!CD$106=1,GC46,1)</f>
        <v/>
      </c>
      <c r="LR46">
        <f>IF('計算A'!CE$106=1,GD46,1)</f>
        <v/>
      </c>
      <c r="LS46">
        <f>IF('計算A'!CF$106=1,GE46,1)</f>
        <v/>
      </c>
      <c r="LT46">
        <f>IF('計算A'!CG$106=1,GF46,1)</f>
        <v/>
      </c>
      <c r="LU46">
        <f>IF('計算A'!CH$106=1,GG46,1)</f>
        <v/>
      </c>
      <c r="LV46">
        <f>IF('計算A'!CI$106=1,GH46,1)</f>
        <v/>
      </c>
      <c r="LW46">
        <f>IF('計算A'!CJ$106=1,GI46,1)</f>
        <v/>
      </c>
      <c r="LX46">
        <f>IF('計算A'!CK$106=1,GJ46,1)</f>
        <v/>
      </c>
      <c r="LY46">
        <f>IF('計算A'!CL$106=1,GK46,1)</f>
        <v/>
      </c>
      <c r="LZ46">
        <f>IF('計算A'!CM$106=1,GL46,1)</f>
        <v/>
      </c>
      <c r="MA46">
        <f>IF('計算A'!CN$106=1,GM46,1)</f>
        <v/>
      </c>
      <c r="MB46">
        <f>IF('計算A'!CO$106=1,GN46,1)</f>
        <v/>
      </c>
      <c r="MC46">
        <f>IF('計算A'!CP$106=1,GO46,1)</f>
        <v/>
      </c>
      <c r="MD46">
        <f>IF('計算A'!CQ$106=1,GP46,1)</f>
        <v/>
      </c>
      <c r="ME46">
        <f>IF('計算A'!CR$106=1,GQ46,1)</f>
        <v/>
      </c>
      <c r="MF46">
        <f>IF('計算A'!CS$106=1,GR46,1)</f>
        <v/>
      </c>
      <c r="MG46">
        <f>IF('計算A'!CT$106=1,GS46,1)</f>
        <v/>
      </c>
      <c r="MH46">
        <f>IF('計算A'!CU$106=1,GT46,1)</f>
        <v/>
      </c>
      <c r="MI46">
        <f>IF('計算A'!CV$106=1,GU46,1)</f>
        <v/>
      </c>
      <c r="MJ46">
        <f>IF('計算A'!CW$106=1,GV46,1)</f>
        <v/>
      </c>
      <c r="MK46">
        <f>IF('計算A'!CX$106=1,GW46,1)</f>
        <v/>
      </c>
      <c r="ML46">
        <f>IF('計算A'!CY$106=1,GX46,1)</f>
        <v/>
      </c>
      <c r="MM46">
        <f>IF('計算A'!CZ$106=1,GY46,1)</f>
        <v/>
      </c>
      <c r="MN46">
        <f>IF('計算A'!DA$106=1,GZ46,1)</f>
        <v/>
      </c>
      <c r="MO46">
        <f>IF('計算A'!DB$106=1,HA46,1)</f>
        <v/>
      </c>
      <c r="MP46">
        <f>IF('計算A'!DC$106=1,HB46,1)</f>
        <v/>
      </c>
      <c r="MQ46">
        <f>IF('計算A'!DD$106=1,HC46,1)</f>
        <v/>
      </c>
      <c r="MR46">
        <f>IF('計算A'!DE$106=1,HD46,1)</f>
        <v/>
      </c>
      <c r="MS46">
        <f>IF('計算A'!DF$106=1,HE46,1)</f>
        <v/>
      </c>
      <c r="MT46">
        <f>IF('計算A'!DG$106=1,HF46,1)</f>
        <v/>
      </c>
      <c r="MU46">
        <f>IF('計算A'!DH$106=1,HG46,1)</f>
        <v/>
      </c>
      <c r="MV46">
        <f>IF('計算A'!DI$106=1,HH46,1)</f>
        <v/>
      </c>
      <c r="MW46">
        <f>IF('計算A'!DJ$106=1,HI46,1)</f>
        <v/>
      </c>
      <c r="MX46">
        <f>IF('計算A'!DK$106=1,HJ46,1)</f>
        <v/>
      </c>
      <c r="MY46">
        <f>IF('計算A'!DL$106=1,HK46,1)</f>
        <v/>
      </c>
      <c r="MZ46">
        <f>IF('計算A'!DM$106=1,HL46,1)</f>
        <v/>
      </c>
      <c r="NA46">
        <f>IF('計算A'!DN$106=1,HM46,1)</f>
        <v/>
      </c>
      <c r="NB46">
        <f>IF('計算A'!DO$106=1,HN46,1)</f>
        <v/>
      </c>
      <c r="NC46">
        <f>IF('計算A'!DP$106=1,HO46,1)</f>
        <v/>
      </c>
      <c r="ND46">
        <f>IF('計算A'!DQ$106=1,HP46,1)</f>
        <v/>
      </c>
      <c r="NE46">
        <f>IF('計算A'!DR$106=1,HQ46,1)</f>
        <v/>
      </c>
      <c r="NF46">
        <f>IF('計算A'!DS$106=1,HR46,1)</f>
        <v/>
      </c>
      <c r="NG46">
        <f>IF('計算A'!DT$106=1,HS46,1)</f>
        <v/>
      </c>
      <c r="NH46">
        <f>IF('計算A'!DU$106=1,HT46,1)</f>
        <v/>
      </c>
      <c r="NI46">
        <f>IF('計算A'!DV$106=1,HU46,1)</f>
        <v/>
      </c>
      <c r="NJ46">
        <f>IF('計算A'!DW$106=1,HV46,1)</f>
        <v/>
      </c>
      <c r="NK46">
        <f>IF('計算A'!DX$106=1,HW46,1)</f>
        <v/>
      </c>
      <c r="NL46">
        <f>IF('計算A'!DY$106=1,HX46,1)</f>
        <v/>
      </c>
      <c r="NM46">
        <f>IF('計算A'!DZ$106=1,HY46,1)</f>
        <v/>
      </c>
      <c r="NN46">
        <f>IF('計算A'!EA$106=1,HZ46,1)</f>
        <v/>
      </c>
      <c r="NO46">
        <f>IF('計算A'!EB$106=1,IA46,1)</f>
        <v/>
      </c>
      <c r="NP46">
        <f>IF('計算A'!EC$106=1,IB46,1)</f>
        <v/>
      </c>
      <c r="NQ46">
        <f>IF('計算A'!ED$106=1,IC46,1)</f>
        <v/>
      </c>
      <c r="NR46">
        <f>IF('計算A'!EE$106=1,ID46,1)</f>
        <v/>
      </c>
      <c r="NS46">
        <f>IF('計算A'!EF$106=1,IE46,1)</f>
        <v/>
      </c>
      <c r="NT46">
        <f>IF('計算A'!EG$106=1,IF46,1)</f>
        <v/>
      </c>
      <c r="NU46">
        <f>IF('計算A'!EH$106=1,IG46,1)</f>
        <v/>
      </c>
      <c r="NV46">
        <f>IF('計算A'!EI$106=1,IH46,1)</f>
        <v/>
      </c>
      <c r="NW46">
        <f>IF('計算A'!EJ$106=1,II46,1)</f>
        <v/>
      </c>
      <c r="NX46">
        <f>IF('計算A'!EK$106=1,IJ46,1)</f>
        <v/>
      </c>
      <c r="NY46">
        <f>IF('計算A'!EL$106=1,IK46,1)</f>
        <v/>
      </c>
      <c r="NZ46">
        <f>IF('計算A'!EM$106=1,IL46,1)</f>
        <v/>
      </c>
      <c r="OA46">
        <f>IF('計算A'!EN$106=1,IM46,1)</f>
        <v/>
      </c>
      <c r="OB46">
        <f>IF('計算A'!EO$106=1,IN46,1)</f>
        <v/>
      </c>
      <c r="OC46">
        <f>IF('計算A'!EP$106=1,IO46,1)</f>
        <v/>
      </c>
      <c r="OD46" t="n">
        <v>1</v>
      </c>
      <c r="OF46">
        <f>IF($B46=0,1000000,IF(INDEX('計算A'!$D$60:$EQ$104,$B46,1)*DB46=1,IF(AND($E46=2,IQ46=0),1000000,IF($I46&gt;0,IF(1=$J46,IF(OR(AND(1=$I46+1,OR($K46&lt;&gt;'計算A'!$A$3,'計算A'!$A$4=0)),AND(1=$I46-1,OR(1&lt;&gt;'計算A'!$A$3,'計算A'!$A$4=0))),0,IF(1=$K46,200000,ABS(1-$K46)*100)),100000+ABS(1-$J46)*1000+10)+'計算A'!D$5*50+IF(AND($E46=1,IQ46=0),25,0),INDEX('計算A'!D$110:D$114,$F46+1)+IF(AND($E46=1,IQ46=0),1000,0)+IF($H46=1,(IF('計算A'!D$117=1,INDEX('計算A'!E$10:E$54,$B46),0))*500,0)-IF(AND($L46=1,'計算A'!D$117=1,DC46=0),300,0))),1000000))</f>
        <v/>
      </c>
      <c r="OG46">
        <f>IF($B46=0,1000000,IF(INDEX('計算A'!$D$60:$EQ$104,$B46,2)*DC46=1,IF(AND($E46=2,IR46=0),1000000,IF($I46&gt;0,IF(1=$J46,IF(OR(AND(2=$I46+1,OR($K46&lt;&gt;'計算A'!$A$3,'計算A'!$A$4=0)),AND(2=$I46-1,OR(2&lt;&gt;'計算A'!$A$3,'計算A'!$A$4=0))),0,IF(2=$K46,200000,ABS(2-$K46)*100)),100000+ABS(1-$J46)*1000+20)+'計算A'!E$5*50+IF(AND($E46=1,IR46=0),25,0),INDEX('計算A'!E$110:E$114,$F46+1)+IF(AND($E46=1,IR46=0),1000,0)+IF($H46=1,(IF('計算A'!D$117=1,INDEX('計算A'!D$10:D$54,$B46),0)+IF('計算A'!E$117=1,INDEX('計算A'!F$10:F$54,$B46),0))*500,0)-IF(AND('計算A'!D$117=1,UB46&gt;0),300,0)-IF(AND($L46=1,'計算A'!E$117=1,DD46=0),300,0))),1000000))</f>
        <v/>
      </c>
      <c r="OH46">
        <f>IF($B46=0,1000000,IF(INDEX('計算A'!$D$60:$EQ$104,$B46,3)*DD46=1,IF(AND($E46=2,IS46=0),1000000,IF($I46&gt;0,IF(1=$J46,IF(OR(AND(3=$I46+1,OR($K46&lt;&gt;'計算A'!$A$3,'計算A'!$A$4=0)),AND(3=$I46-1,OR(3&lt;&gt;'計算A'!$A$3,'計算A'!$A$4=0))),0,IF(3=$K46,200000,ABS(3-$K46)*100)),100000+ABS(1-$J46)*1000+30)+'計算A'!F$5*50+IF(AND($E46=1,IS46=0),25,0),INDEX('計算A'!F$110:F$114,$F46+1)+IF(AND($E46=1,IS46=0),1000,0)+IF($H46=1,(IF('計算A'!E$117=1,INDEX('計算A'!E$10:E$54,$B46),0)+IF('計算A'!F$117=1,INDEX('計算A'!G$10:G$54,$B46),0))*500,0)-IF(AND('計算A'!E$117=1,UC46&gt;0),300,0)-IF(AND($L46=1,'計算A'!F$117=1,DE46=0),300,0))),1000000))</f>
        <v/>
      </c>
      <c r="OI46">
        <f>IF($B46=0,1000000,IF(INDEX('計算A'!$D$60:$EQ$104,$B46,4)*DE46=1,IF(AND($E46=2,IT46=0),1000000,IF($I46&gt;0,IF(1=$J46,IF(OR(AND(4=$I46+1,OR($K46&lt;&gt;'計算A'!$A$3,'計算A'!$A$4=0)),AND(4=$I46-1,OR(4&lt;&gt;'計算A'!$A$3,'計算A'!$A$4=0))),0,IF(4=$K46,200000,ABS(4-$K46)*100)),100000+ABS(1-$J46)*1000+40)+'計算A'!G$5*50+IF(AND($E46=1,IT46=0),25,0),INDEX('計算A'!G$110:G$114,$F46+1)+IF(AND($E46=1,IT46=0),1000,0)+IF($H46=1,(IF('計算A'!F$117=1,INDEX('計算A'!F$10:F$54,$B46),0)+IF('計算A'!G$117=1,INDEX('計算A'!H$10:H$54,$B46),0))*500,0)-IF(AND('計算A'!F$117=1,UD46&gt;0),300,0)-IF(AND($L46=1,'計算A'!G$117=1,DF46=0),300,0))),1000000))</f>
        <v/>
      </c>
      <c r="OJ46">
        <f>IF($B46=0,1000000,IF(INDEX('計算A'!$D$60:$EQ$104,$B46,5)*DF46=1,IF(AND($E46=2,IU46=0),1000000,IF($I46&gt;0,IF(1=$J46,IF(OR(AND(5=$I46+1,OR($K46&lt;&gt;'計算A'!$A$3,'計算A'!$A$4=0)),AND(5=$I46-1,OR(5&lt;&gt;'計算A'!$A$3,'計算A'!$A$4=0))),0,IF(5=$K46,200000,ABS(5-$K46)*100)),100000+ABS(1-$J46)*1000+50)+'計算A'!H$5*50+IF(AND($E46=1,IU46=0),25,0),INDEX('計算A'!H$110:H$114,$F46+1)+IF(AND($E46=1,IU46=0),1000,0)+IF($H46=1,(IF('計算A'!G$117=1,INDEX('計算A'!G$10:G$54,$B46),0)+IF('計算A'!H$117=1,INDEX('計算A'!I$10:I$54,$B46),0))*500,0)-IF(AND('計算A'!G$117=1,UE46&gt;0),300,0)-IF(AND($L46=1,'計算A'!H$117=1,DG46=0),300,0))),1000000))</f>
        <v/>
      </c>
      <c r="OK46">
        <f>IF($B46=0,1000000,IF(INDEX('計算A'!$D$60:$EQ$104,$B46,6)*DG46=1,IF(AND($E46=2,IV46=0),1000000,IF($I46&gt;0,IF(1=$J46,IF(OR(AND(6=$I46+1,OR($K46&lt;&gt;'計算A'!$A$3,'計算A'!$A$4=0)),AND(6=$I46-1,OR(6&lt;&gt;'計算A'!$A$3,'計算A'!$A$4=0))),0,IF(6=$K46,200000,ABS(6-$K46)*100)),100000+ABS(1-$J46)*1000+60)+'計算A'!I$5*50+IF(AND($E46=1,IV46=0),25,0),INDEX('計算A'!I$110:I$114,$F46+1)+IF(AND($E46=1,IV46=0),1000,0)+IF($H46=1,(IF('計算A'!H$117=1,INDEX('計算A'!H$10:H$54,$B46),0)+IF('計算A'!I$117=1,INDEX('計算A'!J$10:J$54,$B46),0))*500,0)-IF(AND('計算A'!H$117=1,UF46&gt;0),300,0)-IF(AND($L46=1,'計算A'!I$117=1,DH46=0),300,0))),1000000))</f>
        <v/>
      </c>
      <c r="OL46">
        <f>IF($B46=0,1000000,IF(INDEX('計算A'!$D$60:$EQ$104,$B46,7)*DH46=1,IF(AND($E46=2,IW46=0),1000000,IF($I46&gt;0,IF(1=$J46,IF(OR(AND(7=$I46+1,OR($K46&lt;&gt;'計算A'!$A$3,'計算A'!$A$4=0)),AND(7=$I46-1,OR(7&lt;&gt;'計算A'!$A$3,'計算A'!$A$4=0))),0,IF(7=$K46,200000,ABS(7-$K46)*100)),100000+ABS(1-$J46)*1000+70)+'計算A'!J$5*50+IF(AND($E46=1,IW46=0),25,0),INDEX('計算A'!J$110:J$114,$F46+1)+IF(AND($E46=1,IW46=0),1000,0)+IF($H46=1,(IF('計算A'!I$117=1,INDEX('計算A'!I$10:I$54,$B46),0)+IF('計算A'!J$117=1,INDEX('計算A'!K$10:K$54,$B46),0))*500,0)-IF(AND('計算A'!I$117=1,UG46&gt;0),300,0)-IF(AND($L46=1,'計算A'!J$117=1,DI46=0),300,0))),1000000))</f>
        <v/>
      </c>
      <c r="OM46">
        <f>IF($B46=0,1000000,IF(INDEX('計算A'!$D$60:$EQ$104,$B46,8)*DI46=1,IF(AND($E46=2,IX46=0),1000000,IF($I46&gt;0,IF(1=$J46,IF(OR(AND(8=$I46+1,OR($K46&lt;&gt;'計算A'!$A$3,'計算A'!$A$4=0)),AND(8=$I46-1,OR(8&lt;&gt;'計算A'!$A$3,'計算A'!$A$4=0))),0,IF(8=$K46,200000,ABS(8-$K46)*100)),100000+ABS(1-$J46)*1000+80)+'計算A'!K$5*50+IF(AND($E46=1,IX46=0),25,0),INDEX('計算A'!K$110:K$114,$F46+1)+IF(AND($E46=1,IX46=0),1000,0)+IF($H46=1,(IF('計算A'!J$117=1,INDEX('計算A'!J$10:J$54,$B46),0)+IF('計算A'!K$117=1,INDEX('計算A'!L$10:L$54,$B46),0))*500,0)-IF(AND('計算A'!J$117=1,UH46&gt;0),300,0)-IF(AND($L46=1,'計算A'!K$117=1,DJ46=0),300,0))),1000000))</f>
        <v/>
      </c>
      <c r="ON46">
        <f>IF($B46=0,1000000,IF(INDEX('計算A'!$D$60:$EQ$104,$B46,9)*DJ46=1,IF(AND($E46=2,IY46=0),1000000,IF($I46&gt;0,IF(1=$J46,IF(OR(AND(9=$I46+1,OR($K46&lt;&gt;'計算A'!$A$3,'計算A'!$A$4=0)),AND(9=$I46-1,OR(9&lt;&gt;'計算A'!$A$3,'計算A'!$A$4=0))),0,IF(9=$K46,200000,ABS(9-$K46)*100)),100000+ABS(1-$J46)*1000+90)+'計算A'!L$5*50+IF(AND($E46=1,IY46=0),25,0),INDEX('計算A'!L$110:L$114,$F46+1)+IF(AND($E46=1,IY46=0),1000,0)+IF($H46=1,(IF('計算A'!K$117=1,INDEX('計算A'!K$10:K$54,$B46),0)+IF('計算A'!L$117=1,INDEX('計算A'!M$10:M$54,$B46),0))*500,0)-IF(AND('計算A'!K$117=1,UI46&gt;0),300,0)-IF(AND($L46=1,'計算A'!L$117=1,DK46=0),300,0))),1000000))</f>
        <v/>
      </c>
      <c r="OO46">
        <f>IF($B46=0,1000000,IF(INDEX('計算A'!$D$60:$EQ$104,$B46,10)*DK46=1,IF(AND($E46=2,IZ46=0),1000000,IF($I46&gt;0,IF(1=$J46,IF(OR(AND(10=$I46+1,OR($K46&lt;&gt;'計算A'!$A$3,'計算A'!$A$4=0)),AND(10=$I46-1,OR(10&lt;&gt;'計算A'!$A$3,'計算A'!$A$4=0))),0,IF(10=$K46,200000,ABS(10-$K46)*100)),100000+ABS(1-$J46)*1000+100)+'計算A'!M$5*50+IF(AND($E46=1,IZ46=0),25,0),INDEX('計算A'!M$110:M$114,$F46+1)+IF(AND($E46=1,IZ46=0),1000,0)+IF($H46=1,(IF('計算A'!L$117=1,INDEX('計算A'!L$10:L$54,$B46),0)+IF('計算A'!M$117=1,INDEX('計算A'!N$10:N$54,$B46),0))*500,0)-IF(AND('計算A'!L$117=1,UJ46&gt;0),300,0)-IF(AND($L46=1,'計算A'!M$117=1,DL46=0),300,0))),1000000))</f>
        <v/>
      </c>
      <c r="OP46">
        <f>IF($B46=0,1000000,IF(INDEX('計算A'!$D$60:$EQ$104,$B46,11)*DL46=1,IF(AND($E46=2,JA46=0),1000000,IF($I46&gt;0,IF(1=$J46,IF(OR(AND(11=$I46+1,OR($K46&lt;&gt;'計算A'!$A$3,'計算A'!$A$4=0)),AND(11=$I46-1,OR(11&lt;&gt;'計算A'!$A$3,'計算A'!$A$4=0))),0,IF(11=$K46,200000,ABS(11-$K46)*100)),100000+ABS(1-$J46)*1000+110)+'計算A'!N$5*50+IF(AND($E46=1,JA46=0),25,0),INDEX('計算A'!N$110:N$114,$F46+1)+IF(AND($E46=1,JA46=0),1000,0)+IF($H46=1,(IF('計算A'!M$117=1,INDEX('計算A'!M$10:M$54,$B46),0)+IF('計算A'!N$117=1,INDEX('計算A'!O$10:O$54,$B46),0))*500,0)-IF(AND('計算A'!M$117=1,UK46&gt;0),300,0)-IF(AND($L46=1,'計算A'!N$117=1,DM46=0),300,0))),1000000))</f>
        <v/>
      </c>
      <c r="OQ46">
        <f>IF($B46=0,1000000,IF(INDEX('計算A'!$D$60:$EQ$104,$B46,12)*DM46=1,IF(AND($E46=2,JB46=0),1000000,IF($I46&gt;0,IF(1=$J46,IF(OR(AND(12=$I46+1,OR($K46&lt;&gt;'計算A'!$A$3,'計算A'!$A$4=0)),AND(12=$I46-1,OR(12&lt;&gt;'計算A'!$A$3,'計算A'!$A$4=0))),0,IF(12=$K46,200000,ABS(12-$K46)*100)),100000+ABS(1-$J46)*1000+120)+'計算A'!O$5*50+IF(AND($E46=1,JB46=0),25,0),INDEX('計算A'!O$110:O$114,$F46+1)+IF(AND($E46=1,JB46=0),1000,0)+IF($H46=1,(IF('計算A'!N$117=1,INDEX('計算A'!N$10:N$54,$B46),0)+IF('計算A'!O$117=1,INDEX('計算A'!P$10:P$54,$B46),0))*500,0)-IF(AND('計算A'!N$117=1,UL46&gt;0),300,0)-IF(AND($L46=1,'計算A'!O$117=1,DN46=0),300,0))),1000000))</f>
        <v/>
      </c>
      <c r="OR46">
        <f>IF($B46=0,1000000,IF(INDEX('計算A'!$D$60:$EQ$104,$B46,13)*DN46=1,IF(AND($E46=2,JC46=0),1000000,IF($I46&gt;0,IF(1=$J46,IF(OR(AND(13=$I46+1,OR($K46&lt;&gt;'計算A'!$A$3,'計算A'!$A$4=0)),AND(13=$I46-1,OR(13&lt;&gt;'計算A'!$A$3,'計算A'!$A$4=0))),0,IF(13=$K46,200000,ABS(13-$K46)*100)),100000+ABS(1-$J46)*1000+130)+'計算A'!P$5*50+IF(AND($E46=1,JC46=0),25,0),INDEX('計算A'!P$110:P$114,$F46+1)+IF(AND($E46=1,JC46=0),1000,0)+IF($H46=1,(IF('計算A'!O$117=1,INDEX('計算A'!O$10:O$54,$B46),0)+IF('計算A'!P$117=1,INDEX('計算A'!Q$10:Q$54,$B46),0))*500,0)-IF(AND('計算A'!O$117=1,UM46&gt;0),300,0)-IF(AND($L46=1,'計算A'!P$117=1,DO46=0),300,0))),1000000))</f>
        <v/>
      </c>
      <c r="OS46">
        <f>IF($B46=0,1000000,IF(INDEX('計算A'!$D$60:$EQ$104,$B46,14)*DO46=1,IF(AND($E46=2,JD46=0),1000000,IF($I46&gt;0,IF(1=$J46,IF(OR(AND(14=$I46+1,OR($K46&lt;&gt;'計算A'!$A$3,'計算A'!$A$4=0)),AND(14=$I46-1,OR(14&lt;&gt;'計算A'!$A$3,'計算A'!$A$4=0))),0,IF(14=$K46,200000,ABS(14-$K46)*100)),100000+ABS(1-$J46)*1000+140)+'計算A'!Q$5*50+IF(AND($E46=1,JD46=0),25,0),INDEX('計算A'!Q$110:Q$114,$F46+1)+IF(AND($E46=1,JD46=0),1000,0)+IF($H46=1,(IF('計算A'!P$117=1,INDEX('計算A'!P$10:P$54,$B46),0)+IF('計算A'!Q$117=1,INDEX('計算A'!R$10:R$54,$B46),0))*500,0)-IF(AND('計算A'!P$117=1,UN46&gt;0),300,0)-IF(AND($L46=1,'計算A'!Q$117=1,DP46=0),300,0))),1000000))</f>
        <v/>
      </c>
      <c r="OT46">
        <f>IF($B46=0,1000000,IF(INDEX('計算A'!$D$60:$EQ$104,$B46,15)*DP46=1,IF(AND($E46=2,JE46=0),1000000,IF($I46&gt;0,IF(1=$J46,IF(OR(AND(15=$I46+1,OR($K46&lt;&gt;'計算A'!$A$3,'計算A'!$A$4=0)),AND(15=$I46-1,OR(15&lt;&gt;'計算A'!$A$3,'計算A'!$A$4=0))),0,IF(15=$K46,200000,ABS(15-$K46)*100)),100000+ABS(1-$J46)*1000+150)+'計算A'!R$5*50+IF(AND($E46=1,JE46=0),25,0),INDEX('計算A'!R$110:R$114,$F46+1)+IF(AND($E46=1,JE46=0),1000,0)+IF($H46=1,(IF('計算A'!Q$117=1,INDEX('計算A'!Q$10:Q$54,$B46),0)+IF('計算A'!R$117=1,INDEX('計算A'!S$10:S$54,$B46),0))*500,0)-IF(AND('計算A'!Q$117=1,UO46&gt;0),300,0)-IF(AND($L46=1,'計算A'!R$117=1,DQ46=0),300,0))),1000000))</f>
        <v/>
      </c>
      <c r="OU46">
        <f>IF($B46=0,1000000,IF(INDEX('計算A'!$D$60:$EQ$104,$B46,16)*DQ46=1,IF(AND($E46=2,JF46=0),1000000,IF($I46&gt;0,IF(1=$J46,IF(OR(AND(16=$I46+1,OR($K46&lt;&gt;'計算A'!$A$3,'計算A'!$A$4=0)),AND(16=$I46-1,OR(16&lt;&gt;'計算A'!$A$3,'計算A'!$A$4=0))),0,IF(16=$K46,200000,ABS(16-$K46)*100)),100000+ABS(1-$J46)*1000+160)+'計算A'!S$5*50+IF(AND($E46=1,JF46=0),25,0),INDEX('計算A'!S$110:S$114,$F46+1)+IF(AND($E46=1,JF46=0),1000,0)+IF($H46=1,(IF('計算A'!R$117=1,INDEX('計算A'!R$10:R$54,$B46),0)+IF('計算A'!S$117=1,INDEX('計算A'!T$10:T$54,$B46),0))*500,0)-IF(AND('計算A'!R$117=1,UP46&gt;0),300,0)-IF(AND($L46=1,'計算A'!S$117=1,DR46=0),300,0))),1000000))</f>
        <v/>
      </c>
      <c r="OV46">
        <f>IF($B46=0,1000000,IF(INDEX('計算A'!$D$60:$EQ$104,$B46,17)*DR46=1,IF(AND($E46=2,JG46=0),1000000,IF($I46&gt;0,IF(1=$J46,IF(OR(AND(17=$I46+1,OR($K46&lt;&gt;'計算A'!$A$3,'計算A'!$A$4=0)),AND(17=$I46-1,OR(17&lt;&gt;'計算A'!$A$3,'計算A'!$A$4=0))),0,IF(17=$K46,200000,ABS(17-$K46)*100)),100000+ABS(1-$J46)*1000+170)+'計算A'!T$5*50+IF(AND($E46=1,JG46=0),25,0),INDEX('計算A'!T$110:T$114,$F46+1)+IF(AND($E46=1,JG46=0),1000,0)+IF($H46=1,(IF('計算A'!S$117=1,INDEX('計算A'!S$10:S$54,$B46),0)+IF('計算A'!T$117=1,INDEX('計算A'!U$10:U$54,$B46),0))*500,0)-IF(AND('計算A'!S$117=1,UQ46&gt;0),300,0)-IF(AND($L46=1,'計算A'!T$117=1,DS46=0),300,0))),1000000))</f>
        <v/>
      </c>
      <c r="OW46">
        <f>IF($B46=0,1000000,IF(INDEX('計算A'!$D$60:$EQ$104,$B46,18)*DS46=1,IF(AND($E46=2,JH46=0),1000000,IF($I46&gt;0,IF(1=$J46,IF(OR(AND(18=$I46+1,OR($K46&lt;&gt;'計算A'!$A$3,'計算A'!$A$4=0)),AND(18=$I46-1,OR(18&lt;&gt;'計算A'!$A$3,'計算A'!$A$4=0))),0,IF(18=$K46,200000,ABS(18-$K46)*100)),100000+ABS(1-$J46)*1000+180)+'計算A'!U$5*50+IF(AND($E46=1,JH46=0),25,0),INDEX('計算A'!U$110:U$114,$F46+1)+IF(AND($E46=1,JH46=0),1000,0)+IF($H46=1,(IF('計算A'!T$117=1,INDEX('計算A'!T$10:T$54,$B46),0)+IF('計算A'!U$117=1,INDEX('計算A'!V$10:V$54,$B46),0))*500,0)-IF(AND('計算A'!T$117=1,UR46&gt;0),300,0)-IF(AND($L46=1,'計算A'!U$117=1,DT46=0),300,0))),1000000))</f>
        <v/>
      </c>
      <c r="OX46">
        <f>IF($B46=0,1000000,IF(INDEX('計算A'!$D$60:$EQ$104,$B46,19)*DT46=1,IF(AND($E46=2,JI46=0),1000000,IF($I46&gt;0,IF(1=$J46,IF(OR(AND(19=$I46+1,OR($K46&lt;&gt;'計算A'!$A$3,'計算A'!$A$4=0)),AND(19=$I46-1,OR(19&lt;&gt;'計算A'!$A$3,'計算A'!$A$4=0))),0,IF(19=$K46,200000,ABS(19-$K46)*100)),100000+ABS(1-$J46)*1000+190)+'計算A'!V$5*50+IF(AND($E46=1,JI46=0),25,0),INDEX('計算A'!V$110:V$114,$F46+1)+IF(AND($E46=1,JI46=0),1000,0)+IF($H46=1,(IF('計算A'!U$117=1,INDEX('計算A'!U$10:U$54,$B46),0)+IF('計算A'!V$117=1,INDEX('計算A'!W$10:W$54,$B46),0))*500,0)-IF(AND('計算A'!U$117=1,US46&gt;0),300,0)-IF(AND($L46=1,'計算A'!V$117=1,DU46=0),300,0))),1000000))</f>
        <v/>
      </c>
      <c r="OY46">
        <f>IF($B46=0,1000000,IF(INDEX('計算A'!$D$60:$EQ$104,$B46,20)*DU46=1,IF(AND($E46=2,JJ46=0),1000000,IF($I46&gt;0,IF(1=$J46,IF(OR(AND(20=$I46+1,OR($K46&lt;&gt;'計算A'!$A$3,'計算A'!$A$4=0)),AND(20=$I46-1,OR(20&lt;&gt;'計算A'!$A$3,'計算A'!$A$4=0))),0,IF(20=$K46,200000,ABS(20-$K46)*100)),100000+ABS(1-$J46)*1000+200)+'計算A'!W$5*50+IF(AND($E46=1,JJ46=0),25,0),INDEX('計算A'!W$110:W$114,$F46+1)+IF(AND($E46=1,JJ46=0),1000,0)+IF($H46=1,(IF('計算A'!V$117=1,INDEX('計算A'!V$10:V$54,$B46),0)+IF('計算A'!W$117=1,INDEX('計算A'!X$10:X$54,$B46),0))*500,0)-IF(AND('計算A'!V$117=1,UT46&gt;0),300,0)-IF(AND($L46=1,'計算A'!W$117=1,DV46=0),300,0))),1000000))</f>
        <v/>
      </c>
      <c r="OZ46">
        <f>IF($B46=0,1000000,IF(INDEX('計算A'!$D$60:$EQ$104,$B46,21)*DV46=1,IF(AND($E46=2,JK46=0),1000000,IF($I46&gt;0,IF(1=$J46,IF(OR(AND(21=$I46+1,OR($K46&lt;&gt;'計算A'!$A$3,'計算A'!$A$4=0)),AND(21=$I46-1,OR(21&lt;&gt;'計算A'!$A$3,'計算A'!$A$4=0))),0,IF(21=$K46,200000,ABS(21-$K46)*100)),100000+ABS(1-$J46)*1000+210)+'計算A'!X$5*50+IF(AND($E46=1,JK46=0),25,0),INDEX('計算A'!X$110:X$114,$F46+1)+IF(AND($E46=1,JK46=0),1000,0)+IF($H46=1,(IF('計算A'!W$117=1,INDEX('計算A'!W$10:W$54,$B46),0)+IF('計算A'!X$117=1,INDEX('計算A'!Y$10:Y$54,$B46),0))*500,0)-IF(AND('計算A'!W$117=1,UU46&gt;0),300,0)-IF(AND($L46=1,'計算A'!X$117=1,DW46=0),300,0))),1000000))</f>
        <v/>
      </c>
      <c r="PA46">
        <f>IF($B46=0,1000000,IF(INDEX('計算A'!$D$60:$EQ$104,$B46,22)*DW46=1,IF(AND($E46=2,JL46=0),1000000,IF($I46&gt;0,IF(1=$J46,IF(OR(AND(22=$I46+1,OR($K46&lt;&gt;'計算A'!$A$3,'計算A'!$A$4=0)),AND(22=$I46-1,OR(22&lt;&gt;'計算A'!$A$3,'計算A'!$A$4=0))),0,IF(22=$K46,200000,ABS(22-$K46)*100)),100000+ABS(1-$J46)*1000+220)+'計算A'!Y$5*50+IF(AND($E46=1,JL46=0),25,0),INDEX('計算A'!Y$110:Y$114,$F46+1)+IF(AND($E46=1,JL46=0),1000,0)+IF($H46=1,(IF('計算A'!X$117=1,INDEX('計算A'!X$10:X$54,$B46),0)+IF('計算A'!Y$117=1,INDEX('計算A'!Z$10:Z$54,$B46),0))*500,0)-IF(AND('計算A'!X$117=1,UV46&gt;0),300,0)-IF(AND($L46=1,'計算A'!Y$117=1,DX46=0),300,0))),1000000))</f>
        <v/>
      </c>
      <c r="PB46">
        <f>IF($B46=0,1000000,IF(INDEX('計算A'!$D$60:$EQ$104,$B46,23)*DX46=1,IF(AND($E46=2,JM46=0),1000000,IF($I46&gt;0,IF(1=$J46,IF(OR(AND(23=$I46+1,OR($K46&lt;&gt;'計算A'!$A$3,'計算A'!$A$4=0)),AND(23=$I46-1,OR(23&lt;&gt;'計算A'!$A$3,'計算A'!$A$4=0))),0,IF(23=$K46,200000,ABS(23-$K46)*100)),100000+ABS(1-$J46)*1000+230)+'計算A'!Z$5*50+IF(AND($E46=1,JM46=0),25,0),INDEX('計算A'!Z$110:Z$114,$F46+1)+IF(AND($E46=1,JM46=0),1000,0)+IF($H46=1,(IF('計算A'!Y$117=1,INDEX('計算A'!Y$10:Y$54,$B46),0)+IF('計算A'!Z$117=1,INDEX('計算A'!AA$10:AA$54,$B46),0))*500,0)-IF(AND('計算A'!Y$117=1,UW46&gt;0),300,0)-IF(AND($L46=1,'計算A'!Z$117=1,DY46=0),300,0))),1000000))</f>
        <v/>
      </c>
      <c r="PC46">
        <f>IF($B46=0,1000000,IF(INDEX('計算A'!$D$60:$EQ$104,$B46,24)*DY46=1,IF(AND($E46=2,JN46=0),1000000,IF($I46&gt;0,IF(1=$J46,IF(OR(AND(24=$I46+1,OR($K46&lt;&gt;'計算A'!$A$3,'計算A'!$A$4=0)),AND(24=$I46-1,OR(24&lt;&gt;'計算A'!$A$3,'計算A'!$A$4=0))),0,IF(24=$K46,200000,ABS(24-$K46)*100)),100000+ABS(1-$J46)*1000+240)+'計算A'!AA$5*50+IF(AND($E46=1,JN46=0),25,0),INDEX('計算A'!AA$110:AA$114,$F46+1)+IF(AND($E46=1,JN46=0),1000,0)+IF($H46=1,(IF('計算A'!Z$117=1,INDEX('計算A'!Z$10:Z$54,$B46),0))*500,0)-IF(AND('計算A'!Z$117=1,UX46&gt;0),300,0))),1000000))</f>
        <v/>
      </c>
      <c r="PD46">
        <f>IF($B46=0,1000000,IF(INDEX('計算A'!$D$60:$EQ$104,$B46,25)*DZ46=1,IF(AND($E46=2,JO46=0),1000000,IF($I46&gt;0,IF(2=$J46,IF(OR(AND(25=$I46+1,OR($K46&lt;&gt;'計算A'!$A$3,'計算A'!$A$4=0)),AND(25=$I46-1,OR(1&lt;&gt;'計算A'!$A$3,'計算A'!$A$4=0))),0,IF(1=$K46,200000,ABS(1-$K46)*100)),100000+ABS(2-$J46)*1000+10)+'計算A'!AB$5*50+IF(AND($E46=1,JO46=0),25,0),INDEX('計算A'!AB$110:AB$114,$F46+1)+IF(AND($E46=1,JO46=0),1000,0)+IF($H46=1,(IF('計算A'!AB$117=1,INDEX('計算A'!AC$10:AC$54,$B46),0))*500,0)-IF(AND($L46=1,'計算A'!AB$117=1,EA46=0),300,0))),1000000))</f>
        <v/>
      </c>
      <c r="PE46">
        <f>IF($B46=0,1000000,IF(INDEX('計算A'!$D$60:$EQ$104,$B46,26)*EA46=1,IF(AND($E46=2,JP46=0),1000000,IF($I46&gt;0,IF(2=$J46,IF(OR(AND(26=$I46+1,OR($K46&lt;&gt;'計算A'!$A$3,'計算A'!$A$4=0)),AND(26=$I46-1,OR(2&lt;&gt;'計算A'!$A$3,'計算A'!$A$4=0))),0,IF(2=$K46,200000,ABS(2-$K46)*100)),100000+ABS(2-$J46)*1000+20)+'計算A'!AC$5*50+IF(AND($E46=1,JP46=0),25,0),INDEX('計算A'!AC$110:AC$114,$F46+1)+IF(AND($E46=1,JP46=0),1000,0)+IF($H46=1,(IF('計算A'!AB$117=1,INDEX('計算A'!AB$10:AB$54,$B46),0)+IF('計算A'!AC$117=1,INDEX('計算A'!AD$10:AD$54,$B46),0))*500,0)-IF(AND('計算A'!AB$117=1,UZ46&gt;0),300,0)-IF(AND($L46=1,'計算A'!AC$117=1,EB46=0),300,0))),1000000))</f>
        <v/>
      </c>
      <c r="PF46">
        <f>IF($B46=0,1000000,IF(INDEX('計算A'!$D$60:$EQ$104,$B46,27)*EB46=1,IF(AND($E46=2,JQ46=0),1000000,IF($I46&gt;0,IF(2=$J46,IF(OR(AND(27=$I46+1,OR($K46&lt;&gt;'計算A'!$A$3,'計算A'!$A$4=0)),AND(27=$I46-1,OR(3&lt;&gt;'計算A'!$A$3,'計算A'!$A$4=0))),0,IF(3=$K46,200000,ABS(3-$K46)*100)),100000+ABS(2-$J46)*1000+30)+'計算A'!AD$5*50+IF(AND($E46=1,JQ46=0),25,0),INDEX('計算A'!AD$110:AD$114,$F46+1)+IF(AND($E46=1,JQ46=0),1000,0)+IF($H46=1,(IF('計算A'!AC$117=1,INDEX('計算A'!AC$10:AC$54,$B46),0)+IF('計算A'!AD$117=1,INDEX('計算A'!AE$10:AE$54,$B46),0))*500,0)-IF(AND('計算A'!AC$117=1,VA46&gt;0),300,0)-IF(AND($L46=1,'計算A'!AD$117=1,EC46=0),300,0))),1000000))</f>
        <v/>
      </c>
      <c r="PG46">
        <f>IF($B46=0,1000000,IF(INDEX('計算A'!$D$60:$EQ$104,$B46,28)*EC46=1,IF(AND($E46=2,JR46=0),1000000,IF($I46&gt;0,IF(2=$J46,IF(OR(AND(28=$I46+1,OR($K46&lt;&gt;'計算A'!$A$3,'計算A'!$A$4=0)),AND(28=$I46-1,OR(4&lt;&gt;'計算A'!$A$3,'計算A'!$A$4=0))),0,IF(4=$K46,200000,ABS(4-$K46)*100)),100000+ABS(2-$J46)*1000+40)+'計算A'!AE$5*50+IF(AND($E46=1,JR46=0),25,0),INDEX('計算A'!AE$110:AE$114,$F46+1)+IF(AND($E46=1,JR46=0),1000,0)+IF($H46=1,(IF('計算A'!AD$117=1,INDEX('計算A'!AD$10:AD$54,$B46),0)+IF('計算A'!AE$117=1,INDEX('計算A'!AF$10:AF$54,$B46),0))*500,0)-IF(AND('計算A'!AD$117=1,VB46&gt;0),300,0)-IF(AND($L46=1,'計算A'!AE$117=1,ED46=0),300,0))),1000000))</f>
        <v/>
      </c>
      <c r="PH46">
        <f>IF($B46=0,1000000,IF(INDEX('計算A'!$D$60:$EQ$104,$B46,29)*ED46=1,IF(AND($E46=2,JS46=0),1000000,IF($I46&gt;0,IF(2=$J46,IF(OR(AND(29=$I46+1,OR($K46&lt;&gt;'計算A'!$A$3,'計算A'!$A$4=0)),AND(29=$I46-1,OR(5&lt;&gt;'計算A'!$A$3,'計算A'!$A$4=0))),0,IF(5=$K46,200000,ABS(5-$K46)*100)),100000+ABS(2-$J46)*1000+50)+'計算A'!AF$5*50+IF(AND($E46=1,JS46=0),25,0),INDEX('計算A'!AF$110:AF$114,$F46+1)+IF(AND($E46=1,JS46=0),1000,0)+IF($H46=1,(IF('計算A'!AE$117=1,INDEX('計算A'!AE$10:AE$54,$B46),0)+IF('計算A'!AF$117=1,INDEX('計算A'!AG$10:AG$54,$B46),0))*500,0)-IF(AND('計算A'!AE$117=1,VC46&gt;0),300,0)-IF(AND($L46=1,'計算A'!AF$117=1,EE46=0),300,0))),1000000))</f>
        <v/>
      </c>
      <c r="PI46">
        <f>IF($B46=0,1000000,IF(INDEX('計算A'!$D$60:$EQ$104,$B46,30)*EE46=1,IF(AND($E46=2,JT46=0),1000000,IF($I46&gt;0,IF(2=$J46,IF(OR(AND(30=$I46+1,OR($K46&lt;&gt;'計算A'!$A$3,'計算A'!$A$4=0)),AND(30=$I46-1,OR(6&lt;&gt;'計算A'!$A$3,'計算A'!$A$4=0))),0,IF(6=$K46,200000,ABS(6-$K46)*100)),100000+ABS(2-$J46)*1000+60)+'計算A'!AG$5*50+IF(AND($E46=1,JT46=0),25,0),INDEX('計算A'!AG$110:AG$114,$F46+1)+IF(AND($E46=1,JT46=0),1000,0)+IF($H46=1,(IF('計算A'!AF$117=1,INDEX('計算A'!AF$10:AF$54,$B46),0)+IF('計算A'!AG$117=1,INDEX('計算A'!AH$10:AH$54,$B46),0))*500,0)-IF(AND('計算A'!AF$117=1,VD46&gt;0),300,0)-IF(AND($L46=1,'計算A'!AG$117=1,EF46=0),300,0))),1000000))</f>
        <v/>
      </c>
      <c r="PJ46">
        <f>IF($B46=0,1000000,IF(INDEX('計算A'!$D$60:$EQ$104,$B46,31)*EF46=1,IF(AND($E46=2,JU46=0),1000000,IF($I46&gt;0,IF(2=$J46,IF(OR(AND(31=$I46+1,OR($K46&lt;&gt;'計算A'!$A$3,'計算A'!$A$4=0)),AND(31=$I46-1,OR(7&lt;&gt;'計算A'!$A$3,'計算A'!$A$4=0))),0,IF(7=$K46,200000,ABS(7-$K46)*100)),100000+ABS(2-$J46)*1000+70)+'計算A'!AH$5*50+IF(AND($E46=1,JU46=0),25,0),INDEX('計算A'!AH$110:AH$114,$F46+1)+IF(AND($E46=1,JU46=0),1000,0)+IF($H46=1,(IF('計算A'!AG$117=1,INDEX('計算A'!AG$10:AG$54,$B46),0)+IF('計算A'!AH$117=1,INDEX('計算A'!AI$10:AI$54,$B46),0))*500,0)-IF(AND('計算A'!AG$117=1,VE46&gt;0),300,0)-IF(AND($L46=1,'計算A'!AH$117=1,EG46=0),300,0))),1000000))</f>
        <v/>
      </c>
      <c r="PK46">
        <f>IF($B46=0,1000000,IF(INDEX('計算A'!$D$60:$EQ$104,$B46,32)*EG46=1,IF(AND($E46=2,JV46=0),1000000,IF($I46&gt;0,IF(2=$J46,IF(OR(AND(32=$I46+1,OR($K46&lt;&gt;'計算A'!$A$3,'計算A'!$A$4=0)),AND(32=$I46-1,OR(8&lt;&gt;'計算A'!$A$3,'計算A'!$A$4=0))),0,IF(8=$K46,200000,ABS(8-$K46)*100)),100000+ABS(2-$J46)*1000+80)+'計算A'!AI$5*50+IF(AND($E46=1,JV46=0),25,0),INDEX('計算A'!AI$110:AI$114,$F46+1)+IF(AND($E46=1,JV46=0),1000,0)+IF($H46=1,(IF('計算A'!AH$117=1,INDEX('計算A'!AH$10:AH$54,$B46),0)+IF('計算A'!AI$117=1,INDEX('計算A'!AJ$10:AJ$54,$B46),0))*500,0)-IF(AND('計算A'!AH$117=1,VF46&gt;0),300,0)-IF(AND($L46=1,'計算A'!AI$117=1,EH46=0),300,0))),1000000))</f>
        <v/>
      </c>
      <c r="PL46">
        <f>IF($B46=0,1000000,IF(INDEX('計算A'!$D$60:$EQ$104,$B46,33)*EH46=1,IF(AND($E46=2,JW46=0),1000000,IF($I46&gt;0,IF(2=$J46,IF(OR(AND(33=$I46+1,OR($K46&lt;&gt;'計算A'!$A$3,'計算A'!$A$4=0)),AND(33=$I46-1,OR(9&lt;&gt;'計算A'!$A$3,'計算A'!$A$4=0))),0,IF(9=$K46,200000,ABS(9-$K46)*100)),100000+ABS(2-$J46)*1000+90)+'計算A'!AJ$5*50+IF(AND($E46=1,JW46=0),25,0),INDEX('計算A'!AJ$110:AJ$114,$F46+1)+IF(AND($E46=1,JW46=0),1000,0)+IF($H46=1,(IF('計算A'!AI$117=1,INDEX('計算A'!AI$10:AI$54,$B46),0)+IF('計算A'!AJ$117=1,INDEX('計算A'!AK$10:AK$54,$B46),0))*500,0)-IF(AND('計算A'!AI$117=1,VG46&gt;0),300,0)-IF(AND($L46=1,'計算A'!AJ$117=1,EI46=0),300,0))),1000000))</f>
        <v/>
      </c>
      <c r="PM46">
        <f>IF($B46=0,1000000,IF(INDEX('計算A'!$D$60:$EQ$104,$B46,34)*EI46=1,IF(AND($E46=2,JX46=0),1000000,IF($I46&gt;0,IF(2=$J46,IF(OR(AND(34=$I46+1,OR($K46&lt;&gt;'計算A'!$A$3,'計算A'!$A$4=0)),AND(34=$I46-1,OR(10&lt;&gt;'計算A'!$A$3,'計算A'!$A$4=0))),0,IF(10=$K46,200000,ABS(10-$K46)*100)),100000+ABS(2-$J46)*1000+100)+'計算A'!AK$5*50+IF(AND($E46=1,JX46=0),25,0),INDEX('計算A'!AK$110:AK$114,$F46+1)+IF(AND($E46=1,JX46=0),1000,0)+IF($H46=1,(IF('計算A'!AJ$117=1,INDEX('計算A'!AJ$10:AJ$54,$B46),0)+IF('計算A'!AK$117=1,INDEX('計算A'!AL$10:AL$54,$B46),0))*500,0)-IF(AND('計算A'!AJ$117=1,VH46&gt;0),300,0)-IF(AND($L46=1,'計算A'!AK$117=1,EJ46=0),300,0))),1000000))</f>
        <v/>
      </c>
      <c r="PN46">
        <f>IF($B46=0,1000000,IF(INDEX('計算A'!$D$60:$EQ$104,$B46,35)*EJ46=1,IF(AND($E46=2,JY46=0),1000000,IF($I46&gt;0,IF(2=$J46,IF(OR(AND(35=$I46+1,OR($K46&lt;&gt;'計算A'!$A$3,'計算A'!$A$4=0)),AND(35=$I46-1,OR(11&lt;&gt;'計算A'!$A$3,'計算A'!$A$4=0))),0,IF(11=$K46,200000,ABS(11-$K46)*100)),100000+ABS(2-$J46)*1000+110)+'計算A'!AL$5*50+IF(AND($E46=1,JY46=0),25,0),INDEX('計算A'!AL$110:AL$114,$F46+1)+IF(AND($E46=1,JY46=0),1000,0)+IF($H46=1,(IF('計算A'!AK$117=1,INDEX('計算A'!AK$10:AK$54,$B46),0)+IF('計算A'!AL$117=1,INDEX('計算A'!AM$10:AM$54,$B46),0))*500,0)-IF(AND('計算A'!AK$117=1,VI46&gt;0),300,0)-IF(AND($L46=1,'計算A'!AL$117=1,EK46=0),300,0))),1000000))</f>
        <v/>
      </c>
      <c r="PO46">
        <f>IF($B46=0,1000000,IF(INDEX('計算A'!$D$60:$EQ$104,$B46,36)*EK46=1,IF(AND($E46=2,JZ46=0),1000000,IF($I46&gt;0,IF(2=$J46,IF(OR(AND(36=$I46+1,OR($K46&lt;&gt;'計算A'!$A$3,'計算A'!$A$4=0)),AND(36=$I46-1,OR(12&lt;&gt;'計算A'!$A$3,'計算A'!$A$4=0))),0,IF(12=$K46,200000,ABS(12-$K46)*100)),100000+ABS(2-$J46)*1000+120)+'計算A'!AM$5*50+IF(AND($E46=1,JZ46=0),25,0),INDEX('計算A'!AM$110:AM$114,$F46+1)+IF(AND($E46=1,JZ46=0),1000,0)+IF($H46=1,(IF('計算A'!AL$117=1,INDEX('計算A'!AL$10:AL$54,$B46),0)+IF('計算A'!AM$117=1,INDEX('計算A'!AN$10:AN$54,$B46),0))*500,0)-IF(AND('計算A'!AL$117=1,VJ46&gt;0),300,0)-IF(AND($L46=1,'計算A'!AM$117=1,EL46=0),300,0))),1000000))</f>
        <v/>
      </c>
      <c r="PP46">
        <f>IF($B46=0,1000000,IF(INDEX('計算A'!$D$60:$EQ$104,$B46,37)*EL46=1,IF(AND($E46=2,KA46=0),1000000,IF($I46&gt;0,IF(2=$J46,IF(OR(AND(37=$I46+1,OR($K46&lt;&gt;'計算A'!$A$3,'計算A'!$A$4=0)),AND(37=$I46-1,OR(13&lt;&gt;'計算A'!$A$3,'計算A'!$A$4=0))),0,IF(13=$K46,200000,ABS(13-$K46)*100)),100000+ABS(2-$J46)*1000+130)+'計算A'!AN$5*50+IF(AND($E46=1,KA46=0),25,0),INDEX('計算A'!AN$110:AN$114,$F46+1)+IF(AND($E46=1,KA46=0),1000,0)+IF($H46=1,(IF('計算A'!AM$117=1,INDEX('計算A'!AM$10:AM$54,$B46),0)+IF('計算A'!AN$117=1,INDEX('計算A'!AO$10:AO$54,$B46),0))*500,0)-IF(AND('計算A'!AM$117=1,VK46&gt;0),300,0)-IF(AND($L46=1,'計算A'!AN$117=1,EM46=0),300,0))),1000000))</f>
        <v/>
      </c>
      <c r="PQ46">
        <f>IF($B46=0,1000000,IF(INDEX('計算A'!$D$60:$EQ$104,$B46,38)*EM46=1,IF(AND($E46=2,KB46=0),1000000,IF($I46&gt;0,IF(2=$J46,IF(OR(AND(38=$I46+1,OR($K46&lt;&gt;'計算A'!$A$3,'計算A'!$A$4=0)),AND(38=$I46-1,OR(14&lt;&gt;'計算A'!$A$3,'計算A'!$A$4=0))),0,IF(14=$K46,200000,ABS(14-$K46)*100)),100000+ABS(2-$J46)*1000+140)+'計算A'!AO$5*50+IF(AND($E46=1,KB46=0),25,0),INDEX('計算A'!AO$110:AO$114,$F46+1)+IF(AND($E46=1,KB46=0),1000,0)+IF($H46=1,(IF('計算A'!AN$117=1,INDEX('計算A'!AN$10:AN$54,$B46),0)+IF('計算A'!AO$117=1,INDEX('計算A'!AP$10:AP$54,$B46),0))*500,0)-IF(AND('計算A'!AN$117=1,VL46&gt;0),300,0)-IF(AND($L46=1,'計算A'!AO$117=1,EN46=0),300,0))),1000000))</f>
        <v/>
      </c>
      <c r="PR46">
        <f>IF($B46=0,1000000,IF(INDEX('計算A'!$D$60:$EQ$104,$B46,39)*EN46=1,IF(AND($E46=2,KC46=0),1000000,IF($I46&gt;0,IF(2=$J46,IF(OR(AND(39=$I46+1,OR($K46&lt;&gt;'計算A'!$A$3,'計算A'!$A$4=0)),AND(39=$I46-1,OR(15&lt;&gt;'計算A'!$A$3,'計算A'!$A$4=0))),0,IF(15=$K46,200000,ABS(15-$K46)*100)),100000+ABS(2-$J46)*1000+150)+'計算A'!AP$5*50+IF(AND($E46=1,KC46=0),25,0),INDEX('計算A'!AP$110:AP$114,$F46+1)+IF(AND($E46=1,KC46=0),1000,0)+IF($H46=1,(IF('計算A'!AO$117=1,INDEX('計算A'!AO$10:AO$54,$B46),0)+IF('計算A'!AP$117=1,INDEX('計算A'!AQ$10:AQ$54,$B46),0))*500,0)-IF(AND('計算A'!AO$117=1,VM46&gt;0),300,0)-IF(AND($L46=1,'計算A'!AP$117=1,EO46=0),300,0))),1000000))</f>
        <v/>
      </c>
      <c r="PS46">
        <f>IF($B46=0,1000000,IF(INDEX('計算A'!$D$60:$EQ$104,$B46,40)*EO46=1,IF(AND($E46=2,KD46=0),1000000,IF($I46&gt;0,IF(2=$J46,IF(OR(AND(40=$I46+1,OR($K46&lt;&gt;'計算A'!$A$3,'計算A'!$A$4=0)),AND(40=$I46-1,OR(16&lt;&gt;'計算A'!$A$3,'計算A'!$A$4=0))),0,IF(16=$K46,200000,ABS(16-$K46)*100)),100000+ABS(2-$J46)*1000+160)+'計算A'!AQ$5*50+IF(AND($E46=1,KD46=0),25,0),INDEX('計算A'!AQ$110:AQ$114,$F46+1)+IF(AND($E46=1,KD46=0),1000,0)+IF($H46=1,(IF('計算A'!AP$117=1,INDEX('計算A'!AP$10:AP$54,$B46),0)+IF('計算A'!AQ$117=1,INDEX('計算A'!AR$10:AR$54,$B46),0))*500,0)-IF(AND('計算A'!AP$117=1,VN46&gt;0),300,0)-IF(AND($L46=1,'計算A'!AQ$117=1,EP46=0),300,0))),1000000))</f>
        <v/>
      </c>
      <c r="PT46">
        <f>IF($B46=0,1000000,IF(INDEX('計算A'!$D$60:$EQ$104,$B46,41)*EP46=1,IF(AND($E46=2,KE46=0),1000000,IF($I46&gt;0,IF(2=$J46,IF(OR(AND(41=$I46+1,OR($K46&lt;&gt;'計算A'!$A$3,'計算A'!$A$4=0)),AND(41=$I46-1,OR(17&lt;&gt;'計算A'!$A$3,'計算A'!$A$4=0))),0,IF(17=$K46,200000,ABS(17-$K46)*100)),100000+ABS(2-$J46)*1000+170)+'計算A'!AR$5*50+IF(AND($E46=1,KE46=0),25,0),INDEX('計算A'!AR$110:AR$114,$F46+1)+IF(AND($E46=1,KE46=0),1000,0)+IF($H46=1,(IF('計算A'!AQ$117=1,INDEX('計算A'!AQ$10:AQ$54,$B46),0)+IF('計算A'!AR$117=1,INDEX('計算A'!AS$10:AS$54,$B46),0))*500,0)-IF(AND('計算A'!AQ$117=1,VO46&gt;0),300,0)-IF(AND($L46=1,'計算A'!AR$117=1,EQ46=0),300,0))),1000000))</f>
        <v/>
      </c>
      <c r="PU46">
        <f>IF($B46=0,1000000,IF(INDEX('計算A'!$D$60:$EQ$104,$B46,42)*EQ46=1,IF(AND($E46=2,KF46=0),1000000,IF($I46&gt;0,IF(2=$J46,IF(OR(AND(42=$I46+1,OR($K46&lt;&gt;'計算A'!$A$3,'計算A'!$A$4=0)),AND(42=$I46-1,OR(18&lt;&gt;'計算A'!$A$3,'計算A'!$A$4=0))),0,IF(18=$K46,200000,ABS(18-$K46)*100)),100000+ABS(2-$J46)*1000+180)+'計算A'!AS$5*50+IF(AND($E46=1,KF46=0),25,0),INDEX('計算A'!AS$110:AS$114,$F46+1)+IF(AND($E46=1,KF46=0),1000,0)+IF($H46=1,(IF('計算A'!AR$117=1,INDEX('計算A'!AR$10:AR$54,$B46),0)+IF('計算A'!AS$117=1,INDEX('計算A'!AT$10:AT$54,$B46),0))*500,0)-IF(AND('計算A'!AR$117=1,VP46&gt;0),300,0)-IF(AND($L46=1,'計算A'!AS$117=1,ER46=0),300,0))),1000000))</f>
        <v/>
      </c>
      <c r="PV46">
        <f>IF($B46=0,1000000,IF(INDEX('計算A'!$D$60:$EQ$104,$B46,43)*ER46=1,IF(AND($E46=2,KG46=0),1000000,IF($I46&gt;0,IF(2=$J46,IF(OR(AND(43=$I46+1,OR($K46&lt;&gt;'計算A'!$A$3,'計算A'!$A$4=0)),AND(43=$I46-1,OR(19&lt;&gt;'計算A'!$A$3,'計算A'!$A$4=0))),0,IF(19=$K46,200000,ABS(19-$K46)*100)),100000+ABS(2-$J46)*1000+190)+'計算A'!AT$5*50+IF(AND($E46=1,KG46=0),25,0),INDEX('計算A'!AT$110:AT$114,$F46+1)+IF(AND($E46=1,KG46=0),1000,0)+IF($H46=1,(IF('計算A'!AS$117=1,INDEX('計算A'!AS$10:AS$54,$B46),0)+IF('計算A'!AT$117=1,INDEX('計算A'!AU$10:AU$54,$B46),0))*500,0)-IF(AND('計算A'!AS$117=1,VQ46&gt;0),300,0)-IF(AND($L46=1,'計算A'!AT$117=1,ES46=0),300,0))),1000000))</f>
        <v/>
      </c>
      <c r="PW46">
        <f>IF($B46=0,1000000,IF(INDEX('計算A'!$D$60:$EQ$104,$B46,44)*ES46=1,IF(AND($E46=2,KH46=0),1000000,IF($I46&gt;0,IF(2=$J46,IF(OR(AND(44=$I46+1,OR($K46&lt;&gt;'計算A'!$A$3,'計算A'!$A$4=0)),AND(44=$I46-1,OR(20&lt;&gt;'計算A'!$A$3,'計算A'!$A$4=0))),0,IF(20=$K46,200000,ABS(20-$K46)*100)),100000+ABS(2-$J46)*1000+200)+'計算A'!AU$5*50+IF(AND($E46=1,KH46=0),25,0),INDEX('計算A'!AU$110:AU$114,$F46+1)+IF(AND($E46=1,KH46=0),1000,0)+IF($H46=1,(IF('計算A'!AT$117=1,INDEX('計算A'!AT$10:AT$54,$B46),0)+IF('計算A'!AU$117=1,INDEX('計算A'!AV$10:AV$54,$B46),0))*500,0)-IF(AND('計算A'!AT$117=1,VR46&gt;0),300,0)-IF(AND($L46=1,'計算A'!AU$117=1,ET46=0),300,0))),1000000))</f>
        <v/>
      </c>
      <c r="PX46">
        <f>IF($B46=0,1000000,IF(INDEX('計算A'!$D$60:$EQ$104,$B46,45)*ET46=1,IF(AND($E46=2,KI46=0),1000000,IF($I46&gt;0,IF(2=$J46,IF(OR(AND(45=$I46+1,OR($K46&lt;&gt;'計算A'!$A$3,'計算A'!$A$4=0)),AND(45=$I46-1,OR(21&lt;&gt;'計算A'!$A$3,'計算A'!$A$4=0))),0,IF(21=$K46,200000,ABS(21-$K46)*100)),100000+ABS(2-$J46)*1000+210)+'計算A'!AV$5*50+IF(AND($E46=1,KI46=0),25,0),INDEX('計算A'!AV$110:AV$114,$F46+1)+IF(AND($E46=1,KI46=0),1000,0)+IF($H46=1,(IF('計算A'!AU$117=1,INDEX('計算A'!AU$10:AU$54,$B46),0)+IF('計算A'!AV$117=1,INDEX('計算A'!AW$10:AW$54,$B46),0))*500,0)-IF(AND('計算A'!AU$117=1,VS46&gt;0),300,0)-IF(AND($L46=1,'計算A'!AV$117=1,EU46=0),300,0))),1000000))</f>
        <v/>
      </c>
      <c r="PY46">
        <f>IF($B46=0,1000000,IF(INDEX('計算A'!$D$60:$EQ$104,$B46,46)*EU46=1,IF(AND($E46=2,KJ46=0),1000000,IF($I46&gt;0,IF(2=$J46,IF(OR(AND(46=$I46+1,OR($K46&lt;&gt;'計算A'!$A$3,'計算A'!$A$4=0)),AND(46=$I46-1,OR(22&lt;&gt;'計算A'!$A$3,'計算A'!$A$4=0))),0,IF(22=$K46,200000,ABS(22-$K46)*100)),100000+ABS(2-$J46)*1000+220)+'計算A'!AW$5*50+IF(AND($E46=1,KJ46=0),25,0),INDEX('計算A'!AW$110:AW$114,$F46+1)+IF(AND($E46=1,KJ46=0),1000,0)+IF($H46=1,(IF('計算A'!AV$117=1,INDEX('計算A'!AV$10:AV$54,$B46),0)+IF('計算A'!AW$117=1,INDEX('計算A'!AX$10:AX$54,$B46),0))*500,0)-IF(AND('計算A'!AV$117=1,VT46&gt;0),300,0)-IF(AND($L46=1,'計算A'!AW$117=1,EV46=0),300,0))),1000000))</f>
        <v/>
      </c>
      <c r="PZ46">
        <f>IF($B46=0,1000000,IF(INDEX('計算A'!$D$60:$EQ$104,$B46,47)*EV46=1,IF(AND($E46=2,KK46=0),1000000,IF($I46&gt;0,IF(2=$J46,IF(OR(AND(47=$I46+1,OR($K46&lt;&gt;'計算A'!$A$3,'計算A'!$A$4=0)),AND(47=$I46-1,OR(23&lt;&gt;'計算A'!$A$3,'計算A'!$A$4=0))),0,IF(23=$K46,200000,ABS(23-$K46)*100)),100000+ABS(2-$J46)*1000+230)+'計算A'!AX$5*50+IF(AND($E46=1,KK46=0),25,0),INDEX('計算A'!AX$110:AX$114,$F46+1)+IF(AND($E46=1,KK46=0),1000,0)+IF($H46=1,(IF('計算A'!AW$117=1,INDEX('計算A'!AW$10:AW$54,$B46),0)+IF('計算A'!AX$117=1,INDEX('計算A'!AY$10:AY$54,$B46),0))*500,0)-IF(AND('計算A'!AW$117=1,VU46&gt;0),300,0)-IF(AND($L46=1,'計算A'!AX$117=1,EW46=0),300,0))),1000000))</f>
        <v/>
      </c>
      <c r="QA46">
        <f>IF($B46=0,1000000,IF(INDEX('計算A'!$D$60:$EQ$104,$B46,48)*EW46=1,IF(AND($E46=2,KL46=0),1000000,IF($I46&gt;0,IF(2=$J46,IF(OR(AND(48=$I46+1,OR($K46&lt;&gt;'計算A'!$A$3,'計算A'!$A$4=0)),AND(48=$I46-1,OR(24&lt;&gt;'計算A'!$A$3,'計算A'!$A$4=0))),0,IF(24=$K46,200000,ABS(24-$K46)*100)),100000+ABS(2-$J46)*1000+240)+'計算A'!AY$5*50+IF(AND($E46=1,KL46=0),25,0),INDEX('計算A'!AY$110:AY$114,$F46+1)+IF(AND($E46=1,KL46=0),1000,0)+IF($H46=1,(IF('計算A'!AX$117=1,INDEX('計算A'!AX$10:AX$54,$B46),0))*500,0)-IF(AND('計算A'!AX$117=1,VV46&gt;0),300,0))),1000000))</f>
        <v/>
      </c>
      <c r="QB46">
        <f>IF($B46=0,1000000,IF(INDEX('計算A'!$D$60:$EQ$104,$B46,49)*EX46=1,IF(AND($E46=2,KM46=0),1000000,IF($I46&gt;0,IF(3=$J46,IF(OR(AND(49=$I46+1,OR($K46&lt;&gt;'計算A'!$A$3,'計算A'!$A$4=0)),AND(49=$I46-1,OR(1&lt;&gt;'計算A'!$A$3,'計算A'!$A$4=0))),0,IF(1=$K46,200000,ABS(1-$K46)*100)),100000+ABS(3-$J46)*1000+10)+'計算A'!AZ$5*50+IF(AND($E46=1,KM46=0),25,0),INDEX('計算A'!AZ$110:AZ$114,$F46+1)+IF(AND($E46=1,KM46=0),1000,0)+IF($H46=1,(IF('計算A'!AZ$117=1,INDEX('計算A'!BA$10:BA$54,$B46),0))*500,0)-IF(AND($L46=1,'計算A'!AZ$117=1,EY46=0),300,0))),1000000))</f>
        <v/>
      </c>
      <c r="QC46">
        <f>IF($B46=0,1000000,IF(INDEX('計算A'!$D$60:$EQ$104,$B46,50)*EY46=1,IF(AND($E46=2,KN46=0),1000000,IF($I46&gt;0,IF(3=$J46,IF(OR(AND(50=$I46+1,OR($K46&lt;&gt;'計算A'!$A$3,'計算A'!$A$4=0)),AND(50=$I46-1,OR(2&lt;&gt;'計算A'!$A$3,'計算A'!$A$4=0))),0,IF(2=$K46,200000,ABS(2-$K46)*100)),100000+ABS(3-$J46)*1000+20)+'計算A'!BA$5*50+IF(AND($E46=1,KN46=0),25,0),INDEX('計算A'!BA$110:BA$114,$F46+1)+IF(AND($E46=1,KN46=0),1000,0)+IF($H46=1,(IF('計算A'!AZ$117=1,INDEX('計算A'!AZ$10:AZ$54,$B46),0)+IF('計算A'!BA$117=1,INDEX('計算A'!BB$10:BB$54,$B46),0))*500,0)-IF(AND('計算A'!AZ$117=1,VX46&gt;0),300,0)-IF(AND($L46=1,'計算A'!BA$117=1,EZ46=0),300,0))),1000000))</f>
        <v/>
      </c>
      <c r="QD46">
        <f>IF($B46=0,1000000,IF(INDEX('計算A'!$D$60:$EQ$104,$B46,51)*EZ46=1,IF(AND($E46=2,KO46=0),1000000,IF($I46&gt;0,IF(3=$J46,IF(OR(AND(51=$I46+1,OR($K46&lt;&gt;'計算A'!$A$3,'計算A'!$A$4=0)),AND(51=$I46-1,OR(3&lt;&gt;'計算A'!$A$3,'計算A'!$A$4=0))),0,IF(3=$K46,200000,ABS(3-$K46)*100)),100000+ABS(3-$J46)*1000+30)+'計算A'!BB$5*50+IF(AND($E46=1,KO46=0),25,0),INDEX('計算A'!BB$110:BB$114,$F46+1)+IF(AND($E46=1,KO46=0),1000,0)+IF($H46=1,(IF('計算A'!BA$117=1,INDEX('計算A'!BA$10:BA$54,$B46),0)+IF('計算A'!BB$117=1,INDEX('計算A'!BC$10:BC$54,$B46),0))*500,0)-IF(AND('計算A'!BA$117=1,VY46&gt;0),300,0)-IF(AND($L46=1,'計算A'!BB$117=1,FA46=0),300,0))),1000000))</f>
        <v/>
      </c>
      <c r="QE46">
        <f>IF($B46=0,1000000,IF(INDEX('計算A'!$D$60:$EQ$104,$B46,52)*FA46=1,IF(AND($E46=2,KP46=0),1000000,IF($I46&gt;0,IF(3=$J46,IF(OR(AND(52=$I46+1,OR($K46&lt;&gt;'計算A'!$A$3,'計算A'!$A$4=0)),AND(52=$I46-1,OR(4&lt;&gt;'計算A'!$A$3,'計算A'!$A$4=0))),0,IF(4=$K46,200000,ABS(4-$K46)*100)),100000+ABS(3-$J46)*1000+40)+'計算A'!BC$5*50+IF(AND($E46=1,KP46=0),25,0),INDEX('計算A'!BC$110:BC$114,$F46+1)+IF(AND($E46=1,KP46=0),1000,0)+IF($H46=1,(IF('計算A'!BB$117=1,INDEX('計算A'!BB$10:BB$54,$B46),0)+IF('計算A'!BC$117=1,INDEX('計算A'!BD$10:BD$54,$B46),0))*500,0)-IF(AND('計算A'!BB$117=1,VZ46&gt;0),300,0)-IF(AND($L46=1,'計算A'!BC$117=1,FB46=0),300,0))),1000000))</f>
        <v/>
      </c>
      <c r="QF46">
        <f>IF($B46=0,1000000,IF(INDEX('計算A'!$D$60:$EQ$104,$B46,53)*FB46=1,IF(AND($E46=2,KQ46=0),1000000,IF($I46&gt;0,IF(3=$J46,IF(OR(AND(53=$I46+1,OR($K46&lt;&gt;'計算A'!$A$3,'計算A'!$A$4=0)),AND(53=$I46-1,OR(5&lt;&gt;'計算A'!$A$3,'計算A'!$A$4=0))),0,IF(5=$K46,200000,ABS(5-$K46)*100)),100000+ABS(3-$J46)*1000+50)+'計算A'!BD$5*50+IF(AND($E46=1,KQ46=0),25,0),INDEX('計算A'!BD$110:BD$114,$F46+1)+IF(AND($E46=1,KQ46=0),1000,0)+IF($H46=1,(IF('計算A'!BC$117=1,INDEX('計算A'!BC$10:BC$54,$B46),0)+IF('計算A'!BD$117=1,INDEX('計算A'!BE$10:BE$54,$B46),0))*500,0)-IF(AND('計算A'!BC$117=1,WA46&gt;0),300,0)-IF(AND($L46=1,'計算A'!BD$117=1,FC46=0),300,0))),1000000))</f>
        <v/>
      </c>
      <c r="QG46">
        <f>IF($B46=0,1000000,IF(INDEX('計算A'!$D$60:$EQ$104,$B46,54)*FC46=1,IF(AND($E46=2,KR46=0),1000000,IF($I46&gt;0,IF(3=$J46,IF(OR(AND(54=$I46+1,OR($K46&lt;&gt;'計算A'!$A$3,'計算A'!$A$4=0)),AND(54=$I46-1,OR(6&lt;&gt;'計算A'!$A$3,'計算A'!$A$4=0))),0,IF(6=$K46,200000,ABS(6-$K46)*100)),100000+ABS(3-$J46)*1000+60)+'計算A'!BE$5*50+IF(AND($E46=1,KR46=0),25,0),INDEX('計算A'!BE$110:BE$114,$F46+1)+IF(AND($E46=1,KR46=0),1000,0)+IF($H46=1,(IF('計算A'!BD$117=1,INDEX('計算A'!BD$10:BD$54,$B46),0)+IF('計算A'!BE$117=1,INDEX('計算A'!BF$10:BF$54,$B46),0))*500,0)-IF(AND('計算A'!BD$117=1,WB46&gt;0),300,0)-IF(AND($L46=1,'計算A'!BE$117=1,FD46=0),300,0))),1000000))</f>
        <v/>
      </c>
      <c r="QH46">
        <f>IF($B46=0,1000000,IF(INDEX('計算A'!$D$60:$EQ$104,$B46,55)*FD46=1,IF(AND($E46=2,KS46=0),1000000,IF($I46&gt;0,IF(3=$J46,IF(OR(AND(55=$I46+1,OR($K46&lt;&gt;'計算A'!$A$3,'計算A'!$A$4=0)),AND(55=$I46-1,OR(7&lt;&gt;'計算A'!$A$3,'計算A'!$A$4=0))),0,IF(7=$K46,200000,ABS(7-$K46)*100)),100000+ABS(3-$J46)*1000+70)+'計算A'!BF$5*50+IF(AND($E46=1,KS46=0),25,0),INDEX('計算A'!BF$110:BF$114,$F46+1)+IF(AND($E46=1,KS46=0),1000,0)+IF($H46=1,(IF('計算A'!BE$117=1,INDEX('計算A'!BE$10:BE$54,$B46),0)+IF('計算A'!BF$117=1,INDEX('計算A'!BG$10:BG$54,$B46),0))*500,0)-IF(AND('計算A'!BE$117=1,WC46&gt;0),300,0)-IF(AND($L46=1,'計算A'!BF$117=1,FE46=0),300,0))),1000000))</f>
        <v/>
      </c>
      <c r="QI46">
        <f>IF($B46=0,1000000,IF(INDEX('計算A'!$D$60:$EQ$104,$B46,56)*FE46=1,IF(AND($E46=2,KT46=0),1000000,IF($I46&gt;0,IF(3=$J46,IF(OR(AND(56=$I46+1,OR($K46&lt;&gt;'計算A'!$A$3,'計算A'!$A$4=0)),AND(56=$I46-1,OR(8&lt;&gt;'計算A'!$A$3,'計算A'!$A$4=0))),0,IF(8=$K46,200000,ABS(8-$K46)*100)),100000+ABS(3-$J46)*1000+80)+'計算A'!BG$5*50+IF(AND($E46=1,KT46=0),25,0),INDEX('計算A'!BG$110:BG$114,$F46+1)+IF(AND($E46=1,KT46=0),1000,0)+IF($H46=1,(IF('計算A'!BF$117=1,INDEX('計算A'!BF$10:BF$54,$B46),0)+IF('計算A'!BG$117=1,INDEX('計算A'!BH$10:BH$54,$B46),0))*500,0)-IF(AND('計算A'!BF$117=1,WD46&gt;0),300,0)-IF(AND($L46=1,'計算A'!BG$117=1,FF46=0),300,0))),1000000))</f>
        <v/>
      </c>
      <c r="QJ46">
        <f>IF($B46=0,1000000,IF(INDEX('計算A'!$D$60:$EQ$104,$B46,57)*FF46=1,IF(AND($E46=2,KU46=0),1000000,IF($I46&gt;0,IF(3=$J46,IF(OR(AND(57=$I46+1,OR($K46&lt;&gt;'計算A'!$A$3,'計算A'!$A$4=0)),AND(57=$I46-1,OR(9&lt;&gt;'計算A'!$A$3,'計算A'!$A$4=0))),0,IF(9=$K46,200000,ABS(9-$K46)*100)),100000+ABS(3-$J46)*1000+90)+'計算A'!BH$5*50+IF(AND($E46=1,KU46=0),25,0),INDEX('計算A'!BH$110:BH$114,$F46+1)+IF(AND($E46=1,KU46=0),1000,0)+IF($H46=1,(IF('計算A'!BG$117=1,INDEX('計算A'!BG$10:BG$54,$B46),0)+IF('計算A'!BH$117=1,INDEX('計算A'!BI$10:BI$54,$B46),0))*500,0)-IF(AND('計算A'!BG$117=1,WE46&gt;0),300,0)-IF(AND($L46=1,'計算A'!BH$117=1,FG46=0),300,0))),1000000))</f>
        <v/>
      </c>
      <c r="QK46">
        <f>IF($B46=0,1000000,IF(INDEX('計算A'!$D$60:$EQ$104,$B46,58)*FG46=1,IF(AND($E46=2,KV46=0),1000000,IF($I46&gt;0,IF(3=$J46,IF(OR(AND(58=$I46+1,OR($K46&lt;&gt;'計算A'!$A$3,'計算A'!$A$4=0)),AND(58=$I46-1,OR(10&lt;&gt;'計算A'!$A$3,'計算A'!$A$4=0))),0,IF(10=$K46,200000,ABS(10-$K46)*100)),100000+ABS(3-$J46)*1000+100)+'計算A'!BI$5*50+IF(AND($E46=1,KV46=0),25,0),INDEX('計算A'!BI$110:BI$114,$F46+1)+IF(AND($E46=1,KV46=0),1000,0)+IF($H46=1,(IF('計算A'!BH$117=1,INDEX('計算A'!BH$10:BH$54,$B46),0)+IF('計算A'!BI$117=1,INDEX('計算A'!BJ$10:BJ$54,$B46),0))*500,0)-IF(AND('計算A'!BH$117=1,WF46&gt;0),300,0)-IF(AND($L46=1,'計算A'!BI$117=1,FH46=0),300,0))),1000000))</f>
        <v/>
      </c>
      <c r="QL46">
        <f>IF($B46=0,1000000,IF(INDEX('計算A'!$D$60:$EQ$104,$B46,59)*FH46=1,IF(AND($E46=2,KW46=0),1000000,IF($I46&gt;0,IF(3=$J46,IF(OR(AND(59=$I46+1,OR($K46&lt;&gt;'計算A'!$A$3,'計算A'!$A$4=0)),AND(59=$I46-1,OR(11&lt;&gt;'計算A'!$A$3,'計算A'!$A$4=0))),0,IF(11=$K46,200000,ABS(11-$K46)*100)),100000+ABS(3-$J46)*1000+110)+'計算A'!BJ$5*50+IF(AND($E46=1,KW46=0),25,0),INDEX('計算A'!BJ$110:BJ$114,$F46+1)+IF(AND($E46=1,KW46=0),1000,0)+IF($H46=1,(IF('計算A'!BI$117=1,INDEX('計算A'!BI$10:BI$54,$B46),0)+IF('計算A'!BJ$117=1,INDEX('計算A'!BK$10:BK$54,$B46),0))*500,0)-IF(AND('計算A'!BI$117=1,WG46&gt;0),300,0)-IF(AND($L46=1,'計算A'!BJ$117=1,FI46=0),300,0))),1000000))</f>
        <v/>
      </c>
      <c r="QM46">
        <f>IF($B46=0,1000000,IF(INDEX('計算A'!$D$60:$EQ$104,$B46,60)*FI46=1,IF(AND($E46=2,KX46=0),1000000,IF($I46&gt;0,IF(3=$J46,IF(OR(AND(60=$I46+1,OR($K46&lt;&gt;'計算A'!$A$3,'計算A'!$A$4=0)),AND(60=$I46-1,OR(12&lt;&gt;'計算A'!$A$3,'計算A'!$A$4=0))),0,IF(12=$K46,200000,ABS(12-$K46)*100)),100000+ABS(3-$J46)*1000+120)+'計算A'!BK$5*50+IF(AND($E46=1,KX46=0),25,0),INDEX('計算A'!BK$110:BK$114,$F46+1)+IF(AND($E46=1,KX46=0),1000,0)+IF($H46=1,(IF('計算A'!BJ$117=1,INDEX('計算A'!BJ$10:BJ$54,$B46),0)+IF('計算A'!BK$117=1,INDEX('計算A'!BL$10:BL$54,$B46),0))*500,0)-IF(AND('計算A'!BJ$117=1,WH46&gt;0),300,0)-IF(AND($L46=1,'計算A'!BK$117=1,FJ46=0),300,0))),1000000))</f>
        <v/>
      </c>
      <c r="QN46">
        <f>IF($B46=0,1000000,IF(INDEX('計算A'!$D$60:$EQ$104,$B46,61)*FJ46=1,IF(AND($E46=2,KY46=0),1000000,IF($I46&gt;0,IF(3=$J46,IF(OR(AND(61=$I46+1,OR($K46&lt;&gt;'計算A'!$A$3,'計算A'!$A$4=0)),AND(61=$I46-1,OR(13&lt;&gt;'計算A'!$A$3,'計算A'!$A$4=0))),0,IF(13=$K46,200000,ABS(13-$K46)*100)),100000+ABS(3-$J46)*1000+130)+'計算A'!BL$5*50+IF(AND($E46=1,KY46=0),25,0),INDEX('計算A'!BL$110:BL$114,$F46+1)+IF(AND($E46=1,KY46=0),1000,0)+IF($H46=1,(IF('計算A'!BK$117=1,INDEX('計算A'!BK$10:BK$54,$B46),0)+IF('計算A'!BL$117=1,INDEX('計算A'!BM$10:BM$54,$B46),0))*500,0)-IF(AND('計算A'!BK$117=1,WI46&gt;0),300,0)-IF(AND($L46=1,'計算A'!BL$117=1,FK46=0),300,0))),1000000))</f>
        <v/>
      </c>
      <c r="QO46">
        <f>IF($B46=0,1000000,IF(INDEX('計算A'!$D$60:$EQ$104,$B46,62)*FK46=1,IF(AND($E46=2,KZ46=0),1000000,IF($I46&gt;0,IF(3=$J46,IF(OR(AND(62=$I46+1,OR($K46&lt;&gt;'計算A'!$A$3,'計算A'!$A$4=0)),AND(62=$I46-1,OR(14&lt;&gt;'計算A'!$A$3,'計算A'!$A$4=0))),0,IF(14=$K46,200000,ABS(14-$K46)*100)),100000+ABS(3-$J46)*1000+140)+'計算A'!BM$5*50+IF(AND($E46=1,KZ46=0),25,0),INDEX('計算A'!BM$110:BM$114,$F46+1)+IF(AND($E46=1,KZ46=0),1000,0)+IF($H46=1,(IF('計算A'!BL$117=1,INDEX('計算A'!BL$10:BL$54,$B46),0)+IF('計算A'!BM$117=1,INDEX('計算A'!BN$10:BN$54,$B46),0))*500,0)-IF(AND('計算A'!BL$117=1,WJ46&gt;0),300,0)-IF(AND($L46=1,'計算A'!BM$117=1,FL46=0),300,0))),1000000))</f>
        <v/>
      </c>
      <c r="QP46">
        <f>IF($B46=0,1000000,IF(INDEX('計算A'!$D$60:$EQ$104,$B46,63)*FL46=1,IF(AND($E46=2,LA46=0),1000000,IF($I46&gt;0,IF(3=$J46,IF(OR(AND(63=$I46+1,OR($K46&lt;&gt;'計算A'!$A$3,'計算A'!$A$4=0)),AND(63=$I46-1,OR(15&lt;&gt;'計算A'!$A$3,'計算A'!$A$4=0))),0,IF(15=$K46,200000,ABS(15-$K46)*100)),100000+ABS(3-$J46)*1000+150)+'計算A'!BN$5*50+IF(AND($E46=1,LA46=0),25,0),INDEX('計算A'!BN$110:BN$114,$F46+1)+IF(AND($E46=1,LA46=0),1000,0)+IF($H46=1,(IF('計算A'!BM$117=1,INDEX('計算A'!BM$10:BM$54,$B46),0)+IF('計算A'!BN$117=1,INDEX('計算A'!BO$10:BO$54,$B46),0))*500,0)-IF(AND('計算A'!BM$117=1,WK46&gt;0),300,0)-IF(AND($L46=1,'計算A'!BN$117=1,FM46=0),300,0))),1000000))</f>
        <v/>
      </c>
      <c r="QQ46">
        <f>IF($B46=0,1000000,IF(INDEX('計算A'!$D$60:$EQ$104,$B46,64)*FM46=1,IF(AND($E46=2,LB46=0),1000000,IF($I46&gt;0,IF(3=$J46,IF(OR(AND(64=$I46+1,OR($K46&lt;&gt;'計算A'!$A$3,'計算A'!$A$4=0)),AND(64=$I46-1,OR(16&lt;&gt;'計算A'!$A$3,'計算A'!$A$4=0))),0,IF(16=$K46,200000,ABS(16-$K46)*100)),100000+ABS(3-$J46)*1000+160)+'計算A'!BO$5*50+IF(AND($E46=1,LB46=0),25,0),INDEX('計算A'!BO$110:BO$114,$F46+1)+IF(AND($E46=1,LB46=0),1000,0)+IF($H46=1,(IF('計算A'!BN$117=1,INDEX('計算A'!BN$10:BN$54,$B46),0)+IF('計算A'!BO$117=1,INDEX('計算A'!BP$10:BP$54,$B46),0))*500,0)-IF(AND('計算A'!BN$117=1,WL46&gt;0),300,0)-IF(AND($L46=1,'計算A'!BO$117=1,FN46=0),300,0))),1000000))</f>
        <v/>
      </c>
      <c r="QR46">
        <f>IF($B46=0,1000000,IF(INDEX('計算A'!$D$60:$EQ$104,$B46,65)*FN46=1,IF(AND($E46=2,LC46=0),1000000,IF($I46&gt;0,IF(3=$J46,IF(OR(AND(65=$I46+1,OR($K46&lt;&gt;'計算A'!$A$3,'計算A'!$A$4=0)),AND(65=$I46-1,OR(17&lt;&gt;'計算A'!$A$3,'計算A'!$A$4=0))),0,IF(17=$K46,200000,ABS(17-$K46)*100)),100000+ABS(3-$J46)*1000+170)+'計算A'!BP$5*50+IF(AND($E46=1,LC46=0),25,0),INDEX('計算A'!BP$110:BP$114,$F46+1)+IF(AND($E46=1,LC46=0),1000,0)+IF($H46=1,(IF('計算A'!BO$117=1,INDEX('計算A'!BO$10:BO$54,$B46),0)+IF('計算A'!BP$117=1,INDEX('計算A'!BQ$10:BQ$54,$B46),0))*500,0)-IF(AND('計算A'!BO$117=1,WM46&gt;0),300,0)-IF(AND($L46=1,'計算A'!BP$117=1,FO46=0),300,0))),1000000))</f>
        <v/>
      </c>
      <c r="QS46">
        <f>IF($B46=0,1000000,IF(INDEX('計算A'!$D$60:$EQ$104,$B46,66)*FO46=1,IF(AND($E46=2,LD46=0),1000000,IF($I46&gt;0,IF(3=$J46,IF(OR(AND(66=$I46+1,OR($K46&lt;&gt;'計算A'!$A$3,'計算A'!$A$4=0)),AND(66=$I46-1,OR(18&lt;&gt;'計算A'!$A$3,'計算A'!$A$4=0))),0,IF(18=$K46,200000,ABS(18-$K46)*100)),100000+ABS(3-$J46)*1000+180)+'計算A'!BQ$5*50+IF(AND($E46=1,LD46=0),25,0),INDEX('計算A'!BQ$110:BQ$114,$F46+1)+IF(AND($E46=1,LD46=0),1000,0)+IF($H46=1,(IF('計算A'!BP$117=1,INDEX('計算A'!BP$10:BP$54,$B46),0)+IF('計算A'!BQ$117=1,INDEX('計算A'!BR$10:BR$54,$B46),0))*500,0)-IF(AND('計算A'!BP$117=1,WN46&gt;0),300,0)-IF(AND($L46=1,'計算A'!BQ$117=1,FP46=0),300,0))),1000000))</f>
        <v/>
      </c>
      <c r="QT46">
        <f>IF($B46=0,1000000,IF(INDEX('計算A'!$D$60:$EQ$104,$B46,67)*FP46=1,IF(AND($E46=2,LE46=0),1000000,IF($I46&gt;0,IF(3=$J46,IF(OR(AND(67=$I46+1,OR($K46&lt;&gt;'計算A'!$A$3,'計算A'!$A$4=0)),AND(67=$I46-1,OR(19&lt;&gt;'計算A'!$A$3,'計算A'!$A$4=0))),0,IF(19=$K46,200000,ABS(19-$K46)*100)),100000+ABS(3-$J46)*1000+190)+'計算A'!BR$5*50+IF(AND($E46=1,LE46=0),25,0),INDEX('計算A'!BR$110:BR$114,$F46+1)+IF(AND($E46=1,LE46=0),1000,0)+IF($H46=1,(IF('計算A'!BQ$117=1,INDEX('計算A'!BQ$10:BQ$54,$B46),0)+IF('計算A'!BR$117=1,INDEX('計算A'!BS$10:BS$54,$B46),0))*500,0)-IF(AND('計算A'!BQ$117=1,WO46&gt;0),300,0)-IF(AND($L46=1,'計算A'!BR$117=1,FQ46=0),300,0))),1000000))</f>
        <v/>
      </c>
      <c r="QU46">
        <f>IF($B46=0,1000000,IF(INDEX('計算A'!$D$60:$EQ$104,$B46,68)*FQ46=1,IF(AND($E46=2,LF46=0),1000000,IF($I46&gt;0,IF(3=$J46,IF(OR(AND(68=$I46+1,OR($K46&lt;&gt;'計算A'!$A$3,'計算A'!$A$4=0)),AND(68=$I46-1,OR(20&lt;&gt;'計算A'!$A$3,'計算A'!$A$4=0))),0,IF(20=$K46,200000,ABS(20-$K46)*100)),100000+ABS(3-$J46)*1000+200)+'計算A'!BS$5*50+IF(AND($E46=1,LF46=0),25,0),INDEX('計算A'!BS$110:BS$114,$F46+1)+IF(AND($E46=1,LF46=0),1000,0)+IF($H46=1,(IF('計算A'!BR$117=1,INDEX('計算A'!BR$10:BR$54,$B46),0)+IF('計算A'!BS$117=1,INDEX('計算A'!BT$10:BT$54,$B46),0))*500,0)-IF(AND('計算A'!BR$117=1,WP46&gt;0),300,0)-IF(AND($L46=1,'計算A'!BS$117=1,FR46=0),300,0))),1000000))</f>
        <v/>
      </c>
      <c r="QV46">
        <f>IF($B46=0,1000000,IF(INDEX('計算A'!$D$60:$EQ$104,$B46,69)*FR46=1,IF(AND($E46=2,LG46=0),1000000,IF($I46&gt;0,IF(3=$J46,IF(OR(AND(69=$I46+1,OR($K46&lt;&gt;'計算A'!$A$3,'計算A'!$A$4=0)),AND(69=$I46-1,OR(21&lt;&gt;'計算A'!$A$3,'計算A'!$A$4=0))),0,IF(21=$K46,200000,ABS(21-$K46)*100)),100000+ABS(3-$J46)*1000+210)+'計算A'!BT$5*50+IF(AND($E46=1,LG46=0),25,0),INDEX('計算A'!BT$110:BT$114,$F46+1)+IF(AND($E46=1,LG46=0),1000,0)+IF($H46=1,(IF('計算A'!BS$117=1,INDEX('計算A'!BS$10:BS$54,$B46),0)+IF('計算A'!BT$117=1,INDEX('計算A'!BU$10:BU$54,$B46),0))*500,0)-IF(AND('計算A'!BS$117=1,WQ46&gt;0),300,0)-IF(AND($L46=1,'計算A'!BT$117=1,FS46=0),300,0))),1000000))</f>
        <v/>
      </c>
      <c r="QW46">
        <f>IF($B46=0,1000000,IF(INDEX('計算A'!$D$60:$EQ$104,$B46,70)*FS46=1,IF(AND($E46=2,LH46=0),1000000,IF($I46&gt;0,IF(3=$J46,IF(OR(AND(70=$I46+1,OR($K46&lt;&gt;'計算A'!$A$3,'計算A'!$A$4=0)),AND(70=$I46-1,OR(22&lt;&gt;'計算A'!$A$3,'計算A'!$A$4=0))),0,IF(22=$K46,200000,ABS(22-$K46)*100)),100000+ABS(3-$J46)*1000+220)+'計算A'!BU$5*50+IF(AND($E46=1,LH46=0),25,0),INDEX('計算A'!BU$110:BU$114,$F46+1)+IF(AND($E46=1,LH46=0),1000,0)+IF($H46=1,(IF('計算A'!BT$117=1,INDEX('計算A'!BT$10:BT$54,$B46),0)+IF('計算A'!BU$117=1,INDEX('計算A'!BV$10:BV$54,$B46),0))*500,0)-IF(AND('計算A'!BT$117=1,WR46&gt;0),300,0)-IF(AND($L46=1,'計算A'!BU$117=1,FT46=0),300,0))),1000000))</f>
        <v/>
      </c>
      <c r="QX46">
        <f>IF($B46=0,1000000,IF(INDEX('計算A'!$D$60:$EQ$104,$B46,71)*FT46=1,IF(AND($E46=2,LI46=0),1000000,IF($I46&gt;0,IF(3=$J46,IF(OR(AND(71=$I46+1,OR($K46&lt;&gt;'計算A'!$A$3,'計算A'!$A$4=0)),AND(71=$I46-1,OR(23&lt;&gt;'計算A'!$A$3,'計算A'!$A$4=0))),0,IF(23=$K46,200000,ABS(23-$K46)*100)),100000+ABS(3-$J46)*1000+230)+'計算A'!BV$5*50+IF(AND($E46=1,LI46=0),25,0),INDEX('計算A'!BV$110:BV$114,$F46+1)+IF(AND($E46=1,LI46=0),1000,0)+IF($H46=1,(IF('計算A'!BU$117=1,INDEX('計算A'!BU$10:BU$54,$B46),0)+IF('計算A'!BV$117=1,INDEX('計算A'!BW$10:BW$54,$B46),0))*500,0)-IF(AND('計算A'!BU$117=1,WS46&gt;0),300,0)-IF(AND($L46=1,'計算A'!BV$117=1,FU46=0),300,0))),1000000))</f>
        <v/>
      </c>
      <c r="QY46">
        <f>IF($B46=0,1000000,IF(INDEX('計算A'!$D$60:$EQ$104,$B46,72)*FU46=1,IF(AND($E46=2,LJ46=0),1000000,IF($I46&gt;0,IF(3=$J46,IF(OR(AND(72=$I46+1,OR($K46&lt;&gt;'計算A'!$A$3,'計算A'!$A$4=0)),AND(72=$I46-1,OR(24&lt;&gt;'計算A'!$A$3,'計算A'!$A$4=0))),0,IF(24=$K46,200000,ABS(24-$K46)*100)),100000+ABS(3-$J46)*1000+240)+'計算A'!BW$5*50+IF(AND($E46=1,LJ46=0),25,0),INDEX('計算A'!BW$110:BW$114,$F46+1)+IF(AND($E46=1,LJ46=0),1000,0)+IF($H46=1,(IF('計算A'!BV$117=1,INDEX('計算A'!BV$10:BV$54,$B46),0))*500,0)-IF(AND('計算A'!BV$117=1,WT46&gt;0),300,0))),1000000))</f>
        <v/>
      </c>
      <c r="QZ46">
        <f>IF($B46=0,1000000,IF(INDEX('計算A'!$D$60:$EQ$104,$B46,73)*FV46=1,IF(AND($E46=2,LK46=0),1000000,IF($I46&gt;0,IF(4=$J46,IF(OR(AND(73=$I46+1,OR($K46&lt;&gt;'計算A'!$A$3,'計算A'!$A$4=0)),AND(73=$I46-1,OR(1&lt;&gt;'計算A'!$A$3,'計算A'!$A$4=0))),0,IF(1=$K46,200000,ABS(1-$K46)*100)),100000+ABS(4-$J46)*1000+10)+'計算A'!BX$5*50+IF(AND($E46=1,LK46=0),25,0),INDEX('計算A'!BX$110:BX$114,$F46+1)+IF(AND($E46=1,LK46=0),1000,0)+IF($H46=1,(IF('計算A'!BX$117=1,INDEX('計算A'!BY$10:BY$54,$B46),0))*500,0)-IF(AND($L46=1,'計算A'!BX$117=1,FW46=0),300,0))),1000000))</f>
        <v/>
      </c>
      <c r="RA46">
        <f>IF($B46=0,1000000,IF(INDEX('計算A'!$D$60:$EQ$104,$B46,74)*FW46=1,IF(AND($E46=2,LL46=0),1000000,IF($I46&gt;0,IF(4=$J46,IF(OR(AND(74=$I46+1,OR($K46&lt;&gt;'計算A'!$A$3,'計算A'!$A$4=0)),AND(74=$I46-1,OR(2&lt;&gt;'計算A'!$A$3,'計算A'!$A$4=0))),0,IF(2=$K46,200000,ABS(2-$K46)*100)),100000+ABS(4-$J46)*1000+20)+'計算A'!BY$5*50+IF(AND($E46=1,LL46=0),25,0),INDEX('計算A'!BY$110:BY$114,$F46+1)+IF(AND($E46=1,LL46=0),1000,0)+IF($H46=1,(IF('計算A'!BX$117=1,INDEX('計算A'!BX$10:BX$54,$B46),0)+IF('計算A'!BY$117=1,INDEX('計算A'!BZ$10:BZ$54,$B46),0))*500,0)-IF(AND('計算A'!BX$117=1,WV46&gt;0),300,0)-IF(AND($L46=1,'計算A'!BY$117=1,FX46=0),300,0))),1000000))</f>
        <v/>
      </c>
      <c r="RB46">
        <f>IF($B46=0,1000000,IF(INDEX('計算A'!$D$60:$EQ$104,$B46,75)*FX46=1,IF(AND($E46=2,LM46=0),1000000,IF($I46&gt;0,IF(4=$J46,IF(OR(AND(75=$I46+1,OR($K46&lt;&gt;'計算A'!$A$3,'計算A'!$A$4=0)),AND(75=$I46-1,OR(3&lt;&gt;'計算A'!$A$3,'計算A'!$A$4=0))),0,IF(3=$K46,200000,ABS(3-$K46)*100)),100000+ABS(4-$J46)*1000+30)+'計算A'!BZ$5*50+IF(AND($E46=1,LM46=0),25,0),INDEX('計算A'!BZ$110:BZ$114,$F46+1)+IF(AND($E46=1,LM46=0),1000,0)+IF($H46=1,(IF('計算A'!BY$117=1,INDEX('計算A'!BY$10:BY$54,$B46),0)+IF('計算A'!BZ$117=1,INDEX('計算A'!CA$10:CA$54,$B46),0))*500,0)-IF(AND('計算A'!BY$117=1,WW46&gt;0),300,0)-IF(AND($L46=1,'計算A'!BZ$117=1,FY46=0),300,0))),1000000))</f>
        <v/>
      </c>
      <c r="RC46">
        <f>IF($B46=0,1000000,IF(INDEX('計算A'!$D$60:$EQ$104,$B46,76)*FY46=1,IF(AND($E46=2,LN46=0),1000000,IF($I46&gt;0,IF(4=$J46,IF(OR(AND(76=$I46+1,OR($K46&lt;&gt;'計算A'!$A$3,'計算A'!$A$4=0)),AND(76=$I46-1,OR(4&lt;&gt;'計算A'!$A$3,'計算A'!$A$4=0))),0,IF(4=$K46,200000,ABS(4-$K46)*100)),100000+ABS(4-$J46)*1000+40)+'計算A'!CA$5*50+IF(AND($E46=1,LN46=0),25,0),INDEX('計算A'!CA$110:CA$114,$F46+1)+IF(AND($E46=1,LN46=0),1000,0)+IF($H46=1,(IF('計算A'!BZ$117=1,INDEX('計算A'!BZ$10:BZ$54,$B46),0)+IF('計算A'!CA$117=1,INDEX('計算A'!CB$10:CB$54,$B46),0))*500,0)-IF(AND('計算A'!BZ$117=1,WX46&gt;0),300,0)-IF(AND($L46=1,'計算A'!CA$117=1,FZ46=0),300,0))),1000000))</f>
        <v/>
      </c>
      <c r="RD46">
        <f>IF($B46=0,1000000,IF(INDEX('計算A'!$D$60:$EQ$104,$B46,77)*FZ46=1,IF(AND($E46=2,LO46=0),1000000,IF($I46&gt;0,IF(4=$J46,IF(OR(AND(77=$I46+1,OR($K46&lt;&gt;'計算A'!$A$3,'計算A'!$A$4=0)),AND(77=$I46-1,OR(5&lt;&gt;'計算A'!$A$3,'計算A'!$A$4=0))),0,IF(5=$K46,200000,ABS(5-$K46)*100)),100000+ABS(4-$J46)*1000+50)+'計算A'!CB$5*50+IF(AND($E46=1,LO46=0),25,0),INDEX('計算A'!CB$110:CB$114,$F46+1)+IF(AND($E46=1,LO46=0),1000,0)+IF($H46=1,(IF('計算A'!CA$117=1,INDEX('計算A'!CA$10:CA$54,$B46),0)+IF('計算A'!CB$117=1,INDEX('計算A'!CC$10:CC$54,$B46),0))*500,0)-IF(AND('計算A'!CA$117=1,WY46&gt;0),300,0)-IF(AND($L46=1,'計算A'!CB$117=1,GA46=0),300,0))),1000000))</f>
        <v/>
      </c>
      <c r="RE46">
        <f>IF($B46=0,1000000,IF(INDEX('計算A'!$D$60:$EQ$104,$B46,78)*GA46=1,IF(AND($E46=2,LP46=0),1000000,IF($I46&gt;0,IF(4=$J46,IF(OR(AND(78=$I46+1,OR($K46&lt;&gt;'計算A'!$A$3,'計算A'!$A$4=0)),AND(78=$I46-1,OR(6&lt;&gt;'計算A'!$A$3,'計算A'!$A$4=0))),0,IF(6=$K46,200000,ABS(6-$K46)*100)),100000+ABS(4-$J46)*1000+60)+'計算A'!CC$5*50+IF(AND($E46=1,LP46=0),25,0),INDEX('計算A'!CC$110:CC$114,$F46+1)+IF(AND($E46=1,LP46=0),1000,0)+IF($H46=1,(IF('計算A'!CB$117=1,INDEX('計算A'!CB$10:CB$54,$B46),0)+IF('計算A'!CC$117=1,INDEX('計算A'!CD$10:CD$54,$B46),0))*500,0)-IF(AND('計算A'!CB$117=1,WZ46&gt;0),300,0)-IF(AND($L46=1,'計算A'!CC$117=1,GB46=0),300,0))),1000000))</f>
        <v/>
      </c>
      <c r="RF46">
        <f>IF($B46=0,1000000,IF(INDEX('計算A'!$D$60:$EQ$104,$B46,79)*GB46=1,IF(AND($E46=2,LQ46=0),1000000,IF($I46&gt;0,IF(4=$J46,IF(OR(AND(79=$I46+1,OR($K46&lt;&gt;'計算A'!$A$3,'計算A'!$A$4=0)),AND(79=$I46-1,OR(7&lt;&gt;'計算A'!$A$3,'計算A'!$A$4=0))),0,IF(7=$K46,200000,ABS(7-$K46)*100)),100000+ABS(4-$J46)*1000+70)+'計算A'!CD$5*50+IF(AND($E46=1,LQ46=0),25,0),INDEX('計算A'!CD$110:CD$114,$F46+1)+IF(AND($E46=1,LQ46=0),1000,0)+IF($H46=1,(IF('計算A'!CC$117=1,INDEX('計算A'!CC$10:CC$54,$B46),0)+IF('計算A'!CD$117=1,INDEX('計算A'!CE$10:CE$54,$B46),0))*500,0)-IF(AND('計算A'!CC$117=1,XA46&gt;0),300,0)-IF(AND($L46=1,'計算A'!CD$117=1,GC46=0),300,0))),1000000))</f>
        <v/>
      </c>
      <c r="RG46">
        <f>IF($B46=0,1000000,IF(INDEX('計算A'!$D$60:$EQ$104,$B46,80)*GC46=1,IF(AND($E46=2,LR46=0),1000000,IF($I46&gt;0,IF(4=$J46,IF(OR(AND(80=$I46+1,OR($K46&lt;&gt;'計算A'!$A$3,'計算A'!$A$4=0)),AND(80=$I46-1,OR(8&lt;&gt;'計算A'!$A$3,'計算A'!$A$4=0))),0,IF(8=$K46,200000,ABS(8-$K46)*100)),100000+ABS(4-$J46)*1000+80)+'計算A'!CE$5*50+IF(AND($E46=1,LR46=0),25,0),INDEX('計算A'!CE$110:CE$114,$F46+1)+IF(AND($E46=1,LR46=0),1000,0)+IF($H46=1,(IF('計算A'!CD$117=1,INDEX('計算A'!CD$10:CD$54,$B46),0)+IF('計算A'!CE$117=1,INDEX('計算A'!CF$10:CF$54,$B46),0))*500,0)-IF(AND('計算A'!CD$117=1,XB46&gt;0),300,0)-IF(AND($L46=1,'計算A'!CE$117=1,GD46=0),300,0))),1000000))</f>
        <v/>
      </c>
      <c r="RH46">
        <f>IF($B46=0,1000000,IF(INDEX('計算A'!$D$60:$EQ$104,$B46,81)*GD46=1,IF(AND($E46=2,LS46=0),1000000,IF($I46&gt;0,IF(4=$J46,IF(OR(AND(81=$I46+1,OR($K46&lt;&gt;'計算A'!$A$3,'計算A'!$A$4=0)),AND(81=$I46-1,OR(9&lt;&gt;'計算A'!$A$3,'計算A'!$A$4=0))),0,IF(9=$K46,200000,ABS(9-$K46)*100)),100000+ABS(4-$J46)*1000+90)+'計算A'!CF$5*50+IF(AND($E46=1,LS46=0),25,0),INDEX('計算A'!CF$110:CF$114,$F46+1)+IF(AND($E46=1,LS46=0),1000,0)+IF($H46=1,(IF('計算A'!CE$117=1,INDEX('計算A'!CE$10:CE$54,$B46),0)+IF('計算A'!CF$117=1,INDEX('計算A'!CG$10:CG$54,$B46),0))*500,0)-IF(AND('計算A'!CE$117=1,XC46&gt;0),300,0)-IF(AND($L46=1,'計算A'!CF$117=1,GE46=0),300,0))),1000000))</f>
        <v/>
      </c>
      <c r="RI46">
        <f>IF($B46=0,1000000,IF(INDEX('計算A'!$D$60:$EQ$104,$B46,82)*GE46=1,IF(AND($E46=2,LT46=0),1000000,IF($I46&gt;0,IF(4=$J46,IF(OR(AND(82=$I46+1,OR($K46&lt;&gt;'計算A'!$A$3,'計算A'!$A$4=0)),AND(82=$I46-1,OR(10&lt;&gt;'計算A'!$A$3,'計算A'!$A$4=0))),0,IF(10=$K46,200000,ABS(10-$K46)*100)),100000+ABS(4-$J46)*1000+100)+'計算A'!CG$5*50+IF(AND($E46=1,LT46=0),25,0),INDEX('計算A'!CG$110:CG$114,$F46+1)+IF(AND($E46=1,LT46=0),1000,0)+IF($H46=1,(IF('計算A'!CF$117=1,INDEX('計算A'!CF$10:CF$54,$B46),0)+IF('計算A'!CG$117=1,INDEX('計算A'!CH$10:CH$54,$B46),0))*500,0)-IF(AND('計算A'!CF$117=1,XD46&gt;0),300,0)-IF(AND($L46=1,'計算A'!CG$117=1,GF46=0),300,0))),1000000))</f>
        <v/>
      </c>
      <c r="RJ46">
        <f>IF($B46=0,1000000,IF(INDEX('計算A'!$D$60:$EQ$104,$B46,83)*GF46=1,IF(AND($E46=2,LU46=0),1000000,IF($I46&gt;0,IF(4=$J46,IF(OR(AND(83=$I46+1,OR($K46&lt;&gt;'計算A'!$A$3,'計算A'!$A$4=0)),AND(83=$I46-1,OR(11&lt;&gt;'計算A'!$A$3,'計算A'!$A$4=0))),0,IF(11=$K46,200000,ABS(11-$K46)*100)),100000+ABS(4-$J46)*1000+110)+'計算A'!CH$5*50+IF(AND($E46=1,LU46=0),25,0),INDEX('計算A'!CH$110:CH$114,$F46+1)+IF(AND($E46=1,LU46=0),1000,0)+IF($H46=1,(IF('計算A'!CG$117=1,INDEX('計算A'!CG$10:CG$54,$B46),0)+IF('計算A'!CH$117=1,INDEX('計算A'!CI$10:CI$54,$B46),0))*500,0)-IF(AND('計算A'!CG$117=1,XE46&gt;0),300,0)-IF(AND($L46=1,'計算A'!CH$117=1,GG46=0),300,0))),1000000))</f>
        <v/>
      </c>
      <c r="RK46">
        <f>IF($B46=0,1000000,IF(INDEX('計算A'!$D$60:$EQ$104,$B46,84)*GG46=1,IF(AND($E46=2,LV46=0),1000000,IF($I46&gt;0,IF(4=$J46,IF(OR(AND(84=$I46+1,OR($K46&lt;&gt;'計算A'!$A$3,'計算A'!$A$4=0)),AND(84=$I46-1,OR(12&lt;&gt;'計算A'!$A$3,'計算A'!$A$4=0))),0,IF(12=$K46,200000,ABS(12-$K46)*100)),100000+ABS(4-$J46)*1000+120)+'計算A'!CI$5*50+IF(AND($E46=1,LV46=0),25,0),INDEX('計算A'!CI$110:CI$114,$F46+1)+IF(AND($E46=1,LV46=0),1000,0)+IF($H46=1,(IF('計算A'!CH$117=1,INDEX('計算A'!CH$10:CH$54,$B46),0)+IF('計算A'!CI$117=1,INDEX('計算A'!CJ$10:CJ$54,$B46),0))*500,0)-IF(AND('計算A'!CH$117=1,XF46&gt;0),300,0)-IF(AND($L46=1,'計算A'!CI$117=1,GH46=0),300,0))),1000000))</f>
        <v/>
      </c>
      <c r="RL46">
        <f>IF($B46=0,1000000,IF(INDEX('計算A'!$D$60:$EQ$104,$B46,85)*GH46=1,IF(AND($E46=2,LW46=0),1000000,IF($I46&gt;0,IF(4=$J46,IF(OR(AND(85=$I46+1,OR($K46&lt;&gt;'計算A'!$A$3,'計算A'!$A$4=0)),AND(85=$I46-1,OR(13&lt;&gt;'計算A'!$A$3,'計算A'!$A$4=0))),0,IF(13=$K46,200000,ABS(13-$K46)*100)),100000+ABS(4-$J46)*1000+130)+'計算A'!CJ$5*50+IF(AND($E46=1,LW46=0),25,0),INDEX('計算A'!CJ$110:CJ$114,$F46+1)+IF(AND($E46=1,LW46=0),1000,0)+IF($H46=1,(IF('計算A'!CI$117=1,INDEX('計算A'!CI$10:CI$54,$B46),0)+IF('計算A'!CJ$117=1,INDEX('計算A'!CK$10:CK$54,$B46),0))*500,0)-IF(AND('計算A'!CI$117=1,XG46&gt;0),300,0)-IF(AND($L46=1,'計算A'!CJ$117=1,GI46=0),300,0))),1000000))</f>
        <v/>
      </c>
      <c r="RM46">
        <f>IF($B46=0,1000000,IF(INDEX('計算A'!$D$60:$EQ$104,$B46,86)*GI46=1,IF(AND($E46=2,LX46=0),1000000,IF($I46&gt;0,IF(4=$J46,IF(OR(AND(86=$I46+1,OR($K46&lt;&gt;'計算A'!$A$3,'計算A'!$A$4=0)),AND(86=$I46-1,OR(14&lt;&gt;'計算A'!$A$3,'計算A'!$A$4=0))),0,IF(14=$K46,200000,ABS(14-$K46)*100)),100000+ABS(4-$J46)*1000+140)+'計算A'!CK$5*50+IF(AND($E46=1,LX46=0),25,0),INDEX('計算A'!CK$110:CK$114,$F46+1)+IF(AND($E46=1,LX46=0),1000,0)+IF($H46=1,(IF('計算A'!CJ$117=1,INDEX('計算A'!CJ$10:CJ$54,$B46),0)+IF('計算A'!CK$117=1,INDEX('計算A'!CL$10:CL$54,$B46),0))*500,0)-IF(AND('計算A'!CJ$117=1,XH46&gt;0),300,0)-IF(AND($L46=1,'計算A'!CK$117=1,GJ46=0),300,0))),1000000))</f>
        <v/>
      </c>
      <c r="RN46">
        <f>IF($B46=0,1000000,IF(INDEX('計算A'!$D$60:$EQ$104,$B46,87)*GJ46=1,IF(AND($E46=2,LY46=0),1000000,IF($I46&gt;0,IF(4=$J46,IF(OR(AND(87=$I46+1,OR($K46&lt;&gt;'計算A'!$A$3,'計算A'!$A$4=0)),AND(87=$I46-1,OR(15&lt;&gt;'計算A'!$A$3,'計算A'!$A$4=0))),0,IF(15=$K46,200000,ABS(15-$K46)*100)),100000+ABS(4-$J46)*1000+150)+'計算A'!CL$5*50+IF(AND($E46=1,LY46=0),25,0),INDEX('計算A'!CL$110:CL$114,$F46+1)+IF(AND($E46=1,LY46=0),1000,0)+IF($H46=1,(IF('計算A'!CK$117=1,INDEX('計算A'!CK$10:CK$54,$B46),0)+IF('計算A'!CL$117=1,INDEX('計算A'!CM$10:CM$54,$B46),0))*500,0)-IF(AND('計算A'!CK$117=1,XI46&gt;0),300,0)-IF(AND($L46=1,'計算A'!CL$117=1,GK46=0),300,0))),1000000))</f>
        <v/>
      </c>
      <c r="RO46">
        <f>IF($B46=0,1000000,IF(INDEX('計算A'!$D$60:$EQ$104,$B46,88)*GK46=1,IF(AND($E46=2,LZ46=0),1000000,IF($I46&gt;0,IF(4=$J46,IF(OR(AND(88=$I46+1,OR($K46&lt;&gt;'計算A'!$A$3,'計算A'!$A$4=0)),AND(88=$I46-1,OR(16&lt;&gt;'計算A'!$A$3,'計算A'!$A$4=0))),0,IF(16=$K46,200000,ABS(16-$K46)*100)),100000+ABS(4-$J46)*1000+160)+'計算A'!CM$5*50+IF(AND($E46=1,LZ46=0),25,0),INDEX('計算A'!CM$110:CM$114,$F46+1)+IF(AND($E46=1,LZ46=0),1000,0)+IF($H46=1,(IF('計算A'!CL$117=1,INDEX('計算A'!CL$10:CL$54,$B46),0)+IF('計算A'!CM$117=1,INDEX('計算A'!CN$10:CN$54,$B46),0))*500,0)-IF(AND('計算A'!CL$117=1,XJ46&gt;0),300,0)-IF(AND($L46=1,'計算A'!CM$117=1,GL46=0),300,0))),1000000))</f>
        <v/>
      </c>
      <c r="RP46">
        <f>IF($B46=0,1000000,IF(INDEX('計算A'!$D$60:$EQ$104,$B46,89)*GL46=1,IF(AND($E46=2,MA46=0),1000000,IF($I46&gt;0,IF(4=$J46,IF(OR(AND(89=$I46+1,OR($K46&lt;&gt;'計算A'!$A$3,'計算A'!$A$4=0)),AND(89=$I46-1,OR(17&lt;&gt;'計算A'!$A$3,'計算A'!$A$4=0))),0,IF(17=$K46,200000,ABS(17-$K46)*100)),100000+ABS(4-$J46)*1000+170)+'計算A'!CN$5*50+IF(AND($E46=1,MA46=0),25,0),INDEX('計算A'!CN$110:CN$114,$F46+1)+IF(AND($E46=1,MA46=0),1000,0)+IF($H46=1,(IF('計算A'!CM$117=1,INDEX('計算A'!CM$10:CM$54,$B46),0)+IF('計算A'!CN$117=1,INDEX('計算A'!CO$10:CO$54,$B46),0))*500,0)-IF(AND('計算A'!CM$117=1,XK46&gt;0),300,0)-IF(AND($L46=1,'計算A'!CN$117=1,GM46=0),300,0))),1000000))</f>
        <v/>
      </c>
      <c r="RQ46">
        <f>IF($B46=0,1000000,IF(INDEX('計算A'!$D$60:$EQ$104,$B46,90)*GM46=1,IF(AND($E46=2,MB46=0),1000000,IF($I46&gt;0,IF(4=$J46,IF(OR(AND(90=$I46+1,OR($K46&lt;&gt;'計算A'!$A$3,'計算A'!$A$4=0)),AND(90=$I46-1,OR(18&lt;&gt;'計算A'!$A$3,'計算A'!$A$4=0))),0,IF(18=$K46,200000,ABS(18-$K46)*100)),100000+ABS(4-$J46)*1000+180)+'計算A'!CO$5*50+IF(AND($E46=1,MB46=0),25,0),INDEX('計算A'!CO$110:CO$114,$F46+1)+IF(AND($E46=1,MB46=0),1000,0)+IF($H46=1,(IF('計算A'!CN$117=1,INDEX('計算A'!CN$10:CN$54,$B46),0)+IF('計算A'!CO$117=1,INDEX('計算A'!CP$10:CP$54,$B46),0))*500,0)-IF(AND('計算A'!CN$117=1,XL46&gt;0),300,0)-IF(AND($L46=1,'計算A'!CO$117=1,GN46=0),300,0))),1000000))</f>
        <v/>
      </c>
      <c r="RR46">
        <f>IF($B46=0,1000000,IF(INDEX('計算A'!$D$60:$EQ$104,$B46,91)*GN46=1,IF(AND($E46=2,MC46=0),1000000,IF($I46&gt;0,IF(4=$J46,IF(OR(AND(91=$I46+1,OR($K46&lt;&gt;'計算A'!$A$3,'計算A'!$A$4=0)),AND(91=$I46-1,OR(19&lt;&gt;'計算A'!$A$3,'計算A'!$A$4=0))),0,IF(19=$K46,200000,ABS(19-$K46)*100)),100000+ABS(4-$J46)*1000+190)+'計算A'!CP$5*50+IF(AND($E46=1,MC46=0),25,0),INDEX('計算A'!CP$110:CP$114,$F46+1)+IF(AND($E46=1,MC46=0),1000,0)+IF($H46=1,(IF('計算A'!CO$117=1,INDEX('計算A'!CO$10:CO$54,$B46),0)+IF('計算A'!CP$117=1,INDEX('計算A'!CQ$10:CQ$54,$B46),0))*500,0)-IF(AND('計算A'!CO$117=1,XM46&gt;0),300,0)-IF(AND($L46=1,'計算A'!CP$117=1,GO46=0),300,0))),1000000))</f>
        <v/>
      </c>
      <c r="RS46">
        <f>IF($B46=0,1000000,IF(INDEX('計算A'!$D$60:$EQ$104,$B46,92)*GO46=1,IF(AND($E46=2,MD46=0),1000000,IF($I46&gt;0,IF(4=$J46,IF(OR(AND(92=$I46+1,OR($K46&lt;&gt;'計算A'!$A$3,'計算A'!$A$4=0)),AND(92=$I46-1,OR(20&lt;&gt;'計算A'!$A$3,'計算A'!$A$4=0))),0,IF(20=$K46,200000,ABS(20-$K46)*100)),100000+ABS(4-$J46)*1000+200)+'計算A'!CQ$5*50+IF(AND($E46=1,MD46=0),25,0),INDEX('計算A'!CQ$110:CQ$114,$F46+1)+IF(AND($E46=1,MD46=0),1000,0)+IF($H46=1,(IF('計算A'!CP$117=1,INDEX('計算A'!CP$10:CP$54,$B46),0)+IF('計算A'!CQ$117=1,INDEX('計算A'!CR$10:CR$54,$B46),0))*500,0)-IF(AND('計算A'!CP$117=1,XN46&gt;0),300,0)-IF(AND($L46=1,'計算A'!CQ$117=1,GP46=0),300,0))),1000000))</f>
        <v/>
      </c>
      <c r="RT46">
        <f>IF($B46=0,1000000,IF(INDEX('計算A'!$D$60:$EQ$104,$B46,93)*GP46=1,IF(AND($E46=2,ME46=0),1000000,IF($I46&gt;0,IF(4=$J46,IF(OR(AND(93=$I46+1,OR($K46&lt;&gt;'計算A'!$A$3,'計算A'!$A$4=0)),AND(93=$I46-1,OR(21&lt;&gt;'計算A'!$A$3,'計算A'!$A$4=0))),0,IF(21=$K46,200000,ABS(21-$K46)*100)),100000+ABS(4-$J46)*1000+210)+'計算A'!CR$5*50+IF(AND($E46=1,ME46=0),25,0),INDEX('計算A'!CR$110:CR$114,$F46+1)+IF(AND($E46=1,ME46=0),1000,0)+IF($H46=1,(IF('計算A'!CQ$117=1,INDEX('計算A'!CQ$10:CQ$54,$B46),0)+IF('計算A'!CR$117=1,INDEX('計算A'!CS$10:CS$54,$B46),0))*500,0)-IF(AND('計算A'!CQ$117=1,XO46&gt;0),300,0)-IF(AND($L46=1,'計算A'!CR$117=1,GQ46=0),300,0))),1000000))</f>
        <v/>
      </c>
      <c r="RU46">
        <f>IF($B46=0,1000000,IF(INDEX('計算A'!$D$60:$EQ$104,$B46,94)*GQ46=1,IF(AND($E46=2,MF46=0),1000000,IF($I46&gt;0,IF(4=$J46,IF(OR(AND(94=$I46+1,OR($K46&lt;&gt;'計算A'!$A$3,'計算A'!$A$4=0)),AND(94=$I46-1,OR(22&lt;&gt;'計算A'!$A$3,'計算A'!$A$4=0))),0,IF(22=$K46,200000,ABS(22-$K46)*100)),100000+ABS(4-$J46)*1000+220)+'計算A'!CS$5*50+IF(AND($E46=1,MF46=0),25,0),INDEX('計算A'!CS$110:CS$114,$F46+1)+IF(AND($E46=1,MF46=0),1000,0)+IF($H46=1,(IF('計算A'!CR$117=1,INDEX('計算A'!CR$10:CR$54,$B46),0)+IF('計算A'!CS$117=1,INDEX('計算A'!CT$10:CT$54,$B46),0))*500,0)-IF(AND('計算A'!CR$117=1,XP46&gt;0),300,0)-IF(AND($L46=1,'計算A'!CS$117=1,GR46=0),300,0))),1000000))</f>
        <v/>
      </c>
      <c r="RV46">
        <f>IF($B46=0,1000000,IF(INDEX('計算A'!$D$60:$EQ$104,$B46,95)*GR46=1,IF(AND($E46=2,MG46=0),1000000,IF($I46&gt;0,IF(4=$J46,IF(OR(AND(95=$I46+1,OR($K46&lt;&gt;'計算A'!$A$3,'計算A'!$A$4=0)),AND(95=$I46-1,OR(23&lt;&gt;'計算A'!$A$3,'計算A'!$A$4=0))),0,IF(23=$K46,200000,ABS(23-$K46)*100)),100000+ABS(4-$J46)*1000+230)+'計算A'!CT$5*50+IF(AND($E46=1,MG46=0),25,0),INDEX('計算A'!CT$110:CT$114,$F46+1)+IF(AND($E46=1,MG46=0),1000,0)+IF($H46=1,(IF('計算A'!CS$117=1,INDEX('計算A'!CS$10:CS$54,$B46),0)+IF('計算A'!CT$117=1,INDEX('計算A'!CU$10:CU$54,$B46),0))*500,0)-IF(AND('計算A'!CS$117=1,XQ46&gt;0),300,0)-IF(AND($L46=1,'計算A'!CT$117=1,GS46=0),300,0))),1000000))</f>
        <v/>
      </c>
      <c r="RW46">
        <f>IF($B46=0,1000000,IF(INDEX('計算A'!$D$60:$EQ$104,$B46,96)*GS46=1,IF(AND($E46=2,MH46=0),1000000,IF($I46&gt;0,IF(4=$J46,IF(OR(AND(96=$I46+1,OR($K46&lt;&gt;'計算A'!$A$3,'計算A'!$A$4=0)),AND(96=$I46-1,OR(24&lt;&gt;'計算A'!$A$3,'計算A'!$A$4=0))),0,IF(24=$K46,200000,ABS(24-$K46)*100)),100000+ABS(4-$J46)*1000+240)+'計算A'!CU$5*50+IF(AND($E46=1,MH46=0),25,0),INDEX('計算A'!CU$110:CU$114,$F46+1)+IF(AND($E46=1,MH46=0),1000,0)+IF($H46=1,(IF('計算A'!CT$117=1,INDEX('計算A'!CT$10:CT$54,$B46),0))*500,0)-IF(AND('計算A'!CT$117=1,XR46&gt;0),300,0))),1000000))</f>
        <v/>
      </c>
      <c r="RX46">
        <f>IF($B46=0,1000000,IF(INDEX('計算A'!$D$60:$EQ$104,$B46,97)*GT46=1,IF(AND($E46=2,MI46=0),1000000,IF($I46&gt;0,IF(5=$J46,IF(OR(AND(97=$I46+1,OR($K46&lt;&gt;'計算A'!$A$3,'計算A'!$A$4=0)),AND(97=$I46-1,OR(1&lt;&gt;'計算A'!$A$3,'計算A'!$A$4=0))),0,IF(1=$K46,200000,ABS(1-$K46)*100)),100000+ABS(5-$J46)*1000+10)+'計算A'!CV$5*50+IF(AND($E46=1,MI46=0),25,0),INDEX('計算A'!CV$110:CV$114,$F46+1)+IF(AND($E46=1,MI46=0),1000,0)+IF($H46=1,(IF('計算A'!CV$117=1,INDEX('計算A'!CW$10:CW$54,$B46),0))*500,0)-IF(AND($L46=1,'計算A'!CV$117=1,GU46=0),300,0))),1000000))</f>
        <v/>
      </c>
      <c r="RY46">
        <f>IF($B46=0,1000000,IF(INDEX('計算A'!$D$60:$EQ$104,$B46,98)*GU46=1,IF(AND($E46=2,MJ46=0),1000000,IF($I46&gt;0,IF(5=$J46,IF(OR(AND(98=$I46+1,OR($K46&lt;&gt;'計算A'!$A$3,'計算A'!$A$4=0)),AND(98=$I46-1,OR(2&lt;&gt;'計算A'!$A$3,'計算A'!$A$4=0))),0,IF(2=$K46,200000,ABS(2-$K46)*100)),100000+ABS(5-$J46)*1000+20)+'計算A'!CW$5*50+IF(AND($E46=1,MJ46=0),25,0),INDEX('計算A'!CW$110:CW$114,$F46+1)+IF(AND($E46=1,MJ46=0),1000,0)+IF($H46=1,(IF('計算A'!CV$117=1,INDEX('計算A'!CV$10:CV$54,$B46),0)+IF('計算A'!CW$117=1,INDEX('計算A'!CX$10:CX$54,$B46),0))*500,0)-IF(AND('計算A'!CV$117=1,XT46&gt;0),300,0)-IF(AND($L46=1,'計算A'!CW$117=1,GV46=0),300,0))),1000000))</f>
        <v/>
      </c>
      <c r="RZ46">
        <f>IF($B46=0,1000000,IF(INDEX('計算A'!$D$60:$EQ$104,$B46,99)*GV46=1,IF(AND($E46=2,MK46=0),1000000,IF($I46&gt;0,IF(5=$J46,IF(OR(AND(99=$I46+1,OR($K46&lt;&gt;'計算A'!$A$3,'計算A'!$A$4=0)),AND(99=$I46-1,OR(3&lt;&gt;'計算A'!$A$3,'計算A'!$A$4=0))),0,IF(3=$K46,200000,ABS(3-$K46)*100)),100000+ABS(5-$J46)*1000+30)+'計算A'!CX$5*50+IF(AND($E46=1,MK46=0),25,0),INDEX('計算A'!CX$110:CX$114,$F46+1)+IF(AND($E46=1,MK46=0),1000,0)+IF($H46=1,(IF('計算A'!CW$117=1,INDEX('計算A'!CW$10:CW$54,$B46),0)+IF('計算A'!CX$117=1,INDEX('計算A'!CY$10:CY$54,$B46),0))*500,0)-IF(AND('計算A'!CW$117=1,XU46&gt;0),300,0)-IF(AND($L46=1,'計算A'!CX$117=1,GW46=0),300,0))),1000000))</f>
        <v/>
      </c>
      <c r="SA46">
        <f>IF($B46=0,1000000,IF(INDEX('計算A'!$D$60:$EQ$104,$B46,100)*GW46=1,IF(AND($E46=2,ML46=0),1000000,IF($I46&gt;0,IF(5=$J46,IF(OR(AND(100=$I46+1,OR($K46&lt;&gt;'計算A'!$A$3,'計算A'!$A$4=0)),AND(100=$I46-1,OR(4&lt;&gt;'計算A'!$A$3,'計算A'!$A$4=0))),0,IF(4=$K46,200000,ABS(4-$K46)*100)),100000+ABS(5-$J46)*1000+40)+'計算A'!CY$5*50+IF(AND($E46=1,ML46=0),25,0),INDEX('計算A'!CY$110:CY$114,$F46+1)+IF(AND($E46=1,ML46=0),1000,0)+IF($H46=1,(IF('計算A'!CX$117=1,INDEX('計算A'!CX$10:CX$54,$B46),0)+IF('計算A'!CY$117=1,INDEX('計算A'!CZ$10:CZ$54,$B46),0))*500,0)-IF(AND('計算A'!CX$117=1,XV46&gt;0),300,0)-IF(AND($L46=1,'計算A'!CY$117=1,GX46=0),300,0))),1000000))</f>
        <v/>
      </c>
      <c r="SB46">
        <f>IF($B46=0,1000000,IF(INDEX('計算A'!$D$60:$EQ$104,$B46,101)*GX46=1,IF(AND($E46=2,MM46=0),1000000,IF($I46&gt;0,IF(5=$J46,IF(OR(AND(101=$I46+1,OR($K46&lt;&gt;'計算A'!$A$3,'計算A'!$A$4=0)),AND(101=$I46-1,OR(5&lt;&gt;'計算A'!$A$3,'計算A'!$A$4=0))),0,IF(5=$K46,200000,ABS(5-$K46)*100)),100000+ABS(5-$J46)*1000+50)+'計算A'!CZ$5*50+IF(AND($E46=1,MM46=0),25,0),INDEX('計算A'!CZ$110:CZ$114,$F46+1)+IF(AND($E46=1,MM46=0),1000,0)+IF($H46=1,(IF('計算A'!CY$117=1,INDEX('計算A'!CY$10:CY$54,$B46),0)+IF('計算A'!CZ$117=1,INDEX('計算A'!DA$10:DA$54,$B46),0))*500,0)-IF(AND('計算A'!CY$117=1,XW46&gt;0),300,0)-IF(AND($L46=1,'計算A'!CZ$117=1,GY46=0),300,0))),1000000))</f>
        <v/>
      </c>
      <c r="SC46">
        <f>IF($B46=0,1000000,IF(INDEX('計算A'!$D$60:$EQ$104,$B46,102)*GY46=1,IF(AND($E46=2,MN46=0),1000000,IF($I46&gt;0,IF(5=$J46,IF(OR(AND(102=$I46+1,OR($K46&lt;&gt;'計算A'!$A$3,'計算A'!$A$4=0)),AND(102=$I46-1,OR(6&lt;&gt;'計算A'!$A$3,'計算A'!$A$4=0))),0,IF(6=$K46,200000,ABS(6-$K46)*100)),100000+ABS(5-$J46)*1000+60)+'計算A'!DA$5*50+IF(AND($E46=1,MN46=0),25,0),INDEX('計算A'!DA$110:DA$114,$F46+1)+IF(AND($E46=1,MN46=0),1000,0)+IF($H46=1,(IF('計算A'!CZ$117=1,INDEX('計算A'!CZ$10:CZ$54,$B46),0)+IF('計算A'!DA$117=1,INDEX('計算A'!DB$10:DB$54,$B46),0))*500,0)-IF(AND('計算A'!CZ$117=1,XX46&gt;0),300,0)-IF(AND($L46=1,'計算A'!DA$117=1,GZ46=0),300,0))),1000000))</f>
        <v/>
      </c>
      <c r="SD46">
        <f>IF($B46=0,1000000,IF(INDEX('計算A'!$D$60:$EQ$104,$B46,103)*GZ46=1,IF(AND($E46=2,MO46=0),1000000,IF($I46&gt;0,IF(5=$J46,IF(OR(AND(103=$I46+1,OR($K46&lt;&gt;'計算A'!$A$3,'計算A'!$A$4=0)),AND(103=$I46-1,OR(7&lt;&gt;'計算A'!$A$3,'計算A'!$A$4=0))),0,IF(7=$K46,200000,ABS(7-$K46)*100)),100000+ABS(5-$J46)*1000+70)+'計算A'!DB$5*50+IF(AND($E46=1,MO46=0),25,0),INDEX('計算A'!DB$110:DB$114,$F46+1)+IF(AND($E46=1,MO46=0),1000,0)+IF($H46=1,(IF('計算A'!DA$117=1,INDEX('計算A'!DA$10:DA$54,$B46),0)+IF('計算A'!DB$117=1,INDEX('計算A'!DC$10:DC$54,$B46),0))*500,0)-IF(AND('計算A'!DA$117=1,XY46&gt;0),300,0)-IF(AND($L46=1,'計算A'!DB$117=1,HA46=0),300,0))),1000000))</f>
        <v/>
      </c>
      <c r="SE46">
        <f>IF($B46=0,1000000,IF(INDEX('計算A'!$D$60:$EQ$104,$B46,104)*HA46=1,IF(AND($E46=2,MP46=0),1000000,IF($I46&gt;0,IF(5=$J46,IF(OR(AND(104=$I46+1,OR($K46&lt;&gt;'計算A'!$A$3,'計算A'!$A$4=0)),AND(104=$I46-1,OR(8&lt;&gt;'計算A'!$A$3,'計算A'!$A$4=0))),0,IF(8=$K46,200000,ABS(8-$K46)*100)),100000+ABS(5-$J46)*1000+80)+'計算A'!DC$5*50+IF(AND($E46=1,MP46=0),25,0),INDEX('計算A'!DC$110:DC$114,$F46+1)+IF(AND($E46=1,MP46=0),1000,0)+IF($H46=1,(IF('計算A'!DB$117=1,INDEX('計算A'!DB$10:DB$54,$B46),0)+IF('計算A'!DC$117=1,INDEX('計算A'!DD$10:DD$54,$B46),0))*500,0)-IF(AND('計算A'!DB$117=1,XZ46&gt;0),300,0)-IF(AND($L46=1,'計算A'!DC$117=1,HB46=0),300,0))),1000000))</f>
        <v/>
      </c>
      <c r="SF46">
        <f>IF($B46=0,1000000,IF(INDEX('計算A'!$D$60:$EQ$104,$B46,105)*HB46=1,IF(AND($E46=2,MQ46=0),1000000,IF($I46&gt;0,IF(5=$J46,IF(OR(AND(105=$I46+1,OR($K46&lt;&gt;'計算A'!$A$3,'計算A'!$A$4=0)),AND(105=$I46-1,OR(9&lt;&gt;'計算A'!$A$3,'計算A'!$A$4=0))),0,IF(9=$K46,200000,ABS(9-$K46)*100)),100000+ABS(5-$J46)*1000+90)+'計算A'!DD$5*50+IF(AND($E46=1,MQ46=0),25,0),INDEX('計算A'!DD$110:DD$114,$F46+1)+IF(AND($E46=1,MQ46=0),1000,0)+IF($H46=1,(IF('計算A'!DC$117=1,INDEX('計算A'!DC$10:DC$54,$B46),0)+IF('計算A'!DD$117=1,INDEX('計算A'!DE$10:DE$54,$B46),0))*500,0)-IF(AND('計算A'!DC$117=1,YA46&gt;0),300,0)-IF(AND($L46=1,'計算A'!DD$117=1,HC46=0),300,0))),1000000))</f>
        <v/>
      </c>
      <c r="SG46">
        <f>IF($B46=0,1000000,IF(INDEX('計算A'!$D$60:$EQ$104,$B46,106)*HC46=1,IF(AND($E46=2,MR46=0),1000000,IF($I46&gt;0,IF(5=$J46,IF(OR(AND(106=$I46+1,OR($K46&lt;&gt;'計算A'!$A$3,'計算A'!$A$4=0)),AND(106=$I46-1,OR(10&lt;&gt;'計算A'!$A$3,'計算A'!$A$4=0))),0,IF(10=$K46,200000,ABS(10-$K46)*100)),100000+ABS(5-$J46)*1000+100)+'計算A'!DE$5*50+IF(AND($E46=1,MR46=0),25,0),INDEX('計算A'!DE$110:DE$114,$F46+1)+IF(AND($E46=1,MR46=0),1000,0)+IF($H46=1,(IF('計算A'!DD$117=1,INDEX('計算A'!DD$10:DD$54,$B46),0)+IF('計算A'!DE$117=1,INDEX('計算A'!DF$10:DF$54,$B46),0))*500,0)-IF(AND('計算A'!DD$117=1,YB46&gt;0),300,0)-IF(AND($L46=1,'計算A'!DE$117=1,HD46=0),300,0))),1000000))</f>
        <v/>
      </c>
      <c r="SH46">
        <f>IF($B46=0,1000000,IF(INDEX('計算A'!$D$60:$EQ$104,$B46,107)*HD46=1,IF(AND($E46=2,MS46=0),1000000,IF($I46&gt;0,IF(5=$J46,IF(OR(AND(107=$I46+1,OR($K46&lt;&gt;'計算A'!$A$3,'計算A'!$A$4=0)),AND(107=$I46-1,OR(11&lt;&gt;'計算A'!$A$3,'計算A'!$A$4=0))),0,IF(11=$K46,200000,ABS(11-$K46)*100)),100000+ABS(5-$J46)*1000+110)+'計算A'!DF$5*50+IF(AND($E46=1,MS46=0),25,0),INDEX('計算A'!DF$110:DF$114,$F46+1)+IF(AND($E46=1,MS46=0),1000,0)+IF($H46=1,(IF('計算A'!DE$117=1,INDEX('計算A'!DE$10:DE$54,$B46),0)+IF('計算A'!DF$117=1,INDEX('計算A'!DG$10:DG$54,$B46),0))*500,0)-IF(AND('計算A'!DE$117=1,YC46&gt;0),300,0)-IF(AND($L46=1,'計算A'!DF$117=1,HE46=0),300,0))),1000000))</f>
        <v/>
      </c>
      <c r="SI46">
        <f>IF($B46=0,1000000,IF(INDEX('計算A'!$D$60:$EQ$104,$B46,108)*HE46=1,IF(AND($E46=2,MT46=0),1000000,IF($I46&gt;0,IF(5=$J46,IF(OR(AND(108=$I46+1,OR($K46&lt;&gt;'計算A'!$A$3,'計算A'!$A$4=0)),AND(108=$I46-1,OR(12&lt;&gt;'計算A'!$A$3,'計算A'!$A$4=0))),0,IF(12=$K46,200000,ABS(12-$K46)*100)),100000+ABS(5-$J46)*1000+120)+'計算A'!DG$5*50+IF(AND($E46=1,MT46=0),25,0),INDEX('計算A'!DG$110:DG$114,$F46+1)+IF(AND($E46=1,MT46=0),1000,0)+IF($H46=1,(IF('計算A'!DF$117=1,INDEX('計算A'!DF$10:DF$54,$B46),0)+IF('計算A'!DG$117=1,INDEX('計算A'!DH$10:DH$54,$B46),0))*500,0)-IF(AND('計算A'!DF$117=1,YD46&gt;0),300,0)-IF(AND($L46=1,'計算A'!DG$117=1,HF46=0),300,0))),1000000))</f>
        <v/>
      </c>
      <c r="SJ46">
        <f>IF($B46=0,1000000,IF(INDEX('計算A'!$D$60:$EQ$104,$B46,109)*HF46=1,IF(AND($E46=2,MU46=0),1000000,IF($I46&gt;0,IF(5=$J46,IF(OR(AND(109=$I46+1,OR($K46&lt;&gt;'計算A'!$A$3,'計算A'!$A$4=0)),AND(109=$I46-1,OR(13&lt;&gt;'計算A'!$A$3,'計算A'!$A$4=0))),0,IF(13=$K46,200000,ABS(13-$K46)*100)),100000+ABS(5-$J46)*1000+130)+'計算A'!DH$5*50+IF(AND($E46=1,MU46=0),25,0),INDEX('計算A'!DH$110:DH$114,$F46+1)+IF(AND($E46=1,MU46=0),1000,0)+IF($H46=1,(IF('計算A'!DG$117=1,INDEX('計算A'!DG$10:DG$54,$B46),0)+IF('計算A'!DH$117=1,INDEX('計算A'!DI$10:DI$54,$B46),0))*500,0)-IF(AND('計算A'!DG$117=1,YE46&gt;0),300,0)-IF(AND($L46=1,'計算A'!DH$117=1,HG46=0),300,0))),1000000))</f>
        <v/>
      </c>
      <c r="SK46">
        <f>IF($B46=0,1000000,IF(INDEX('計算A'!$D$60:$EQ$104,$B46,110)*HG46=1,IF(AND($E46=2,MV46=0),1000000,IF($I46&gt;0,IF(5=$J46,IF(OR(AND(110=$I46+1,OR($K46&lt;&gt;'計算A'!$A$3,'計算A'!$A$4=0)),AND(110=$I46-1,OR(14&lt;&gt;'計算A'!$A$3,'計算A'!$A$4=0))),0,IF(14=$K46,200000,ABS(14-$K46)*100)),100000+ABS(5-$J46)*1000+140)+'計算A'!DI$5*50+IF(AND($E46=1,MV46=0),25,0),INDEX('計算A'!DI$110:DI$114,$F46+1)+IF(AND($E46=1,MV46=0),1000,0)+IF($H46=1,(IF('計算A'!DH$117=1,INDEX('計算A'!DH$10:DH$54,$B46),0)+IF('計算A'!DI$117=1,INDEX('計算A'!DJ$10:DJ$54,$B46),0))*500,0)-IF(AND('計算A'!DH$117=1,YF46&gt;0),300,0)-IF(AND($L46=1,'計算A'!DI$117=1,HH46=0),300,0))),1000000))</f>
        <v/>
      </c>
      <c r="SL46">
        <f>IF($B46=0,1000000,IF(INDEX('計算A'!$D$60:$EQ$104,$B46,111)*HH46=1,IF(AND($E46=2,MW46=0),1000000,IF($I46&gt;0,IF(5=$J46,IF(OR(AND(111=$I46+1,OR($K46&lt;&gt;'計算A'!$A$3,'計算A'!$A$4=0)),AND(111=$I46-1,OR(15&lt;&gt;'計算A'!$A$3,'計算A'!$A$4=0))),0,IF(15=$K46,200000,ABS(15-$K46)*100)),100000+ABS(5-$J46)*1000+150)+'計算A'!DJ$5*50+IF(AND($E46=1,MW46=0),25,0),INDEX('計算A'!DJ$110:DJ$114,$F46+1)+IF(AND($E46=1,MW46=0),1000,0)+IF($H46=1,(IF('計算A'!DI$117=1,INDEX('計算A'!DI$10:DI$54,$B46),0)+IF('計算A'!DJ$117=1,INDEX('計算A'!DK$10:DK$54,$B46),0))*500,0)-IF(AND('計算A'!DI$117=1,YG46&gt;0),300,0)-IF(AND($L46=1,'計算A'!DJ$117=1,HI46=0),300,0))),1000000))</f>
        <v/>
      </c>
      <c r="SM46">
        <f>IF($B46=0,1000000,IF(INDEX('計算A'!$D$60:$EQ$104,$B46,112)*HI46=1,IF(AND($E46=2,MX46=0),1000000,IF($I46&gt;0,IF(5=$J46,IF(OR(AND(112=$I46+1,OR($K46&lt;&gt;'計算A'!$A$3,'計算A'!$A$4=0)),AND(112=$I46-1,OR(16&lt;&gt;'計算A'!$A$3,'計算A'!$A$4=0))),0,IF(16=$K46,200000,ABS(16-$K46)*100)),100000+ABS(5-$J46)*1000+160)+'計算A'!DK$5*50+IF(AND($E46=1,MX46=0),25,0),INDEX('計算A'!DK$110:DK$114,$F46+1)+IF(AND($E46=1,MX46=0),1000,0)+IF($H46=1,(IF('計算A'!DJ$117=1,INDEX('計算A'!DJ$10:DJ$54,$B46),0)+IF('計算A'!DK$117=1,INDEX('計算A'!DL$10:DL$54,$B46),0))*500,0)-IF(AND('計算A'!DJ$117=1,YH46&gt;0),300,0)-IF(AND($L46=1,'計算A'!DK$117=1,HJ46=0),300,0))),1000000))</f>
        <v/>
      </c>
      <c r="SN46">
        <f>IF($B46=0,1000000,IF(INDEX('計算A'!$D$60:$EQ$104,$B46,113)*HJ46=1,IF(AND($E46=2,MY46=0),1000000,IF($I46&gt;0,IF(5=$J46,IF(OR(AND(113=$I46+1,OR($K46&lt;&gt;'計算A'!$A$3,'計算A'!$A$4=0)),AND(113=$I46-1,OR(17&lt;&gt;'計算A'!$A$3,'計算A'!$A$4=0))),0,IF(17=$K46,200000,ABS(17-$K46)*100)),100000+ABS(5-$J46)*1000+170)+'計算A'!DL$5*50+IF(AND($E46=1,MY46=0),25,0),INDEX('計算A'!DL$110:DL$114,$F46+1)+IF(AND($E46=1,MY46=0),1000,0)+IF($H46=1,(IF('計算A'!DK$117=1,INDEX('計算A'!DK$10:DK$54,$B46),0)+IF('計算A'!DL$117=1,INDEX('計算A'!DM$10:DM$54,$B46),0))*500,0)-IF(AND('計算A'!DK$117=1,YI46&gt;0),300,0)-IF(AND($L46=1,'計算A'!DL$117=1,HK46=0),300,0))),1000000))</f>
        <v/>
      </c>
      <c r="SO46">
        <f>IF($B46=0,1000000,IF(INDEX('計算A'!$D$60:$EQ$104,$B46,114)*HK46=1,IF(AND($E46=2,MZ46=0),1000000,IF($I46&gt;0,IF(5=$J46,IF(OR(AND(114=$I46+1,OR($K46&lt;&gt;'計算A'!$A$3,'計算A'!$A$4=0)),AND(114=$I46-1,OR(18&lt;&gt;'計算A'!$A$3,'計算A'!$A$4=0))),0,IF(18=$K46,200000,ABS(18-$K46)*100)),100000+ABS(5-$J46)*1000+180)+'計算A'!DM$5*50+IF(AND($E46=1,MZ46=0),25,0),INDEX('計算A'!DM$110:DM$114,$F46+1)+IF(AND($E46=1,MZ46=0),1000,0)+IF($H46=1,(IF('計算A'!DL$117=1,INDEX('計算A'!DL$10:DL$54,$B46),0)+IF('計算A'!DM$117=1,INDEX('計算A'!DN$10:DN$54,$B46),0))*500,0)-IF(AND('計算A'!DL$117=1,YJ46&gt;0),300,0)-IF(AND($L46=1,'計算A'!DM$117=1,HL46=0),300,0))),1000000))</f>
        <v/>
      </c>
      <c r="SP46">
        <f>IF($B46=0,1000000,IF(INDEX('計算A'!$D$60:$EQ$104,$B46,115)*HL46=1,IF(AND($E46=2,NA46=0),1000000,IF($I46&gt;0,IF(5=$J46,IF(OR(AND(115=$I46+1,OR($K46&lt;&gt;'計算A'!$A$3,'計算A'!$A$4=0)),AND(115=$I46-1,OR(19&lt;&gt;'計算A'!$A$3,'計算A'!$A$4=0))),0,IF(19=$K46,200000,ABS(19-$K46)*100)),100000+ABS(5-$J46)*1000+190)+'計算A'!DN$5*50+IF(AND($E46=1,NA46=0),25,0),INDEX('計算A'!DN$110:DN$114,$F46+1)+IF(AND($E46=1,NA46=0),1000,0)+IF($H46=1,(IF('計算A'!DM$117=1,INDEX('計算A'!DM$10:DM$54,$B46),0)+IF('計算A'!DN$117=1,INDEX('計算A'!DO$10:DO$54,$B46),0))*500,0)-IF(AND('計算A'!DM$117=1,YK46&gt;0),300,0)-IF(AND($L46=1,'計算A'!DN$117=1,HM46=0),300,0))),1000000))</f>
        <v/>
      </c>
      <c r="SQ46">
        <f>IF($B46=0,1000000,IF(INDEX('計算A'!$D$60:$EQ$104,$B46,116)*HM46=1,IF(AND($E46=2,NB46=0),1000000,IF($I46&gt;0,IF(5=$J46,IF(OR(AND(116=$I46+1,OR($K46&lt;&gt;'計算A'!$A$3,'計算A'!$A$4=0)),AND(116=$I46-1,OR(20&lt;&gt;'計算A'!$A$3,'計算A'!$A$4=0))),0,IF(20=$K46,200000,ABS(20-$K46)*100)),100000+ABS(5-$J46)*1000+200)+'計算A'!DO$5*50+IF(AND($E46=1,NB46=0),25,0),INDEX('計算A'!DO$110:DO$114,$F46+1)+IF(AND($E46=1,NB46=0),1000,0)+IF($H46=1,(IF('計算A'!DN$117=1,INDEX('計算A'!DN$10:DN$54,$B46),0)+IF('計算A'!DO$117=1,INDEX('計算A'!DP$10:DP$54,$B46),0))*500,0)-IF(AND('計算A'!DN$117=1,YL46&gt;0),300,0)-IF(AND($L46=1,'計算A'!DO$117=1,HN46=0),300,0))),1000000))</f>
        <v/>
      </c>
      <c r="SR46">
        <f>IF($B46=0,1000000,IF(INDEX('計算A'!$D$60:$EQ$104,$B46,117)*HN46=1,IF(AND($E46=2,NC46=0),1000000,IF($I46&gt;0,IF(5=$J46,IF(OR(AND(117=$I46+1,OR($K46&lt;&gt;'計算A'!$A$3,'計算A'!$A$4=0)),AND(117=$I46-1,OR(21&lt;&gt;'計算A'!$A$3,'計算A'!$A$4=0))),0,IF(21=$K46,200000,ABS(21-$K46)*100)),100000+ABS(5-$J46)*1000+210)+'計算A'!DP$5*50+IF(AND($E46=1,NC46=0),25,0),INDEX('計算A'!DP$110:DP$114,$F46+1)+IF(AND($E46=1,NC46=0),1000,0)+IF($H46=1,(IF('計算A'!DO$117=1,INDEX('計算A'!DO$10:DO$54,$B46),0)+IF('計算A'!DP$117=1,INDEX('計算A'!DQ$10:DQ$54,$B46),0))*500,0)-IF(AND('計算A'!DO$117=1,YM46&gt;0),300,0)-IF(AND($L46=1,'計算A'!DP$117=1,HO46=0),300,0))),1000000))</f>
        <v/>
      </c>
      <c r="SS46">
        <f>IF($B46=0,1000000,IF(INDEX('計算A'!$D$60:$EQ$104,$B46,118)*HO46=1,IF(AND($E46=2,ND46=0),1000000,IF($I46&gt;0,IF(5=$J46,IF(OR(AND(118=$I46+1,OR($K46&lt;&gt;'計算A'!$A$3,'計算A'!$A$4=0)),AND(118=$I46-1,OR(22&lt;&gt;'計算A'!$A$3,'計算A'!$A$4=0))),0,IF(22=$K46,200000,ABS(22-$K46)*100)),100000+ABS(5-$J46)*1000+220)+'計算A'!DQ$5*50+IF(AND($E46=1,ND46=0),25,0),INDEX('計算A'!DQ$110:DQ$114,$F46+1)+IF(AND($E46=1,ND46=0),1000,0)+IF($H46=1,(IF('計算A'!DP$117=1,INDEX('計算A'!DP$10:DP$54,$B46),0)+IF('計算A'!DQ$117=1,INDEX('計算A'!DR$10:DR$54,$B46),0))*500,0)-IF(AND('計算A'!DP$117=1,YN46&gt;0),300,0)-IF(AND($L46=1,'計算A'!DQ$117=1,HP46=0),300,0))),1000000))</f>
        <v/>
      </c>
      <c r="ST46">
        <f>IF($B46=0,1000000,IF(INDEX('計算A'!$D$60:$EQ$104,$B46,119)*HP46=1,IF(AND($E46=2,NE46=0),1000000,IF($I46&gt;0,IF(5=$J46,IF(OR(AND(119=$I46+1,OR($K46&lt;&gt;'計算A'!$A$3,'計算A'!$A$4=0)),AND(119=$I46-1,OR(23&lt;&gt;'計算A'!$A$3,'計算A'!$A$4=0))),0,IF(23=$K46,200000,ABS(23-$K46)*100)),100000+ABS(5-$J46)*1000+230)+'計算A'!DR$5*50+IF(AND($E46=1,NE46=0),25,0),INDEX('計算A'!DR$110:DR$114,$F46+1)+IF(AND($E46=1,NE46=0),1000,0)+IF($H46=1,(IF('計算A'!DQ$117=1,INDEX('計算A'!DQ$10:DQ$54,$B46),0)+IF('計算A'!DR$117=1,INDEX('計算A'!DS$10:DS$54,$B46),0))*500,0)-IF(AND('計算A'!DQ$117=1,YO46&gt;0),300,0)-IF(AND($L46=1,'計算A'!DR$117=1,HQ46=0),300,0))),1000000))</f>
        <v/>
      </c>
      <c r="SU46">
        <f>IF($B46=0,1000000,IF(INDEX('計算A'!$D$60:$EQ$104,$B46,120)*HQ46=1,IF(AND($E46=2,NF46=0),1000000,IF($I46&gt;0,IF(5=$J46,IF(OR(AND(120=$I46+1,OR($K46&lt;&gt;'計算A'!$A$3,'計算A'!$A$4=0)),AND(120=$I46-1,OR(24&lt;&gt;'計算A'!$A$3,'計算A'!$A$4=0))),0,IF(24=$K46,200000,ABS(24-$K46)*100)),100000+ABS(5-$J46)*1000+240)+'計算A'!DS$5*50+IF(AND($E46=1,NF46=0),25,0),INDEX('計算A'!DS$110:DS$114,$F46+1)+IF(AND($E46=1,NF46=0),1000,0)+IF($H46=1,(IF('計算A'!DR$117=1,INDEX('計算A'!DR$10:DR$54,$B46),0))*500,0)-IF(AND('計算A'!DR$117=1,YP46&gt;0),300,0))),1000000))</f>
        <v/>
      </c>
      <c r="SV46">
        <f>IF($B46=0,1000000,IF(INDEX('計算A'!$D$60:$EQ$104,$B46,121)*HR46=1,IF(AND($E46=2,NG46=0),1000000,IF($I46&gt;0,IF(6=$J46,IF(OR(AND(121=$I46+1,OR($K46&lt;&gt;'計算A'!$A$3,'計算A'!$A$4=0)),AND(121=$I46-1,OR(1&lt;&gt;'計算A'!$A$3,'計算A'!$A$4=0))),0,IF(1=$K46,200000,ABS(1-$K46)*100)),100000+ABS(6-$J46)*1000+10)+'計算A'!DT$5*50+IF(AND($E46=1,NG46=0),25,0),INDEX('計算A'!DT$110:DT$114,$F46+1)+IF(AND($E46=1,NG46=0),1000,0)+IF($H46=1,(IF('計算A'!DT$117=1,INDEX('計算A'!DU$10:DU$54,$B46),0))*500,0)-IF(AND($L46=1,'計算A'!DT$117=1,HS46=0),300,0))),1000000))</f>
        <v/>
      </c>
      <c r="SW46">
        <f>IF($B46=0,1000000,IF(INDEX('計算A'!$D$60:$EQ$104,$B46,122)*HS46=1,IF(AND($E46=2,NH46=0),1000000,IF($I46&gt;0,IF(6=$J46,IF(OR(AND(122=$I46+1,OR($K46&lt;&gt;'計算A'!$A$3,'計算A'!$A$4=0)),AND(122=$I46-1,OR(2&lt;&gt;'計算A'!$A$3,'計算A'!$A$4=0))),0,IF(2=$K46,200000,ABS(2-$K46)*100)),100000+ABS(6-$J46)*1000+20)+'計算A'!DU$5*50+IF(AND($E46=1,NH46=0),25,0),INDEX('計算A'!DU$110:DU$114,$F46+1)+IF(AND($E46=1,NH46=0),1000,0)+IF($H46=1,(IF('計算A'!DT$117=1,INDEX('計算A'!DT$10:DT$54,$B46),0)+IF('計算A'!DU$117=1,INDEX('計算A'!DV$10:DV$54,$B46),0))*500,0)-IF(AND('計算A'!DT$117=1,YR46&gt;0),300,0)-IF(AND($L46=1,'計算A'!DU$117=1,HT46=0),300,0))),1000000))</f>
        <v/>
      </c>
      <c r="SX46">
        <f>IF($B46=0,1000000,IF(INDEX('計算A'!$D$60:$EQ$104,$B46,123)*HT46=1,IF(AND($E46=2,NI46=0),1000000,IF($I46&gt;0,IF(6=$J46,IF(OR(AND(123=$I46+1,OR($K46&lt;&gt;'計算A'!$A$3,'計算A'!$A$4=0)),AND(123=$I46-1,OR(3&lt;&gt;'計算A'!$A$3,'計算A'!$A$4=0))),0,IF(3=$K46,200000,ABS(3-$K46)*100)),100000+ABS(6-$J46)*1000+30)+'計算A'!DV$5*50+IF(AND($E46=1,NI46=0),25,0),INDEX('計算A'!DV$110:DV$114,$F46+1)+IF(AND($E46=1,NI46=0),1000,0)+IF($H46=1,(IF('計算A'!DU$117=1,INDEX('計算A'!DU$10:DU$54,$B46),0)+IF('計算A'!DV$117=1,INDEX('計算A'!DW$10:DW$54,$B46),0))*500,0)-IF(AND('計算A'!DU$117=1,YS46&gt;0),300,0)-IF(AND($L46=1,'計算A'!DV$117=1,HU46=0),300,0))),1000000))</f>
        <v/>
      </c>
      <c r="SY46">
        <f>IF($B46=0,1000000,IF(INDEX('計算A'!$D$60:$EQ$104,$B46,124)*HU46=1,IF(AND($E46=2,NJ46=0),1000000,IF($I46&gt;0,IF(6=$J46,IF(OR(AND(124=$I46+1,OR($K46&lt;&gt;'計算A'!$A$3,'計算A'!$A$4=0)),AND(124=$I46-1,OR(4&lt;&gt;'計算A'!$A$3,'計算A'!$A$4=0))),0,IF(4=$K46,200000,ABS(4-$K46)*100)),100000+ABS(6-$J46)*1000+40)+'計算A'!DW$5*50+IF(AND($E46=1,NJ46=0),25,0),INDEX('計算A'!DW$110:DW$114,$F46+1)+IF(AND($E46=1,NJ46=0),1000,0)+IF($H46=1,(IF('計算A'!DV$117=1,INDEX('計算A'!DV$10:DV$54,$B46),0)+IF('計算A'!DW$117=1,INDEX('計算A'!DX$10:DX$54,$B46),0))*500,0)-IF(AND('計算A'!DV$117=1,YT46&gt;0),300,0)-IF(AND($L46=1,'計算A'!DW$117=1,HV46=0),300,0))),1000000))</f>
        <v/>
      </c>
      <c r="SZ46">
        <f>IF($B46=0,1000000,IF(INDEX('計算A'!$D$60:$EQ$104,$B46,125)*HV46=1,IF(AND($E46=2,NK46=0),1000000,IF($I46&gt;0,IF(6=$J46,IF(OR(AND(125=$I46+1,OR($K46&lt;&gt;'計算A'!$A$3,'計算A'!$A$4=0)),AND(125=$I46-1,OR(5&lt;&gt;'計算A'!$A$3,'計算A'!$A$4=0))),0,IF(5=$K46,200000,ABS(5-$K46)*100)),100000+ABS(6-$J46)*1000+50)+'計算A'!DX$5*50+IF(AND($E46=1,NK46=0),25,0),INDEX('計算A'!DX$110:DX$114,$F46+1)+IF(AND($E46=1,NK46=0),1000,0)+IF($H46=1,(IF('計算A'!DW$117=1,INDEX('計算A'!DW$10:DW$54,$B46),0)+IF('計算A'!DX$117=1,INDEX('計算A'!DY$10:DY$54,$B46),0))*500,0)-IF(AND('計算A'!DW$117=1,YU46&gt;0),300,0)-IF(AND($L46=1,'計算A'!DX$117=1,HW46=0),300,0))),1000000))</f>
        <v/>
      </c>
      <c r="TA46">
        <f>IF($B46=0,1000000,IF(INDEX('計算A'!$D$60:$EQ$104,$B46,126)*HW46=1,IF(AND($E46=2,NL46=0),1000000,IF($I46&gt;0,IF(6=$J46,IF(OR(AND(126=$I46+1,OR($K46&lt;&gt;'計算A'!$A$3,'計算A'!$A$4=0)),AND(126=$I46-1,OR(6&lt;&gt;'計算A'!$A$3,'計算A'!$A$4=0))),0,IF(6=$K46,200000,ABS(6-$K46)*100)),100000+ABS(6-$J46)*1000+60)+'計算A'!DY$5*50+IF(AND($E46=1,NL46=0),25,0),INDEX('計算A'!DY$110:DY$114,$F46+1)+IF(AND($E46=1,NL46=0),1000,0)+IF($H46=1,(IF('計算A'!DX$117=1,INDEX('計算A'!DX$10:DX$54,$B46),0)+IF('計算A'!DY$117=1,INDEX('計算A'!DZ$10:DZ$54,$B46),0))*500,0)-IF(AND('計算A'!DX$117=1,YV46&gt;0),300,0)-IF(AND($L46=1,'計算A'!DY$117=1,HX46=0),300,0))),1000000))</f>
        <v/>
      </c>
      <c r="TB46">
        <f>IF($B46=0,1000000,IF(INDEX('計算A'!$D$60:$EQ$104,$B46,127)*HX46=1,IF(AND($E46=2,NM46=0),1000000,IF($I46&gt;0,IF(6=$J46,IF(OR(AND(127=$I46+1,OR($K46&lt;&gt;'計算A'!$A$3,'計算A'!$A$4=0)),AND(127=$I46-1,OR(7&lt;&gt;'計算A'!$A$3,'計算A'!$A$4=0))),0,IF(7=$K46,200000,ABS(7-$K46)*100)),100000+ABS(6-$J46)*1000+70)+'計算A'!DZ$5*50+IF(AND($E46=1,NM46=0),25,0),INDEX('計算A'!DZ$110:DZ$114,$F46+1)+IF(AND($E46=1,NM46=0),1000,0)+IF($H46=1,(IF('計算A'!DY$117=1,INDEX('計算A'!DY$10:DY$54,$B46),0)+IF('計算A'!DZ$117=1,INDEX('計算A'!EA$10:EA$54,$B46),0))*500,0)-IF(AND('計算A'!DY$117=1,YW46&gt;0),300,0)-IF(AND($L46=1,'計算A'!DZ$117=1,HY46=0),300,0))),1000000))</f>
        <v/>
      </c>
      <c r="TC46">
        <f>IF($B46=0,1000000,IF(INDEX('計算A'!$D$60:$EQ$104,$B46,128)*HY46=1,IF(AND($E46=2,NN46=0),1000000,IF($I46&gt;0,IF(6=$J46,IF(OR(AND(128=$I46+1,OR($K46&lt;&gt;'計算A'!$A$3,'計算A'!$A$4=0)),AND(128=$I46-1,OR(8&lt;&gt;'計算A'!$A$3,'計算A'!$A$4=0))),0,IF(8=$K46,200000,ABS(8-$K46)*100)),100000+ABS(6-$J46)*1000+80)+'計算A'!EA$5*50+IF(AND($E46=1,NN46=0),25,0),INDEX('計算A'!EA$110:EA$114,$F46+1)+IF(AND($E46=1,NN46=0),1000,0)+IF($H46=1,(IF('計算A'!DZ$117=1,INDEX('計算A'!DZ$10:DZ$54,$B46),0)+IF('計算A'!EA$117=1,INDEX('計算A'!EB$10:EB$54,$B46),0))*500,0)-IF(AND('計算A'!DZ$117=1,YX46&gt;0),300,0)-IF(AND($L46=1,'計算A'!EA$117=1,HZ46=0),300,0))),1000000))</f>
        <v/>
      </c>
      <c r="TD46">
        <f>IF($B46=0,1000000,IF(INDEX('計算A'!$D$60:$EQ$104,$B46,129)*HZ46=1,IF(AND($E46=2,NO46=0),1000000,IF($I46&gt;0,IF(6=$J46,IF(OR(AND(129=$I46+1,OR($K46&lt;&gt;'計算A'!$A$3,'計算A'!$A$4=0)),AND(129=$I46-1,OR(9&lt;&gt;'計算A'!$A$3,'計算A'!$A$4=0))),0,IF(9=$K46,200000,ABS(9-$K46)*100)),100000+ABS(6-$J46)*1000+90)+'計算A'!EB$5*50+IF(AND($E46=1,NO46=0),25,0),INDEX('計算A'!EB$110:EB$114,$F46+1)+IF(AND($E46=1,NO46=0),1000,0)+IF($H46=1,(IF('計算A'!EA$117=1,INDEX('計算A'!EA$10:EA$54,$B46),0)+IF('計算A'!EB$117=1,INDEX('計算A'!EC$10:EC$54,$B46),0))*500,0)-IF(AND('計算A'!EA$117=1,YY46&gt;0),300,0)-IF(AND($L46=1,'計算A'!EB$117=1,IA46=0),300,0))),1000000))</f>
        <v/>
      </c>
      <c r="TE46">
        <f>IF($B46=0,1000000,IF(INDEX('計算A'!$D$60:$EQ$104,$B46,130)*IA46=1,IF(AND($E46=2,NP46=0),1000000,IF($I46&gt;0,IF(6=$J46,IF(OR(AND(130=$I46+1,OR($K46&lt;&gt;'計算A'!$A$3,'計算A'!$A$4=0)),AND(130=$I46-1,OR(10&lt;&gt;'計算A'!$A$3,'計算A'!$A$4=0))),0,IF(10=$K46,200000,ABS(10-$K46)*100)),100000+ABS(6-$J46)*1000+100)+'計算A'!EC$5*50+IF(AND($E46=1,NP46=0),25,0),INDEX('計算A'!EC$110:EC$114,$F46+1)+IF(AND($E46=1,NP46=0),1000,0)+IF($H46=1,(IF('計算A'!EB$117=1,INDEX('計算A'!EB$10:EB$54,$B46),0)+IF('計算A'!EC$117=1,INDEX('計算A'!ED$10:ED$54,$B46),0))*500,0)-IF(AND('計算A'!EB$117=1,YZ46&gt;0),300,0)-IF(AND($L46=1,'計算A'!EC$117=1,IB46=0),300,0))),1000000))</f>
        <v/>
      </c>
      <c r="TF46">
        <f>IF($B46=0,1000000,IF(INDEX('計算A'!$D$60:$EQ$104,$B46,131)*IB46=1,IF(AND($E46=2,NQ46=0),1000000,IF($I46&gt;0,IF(6=$J46,IF(OR(AND(131=$I46+1,OR($K46&lt;&gt;'計算A'!$A$3,'計算A'!$A$4=0)),AND(131=$I46-1,OR(11&lt;&gt;'計算A'!$A$3,'計算A'!$A$4=0))),0,IF(11=$K46,200000,ABS(11-$K46)*100)),100000+ABS(6-$J46)*1000+110)+'計算A'!ED$5*50+IF(AND($E46=1,NQ46=0),25,0),INDEX('計算A'!ED$110:ED$114,$F46+1)+IF(AND($E46=1,NQ46=0),1000,0)+IF($H46=1,(IF('計算A'!EC$117=1,INDEX('計算A'!EC$10:EC$54,$B46),0)+IF('計算A'!ED$117=1,INDEX('計算A'!EE$10:EE$54,$B46),0))*500,0)-IF(AND('計算A'!EC$117=1,ZA46&gt;0),300,0)-IF(AND($L46=1,'計算A'!ED$117=1,IC46=0),300,0))),1000000))</f>
        <v/>
      </c>
      <c r="TG46">
        <f>IF($B46=0,1000000,IF(INDEX('計算A'!$D$60:$EQ$104,$B46,132)*IC46=1,IF(AND($E46=2,NR46=0),1000000,IF($I46&gt;0,IF(6=$J46,IF(OR(AND(132=$I46+1,OR($K46&lt;&gt;'計算A'!$A$3,'計算A'!$A$4=0)),AND(132=$I46-1,OR(12&lt;&gt;'計算A'!$A$3,'計算A'!$A$4=0))),0,IF(12=$K46,200000,ABS(12-$K46)*100)),100000+ABS(6-$J46)*1000+120)+'計算A'!EE$5*50+IF(AND($E46=1,NR46=0),25,0),INDEX('計算A'!EE$110:EE$114,$F46+1)+IF(AND($E46=1,NR46=0),1000,0)+IF($H46=1,(IF('計算A'!ED$117=1,INDEX('計算A'!ED$10:ED$54,$B46),0)+IF('計算A'!EE$117=1,INDEX('計算A'!EF$10:EF$54,$B46),0))*500,0)-IF(AND('計算A'!ED$117=1,ZB46&gt;0),300,0)-IF(AND($L46=1,'計算A'!EE$117=1,ID46=0),300,0))),1000000))</f>
        <v/>
      </c>
      <c r="TH46">
        <f>IF($B46=0,1000000,IF(INDEX('計算A'!$D$60:$EQ$104,$B46,133)*ID46=1,IF(AND($E46=2,NS46=0),1000000,IF($I46&gt;0,IF(6=$J46,IF(OR(AND(133=$I46+1,OR($K46&lt;&gt;'計算A'!$A$3,'計算A'!$A$4=0)),AND(133=$I46-1,OR(13&lt;&gt;'計算A'!$A$3,'計算A'!$A$4=0))),0,IF(13=$K46,200000,ABS(13-$K46)*100)),100000+ABS(6-$J46)*1000+130)+'計算A'!EF$5*50+IF(AND($E46=1,NS46=0),25,0),INDEX('計算A'!EF$110:EF$114,$F46+1)+IF(AND($E46=1,NS46=0),1000,0)+IF($H46=1,(IF('計算A'!EE$117=1,INDEX('計算A'!EE$10:EE$54,$B46),0)+IF('計算A'!EF$117=1,INDEX('計算A'!EG$10:EG$54,$B46),0))*500,0)-IF(AND('計算A'!EE$117=1,ZC46&gt;0),300,0)-IF(AND($L46=1,'計算A'!EF$117=1,IE46=0),300,0))),1000000))</f>
        <v/>
      </c>
      <c r="TI46">
        <f>IF($B46=0,1000000,IF(INDEX('計算A'!$D$60:$EQ$104,$B46,134)*IE46=1,IF(AND($E46=2,NT46=0),1000000,IF($I46&gt;0,IF(6=$J46,IF(OR(AND(134=$I46+1,OR($K46&lt;&gt;'計算A'!$A$3,'計算A'!$A$4=0)),AND(134=$I46-1,OR(14&lt;&gt;'計算A'!$A$3,'計算A'!$A$4=0))),0,IF(14=$K46,200000,ABS(14-$K46)*100)),100000+ABS(6-$J46)*1000+140)+'計算A'!EG$5*50+IF(AND($E46=1,NT46=0),25,0),INDEX('計算A'!EG$110:EG$114,$F46+1)+IF(AND($E46=1,NT46=0),1000,0)+IF($H46=1,(IF('計算A'!EF$117=1,INDEX('計算A'!EF$10:EF$54,$B46),0)+IF('計算A'!EG$117=1,INDEX('計算A'!EH$10:EH$54,$B46),0))*500,0)-IF(AND('計算A'!EF$117=1,ZD46&gt;0),300,0)-IF(AND($L46=1,'計算A'!EG$117=1,IF46=0),300,0))),1000000))</f>
        <v/>
      </c>
      <c r="TJ46">
        <f>IF($B46=0,1000000,IF(INDEX('計算A'!$D$60:$EQ$104,$B46,135)*IF46=1,IF(AND($E46=2,NU46=0),1000000,IF($I46&gt;0,IF(6=$J46,IF(OR(AND(135=$I46+1,OR($K46&lt;&gt;'計算A'!$A$3,'計算A'!$A$4=0)),AND(135=$I46-1,OR(15&lt;&gt;'計算A'!$A$3,'計算A'!$A$4=0))),0,IF(15=$K46,200000,ABS(15-$K46)*100)),100000+ABS(6-$J46)*1000+150)+'計算A'!EH$5*50+IF(AND($E46=1,NU46=0),25,0),INDEX('計算A'!EH$110:EH$114,$F46+1)+IF(AND($E46=1,NU46=0),1000,0)+IF($H46=1,(IF('計算A'!EG$117=1,INDEX('計算A'!EG$10:EG$54,$B46),0)+IF('計算A'!EH$117=1,INDEX('計算A'!EI$10:EI$54,$B46),0))*500,0)-IF(AND('計算A'!EG$117=1,ZE46&gt;0),300,0)-IF(AND($L46=1,'計算A'!EH$117=1,IG46=0),300,0))),1000000))</f>
        <v/>
      </c>
      <c r="TK46">
        <f>IF($B46=0,1000000,IF(INDEX('計算A'!$D$60:$EQ$104,$B46,136)*IG46=1,IF(AND($E46=2,NV46=0),1000000,IF($I46&gt;0,IF(6=$J46,IF(OR(AND(136=$I46+1,OR($K46&lt;&gt;'計算A'!$A$3,'計算A'!$A$4=0)),AND(136=$I46-1,OR(16&lt;&gt;'計算A'!$A$3,'計算A'!$A$4=0))),0,IF(16=$K46,200000,ABS(16-$K46)*100)),100000+ABS(6-$J46)*1000+160)+'計算A'!EI$5*50+IF(AND($E46=1,NV46=0),25,0),INDEX('計算A'!EI$110:EI$114,$F46+1)+IF(AND($E46=1,NV46=0),1000,0)+IF($H46=1,(IF('計算A'!EH$117=1,INDEX('計算A'!EH$10:EH$54,$B46),0)+IF('計算A'!EI$117=1,INDEX('計算A'!EJ$10:EJ$54,$B46),0))*500,0)-IF(AND('計算A'!EH$117=1,ZF46&gt;0),300,0)-IF(AND($L46=1,'計算A'!EI$117=1,IH46=0),300,0))),1000000))</f>
        <v/>
      </c>
      <c r="TL46">
        <f>IF($B46=0,1000000,IF(INDEX('計算A'!$D$60:$EQ$104,$B46,137)*IH46=1,IF(AND($E46=2,NW46=0),1000000,IF($I46&gt;0,IF(6=$J46,IF(OR(AND(137=$I46+1,OR($K46&lt;&gt;'計算A'!$A$3,'計算A'!$A$4=0)),AND(137=$I46-1,OR(17&lt;&gt;'計算A'!$A$3,'計算A'!$A$4=0))),0,IF(17=$K46,200000,ABS(17-$K46)*100)),100000+ABS(6-$J46)*1000+170)+'計算A'!EJ$5*50+IF(AND($E46=1,NW46=0),25,0),INDEX('計算A'!EJ$110:EJ$114,$F46+1)+IF(AND($E46=1,NW46=0),1000,0)+IF($H46=1,(IF('計算A'!EI$117=1,INDEX('計算A'!EI$10:EI$54,$B46),0)+IF('計算A'!EJ$117=1,INDEX('計算A'!EK$10:EK$54,$B46),0))*500,0)-IF(AND('計算A'!EI$117=1,ZG46&gt;0),300,0)-IF(AND($L46=1,'計算A'!EJ$117=1,II46=0),300,0))),1000000))</f>
        <v/>
      </c>
      <c r="TM46">
        <f>IF($B46=0,1000000,IF(INDEX('計算A'!$D$60:$EQ$104,$B46,138)*II46=1,IF(AND($E46=2,NX46=0),1000000,IF($I46&gt;0,IF(6=$J46,IF(OR(AND(138=$I46+1,OR($K46&lt;&gt;'計算A'!$A$3,'計算A'!$A$4=0)),AND(138=$I46-1,OR(18&lt;&gt;'計算A'!$A$3,'計算A'!$A$4=0))),0,IF(18=$K46,200000,ABS(18-$K46)*100)),100000+ABS(6-$J46)*1000+180)+'計算A'!EK$5*50+IF(AND($E46=1,NX46=0),25,0),INDEX('計算A'!EK$110:EK$114,$F46+1)+IF(AND($E46=1,NX46=0),1000,0)+IF($H46=1,(IF('計算A'!EJ$117=1,INDEX('計算A'!EJ$10:EJ$54,$B46),0)+IF('計算A'!EK$117=1,INDEX('計算A'!EL$10:EL$54,$B46),0))*500,0)-IF(AND('計算A'!EJ$117=1,ZH46&gt;0),300,0)-IF(AND($L46=1,'計算A'!EK$117=1,IJ46=0),300,0))),1000000))</f>
        <v/>
      </c>
      <c r="TN46">
        <f>IF($B46=0,1000000,IF(INDEX('計算A'!$D$60:$EQ$104,$B46,139)*IJ46=1,IF(AND($E46=2,NY46=0),1000000,IF($I46&gt;0,IF(6=$J46,IF(OR(AND(139=$I46+1,OR($K46&lt;&gt;'計算A'!$A$3,'計算A'!$A$4=0)),AND(139=$I46-1,OR(19&lt;&gt;'計算A'!$A$3,'計算A'!$A$4=0))),0,IF(19=$K46,200000,ABS(19-$K46)*100)),100000+ABS(6-$J46)*1000+190)+'計算A'!EL$5*50+IF(AND($E46=1,NY46=0),25,0),INDEX('計算A'!EL$110:EL$114,$F46+1)+IF(AND($E46=1,NY46=0),1000,0)+IF($H46=1,(IF('計算A'!EK$117=1,INDEX('計算A'!EK$10:EK$54,$B46),0)+IF('計算A'!EL$117=1,INDEX('計算A'!EM$10:EM$54,$B46),0))*500,0)-IF(AND('計算A'!EK$117=1,ZI46&gt;0),300,0)-IF(AND($L46=1,'計算A'!EL$117=1,IK46=0),300,0))),1000000))</f>
        <v/>
      </c>
      <c r="TO46">
        <f>IF($B46=0,1000000,IF(INDEX('計算A'!$D$60:$EQ$104,$B46,140)*IK46=1,IF(AND($E46=2,NZ46=0),1000000,IF($I46&gt;0,IF(6=$J46,IF(OR(AND(140=$I46+1,OR($K46&lt;&gt;'計算A'!$A$3,'計算A'!$A$4=0)),AND(140=$I46-1,OR(20&lt;&gt;'計算A'!$A$3,'計算A'!$A$4=0))),0,IF(20=$K46,200000,ABS(20-$K46)*100)),100000+ABS(6-$J46)*1000+200)+'計算A'!EM$5*50+IF(AND($E46=1,NZ46=0),25,0),INDEX('計算A'!EM$110:EM$114,$F46+1)+IF(AND($E46=1,NZ46=0),1000,0)+IF($H46=1,(IF('計算A'!EL$117=1,INDEX('計算A'!EL$10:EL$54,$B46),0)+IF('計算A'!EM$117=1,INDEX('計算A'!EN$10:EN$54,$B46),0))*500,0)-IF(AND('計算A'!EL$117=1,ZJ46&gt;0),300,0)-IF(AND($L46=1,'計算A'!EM$117=1,IL46=0),300,0))),1000000))</f>
        <v/>
      </c>
      <c r="TP46">
        <f>IF($B46=0,1000000,IF(INDEX('計算A'!$D$60:$EQ$104,$B46,141)*IL46=1,IF(AND($E46=2,OA46=0),1000000,IF($I46&gt;0,IF(6=$J46,IF(OR(AND(141=$I46+1,OR($K46&lt;&gt;'計算A'!$A$3,'計算A'!$A$4=0)),AND(141=$I46-1,OR(21&lt;&gt;'計算A'!$A$3,'計算A'!$A$4=0))),0,IF(21=$K46,200000,ABS(21-$K46)*100)),100000+ABS(6-$J46)*1000+210)+'計算A'!EN$5*50+IF(AND($E46=1,OA46=0),25,0),INDEX('計算A'!EN$110:EN$114,$F46+1)+IF(AND($E46=1,OA46=0),1000,0)+IF($H46=1,(IF('計算A'!EM$117=1,INDEX('計算A'!EM$10:EM$54,$B46),0)+IF('計算A'!EN$117=1,INDEX('計算A'!EO$10:EO$54,$B46),0))*500,0)-IF(AND('計算A'!EM$117=1,ZK46&gt;0),300,0)-IF(AND($L46=1,'計算A'!EN$117=1,IM46=0),300,0))),1000000))</f>
        <v/>
      </c>
      <c r="TQ46">
        <f>IF($B46=0,1000000,IF(INDEX('計算A'!$D$60:$EQ$104,$B46,142)*IM46=1,IF(AND($E46=2,OB46=0),1000000,IF($I46&gt;0,IF(6=$J46,IF(OR(AND(142=$I46+1,OR($K46&lt;&gt;'計算A'!$A$3,'計算A'!$A$4=0)),AND(142=$I46-1,OR(22&lt;&gt;'計算A'!$A$3,'計算A'!$A$4=0))),0,IF(22=$K46,200000,ABS(22-$K46)*100)),100000+ABS(6-$J46)*1000+220)+'計算A'!EO$5*50+IF(AND($E46=1,OB46=0),25,0),INDEX('計算A'!EO$110:EO$114,$F46+1)+IF(AND($E46=1,OB46=0),1000,0)+IF($H46=1,(IF('計算A'!EN$117=1,INDEX('計算A'!EN$10:EN$54,$B46),0)+IF('計算A'!EO$117=1,INDEX('計算A'!EP$10:EP$54,$B46),0))*500,0)-IF(AND('計算A'!EN$117=1,ZL46&gt;0),300,0)-IF(AND($L46=1,'計算A'!EO$117=1,IN46=0),300,0))),1000000))</f>
        <v/>
      </c>
      <c r="TR46">
        <f>IF($B46=0,1000000,IF(INDEX('計算A'!$D$60:$EQ$104,$B46,143)*IN46=1,IF(AND($E46=2,OC46=0),1000000,IF($I46&gt;0,IF(6=$J46,IF(OR(AND(143=$I46+1,OR($K46&lt;&gt;'計算A'!$A$3,'計算A'!$A$4=0)),AND(143=$I46-1,OR(23&lt;&gt;'計算A'!$A$3,'計算A'!$A$4=0))),0,IF(23=$K46,200000,ABS(23-$K46)*100)),100000+ABS(6-$J46)*1000+230)+'計算A'!EP$5*50+IF(AND($E46=1,OC46=0),25,0),INDEX('計算A'!EP$110:EP$114,$F46+1)+IF(AND($E46=1,OC46=0),1000,0)+IF($H46=1,(IF('計算A'!EO$117=1,INDEX('計算A'!EO$10:EO$54,$B46),0)+IF('計算A'!EP$117=1,INDEX('計算A'!EQ$10:EQ$54,$B46),0))*500,0)-IF(AND('計算A'!EO$117=1,ZM46&gt;0),300,0)-IF(AND($L46=1,'計算A'!EP$117=1,IO46=0),300,0))),1000000))</f>
        <v/>
      </c>
      <c r="TS46">
        <f>IF($B46=0,1000000,IF(INDEX('計算A'!$D$60:$EQ$104,$B46,144)*IO46=1,IF(AND($E46=2,OD46=0),1000000,IF($I46&gt;0,IF(6=$J46,IF(OR(AND(144=$I46+1,OR($K46&lt;&gt;'計算A'!$A$3,'計算A'!$A$4=0)),AND(144=$I46-1,OR(24&lt;&gt;'計算A'!$A$3,'計算A'!$A$4=0))),0,IF(24=$K46,200000,ABS(24-$K46)*100)),100000+ABS(6-$J46)*1000+240)+'計算A'!EQ$5*50+IF(AND($E46=1,OD46=0),25,0),INDEX('計算A'!EQ$110:EQ$114,$F46+1)+IF(AND($E46=1,OD46=0),1000,0)+IF($H46=1,(IF('計算A'!EP$117=1,INDEX('計算A'!EP$10:EP$54,$B46),0))*500,0)-IF(AND('計算A'!EP$117=1,ZN46&gt;0),300,0))),1000000))</f>
        <v/>
      </c>
      <c r="UB46">
        <f>UB45+IF(AND($C45=1,$L45=1),1,0)</f>
        <v/>
      </c>
      <c r="UC46">
        <f>UC45+IF(AND($C45=2,$L45=1),1,0)</f>
        <v/>
      </c>
      <c r="UD46">
        <f>UD45+IF(AND($C45=3,$L45=1),1,0)</f>
        <v/>
      </c>
      <c r="UE46">
        <f>UE45+IF(AND($C45=4,$L45=1),1,0)</f>
        <v/>
      </c>
      <c r="UF46">
        <f>UF45+IF(AND($C45=5,$L45=1),1,0)</f>
        <v/>
      </c>
      <c r="UG46">
        <f>UG45+IF(AND($C45=6,$L45=1),1,0)</f>
        <v/>
      </c>
      <c r="UH46">
        <f>UH45+IF(AND($C45=7,$L45=1),1,0)</f>
        <v/>
      </c>
      <c r="UI46">
        <f>UI45+IF(AND($C45=8,$L45=1),1,0)</f>
        <v/>
      </c>
      <c r="UJ46">
        <f>UJ45+IF(AND($C45=9,$L45=1),1,0)</f>
        <v/>
      </c>
      <c r="UK46">
        <f>UK45+IF(AND($C45=10,$L45=1),1,0)</f>
        <v/>
      </c>
      <c r="UL46">
        <f>UL45+IF(AND($C45=11,$L45=1),1,0)</f>
        <v/>
      </c>
      <c r="UM46">
        <f>UM45+IF(AND($C45=12,$L45=1),1,0)</f>
        <v/>
      </c>
      <c r="UN46">
        <f>UN45+IF(AND($C45=13,$L45=1),1,0)</f>
        <v/>
      </c>
      <c r="UO46">
        <f>UO45+IF(AND($C45=14,$L45=1),1,0)</f>
        <v/>
      </c>
      <c r="UP46">
        <f>UP45+IF(AND($C45=15,$L45=1),1,0)</f>
        <v/>
      </c>
      <c r="UQ46">
        <f>UQ45+IF(AND($C45=16,$L45=1),1,0)</f>
        <v/>
      </c>
      <c r="UR46">
        <f>UR45+IF(AND($C45=17,$L45=1),1,0)</f>
        <v/>
      </c>
      <c r="US46">
        <f>US45+IF(AND($C45=18,$L45=1),1,0)</f>
        <v/>
      </c>
      <c r="UT46">
        <f>UT45+IF(AND($C45=19,$L45=1),1,0)</f>
        <v/>
      </c>
      <c r="UU46">
        <f>UU45+IF(AND($C45=20,$L45=1),1,0)</f>
        <v/>
      </c>
      <c r="UV46">
        <f>UV45+IF(AND($C45=21,$L45=1),1,0)</f>
        <v/>
      </c>
      <c r="UW46">
        <f>UW45+IF(AND($C45=22,$L45=1),1,0)</f>
        <v/>
      </c>
      <c r="UX46">
        <f>UX45+IF(AND($C45=23,$L45=1),1,0)</f>
        <v/>
      </c>
      <c r="UY46">
        <f>UY45+IF(AND($C45=24,$L45=1),1,0)</f>
        <v/>
      </c>
      <c r="UZ46">
        <f>UZ45+IF(AND($C45=25,$L45=1),1,0)</f>
        <v/>
      </c>
      <c r="VA46">
        <f>VA45+IF(AND($C45=26,$L45=1),1,0)</f>
        <v/>
      </c>
      <c r="VB46">
        <f>VB45+IF(AND($C45=27,$L45=1),1,0)</f>
        <v/>
      </c>
      <c r="VC46">
        <f>VC45+IF(AND($C45=28,$L45=1),1,0)</f>
        <v/>
      </c>
      <c r="VD46">
        <f>VD45+IF(AND($C45=29,$L45=1),1,0)</f>
        <v/>
      </c>
      <c r="VE46">
        <f>VE45+IF(AND($C45=30,$L45=1),1,0)</f>
        <v/>
      </c>
      <c r="VF46">
        <f>VF45+IF(AND($C45=31,$L45=1),1,0)</f>
        <v/>
      </c>
      <c r="VG46">
        <f>VG45+IF(AND($C45=32,$L45=1),1,0)</f>
        <v/>
      </c>
      <c r="VH46">
        <f>VH45+IF(AND($C45=33,$L45=1),1,0)</f>
        <v/>
      </c>
      <c r="VI46">
        <f>VI45+IF(AND($C45=34,$L45=1),1,0)</f>
        <v/>
      </c>
      <c r="VJ46">
        <f>VJ45+IF(AND($C45=35,$L45=1),1,0)</f>
        <v/>
      </c>
      <c r="VK46">
        <f>VK45+IF(AND($C45=36,$L45=1),1,0)</f>
        <v/>
      </c>
      <c r="VL46">
        <f>VL45+IF(AND($C45=37,$L45=1),1,0)</f>
        <v/>
      </c>
      <c r="VM46">
        <f>VM45+IF(AND($C45=38,$L45=1),1,0)</f>
        <v/>
      </c>
      <c r="VN46">
        <f>VN45+IF(AND($C45=39,$L45=1),1,0)</f>
        <v/>
      </c>
      <c r="VO46">
        <f>VO45+IF(AND($C45=40,$L45=1),1,0)</f>
        <v/>
      </c>
      <c r="VP46">
        <f>VP45+IF(AND($C45=41,$L45=1),1,0)</f>
        <v/>
      </c>
      <c r="VQ46">
        <f>VQ45+IF(AND($C45=42,$L45=1),1,0)</f>
        <v/>
      </c>
      <c r="VR46">
        <f>VR45+IF(AND($C45=43,$L45=1),1,0)</f>
        <v/>
      </c>
      <c r="VS46">
        <f>VS45+IF(AND($C45=44,$L45=1),1,0)</f>
        <v/>
      </c>
      <c r="VT46">
        <f>VT45+IF(AND($C45=45,$L45=1),1,0)</f>
        <v/>
      </c>
      <c r="VU46">
        <f>VU45+IF(AND($C45=46,$L45=1),1,0)</f>
        <v/>
      </c>
      <c r="VV46">
        <f>VV45+IF(AND($C45=47,$L45=1),1,0)</f>
        <v/>
      </c>
      <c r="VW46">
        <f>VW45+IF(AND($C45=48,$L45=1),1,0)</f>
        <v/>
      </c>
      <c r="VX46">
        <f>VX45+IF(AND($C45=49,$L45=1),1,0)</f>
        <v/>
      </c>
      <c r="VY46">
        <f>VY45+IF(AND($C45=50,$L45=1),1,0)</f>
        <v/>
      </c>
      <c r="VZ46">
        <f>VZ45+IF(AND($C45=51,$L45=1),1,0)</f>
        <v/>
      </c>
      <c r="WA46">
        <f>WA45+IF(AND($C45=52,$L45=1),1,0)</f>
        <v/>
      </c>
      <c r="WB46">
        <f>WB45+IF(AND($C45=53,$L45=1),1,0)</f>
        <v/>
      </c>
      <c r="WC46">
        <f>WC45+IF(AND($C45=54,$L45=1),1,0)</f>
        <v/>
      </c>
      <c r="WD46">
        <f>WD45+IF(AND($C45=55,$L45=1),1,0)</f>
        <v/>
      </c>
      <c r="WE46">
        <f>WE45+IF(AND($C45=56,$L45=1),1,0)</f>
        <v/>
      </c>
      <c r="WF46">
        <f>WF45+IF(AND($C45=57,$L45=1),1,0)</f>
        <v/>
      </c>
      <c r="WG46">
        <f>WG45+IF(AND($C45=58,$L45=1),1,0)</f>
        <v/>
      </c>
      <c r="WH46">
        <f>WH45+IF(AND($C45=59,$L45=1),1,0)</f>
        <v/>
      </c>
      <c r="WI46">
        <f>WI45+IF(AND($C45=60,$L45=1),1,0)</f>
        <v/>
      </c>
      <c r="WJ46">
        <f>WJ45+IF(AND($C45=61,$L45=1),1,0)</f>
        <v/>
      </c>
      <c r="WK46">
        <f>WK45+IF(AND($C45=62,$L45=1),1,0)</f>
        <v/>
      </c>
      <c r="WL46">
        <f>WL45+IF(AND($C45=63,$L45=1),1,0)</f>
        <v/>
      </c>
      <c r="WM46">
        <f>WM45+IF(AND($C45=64,$L45=1),1,0)</f>
        <v/>
      </c>
      <c r="WN46">
        <f>WN45+IF(AND($C45=65,$L45=1),1,0)</f>
        <v/>
      </c>
      <c r="WO46">
        <f>WO45+IF(AND($C45=66,$L45=1),1,0)</f>
        <v/>
      </c>
      <c r="WP46">
        <f>WP45+IF(AND($C45=67,$L45=1),1,0)</f>
        <v/>
      </c>
      <c r="WQ46">
        <f>WQ45+IF(AND($C45=68,$L45=1),1,0)</f>
        <v/>
      </c>
      <c r="WR46">
        <f>WR45+IF(AND($C45=69,$L45=1),1,0)</f>
        <v/>
      </c>
      <c r="WS46">
        <f>WS45+IF(AND($C45=70,$L45=1),1,0)</f>
        <v/>
      </c>
      <c r="WT46">
        <f>WT45+IF(AND($C45=71,$L45=1),1,0)</f>
        <v/>
      </c>
      <c r="WU46">
        <f>WU45+IF(AND($C45=72,$L45=1),1,0)</f>
        <v/>
      </c>
      <c r="WV46">
        <f>WV45+IF(AND($C45=73,$L45=1),1,0)</f>
        <v/>
      </c>
      <c r="WW46">
        <f>WW45+IF(AND($C45=74,$L45=1),1,0)</f>
        <v/>
      </c>
      <c r="WX46">
        <f>WX45+IF(AND($C45=75,$L45=1),1,0)</f>
        <v/>
      </c>
      <c r="WY46">
        <f>WY45+IF(AND($C45=76,$L45=1),1,0)</f>
        <v/>
      </c>
      <c r="WZ46">
        <f>WZ45+IF(AND($C45=77,$L45=1),1,0)</f>
        <v/>
      </c>
      <c r="XA46">
        <f>XA45+IF(AND($C45=78,$L45=1),1,0)</f>
        <v/>
      </c>
      <c r="XB46">
        <f>XB45+IF(AND($C45=79,$L45=1),1,0)</f>
        <v/>
      </c>
      <c r="XC46">
        <f>XC45+IF(AND($C45=80,$L45=1),1,0)</f>
        <v/>
      </c>
      <c r="XD46">
        <f>XD45+IF(AND($C45=81,$L45=1),1,0)</f>
        <v/>
      </c>
      <c r="XE46">
        <f>XE45+IF(AND($C45=82,$L45=1),1,0)</f>
        <v/>
      </c>
      <c r="XF46">
        <f>XF45+IF(AND($C45=83,$L45=1),1,0)</f>
        <v/>
      </c>
      <c r="XG46">
        <f>XG45+IF(AND($C45=84,$L45=1),1,0)</f>
        <v/>
      </c>
      <c r="XH46">
        <f>XH45+IF(AND($C45=85,$L45=1),1,0)</f>
        <v/>
      </c>
      <c r="XI46">
        <f>XI45+IF(AND($C45=86,$L45=1),1,0)</f>
        <v/>
      </c>
      <c r="XJ46">
        <f>XJ45+IF(AND($C45=87,$L45=1),1,0)</f>
        <v/>
      </c>
      <c r="XK46">
        <f>XK45+IF(AND($C45=88,$L45=1),1,0)</f>
        <v/>
      </c>
      <c r="XL46">
        <f>XL45+IF(AND($C45=89,$L45=1),1,0)</f>
        <v/>
      </c>
      <c r="XM46">
        <f>XM45+IF(AND($C45=90,$L45=1),1,0)</f>
        <v/>
      </c>
      <c r="XN46">
        <f>XN45+IF(AND($C45=91,$L45=1),1,0)</f>
        <v/>
      </c>
      <c r="XO46">
        <f>XO45+IF(AND($C45=92,$L45=1),1,0)</f>
        <v/>
      </c>
      <c r="XP46">
        <f>XP45+IF(AND($C45=93,$L45=1),1,0)</f>
        <v/>
      </c>
      <c r="XQ46">
        <f>XQ45+IF(AND($C45=94,$L45=1),1,0)</f>
        <v/>
      </c>
      <c r="XR46">
        <f>XR45+IF(AND($C45=95,$L45=1),1,0)</f>
        <v/>
      </c>
      <c r="XS46">
        <f>XS45+IF(AND($C45=96,$L45=1),1,0)</f>
        <v/>
      </c>
      <c r="XT46">
        <f>XT45+IF(AND($C45=97,$L45=1),1,0)</f>
        <v/>
      </c>
      <c r="XU46">
        <f>XU45+IF(AND($C45=98,$L45=1),1,0)</f>
        <v/>
      </c>
      <c r="XV46">
        <f>XV45+IF(AND($C45=99,$L45=1),1,0)</f>
        <v/>
      </c>
      <c r="XW46">
        <f>XW45+IF(AND($C45=100,$L45=1),1,0)</f>
        <v/>
      </c>
      <c r="XX46">
        <f>XX45+IF(AND($C45=101,$L45=1),1,0)</f>
        <v/>
      </c>
      <c r="XY46">
        <f>XY45+IF(AND($C45=102,$L45=1),1,0)</f>
        <v/>
      </c>
      <c r="XZ46">
        <f>XZ45+IF(AND($C45=103,$L45=1),1,0)</f>
        <v/>
      </c>
      <c r="YA46">
        <f>YA45+IF(AND($C45=104,$L45=1),1,0)</f>
        <v/>
      </c>
      <c r="YB46">
        <f>YB45+IF(AND($C45=105,$L45=1),1,0)</f>
        <v/>
      </c>
      <c r="YC46">
        <f>YC45+IF(AND($C45=106,$L45=1),1,0)</f>
        <v/>
      </c>
      <c r="YD46">
        <f>YD45+IF(AND($C45=107,$L45=1),1,0)</f>
        <v/>
      </c>
      <c r="YE46">
        <f>YE45+IF(AND($C45=108,$L45=1),1,0)</f>
        <v/>
      </c>
      <c r="YF46">
        <f>YF45+IF(AND($C45=109,$L45=1),1,0)</f>
        <v/>
      </c>
      <c r="YG46">
        <f>YG45+IF(AND($C45=110,$L45=1),1,0)</f>
        <v/>
      </c>
      <c r="YH46">
        <f>YH45+IF(AND($C45=111,$L45=1),1,0)</f>
        <v/>
      </c>
      <c r="YI46">
        <f>YI45+IF(AND($C45=112,$L45=1),1,0)</f>
        <v/>
      </c>
      <c r="YJ46">
        <f>YJ45+IF(AND($C45=113,$L45=1),1,0)</f>
        <v/>
      </c>
      <c r="YK46">
        <f>YK45+IF(AND($C45=114,$L45=1),1,0)</f>
        <v/>
      </c>
      <c r="YL46">
        <f>YL45+IF(AND($C45=115,$L45=1),1,0)</f>
        <v/>
      </c>
      <c r="YM46">
        <f>YM45+IF(AND($C45=116,$L45=1),1,0)</f>
        <v/>
      </c>
      <c r="YN46">
        <f>YN45+IF(AND($C45=117,$L45=1),1,0)</f>
        <v/>
      </c>
      <c r="YO46">
        <f>YO45+IF(AND($C45=118,$L45=1),1,0)</f>
        <v/>
      </c>
      <c r="YP46">
        <f>YP45+IF(AND($C45=119,$L45=1),1,0)</f>
        <v/>
      </c>
      <c r="YQ46">
        <f>YQ45+IF(AND($C45=120,$L45=1),1,0)</f>
        <v/>
      </c>
      <c r="YR46">
        <f>YR45+IF(AND($C45=121,$L45=1),1,0)</f>
        <v/>
      </c>
      <c r="YS46">
        <f>YS45+IF(AND($C45=122,$L45=1),1,0)</f>
        <v/>
      </c>
      <c r="YT46">
        <f>YT45+IF(AND($C45=123,$L45=1),1,0)</f>
        <v/>
      </c>
      <c r="YU46">
        <f>YU45+IF(AND($C45=124,$L45=1),1,0)</f>
        <v/>
      </c>
      <c r="YV46">
        <f>YV45+IF(AND($C45=125,$L45=1),1,0)</f>
        <v/>
      </c>
      <c r="YW46">
        <f>YW45+IF(AND($C45=126,$L45=1),1,0)</f>
        <v/>
      </c>
      <c r="YX46">
        <f>YX45+IF(AND($C45=127,$L45=1),1,0)</f>
        <v/>
      </c>
      <c r="YY46">
        <f>YY45+IF(AND($C45=128,$L45=1),1,0)</f>
        <v/>
      </c>
      <c r="YZ46">
        <f>YZ45+IF(AND($C45=129,$L45=1),1,0)</f>
        <v/>
      </c>
      <c r="ZA46">
        <f>ZA45+IF(AND($C45=130,$L45=1),1,0)</f>
        <v/>
      </c>
      <c r="ZB46">
        <f>ZB45+IF(AND($C45=131,$L45=1),1,0)</f>
        <v/>
      </c>
      <c r="ZC46">
        <f>ZC45+IF(AND($C45=132,$L45=1),1,0)</f>
        <v/>
      </c>
      <c r="ZD46">
        <f>ZD45+IF(AND($C45=133,$L45=1),1,0)</f>
        <v/>
      </c>
      <c r="ZE46">
        <f>ZE45+IF(AND($C45=134,$L45=1),1,0)</f>
        <v/>
      </c>
      <c r="ZF46">
        <f>ZF45+IF(AND($C45=135,$L45=1),1,0)</f>
        <v/>
      </c>
      <c r="ZG46">
        <f>ZG45+IF(AND($C45=136,$L45=1),1,0)</f>
        <v/>
      </c>
      <c r="ZH46">
        <f>ZH45+IF(AND($C45=137,$L45=1),1,0)</f>
        <v/>
      </c>
      <c r="ZI46">
        <f>ZI45+IF(AND($C45=138,$L45=1),1,0)</f>
        <v/>
      </c>
      <c r="ZJ46">
        <f>ZJ45+IF(AND($C45=139,$L45=1),1,0)</f>
        <v/>
      </c>
      <c r="ZK46">
        <f>ZK45+IF(AND($C45=140,$L45=1),1,0)</f>
        <v/>
      </c>
      <c r="ZL46">
        <f>ZL45+IF(AND($C45=141,$L45=1),1,0)</f>
        <v/>
      </c>
      <c r="ZM46">
        <f>ZM45+IF(AND($C45=142,$L45=1),1,0)</f>
        <v/>
      </c>
      <c r="ZN46">
        <f>ZN45+IF(AND($C45=143,$L45=1),1,0)</f>
        <v/>
      </c>
      <c r="ZO46">
        <f>ZO45+IF(AND($C45=144,$L45=1),1,0)</f>
        <v/>
      </c>
    </row>
    <row r="47">
      <c r="A47" t="n">
        <v>45</v>
      </c>
      <c r="B47">
        <f>IF(MIN(BH47:CZ47)&gt;=1000000,0,MATCH(MIN(BH47:CZ47),BH47:CZ47,0))</f>
        <v/>
      </c>
      <c r="C47">
        <f>IF(MIN(OF47:TS47)&gt;=1000000,0,MATCH(MIN(OF47:TS47),OF47:TS47,0))</f>
        <v/>
      </c>
      <c r="D47">
        <f>IF(C47&gt;0,INDEX('計算A'!$D$5:$EQ$5,C47),0)</f>
        <v/>
      </c>
      <c r="E47">
        <f>IF(B47=0,0,INDEX('計算A'!$IQ$10:$IQ$54,B47))</f>
        <v/>
      </c>
      <c r="F47">
        <f>IF(B47=0,0,INDEX('計算A'!$IP$10:$IP$54,B47))</f>
        <v/>
      </c>
      <c r="G47">
        <f>IF(AND(C47&gt;0,E47&gt;0),IF(AND(INDEX('計算A'!$D$106:$EQ$106,C47)=1,INDEX($IQ47:$OD47,C47)=1),C47+1,0),0)</f>
        <v/>
      </c>
      <c r="H47">
        <f>IF(B47=0,0,INDEX('計算A'!$IW$10:$IW$54,B47))</f>
        <v/>
      </c>
      <c r="I47">
        <f>IF(B47=0,0,MAX(0,INDEX('計算A'!$IT$10:$IT$54,B47)))</f>
        <v/>
      </c>
      <c r="J47">
        <f>IF(I47=0,0,INDEX('計算A'!$D$2:$EQ$2,I47))</f>
        <v/>
      </c>
      <c r="K47">
        <f>IF(I47=0,0,INDEX('計算A'!$D$3:$EQ$3,I47))</f>
        <v/>
      </c>
      <c r="L47">
        <f>IF(B47=0,0,INDEX('計算A'!$IX$10:$IX$54,B47))</f>
        <v/>
      </c>
      <c r="N47">
        <f>MAX(N46,IF($B46=1,1,0))</f>
        <v/>
      </c>
      <c r="O47">
        <f>MAX(O46,IF($B46=2,1,0))</f>
        <v/>
      </c>
      <c r="P47">
        <f>MAX(P46,IF($B46=3,1,0))</f>
        <v/>
      </c>
      <c r="Q47">
        <f>MAX(Q46,IF($B46=4,1,0))</f>
        <v/>
      </c>
      <c r="R47">
        <f>MAX(R46,IF($B46=5,1,0))</f>
        <v/>
      </c>
      <c r="S47">
        <f>MAX(S46,IF($B46=6,1,0))</f>
        <v/>
      </c>
      <c r="T47">
        <f>MAX(T46,IF($B46=7,1,0))</f>
        <v/>
      </c>
      <c r="U47">
        <f>MAX(U46,IF($B46=8,1,0))</f>
        <v/>
      </c>
      <c r="V47">
        <f>MAX(V46,IF($B46=9,1,0))</f>
        <v/>
      </c>
      <c r="W47">
        <f>MAX(W46,IF($B46=10,1,0))</f>
        <v/>
      </c>
      <c r="X47">
        <f>MAX(X46,IF($B46=11,1,0))</f>
        <v/>
      </c>
      <c r="Y47">
        <f>MAX(Y46,IF($B46=12,1,0))</f>
        <v/>
      </c>
      <c r="Z47">
        <f>MAX(Z46,IF($B46=13,1,0))</f>
        <v/>
      </c>
      <c r="AA47">
        <f>MAX(AA46,IF($B46=14,1,0))</f>
        <v/>
      </c>
      <c r="AB47">
        <f>MAX(AB46,IF($B46=15,1,0))</f>
        <v/>
      </c>
      <c r="AC47">
        <f>MAX(AC46,IF($B46=16,1,0))</f>
        <v/>
      </c>
      <c r="AD47">
        <f>MAX(AD46,IF($B46=17,1,0))</f>
        <v/>
      </c>
      <c r="AE47">
        <f>MAX(AE46,IF($B46=18,1,0))</f>
        <v/>
      </c>
      <c r="AF47">
        <f>MAX(AF46,IF($B46=19,1,0))</f>
        <v/>
      </c>
      <c r="AG47">
        <f>MAX(AG46,IF($B46=20,1,0))</f>
        <v/>
      </c>
      <c r="AH47">
        <f>MAX(AH46,IF($B46=21,1,0))</f>
        <v/>
      </c>
      <c r="AI47">
        <f>MAX(AI46,IF($B46=22,1,0))</f>
        <v/>
      </c>
      <c r="AJ47">
        <f>MAX(AJ46,IF($B46=23,1,0))</f>
        <v/>
      </c>
      <c r="AK47">
        <f>MAX(AK46,IF($B46=24,1,0))</f>
        <v/>
      </c>
      <c r="AL47">
        <f>MAX(AL46,IF($B46=25,1,0))</f>
        <v/>
      </c>
      <c r="AM47">
        <f>MAX(AM46,IF($B46=26,1,0))</f>
        <v/>
      </c>
      <c r="AN47">
        <f>MAX(AN46,IF($B46=27,1,0))</f>
        <v/>
      </c>
      <c r="AO47">
        <f>MAX(AO46,IF($B46=28,1,0))</f>
        <v/>
      </c>
      <c r="AP47">
        <f>MAX(AP46,IF($B46=29,1,0))</f>
        <v/>
      </c>
      <c r="AQ47">
        <f>MAX(AQ46,IF($B46=30,1,0))</f>
        <v/>
      </c>
      <c r="AR47">
        <f>MAX(AR46,IF($B46=31,1,0))</f>
        <v/>
      </c>
      <c r="AS47">
        <f>MAX(AS46,IF($B46=32,1,0))</f>
        <v/>
      </c>
      <c r="AT47">
        <f>MAX(AT46,IF($B46=33,1,0))</f>
        <v/>
      </c>
      <c r="AU47">
        <f>MAX(AU46,IF($B46=34,1,0))</f>
        <v/>
      </c>
      <c r="AV47">
        <f>MAX(AV46,IF($B46=35,1,0))</f>
        <v/>
      </c>
      <c r="AW47">
        <f>MAX(AW46,IF($B46=36,1,0))</f>
        <v/>
      </c>
      <c r="AX47">
        <f>MAX(AX46,IF($B46=37,1,0))</f>
        <v/>
      </c>
      <c r="AY47">
        <f>MAX(AY46,IF($B46=38,1,0))</f>
        <v/>
      </c>
      <c r="AZ47">
        <f>MAX(AZ46,IF($B46=39,1,0))</f>
        <v/>
      </c>
      <c r="BA47">
        <f>MAX(BA46,IF($B46=40,1,0))</f>
        <v/>
      </c>
      <c r="BB47">
        <f>MAX(BB46,IF($B46=41,1,0))</f>
        <v/>
      </c>
      <c r="BC47">
        <f>MAX(BC46,IF($B46=42,1,0))</f>
        <v/>
      </c>
      <c r="BD47">
        <f>MAX(BD46,IF($B46=43,1,0))</f>
        <v/>
      </c>
      <c r="BE47">
        <f>MAX(BE46,IF($B46=44,1,0))</f>
        <v/>
      </c>
      <c r="BF47">
        <f>MAX(BF46,IF($B46=45,1,0))</f>
        <v/>
      </c>
      <c r="BH47">
        <f>IF(N47=1,1000000,IF('計算A'!$IT$10&gt;0,0,500000)+IF('計算A'!$IQ$10=2,SUMPRODUCT('計算A'!$D$60:$EQ$60,$DB47:$IO47,$IQ47:$OD47),SUMPRODUCT('計算A'!$D$60:$EQ$60,$DB47:$IO47))*1000+1)</f>
        <v/>
      </c>
      <c r="BI47">
        <f>IF(O47=1,1000000,IF('計算A'!$IT$11&gt;0,0,500000)+IF('計算A'!$IQ$11=2,SUMPRODUCT('計算A'!$D$61:$EQ$61,$DB47:$IO47,$IQ47:$OD47),SUMPRODUCT('計算A'!$D$61:$EQ$61,$DB47:$IO47))*1000+2)</f>
        <v/>
      </c>
      <c r="BJ47">
        <f>IF(P47=1,1000000,IF('計算A'!$IT$12&gt;0,0,500000)+IF('計算A'!$IQ$12=2,SUMPRODUCT('計算A'!$D$62:$EQ$62,$DB47:$IO47,$IQ47:$OD47),SUMPRODUCT('計算A'!$D$62:$EQ$62,$DB47:$IO47))*1000+3)</f>
        <v/>
      </c>
      <c r="BK47">
        <f>IF(Q47=1,1000000,IF('計算A'!$IT$13&gt;0,0,500000)+IF('計算A'!$IQ$13=2,SUMPRODUCT('計算A'!$D$63:$EQ$63,$DB47:$IO47,$IQ47:$OD47),SUMPRODUCT('計算A'!$D$63:$EQ$63,$DB47:$IO47))*1000+4)</f>
        <v/>
      </c>
      <c r="BL47">
        <f>IF(R47=1,1000000,IF('計算A'!$IT$14&gt;0,0,500000)+IF('計算A'!$IQ$14=2,SUMPRODUCT('計算A'!$D$64:$EQ$64,$DB47:$IO47,$IQ47:$OD47),SUMPRODUCT('計算A'!$D$64:$EQ$64,$DB47:$IO47))*1000+5)</f>
        <v/>
      </c>
      <c r="BM47">
        <f>IF(S47=1,1000000,IF('計算A'!$IT$15&gt;0,0,500000)+IF('計算A'!$IQ$15=2,SUMPRODUCT('計算A'!$D$65:$EQ$65,$DB47:$IO47,$IQ47:$OD47),SUMPRODUCT('計算A'!$D$65:$EQ$65,$DB47:$IO47))*1000+6)</f>
        <v/>
      </c>
      <c r="BN47">
        <f>IF(T47=1,1000000,IF('計算A'!$IT$16&gt;0,0,500000)+IF('計算A'!$IQ$16=2,SUMPRODUCT('計算A'!$D$66:$EQ$66,$DB47:$IO47,$IQ47:$OD47),SUMPRODUCT('計算A'!$D$66:$EQ$66,$DB47:$IO47))*1000+7)</f>
        <v/>
      </c>
      <c r="BO47">
        <f>IF(U47=1,1000000,IF('計算A'!$IT$17&gt;0,0,500000)+IF('計算A'!$IQ$17=2,SUMPRODUCT('計算A'!$D$67:$EQ$67,$DB47:$IO47,$IQ47:$OD47),SUMPRODUCT('計算A'!$D$67:$EQ$67,$DB47:$IO47))*1000+8)</f>
        <v/>
      </c>
      <c r="BP47">
        <f>IF(V47=1,1000000,IF('計算A'!$IT$18&gt;0,0,500000)+IF('計算A'!$IQ$18=2,SUMPRODUCT('計算A'!$D$68:$EQ$68,$DB47:$IO47,$IQ47:$OD47),SUMPRODUCT('計算A'!$D$68:$EQ$68,$DB47:$IO47))*1000+9)</f>
        <v/>
      </c>
      <c r="BQ47">
        <f>IF(W47=1,1000000,IF('計算A'!$IT$19&gt;0,0,500000)+IF('計算A'!$IQ$19=2,SUMPRODUCT('計算A'!$D$69:$EQ$69,$DB47:$IO47,$IQ47:$OD47),SUMPRODUCT('計算A'!$D$69:$EQ$69,$DB47:$IO47))*1000+10)</f>
        <v/>
      </c>
      <c r="BR47">
        <f>IF(X47=1,1000000,IF('計算A'!$IT$20&gt;0,0,500000)+IF('計算A'!$IQ$20=2,SUMPRODUCT('計算A'!$D$70:$EQ$70,$DB47:$IO47,$IQ47:$OD47),SUMPRODUCT('計算A'!$D$70:$EQ$70,$DB47:$IO47))*1000+11)</f>
        <v/>
      </c>
      <c r="BS47">
        <f>IF(Y47=1,1000000,IF('計算A'!$IT$21&gt;0,0,500000)+IF('計算A'!$IQ$21=2,SUMPRODUCT('計算A'!$D$71:$EQ$71,$DB47:$IO47,$IQ47:$OD47),SUMPRODUCT('計算A'!$D$71:$EQ$71,$DB47:$IO47))*1000+12)</f>
        <v/>
      </c>
      <c r="BT47">
        <f>IF(Z47=1,1000000,IF('計算A'!$IT$22&gt;0,0,500000)+IF('計算A'!$IQ$22=2,SUMPRODUCT('計算A'!$D$72:$EQ$72,$DB47:$IO47,$IQ47:$OD47),SUMPRODUCT('計算A'!$D$72:$EQ$72,$DB47:$IO47))*1000+13)</f>
        <v/>
      </c>
      <c r="BU47">
        <f>IF(AA47=1,1000000,IF('計算A'!$IT$23&gt;0,0,500000)+IF('計算A'!$IQ$23=2,SUMPRODUCT('計算A'!$D$73:$EQ$73,$DB47:$IO47,$IQ47:$OD47),SUMPRODUCT('計算A'!$D$73:$EQ$73,$DB47:$IO47))*1000+14)</f>
        <v/>
      </c>
      <c r="BV47">
        <f>IF(AB47=1,1000000,IF('計算A'!$IT$24&gt;0,0,500000)+IF('計算A'!$IQ$24=2,SUMPRODUCT('計算A'!$D$74:$EQ$74,$DB47:$IO47,$IQ47:$OD47),SUMPRODUCT('計算A'!$D$74:$EQ$74,$DB47:$IO47))*1000+15)</f>
        <v/>
      </c>
      <c r="BW47">
        <f>IF(AC47=1,1000000,IF('計算A'!$IT$25&gt;0,0,500000)+IF('計算A'!$IQ$25=2,SUMPRODUCT('計算A'!$D$75:$EQ$75,$DB47:$IO47,$IQ47:$OD47),SUMPRODUCT('計算A'!$D$75:$EQ$75,$DB47:$IO47))*1000+16)</f>
        <v/>
      </c>
      <c r="BX47">
        <f>IF(AD47=1,1000000,IF('計算A'!$IT$26&gt;0,0,500000)+IF('計算A'!$IQ$26=2,SUMPRODUCT('計算A'!$D$76:$EQ$76,$DB47:$IO47,$IQ47:$OD47),SUMPRODUCT('計算A'!$D$76:$EQ$76,$DB47:$IO47))*1000+17)</f>
        <v/>
      </c>
      <c r="BY47">
        <f>IF(AE47=1,1000000,IF('計算A'!$IT$27&gt;0,0,500000)+IF('計算A'!$IQ$27=2,SUMPRODUCT('計算A'!$D$77:$EQ$77,$DB47:$IO47,$IQ47:$OD47),SUMPRODUCT('計算A'!$D$77:$EQ$77,$DB47:$IO47))*1000+18)</f>
        <v/>
      </c>
      <c r="BZ47">
        <f>IF(AF47=1,1000000,IF('計算A'!$IT$28&gt;0,0,500000)+IF('計算A'!$IQ$28=2,SUMPRODUCT('計算A'!$D$78:$EQ$78,$DB47:$IO47,$IQ47:$OD47),SUMPRODUCT('計算A'!$D$78:$EQ$78,$DB47:$IO47))*1000+19)</f>
        <v/>
      </c>
      <c r="CA47">
        <f>IF(AG47=1,1000000,IF('計算A'!$IT$29&gt;0,0,500000)+IF('計算A'!$IQ$29=2,SUMPRODUCT('計算A'!$D$79:$EQ$79,$DB47:$IO47,$IQ47:$OD47),SUMPRODUCT('計算A'!$D$79:$EQ$79,$DB47:$IO47))*1000+20)</f>
        <v/>
      </c>
      <c r="CB47">
        <f>IF(AH47=1,1000000,IF('計算A'!$IT$30&gt;0,0,500000)+IF('計算A'!$IQ$30=2,SUMPRODUCT('計算A'!$D$80:$EQ$80,$DB47:$IO47,$IQ47:$OD47),SUMPRODUCT('計算A'!$D$80:$EQ$80,$DB47:$IO47))*1000+21)</f>
        <v/>
      </c>
      <c r="CC47">
        <f>IF(AI47=1,1000000,IF('計算A'!$IT$31&gt;0,0,500000)+IF('計算A'!$IQ$31=2,SUMPRODUCT('計算A'!$D$81:$EQ$81,$DB47:$IO47,$IQ47:$OD47),SUMPRODUCT('計算A'!$D$81:$EQ$81,$DB47:$IO47))*1000+22)</f>
        <v/>
      </c>
      <c r="CD47">
        <f>IF(AJ47=1,1000000,IF('計算A'!$IT$32&gt;0,0,500000)+IF('計算A'!$IQ$32=2,SUMPRODUCT('計算A'!$D$82:$EQ$82,$DB47:$IO47,$IQ47:$OD47),SUMPRODUCT('計算A'!$D$82:$EQ$82,$DB47:$IO47))*1000+23)</f>
        <v/>
      </c>
      <c r="CE47">
        <f>IF(AK47=1,1000000,IF('計算A'!$IT$33&gt;0,0,500000)+IF('計算A'!$IQ$33=2,SUMPRODUCT('計算A'!$D$83:$EQ$83,$DB47:$IO47,$IQ47:$OD47),SUMPRODUCT('計算A'!$D$83:$EQ$83,$DB47:$IO47))*1000+24)</f>
        <v/>
      </c>
      <c r="CF47">
        <f>IF(AL47=1,1000000,IF('計算A'!$IT$34&gt;0,0,500000)+IF('計算A'!$IQ$34=2,SUMPRODUCT('計算A'!$D$84:$EQ$84,$DB47:$IO47,$IQ47:$OD47),SUMPRODUCT('計算A'!$D$84:$EQ$84,$DB47:$IO47))*1000+25)</f>
        <v/>
      </c>
      <c r="CG47">
        <f>IF(AM47=1,1000000,IF('計算A'!$IT$35&gt;0,0,500000)+IF('計算A'!$IQ$35=2,SUMPRODUCT('計算A'!$D$85:$EQ$85,$DB47:$IO47,$IQ47:$OD47),SUMPRODUCT('計算A'!$D$85:$EQ$85,$DB47:$IO47))*1000+26)</f>
        <v/>
      </c>
      <c r="CH47">
        <f>IF(AN47=1,1000000,IF('計算A'!$IT$36&gt;0,0,500000)+IF('計算A'!$IQ$36=2,SUMPRODUCT('計算A'!$D$86:$EQ$86,$DB47:$IO47,$IQ47:$OD47),SUMPRODUCT('計算A'!$D$86:$EQ$86,$DB47:$IO47))*1000+27)</f>
        <v/>
      </c>
      <c r="CI47">
        <f>IF(AO47=1,1000000,IF('計算A'!$IT$37&gt;0,0,500000)+IF('計算A'!$IQ$37=2,SUMPRODUCT('計算A'!$D$87:$EQ$87,$DB47:$IO47,$IQ47:$OD47),SUMPRODUCT('計算A'!$D$87:$EQ$87,$DB47:$IO47))*1000+28)</f>
        <v/>
      </c>
      <c r="CJ47">
        <f>IF(AP47=1,1000000,IF('計算A'!$IT$38&gt;0,0,500000)+IF('計算A'!$IQ$38=2,SUMPRODUCT('計算A'!$D$88:$EQ$88,$DB47:$IO47,$IQ47:$OD47),SUMPRODUCT('計算A'!$D$88:$EQ$88,$DB47:$IO47))*1000+29)</f>
        <v/>
      </c>
      <c r="CK47">
        <f>IF(AQ47=1,1000000,IF('計算A'!$IT$39&gt;0,0,500000)+IF('計算A'!$IQ$39=2,SUMPRODUCT('計算A'!$D$89:$EQ$89,$DB47:$IO47,$IQ47:$OD47),SUMPRODUCT('計算A'!$D$89:$EQ$89,$DB47:$IO47))*1000+30)</f>
        <v/>
      </c>
      <c r="CL47">
        <f>IF(AR47=1,1000000,IF('計算A'!$IT$40&gt;0,0,500000)+IF('計算A'!$IQ$40=2,SUMPRODUCT('計算A'!$D$90:$EQ$90,$DB47:$IO47,$IQ47:$OD47),SUMPRODUCT('計算A'!$D$90:$EQ$90,$DB47:$IO47))*1000+31)</f>
        <v/>
      </c>
      <c r="CM47">
        <f>IF(AS47=1,1000000,IF('計算A'!$IT$41&gt;0,0,500000)+IF('計算A'!$IQ$41=2,SUMPRODUCT('計算A'!$D$91:$EQ$91,$DB47:$IO47,$IQ47:$OD47),SUMPRODUCT('計算A'!$D$91:$EQ$91,$DB47:$IO47))*1000+32)</f>
        <v/>
      </c>
      <c r="CN47">
        <f>IF(AT47=1,1000000,IF('計算A'!$IT$42&gt;0,0,500000)+IF('計算A'!$IQ$42=2,SUMPRODUCT('計算A'!$D$92:$EQ$92,$DB47:$IO47,$IQ47:$OD47),SUMPRODUCT('計算A'!$D$92:$EQ$92,$DB47:$IO47))*1000+33)</f>
        <v/>
      </c>
      <c r="CO47">
        <f>IF(AU47=1,1000000,IF('計算A'!$IT$43&gt;0,0,500000)+IF('計算A'!$IQ$43=2,SUMPRODUCT('計算A'!$D$93:$EQ$93,$DB47:$IO47,$IQ47:$OD47),SUMPRODUCT('計算A'!$D$93:$EQ$93,$DB47:$IO47))*1000+34)</f>
        <v/>
      </c>
      <c r="CP47">
        <f>IF(AV47=1,1000000,IF('計算A'!$IT$44&gt;0,0,500000)+IF('計算A'!$IQ$44=2,SUMPRODUCT('計算A'!$D$94:$EQ$94,$DB47:$IO47,$IQ47:$OD47),SUMPRODUCT('計算A'!$D$94:$EQ$94,$DB47:$IO47))*1000+35)</f>
        <v/>
      </c>
      <c r="CQ47">
        <f>IF(AW47=1,1000000,IF('計算A'!$IT$45&gt;0,0,500000)+IF('計算A'!$IQ$45=2,SUMPRODUCT('計算A'!$D$95:$EQ$95,$DB47:$IO47,$IQ47:$OD47),SUMPRODUCT('計算A'!$D$95:$EQ$95,$DB47:$IO47))*1000+36)</f>
        <v/>
      </c>
      <c r="CR47">
        <f>IF(AX47=1,1000000,IF('計算A'!$IT$46&gt;0,0,500000)+IF('計算A'!$IQ$46=2,SUMPRODUCT('計算A'!$D$96:$EQ$96,$DB47:$IO47,$IQ47:$OD47),SUMPRODUCT('計算A'!$D$96:$EQ$96,$DB47:$IO47))*1000+37)</f>
        <v/>
      </c>
      <c r="CS47">
        <f>IF(AY47=1,1000000,IF('計算A'!$IT$47&gt;0,0,500000)+IF('計算A'!$IQ$47=2,SUMPRODUCT('計算A'!$D$97:$EQ$97,$DB47:$IO47,$IQ47:$OD47),SUMPRODUCT('計算A'!$D$97:$EQ$97,$DB47:$IO47))*1000+38)</f>
        <v/>
      </c>
      <c r="CT47">
        <f>IF(AZ47=1,1000000,IF('計算A'!$IT$48&gt;0,0,500000)+IF('計算A'!$IQ$48=2,SUMPRODUCT('計算A'!$D$98:$EQ$98,$DB47:$IO47,$IQ47:$OD47),SUMPRODUCT('計算A'!$D$98:$EQ$98,$DB47:$IO47))*1000+39)</f>
        <v/>
      </c>
      <c r="CU47">
        <f>IF(BA47=1,1000000,IF('計算A'!$IT$49&gt;0,0,500000)+IF('計算A'!$IQ$49=2,SUMPRODUCT('計算A'!$D$99:$EQ$99,$DB47:$IO47,$IQ47:$OD47),SUMPRODUCT('計算A'!$D$99:$EQ$99,$DB47:$IO47))*1000+40)</f>
        <v/>
      </c>
      <c r="CV47">
        <f>IF(BB47=1,1000000,IF('計算A'!$IT$50&gt;0,0,500000)+IF('計算A'!$IQ$50=2,SUMPRODUCT('計算A'!$D$100:$EQ$100,$DB47:$IO47,$IQ47:$OD47),SUMPRODUCT('計算A'!$D$100:$EQ$100,$DB47:$IO47))*1000+41)</f>
        <v/>
      </c>
      <c r="CW47">
        <f>IF(BC47=1,1000000,IF('計算A'!$IT$51&gt;0,0,500000)+IF('計算A'!$IQ$51=2,SUMPRODUCT('計算A'!$D$101:$EQ$101,$DB47:$IO47,$IQ47:$OD47),SUMPRODUCT('計算A'!$D$101:$EQ$101,$DB47:$IO47))*1000+42)</f>
        <v/>
      </c>
      <c r="CX47">
        <f>IF(BD47=1,1000000,IF('計算A'!$IT$52&gt;0,0,500000)+IF('計算A'!$IQ$52=2,SUMPRODUCT('計算A'!$D$102:$EQ$102,$DB47:$IO47,$IQ47:$OD47),SUMPRODUCT('計算A'!$D$102:$EQ$102,$DB47:$IO47))*1000+43)</f>
        <v/>
      </c>
      <c r="CY47">
        <f>IF(BE47=1,1000000,IF('計算A'!$IT$53&gt;0,0,500000)+IF('計算A'!$IQ$53=2,SUMPRODUCT('計算A'!$D$103:$EQ$103,$DB47:$IO47,$IQ47:$OD47),SUMPRODUCT('計算A'!$D$103:$EQ$103,$DB47:$IO47))*1000+44)</f>
        <v/>
      </c>
      <c r="CZ47">
        <f>IF(BF47=1,1000000,IF('計算A'!$IT$54&gt;0,0,500000)+IF('計算A'!$IQ$54=2,SUMPRODUCT('計算A'!$D$104:$EQ$104,$DB47:$IO47,$IQ47:$OD47),SUMPRODUCT('計算A'!$D$104:$EQ$104,$DB47:$IO47))*1000+45)</f>
        <v/>
      </c>
      <c r="DB47">
        <f>DB46*IF(OR($C46=1,$G46=1),0,1)</f>
        <v/>
      </c>
      <c r="DC47">
        <f>DC46*IF(OR($C46=2,$G46=2),0,1)</f>
        <v/>
      </c>
      <c r="DD47">
        <f>DD46*IF(OR($C46=3,$G46=3),0,1)</f>
        <v/>
      </c>
      <c r="DE47">
        <f>DE46*IF(OR($C46=4,$G46=4),0,1)</f>
        <v/>
      </c>
      <c r="DF47">
        <f>DF46*IF(OR($C46=5,$G46=5),0,1)</f>
        <v/>
      </c>
      <c r="DG47">
        <f>DG46*IF(OR($C46=6,$G46=6),0,1)</f>
        <v/>
      </c>
      <c r="DH47">
        <f>DH46*IF(OR($C46=7,$G46=7),0,1)</f>
        <v/>
      </c>
      <c r="DI47">
        <f>DI46*IF(OR($C46=8,$G46=8),0,1)</f>
        <v/>
      </c>
      <c r="DJ47">
        <f>DJ46*IF(OR($C46=9,$G46=9),0,1)</f>
        <v/>
      </c>
      <c r="DK47">
        <f>DK46*IF(OR($C46=10,$G46=10),0,1)</f>
        <v/>
      </c>
      <c r="DL47">
        <f>DL46*IF(OR($C46=11,$G46=11),0,1)</f>
        <v/>
      </c>
      <c r="DM47">
        <f>DM46*IF(OR($C46=12,$G46=12),0,1)</f>
        <v/>
      </c>
      <c r="DN47">
        <f>DN46*IF(OR($C46=13,$G46=13),0,1)</f>
        <v/>
      </c>
      <c r="DO47">
        <f>DO46*IF(OR($C46=14,$G46=14),0,1)</f>
        <v/>
      </c>
      <c r="DP47">
        <f>DP46*IF(OR($C46=15,$G46=15),0,1)</f>
        <v/>
      </c>
      <c r="DQ47">
        <f>DQ46*IF(OR($C46=16,$G46=16),0,1)</f>
        <v/>
      </c>
      <c r="DR47">
        <f>DR46*IF(OR($C46=17,$G46=17),0,1)</f>
        <v/>
      </c>
      <c r="DS47">
        <f>DS46*IF(OR($C46=18,$G46=18),0,1)</f>
        <v/>
      </c>
      <c r="DT47">
        <f>DT46*IF(OR($C46=19,$G46=19),0,1)</f>
        <v/>
      </c>
      <c r="DU47">
        <f>DU46*IF(OR($C46=20,$G46=20),0,1)</f>
        <v/>
      </c>
      <c r="DV47">
        <f>DV46*IF(OR($C46=21,$G46=21),0,1)</f>
        <v/>
      </c>
      <c r="DW47">
        <f>DW46*IF(OR($C46=22,$G46=22),0,1)</f>
        <v/>
      </c>
      <c r="DX47">
        <f>DX46*IF(OR($C46=23,$G46=23),0,1)</f>
        <v/>
      </c>
      <c r="DY47">
        <f>DY46*IF(OR($C46=24,$G46=24),0,1)</f>
        <v/>
      </c>
      <c r="DZ47">
        <f>DZ46*IF(OR($C46=25,$G46=25),0,1)</f>
        <v/>
      </c>
      <c r="EA47">
        <f>EA46*IF(OR($C46=26,$G46=26),0,1)</f>
        <v/>
      </c>
      <c r="EB47">
        <f>EB46*IF(OR($C46=27,$G46=27),0,1)</f>
        <v/>
      </c>
      <c r="EC47">
        <f>EC46*IF(OR($C46=28,$G46=28),0,1)</f>
        <v/>
      </c>
      <c r="ED47">
        <f>ED46*IF(OR($C46=29,$G46=29),0,1)</f>
        <v/>
      </c>
      <c r="EE47">
        <f>EE46*IF(OR($C46=30,$G46=30),0,1)</f>
        <v/>
      </c>
      <c r="EF47">
        <f>EF46*IF(OR($C46=31,$G46=31),0,1)</f>
        <v/>
      </c>
      <c r="EG47">
        <f>EG46*IF(OR($C46=32,$G46=32),0,1)</f>
        <v/>
      </c>
      <c r="EH47">
        <f>EH46*IF(OR($C46=33,$G46=33),0,1)</f>
        <v/>
      </c>
      <c r="EI47">
        <f>EI46*IF(OR($C46=34,$G46=34),0,1)</f>
        <v/>
      </c>
      <c r="EJ47">
        <f>EJ46*IF(OR($C46=35,$G46=35),0,1)</f>
        <v/>
      </c>
      <c r="EK47">
        <f>EK46*IF(OR($C46=36,$G46=36),0,1)</f>
        <v/>
      </c>
      <c r="EL47">
        <f>EL46*IF(OR($C46=37,$G46=37),0,1)</f>
        <v/>
      </c>
      <c r="EM47">
        <f>EM46*IF(OR($C46=38,$G46=38),0,1)</f>
        <v/>
      </c>
      <c r="EN47">
        <f>EN46*IF(OR($C46=39,$G46=39),0,1)</f>
        <v/>
      </c>
      <c r="EO47">
        <f>EO46*IF(OR($C46=40,$G46=40),0,1)</f>
        <v/>
      </c>
      <c r="EP47">
        <f>EP46*IF(OR($C46=41,$G46=41),0,1)</f>
        <v/>
      </c>
      <c r="EQ47">
        <f>EQ46*IF(OR($C46=42,$G46=42),0,1)</f>
        <v/>
      </c>
      <c r="ER47">
        <f>ER46*IF(OR($C46=43,$G46=43),0,1)</f>
        <v/>
      </c>
      <c r="ES47">
        <f>ES46*IF(OR($C46=44,$G46=44),0,1)</f>
        <v/>
      </c>
      <c r="ET47">
        <f>ET46*IF(OR($C46=45,$G46=45),0,1)</f>
        <v/>
      </c>
      <c r="EU47">
        <f>EU46*IF(OR($C46=46,$G46=46),0,1)</f>
        <v/>
      </c>
      <c r="EV47">
        <f>EV46*IF(OR($C46=47,$G46=47),0,1)</f>
        <v/>
      </c>
      <c r="EW47">
        <f>EW46*IF(OR($C46=48,$G46=48),0,1)</f>
        <v/>
      </c>
      <c r="EX47">
        <f>EX46*IF(OR($C46=49,$G46=49),0,1)</f>
        <v/>
      </c>
      <c r="EY47">
        <f>EY46*IF(OR($C46=50,$G46=50),0,1)</f>
        <v/>
      </c>
      <c r="EZ47">
        <f>EZ46*IF(OR($C46=51,$G46=51),0,1)</f>
        <v/>
      </c>
      <c r="FA47">
        <f>FA46*IF(OR($C46=52,$G46=52),0,1)</f>
        <v/>
      </c>
      <c r="FB47">
        <f>FB46*IF(OR($C46=53,$G46=53),0,1)</f>
        <v/>
      </c>
      <c r="FC47">
        <f>FC46*IF(OR($C46=54,$G46=54),0,1)</f>
        <v/>
      </c>
      <c r="FD47">
        <f>FD46*IF(OR($C46=55,$G46=55),0,1)</f>
        <v/>
      </c>
      <c r="FE47">
        <f>FE46*IF(OR($C46=56,$G46=56),0,1)</f>
        <v/>
      </c>
      <c r="FF47">
        <f>FF46*IF(OR($C46=57,$G46=57),0,1)</f>
        <v/>
      </c>
      <c r="FG47">
        <f>FG46*IF(OR($C46=58,$G46=58),0,1)</f>
        <v/>
      </c>
      <c r="FH47">
        <f>FH46*IF(OR($C46=59,$G46=59),0,1)</f>
        <v/>
      </c>
      <c r="FI47">
        <f>FI46*IF(OR($C46=60,$G46=60),0,1)</f>
        <v/>
      </c>
      <c r="FJ47">
        <f>FJ46*IF(OR($C46=61,$G46=61),0,1)</f>
        <v/>
      </c>
      <c r="FK47">
        <f>FK46*IF(OR($C46=62,$G46=62),0,1)</f>
        <v/>
      </c>
      <c r="FL47">
        <f>FL46*IF(OR($C46=63,$G46=63),0,1)</f>
        <v/>
      </c>
      <c r="FM47">
        <f>FM46*IF(OR($C46=64,$G46=64),0,1)</f>
        <v/>
      </c>
      <c r="FN47">
        <f>FN46*IF(OR($C46=65,$G46=65),0,1)</f>
        <v/>
      </c>
      <c r="FO47">
        <f>FO46*IF(OR($C46=66,$G46=66),0,1)</f>
        <v/>
      </c>
      <c r="FP47">
        <f>FP46*IF(OR($C46=67,$G46=67),0,1)</f>
        <v/>
      </c>
      <c r="FQ47">
        <f>FQ46*IF(OR($C46=68,$G46=68),0,1)</f>
        <v/>
      </c>
      <c r="FR47">
        <f>FR46*IF(OR($C46=69,$G46=69),0,1)</f>
        <v/>
      </c>
      <c r="FS47">
        <f>FS46*IF(OR($C46=70,$G46=70),0,1)</f>
        <v/>
      </c>
      <c r="FT47">
        <f>FT46*IF(OR($C46=71,$G46=71),0,1)</f>
        <v/>
      </c>
      <c r="FU47">
        <f>FU46*IF(OR($C46=72,$G46=72),0,1)</f>
        <v/>
      </c>
      <c r="FV47">
        <f>FV46*IF(OR($C46=73,$G46=73),0,1)</f>
        <v/>
      </c>
      <c r="FW47">
        <f>FW46*IF(OR($C46=74,$G46=74),0,1)</f>
        <v/>
      </c>
      <c r="FX47">
        <f>FX46*IF(OR($C46=75,$G46=75),0,1)</f>
        <v/>
      </c>
      <c r="FY47">
        <f>FY46*IF(OR($C46=76,$G46=76),0,1)</f>
        <v/>
      </c>
      <c r="FZ47">
        <f>FZ46*IF(OR($C46=77,$G46=77),0,1)</f>
        <v/>
      </c>
      <c r="GA47">
        <f>GA46*IF(OR($C46=78,$G46=78),0,1)</f>
        <v/>
      </c>
      <c r="GB47">
        <f>GB46*IF(OR($C46=79,$G46=79),0,1)</f>
        <v/>
      </c>
      <c r="GC47">
        <f>GC46*IF(OR($C46=80,$G46=80),0,1)</f>
        <v/>
      </c>
      <c r="GD47">
        <f>GD46*IF(OR($C46=81,$G46=81),0,1)</f>
        <v/>
      </c>
      <c r="GE47">
        <f>GE46*IF(OR($C46=82,$G46=82),0,1)</f>
        <v/>
      </c>
      <c r="GF47">
        <f>GF46*IF(OR($C46=83,$G46=83),0,1)</f>
        <v/>
      </c>
      <c r="GG47">
        <f>GG46*IF(OR($C46=84,$G46=84),0,1)</f>
        <v/>
      </c>
      <c r="GH47">
        <f>GH46*IF(OR($C46=85,$G46=85),0,1)</f>
        <v/>
      </c>
      <c r="GI47">
        <f>GI46*IF(OR($C46=86,$G46=86),0,1)</f>
        <v/>
      </c>
      <c r="GJ47">
        <f>GJ46*IF(OR($C46=87,$G46=87),0,1)</f>
        <v/>
      </c>
      <c r="GK47">
        <f>GK46*IF(OR($C46=88,$G46=88),0,1)</f>
        <v/>
      </c>
      <c r="GL47">
        <f>GL46*IF(OR($C46=89,$G46=89),0,1)</f>
        <v/>
      </c>
      <c r="GM47">
        <f>GM46*IF(OR($C46=90,$G46=90),0,1)</f>
        <v/>
      </c>
      <c r="GN47">
        <f>GN46*IF(OR($C46=91,$G46=91),0,1)</f>
        <v/>
      </c>
      <c r="GO47">
        <f>GO46*IF(OR($C46=92,$G46=92),0,1)</f>
        <v/>
      </c>
      <c r="GP47">
        <f>GP46*IF(OR($C46=93,$G46=93),0,1)</f>
        <v/>
      </c>
      <c r="GQ47">
        <f>GQ46*IF(OR($C46=94,$G46=94),0,1)</f>
        <v/>
      </c>
      <c r="GR47">
        <f>GR46*IF(OR($C46=95,$G46=95),0,1)</f>
        <v/>
      </c>
      <c r="GS47">
        <f>GS46*IF(OR($C46=96,$G46=96),0,1)</f>
        <v/>
      </c>
      <c r="GT47">
        <f>GT46*IF(OR($C46=97,$G46=97),0,1)</f>
        <v/>
      </c>
      <c r="GU47">
        <f>GU46*IF(OR($C46=98,$G46=98),0,1)</f>
        <v/>
      </c>
      <c r="GV47">
        <f>GV46*IF(OR($C46=99,$G46=99),0,1)</f>
        <v/>
      </c>
      <c r="GW47">
        <f>GW46*IF(OR($C46=100,$G46=100),0,1)</f>
        <v/>
      </c>
      <c r="GX47">
        <f>GX46*IF(OR($C46=101,$G46=101),0,1)</f>
        <v/>
      </c>
      <c r="GY47">
        <f>GY46*IF(OR($C46=102,$G46=102),0,1)</f>
        <v/>
      </c>
      <c r="GZ47">
        <f>GZ46*IF(OR($C46=103,$G46=103),0,1)</f>
        <v/>
      </c>
      <c r="HA47">
        <f>HA46*IF(OR($C46=104,$G46=104),0,1)</f>
        <v/>
      </c>
      <c r="HB47">
        <f>HB46*IF(OR($C46=105,$G46=105),0,1)</f>
        <v/>
      </c>
      <c r="HC47">
        <f>HC46*IF(OR($C46=106,$G46=106),0,1)</f>
        <v/>
      </c>
      <c r="HD47">
        <f>HD46*IF(OR($C46=107,$G46=107),0,1)</f>
        <v/>
      </c>
      <c r="HE47">
        <f>HE46*IF(OR($C46=108,$G46=108),0,1)</f>
        <v/>
      </c>
      <c r="HF47">
        <f>HF46*IF(OR($C46=109,$G46=109),0,1)</f>
        <v/>
      </c>
      <c r="HG47">
        <f>HG46*IF(OR($C46=110,$G46=110),0,1)</f>
        <v/>
      </c>
      <c r="HH47">
        <f>HH46*IF(OR($C46=111,$G46=111),0,1)</f>
        <v/>
      </c>
      <c r="HI47">
        <f>HI46*IF(OR($C46=112,$G46=112),0,1)</f>
        <v/>
      </c>
      <c r="HJ47">
        <f>HJ46*IF(OR($C46=113,$G46=113),0,1)</f>
        <v/>
      </c>
      <c r="HK47">
        <f>HK46*IF(OR($C46=114,$G46=114),0,1)</f>
        <v/>
      </c>
      <c r="HL47">
        <f>HL46*IF(OR($C46=115,$G46=115),0,1)</f>
        <v/>
      </c>
      <c r="HM47">
        <f>HM46*IF(OR($C46=116,$G46=116),0,1)</f>
        <v/>
      </c>
      <c r="HN47">
        <f>HN46*IF(OR($C46=117,$G46=117),0,1)</f>
        <v/>
      </c>
      <c r="HO47">
        <f>HO46*IF(OR($C46=118,$G46=118),0,1)</f>
        <v/>
      </c>
      <c r="HP47">
        <f>HP46*IF(OR($C46=119,$G46=119),0,1)</f>
        <v/>
      </c>
      <c r="HQ47">
        <f>HQ46*IF(OR($C46=120,$G46=120),0,1)</f>
        <v/>
      </c>
      <c r="HR47">
        <f>HR46*IF(OR($C46=121,$G46=121),0,1)</f>
        <v/>
      </c>
      <c r="HS47">
        <f>HS46*IF(OR($C46=122,$G46=122),0,1)</f>
        <v/>
      </c>
      <c r="HT47">
        <f>HT46*IF(OR($C46=123,$G46=123),0,1)</f>
        <v/>
      </c>
      <c r="HU47">
        <f>HU46*IF(OR($C46=124,$G46=124),0,1)</f>
        <v/>
      </c>
      <c r="HV47">
        <f>HV46*IF(OR($C46=125,$G46=125),0,1)</f>
        <v/>
      </c>
      <c r="HW47">
        <f>HW46*IF(OR($C46=126,$G46=126),0,1)</f>
        <v/>
      </c>
      <c r="HX47">
        <f>HX46*IF(OR($C46=127,$G46=127),0,1)</f>
        <v/>
      </c>
      <c r="HY47">
        <f>HY46*IF(OR($C46=128,$G46=128),0,1)</f>
        <v/>
      </c>
      <c r="HZ47">
        <f>HZ46*IF(OR($C46=129,$G46=129),0,1)</f>
        <v/>
      </c>
      <c r="IA47">
        <f>IA46*IF(OR($C46=130,$G46=130),0,1)</f>
        <v/>
      </c>
      <c r="IB47">
        <f>IB46*IF(OR($C46=131,$G46=131),0,1)</f>
        <v/>
      </c>
      <c r="IC47">
        <f>IC46*IF(OR($C46=132,$G46=132),0,1)</f>
        <v/>
      </c>
      <c r="ID47">
        <f>ID46*IF(OR($C46=133,$G46=133),0,1)</f>
        <v/>
      </c>
      <c r="IE47">
        <f>IE46*IF(OR($C46=134,$G46=134),0,1)</f>
        <v/>
      </c>
      <c r="IF47">
        <f>IF46*IF(OR($C46=135,$G46=135),0,1)</f>
        <v/>
      </c>
      <c r="IG47">
        <f>IG46*IF(OR($C46=136,$G46=136),0,1)</f>
        <v/>
      </c>
      <c r="IH47">
        <f>IH46*IF(OR($C46=137,$G46=137),0,1)</f>
        <v/>
      </c>
      <c r="II47">
        <f>II46*IF(OR($C46=138,$G46=138),0,1)</f>
        <v/>
      </c>
      <c r="IJ47">
        <f>IJ46*IF(OR($C46=139,$G46=139),0,1)</f>
        <v/>
      </c>
      <c r="IK47">
        <f>IK46*IF(OR($C46=140,$G46=140),0,1)</f>
        <v/>
      </c>
      <c r="IL47">
        <f>IL46*IF(OR($C46=141,$G46=141),0,1)</f>
        <v/>
      </c>
      <c r="IM47">
        <f>IM46*IF(OR($C46=142,$G46=142),0,1)</f>
        <v/>
      </c>
      <c r="IN47">
        <f>IN46*IF(OR($C46=143,$G46=143),0,1)</f>
        <v/>
      </c>
      <c r="IO47">
        <f>IO46*IF(OR($C46=144,$G46=144),0,1)</f>
        <v/>
      </c>
      <c r="IQ47">
        <f>IF('計算A'!D$106=1,DC47,1)</f>
        <v/>
      </c>
      <c r="IR47">
        <f>IF('計算A'!E$106=1,DD47,1)</f>
        <v/>
      </c>
      <c r="IS47">
        <f>IF('計算A'!F$106=1,DE47,1)</f>
        <v/>
      </c>
      <c r="IT47">
        <f>IF('計算A'!G$106=1,DF47,1)</f>
        <v/>
      </c>
      <c r="IU47">
        <f>IF('計算A'!H$106=1,DG47,1)</f>
        <v/>
      </c>
      <c r="IV47">
        <f>IF('計算A'!I$106=1,DH47,1)</f>
        <v/>
      </c>
      <c r="IW47">
        <f>IF('計算A'!J$106=1,DI47,1)</f>
        <v/>
      </c>
      <c r="IX47">
        <f>IF('計算A'!K$106=1,DJ47,1)</f>
        <v/>
      </c>
      <c r="IY47">
        <f>IF('計算A'!L$106=1,DK47,1)</f>
        <v/>
      </c>
      <c r="IZ47">
        <f>IF('計算A'!M$106=1,DL47,1)</f>
        <v/>
      </c>
      <c r="JA47">
        <f>IF('計算A'!N$106=1,DM47,1)</f>
        <v/>
      </c>
      <c r="JB47">
        <f>IF('計算A'!O$106=1,DN47,1)</f>
        <v/>
      </c>
      <c r="JC47">
        <f>IF('計算A'!P$106=1,DO47,1)</f>
        <v/>
      </c>
      <c r="JD47">
        <f>IF('計算A'!Q$106=1,DP47,1)</f>
        <v/>
      </c>
      <c r="JE47">
        <f>IF('計算A'!R$106=1,DQ47,1)</f>
        <v/>
      </c>
      <c r="JF47">
        <f>IF('計算A'!S$106=1,DR47,1)</f>
        <v/>
      </c>
      <c r="JG47">
        <f>IF('計算A'!T$106=1,DS47,1)</f>
        <v/>
      </c>
      <c r="JH47">
        <f>IF('計算A'!U$106=1,DT47,1)</f>
        <v/>
      </c>
      <c r="JI47">
        <f>IF('計算A'!V$106=1,DU47,1)</f>
        <v/>
      </c>
      <c r="JJ47">
        <f>IF('計算A'!W$106=1,DV47,1)</f>
        <v/>
      </c>
      <c r="JK47">
        <f>IF('計算A'!X$106=1,DW47,1)</f>
        <v/>
      </c>
      <c r="JL47">
        <f>IF('計算A'!Y$106=1,DX47,1)</f>
        <v/>
      </c>
      <c r="JM47">
        <f>IF('計算A'!Z$106=1,DY47,1)</f>
        <v/>
      </c>
      <c r="JN47">
        <f>IF('計算A'!AA$106=1,DZ47,1)</f>
        <v/>
      </c>
      <c r="JO47">
        <f>IF('計算A'!AB$106=1,EA47,1)</f>
        <v/>
      </c>
      <c r="JP47">
        <f>IF('計算A'!AC$106=1,EB47,1)</f>
        <v/>
      </c>
      <c r="JQ47">
        <f>IF('計算A'!AD$106=1,EC47,1)</f>
        <v/>
      </c>
      <c r="JR47">
        <f>IF('計算A'!AE$106=1,ED47,1)</f>
        <v/>
      </c>
      <c r="JS47">
        <f>IF('計算A'!AF$106=1,EE47,1)</f>
        <v/>
      </c>
      <c r="JT47">
        <f>IF('計算A'!AG$106=1,EF47,1)</f>
        <v/>
      </c>
      <c r="JU47">
        <f>IF('計算A'!AH$106=1,EG47,1)</f>
        <v/>
      </c>
      <c r="JV47">
        <f>IF('計算A'!AI$106=1,EH47,1)</f>
        <v/>
      </c>
      <c r="JW47">
        <f>IF('計算A'!AJ$106=1,EI47,1)</f>
        <v/>
      </c>
      <c r="JX47">
        <f>IF('計算A'!AK$106=1,EJ47,1)</f>
        <v/>
      </c>
      <c r="JY47">
        <f>IF('計算A'!AL$106=1,EK47,1)</f>
        <v/>
      </c>
      <c r="JZ47">
        <f>IF('計算A'!AM$106=1,EL47,1)</f>
        <v/>
      </c>
      <c r="KA47">
        <f>IF('計算A'!AN$106=1,EM47,1)</f>
        <v/>
      </c>
      <c r="KB47">
        <f>IF('計算A'!AO$106=1,EN47,1)</f>
        <v/>
      </c>
      <c r="KC47">
        <f>IF('計算A'!AP$106=1,EO47,1)</f>
        <v/>
      </c>
      <c r="KD47">
        <f>IF('計算A'!AQ$106=1,EP47,1)</f>
        <v/>
      </c>
      <c r="KE47">
        <f>IF('計算A'!AR$106=1,EQ47,1)</f>
        <v/>
      </c>
      <c r="KF47">
        <f>IF('計算A'!AS$106=1,ER47,1)</f>
        <v/>
      </c>
      <c r="KG47">
        <f>IF('計算A'!AT$106=1,ES47,1)</f>
        <v/>
      </c>
      <c r="KH47">
        <f>IF('計算A'!AU$106=1,ET47,1)</f>
        <v/>
      </c>
      <c r="KI47">
        <f>IF('計算A'!AV$106=1,EU47,1)</f>
        <v/>
      </c>
      <c r="KJ47">
        <f>IF('計算A'!AW$106=1,EV47,1)</f>
        <v/>
      </c>
      <c r="KK47">
        <f>IF('計算A'!AX$106=1,EW47,1)</f>
        <v/>
      </c>
      <c r="KL47">
        <f>IF('計算A'!AY$106=1,EX47,1)</f>
        <v/>
      </c>
      <c r="KM47">
        <f>IF('計算A'!AZ$106=1,EY47,1)</f>
        <v/>
      </c>
      <c r="KN47">
        <f>IF('計算A'!BA$106=1,EZ47,1)</f>
        <v/>
      </c>
      <c r="KO47">
        <f>IF('計算A'!BB$106=1,FA47,1)</f>
        <v/>
      </c>
      <c r="KP47">
        <f>IF('計算A'!BC$106=1,FB47,1)</f>
        <v/>
      </c>
      <c r="KQ47">
        <f>IF('計算A'!BD$106=1,FC47,1)</f>
        <v/>
      </c>
      <c r="KR47">
        <f>IF('計算A'!BE$106=1,FD47,1)</f>
        <v/>
      </c>
      <c r="KS47">
        <f>IF('計算A'!BF$106=1,FE47,1)</f>
        <v/>
      </c>
      <c r="KT47">
        <f>IF('計算A'!BG$106=1,FF47,1)</f>
        <v/>
      </c>
      <c r="KU47">
        <f>IF('計算A'!BH$106=1,FG47,1)</f>
        <v/>
      </c>
      <c r="KV47">
        <f>IF('計算A'!BI$106=1,FH47,1)</f>
        <v/>
      </c>
      <c r="KW47">
        <f>IF('計算A'!BJ$106=1,FI47,1)</f>
        <v/>
      </c>
      <c r="KX47">
        <f>IF('計算A'!BK$106=1,FJ47,1)</f>
        <v/>
      </c>
      <c r="KY47">
        <f>IF('計算A'!BL$106=1,FK47,1)</f>
        <v/>
      </c>
      <c r="KZ47">
        <f>IF('計算A'!BM$106=1,FL47,1)</f>
        <v/>
      </c>
      <c r="LA47">
        <f>IF('計算A'!BN$106=1,FM47,1)</f>
        <v/>
      </c>
      <c r="LB47">
        <f>IF('計算A'!BO$106=1,FN47,1)</f>
        <v/>
      </c>
      <c r="LC47">
        <f>IF('計算A'!BP$106=1,FO47,1)</f>
        <v/>
      </c>
      <c r="LD47">
        <f>IF('計算A'!BQ$106=1,FP47,1)</f>
        <v/>
      </c>
      <c r="LE47">
        <f>IF('計算A'!BR$106=1,FQ47,1)</f>
        <v/>
      </c>
      <c r="LF47">
        <f>IF('計算A'!BS$106=1,FR47,1)</f>
        <v/>
      </c>
      <c r="LG47">
        <f>IF('計算A'!BT$106=1,FS47,1)</f>
        <v/>
      </c>
      <c r="LH47">
        <f>IF('計算A'!BU$106=1,FT47,1)</f>
        <v/>
      </c>
      <c r="LI47">
        <f>IF('計算A'!BV$106=1,FU47,1)</f>
        <v/>
      </c>
      <c r="LJ47">
        <f>IF('計算A'!BW$106=1,FV47,1)</f>
        <v/>
      </c>
      <c r="LK47">
        <f>IF('計算A'!BX$106=1,FW47,1)</f>
        <v/>
      </c>
      <c r="LL47">
        <f>IF('計算A'!BY$106=1,FX47,1)</f>
        <v/>
      </c>
      <c r="LM47">
        <f>IF('計算A'!BZ$106=1,FY47,1)</f>
        <v/>
      </c>
      <c r="LN47">
        <f>IF('計算A'!CA$106=1,FZ47,1)</f>
        <v/>
      </c>
      <c r="LO47">
        <f>IF('計算A'!CB$106=1,GA47,1)</f>
        <v/>
      </c>
      <c r="LP47">
        <f>IF('計算A'!CC$106=1,GB47,1)</f>
        <v/>
      </c>
      <c r="LQ47">
        <f>IF('計算A'!CD$106=1,GC47,1)</f>
        <v/>
      </c>
      <c r="LR47">
        <f>IF('計算A'!CE$106=1,GD47,1)</f>
        <v/>
      </c>
      <c r="LS47">
        <f>IF('計算A'!CF$106=1,GE47,1)</f>
        <v/>
      </c>
      <c r="LT47">
        <f>IF('計算A'!CG$106=1,GF47,1)</f>
        <v/>
      </c>
      <c r="LU47">
        <f>IF('計算A'!CH$106=1,GG47,1)</f>
        <v/>
      </c>
      <c r="LV47">
        <f>IF('計算A'!CI$106=1,GH47,1)</f>
        <v/>
      </c>
      <c r="LW47">
        <f>IF('計算A'!CJ$106=1,GI47,1)</f>
        <v/>
      </c>
      <c r="LX47">
        <f>IF('計算A'!CK$106=1,GJ47,1)</f>
        <v/>
      </c>
      <c r="LY47">
        <f>IF('計算A'!CL$106=1,GK47,1)</f>
        <v/>
      </c>
      <c r="LZ47">
        <f>IF('計算A'!CM$106=1,GL47,1)</f>
        <v/>
      </c>
      <c r="MA47">
        <f>IF('計算A'!CN$106=1,GM47,1)</f>
        <v/>
      </c>
      <c r="MB47">
        <f>IF('計算A'!CO$106=1,GN47,1)</f>
        <v/>
      </c>
      <c r="MC47">
        <f>IF('計算A'!CP$106=1,GO47,1)</f>
        <v/>
      </c>
      <c r="MD47">
        <f>IF('計算A'!CQ$106=1,GP47,1)</f>
        <v/>
      </c>
      <c r="ME47">
        <f>IF('計算A'!CR$106=1,GQ47,1)</f>
        <v/>
      </c>
      <c r="MF47">
        <f>IF('計算A'!CS$106=1,GR47,1)</f>
        <v/>
      </c>
      <c r="MG47">
        <f>IF('計算A'!CT$106=1,GS47,1)</f>
        <v/>
      </c>
      <c r="MH47">
        <f>IF('計算A'!CU$106=1,GT47,1)</f>
        <v/>
      </c>
      <c r="MI47">
        <f>IF('計算A'!CV$106=1,GU47,1)</f>
        <v/>
      </c>
      <c r="MJ47">
        <f>IF('計算A'!CW$106=1,GV47,1)</f>
        <v/>
      </c>
      <c r="MK47">
        <f>IF('計算A'!CX$106=1,GW47,1)</f>
        <v/>
      </c>
      <c r="ML47">
        <f>IF('計算A'!CY$106=1,GX47,1)</f>
        <v/>
      </c>
      <c r="MM47">
        <f>IF('計算A'!CZ$106=1,GY47,1)</f>
        <v/>
      </c>
      <c r="MN47">
        <f>IF('計算A'!DA$106=1,GZ47,1)</f>
        <v/>
      </c>
      <c r="MO47">
        <f>IF('計算A'!DB$106=1,HA47,1)</f>
        <v/>
      </c>
      <c r="MP47">
        <f>IF('計算A'!DC$106=1,HB47,1)</f>
        <v/>
      </c>
      <c r="MQ47">
        <f>IF('計算A'!DD$106=1,HC47,1)</f>
        <v/>
      </c>
      <c r="MR47">
        <f>IF('計算A'!DE$106=1,HD47,1)</f>
        <v/>
      </c>
      <c r="MS47">
        <f>IF('計算A'!DF$106=1,HE47,1)</f>
        <v/>
      </c>
      <c r="MT47">
        <f>IF('計算A'!DG$106=1,HF47,1)</f>
        <v/>
      </c>
      <c r="MU47">
        <f>IF('計算A'!DH$106=1,HG47,1)</f>
        <v/>
      </c>
      <c r="MV47">
        <f>IF('計算A'!DI$106=1,HH47,1)</f>
        <v/>
      </c>
      <c r="MW47">
        <f>IF('計算A'!DJ$106=1,HI47,1)</f>
        <v/>
      </c>
      <c r="MX47">
        <f>IF('計算A'!DK$106=1,HJ47,1)</f>
        <v/>
      </c>
      <c r="MY47">
        <f>IF('計算A'!DL$106=1,HK47,1)</f>
        <v/>
      </c>
      <c r="MZ47">
        <f>IF('計算A'!DM$106=1,HL47,1)</f>
        <v/>
      </c>
      <c r="NA47">
        <f>IF('計算A'!DN$106=1,HM47,1)</f>
        <v/>
      </c>
      <c r="NB47">
        <f>IF('計算A'!DO$106=1,HN47,1)</f>
        <v/>
      </c>
      <c r="NC47">
        <f>IF('計算A'!DP$106=1,HO47,1)</f>
        <v/>
      </c>
      <c r="ND47">
        <f>IF('計算A'!DQ$106=1,HP47,1)</f>
        <v/>
      </c>
      <c r="NE47">
        <f>IF('計算A'!DR$106=1,HQ47,1)</f>
        <v/>
      </c>
      <c r="NF47">
        <f>IF('計算A'!DS$106=1,HR47,1)</f>
        <v/>
      </c>
      <c r="NG47">
        <f>IF('計算A'!DT$106=1,HS47,1)</f>
        <v/>
      </c>
      <c r="NH47">
        <f>IF('計算A'!DU$106=1,HT47,1)</f>
        <v/>
      </c>
      <c r="NI47">
        <f>IF('計算A'!DV$106=1,HU47,1)</f>
        <v/>
      </c>
      <c r="NJ47">
        <f>IF('計算A'!DW$106=1,HV47,1)</f>
        <v/>
      </c>
      <c r="NK47">
        <f>IF('計算A'!DX$106=1,HW47,1)</f>
        <v/>
      </c>
      <c r="NL47">
        <f>IF('計算A'!DY$106=1,HX47,1)</f>
        <v/>
      </c>
      <c r="NM47">
        <f>IF('計算A'!DZ$106=1,HY47,1)</f>
        <v/>
      </c>
      <c r="NN47">
        <f>IF('計算A'!EA$106=1,HZ47,1)</f>
        <v/>
      </c>
      <c r="NO47">
        <f>IF('計算A'!EB$106=1,IA47,1)</f>
        <v/>
      </c>
      <c r="NP47">
        <f>IF('計算A'!EC$106=1,IB47,1)</f>
        <v/>
      </c>
      <c r="NQ47">
        <f>IF('計算A'!ED$106=1,IC47,1)</f>
        <v/>
      </c>
      <c r="NR47">
        <f>IF('計算A'!EE$106=1,ID47,1)</f>
        <v/>
      </c>
      <c r="NS47">
        <f>IF('計算A'!EF$106=1,IE47,1)</f>
        <v/>
      </c>
      <c r="NT47">
        <f>IF('計算A'!EG$106=1,IF47,1)</f>
        <v/>
      </c>
      <c r="NU47">
        <f>IF('計算A'!EH$106=1,IG47,1)</f>
        <v/>
      </c>
      <c r="NV47">
        <f>IF('計算A'!EI$106=1,IH47,1)</f>
        <v/>
      </c>
      <c r="NW47">
        <f>IF('計算A'!EJ$106=1,II47,1)</f>
        <v/>
      </c>
      <c r="NX47">
        <f>IF('計算A'!EK$106=1,IJ47,1)</f>
        <v/>
      </c>
      <c r="NY47">
        <f>IF('計算A'!EL$106=1,IK47,1)</f>
        <v/>
      </c>
      <c r="NZ47">
        <f>IF('計算A'!EM$106=1,IL47,1)</f>
        <v/>
      </c>
      <c r="OA47">
        <f>IF('計算A'!EN$106=1,IM47,1)</f>
        <v/>
      </c>
      <c r="OB47">
        <f>IF('計算A'!EO$106=1,IN47,1)</f>
        <v/>
      </c>
      <c r="OC47">
        <f>IF('計算A'!EP$106=1,IO47,1)</f>
        <v/>
      </c>
      <c r="OD47" t="n">
        <v>1</v>
      </c>
      <c r="OF47">
        <f>IF($B47=0,1000000,IF(INDEX('計算A'!$D$60:$EQ$104,$B47,1)*DB47=1,IF(AND($E47=2,IQ47=0),1000000,IF($I47&gt;0,IF(1=$J47,IF(OR(AND(1=$I47+1,OR($K47&lt;&gt;'計算A'!$A$3,'計算A'!$A$4=0)),AND(1=$I47-1,OR(1&lt;&gt;'計算A'!$A$3,'計算A'!$A$4=0))),0,IF(1=$K47,200000,ABS(1-$K47)*100)),100000+ABS(1-$J47)*1000+10)+'計算A'!D$5*50+IF(AND($E47=1,IQ47=0),25,0),INDEX('計算A'!D$110:D$114,$F47+1)+IF(AND($E47=1,IQ47=0),1000,0)+IF($H47=1,(IF('計算A'!D$117=1,INDEX('計算A'!E$10:E$54,$B47),0))*500,0)-IF(AND($L47=1,'計算A'!D$117=1,DC47=0),300,0))),1000000))</f>
        <v/>
      </c>
      <c r="OG47">
        <f>IF($B47=0,1000000,IF(INDEX('計算A'!$D$60:$EQ$104,$B47,2)*DC47=1,IF(AND($E47=2,IR47=0),1000000,IF($I47&gt;0,IF(1=$J47,IF(OR(AND(2=$I47+1,OR($K47&lt;&gt;'計算A'!$A$3,'計算A'!$A$4=0)),AND(2=$I47-1,OR(2&lt;&gt;'計算A'!$A$3,'計算A'!$A$4=0))),0,IF(2=$K47,200000,ABS(2-$K47)*100)),100000+ABS(1-$J47)*1000+20)+'計算A'!E$5*50+IF(AND($E47=1,IR47=0),25,0),INDEX('計算A'!E$110:E$114,$F47+1)+IF(AND($E47=1,IR47=0),1000,0)+IF($H47=1,(IF('計算A'!D$117=1,INDEX('計算A'!D$10:D$54,$B47),0)+IF('計算A'!E$117=1,INDEX('計算A'!F$10:F$54,$B47),0))*500,0)-IF(AND('計算A'!D$117=1,UB47&gt;0),300,0)-IF(AND($L47=1,'計算A'!E$117=1,DD47=0),300,0))),1000000))</f>
        <v/>
      </c>
      <c r="OH47">
        <f>IF($B47=0,1000000,IF(INDEX('計算A'!$D$60:$EQ$104,$B47,3)*DD47=1,IF(AND($E47=2,IS47=0),1000000,IF($I47&gt;0,IF(1=$J47,IF(OR(AND(3=$I47+1,OR($K47&lt;&gt;'計算A'!$A$3,'計算A'!$A$4=0)),AND(3=$I47-1,OR(3&lt;&gt;'計算A'!$A$3,'計算A'!$A$4=0))),0,IF(3=$K47,200000,ABS(3-$K47)*100)),100000+ABS(1-$J47)*1000+30)+'計算A'!F$5*50+IF(AND($E47=1,IS47=0),25,0),INDEX('計算A'!F$110:F$114,$F47+1)+IF(AND($E47=1,IS47=0),1000,0)+IF($H47=1,(IF('計算A'!E$117=1,INDEX('計算A'!E$10:E$54,$B47),0)+IF('計算A'!F$117=1,INDEX('計算A'!G$10:G$54,$B47),0))*500,0)-IF(AND('計算A'!E$117=1,UC47&gt;0),300,0)-IF(AND($L47=1,'計算A'!F$117=1,DE47=0),300,0))),1000000))</f>
        <v/>
      </c>
      <c r="OI47">
        <f>IF($B47=0,1000000,IF(INDEX('計算A'!$D$60:$EQ$104,$B47,4)*DE47=1,IF(AND($E47=2,IT47=0),1000000,IF($I47&gt;0,IF(1=$J47,IF(OR(AND(4=$I47+1,OR($K47&lt;&gt;'計算A'!$A$3,'計算A'!$A$4=0)),AND(4=$I47-1,OR(4&lt;&gt;'計算A'!$A$3,'計算A'!$A$4=0))),0,IF(4=$K47,200000,ABS(4-$K47)*100)),100000+ABS(1-$J47)*1000+40)+'計算A'!G$5*50+IF(AND($E47=1,IT47=0),25,0),INDEX('計算A'!G$110:G$114,$F47+1)+IF(AND($E47=1,IT47=0),1000,0)+IF($H47=1,(IF('計算A'!F$117=1,INDEX('計算A'!F$10:F$54,$B47),0)+IF('計算A'!G$117=1,INDEX('計算A'!H$10:H$54,$B47),0))*500,0)-IF(AND('計算A'!F$117=1,UD47&gt;0),300,0)-IF(AND($L47=1,'計算A'!G$117=1,DF47=0),300,0))),1000000))</f>
        <v/>
      </c>
      <c r="OJ47">
        <f>IF($B47=0,1000000,IF(INDEX('計算A'!$D$60:$EQ$104,$B47,5)*DF47=1,IF(AND($E47=2,IU47=0),1000000,IF($I47&gt;0,IF(1=$J47,IF(OR(AND(5=$I47+1,OR($K47&lt;&gt;'計算A'!$A$3,'計算A'!$A$4=0)),AND(5=$I47-1,OR(5&lt;&gt;'計算A'!$A$3,'計算A'!$A$4=0))),0,IF(5=$K47,200000,ABS(5-$K47)*100)),100000+ABS(1-$J47)*1000+50)+'計算A'!H$5*50+IF(AND($E47=1,IU47=0),25,0),INDEX('計算A'!H$110:H$114,$F47+1)+IF(AND($E47=1,IU47=0),1000,0)+IF($H47=1,(IF('計算A'!G$117=1,INDEX('計算A'!G$10:G$54,$B47),0)+IF('計算A'!H$117=1,INDEX('計算A'!I$10:I$54,$B47),0))*500,0)-IF(AND('計算A'!G$117=1,UE47&gt;0),300,0)-IF(AND($L47=1,'計算A'!H$117=1,DG47=0),300,0))),1000000))</f>
        <v/>
      </c>
      <c r="OK47">
        <f>IF($B47=0,1000000,IF(INDEX('計算A'!$D$60:$EQ$104,$B47,6)*DG47=1,IF(AND($E47=2,IV47=0),1000000,IF($I47&gt;0,IF(1=$J47,IF(OR(AND(6=$I47+1,OR($K47&lt;&gt;'計算A'!$A$3,'計算A'!$A$4=0)),AND(6=$I47-1,OR(6&lt;&gt;'計算A'!$A$3,'計算A'!$A$4=0))),0,IF(6=$K47,200000,ABS(6-$K47)*100)),100000+ABS(1-$J47)*1000+60)+'計算A'!I$5*50+IF(AND($E47=1,IV47=0),25,0),INDEX('計算A'!I$110:I$114,$F47+1)+IF(AND($E47=1,IV47=0),1000,0)+IF($H47=1,(IF('計算A'!H$117=1,INDEX('計算A'!H$10:H$54,$B47),0)+IF('計算A'!I$117=1,INDEX('計算A'!J$10:J$54,$B47),0))*500,0)-IF(AND('計算A'!H$117=1,UF47&gt;0),300,0)-IF(AND($L47=1,'計算A'!I$117=1,DH47=0),300,0))),1000000))</f>
        <v/>
      </c>
      <c r="OL47">
        <f>IF($B47=0,1000000,IF(INDEX('計算A'!$D$60:$EQ$104,$B47,7)*DH47=1,IF(AND($E47=2,IW47=0),1000000,IF($I47&gt;0,IF(1=$J47,IF(OR(AND(7=$I47+1,OR($K47&lt;&gt;'計算A'!$A$3,'計算A'!$A$4=0)),AND(7=$I47-1,OR(7&lt;&gt;'計算A'!$A$3,'計算A'!$A$4=0))),0,IF(7=$K47,200000,ABS(7-$K47)*100)),100000+ABS(1-$J47)*1000+70)+'計算A'!J$5*50+IF(AND($E47=1,IW47=0),25,0),INDEX('計算A'!J$110:J$114,$F47+1)+IF(AND($E47=1,IW47=0),1000,0)+IF($H47=1,(IF('計算A'!I$117=1,INDEX('計算A'!I$10:I$54,$B47),0)+IF('計算A'!J$117=1,INDEX('計算A'!K$10:K$54,$B47),0))*500,0)-IF(AND('計算A'!I$117=1,UG47&gt;0),300,0)-IF(AND($L47=1,'計算A'!J$117=1,DI47=0),300,0))),1000000))</f>
        <v/>
      </c>
      <c r="OM47">
        <f>IF($B47=0,1000000,IF(INDEX('計算A'!$D$60:$EQ$104,$B47,8)*DI47=1,IF(AND($E47=2,IX47=0),1000000,IF($I47&gt;0,IF(1=$J47,IF(OR(AND(8=$I47+1,OR($K47&lt;&gt;'計算A'!$A$3,'計算A'!$A$4=0)),AND(8=$I47-1,OR(8&lt;&gt;'計算A'!$A$3,'計算A'!$A$4=0))),0,IF(8=$K47,200000,ABS(8-$K47)*100)),100000+ABS(1-$J47)*1000+80)+'計算A'!K$5*50+IF(AND($E47=1,IX47=0),25,0),INDEX('計算A'!K$110:K$114,$F47+1)+IF(AND($E47=1,IX47=0),1000,0)+IF($H47=1,(IF('計算A'!J$117=1,INDEX('計算A'!J$10:J$54,$B47),0)+IF('計算A'!K$117=1,INDEX('計算A'!L$10:L$54,$B47),0))*500,0)-IF(AND('計算A'!J$117=1,UH47&gt;0),300,0)-IF(AND($L47=1,'計算A'!K$117=1,DJ47=0),300,0))),1000000))</f>
        <v/>
      </c>
      <c r="ON47">
        <f>IF($B47=0,1000000,IF(INDEX('計算A'!$D$60:$EQ$104,$B47,9)*DJ47=1,IF(AND($E47=2,IY47=0),1000000,IF($I47&gt;0,IF(1=$J47,IF(OR(AND(9=$I47+1,OR($K47&lt;&gt;'計算A'!$A$3,'計算A'!$A$4=0)),AND(9=$I47-1,OR(9&lt;&gt;'計算A'!$A$3,'計算A'!$A$4=0))),0,IF(9=$K47,200000,ABS(9-$K47)*100)),100000+ABS(1-$J47)*1000+90)+'計算A'!L$5*50+IF(AND($E47=1,IY47=0),25,0),INDEX('計算A'!L$110:L$114,$F47+1)+IF(AND($E47=1,IY47=0),1000,0)+IF($H47=1,(IF('計算A'!K$117=1,INDEX('計算A'!K$10:K$54,$B47),0)+IF('計算A'!L$117=1,INDEX('計算A'!M$10:M$54,$B47),0))*500,0)-IF(AND('計算A'!K$117=1,UI47&gt;0),300,0)-IF(AND($L47=1,'計算A'!L$117=1,DK47=0),300,0))),1000000))</f>
        <v/>
      </c>
      <c r="OO47">
        <f>IF($B47=0,1000000,IF(INDEX('計算A'!$D$60:$EQ$104,$B47,10)*DK47=1,IF(AND($E47=2,IZ47=0),1000000,IF($I47&gt;0,IF(1=$J47,IF(OR(AND(10=$I47+1,OR($K47&lt;&gt;'計算A'!$A$3,'計算A'!$A$4=0)),AND(10=$I47-1,OR(10&lt;&gt;'計算A'!$A$3,'計算A'!$A$4=0))),0,IF(10=$K47,200000,ABS(10-$K47)*100)),100000+ABS(1-$J47)*1000+100)+'計算A'!M$5*50+IF(AND($E47=1,IZ47=0),25,0),INDEX('計算A'!M$110:M$114,$F47+1)+IF(AND($E47=1,IZ47=0),1000,0)+IF($H47=1,(IF('計算A'!L$117=1,INDEX('計算A'!L$10:L$54,$B47),0)+IF('計算A'!M$117=1,INDEX('計算A'!N$10:N$54,$B47),0))*500,0)-IF(AND('計算A'!L$117=1,UJ47&gt;0),300,0)-IF(AND($L47=1,'計算A'!M$117=1,DL47=0),300,0))),1000000))</f>
        <v/>
      </c>
      <c r="OP47">
        <f>IF($B47=0,1000000,IF(INDEX('計算A'!$D$60:$EQ$104,$B47,11)*DL47=1,IF(AND($E47=2,JA47=0),1000000,IF($I47&gt;0,IF(1=$J47,IF(OR(AND(11=$I47+1,OR($K47&lt;&gt;'計算A'!$A$3,'計算A'!$A$4=0)),AND(11=$I47-1,OR(11&lt;&gt;'計算A'!$A$3,'計算A'!$A$4=0))),0,IF(11=$K47,200000,ABS(11-$K47)*100)),100000+ABS(1-$J47)*1000+110)+'計算A'!N$5*50+IF(AND($E47=1,JA47=0),25,0),INDEX('計算A'!N$110:N$114,$F47+1)+IF(AND($E47=1,JA47=0),1000,0)+IF($H47=1,(IF('計算A'!M$117=1,INDEX('計算A'!M$10:M$54,$B47),0)+IF('計算A'!N$117=1,INDEX('計算A'!O$10:O$54,$B47),0))*500,0)-IF(AND('計算A'!M$117=1,UK47&gt;0),300,0)-IF(AND($L47=1,'計算A'!N$117=1,DM47=0),300,0))),1000000))</f>
        <v/>
      </c>
      <c r="OQ47">
        <f>IF($B47=0,1000000,IF(INDEX('計算A'!$D$60:$EQ$104,$B47,12)*DM47=1,IF(AND($E47=2,JB47=0),1000000,IF($I47&gt;0,IF(1=$J47,IF(OR(AND(12=$I47+1,OR($K47&lt;&gt;'計算A'!$A$3,'計算A'!$A$4=0)),AND(12=$I47-1,OR(12&lt;&gt;'計算A'!$A$3,'計算A'!$A$4=0))),0,IF(12=$K47,200000,ABS(12-$K47)*100)),100000+ABS(1-$J47)*1000+120)+'計算A'!O$5*50+IF(AND($E47=1,JB47=0),25,0),INDEX('計算A'!O$110:O$114,$F47+1)+IF(AND($E47=1,JB47=0),1000,0)+IF($H47=1,(IF('計算A'!N$117=1,INDEX('計算A'!N$10:N$54,$B47),0)+IF('計算A'!O$117=1,INDEX('計算A'!P$10:P$54,$B47),0))*500,0)-IF(AND('計算A'!N$117=1,UL47&gt;0),300,0)-IF(AND($L47=1,'計算A'!O$117=1,DN47=0),300,0))),1000000))</f>
        <v/>
      </c>
      <c r="OR47">
        <f>IF($B47=0,1000000,IF(INDEX('計算A'!$D$60:$EQ$104,$B47,13)*DN47=1,IF(AND($E47=2,JC47=0),1000000,IF($I47&gt;0,IF(1=$J47,IF(OR(AND(13=$I47+1,OR($K47&lt;&gt;'計算A'!$A$3,'計算A'!$A$4=0)),AND(13=$I47-1,OR(13&lt;&gt;'計算A'!$A$3,'計算A'!$A$4=0))),0,IF(13=$K47,200000,ABS(13-$K47)*100)),100000+ABS(1-$J47)*1000+130)+'計算A'!P$5*50+IF(AND($E47=1,JC47=0),25,0),INDEX('計算A'!P$110:P$114,$F47+1)+IF(AND($E47=1,JC47=0),1000,0)+IF($H47=1,(IF('計算A'!O$117=1,INDEX('計算A'!O$10:O$54,$B47),0)+IF('計算A'!P$117=1,INDEX('計算A'!Q$10:Q$54,$B47),0))*500,0)-IF(AND('計算A'!O$117=1,UM47&gt;0),300,0)-IF(AND($L47=1,'計算A'!P$117=1,DO47=0),300,0))),1000000))</f>
        <v/>
      </c>
      <c r="OS47">
        <f>IF($B47=0,1000000,IF(INDEX('計算A'!$D$60:$EQ$104,$B47,14)*DO47=1,IF(AND($E47=2,JD47=0),1000000,IF($I47&gt;0,IF(1=$J47,IF(OR(AND(14=$I47+1,OR($K47&lt;&gt;'計算A'!$A$3,'計算A'!$A$4=0)),AND(14=$I47-1,OR(14&lt;&gt;'計算A'!$A$3,'計算A'!$A$4=0))),0,IF(14=$K47,200000,ABS(14-$K47)*100)),100000+ABS(1-$J47)*1000+140)+'計算A'!Q$5*50+IF(AND($E47=1,JD47=0),25,0),INDEX('計算A'!Q$110:Q$114,$F47+1)+IF(AND($E47=1,JD47=0),1000,0)+IF($H47=1,(IF('計算A'!P$117=1,INDEX('計算A'!P$10:P$54,$B47),0)+IF('計算A'!Q$117=1,INDEX('計算A'!R$10:R$54,$B47),0))*500,0)-IF(AND('計算A'!P$117=1,UN47&gt;0),300,0)-IF(AND($L47=1,'計算A'!Q$117=1,DP47=0),300,0))),1000000))</f>
        <v/>
      </c>
      <c r="OT47">
        <f>IF($B47=0,1000000,IF(INDEX('計算A'!$D$60:$EQ$104,$B47,15)*DP47=1,IF(AND($E47=2,JE47=0),1000000,IF($I47&gt;0,IF(1=$J47,IF(OR(AND(15=$I47+1,OR($K47&lt;&gt;'計算A'!$A$3,'計算A'!$A$4=0)),AND(15=$I47-1,OR(15&lt;&gt;'計算A'!$A$3,'計算A'!$A$4=0))),0,IF(15=$K47,200000,ABS(15-$K47)*100)),100000+ABS(1-$J47)*1000+150)+'計算A'!R$5*50+IF(AND($E47=1,JE47=0),25,0),INDEX('計算A'!R$110:R$114,$F47+1)+IF(AND($E47=1,JE47=0),1000,0)+IF($H47=1,(IF('計算A'!Q$117=1,INDEX('計算A'!Q$10:Q$54,$B47),0)+IF('計算A'!R$117=1,INDEX('計算A'!S$10:S$54,$B47),0))*500,0)-IF(AND('計算A'!Q$117=1,UO47&gt;0),300,0)-IF(AND($L47=1,'計算A'!R$117=1,DQ47=0),300,0))),1000000))</f>
        <v/>
      </c>
      <c r="OU47">
        <f>IF($B47=0,1000000,IF(INDEX('計算A'!$D$60:$EQ$104,$B47,16)*DQ47=1,IF(AND($E47=2,JF47=0),1000000,IF($I47&gt;0,IF(1=$J47,IF(OR(AND(16=$I47+1,OR($K47&lt;&gt;'計算A'!$A$3,'計算A'!$A$4=0)),AND(16=$I47-1,OR(16&lt;&gt;'計算A'!$A$3,'計算A'!$A$4=0))),0,IF(16=$K47,200000,ABS(16-$K47)*100)),100000+ABS(1-$J47)*1000+160)+'計算A'!S$5*50+IF(AND($E47=1,JF47=0),25,0),INDEX('計算A'!S$110:S$114,$F47+1)+IF(AND($E47=1,JF47=0),1000,0)+IF($H47=1,(IF('計算A'!R$117=1,INDEX('計算A'!R$10:R$54,$B47),0)+IF('計算A'!S$117=1,INDEX('計算A'!T$10:T$54,$B47),0))*500,0)-IF(AND('計算A'!R$117=1,UP47&gt;0),300,0)-IF(AND($L47=1,'計算A'!S$117=1,DR47=0),300,0))),1000000))</f>
        <v/>
      </c>
      <c r="OV47">
        <f>IF($B47=0,1000000,IF(INDEX('計算A'!$D$60:$EQ$104,$B47,17)*DR47=1,IF(AND($E47=2,JG47=0),1000000,IF($I47&gt;0,IF(1=$J47,IF(OR(AND(17=$I47+1,OR($K47&lt;&gt;'計算A'!$A$3,'計算A'!$A$4=0)),AND(17=$I47-1,OR(17&lt;&gt;'計算A'!$A$3,'計算A'!$A$4=0))),0,IF(17=$K47,200000,ABS(17-$K47)*100)),100000+ABS(1-$J47)*1000+170)+'計算A'!T$5*50+IF(AND($E47=1,JG47=0),25,0),INDEX('計算A'!T$110:T$114,$F47+1)+IF(AND($E47=1,JG47=0),1000,0)+IF($H47=1,(IF('計算A'!S$117=1,INDEX('計算A'!S$10:S$54,$B47),0)+IF('計算A'!T$117=1,INDEX('計算A'!U$10:U$54,$B47),0))*500,0)-IF(AND('計算A'!S$117=1,UQ47&gt;0),300,0)-IF(AND($L47=1,'計算A'!T$117=1,DS47=0),300,0))),1000000))</f>
        <v/>
      </c>
      <c r="OW47">
        <f>IF($B47=0,1000000,IF(INDEX('計算A'!$D$60:$EQ$104,$B47,18)*DS47=1,IF(AND($E47=2,JH47=0),1000000,IF($I47&gt;0,IF(1=$J47,IF(OR(AND(18=$I47+1,OR($K47&lt;&gt;'計算A'!$A$3,'計算A'!$A$4=0)),AND(18=$I47-1,OR(18&lt;&gt;'計算A'!$A$3,'計算A'!$A$4=0))),0,IF(18=$K47,200000,ABS(18-$K47)*100)),100000+ABS(1-$J47)*1000+180)+'計算A'!U$5*50+IF(AND($E47=1,JH47=0),25,0),INDEX('計算A'!U$110:U$114,$F47+1)+IF(AND($E47=1,JH47=0),1000,0)+IF($H47=1,(IF('計算A'!T$117=1,INDEX('計算A'!T$10:T$54,$B47),0)+IF('計算A'!U$117=1,INDEX('計算A'!V$10:V$54,$B47),0))*500,0)-IF(AND('計算A'!T$117=1,UR47&gt;0),300,0)-IF(AND($L47=1,'計算A'!U$117=1,DT47=0),300,0))),1000000))</f>
        <v/>
      </c>
      <c r="OX47">
        <f>IF($B47=0,1000000,IF(INDEX('計算A'!$D$60:$EQ$104,$B47,19)*DT47=1,IF(AND($E47=2,JI47=0),1000000,IF($I47&gt;0,IF(1=$J47,IF(OR(AND(19=$I47+1,OR($K47&lt;&gt;'計算A'!$A$3,'計算A'!$A$4=0)),AND(19=$I47-1,OR(19&lt;&gt;'計算A'!$A$3,'計算A'!$A$4=0))),0,IF(19=$K47,200000,ABS(19-$K47)*100)),100000+ABS(1-$J47)*1000+190)+'計算A'!V$5*50+IF(AND($E47=1,JI47=0),25,0),INDEX('計算A'!V$110:V$114,$F47+1)+IF(AND($E47=1,JI47=0),1000,0)+IF($H47=1,(IF('計算A'!U$117=1,INDEX('計算A'!U$10:U$54,$B47),0)+IF('計算A'!V$117=1,INDEX('計算A'!W$10:W$54,$B47),0))*500,0)-IF(AND('計算A'!U$117=1,US47&gt;0),300,0)-IF(AND($L47=1,'計算A'!V$117=1,DU47=0),300,0))),1000000))</f>
        <v/>
      </c>
      <c r="OY47">
        <f>IF($B47=0,1000000,IF(INDEX('計算A'!$D$60:$EQ$104,$B47,20)*DU47=1,IF(AND($E47=2,JJ47=0),1000000,IF($I47&gt;0,IF(1=$J47,IF(OR(AND(20=$I47+1,OR($K47&lt;&gt;'計算A'!$A$3,'計算A'!$A$4=0)),AND(20=$I47-1,OR(20&lt;&gt;'計算A'!$A$3,'計算A'!$A$4=0))),0,IF(20=$K47,200000,ABS(20-$K47)*100)),100000+ABS(1-$J47)*1000+200)+'計算A'!W$5*50+IF(AND($E47=1,JJ47=0),25,0),INDEX('計算A'!W$110:W$114,$F47+1)+IF(AND($E47=1,JJ47=0),1000,0)+IF($H47=1,(IF('計算A'!V$117=1,INDEX('計算A'!V$10:V$54,$B47),0)+IF('計算A'!W$117=1,INDEX('計算A'!X$10:X$54,$B47),0))*500,0)-IF(AND('計算A'!V$117=1,UT47&gt;0),300,0)-IF(AND($L47=1,'計算A'!W$117=1,DV47=0),300,0))),1000000))</f>
        <v/>
      </c>
      <c r="OZ47">
        <f>IF($B47=0,1000000,IF(INDEX('計算A'!$D$60:$EQ$104,$B47,21)*DV47=1,IF(AND($E47=2,JK47=0),1000000,IF($I47&gt;0,IF(1=$J47,IF(OR(AND(21=$I47+1,OR($K47&lt;&gt;'計算A'!$A$3,'計算A'!$A$4=0)),AND(21=$I47-1,OR(21&lt;&gt;'計算A'!$A$3,'計算A'!$A$4=0))),0,IF(21=$K47,200000,ABS(21-$K47)*100)),100000+ABS(1-$J47)*1000+210)+'計算A'!X$5*50+IF(AND($E47=1,JK47=0),25,0),INDEX('計算A'!X$110:X$114,$F47+1)+IF(AND($E47=1,JK47=0),1000,0)+IF($H47=1,(IF('計算A'!W$117=1,INDEX('計算A'!W$10:W$54,$B47),0)+IF('計算A'!X$117=1,INDEX('計算A'!Y$10:Y$54,$B47),0))*500,0)-IF(AND('計算A'!W$117=1,UU47&gt;0),300,0)-IF(AND($L47=1,'計算A'!X$117=1,DW47=0),300,0))),1000000))</f>
        <v/>
      </c>
      <c r="PA47">
        <f>IF($B47=0,1000000,IF(INDEX('計算A'!$D$60:$EQ$104,$B47,22)*DW47=1,IF(AND($E47=2,JL47=0),1000000,IF($I47&gt;0,IF(1=$J47,IF(OR(AND(22=$I47+1,OR($K47&lt;&gt;'計算A'!$A$3,'計算A'!$A$4=0)),AND(22=$I47-1,OR(22&lt;&gt;'計算A'!$A$3,'計算A'!$A$4=0))),0,IF(22=$K47,200000,ABS(22-$K47)*100)),100000+ABS(1-$J47)*1000+220)+'計算A'!Y$5*50+IF(AND($E47=1,JL47=0),25,0),INDEX('計算A'!Y$110:Y$114,$F47+1)+IF(AND($E47=1,JL47=0),1000,0)+IF($H47=1,(IF('計算A'!X$117=1,INDEX('計算A'!X$10:X$54,$B47),0)+IF('計算A'!Y$117=1,INDEX('計算A'!Z$10:Z$54,$B47),0))*500,0)-IF(AND('計算A'!X$117=1,UV47&gt;0),300,0)-IF(AND($L47=1,'計算A'!Y$117=1,DX47=0),300,0))),1000000))</f>
        <v/>
      </c>
      <c r="PB47">
        <f>IF($B47=0,1000000,IF(INDEX('計算A'!$D$60:$EQ$104,$B47,23)*DX47=1,IF(AND($E47=2,JM47=0),1000000,IF($I47&gt;0,IF(1=$J47,IF(OR(AND(23=$I47+1,OR($K47&lt;&gt;'計算A'!$A$3,'計算A'!$A$4=0)),AND(23=$I47-1,OR(23&lt;&gt;'計算A'!$A$3,'計算A'!$A$4=0))),0,IF(23=$K47,200000,ABS(23-$K47)*100)),100000+ABS(1-$J47)*1000+230)+'計算A'!Z$5*50+IF(AND($E47=1,JM47=0),25,0),INDEX('計算A'!Z$110:Z$114,$F47+1)+IF(AND($E47=1,JM47=0),1000,0)+IF($H47=1,(IF('計算A'!Y$117=1,INDEX('計算A'!Y$10:Y$54,$B47),0)+IF('計算A'!Z$117=1,INDEX('計算A'!AA$10:AA$54,$B47),0))*500,0)-IF(AND('計算A'!Y$117=1,UW47&gt;0),300,0)-IF(AND($L47=1,'計算A'!Z$117=1,DY47=0),300,0))),1000000))</f>
        <v/>
      </c>
      <c r="PC47">
        <f>IF($B47=0,1000000,IF(INDEX('計算A'!$D$60:$EQ$104,$B47,24)*DY47=1,IF(AND($E47=2,JN47=0),1000000,IF($I47&gt;0,IF(1=$J47,IF(OR(AND(24=$I47+1,OR($K47&lt;&gt;'計算A'!$A$3,'計算A'!$A$4=0)),AND(24=$I47-1,OR(24&lt;&gt;'計算A'!$A$3,'計算A'!$A$4=0))),0,IF(24=$K47,200000,ABS(24-$K47)*100)),100000+ABS(1-$J47)*1000+240)+'計算A'!AA$5*50+IF(AND($E47=1,JN47=0),25,0),INDEX('計算A'!AA$110:AA$114,$F47+1)+IF(AND($E47=1,JN47=0),1000,0)+IF($H47=1,(IF('計算A'!Z$117=1,INDEX('計算A'!Z$10:Z$54,$B47),0))*500,0)-IF(AND('計算A'!Z$117=1,UX47&gt;0),300,0))),1000000))</f>
        <v/>
      </c>
      <c r="PD47">
        <f>IF($B47=0,1000000,IF(INDEX('計算A'!$D$60:$EQ$104,$B47,25)*DZ47=1,IF(AND($E47=2,JO47=0),1000000,IF($I47&gt;0,IF(2=$J47,IF(OR(AND(25=$I47+1,OR($K47&lt;&gt;'計算A'!$A$3,'計算A'!$A$4=0)),AND(25=$I47-1,OR(1&lt;&gt;'計算A'!$A$3,'計算A'!$A$4=0))),0,IF(1=$K47,200000,ABS(1-$K47)*100)),100000+ABS(2-$J47)*1000+10)+'計算A'!AB$5*50+IF(AND($E47=1,JO47=0),25,0),INDEX('計算A'!AB$110:AB$114,$F47+1)+IF(AND($E47=1,JO47=0),1000,0)+IF($H47=1,(IF('計算A'!AB$117=1,INDEX('計算A'!AC$10:AC$54,$B47),0))*500,0)-IF(AND($L47=1,'計算A'!AB$117=1,EA47=0),300,0))),1000000))</f>
        <v/>
      </c>
      <c r="PE47">
        <f>IF($B47=0,1000000,IF(INDEX('計算A'!$D$60:$EQ$104,$B47,26)*EA47=1,IF(AND($E47=2,JP47=0),1000000,IF($I47&gt;0,IF(2=$J47,IF(OR(AND(26=$I47+1,OR($K47&lt;&gt;'計算A'!$A$3,'計算A'!$A$4=0)),AND(26=$I47-1,OR(2&lt;&gt;'計算A'!$A$3,'計算A'!$A$4=0))),0,IF(2=$K47,200000,ABS(2-$K47)*100)),100000+ABS(2-$J47)*1000+20)+'計算A'!AC$5*50+IF(AND($E47=1,JP47=0),25,0),INDEX('計算A'!AC$110:AC$114,$F47+1)+IF(AND($E47=1,JP47=0),1000,0)+IF($H47=1,(IF('計算A'!AB$117=1,INDEX('計算A'!AB$10:AB$54,$B47),0)+IF('計算A'!AC$117=1,INDEX('計算A'!AD$10:AD$54,$B47),0))*500,0)-IF(AND('計算A'!AB$117=1,UZ47&gt;0),300,0)-IF(AND($L47=1,'計算A'!AC$117=1,EB47=0),300,0))),1000000))</f>
        <v/>
      </c>
      <c r="PF47">
        <f>IF($B47=0,1000000,IF(INDEX('計算A'!$D$60:$EQ$104,$B47,27)*EB47=1,IF(AND($E47=2,JQ47=0),1000000,IF($I47&gt;0,IF(2=$J47,IF(OR(AND(27=$I47+1,OR($K47&lt;&gt;'計算A'!$A$3,'計算A'!$A$4=0)),AND(27=$I47-1,OR(3&lt;&gt;'計算A'!$A$3,'計算A'!$A$4=0))),0,IF(3=$K47,200000,ABS(3-$K47)*100)),100000+ABS(2-$J47)*1000+30)+'計算A'!AD$5*50+IF(AND($E47=1,JQ47=0),25,0),INDEX('計算A'!AD$110:AD$114,$F47+1)+IF(AND($E47=1,JQ47=0),1000,0)+IF($H47=1,(IF('計算A'!AC$117=1,INDEX('計算A'!AC$10:AC$54,$B47),0)+IF('計算A'!AD$117=1,INDEX('計算A'!AE$10:AE$54,$B47),0))*500,0)-IF(AND('計算A'!AC$117=1,VA47&gt;0),300,0)-IF(AND($L47=1,'計算A'!AD$117=1,EC47=0),300,0))),1000000))</f>
        <v/>
      </c>
      <c r="PG47">
        <f>IF($B47=0,1000000,IF(INDEX('計算A'!$D$60:$EQ$104,$B47,28)*EC47=1,IF(AND($E47=2,JR47=0),1000000,IF($I47&gt;0,IF(2=$J47,IF(OR(AND(28=$I47+1,OR($K47&lt;&gt;'計算A'!$A$3,'計算A'!$A$4=0)),AND(28=$I47-1,OR(4&lt;&gt;'計算A'!$A$3,'計算A'!$A$4=0))),0,IF(4=$K47,200000,ABS(4-$K47)*100)),100000+ABS(2-$J47)*1000+40)+'計算A'!AE$5*50+IF(AND($E47=1,JR47=0),25,0),INDEX('計算A'!AE$110:AE$114,$F47+1)+IF(AND($E47=1,JR47=0),1000,0)+IF($H47=1,(IF('計算A'!AD$117=1,INDEX('計算A'!AD$10:AD$54,$B47),0)+IF('計算A'!AE$117=1,INDEX('計算A'!AF$10:AF$54,$B47),0))*500,0)-IF(AND('計算A'!AD$117=1,VB47&gt;0),300,0)-IF(AND($L47=1,'計算A'!AE$117=1,ED47=0),300,0))),1000000))</f>
        <v/>
      </c>
      <c r="PH47">
        <f>IF($B47=0,1000000,IF(INDEX('計算A'!$D$60:$EQ$104,$B47,29)*ED47=1,IF(AND($E47=2,JS47=0),1000000,IF($I47&gt;0,IF(2=$J47,IF(OR(AND(29=$I47+1,OR($K47&lt;&gt;'計算A'!$A$3,'計算A'!$A$4=0)),AND(29=$I47-1,OR(5&lt;&gt;'計算A'!$A$3,'計算A'!$A$4=0))),0,IF(5=$K47,200000,ABS(5-$K47)*100)),100000+ABS(2-$J47)*1000+50)+'計算A'!AF$5*50+IF(AND($E47=1,JS47=0),25,0),INDEX('計算A'!AF$110:AF$114,$F47+1)+IF(AND($E47=1,JS47=0),1000,0)+IF($H47=1,(IF('計算A'!AE$117=1,INDEX('計算A'!AE$10:AE$54,$B47),0)+IF('計算A'!AF$117=1,INDEX('計算A'!AG$10:AG$54,$B47),0))*500,0)-IF(AND('計算A'!AE$117=1,VC47&gt;0),300,0)-IF(AND($L47=1,'計算A'!AF$117=1,EE47=0),300,0))),1000000))</f>
        <v/>
      </c>
      <c r="PI47">
        <f>IF($B47=0,1000000,IF(INDEX('計算A'!$D$60:$EQ$104,$B47,30)*EE47=1,IF(AND($E47=2,JT47=0),1000000,IF($I47&gt;0,IF(2=$J47,IF(OR(AND(30=$I47+1,OR($K47&lt;&gt;'計算A'!$A$3,'計算A'!$A$4=0)),AND(30=$I47-1,OR(6&lt;&gt;'計算A'!$A$3,'計算A'!$A$4=0))),0,IF(6=$K47,200000,ABS(6-$K47)*100)),100000+ABS(2-$J47)*1000+60)+'計算A'!AG$5*50+IF(AND($E47=1,JT47=0),25,0),INDEX('計算A'!AG$110:AG$114,$F47+1)+IF(AND($E47=1,JT47=0),1000,0)+IF($H47=1,(IF('計算A'!AF$117=1,INDEX('計算A'!AF$10:AF$54,$B47),0)+IF('計算A'!AG$117=1,INDEX('計算A'!AH$10:AH$54,$B47),0))*500,0)-IF(AND('計算A'!AF$117=1,VD47&gt;0),300,0)-IF(AND($L47=1,'計算A'!AG$117=1,EF47=0),300,0))),1000000))</f>
        <v/>
      </c>
      <c r="PJ47">
        <f>IF($B47=0,1000000,IF(INDEX('計算A'!$D$60:$EQ$104,$B47,31)*EF47=1,IF(AND($E47=2,JU47=0),1000000,IF($I47&gt;0,IF(2=$J47,IF(OR(AND(31=$I47+1,OR($K47&lt;&gt;'計算A'!$A$3,'計算A'!$A$4=0)),AND(31=$I47-1,OR(7&lt;&gt;'計算A'!$A$3,'計算A'!$A$4=0))),0,IF(7=$K47,200000,ABS(7-$K47)*100)),100000+ABS(2-$J47)*1000+70)+'計算A'!AH$5*50+IF(AND($E47=1,JU47=0),25,0),INDEX('計算A'!AH$110:AH$114,$F47+1)+IF(AND($E47=1,JU47=0),1000,0)+IF($H47=1,(IF('計算A'!AG$117=1,INDEX('計算A'!AG$10:AG$54,$B47),0)+IF('計算A'!AH$117=1,INDEX('計算A'!AI$10:AI$54,$B47),0))*500,0)-IF(AND('計算A'!AG$117=1,VE47&gt;0),300,0)-IF(AND($L47=1,'計算A'!AH$117=1,EG47=0),300,0))),1000000))</f>
        <v/>
      </c>
      <c r="PK47">
        <f>IF($B47=0,1000000,IF(INDEX('計算A'!$D$60:$EQ$104,$B47,32)*EG47=1,IF(AND($E47=2,JV47=0),1000000,IF($I47&gt;0,IF(2=$J47,IF(OR(AND(32=$I47+1,OR($K47&lt;&gt;'計算A'!$A$3,'計算A'!$A$4=0)),AND(32=$I47-1,OR(8&lt;&gt;'計算A'!$A$3,'計算A'!$A$4=0))),0,IF(8=$K47,200000,ABS(8-$K47)*100)),100000+ABS(2-$J47)*1000+80)+'計算A'!AI$5*50+IF(AND($E47=1,JV47=0),25,0),INDEX('計算A'!AI$110:AI$114,$F47+1)+IF(AND($E47=1,JV47=0),1000,0)+IF($H47=1,(IF('計算A'!AH$117=1,INDEX('計算A'!AH$10:AH$54,$B47),0)+IF('計算A'!AI$117=1,INDEX('計算A'!AJ$10:AJ$54,$B47),0))*500,0)-IF(AND('計算A'!AH$117=1,VF47&gt;0),300,0)-IF(AND($L47=1,'計算A'!AI$117=1,EH47=0),300,0))),1000000))</f>
        <v/>
      </c>
      <c r="PL47">
        <f>IF($B47=0,1000000,IF(INDEX('計算A'!$D$60:$EQ$104,$B47,33)*EH47=1,IF(AND($E47=2,JW47=0),1000000,IF($I47&gt;0,IF(2=$J47,IF(OR(AND(33=$I47+1,OR($K47&lt;&gt;'計算A'!$A$3,'計算A'!$A$4=0)),AND(33=$I47-1,OR(9&lt;&gt;'計算A'!$A$3,'計算A'!$A$4=0))),0,IF(9=$K47,200000,ABS(9-$K47)*100)),100000+ABS(2-$J47)*1000+90)+'計算A'!AJ$5*50+IF(AND($E47=1,JW47=0),25,0),INDEX('計算A'!AJ$110:AJ$114,$F47+1)+IF(AND($E47=1,JW47=0),1000,0)+IF($H47=1,(IF('計算A'!AI$117=1,INDEX('計算A'!AI$10:AI$54,$B47),0)+IF('計算A'!AJ$117=1,INDEX('計算A'!AK$10:AK$54,$B47),0))*500,0)-IF(AND('計算A'!AI$117=1,VG47&gt;0),300,0)-IF(AND($L47=1,'計算A'!AJ$117=1,EI47=0),300,0))),1000000))</f>
        <v/>
      </c>
      <c r="PM47">
        <f>IF($B47=0,1000000,IF(INDEX('計算A'!$D$60:$EQ$104,$B47,34)*EI47=1,IF(AND($E47=2,JX47=0),1000000,IF($I47&gt;0,IF(2=$J47,IF(OR(AND(34=$I47+1,OR($K47&lt;&gt;'計算A'!$A$3,'計算A'!$A$4=0)),AND(34=$I47-1,OR(10&lt;&gt;'計算A'!$A$3,'計算A'!$A$4=0))),0,IF(10=$K47,200000,ABS(10-$K47)*100)),100000+ABS(2-$J47)*1000+100)+'計算A'!AK$5*50+IF(AND($E47=1,JX47=0),25,0),INDEX('計算A'!AK$110:AK$114,$F47+1)+IF(AND($E47=1,JX47=0),1000,0)+IF($H47=1,(IF('計算A'!AJ$117=1,INDEX('計算A'!AJ$10:AJ$54,$B47),0)+IF('計算A'!AK$117=1,INDEX('計算A'!AL$10:AL$54,$B47),0))*500,0)-IF(AND('計算A'!AJ$117=1,VH47&gt;0),300,0)-IF(AND($L47=1,'計算A'!AK$117=1,EJ47=0),300,0))),1000000))</f>
        <v/>
      </c>
      <c r="PN47">
        <f>IF($B47=0,1000000,IF(INDEX('計算A'!$D$60:$EQ$104,$B47,35)*EJ47=1,IF(AND($E47=2,JY47=0),1000000,IF($I47&gt;0,IF(2=$J47,IF(OR(AND(35=$I47+1,OR($K47&lt;&gt;'計算A'!$A$3,'計算A'!$A$4=0)),AND(35=$I47-1,OR(11&lt;&gt;'計算A'!$A$3,'計算A'!$A$4=0))),0,IF(11=$K47,200000,ABS(11-$K47)*100)),100000+ABS(2-$J47)*1000+110)+'計算A'!AL$5*50+IF(AND($E47=1,JY47=0),25,0),INDEX('計算A'!AL$110:AL$114,$F47+1)+IF(AND($E47=1,JY47=0),1000,0)+IF($H47=1,(IF('計算A'!AK$117=1,INDEX('計算A'!AK$10:AK$54,$B47),0)+IF('計算A'!AL$117=1,INDEX('計算A'!AM$10:AM$54,$B47),0))*500,0)-IF(AND('計算A'!AK$117=1,VI47&gt;0),300,0)-IF(AND($L47=1,'計算A'!AL$117=1,EK47=0),300,0))),1000000))</f>
        <v/>
      </c>
      <c r="PO47">
        <f>IF($B47=0,1000000,IF(INDEX('計算A'!$D$60:$EQ$104,$B47,36)*EK47=1,IF(AND($E47=2,JZ47=0),1000000,IF($I47&gt;0,IF(2=$J47,IF(OR(AND(36=$I47+1,OR($K47&lt;&gt;'計算A'!$A$3,'計算A'!$A$4=0)),AND(36=$I47-1,OR(12&lt;&gt;'計算A'!$A$3,'計算A'!$A$4=0))),0,IF(12=$K47,200000,ABS(12-$K47)*100)),100000+ABS(2-$J47)*1000+120)+'計算A'!AM$5*50+IF(AND($E47=1,JZ47=0),25,0),INDEX('計算A'!AM$110:AM$114,$F47+1)+IF(AND($E47=1,JZ47=0),1000,0)+IF($H47=1,(IF('計算A'!AL$117=1,INDEX('計算A'!AL$10:AL$54,$B47),0)+IF('計算A'!AM$117=1,INDEX('計算A'!AN$10:AN$54,$B47),0))*500,0)-IF(AND('計算A'!AL$117=1,VJ47&gt;0),300,0)-IF(AND($L47=1,'計算A'!AM$117=1,EL47=0),300,0))),1000000))</f>
        <v/>
      </c>
      <c r="PP47">
        <f>IF($B47=0,1000000,IF(INDEX('計算A'!$D$60:$EQ$104,$B47,37)*EL47=1,IF(AND($E47=2,KA47=0),1000000,IF($I47&gt;0,IF(2=$J47,IF(OR(AND(37=$I47+1,OR($K47&lt;&gt;'計算A'!$A$3,'計算A'!$A$4=0)),AND(37=$I47-1,OR(13&lt;&gt;'計算A'!$A$3,'計算A'!$A$4=0))),0,IF(13=$K47,200000,ABS(13-$K47)*100)),100000+ABS(2-$J47)*1000+130)+'計算A'!AN$5*50+IF(AND($E47=1,KA47=0),25,0),INDEX('計算A'!AN$110:AN$114,$F47+1)+IF(AND($E47=1,KA47=0),1000,0)+IF($H47=1,(IF('計算A'!AM$117=1,INDEX('計算A'!AM$10:AM$54,$B47),0)+IF('計算A'!AN$117=1,INDEX('計算A'!AO$10:AO$54,$B47),0))*500,0)-IF(AND('計算A'!AM$117=1,VK47&gt;0),300,0)-IF(AND($L47=1,'計算A'!AN$117=1,EM47=0),300,0))),1000000))</f>
        <v/>
      </c>
      <c r="PQ47">
        <f>IF($B47=0,1000000,IF(INDEX('計算A'!$D$60:$EQ$104,$B47,38)*EM47=1,IF(AND($E47=2,KB47=0),1000000,IF($I47&gt;0,IF(2=$J47,IF(OR(AND(38=$I47+1,OR($K47&lt;&gt;'計算A'!$A$3,'計算A'!$A$4=0)),AND(38=$I47-1,OR(14&lt;&gt;'計算A'!$A$3,'計算A'!$A$4=0))),0,IF(14=$K47,200000,ABS(14-$K47)*100)),100000+ABS(2-$J47)*1000+140)+'計算A'!AO$5*50+IF(AND($E47=1,KB47=0),25,0),INDEX('計算A'!AO$110:AO$114,$F47+1)+IF(AND($E47=1,KB47=0),1000,0)+IF($H47=1,(IF('計算A'!AN$117=1,INDEX('計算A'!AN$10:AN$54,$B47),0)+IF('計算A'!AO$117=1,INDEX('計算A'!AP$10:AP$54,$B47),0))*500,0)-IF(AND('計算A'!AN$117=1,VL47&gt;0),300,0)-IF(AND($L47=1,'計算A'!AO$117=1,EN47=0),300,0))),1000000))</f>
        <v/>
      </c>
      <c r="PR47">
        <f>IF($B47=0,1000000,IF(INDEX('計算A'!$D$60:$EQ$104,$B47,39)*EN47=1,IF(AND($E47=2,KC47=0),1000000,IF($I47&gt;0,IF(2=$J47,IF(OR(AND(39=$I47+1,OR($K47&lt;&gt;'計算A'!$A$3,'計算A'!$A$4=0)),AND(39=$I47-1,OR(15&lt;&gt;'計算A'!$A$3,'計算A'!$A$4=0))),0,IF(15=$K47,200000,ABS(15-$K47)*100)),100000+ABS(2-$J47)*1000+150)+'計算A'!AP$5*50+IF(AND($E47=1,KC47=0),25,0),INDEX('計算A'!AP$110:AP$114,$F47+1)+IF(AND($E47=1,KC47=0),1000,0)+IF($H47=1,(IF('計算A'!AO$117=1,INDEX('計算A'!AO$10:AO$54,$B47),0)+IF('計算A'!AP$117=1,INDEX('計算A'!AQ$10:AQ$54,$B47),0))*500,0)-IF(AND('計算A'!AO$117=1,VM47&gt;0),300,0)-IF(AND($L47=1,'計算A'!AP$117=1,EO47=0),300,0))),1000000))</f>
        <v/>
      </c>
      <c r="PS47">
        <f>IF($B47=0,1000000,IF(INDEX('計算A'!$D$60:$EQ$104,$B47,40)*EO47=1,IF(AND($E47=2,KD47=0),1000000,IF($I47&gt;0,IF(2=$J47,IF(OR(AND(40=$I47+1,OR($K47&lt;&gt;'計算A'!$A$3,'計算A'!$A$4=0)),AND(40=$I47-1,OR(16&lt;&gt;'計算A'!$A$3,'計算A'!$A$4=0))),0,IF(16=$K47,200000,ABS(16-$K47)*100)),100000+ABS(2-$J47)*1000+160)+'計算A'!AQ$5*50+IF(AND($E47=1,KD47=0),25,0),INDEX('計算A'!AQ$110:AQ$114,$F47+1)+IF(AND($E47=1,KD47=0),1000,0)+IF($H47=1,(IF('計算A'!AP$117=1,INDEX('計算A'!AP$10:AP$54,$B47),0)+IF('計算A'!AQ$117=1,INDEX('計算A'!AR$10:AR$54,$B47),0))*500,0)-IF(AND('計算A'!AP$117=1,VN47&gt;0),300,0)-IF(AND($L47=1,'計算A'!AQ$117=1,EP47=0),300,0))),1000000))</f>
        <v/>
      </c>
      <c r="PT47">
        <f>IF($B47=0,1000000,IF(INDEX('計算A'!$D$60:$EQ$104,$B47,41)*EP47=1,IF(AND($E47=2,KE47=0),1000000,IF($I47&gt;0,IF(2=$J47,IF(OR(AND(41=$I47+1,OR($K47&lt;&gt;'計算A'!$A$3,'計算A'!$A$4=0)),AND(41=$I47-1,OR(17&lt;&gt;'計算A'!$A$3,'計算A'!$A$4=0))),0,IF(17=$K47,200000,ABS(17-$K47)*100)),100000+ABS(2-$J47)*1000+170)+'計算A'!AR$5*50+IF(AND($E47=1,KE47=0),25,0),INDEX('計算A'!AR$110:AR$114,$F47+1)+IF(AND($E47=1,KE47=0),1000,0)+IF($H47=1,(IF('計算A'!AQ$117=1,INDEX('計算A'!AQ$10:AQ$54,$B47),0)+IF('計算A'!AR$117=1,INDEX('計算A'!AS$10:AS$54,$B47),0))*500,0)-IF(AND('計算A'!AQ$117=1,VO47&gt;0),300,0)-IF(AND($L47=1,'計算A'!AR$117=1,EQ47=0),300,0))),1000000))</f>
        <v/>
      </c>
      <c r="PU47">
        <f>IF($B47=0,1000000,IF(INDEX('計算A'!$D$60:$EQ$104,$B47,42)*EQ47=1,IF(AND($E47=2,KF47=0),1000000,IF($I47&gt;0,IF(2=$J47,IF(OR(AND(42=$I47+1,OR($K47&lt;&gt;'計算A'!$A$3,'計算A'!$A$4=0)),AND(42=$I47-1,OR(18&lt;&gt;'計算A'!$A$3,'計算A'!$A$4=0))),0,IF(18=$K47,200000,ABS(18-$K47)*100)),100000+ABS(2-$J47)*1000+180)+'計算A'!AS$5*50+IF(AND($E47=1,KF47=0),25,0),INDEX('計算A'!AS$110:AS$114,$F47+1)+IF(AND($E47=1,KF47=0),1000,0)+IF($H47=1,(IF('計算A'!AR$117=1,INDEX('計算A'!AR$10:AR$54,$B47),0)+IF('計算A'!AS$117=1,INDEX('計算A'!AT$10:AT$54,$B47),0))*500,0)-IF(AND('計算A'!AR$117=1,VP47&gt;0),300,0)-IF(AND($L47=1,'計算A'!AS$117=1,ER47=0),300,0))),1000000))</f>
        <v/>
      </c>
      <c r="PV47">
        <f>IF($B47=0,1000000,IF(INDEX('計算A'!$D$60:$EQ$104,$B47,43)*ER47=1,IF(AND($E47=2,KG47=0),1000000,IF($I47&gt;0,IF(2=$J47,IF(OR(AND(43=$I47+1,OR($K47&lt;&gt;'計算A'!$A$3,'計算A'!$A$4=0)),AND(43=$I47-1,OR(19&lt;&gt;'計算A'!$A$3,'計算A'!$A$4=0))),0,IF(19=$K47,200000,ABS(19-$K47)*100)),100000+ABS(2-$J47)*1000+190)+'計算A'!AT$5*50+IF(AND($E47=1,KG47=0),25,0),INDEX('計算A'!AT$110:AT$114,$F47+1)+IF(AND($E47=1,KG47=0),1000,0)+IF($H47=1,(IF('計算A'!AS$117=1,INDEX('計算A'!AS$10:AS$54,$B47),0)+IF('計算A'!AT$117=1,INDEX('計算A'!AU$10:AU$54,$B47),0))*500,0)-IF(AND('計算A'!AS$117=1,VQ47&gt;0),300,0)-IF(AND($L47=1,'計算A'!AT$117=1,ES47=0),300,0))),1000000))</f>
        <v/>
      </c>
      <c r="PW47">
        <f>IF($B47=0,1000000,IF(INDEX('計算A'!$D$60:$EQ$104,$B47,44)*ES47=1,IF(AND($E47=2,KH47=0),1000000,IF($I47&gt;0,IF(2=$J47,IF(OR(AND(44=$I47+1,OR($K47&lt;&gt;'計算A'!$A$3,'計算A'!$A$4=0)),AND(44=$I47-1,OR(20&lt;&gt;'計算A'!$A$3,'計算A'!$A$4=0))),0,IF(20=$K47,200000,ABS(20-$K47)*100)),100000+ABS(2-$J47)*1000+200)+'計算A'!AU$5*50+IF(AND($E47=1,KH47=0),25,0),INDEX('計算A'!AU$110:AU$114,$F47+1)+IF(AND($E47=1,KH47=0),1000,0)+IF($H47=1,(IF('計算A'!AT$117=1,INDEX('計算A'!AT$10:AT$54,$B47),0)+IF('計算A'!AU$117=1,INDEX('計算A'!AV$10:AV$54,$B47),0))*500,0)-IF(AND('計算A'!AT$117=1,VR47&gt;0),300,0)-IF(AND($L47=1,'計算A'!AU$117=1,ET47=0),300,0))),1000000))</f>
        <v/>
      </c>
      <c r="PX47">
        <f>IF($B47=0,1000000,IF(INDEX('計算A'!$D$60:$EQ$104,$B47,45)*ET47=1,IF(AND($E47=2,KI47=0),1000000,IF($I47&gt;0,IF(2=$J47,IF(OR(AND(45=$I47+1,OR($K47&lt;&gt;'計算A'!$A$3,'計算A'!$A$4=0)),AND(45=$I47-1,OR(21&lt;&gt;'計算A'!$A$3,'計算A'!$A$4=0))),0,IF(21=$K47,200000,ABS(21-$K47)*100)),100000+ABS(2-$J47)*1000+210)+'計算A'!AV$5*50+IF(AND($E47=1,KI47=0),25,0),INDEX('計算A'!AV$110:AV$114,$F47+1)+IF(AND($E47=1,KI47=0),1000,0)+IF($H47=1,(IF('計算A'!AU$117=1,INDEX('計算A'!AU$10:AU$54,$B47),0)+IF('計算A'!AV$117=1,INDEX('計算A'!AW$10:AW$54,$B47),0))*500,0)-IF(AND('計算A'!AU$117=1,VS47&gt;0),300,0)-IF(AND($L47=1,'計算A'!AV$117=1,EU47=0),300,0))),1000000))</f>
        <v/>
      </c>
      <c r="PY47">
        <f>IF($B47=0,1000000,IF(INDEX('計算A'!$D$60:$EQ$104,$B47,46)*EU47=1,IF(AND($E47=2,KJ47=0),1000000,IF($I47&gt;0,IF(2=$J47,IF(OR(AND(46=$I47+1,OR($K47&lt;&gt;'計算A'!$A$3,'計算A'!$A$4=0)),AND(46=$I47-1,OR(22&lt;&gt;'計算A'!$A$3,'計算A'!$A$4=0))),0,IF(22=$K47,200000,ABS(22-$K47)*100)),100000+ABS(2-$J47)*1000+220)+'計算A'!AW$5*50+IF(AND($E47=1,KJ47=0),25,0),INDEX('計算A'!AW$110:AW$114,$F47+1)+IF(AND($E47=1,KJ47=0),1000,0)+IF($H47=1,(IF('計算A'!AV$117=1,INDEX('計算A'!AV$10:AV$54,$B47),0)+IF('計算A'!AW$117=1,INDEX('計算A'!AX$10:AX$54,$B47),0))*500,0)-IF(AND('計算A'!AV$117=1,VT47&gt;0),300,0)-IF(AND($L47=1,'計算A'!AW$117=1,EV47=0),300,0))),1000000))</f>
        <v/>
      </c>
      <c r="PZ47">
        <f>IF($B47=0,1000000,IF(INDEX('計算A'!$D$60:$EQ$104,$B47,47)*EV47=1,IF(AND($E47=2,KK47=0),1000000,IF($I47&gt;0,IF(2=$J47,IF(OR(AND(47=$I47+1,OR($K47&lt;&gt;'計算A'!$A$3,'計算A'!$A$4=0)),AND(47=$I47-1,OR(23&lt;&gt;'計算A'!$A$3,'計算A'!$A$4=0))),0,IF(23=$K47,200000,ABS(23-$K47)*100)),100000+ABS(2-$J47)*1000+230)+'計算A'!AX$5*50+IF(AND($E47=1,KK47=0),25,0),INDEX('計算A'!AX$110:AX$114,$F47+1)+IF(AND($E47=1,KK47=0),1000,0)+IF($H47=1,(IF('計算A'!AW$117=1,INDEX('計算A'!AW$10:AW$54,$B47),0)+IF('計算A'!AX$117=1,INDEX('計算A'!AY$10:AY$54,$B47),0))*500,0)-IF(AND('計算A'!AW$117=1,VU47&gt;0),300,0)-IF(AND($L47=1,'計算A'!AX$117=1,EW47=0),300,0))),1000000))</f>
        <v/>
      </c>
      <c r="QA47">
        <f>IF($B47=0,1000000,IF(INDEX('計算A'!$D$60:$EQ$104,$B47,48)*EW47=1,IF(AND($E47=2,KL47=0),1000000,IF($I47&gt;0,IF(2=$J47,IF(OR(AND(48=$I47+1,OR($K47&lt;&gt;'計算A'!$A$3,'計算A'!$A$4=0)),AND(48=$I47-1,OR(24&lt;&gt;'計算A'!$A$3,'計算A'!$A$4=0))),0,IF(24=$K47,200000,ABS(24-$K47)*100)),100000+ABS(2-$J47)*1000+240)+'計算A'!AY$5*50+IF(AND($E47=1,KL47=0),25,0),INDEX('計算A'!AY$110:AY$114,$F47+1)+IF(AND($E47=1,KL47=0),1000,0)+IF($H47=1,(IF('計算A'!AX$117=1,INDEX('計算A'!AX$10:AX$54,$B47),0))*500,0)-IF(AND('計算A'!AX$117=1,VV47&gt;0),300,0))),1000000))</f>
        <v/>
      </c>
      <c r="QB47">
        <f>IF($B47=0,1000000,IF(INDEX('計算A'!$D$60:$EQ$104,$B47,49)*EX47=1,IF(AND($E47=2,KM47=0),1000000,IF($I47&gt;0,IF(3=$J47,IF(OR(AND(49=$I47+1,OR($K47&lt;&gt;'計算A'!$A$3,'計算A'!$A$4=0)),AND(49=$I47-1,OR(1&lt;&gt;'計算A'!$A$3,'計算A'!$A$4=0))),0,IF(1=$K47,200000,ABS(1-$K47)*100)),100000+ABS(3-$J47)*1000+10)+'計算A'!AZ$5*50+IF(AND($E47=1,KM47=0),25,0),INDEX('計算A'!AZ$110:AZ$114,$F47+1)+IF(AND($E47=1,KM47=0),1000,0)+IF($H47=1,(IF('計算A'!AZ$117=1,INDEX('計算A'!BA$10:BA$54,$B47),0))*500,0)-IF(AND($L47=1,'計算A'!AZ$117=1,EY47=0),300,0))),1000000))</f>
        <v/>
      </c>
      <c r="QC47">
        <f>IF($B47=0,1000000,IF(INDEX('計算A'!$D$60:$EQ$104,$B47,50)*EY47=1,IF(AND($E47=2,KN47=0),1000000,IF($I47&gt;0,IF(3=$J47,IF(OR(AND(50=$I47+1,OR($K47&lt;&gt;'計算A'!$A$3,'計算A'!$A$4=0)),AND(50=$I47-1,OR(2&lt;&gt;'計算A'!$A$3,'計算A'!$A$4=0))),0,IF(2=$K47,200000,ABS(2-$K47)*100)),100000+ABS(3-$J47)*1000+20)+'計算A'!BA$5*50+IF(AND($E47=1,KN47=0),25,0),INDEX('計算A'!BA$110:BA$114,$F47+1)+IF(AND($E47=1,KN47=0),1000,0)+IF($H47=1,(IF('計算A'!AZ$117=1,INDEX('計算A'!AZ$10:AZ$54,$B47),0)+IF('計算A'!BA$117=1,INDEX('計算A'!BB$10:BB$54,$B47),0))*500,0)-IF(AND('計算A'!AZ$117=1,VX47&gt;0),300,0)-IF(AND($L47=1,'計算A'!BA$117=1,EZ47=0),300,0))),1000000))</f>
        <v/>
      </c>
      <c r="QD47">
        <f>IF($B47=0,1000000,IF(INDEX('計算A'!$D$60:$EQ$104,$B47,51)*EZ47=1,IF(AND($E47=2,KO47=0),1000000,IF($I47&gt;0,IF(3=$J47,IF(OR(AND(51=$I47+1,OR($K47&lt;&gt;'計算A'!$A$3,'計算A'!$A$4=0)),AND(51=$I47-1,OR(3&lt;&gt;'計算A'!$A$3,'計算A'!$A$4=0))),0,IF(3=$K47,200000,ABS(3-$K47)*100)),100000+ABS(3-$J47)*1000+30)+'計算A'!BB$5*50+IF(AND($E47=1,KO47=0),25,0),INDEX('計算A'!BB$110:BB$114,$F47+1)+IF(AND($E47=1,KO47=0),1000,0)+IF($H47=1,(IF('計算A'!BA$117=1,INDEX('計算A'!BA$10:BA$54,$B47),0)+IF('計算A'!BB$117=1,INDEX('計算A'!BC$10:BC$54,$B47),0))*500,0)-IF(AND('計算A'!BA$117=1,VY47&gt;0),300,0)-IF(AND($L47=1,'計算A'!BB$117=1,FA47=0),300,0))),1000000))</f>
        <v/>
      </c>
      <c r="QE47">
        <f>IF($B47=0,1000000,IF(INDEX('計算A'!$D$60:$EQ$104,$B47,52)*FA47=1,IF(AND($E47=2,KP47=0),1000000,IF($I47&gt;0,IF(3=$J47,IF(OR(AND(52=$I47+1,OR($K47&lt;&gt;'計算A'!$A$3,'計算A'!$A$4=0)),AND(52=$I47-1,OR(4&lt;&gt;'計算A'!$A$3,'計算A'!$A$4=0))),0,IF(4=$K47,200000,ABS(4-$K47)*100)),100000+ABS(3-$J47)*1000+40)+'計算A'!BC$5*50+IF(AND($E47=1,KP47=0),25,0),INDEX('計算A'!BC$110:BC$114,$F47+1)+IF(AND($E47=1,KP47=0),1000,0)+IF($H47=1,(IF('計算A'!BB$117=1,INDEX('計算A'!BB$10:BB$54,$B47),0)+IF('計算A'!BC$117=1,INDEX('計算A'!BD$10:BD$54,$B47),0))*500,0)-IF(AND('計算A'!BB$117=1,VZ47&gt;0),300,0)-IF(AND($L47=1,'計算A'!BC$117=1,FB47=0),300,0))),1000000))</f>
        <v/>
      </c>
      <c r="QF47">
        <f>IF($B47=0,1000000,IF(INDEX('計算A'!$D$60:$EQ$104,$B47,53)*FB47=1,IF(AND($E47=2,KQ47=0),1000000,IF($I47&gt;0,IF(3=$J47,IF(OR(AND(53=$I47+1,OR($K47&lt;&gt;'計算A'!$A$3,'計算A'!$A$4=0)),AND(53=$I47-1,OR(5&lt;&gt;'計算A'!$A$3,'計算A'!$A$4=0))),0,IF(5=$K47,200000,ABS(5-$K47)*100)),100000+ABS(3-$J47)*1000+50)+'計算A'!BD$5*50+IF(AND($E47=1,KQ47=0),25,0),INDEX('計算A'!BD$110:BD$114,$F47+1)+IF(AND($E47=1,KQ47=0),1000,0)+IF($H47=1,(IF('計算A'!BC$117=1,INDEX('計算A'!BC$10:BC$54,$B47),0)+IF('計算A'!BD$117=1,INDEX('計算A'!BE$10:BE$54,$B47),0))*500,0)-IF(AND('計算A'!BC$117=1,WA47&gt;0),300,0)-IF(AND($L47=1,'計算A'!BD$117=1,FC47=0),300,0))),1000000))</f>
        <v/>
      </c>
      <c r="QG47">
        <f>IF($B47=0,1000000,IF(INDEX('計算A'!$D$60:$EQ$104,$B47,54)*FC47=1,IF(AND($E47=2,KR47=0),1000000,IF($I47&gt;0,IF(3=$J47,IF(OR(AND(54=$I47+1,OR($K47&lt;&gt;'計算A'!$A$3,'計算A'!$A$4=0)),AND(54=$I47-1,OR(6&lt;&gt;'計算A'!$A$3,'計算A'!$A$4=0))),0,IF(6=$K47,200000,ABS(6-$K47)*100)),100000+ABS(3-$J47)*1000+60)+'計算A'!BE$5*50+IF(AND($E47=1,KR47=0),25,0),INDEX('計算A'!BE$110:BE$114,$F47+1)+IF(AND($E47=1,KR47=0),1000,0)+IF($H47=1,(IF('計算A'!BD$117=1,INDEX('計算A'!BD$10:BD$54,$B47),0)+IF('計算A'!BE$117=1,INDEX('計算A'!BF$10:BF$54,$B47),0))*500,0)-IF(AND('計算A'!BD$117=1,WB47&gt;0),300,0)-IF(AND($L47=1,'計算A'!BE$117=1,FD47=0),300,0))),1000000))</f>
        <v/>
      </c>
      <c r="QH47">
        <f>IF($B47=0,1000000,IF(INDEX('計算A'!$D$60:$EQ$104,$B47,55)*FD47=1,IF(AND($E47=2,KS47=0),1000000,IF($I47&gt;0,IF(3=$J47,IF(OR(AND(55=$I47+1,OR($K47&lt;&gt;'計算A'!$A$3,'計算A'!$A$4=0)),AND(55=$I47-1,OR(7&lt;&gt;'計算A'!$A$3,'計算A'!$A$4=0))),0,IF(7=$K47,200000,ABS(7-$K47)*100)),100000+ABS(3-$J47)*1000+70)+'計算A'!BF$5*50+IF(AND($E47=1,KS47=0),25,0),INDEX('計算A'!BF$110:BF$114,$F47+1)+IF(AND($E47=1,KS47=0),1000,0)+IF($H47=1,(IF('計算A'!BE$117=1,INDEX('計算A'!BE$10:BE$54,$B47),0)+IF('計算A'!BF$117=1,INDEX('計算A'!BG$10:BG$54,$B47),0))*500,0)-IF(AND('計算A'!BE$117=1,WC47&gt;0),300,0)-IF(AND($L47=1,'計算A'!BF$117=1,FE47=0),300,0))),1000000))</f>
        <v/>
      </c>
      <c r="QI47">
        <f>IF($B47=0,1000000,IF(INDEX('計算A'!$D$60:$EQ$104,$B47,56)*FE47=1,IF(AND($E47=2,KT47=0),1000000,IF($I47&gt;0,IF(3=$J47,IF(OR(AND(56=$I47+1,OR($K47&lt;&gt;'計算A'!$A$3,'計算A'!$A$4=0)),AND(56=$I47-1,OR(8&lt;&gt;'計算A'!$A$3,'計算A'!$A$4=0))),0,IF(8=$K47,200000,ABS(8-$K47)*100)),100000+ABS(3-$J47)*1000+80)+'計算A'!BG$5*50+IF(AND($E47=1,KT47=0),25,0),INDEX('計算A'!BG$110:BG$114,$F47+1)+IF(AND($E47=1,KT47=0),1000,0)+IF($H47=1,(IF('計算A'!BF$117=1,INDEX('計算A'!BF$10:BF$54,$B47),0)+IF('計算A'!BG$117=1,INDEX('計算A'!BH$10:BH$54,$B47),0))*500,0)-IF(AND('計算A'!BF$117=1,WD47&gt;0),300,0)-IF(AND($L47=1,'計算A'!BG$117=1,FF47=0),300,0))),1000000))</f>
        <v/>
      </c>
      <c r="QJ47">
        <f>IF($B47=0,1000000,IF(INDEX('計算A'!$D$60:$EQ$104,$B47,57)*FF47=1,IF(AND($E47=2,KU47=0),1000000,IF($I47&gt;0,IF(3=$J47,IF(OR(AND(57=$I47+1,OR($K47&lt;&gt;'計算A'!$A$3,'計算A'!$A$4=0)),AND(57=$I47-1,OR(9&lt;&gt;'計算A'!$A$3,'計算A'!$A$4=0))),0,IF(9=$K47,200000,ABS(9-$K47)*100)),100000+ABS(3-$J47)*1000+90)+'計算A'!BH$5*50+IF(AND($E47=1,KU47=0),25,0),INDEX('計算A'!BH$110:BH$114,$F47+1)+IF(AND($E47=1,KU47=0),1000,0)+IF($H47=1,(IF('計算A'!BG$117=1,INDEX('計算A'!BG$10:BG$54,$B47),0)+IF('計算A'!BH$117=1,INDEX('計算A'!BI$10:BI$54,$B47),0))*500,0)-IF(AND('計算A'!BG$117=1,WE47&gt;0),300,0)-IF(AND($L47=1,'計算A'!BH$117=1,FG47=0),300,0))),1000000))</f>
        <v/>
      </c>
      <c r="QK47">
        <f>IF($B47=0,1000000,IF(INDEX('計算A'!$D$60:$EQ$104,$B47,58)*FG47=1,IF(AND($E47=2,KV47=0),1000000,IF($I47&gt;0,IF(3=$J47,IF(OR(AND(58=$I47+1,OR($K47&lt;&gt;'計算A'!$A$3,'計算A'!$A$4=0)),AND(58=$I47-1,OR(10&lt;&gt;'計算A'!$A$3,'計算A'!$A$4=0))),0,IF(10=$K47,200000,ABS(10-$K47)*100)),100000+ABS(3-$J47)*1000+100)+'計算A'!BI$5*50+IF(AND($E47=1,KV47=0),25,0),INDEX('計算A'!BI$110:BI$114,$F47+1)+IF(AND($E47=1,KV47=0),1000,0)+IF($H47=1,(IF('計算A'!BH$117=1,INDEX('計算A'!BH$10:BH$54,$B47),0)+IF('計算A'!BI$117=1,INDEX('計算A'!BJ$10:BJ$54,$B47),0))*500,0)-IF(AND('計算A'!BH$117=1,WF47&gt;0),300,0)-IF(AND($L47=1,'計算A'!BI$117=1,FH47=0),300,0))),1000000))</f>
        <v/>
      </c>
      <c r="QL47">
        <f>IF($B47=0,1000000,IF(INDEX('計算A'!$D$60:$EQ$104,$B47,59)*FH47=1,IF(AND($E47=2,KW47=0),1000000,IF($I47&gt;0,IF(3=$J47,IF(OR(AND(59=$I47+1,OR($K47&lt;&gt;'計算A'!$A$3,'計算A'!$A$4=0)),AND(59=$I47-1,OR(11&lt;&gt;'計算A'!$A$3,'計算A'!$A$4=0))),0,IF(11=$K47,200000,ABS(11-$K47)*100)),100000+ABS(3-$J47)*1000+110)+'計算A'!BJ$5*50+IF(AND($E47=1,KW47=0),25,0),INDEX('計算A'!BJ$110:BJ$114,$F47+1)+IF(AND($E47=1,KW47=0),1000,0)+IF($H47=1,(IF('計算A'!BI$117=1,INDEX('計算A'!BI$10:BI$54,$B47),0)+IF('計算A'!BJ$117=1,INDEX('計算A'!BK$10:BK$54,$B47),0))*500,0)-IF(AND('計算A'!BI$117=1,WG47&gt;0),300,0)-IF(AND($L47=1,'計算A'!BJ$117=1,FI47=0),300,0))),1000000))</f>
        <v/>
      </c>
      <c r="QM47">
        <f>IF($B47=0,1000000,IF(INDEX('計算A'!$D$60:$EQ$104,$B47,60)*FI47=1,IF(AND($E47=2,KX47=0),1000000,IF($I47&gt;0,IF(3=$J47,IF(OR(AND(60=$I47+1,OR($K47&lt;&gt;'計算A'!$A$3,'計算A'!$A$4=0)),AND(60=$I47-1,OR(12&lt;&gt;'計算A'!$A$3,'計算A'!$A$4=0))),0,IF(12=$K47,200000,ABS(12-$K47)*100)),100000+ABS(3-$J47)*1000+120)+'計算A'!BK$5*50+IF(AND($E47=1,KX47=0),25,0),INDEX('計算A'!BK$110:BK$114,$F47+1)+IF(AND($E47=1,KX47=0),1000,0)+IF($H47=1,(IF('計算A'!BJ$117=1,INDEX('計算A'!BJ$10:BJ$54,$B47),0)+IF('計算A'!BK$117=1,INDEX('計算A'!BL$10:BL$54,$B47),0))*500,0)-IF(AND('計算A'!BJ$117=1,WH47&gt;0),300,0)-IF(AND($L47=1,'計算A'!BK$117=1,FJ47=0),300,0))),1000000))</f>
        <v/>
      </c>
      <c r="QN47">
        <f>IF($B47=0,1000000,IF(INDEX('計算A'!$D$60:$EQ$104,$B47,61)*FJ47=1,IF(AND($E47=2,KY47=0),1000000,IF($I47&gt;0,IF(3=$J47,IF(OR(AND(61=$I47+1,OR($K47&lt;&gt;'計算A'!$A$3,'計算A'!$A$4=0)),AND(61=$I47-1,OR(13&lt;&gt;'計算A'!$A$3,'計算A'!$A$4=0))),0,IF(13=$K47,200000,ABS(13-$K47)*100)),100000+ABS(3-$J47)*1000+130)+'計算A'!BL$5*50+IF(AND($E47=1,KY47=0),25,0),INDEX('計算A'!BL$110:BL$114,$F47+1)+IF(AND($E47=1,KY47=0),1000,0)+IF($H47=1,(IF('計算A'!BK$117=1,INDEX('計算A'!BK$10:BK$54,$B47),0)+IF('計算A'!BL$117=1,INDEX('計算A'!BM$10:BM$54,$B47),0))*500,0)-IF(AND('計算A'!BK$117=1,WI47&gt;0),300,0)-IF(AND($L47=1,'計算A'!BL$117=1,FK47=0),300,0))),1000000))</f>
        <v/>
      </c>
      <c r="QO47">
        <f>IF($B47=0,1000000,IF(INDEX('計算A'!$D$60:$EQ$104,$B47,62)*FK47=1,IF(AND($E47=2,KZ47=0),1000000,IF($I47&gt;0,IF(3=$J47,IF(OR(AND(62=$I47+1,OR($K47&lt;&gt;'計算A'!$A$3,'計算A'!$A$4=0)),AND(62=$I47-1,OR(14&lt;&gt;'計算A'!$A$3,'計算A'!$A$4=0))),0,IF(14=$K47,200000,ABS(14-$K47)*100)),100000+ABS(3-$J47)*1000+140)+'計算A'!BM$5*50+IF(AND($E47=1,KZ47=0),25,0),INDEX('計算A'!BM$110:BM$114,$F47+1)+IF(AND($E47=1,KZ47=0),1000,0)+IF($H47=1,(IF('計算A'!BL$117=1,INDEX('計算A'!BL$10:BL$54,$B47),0)+IF('計算A'!BM$117=1,INDEX('計算A'!BN$10:BN$54,$B47),0))*500,0)-IF(AND('計算A'!BL$117=1,WJ47&gt;0),300,0)-IF(AND($L47=1,'計算A'!BM$117=1,FL47=0),300,0))),1000000))</f>
        <v/>
      </c>
      <c r="QP47">
        <f>IF($B47=0,1000000,IF(INDEX('計算A'!$D$60:$EQ$104,$B47,63)*FL47=1,IF(AND($E47=2,LA47=0),1000000,IF($I47&gt;0,IF(3=$J47,IF(OR(AND(63=$I47+1,OR($K47&lt;&gt;'計算A'!$A$3,'計算A'!$A$4=0)),AND(63=$I47-1,OR(15&lt;&gt;'計算A'!$A$3,'計算A'!$A$4=0))),0,IF(15=$K47,200000,ABS(15-$K47)*100)),100000+ABS(3-$J47)*1000+150)+'計算A'!BN$5*50+IF(AND($E47=1,LA47=0),25,0),INDEX('計算A'!BN$110:BN$114,$F47+1)+IF(AND($E47=1,LA47=0),1000,0)+IF($H47=1,(IF('計算A'!BM$117=1,INDEX('計算A'!BM$10:BM$54,$B47),0)+IF('計算A'!BN$117=1,INDEX('計算A'!BO$10:BO$54,$B47),0))*500,0)-IF(AND('計算A'!BM$117=1,WK47&gt;0),300,0)-IF(AND($L47=1,'計算A'!BN$117=1,FM47=0),300,0))),1000000))</f>
        <v/>
      </c>
      <c r="QQ47">
        <f>IF($B47=0,1000000,IF(INDEX('計算A'!$D$60:$EQ$104,$B47,64)*FM47=1,IF(AND($E47=2,LB47=0),1000000,IF($I47&gt;0,IF(3=$J47,IF(OR(AND(64=$I47+1,OR($K47&lt;&gt;'計算A'!$A$3,'計算A'!$A$4=0)),AND(64=$I47-1,OR(16&lt;&gt;'計算A'!$A$3,'計算A'!$A$4=0))),0,IF(16=$K47,200000,ABS(16-$K47)*100)),100000+ABS(3-$J47)*1000+160)+'計算A'!BO$5*50+IF(AND($E47=1,LB47=0),25,0),INDEX('計算A'!BO$110:BO$114,$F47+1)+IF(AND($E47=1,LB47=0),1000,0)+IF($H47=1,(IF('計算A'!BN$117=1,INDEX('計算A'!BN$10:BN$54,$B47),0)+IF('計算A'!BO$117=1,INDEX('計算A'!BP$10:BP$54,$B47),0))*500,0)-IF(AND('計算A'!BN$117=1,WL47&gt;0),300,0)-IF(AND($L47=1,'計算A'!BO$117=1,FN47=0),300,0))),1000000))</f>
        <v/>
      </c>
      <c r="QR47">
        <f>IF($B47=0,1000000,IF(INDEX('計算A'!$D$60:$EQ$104,$B47,65)*FN47=1,IF(AND($E47=2,LC47=0),1000000,IF($I47&gt;0,IF(3=$J47,IF(OR(AND(65=$I47+1,OR($K47&lt;&gt;'計算A'!$A$3,'計算A'!$A$4=0)),AND(65=$I47-1,OR(17&lt;&gt;'計算A'!$A$3,'計算A'!$A$4=0))),0,IF(17=$K47,200000,ABS(17-$K47)*100)),100000+ABS(3-$J47)*1000+170)+'計算A'!BP$5*50+IF(AND($E47=1,LC47=0),25,0),INDEX('計算A'!BP$110:BP$114,$F47+1)+IF(AND($E47=1,LC47=0),1000,0)+IF($H47=1,(IF('計算A'!BO$117=1,INDEX('計算A'!BO$10:BO$54,$B47),0)+IF('計算A'!BP$117=1,INDEX('計算A'!BQ$10:BQ$54,$B47),0))*500,0)-IF(AND('計算A'!BO$117=1,WM47&gt;0),300,0)-IF(AND($L47=1,'計算A'!BP$117=1,FO47=0),300,0))),1000000))</f>
        <v/>
      </c>
      <c r="QS47">
        <f>IF($B47=0,1000000,IF(INDEX('計算A'!$D$60:$EQ$104,$B47,66)*FO47=1,IF(AND($E47=2,LD47=0),1000000,IF($I47&gt;0,IF(3=$J47,IF(OR(AND(66=$I47+1,OR($K47&lt;&gt;'計算A'!$A$3,'計算A'!$A$4=0)),AND(66=$I47-1,OR(18&lt;&gt;'計算A'!$A$3,'計算A'!$A$4=0))),0,IF(18=$K47,200000,ABS(18-$K47)*100)),100000+ABS(3-$J47)*1000+180)+'計算A'!BQ$5*50+IF(AND($E47=1,LD47=0),25,0),INDEX('計算A'!BQ$110:BQ$114,$F47+1)+IF(AND($E47=1,LD47=0),1000,0)+IF($H47=1,(IF('計算A'!BP$117=1,INDEX('計算A'!BP$10:BP$54,$B47),0)+IF('計算A'!BQ$117=1,INDEX('計算A'!BR$10:BR$54,$B47),0))*500,0)-IF(AND('計算A'!BP$117=1,WN47&gt;0),300,0)-IF(AND($L47=1,'計算A'!BQ$117=1,FP47=0),300,0))),1000000))</f>
        <v/>
      </c>
      <c r="QT47">
        <f>IF($B47=0,1000000,IF(INDEX('計算A'!$D$60:$EQ$104,$B47,67)*FP47=1,IF(AND($E47=2,LE47=0),1000000,IF($I47&gt;0,IF(3=$J47,IF(OR(AND(67=$I47+1,OR($K47&lt;&gt;'計算A'!$A$3,'計算A'!$A$4=0)),AND(67=$I47-1,OR(19&lt;&gt;'計算A'!$A$3,'計算A'!$A$4=0))),0,IF(19=$K47,200000,ABS(19-$K47)*100)),100000+ABS(3-$J47)*1000+190)+'計算A'!BR$5*50+IF(AND($E47=1,LE47=0),25,0),INDEX('計算A'!BR$110:BR$114,$F47+1)+IF(AND($E47=1,LE47=0),1000,0)+IF($H47=1,(IF('計算A'!BQ$117=1,INDEX('計算A'!BQ$10:BQ$54,$B47),0)+IF('計算A'!BR$117=1,INDEX('計算A'!BS$10:BS$54,$B47),0))*500,0)-IF(AND('計算A'!BQ$117=1,WO47&gt;0),300,0)-IF(AND($L47=1,'計算A'!BR$117=1,FQ47=0),300,0))),1000000))</f>
        <v/>
      </c>
      <c r="QU47">
        <f>IF($B47=0,1000000,IF(INDEX('計算A'!$D$60:$EQ$104,$B47,68)*FQ47=1,IF(AND($E47=2,LF47=0),1000000,IF($I47&gt;0,IF(3=$J47,IF(OR(AND(68=$I47+1,OR($K47&lt;&gt;'計算A'!$A$3,'計算A'!$A$4=0)),AND(68=$I47-1,OR(20&lt;&gt;'計算A'!$A$3,'計算A'!$A$4=0))),0,IF(20=$K47,200000,ABS(20-$K47)*100)),100000+ABS(3-$J47)*1000+200)+'計算A'!BS$5*50+IF(AND($E47=1,LF47=0),25,0),INDEX('計算A'!BS$110:BS$114,$F47+1)+IF(AND($E47=1,LF47=0),1000,0)+IF($H47=1,(IF('計算A'!BR$117=1,INDEX('計算A'!BR$10:BR$54,$B47),0)+IF('計算A'!BS$117=1,INDEX('計算A'!BT$10:BT$54,$B47),0))*500,0)-IF(AND('計算A'!BR$117=1,WP47&gt;0),300,0)-IF(AND($L47=1,'計算A'!BS$117=1,FR47=0),300,0))),1000000))</f>
        <v/>
      </c>
      <c r="QV47">
        <f>IF($B47=0,1000000,IF(INDEX('計算A'!$D$60:$EQ$104,$B47,69)*FR47=1,IF(AND($E47=2,LG47=0),1000000,IF($I47&gt;0,IF(3=$J47,IF(OR(AND(69=$I47+1,OR($K47&lt;&gt;'計算A'!$A$3,'計算A'!$A$4=0)),AND(69=$I47-1,OR(21&lt;&gt;'計算A'!$A$3,'計算A'!$A$4=0))),0,IF(21=$K47,200000,ABS(21-$K47)*100)),100000+ABS(3-$J47)*1000+210)+'計算A'!BT$5*50+IF(AND($E47=1,LG47=0),25,0),INDEX('計算A'!BT$110:BT$114,$F47+1)+IF(AND($E47=1,LG47=0),1000,0)+IF($H47=1,(IF('計算A'!BS$117=1,INDEX('計算A'!BS$10:BS$54,$B47),0)+IF('計算A'!BT$117=1,INDEX('計算A'!BU$10:BU$54,$B47),0))*500,0)-IF(AND('計算A'!BS$117=1,WQ47&gt;0),300,0)-IF(AND($L47=1,'計算A'!BT$117=1,FS47=0),300,0))),1000000))</f>
        <v/>
      </c>
      <c r="QW47">
        <f>IF($B47=0,1000000,IF(INDEX('計算A'!$D$60:$EQ$104,$B47,70)*FS47=1,IF(AND($E47=2,LH47=0),1000000,IF($I47&gt;0,IF(3=$J47,IF(OR(AND(70=$I47+1,OR($K47&lt;&gt;'計算A'!$A$3,'計算A'!$A$4=0)),AND(70=$I47-1,OR(22&lt;&gt;'計算A'!$A$3,'計算A'!$A$4=0))),0,IF(22=$K47,200000,ABS(22-$K47)*100)),100000+ABS(3-$J47)*1000+220)+'計算A'!BU$5*50+IF(AND($E47=1,LH47=0),25,0),INDEX('計算A'!BU$110:BU$114,$F47+1)+IF(AND($E47=1,LH47=0),1000,0)+IF($H47=1,(IF('計算A'!BT$117=1,INDEX('計算A'!BT$10:BT$54,$B47),0)+IF('計算A'!BU$117=1,INDEX('計算A'!BV$10:BV$54,$B47),0))*500,0)-IF(AND('計算A'!BT$117=1,WR47&gt;0),300,0)-IF(AND($L47=1,'計算A'!BU$117=1,FT47=0),300,0))),1000000))</f>
        <v/>
      </c>
      <c r="QX47">
        <f>IF($B47=0,1000000,IF(INDEX('計算A'!$D$60:$EQ$104,$B47,71)*FT47=1,IF(AND($E47=2,LI47=0),1000000,IF($I47&gt;0,IF(3=$J47,IF(OR(AND(71=$I47+1,OR($K47&lt;&gt;'計算A'!$A$3,'計算A'!$A$4=0)),AND(71=$I47-1,OR(23&lt;&gt;'計算A'!$A$3,'計算A'!$A$4=0))),0,IF(23=$K47,200000,ABS(23-$K47)*100)),100000+ABS(3-$J47)*1000+230)+'計算A'!BV$5*50+IF(AND($E47=1,LI47=0),25,0),INDEX('計算A'!BV$110:BV$114,$F47+1)+IF(AND($E47=1,LI47=0),1000,0)+IF($H47=1,(IF('計算A'!BU$117=1,INDEX('計算A'!BU$10:BU$54,$B47),0)+IF('計算A'!BV$117=1,INDEX('計算A'!BW$10:BW$54,$B47),0))*500,0)-IF(AND('計算A'!BU$117=1,WS47&gt;0),300,0)-IF(AND($L47=1,'計算A'!BV$117=1,FU47=0),300,0))),1000000))</f>
        <v/>
      </c>
      <c r="QY47">
        <f>IF($B47=0,1000000,IF(INDEX('計算A'!$D$60:$EQ$104,$B47,72)*FU47=1,IF(AND($E47=2,LJ47=0),1000000,IF($I47&gt;0,IF(3=$J47,IF(OR(AND(72=$I47+1,OR($K47&lt;&gt;'計算A'!$A$3,'計算A'!$A$4=0)),AND(72=$I47-1,OR(24&lt;&gt;'計算A'!$A$3,'計算A'!$A$4=0))),0,IF(24=$K47,200000,ABS(24-$K47)*100)),100000+ABS(3-$J47)*1000+240)+'計算A'!BW$5*50+IF(AND($E47=1,LJ47=0),25,0),INDEX('計算A'!BW$110:BW$114,$F47+1)+IF(AND($E47=1,LJ47=0),1000,0)+IF($H47=1,(IF('計算A'!BV$117=1,INDEX('計算A'!BV$10:BV$54,$B47),0))*500,0)-IF(AND('計算A'!BV$117=1,WT47&gt;0),300,0))),1000000))</f>
        <v/>
      </c>
      <c r="QZ47">
        <f>IF($B47=0,1000000,IF(INDEX('計算A'!$D$60:$EQ$104,$B47,73)*FV47=1,IF(AND($E47=2,LK47=0),1000000,IF($I47&gt;0,IF(4=$J47,IF(OR(AND(73=$I47+1,OR($K47&lt;&gt;'計算A'!$A$3,'計算A'!$A$4=0)),AND(73=$I47-1,OR(1&lt;&gt;'計算A'!$A$3,'計算A'!$A$4=0))),0,IF(1=$K47,200000,ABS(1-$K47)*100)),100000+ABS(4-$J47)*1000+10)+'計算A'!BX$5*50+IF(AND($E47=1,LK47=0),25,0),INDEX('計算A'!BX$110:BX$114,$F47+1)+IF(AND($E47=1,LK47=0),1000,0)+IF($H47=1,(IF('計算A'!BX$117=1,INDEX('計算A'!BY$10:BY$54,$B47),0))*500,0)-IF(AND($L47=1,'計算A'!BX$117=1,FW47=0),300,0))),1000000))</f>
        <v/>
      </c>
      <c r="RA47">
        <f>IF($B47=0,1000000,IF(INDEX('計算A'!$D$60:$EQ$104,$B47,74)*FW47=1,IF(AND($E47=2,LL47=0),1000000,IF($I47&gt;0,IF(4=$J47,IF(OR(AND(74=$I47+1,OR($K47&lt;&gt;'計算A'!$A$3,'計算A'!$A$4=0)),AND(74=$I47-1,OR(2&lt;&gt;'計算A'!$A$3,'計算A'!$A$4=0))),0,IF(2=$K47,200000,ABS(2-$K47)*100)),100000+ABS(4-$J47)*1000+20)+'計算A'!BY$5*50+IF(AND($E47=1,LL47=0),25,0),INDEX('計算A'!BY$110:BY$114,$F47+1)+IF(AND($E47=1,LL47=0),1000,0)+IF($H47=1,(IF('計算A'!BX$117=1,INDEX('計算A'!BX$10:BX$54,$B47),0)+IF('計算A'!BY$117=1,INDEX('計算A'!BZ$10:BZ$54,$B47),0))*500,0)-IF(AND('計算A'!BX$117=1,WV47&gt;0),300,0)-IF(AND($L47=1,'計算A'!BY$117=1,FX47=0),300,0))),1000000))</f>
        <v/>
      </c>
      <c r="RB47">
        <f>IF($B47=0,1000000,IF(INDEX('計算A'!$D$60:$EQ$104,$B47,75)*FX47=1,IF(AND($E47=2,LM47=0),1000000,IF($I47&gt;0,IF(4=$J47,IF(OR(AND(75=$I47+1,OR($K47&lt;&gt;'計算A'!$A$3,'計算A'!$A$4=0)),AND(75=$I47-1,OR(3&lt;&gt;'計算A'!$A$3,'計算A'!$A$4=0))),0,IF(3=$K47,200000,ABS(3-$K47)*100)),100000+ABS(4-$J47)*1000+30)+'計算A'!BZ$5*50+IF(AND($E47=1,LM47=0),25,0),INDEX('計算A'!BZ$110:BZ$114,$F47+1)+IF(AND($E47=1,LM47=0),1000,0)+IF($H47=1,(IF('計算A'!BY$117=1,INDEX('計算A'!BY$10:BY$54,$B47),0)+IF('計算A'!BZ$117=1,INDEX('計算A'!CA$10:CA$54,$B47),0))*500,0)-IF(AND('計算A'!BY$117=1,WW47&gt;0),300,0)-IF(AND($L47=1,'計算A'!BZ$117=1,FY47=0),300,0))),1000000))</f>
        <v/>
      </c>
      <c r="RC47">
        <f>IF($B47=0,1000000,IF(INDEX('計算A'!$D$60:$EQ$104,$B47,76)*FY47=1,IF(AND($E47=2,LN47=0),1000000,IF($I47&gt;0,IF(4=$J47,IF(OR(AND(76=$I47+1,OR($K47&lt;&gt;'計算A'!$A$3,'計算A'!$A$4=0)),AND(76=$I47-1,OR(4&lt;&gt;'計算A'!$A$3,'計算A'!$A$4=0))),0,IF(4=$K47,200000,ABS(4-$K47)*100)),100000+ABS(4-$J47)*1000+40)+'計算A'!CA$5*50+IF(AND($E47=1,LN47=0),25,0),INDEX('計算A'!CA$110:CA$114,$F47+1)+IF(AND($E47=1,LN47=0),1000,0)+IF($H47=1,(IF('計算A'!BZ$117=1,INDEX('計算A'!BZ$10:BZ$54,$B47),0)+IF('計算A'!CA$117=1,INDEX('計算A'!CB$10:CB$54,$B47),0))*500,0)-IF(AND('計算A'!BZ$117=1,WX47&gt;0),300,0)-IF(AND($L47=1,'計算A'!CA$117=1,FZ47=0),300,0))),1000000))</f>
        <v/>
      </c>
      <c r="RD47">
        <f>IF($B47=0,1000000,IF(INDEX('計算A'!$D$60:$EQ$104,$B47,77)*FZ47=1,IF(AND($E47=2,LO47=0),1000000,IF($I47&gt;0,IF(4=$J47,IF(OR(AND(77=$I47+1,OR($K47&lt;&gt;'計算A'!$A$3,'計算A'!$A$4=0)),AND(77=$I47-1,OR(5&lt;&gt;'計算A'!$A$3,'計算A'!$A$4=0))),0,IF(5=$K47,200000,ABS(5-$K47)*100)),100000+ABS(4-$J47)*1000+50)+'計算A'!CB$5*50+IF(AND($E47=1,LO47=0),25,0),INDEX('計算A'!CB$110:CB$114,$F47+1)+IF(AND($E47=1,LO47=0),1000,0)+IF($H47=1,(IF('計算A'!CA$117=1,INDEX('計算A'!CA$10:CA$54,$B47),0)+IF('計算A'!CB$117=1,INDEX('計算A'!CC$10:CC$54,$B47),0))*500,0)-IF(AND('計算A'!CA$117=1,WY47&gt;0),300,0)-IF(AND($L47=1,'計算A'!CB$117=1,GA47=0),300,0))),1000000))</f>
        <v/>
      </c>
      <c r="RE47">
        <f>IF($B47=0,1000000,IF(INDEX('計算A'!$D$60:$EQ$104,$B47,78)*GA47=1,IF(AND($E47=2,LP47=0),1000000,IF($I47&gt;0,IF(4=$J47,IF(OR(AND(78=$I47+1,OR($K47&lt;&gt;'計算A'!$A$3,'計算A'!$A$4=0)),AND(78=$I47-1,OR(6&lt;&gt;'計算A'!$A$3,'計算A'!$A$4=0))),0,IF(6=$K47,200000,ABS(6-$K47)*100)),100000+ABS(4-$J47)*1000+60)+'計算A'!CC$5*50+IF(AND($E47=1,LP47=0),25,0),INDEX('計算A'!CC$110:CC$114,$F47+1)+IF(AND($E47=1,LP47=0),1000,0)+IF($H47=1,(IF('計算A'!CB$117=1,INDEX('計算A'!CB$10:CB$54,$B47),0)+IF('計算A'!CC$117=1,INDEX('計算A'!CD$10:CD$54,$B47),0))*500,0)-IF(AND('計算A'!CB$117=1,WZ47&gt;0),300,0)-IF(AND($L47=1,'計算A'!CC$117=1,GB47=0),300,0))),1000000))</f>
        <v/>
      </c>
      <c r="RF47">
        <f>IF($B47=0,1000000,IF(INDEX('計算A'!$D$60:$EQ$104,$B47,79)*GB47=1,IF(AND($E47=2,LQ47=0),1000000,IF($I47&gt;0,IF(4=$J47,IF(OR(AND(79=$I47+1,OR($K47&lt;&gt;'計算A'!$A$3,'計算A'!$A$4=0)),AND(79=$I47-1,OR(7&lt;&gt;'計算A'!$A$3,'計算A'!$A$4=0))),0,IF(7=$K47,200000,ABS(7-$K47)*100)),100000+ABS(4-$J47)*1000+70)+'計算A'!CD$5*50+IF(AND($E47=1,LQ47=0),25,0),INDEX('計算A'!CD$110:CD$114,$F47+1)+IF(AND($E47=1,LQ47=0),1000,0)+IF($H47=1,(IF('計算A'!CC$117=1,INDEX('計算A'!CC$10:CC$54,$B47),0)+IF('計算A'!CD$117=1,INDEX('計算A'!CE$10:CE$54,$B47),0))*500,0)-IF(AND('計算A'!CC$117=1,XA47&gt;0),300,0)-IF(AND($L47=1,'計算A'!CD$117=1,GC47=0),300,0))),1000000))</f>
        <v/>
      </c>
      <c r="RG47">
        <f>IF($B47=0,1000000,IF(INDEX('計算A'!$D$60:$EQ$104,$B47,80)*GC47=1,IF(AND($E47=2,LR47=0),1000000,IF($I47&gt;0,IF(4=$J47,IF(OR(AND(80=$I47+1,OR($K47&lt;&gt;'計算A'!$A$3,'計算A'!$A$4=0)),AND(80=$I47-1,OR(8&lt;&gt;'計算A'!$A$3,'計算A'!$A$4=0))),0,IF(8=$K47,200000,ABS(8-$K47)*100)),100000+ABS(4-$J47)*1000+80)+'計算A'!CE$5*50+IF(AND($E47=1,LR47=0),25,0),INDEX('計算A'!CE$110:CE$114,$F47+1)+IF(AND($E47=1,LR47=0),1000,0)+IF($H47=1,(IF('計算A'!CD$117=1,INDEX('計算A'!CD$10:CD$54,$B47),0)+IF('計算A'!CE$117=1,INDEX('計算A'!CF$10:CF$54,$B47),0))*500,0)-IF(AND('計算A'!CD$117=1,XB47&gt;0),300,0)-IF(AND($L47=1,'計算A'!CE$117=1,GD47=0),300,0))),1000000))</f>
        <v/>
      </c>
      <c r="RH47">
        <f>IF($B47=0,1000000,IF(INDEX('計算A'!$D$60:$EQ$104,$B47,81)*GD47=1,IF(AND($E47=2,LS47=0),1000000,IF($I47&gt;0,IF(4=$J47,IF(OR(AND(81=$I47+1,OR($K47&lt;&gt;'計算A'!$A$3,'計算A'!$A$4=0)),AND(81=$I47-1,OR(9&lt;&gt;'計算A'!$A$3,'計算A'!$A$4=0))),0,IF(9=$K47,200000,ABS(9-$K47)*100)),100000+ABS(4-$J47)*1000+90)+'計算A'!CF$5*50+IF(AND($E47=1,LS47=0),25,0),INDEX('計算A'!CF$110:CF$114,$F47+1)+IF(AND($E47=1,LS47=0),1000,0)+IF($H47=1,(IF('計算A'!CE$117=1,INDEX('計算A'!CE$10:CE$54,$B47),0)+IF('計算A'!CF$117=1,INDEX('計算A'!CG$10:CG$54,$B47),0))*500,0)-IF(AND('計算A'!CE$117=1,XC47&gt;0),300,0)-IF(AND($L47=1,'計算A'!CF$117=1,GE47=0),300,0))),1000000))</f>
        <v/>
      </c>
      <c r="RI47">
        <f>IF($B47=0,1000000,IF(INDEX('計算A'!$D$60:$EQ$104,$B47,82)*GE47=1,IF(AND($E47=2,LT47=0),1000000,IF($I47&gt;0,IF(4=$J47,IF(OR(AND(82=$I47+1,OR($K47&lt;&gt;'計算A'!$A$3,'計算A'!$A$4=0)),AND(82=$I47-1,OR(10&lt;&gt;'計算A'!$A$3,'計算A'!$A$4=0))),0,IF(10=$K47,200000,ABS(10-$K47)*100)),100000+ABS(4-$J47)*1000+100)+'計算A'!CG$5*50+IF(AND($E47=1,LT47=0),25,0),INDEX('計算A'!CG$110:CG$114,$F47+1)+IF(AND($E47=1,LT47=0),1000,0)+IF($H47=1,(IF('計算A'!CF$117=1,INDEX('計算A'!CF$10:CF$54,$B47),0)+IF('計算A'!CG$117=1,INDEX('計算A'!CH$10:CH$54,$B47),0))*500,0)-IF(AND('計算A'!CF$117=1,XD47&gt;0),300,0)-IF(AND($L47=1,'計算A'!CG$117=1,GF47=0),300,0))),1000000))</f>
        <v/>
      </c>
      <c r="RJ47">
        <f>IF($B47=0,1000000,IF(INDEX('計算A'!$D$60:$EQ$104,$B47,83)*GF47=1,IF(AND($E47=2,LU47=0),1000000,IF($I47&gt;0,IF(4=$J47,IF(OR(AND(83=$I47+1,OR($K47&lt;&gt;'計算A'!$A$3,'計算A'!$A$4=0)),AND(83=$I47-1,OR(11&lt;&gt;'計算A'!$A$3,'計算A'!$A$4=0))),0,IF(11=$K47,200000,ABS(11-$K47)*100)),100000+ABS(4-$J47)*1000+110)+'計算A'!CH$5*50+IF(AND($E47=1,LU47=0),25,0),INDEX('計算A'!CH$110:CH$114,$F47+1)+IF(AND($E47=1,LU47=0),1000,0)+IF($H47=1,(IF('計算A'!CG$117=1,INDEX('計算A'!CG$10:CG$54,$B47),0)+IF('計算A'!CH$117=1,INDEX('計算A'!CI$10:CI$54,$B47),0))*500,0)-IF(AND('計算A'!CG$117=1,XE47&gt;0),300,0)-IF(AND($L47=1,'計算A'!CH$117=1,GG47=0),300,0))),1000000))</f>
        <v/>
      </c>
      <c r="RK47">
        <f>IF($B47=0,1000000,IF(INDEX('計算A'!$D$60:$EQ$104,$B47,84)*GG47=1,IF(AND($E47=2,LV47=0),1000000,IF($I47&gt;0,IF(4=$J47,IF(OR(AND(84=$I47+1,OR($K47&lt;&gt;'計算A'!$A$3,'計算A'!$A$4=0)),AND(84=$I47-1,OR(12&lt;&gt;'計算A'!$A$3,'計算A'!$A$4=0))),0,IF(12=$K47,200000,ABS(12-$K47)*100)),100000+ABS(4-$J47)*1000+120)+'計算A'!CI$5*50+IF(AND($E47=1,LV47=0),25,0),INDEX('計算A'!CI$110:CI$114,$F47+1)+IF(AND($E47=1,LV47=0),1000,0)+IF($H47=1,(IF('計算A'!CH$117=1,INDEX('計算A'!CH$10:CH$54,$B47),0)+IF('計算A'!CI$117=1,INDEX('計算A'!CJ$10:CJ$54,$B47),0))*500,0)-IF(AND('計算A'!CH$117=1,XF47&gt;0),300,0)-IF(AND($L47=1,'計算A'!CI$117=1,GH47=0),300,0))),1000000))</f>
        <v/>
      </c>
      <c r="RL47">
        <f>IF($B47=0,1000000,IF(INDEX('計算A'!$D$60:$EQ$104,$B47,85)*GH47=1,IF(AND($E47=2,LW47=0),1000000,IF($I47&gt;0,IF(4=$J47,IF(OR(AND(85=$I47+1,OR($K47&lt;&gt;'計算A'!$A$3,'計算A'!$A$4=0)),AND(85=$I47-1,OR(13&lt;&gt;'計算A'!$A$3,'計算A'!$A$4=0))),0,IF(13=$K47,200000,ABS(13-$K47)*100)),100000+ABS(4-$J47)*1000+130)+'計算A'!CJ$5*50+IF(AND($E47=1,LW47=0),25,0),INDEX('計算A'!CJ$110:CJ$114,$F47+1)+IF(AND($E47=1,LW47=0),1000,0)+IF($H47=1,(IF('計算A'!CI$117=1,INDEX('計算A'!CI$10:CI$54,$B47),0)+IF('計算A'!CJ$117=1,INDEX('計算A'!CK$10:CK$54,$B47),0))*500,0)-IF(AND('計算A'!CI$117=1,XG47&gt;0),300,0)-IF(AND($L47=1,'計算A'!CJ$117=1,GI47=0),300,0))),1000000))</f>
        <v/>
      </c>
      <c r="RM47">
        <f>IF($B47=0,1000000,IF(INDEX('計算A'!$D$60:$EQ$104,$B47,86)*GI47=1,IF(AND($E47=2,LX47=0),1000000,IF($I47&gt;0,IF(4=$J47,IF(OR(AND(86=$I47+1,OR($K47&lt;&gt;'計算A'!$A$3,'計算A'!$A$4=0)),AND(86=$I47-1,OR(14&lt;&gt;'計算A'!$A$3,'計算A'!$A$4=0))),0,IF(14=$K47,200000,ABS(14-$K47)*100)),100000+ABS(4-$J47)*1000+140)+'計算A'!CK$5*50+IF(AND($E47=1,LX47=0),25,0),INDEX('計算A'!CK$110:CK$114,$F47+1)+IF(AND($E47=1,LX47=0),1000,0)+IF($H47=1,(IF('計算A'!CJ$117=1,INDEX('計算A'!CJ$10:CJ$54,$B47),0)+IF('計算A'!CK$117=1,INDEX('計算A'!CL$10:CL$54,$B47),0))*500,0)-IF(AND('計算A'!CJ$117=1,XH47&gt;0),300,0)-IF(AND($L47=1,'計算A'!CK$117=1,GJ47=0),300,0))),1000000))</f>
        <v/>
      </c>
      <c r="RN47">
        <f>IF($B47=0,1000000,IF(INDEX('計算A'!$D$60:$EQ$104,$B47,87)*GJ47=1,IF(AND($E47=2,LY47=0),1000000,IF($I47&gt;0,IF(4=$J47,IF(OR(AND(87=$I47+1,OR($K47&lt;&gt;'計算A'!$A$3,'計算A'!$A$4=0)),AND(87=$I47-1,OR(15&lt;&gt;'計算A'!$A$3,'計算A'!$A$4=0))),0,IF(15=$K47,200000,ABS(15-$K47)*100)),100000+ABS(4-$J47)*1000+150)+'計算A'!CL$5*50+IF(AND($E47=1,LY47=0),25,0),INDEX('計算A'!CL$110:CL$114,$F47+1)+IF(AND($E47=1,LY47=0),1000,0)+IF($H47=1,(IF('計算A'!CK$117=1,INDEX('計算A'!CK$10:CK$54,$B47),0)+IF('計算A'!CL$117=1,INDEX('計算A'!CM$10:CM$54,$B47),0))*500,0)-IF(AND('計算A'!CK$117=1,XI47&gt;0),300,0)-IF(AND($L47=1,'計算A'!CL$117=1,GK47=0),300,0))),1000000))</f>
        <v/>
      </c>
      <c r="RO47">
        <f>IF($B47=0,1000000,IF(INDEX('計算A'!$D$60:$EQ$104,$B47,88)*GK47=1,IF(AND($E47=2,LZ47=0),1000000,IF($I47&gt;0,IF(4=$J47,IF(OR(AND(88=$I47+1,OR($K47&lt;&gt;'計算A'!$A$3,'計算A'!$A$4=0)),AND(88=$I47-1,OR(16&lt;&gt;'計算A'!$A$3,'計算A'!$A$4=0))),0,IF(16=$K47,200000,ABS(16-$K47)*100)),100000+ABS(4-$J47)*1000+160)+'計算A'!CM$5*50+IF(AND($E47=1,LZ47=0),25,0),INDEX('計算A'!CM$110:CM$114,$F47+1)+IF(AND($E47=1,LZ47=0),1000,0)+IF($H47=1,(IF('計算A'!CL$117=1,INDEX('計算A'!CL$10:CL$54,$B47),0)+IF('計算A'!CM$117=1,INDEX('計算A'!CN$10:CN$54,$B47),0))*500,0)-IF(AND('計算A'!CL$117=1,XJ47&gt;0),300,0)-IF(AND($L47=1,'計算A'!CM$117=1,GL47=0),300,0))),1000000))</f>
        <v/>
      </c>
      <c r="RP47">
        <f>IF($B47=0,1000000,IF(INDEX('計算A'!$D$60:$EQ$104,$B47,89)*GL47=1,IF(AND($E47=2,MA47=0),1000000,IF($I47&gt;0,IF(4=$J47,IF(OR(AND(89=$I47+1,OR($K47&lt;&gt;'計算A'!$A$3,'計算A'!$A$4=0)),AND(89=$I47-1,OR(17&lt;&gt;'計算A'!$A$3,'計算A'!$A$4=0))),0,IF(17=$K47,200000,ABS(17-$K47)*100)),100000+ABS(4-$J47)*1000+170)+'計算A'!CN$5*50+IF(AND($E47=1,MA47=0),25,0),INDEX('計算A'!CN$110:CN$114,$F47+1)+IF(AND($E47=1,MA47=0),1000,0)+IF($H47=1,(IF('計算A'!CM$117=1,INDEX('計算A'!CM$10:CM$54,$B47),0)+IF('計算A'!CN$117=1,INDEX('計算A'!CO$10:CO$54,$B47),0))*500,0)-IF(AND('計算A'!CM$117=1,XK47&gt;0),300,0)-IF(AND($L47=1,'計算A'!CN$117=1,GM47=0),300,0))),1000000))</f>
        <v/>
      </c>
      <c r="RQ47">
        <f>IF($B47=0,1000000,IF(INDEX('計算A'!$D$60:$EQ$104,$B47,90)*GM47=1,IF(AND($E47=2,MB47=0),1000000,IF($I47&gt;0,IF(4=$J47,IF(OR(AND(90=$I47+1,OR($K47&lt;&gt;'計算A'!$A$3,'計算A'!$A$4=0)),AND(90=$I47-1,OR(18&lt;&gt;'計算A'!$A$3,'計算A'!$A$4=0))),0,IF(18=$K47,200000,ABS(18-$K47)*100)),100000+ABS(4-$J47)*1000+180)+'計算A'!CO$5*50+IF(AND($E47=1,MB47=0),25,0),INDEX('計算A'!CO$110:CO$114,$F47+1)+IF(AND($E47=1,MB47=0),1000,0)+IF($H47=1,(IF('計算A'!CN$117=1,INDEX('計算A'!CN$10:CN$54,$B47),0)+IF('計算A'!CO$117=1,INDEX('計算A'!CP$10:CP$54,$B47),0))*500,0)-IF(AND('計算A'!CN$117=1,XL47&gt;0),300,0)-IF(AND($L47=1,'計算A'!CO$117=1,GN47=0),300,0))),1000000))</f>
        <v/>
      </c>
      <c r="RR47">
        <f>IF($B47=0,1000000,IF(INDEX('計算A'!$D$60:$EQ$104,$B47,91)*GN47=1,IF(AND($E47=2,MC47=0),1000000,IF($I47&gt;0,IF(4=$J47,IF(OR(AND(91=$I47+1,OR($K47&lt;&gt;'計算A'!$A$3,'計算A'!$A$4=0)),AND(91=$I47-1,OR(19&lt;&gt;'計算A'!$A$3,'計算A'!$A$4=0))),0,IF(19=$K47,200000,ABS(19-$K47)*100)),100000+ABS(4-$J47)*1000+190)+'計算A'!CP$5*50+IF(AND($E47=1,MC47=0),25,0),INDEX('計算A'!CP$110:CP$114,$F47+1)+IF(AND($E47=1,MC47=0),1000,0)+IF($H47=1,(IF('計算A'!CO$117=1,INDEX('計算A'!CO$10:CO$54,$B47),0)+IF('計算A'!CP$117=1,INDEX('計算A'!CQ$10:CQ$54,$B47),0))*500,0)-IF(AND('計算A'!CO$117=1,XM47&gt;0),300,0)-IF(AND($L47=1,'計算A'!CP$117=1,GO47=0),300,0))),1000000))</f>
        <v/>
      </c>
      <c r="RS47">
        <f>IF($B47=0,1000000,IF(INDEX('計算A'!$D$60:$EQ$104,$B47,92)*GO47=1,IF(AND($E47=2,MD47=0),1000000,IF($I47&gt;0,IF(4=$J47,IF(OR(AND(92=$I47+1,OR($K47&lt;&gt;'計算A'!$A$3,'計算A'!$A$4=0)),AND(92=$I47-1,OR(20&lt;&gt;'計算A'!$A$3,'計算A'!$A$4=0))),0,IF(20=$K47,200000,ABS(20-$K47)*100)),100000+ABS(4-$J47)*1000+200)+'計算A'!CQ$5*50+IF(AND($E47=1,MD47=0),25,0),INDEX('計算A'!CQ$110:CQ$114,$F47+1)+IF(AND($E47=1,MD47=0),1000,0)+IF($H47=1,(IF('計算A'!CP$117=1,INDEX('計算A'!CP$10:CP$54,$B47),0)+IF('計算A'!CQ$117=1,INDEX('計算A'!CR$10:CR$54,$B47),0))*500,0)-IF(AND('計算A'!CP$117=1,XN47&gt;0),300,0)-IF(AND($L47=1,'計算A'!CQ$117=1,GP47=0),300,0))),1000000))</f>
        <v/>
      </c>
      <c r="RT47">
        <f>IF($B47=0,1000000,IF(INDEX('計算A'!$D$60:$EQ$104,$B47,93)*GP47=1,IF(AND($E47=2,ME47=0),1000000,IF($I47&gt;0,IF(4=$J47,IF(OR(AND(93=$I47+1,OR($K47&lt;&gt;'計算A'!$A$3,'計算A'!$A$4=0)),AND(93=$I47-1,OR(21&lt;&gt;'計算A'!$A$3,'計算A'!$A$4=0))),0,IF(21=$K47,200000,ABS(21-$K47)*100)),100000+ABS(4-$J47)*1000+210)+'計算A'!CR$5*50+IF(AND($E47=1,ME47=0),25,0),INDEX('計算A'!CR$110:CR$114,$F47+1)+IF(AND($E47=1,ME47=0),1000,0)+IF($H47=1,(IF('計算A'!CQ$117=1,INDEX('計算A'!CQ$10:CQ$54,$B47),0)+IF('計算A'!CR$117=1,INDEX('計算A'!CS$10:CS$54,$B47),0))*500,0)-IF(AND('計算A'!CQ$117=1,XO47&gt;0),300,0)-IF(AND($L47=1,'計算A'!CR$117=1,GQ47=0),300,0))),1000000))</f>
        <v/>
      </c>
      <c r="RU47">
        <f>IF($B47=0,1000000,IF(INDEX('計算A'!$D$60:$EQ$104,$B47,94)*GQ47=1,IF(AND($E47=2,MF47=0),1000000,IF($I47&gt;0,IF(4=$J47,IF(OR(AND(94=$I47+1,OR($K47&lt;&gt;'計算A'!$A$3,'計算A'!$A$4=0)),AND(94=$I47-1,OR(22&lt;&gt;'計算A'!$A$3,'計算A'!$A$4=0))),0,IF(22=$K47,200000,ABS(22-$K47)*100)),100000+ABS(4-$J47)*1000+220)+'計算A'!CS$5*50+IF(AND($E47=1,MF47=0),25,0),INDEX('計算A'!CS$110:CS$114,$F47+1)+IF(AND($E47=1,MF47=0),1000,0)+IF($H47=1,(IF('計算A'!CR$117=1,INDEX('計算A'!CR$10:CR$54,$B47),0)+IF('計算A'!CS$117=1,INDEX('計算A'!CT$10:CT$54,$B47),0))*500,0)-IF(AND('計算A'!CR$117=1,XP47&gt;0),300,0)-IF(AND($L47=1,'計算A'!CS$117=1,GR47=0),300,0))),1000000))</f>
        <v/>
      </c>
      <c r="RV47">
        <f>IF($B47=0,1000000,IF(INDEX('計算A'!$D$60:$EQ$104,$B47,95)*GR47=1,IF(AND($E47=2,MG47=0),1000000,IF($I47&gt;0,IF(4=$J47,IF(OR(AND(95=$I47+1,OR($K47&lt;&gt;'計算A'!$A$3,'計算A'!$A$4=0)),AND(95=$I47-1,OR(23&lt;&gt;'計算A'!$A$3,'計算A'!$A$4=0))),0,IF(23=$K47,200000,ABS(23-$K47)*100)),100000+ABS(4-$J47)*1000+230)+'計算A'!CT$5*50+IF(AND($E47=1,MG47=0),25,0),INDEX('計算A'!CT$110:CT$114,$F47+1)+IF(AND($E47=1,MG47=0),1000,0)+IF($H47=1,(IF('計算A'!CS$117=1,INDEX('計算A'!CS$10:CS$54,$B47),0)+IF('計算A'!CT$117=1,INDEX('計算A'!CU$10:CU$54,$B47),0))*500,0)-IF(AND('計算A'!CS$117=1,XQ47&gt;0),300,0)-IF(AND($L47=1,'計算A'!CT$117=1,GS47=0),300,0))),1000000))</f>
        <v/>
      </c>
      <c r="RW47">
        <f>IF($B47=0,1000000,IF(INDEX('計算A'!$D$60:$EQ$104,$B47,96)*GS47=1,IF(AND($E47=2,MH47=0),1000000,IF($I47&gt;0,IF(4=$J47,IF(OR(AND(96=$I47+1,OR($K47&lt;&gt;'計算A'!$A$3,'計算A'!$A$4=0)),AND(96=$I47-1,OR(24&lt;&gt;'計算A'!$A$3,'計算A'!$A$4=0))),0,IF(24=$K47,200000,ABS(24-$K47)*100)),100000+ABS(4-$J47)*1000+240)+'計算A'!CU$5*50+IF(AND($E47=1,MH47=0),25,0),INDEX('計算A'!CU$110:CU$114,$F47+1)+IF(AND($E47=1,MH47=0),1000,0)+IF($H47=1,(IF('計算A'!CT$117=1,INDEX('計算A'!CT$10:CT$54,$B47),0))*500,0)-IF(AND('計算A'!CT$117=1,XR47&gt;0),300,0))),1000000))</f>
        <v/>
      </c>
      <c r="RX47">
        <f>IF($B47=0,1000000,IF(INDEX('計算A'!$D$60:$EQ$104,$B47,97)*GT47=1,IF(AND($E47=2,MI47=0),1000000,IF($I47&gt;0,IF(5=$J47,IF(OR(AND(97=$I47+1,OR($K47&lt;&gt;'計算A'!$A$3,'計算A'!$A$4=0)),AND(97=$I47-1,OR(1&lt;&gt;'計算A'!$A$3,'計算A'!$A$4=0))),0,IF(1=$K47,200000,ABS(1-$K47)*100)),100000+ABS(5-$J47)*1000+10)+'計算A'!CV$5*50+IF(AND($E47=1,MI47=0),25,0),INDEX('計算A'!CV$110:CV$114,$F47+1)+IF(AND($E47=1,MI47=0),1000,0)+IF($H47=1,(IF('計算A'!CV$117=1,INDEX('計算A'!CW$10:CW$54,$B47),0))*500,0)-IF(AND($L47=1,'計算A'!CV$117=1,GU47=0),300,0))),1000000))</f>
        <v/>
      </c>
      <c r="RY47">
        <f>IF($B47=0,1000000,IF(INDEX('計算A'!$D$60:$EQ$104,$B47,98)*GU47=1,IF(AND($E47=2,MJ47=0),1000000,IF($I47&gt;0,IF(5=$J47,IF(OR(AND(98=$I47+1,OR($K47&lt;&gt;'計算A'!$A$3,'計算A'!$A$4=0)),AND(98=$I47-1,OR(2&lt;&gt;'計算A'!$A$3,'計算A'!$A$4=0))),0,IF(2=$K47,200000,ABS(2-$K47)*100)),100000+ABS(5-$J47)*1000+20)+'計算A'!CW$5*50+IF(AND($E47=1,MJ47=0),25,0),INDEX('計算A'!CW$110:CW$114,$F47+1)+IF(AND($E47=1,MJ47=0),1000,0)+IF($H47=1,(IF('計算A'!CV$117=1,INDEX('計算A'!CV$10:CV$54,$B47),0)+IF('計算A'!CW$117=1,INDEX('計算A'!CX$10:CX$54,$B47),0))*500,0)-IF(AND('計算A'!CV$117=1,XT47&gt;0),300,0)-IF(AND($L47=1,'計算A'!CW$117=1,GV47=0),300,0))),1000000))</f>
        <v/>
      </c>
      <c r="RZ47">
        <f>IF($B47=0,1000000,IF(INDEX('計算A'!$D$60:$EQ$104,$B47,99)*GV47=1,IF(AND($E47=2,MK47=0),1000000,IF($I47&gt;0,IF(5=$J47,IF(OR(AND(99=$I47+1,OR($K47&lt;&gt;'計算A'!$A$3,'計算A'!$A$4=0)),AND(99=$I47-1,OR(3&lt;&gt;'計算A'!$A$3,'計算A'!$A$4=0))),0,IF(3=$K47,200000,ABS(3-$K47)*100)),100000+ABS(5-$J47)*1000+30)+'計算A'!CX$5*50+IF(AND($E47=1,MK47=0),25,0),INDEX('計算A'!CX$110:CX$114,$F47+1)+IF(AND($E47=1,MK47=0),1000,0)+IF($H47=1,(IF('計算A'!CW$117=1,INDEX('計算A'!CW$10:CW$54,$B47),0)+IF('計算A'!CX$117=1,INDEX('計算A'!CY$10:CY$54,$B47),0))*500,0)-IF(AND('計算A'!CW$117=1,XU47&gt;0),300,0)-IF(AND($L47=1,'計算A'!CX$117=1,GW47=0),300,0))),1000000))</f>
        <v/>
      </c>
      <c r="SA47">
        <f>IF($B47=0,1000000,IF(INDEX('計算A'!$D$60:$EQ$104,$B47,100)*GW47=1,IF(AND($E47=2,ML47=0),1000000,IF($I47&gt;0,IF(5=$J47,IF(OR(AND(100=$I47+1,OR($K47&lt;&gt;'計算A'!$A$3,'計算A'!$A$4=0)),AND(100=$I47-1,OR(4&lt;&gt;'計算A'!$A$3,'計算A'!$A$4=0))),0,IF(4=$K47,200000,ABS(4-$K47)*100)),100000+ABS(5-$J47)*1000+40)+'計算A'!CY$5*50+IF(AND($E47=1,ML47=0),25,0),INDEX('計算A'!CY$110:CY$114,$F47+1)+IF(AND($E47=1,ML47=0),1000,0)+IF($H47=1,(IF('計算A'!CX$117=1,INDEX('計算A'!CX$10:CX$54,$B47),0)+IF('計算A'!CY$117=1,INDEX('計算A'!CZ$10:CZ$54,$B47),0))*500,0)-IF(AND('計算A'!CX$117=1,XV47&gt;0),300,0)-IF(AND($L47=1,'計算A'!CY$117=1,GX47=0),300,0))),1000000))</f>
        <v/>
      </c>
      <c r="SB47">
        <f>IF($B47=0,1000000,IF(INDEX('計算A'!$D$60:$EQ$104,$B47,101)*GX47=1,IF(AND($E47=2,MM47=0),1000000,IF($I47&gt;0,IF(5=$J47,IF(OR(AND(101=$I47+1,OR($K47&lt;&gt;'計算A'!$A$3,'計算A'!$A$4=0)),AND(101=$I47-1,OR(5&lt;&gt;'計算A'!$A$3,'計算A'!$A$4=0))),0,IF(5=$K47,200000,ABS(5-$K47)*100)),100000+ABS(5-$J47)*1000+50)+'計算A'!CZ$5*50+IF(AND($E47=1,MM47=0),25,0),INDEX('計算A'!CZ$110:CZ$114,$F47+1)+IF(AND($E47=1,MM47=0),1000,0)+IF($H47=1,(IF('計算A'!CY$117=1,INDEX('計算A'!CY$10:CY$54,$B47),0)+IF('計算A'!CZ$117=1,INDEX('計算A'!DA$10:DA$54,$B47),0))*500,0)-IF(AND('計算A'!CY$117=1,XW47&gt;0),300,0)-IF(AND($L47=1,'計算A'!CZ$117=1,GY47=0),300,0))),1000000))</f>
        <v/>
      </c>
      <c r="SC47">
        <f>IF($B47=0,1000000,IF(INDEX('計算A'!$D$60:$EQ$104,$B47,102)*GY47=1,IF(AND($E47=2,MN47=0),1000000,IF($I47&gt;0,IF(5=$J47,IF(OR(AND(102=$I47+1,OR($K47&lt;&gt;'計算A'!$A$3,'計算A'!$A$4=0)),AND(102=$I47-1,OR(6&lt;&gt;'計算A'!$A$3,'計算A'!$A$4=0))),0,IF(6=$K47,200000,ABS(6-$K47)*100)),100000+ABS(5-$J47)*1000+60)+'計算A'!DA$5*50+IF(AND($E47=1,MN47=0),25,0),INDEX('計算A'!DA$110:DA$114,$F47+1)+IF(AND($E47=1,MN47=0),1000,0)+IF($H47=1,(IF('計算A'!CZ$117=1,INDEX('計算A'!CZ$10:CZ$54,$B47),0)+IF('計算A'!DA$117=1,INDEX('計算A'!DB$10:DB$54,$B47),0))*500,0)-IF(AND('計算A'!CZ$117=1,XX47&gt;0),300,0)-IF(AND($L47=1,'計算A'!DA$117=1,GZ47=0),300,0))),1000000))</f>
        <v/>
      </c>
      <c r="SD47">
        <f>IF($B47=0,1000000,IF(INDEX('計算A'!$D$60:$EQ$104,$B47,103)*GZ47=1,IF(AND($E47=2,MO47=0),1000000,IF($I47&gt;0,IF(5=$J47,IF(OR(AND(103=$I47+1,OR($K47&lt;&gt;'計算A'!$A$3,'計算A'!$A$4=0)),AND(103=$I47-1,OR(7&lt;&gt;'計算A'!$A$3,'計算A'!$A$4=0))),0,IF(7=$K47,200000,ABS(7-$K47)*100)),100000+ABS(5-$J47)*1000+70)+'計算A'!DB$5*50+IF(AND($E47=1,MO47=0),25,0),INDEX('計算A'!DB$110:DB$114,$F47+1)+IF(AND($E47=1,MO47=0),1000,0)+IF($H47=1,(IF('計算A'!DA$117=1,INDEX('計算A'!DA$10:DA$54,$B47),0)+IF('計算A'!DB$117=1,INDEX('計算A'!DC$10:DC$54,$B47),0))*500,0)-IF(AND('計算A'!DA$117=1,XY47&gt;0),300,0)-IF(AND($L47=1,'計算A'!DB$117=1,HA47=0),300,0))),1000000))</f>
        <v/>
      </c>
      <c r="SE47">
        <f>IF($B47=0,1000000,IF(INDEX('計算A'!$D$60:$EQ$104,$B47,104)*HA47=1,IF(AND($E47=2,MP47=0),1000000,IF($I47&gt;0,IF(5=$J47,IF(OR(AND(104=$I47+1,OR($K47&lt;&gt;'計算A'!$A$3,'計算A'!$A$4=0)),AND(104=$I47-1,OR(8&lt;&gt;'計算A'!$A$3,'計算A'!$A$4=0))),0,IF(8=$K47,200000,ABS(8-$K47)*100)),100000+ABS(5-$J47)*1000+80)+'計算A'!DC$5*50+IF(AND($E47=1,MP47=0),25,0),INDEX('計算A'!DC$110:DC$114,$F47+1)+IF(AND($E47=1,MP47=0),1000,0)+IF($H47=1,(IF('計算A'!DB$117=1,INDEX('計算A'!DB$10:DB$54,$B47),0)+IF('計算A'!DC$117=1,INDEX('計算A'!DD$10:DD$54,$B47),0))*500,0)-IF(AND('計算A'!DB$117=1,XZ47&gt;0),300,0)-IF(AND($L47=1,'計算A'!DC$117=1,HB47=0),300,0))),1000000))</f>
        <v/>
      </c>
      <c r="SF47">
        <f>IF($B47=0,1000000,IF(INDEX('計算A'!$D$60:$EQ$104,$B47,105)*HB47=1,IF(AND($E47=2,MQ47=0),1000000,IF($I47&gt;0,IF(5=$J47,IF(OR(AND(105=$I47+1,OR($K47&lt;&gt;'計算A'!$A$3,'計算A'!$A$4=0)),AND(105=$I47-1,OR(9&lt;&gt;'計算A'!$A$3,'計算A'!$A$4=0))),0,IF(9=$K47,200000,ABS(9-$K47)*100)),100000+ABS(5-$J47)*1000+90)+'計算A'!DD$5*50+IF(AND($E47=1,MQ47=0),25,0),INDEX('計算A'!DD$110:DD$114,$F47+1)+IF(AND($E47=1,MQ47=0),1000,0)+IF($H47=1,(IF('計算A'!DC$117=1,INDEX('計算A'!DC$10:DC$54,$B47),0)+IF('計算A'!DD$117=1,INDEX('計算A'!DE$10:DE$54,$B47),0))*500,0)-IF(AND('計算A'!DC$117=1,YA47&gt;0),300,0)-IF(AND($L47=1,'計算A'!DD$117=1,HC47=0),300,0))),1000000))</f>
        <v/>
      </c>
      <c r="SG47">
        <f>IF($B47=0,1000000,IF(INDEX('計算A'!$D$60:$EQ$104,$B47,106)*HC47=1,IF(AND($E47=2,MR47=0),1000000,IF($I47&gt;0,IF(5=$J47,IF(OR(AND(106=$I47+1,OR($K47&lt;&gt;'計算A'!$A$3,'計算A'!$A$4=0)),AND(106=$I47-1,OR(10&lt;&gt;'計算A'!$A$3,'計算A'!$A$4=0))),0,IF(10=$K47,200000,ABS(10-$K47)*100)),100000+ABS(5-$J47)*1000+100)+'計算A'!DE$5*50+IF(AND($E47=1,MR47=0),25,0),INDEX('計算A'!DE$110:DE$114,$F47+1)+IF(AND($E47=1,MR47=0),1000,0)+IF($H47=1,(IF('計算A'!DD$117=1,INDEX('計算A'!DD$10:DD$54,$B47),0)+IF('計算A'!DE$117=1,INDEX('計算A'!DF$10:DF$54,$B47),0))*500,0)-IF(AND('計算A'!DD$117=1,YB47&gt;0),300,0)-IF(AND($L47=1,'計算A'!DE$117=1,HD47=0),300,0))),1000000))</f>
        <v/>
      </c>
      <c r="SH47">
        <f>IF($B47=0,1000000,IF(INDEX('計算A'!$D$60:$EQ$104,$B47,107)*HD47=1,IF(AND($E47=2,MS47=0),1000000,IF($I47&gt;0,IF(5=$J47,IF(OR(AND(107=$I47+1,OR($K47&lt;&gt;'計算A'!$A$3,'計算A'!$A$4=0)),AND(107=$I47-1,OR(11&lt;&gt;'計算A'!$A$3,'計算A'!$A$4=0))),0,IF(11=$K47,200000,ABS(11-$K47)*100)),100000+ABS(5-$J47)*1000+110)+'計算A'!DF$5*50+IF(AND($E47=1,MS47=0),25,0),INDEX('計算A'!DF$110:DF$114,$F47+1)+IF(AND($E47=1,MS47=0),1000,0)+IF($H47=1,(IF('計算A'!DE$117=1,INDEX('計算A'!DE$10:DE$54,$B47),0)+IF('計算A'!DF$117=1,INDEX('計算A'!DG$10:DG$54,$B47),0))*500,0)-IF(AND('計算A'!DE$117=1,YC47&gt;0),300,0)-IF(AND($L47=1,'計算A'!DF$117=1,HE47=0),300,0))),1000000))</f>
        <v/>
      </c>
      <c r="SI47">
        <f>IF($B47=0,1000000,IF(INDEX('計算A'!$D$60:$EQ$104,$B47,108)*HE47=1,IF(AND($E47=2,MT47=0),1000000,IF($I47&gt;0,IF(5=$J47,IF(OR(AND(108=$I47+1,OR($K47&lt;&gt;'計算A'!$A$3,'計算A'!$A$4=0)),AND(108=$I47-1,OR(12&lt;&gt;'計算A'!$A$3,'計算A'!$A$4=0))),0,IF(12=$K47,200000,ABS(12-$K47)*100)),100000+ABS(5-$J47)*1000+120)+'計算A'!DG$5*50+IF(AND($E47=1,MT47=0),25,0),INDEX('計算A'!DG$110:DG$114,$F47+1)+IF(AND($E47=1,MT47=0),1000,0)+IF($H47=1,(IF('計算A'!DF$117=1,INDEX('計算A'!DF$10:DF$54,$B47),0)+IF('計算A'!DG$117=1,INDEX('計算A'!DH$10:DH$54,$B47),0))*500,0)-IF(AND('計算A'!DF$117=1,YD47&gt;0),300,0)-IF(AND($L47=1,'計算A'!DG$117=1,HF47=0),300,0))),1000000))</f>
        <v/>
      </c>
      <c r="SJ47">
        <f>IF($B47=0,1000000,IF(INDEX('計算A'!$D$60:$EQ$104,$B47,109)*HF47=1,IF(AND($E47=2,MU47=0),1000000,IF($I47&gt;0,IF(5=$J47,IF(OR(AND(109=$I47+1,OR($K47&lt;&gt;'計算A'!$A$3,'計算A'!$A$4=0)),AND(109=$I47-1,OR(13&lt;&gt;'計算A'!$A$3,'計算A'!$A$4=0))),0,IF(13=$K47,200000,ABS(13-$K47)*100)),100000+ABS(5-$J47)*1000+130)+'計算A'!DH$5*50+IF(AND($E47=1,MU47=0),25,0),INDEX('計算A'!DH$110:DH$114,$F47+1)+IF(AND($E47=1,MU47=0),1000,0)+IF($H47=1,(IF('計算A'!DG$117=1,INDEX('計算A'!DG$10:DG$54,$B47),0)+IF('計算A'!DH$117=1,INDEX('計算A'!DI$10:DI$54,$B47),0))*500,0)-IF(AND('計算A'!DG$117=1,YE47&gt;0),300,0)-IF(AND($L47=1,'計算A'!DH$117=1,HG47=0),300,0))),1000000))</f>
        <v/>
      </c>
      <c r="SK47">
        <f>IF($B47=0,1000000,IF(INDEX('計算A'!$D$60:$EQ$104,$B47,110)*HG47=1,IF(AND($E47=2,MV47=0),1000000,IF($I47&gt;0,IF(5=$J47,IF(OR(AND(110=$I47+1,OR($K47&lt;&gt;'計算A'!$A$3,'計算A'!$A$4=0)),AND(110=$I47-1,OR(14&lt;&gt;'計算A'!$A$3,'計算A'!$A$4=0))),0,IF(14=$K47,200000,ABS(14-$K47)*100)),100000+ABS(5-$J47)*1000+140)+'計算A'!DI$5*50+IF(AND($E47=1,MV47=0),25,0),INDEX('計算A'!DI$110:DI$114,$F47+1)+IF(AND($E47=1,MV47=0),1000,0)+IF($H47=1,(IF('計算A'!DH$117=1,INDEX('計算A'!DH$10:DH$54,$B47),0)+IF('計算A'!DI$117=1,INDEX('計算A'!DJ$10:DJ$54,$B47),0))*500,0)-IF(AND('計算A'!DH$117=1,YF47&gt;0),300,0)-IF(AND($L47=1,'計算A'!DI$117=1,HH47=0),300,0))),1000000))</f>
        <v/>
      </c>
      <c r="SL47">
        <f>IF($B47=0,1000000,IF(INDEX('計算A'!$D$60:$EQ$104,$B47,111)*HH47=1,IF(AND($E47=2,MW47=0),1000000,IF($I47&gt;0,IF(5=$J47,IF(OR(AND(111=$I47+1,OR($K47&lt;&gt;'計算A'!$A$3,'計算A'!$A$4=0)),AND(111=$I47-1,OR(15&lt;&gt;'計算A'!$A$3,'計算A'!$A$4=0))),0,IF(15=$K47,200000,ABS(15-$K47)*100)),100000+ABS(5-$J47)*1000+150)+'計算A'!DJ$5*50+IF(AND($E47=1,MW47=0),25,0),INDEX('計算A'!DJ$110:DJ$114,$F47+1)+IF(AND($E47=1,MW47=0),1000,0)+IF($H47=1,(IF('計算A'!DI$117=1,INDEX('計算A'!DI$10:DI$54,$B47),0)+IF('計算A'!DJ$117=1,INDEX('計算A'!DK$10:DK$54,$B47),0))*500,0)-IF(AND('計算A'!DI$117=1,YG47&gt;0),300,0)-IF(AND($L47=1,'計算A'!DJ$117=1,HI47=0),300,0))),1000000))</f>
        <v/>
      </c>
      <c r="SM47">
        <f>IF($B47=0,1000000,IF(INDEX('計算A'!$D$60:$EQ$104,$B47,112)*HI47=1,IF(AND($E47=2,MX47=0),1000000,IF($I47&gt;0,IF(5=$J47,IF(OR(AND(112=$I47+1,OR($K47&lt;&gt;'計算A'!$A$3,'計算A'!$A$4=0)),AND(112=$I47-1,OR(16&lt;&gt;'計算A'!$A$3,'計算A'!$A$4=0))),0,IF(16=$K47,200000,ABS(16-$K47)*100)),100000+ABS(5-$J47)*1000+160)+'計算A'!DK$5*50+IF(AND($E47=1,MX47=0),25,0),INDEX('計算A'!DK$110:DK$114,$F47+1)+IF(AND($E47=1,MX47=0),1000,0)+IF($H47=1,(IF('計算A'!DJ$117=1,INDEX('計算A'!DJ$10:DJ$54,$B47),0)+IF('計算A'!DK$117=1,INDEX('計算A'!DL$10:DL$54,$B47),0))*500,0)-IF(AND('計算A'!DJ$117=1,YH47&gt;0),300,0)-IF(AND($L47=1,'計算A'!DK$117=1,HJ47=0),300,0))),1000000))</f>
        <v/>
      </c>
      <c r="SN47">
        <f>IF($B47=0,1000000,IF(INDEX('計算A'!$D$60:$EQ$104,$B47,113)*HJ47=1,IF(AND($E47=2,MY47=0),1000000,IF($I47&gt;0,IF(5=$J47,IF(OR(AND(113=$I47+1,OR($K47&lt;&gt;'計算A'!$A$3,'計算A'!$A$4=0)),AND(113=$I47-1,OR(17&lt;&gt;'計算A'!$A$3,'計算A'!$A$4=0))),0,IF(17=$K47,200000,ABS(17-$K47)*100)),100000+ABS(5-$J47)*1000+170)+'計算A'!DL$5*50+IF(AND($E47=1,MY47=0),25,0),INDEX('計算A'!DL$110:DL$114,$F47+1)+IF(AND($E47=1,MY47=0),1000,0)+IF($H47=1,(IF('計算A'!DK$117=1,INDEX('計算A'!DK$10:DK$54,$B47),0)+IF('計算A'!DL$117=1,INDEX('計算A'!DM$10:DM$54,$B47),0))*500,0)-IF(AND('計算A'!DK$117=1,YI47&gt;0),300,0)-IF(AND($L47=1,'計算A'!DL$117=1,HK47=0),300,0))),1000000))</f>
        <v/>
      </c>
      <c r="SO47">
        <f>IF($B47=0,1000000,IF(INDEX('計算A'!$D$60:$EQ$104,$B47,114)*HK47=1,IF(AND($E47=2,MZ47=0),1000000,IF($I47&gt;0,IF(5=$J47,IF(OR(AND(114=$I47+1,OR($K47&lt;&gt;'計算A'!$A$3,'計算A'!$A$4=0)),AND(114=$I47-1,OR(18&lt;&gt;'計算A'!$A$3,'計算A'!$A$4=0))),0,IF(18=$K47,200000,ABS(18-$K47)*100)),100000+ABS(5-$J47)*1000+180)+'計算A'!DM$5*50+IF(AND($E47=1,MZ47=0),25,0),INDEX('計算A'!DM$110:DM$114,$F47+1)+IF(AND($E47=1,MZ47=0),1000,0)+IF($H47=1,(IF('計算A'!DL$117=1,INDEX('計算A'!DL$10:DL$54,$B47),0)+IF('計算A'!DM$117=1,INDEX('計算A'!DN$10:DN$54,$B47),0))*500,0)-IF(AND('計算A'!DL$117=1,YJ47&gt;0),300,0)-IF(AND($L47=1,'計算A'!DM$117=1,HL47=0),300,0))),1000000))</f>
        <v/>
      </c>
      <c r="SP47">
        <f>IF($B47=0,1000000,IF(INDEX('計算A'!$D$60:$EQ$104,$B47,115)*HL47=1,IF(AND($E47=2,NA47=0),1000000,IF($I47&gt;0,IF(5=$J47,IF(OR(AND(115=$I47+1,OR($K47&lt;&gt;'計算A'!$A$3,'計算A'!$A$4=0)),AND(115=$I47-1,OR(19&lt;&gt;'計算A'!$A$3,'計算A'!$A$4=0))),0,IF(19=$K47,200000,ABS(19-$K47)*100)),100000+ABS(5-$J47)*1000+190)+'計算A'!DN$5*50+IF(AND($E47=1,NA47=0),25,0),INDEX('計算A'!DN$110:DN$114,$F47+1)+IF(AND($E47=1,NA47=0),1000,0)+IF($H47=1,(IF('計算A'!DM$117=1,INDEX('計算A'!DM$10:DM$54,$B47),0)+IF('計算A'!DN$117=1,INDEX('計算A'!DO$10:DO$54,$B47),0))*500,0)-IF(AND('計算A'!DM$117=1,YK47&gt;0),300,0)-IF(AND($L47=1,'計算A'!DN$117=1,HM47=0),300,0))),1000000))</f>
        <v/>
      </c>
      <c r="SQ47">
        <f>IF($B47=0,1000000,IF(INDEX('計算A'!$D$60:$EQ$104,$B47,116)*HM47=1,IF(AND($E47=2,NB47=0),1000000,IF($I47&gt;0,IF(5=$J47,IF(OR(AND(116=$I47+1,OR($K47&lt;&gt;'計算A'!$A$3,'計算A'!$A$4=0)),AND(116=$I47-1,OR(20&lt;&gt;'計算A'!$A$3,'計算A'!$A$4=0))),0,IF(20=$K47,200000,ABS(20-$K47)*100)),100000+ABS(5-$J47)*1000+200)+'計算A'!DO$5*50+IF(AND($E47=1,NB47=0),25,0),INDEX('計算A'!DO$110:DO$114,$F47+1)+IF(AND($E47=1,NB47=0),1000,0)+IF($H47=1,(IF('計算A'!DN$117=1,INDEX('計算A'!DN$10:DN$54,$B47),0)+IF('計算A'!DO$117=1,INDEX('計算A'!DP$10:DP$54,$B47),0))*500,0)-IF(AND('計算A'!DN$117=1,YL47&gt;0),300,0)-IF(AND($L47=1,'計算A'!DO$117=1,HN47=0),300,0))),1000000))</f>
        <v/>
      </c>
      <c r="SR47">
        <f>IF($B47=0,1000000,IF(INDEX('計算A'!$D$60:$EQ$104,$B47,117)*HN47=1,IF(AND($E47=2,NC47=0),1000000,IF($I47&gt;0,IF(5=$J47,IF(OR(AND(117=$I47+1,OR($K47&lt;&gt;'計算A'!$A$3,'計算A'!$A$4=0)),AND(117=$I47-1,OR(21&lt;&gt;'計算A'!$A$3,'計算A'!$A$4=0))),0,IF(21=$K47,200000,ABS(21-$K47)*100)),100000+ABS(5-$J47)*1000+210)+'計算A'!DP$5*50+IF(AND($E47=1,NC47=0),25,0),INDEX('計算A'!DP$110:DP$114,$F47+1)+IF(AND($E47=1,NC47=0),1000,0)+IF($H47=1,(IF('計算A'!DO$117=1,INDEX('計算A'!DO$10:DO$54,$B47),0)+IF('計算A'!DP$117=1,INDEX('計算A'!DQ$10:DQ$54,$B47),0))*500,0)-IF(AND('計算A'!DO$117=1,YM47&gt;0),300,0)-IF(AND($L47=1,'計算A'!DP$117=1,HO47=0),300,0))),1000000))</f>
        <v/>
      </c>
      <c r="SS47">
        <f>IF($B47=0,1000000,IF(INDEX('計算A'!$D$60:$EQ$104,$B47,118)*HO47=1,IF(AND($E47=2,ND47=0),1000000,IF($I47&gt;0,IF(5=$J47,IF(OR(AND(118=$I47+1,OR($K47&lt;&gt;'計算A'!$A$3,'計算A'!$A$4=0)),AND(118=$I47-1,OR(22&lt;&gt;'計算A'!$A$3,'計算A'!$A$4=0))),0,IF(22=$K47,200000,ABS(22-$K47)*100)),100000+ABS(5-$J47)*1000+220)+'計算A'!DQ$5*50+IF(AND($E47=1,ND47=0),25,0),INDEX('計算A'!DQ$110:DQ$114,$F47+1)+IF(AND($E47=1,ND47=0),1000,0)+IF($H47=1,(IF('計算A'!DP$117=1,INDEX('計算A'!DP$10:DP$54,$B47),0)+IF('計算A'!DQ$117=1,INDEX('計算A'!DR$10:DR$54,$B47),0))*500,0)-IF(AND('計算A'!DP$117=1,YN47&gt;0),300,0)-IF(AND($L47=1,'計算A'!DQ$117=1,HP47=0),300,0))),1000000))</f>
        <v/>
      </c>
      <c r="ST47">
        <f>IF($B47=0,1000000,IF(INDEX('計算A'!$D$60:$EQ$104,$B47,119)*HP47=1,IF(AND($E47=2,NE47=0),1000000,IF($I47&gt;0,IF(5=$J47,IF(OR(AND(119=$I47+1,OR($K47&lt;&gt;'計算A'!$A$3,'計算A'!$A$4=0)),AND(119=$I47-1,OR(23&lt;&gt;'計算A'!$A$3,'計算A'!$A$4=0))),0,IF(23=$K47,200000,ABS(23-$K47)*100)),100000+ABS(5-$J47)*1000+230)+'計算A'!DR$5*50+IF(AND($E47=1,NE47=0),25,0),INDEX('計算A'!DR$110:DR$114,$F47+1)+IF(AND($E47=1,NE47=0),1000,0)+IF($H47=1,(IF('計算A'!DQ$117=1,INDEX('計算A'!DQ$10:DQ$54,$B47),0)+IF('計算A'!DR$117=1,INDEX('計算A'!DS$10:DS$54,$B47),0))*500,0)-IF(AND('計算A'!DQ$117=1,YO47&gt;0),300,0)-IF(AND($L47=1,'計算A'!DR$117=1,HQ47=0),300,0))),1000000))</f>
        <v/>
      </c>
      <c r="SU47">
        <f>IF($B47=0,1000000,IF(INDEX('計算A'!$D$60:$EQ$104,$B47,120)*HQ47=1,IF(AND($E47=2,NF47=0),1000000,IF($I47&gt;0,IF(5=$J47,IF(OR(AND(120=$I47+1,OR($K47&lt;&gt;'計算A'!$A$3,'計算A'!$A$4=0)),AND(120=$I47-1,OR(24&lt;&gt;'計算A'!$A$3,'計算A'!$A$4=0))),0,IF(24=$K47,200000,ABS(24-$K47)*100)),100000+ABS(5-$J47)*1000+240)+'計算A'!DS$5*50+IF(AND($E47=1,NF47=0),25,0),INDEX('計算A'!DS$110:DS$114,$F47+1)+IF(AND($E47=1,NF47=0),1000,0)+IF($H47=1,(IF('計算A'!DR$117=1,INDEX('計算A'!DR$10:DR$54,$B47),0))*500,0)-IF(AND('計算A'!DR$117=1,YP47&gt;0),300,0))),1000000))</f>
        <v/>
      </c>
      <c r="SV47">
        <f>IF($B47=0,1000000,IF(INDEX('計算A'!$D$60:$EQ$104,$B47,121)*HR47=1,IF(AND($E47=2,NG47=0),1000000,IF($I47&gt;0,IF(6=$J47,IF(OR(AND(121=$I47+1,OR($K47&lt;&gt;'計算A'!$A$3,'計算A'!$A$4=0)),AND(121=$I47-1,OR(1&lt;&gt;'計算A'!$A$3,'計算A'!$A$4=0))),0,IF(1=$K47,200000,ABS(1-$K47)*100)),100000+ABS(6-$J47)*1000+10)+'計算A'!DT$5*50+IF(AND($E47=1,NG47=0),25,0),INDEX('計算A'!DT$110:DT$114,$F47+1)+IF(AND($E47=1,NG47=0),1000,0)+IF($H47=1,(IF('計算A'!DT$117=1,INDEX('計算A'!DU$10:DU$54,$B47),0))*500,0)-IF(AND($L47=1,'計算A'!DT$117=1,HS47=0),300,0))),1000000))</f>
        <v/>
      </c>
      <c r="SW47">
        <f>IF($B47=0,1000000,IF(INDEX('計算A'!$D$60:$EQ$104,$B47,122)*HS47=1,IF(AND($E47=2,NH47=0),1000000,IF($I47&gt;0,IF(6=$J47,IF(OR(AND(122=$I47+1,OR($K47&lt;&gt;'計算A'!$A$3,'計算A'!$A$4=0)),AND(122=$I47-1,OR(2&lt;&gt;'計算A'!$A$3,'計算A'!$A$4=0))),0,IF(2=$K47,200000,ABS(2-$K47)*100)),100000+ABS(6-$J47)*1000+20)+'計算A'!DU$5*50+IF(AND($E47=1,NH47=0),25,0),INDEX('計算A'!DU$110:DU$114,$F47+1)+IF(AND($E47=1,NH47=0),1000,0)+IF($H47=1,(IF('計算A'!DT$117=1,INDEX('計算A'!DT$10:DT$54,$B47),0)+IF('計算A'!DU$117=1,INDEX('計算A'!DV$10:DV$54,$B47),0))*500,0)-IF(AND('計算A'!DT$117=1,YR47&gt;0),300,0)-IF(AND($L47=1,'計算A'!DU$117=1,HT47=0),300,0))),1000000))</f>
        <v/>
      </c>
      <c r="SX47">
        <f>IF($B47=0,1000000,IF(INDEX('計算A'!$D$60:$EQ$104,$B47,123)*HT47=1,IF(AND($E47=2,NI47=0),1000000,IF($I47&gt;0,IF(6=$J47,IF(OR(AND(123=$I47+1,OR($K47&lt;&gt;'計算A'!$A$3,'計算A'!$A$4=0)),AND(123=$I47-1,OR(3&lt;&gt;'計算A'!$A$3,'計算A'!$A$4=0))),0,IF(3=$K47,200000,ABS(3-$K47)*100)),100000+ABS(6-$J47)*1000+30)+'計算A'!DV$5*50+IF(AND($E47=1,NI47=0),25,0),INDEX('計算A'!DV$110:DV$114,$F47+1)+IF(AND($E47=1,NI47=0),1000,0)+IF($H47=1,(IF('計算A'!DU$117=1,INDEX('計算A'!DU$10:DU$54,$B47),0)+IF('計算A'!DV$117=1,INDEX('計算A'!DW$10:DW$54,$B47),0))*500,0)-IF(AND('計算A'!DU$117=1,YS47&gt;0),300,0)-IF(AND($L47=1,'計算A'!DV$117=1,HU47=0),300,0))),1000000))</f>
        <v/>
      </c>
      <c r="SY47">
        <f>IF($B47=0,1000000,IF(INDEX('計算A'!$D$60:$EQ$104,$B47,124)*HU47=1,IF(AND($E47=2,NJ47=0),1000000,IF($I47&gt;0,IF(6=$J47,IF(OR(AND(124=$I47+1,OR($K47&lt;&gt;'計算A'!$A$3,'計算A'!$A$4=0)),AND(124=$I47-1,OR(4&lt;&gt;'計算A'!$A$3,'計算A'!$A$4=0))),0,IF(4=$K47,200000,ABS(4-$K47)*100)),100000+ABS(6-$J47)*1000+40)+'計算A'!DW$5*50+IF(AND($E47=1,NJ47=0),25,0),INDEX('計算A'!DW$110:DW$114,$F47+1)+IF(AND($E47=1,NJ47=0),1000,0)+IF($H47=1,(IF('計算A'!DV$117=1,INDEX('計算A'!DV$10:DV$54,$B47),0)+IF('計算A'!DW$117=1,INDEX('計算A'!DX$10:DX$54,$B47),0))*500,0)-IF(AND('計算A'!DV$117=1,YT47&gt;0),300,0)-IF(AND($L47=1,'計算A'!DW$117=1,HV47=0),300,0))),1000000))</f>
        <v/>
      </c>
      <c r="SZ47">
        <f>IF($B47=0,1000000,IF(INDEX('計算A'!$D$60:$EQ$104,$B47,125)*HV47=1,IF(AND($E47=2,NK47=0),1000000,IF($I47&gt;0,IF(6=$J47,IF(OR(AND(125=$I47+1,OR($K47&lt;&gt;'計算A'!$A$3,'計算A'!$A$4=0)),AND(125=$I47-1,OR(5&lt;&gt;'計算A'!$A$3,'計算A'!$A$4=0))),0,IF(5=$K47,200000,ABS(5-$K47)*100)),100000+ABS(6-$J47)*1000+50)+'計算A'!DX$5*50+IF(AND($E47=1,NK47=0),25,0),INDEX('計算A'!DX$110:DX$114,$F47+1)+IF(AND($E47=1,NK47=0),1000,0)+IF($H47=1,(IF('計算A'!DW$117=1,INDEX('計算A'!DW$10:DW$54,$B47),0)+IF('計算A'!DX$117=1,INDEX('計算A'!DY$10:DY$54,$B47),0))*500,0)-IF(AND('計算A'!DW$117=1,YU47&gt;0),300,0)-IF(AND($L47=1,'計算A'!DX$117=1,HW47=0),300,0))),1000000))</f>
        <v/>
      </c>
      <c r="TA47">
        <f>IF($B47=0,1000000,IF(INDEX('計算A'!$D$60:$EQ$104,$B47,126)*HW47=1,IF(AND($E47=2,NL47=0),1000000,IF($I47&gt;0,IF(6=$J47,IF(OR(AND(126=$I47+1,OR($K47&lt;&gt;'計算A'!$A$3,'計算A'!$A$4=0)),AND(126=$I47-1,OR(6&lt;&gt;'計算A'!$A$3,'計算A'!$A$4=0))),0,IF(6=$K47,200000,ABS(6-$K47)*100)),100000+ABS(6-$J47)*1000+60)+'計算A'!DY$5*50+IF(AND($E47=1,NL47=0),25,0),INDEX('計算A'!DY$110:DY$114,$F47+1)+IF(AND($E47=1,NL47=0),1000,0)+IF($H47=1,(IF('計算A'!DX$117=1,INDEX('計算A'!DX$10:DX$54,$B47),0)+IF('計算A'!DY$117=1,INDEX('計算A'!DZ$10:DZ$54,$B47),0))*500,0)-IF(AND('計算A'!DX$117=1,YV47&gt;0),300,0)-IF(AND($L47=1,'計算A'!DY$117=1,HX47=0),300,0))),1000000))</f>
        <v/>
      </c>
      <c r="TB47">
        <f>IF($B47=0,1000000,IF(INDEX('計算A'!$D$60:$EQ$104,$B47,127)*HX47=1,IF(AND($E47=2,NM47=0),1000000,IF($I47&gt;0,IF(6=$J47,IF(OR(AND(127=$I47+1,OR($K47&lt;&gt;'計算A'!$A$3,'計算A'!$A$4=0)),AND(127=$I47-1,OR(7&lt;&gt;'計算A'!$A$3,'計算A'!$A$4=0))),0,IF(7=$K47,200000,ABS(7-$K47)*100)),100000+ABS(6-$J47)*1000+70)+'計算A'!DZ$5*50+IF(AND($E47=1,NM47=0),25,0),INDEX('計算A'!DZ$110:DZ$114,$F47+1)+IF(AND($E47=1,NM47=0),1000,0)+IF($H47=1,(IF('計算A'!DY$117=1,INDEX('計算A'!DY$10:DY$54,$B47),0)+IF('計算A'!DZ$117=1,INDEX('計算A'!EA$10:EA$54,$B47),0))*500,0)-IF(AND('計算A'!DY$117=1,YW47&gt;0),300,0)-IF(AND($L47=1,'計算A'!DZ$117=1,HY47=0),300,0))),1000000))</f>
        <v/>
      </c>
      <c r="TC47">
        <f>IF($B47=0,1000000,IF(INDEX('計算A'!$D$60:$EQ$104,$B47,128)*HY47=1,IF(AND($E47=2,NN47=0),1000000,IF($I47&gt;0,IF(6=$J47,IF(OR(AND(128=$I47+1,OR($K47&lt;&gt;'計算A'!$A$3,'計算A'!$A$4=0)),AND(128=$I47-1,OR(8&lt;&gt;'計算A'!$A$3,'計算A'!$A$4=0))),0,IF(8=$K47,200000,ABS(8-$K47)*100)),100000+ABS(6-$J47)*1000+80)+'計算A'!EA$5*50+IF(AND($E47=1,NN47=0),25,0),INDEX('計算A'!EA$110:EA$114,$F47+1)+IF(AND($E47=1,NN47=0),1000,0)+IF($H47=1,(IF('計算A'!DZ$117=1,INDEX('計算A'!DZ$10:DZ$54,$B47),0)+IF('計算A'!EA$117=1,INDEX('計算A'!EB$10:EB$54,$B47),0))*500,0)-IF(AND('計算A'!DZ$117=1,YX47&gt;0),300,0)-IF(AND($L47=1,'計算A'!EA$117=1,HZ47=0),300,0))),1000000))</f>
        <v/>
      </c>
      <c r="TD47">
        <f>IF($B47=0,1000000,IF(INDEX('計算A'!$D$60:$EQ$104,$B47,129)*HZ47=1,IF(AND($E47=2,NO47=0),1000000,IF($I47&gt;0,IF(6=$J47,IF(OR(AND(129=$I47+1,OR($K47&lt;&gt;'計算A'!$A$3,'計算A'!$A$4=0)),AND(129=$I47-1,OR(9&lt;&gt;'計算A'!$A$3,'計算A'!$A$4=0))),0,IF(9=$K47,200000,ABS(9-$K47)*100)),100000+ABS(6-$J47)*1000+90)+'計算A'!EB$5*50+IF(AND($E47=1,NO47=0),25,0),INDEX('計算A'!EB$110:EB$114,$F47+1)+IF(AND($E47=1,NO47=0),1000,0)+IF($H47=1,(IF('計算A'!EA$117=1,INDEX('計算A'!EA$10:EA$54,$B47),0)+IF('計算A'!EB$117=1,INDEX('計算A'!EC$10:EC$54,$B47),0))*500,0)-IF(AND('計算A'!EA$117=1,YY47&gt;0),300,0)-IF(AND($L47=1,'計算A'!EB$117=1,IA47=0),300,0))),1000000))</f>
        <v/>
      </c>
      <c r="TE47">
        <f>IF($B47=0,1000000,IF(INDEX('計算A'!$D$60:$EQ$104,$B47,130)*IA47=1,IF(AND($E47=2,NP47=0),1000000,IF($I47&gt;0,IF(6=$J47,IF(OR(AND(130=$I47+1,OR($K47&lt;&gt;'計算A'!$A$3,'計算A'!$A$4=0)),AND(130=$I47-1,OR(10&lt;&gt;'計算A'!$A$3,'計算A'!$A$4=0))),0,IF(10=$K47,200000,ABS(10-$K47)*100)),100000+ABS(6-$J47)*1000+100)+'計算A'!EC$5*50+IF(AND($E47=1,NP47=0),25,0),INDEX('計算A'!EC$110:EC$114,$F47+1)+IF(AND($E47=1,NP47=0),1000,0)+IF($H47=1,(IF('計算A'!EB$117=1,INDEX('計算A'!EB$10:EB$54,$B47),0)+IF('計算A'!EC$117=1,INDEX('計算A'!ED$10:ED$54,$B47),0))*500,0)-IF(AND('計算A'!EB$117=1,YZ47&gt;0),300,0)-IF(AND($L47=1,'計算A'!EC$117=1,IB47=0),300,0))),1000000))</f>
        <v/>
      </c>
      <c r="TF47">
        <f>IF($B47=0,1000000,IF(INDEX('計算A'!$D$60:$EQ$104,$B47,131)*IB47=1,IF(AND($E47=2,NQ47=0),1000000,IF($I47&gt;0,IF(6=$J47,IF(OR(AND(131=$I47+1,OR($K47&lt;&gt;'計算A'!$A$3,'計算A'!$A$4=0)),AND(131=$I47-1,OR(11&lt;&gt;'計算A'!$A$3,'計算A'!$A$4=0))),0,IF(11=$K47,200000,ABS(11-$K47)*100)),100000+ABS(6-$J47)*1000+110)+'計算A'!ED$5*50+IF(AND($E47=1,NQ47=0),25,0),INDEX('計算A'!ED$110:ED$114,$F47+1)+IF(AND($E47=1,NQ47=0),1000,0)+IF($H47=1,(IF('計算A'!EC$117=1,INDEX('計算A'!EC$10:EC$54,$B47),0)+IF('計算A'!ED$117=1,INDEX('計算A'!EE$10:EE$54,$B47),0))*500,0)-IF(AND('計算A'!EC$117=1,ZA47&gt;0),300,0)-IF(AND($L47=1,'計算A'!ED$117=1,IC47=0),300,0))),1000000))</f>
        <v/>
      </c>
      <c r="TG47">
        <f>IF($B47=0,1000000,IF(INDEX('計算A'!$D$60:$EQ$104,$B47,132)*IC47=1,IF(AND($E47=2,NR47=0),1000000,IF($I47&gt;0,IF(6=$J47,IF(OR(AND(132=$I47+1,OR($K47&lt;&gt;'計算A'!$A$3,'計算A'!$A$4=0)),AND(132=$I47-1,OR(12&lt;&gt;'計算A'!$A$3,'計算A'!$A$4=0))),0,IF(12=$K47,200000,ABS(12-$K47)*100)),100000+ABS(6-$J47)*1000+120)+'計算A'!EE$5*50+IF(AND($E47=1,NR47=0),25,0),INDEX('計算A'!EE$110:EE$114,$F47+1)+IF(AND($E47=1,NR47=0),1000,0)+IF($H47=1,(IF('計算A'!ED$117=1,INDEX('計算A'!ED$10:ED$54,$B47),0)+IF('計算A'!EE$117=1,INDEX('計算A'!EF$10:EF$54,$B47),0))*500,0)-IF(AND('計算A'!ED$117=1,ZB47&gt;0),300,0)-IF(AND($L47=1,'計算A'!EE$117=1,ID47=0),300,0))),1000000))</f>
        <v/>
      </c>
      <c r="TH47">
        <f>IF($B47=0,1000000,IF(INDEX('計算A'!$D$60:$EQ$104,$B47,133)*ID47=1,IF(AND($E47=2,NS47=0),1000000,IF($I47&gt;0,IF(6=$J47,IF(OR(AND(133=$I47+1,OR($K47&lt;&gt;'計算A'!$A$3,'計算A'!$A$4=0)),AND(133=$I47-1,OR(13&lt;&gt;'計算A'!$A$3,'計算A'!$A$4=0))),0,IF(13=$K47,200000,ABS(13-$K47)*100)),100000+ABS(6-$J47)*1000+130)+'計算A'!EF$5*50+IF(AND($E47=1,NS47=0),25,0),INDEX('計算A'!EF$110:EF$114,$F47+1)+IF(AND($E47=1,NS47=0),1000,0)+IF($H47=1,(IF('計算A'!EE$117=1,INDEX('計算A'!EE$10:EE$54,$B47),0)+IF('計算A'!EF$117=1,INDEX('計算A'!EG$10:EG$54,$B47),0))*500,0)-IF(AND('計算A'!EE$117=1,ZC47&gt;0),300,0)-IF(AND($L47=1,'計算A'!EF$117=1,IE47=0),300,0))),1000000))</f>
        <v/>
      </c>
      <c r="TI47">
        <f>IF($B47=0,1000000,IF(INDEX('計算A'!$D$60:$EQ$104,$B47,134)*IE47=1,IF(AND($E47=2,NT47=0),1000000,IF($I47&gt;0,IF(6=$J47,IF(OR(AND(134=$I47+1,OR($K47&lt;&gt;'計算A'!$A$3,'計算A'!$A$4=0)),AND(134=$I47-1,OR(14&lt;&gt;'計算A'!$A$3,'計算A'!$A$4=0))),0,IF(14=$K47,200000,ABS(14-$K47)*100)),100000+ABS(6-$J47)*1000+140)+'計算A'!EG$5*50+IF(AND($E47=1,NT47=0),25,0),INDEX('計算A'!EG$110:EG$114,$F47+1)+IF(AND($E47=1,NT47=0),1000,0)+IF($H47=1,(IF('計算A'!EF$117=1,INDEX('計算A'!EF$10:EF$54,$B47),0)+IF('計算A'!EG$117=1,INDEX('計算A'!EH$10:EH$54,$B47),0))*500,0)-IF(AND('計算A'!EF$117=1,ZD47&gt;0),300,0)-IF(AND($L47=1,'計算A'!EG$117=1,IF47=0),300,0))),1000000))</f>
        <v/>
      </c>
      <c r="TJ47">
        <f>IF($B47=0,1000000,IF(INDEX('計算A'!$D$60:$EQ$104,$B47,135)*IF47=1,IF(AND($E47=2,NU47=0),1000000,IF($I47&gt;0,IF(6=$J47,IF(OR(AND(135=$I47+1,OR($K47&lt;&gt;'計算A'!$A$3,'計算A'!$A$4=0)),AND(135=$I47-1,OR(15&lt;&gt;'計算A'!$A$3,'計算A'!$A$4=0))),0,IF(15=$K47,200000,ABS(15-$K47)*100)),100000+ABS(6-$J47)*1000+150)+'計算A'!EH$5*50+IF(AND($E47=1,NU47=0),25,0),INDEX('計算A'!EH$110:EH$114,$F47+1)+IF(AND($E47=1,NU47=0),1000,0)+IF($H47=1,(IF('計算A'!EG$117=1,INDEX('計算A'!EG$10:EG$54,$B47),0)+IF('計算A'!EH$117=1,INDEX('計算A'!EI$10:EI$54,$B47),0))*500,0)-IF(AND('計算A'!EG$117=1,ZE47&gt;0),300,0)-IF(AND($L47=1,'計算A'!EH$117=1,IG47=0),300,0))),1000000))</f>
        <v/>
      </c>
      <c r="TK47">
        <f>IF($B47=0,1000000,IF(INDEX('計算A'!$D$60:$EQ$104,$B47,136)*IG47=1,IF(AND($E47=2,NV47=0),1000000,IF($I47&gt;0,IF(6=$J47,IF(OR(AND(136=$I47+1,OR($K47&lt;&gt;'計算A'!$A$3,'計算A'!$A$4=0)),AND(136=$I47-1,OR(16&lt;&gt;'計算A'!$A$3,'計算A'!$A$4=0))),0,IF(16=$K47,200000,ABS(16-$K47)*100)),100000+ABS(6-$J47)*1000+160)+'計算A'!EI$5*50+IF(AND($E47=1,NV47=0),25,0),INDEX('計算A'!EI$110:EI$114,$F47+1)+IF(AND($E47=1,NV47=0),1000,0)+IF($H47=1,(IF('計算A'!EH$117=1,INDEX('計算A'!EH$10:EH$54,$B47),0)+IF('計算A'!EI$117=1,INDEX('計算A'!EJ$10:EJ$54,$B47),0))*500,0)-IF(AND('計算A'!EH$117=1,ZF47&gt;0),300,0)-IF(AND($L47=1,'計算A'!EI$117=1,IH47=0),300,0))),1000000))</f>
        <v/>
      </c>
      <c r="TL47">
        <f>IF($B47=0,1000000,IF(INDEX('計算A'!$D$60:$EQ$104,$B47,137)*IH47=1,IF(AND($E47=2,NW47=0),1000000,IF($I47&gt;0,IF(6=$J47,IF(OR(AND(137=$I47+1,OR($K47&lt;&gt;'計算A'!$A$3,'計算A'!$A$4=0)),AND(137=$I47-1,OR(17&lt;&gt;'計算A'!$A$3,'計算A'!$A$4=0))),0,IF(17=$K47,200000,ABS(17-$K47)*100)),100000+ABS(6-$J47)*1000+170)+'計算A'!EJ$5*50+IF(AND($E47=1,NW47=0),25,0),INDEX('計算A'!EJ$110:EJ$114,$F47+1)+IF(AND($E47=1,NW47=0),1000,0)+IF($H47=1,(IF('計算A'!EI$117=1,INDEX('計算A'!EI$10:EI$54,$B47),0)+IF('計算A'!EJ$117=1,INDEX('計算A'!EK$10:EK$54,$B47),0))*500,0)-IF(AND('計算A'!EI$117=1,ZG47&gt;0),300,0)-IF(AND($L47=1,'計算A'!EJ$117=1,II47=0),300,0))),1000000))</f>
        <v/>
      </c>
      <c r="TM47">
        <f>IF($B47=0,1000000,IF(INDEX('計算A'!$D$60:$EQ$104,$B47,138)*II47=1,IF(AND($E47=2,NX47=0),1000000,IF($I47&gt;0,IF(6=$J47,IF(OR(AND(138=$I47+1,OR($K47&lt;&gt;'計算A'!$A$3,'計算A'!$A$4=0)),AND(138=$I47-1,OR(18&lt;&gt;'計算A'!$A$3,'計算A'!$A$4=0))),0,IF(18=$K47,200000,ABS(18-$K47)*100)),100000+ABS(6-$J47)*1000+180)+'計算A'!EK$5*50+IF(AND($E47=1,NX47=0),25,0),INDEX('計算A'!EK$110:EK$114,$F47+1)+IF(AND($E47=1,NX47=0),1000,0)+IF($H47=1,(IF('計算A'!EJ$117=1,INDEX('計算A'!EJ$10:EJ$54,$B47),0)+IF('計算A'!EK$117=1,INDEX('計算A'!EL$10:EL$54,$B47),0))*500,0)-IF(AND('計算A'!EJ$117=1,ZH47&gt;0),300,0)-IF(AND($L47=1,'計算A'!EK$117=1,IJ47=0),300,0))),1000000))</f>
        <v/>
      </c>
      <c r="TN47">
        <f>IF($B47=0,1000000,IF(INDEX('計算A'!$D$60:$EQ$104,$B47,139)*IJ47=1,IF(AND($E47=2,NY47=0),1000000,IF($I47&gt;0,IF(6=$J47,IF(OR(AND(139=$I47+1,OR($K47&lt;&gt;'計算A'!$A$3,'計算A'!$A$4=0)),AND(139=$I47-1,OR(19&lt;&gt;'計算A'!$A$3,'計算A'!$A$4=0))),0,IF(19=$K47,200000,ABS(19-$K47)*100)),100000+ABS(6-$J47)*1000+190)+'計算A'!EL$5*50+IF(AND($E47=1,NY47=0),25,0),INDEX('計算A'!EL$110:EL$114,$F47+1)+IF(AND($E47=1,NY47=0),1000,0)+IF($H47=1,(IF('計算A'!EK$117=1,INDEX('計算A'!EK$10:EK$54,$B47),0)+IF('計算A'!EL$117=1,INDEX('計算A'!EM$10:EM$54,$B47),0))*500,0)-IF(AND('計算A'!EK$117=1,ZI47&gt;0),300,0)-IF(AND($L47=1,'計算A'!EL$117=1,IK47=0),300,0))),1000000))</f>
        <v/>
      </c>
      <c r="TO47">
        <f>IF($B47=0,1000000,IF(INDEX('計算A'!$D$60:$EQ$104,$B47,140)*IK47=1,IF(AND($E47=2,NZ47=0),1000000,IF($I47&gt;0,IF(6=$J47,IF(OR(AND(140=$I47+1,OR($K47&lt;&gt;'計算A'!$A$3,'計算A'!$A$4=0)),AND(140=$I47-1,OR(20&lt;&gt;'計算A'!$A$3,'計算A'!$A$4=0))),0,IF(20=$K47,200000,ABS(20-$K47)*100)),100000+ABS(6-$J47)*1000+200)+'計算A'!EM$5*50+IF(AND($E47=1,NZ47=0),25,0),INDEX('計算A'!EM$110:EM$114,$F47+1)+IF(AND($E47=1,NZ47=0),1000,0)+IF($H47=1,(IF('計算A'!EL$117=1,INDEX('計算A'!EL$10:EL$54,$B47),0)+IF('計算A'!EM$117=1,INDEX('計算A'!EN$10:EN$54,$B47),0))*500,0)-IF(AND('計算A'!EL$117=1,ZJ47&gt;0),300,0)-IF(AND($L47=1,'計算A'!EM$117=1,IL47=0),300,0))),1000000))</f>
        <v/>
      </c>
      <c r="TP47">
        <f>IF($B47=0,1000000,IF(INDEX('計算A'!$D$60:$EQ$104,$B47,141)*IL47=1,IF(AND($E47=2,OA47=0),1000000,IF($I47&gt;0,IF(6=$J47,IF(OR(AND(141=$I47+1,OR($K47&lt;&gt;'計算A'!$A$3,'計算A'!$A$4=0)),AND(141=$I47-1,OR(21&lt;&gt;'計算A'!$A$3,'計算A'!$A$4=0))),0,IF(21=$K47,200000,ABS(21-$K47)*100)),100000+ABS(6-$J47)*1000+210)+'計算A'!EN$5*50+IF(AND($E47=1,OA47=0),25,0),INDEX('計算A'!EN$110:EN$114,$F47+1)+IF(AND($E47=1,OA47=0),1000,0)+IF($H47=1,(IF('計算A'!EM$117=1,INDEX('計算A'!EM$10:EM$54,$B47),0)+IF('計算A'!EN$117=1,INDEX('計算A'!EO$10:EO$54,$B47),0))*500,0)-IF(AND('計算A'!EM$117=1,ZK47&gt;0),300,0)-IF(AND($L47=1,'計算A'!EN$117=1,IM47=0),300,0))),1000000))</f>
        <v/>
      </c>
      <c r="TQ47">
        <f>IF($B47=0,1000000,IF(INDEX('計算A'!$D$60:$EQ$104,$B47,142)*IM47=1,IF(AND($E47=2,OB47=0),1000000,IF($I47&gt;0,IF(6=$J47,IF(OR(AND(142=$I47+1,OR($K47&lt;&gt;'計算A'!$A$3,'計算A'!$A$4=0)),AND(142=$I47-1,OR(22&lt;&gt;'計算A'!$A$3,'計算A'!$A$4=0))),0,IF(22=$K47,200000,ABS(22-$K47)*100)),100000+ABS(6-$J47)*1000+220)+'計算A'!EO$5*50+IF(AND($E47=1,OB47=0),25,0),INDEX('計算A'!EO$110:EO$114,$F47+1)+IF(AND($E47=1,OB47=0),1000,0)+IF($H47=1,(IF('計算A'!EN$117=1,INDEX('計算A'!EN$10:EN$54,$B47),0)+IF('計算A'!EO$117=1,INDEX('計算A'!EP$10:EP$54,$B47),0))*500,0)-IF(AND('計算A'!EN$117=1,ZL47&gt;0),300,0)-IF(AND($L47=1,'計算A'!EO$117=1,IN47=0),300,0))),1000000))</f>
        <v/>
      </c>
      <c r="TR47">
        <f>IF($B47=0,1000000,IF(INDEX('計算A'!$D$60:$EQ$104,$B47,143)*IN47=1,IF(AND($E47=2,OC47=0),1000000,IF($I47&gt;0,IF(6=$J47,IF(OR(AND(143=$I47+1,OR($K47&lt;&gt;'計算A'!$A$3,'計算A'!$A$4=0)),AND(143=$I47-1,OR(23&lt;&gt;'計算A'!$A$3,'計算A'!$A$4=0))),0,IF(23=$K47,200000,ABS(23-$K47)*100)),100000+ABS(6-$J47)*1000+230)+'計算A'!EP$5*50+IF(AND($E47=1,OC47=0),25,0),INDEX('計算A'!EP$110:EP$114,$F47+1)+IF(AND($E47=1,OC47=0),1000,0)+IF($H47=1,(IF('計算A'!EO$117=1,INDEX('計算A'!EO$10:EO$54,$B47),0)+IF('計算A'!EP$117=1,INDEX('計算A'!EQ$10:EQ$54,$B47),0))*500,0)-IF(AND('計算A'!EO$117=1,ZM47&gt;0),300,0)-IF(AND($L47=1,'計算A'!EP$117=1,IO47=0),300,0))),1000000))</f>
        <v/>
      </c>
      <c r="TS47">
        <f>IF($B47=0,1000000,IF(INDEX('計算A'!$D$60:$EQ$104,$B47,144)*IO47=1,IF(AND($E47=2,OD47=0),1000000,IF($I47&gt;0,IF(6=$J47,IF(OR(AND(144=$I47+1,OR($K47&lt;&gt;'計算A'!$A$3,'計算A'!$A$4=0)),AND(144=$I47-1,OR(24&lt;&gt;'計算A'!$A$3,'計算A'!$A$4=0))),0,IF(24=$K47,200000,ABS(24-$K47)*100)),100000+ABS(6-$J47)*1000+240)+'計算A'!EQ$5*50+IF(AND($E47=1,OD47=0),25,0),INDEX('計算A'!EQ$110:EQ$114,$F47+1)+IF(AND($E47=1,OD47=0),1000,0)+IF($H47=1,(IF('計算A'!EP$117=1,INDEX('計算A'!EP$10:EP$54,$B47),0))*500,0)-IF(AND('計算A'!EP$117=1,ZN47&gt;0),300,0))),1000000))</f>
        <v/>
      </c>
      <c r="UB47">
        <f>UB46+IF(AND($C46=1,$L46=1),1,0)</f>
        <v/>
      </c>
      <c r="UC47">
        <f>UC46+IF(AND($C46=2,$L46=1),1,0)</f>
        <v/>
      </c>
      <c r="UD47">
        <f>UD46+IF(AND($C46=3,$L46=1),1,0)</f>
        <v/>
      </c>
      <c r="UE47">
        <f>UE46+IF(AND($C46=4,$L46=1),1,0)</f>
        <v/>
      </c>
      <c r="UF47">
        <f>UF46+IF(AND($C46=5,$L46=1),1,0)</f>
        <v/>
      </c>
      <c r="UG47">
        <f>UG46+IF(AND($C46=6,$L46=1),1,0)</f>
        <v/>
      </c>
      <c r="UH47">
        <f>UH46+IF(AND($C46=7,$L46=1),1,0)</f>
        <v/>
      </c>
      <c r="UI47">
        <f>UI46+IF(AND($C46=8,$L46=1),1,0)</f>
        <v/>
      </c>
      <c r="UJ47">
        <f>UJ46+IF(AND($C46=9,$L46=1),1,0)</f>
        <v/>
      </c>
      <c r="UK47">
        <f>UK46+IF(AND($C46=10,$L46=1),1,0)</f>
        <v/>
      </c>
      <c r="UL47">
        <f>UL46+IF(AND($C46=11,$L46=1),1,0)</f>
        <v/>
      </c>
      <c r="UM47">
        <f>UM46+IF(AND($C46=12,$L46=1),1,0)</f>
        <v/>
      </c>
      <c r="UN47">
        <f>UN46+IF(AND($C46=13,$L46=1),1,0)</f>
        <v/>
      </c>
      <c r="UO47">
        <f>UO46+IF(AND($C46=14,$L46=1),1,0)</f>
        <v/>
      </c>
      <c r="UP47">
        <f>UP46+IF(AND($C46=15,$L46=1),1,0)</f>
        <v/>
      </c>
      <c r="UQ47">
        <f>UQ46+IF(AND($C46=16,$L46=1),1,0)</f>
        <v/>
      </c>
      <c r="UR47">
        <f>UR46+IF(AND($C46=17,$L46=1),1,0)</f>
        <v/>
      </c>
      <c r="US47">
        <f>US46+IF(AND($C46=18,$L46=1),1,0)</f>
        <v/>
      </c>
      <c r="UT47">
        <f>UT46+IF(AND($C46=19,$L46=1),1,0)</f>
        <v/>
      </c>
      <c r="UU47">
        <f>UU46+IF(AND($C46=20,$L46=1),1,0)</f>
        <v/>
      </c>
      <c r="UV47">
        <f>UV46+IF(AND($C46=21,$L46=1),1,0)</f>
        <v/>
      </c>
      <c r="UW47">
        <f>UW46+IF(AND($C46=22,$L46=1),1,0)</f>
        <v/>
      </c>
      <c r="UX47">
        <f>UX46+IF(AND($C46=23,$L46=1),1,0)</f>
        <v/>
      </c>
      <c r="UY47">
        <f>UY46+IF(AND($C46=24,$L46=1),1,0)</f>
        <v/>
      </c>
      <c r="UZ47">
        <f>UZ46+IF(AND($C46=25,$L46=1),1,0)</f>
        <v/>
      </c>
      <c r="VA47">
        <f>VA46+IF(AND($C46=26,$L46=1),1,0)</f>
        <v/>
      </c>
      <c r="VB47">
        <f>VB46+IF(AND($C46=27,$L46=1),1,0)</f>
        <v/>
      </c>
      <c r="VC47">
        <f>VC46+IF(AND($C46=28,$L46=1),1,0)</f>
        <v/>
      </c>
      <c r="VD47">
        <f>VD46+IF(AND($C46=29,$L46=1),1,0)</f>
        <v/>
      </c>
      <c r="VE47">
        <f>VE46+IF(AND($C46=30,$L46=1),1,0)</f>
        <v/>
      </c>
      <c r="VF47">
        <f>VF46+IF(AND($C46=31,$L46=1),1,0)</f>
        <v/>
      </c>
      <c r="VG47">
        <f>VG46+IF(AND($C46=32,$L46=1),1,0)</f>
        <v/>
      </c>
      <c r="VH47">
        <f>VH46+IF(AND($C46=33,$L46=1),1,0)</f>
        <v/>
      </c>
      <c r="VI47">
        <f>VI46+IF(AND($C46=34,$L46=1),1,0)</f>
        <v/>
      </c>
      <c r="VJ47">
        <f>VJ46+IF(AND($C46=35,$L46=1),1,0)</f>
        <v/>
      </c>
      <c r="VK47">
        <f>VK46+IF(AND($C46=36,$L46=1),1,0)</f>
        <v/>
      </c>
      <c r="VL47">
        <f>VL46+IF(AND($C46=37,$L46=1),1,0)</f>
        <v/>
      </c>
      <c r="VM47">
        <f>VM46+IF(AND($C46=38,$L46=1),1,0)</f>
        <v/>
      </c>
      <c r="VN47">
        <f>VN46+IF(AND($C46=39,$L46=1),1,0)</f>
        <v/>
      </c>
      <c r="VO47">
        <f>VO46+IF(AND($C46=40,$L46=1),1,0)</f>
        <v/>
      </c>
      <c r="VP47">
        <f>VP46+IF(AND($C46=41,$L46=1),1,0)</f>
        <v/>
      </c>
      <c r="VQ47">
        <f>VQ46+IF(AND($C46=42,$L46=1),1,0)</f>
        <v/>
      </c>
      <c r="VR47">
        <f>VR46+IF(AND($C46=43,$L46=1),1,0)</f>
        <v/>
      </c>
      <c r="VS47">
        <f>VS46+IF(AND($C46=44,$L46=1),1,0)</f>
        <v/>
      </c>
      <c r="VT47">
        <f>VT46+IF(AND($C46=45,$L46=1),1,0)</f>
        <v/>
      </c>
      <c r="VU47">
        <f>VU46+IF(AND($C46=46,$L46=1),1,0)</f>
        <v/>
      </c>
      <c r="VV47">
        <f>VV46+IF(AND($C46=47,$L46=1),1,0)</f>
        <v/>
      </c>
      <c r="VW47">
        <f>VW46+IF(AND($C46=48,$L46=1),1,0)</f>
        <v/>
      </c>
      <c r="VX47">
        <f>VX46+IF(AND($C46=49,$L46=1),1,0)</f>
        <v/>
      </c>
      <c r="VY47">
        <f>VY46+IF(AND($C46=50,$L46=1),1,0)</f>
        <v/>
      </c>
      <c r="VZ47">
        <f>VZ46+IF(AND($C46=51,$L46=1),1,0)</f>
        <v/>
      </c>
      <c r="WA47">
        <f>WA46+IF(AND($C46=52,$L46=1),1,0)</f>
        <v/>
      </c>
      <c r="WB47">
        <f>WB46+IF(AND($C46=53,$L46=1),1,0)</f>
        <v/>
      </c>
      <c r="WC47">
        <f>WC46+IF(AND($C46=54,$L46=1),1,0)</f>
        <v/>
      </c>
      <c r="WD47">
        <f>WD46+IF(AND($C46=55,$L46=1),1,0)</f>
        <v/>
      </c>
      <c r="WE47">
        <f>WE46+IF(AND($C46=56,$L46=1),1,0)</f>
        <v/>
      </c>
      <c r="WF47">
        <f>WF46+IF(AND($C46=57,$L46=1),1,0)</f>
        <v/>
      </c>
      <c r="WG47">
        <f>WG46+IF(AND($C46=58,$L46=1),1,0)</f>
        <v/>
      </c>
      <c r="WH47">
        <f>WH46+IF(AND($C46=59,$L46=1),1,0)</f>
        <v/>
      </c>
      <c r="WI47">
        <f>WI46+IF(AND($C46=60,$L46=1),1,0)</f>
        <v/>
      </c>
      <c r="WJ47">
        <f>WJ46+IF(AND($C46=61,$L46=1),1,0)</f>
        <v/>
      </c>
      <c r="WK47">
        <f>WK46+IF(AND($C46=62,$L46=1),1,0)</f>
        <v/>
      </c>
      <c r="WL47">
        <f>WL46+IF(AND($C46=63,$L46=1),1,0)</f>
        <v/>
      </c>
      <c r="WM47">
        <f>WM46+IF(AND($C46=64,$L46=1),1,0)</f>
        <v/>
      </c>
      <c r="WN47">
        <f>WN46+IF(AND($C46=65,$L46=1),1,0)</f>
        <v/>
      </c>
      <c r="WO47">
        <f>WO46+IF(AND($C46=66,$L46=1),1,0)</f>
        <v/>
      </c>
      <c r="WP47">
        <f>WP46+IF(AND($C46=67,$L46=1),1,0)</f>
        <v/>
      </c>
      <c r="WQ47">
        <f>WQ46+IF(AND($C46=68,$L46=1),1,0)</f>
        <v/>
      </c>
      <c r="WR47">
        <f>WR46+IF(AND($C46=69,$L46=1),1,0)</f>
        <v/>
      </c>
      <c r="WS47">
        <f>WS46+IF(AND($C46=70,$L46=1),1,0)</f>
        <v/>
      </c>
      <c r="WT47">
        <f>WT46+IF(AND($C46=71,$L46=1),1,0)</f>
        <v/>
      </c>
      <c r="WU47">
        <f>WU46+IF(AND($C46=72,$L46=1),1,0)</f>
        <v/>
      </c>
      <c r="WV47">
        <f>WV46+IF(AND($C46=73,$L46=1),1,0)</f>
        <v/>
      </c>
      <c r="WW47">
        <f>WW46+IF(AND($C46=74,$L46=1),1,0)</f>
        <v/>
      </c>
      <c r="WX47">
        <f>WX46+IF(AND($C46=75,$L46=1),1,0)</f>
        <v/>
      </c>
      <c r="WY47">
        <f>WY46+IF(AND($C46=76,$L46=1),1,0)</f>
        <v/>
      </c>
      <c r="WZ47">
        <f>WZ46+IF(AND($C46=77,$L46=1),1,0)</f>
        <v/>
      </c>
      <c r="XA47">
        <f>XA46+IF(AND($C46=78,$L46=1),1,0)</f>
        <v/>
      </c>
      <c r="XB47">
        <f>XB46+IF(AND($C46=79,$L46=1),1,0)</f>
        <v/>
      </c>
      <c r="XC47">
        <f>XC46+IF(AND($C46=80,$L46=1),1,0)</f>
        <v/>
      </c>
      <c r="XD47">
        <f>XD46+IF(AND($C46=81,$L46=1),1,0)</f>
        <v/>
      </c>
      <c r="XE47">
        <f>XE46+IF(AND($C46=82,$L46=1),1,0)</f>
        <v/>
      </c>
      <c r="XF47">
        <f>XF46+IF(AND($C46=83,$L46=1),1,0)</f>
        <v/>
      </c>
      <c r="XG47">
        <f>XG46+IF(AND($C46=84,$L46=1),1,0)</f>
        <v/>
      </c>
      <c r="XH47">
        <f>XH46+IF(AND($C46=85,$L46=1),1,0)</f>
        <v/>
      </c>
      <c r="XI47">
        <f>XI46+IF(AND($C46=86,$L46=1),1,0)</f>
        <v/>
      </c>
      <c r="XJ47">
        <f>XJ46+IF(AND($C46=87,$L46=1),1,0)</f>
        <v/>
      </c>
      <c r="XK47">
        <f>XK46+IF(AND($C46=88,$L46=1),1,0)</f>
        <v/>
      </c>
      <c r="XL47">
        <f>XL46+IF(AND($C46=89,$L46=1),1,0)</f>
        <v/>
      </c>
      <c r="XM47">
        <f>XM46+IF(AND($C46=90,$L46=1),1,0)</f>
        <v/>
      </c>
      <c r="XN47">
        <f>XN46+IF(AND($C46=91,$L46=1),1,0)</f>
        <v/>
      </c>
      <c r="XO47">
        <f>XO46+IF(AND($C46=92,$L46=1),1,0)</f>
        <v/>
      </c>
      <c r="XP47">
        <f>XP46+IF(AND($C46=93,$L46=1),1,0)</f>
        <v/>
      </c>
      <c r="XQ47">
        <f>XQ46+IF(AND($C46=94,$L46=1),1,0)</f>
        <v/>
      </c>
      <c r="XR47">
        <f>XR46+IF(AND($C46=95,$L46=1),1,0)</f>
        <v/>
      </c>
      <c r="XS47">
        <f>XS46+IF(AND($C46=96,$L46=1),1,0)</f>
        <v/>
      </c>
      <c r="XT47">
        <f>XT46+IF(AND($C46=97,$L46=1),1,0)</f>
        <v/>
      </c>
      <c r="XU47">
        <f>XU46+IF(AND($C46=98,$L46=1),1,0)</f>
        <v/>
      </c>
      <c r="XV47">
        <f>XV46+IF(AND($C46=99,$L46=1),1,0)</f>
        <v/>
      </c>
      <c r="XW47">
        <f>XW46+IF(AND($C46=100,$L46=1),1,0)</f>
        <v/>
      </c>
      <c r="XX47">
        <f>XX46+IF(AND($C46=101,$L46=1),1,0)</f>
        <v/>
      </c>
      <c r="XY47">
        <f>XY46+IF(AND($C46=102,$L46=1),1,0)</f>
        <v/>
      </c>
      <c r="XZ47">
        <f>XZ46+IF(AND($C46=103,$L46=1),1,0)</f>
        <v/>
      </c>
      <c r="YA47">
        <f>YA46+IF(AND($C46=104,$L46=1),1,0)</f>
        <v/>
      </c>
      <c r="YB47">
        <f>YB46+IF(AND($C46=105,$L46=1),1,0)</f>
        <v/>
      </c>
      <c r="YC47">
        <f>YC46+IF(AND($C46=106,$L46=1),1,0)</f>
        <v/>
      </c>
      <c r="YD47">
        <f>YD46+IF(AND($C46=107,$L46=1),1,0)</f>
        <v/>
      </c>
      <c r="YE47">
        <f>YE46+IF(AND($C46=108,$L46=1),1,0)</f>
        <v/>
      </c>
      <c r="YF47">
        <f>YF46+IF(AND($C46=109,$L46=1),1,0)</f>
        <v/>
      </c>
      <c r="YG47">
        <f>YG46+IF(AND($C46=110,$L46=1),1,0)</f>
        <v/>
      </c>
      <c r="YH47">
        <f>YH46+IF(AND($C46=111,$L46=1),1,0)</f>
        <v/>
      </c>
      <c r="YI47">
        <f>YI46+IF(AND($C46=112,$L46=1),1,0)</f>
        <v/>
      </c>
      <c r="YJ47">
        <f>YJ46+IF(AND($C46=113,$L46=1),1,0)</f>
        <v/>
      </c>
      <c r="YK47">
        <f>YK46+IF(AND($C46=114,$L46=1),1,0)</f>
        <v/>
      </c>
      <c r="YL47">
        <f>YL46+IF(AND($C46=115,$L46=1),1,0)</f>
        <v/>
      </c>
      <c r="YM47">
        <f>YM46+IF(AND($C46=116,$L46=1),1,0)</f>
        <v/>
      </c>
      <c r="YN47">
        <f>YN46+IF(AND($C46=117,$L46=1),1,0)</f>
        <v/>
      </c>
      <c r="YO47">
        <f>YO46+IF(AND($C46=118,$L46=1),1,0)</f>
        <v/>
      </c>
      <c r="YP47">
        <f>YP46+IF(AND($C46=119,$L46=1),1,0)</f>
        <v/>
      </c>
      <c r="YQ47">
        <f>YQ46+IF(AND($C46=120,$L46=1),1,0)</f>
        <v/>
      </c>
      <c r="YR47">
        <f>YR46+IF(AND($C46=121,$L46=1),1,0)</f>
        <v/>
      </c>
      <c r="YS47">
        <f>YS46+IF(AND($C46=122,$L46=1),1,0)</f>
        <v/>
      </c>
      <c r="YT47">
        <f>YT46+IF(AND($C46=123,$L46=1),1,0)</f>
        <v/>
      </c>
      <c r="YU47">
        <f>YU46+IF(AND($C46=124,$L46=1),1,0)</f>
        <v/>
      </c>
      <c r="YV47">
        <f>YV46+IF(AND($C46=125,$L46=1),1,0)</f>
        <v/>
      </c>
      <c r="YW47">
        <f>YW46+IF(AND($C46=126,$L46=1),1,0)</f>
        <v/>
      </c>
      <c r="YX47">
        <f>YX46+IF(AND($C46=127,$L46=1),1,0)</f>
        <v/>
      </c>
      <c r="YY47">
        <f>YY46+IF(AND($C46=128,$L46=1),1,0)</f>
        <v/>
      </c>
      <c r="YZ47">
        <f>YZ46+IF(AND($C46=129,$L46=1),1,0)</f>
        <v/>
      </c>
      <c r="ZA47">
        <f>ZA46+IF(AND($C46=130,$L46=1),1,0)</f>
        <v/>
      </c>
      <c r="ZB47">
        <f>ZB46+IF(AND($C46=131,$L46=1),1,0)</f>
        <v/>
      </c>
      <c r="ZC47">
        <f>ZC46+IF(AND($C46=132,$L46=1),1,0)</f>
        <v/>
      </c>
      <c r="ZD47">
        <f>ZD46+IF(AND($C46=133,$L46=1),1,0)</f>
        <v/>
      </c>
      <c r="ZE47">
        <f>ZE46+IF(AND($C46=134,$L46=1),1,0)</f>
        <v/>
      </c>
      <c r="ZF47">
        <f>ZF46+IF(AND($C46=135,$L46=1),1,0)</f>
        <v/>
      </c>
      <c r="ZG47">
        <f>ZG46+IF(AND($C46=136,$L46=1),1,0)</f>
        <v/>
      </c>
      <c r="ZH47">
        <f>ZH46+IF(AND($C46=137,$L46=1),1,0)</f>
        <v/>
      </c>
      <c r="ZI47">
        <f>ZI46+IF(AND($C46=138,$L46=1),1,0)</f>
        <v/>
      </c>
      <c r="ZJ47">
        <f>ZJ46+IF(AND($C46=139,$L46=1),1,0)</f>
        <v/>
      </c>
      <c r="ZK47">
        <f>ZK46+IF(AND($C46=140,$L46=1),1,0)</f>
        <v/>
      </c>
      <c r="ZL47">
        <f>ZL46+IF(AND($C46=141,$L46=1),1,0)</f>
        <v/>
      </c>
      <c r="ZM47">
        <f>ZM46+IF(AND($C46=142,$L46=1),1,0)</f>
        <v/>
      </c>
      <c r="ZN47">
        <f>ZN46+IF(AND($C46=143,$L46=1),1,0)</f>
        <v/>
      </c>
      <c r="ZO47">
        <f>ZO46+IF(AND($C46=144,$L46=1),1,0)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O47"/>
  <sheetViews>
    <sheetView showGridLines="0" workbookViewId="0">
      <selection activeCell="A1" sqref="A1"/>
    </sheetView>
  </sheetViews>
  <sheetFormatPr baseColWidth="8" defaultRowHeight="15"/>
  <sheetData>
    <row r="1">
      <c r="A1" s="69" t="inlineStr">
        <is>
          <t>計算用（さわらないでください）</t>
        </is>
      </c>
      <c r="N1" t="inlineStr">
        <is>
          <t>済</t>
        </is>
      </c>
      <c r="BH1" t="inlineStr">
        <is>
          <t>点数（入れられる枠の数）</t>
        </is>
      </c>
      <c r="DB1" t="inlineStr">
        <is>
          <t>空き</t>
        </is>
      </c>
      <c r="IQ1" t="inlineStr">
        <is>
          <t>次の枠が空いている</t>
        </is>
      </c>
      <c r="OF1" t="inlineStr">
        <is>
          <t>枠の点数</t>
        </is>
      </c>
      <c r="TU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inlineStr">
        <is>
          <t>空けない</t>
        </is>
      </c>
      <c r="N2" t="n">
        <v>1</v>
      </c>
      <c r="O2" t="n">
        <v>2</v>
      </c>
      <c r="P2" t="n">
        <v>3</v>
      </c>
      <c r="Q2" t="n">
        <v>4</v>
      </c>
      <c r="R2" t="n">
        <v>5</v>
      </c>
      <c r="S2" t="n">
        <v>6</v>
      </c>
      <c r="T2" t="n">
        <v>7</v>
      </c>
      <c r="U2" t="n">
        <v>8</v>
      </c>
      <c r="V2" t="n">
        <v>9</v>
      </c>
      <c r="W2" t="n">
        <v>10</v>
      </c>
      <c r="X2" t="n">
        <v>11</v>
      </c>
      <c r="Y2" t="n">
        <v>12</v>
      </c>
      <c r="Z2" t="n">
        <v>13</v>
      </c>
      <c r="AA2" t="n">
        <v>14</v>
      </c>
      <c r="AB2" t="n">
        <v>15</v>
      </c>
      <c r="AC2" t="n">
        <v>16</v>
      </c>
      <c r="AD2" t="n">
        <v>17</v>
      </c>
      <c r="AE2" t="n">
        <v>18</v>
      </c>
      <c r="AF2" t="n">
        <v>19</v>
      </c>
      <c r="AG2" t="n">
        <v>20</v>
      </c>
      <c r="AH2" t="n">
        <v>21</v>
      </c>
      <c r="AI2" t="n">
        <v>22</v>
      </c>
      <c r="AJ2" t="n">
        <v>23</v>
      </c>
      <c r="AK2" t="n">
        <v>24</v>
      </c>
      <c r="AL2" t="n">
        <v>25</v>
      </c>
      <c r="AM2" t="n">
        <v>26</v>
      </c>
      <c r="AN2" t="n">
        <v>27</v>
      </c>
      <c r="AO2" t="n">
        <v>28</v>
      </c>
      <c r="AP2" t="n">
        <v>29</v>
      </c>
      <c r="AQ2" t="n">
        <v>30</v>
      </c>
      <c r="AR2" t="n">
        <v>31</v>
      </c>
      <c r="AS2" t="n">
        <v>32</v>
      </c>
      <c r="AT2" t="n">
        <v>33</v>
      </c>
      <c r="AU2" t="n">
        <v>34</v>
      </c>
      <c r="AV2" t="n">
        <v>35</v>
      </c>
      <c r="AW2" t="n">
        <v>36</v>
      </c>
      <c r="AX2" t="n">
        <v>37</v>
      </c>
      <c r="AY2" t="n">
        <v>38</v>
      </c>
      <c r="AZ2" t="n">
        <v>39</v>
      </c>
      <c r="BA2" t="n">
        <v>40</v>
      </c>
      <c r="BB2" t="n">
        <v>41</v>
      </c>
      <c r="BC2" t="n">
        <v>42</v>
      </c>
      <c r="BD2" t="n">
        <v>43</v>
      </c>
      <c r="BE2" t="n">
        <v>44</v>
      </c>
      <c r="BF2" t="n">
        <v>45</v>
      </c>
      <c r="BH2" t="n">
        <v>1</v>
      </c>
      <c r="BI2" t="n">
        <v>2</v>
      </c>
      <c r="BJ2" t="n">
        <v>3</v>
      </c>
      <c r="BK2" t="n">
        <v>4</v>
      </c>
      <c r="BL2" t="n">
        <v>5</v>
      </c>
      <c r="BM2" t="n">
        <v>6</v>
      </c>
      <c r="BN2" t="n">
        <v>7</v>
      </c>
      <c r="BO2" t="n">
        <v>8</v>
      </c>
      <c r="BP2" t="n">
        <v>9</v>
      </c>
      <c r="BQ2" t="n">
        <v>10</v>
      </c>
      <c r="BR2" t="n">
        <v>11</v>
      </c>
      <c r="BS2" t="n">
        <v>12</v>
      </c>
      <c r="BT2" t="n">
        <v>13</v>
      </c>
      <c r="BU2" t="n">
        <v>14</v>
      </c>
      <c r="BV2" t="n">
        <v>15</v>
      </c>
      <c r="BW2" t="n">
        <v>16</v>
      </c>
      <c r="BX2" t="n">
        <v>17</v>
      </c>
      <c r="BY2" t="n">
        <v>18</v>
      </c>
      <c r="BZ2" t="n">
        <v>19</v>
      </c>
      <c r="CA2" t="n">
        <v>20</v>
      </c>
      <c r="CB2" t="n">
        <v>21</v>
      </c>
      <c r="CC2" t="n">
        <v>22</v>
      </c>
      <c r="CD2" t="n">
        <v>23</v>
      </c>
      <c r="CE2" t="n">
        <v>24</v>
      </c>
      <c r="CF2" t="n">
        <v>25</v>
      </c>
      <c r="CG2" t="n">
        <v>26</v>
      </c>
      <c r="CH2" t="n">
        <v>27</v>
      </c>
      <c r="CI2" t="n">
        <v>28</v>
      </c>
      <c r="CJ2" t="n">
        <v>29</v>
      </c>
      <c r="CK2" t="n">
        <v>30</v>
      </c>
      <c r="CL2" t="n">
        <v>31</v>
      </c>
      <c r="CM2" t="n">
        <v>32</v>
      </c>
      <c r="CN2" t="n">
        <v>33</v>
      </c>
      <c r="CO2" t="n">
        <v>34</v>
      </c>
      <c r="CP2" t="n">
        <v>35</v>
      </c>
      <c r="CQ2" t="n">
        <v>36</v>
      </c>
      <c r="CR2" t="n">
        <v>37</v>
      </c>
      <c r="CS2" t="n">
        <v>38</v>
      </c>
      <c r="CT2" t="n">
        <v>39</v>
      </c>
      <c r="CU2" t="n">
        <v>40</v>
      </c>
      <c r="CV2" t="n">
        <v>41</v>
      </c>
      <c r="CW2" t="n">
        <v>42</v>
      </c>
      <c r="CX2" t="n">
        <v>43</v>
      </c>
      <c r="CY2" t="n">
        <v>44</v>
      </c>
      <c r="CZ2" t="n">
        <v>45</v>
      </c>
      <c r="DB2" t="n">
        <v>1</v>
      </c>
      <c r="DC2" t="n">
        <v>2</v>
      </c>
      <c r="DD2" t="n">
        <v>3</v>
      </c>
      <c r="DE2" t="n">
        <v>4</v>
      </c>
      <c r="DF2" t="n">
        <v>5</v>
      </c>
      <c r="DG2" t="n">
        <v>6</v>
      </c>
      <c r="DH2" t="n">
        <v>7</v>
      </c>
      <c r="DI2" t="n">
        <v>8</v>
      </c>
      <c r="DJ2" t="n">
        <v>9</v>
      </c>
      <c r="DK2" t="n">
        <v>10</v>
      </c>
      <c r="DL2" t="n">
        <v>11</v>
      </c>
      <c r="DM2" t="n">
        <v>12</v>
      </c>
      <c r="DN2" t="n">
        <v>13</v>
      </c>
      <c r="DO2" t="n">
        <v>14</v>
      </c>
      <c r="DP2" t="n">
        <v>15</v>
      </c>
      <c r="DQ2" t="n">
        <v>16</v>
      </c>
      <c r="DR2" t="n">
        <v>17</v>
      </c>
      <c r="DS2" t="n">
        <v>18</v>
      </c>
      <c r="DT2" t="n">
        <v>19</v>
      </c>
      <c r="DU2" t="n">
        <v>20</v>
      </c>
      <c r="DV2" t="n">
        <v>21</v>
      </c>
      <c r="DW2" t="n">
        <v>22</v>
      </c>
      <c r="DX2" t="n">
        <v>23</v>
      </c>
      <c r="DY2" t="n">
        <v>24</v>
      </c>
      <c r="DZ2" t="n">
        <v>25</v>
      </c>
      <c r="EA2" t="n">
        <v>26</v>
      </c>
      <c r="EB2" t="n">
        <v>27</v>
      </c>
      <c r="EC2" t="n">
        <v>28</v>
      </c>
      <c r="ED2" t="n">
        <v>29</v>
      </c>
      <c r="EE2" t="n">
        <v>30</v>
      </c>
      <c r="EF2" t="n">
        <v>31</v>
      </c>
      <c r="EG2" t="n">
        <v>32</v>
      </c>
      <c r="EH2" t="n">
        <v>33</v>
      </c>
      <c r="EI2" t="n">
        <v>34</v>
      </c>
      <c r="EJ2" t="n">
        <v>35</v>
      </c>
      <c r="EK2" t="n">
        <v>36</v>
      </c>
      <c r="EL2" t="n">
        <v>37</v>
      </c>
      <c r="EM2" t="n">
        <v>38</v>
      </c>
      <c r="EN2" t="n">
        <v>39</v>
      </c>
      <c r="EO2" t="n">
        <v>40</v>
      </c>
      <c r="EP2" t="n">
        <v>41</v>
      </c>
      <c r="EQ2" t="n">
        <v>42</v>
      </c>
      <c r="ER2" t="n">
        <v>43</v>
      </c>
      <c r="ES2" t="n">
        <v>44</v>
      </c>
      <c r="ET2" t="n">
        <v>45</v>
      </c>
      <c r="EU2" t="n">
        <v>46</v>
      </c>
      <c r="EV2" t="n">
        <v>47</v>
      </c>
      <c r="EW2" t="n">
        <v>48</v>
      </c>
      <c r="EX2" t="n">
        <v>49</v>
      </c>
      <c r="EY2" t="n">
        <v>50</v>
      </c>
      <c r="EZ2" t="n">
        <v>51</v>
      </c>
      <c r="FA2" t="n">
        <v>52</v>
      </c>
      <c r="FB2" t="n">
        <v>53</v>
      </c>
      <c r="FC2" t="n">
        <v>54</v>
      </c>
      <c r="FD2" t="n">
        <v>55</v>
      </c>
      <c r="FE2" t="n">
        <v>56</v>
      </c>
      <c r="FF2" t="n">
        <v>57</v>
      </c>
      <c r="FG2" t="n">
        <v>58</v>
      </c>
      <c r="FH2" t="n">
        <v>59</v>
      </c>
      <c r="FI2" t="n">
        <v>60</v>
      </c>
      <c r="FJ2" t="n">
        <v>61</v>
      </c>
      <c r="FK2" t="n">
        <v>62</v>
      </c>
      <c r="FL2" t="n">
        <v>63</v>
      </c>
      <c r="FM2" t="n">
        <v>64</v>
      </c>
      <c r="FN2" t="n">
        <v>65</v>
      </c>
      <c r="FO2" t="n">
        <v>66</v>
      </c>
      <c r="FP2" t="n">
        <v>67</v>
      </c>
      <c r="FQ2" t="n">
        <v>68</v>
      </c>
      <c r="FR2" t="n">
        <v>69</v>
      </c>
      <c r="FS2" t="n">
        <v>70</v>
      </c>
      <c r="FT2" t="n">
        <v>71</v>
      </c>
      <c r="FU2" t="n">
        <v>72</v>
      </c>
      <c r="FV2" t="n">
        <v>73</v>
      </c>
      <c r="FW2" t="n">
        <v>74</v>
      </c>
      <c r="FX2" t="n">
        <v>75</v>
      </c>
      <c r="FY2" t="n">
        <v>76</v>
      </c>
      <c r="FZ2" t="n">
        <v>77</v>
      </c>
      <c r="GA2" t="n">
        <v>78</v>
      </c>
      <c r="GB2" t="n">
        <v>79</v>
      </c>
      <c r="GC2" t="n">
        <v>80</v>
      </c>
      <c r="GD2" t="n">
        <v>81</v>
      </c>
      <c r="GE2" t="n">
        <v>82</v>
      </c>
      <c r="GF2" t="n">
        <v>83</v>
      </c>
      <c r="GG2" t="n">
        <v>84</v>
      </c>
      <c r="GH2" t="n">
        <v>85</v>
      </c>
      <c r="GI2" t="n">
        <v>86</v>
      </c>
      <c r="GJ2" t="n">
        <v>87</v>
      </c>
      <c r="GK2" t="n">
        <v>88</v>
      </c>
      <c r="GL2" t="n">
        <v>89</v>
      </c>
      <c r="GM2" t="n">
        <v>90</v>
      </c>
      <c r="GN2" t="n">
        <v>91</v>
      </c>
      <c r="GO2" t="n">
        <v>92</v>
      </c>
      <c r="GP2" t="n">
        <v>93</v>
      </c>
      <c r="GQ2" t="n">
        <v>94</v>
      </c>
      <c r="GR2" t="n">
        <v>95</v>
      </c>
      <c r="GS2" t="n">
        <v>96</v>
      </c>
      <c r="GT2" t="n">
        <v>97</v>
      </c>
      <c r="GU2" t="n">
        <v>98</v>
      </c>
      <c r="GV2" t="n">
        <v>99</v>
      </c>
      <c r="GW2" t="n">
        <v>100</v>
      </c>
      <c r="GX2" t="n">
        <v>101</v>
      </c>
      <c r="GY2" t="n">
        <v>102</v>
      </c>
      <c r="GZ2" t="n">
        <v>103</v>
      </c>
      <c r="HA2" t="n">
        <v>104</v>
      </c>
      <c r="HB2" t="n">
        <v>105</v>
      </c>
      <c r="HC2" t="n">
        <v>106</v>
      </c>
      <c r="HD2" t="n">
        <v>107</v>
      </c>
      <c r="HE2" t="n">
        <v>108</v>
      </c>
      <c r="HF2" t="n">
        <v>109</v>
      </c>
      <c r="HG2" t="n">
        <v>110</v>
      </c>
      <c r="HH2" t="n">
        <v>111</v>
      </c>
      <c r="HI2" t="n">
        <v>112</v>
      </c>
      <c r="HJ2" t="n">
        <v>113</v>
      </c>
      <c r="HK2" t="n">
        <v>114</v>
      </c>
      <c r="HL2" t="n">
        <v>115</v>
      </c>
      <c r="HM2" t="n">
        <v>116</v>
      </c>
      <c r="HN2" t="n">
        <v>117</v>
      </c>
      <c r="HO2" t="n">
        <v>118</v>
      </c>
      <c r="HP2" t="n">
        <v>119</v>
      </c>
      <c r="HQ2" t="n">
        <v>120</v>
      </c>
      <c r="HR2" t="n">
        <v>121</v>
      </c>
      <c r="HS2" t="n">
        <v>122</v>
      </c>
      <c r="HT2" t="n">
        <v>123</v>
      </c>
      <c r="HU2" t="n">
        <v>124</v>
      </c>
      <c r="HV2" t="n">
        <v>125</v>
      </c>
      <c r="HW2" t="n">
        <v>126</v>
      </c>
      <c r="HX2" t="n">
        <v>127</v>
      </c>
      <c r="HY2" t="n">
        <v>128</v>
      </c>
      <c r="HZ2" t="n">
        <v>129</v>
      </c>
      <c r="IA2" t="n">
        <v>130</v>
      </c>
      <c r="IB2" t="n">
        <v>131</v>
      </c>
      <c r="IC2" t="n">
        <v>132</v>
      </c>
      <c r="ID2" t="n">
        <v>133</v>
      </c>
      <c r="IE2" t="n">
        <v>134</v>
      </c>
      <c r="IF2" t="n">
        <v>135</v>
      </c>
      <c r="IG2" t="n">
        <v>136</v>
      </c>
      <c r="IH2" t="n">
        <v>137</v>
      </c>
      <c r="II2" t="n">
        <v>138</v>
      </c>
      <c r="IJ2" t="n">
        <v>139</v>
      </c>
      <c r="IK2" t="n">
        <v>140</v>
      </c>
      <c r="IL2" t="n">
        <v>141</v>
      </c>
      <c r="IM2" t="n">
        <v>142</v>
      </c>
      <c r="IN2" t="n">
        <v>143</v>
      </c>
      <c r="IO2" t="n">
        <v>144</v>
      </c>
      <c r="IQ2" t="n">
        <v>1</v>
      </c>
      <c r="IR2" t="n">
        <v>2</v>
      </c>
      <c r="IS2" t="n">
        <v>3</v>
      </c>
      <c r="IT2" t="n">
        <v>4</v>
      </c>
      <c r="IU2" t="n">
        <v>5</v>
      </c>
      <c r="IV2" t="n">
        <v>6</v>
      </c>
      <c r="IW2" t="n">
        <v>7</v>
      </c>
      <c r="IX2" t="n">
        <v>8</v>
      </c>
      <c r="IY2" t="n">
        <v>9</v>
      </c>
      <c r="IZ2" t="n">
        <v>10</v>
      </c>
      <c r="JA2" t="n">
        <v>11</v>
      </c>
      <c r="JB2" t="n">
        <v>12</v>
      </c>
      <c r="JC2" t="n">
        <v>13</v>
      </c>
      <c r="JD2" t="n">
        <v>14</v>
      </c>
      <c r="JE2" t="n">
        <v>15</v>
      </c>
      <c r="JF2" t="n">
        <v>16</v>
      </c>
      <c r="JG2" t="n">
        <v>17</v>
      </c>
      <c r="JH2" t="n">
        <v>18</v>
      </c>
      <c r="JI2" t="n">
        <v>19</v>
      </c>
      <c r="JJ2" t="n">
        <v>20</v>
      </c>
      <c r="JK2" t="n">
        <v>21</v>
      </c>
      <c r="JL2" t="n">
        <v>22</v>
      </c>
      <c r="JM2" t="n">
        <v>23</v>
      </c>
      <c r="JN2" t="n">
        <v>24</v>
      </c>
      <c r="JO2" t="n">
        <v>25</v>
      </c>
      <c r="JP2" t="n">
        <v>26</v>
      </c>
      <c r="JQ2" t="n">
        <v>27</v>
      </c>
      <c r="JR2" t="n">
        <v>28</v>
      </c>
      <c r="JS2" t="n">
        <v>29</v>
      </c>
      <c r="JT2" t="n">
        <v>30</v>
      </c>
      <c r="JU2" t="n">
        <v>31</v>
      </c>
      <c r="JV2" t="n">
        <v>32</v>
      </c>
      <c r="JW2" t="n">
        <v>33</v>
      </c>
      <c r="JX2" t="n">
        <v>34</v>
      </c>
      <c r="JY2" t="n">
        <v>35</v>
      </c>
      <c r="JZ2" t="n">
        <v>36</v>
      </c>
      <c r="KA2" t="n">
        <v>37</v>
      </c>
      <c r="KB2" t="n">
        <v>38</v>
      </c>
      <c r="KC2" t="n">
        <v>39</v>
      </c>
      <c r="KD2" t="n">
        <v>40</v>
      </c>
      <c r="KE2" t="n">
        <v>41</v>
      </c>
      <c r="KF2" t="n">
        <v>42</v>
      </c>
      <c r="KG2" t="n">
        <v>43</v>
      </c>
      <c r="KH2" t="n">
        <v>44</v>
      </c>
      <c r="KI2" t="n">
        <v>45</v>
      </c>
      <c r="KJ2" t="n">
        <v>46</v>
      </c>
      <c r="KK2" t="n">
        <v>47</v>
      </c>
      <c r="KL2" t="n">
        <v>48</v>
      </c>
      <c r="KM2" t="n">
        <v>49</v>
      </c>
      <c r="KN2" t="n">
        <v>50</v>
      </c>
      <c r="KO2" t="n">
        <v>51</v>
      </c>
      <c r="KP2" t="n">
        <v>52</v>
      </c>
      <c r="KQ2" t="n">
        <v>53</v>
      </c>
      <c r="KR2" t="n">
        <v>54</v>
      </c>
      <c r="KS2" t="n">
        <v>55</v>
      </c>
      <c r="KT2" t="n">
        <v>56</v>
      </c>
      <c r="KU2" t="n">
        <v>57</v>
      </c>
      <c r="KV2" t="n">
        <v>58</v>
      </c>
      <c r="KW2" t="n">
        <v>59</v>
      </c>
      <c r="KX2" t="n">
        <v>60</v>
      </c>
      <c r="KY2" t="n">
        <v>61</v>
      </c>
      <c r="KZ2" t="n">
        <v>62</v>
      </c>
      <c r="LA2" t="n">
        <v>63</v>
      </c>
      <c r="LB2" t="n">
        <v>64</v>
      </c>
      <c r="LC2" t="n">
        <v>65</v>
      </c>
      <c r="LD2" t="n">
        <v>66</v>
      </c>
      <c r="LE2" t="n">
        <v>67</v>
      </c>
      <c r="LF2" t="n">
        <v>68</v>
      </c>
      <c r="LG2" t="n">
        <v>69</v>
      </c>
      <c r="LH2" t="n">
        <v>70</v>
      </c>
      <c r="LI2" t="n">
        <v>71</v>
      </c>
      <c r="LJ2" t="n">
        <v>72</v>
      </c>
      <c r="LK2" t="n">
        <v>73</v>
      </c>
      <c r="LL2" t="n">
        <v>74</v>
      </c>
      <c r="LM2" t="n">
        <v>75</v>
      </c>
      <c r="LN2" t="n">
        <v>76</v>
      </c>
      <c r="LO2" t="n">
        <v>77</v>
      </c>
      <c r="LP2" t="n">
        <v>78</v>
      </c>
      <c r="LQ2" t="n">
        <v>79</v>
      </c>
      <c r="LR2" t="n">
        <v>80</v>
      </c>
      <c r="LS2" t="n">
        <v>81</v>
      </c>
      <c r="LT2" t="n">
        <v>82</v>
      </c>
      <c r="LU2" t="n">
        <v>83</v>
      </c>
      <c r="LV2" t="n">
        <v>84</v>
      </c>
      <c r="LW2" t="n">
        <v>85</v>
      </c>
      <c r="LX2" t="n">
        <v>86</v>
      </c>
      <c r="LY2" t="n">
        <v>87</v>
      </c>
      <c r="LZ2" t="n">
        <v>88</v>
      </c>
      <c r="MA2" t="n">
        <v>89</v>
      </c>
      <c r="MB2" t="n">
        <v>90</v>
      </c>
      <c r="MC2" t="n">
        <v>91</v>
      </c>
      <c r="MD2" t="n">
        <v>92</v>
      </c>
      <c r="ME2" t="n">
        <v>93</v>
      </c>
      <c r="MF2" t="n">
        <v>94</v>
      </c>
      <c r="MG2" t="n">
        <v>95</v>
      </c>
      <c r="MH2" t="n">
        <v>96</v>
      </c>
      <c r="MI2" t="n">
        <v>97</v>
      </c>
      <c r="MJ2" t="n">
        <v>98</v>
      </c>
      <c r="MK2" t="n">
        <v>99</v>
      </c>
      <c r="ML2" t="n">
        <v>100</v>
      </c>
      <c r="MM2" t="n">
        <v>101</v>
      </c>
      <c r="MN2" t="n">
        <v>102</v>
      </c>
      <c r="MO2" t="n">
        <v>103</v>
      </c>
      <c r="MP2" t="n">
        <v>104</v>
      </c>
      <c r="MQ2" t="n">
        <v>105</v>
      </c>
      <c r="MR2" t="n">
        <v>106</v>
      </c>
      <c r="MS2" t="n">
        <v>107</v>
      </c>
      <c r="MT2" t="n">
        <v>108</v>
      </c>
      <c r="MU2" t="n">
        <v>109</v>
      </c>
      <c r="MV2" t="n">
        <v>110</v>
      </c>
      <c r="MW2" t="n">
        <v>111</v>
      </c>
      <c r="MX2" t="n">
        <v>112</v>
      </c>
      <c r="MY2" t="n">
        <v>113</v>
      </c>
      <c r="MZ2" t="n">
        <v>114</v>
      </c>
      <c r="NA2" t="n">
        <v>115</v>
      </c>
      <c r="NB2" t="n">
        <v>116</v>
      </c>
      <c r="NC2" t="n">
        <v>117</v>
      </c>
      <c r="ND2" t="n">
        <v>118</v>
      </c>
      <c r="NE2" t="n">
        <v>119</v>
      </c>
      <c r="NF2" t="n">
        <v>120</v>
      </c>
      <c r="NG2" t="n">
        <v>121</v>
      </c>
      <c r="NH2" t="n">
        <v>122</v>
      </c>
      <c r="NI2" t="n">
        <v>123</v>
      </c>
      <c r="NJ2" t="n">
        <v>124</v>
      </c>
      <c r="NK2" t="n">
        <v>125</v>
      </c>
      <c r="NL2" t="n">
        <v>126</v>
      </c>
      <c r="NM2" t="n">
        <v>127</v>
      </c>
      <c r="NN2" t="n">
        <v>128</v>
      </c>
      <c r="NO2" t="n">
        <v>129</v>
      </c>
      <c r="NP2" t="n">
        <v>130</v>
      </c>
      <c r="NQ2" t="n">
        <v>131</v>
      </c>
      <c r="NR2" t="n">
        <v>132</v>
      </c>
      <c r="NS2" t="n">
        <v>133</v>
      </c>
      <c r="NT2" t="n">
        <v>134</v>
      </c>
      <c r="NU2" t="n">
        <v>135</v>
      </c>
      <c r="NV2" t="n">
        <v>136</v>
      </c>
      <c r="NW2" t="n">
        <v>137</v>
      </c>
      <c r="NX2" t="n">
        <v>138</v>
      </c>
      <c r="NY2" t="n">
        <v>139</v>
      </c>
      <c r="NZ2" t="n">
        <v>140</v>
      </c>
      <c r="OA2" t="n">
        <v>141</v>
      </c>
      <c r="OB2" t="n">
        <v>142</v>
      </c>
      <c r="OC2" t="n">
        <v>143</v>
      </c>
      <c r="OD2" t="n">
        <v>144</v>
      </c>
      <c r="OF2" t="n">
        <v>1</v>
      </c>
      <c r="OG2" t="n">
        <v>2</v>
      </c>
      <c r="OH2" t="n">
        <v>3</v>
      </c>
      <c r="OI2" t="n">
        <v>4</v>
      </c>
      <c r="OJ2" t="n">
        <v>5</v>
      </c>
      <c r="OK2" t="n">
        <v>6</v>
      </c>
      <c r="OL2" t="n">
        <v>7</v>
      </c>
      <c r="OM2" t="n">
        <v>8</v>
      </c>
      <c r="ON2" t="n">
        <v>9</v>
      </c>
      <c r="OO2" t="n">
        <v>10</v>
      </c>
      <c r="OP2" t="n">
        <v>11</v>
      </c>
      <c r="OQ2" t="n">
        <v>12</v>
      </c>
      <c r="OR2" t="n">
        <v>13</v>
      </c>
      <c r="OS2" t="n">
        <v>14</v>
      </c>
      <c r="OT2" t="n">
        <v>15</v>
      </c>
      <c r="OU2" t="n">
        <v>16</v>
      </c>
      <c r="OV2" t="n">
        <v>17</v>
      </c>
      <c r="OW2" t="n">
        <v>18</v>
      </c>
      <c r="OX2" t="n">
        <v>19</v>
      </c>
      <c r="OY2" t="n">
        <v>20</v>
      </c>
      <c r="OZ2" t="n">
        <v>21</v>
      </c>
      <c r="PA2" t="n">
        <v>22</v>
      </c>
      <c r="PB2" t="n">
        <v>23</v>
      </c>
      <c r="PC2" t="n">
        <v>24</v>
      </c>
      <c r="PD2" t="n">
        <v>25</v>
      </c>
      <c r="PE2" t="n">
        <v>26</v>
      </c>
      <c r="PF2" t="n">
        <v>27</v>
      </c>
      <c r="PG2" t="n">
        <v>28</v>
      </c>
      <c r="PH2" t="n">
        <v>29</v>
      </c>
      <c r="PI2" t="n">
        <v>30</v>
      </c>
      <c r="PJ2" t="n">
        <v>31</v>
      </c>
      <c r="PK2" t="n">
        <v>32</v>
      </c>
      <c r="PL2" t="n">
        <v>33</v>
      </c>
      <c r="PM2" t="n">
        <v>34</v>
      </c>
      <c r="PN2" t="n">
        <v>35</v>
      </c>
      <c r="PO2" t="n">
        <v>36</v>
      </c>
      <c r="PP2" t="n">
        <v>37</v>
      </c>
      <c r="PQ2" t="n">
        <v>38</v>
      </c>
      <c r="PR2" t="n">
        <v>39</v>
      </c>
      <c r="PS2" t="n">
        <v>40</v>
      </c>
      <c r="PT2" t="n">
        <v>41</v>
      </c>
      <c r="PU2" t="n">
        <v>42</v>
      </c>
      <c r="PV2" t="n">
        <v>43</v>
      </c>
      <c r="PW2" t="n">
        <v>44</v>
      </c>
      <c r="PX2" t="n">
        <v>45</v>
      </c>
      <c r="PY2" t="n">
        <v>46</v>
      </c>
      <c r="PZ2" t="n">
        <v>47</v>
      </c>
      <c r="QA2" t="n">
        <v>48</v>
      </c>
      <c r="QB2" t="n">
        <v>49</v>
      </c>
      <c r="QC2" t="n">
        <v>50</v>
      </c>
      <c r="QD2" t="n">
        <v>51</v>
      </c>
      <c r="QE2" t="n">
        <v>52</v>
      </c>
      <c r="QF2" t="n">
        <v>53</v>
      </c>
      <c r="QG2" t="n">
        <v>54</v>
      </c>
      <c r="QH2" t="n">
        <v>55</v>
      </c>
      <c r="QI2" t="n">
        <v>56</v>
      </c>
      <c r="QJ2" t="n">
        <v>57</v>
      </c>
      <c r="QK2" t="n">
        <v>58</v>
      </c>
      <c r="QL2" t="n">
        <v>59</v>
      </c>
      <c r="QM2" t="n">
        <v>60</v>
      </c>
      <c r="QN2" t="n">
        <v>61</v>
      </c>
      <c r="QO2" t="n">
        <v>62</v>
      </c>
      <c r="QP2" t="n">
        <v>63</v>
      </c>
      <c r="QQ2" t="n">
        <v>64</v>
      </c>
      <c r="QR2" t="n">
        <v>65</v>
      </c>
      <c r="QS2" t="n">
        <v>66</v>
      </c>
      <c r="QT2" t="n">
        <v>67</v>
      </c>
      <c r="QU2" t="n">
        <v>68</v>
      </c>
      <c r="QV2" t="n">
        <v>69</v>
      </c>
      <c r="QW2" t="n">
        <v>70</v>
      </c>
      <c r="QX2" t="n">
        <v>71</v>
      </c>
      <c r="QY2" t="n">
        <v>72</v>
      </c>
      <c r="QZ2" t="n">
        <v>73</v>
      </c>
      <c r="RA2" t="n">
        <v>74</v>
      </c>
      <c r="RB2" t="n">
        <v>75</v>
      </c>
      <c r="RC2" t="n">
        <v>76</v>
      </c>
      <c r="RD2" t="n">
        <v>77</v>
      </c>
      <c r="RE2" t="n">
        <v>78</v>
      </c>
      <c r="RF2" t="n">
        <v>79</v>
      </c>
      <c r="RG2" t="n">
        <v>80</v>
      </c>
      <c r="RH2" t="n">
        <v>81</v>
      </c>
      <c r="RI2" t="n">
        <v>82</v>
      </c>
      <c r="RJ2" t="n">
        <v>83</v>
      </c>
      <c r="RK2" t="n">
        <v>84</v>
      </c>
      <c r="RL2" t="n">
        <v>85</v>
      </c>
      <c r="RM2" t="n">
        <v>86</v>
      </c>
      <c r="RN2" t="n">
        <v>87</v>
      </c>
      <c r="RO2" t="n">
        <v>88</v>
      </c>
      <c r="RP2" t="n">
        <v>89</v>
      </c>
      <c r="RQ2" t="n">
        <v>90</v>
      </c>
      <c r="RR2" t="n">
        <v>91</v>
      </c>
      <c r="RS2" t="n">
        <v>92</v>
      </c>
      <c r="RT2" t="n">
        <v>93</v>
      </c>
      <c r="RU2" t="n">
        <v>94</v>
      </c>
      <c r="RV2" t="n">
        <v>95</v>
      </c>
      <c r="RW2" t="n">
        <v>96</v>
      </c>
      <c r="RX2" t="n">
        <v>97</v>
      </c>
      <c r="RY2" t="n">
        <v>98</v>
      </c>
      <c r="RZ2" t="n">
        <v>99</v>
      </c>
      <c r="SA2" t="n">
        <v>100</v>
      </c>
      <c r="SB2" t="n">
        <v>101</v>
      </c>
      <c r="SC2" t="n">
        <v>102</v>
      </c>
      <c r="SD2" t="n">
        <v>103</v>
      </c>
      <c r="SE2" t="n">
        <v>104</v>
      </c>
      <c r="SF2" t="n">
        <v>105</v>
      </c>
      <c r="SG2" t="n">
        <v>106</v>
      </c>
      <c r="SH2" t="n">
        <v>107</v>
      </c>
      <c r="SI2" t="n">
        <v>108</v>
      </c>
      <c r="SJ2" t="n">
        <v>109</v>
      </c>
      <c r="SK2" t="n">
        <v>110</v>
      </c>
      <c r="SL2" t="n">
        <v>111</v>
      </c>
      <c r="SM2" t="n">
        <v>112</v>
      </c>
      <c r="SN2" t="n">
        <v>113</v>
      </c>
      <c r="SO2" t="n">
        <v>114</v>
      </c>
      <c r="SP2" t="n">
        <v>115</v>
      </c>
      <c r="SQ2" t="n">
        <v>116</v>
      </c>
      <c r="SR2" t="n">
        <v>117</v>
      </c>
      <c r="SS2" t="n">
        <v>118</v>
      </c>
      <c r="ST2" t="n">
        <v>119</v>
      </c>
      <c r="SU2" t="n">
        <v>120</v>
      </c>
      <c r="SV2" t="n">
        <v>121</v>
      </c>
      <c r="SW2" t="n">
        <v>122</v>
      </c>
      <c r="SX2" t="n">
        <v>123</v>
      </c>
      <c r="SY2" t="n">
        <v>124</v>
      </c>
      <c r="SZ2" t="n">
        <v>125</v>
      </c>
      <c r="TA2" t="n">
        <v>126</v>
      </c>
      <c r="TB2" t="n">
        <v>127</v>
      </c>
      <c r="TC2" t="n">
        <v>128</v>
      </c>
      <c r="TD2" t="n">
        <v>129</v>
      </c>
      <c r="TE2" t="n">
        <v>130</v>
      </c>
      <c r="TF2" t="n">
        <v>131</v>
      </c>
      <c r="TG2" t="n">
        <v>132</v>
      </c>
      <c r="TH2" t="n">
        <v>133</v>
      </c>
      <c r="TI2" t="n">
        <v>134</v>
      </c>
      <c r="TJ2" t="n">
        <v>135</v>
      </c>
      <c r="TK2" t="n">
        <v>136</v>
      </c>
      <c r="TL2" t="n">
        <v>137</v>
      </c>
      <c r="TM2" t="n">
        <v>138</v>
      </c>
      <c r="TN2" t="n">
        <v>139</v>
      </c>
      <c r="TO2" t="n">
        <v>140</v>
      </c>
      <c r="TP2" t="n">
        <v>141</v>
      </c>
      <c r="TQ2" t="n">
        <v>142</v>
      </c>
      <c r="TR2" t="n">
        <v>143</v>
      </c>
      <c r="TS2" t="n">
        <v>144</v>
      </c>
      <c r="TU2" t="n">
        <v>1</v>
      </c>
      <c r="TV2" t="n">
        <v>2</v>
      </c>
      <c r="TW2" t="n">
        <v>3</v>
      </c>
      <c r="TX2" t="n">
        <v>4</v>
      </c>
      <c r="TY2" t="n">
        <v>5</v>
      </c>
      <c r="TZ2" t="n">
        <v>6</v>
      </c>
    </row>
    <row r="3">
      <c r="A3" t="n">
        <v>1</v>
      </c>
      <c r="B3">
        <f>IF(MIN(BH3:CZ3)&gt;=1000000,0,MATCH(MIN(BH3:CZ3),BH3:CZ3,0))</f>
        <v/>
      </c>
      <c r="C3">
        <f>IF(MIN(OF3:TS3)&gt;=1000000,0,MATCH(MIN(OF3:TS3),OF3:TS3,0))</f>
        <v/>
      </c>
      <c r="D3">
        <f>IF(C3&gt;0,INDEX('計算A'!$D$5:$EQ$5,C3),0)</f>
        <v/>
      </c>
      <c r="E3">
        <f>IF(B3=0,0,INDEX('計算A'!$IQ$10:$IQ$54,B3))</f>
        <v/>
      </c>
      <c r="F3">
        <f>IF(B3=0,0,INDEX('計算A'!$IP$10:$IP$54,B3))</f>
        <v/>
      </c>
      <c r="G3">
        <f>IF(AND(C3&gt;0,E3&gt;0),IF(AND(INDEX('計算A'!$D$106:$EQ$106,C3)=1,INDEX($IQ3:$OD3,C3)=1),C3+1,0),0)</f>
        <v/>
      </c>
      <c r="H3">
        <f>IF(B3=0,0,INDEX('計算A'!$IW$10:$IW$54,B3))</f>
        <v/>
      </c>
      <c r="I3">
        <f>IF(B3=0,0,MAX(0,INDEX('計算A'!$IT$10:$IT$54,B3)))</f>
        <v/>
      </c>
      <c r="J3">
        <f>IF(I3=0,0,INDEX('計算A'!$D$2:$EQ$2,I3))</f>
        <v/>
      </c>
      <c r="K3">
        <f>IF(I3=0,0,INDEX('計算A'!$D$3:$EQ$3,I3))</f>
        <v/>
      </c>
      <c r="L3">
        <f>IF(B3=0,0,INDEX('計算A'!$IX$10:$IX$54,B3))</f>
        <v/>
      </c>
      <c r="N3">
        <f>1-'計算A'!C10</f>
        <v/>
      </c>
      <c r="O3">
        <f>1-'計算A'!C11</f>
        <v/>
      </c>
      <c r="P3">
        <f>1-'計算A'!C12</f>
        <v/>
      </c>
      <c r="Q3">
        <f>1-'計算A'!C13</f>
        <v/>
      </c>
      <c r="R3">
        <f>1-'計算A'!C14</f>
        <v/>
      </c>
      <c r="S3">
        <f>1-'計算A'!C15</f>
        <v/>
      </c>
      <c r="T3">
        <f>1-'計算A'!C16</f>
        <v/>
      </c>
      <c r="U3">
        <f>1-'計算A'!C17</f>
        <v/>
      </c>
      <c r="V3">
        <f>1-'計算A'!C18</f>
        <v/>
      </c>
      <c r="W3">
        <f>1-'計算A'!C19</f>
        <v/>
      </c>
      <c r="X3">
        <f>1-'計算A'!C20</f>
        <v/>
      </c>
      <c r="Y3">
        <f>1-'計算A'!C21</f>
        <v/>
      </c>
      <c r="Z3">
        <f>1-'計算A'!C22</f>
        <v/>
      </c>
      <c r="AA3">
        <f>1-'計算A'!C23</f>
        <v/>
      </c>
      <c r="AB3">
        <f>1-'計算A'!C24</f>
        <v/>
      </c>
      <c r="AC3">
        <f>1-'計算A'!C25</f>
        <v/>
      </c>
      <c r="AD3">
        <f>1-'計算A'!C26</f>
        <v/>
      </c>
      <c r="AE3">
        <f>1-'計算A'!C27</f>
        <v/>
      </c>
      <c r="AF3">
        <f>1-'計算A'!C28</f>
        <v/>
      </c>
      <c r="AG3">
        <f>1-'計算A'!C29</f>
        <v/>
      </c>
      <c r="AH3">
        <f>1-'計算A'!C30</f>
        <v/>
      </c>
      <c r="AI3">
        <f>1-'計算A'!C31</f>
        <v/>
      </c>
      <c r="AJ3">
        <f>1-'計算A'!C32</f>
        <v/>
      </c>
      <c r="AK3">
        <f>1-'計算A'!C33</f>
        <v/>
      </c>
      <c r="AL3">
        <f>1-'計算A'!C34</f>
        <v/>
      </c>
      <c r="AM3">
        <f>1-'計算A'!C35</f>
        <v/>
      </c>
      <c r="AN3">
        <f>1-'計算A'!C36</f>
        <v/>
      </c>
      <c r="AO3">
        <f>1-'計算A'!C37</f>
        <v/>
      </c>
      <c r="AP3">
        <f>1-'計算A'!C38</f>
        <v/>
      </c>
      <c r="AQ3">
        <f>1-'計算A'!C39</f>
        <v/>
      </c>
      <c r="AR3">
        <f>1-'計算A'!C40</f>
        <v/>
      </c>
      <c r="AS3">
        <f>1-'計算A'!C41</f>
        <v/>
      </c>
      <c r="AT3">
        <f>1-'計算A'!C42</f>
        <v/>
      </c>
      <c r="AU3">
        <f>1-'計算A'!C43</f>
        <v/>
      </c>
      <c r="AV3">
        <f>1-'計算A'!C44</f>
        <v/>
      </c>
      <c r="AW3">
        <f>1-'計算A'!C45</f>
        <v/>
      </c>
      <c r="AX3">
        <f>1-'計算A'!C46</f>
        <v/>
      </c>
      <c r="AY3">
        <f>1-'計算A'!C47</f>
        <v/>
      </c>
      <c r="AZ3">
        <f>1-'計算A'!C48</f>
        <v/>
      </c>
      <c r="BA3">
        <f>1-'計算A'!C49</f>
        <v/>
      </c>
      <c r="BB3">
        <f>1-'計算A'!C50</f>
        <v/>
      </c>
      <c r="BC3">
        <f>1-'計算A'!C51</f>
        <v/>
      </c>
      <c r="BD3">
        <f>1-'計算A'!C52</f>
        <v/>
      </c>
      <c r="BE3">
        <f>1-'計算A'!C53</f>
        <v/>
      </c>
      <c r="BF3">
        <f>1-'計算A'!C54</f>
        <v/>
      </c>
      <c r="BH3">
        <f>IF(N3=1,1000000,IF('計算A'!$IT$10&gt;0,0,500000)+IF('計算A'!$IQ$10=2,SUMPRODUCT('計算A'!$D$60:$EQ$60,$DB3:$IO3,$IQ3:$OD3),SUMPRODUCT('計算A'!$D$60:$EQ$60,$DB3:$IO3))*1000+1)</f>
        <v/>
      </c>
      <c r="BI3">
        <f>IF(O3=1,1000000,IF('計算A'!$IT$11&gt;0,0,500000)+IF('計算A'!$IQ$11=2,SUMPRODUCT('計算A'!$D$61:$EQ$61,$DB3:$IO3,$IQ3:$OD3),SUMPRODUCT('計算A'!$D$61:$EQ$61,$DB3:$IO3))*1000+2)</f>
        <v/>
      </c>
      <c r="BJ3">
        <f>IF(P3=1,1000000,IF('計算A'!$IT$12&gt;0,0,500000)+IF('計算A'!$IQ$12=2,SUMPRODUCT('計算A'!$D$62:$EQ$62,$DB3:$IO3,$IQ3:$OD3),SUMPRODUCT('計算A'!$D$62:$EQ$62,$DB3:$IO3))*1000+3)</f>
        <v/>
      </c>
      <c r="BK3">
        <f>IF(Q3=1,1000000,IF('計算A'!$IT$13&gt;0,0,500000)+IF('計算A'!$IQ$13=2,SUMPRODUCT('計算A'!$D$63:$EQ$63,$DB3:$IO3,$IQ3:$OD3),SUMPRODUCT('計算A'!$D$63:$EQ$63,$DB3:$IO3))*1000+4)</f>
        <v/>
      </c>
      <c r="BL3">
        <f>IF(R3=1,1000000,IF('計算A'!$IT$14&gt;0,0,500000)+IF('計算A'!$IQ$14=2,SUMPRODUCT('計算A'!$D$64:$EQ$64,$DB3:$IO3,$IQ3:$OD3),SUMPRODUCT('計算A'!$D$64:$EQ$64,$DB3:$IO3))*1000+5)</f>
        <v/>
      </c>
      <c r="BM3">
        <f>IF(S3=1,1000000,IF('計算A'!$IT$15&gt;0,0,500000)+IF('計算A'!$IQ$15=2,SUMPRODUCT('計算A'!$D$65:$EQ$65,$DB3:$IO3,$IQ3:$OD3),SUMPRODUCT('計算A'!$D$65:$EQ$65,$DB3:$IO3))*1000+6)</f>
        <v/>
      </c>
      <c r="BN3">
        <f>IF(T3=1,1000000,IF('計算A'!$IT$16&gt;0,0,500000)+IF('計算A'!$IQ$16=2,SUMPRODUCT('計算A'!$D$66:$EQ$66,$DB3:$IO3,$IQ3:$OD3),SUMPRODUCT('計算A'!$D$66:$EQ$66,$DB3:$IO3))*1000+7)</f>
        <v/>
      </c>
      <c r="BO3">
        <f>IF(U3=1,1000000,IF('計算A'!$IT$17&gt;0,0,500000)+IF('計算A'!$IQ$17=2,SUMPRODUCT('計算A'!$D$67:$EQ$67,$DB3:$IO3,$IQ3:$OD3),SUMPRODUCT('計算A'!$D$67:$EQ$67,$DB3:$IO3))*1000+8)</f>
        <v/>
      </c>
      <c r="BP3">
        <f>IF(V3=1,1000000,IF('計算A'!$IT$18&gt;0,0,500000)+IF('計算A'!$IQ$18=2,SUMPRODUCT('計算A'!$D$68:$EQ$68,$DB3:$IO3,$IQ3:$OD3),SUMPRODUCT('計算A'!$D$68:$EQ$68,$DB3:$IO3))*1000+9)</f>
        <v/>
      </c>
      <c r="BQ3">
        <f>IF(W3=1,1000000,IF('計算A'!$IT$19&gt;0,0,500000)+IF('計算A'!$IQ$19=2,SUMPRODUCT('計算A'!$D$69:$EQ$69,$DB3:$IO3,$IQ3:$OD3),SUMPRODUCT('計算A'!$D$69:$EQ$69,$DB3:$IO3))*1000+10)</f>
        <v/>
      </c>
      <c r="BR3">
        <f>IF(X3=1,1000000,IF('計算A'!$IT$20&gt;0,0,500000)+IF('計算A'!$IQ$20=2,SUMPRODUCT('計算A'!$D$70:$EQ$70,$DB3:$IO3,$IQ3:$OD3),SUMPRODUCT('計算A'!$D$70:$EQ$70,$DB3:$IO3))*1000+11)</f>
        <v/>
      </c>
      <c r="BS3">
        <f>IF(Y3=1,1000000,IF('計算A'!$IT$21&gt;0,0,500000)+IF('計算A'!$IQ$21=2,SUMPRODUCT('計算A'!$D$71:$EQ$71,$DB3:$IO3,$IQ3:$OD3),SUMPRODUCT('計算A'!$D$71:$EQ$71,$DB3:$IO3))*1000+12)</f>
        <v/>
      </c>
      <c r="BT3">
        <f>IF(Z3=1,1000000,IF('計算A'!$IT$22&gt;0,0,500000)+IF('計算A'!$IQ$22=2,SUMPRODUCT('計算A'!$D$72:$EQ$72,$DB3:$IO3,$IQ3:$OD3),SUMPRODUCT('計算A'!$D$72:$EQ$72,$DB3:$IO3))*1000+13)</f>
        <v/>
      </c>
      <c r="BU3">
        <f>IF(AA3=1,1000000,IF('計算A'!$IT$23&gt;0,0,500000)+IF('計算A'!$IQ$23=2,SUMPRODUCT('計算A'!$D$73:$EQ$73,$DB3:$IO3,$IQ3:$OD3),SUMPRODUCT('計算A'!$D$73:$EQ$73,$DB3:$IO3))*1000+14)</f>
        <v/>
      </c>
      <c r="BV3">
        <f>IF(AB3=1,1000000,IF('計算A'!$IT$24&gt;0,0,500000)+IF('計算A'!$IQ$24=2,SUMPRODUCT('計算A'!$D$74:$EQ$74,$DB3:$IO3,$IQ3:$OD3),SUMPRODUCT('計算A'!$D$74:$EQ$74,$DB3:$IO3))*1000+15)</f>
        <v/>
      </c>
      <c r="BW3">
        <f>IF(AC3=1,1000000,IF('計算A'!$IT$25&gt;0,0,500000)+IF('計算A'!$IQ$25=2,SUMPRODUCT('計算A'!$D$75:$EQ$75,$DB3:$IO3,$IQ3:$OD3),SUMPRODUCT('計算A'!$D$75:$EQ$75,$DB3:$IO3))*1000+16)</f>
        <v/>
      </c>
      <c r="BX3">
        <f>IF(AD3=1,1000000,IF('計算A'!$IT$26&gt;0,0,500000)+IF('計算A'!$IQ$26=2,SUMPRODUCT('計算A'!$D$76:$EQ$76,$DB3:$IO3,$IQ3:$OD3),SUMPRODUCT('計算A'!$D$76:$EQ$76,$DB3:$IO3))*1000+17)</f>
        <v/>
      </c>
      <c r="BY3">
        <f>IF(AE3=1,1000000,IF('計算A'!$IT$27&gt;0,0,500000)+IF('計算A'!$IQ$27=2,SUMPRODUCT('計算A'!$D$77:$EQ$77,$DB3:$IO3,$IQ3:$OD3),SUMPRODUCT('計算A'!$D$77:$EQ$77,$DB3:$IO3))*1000+18)</f>
        <v/>
      </c>
      <c r="BZ3">
        <f>IF(AF3=1,1000000,IF('計算A'!$IT$28&gt;0,0,500000)+IF('計算A'!$IQ$28=2,SUMPRODUCT('計算A'!$D$78:$EQ$78,$DB3:$IO3,$IQ3:$OD3),SUMPRODUCT('計算A'!$D$78:$EQ$78,$DB3:$IO3))*1000+19)</f>
        <v/>
      </c>
      <c r="CA3">
        <f>IF(AG3=1,1000000,IF('計算A'!$IT$29&gt;0,0,500000)+IF('計算A'!$IQ$29=2,SUMPRODUCT('計算A'!$D$79:$EQ$79,$DB3:$IO3,$IQ3:$OD3),SUMPRODUCT('計算A'!$D$79:$EQ$79,$DB3:$IO3))*1000+20)</f>
        <v/>
      </c>
      <c r="CB3">
        <f>IF(AH3=1,1000000,IF('計算A'!$IT$30&gt;0,0,500000)+IF('計算A'!$IQ$30=2,SUMPRODUCT('計算A'!$D$80:$EQ$80,$DB3:$IO3,$IQ3:$OD3),SUMPRODUCT('計算A'!$D$80:$EQ$80,$DB3:$IO3))*1000+21)</f>
        <v/>
      </c>
      <c r="CC3">
        <f>IF(AI3=1,1000000,IF('計算A'!$IT$31&gt;0,0,500000)+IF('計算A'!$IQ$31=2,SUMPRODUCT('計算A'!$D$81:$EQ$81,$DB3:$IO3,$IQ3:$OD3),SUMPRODUCT('計算A'!$D$81:$EQ$81,$DB3:$IO3))*1000+22)</f>
        <v/>
      </c>
      <c r="CD3">
        <f>IF(AJ3=1,1000000,IF('計算A'!$IT$32&gt;0,0,500000)+IF('計算A'!$IQ$32=2,SUMPRODUCT('計算A'!$D$82:$EQ$82,$DB3:$IO3,$IQ3:$OD3),SUMPRODUCT('計算A'!$D$82:$EQ$82,$DB3:$IO3))*1000+23)</f>
        <v/>
      </c>
      <c r="CE3">
        <f>IF(AK3=1,1000000,IF('計算A'!$IT$33&gt;0,0,500000)+IF('計算A'!$IQ$33=2,SUMPRODUCT('計算A'!$D$83:$EQ$83,$DB3:$IO3,$IQ3:$OD3),SUMPRODUCT('計算A'!$D$83:$EQ$83,$DB3:$IO3))*1000+24)</f>
        <v/>
      </c>
      <c r="CF3">
        <f>IF(AL3=1,1000000,IF('計算A'!$IT$34&gt;0,0,500000)+IF('計算A'!$IQ$34=2,SUMPRODUCT('計算A'!$D$84:$EQ$84,$DB3:$IO3,$IQ3:$OD3),SUMPRODUCT('計算A'!$D$84:$EQ$84,$DB3:$IO3))*1000+25)</f>
        <v/>
      </c>
      <c r="CG3">
        <f>IF(AM3=1,1000000,IF('計算A'!$IT$35&gt;0,0,500000)+IF('計算A'!$IQ$35=2,SUMPRODUCT('計算A'!$D$85:$EQ$85,$DB3:$IO3,$IQ3:$OD3),SUMPRODUCT('計算A'!$D$85:$EQ$85,$DB3:$IO3))*1000+26)</f>
        <v/>
      </c>
      <c r="CH3">
        <f>IF(AN3=1,1000000,IF('計算A'!$IT$36&gt;0,0,500000)+IF('計算A'!$IQ$36=2,SUMPRODUCT('計算A'!$D$86:$EQ$86,$DB3:$IO3,$IQ3:$OD3),SUMPRODUCT('計算A'!$D$86:$EQ$86,$DB3:$IO3))*1000+27)</f>
        <v/>
      </c>
      <c r="CI3">
        <f>IF(AO3=1,1000000,IF('計算A'!$IT$37&gt;0,0,500000)+IF('計算A'!$IQ$37=2,SUMPRODUCT('計算A'!$D$87:$EQ$87,$DB3:$IO3,$IQ3:$OD3),SUMPRODUCT('計算A'!$D$87:$EQ$87,$DB3:$IO3))*1000+28)</f>
        <v/>
      </c>
      <c r="CJ3">
        <f>IF(AP3=1,1000000,IF('計算A'!$IT$38&gt;0,0,500000)+IF('計算A'!$IQ$38=2,SUMPRODUCT('計算A'!$D$88:$EQ$88,$DB3:$IO3,$IQ3:$OD3),SUMPRODUCT('計算A'!$D$88:$EQ$88,$DB3:$IO3))*1000+29)</f>
        <v/>
      </c>
      <c r="CK3">
        <f>IF(AQ3=1,1000000,IF('計算A'!$IT$39&gt;0,0,500000)+IF('計算A'!$IQ$39=2,SUMPRODUCT('計算A'!$D$89:$EQ$89,$DB3:$IO3,$IQ3:$OD3),SUMPRODUCT('計算A'!$D$89:$EQ$89,$DB3:$IO3))*1000+30)</f>
        <v/>
      </c>
      <c r="CL3">
        <f>IF(AR3=1,1000000,IF('計算A'!$IT$40&gt;0,0,500000)+IF('計算A'!$IQ$40=2,SUMPRODUCT('計算A'!$D$90:$EQ$90,$DB3:$IO3,$IQ3:$OD3),SUMPRODUCT('計算A'!$D$90:$EQ$90,$DB3:$IO3))*1000+31)</f>
        <v/>
      </c>
      <c r="CM3">
        <f>IF(AS3=1,1000000,IF('計算A'!$IT$41&gt;0,0,500000)+IF('計算A'!$IQ$41=2,SUMPRODUCT('計算A'!$D$91:$EQ$91,$DB3:$IO3,$IQ3:$OD3),SUMPRODUCT('計算A'!$D$91:$EQ$91,$DB3:$IO3))*1000+32)</f>
        <v/>
      </c>
      <c r="CN3">
        <f>IF(AT3=1,1000000,IF('計算A'!$IT$42&gt;0,0,500000)+IF('計算A'!$IQ$42=2,SUMPRODUCT('計算A'!$D$92:$EQ$92,$DB3:$IO3,$IQ3:$OD3),SUMPRODUCT('計算A'!$D$92:$EQ$92,$DB3:$IO3))*1000+33)</f>
        <v/>
      </c>
      <c r="CO3">
        <f>IF(AU3=1,1000000,IF('計算A'!$IT$43&gt;0,0,500000)+IF('計算A'!$IQ$43=2,SUMPRODUCT('計算A'!$D$93:$EQ$93,$DB3:$IO3,$IQ3:$OD3),SUMPRODUCT('計算A'!$D$93:$EQ$93,$DB3:$IO3))*1000+34)</f>
        <v/>
      </c>
      <c r="CP3">
        <f>IF(AV3=1,1000000,IF('計算A'!$IT$44&gt;0,0,500000)+IF('計算A'!$IQ$44=2,SUMPRODUCT('計算A'!$D$94:$EQ$94,$DB3:$IO3,$IQ3:$OD3),SUMPRODUCT('計算A'!$D$94:$EQ$94,$DB3:$IO3))*1000+35)</f>
        <v/>
      </c>
      <c r="CQ3">
        <f>IF(AW3=1,1000000,IF('計算A'!$IT$45&gt;0,0,500000)+IF('計算A'!$IQ$45=2,SUMPRODUCT('計算A'!$D$95:$EQ$95,$DB3:$IO3,$IQ3:$OD3),SUMPRODUCT('計算A'!$D$95:$EQ$95,$DB3:$IO3))*1000+36)</f>
        <v/>
      </c>
      <c r="CR3">
        <f>IF(AX3=1,1000000,IF('計算A'!$IT$46&gt;0,0,500000)+IF('計算A'!$IQ$46=2,SUMPRODUCT('計算A'!$D$96:$EQ$96,$DB3:$IO3,$IQ3:$OD3),SUMPRODUCT('計算A'!$D$96:$EQ$96,$DB3:$IO3))*1000+37)</f>
        <v/>
      </c>
      <c r="CS3">
        <f>IF(AY3=1,1000000,IF('計算A'!$IT$47&gt;0,0,500000)+IF('計算A'!$IQ$47=2,SUMPRODUCT('計算A'!$D$97:$EQ$97,$DB3:$IO3,$IQ3:$OD3),SUMPRODUCT('計算A'!$D$97:$EQ$97,$DB3:$IO3))*1000+38)</f>
        <v/>
      </c>
      <c r="CT3">
        <f>IF(AZ3=1,1000000,IF('計算A'!$IT$48&gt;0,0,500000)+IF('計算A'!$IQ$48=2,SUMPRODUCT('計算A'!$D$98:$EQ$98,$DB3:$IO3,$IQ3:$OD3),SUMPRODUCT('計算A'!$D$98:$EQ$98,$DB3:$IO3))*1000+39)</f>
        <v/>
      </c>
      <c r="CU3">
        <f>IF(BA3=1,1000000,IF('計算A'!$IT$49&gt;0,0,500000)+IF('計算A'!$IQ$49=2,SUMPRODUCT('計算A'!$D$99:$EQ$99,$DB3:$IO3,$IQ3:$OD3),SUMPRODUCT('計算A'!$D$99:$EQ$99,$DB3:$IO3))*1000+40)</f>
        <v/>
      </c>
      <c r="CV3">
        <f>IF(BB3=1,1000000,IF('計算A'!$IT$50&gt;0,0,500000)+IF('計算A'!$IQ$50=2,SUMPRODUCT('計算A'!$D$100:$EQ$100,$DB3:$IO3,$IQ3:$OD3),SUMPRODUCT('計算A'!$D$100:$EQ$100,$DB3:$IO3))*1000+41)</f>
        <v/>
      </c>
      <c r="CW3">
        <f>IF(BC3=1,1000000,IF('計算A'!$IT$51&gt;0,0,500000)+IF('計算A'!$IQ$51=2,SUMPRODUCT('計算A'!$D$101:$EQ$101,$DB3:$IO3,$IQ3:$OD3),SUMPRODUCT('計算A'!$D$101:$EQ$101,$DB3:$IO3))*1000+42)</f>
        <v/>
      </c>
      <c r="CX3">
        <f>IF(BD3=1,1000000,IF('計算A'!$IT$52&gt;0,0,500000)+IF('計算A'!$IQ$52=2,SUMPRODUCT('計算A'!$D$102:$EQ$102,$DB3:$IO3,$IQ3:$OD3),SUMPRODUCT('計算A'!$D$102:$EQ$102,$DB3:$IO3))*1000+43)</f>
        <v/>
      </c>
      <c r="CY3">
        <f>IF(BE3=1,1000000,IF('計算A'!$IT$53&gt;0,0,500000)+IF('計算A'!$IQ$53=2,SUMPRODUCT('計算A'!$D$103:$EQ$103,$DB3:$IO3,$IQ3:$OD3),SUMPRODUCT('計算A'!$D$103:$EQ$103,$DB3:$IO3))*1000+44)</f>
        <v/>
      </c>
      <c r="CZ3">
        <f>IF(BF3=1,1000000,IF('計算A'!$IT$54&gt;0,0,500000)+IF('計算A'!$IQ$54=2,SUMPRODUCT('計算A'!$D$104:$EQ$104,$DB3:$IO3,$IQ3:$OD3),SUMPRODUCT('計算A'!$D$104:$EQ$104,$DB3:$IO3))*1000+45)</f>
        <v/>
      </c>
      <c r="DB3">
        <f>1-'計算A'!D$7</f>
        <v/>
      </c>
      <c r="DC3">
        <f>1-'計算A'!E$7</f>
        <v/>
      </c>
      <c r="DD3">
        <f>1-'計算A'!F$7</f>
        <v/>
      </c>
      <c r="DE3">
        <f>1-'計算A'!G$7</f>
        <v/>
      </c>
      <c r="DF3">
        <f>1-'計算A'!H$7</f>
        <v/>
      </c>
      <c r="DG3">
        <f>1-'計算A'!I$7</f>
        <v/>
      </c>
      <c r="DH3">
        <f>1-'計算A'!J$7</f>
        <v/>
      </c>
      <c r="DI3">
        <f>1-'計算A'!K$7</f>
        <v/>
      </c>
      <c r="DJ3">
        <f>1-'計算A'!L$7</f>
        <v/>
      </c>
      <c r="DK3">
        <f>1-'計算A'!M$7</f>
        <v/>
      </c>
      <c r="DL3">
        <f>1-'計算A'!N$7</f>
        <v/>
      </c>
      <c r="DM3">
        <f>1-'計算A'!O$7</f>
        <v/>
      </c>
      <c r="DN3">
        <f>1-'計算A'!P$7</f>
        <v/>
      </c>
      <c r="DO3">
        <f>1-'計算A'!Q$7</f>
        <v/>
      </c>
      <c r="DP3">
        <f>1-'計算A'!R$7</f>
        <v/>
      </c>
      <c r="DQ3">
        <f>1-'計算A'!S$7</f>
        <v/>
      </c>
      <c r="DR3">
        <f>1-'計算A'!T$7</f>
        <v/>
      </c>
      <c r="DS3">
        <f>1-'計算A'!U$7</f>
        <v/>
      </c>
      <c r="DT3">
        <f>1-'計算A'!V$7</f>
        <v/>
      </c>
      <c r="DU3">
        <f>1-'計算A'!W$7</f>
        <v/>
      </c>
      <c r="DV3">
        <f>1-'計算A'!X$7</f>
        <v/>
      </c>
      <c r="DW3">
        <f>1-'計算A'!Y$7</f>
        <v/>
      </c>
      <c r="DX3">
        <f>1-'計算A'!Z$7</f>
        <v/>
      </c>
      <c r="DY3">
        <f>1-'計算A'!AA$7</f>
        <v/>
      </c>
      <c r="DZ3">
        <f>1-'計算A'!AB$7</f>
        <v/>
      </c>
      <c r="EA3">
        <f>1-'計算A'!AC$7</f>
        <v/>
      </c>
      <c r="EB3">
        <f>1-'計算A'!AD$7</f>
        <v/>
      </c>
      <c r="EC3">
        <f>1-'計算A'!AE$7</f>
        <v/>
      </c>
      <c r="ED3">
        <f>1-'計算A'!AF$7</f>
        <v/>
      </c>
      <c r="EE3">
        <f>1-'計算A'!AG$7</f>
        <v/>
      </c>
      <c r="EF3">
        <f>1-'計算A'!AH$7</f>
        <v/>
      </c>
      <c r="EG3">
        <f>1-'計算A'!AI$7</f>
        <v/>
      </c>
      <c r="EH3">
        <f>1-'計算A'!AJ$7</f>
        <v/>
      </c>
      <c r="EI3">
        <f>1-'計算A'!AK$7</f>
        <v/>
      </c>
      <c r="EJ3">
        <f>1-'計算A'!AL$7</f>
        <v/>
      </c>
      <c r="EK3">
        <f>1-'計算A'!AM$7</f>
        <v/>
      </c>
      <c r="EL3">
        <f>1-'計算A'!AN$7</f>
        <v/>
      </c>
      <c r="EM3">
        <f>1-'計算A'!AO$7</f>
        <v/>
      </c>
      <c r="EN3">
        <f>1-'計算A'!AP$7</f>
        <v/>
      </c>
      <c r="EO3">
        <f>1-'計算A'!AQ$7</f>
        <v/>
      </c>
      <c r="EP3">
        <f>1-'計算A'!AR$7</f>
        <v/>
      </c>
      <c r="EQ3">
        <f>1-'計算A'!AS$7</f>
        <v/>
      </c>
      <c r="ER3">
        <f>1-'計算A'!AT$7</f>
        <v/>
      </c>
      <c r="ES3">
        <f>1-'計算A'!AU$7</f>
        <v/>
      </c>
      <c r="ET3">
        <f>1-'計算A'!AV$7</f>
        <v/>
      </c>
      <c r="EU3">
        <f>1-'計算A'!AW$7</f>
        <v/>
      </c>
      <c r="EV3">
        <f>1-'計算A'!AX$7</f>
        <v/>
      </c>
      <c r="EW3">
        <f>1-'計算A'!AY$7</f>
        <v/>
      </c>
      <c r="EX3">
        <f>1-'計算A'!AZ$7</f>
        <v/>
      </c>
      <c r="EY3">
        <f>1-'計算A'!BA$7</f>
        <v/>
      </c>
      <c r="EZ3">
        <f>1-'計算A'!BB$7</f>
        <v/>
      </c>
      <c r="FA3">
        <f>1-'計算A'!BC$7</f>
        <v/>
      </c>
      <c r="FB3">
        <f>1-'計算A'!BD$7</f>
        <v/>
      </c>
      <c r="FC3">
        <f>1-'計算A'!BE$7</f>
        <v/>
      </c>
      <c r="FD3">
        <f>1-'計算A'!BF$7</f>
        <v/>
      </c>
      <c r="FE3">
        <f>1-'計算A'!BG$7</f>
        <v/>
      </c>
      <c r="FF3">
        <f>1-'計算A'!BH$7</f>
        <v/>
      </c>
      <c r="FG3">
        <f>1-'計算A'!BI$7</f>
        <v/>
      </c>
      <c r="FH3">
        <f>1-'計算A'!BJ$7</f>
        <v/>
      </c>
      <c r="FI3">
        <f>1-'計算A'!BK$7</f>
        <v/>
      </c>
      <c r="FJ3">
        <f>1-'計算A'!BL$7</f>
        <v/>
      </c>
      <c r="FK3">
        <f>1-'計算A'!BM$7</f>
        <v/>
      </c>
      <c r="FL3">
        <f>1-'計算A'!BN$7</f>
        <v/>
      </c>
      <c r="FM3">
        <f>1-'計算A'!BO$7</f>
        <v/>
      </c>
      <c r="FN3">
        <f>1-'計算A'!BP$7</f>
        <v/>
      </c>
      <c r="FO3">
        <f>1-'計算A'!BQ$7</f>
        <v/>
      </c>
      <c r="FP3">
        <f>1-'計算A'!BR$7</f>
        <v/>
      </c>
      <c r="FQ3">
        <f>1-'計算A'!BS$7</f>
        <v/>
      </c>
      <c r="FR3">
        <f>1-'計算A'!BT$7</f>
        <v/>
      </c>
      <c r="FS3">
        <f>1-'計算A'!BU$7</f>
        <v/>
      </c>
      <c r="FT3">
        <f>1-'計算A'!BV$7</f>
        <v/>
      </c>
      <c r="FU3">
        <f>1-'計算A'!BW$7</f>
        <v/>
      </c>
      <c r="FV3">
        <f>1-'計算A'!BX$7</f>
        <v/>
      </c>
      <c r="FW3">
        <f>1-'計算A'!BY$7</f>
        <v/>
      </c>
      <c r="FX3">
        <f>1-'計算A'!BZ$7</f>
        <v/>
      </c>
      <c r="FY3">
        <f>1-'計算A'!CA$7</f>
        <v/>
      </c>
      <c r="FZ3">
        <f>1-'計算A'!CB$7</f>
        <v/>
      </c>
      <c r="GA3">
        <f>1-'計算A'!CC$7</f>
        <v/>
      </c>
      <c r="GB3">
        <f>1-'計算A'!CD$7</f>
        <v/>
      </c>
      <c r="GC3">
        <f>1-'計算A'!CE$7</f>
        <v/>
      </c>
      <c r="GD3">
        <f>1-'計算A'!CF$7</f>
        <v/>
      </c>
      <c r="GE3">
        <f>1-'計算A'!CG$7</f>
        <v/>
      </c>
      <c r="GF3">
        <f>1-'計算A'!CH$7</f>
        <v/>
      </c>
      <c r="GG3">
        <f>1-'計算A'!CI$7</f>
        <v/>
      </c>
      <c r="GH3">
        <f>1-'計算A'!CJ$7</f>
        <v/>
      </c>
      <c r="GI3">
        <f>1-'計算A'!CK$7</f>
        <v/>
      </c>
      <c r="GJ3">
        <f>1-'計算A'!CL$7</f>
        <v/>
      </c>
      <c r="GK3">
        <f>1-'計算A'!CM$7</f>
        <v/>
      </c>
      <c r="GL3">
        <f>1-'計算A'!CN$7</f>
        <v/>
      </c>
      <c r="GM3">
        <f>1-'計算A'!CO$7</f>
        <v/>
      </c>
      <c r="GN3">
        <f>1-'計算A'!CP$7</f>
        <v/>
      </c>
      <c r="GO3">
        <f>1-'計算A'!CQ$7</f>
        <v/>
      </c>
      <c r="GP3">
        <f>1-'計算A'!CR$7</f>
        <v/>
      </c>
      <c r="GQ3">
        <f>1-'計算A'!CS$7</f>
        <v/>
      </c>
      <c r="GR3">
        <f>1-'計算A'!CT$7</f>
        <v/>
      </c>
      <c r="GS3">
        <f>1-'計算A'!CU$7</f>
        <v/>
      </c>
      <c r="GT3">
        <f>1-'計算A'!CV$7</f>
        <v/>
      </c>
      <c r="GU3">
        <f>1-'計算A'!CW$7</f>
        <v/>
      </c>
      <c r="GV3">
        <f>1-'計算A'!CX$7</f>
        <v/>
      </c>
      <c r="GW3">
        <f>1-'計算A'!CY$7</f>
        <v/>
      </c>
      <c r="GX3">
        <f>1-'計算A'!CZ$7</f>
        <v/>
      </c>
      <c r="GY3">
        <f>1-'計算A'!DA$7</f>
        <v/>
      </c>
      <c r="GZ3">
        <f>1-'計算A'!DB$7</f>
        <v/>
      </c>
      <c r="HA3">
        <f>1-'計算A'!DC$7</f>
        <v/>
      </c>
      <c r="HB3">
        <f>1-'計算A'!DD$7</f>
        <v/>
      </c>
      <c r="HC3">
        <f>1-'計算A'!DE$7</f>
        <v/>
      </c>
      <c r="HD3">
        <f>1-'計算A'!DF$7</f>
        <v/>
      </c>
      <c r="HE3">
        <f>1-'計算A'!DG$7</f>
        <v/>
      </c>
      <c r="HF3">
        <f>1-'計算A'!DH$7</f>
        <v/>
      </c>
      <c r="HG3">
        <f>1-'計算A'!DI$7</f>
        <v/>
      </c>
      <c r="HH3">
        <f>1-'計算A'!DJ$7</f>
        <v/>
      </c>
      <c r="HI3">
        <f>1-'計算A'!DK$7</f>
        <v/>
      </c>
      <c r="HJ3">
        <f>1-'計算A'!DL$7</f>
        <v/>
      </c>
      <c r="HK3">
        <f>1-'計算A'!DM$7</f>
        <v/>
      </c>
      <c r="HL3">
        <f>1-'計算A'!DN$7</f>
        <v/>
      </c>
      <c r="HM3">
        <f>1-'計算A'!DO$7</f>
        <v/>
      </c>
      <c r="HN3">
        <f>1-'計算A'!DP$7</f>
        <v/>
      </c>
      <c r="HO3">
        <f>1-'計算A'!DQ$7</f>
        <v/>
      </c>
      <c r="HP3">
        <f>1-'計算A'!DR$7</f>
        <v/>
      </c>
      <c r="HQ3">
        <f>1-'計算A'!DS$7</f>
        <v/>
      </c>
      <c r="HR3">
        <f>1-'計算A'!DT$7</f>
        <v/>
      </c>
      <c r="HS3">
        <f>1-'計算A'!DU$7</f>
        <v/>
      </c>
      <c r="HT3">
        <f>1-'計算A'!DV$7</f>
        <v/>
      </c>
      <c r="HU3">
        <f>1-'計算A'!DW$7</f>
        <v/>
      </c>
      <c r="HV3">
        <f>1-'計算A'!DX$7</f>
        <v/>
      </c>
      <c r="HW3">
        <f>1-'計算A'!DY$7</f>
        <v/>
      </c>
      <c r="HX3">
        <f>1-'計算A'!DZ$7</f>
        <v/>
      </c>
      <c r="HY3">
        <f>1-'計算A'!EA$7</f>
        <v/>
      </c>
      <c r="HZ3">
        <f>1-'計算A'!EB$7</f>
        <v/>
      </c>
      <c r="IA3">
        <f>1-'計算A'!EC$7</f>
        <v/>
      </c>
      <c r="IB3">
        <f>1-'計算A'!ED$7</f>
        <v/>
      </c>
      <c r="IC3">
        <f>1-'計算A'!EE$7</f>
        <v/>
      </c>
      <c r="ID3">
        <f>1-'計算A'!EF$7</f>
        <v/>
      </c>
      <c r="IE3">
        <f>1-'計算A'!EG$7</f>
        <v/>
      </c>
      <c r="IF3">
        <f>1-'計算A'!EH$7</f>
        <v/>
      </c>
      <c r="IG3">
        <f>1-'計算A'!EI$7</f>
        <v/>
      </c>
      <c r="IH3">
        <f>1-'計算A'!EJ$7</f>
        <v/>
      </c>
      <c r="II3">
        <f>1-'計算A'!EK$7</f>
        <v/>
      </c>
      <c r="IJ3">
        <f>1-'計算A'!EL$7</f>
        <v/>
      </c>
      <c r="IK3">
        <f>1-'計算A'!EM$7</f>
        <v/>
      </c>
      <c r="IL3">
        <f>1-'計算A'!EN$7</f>
        <v/>
      </c>
      <c r="IM3">
        <f>1-'計算A'!EO$7</f>
        <v/>
      </c>
      <c r="IN3">
        <f>1-'計算A'!EP$7</f>
        <v/>
      </c>
      <c r="IO3">
        <f>1-'計算A'!EQ$7</f>
        <v/>
      </c>
      <c r="IQ3">
        <f>IF('計算A'!D$106=1,DC3,1)</f>
        <v/>
      </c>
      <c r="IR3">
        <f>IF('計算A'!E$106=1,DD3,1)</f>
        <v/>
      </c>
      <c r="IS3">
        <f>IF('計算A'!F$106=1,DE3,1)</f>
        <v/>
      </c>
      <c r="IT3">
        <f>IF('計算A'!G$106=1,DF3,1)</f>
        <v/>
      </c>
      <c r="IU3">
        <f>IF('計算A'!H$106=1,DG3,1)</f>
        <v/>
      </c>
      <c r="IV3">
        <f>IF('計算A'!I$106=1,DH3,1)</f>
        <v/>
      </c>
      <c r="IW3">
        <f>IF('計算A'!J$106=1,DI3,1)</f>
        <v/>
      </c>
      <c r="IX3">
        <f>IF('計算A'!K$106=1,DJ3,1)</f>
        <v/>
      </c>
      <c r="IY3">
        <f>IF('計算A'!L$106=1,DK3,1)</f>
        <v/>
      </c>
      <c r="IZ3">
        <f>IF('計算A'!M$106=1,DL3,1)</f>
        <v/>
      </c>
      <c r="JA3">
        <f>IF('計算A'!N$106=1,DM3,1)</f>
        <v/>
      </c>
      <c r="JB3">
        <f>IF('計算A'!O$106=1,DN3,1)</f>
        <v/>
      </c>
      <c r="JC3">
        <f>IF('計算A'!P$106=1,DO3,1)</f>
        <v/>
      </c>
      <c r="JD3">
        <f>IF('計算A'!Q$106=1,DP3,1)</f>
        <v/>
      </c>
      <c r="JE3">
        <f>IF('計算A'!R$106=1,DQ3,1)</f>
        <v/>
      </c>
      <c r="JF3">
        <f>IF('計算A'!S$106=1,DR3,1)</f>
        <v/>
      </c>
      <c r="JG3">
        <f>IF('計算A'!T$106=1,DS3,1)</f>
        <v/>
      </c>
      <c r="JH3">
        <f>IF('計算A'!U$106=1,DT3,1)</f>
        <v/>
      </c>
      <c r="JI3">
        <f>IF('計算A'!V$106=1,DU3,1)</f>
        <v/>
      </c>
      <c r="JJ3">
        <f>IF('計算A'!W$106=1,DV3,1)</f>
        <v/>
      </c>
      <c r="JK3">
        <f>IF('計算A'!X$106=1,DW3,1)</f>
        <v/>
      </c>
      <c r="JL3">
        <f>IF('計算A'!Y$106=1,DX3,1)</f>
        <v/>
      </c>
      <c r="JM3">
        <f>IF('計算A'!Z$106=1,DY3,1)</f>
        <v/>
      </c>
      <c r="JN3">
        <f>IF('計算A'!AA$106=1,DZ3,1)</f>
        <v/>
      </c>
      <c r="JO3">
        <f>IF('計算A'!AB$106=1,EA3,1)</f>
        <v/>
      </c>
      <c r="JP3">
        <f>IF('計算A'!AC$106=1,EB3,1)</f>
        <v/>
      </c>
      <c r="JQ3">
        <f>IF('計算A'!AD$106=1,EC3,1)</f>
        <v/>
      </c>
      <c r="JR3">
        <f>IF('計算A'!AE$106=1,ED3,1)</f>
        <v/>
      </c>
      <c r="JS3">
        <f>IF('計算A'!AF$106=1,EE3,1)</f>
        <v/>
      </c>
      <c r="JT3">
        <f>IF('計算A'!AG$106=1,EF3,1)</f>
        <v/>
      </c>
      <c r="JU3">
        <f>IF('計算A'!AH$106=1,EG3,1)</f>
        <v/>
      </c>
      <c r="JV3">
        <f>IF('計算A'!AI$106=1,EH3,1)</f>
        <v/>
      </c>
      <c r="JW3">
        <f>IF('計算A'!AJ$106=1,EI3,1)</f>
        <v/>
      </c>
      <c r="JX3">
        <f>IF('計算A'!AK$106=1,EJ3,1)</f>
        <v/>
      </c>
      <c r="JY3">
        <f>IF('計算A'!AL$106=1,EK3,1)</f>
        <v/>
      </c>
      <c r="JZ3">
        <f>IF('計算A'!AM$106=1,EL3,1)</f>
        <v/>
      </c>
      <c r="KA3">
        <f>IF('計算A'!AN$106=1,EM3,1)</f>
        <v/>
      </c>
      <c r="KB3">
        <f>IF('計算A'!AO$106=1,EN3,1)</f>
        <v/>
      </c>
      <c r="KC3">
        <f>IF('計算A'!AP$106=1,EO3,1)</f>
        <v/>
      </c>
      <c r="KD3">
        <f>IF('計算A'!AQ$106=1,EP3,1)</f>
        <v/>
      </c>
      <c r="KE3">
        <f>IF('計算A'!AR$106=1,EQ3,1)</f>
        <v/>
      </c>
      <c r="KF3">
        <f>IF('計算A'!AS$106=1,ER3,1)</f>
        <v/>
      </c>
      <c r="KG3">
        <f>IF('計算A'!AT$106=1,ES3,1)</f>
        <v/>
      </c>
      <c r="KH3">
        <f>IF('計算A'!AU$106=1,ET3,1)</f>
        <v/>
      </c>
      <c r="KI3">
        <f>IF('計算A'!AV$106=1,EU3,1)</f>
        <v/>
      </c>
      <c r="KJ3">
        <f>IF('計算A'!AW$106=1,EV3,1)</f>
        <v/>
      </c>
      <c r="KK3">
        <f>IF('計算A'!AX$106=1,EW3,1)</f>
        <v/>
      </c>
      <c r="KL3">
        <f>IF('計算A'!AY$106=1,EX3,1)</f>
        <v/>
      </c>
      <c r="KM3">
        <f>IF('計算A'!AZ$106=1,EY3,1)</f>
        <v/>
      </c>
      <c r="KN3">
        <f>IF('計算A'!BA$106=1,EZ3,1)</f>
        <v/>
      </c>
      <c r="KO3">
        <f>IF('計算A'!BB$106=1,FA3,1)</f>
        <v/>
      </c>
      <c r="KP3">
        <f>IF('計算A'!BC$106=1,FB3,1)</f>
        <v/>
      </c>
      <c r="KQ3">
        <f>IF('計算A'!BD$106=1,FC3,1)</f>
        <v/>
      </c>
      <c r="KR3">
        <f>IF('計算A'!BE$106=1,FD3,1)</f>
        <v/>
      </c>
      <c r="KS3">
        <f>IF('計算A'!BF$106=1,FE3,1)</f>
        <v/>
      </c>
      <c r="KT3">
        <f>IF('計算A'!BG$106=1,FF3,1)</f>
        <v/>
      </c>
      <c r="KU3">
        <f>IF('計算A'!BH$106=1,FG3,1)</f>
        <v/>
      </c>
      <c r="KV3">
        <f>IF('計算A'!BI$106=1,FH3,1)</f>
        <v/>
      </c>
      <c r="KW3">
        <f>IF('計算A'!BJ$106=1,FI3,1)</f>
        <v/>
      </c>
      <c r="KX3">
        <f>IF('計算A'!BK$106=1,FJ3,1)</f>
        <v/>
      </c>
      <c r="KY3">
        <f>IF('計算A'!BL$106=1,FK3,1)</f>
        <v/>
      </c>
      <c r="KZ3">
        <f>IF('計算A'!BM$106=1,FL3,1)</f>
        <v/>
      </c>
      <c r="LA3">
        <f>IF('計算A'!BN$106=1,FM3,1)</f>
        <v/>
      </c>
      <c r="LB3">
        <f>IF('計算A'!BO$106=1,FN3,1)</f>
        <v/>
      </c>
      <c r="LC3">
        <f>IF('計算A'!BP$106=1,FO3,1)</f>
        <v/>
      </c>
      <c r="LD3">
        <f>IF('計算A'!BQ$106=1,FP3,1)</f>
        <v/>
      </c>
      <c r="LE3">
        <f>IF('計算A'!BR$106=1,FQ3,1)</f>
        <v/>
      </c>
      <c r="LF3">
        <f>IF('計算A'!BS$106=1,FR3,1)</f>
        <v/>
      </c>
      <c r="LG3">
        <f>IF('計算A'!BT$106=1,FS3,1)</f>
        <v/>
      </c>
      <c r="LH3">
        <f>IF('計算A'!BU$106=1,FT3,1)</f>
        <v/>
      </c>
      <c r="LI3">
        <f>IF('計算A'!BV$106=1,FU3,1)</f>
        <v/>
      </c>
      <c r="LJ3">
        <f>IF('計算A'!BW$106=1,FV3,1)</f>
        <v/>
      </c>
      <c r="LK3">
        <f>IF('計算A'!BX$106=1,FW3,1)</f>
        <v/>
      </c>
      <c r="LL3">
        <f>IF('計算A'!BY$106=1,FX3,1)</f>
        <v/>
      </c>
      <c r="LM3">
        <f>IF('計算A'!BZ$106=1,FY3,1)</f>
        <v/>
      </c>
      <c r="LN3">
        <f>IF('計算A'!CA$106=1,FZ3,1)</f>
        <v/>
      </c>
      <c r="LO3">
        <f>IF('計算A'!CB$106=1,GA3,1)</f>
        <v/>
      </c>
      <c r="LP3">
        <f>IF('計算A'!CC$106=1,GB3,1)</f>
        <v/>
      </c>
      <c r="LQ3">
        <f>IF('計算A'!CD$106=1,GC3,1)</f>
        <v/>
      </c>
      <c r="LR3">
        <f>IF('計算A'!CE$106=1,GD3,1)</f>
        <v/>
      </c>
      <c r="LS3">
        <f>IF('計算A'!CF$106=1,GE3,1)</f>
        <v/>
      </c>
      <c r="LT3">
        <f>IF('計算A'!CG$106=1,GF3,1)</f>
        <v/>
      </c>
      <c r="LU3">
        <f>IF('計算A'!CH$106=1,GG3,1)</f>
        <v/>
      </c>
      <c r="LV3">
        <f>IF('計算A'!CI$106=1,GH3,1)</f>
        <v/>
      </c>
      <c r="LW3">
        <f>IF('計算A'!CJ$106=1,GI3,1)</f>
        <v/>
      </c>
      <c r="LX3">
        <f>IF('計算A'!CK$106=1,GJ3,1)</f>
        <v/>
      </c>
      <c r="LY3">
        <f>IF('計算A'!CL$106=1,GK3,1)</f>
        <v/>
      </c>
      <c r="LZ3">
        <f>IF('計算A'!CM$106=1,GL3,1)</f>
        <v/>
      </c>
      <c r="MA3">
        <f>IF('計算A'!CN$106=1,GM3,1)</f>
        <v/>
      </c>
      <c r="MB3">
        <f>IF('計算A'!CO$106=1,GN3,1)</f>
        <v/>
      </c>
      <c r="MC3">
        <f>IF('計算A'!CP$106=1,GO3,1)</f>
        <v/>
      </c>
      <c r="MD3">
        <f>IF('計算A'!CQ$106=1,GP3,1)</f>
        <v/>
      </c>
      <c r="ME3">
        <f>IF('計算A'!CR$106=1,GQ3,1)</f>
        <v/>
      </c>
      <c r="MF3">
        <f>IF('計算A'!CS$106=1,GR3,1)</f>
        <v/>
      </c>
      <c r="MG3">
        <f>IF('計算A'!CT$106=1,GS3,1)</f>
        <v/>
      </c>
      <c r="MH3">
        <f>IF('計算A'!CU$106=1,GT3,1)</f>
        <v/>
      </c>
      <c r="MI3">
        <f>IF('計算A'!CV$106=1,GU3,1)</f>
        <v/>
      </c>
      <c r="MJ3">
        <f>IF('計算A'!CW$106=1,GV3,1)</f>
        <v/>
      </c>
      <c r="MK3">
        <f>IF('計算A'!CX$106=1,GW3,1)</f>
        <v/>
      </c>
      <c r="ML3">
        <f>IF('計算A'!CY$106=1,GX3,1)</f>
        <v/>
      </c>
      <c r="MM3">
        <f>IF('計算A'!CZ$106=1,GY3,1)</f>
        <v/>
      </c>
      <c r="MN3">
        <f>IF('計算A'!DA$106=1,GZ3,1)</f>
        <v/>
      </c>
      <c r="MO3">
        <f>IF('計算A'!DB$106=1,HA3,1)</f>
        <v/>
      </c>
      <c r="MP3">
        <f>IF('計算A'!DC$106=1,HB3,1)</f>
        <v/>
      </c>
      <c r="MQ3">
        <f>IF('計算A'!DD$106=1,HC3,1)</f>
        <v/>
      </c>
      <c r="MR3">
        <f>IF('計算A'!DE$106=1,HD3,1)</f>
        <v/>
      </c>
      <c r="MS3">
        <f>IF('計算A'!DF$106=1,HE3,1)</f>
        <v/>
      </c>
      <c r="MT3">
        <f>IF('計算A'!DG$106=1,HF3,1)</f>
        <v/>
      </c>
      <c r="MU3">
        <f>IF('計算A'!DH$106=1,HG3,1)</f>
        <v/>
      </c>
      <c r="MV3">
        <f>IF('計算A'!DI$106=1,HH3,1)</f>
        <v/>
      </c>
      <c r="MW3">
        <f>IF('計算A'!DJ$106=1,HI3,1)</f>
        <v/>
      </c>
      <c r="MX3">
        <f>IF('計算A'!DK$106=1,HJ3,1)</f>
        <v/>
      </c>
      <c r="MY3">
        <f>IF('計算A'!DL$106=1,HK3,1)</f>
        <v/>
      </c>
      <c r="MZ3">
        <f>IF('計算A'!DM$106=1,HL3,1)</f>
        <v/>
      </c>
      <c r="NA3">
        <f>IF('計算A'!DN$106=1,HM3,1)</f>
        <v/>
      </c>
      <c r="NB3">
        <f>IF('計算A'!DO$106=1,HN3,1)</f>
        <v/>
      </c>
      <c r="NC3">
        <f>IF('計算A'!DP$106=1,HO3,1)</f>
        <v/>
      </c>
      <c r="ND3">
        <f>IF('計算A'!DQ$106=1,HP3,1)</f>
        <v/>
      </c>
      <c r="NE3">
        <f>IF('計算A'!DR$106=1,HQ3,1)</f>
        <v/>
      </c>
      <c r="NF3">
        <f>IF('計算A'!DS$106=1,HR3,1)</f>
        <v/>
      </c>
      <c r="NG3">
        <f>IF('計算A'!DT$106=1,HS3,1)</f>
        <v/>
      </c>
      <c r="NH3">
        <f>IF('計算A'!DU$106=1,HT3,1)</f>
        <v/>
      </c>
      <c r="NI3">
        <f>IF('計算A'!DV$106=1,HU3,1)</f>
        <v/>
      </c>
      <c r="NJ3">
        <f>IF('計算A'!DW$106=1,HV3,1)</f>
        <v/>
      </c>
      <c r="NK3">
        <f>IF('計算A'!DX$106=1,HW3,1)</f>
        <v/>
      </c>
      <c r="NL3">
        <f>IF('計算A'!DY$106=1,HX3,1)</f>
        <v/>
      </c>
      <c r="NM3">
        <f>IF('計算A'!DZ$106=1,HY3,1)</f>
        <v/>
      </c>
      <c r="NN3">
        <f>IF('計算A'!EA$106=1,HZ3,1)</f>
        <v/>
      </c>
      <c r="NO3">
        <f>IF('計算A'!EB$106=1,IA3,1)</f>
        <v/>
      </c>
      <c r="NP3">
        <f>IF('計算A'!EC$106=1,IB3,1)</f>
        <v/>
      </c>
      <c r="NQ3">
        <f>IF('計算A'!ED$106=1,IC3,1)</f>
        <v/>
      </c>
      <c r="NR3">
        <f>IF('計算A'!EE$106=1,ID3,1)</f>
        <v/>
      </c>
      <c r="NS3">
        <f>IF('計算A'!EF$106=1,IE3,1)</f>
        <v/>
      </c>
      <c r="NT3">
        <f>IF('計算A'!EG$106=1,IF3,1)</f>
        <v/>
      </c>
      <c r="NU3">
        <f>IF('計算A'!EH$106=1,IG3,1)</f>
        <v/>
      </c>
      <c r="NV3">
        <f>IF('計算A'!EI$106=1,IH3,1)</f>
        <v/>
      </c>
      <c r="NW3">
        <f>IF('計算A'!EJ$106=1,II3,1)</f>
        <v/>
      </c>
      <c r="NX3">
        <f>IF('計算A'!EK$106=1,IJ3,1)</f>
        <v/>
      </c>
      <c r="NY3">
        <f>IF('計算A'!EL$106=1,IK3,1)</f>
        <v/>
      </c>
      <c r="NZ3">
        <f>IF('計算A'!EM$106=1,IL3,1)</f>
        <v/>
      </c>
      <c r="OA3">
        <f>IF('計算A'!EN$106=1,IM3,1)</f>
        <v/>
      </c>
      <c r="OB3">
        <f>IF('計算A'!EO$106=1,IN3,1)</f>
        <v/>
      </c>
      <c r="OC3">
        <f>IF('計算A'!EP$106=1,IO3,1)</f>
        <v/>
      </c>
      <c r="OD3" t="n">
        <v>1</v>
      </c>
      <c r="OF3">
        <f>IF($B3=0,1000000,IF(INDEX('計算A'!$D$60:$EQ$104,$B3,1)*DB3=1,IF(AND($E3=2,IQ3=0),1000000,IF($I3&gt;0,IF(1=$J3,IF(OR(AND(1=$I3+1,OR($K3&lt;&gt;'計算A'!$A$3,'計算A'!$A$4=0)),AND(1=$I3-1,OR(1&lt;&gt;'計算A'!$A$3,'計算A'!$A$4=0))),0,IF(1=$K3,200000,ABS(1-$K3)*100)),100000+ABS(1-$J3)*1000+10)+'計算A'!D$5*50+IF(AND($E3=1,IQ3=0),25,0),IF($F3&gt;0,INDEX('計算A'!D$110:D$114,$F3+1)+IF(AND($E3=1,IQ3=0),1000,0),MIN(TU3,20)*400+(IF('計算A'!D$106=1,1-DC3,0))*150+11+'計算A'!D$5*100000+IF(AND($E3=1,IQ3=0),50000,0))+IF($H3=1,(IF('計算A'!D$117=1,INDEX('計算A'!E$10:E$54,$B3),0))*4000,0)-IF(AND($L3=1,'計算A'!D$117=1,DC3=0),2000,0))),1000000))</f>
        <v/>
      </c>
      <c r="OG3">
        <f>IF($B3=0,1000000,IF(INDEX('計算A'!$D$60:$EQ$104,$B3,2)*DC3=1,IF(AND($E3=2,IR3=0),1000000,IF($I3&gt;0,IF(1=$J3,IF(OR(AND(2=$I3+1,OR($K3&lt;&gt;'計算A'!$A$3,'計算A'!$A$4=0)),AND(2=$I3-1,OR(2&lt;&gt;'計算A'!$A$3,'計算A'!$A$4=0))),0,IF(2=$K3,200000,ABS(2-$K3)*100)),100000+ABS(1-$J3)*1000+20)+'計算A'!E$5*50+IF(AND($E3=1,IR3=0),25,0),IF($F3&gt;0,INDEX('計算A'!E$110:E$114,$F3+1)+IF(AND($E3=1,IR3=0),1000,0),MIN(TU3,20)*400+(IF('計算A'!D$106=1,1-DB3,0)+IF('計算A'!E$106=1,1-DD3,0))*150+21+'計算A'!E$5*100000+IF(AND($E3=1,IR3=0),50000,0))+IF($H3=1,(IF('計算A'!D$117=1,INDEX('計算A'!D$10:D$54,$B3),0)+IF('計算A'!E$117=1,INDEX('計算A'!F$10:F$54,$B3),0))*4000,0)-IF(AND('計算A'!D$117=1,UB3&gt;0),2000,0)-IF(AND($L3=1,'計算A'!E$117=1,DD3=0),2000,0))),1000000))</f>
        <v/>
      </c>
      <c r="OH3">
        <f>IF($B3=0,1000000,IF(INDEX('計算A'!$D$60:$EQ$104,$B3,3)*DD3=1,IF(AND($E3=2,IS3=0),1000000,IF($I3&gt;0,IF(1=$J3,IF(OR(AND(3=$I3+1,OR($K3&lt;&gt;'計算A'!$A$3,'計算A'!$A$4=0)),AND(3=$I3-1,OR(3&lt;&gt;'計算A'!$A$3,'計算A'!$A$4=0))),0,IF(3=$K3,200000,ABS(3-$K3)*100)),100000+ABS(1-$J3)*1000+30)+'計算A'!F$5*50+IF(AND($E3=1,IS3=0),25,0),IF($F3&gt;0,INDEX('計算A'!F$110:F$114,$F3+1)+IF(AND($E3=1,IS3=0),1000,0),MIN(TU3,20)*400+(IF('計算A'!E$106=1,1-DC3,0)+IF('計算A'!F$106=1,1-DE3,0))*150+31+'計算A'!F$5*100000+IF(AND($E3=1,IS3=0),50000,0))+IF($H3=1,(IF('計算A'!E$117=1,INDEX('計算A'!E$10:E$54,$B3),0)+IF('計算A'!F$117=1,INDEX('計算A'!G$10:G$54,$B3),0))*4000,0)-IF(AND('計算A'!E$117=1,UC3&gt;0),2000,0)-IF(AND($L3=1,'計算A'!F$117=1,DE3=0),2000,0))),1000000))</f>
        <v/>
      </c>
      <c r="OI3">
        <f>IF($B3=0,1000000,IF(INDEX('計算A'!$D$60:$EQ$104,$B3,4)*DE3=1,IF(AND($E3=2,IT3=0),1000000,IF($I3&gt;0,IF(1=$J3,IF(OR(AND(4=$I3+1,OR($K3&lt;&gt;'計算A'!$A$3,'計算A'!$A$4=0)),AND(4=$I3-1,OR(4&lt;&gt;'計算A'!$A$3,'計算A'!$A$4=0))),0,IF(4=$K3,200000,ABS(4-$K3)*100)),100000+ABS(1-$J3)*1000+40)+'計算A'!G$5*50+IF(AND($E3=1,IT3=0),25,0),IF($F3&gt;0,INDEX('計算A'!G$110:G$114,$F3+1)+IF(AND($E3=1,IT3=0),1000,0),MIN(TU3,20)*400+(IF('計算A'!F$106=1,1-DD3,0)+IF('計算A'!G$106=1,1-DF3,0))*150+41+'計算A'!G$5*100000+IF(AND($E3=1,IT3=0),50000,0))+IF($H3=1,(IF('計算A'!F$117=1,INDEX('計算A'!F$10:F$54,$B3),0)+IF('計算A'!G$117=1,INDEX('計算A'!H$10:H$54,$B3),0))*4000,0)-IF(AND('計算A'!F$117=1,UD3&gt;0),2000,0)-IF(AND($L3=1,'計算A'!G$117=1,DF3=0),2000,0))),1000000))</f>
        <v/>
      </c>
      <c r="OJ3">
        <f>IF($B3=0,1000000,IF(INDEX('計算A'!$D$60:$EQ$104,$B3,5)*DF3=1,IF(AND($E3=2,IU3=0),1000000,IF($I3&gt;0,IF(1=$J3,IF(OR(AND(5=$I3+1,OR($K3&lt;&gt;'計算A'!$A$3,'計算A'!$A$4=0)),AND(5=$I3-1,OR(5&lt;&gt;'計算A'!$A$3,'計算A'!$A$4=0))),0,IF(5=$K3,200000,ABS(5-$K3)*100)),100000+ABS(1-$J3)*1000+50)+'計算A'!H$5*50+IF(AND($E3=1,IU3=0),25,0),IF($F3&gt;0,INDEX('計算A'!H$110:H$114,$F3+1)+IF(AND($E3=1,IU3=0),1000,0),MIN(TU3,20)*400+(IF('計算A'!G$106=1,1-DE3,0)+IF('計算A'!H$106=1,1-DG3,0))*150+51+'計算A'!H$5*100000+IF(AND($E3=1,IU3=0),50000,0))+IF($H3=1,(IF('計算A'!G$117=1,INDEX('計算A'!G$10:G$54,$B3),0)+IF('計算A'!H$117=1,INDEX('計算A'!I$10:I$54,$B3),0))*4000,0)-IF(AND('計算A'!G$117=1,UE3&gt;0),2000,0)-IF(AND($L3=1,'計算A'!H$117=1,DG3=0),2000,0))),1000000))</f>
        <v/>
      </c>
      <c r="OK3">
        <f>IF($B3=0,1000000,IF(INDEX('計算A'!$D$60:$EQ$104,$B3,6)*DG3=1,IF(AND($E3=2,IV3=0),1000000,IF($I3&gt;0,IF(1=$J3,IF(OR(AND(6=$I3+1,OR($K3&lt;&gt;'計算A'!$A$3,'計算A'!$A$4=0)),AND(6=$I3-1,OR(6&lt;&gt;'計算A'!$A$3,'計算A'!$A$4=0))),0,IF(6=$K3,200000,ABS(6-$K3)*100)),100000+ABS(1-$J3)*1000+60)+'計算A'!I$5*50+IF(AND($E3=1,IV3=0),25,0),IF($F3&gt;0,INDEX('計算A'!I$110:I$114,$F3+1)+IF(AND($E3=1,IV3=0),1000,0),MIN(TU3,20)*400+(IF('計算A'!H$106=1,1-DF3,0)+IF('計算A'!I$106=1,1-DH3,0))*150+61+'計算A'!I$5*100000+IF(AND($E3=1,IV3=0),50000,0))+IF($H3=1,(IF('計算A'!H$117=1,INDEX('計算A'!H$10:H$54,$B3),0)+IF('計算A'!I$117=1,INDEX('計算A'!J$10:J$54,$B3),0))*4000,0)-IF(AND('計算A'!H$117=1,UF3&gt;0),2000,0)-IF(AND($L3=1,'計算A'!I$117=1,DH3=0),2000,0))),1000000))</f>
        <v/>
      </c>
      <c r="OL3">
        <f>IF($B3=0,1000000,IF(INDEX('計算A'!$D$60:$EQ$104,$B3,7)*DH3=1,IF(AND($E3=2,IW3=0),1000000,IF($I3&gt;0,IF(1=$J3,IF(OR(AND(7=$I3+1,OR($K3&lt;&gt;'計算A'!$A$3,'計算A'!$A$4=0)),AND(7=$I3-1,OR(7&lt;&gt;'計算A'!$A$3,'計算A'!$A$4=0))),0,IF(7=$K3,200000,ABS(7-$K3)*100)),100000+ABS(1-$J3)*1000+70)+'計算A'!J$5*50+IF(AND($E3=1,IW3=0),25,0),IF($F3&gt;0,INDEX('計算A'!J$110:J$114,$F3+1)+IF(AND($E3=1,IW3=0),1000,0),MIN(TU3,20)*400+(IF('計算A'!I$106=1,1-DG3,0)+IF('計算A'!J$106=1,1-DI3,0))*150+71+'計算A'!J$5*100000+IF(AND($E3=1,IW3=0),50000,0))+IF($H3=1,(IF('計算A'!I$117=1,INDEX('計算A'!I$10:I$54,$B3),0)+IF('計算A'!J$117=1,INDEX('計算A'!K$10:K$54,$B3),0))*4000,0)-IF(AND('計算A'!I$117=1,UG3&gt;0),2000,0)-IF(AND($L3=1,'計算A'!J$117=1,DI3=0),2000,0))),1000000))</f>
        <v/>
      </c>
      <c r="OM3">
        <f>IF($B3=0,1000000,IF(INDEX('計算A'!$D$60:$EQ$104,$B3,8)*DI3=1,IF(AND($E3=2,IX3=0),1000000,IF($I3&gt;0,IF(1=$J3,IF(OR(AND(8=$I3+1,OR($K3&lt;&gt;'計算A'!$A$3,'計算A'!$A$4=0)),AND(8=$I3-1,OR(8&lt;&gt;'計算A'!$A$3,'計算A'!$A$4=0))),0,IF(8=$K3,200000,ABS(8-$K3)*100)),100000+ABS(1-$J3)*1000+80)+'計算A'!K$5*50+IF(AND($E3=1,IX3=0),25,0),IF($F3&gt;0,INDEX('計算A'!K$110:K$114,$F3+1)+IF(AND($E3=1,IX3=0),1000,0),MIN(TU3,20)*400+(IF('計算A'!J$106=1,1-DH3,0)+IF('計算A'!K$106=1,1-DJ3,0))*150+81+'計算A'!K$5*100000+IF(AND($E3=1,IX3=0),50000,0))+IF($H3=1,(IF('計算A'!J$117=1,INDEX('計算A'!J$10:J$54,$B3),0)+IF('計算A'!K$117=1,INDEX('計算A'!L$10:L$54,$B3),0))*4000,0)-IF(AND('計算A'!J$117=1,UH3&gt;0),2000,0)-IF(AND($L3=1,'計算A'!K$117=1,DJ3=0),2000,0))),1000000))</f>
        <v/>
      </c>
      <c r="ON3">
        <f>IF($B3=0,1000000,IF(INDEX('計算A'!$D$60:$EQ$104,$B3,9)*DJ3=1,IF(AND($E3=2,IY3=0),1000000,IF($I3&gt;0,IF(1=$J3,IF(OR(AND(9=$I3+1,OR($K3&lt;&gt;'計算A'!$A$3,'計算A'!$A$4=0)),AND(9=$I3-1,OR(9&lt;&gt;'計算A'!$A$3,'計算A'!$A$4=0))),0,IF(9=$K3,200000,ABS(9-$K3)*100)),100000+ABS(1-$J3)*1000+90)+'計算A'!L$5*50+IF(AND($E3=1,IY3=0),25,0),IF($F3&gt;0,INDEX('計算A'!L$110:L$114,$F3+1)+IF(AND($E3=1,IY3=0),1000,0),MIN(TU3,20)*400+(IF('計算A'!K$106=1,1-DI3,0)+IF('計算A'!L$106=1,1-DK3,0))*150+91+'計算A'!L$5*100000+IF(AND($E3=1,IY3=0),50000,0))+IF($H3=1,(IF('計算A'!K$117=1,INDEX('計算A'!K$10:K$54,$B3),0)+IF('計算A'!L$117=1,INDEX('計算A'!M$10:M$54,$B3),0))*4000,0)-IF(AND('計算A'!K$117=1,UI3&gt;0),2000,0)-IF(AND($L3=1,'計算A'!L$117=1,DK3=0),2000,0))),1000000))</f>
        <v/>
      </c>
      <c r="OO3">
        <f>IF($B3=0,1000000,IF(INDEX('計算A'!$D$60:$EQ$104,$B3,10)*DK3=1,IF(AND($E3=2,IZ3=0),1000000,IF($I3&gt;0,IF(1=$J3,IF(OR(AND(10=$I3+1,OR($K3&lt;&gt;'計算A'!$A$3,'計算A'!$A$4=0)),AND(10=$I3-1,OR(10&lt;&gt;'計算A'!$A$3,'計算A'!$A$4=0))),0,IF(10=$K3,200000,ABS(10-$K3)*100)),100000+ABS(1-$J3)*1000+100)+'計算A'!M$5*50+IF(AND($E3=1,IZ3=0),25,0),IF($F3&gt;0,INDEX('計算A'!M$110:M$114,$F3+1)+IF(AND($E3=1,IZ3=0),1000,0),MIN(TU3,20)*400+(IF('計算A'!L$106=1,1-DJ3,0)+IF('計算A'!M$106=1,1-DL3,0))*150+101+'計算A'!M$5*100000+IF(AND($E3=1,IZ3=0),50000,0))+IF($H3=1,(IF('計算A'!L$117=1,INDEX('計算A'!L$10:L$54,$B3),0)+IF('計算A'!M$117=1,INDEX('計算A'!N$10:N$54,$B3),0))*4000,0)-IF(AND('計算A'!L$117=1,UJ3&gt;0),2000,0)-IF(AND($L3=1,'計算A'!M$117=1,DL3=0),2000,0))),1000000))</f>
        <v/>
      </c>
      <c r="OP3">
        <f>IF($B3=0,1000000,IF(INDEX('計算A'!$D$60:$EQ$104,$B3,11)*DL3=1,IF(AND($E3=2,JA3=0),1000000,IF($I3&gt;0,IF(1=$J3,IF(OR(AND(11=$I3+1,OR($K3&lt;&gt;'計算A'!$A$3,'計算A'!$A$4=0)),AND(11=$I3-1,OR(11&lt;&gt;'計算A'!$A$3,'計算A'!$A$4=0))),0,IF(11=$K3,200000,ABS(11-$K3)*100)),100000+ABS(1-$J3)*1000+110)+'計算A'!N$5*50+IF(AND($E3=1,JA3=0),25,0),IF($F3&gt;0,INDEX('計算A'!N$110:N$114,$F3+1)+IF(AND($E3=1,JA3=0),1000,0),MIN(TU3,20)*400+(IF('計算A'!M$106=1,1-DK3,0)+IF('計算A'!N$106=1,1-DM3,0))*150+111+'計算A'!N$5*100000+IF(AND($E3=1,JA3=0),50000,0))+IF($H3=1,(IF('計算A'!M$117=1,INDEX('計算A'!M$10:M$54,$B3),0)+IF('計算A'!N$117=1,INDEX('計算A'!O$10:O$54,$B3),0))*4000,0)-IF(AND('計算A'!M$117=1,UK3&gt;0),2000,0)-IF(AND($L3=1,'計算A'!N$117=1,DM3=0),2000,0))),1000000))</f>
        <v/>
      </c>
      <c r="OQ3">
        <f>IF($B3=0,1000000,IF(INDEX('計算A'!$D$60:$EQ$104,$B3,12)*DM3=1,IF(AND($E3=2,JB3=0),1000000,IF($I3&gt;0,IF(1=$J3,IF(OR(AND(12=$I3+1,OR($K3&lt;&gt;'計算A'!$A$3,'計算A'!$A$4=0)),AND(12=$I3-1,OR(12&lt;&gt;'計算A'!$A$3,'計算A'!$A$4=0))),0,IF(12=$K3,200000,ABS(12-$K3)*100)),100000+ABS(1-$J3)*1000+120)+'計算A'!O$5*50+IF(AND($E3=1,JB3=0),25,0),IF($F3&gt;0,INDEX('計算A'!O$110:O$114,$F3+1)+IF(AND($E3=1,JB3=0),1000,0),MIN(TU3,20)*400+(IF('計算A'!N$106=1,1-DL3,0)+IF('計算A'!O$106=1,1-DN3,0))*150+121+'計算A'!O$5*100000+IF(AND($E3=1,JB3=0),50000,0))+IF($H3=1,(IF('計算A'!N$117=1,INDEX('計算A'!N$10:N$54,$B3),0)+IF('計算A'!O$117=1,INDEX('計算A'!P$10:P$54,$B3),0))*4000,0)-IF(AND('計算A'!N$117=1,UL3&gt;0),2000,0)-IF(AND($L3=1,'計算A'!O$117=1,DN3=0),2000,0))),1000000))</f>
        <v/>
      </c>
      <c r="OR3">
        <f>IF($B3=0,1000000,IF(INDEX('計算A'!$D$60:$EQ$104,$B3,13)*DN3=1,IF(AND($E3=2,JC3=0),1000000,IF($I3&gt;0,IF(1=$J3,IF(OR(AND(13=$I3+1,OR($K3&lt;&gt;'計算A'!$A$3,'計算A'!$A$4=0)),AND(13=$I3-1,OR(13&lt;&gt;'計算A'!$A$3,'計算A'!$A$4=0))),0,IF(13=$K3,200000,ABS(13-$K3)*100)),100000+ABS(1-$J3)*1000+130)+'計算A'!P$5*50+IF(AND($E3=1,JC3=0),25,0),IF($F3&gt;0,INDEX('計算A'!P$110:P$114,$F3+1)+IF(AND($E3=1,JC3=0),1000,0),MIN(TU3,20)*400+(IF('計算A'!O$106=1,1-DM3,0)+IF('計算A'!P$106=1,1-DO3,0))*150+131+'計算A'!P$5*100000+IF(AND($E3=1,JC3=0),50000,0))+IF($H3=1,(IF('計算A'!O$117=1,INDEX('計算A'!O$10:O$54,$B3),0)+IF('計算A'!P$117=1,INDEX('計算A'!Q$10:Q$54,$B3),0))*4000,0)-IF(AND('計算A'!O$117=1,UM3&gt;0),2000,0)-IF(AND($L3=1,'計算A'!P$117=1,DO3=0),2000,0))),1000000))</f>
        <v/>
      </c>
      <c r="OS3">
        <f>IF($B3=0,1000000,IF(INDEX('計算A'!$D$60:$EQ$104,$B3,14)*DO3=1,IF(AND($E3=2,JD3=0),1000000,IF($I3&gt;0,IF(1=$J3,IF(OR(AND(14=$I3+1,OR($K3&lt;&gt;'計算A'!$A$3,'計算A'!$A$4=0)),AND(14=$I3-1,OR(14&lt;&gt;'計算A'!$A$3,'計算A'!$A$4=0))),0,IF(14=$K3,200000,ABS(14-$K3)*100)),100000+ABS(1-$J3)*1000+140)+'計算A'!Q$5*50+IF(AND($E3=1,JD3=0),25,0),IF($F3&gt;0,INDEX('計算A'!Q$110:Q$114,$F3+1)+IF(AND($E3=1,JD3=0),1000,0),MIN(TU3,20)*400+(IF('計算A'!P$106=1,1-DN3,0)+IF('計算A'!Q$106=1,1-DP3,0))*150+141+'計算A'!Q$5*100000+IF(AND($E3=1,JD3=0),50000,0))+IF($H3=1,(IF('計算A'!P$117=1,INDEX('計算A'!P$10:P$54,$B3),0)+IF('計算A'!Q$117=1,INDEX('計算A'!R$10:R$54,$B3),0))*4000,0)-IF(AND('計算A'!P$117=1,UN3&gt;0),2000,0)-IF(AND($L3=1,'計算A'!Q$117=1,DP3=0),2000,0))),1000000))</f>
        <v/>
      </c>
      <c r="OT3">
        <f>IF($B3=0,1000000,IF(INDEX('計算A'!$D$60:$EQ$104,$B3,15)*DP3=1,IF(AND($E3=2,JE3=0),1000000,IF($I3&gt;0,IF(1=$J3,IF(OR(AND(15=$I3+1,OR($K3&lt;&gt;'計算A'!$A$3,'計算A'!$A$4=0)),AND(15=$I3-1,OR(15&lt;&gt;'計算A'!$A$3,'計算A'!$A$4=0))),0,IF(15=$K3,200000,ABS(15-$K3)*100)),100000+ABS(1-$J3)*1000+150)+'計算A'!R$5*50+IF(AND($E3=1,JE3=0),25,0),IF($F3&gt;0,INDEX('計算A'!R$110:R$114,$F3+1)+IF(AND($E3=1,JE3=0),1000,0),MIN(TU3,20)*400+(IF('計算A'!Q$106=1,1-DO3,0)+IF('計算A'!R$106=1,1-DQ3,0))*150+151+'計算A'!R$5*100000+IF(AND($E3=1,JE3=0),50000,0))+IF($H3=1,(IF('計算A'!Q$117=1,INDEX('計算A'!Q$10:Q$54,$B3),0)+IF('計算A'!R$117=1,INDEX('計算A'!S$10:S$54,$B3),0))*4000,0)-IF(AND('計算A'!Q$117=1,UO3&gt;0),2000,0)-IF(AND($L3=1,'計算A'!R$117=1,DQ3=0),2000,0))),1000000))</f>
        <v/>
      </c>
      <c r="OU3">
        <f>IF($B3=0,1000000,IF(INDEX('計算A'!$D$60:$EQ$104,$B3,16)*DQ3=1,IF(AND($E3=2,JF3=0),1000000,IF($I3&gt;0,IF(1=$J3,IF(OR(AND(16=$I3+1,OR($K3&lt;&gt;'計算A'!$A$3,'計算A'!$A$4=0)),AND(16=$I3-1,OR(16&lt;&gt;'計算A'!$A$3,'計算A'!$A$4=0))),0,IF(16=$K3,200000,ABS(16-$K3)*100)),100000+ABS(1-$J3)*1000+160)+'計算A'!S$5*50+IF(AND($E3=1,JF3=0),25,0),IF($F3&gt;0,INDEX('計算A'!S$110:S$114,$F3+1)+IF(AND($E3=1,JF3=0),1000,0),MIN(TU3,20)*400+(IF('計算A'!R$106=1,1-DP3,0)+IF('計算A'!S$106=1,1-DR3,0))*150+161+'計算A'!S$5*100000+IF(AND($E3=1,JF3=0),50000,0))+IF($H3=1,(IF('計算A'!R$117=1,INDEX('計算A'!R$10:R$54,$B3),0)+IF('計算A'!S$117=1,INDEX('計算A'!T$10:T$54,$B3),0))*4000,0)-IF(AND('計算A'!R$117=1,UP3&gt;0),2000,0)-IF(AND($L3=1,'計算A'!S$117=1,DR3=0),2000,0))),1000000))</f>
        <v/>
      </c>
      <c r="OV3">
        <f>IF($B3=0,1000000,IF(INDEX('計算A'!$D$60:$EQ$104,$B3,17)*DR3=1,IF(AND($E3=2,JG3=0),1000000,IF($I3&gt;0,IF(1=$J3,IF(OR(AND(17=$I3+1,OR($K3&lt;&gt;'計算A'!$A$3,'計算A'!$A$4=0)),AND(17=$I3-1,OR(17&lt;&gt;'計算A'!$A$3,'計算A'!$A$4=0))),0,IF(17=$K3,200000,ABS(17-$K3)*100)),100000+ABS(1-$J3)*1000+170)+'計算A'!T$5*50+IF(AND($E3=1,JG3=0),25,0),IF($F3&gt;0,INDEX('計算A'!T$110:T$114,$F3+1)+IF(AND($E3=1,JG3=0),1000,0),MIN(TU3,20)*400+(IF('計算A'!S$106=1,1-DQ3,0)+IF('計算A'!T$106=1,1-DS3,0))*150+171+'計算A'!T$5*100000+IF(AND($E3=1,JG3=0),50000,0))+IF($H3=1,(IF('計算A'!S$117=1,INDEX('計算A'!S$10:S$54,$B3),0)+IF('計算A'!T$117=1,INDEX('計算A'!U$10:U$54,$B3),0))*4000,0)-IF(AND('計算A'!S$117=1,UQ3&gt;0),2000,0)-IF(AND($L3=1,'計算A'!T$117=1,DS3=0),2000,0))),1000000))</f>
        <v/>
      </c>
      <c r="OW3">
        <f>IF($B3=0,1000000,IF(INDEX('計算A'!$D$60:$EQ$104,$B3,18)*DS3=1,IF(AND($E3=2,JH3=0),1000000,IF($I3&gt;0,IF(1=$J3,IF(OR(AND(18=$I3+1,OR($K3&lt;&gt;'計算A'!$A$3,'計算A'!$A$4=0)),AND(18=$I3-1,OR(18&lt;&gt;'計算A'!$A$3,'計算A'!$A$4=0))),0,IF(18=$K3,200000,ABS(18-$K3)*100)),100000+ABS(1-$J3)*1000+180)+'計算A'!U$5*50+IF(AND($E3=1,JH3=0),25,0),IF($F3&gt;0,INDEX('計算A'!U$110:U$114,$F3+1)+IF(AND($E3=1,JH3=0),1000,0),MIN(TU3,20)*400+(IF('計算A'!T$106=1,1-DR3,0)+IF('計算A'!U$106=1,1-DT3,0))*150+181+'計算A'!U$5*100000+IF(AND($E3=1,JH3=0),50000,0))+IF($H3=1,(IF('計算A'!T$117=1,INDEX('計算A'!T$10:T$54,$B3),0)+IF('計算A'!U$117=1,INDEX('計算A'!V$10:V$54,$B3),0))*4000,0)-IF(AND('計算A'!T$117=1,UR3&gt;0),2000,0)-IF(AND($L3=1,'計算A'!U$117=1,DT3=0),2000,0))),1000000))</f>
        <v/>
      </c>
      <c r="OX3">
        <f>IF($B3=0,1000000,IF(INDEX('計算A'!$D$60:$EQ$104,$B3,19)*DT3=1,IF(AND($E3=2,JI3=0),1000000,IF($I3&gt;0,IF(1=$J3,IF(OR(AND(19=$I3+1,OR($K3&lt;&gt;'計算A'!$A$3,'計算A'!$A$4=0)),AND(19=$I3-1,OR(19&lt;&gt;'計算A'!$A$3,'計算A'!$A$4=0))),0,IF(19=$K3,200000,ABS(19-$K3)*100)),100000+ABS(1-$J3)*1000+190)+'計算A'!V$5*50+IF(AND($E3=1,JI3=0),25,0),IF($F3&gt;0,INDEX('計算A'!V$110:V$114,$F3+1)+IF(AND($E3=1,JI3=0),1000,0),MIN(TU3,20)*400+(IF('計算A'!U$106=1,1-DS3,0)+IF('計算A'!V$106=1,1-DU3,0))*150+191+'計算A'!V$5*100000+IF(AND($E3=1,JI3=0),50000,0))+IF($H3=1,(IF('計算A'!U$117=1,INDEX('計算A'!U$10:U$54,$B3),0)+IF('計算A'!V$117=1,INDEX('計算A'!W$10:W$54,$B3),0))*4000,0)-IF(AND('計算A'!U$117=1,US3&gt;0),2000,0)-IF(AND($L3=1,'計算A'!V$117=1,DU3=0),2000,0))),1000000))</f>
        <v/>
      </c>
      <c r="OY3">
        <f>IF($B3=0,1000000,IF(INDEX('計算A'!$D$60:$EQ$104,$B3,20)*DU3=1,IF(AND($E3=2,JJ3=0),1000000,IF($I3&gt;0,IF(1=$J3,IF(OR(AND(20=$I3+1,OR($K3&lt;&gt;'計算A'!$A$3,'計算A'!$A$4=0)),AND(20=$I3-1,OR(20&lt;&gt;'計算A'!$A$3,'計算A'!$A$4=0))),0,IF(20=$K3,200000,ABS(20-$K3)*100)),100000+ABS(1-$J3)*1000+200)+'計算A'!W$5*50+IF(AND($E3=1,JJ3=0),25,0),IF($F3&gt;0,INDEX('計算A'!W$110:W$114,$F3+1)+IF(AND($E3=1,JJ3=0),1000,0),MIN(TU3,20)*400+(IF('計算A'!V$106=1,1-DT3,0)+IF('計算A'!W$106=1,1-DV3,0))*150+201+'計算A'!W$5*100000+IF(AND($E3=1,JJ3=0),50000,0))+IF($H3=1,(IF('計算A'!V$117=1,INDEX('計算A'!V$10:V$54,$B3),0)+IF('計算A'!W$117=1,INDEX('計算A'!X$10:X$54,$B3),0))*4000,0)-IF(AND('計算A'!V$117=1,UT3&gt;0),2000,0)-IF(AND($L3=1,'計算A'!W$117=1,DV3=0),2000,0))),1000000))</f>
        <v/>
      </c>
      <c r="OZ3">
        <f>IF($B3=0,1000000,IF(INDEX('計算A'!$D$60:$EQ$104,$B3,21)*DV3=1,IF(AND($E3=2,JK3=0),1000000,IF($I3&gt;0,IF(1=$J3,IF(OR(AND(21=$I3+1,OR($K3&lt;&gt;'計算A'!$A$3,'計算A'!$A$4=0)),AND(21=$I3-1,OR(21&lt;&gt;'計算A'!$A$3,'計算A'!$A$4=0))),0,IF(21=$K3,200000,ABS(21-$K3)*100)),100000+ABS(1-$J3)*1000+210)+'計算A'!X$5*50+IF(AND($E3=1,JK3=0),25,0),IF($F3&gt;0,INDEX('計算A'!X$110:X$114,$F3+1)+IF(AND($E3=1,JK3=0),1000,0),MIN(TU3,20)*400+(IF('計算A'!W$106=1,1-DU3,0)+IF('計算A'!X$106=1,1-DW3,0))*150+211+'計算A'!X$5*100000+IF(AND($E3=1,JK3=0),50000,0))+IF($H3=1,(IF('計算A'!W$117=1,INDEX('計算A'!W$10:W$54,$B3),0)+IF('計算A'!X$117=1,INDEX('計算A'!Y$10:Y$54,$B3),0))*4000,0)-IF(AND('計算A'!W$117=1,UU3&gt;0),2000,0)-IF(AND($L3=1,'計算A'!X$117=1,DW3=0),2000,0))),1000000))</f>
        <v/>
      </c>
      <c r="PA3">
        <f>IF($B3=0,1000000,IF(INDEX('計算A'!$D$60:$EQ$104,$B3,22)*DW3=1,IF(AND($E3=2,JL3=0),1000000,IF($I3&gt;0,IF(1=$J3,IF(OR(AND(22=$I3+1,OR($K3&lt;&gt;'計算A'!$A$3,'計算A'!$A$4=0)),AND(22=$I3-1,OR(22&lt;&gt;'計算A'!$A$3,'計算A'!$A$4=0))),0,IF(22=$K3,200000,ABS(22-$K3)*100)),100000+ABS(1-$J3)*1000+220)+'計算A'!Y$5*50+IF(AND($E3=1,JL3=0),25,0),IF($F3&gt;0,INDEX('計算A'!Y$110:Y$114,$F3+1)+IF(AND($E3=1,JL3=0),1000,0),MIN(TU3,20)*400+(IF('計算A'!X$106=1,1-DV3,0)+IF('計算A'!Y$106=1,1-DX3,0))*150+221+'計算A'!Y$5*100000+IF(AND($E3=1,JL3=0),50000,0))+IF($H3=1,(IF('計算A'!X$117=1,INDEX('計算A'!X$10:X$54,$B3),0)+IF('計算A'!Y$117=1,INDEX('計算A'!Z$10:Z$54,$B3),0))*4000,0)-IF(AND('計算A'!X$117=1,UV3&gt;0),2000,0)-IF(AND($L3=1,'計算A'!Y$117=1,DX3=0),2000,0))),1000000))</f>
        <v/>
      </c>
      <c r="PB3">
        <f>IF($B3=0,1000000,IF(INDEX('計算A'!$D$60:$EQ$104,$B3,23)*DX3=1,IF(AND($E3=2,JM3=0),1000000,IF($I3&gt;0,IF(1=$J3,IF(OR(AND(23=$I3+1,OR($K3&lt;&gt;'計算A'!$A$3,'計算A'!$A$4=0)),AND(23=$I3-1,OR(23&lt;&gt;'計算A'!$A$3,'計算A'!$A$4=0))),0,IF(23=$K3,200000,ABS(23-$K3)*100)),100000+ABS(1-$J3)*1000+230)+'計算A'!Z$5*50+IF(AND($E3=1,JM3=0),25,0),IF($F3&gt;0,INDEX('計算A'!Z$110:Z$114,$F3+1)+IF(AND($E3=1,JM3=0),1000,0),MIN(TU3,20)*400+(IF('計算A'!Y$106=1,1-DW3,0)+IF('計算A'!Z$106=1,1-DY3,0))*150+231+'計算A'!Z$5*100000+IF(AND($E3=1,JM3=0),50000,0))+IF($H3=1,(IF('計算A'!Y$117=1,INDEX('計算A'!Y$10:Y$54,$B3),0)+IF('計算A'!Z$117=1,INDEX('計算A'!AA$10:AA$54,$B3),0))*4000,0)-IF(AND('計算A'!Y$117=1,UW3&gt;0),2000,0)-IF(AND($L3=1,'計算A'!Z$117=1,DY3=0),2000,0))),1000000))</f>
        <v/>
      </c>
      <c r="PC3">
        <f>IF($B3=0,1000000,IF(INDEX('計算A'!$D$60:$EQ$104,$B3,24)*DY3=1,IF(AND($E3=2,JN3=0),1000000,IF($I3&gt;0,IF(1=$J3,IF(OR(AND(24=$I3+1,OR($K3&lt;&gt;'計算A'!$A$3,'計算A'!$A$4=0)),AND(24=$I3-1,OR(24&lt;&gt;'計算A'!$A$3,'計算A'!$A$4=0))),0,IF(24=$K3,200000,ABS(24-$K3)*100)),100000+ABS(1-$J3)*1000+240)+'計算A'!AA$5*50+IF(AND($E3=1,JN3=0),25,0),IF($F3&gt;0,INDEX('計算A'!AA$110:AA$114,$F3+1)+IF(AND($E3=1,JN3=0),1000,0),MIN(TU3,20)*400+(IF('計算A'!Z$106=1,1-DX3,0))*150+241+'計算A'!AA$5*100000+IF(AND($E3=1,JN3=0),50000,0))+IF($H3=1,(IF('計算A'!Z$117=1,INDEX('計算A'!Z$10:Z$54,$B3),0))*4000,0)-IF(AND('計算A'!Z$117=1,UX3&gt;0),2000,0))),1000000))</f>
        <v/>
      </c>
      <c r="PD3">
        <f>IF($B3=0,1000000,IF(INDEX('計算A'!$D$60:$EQ$104,$B3,25)*DZ3=1,IF(AND($E3=2,JO3=0),1000000,IF($I3&gt;0,IF(2=$J3,IF(OR(AND(25=$I3+1,OR($K3&lt;&gt;'計算A'!$A$3,'計算A'!$A$4=0)),AND(25=$I3-1,OR(1&lt;&gt;'計算A'!$A$3,'計算A'!$A$4=0))),0,IF(1=$K3,200000,ABS(1-$K3)*100)),100000+ABS(2-$J3)*1000+10)+'計算A'!AB$5*50+IF(AND($E3=1,JO3=0),25,0),IF($F3&gt;0,INDEX('計算A'!AB$110:AB$114,$F3+1)+IF(AND($E3=1,JO3=0),1000,0),MIN(TV3,20)*400+(IF('計算A'!AB$106=1,1-EA3,0))*150+12+'計算A'!AB$5*100000+IF(AND($E3=1,JO3=0),50000,0))+IF($H3=1,(IF('計算A'!AB$117=1,INDEX('計算A'!AC$10:AC$54,$B3),0))*4000,0)-IF(AND($L3=1,'計算A'!AB$117=1,EA3=0),2000,0))),1000000))</f>
        <v/>
      </c>
      <c r="PE3">
        <f>IF($B3=0,1000000,IF(INDEX('計算A'!$D$60:$EQ$104,$B3,26)*EA3=1,IF(AND($E3=2,JP3=0),1000000,IF($I3&gt;0,IF(2=$J3,IF(OR(AND(26=$I3+1,OR($K3&lt;&gt;'計算A'!$A$3,'計算A'!$A$4=0)),AND(26=$I3-1,OR(2&lt;&gt;'計算A'!$A$3,'計算A'!$A$4=0))),0,IF(2=$K3,200000,ABS(2-$K3)*100)),100000+ABS(2-$J3)*1000+20)+'計算A'!AC$5*50+IF(AND($E3=1,JP3=0),25,0),IF($F3&gt;0,INDEX('計算A'!AC$110:AC$114,$F3+1)+IF(AND($E3=1,JP3=0),1000,0),MIN(TV3,20)*400+(IF('計算A'!AB$106=1,1-DZ3,0)+IF('計算A'!AC$106=1,1-EB3,0))*150+22+'計算A'!AC$5*100000+IF(AND($E3=1,JP3=0),50000,0))+IF($H3=1,(IF('計算A'!AB$117=1,INDEX('計算A'!AB$10:AB$54,$B3),0)+IF('計算A'!AC$117=1,INDEX('計算A'!AD$10:AD$54,$B3),0))*4000,0)-IF(AND('計算A'!AB$117=1,UZ3&gt;0),2000,0)-IF(AND($L3=1,'計算A'!AC$117=1,EB3=0),2000,0))),1000000))</f>
        <v/>
      </c>
      <c r="PF3">
        <f>IF($B3=0,1000000,IF(INDEX('計算A'!$D$60:$EQ$104,$B3,27)*EB3=1,IF(AND($E3=2,JQ3=0),1000000,IF($I3&gt;0,IF(2=$J3,IF(OR(AND(27=$I3+1,OR($K3&lt;&gt;'計算A'!$A$3,'計算A'!$A$4=0)),AND(27=$I3-1,OR(3&lt;&gt;'計算A'!$A$3,'計算A'!$A$4=0))),0,IF(3=$K3,200000,ABS(3-$K3)*100)),100000+ABS(2-$J3)*1000+30)+'計算A'!AD$5*50+IF(AND($E3=1,JQ3=0),25,0),IF($F3&gt;0,INDEX('計算A'!AD$110:AD$114,$F3+1)+IF(AND($E3=1,JQ3=0),1000,0),MIN(TV3,20)*400+(IF('計算A'!AC$106=1,1-EA3,0)+IF('計算A'!AD$106=1,1-EC3,0))*150+32+'計算A'!AD$5*100000+IF(AND($E3=1,JQ3=0),50000,0))+IF($H3=1,(IF('計算A'!AC$117=1,INDEX('計算A'!AC$10:AC$54,$B3),0)+IF('計算A'!AD$117=1,INDEX('計算A'!AE$10:AE$54,$B3),0))*4000,0)-IF(AND('計算A'!AC$117=1,VA3&gt;0),2000,0)-IF(AND($L3=1,'計算A'!AD$117=1,EC3=0),2000,0))),1000000))</f>
        <v/>
      </c>
      <c r="PG3">
        <f>IF($B3=0,1000000,IF(INDEX('計算A'!$D$60:$EQ$104,$B3,28)*EC3=1,IF(AND($E3=2,JR3=0),1000000,IF($I3&gt;0,IF(2=$J3,IF(OR(AND(28=$I3+1,OR($K3&lt;&gt;'計算A'!$A$3,'計算A'!$A$4=0)),AND(28=$I3-1,OR(4&lt;&gt;'計算A'!$A$3,'計算A'!$A$4=0))),0,IF(4=$K3,200000,ABS(4-$K3)*100)),100000+ABS(2-$J3)*1000+40)+'計算A'!AE$5*50+IF(AND($E3=1,JR3=0),25,0),IF($F3&gt;0,INDEX('計算A'!AE$110:AE$114,$F3+1)+IF(AND($E3=1,JR3=0),1000,0),MIN(TV3,20)*400+(IF('計算A'!AD$106=1,1-EB3,0)+IF('計算A'!AE$106=1,1-ED3,0))*150+42+'計算A'!AE$5*100000+IF(AND($E3=1,JR3=0),50000,0))+IF($H3=1,(IF('計算A'!AD$117=1,INDEX('計算A'!AD$10:AD$54,$B3),0)+IF('計算A'!AE$117=1,INDEX('計算A'!AF$10:AF$54,$B3),0))*4000,0)-IF(AND('計算A'!AD$117=1,VB3&gt;0),2000,0)-IF(AND($L3=1,'計算A'!AE$117=1,ED3=0),2000,0))),1000000))</f>
        <v/>
      </c>
      <c r="PH3">
        <f>IF($B3=0,1000000,IF(INDEX('計算A'!$D$60:$EQ$104,$B3,29)*ED3=1,IF(AND($E3=2,JS3=0),1000000,IF($I3&gt;0,IF(2=$J3,IF(OR(AND(29=$I3+1,OR($K3&lt;&gt;'計算A'!$A$3,'計算A'!$A$4=0)),AND(29=$I3-1,OR(5&lt;&gt;'計算A'!$A$3,'計算A'!$A$4=0))),0,IF(5=$K3,200000,ABS(5-$K3)*100)),100000+ABS(2-$J3)*1000+50)+'計算A'!AF$5*50+IF(AND($E3=1,JS3=0),25,0),IF($F3&gt;0,INDEX('計算A'!AF$110:AF$114,$F3+1)+IF(AND($E3=1,JS3=0),1000,0),MIN(TV3,20)*400+(IF('計算A'!AE$106=1,1-EC3,0)+IF('計算A'!AF$106=1,1-EE3,0))*150+52+'計算A'!AF$5*100000+IF(AND($E3=1,JS3=0),50000,0))+IF($H3=1,(IF('計算A'!AE$117=1,INDEX('計算A'!AE$10:AE$54,$B3),0)+IF('計算A'!AF$117=1,INDEX('計算A'!AG$10:AG$54,$B3),0))*4000,0)-IF(AND('計算A'!AE$117=1,VC3&gt;0),2000,0)-IF(AND($L3=1,'計算A'!AF$117=1,EE3=0),2000,0))),1000000))</f>
        <v/>
      </c>
      <c r="PI3">
        <f>IF($B3=0,1000000,IF(INDEX('計算A'!$D$60:$EQ$104,$B3,30)*EE3=1,IF(AND($E3=2,JT3=0),1000000,IF($I3&gt;0,IF(2=$J3,IF(OR(AND(30=$I3+1,OR($K3&lt;&gt;'計算A'!$A$3,'計算A'!$A$4=0)),AND(30=$I3-1,OR(6&lt;&gt;'計算A'!$A$3,'計算A'!$A$4=0))),0,IF(6=$K3,200000,ABS(6-$K3)*100)),100000+ABS(2-$J3)*1000+60)+'計算A'!AG$5*50+IF(AND($E3=1,JT3=0),25,0),IF($F3&gt;0,INDEX('計算A'!AG$110:AG$114,$F3+1)+IF(AND($E3=1,JT3=0),1000,0),MIN(TV3,20)*400+(IF('計算A'!AF$106=1,1-ED3,0)+IF('計算A'!AG$106=1,1-EF3,0))*150+62+'計算A'!AG$5*100000+IF(AND($E3=1,JT3=0),50000,0))+IF($H3=1,(IF('計算A'!AF$117=1,INDEX('計算A'!AF$10:AF$54,$B3),0)+IF('計算A'!AG$117=1,INDEX('計算A'!AH$10:AH$54,$B3),0))*4000,0)-IF(AND('計算A'!AF$117=1,VD3&gt;0),2000,0)-IF(AND($L3=1,'計算A'!AG$117=1,EF3=0),2000,0))),1000000))</f>
        <v/>
      </c>
      <c r="PJ3">
        <f>IF($B3=0,1000000,IF(INDEX('計算A'!$D$60:$EQ$104,$B3,31)*EF3=1,IF(AND($E3=2,JU3=0),1000000,IF($I3&gt;0,IF(2=$J3,IF(OR(AND(31=$I3+1,OR($K3&lt;&gt;'計算A'!$A$3,'計算A'!$A$4=0)),AND(31=$I3-1,OR(7&lt;&gt;'計算A'!$A$3,'計算A'!$A$4=0))),0,IF(7=$K3,200000,ABS(7-$K3)*100)),100000+ABS(2-$J3)*1000+70)+'計算A'!AH$5*50+IF(AND($E3=1,JU3=0),25,0),IF($F3&gt;0,INDEX('計算A'!AH$110:AH$114,$F3+1)+IF(AND($E3=1,JU3=0),1000,0),MIN(TV3,20)*400+(IF('計算A'!AG$106=1,1-EE3,0)+IF('計算A'!AH$106=1,1-EG3,0))*150+72+'計算A'!AH$5*100000+IF(AND($E3=1,JU3=0),50000,0))+IF($H3=1,(IF('計算A'!AG$117=1,INDEX('計算A'!AG$10:AG$54,$B3),0)+IF('計算A'!AH$117=1,INDEX('計算A'!AI$10:AI$54,$B3),0))*4000,0)-IF(AND('計算A'!AG$117=1,VE3&gt;0),2000,0)-IF(AND($L3=1,'計算A'!AH$117=1,EG3=0),2000,0))),1000000))</f>
        <v/>
      </c>
      <c r="PK3">
        <f>IF($B3=0,1000000,IF(INDEX('計算A'!$D$60:$EQ$104,$B3,32)*EG3=1,IF(AND($E3=2,JV3=0),1000000,IF($I3&gt;0,IF(2=$J3,IF(OR(AND(32=$I3+1,OR($K3&lt;&gt;'計算A'!$A$3,'計算A'!$A$4=0)),AND(32=$I3-1,OR(8&lt;&gt;'計算A'!$A$3,'計算A'!$A$4=0))),0,IF(8=$K3,200000,ABS(8-$K3)*100)),100000+ABS(2-$J3)*1000+80)+'計算A'!AI$5*50+IF(AND($E3=1,JV3=0),25,0),IF($F3&gt;0,INDEX('計算A'!AI$110:AI$114,$F3+1)+IF(AND($E3=1,JV3=0),1000,0),MIN(TV3,20)*400+(IF('計算A'!AH$106=1,1-EF3,0)+IF('計算A'!AI$106=1,1-EH3,0))*150+82+'計算A'!AI$5*100000+IF(AND($E3=1,JV3=0),50000,0))+IF($H3=1,(IF('計算A'!AH$117=1,INDEX('計算A'!AH$10:AH$54,$B3),0)+IF('計算A'!AI$117=1,INDEX('計算A'!AJ$10:AJ$54,$B3),0))*4000,0)-IF(AND('計算A'!AH$117=1,VF3&gt;0),2000,0)-IF(AND($L3=1,'計算A'!AI$117=1,EH3=0),2000,0))),1000000))</f>
        <v/>
      </c>
      <c r="PL3">
        <f>IF($B3=0,1000000,IF(INDEX('計算A'!$D$60:$EQ$104,$B3,33)*EH3=1,IF(AND($E3=2,JW3=0),1000000,IF($I3&gt;0,IF(2=$J3,IF(OR(AND(33=$I3+1,OR($K3&lt;&gt;'計算A'!$A$3,'計算A'!$A$4=0)),AND(33=$I3-1,OR(9&lt;&gt;'計算A'!$A$3,'計算A'!$A$4=0))),0,IF(9=$K3,200000,ABS(9-$K3)*100)),100000+ABS(2-$J3)*1000+90)+'計算A'!AJ$5*50+IF(AND($E3=1,JW3=0),25,0),IF($F3&gt;0,INDEX('計算A'!AJ$110:AJ$114,$F3+1)+IF(AND($E3=1,JW3=0),1000,0),MIN(TV3,20)*400+(IF('計算A'!AI$106=1,1-EG3,0)+IF('計算A'!AJ$106=1,1-EI3,0))*150+92+'計算A'!AJ$5*100000+IF(AND($E3=1,JW3=0),50000,0))+IF($H3=1,(IF('計算A'!AI$117=1,INDEX('計算A'!AI$10:AI$54,$B3),0)+IF('計算A'!AJ$117=1,INDEX('計算A'!AK$10:AK$54,$B3),0))*4000,0)-IF(AND('計算A'!AI$117=1,VG3&gt;0),2000,0)-IF(AND($L3=1,'計算A'!AJ$117=1,EI3=0),2000,0))),1000000))</f>
        <v/>
      </c>
      <c r="PM3">
        <f>IF($B3=0,1000000,IF(INDEX('計算A'!$D$60:$EQ$104,$B3,34)*EI3=1,IF(AND($E3=2,JX3=0),1000000,IF($I3&gt;0,IF(2=$J3,IF(OR(AND(34=$I3+1,OR($K3&lt;&gt;'計算A'!$A$3,'計算A'!$A$4=0)),AND(34=$I3-1,OR(10&lt;&gt;'計算A'!$A$3,'計算A'!$A$4=0))),0,IF(10=$K3,200000,ABS(10-$K3)*100)),100000+ABS(2-$J3)*1000+100)+'計算A'!AK$5*50+IF(AND($E3=1,JX3=0),25,0),IF($F3&gt;0,INDEX('計算A'!AK$110:AK$114,$F3+1)+IF(AND($E3=1,JX3=0),1000,0),MIN(TV3,20)*400+(IF('計算A'!AJ$106=1,1-EH3,0)+IF('計算A'!AK$106=1,1-EJ3,0))*150+102+'計算A'!AK$5*100000+IF(AND($E3=1,JX3=0),50000,0))+IF($H3=1,(IF('計算A'!AJ$117=1,INDEX('計算A'!AJ$10:AJ$54,$B3),0)+IF('計算A'!AK$117=1,INDEX('計算A'!AL$10:AL$54,$B3),0))*4000,0)-IF(AND('計算A'!AJ$117=1,VH3&gt;0),2000,0)-IF(AND($L3=1,'計算A'!AK$117=1,EJ3=0),2000,0))),1000000))</f>
        <v/>
      </c>
      <c r="PN3">
        <f>IF($B3=0,1000000,IF(INDEX('計算A'!$D$60:$EQ$104,$B3,35)*EJ3=1,IF(AND($E3=2,JY3=0),1000000,IF($I3&gt;0,IF(2=$J3,IF(OR(AND(35=$I3+1,OR($K3&lt;&gt;'計算A'!$A$3,'計算A'!$A$4=0)),AND(35=$I3-1,OR(11&lt;&gt;'計算A'!$A$3,'計算A'!$A$4=0))),0,IF(11=$K3,200000,ABS(11-$K3)*100)),100000+ABS(2-$J3)*1000+110)+'計算A'!AL$5*50+IF(AND($E3=1,JY3=0),25,0),IF($F3&gt;0,INDEX('計算A'!AL$110:AL$114,$F3+1)+IF(AND($E3=1,JY3=0),1000,0),MIN(TV3,20)*400+(IF('計算A'!AK$106=1,1-EI3,0)+IF('計算A'!AL$106=1,1-EK3,0))*150+112+'計算A'!AL$5*100000+IF(AND($E3=1,JY3=0),50000,0))+IF($H3=1,(IF('計算A'!AK$117=1,INDEX('計算A'!AK$10:AK$54,$B3),0)+IF('計算A'!AL$117=1,INDEX('計算A'!AM$10:AM$54,$B3),0))*4000,0)-IF(AND('計算A'!AK$117=1,VI3&gt;0),2000,0)-IF(AND($L3=1,'計算A'!AL$117=1,EK3=0),2000,0))),1000000))</f>
        <v/>
      </c>
      <c r="PO3">
        <f>IF($B3=0,1000000,IF(INDEX('計算A'!$D$60:$EQ$104,$B3,36)*EK3=1,IF(AND($E3=2,JZ3=0),1000000,IF($I3&gt;0,IF(2=$J3,IF(OR(AND(36=$I3+1,OR($K3&lt;&gt;'計算A'!$A$3,'計算A'!$A$4=0)),AND(36=$I3-1,OR(12&lt;&gt;'計算A'!$A$3,'計算A'!$A$4=0))),0,IF(12=$K3,200000,ABS(12-$K3)*100)),100000+ABS(2-$J3)*1000+120)+'計算A'!AM$5*50+IF(AND($E3=1,JZ3=0),25,0),IF($F3&gt;0,INDEX('計算A'!AM$110:AM$114,$F3+1)+IF(AND($E3=1,JZ3=0),1000,0),MIN(TV3,20)*400+(IF('計算A'!AL$106=1,1-EJ3,0)+IF('計算A'!AM$106=1,1-EL3,0))*150+122+'計算A'!AM$5*100000+IF(AND($E3=1,JZ3=0),50000,0))+IF($H3=1,(IF('計算A'!AL$117=1,INDEX('計算A'!AL$10:AL$54,$B3),0)+IF('計算A'!AM$117=1,INDEX('計算A'!AN$10:AN$54,$B3),0))*4000,0)-IF(AND('計算A'!AL$117=1,VJ3&gt;0),2000,0)-IF(AND($L3=1,'計算A'!AM$117=1,EL3=0),2000,0))),1000000))</f>
        <v/>
      </c>
      <c r="PP3">
        <f>IF($B3=0,1000000,IF(INDEX('計算A'!$D$60:$EQ$104,$B3,37)*EL3=1,IF(AND($E3=2,KA3=0),1000000,IF($I3&gt;0,IF(2=$J3,IF(OR(AND(37=$I3+1,OR($K3&lt;&gt;'計算A'!$A$3,'計算A'!$A$4=0)),AND(37=$I3-1,OR(13&lt;&gt;'計算A'!$A$3,'計算A'!$A$4=0))),0,IF(13=$K3,200000,ABS(13-$K3)*100)),100000+ABS(2-$J3)*1000+130)+'計算A'!AN$5*50+IF(AND($E3=1,KA3=0),25,0),IF($F3&gt;0,INDEX('計算A'!AN$110:AN$114,$F3+1)+IF(AND($E3=1,KA3=0),1000,0),MIN(TV3,20)*400+(IF('計算A'!AM$106=1,1-EK3,0)+IF('計算A'!AN$106=1,1-EM3,0))*150+132+'計算A'!AN$5*100000+IF(AND($E3=1,KA3=0),50000,0))+IF($H3=1,(IF('計算A'!AM$117=1,INDEX('計算A'!AM$10:AM$54,$B3),0)+IF('計算A'!AN$117=1,INDEX('計算A'!AO$10:AO$54,$B3),0))*4000,0)-IF(AND('計算A'!AM$117=1,VK3&gt;0),2000,0)-IF(AND($L3=1,'計算A'!AN$117=1,EM3=0),2000,0))),1000000))</f>
        <v/>
      </c>
      <c r="PQ3">
        <f>IF($B3=0,1000000,IF(INDEX('計算A'!$D$60:$EQ$104,$B3,38)*EM3=1,IF(AND($E3=2,KB3=0),1000000,IF($I3&gt;0,IF(2=$J3,IF(OR(AND(38=$I3+1,OR($K3&lt;&gt;'計算A'!$A$3,'計算A'!$A$4=0)),AND(38=$I3-1,OR(14&lt;&gt;'計算A'!$A$3,'計算A'!$A$4=0))),0,IF(14=$K3,200000,ABS(14-$K3)*100)),100000+ABS(2-$J3)*1000+140)+'計算A'!AO$5*50+IF(AND($E3=1,KB3=0),25,0),IF($F3&gt;0,INDEX('計算A'!AO$110:AO$114,$F3+1)+IF(AND($E3=1,KB3=0),1000,0),MIN(TV3,20)*400+(IF('計算A'!AN$106=1,1-EL3,0)+IF('計算A'!AO$106=1,1-EN3,0))*150+142+'計算A'!AO$5*100000+IF(AND($E3=1,KB3=0),50000,0))+IF($H3=1,(IF('計算A'!AN$117=1,INDEX('計算A'!AN$10:AN$54,$B3),0)+IF('計算A'!AO$117=1,INDEX('計算A'!AP$10:AP$54,$B3),0))*4000,0)-IF(AND('計算A'!AN$117=1,VL3&gt;0),2000,0)-IF(AND($L3=1,'計算A'!AO$117=1,EN3=0),2000,0))),1000000))</f>
        <v/>
      </c>
      <c r="PR3">
        <f>IF($B3=0,1000000,IF(INDEX('計算A'!$D$60:$EQ$104,$B3,39)*EN3=1,IF(AND($E3=2,KC3=0),1000000,IF($I3&gt;0,IF(2=$J3,IF(OR(AND(39=$I3+1,OR($K3&lt;&gt;'計算A'!$A$3,'計算A'!$A$4=0)),AND(39=$I3-1,OR(15&lt;&gt;'計算A'!$A$3,'計算A'!$A$4=0))),0,IF(15=$K3,200000,ABS(15-$K3)*100)),100000+ABS(2-$J3)*1000+150)+'計算A'!AP$5*50+IF(AND($E3=1,KC3=0),25,0),IF($F3&gt;0,INDEX('計算A'!AP$110:AP$114,$F3+1)+IF(AND($E3=1,KC3=0),1000,0),MIN(TV3,20)*400+(IF('計算A'!AO$106=1,1-EM3,0)+IF('計算A'!AP$106=1,1-EO3,0))*150+152+'計算A'!AP$5*100000+IF(AND($E3=1,KC3=0),50000,0))+IF($H3=1,(IF('計算A'!AO$117=1,INDEX('計算A'!AO$10:AO$54,$B3),0)+IF('計算A'!AP$117=1,INDEX('計算A'!AQ$10:AQ$54,$B3),0))*4000,0)-IF(AND('計算A'!AO$117=1,VM3&gt;0),2000,0)-IF(AND($L3=1,'計算A'!AP$117=1,EO3=0),2000,0))),1000000))</f>
        <v/>
      </c>
      <c r="PS3">
        <f>IF($B3=0,1000000,IF(INDEX('計算A'!$D$60:$EQ$104,$B3,40)*EO3=1,IF(AND($E3=2,KD3=0),1000000,IF($I3&gt;0,IF(2=$J3,IF(OR(AND(40=$I3+1,OR($K3&lt;&gt;'計算A'!$A$3,'計算A'!$A$4=0)),AND(40=$I3-1,OR(16&lt;&gt;'計算A'!$A$3,'計算A'!$A$4=0))),0,IF(16=$K3,200000,ABS(16-$K3)*100)),100000+ABS(2-$J3)*1000+160)+'計算A'!AQ$5*50+IF(AND($E3=1,KD3=0),25,0),IF($F3&gt;0,INDEX('計算A'!AQ$110:AQ$114,$F3+1)+IF(AND($E3=1,KD3=0),1000,0),MIN(TV3,20)*400+(IF('計算A'!AP$106=1,1-EN3,0)+IF('計算A'!AQ$106=1,1-EP3,0))*150+162+'計算A'!AQ$5*100000+IF(AND($E3=1,KD3=0),50000,0))+IF($H3=1,(IF('計算A'!AP$117=1,INDEX('計算A'!AP$10:AP$54,$B3),0)+IF('計算A'!AQ$117=1,INDEX('計算A'!AR$10:AR$54,$B3),0))*4000,0)-IF(AND('計算A'!AP$117=1,VN3&gt;0),2000,0)-IF(AND($L3=1,'計算A'!AQ$117=1,EP3=0),2000,0))),1000000))</f>
        <v/>
      </c>
      <c r="PT3">
        <f>IF($B3=0,1000000,IF(INDEX('計算A'!$D$60:$EQ$104,$B3,41)*EP3=1,IF(AND($E3=2,KE3=0),1000000,IF($I3&gt;0,IF(2=$J3,IF(OR(AND(41=$I3+1,OR($K3&lt;&gt;'計算A'!$A$3,'計算A'!$A$4=0)),AND(41=$I3-1,OR(17&lt;&gt;'計算A'!$A$3,'計算A'!$A$4=0))),0,IF(17=$K3,200000,ABS(17-$K3)*100)),100000+ABS(2-$J3)*1000+170)+'計算A'!AR$5*50+IF(AND($E3=1,KE3=0),25,0),IF($F3&gt;0,INDEX('計算A'!AR$110:AR$114,$F3+1)+IF(AND($E3=1,KE3=0),1000,0),MIN(TV3,20)*400+(IF('計算A'!AQ$106=1,1-EO3,0)+IF('計算A'!AR$106=1,1-EQ3,0))*150+172+'計算A'!AR$5*100000+IF(AND($E3=1,KE3=0),50000,0))+IF($H3=1,(IF('計算A'!AQ$117=1,INDEX('計算A'!AQ$10:AQ$54,$B3),0)+IF('計算A'!AR$117=1,INDEX('計算A'!AS$10:AS$54,$B3),0))*4000,0)-IF(AND('計算A'!AQ$117=1,VO3&gt;0),2000,0)-IF(AND($L3=1,'計算A'!AR$117=1,EQ3=0),2000,0))),1000000))</f>
        <v/>
      </c>
      <c r="PU3">
        <f>IF($B3=0,1000000,IF(INDEX('計算A'!$D$60:$EQ$104,$B3,42)*EQ3=1,IF(AND($E3=2,KF3=0),1000000,IF($I3&gt;0,IF(2=$J3,IF(OR(AND(42=$I3+1,OR($K3&lt;&gt;'計算A'!$A$3,'計算A'!$A$4=0)),AND(42=$I3-1,OR(18&lt;&gt;'計算A'!$A$3,'計算A'!$A$4=0))),0,IF(18=$K3,200000,ABS(18-$K3)*100)),100000+ABS(2-$J3)*1000+180)+'計算A'!AS$5*50+IF(AND($E3=1,KF3=0),25,0),IF($F3&gt;0,INDEX('計算A'!AS$110:AS$114,$F3+1)+IF(AND($E3=1,KF3=0),1000,0),MIN(TV3,20)*400+(IF('計算A'!AR$106=1,1-EP3,0)+IF('計算A'!AS$106=1,1-ER3,0))*150+182+'計算A'!AS$5*100000+IF(AND($E3=1,KF3=0),50000,0))+IF($H3=1,(IF('計算A'!AR$117=1,INDEX('計算A'!AR$10:AR$54,$B3),0)+IF('計算A'!AS$117=1,INDEX('計算A'!AT$10:AT$54,$B3),0))*4000,0)-IF(AND('計算A'!AR$117=1,VP3&gt;0),2000,0)-IF(AND($L3=1,'計算A'!AS$117=1,ER3=0),2000,0))),1000000))</f>
        <v/>
      </c>
      <c r="PV3">
        <f>IF($B3=0,1000000,IF(INDEX('計算A'!$D$60:$EQ$104,$B3,43)*ER3=1,IF(AND($E3=2,KG3=0),1000000,IF($I3&gt;0,IF(2=$J3,IF(OR(AND(43=$I3+1,OR($K3&lt;&gt;'計算A'!$A$3,'計算A'!$A$4=0)),AND(43=$I3-1,OR(19&lt;&gt;'計算A'!$A$3,'計算A'!$A$4=0))),0,IF(19=$K3,200000,ABS(19-$K3)*100)),100000+ABS(2-$J3)*1000+190)+'計算A'!AT$5*50+IF(AND($E3=1,KG3=0),25,0),IF($F3&gt;0,INDEX('計算A'!AT$110:AT$114,$F3+1)+IF(AND($E3=1,KG3=0),1000,0),MIN(TV3,20)*400+(IF('計算A'!AS$106=1,1-EQ3,0)+IF('計算A'!AT$106=1,1-ES3,0))*150+192+'計算A'!AT$5*100000+IF(AND($E3=1,KG3=0),50000,0))+IF($H3=1,(IF('計算A'!AS$117=1,INDEX('計算A'!AS$10:AS$54,$B3),0)+IF('計算A'!AT$117=1,INDEX('計算A'!AU$10:AU$54,$B3),0))*4000,0)-IF(AND('計算A'!AS$117=1,VQ3&gt;0),2000,0)-IF(AND($L3=1,'計算A'!AT$117=1,ES3=0),2000,0))),1000000))</f>
        <v/>
      </c>
      <c r="PW3">
        <f>IF($B3=0,1000000,IF(INDEX('計算A'!$D$60:$EQ$104,$B3,44)*ES3=1,IF(AND($E3=2,KH3=0),1000000,IF($I3&gt;0,IF(2=$J3,IF(OR(AND(44=$I3+1,OR($K3&lt;&gt;'計算A'!$A$3,'計算A'!$A$4=0)),AND(44=$I3-1,OR(20&lt;&gt;'計算A'!$A$3,'計算A'!$A$4=0))),0,IF(20=$K3,200000,ABS(20-$K3)*100)),100000+ABS(2-$J3)*1000+200)+'計算A'!AU$5*50+IF(AND($E3=1,KH3=0),25,0),IF($F3&gt;0,INDEX('計算A'!AU$110:AU$114,$F3+1)+IF(AND($E3=1,KH3=0),1000,0),MIN(TV3,20)*400+(IF('計算A'!AT$106=1,1-ER3,0)+IF('計算A'!AU$106=1,1-ET3,0))*150+202+'計算A'!AU$5*100000+IF(AND($E3=1,KH3=0),50000,0))+IF($H3=1,(IF('計算A'!AT$117=1,INDEX('計算A'!AT$10:AT$54,$B3),0)+IF('計算A'!AU$117=1,INDEX('計算A'!AV$10:AV$54,$B3),0))*4000,0)-IF(AND('計算A'!AT$117=1,VR3&gt;0),2000,0)-IF(AND($L3=1,'計算A'!AU$117=1,ET3=0),2000,0))),1000000))</f>
        <v/>
      </c>
      <c r="PX3">
        <f>IF($B3=0,1000000,IF(INDEX('計算A'!$D$60:$EQ$104,$B3,45)*ET3=1,IF(AND($E3=2,KI3=0),1000000,IF($I3&gt;0,IF(2=$J3,IF(OR(AND(45=$I3+1,OR($K3&lt;&gt;'計算A'!$A$3,'計算A'!$A$4=0)),AND(45=$I3-1,OR(21&lt;&gt;'計算A'!$A$3,'計算A'!$A$4=0))),0,IF(21=$K3,200000,ABS(21-$K3)*100)),100000+ABS(2-$J3)*1000+210)+'計算A'!AV$5*50+IF(AND($E3=1,KI3=0),25,0),IF($F3&gt;0,INDEX('計算A'!AV$110:AV$114,$F3+1)+IF(AND($E3=1,KI3=0),1000,0),MIN(TV3,20)*400+(IF('計算A'!AU$106=1,1-ES3,0)+IF('計算A'!AV$106=1,1-EU3,0))*150+212+'計算A'!AV$5*100000+IF(AND($E3=1,KI3=0),50000,0))+IF($H3=1,(IF('計算A'!AU$117=1,INDEX('計算A'!AU$10:AU$54,$B3),0)+IF('計算A'!AV$117=1,INDEX('計算A'!AW$10:AW$54,$B3),0))*4000,0)-IF(AND('計算A'!AU$117=1,VS3&gt;0),2000,0)-IF(AND($L3=1,'計算A'!AV$117=1,EU3=0),2000,0))),1000000))</f>
        <v/>
      </c>
      <c r="PY3">
        <f>IF($B3=0,1000000,IF(INDEX('計算A'!$D$60:$EQ$104,$B3,46)*EU3=1,IF(AND($E3=2,KJ3=0),1000000,IF($I3&gt;0,IF(2=$J3,IF(OR(AND(46=$I3+1,OR($K3&lt;&gt;'計算A'!$A$3,'計算A'!$A$4=0)),AND(46=$I3-1,OR(22&lt;&gt;'計算A'!$A$3,'計算A'!$A$4=0))),0,IF(22=$K3,200000,ABS(22-$K3)*100)),100000+ABS(2-$J3)*1000+220)+'計算A'!AW$5*50+IF(AND($E3=1,KJ3=0),25,0),IF($F3&gt;0,INDEX('計算A'!AW$110:AW$114,$F3+1)+IF(AND($E3=1,KJ3=0),1000,0),MIN(TV3,20)*400+(IF('計算A'!AV$106=1,1-ET3,0)+IF('計算A'!AW$106=1,1-EV3,0))*150+222+'計算A'!AW$5*100000+IF(AND($E3=1,KJ3=0),50000,0))+IF($H3=1,(IF('計算A'!AV$117=1,INDEX('計算A'!AV$10:AV$54,$B3),0)+IF('計算A'!AW$117=1,INDEX('計算A'!AX$10:AX$54,$B3),0))*4000,0)-IF(AND('計算A'!AV$117=1,VT3&gt;0),2000,0)-IF(AND($L3=1,'計算A'!AW$117=1,EV3=0),2000,0))),1000000))</f>
        <v/>
      </c>
      <c r="PZ3">
        <f>IF($B3=0,1000000,IF(INDEX('計算A'!$D$60:$EQ$104,$B3,47)*EV3=1,IF(AND($E3=2,KK3=0),1000000,IF($I3&gt;0,IF(2=$J3,IF(OR(AND(47=$I3+1,OR($K3&lt;&gt;'計算A'!$A$3,'計算A'!$A$4=0)),AND(47=$I3-1,OR(23&lt;&gt;'計算A'!$A$3,'計算A'!$A$4=0))),0,IF(23=$K3,200000,ABS(23-$K3)*100)),100000+ABS(2-$J3)*1000+230)+'計算A'!AX$5*50+IF(AND($E3=1,KK3=0),25,0),IF($F3&gt;0,INDEX('計算A'!AX$110:AX$114,$F3+1)+IF(AND($E3=1,KK3=0),1000,0),MIN(TV3,20)*400+(IF('計算A'!AW$106=1,1-EU3,0)+IF('計算A'!AX$106=1,1-EW3,0))*150+232+'計算A'!AX$5*100000+IF(AND($E3=1,KK3=0),50000,0))+IF($H3=1,(IF('計算A'!AW$117=1,INDEX('計算A'!AW$10:AW$54,$B3),0)+IF('計算A'!AX$117=1,INDEX('計算A'!AY$10:AY$54,$B3),0))*4000,0)-IF(AND('計算A'!AW$117=1,VU3&gt;0),2000,0)-IF(AND($L3=1,'計算A'!AX$117=1,EW3=0),2000,0))),1000000))</f>
        <v/>
      </c>
      <c r="QA3">
        <f>IF($B3=0,1000000,IF(INDEX('計算A'!$D$60:$EQ$104,$B3,48)*EW3=1,IF(AND($E3=2,KL3=0),1000000,IF($I3&gt;0,IF(2=$J3,IF(OR(AND(48=$I3+1,OR($K3&lt;&gt;'計算A'!$A$3,'計算A'!$A$4=0)),AND(48=$I3-1,OR(24&lt;&gt;'計算A'!$A$3,'計算A'!$A$4=0))),0,IF(24=$K3,200000,ABS(24-$K3)*100)),100000+ABS(2-$J3)*1000+240)+'計算A'!AY$5*50+IF(AND($E3=1,KL3=0),25,0),IF($F3&gt;0,INDEX('計算A'!AY$110:AY$114,$F3+1)+IF(AND($E3=1,KL3=0),1000,0),MIN(TV3,20)*400+(IF('計算A'!AX$106=1,1-EV3,0))*150+242+'計算A'!AY$5*100000+IF(AND($E3=1,KL3=0),50000,0))+IF($H3=1,(IF('計算A'!AX$117=1,INDEX('計算A'!AX$10:AX$54,$B3),0))*4000,0)-IF(AND('計算A'!AX$117=1,VV3&gt;0),2000,0))),1000000))</f>
        <v/>
      </c>
      <c r="QB3">
        <f>IF($B3=0,1000000,IF(INDEX('計算A'!$D$60:$EQ$104,$B3,49)*EX3=1,IF(AND($E3=2,KM3=0),1000000,IF($I3&gt;0,IF(3=$J3,IF(OR(AND(49=$I3+1,OR($K3&lt;&gt;'計算A'!$A$3,'計算A'!$A$4=0)),AND(49=$I3-1,OR(1&lt;&gt;'計算A'!$A$3,'計算A'!$A$4=0))),0,IF(1=$K3,200000,ABS(1-$K3)*100)),100000+ABS(3-$J3)*1000+10)+'計算A'!AZ$5*50+IF(AND($E3=1,KM3=0),25,0),IF($F3&gt;0,INDEX('計算A'!AZ$110:AZ$114,$F3+1)+IF(AND($E3=1,KM3=0),1000,0),MIN(TW3,20)*400+(IF('計算A'!AZ$106=1,1-EY3,0))*150+13+'計算A'!AZ$5*100000+IF(AND($E3=1,KM3=0),50000,0))+IF($H3=1,(IF('計算A'!AZ$117=1,INDEX('計算A'!BA$10:BA$54,$B3),0))*4000,0)-IF(AND($L3=1,'計算A'!AZ$117=1,EY3=0),2000,0))),1000000))</f>
        <v/>
      </c>
      <c r="QC3">
        <f>IF($B3=0,1000000,IF(INDEX('計算A'!$D$60:$EQ$104,$B3,50)*EY3=1,IF(AND($E3=2,KN3=0),1000000,IF($I3&gt;0,IF(3=$J3,IF(OR(AND(50=$I3+1,OR($K3&lt;&gt;'計算A'!$A$3,'計算A'!$A$4=0)),AND(50=$I3-1,OR(2&lt;&gt;'計算A'!$A$3,'計算A'!$A$4=0))),0,IF(2=$K3,200000,ABS(2-$K3)*100)),100000+ABS(3-$J3)*1000+20)+'計算A'!BA$5*50+IF(AND($E3=1,KN3=0),25,0),IF($F3&gt;0,INDEX('計算A'!BA$110:BA$114,$F3+1)+IF(AND($E3=1,KN3=0),1000,0),MIN(TW3,20)*400+(IF('計算A'!AZ$106=1,1-EX3,0)+IF('計算A'!BA$106=1,1-EZ3,0))*150+23+'計算A'!BA$5*100000+IF(AND($E3=1,KN3=0),50000,0))+IF($H3=1,(IF('計算A'!AZ$117=1,INDEX('計算A'!AZ$10:AZ$54,$B3),0)+IF('計算A'!BA$117=1,INDEX('計算A'!BB$10:BB$54,$B3),0))*4000,0)-IF(AND('計算A'!AZ$117=1,VX3&gt;0),2000,0)-IF(AND($L3=1,'計算A'!BA$117=1,EZ3=0),2000,0))),1000000))</f>
        <v/>
      </c>
      <c r="QD3">
        <f>IF($B3=0,1000000,IF(INDEX('計算A'!$D$60:$EQ$104,$B3,51)*EZ3=1,IF(AND($E3=2,KO3=0),1000000,IF($I3&gt;0,IF(3=$J3,IF(OR(AND(51=$I3+1,OR($K3&lt;&gt;'計算A'!$A$3,'計算A'!$A$4=0)),AND(51=$I3-1,OR(3&lt;&gt;'計算A'!$A$3,'計算A'!$A$4=0))),0,IF(3=$K3,200000,ABS(3-$K3)*100)),100000+ABS(3-$J3)*1000+30)+'計算A'!BB$5*50+IF(AND($E3=1,KO3=0),25,0),IF($F3&gt;0,INDEX('計算A'!BB$110:BB$114,$F3+1)+IF(AND($E3=1,KO3=0),1000,0),MIN(TW3,20)*400+(IF('計算A'!BA$106=1,1-EY3,0)+IF('計算A'!BB$106=1,1-FA3,0))*150+33+'計算A'!BB$5*100000+IF(AND($E3=1,KO3=0),50000,0))+IF($H3=1,(IF('計算A'!BA$117=1,INDEX('計算A'!BA$10:BA$54,$B3),0)+IF('計算A'!BB$117=1,INDEX('計算A'!BC$10:BC$54,$B3),0))*4000,0)-IF(AND('計算A'!BA$117=1,VY3&gt;0),2000,0)-IF(AND($L3=1,'計算A'!BB$117=1,FA3=0),2000,0))),1000000))</f>
        <v/>
      </c>
      <c r="QE3">
        <f>IF($B3=0,1000000,IF(INDEX('計算A'!$D$60:$EQ$104,$B3,52)*FA3=1,IF(AND($E3=2,KP3=0),1000000,IF($I3&gt;0,IF(3=$J3,IF(OR(AND(52=$I3+1,OR($K3&lt;&gt;'計算A'!$A$3,'計算A'!$A$4=0)),AND(52=$I3-1,OR(4&lt;&gt;'計算A'!$A$3,'計算A'!$A$4=0))),0,IF(4=$K3,200000,ABS(4-$K3)*100)),100000+ABS(3-$J3)*1000+40)+'計算A'!BC$5*50+IF(AND($E3=1,KP3=0),25,0),IF($F3&gt;0,INDEX('計算A'!BC$110:BC$114,$F3+1)+IF(AND($E3=1,KP3=0),1000,0),MIN(TW3,20)*400+(IF('計算A'!BB$106=1,1-EZ3,0)+IF('計算A'!BC$106=1,1-FB3,0))*150+43+'計算A'!BC$5*100000+IF(AND($E3=1,KP3=0),50000,0))+IF($H3=1,(IF('計算A'!BB$117=1,INDEX('計算A'!BB$10:BB$54,$B3),0)+IF('計算A'!BC$117=1,INDEX('計算A'!BD$10:BD$54,$B3),0))*4000,0)-IF(AND('計算A'!BB$117=1,VZ3&gt;0),2000,0)-IF(AND($L3=1,'計算A'!BC$117=1,FB3=0),2000,0))),1000000))</f>
        <v/>
      </c>
      <c r="QF3">
        <f>IF($B3=0,1000000,IF(INDEX('計算A'!$D$60:$EQ$104,$B3,53)*FB3=1,IF(AND($E3=2,KQ3=0),1000000,IF($I3&gt;0,IF(3=$J3,IF(OR(AND(53=$I3+1,OR($K3&lt;&gt;'計算A'!$A$3,'計算A'!$A$4=0)),AND(53=$I3-1,OR(5&lt;&gt;'計算A'!$A$3,'計算A'!$A$4=0))),0,IF(5=$K3,200000,ABS(5-$K3)*100)),100000+ABS(3-$J3)*1000+50)+'計算A'!BD$5*50+IF(AND($E3=1,KQ3=0),25,0),IF($F3&gt;0,INDEX('計算A'!BD$110:BD$114,$F3+1)+IF(AND($E3=1,KQ3=0),1000,0),MIN(TW3,20)*400+(IF('計算A'!BC$106=1,1-FA3,0)+IF('計算A'!BD$106=1,1-FC3,0))*150+53+'計算A'!BD$5*100000+IF(AND($E3=1,KQ3=0),50000,0))+IF($H3=1,(IF('計算A'!BC$117=1,INDEX('計算A'!BC$10:BC$54,$B3),0)+IF('計算A'!BD$117=1,INDEX('計算A'!BE$10:BE$54,$B3),0))*4000,0)-IF(AND('計算A'!BC$117=1,WA3&gt;0),2000,0)-IF(AND($L3=1,'計算A'!BD$117=1,FC3=0),2000,0))),1000000))</f>
        <v/>
      </c>
      <c r="QG3">
        <f>IF($B3=0,1000000,IF(INDEX('計算A'!$D$60:$EQ$104,$B3,54)*FC3=1,IF(AND($E3=2,KR3=0),1000000,IF($I3&gt;0,IF(3=$J3,IF(OR(AND(54=$I3+1,OR($K3&lt;&gt;'計算A'!$A$3,'計算A'!$A$4=0)),AND(54=$I3-1,OR(6&lt;&gt;'計算A'!$A$3,'計算A'!$A$4=0))),0,IF(6=$K3,200000,ABS(6-$K3)*100)),100000+ABS(3-$J3)*1000+60)+'計算A'!BE$5*50+IF(AND($E3=1,KR3=0),25,0),IF($F3&gt;0,INDEX('計算A'!BE$110:BE$114,$F3+1)+IF(AND($E3=1,KR3=0),1000,0),MIN(TW3,20)*400+(IF('計算A'!BD$106=1,1-FB3,0)+IF('計算A'!BE$106=1,1-FD3,0))*150+63+'計算A'!BE$5*100000+IF(AND($E3=1,KR3=0),50000,0))+IF($H3=1,(IF('計算A'!BD$117=1,INDEX('計算A'!BD$10:BD$54,$B3),0)+IF('計算A'!BE$117=1,INDEX('計算A'!BF$10:BF$54,$B3),0))*4000,0)-IF(AND('計算A'!BD$117=1,WB3&gt;0),2000,0)-IF(AND($L3=1,'計算A'!BE$117=1,FD3=0),2000,0))),1000000))</f>
        <v/>
      </c>
      <c r="QH3">
        <f>IF($B3=0,1000000,IF(INDEX('計算A'!$D$60:$EQ$104,$B3,55)*FD3=1,IF(AND($E3=2,KS3=0),1000000,IF($I3&gt;0,IF(3=$J3,IF(OR(AND(55=$I3+1,OR($K3&lt;&gt;'計算A'!$A$3,'計算A'!$A$4=0)),AND(55=$I3-1,OR(7&lt;&gt;'計算A'!$A$3,'計算A'!$A$4=0))),0,IF(7=$K3,200000,ABS(7-$K3)*100)),100000+ABS(3-$J3)*1000+70)+'計算A'!BF$5*50+IF(AND($E3=1,KS3=0),25,0),IF($F3&gt;0,INDEX('計算A'!BF$110:BF$114,$F3+1)+IF(AND($E3=1,KS3=0),1000,0),MIN(TW3,20)*400+(IF('計算A'!BE$106=1,1-FC3,0)+IF('計算A'!BF$106=1,1-FE3,0))*150+73+'計算A'!BF$5*100000+IF(AND($E3=1,KS3=0),50000,0))+IF($H3=1,(IF('計算A'!BE$117=1,INDEX('計算A'!BE$10:BE$54,$B3),0)+IF('計算A'!BF$117=1,INDEX('計算A'!BG$10:BG$54,$B3),0))*4000,0)-IF(AND('計算A'!BE$117=1,WC3&gt;0),2000,0)-IF(AND($L3=1,'計算A'!BF$117=1,FE3=0),2000,0))),1000000))</f>
        <v/>
      </c>
      <c r="QI3">
        <f>IF($B3=0,1000000,IF(INDEX('計算A'!$D$60:$EQ$104,$B3,56)*FE3=1,IF(AND($E3=2,KT3=0),1000000,IF($I3&gt;0,IF(3=$J3,IF(OR(AND(56=$I3+1,OR($K3&lt;&gt;'計算A'!$A$3,'計算A'!$A$4=0)),AND(56=$I3-1,OR(8&lt;&gt;'計算A'!$A$3,'計算A'!$A$4=0))),0,IF(8=$K3,200000,ABS(8-$K3)*100)),100000+ABS(3-$J3)*1000+80)+'計算A'!BG$5*50+IF(AND($E3=1,KT3=0),25,0),IF($F3&gt;0,INDEX('計算A'!BG$110:BG$114,$F3+1)+IF(AND($E3=1,KT3=0),1000,0),MIN(TW3,20)*400+(IF('計算A'!BF$106=1,1-FD3,0)+IF('計算A'!BG$106=1,1-FF3,0))*150+83+'計算A'!BG$5*100000+IF(AND($E3=1,KT3=0),50000,0))+IF($H3=1,(IF('計算A'!BF$117=1,INDEX('計算A'!BF$10:BF$54,$B3),0)+IF('計算A'!BG$117=1,INDEX('計算A'!BH$10:BH$54,$B3),0))*4000,0)-IF(AND('計算A'!BF$117=1,WD3&gt;0),2000,0)-IF(AND($L3=1,'計算A'!BG$117=1,FF3=0),2000,0))),1000000))</f>
        <v/>
      </c>
      <c r="QJ3">
        <f>IF($B3=0,1000000,IF(INDEX('計算A'!$D$60:$EQ$104,$B3,57)*FF3=1,IF(AND($E3=2,KU3=0),1000000,IF($I3&gt;0,IF(3=$J3,IF(OR(AND(57=$I3+1,OR($K3&lt;&gt;'計算A'!$A$3,'計算A'!$A$4=0)),AND(57=$I3-1,OR(9&lt;&gt;'計算A'!$A$3,'計算A'!$A$4=0))),0,IF(9=$K3,200000,ABS(9-$K3)*100)),100000+ABS(3-$J3)*1000+90)+'計算A'!BH$5*50+IF(AND($E3=1,KU3=0),25,0),IF($F3&gt;0,INDEX('計算A'!BH$110:BH$114,$F3+1)+IF(AND($E3=1,KU3=0),1000,0),MIN(TW3,20)*400+(IF('計算A'!BG$106=1,1-FE3,0)+IF('計算A'!BH$106=1,1-FG3,0))*150+93+'計算A'!BH$5*100000+IF(AND($E3=1,KU3=0),50000,0))+IF($H3=1,(IF('計算A'!BG$117=1,INDEX('計算A'!BG$10:BG$54,$B3),0)+IF('計算A'!BH$117=1,INDEX('計算A'!BI$10:BI$54,$B3),0))*4000,0)-IF(AND('計算A'!BG$117=1,WE3&gt;0),2000,0)-IF(AND($L3=1,'計算A'!BH$117=1,FG3=0),2000,0))),1000000))</f>
        <v/>
      </c>
      <c r="QK3">
        <f>IF($B3=0,1000000,IF(INDEX('計算A'!$D$60:$EQ$104,$B3,58)*FG3=1,IF(AND($E3=2,KV3=0),1000000,IF($I3&gt;0,IF(3=$J3,IF(OR(AND(58=$I3+1,OR($K3&lt;&gt;'計算A'!$A$3,'計算A'!$A$4=0)),AND(58=$I3-1,OR(10&lt;&gt;'計算A'!$A$3,'計算A'!$A$4=0))),0,IF(10=$K3,200000,ABS(10-$K3)*100)),100000+ABS(3-$J3)*1000+100)+'計算A'!BI$5*50+IF(AND($E3=1,KV3=0),25,0),IF($F3&gt;0,INDEX('計算A'!BI$110:BI$114,$F3+1)+IF(AND($E3=1,KV3=0),1000,0),MIN(TW3,20)*400+(IF('計算A'!BH$106=1,1-FF3,0)+IF('計算A'!BI$106=1,1-FH3,0))*150+103+'計算A'!BI$5*100000+IF(AND($E3=1,KV3=0),50000,0))+IF($H3=1,(IF('計算A'!BH$117=1,INDEX('計算A'!BH$10:BH$54,$B3),0)+IF('計算A'!BI$117=1,INDEX('計算A'!BJ$10:BJ$54,$B3),0))*4000,0)-IF(AND('計算A'!BH$117=1,WF3&gt;0),2000,0)-IF(AND($L3=1,'計算A'!BI$117=1,FH3=0),2000,0))),1000000))</f>
        <v/>
      </c>
      <c r="QL3">
        <f>IF($B3=0,1000000,IF(INDEX('計算A'!$D$60:$EQ$104,$B3,59)*FH3=1,IF(AND($E3=2,KW3=0),1000000,IF($I3&gt;0,IF(3=$J3,IF(OR(AND(59=$I3+1,OR($K3&lt;&gt;'計算A'!$A$3,'計算A'!$A$4=0)),AND(59=$I3-1,OR(11&lt;&gt;'計算A'!$A$3,'計算A'!$A$4=0))),0,IF(11=$K3,200000,ABS(11-$K3)*100)),100000+ABS(3-$J3)*1000+110)+'計算A'!BJ$5*50+IF(AND($E3=1,KW3=0),25,0),IF($F3&gt;0,INDEX('計算A'!BJ$110:BJ$114,$F3+1)+IF(AND($E3=1,KW3=0),1000,0),MIN(TW3,20)*400+(IF('計算A'!BI$106=1,1-FG3,0)+IF('計算A'!BJ$106=1,1-FI3,0))*150+113+'計算A'!BJ$5*100000+IF(AND($E3=1,KW3=0),50000,0))+IF($H3=1,(IF('計算A'!BI$117=1,INDEX('計算A'!BI$10:BI$54,$B3),0)+IF('計算A'!BJ$117=1,INDEX('計算A'!BK$10:BK$54,$B3),0))*4000,0)-IF(AND('計算A'!BI$117=1,WG3&gt;0),2000,0)-IF(AND($L3=1,'計算A'!BJ$117=1,FI3=0),2000,0))),1000000))</f>
        <v/>
      </c>
      <c r="QM3">
        <f>IF($B3=0,1000000,IF(INDEX('計算A'!$D$60:$EQ$104,$B3,60)*FI3=1,IF(AND($E3=2,KX3=0),1000000,IF($I3&gt;0,IF(3=$J3,IF(OR(AND(60=$I3+1,OR($K3&lt;&gt;'計算A'!$A$3,'計算A'!$A$4=0)),AND(60=$I3-1,OR(12&lt;&gt;'計算A'!$A$3,'計算A'!$A$4=0))),0,IF(12=$K3,200000,ABS(12-$K3)*100)),100000+ABS(3-$J3)*1000+120)+'計算A'!BK$5*50+IF(AND($E3=1,KX3=0),25,0),IF($F3&gt;0,INDEX('計算A'!BK$110:BK$114,$F3+1)+IF(AND($E3=1,KX3=0),1000,0),MIN(TW3,20)*400+(IF('計算A'!BJ$106=1,1-FH3,0)+IF('計算A'!BK$106=1,1-FJ3,0))*150+123+'計算A'!BK$5*100000+IF(AND($E3=1,KX3=0),50000,0))+IF($H3=1,(IF('計算A'!BJ$117=1,INDEX('計算A'!BJ$10:BJ$54,$B3),0)+IF('計算A'!BK$117=1,INDEX('計算A'!BL$10:BL$54,$B3),0))*4000,0)-IF(AND('計算A'!BJ$117=1,WH3&gt;0),2000,0)-IF(AND($L3=1,'計算A'!BK$117=1,FJ3=0),2000,0))),1000000))</f>
        <v/>
      </c>
      <c r="QN3">
        <f>IF($B3=0,1000000,IF(INDEX('計算A'!$D$60:$EQ$104,$B3,61)*FJ3=1,IF(AND($E3=2,KY3=0),1000000,IF($I3&gt;0,IF(3=$J3,IF(OR(AND(61=$I3+1,OR($K3&lt;&gt;'計算A'!$A$3,'計算A'!$A$4=0)),AND(61=$I3-1,OR(13&lt;&gt;'計算A'!$A$3,'計算A'!$A$4=0))),0,IF(13=$K3,200000,ABS(13-$K3)*100)),100000+ABS(3-$J3)*1000+130)+'計算A'!BL$5*50+IF(AND($E3=1,KY3=0),25,0),IF($F3&gt;0,INDEX('計算A'!BL$110:BL$114,$F3+1)+IF(AND($E3=1,KY3=0),1000,0),MIN(TW3,20)*400+(IF('計算A'!BK$106=1,1-FI3,0)+IF('計算A'!BL$106=1,1-FK3,0))*150+133+'計算A'!BL$5*100000+IF(AND($E3=1,KY3=0),50000,0))+IF($H3=1,(IF('計算A'!BK$117=1,INDEX('計算A'!BK$10:BK$54,$B3),0)+IF('計算A'!BL$117=1,INDEX('計算A'!BM$10:BM$54,$B3),0))*4000,0)-IF(AND('計算A'!BK$117=1,WI3&gt;0),2000,0)-IF(AND($L3=1,'計算A'!BL$117=1,FK3=0),2000,0))),1000000))</f>
        <v/>
      </c>
      <c r="QO3">
        <f>IF($B3=0,1000000,IF(INDEX('計算A'!$D$60:$EQ$104,$B3,62)*FK3=1,IF(AND($E3=2,KZ3=0),1000000,IF($I3&gt;0,IF(3=$J3,IF(OR(AND(62=$I3+1,OR($K3&lt;&gt;'計算A'!$A$3,'計算A'!$A$4=0)),AND(62=$I3-1,OR(14&lt;&gt;'計算A'!$A$3,'計算A'!$A$4=0))),0,IF(14=$K3,200000,ABS(14-$K3)*100)),100000+ABS(3-$J3)*1000+140)+'計算A'!BM$5*50+IF(AND($E3=1,KZ3=0),25,0),IF($F3&gt;0,INDEX('計算A'!BM$110:BM$114,$F3+1)+IF(AND($E3=1,KZ3=0),1000,0),MIN(TW3,20)*400+(IF('計算A'!BL$106=1,1-FJ3,0)+IF('計算A'!BM$106=1,1-FL3,0))*150+143+'計算A'!BM$5*100000+IF(AND($E3=1,KZ3=0),50000,0))+IF($H3=1,(IF('計算A'!BL$117=1,INDEX('計算A'!BL$10:BL$54,$B3),0)+IF('計算A'!BM$117=1,INDEX('計算A'!BN$10:BN$54,$B3),0))*4000,0)-IF(AND('計算A'!BL$117=1,WJ3&gt;0),2000,0)-IF(AND($L3=1,'計算A'!BM$117=1,FL3=0),2000,0))),1000000))</f>
        <v/>
      </c>
      <c r="QP3">
        <f>IF($B3=0,1000000,IF(INDEX('計算A'!$D$60:$EQ$104,$B3,63)*FL3=1,IF(AND($E3=2,LA3=0),1000000,IF($I3&gt;0,IF(3=$J3,IF(OR(AND(63=$I3+1,OR($K3&lt;&gt;'計算A'!$A$3,'計算A'!$A$4=0)),AND(63=$I3-1,OR(15&lt;&gt;'計算A'!$A$3,'計算A'!$A$4=0))),0,IF(15=$K3,200000,ABS(15-$K3)*100)),100000+ABS(3-$J3)*1000+150)+'計算A'!BN$5*50+IF(AND($E3=1,LA3=0),25,0),IF($F3&gt;0,INDEX('計算A'!BN$110:BN$114,$F3+1)+IF(AND($E3=1,LA3=0),1000,0),MIN(TW3,20)*400+(IF('計算A'!BM$106=1,1-FK3,0)+IF('計算A'!BN$106=1,1-FM3,0))*150+153+'計算A'!BN$5*100000+IF(AND($E3=1,LA3=0),50000,0))+IF($H3=1,(IF('計算A'!BM$117=1,INDEX('計算A'!BM$10:BM$54,$B3),0)+IF('計算A'!BN$117=1,INDEX('計算A'!BO$10:BO$54,$B3),0))*4000,0)-IF(AND('計算A'!BM$117=1,WK3&gt;0),2000,0)-IF(AND($L3=1,'計算A'!BN$117=1,FM3=0),2000,0))),1000000))</f>
        <v/>
      </c>
      <c r="QQ3">
        <f>IF($B3=0,1000000,IF(INDEX('計算A'!$D$60:$EQ$104,$B3,64)*FM3=1,IF(AND($E3=2,LB3=0),1000000,IF($I3&gt;0,IF(3=$J3,IF(OR(AND(64=$I3+1,OR($K3&lt;&gt;'計算A'!$A$3,'計算A'!$A$4=0)),AND(64=$I3-1,OR(16&lt;&gt;'計算A'!$A$3,'計算A'!$A$4=0))),0,IF(16=$K3,200000,ABS(16-$K3)*100)),100000+ABS(3-$J3)*1000+160)+'計算A'!BO$5*50+IF(AND($E3=1,LB3=0),25,0),IF($F3&gt;0,INDEX('計算A'!BO$110:BO$114,$F3+1)+IF(AND($E3=1,LB3=0),1000,0),MIN(TW3,20)*400+(IF('計算A'!BN$106=1,1-FL3,0)+IF('計算A'!BO$106=1,1-FN3,0))*150+163+'計算A'!BO$5*100000+IF(AND($E3=1,LB3=0),50000,0))+IF($H3=1,(IF('計算A'!BN$117=1,INDEX('計算A'!BN$10:BN$54,$B3),0)+IF('計算A'!BO$117=1,INDEX('計算A'!BP$10:BP$54,$B3),0))*4000,0)-IF(AND('計算A'!BN$117=1,WL3&gt;0),2000,0)-IF(AND($L3=1,'計算A'!BO$117=1,FN3=0),2000,0))),1000000))</f>
        <v/>
      </c>
      <c r="QR3">
        <f>IF($B3=0,1000000,IF(INDEX('計算A'!$D$60:$EQ$104,$B3,65)*FN3=1,IF(AND($E3=2,LC3=0),1000000,IF($I3&gt;0,IF(3=$J3,IF(OR(AND(65=$I3+1,OR($K3&lt;&gt;'計算A'!$A$3,'計算A'!$A$4=0)),AND(65=$I3-1,OR(17&lt;&gt;'計算A'!$A$3,'計算A'!$A$4=0))),0,IF(17=$K3,200000,ABS(17-$K3)*100)),100000+ABS(3-$J3)*1000+170)+'計算A'!BP$5*50+IF(AND($E3=1,LC3=0),25,0),IF($F3&gt;0,INDEX('計算A'!BP$110:BP$114,$F3+1)+IF(AND($E3=1,LC3=0),1000,0),MIN(TW3,20)*400+(IF('計算A'!BO$106=1,1-FM3,0)+IF('計算A'!BP$106=1,1-FO3,0))*150+173+'計算A'!BP$5*100000+IF(AND($E3=1,LC3=0),50000,0))+IF($H3=1,(IF('計算A'!BO$117=1,INDEX('計算A'!BO$10:BO$54,$B3),0)+IF('計算A'!BP$117=1,INDEX('計算A'!BQ$10:BQ$54,$B3),0))*4000,0)-IF(AND('計算A'!BO$117=1,WM3&gt;0),2000,0)-IF(AND($L3=1,'計算A'!BP$117=1,FO3=0),2000,0))),1000000))</f>
        <v/>
      </c>
      <c r="QS3">
        <f>IF($B3=0,1000000,IF(INDEX('計算A'!$D$60:$EQ$104,$B3,66)*FO3=1,IF(AND($E3=2,LD3=0),1000000,IF($I3&gt;0,IF(3=$J3,IF(OR(AND(66=$I3+1,OR($K3&lt;&gt;'計算A'!$A$3,'計算A'!$A$4=0)),AND(66=$I3-1,OR(18&lt;&gt;'計算A'!$A$3,'計算A'!$A$4=0))),0,IF(18=$K3,200000,ABS(18-$K3)*100)),100000+ABS(3-$J3)*1000+180)+'計算A'!BQ$5*50+IF(AND($E3=1,LD3=0),25,0),IF($F3&gt;0,INDEX('計算A'!BQ$110:BQ$114,$F3+1)+IF(AND($E3=1,LD3=0),1000,0),MIN(TW3,20)*400+(IF('計算A'!BP$106=1,1-FN3,0)+IF('計算A'!BQ$106=1,1-FP3,0))*150+183+'計算A'!BQ$5*100000+IF(AND($E3=1,LD3=0),50000,0))+IF($H3=1,(IF('計算A'!BP$117=1,INDEX('計算A'!BP$10:BP$54,$B3),0)+IF('計算A'!BQ$117=1,INDEX('計算A'!BR$10:BR$54,$B3),0))*4000,0)-IF(AND('計算A'!BP$117=1,WN3&gt;0),2000,0)-IF(AND($L3=1,'計算A'!BQ$117=1,FP3=0),2000,0))),1000000))</f>
        <v/>
      </c>
      <c r="QT3">
        <f>IF($B3=0,1000000,IF(INDEX('計算A'!$D$60:$EQ$104,$B3,67)*FP3=1,IF(AND($E3=2,LE3=0),1000000,IF($I3&gt;0,IF(3=$J3,IF(OR(AND(67=$I3+1,OR($K3&lt;&gt;'計算A'!$A$3,'計算A'!$A$4=0)),AND(67=$I3-1,OR(19&lt;&gt;'計算A'!$A$3,'計算A'!$A$4=0))),0,IF(19=$K3,200000,ABS(19-$K3)*100)),100000+ABS(3-$J3)*1000+190)+'計算A'!BR$5*50+IF(AND($E3=1,LE3=0),25,0),IF($F3&gt;0,INDEX('計算A'!BR$110:BR$114,$F3+1)+IF(AND($E3=1,LE3=0),1000,0),MIN(TW3,20)*400+(IF('計算A'!BQ$106=1,1-FO3,0)+IF('計算A'!BR$106=1,1-FQ3,0))*150+193+'計算A'!BR$5*100000+IF(AND($E3=1,LE3=0),50000,0))+IF($H3=1,(IF('計算A'!BQ$117=1,INDEX('計算A'!BQ$10:BQ$54,$B3),0)+IF('計算A'!BR$117=1,INDEX('計算A'!BS$10:BS$54,$B3),0))*4000,0)-IF(AND('計算A'!BQ$117=1,WO3&gt;0),2000,0)-IF(AND($L3=1,'計算A'!BR$117=1,FQ3=0),2000,0))),1000000))</f>
        <v/>
      </c>
      <c r="QU3">
        <f>IF($B3=0,1000000,IF(INDEX('計算A'!$D$60:$EQ$104,$B3,68)*FQ3=1,IF(AND($E3=2,LF3=0),1000000,IF($I3&gt;0,IF(3=$J3,IF(OR(AND(68=$I3+1,OR($K3&lt;&gt;'計算A'!$A$3,'計算A'!$A$4=0)),AND(68=$I3-1,OR(20&lt;&gt;'計算A'!$A$3,'計算A'!$A$4=0))),0,IF(20=$K3,200000,ABS(20-$K3)*100)),100000+ABS(3-$J3)*1000+200)+'計算A'!BS$5*50+IF(AND($E3=1,LF3=0),25,0),IF($F3&gt;0,INDEX('計算A'!BS$110:BS$114,$F3+1)+IF(AND($E3=1,LF3=0),1000,0),MIN(TW3,20)*400+(IF('計算A'!BR$106=1,1-FP3,0)+IF('計算A'!BS$106=1,1-FR3,0))*150+203+'計算A'!BS$5*100000+IF(AND($E3=1,LF3=0),50000,0))+IF($H3=1,(IF('計算A'!BR$117=1,INDEX('計算A'!BR$10:BR$54,$B3),0)+IF('計算A'!BS$117=1,INDEX('計算A'!BT$10:BT$54,$B3),0))*4000,0)-IF(AND('計算A'!BR$117=1,WP3&gt;0),2000,0)-IF(AND($L3=1,'計算A'!BS$117=1,FR3=0),2000,0))),1000000))</f>
        <v/>
      </c>
      <c r="QV3">
        <f>IF($B3=0,1000000,IF(INDEX('計算A'!$D$60:$EQ$104,$B3,69)*FR3=1,IF(AND($E3=2,LG3=0),1000000,IF($I3&gt;0,IF(3=$J3,IF(OR(AND(69=$I3+1,OR($K3&lt;&gt;'計算A'!$A$3,'計算A'!$A$4=0)),AND(69=$I3-1,OR(21&lt;&gt;'計算A'!$A$3,'計算A'!$A$4=0))),0,IF(21=$K3,200000,ABS(21-$K3)*100)),100000+ABS(3-$J3)*1000+210)+'計算A'!BT$5*50+IF(AND($E3=1,LG3=0),25,0),IF($F3&gt;0,INDEX('計算A'!BT$110:BT$114,$F3+1)+IF(AND($E3=1,LG3=0),1000,0),MIN(TW3,20)*400+(IF('計算A'!BS$106=1,1-FQ3,0)+IF('計算A'!BT$106=1,1-FS3,0))*150+213+'計算A'!BT$5*100000+IF(AND($E3=1,LG3=0),50000,0))+IF($H3=1,(IF('計算A'!BS$117=1,INDEX('計算A'!BS$10:BS$54,$B3),0)+IF('計算A'!BT$117=1,INDEX('計算A'!BU$10:BU$54,$B3),0))*4000,0)-IF(AND('計算A'!BS$117=1,WQ3&gt;0),2000,0)-IF(AND($L3=1,'計算A'!BT$117=1,FS3=0),2000,0))),1000000))</f>
        <v/>
      </c>
      <c r="QW3">
        <f>IF($B3=0,1000000,IF(INDEX('計算A'!$D$60:$EQ$104,$B3,70)*FS3=1,IF(AND($E3=2,LH3=0),1000000,IF($I3&gt;0,IF(3=$J3,IF(OR(AND(70=$I3+1,OR($K3&lt;&gt;'計算A'!$A$3,'計算A'!$A$4=0)),AND(70=$I3-1,OR(22&lt;&gt;'計算A'!$A$3,'計算A'!$A$4=0))),0,IF(22=$K3,200000,ABS(22-$K3)*100)),100000+ABS(3-$J3)*1000+220)+'計算A'!BU$5*50+IF(AND($E3=1,LH3=0),25,0),IF($F3&gt;0,INDEX('計算A'!BU$110:BU$114,$F3+1)+IF(AND($E3=1,LH3=0),1000,0),MIN(TW3,20)*400+(IF('計算A'!BT$106=1,1-FR3,0)+IF('計算A'!BU$106=1,1-FT3,0))*150+223+'計算A'!BU$5*100000+IF(AND($E3=1,LH3=0),50000,0))+IF($H3=1,(IF('計算A'!BT$117=1,INDEX('計算A'!BT$10:BT$54,$B3),0)+IF('計算A'!BU$117=1,INDEX('計算A'!BV$10:BV$54,$B3),0))*4000,0)-IF(AND('計算A'!BT$117=1,WR3&gt;0),2000,0)-IF(AND($L3=1,'計算A'!BU$117=1,FT3=0),2000,0))),1000000))</f>
        <v/>
      </c>
      <c r="QX3">
        <f>IF($B3=0,1000000,IF(INDEX('計算A'!$D$60:$EQ$104,$B3,71)*FT3=1,IF(AND($E3=2,LI3=0),1000000,IF($I3&gt;0,IF(3=$J3,IF(OR(AND(71=$I3+1,OR($K3&lt;&gt;'計算A'!$A$3,'計算A'!$A$4=0)),AND(71=$I3-1,OR(23&lt;&gt;'計算A'!$A$3,'計算A'!$A$4=0))),0,IF(23=$K3,200000,ABS(23-$K3)*100)),100000+ABS(3-$J3)*1000+230)+'計算A'!BV$5*50+IF(AND($E3=1,LI3=0),25,0),IF($F3&gt;0,INDEX('計算A'!BV$110:BV$114,$F3+1)+IF(AND($E3=1,LI3=0),1000,0),MIN(TW3,20)*400+(IF('計算A'!BU$106=1,1-FS3,0)+IF('計算A'!BV$106=1,1-FU3,0))*150+233+'計算A'!BV$5*100000+IF(AND($E3=1,LI3=0),50000,0))+IF($H3=1,(IF('計算A'!BU$117=1,INDEX('計算A'!BU$10:BU$54,$B3),0)+IF('計算A'!BV$117=1,INDEX('計算A'!BW$10:BW$54,$B3),0))*4000,0)-IF(AND('計算A'!BU$117=1,WS3&gt;0),2000,0)-IF(AND($L3=1,'計算A'!BV$117=1,FU3=0),2000,0))),1000000))</f>
        <v/>
      </c>
      <c r="QY3">
        <f>IF($B3=0,1000000,IF(INDEX('計算A'!$D$60:$EQ$104,$B3,72)*FU3=1,IF(AND($E3=2,LJ3=0),1000000,IF($I3&gt;0,IF(3=$J3,IF(OR(AND(72=$I3+1,OR($K3&lt;&gt;'計算A'!$A$3,'計算A'!$A$4=0)),AND(72=$I3-1,OR(24&lt;&gt;'計算A'!$A$3,'計算A'!$A$4=0))),0,IF(24=$K3,200000,ABS(24-$K3)*100)),100000+ABS(3-$J3)*1000+240)+'計算A'!BW$5*50+IF(AND($E3=1,LJ3=0),25,0),IF($F3&gt;0,INDEX('計算A'!BW$110:BW$114,$F3+1)+IF(AND($E3=1,LJ3=0),1000,0),MIN(TW3,20)*400+(IF('計算A'!BV$106=1,1-FT3,0))*150+243+'計算A'!BW$5*100000+IF(AND($E3=1,LJ3=0),50000,0))+IF($H3=1,(IF('計算A'!BV$117=1,INDEX('計算A'!BV$10:BV$54,$B3),0))*4000,0)-IF(AND('計算A'!BV$117=1,WT3&gt;0),2000,0))),1000000))</f>
        <v/>
      </c>
      <c r="QZ3">
        <f>IF($B3=0,1000000,IF(INDEX('計算A'!$D$60:$EQ$104,$B3,73)*FV3=1,IF(AND($E3=2,LK3=0),1000000,IF($I3&gt;0,IF(4=$J3,IF(OR(AND(73=$I3+1,OR($K3&lt;&gt;'計算A'!$A$3,'計算A'!$A$4=0)),AND(73=$I3-1,OR(1&lt;&gt;'計算A'!$A$3,'計算A'!$A$4=0))),0,IF(1=$K3,200000,ABS(1-$K3)*100)),100000+ABS(4-$J3)*1000+10)+'計算A'!BX$5*50+IF(AND($E3=1,LK3=0),25,0),IF($F3&gt;0,INDEX('計算A'!BX$110:BX$114,$F3+1)+IF(AND($E3=1,LK3=0),1000,0),MIN(TX3,20)*400+(IF('計算A'!BX$106=1,1-FW3,0))*150+14+'計算A'!BX$5*100000+IF(AND($E3=1,LK3=0),50000,0))+IF($H3=1,(IF('計算A'!BX$117=1,INDEX('計算A'!BY$10:BY$54,$B3),0))*4000,0)-IF(AND($L3=1,'計算A'!BX$117=1,FW3=0),2000,0))),1000000))</f>
        <v/>
      </c>
      <c r="RA3">
        <f>IF($B3=0,1000000,IF(INDEX('計算A'!$D$60:$EQ$104,$B3,74)*FW3=1,IF(AND($E3=2,LL3=0),1000000,IF($I3&gt;0,IF(4=$J3,IF(OR(AND(74=$I3+1,OR($K3&lt;&gt;'計算A'!$A$3,'計算A'!$A$4=0)),AND(74=$I3-1,OR(2&lt;&gt;'計算A'!$A$3,'計算A'!$A$4=0))),0,IF(2=$K3,200000,ABS(2-$K3)*100)),100000+ABS(4-$J3)*1000+20)+'計算A'!BY$5*50+IF(AND($E3=1,LL3=0),25,0),IF($F3&gt;0,INDEX('計算A'!BY$110:BY$114,$F3+1)+IF(AND($E3=1,LL3=0),1000,0),MIN(TX3,20)*400+(IF('計算A'!BX$106=1,1-FV3,0)+IF('計算A'!BY$106=1,1-FX3,0))*150+24+'計算A'!BY$5*100000+IF(AND($E3=1,LL3=0),50000,0))+IF($H3=1,(IF('計算A'!BX$117=1,INDEX('計算A'!BX$10:BX$54,$B3),0)+IF('計算A'!BY$117=1,INDEX('計算A'!BZ$10:BZ$54,$B3),0))*4000,0)-IF(AND('計算A'!BX$117=1,WV3&gt;0),2000,0)-IF(AND($L3=1,'計算A'!BY$117=1,FX3=0),2000,0))),1000000))</f>
        <v/>
      </c>
      <c r="RB3">
        <f>IF($B3=0,1000000,IF(INDEX('計算A'!$D$60:$EQ$104,$B3,75)*FX3=1,IF(AND($E3=2,LM3=0),1000000,IF($I3&gt;0,IF(4=$J3,IF(OR(AND(75=$I3+1,OR($K3&lt;&gt;'計算A'!$A$3,'計算A'!$A$4=0)),AND(75=$I3-1,OR(3&lt;&gt;'計算A'!$A$3,'計算A'!$A$4=0))),0,IF(3=$K3,200000,ABS(3-$K3)*100)),100000+ABS(4-$J3)*1000+30)+'計算A'!BZ$5*50+IF(AND($E3=1,LM3=0),25,0),IF($F3&gt;0,INDEX('計算A'!BZ$110:BZ$114,$F3+1)+IF(AND($E3=1,LM3=0),1000,0),MIN(TX3,20)*400+(IF('計算A'!BY$106=1,1-FW3,0)+IF('計算A'!BZ$106=1,1-FY3,0))*150+34+'計算A'!BZ$5*100000+IF(AND($E3=1,LM3=0),50000,0))+IF($H3=1,(IF('計算A'!BY$117=1,INDEX('計算A'!BY$10:BY$54,$B3),0)+IF('計算A'!BZ$117=1,INDEX('計算A'!CA$10:CA$54,$B3),0))*4000,0)-IF(AND('計算A'!BY$117=1,WW3&gt;0),2000,0)-IF(AND($L3=1,'計算A'!BZ$117=1,FY3=0),2000,0))),1000000))</f>
        <v/>
      </c>
      <c r="RC3">
        <f>IF($B3=0,1000000,IF(INDEX('計算A'!$D$60:$EQ$104,$B3,76)*FY3=1,IF(AND($E3=2,LN3=0),1000000,IF($I3&gt;0,IF(4=$J3,IF(OR(AND(76=$I3+1,OR($K3&lt;&gt;'計算A'!$A$3,'計算A'!$A$4=0)),AND(76=$I3-1,OR(4&lt;&gt;'計算A'!$A$3,'計算A'!$A$4=0))),0,IF(4=$K3,200000,ABS(4-$K3)*100)),100000+ABS(4-$J3)*1000+40)+'計算A'!CA$5*50+IF(AND($E3=1,LN3=0),25,0),IF($F3&gt;0,INDEX('計算A'!CA$110:CA$114,$F3+1)+IF(AND($E3=1,LN3=0),1000,0),MIN(TX3,20)*400+(IF('計算A'!BZ$106=1,1-FX3,0)+IF('計算A'!CA$106=1,1-FZ3,0))*150+44+'計算A'!CA$5*100000+IF(AND($E3=1,LN3=0),50000,0))+IF($H3=1,(IF('計算A'!BZ$117=1,INDEX('計算A'!BZ$10:BZ$54,$B3),0)+IF('計算A'!CA$117=1,INDEX('計算A'!CB$10:CB$54,$B3),0))*4000,0)-IF(AND('計算A'!BZ$117=1,WX3&gt;0),2000,0)-IF(AND($L3=1,'計算A'!CA$117=1,FZ3=0),2000,0))),1000000))</f>
        <v/>
      </c>
      <c r="RD3">
        <f>IF($B3=0,1000000,IF(INDEX('計算A'!$D$60:$EQ$104,$B3,77)*FZ3=1,IF(AND($E3=2,LO3=0),1000000,IF($I3&gt;0,IF(4=$J3,IF(OR(AND(77=$I3+1,OR($K3&lt;&gt;'計算A'!$A$3,'計算A'!$A$4=0)),AND(77=$I3-1,OR(5&lt;&gt;'計算A'!$A$3,'計算A'!$A$4=0))),0,IF(5=$K3,200000,ABS(5-$K3)*100)),100000+ABS(4-$J3)*1000+50)+'計算A'!CB$5*50+IF(AND($E3=1,LO3=0),25,0),IF($F3&gt;0,INDEX('計算A'!CB$110:CB$114,$F3+1)+IF(AND($E3=1,LO3=0),1000,0),MIN(TX3,20)*400+(IF('計算A'!CA$106=1,1-FY3,0)+IF('計算A'!CB$106=1,1-GA3,0))*150+54+'計算A'!CB$5*100000+IF(AND($E3=1,LO3=0),50000,0))+IF($H3=1,(IF('計算A'!CA$117=1,INDEX('計算A'!CA$10:CA$54,$B3),0)+IF('計算A'!CB$117=1,INDEX('計算A'!CC$10:CC$54,$B3),0))*4000,0)-IF(AND('計算A'!CA$117=1,WY3&gt;0),2000,0)-IF(AND($L3=1,'計算A'!CB$117=1,GA3=0),2000,0))),1000000))</f>
        <v/>
      </c>
      <c r="RE3">
        <f>IF($B3=0,1000000,IF(INDEX('計算A'!$D$60:$EQ$104,$B3,78)*GA3=1,IF(AND($E3=2,LP3=0),1000000,IF($I3&gt;0,IF(4=$J3,IF(OR(AND(78=$I3+1,OR($K3&lt;&gt;'計算A'!$A$3,'計算A'!$A$4=0)),AND(78=$I3-1,OR(6&lt;&gt;'計算A'!$A$3,'計算A'!$A$4=0))),0,IF(6=$K3,200000,ABS(6-$K3)*100)),100000+ABS(4-$J3)*1000+60)+'計算A'!CC$5*50+IF(AND($E3=1,LP3=0),25,0),IF($F3&gt;0,INDEX('計算A'!CC$110:CC$114,$F3+1)+IF(AND($E3=1,LP3=0),1000,0),MIN(TX3,20)*400+(IF('計算A'!CB$106=1,1-FZ3,0)+IF('計算A'!CC$106=1,1-GB3,0))*150+64+'計算A'!CC$5*100000+IF(AND($E3=1,LP3=0),50000,0))+IF($H3=1,(IF('計算A'!CB$117=1,INDEX('計算A'!CB$10:CB$54,$B3),0)+IF('計算A'!CC$117=1,INDEX('計算A'!CD$10:CD$54,$B3),0))*4000,0)-IF(AND('計算A'!CB$117=1,WZ3&gt;0),2000,0)-IF(AND($L3=1,'計算A'!CC$117=1,GB3=0),2000,0))),1000000))</f>
        <v/>
      </c>
      <c r="RF3">
        <f>IF($B3=0,1000000,IF(INDEX('計算A'!$D$60:$EQ$104,$B3,79)*GB3=1,IF(AND($E3=2,LQ3=0),1000000,IF($I3&gt;0,IF(4=$J3,IF(OR(AND(79=$I3+1,OR($K3&lt;&gt;'計算A'!$A$3,'計算A'!$A$4=0)),AND(79=$I3-1,OR(7&lt;&gt;'計算A'!$A$3,'計算A'!$A$4=0))),0,IF(7=$K3,200000,ABS(7-$K3)*100)),100000+ABS(4-$J3)*1000+70)+'計算A'!CD$5*50+IF(AND($E3=1,LQ3=0),25,0),IF($F3&gt;0,INDEX('計算A'!CD$110:CD$114,$F3+1)+IF(AND($E3=1,LQ3=0),1000,0),MIN(TX3,20)*400+(IF('計算A'!CC$106=1,1-GA3,0)+IF('計算A'!CD$106=1,1-GC3,0))*150+74+'計算A'!CD$5*100000+IF(AND($E3=1,LQ3=0),50000,0))+IF($H3=1,(IF('計算A'!CC$117=1,INDEX('計算A'!CC$10:CC$54,$B3),0)+IF('計算A'!CD$117=1,INDEX('計算A'!CE$10:CE$54,$B3),0))*4000,0)-IF(AND('計算A'!CC$117=1,XA3&gt;0),2000,0)-IF(AND($L3=1,'計算A'!CD$117=1,GC3=0),2000,0))),1000000))</f>
        <v/>
      </c>
      <c r="RG3">
        <f>IF($B3=0,1000000,IF(INDEX('計算A'!$D$60:$EQ$104,$B3,80)*GC3=1,IF(AND($E3=2,LR3=0),1000000,IF($I3&gt;0,IF(4=$J3,IF(OR(AND(80=$I3+1,OR($K3&lt;&gt;'計算A'!$A$3,'計算A'!$A$4=0)),AND(80=$I3-1,OR(8&lt;&gt;'計算A'!$A$3,'計算A'!$A$4=0))),0,IF(8=$K3,200000,ABS(8-$K3)*100)),100000+ABS(4-$J3)*1000+80)+'計算A'!CE$5*50+IF(AND($E3=1,LR3=0),25,0),IF($F3&gt;0,INDEX('計算A'!CE$110:CE$114,$F3+1)+IF(AND($E3=1,LR3=0),1000,0),MIN(TX3,20)*400+(IF('計算A'!CD$106=1,1-GB3,0)+IF('計算A'!CE$106=1,1-GD3,0))*150+84+'計算A'!CE$5*100000+IF(AND($E3=1,LR3=0),50000,0))+IF($H3=1,(IF('計算A'!CD$117=1,INDEX('計算A'!CD$10:CD$54,$B3),0)+IF('計算A'!CE$117=1,INDEX('計算A'!CF$10:CF$54,$B3),0))*4000,0)-IF(AND('計算A'!CD$117=1,XB3&gt;0),2000,0)-IF(AND($L3=1,'計算A'!CE$117=1,GD3=0),2000,0))),1000000))</f>
        <v/>
      </c>
      <c r="RH3">
        <f>IF($B3=0,1000000,IF(INDEX('計算A'!$D$60:$EQ$104,$B3,81)*GD3=1,IF(AND($E3=2,LS3=0),1000000,IF($I3&gt;0,IF(4=$J3,IF(OR(AND(81=$I3+1,OR($K3&lt;&gt;'計算A'!$A$3,'計算A'!$A$4=0)),AND(81=$I3-1,OR(9&lt;&gt;'計算A'!$A$3,'計算A'!$A$4=0))),0,IF(9=$K3,200000,ABS(9-$K3)*100)),100000+ABS(4-$J3)*1000+90)+'計算A'!CF$5*50+IF(AND($E3=1,LS3=0),25,0),IF($F3&gt;0,INDEX('計算A'!CF$110:CF$114,$F3+1)+IF(AND($E3=1,LS3=0),1000,0),MIN(TX3,20)*400+(IF('計算A'!CE$106=1,1-GC3,0)+IF('計算A'!CF$106=1,1-GE3,0))*150+94+'計算A'!CF$5*100000+IF(AND($E3=1,LS3=0),50000,0))+IF($H3=1,(IF('計算A'!CE$117=1,INDEX('計算A'!CE$10:CE$54,$B3),0)+IF('計算A'!CF$117=1,INDEX('計算A'!CG$10:CG$54,$B3),0))*4000,0)-IF(AND('計算A'!CE$117=1,XC3&gt;0),2000,0)-IF(AND($L3=1,'計算A'!CF$117=1,GE3=0),2000,0))),1000000))</f>
        <v/>
      </c>
      <c r="RI3">
        <f>IF($B3=0,1000000,IF(INDEX('計算A'!$D$60:$EQ$104,$B3,82)*GE3=1,IF(AND($E3=2,LT3=0),1000000,IF($I3&gt;0,IF(4=$J3,IF(OR(AND(82=$I3+1,OR($K3&lt;&gt;'計算A'!$A$3,'計算A'!$A$4=0)),AND(82=$I3-1,OR(10&lt;&gt;'計算A'!$A$3,'計算A'!$A$4=0))),0,IF(10=$K3,200000,ABS(10-$K3)*100)),100000+ABS(4-$J3)*1000+100)+'計算A'!CG$5*50+IF(AND($E3=1,LT3=0),25,0),IF($F3&gt;0,INDEX('計算A'!CG$110:CG$114,$F3+1)+IF(AND($E3=1,LT3=0),1000,0),MIN(TX3,20)*400+(IF('計算A'!CF$106=1,1-GD3,0)+IF('計算A'!CG$106=1,1-GF3,0))*150+104+'計算A'!CG$5*100000+IF(AND($E3=1,LT3=0),50000,0))+IF($H3=1,(IF('計算A'!CF$117=1,INDEX('計算A'!CF$10:CF$54,$B3),0)+IF('計算A'!CG$117=1,INDEX('計算A'!CH$10:CH$54,$B3),0))*4000,0)-IF(AND('計算A'!CF$117=1,XD3&gt;0),2000,0)-IF(AND($L3=1,'計算A'!CG$117=1,GF3=0),2000,0))),1000000))</f>
        <v/>
      </c>
      <c r="RJ3">
        <f>IF($B3=0,1000000,IF(INDEX('計算A'!$D$60:$EQ$104,$B3,83)*GF3=1,IF(AND($E3=2,LU3=0),1000000,IF($I3&gt;0,IF(4=$J3,IF(OR(AND(83=$I3+1,OR($K3&lt;&gt;'計算A'!$A$3,'計算A'!$A$4=0)),AND(83=$I3-1,OR(11&lt;&gt;'計算A'!$A$3,'計算A'!$A$4=0))),0,IF(11=$K3,200000,ABS(11-$K3)*100)),100000+ABS(4-$J3)*1000+110)+'計算A'!CH$5*50+IF(AND($E3=1,LU3=0),25,0),IF($F3&gt;0,INDEX('計算A'!CH$110:CH$114,$F3+1)+IF(AND($E3=1,LU3=0),1000,0),MIN(TX3,20)*400+(IF('計算A'!CG$106=1,1-GE3,0)+IF('計算A'!CH$106=1,1-GG3,0))*150+114+'計算A'!CH$5*100000+IF(AND($E3=1,LU3=0),50000,0))+IF($H3=1,(IF('計算A'!CG$117=1,INDEX('計算A'!CG$10:CG$54,$B3),0)+IF('計算A'!CH$117=1,INDEX('計算A'!CI$10:CI$54,$B3),0))*4000,0)-IF(AND('計算A'!CG$117=1,XE3&gt;0),2000,0)-IF(AND($L3=1,'計算A'!CH$117=1,GG3=0),2000,0))),1000000))</f>
        <v/>
      </c>
      <c r="RK3">
        <f>IF($B3=0,1000000,IF(INDEX('計算A'!$D$60:$EQ$104,$B3,84)*GG3=1,IF(AND($E3=2,LV3=0),1000000,IF($I3&gt;0,IF(4=$J3,IF(OR(AND(84=$I3+1,OR($K3&lt;&gt;'計算A'!$A$3,'計算A'!$A$4=0)),AND(84=$I3-1,OR(12&lt;&gt;'計算A'!$A$3,'計算A'!$A$4=0))),0,IF(12=$K3,200000,ABS(12-$K3)*100)),100000+ABS(4-$J3)*1000+120)+'計算A'!CI$5*50+IF(AND($E3=1,LV3=0),25,0),IF($F3&gt;0,INDEX('計算A'!CI$110:CI$114,$F3+1)+IF(AND($E3=1,LV3=0),1000,0),MIN(TX3,20)*400+(IF('計算A'!CH$106=1,1-GF3,0)+IF('計算A'!CI$106=1,1-GH3,0))*150+124+'計算A'!CI$5*100000+IF(AND($E3=1,LV3=0),50000,0))+IF($H3=1,(IF('計算A'!CH$117=1,INDEX('計算A'!CH$10:CH$54,$B3),0)+IF('計算A'!CI$117=1,INDEX('計算A'!CJ$10:CJ$54,$B3),0))*4000,0)-IF(AND('計算A'!CH$117=1,XF3&gt;0),2000,0)-IF(AND($L3=1,'計算A'!CI$117=1,GH3=0),2000,0))),1000000))</f>
        <v/>
      </c>
      <c r="RL3">
        <f>IF($B3=0,1000000,IF(INDEX('計算A'!$D$60:$EQ$104,$B3,85)*GH3=1,IF(AND($E3=2,LW3=0),1000000,IF($I3&gt;0,IF(4=$J3,IF(OR(AND(85=$I3+1,OR($K3&lt;&gt;'計算A'!$A$3,'計算A'!$A$4=0)),AND(85=$I3-1,OR(13&lt;&gt;'計算A'!$A$3,'計算A'!$A$4=0))),0,IF(13=$K3,200000,ABS(13-$K3)*100)),100000+ABS(4-$J3)*1000+130)+'計算A'!CJ$5*50+IF(AND($E3=1,LW3=0),25,0),IF($F3&gt;0,INDEX('計算A'!CJ$110:CJ$114,$F3+1)+IF(AND($E3=1,LW3=0),1000,0),MIN(TX3,20)*400+(IF('計算A'!CI$106=1,1-GG3,0)+IF('計算A'!CJ$106=1,1-GI3,0))*150+134+'計算A'!CJ$5*100000+IF(AND($E3=1,LW3=0),50000,0))+IF($H3=1,(IF('計算A'!CI$117=1,INDEX('計算A'!CI$10:CI$54,$B3),0)+IF('計算A'!CJ$117=1,INDEX('計算A'!CK$10:CK$54,$B3),0))*4000,0)-IF(AND('計算A'!CI$117=1,XG3&gt;0),2000,0)-IF(AND($L3=1,'計算A'!CJ$117=1,GI3=0),2000,0))),1000000))</f>
        <v/>
      </c>
      <c r="RM3">
        <f>IF($B3=0,1000000,IF(INDEX('計算A'!$D$60:$EQ$104,$B3,86)*GI3=1,IF(AND($E3=2,LX3=0),1000000,IF($I3&gt;0,IF(4=$J3,IF(OR(AND(86=$I3+1,OR($K3&lt;&gt;'計算A'!$A$3,'計算A'!$A$4=0)),AND(86=$I3-1,OR(14&lt;&gt;'計算A'!$A$3,'計算A'!$A$4=0))),0,IF(14=$K3,200000,ABS(14-$K3)*100)),100000+ABS(4-$J3)*1000+140)+'計算A'!CK$5*50+IF(AND($E3=1,LX3=0),25,0),IF($F3&gt;0,INDEX('計算A'!CK$110:CK$114,$F3+1)+IF(AND($E3=1,LX3=0),1000,0),MIN(TX3,20)*400+(IF('計算A'!CJ$106=1,1-GH3,0)+IF('計算A'!CK$106=1,1-GJ3,0))*150+144+'計算A'!CK$5*100000+IF(AND($E3=1,LX3=0),50000,0))+IF($H3=1,(IF('計算A'!CJ$117=1,INDEX('計算A'!CJ$10:CJ$54,$B3),0)+IF('計算A'!CK$117=1,INDEX('計算A'!CL$10:CL$54,$B3),0))*4000,0)-IF(AND('計算A'!CJ$117=1,XH3&gt;0),2000,0)-IF(AND($L3=1,'計算A'!CK$117=1,GJ3=0),2000,0))),1000000))</f>
        <v/>
      </c>
      <c r="RN3">
        <f>IF($B3=0,1000000,IF(INDEX('計算A'!$D$60:$EQ$104,$B3,87)*GJ3=1,IF(AND($E3=2,LY3=0),1000000,IF($I3&gt;0,IF(4=$J3,IF(OR(AND(87=$I3+1,OR($K3&lt;&gt;'計算A'!$A$3,'計算A'!$A$4=0)),AND(87=$I3-1,OR(15&lt;&gt;'計算A'!$A$3,'計算A'!$A$4=0))),0,IF(15=$K3,200000,ABS(15-$K3)*100)),100000+ABS(4-$J3)*1000+150)+'計算A'!CL$5*50+IF(AND($E3=1,LY3=0),25,0),IF($F3&gt;0,INDEX('計算A'!CL$110:CL$114,$F3+1)+IF(AND($E3=1,LY3=0),1000,0),MIN(TX3,20)*400+(IF('計算A'!CK$106=1,1-GI3,0)+IF('計算A'!CL$106=1,1-GK3,0))*150+154+'計算A'!CL$5*100000+IF(AND($E3=1,LY3=0),50000,0))+IF($H3=1,(IF('計算A'!CK$117=1,INDEX('計算A'!CK$10:CK$54,$B3),0)+IF('計算A'!CL$117=1,INDEX('計算A'!CM$10:CM$54,$B3),0))*4000,0)-IF(AND('計算A'!CK$117=1,XI3&gt;0),2000,0)-IF(AND($L3=1,'計算A'!CL$117=1,GK3=0),2000,0))),1000000))</f>
        <v/>
      </c>
      <c r="RO3">
        <f>IF($B3=0,1000000,IF(INDEX('計算A'!$D$60:$EQ$104,$B3,88)*GK3=1,IF(AND($E3=2,LZ3=0),1000000,IF($I3&gt;0,IF(4=$J3,IF(OR(AND(88=$I3+1,OR($K3&lt;&gt;'計算A'!$A$3,'計算A'!$A$4=0)),AND(88=$I3-1,OR(16&lt;&gt;'計算A'!$A$3,'計算A'!$A$4=0))),0,IF(16=$K3,200000,ABS(16-$K3)*100)),100000+ABS(4-$J3)*1000+160)+'計算A'!CM$5*50+IF(AND($E3=1,LZ3=0),25,0),IF($F3&gt;0,INDEX('計算A'!CM$110:CM$114,$F3+1)+IF(AND($E3=1,LZ3=0),1000,0),MIN(TX3,20)*400+(IF('計算A'!CL$106=1,1-GJ3,0)+IF('計算A'!CM$106=1,1-GL3,0))*150+164+'計算A'!CM$5*100000+IF(AND($E3=1,LZ3=0),50000,0))+IF($H3=1,(IF('計算A'!CL$117=1,INDEX('計算A'!CL$10:CL$54,$B3),0)+IF('計算A'!CM$117=1,INDEX('計算A'!CN$10:CN$54,$B3),0))*4000,0)-IF(AND('計算A'!CL$117=1,XJ3&gt;0),2000,0)-IF(AND($L3=1,'計算A'!CM$117=1,GL3=0),2000,0))),1000000))</f>
        <v/>
      </c>
      <c r="RP3">
        <f>IF($B3=0,1000000,IF(INDEX('計算A'!$D$60:$EQ$104,$B3,89)*GL3=1,IF(AND($E3=2,MA3=0),1000000,IF($I3&gt;0,IF(4=$J3,IF(OR(AND(89=$I3+1,OR($K3&lt;&gt;'計算A'!$A$3,'計算A'!$A$4=0)),AND(89=$I3-1,OR(17&lt;&gt;'計算A'!$A$3,'計算A'!$A$4=0))),0,IF(17=$K3,200000,ABS(17-$K3)*100)),100000+ABS(4-$J3)*1000+170)+'計算A'!CN$5*50+IF(AND($E3=1,MA3=0),25,0),IF($F3&gt;0,INDEX('計算A'!CN$110:CN$114,$F3+1)+IF(AND($E3=1,MA3=0),1000,0),MIN(TX3,20)*400+(IF('計算A'!CM$106=1,1-GK3,0)+IF('計算A'!CN$106=1,1-GM3,0))*150+174+'計算A'!CN$5*100000+IF(AND($E3=1,MA3=0),50000,0))+IF($H3=1,(IF('計算A'!CM$117=1,INDEX('計算A'!CM$10:CM$54,$B3),0)+IF('計算A'!CN$117=1,INDEX('計算A'!CO$10:CO$54,$B3),0))*4000,0)-IF(AND('計算A'!CM$117=1,XK3&gt;0),2000,0)-IF(AND($L3=1,'計算A'!CN$117=1,GM3=0),2000,0))),1000000))</f>
        <v/>
      </c>
      <c r="RQ3">
        <f>IF($B3=0,1000000,IF(INDEX('計算A'!$D$60:$EQ$104,$B3,90)*GM3=1,IF(AND($E3=2,MB3=0),1000000,IF($I3&gt;0,IF(4=$J3,IF(OR(AND(90=$I3+1,OR($K3&lt;&gt;'計算A'!$A$3,'計算A'!$A$4=0)),AND(90=$I3-1,OR(18&lt;&gt;'計算A'!$A$3,'計算A'!$A$4=0))),0,IF(18=$K3,200000,ABS(18-$K3)*100)),100000+ABS(4-$J3)*1000+180)+'計算A'!CO$5*50+IF(AND($E3=1,MB3=0),25,0),IF($F3&gt;0,INDEX('計算A'!CO$110:CO$114,$F3+1)+IF(AND($E3=1,MB3=0),1000,0),MIN(TX3,20)*400+(IF('計算A'!CN$106=1,1-GL3,0)+IF('計算A'!CO$106=1,1-GN3,0))*150+184+'計算A'!CO$5*100000+IF(AND($E3=1,MB3=0),50000,0))+IF($H3=1,(IF('計算A'!CN$117=1,INDEX('計算A'!CN$10:CN$54,$B3),0)+IF('計算A'!CO$117=1,INDEX('計算A'!CP$10:CP$54,$B3),0))*4000,0)-IF(AND('計算A'!CN$117=1,XL3&gt;0),2000,0)-IF(AND($L3=1,'計算A'!CO$117=1,GN3=0),2000,0))),1000000))</f>
        <v/>
      </c>
      <c r="RR3">
        <f>IF($B3=0,1000000,IF(INDEX('計算A'!$D$60:$EQ$104,$B3,91)*GN3=1,IF(AND($E3=2,MC3=0),1000000,IF($I3&gt;0,IF(4=$J3,IF(OR(AND(91=$I3+1,OR($K3&lt;&gt;'計算A'!$A$3,'計算A'!$A$4=0)),AND(91=$I3-1,OR(19&lt;&gt;'計算A'!$A$3,'計算A'!$A$4=0))),0,IF(19=$K3,200000,ABS(19-$K3)*100)),100000+ABS(4-$J3)*1000+190)+'計算A'!CP$5*50+IF(AND($E3=1,MC3=0),25,0),IF($F3&gt;0,INDEX('計算A'!CP$110:CP$114,$F3+1)+IF(AND($E3=1,MC3=0),1000,0),MIN(TX3,20)*400+(IF('計算A'!CO$106=1,1-GM3,0)+IF('計算A'!CP$106=1,1-GO3,0))*150+194+'計算A'!CP$5*100000+IF(AND($E3=1,MC3=0),50000,0))+IF($H3=1,(IF('計算A'!CO$117=1,INDEX('計算A'!CO$10:CO$54,$B3),0)+IF('計算A'!CP$117=1,INDEX('計算A'!CQ$10:CQ$54,$B3),0))*4000,0)-IF(AND('計算A'!CO$117=1,XM3&gt;0),2000,0)-IF(AND($L3=1,'計算A'!CP$117=1,GO3=0),2000,0))),1000000))</f>
        <v/>
      </c>
      <c r="RS3">
        <f>IF($B3=0,1000000,IF(INDEX('計算A'!$D$60:$EQ$104,$B3,92)*GO3=1,IF(AND($E3=2,MD3=0),1000000,IF($I3&gt;0,IF(4=$J3,IF(OR(AND(92=$I3+1,OR($K3&lt;&gt;'計算A'!$A$3,'計算A'!$A$4=0)),AND(92=$I3-1,OR(20&lt;&gt;'計算A'!$A$3,'計算A'!$A$4=0))),0,IF(20=$K3,200000,ABS(20-$K3)*100)),100000+ABS(4-$J3)*1000+200)+'計算A'!CQ$5*50+IF(AND($E3=1,MD3=0),25,0),IF($F3&gt;0,INDEX('計算A'!CQ$110:CQ$114,$F3+1)+IF(AND($E3=1,MD3=0),1000,0),MIN(TX3,20)*400+(IF('計算A'!CP$106=1,1-GN3,0)+IF('計算A'!CQ$106=1,1-GP3,0))*150+204+'計算A'!CQ$5*100000+IF(AND($E3=1,MD3=0),50000,0))+IF($H3=1,(IF('計算A'!CP$117=1,INDEX('計算A'!CP$10:CP$54,$B3),0)+IF('計算A'!CQ$117=1,INDEX('計算A'!CR$10:CR$54,$B3),0))*4000,0)-IF(AND('計算A'!CP$117=1,XN3&gt;0),2000,0)-IF(AND($L3=1,'計算A'!CQ$117=1,GP3=0),2000,0))),1000000))</f>
        <v/>
      </c>
      <c r="RT3">
        <f>IF($B3=0,1000000,IF(INDEX('計算A'!$D$60:$EQ$104,$B3,93)*GP3=1,IF(AND($E3=2,ME3=0),1000000,IF($I3&gt;0,IF(4=$J3,IF(OR(AND(93=$I3+1,OR($K3&lt;&gt;'計算A'!$A$3,'計算A'!$A$4=0)),AND(93=$I3-1,OR(21&lt;&gt;'計算A'!$A$3,'計算A'!$A$4=0))),0,IF(21=$K3,200000,ABS(21-$K3)*100)),100000+ABS(4-$J3)*1000+210)+'計算A'!CR$5*50+IF(AND($E3=1,ME3=0),25,0),IF($F3&gt;0,INDEX('計算A'!CR$110:CR$114,$F3+1)+IF(AND($E3=1,ME3=0),1000,0),MIN(TX3,20)*400+(IF('計算A'!CQ$106=1,1-GO3,0)+IF('計算A'!CR$106=1,1-GQ3,0))*150+214+'計算A'!CR$5*100000+IF(AND($E3=1,ME3=0),50000,0))+IF($H3=1,(IF('計算A'!CQ$117=1,INDEX('計算A'!CQ$10:CQ$54,$B3),0)+IF('計算A'!CR$117=1,INDEX('計算A'!CS$10:CS$54,$B3),0))*4000,0)-IF(AND('計算A'!CQ$117=1,XO3&gt;0),2000,0)-IF(AND($L3=1,'計算A'!CR$117=1,GQ3=0),2000,0))),1000000))</f>
        <v/>
      </c>
      <c r="RU3">
        <f>IF($B3=0,1000000,IF(INDEX('計算A'!$D$60:$EQ$104,$B3,94)*GQ3=1,IF(AND($E3=2,MF3=0),1000000,IF($I3&gt;0,IF(4=$J3,IF(OR(AND(94=$I3+1,OR($K3&lt;&gt;'計算A'!$A$3,'計算A'!$A$4=0)),AND(94=$I3-1,OR(22&lt;&gt;'計算A'!$A$3,'計算A'!$A$4=0))),0,IF(22=$K3,200000,ABS(22-$K3)*100)),100000+ABS(4-$J3)*1000+220)+'計算A'!CS$5*50+IF(AND($E3=1,MF3=0),25,0),IF($F3&gt;0,INDEX('計算A'!CS$110:CS$114,$F3+1)+IF(AND($E3=1,MF3=0),1000,0),MIN(TX3,20)*400+(IF('計算A'!CR$106=1,1-GP3,0)+IF('計算A'!CS$106=1,1-GR3,0))*150+224+'計算A'!CS$5*100000+IF(AND($E3=1,MF3=0),50000,0))+IF($H3=1,(IF('計算A'!CR$117=1,INDEX('計算A'!CR$10:CR$54,$B3),0)+IF('計算A'!CS$117=1,INDEX('計算A'!CT$10:CT$54,$B3),0))*4000,0)-IF(AND('計算A'!CR$117=1,XP3&gt;0),2000,0)-IF(AND($L3=1,'計算A'!CS$117=1,GR3=0),2000,0))),1000000))</f>
        <v/>
      </c>
      <c r="RV3">
        <f>IF($B3=0,1000000,IF(INDEX('計算A'!$D$60:$EQ$104,$B3,95)*GR3=1,IF(AND($E3=2,MG3=0),1000000,IF($I3&gt;0,IF(4=$J3,IF(OR(AND(95=$I3+1,OR($K3&lt;&gt;'計算A'!$A$3,'計算A'!$A$4=0)),AND(95=$I3-1,OR(23&lt;&gt;'計算A'!$A$3,'計算A'!$A$4=0))),0,IF(23=$K3,200000,ABS(23-$K3)*100)),100000+ABS(4-$J3)*1000+230)+'計算A'!CT$5*50+IF(AND($E3=1,MG3=0),25,0),IF($F3&gt;0,INDEX('計算A'!CT$110:CT$114,$F3+1)+IF(AND($E3=1,MG3=0),1000,0),MIN(TX3,20)*400+(IF('計算A'!CS$106=1,1-GQ3,0)+IF('計算A'!CT$106=1,1-GS3,0))*150+234+'計算A'!CT$5*100000+IF(AND($E3=1,MG3=0),50000,0))+IF($H3=1,(IF('計算A'!CS$117=1,INDEX('計算A'!CS$10:CS$54,$B3),0)+IF('計算A'!CT$117=1,INDEX('計算A'!CU$10:CU$54,$B3),0))*4000,0)-IF(AND('計算A'!CS$117=1,XQ3&gt;0),2000,0)-IF(AND($L3=1,'計算A'!CT$117=1,GS3=0),2000,0))),1000000))</f>
        <v/>
      </c>
      <c r="RW3">
        <f>IF($B3=0,1000000,IF(INDEX('計算A'!$D$60:$EQ$104,$B3,96)*GS3=1,IF(AND($E3=2,MH3=0),1000000,IF($I3&gt;0,IF(4=$J3,IF(OR(AND(96=$I3+1,OR($K3&lt;&gt;'計算A'!$A$3,'計算A'!$A$4=0)),AND(96=$I3-1,OR(24&lt;&gt;'計算A'!$A$3,'計算A'!$A$4=0))),0,IF(24=$K3,200000,ABS(24-$K3)*100)),100000+ABS(4-$J3)*1000+240)+'計算A'!CU$5*50+IF(AND($E3=1,MH3=0),25,0),IF($F3&gt;0,INDEX('計算A'!CU$110:CU$114,$F3+1)+IF(AND($E3=1,MH3=0),1000,0),MIN(TX3,20)*400+(IF('計算A'!CT$106=1,1-GR3,0))*150+244+'計算A'!CU$5*100000+IF(AND($E3=1,MH3=0),50000,0))+IF($H3=1,(IF('計算A'!CT$117=1,INDEX('計算A'!CT$10:CT$54,$B3),0))*4000,0)-IF(AND('計算A'!CT$117=1,XR3&gt;0),2000,0))),1000000))</f>
        <v/>
      </c>
      <c r="RX3">
        <f>IF($B3=0,1000000,IF(INDEX('計算A'!$D$60:$EQ$104,$B3,97)*GT3=1,IF(AND($E3=2,MI3=0),1000000,IF($I3&gt;0,IF(5=$J3,IF(OR(AND(97=$I3+1,OR($K3&lt;&gt;'計算A'!$A$3,'計算A'!$A$4=0)),AND(97=$I3-1,OR(1&lt;&gt;'計算A'!$A$3,'計算A'!$A$4=0))),0,IF(1=$K3,200000,ABS(1-$K3)*100)),100000+ABS(5-$J3)*1000+10)+'計算A'!CV$5*50+IF(AND($E3=1,MI3=0),25,0),IF($F3&gt;0,INDEX('計算A'!CV$110:CV$114,$F3+1)+IF(AND($E3=1,MI3=0),1000,0),MIN(TY3,20)*400+(IF('計算A'!CV$106=1,1-GU3,0))*150+15+'計算A'!CV$5*100000+IF(AND($E3=1,MI3=0),50000,0))+IF($H3=1,(IF('計算A'!CV$117=1,INDEX('計算A'!CW$10:CW$54,$B3),0))*4000,0)-IF(AND($L3=1,'計算A'!CV$117=1,GU3=0),2000,0))),1000000))</f>
        <v/>
      </c>
      <c r="RY3">
        <f>IF($B3=0,1000000,IF(INDEX('計算A'!$D$60:$EQ$104,$B3,98)*GU3=1,IF(AND($E3=2,MJ3=0),1000000,IF($I3&gt;0,IF(5=$J3,IF(OR(AND(98=$I3+1,OR($K3&lt;&gt;'計算A'!$A$3,'計算A'!$A$4=0)),AND(98=$I3-1,OR(2&lt;&gt;'計算A'!$A$3,'計算A'!$A$4=0))),0,IF(2=$K3,200000,ABS(2-$K3)*100)),100000+ABS(5-$J3)*1000+20)+'計算A'!CW$5*50+IF(AND($E3=1,MJ3=0),25,0),IF($F3&gt;0,INDEX('計算A'!CW$110:CW$114,$F3+1)+IF(AND($E3=1,MJ3=0),1000,0),MIN(TY3,20)*400+(IF('計算A'!CV$106=1,1-GT3,0)+IF('計算A'!CW$106=1,1-GV3,0))*150+25+'計算A'!CW$5*100000+IF(AND($E3=1,MJ3=0),50000,0))+IF($H3=1,(IF('計算A'!CV$117=1,INDEX('計算A'!CV$10:CV$54,$B3),0)+IF('計算A'!CW$117=1,INDEX('計算A'!CX$10:CX$54,$B3),0))*4000,0)-IF(AND('計算A'!CV$117=1,XT3&gt;0),2000,0)-IF(AND($L3=1,'計算A'!CW$117=1,GV3=0),2000,0))),1000000))</f>
        <v/>
      </c>
      <c r="RZ3">
        <f>IF($B3=0,1000000,IF(INDEX('計算A'!$D$60:$EQ$104,$B3,99)*GV3=1,IF(AND($E3=2,MK3=0),1000000,IF($I3&gt;0,IF(5=$J3,IF(OR(AND(99=$I3+1,OR($K3&lt;&gt;'計算A'!$A$3,'計算A'!$A$4=0)),AND(99=$I3-1,OR(3&lt;&gt;'計算A'!$A$3,'計算A'!$A$4=0))),0,IF(3=$K3,200000,ABS(3-$K3)*100)),100000+ABS(5-$J3)*1000+30)+'計算A'!CX$5*50+IF(AND($E3=1,MK3=0),25,0),IF($F3&gt;0,INDEX('計算A'!CX$110:CX$114,$F3+1)+IF(AND($E3=1,MK3=0),1000,0),MIN(TY3,20)*400+(IF('計算A'!CW$106=1,1-GU3,0)+IF('計算A'!CX$106=1,1-GW3,0))*150+35+'計算A'!CX$5*100000+IF(AND($E3=1,MK3=0),50000,0))+IF($H3=1,(IF('計算A'!CW$117=1,INDEX('計算A'!CW$10:CW$54,$B3),0)+IF('計算A'!CX$117=1,INDEX('計算A'!CY$10:CY$54,$B3),0))*4000,0)-IF(AND('計算A'!CW$117=1,XU3&gt;0),2000,0)-IF(AND($L3=1,'計算A'!CX$117=1,GW3=0),2000,0))),1000000))</f>
        <v/>
      </c>
      <c r="SA3">
        <f>IF($B3=0,1000000,IF(INDEX('計算A'!$D$60:$EQ$104,$B3,100)*GW3=1,IF(AND($E3=2,ML3=0),1000000,IF($I3&gt;0,IF(5=$J3,IF(OR(AND(100=$I3+1,OR($K3&lt;&gt;'計算A'!$A$3,'計算A'!$A$4=0)),AND(100=$I3-1,OR(4&lt;&gt;'計算A'!$A$3,'計算A'!$A$4=0))),0,IF(4=$K3,200000,ABS(4-$K3)*100)),100000+ABS(5-$J3)*1000+40)+'計算A'!CY$5*50+IF(AND($E3=1,ML3=0),25,0),IF($F3&gt;0,INDEX('計算A'!CY$110:CY$114,$F3+1)+IF(AND($E3=1,ML3=0),1000,0),MIN(TY3,20)*400+(IF('計算A'!CX$106=1,1-GV3,0)+IF('計算A'!CY$106=1,1-GX3,0))*150+45+'計算A'!CY$5*100000+IF(AND($E3=1,ML3=0),50000,0))+IF($H3=1,(IF('計算A'!CX$117=1,INDEX('計算A'!CX$10:CX$54,$B3),0)+IF('計算A'!CY$117=1,INDEX('計算A'!CZ$10:CZ$54,$B3),0))*4000,0)-IF(AND('計算A'!CX$117=1,XV3&gt;0),2000,0)-IF(AND($L3=1,'計算A'!CY$117=1,GX3=0),2000,0))),1000000))</f>
        <v/>
      </c>
      <c r="SB3">
        <f>IF($B3=0,1000000,IF(INDEX('計算A'!$D$60:$EQ$104,$B3,101)*GX3=1,IF(AND($E3=2,MM3=0),1000000,IF($I3&gt;0,IF(5=$J3,IF(OR(AND(101=$I3+1,OR($K3&lt;&gt;'計算A'!$A$3,'計算A'!$A$4=0)),AND(101=$I3-1,OR(5&lt;&gt;'計算A'!$A$3,'計算A'!$A$4=0))),0,IF(5=$K3,200000,ABS(5-$K3)*100)),100000+ABS(5-$J3)*1000+50)+'計算A'!CZ$5*50+IF(AND($E3=1,MM3=0),25,0),IF($F3&gt;0,INDEX('計算A'!CZ$110:CZ$114,$F3+1)+IF(AND($E3=1,MM3=0),1000,0),MIN(TY3,20)*400+(IF('計算A'!CY$106=1,1-GW3,0)+IF('計算A'!CZ$106=1,1-GY3,0))*150+55+'計算A'!CZ$5*100000+IF(AND($E3=1,MM3=0),50000,0))+IF($H3=1,(IF('計算A'!CY$117=1,INDEX('計算A'!CY$10:CY$54,$B3),0)+IF('計算A'!CZ$117=1,INDEX('計算A'!DA$10:DA$54,$B3),0))*4000,0)-IF(AND('計算A'!CY$117=1,XW3&gt;0),2000,0)-IF(AND($L3=1,'計算A'!CZ$117=1,GY3=0),2000,0))),1000000))</f>
        <v/>
      </c>
      <c r="SC3">
        <f>IF($B3=0,1000000,IF(INDEX('計算A'!$D$60:$EQ$104,$B3,102)*GY3=1,IF(AND($E3=2,MN3=0),1000000,IF($I3&gt;0,IF(5=$J3,IF(OR(AND(102=$I3+1,OR($K3&lt;&gt;'計算A'!$A$3,'計算A'!$A$4=0)),AND(102=$I3-1,OR(6&lt;&gt;'計算A'!$A$3,'計算A'!$A$4=0))),0,IF(6=$K3,200000,ABS(6-$K3)*100)),100000+ABS(5-$J3)*1000+60)+'計算A'!DA$5*50+IF(AND($E3=1,MN3=0),25,0),IF($F3&gt;0,INDEX('計算A'!DA$110:DA$114,$F3+1)+IF(AND($E3=1,MN3=0),1000,0),MIN(TY3,20)*400+(IF('計算A'!CZ$106=1,1-GX3,0)+IF('計算A'!DA$106=1,1-GZ3,0))*150+65+'計算A'!DA$5*100000+IF(AND($E3=1,MN3=0),50000,0))+IF($H3=1,(IF('計算A'!CZ$117=1,INDEX('計算A'!CZ$10:CZ$54,$B3),0)+IF('計算A'!DA$117=1,INDEX('計算A'!DB$10:DB$54,$B3),0))*4000,0)-IF(AND('計算A'!CZ$117=1,XX3&gt;0),2000,0)-IF(AND($L3=1,'計算A'!DA$117=1,GZ3=0),2000,0))),1000000))</f>
        <v/>
      </c>
      <c r="SD3">
        <f>IF($B3=0,1000000,IF(INDEX('計算A'!$D$60:$EQ$104,$B3,103)*GZ3=1,IF(AND($E3=2,MO3=0),1000000,IF($I3&gt;0,IF(5=$J3,IF(OR(AND(103=$I3+1,OR($K3&lt;&gt;'計算A'!$A$3,'計算A'!$A$4=0)),AND(103=$I3-1,OR(7&lt;&gt;'計算A'!$A$3,'計算A'!$A$4=0))),0,IF(7=$K3,200000,ABS(7-$K3)*100)),100000+ABS(5-$J3)*1000+70)+'計算A'!DB$5*50+IF(AND($E3=1,MO3=0),25,0),IF($F3&gt;0,INDEX('計算A'!DB$110:DB$114,$F3+1)+IF(AND($E3=1,MO3=0),1000,0),MIN(TY3,20)*400+(IF('計算A'!DA$106=1,1-GY3,0)+IF('計算A'!DB$106=1,1-HA3,0))*150+75+'計算A'!DB$5*100000+IF(AND($E3=1,MO3=0),50000,0))+IF($H3=1,(IF('計算A'!DA$117=1,INDEX('計算A'!DA$10:DA$54,$B3),0)+IF('計算A'!DB$117=1,INDEX('計算A'!DC$10:DC$54,$B3),0))*4000,0)-IF(AND('計算A'!DA$117=1,XY3&gt;0),2000,0)-IF(AND($L3=1,'計算A'!DB$117=1,HA3=0),2000,0))),1000000))</f>
        <v/>
      </c>
      <c r="SE3">
        <f>IF($B3=0,1000000,IF(INDEX('計算A'!$D$60:$EQ$104,$B3,104)*HA3=1,IF(AND($E3=2,MP3=0),1000000,IF($I3&gt;0,IF(5=$J3,IF(OR(AND(104=$I3+1,OR($K3&lt;&gt;'計算A'!$A$3,'計算A'!$A$4=0)),AND(104=$I3-1,OR(8&lt;&gt;'計算A'!$A$3,'計算A'!$A$4=0))),0,IF(8=$K3,200000,ABS(8-$K3)*100)),100000+ABS(5-$J3)*1000+80)+'計算A'!DC$5*50+IF(AND($E3=1,MP3=0),25,0),IF($F3&gt;0,INDEX('計算A'!DC$110:DC$114,$F3+1)+IF(AND($E3=1,MP3=0),1000,0),MIN(TY3,20)*400+(IF('計算A'!DB$106=1,1-GZ3,0)+IF('計算A'!DC$106=1,1-HB3,0))*150+85+'計算A'!DC$5*100000+IF(AND($E3=1,MP3=0),50000,0))+IF($H3=1,(IF('計算A'!DB$117=1,INDEX('計算A'!DB$10:DB$54,$B3),0)+IF('計算A'!DC$117=1,INDEX('計算A'!DD$10:DD$54,$B3),0))*4000,0)-IF(AND('計算A'!DB$117=1,XZ3&gt;0),2000,0)-IF(AND($L3=1,'計算A'!DC$117=1,HB3=0),2000,0))),1000000))</f>
        <v/>
      </c>
      <c r="SF3">
        <f>IF($B3=0,1000000,IF(INDEX('計算A'!$D$60:$EQ$104,$B3,105)*HB3=1,IF(AND($E3=2,MQ3=0),1000000,IF($I3&gt;0,IF(5=$J3,IF(OR(AND(105=$I3+1,OR($K3&lt;&gt;'計算A'!$A$3,'計算A'!$A$4=0)),AND(105=$I3-1,OR(9&lt;&gt;'計算A'!$A$3,'計算A'!$A$4=0))),0,IF(9=$K3,200000,ABS(9-$K3)*100)),100000+ABS(5-$J3)*1000+90)+'計算A'!DD$5*50+IF(AND($E3=1,MQ3=0),25,0),IF($F3&gt;0,INDEX('計算A'!DD$110:DD$114,$F3+1)+IF(AND($E3=1,MQ3=0),1000,0),MIN(TY3,20)*400+(IF('計算A'!DC$106=1,1-HA3,0)+IF('計算A'!DD$106=1,1-HC3,0))*150+95+'計算A'!DD$5*100000+IF(AND($E3=1,MQ3=0),50000,0))+IF($H3=1,(IF('計算A'!DC$117=1,INDEX('計算A'!DC$10:DC$54,$B3),0)+IF('計算A'!DD$117=1,INDEX('計算A'!DE$10:DE$54,$B3),0))*4000,0)-IF(AND('計算A'!DC$117=1,YA3&gt;0),2000,0)-IF(AND($L3=1,'計算A'!DD$117=1,HC3=0),2000,0))),1000000))</f>
        <v/>
      </c>
      <c r="SG3">
        <f>IF($B3=0,1000000,IF(INDEX('計算A'!$D$60:$EQ$104,$B3,106)*HC3=1,IF(AND($E3=2,MR3=0),1000000,IF($I3&gt;0,IF(5=$J3,IF(OR(AND(106=$I3+1,OR($K3&lt;&gt;'計算A'!$A$3,'計算A'!$A$4=0)),AND(106=$I3-1,OR(10&lt;&gt;'計算A'!$A$3,'計算A'!$A$4=0))),0,IF(10=$K3,200000,ABS(10-$K3)*100)),100000+ABS(5-$J3)*1000+100)+'計算A'!DE$5*50+IF(AND($E3=1,MR3=0),25,0),IF($F3&gt;0,INDEX('計算A'!DE$110:DE$114,$F3+1)+IF(AND($E3=1,MR3=0),1000,0),MIN(TY3,20)*400+(IF('計算A'!DD$106=1,1-HB3,0)+IF('計算A'!DE$106=1,1-HD3,0))*150+105+'計算A'!DE$5*100000+IF(AND($E3=1,MR3=0),50000,0))+IF($H3=1,(IF('計算A'!DD$117=1,INDEX('計算A'!DD$10:DD$54,$B3),0)+IF('計算A'!DE$117=1,INDEX('計算A'!DF$10:DF$54,$B3),0))*4000,0)-IF(AND('計算A'!DD$117=1,YB3&gt;0),2000,0)-IF(AND($L3=1,'計算A'!DE$117=1,HD3=0),2000,0))),1000000))</f>
        <v/>
      </c>
      <c r="SH3">
        <f>IF($B3=0,1000000,IF(INDEX('計算A'!$D$60:$EQ$104,$B3,107)*HD3=1,IF(AND($E3=2,MS3=0),1000000,IF($I3&gt;0,IF(5=$J3,IF(OR(AND(107=$I3+1,OR($K3&lt;&gt;'計算A'!$A$3,'計算A'!$A$4=0)),AND(107=$I3-1,OR(11&lt;&gt;'計算A'!$A$3,'計算A'!$A$4=0))),0,IF(11=$K3,200000,ABS(11-$K3)*100)),100000+ABS(5-$J3)*1000+110)+'計算A'!DF$5*50+IF(AND($E3=1,MS3=0),25,0),IF($F3&gt;0,INDEX('計算A'!DF$110:DF$114,$F3+1)+IF(AND($E3=1,MS3=0),1000,0),MIN(TY3,20)*400+(IF('計算A'!DE$106=1,1-HC3,0)+IF('計算A'!DF$106=1,1-HE3,0))*150+115+'計算A'!DF$5*100000+IF(AND($E3=1,MS3=0),50000,0))+IF($H3=1,(IF('計算A'!DE$117=1,INDEX('計算A'!DE$10:DE$54,$B3),0)+IF('計算A'!DF$117=1,INDEX('計算A'!DG$10:DG$54,$B3),0))*4000,0)-IF(AND('計算A'!DE$117=1,YC3&gt;0),2000,0)-IF(AND($L3=1,'計算A'!DF$117=1,HE3=0),2000,0))),1000000))</f>
        <v/>
      </c>
      <c r="SI3">
        <f>IF($B3=0,1000000,IF(INDEX('計算A'!$D$60:$EQ$104,$B3,108)*HE3=1,IF(AND($E3=2,MT3=0),1000000,IF($I3&gt;0,IF(5=$J3,IF(OR(AND(108=$I3+1,OR($K3&lt;&gt;'計算A'!$A$3,'計算A'!$A$4=0)),AND(108=$I3-1,OR(12&lt;&gt;'計算A'!$A$3,'計算A'!$A$4=0))),0,IF(12=$K3,200000,ABS(12-$K3)*100)),100000+ABS(5-$J3)*1000+120)+'計算A'!DG$5*50+IF(AND($E3=1,MT3=0),25,0),IF($F3&gt;0,INDEX('計算A'!DG$110:DG$114,$F3+1)+IF(AND($E3=1,MT3=0),1000,0),MIN(TY3,20)*400+(IF('計算A'!DF$106=1,1-HD3,0)+IF('計算A'!DG$106=1,1-HF3,0))*150+125+'計算A'!DG$5*100000+IF(AND($E3=1,MT3=0),50000,0))+IF($H3=1,(IF('計算A'!DF$117=1,INDEX('計算A'!DF$10:DF$54,$B3),0)+IF('計算A'!DG$117=1,INDEX('計算A'!DH$10:DH$54,$B3),0))*4000,0)-IF(AND('計算A'!DF$117=1,YD3&gt;0),2000,0)-IF(AND($L3=1,'計算A'!DG$117=1,HF3=0),2000,0))),1000000))</f>
        <v/>
      </c>
      <c r="SJ3">
        <f>IF($B3=0,1000000,IF(INDEX('計算A'!$D$60:$EQ$104,$B3,109)*HF3=1,IF(AND($E3=2,MU3=0),1000000,IF($I3&gt;0,IF(5=$J3,IF(OR(AND(109=$I3+1,OR($K3&lt;&gt;'計算A'!$A$3,'計算A'!$A$4=0)),AND(109=$I3-1,OR(13&lt;&gt;'計算A'!$A$3,'計算A'!$A$4=0))),0,IF(13=$K3,200000,ABS(13-$K3)*100)),100000+ABS(5-$J3)*1000+130)+'計算A'!DH$5*50+IF(AND($E3=1,MU3=0),25,0),IF($F3&gt;0,INDEX('計算A'!DH$110:DH$114,$F3+1)+IF(AND($E3=1,MU3=0),1000,0),MIN(TY3,20)*400+(IF('計算A'!DG$106=1,1-HE3,0)+IF('計算A'!DH$106=1,1-HG3,0))*150+135+'計算A'!DH$5*100000+IF(AND($E3=1,MU3=0),50000,0))+IF($H3=1,(IF('計算A'!DG$117=1,INDEX('計算A'!DG$10:DG$54,$B3),0)+IF('計算A'!DH$117=1,INDEX('計算A'!DI$10:DI$54,$B3),0))*4000,0)-IF(AND('計算A'!DG$117=1,YE3&gt;0),2000,0)-IF(AND($L3=1,'計算A'!DH$117=1,HG3=0),2000,0))),1000000))</f>
        <v/>
      </c>
      <c r="SK3">
        <f>IF($B3=0,1000000,IF(INDEX('計算A'!$D$60:$EQ$104,$B3,110)*HG3=1,IF(AND($E3=2,MV3=0),1000000,IF($I3&gt;0,IF(5=$J3,IF(OR(AND(110=$I3+1,OR($K3&lt;&gt;'計算A'!$A$3,'計算A'!$A$4=0)),AND(110=$I3-1,OR(14&lt;&gt;'計算A'!$A$3,'計算A'!$A$4=0))),0,IF(14=$K3,200000,ABS(14-$K3)*100)),100000+ABS(5-$J3)*1000+140)+'計算A'!DI$5*50+IF(AND($E3=1,MV3=0),25,0),IF($F3&gt;0,INDEX('計算A'!DI$110:DI$114,$F3+1)+IF(AND($E3=1,MV3=0),1000,0),MIN(TY3,20)*400+(IF('計算A'!DH$106=1,1-HF3,0)+IF('計算A'!DI$106=1,1-HH3,0))*150+145+'計算A'!DI$5*100000+IF(AND($E3=1,MV3=0),50000,0))+IF($H3=1,(IF('計算A'!DH$117=1,INDEX('計算A'!DH$10:DH$54,$B3),0)+IF('計算A'!DI$117=1,INDEX('計算A'!DJ$10:DJ$54,$B3),0))*4000,0)-IF(AND('計算A'!DH$117=1,YF3&gt;0),2000,0)-IF(AND($L3=1,'計算A'!DI$117=1,HH3=0),2000,0))),1000000))</f>
        <v/>
      </c>
      <c r="SL3">
        <f>IF($B3=0,1000000,IF(INDEX('計算A'!$D$60:$EQ$104,$B3,111)*HH3=1,IF(AND($E3=2,MW3=0),1000000,IF($I3&gt;0,IF(5=$J3,IF(OR(AND(111=$I3+1,OR($K3&lt;&gt;'計算A'!$A$3,'計算A'!$A$4=0)),AND(111=$I3-1,OR(15&lt;&gt;'計算A'!$A$3,'計算A'!$A$4=0))),0,IF(15=$K3,200000,ABS(15-$K3)*100)),100000+ABS(5-$J3)*1000+150)+'計算A'!DJ$5*50+IF(AND($E3=1,MW3=0),25,0),IF($F3&gt;0,INDEX('計算A'!DJ$110:DJ$114,$F3+1)+IF(AND($E3=1,MW3=0),1000,0),MIN(TY3,20)*400+(IF('計算A'!DI$106=1,1-HG3,0)+IF('計算A'!DJ$106=1,1-HI3,0))*150+155+'計算A'!DJ$5*100000+IF(AND($E3=1,MW3=0),50000,0))+IF($H3=1,(IF('計算A'!DI$117=1,INDEX('計算A'!DI$10:DI$54,$B3),0)+IF('計算A'!DJ$117=1,INDEX('計算A'!DK$10:DK$54,$B3),0))*4000,0)-IF(AND('計算A'!DI$117=1,YG3&gt;0),2000,0)-IF(AND($L3=1,'計算A'!DJ$117=1,HI3=0),2000,0))),1000000))</f>
        <v/>
      </c>
      <c r="SM3">
        <f>IF($B3=0,1000000,IF(INDEX('計算A'!$D$60:$EQ$104,$B3,112)*HI3=1,IF(AND($E3=2,MX3=0),1000000,IF($I3&gt;0,IF(5=$J3,IF(OR(AND(112=$I3+1,OR($K3&lt;&gt;'計算A'!$A$3,'計算A'!$A$4=0)),AND(112=$I3-1,OR(16&lt;&gt;'計算A'!$A$3,'計算A'!$A$4=0))),0,IF(16=$K3,200000,ABS(16-$K3)*100)),100000+ABS(5-$J3)*1000+160)+'計算A'!DK$5*50+IF(AND($E3=1,MX3=0),25,0),IF($F3&gt;0,INDEX('計算A'!DK$110:DK$114,$F3+1)+IF(AND($E3=1,MX3=0),1000,0),MIN(TY3,20)*400+(IF('計算A'!DJ$106=1,1-HH3,0)+IF('計算A'!DK$106=1,1-HJ3,0))*150+165+'計算A'!DK$5*100000+IF(AND($E3=1,MX3=0),50000,0))+IF($H3=1,(IF('計算A'!DJ$117=1,INDEX('計算A'!DJ$10:DJ$54,$B3),0)+IF('計算A'!DK$117=1,INDEX('計算A'!DL$10:DL$54,$B3),0))*4000,0)-IF(AND('計算A'!DJ$117=1,YH3&gt;0),2000,0)-IF(AND($L3=1,'計算A'!DK$117=1,HJ3=0),2000,0))),1000000))</f>
        <v/>
      </c>
      <c r="SN3">
        <f>IF($B3=0,1000000,IF(INDEX('計算A'!$D$60:$EQ$104,$B3,113)*HJ3=1,IF(AND($E3=2,MY3=0),1000000,IF($I3&gt;0,IF(5=$J3,IF(OR(AND(113=$I3+1,OR($K3&lt;&gt;'計算A'!$A$3,'計算A'!$A$4=0)),AND(113=$I3-1,OR(17&lt;&gt;'計算A'!$A$3,'計算A'!$A$4=0))),0,IF(17=$K3,200000,ABS(17-$K3)*100)),100000+ABS(5-$J3)*1000+170)+'計算A'!DL$5*50+IF(AND($E3=1,MY3=0),25,0),IF($F3&gt;0,INDEX('計算A'!DL$110:DL$114,$F3+1)+IF(AND($E3=1,MY3=0),1000,0),MIN(TY3,20)*400+(IF('計算A'!DK$106=1,1-HI3,0)+IF('計算A'!DL$106=1,1-HK3,0))*150+175+'計算A'!DL$5*100000+IF(AND($E3=1,MY3=0),50000,0))+IF($H3=1,(IF('計算A'!DK$117=1,INDEX('計算A'!DK$10:DK$54,$B3),0)+IF('計算A'!DL$117=1,INDEX('計算A'!DM$10:DM$54,$B3),0))*4000,0)-IF(AND('計算A'!DK$117=1,YI3&gt;0),2000,0)-IF(AND($L3=1,'計算A'!DL$117=1,HK3=0),2000,0))),1000000))</f>
        <v/>
      </c>
      <c r="SO3">
        <f>IF($B3=0,1000000,IF(INDEX('計算A'!$D$60:$EQ$104,$B3,114)*HK3=1,IF(AND($E3=2,MZ3=0),1000000,IF($I3&gt;0,IF(5=$J3,IF(OR(AND(114=$I3+1,OR($K3&lt;&gt;'計算A'!$A$3,'計算A'!$A$4=0)),AND(114=$I3-1,OR(18&lt;&gt;'計算A'!$A$3,'計算A'!$A$4=0))),0,IF(18=$K3,200000,ABS(18-$K3)*100)),100000+ABS(5-$J3)*1000+180)+'計算A'!DM$5*50+IF(AND($E3=1,MZ3=0),25,0),IF($F3&gt;0,INDEX('計算A'!DM$110:DM$114,$F3+1)+IF(AND($E3=1,MZ3=0),1000,0),MIN(TY3,20)*400+(IF('計算A'!DL$106=1,1-HJ3,0)+IF('計算A'!DM$106=1,1-HL3,0))*150+185+'計算A'!DM$5*100000+IF(AND($E3=1,MZ3=0),50000,0))+IF($H3=1,(IF('計算A'!DL$117=1,INDEX('計算A'!DL$10:DL$54,$B3),0)+IF('計算A'!DM$117=1,INDEX('計算A'!DN$10:DN$54,$B3),0))*4000,0)-IF(AND('計算A'!DL$117=1,YJ3&gt;0),2000,0)-IF(AND($L3=1,'計算A'!DM$117=1,HL3=0),2000,0))),1000000))</f>
        <v/>
      </c>
      <c r="SP3">
        <f>IF($B3=0,1000000,IF(INDEX('計算A'!$D$60:$EQ$104,$B3,115)*HL3=1,IF(AND($E3=2,NA3=0),1000000,IF($I3&gt;0,IF(5=$J3,IF(OR(AND(115=$I3+1,OR($K3&lt;&gt;'計算A'!$A$3,'計算A'!$A$4=0)),AND(115=$I3-1,OR(19&lt;&gt;'計算A'!$A$3,'計算A'!$A$4=0))),0,IF(19=$K3,200000,ABS(19-$K3)*100)),100000+ABS(5-$J3)*1000+190)+'計算A'!DN$5*50+IF(AND($E3=1,NA3=0),25,0),IF($F3&gt;0,INDEX('計算A'!DN$110:DN$114,$F3+1)+IF(AND($E3=1,NA3=0),1000,0),MIN(TY3,20)*400+(IF('計算A'!DM$106=1,1-HK3,0)+IF('計算A'!DN$106=1,1-HM3,0))*150+195+'計算A'!DN$5*100000+IF(AND($E3=1,NA3=0),50000,0))+IF($H3=1,(IF('計算A'!DM$117=1,INDEX('計算A'!DM$10:DM$54,$B3),0)+IF('計算A'!DN$117=1,INDEX('計算A'!DO$10:DO$54,$B3),0))*4000,0)-IF(AND('計算A'!DM$117=1,YK3&gt;0),2000,0)-IF(AND($L3=1,'計算A'!DN$117=1,HM3=0),2000,0))),1000000))</f>
        <v/>
      </c>
      <c r="SQ3">
        <f>IF($B3=0,1000000,IF(INDEX('計算A'!$D$60:$EQ$104,$B3,116)*HM3=1,IF(AND($E3=2,NB3=0),1000000,IF($I3&gt;0,IF(5=$J3,IF(OR(AND(116=$I3+1,OR($K3&lt;&gt;'計算A'!$A$3,'計算A'!$A$4=0)),AND(116=$I3-1,OR(20&lt;&gt;'計算A'!$A$3,'計算A'!$A$4=0))),0,IF(20=$K3,200000,ABS(20-$K3)*100)),100000+ABS(5-$J3)*1000+200)+'計算A'!DO$5*50+IF(AND($E3=1,NB3=0),25,0),IF($F3&gt;0,INDEX('計算A'!DO$110:DO$114,$F3+1)+IF(AND($E3=1,NB3=0),1000,0),MIN(TY3,20)*400+(IF('計算A'!DN$106=1,1-HL3,0)+IF('計算A'!DO$106=1,1-HN3,0))*150+205+'計算A'!DO$5*100000+IF(AND($E3=1,NB3=0),50000,0))+IF($H3=1,(IF('計算A'!DN$117=1,INDEX('計算A'!DN$10:DN$54,$B3),0)+IF('計算A'!DO$117=1,INDEX('計算A'!DP$10:DP$54,$B3),0))*4000,0)-IF(AND('計算A'!DN$117=1,YL3&gt;0),2000,0)-IF(AND($L3=1,'計算A'!DO$117=1,HN3=0),2000,0))),1000000))</f>
        <v/>
      </c>
      <c r="SR3">
        <f>IF($B3=0,1000000,IF(INDEX('計算A'!$D$60:$EQ$104,$B3,117)*HN3=1,IF(AND($E3=2,NC3=0),1000000,IF($I3&gt;0,IF(5=$J3,IF(OR(AND(117=$I3+1,OR($K3&lt;&gt;'計算A'!$A$3,'計算A'!$A$4=0)),AND(117=$I3-1,OR(21&lt;&gt;'計算A'!$A$3,'計算A'!$A$4=0))),0,IF(21=$K3,200000,ABS(21-$K3)*100)),100000+ABS(5-$J3)*1000+210)+'計算A'!DP$5*50+IF(AND($E3=1,NC3=0),25,0),IF($F3&gt;0,INDEX('計算A'!DP$110:DP$114,$F3+1)+IF(AND($E3=1,NC3=0),1000,0),MIN(TY3,20)*400+(IF('計算A'!DO$106=1,1-HM3,0)+IF('計算A'!DP$106=1,1-HO3,0))*150+215+'計算A'!DP$5*100000+IF(AND($E3=1,NC3=0),50000,0))+IF($H3=1,(IF('計算A'!DO$117=1,INDEX('計算A'!DO$10:DO$54,$B3),0)+IF('計算A'!DP$117=1,INDEX('計算A'!DQ$10:DQ$54,$B3),0))*4000,0)-IF(AND('計算A'!DO$117=1,YM3&gt;0),2000,0)-IF(AND($L3=1,'計算A'!DP$117=1,HO3=0),2000,0))),1000000))</f>
        <v/>
      </c>
      <c r="SS3">
        <f>IF($B3=0,1000000,IF(INDEX('計算A'!$D$60:$EQ$104,$B3,118)*HO3=1,IF(AND($E3=2,ND3=0),1000000,IF($I3&gt;0,IF(5=$J3,IF(OR(AND(118=$I3+1,OR($K3&lt;&gt;'計算A'!$A$3,'計算A'!$A$4=0)),AND(118=$I3-1,OR(22&lt;&gt;'計算A'!$A$3,'計算A'!$A$4=0))),0,IF(22=$K3,200000,ABS(22-$K3)*100)),100000+ABS(5-$J3)*1000+220)+'計算A'!DQ$5*50+IF(AND($E3=1,ND3=0),25,0),IF($F3&gt;0,INDEX('計算A'!DQ$110:DQ$114,$F3+1)+IF(AND($E3=1,ND3=0),1000,0),MIN(TY3,20)*400+(IF('計算A'!DP$106=1,1-HN3,0)+IF('計算A'!DQ$106=1,1-HP3,0))*150+225+'計算A'!DQ$5*100000+IF(AND($E3=1,ND3=0),50000,0))+IF($H3=1,(IF('計算A'!DP$117=1,INDEX('計算A'!DP$10:DP$54,$B3),0)+IF('計算A'!DQ$117=1,INDEX('計算A'!DR$10:DR$54,$B3),0))*4000,0)-IF(AND('計算A'!DP$117=1,YN3&gt;0),2000,0)-IF(AND($L3=1,'計算A'!DQ$117=1,HP3=0),2000,0))),1000000))</f>
        <v/>
      </c>
      <c r="ST3">
        <f>IF($B3=0,1000000,IF(INDEX('計算A'!$D$60:$EQ$104,$B3,119)*HP3=1,IF(AND($E3=2,NE3=0),1000000,IF($I3&gt;0,IF(5=$J3,IF(OR(AND(119=$I3+1,OR($K3&lt;&gt;'計算A'!$A$3,'計算A'!$A$4=0)),AND(119=$I3-1,OR(23&lt;&gt;'計算A'!$A$3,'計算A'!$A$4=0))),0,IF(23=$K3,200000,ABS(23-$K3)*100)),100000+ABS(5-$J3)*1000+230)+'計算A'!DR$5*50+IF(AND($E3=1,NE3=0),25,0),IF($F3&gt;0,INDEX('計算A'!DR$110:DR$114,$F3+1)+IF(AND($E3=1,NE3=0),1000,0),MIN(TY3,20)*400+(IF('計算A'!DQ$106=1,1-HO3,0)+IF('計算A'!DR$106=1,1-HQ3,0))*150+235+'計算A'!DR$5*100000+IF(AND($E3=1,NE3=0),50000,0))+IF($H3=1,(IF('計算A'!DQ$117=1,INDEX('計算A'!DQ$10:DQ$54,$B3),0)+IF('計算A'!DR$117=1,INDEX('計算A'!DS$10:DS$54,$B3),0))*4000,0)-IF(AND('計算A'!DQ$117=1,YO3&gt;0),2000,0)-IF(AND($L3=1,'計算A'!DR$117=1,HQ3=0),2000,0))),1000000))</f>
        <v/>
      </c>
      <c r="SU3">
        <f>IF($B3=0,1000000,IF(INDEX('計算A'!$D$60:$EQ$104,$B3,120)*HQ3=1,IF(AND($E3=2,NF3=0),1000000,IF($I3&gt;0,IF(5=$J3,IF(OR(AND(120=$I3+1,OR($K3&lt;&gt;'計算A'!$A$3,'計算A'!$A$4=0)),AND(120=$I3-1,OR(24&lt;&gt;'計算A'!$A$3,'計算A'!$A$4=0))),0,IF(24=$K3,200000,ABS(24-$K3)*100)),100000+ABS(5-$J3)*1000+240)+'計算A'!DS$5*50+IF(AND($E3=1,NF3=0),25,0),IF($F3&gt;0,INDEX('計算A'!DS$110:DS$114,$F3+1)+IF(AND($E3=1,NF3=0),1000,0),MIN(TY3,20)*400+(IF('計算A'!DR$106=1,1-HP3,0))*150+245+'計算A'!DS$5*100000+IF(AND($E3=1,NF3=0),50000,0))+IF($H3=1,(IF('計算A'!DR$117=1,INDEX('計算A'!DR$10:DR$54,$B3),0))*4000,0)-IF(AND('計算A'!DR$117=1,YP3&gt;0),2000,0))),1000000))</f>
        <v/>
      </c>
      <c r="SV3">
        <f>IF($B3=0,1000000,IF(INDEX('計算A'!$D$60:$EQ$104,$B3,121)*HR3=1,IF(AND($E3=2,NG3=0),1000000,IF($I3&gt;0,IF(6=$J3,IF(OR(AND(121=$I3+1,OR($K3&lt;&gt;'計算A'!$A$3,'計算A'!$A$4=0)),AND(121=$I3-1,OR(1&lt;&gt;'計算A'!$A$3,'計算A'!$A$4=0))),0,IF(1=$K3,200000,ABS(1-$K3)*100)),100000+ABS(6-$J3)*1000+10)+'計算A'!DT$5*50+IF(AND($E3=1,NG3=0),25,0),IF($F3&gt;0,INDEX('計算A'!DT$110:DT$114,$F3+1)+IF(AND($E3=1,NG3=0),1000,0),MIN(TZ3,20)*400+(IF('計算A'!DT$106=1,1-HS3,0))*150+16+'計算A'!DT$5*100000+IF(AND($E3=1,NG3=0),50000,0))+IF($H3=1,(IF('計算A'!DT$117=1,INDEX('計算A'!DU$10:DU$54,$B3),0))*4000,0)-IF(AND($L3=1,'計算A'!DT$117=1,HS3=0),2000,0))),1000000))</f>
        <v/>
      </c>
      <c r="SW3">
        <f>IF($B3=0,1000000,IF(INDEX('計算A'!$D$60:$EQ$104,$B3,122)*HS3=1,IF(AND($E3=2,NH3=0),1000000,IF($I3&gt;0,IF(6=$J3,IF(OR(AND(122=$I3+1,OR($K3&lt;&gt;'計算A'!$A$3,'計算A'!$A$4=0)),AND(122=$I3-1,OR(2&lt;&gt;'計算A'!$A$3,'計算A'!$A$4=0))),0,IF(2=$K3,200000,ABS(2-$K3)*100)),100000+ABS(6-$J3)*1000+20)+'計算A'!DU$5*50+IF(AND($E3=1,NH3=0),25,0),IF($F3&gt;0,INDEX('計算A'!DU$110:DU$114,$F3+1)+IF(AND($E3=1,NH3=0),1000,0),MIN(TZ3,20)*400+(IF('計算A'!DT$106=1,1-HR3,0)+IF('計算A'!DU$106=1,1-HT3,0))*150+26+'計算A'!DU$5*100000+IF(AND($E3=1,NH3=0),50000,0))+IF($H3=1,(IF('計算A'!DT$117=1,INDEX('計算A'!DT$10:DT$54,$B3),0)+IF('計算A'!DU$117=1,INDEX('計算A'!DV$10:DV$54,$B3),0))*4000,0)-IF(AND('計算A'!DT$117=1,YR3&gt;0),2000,0)-IF(AND($L3=1,'計算A'!DU$117=1,HT3=0),2000,0))),1000000))</f>
        <v/>
      </c>
      <c r="SX3">
        <f>IF($B3=0,1000000,IF(INDEX('計算A'!$D$60:$EQ$104,$B3,123)*HT3=1,IF(AND($E3=2,NI3=0),1000000,IF($I3&gt;0,IF(6=$J3,IF(OR(AND(123=$I3+1,OR($K3&lt;&gt;'計算A'!$A$3,'計算A'!$A$4=0)),AND(123=$I3-1,OR(3&lt;&gt;'計算A'!$A$3,'計算A'!$A$4=0))),0,IF(3=$K3,200000,ABS(3-$K3)*100)),100000+ABS(6-$J3)*1000+30)+'計算A'!DV$5*50+IF(AND($E3=1,NI3=0),25,0),IF($F3&gt;0,INDEX('計算A'!DV$110:DV$114,$F3+1)+IF(AND($E3=1,NI3=0),1000,0),MIN(TZ3,20)*400+(IF('計算A'!DU$106=1,1-HS3,0)+IF('計算A'!DV$106=1,1-HU3,0))*150+36+'計算A'!DV$5*100000+IF(AND($E3=1,NI3=0),50000,0))+IF($H3=1,(IF('計算A'!DU$117=1,INDEX('計算A'!DU$10:DU$54,$B3),0)+IF('計算A'!DV$117=1,INDEX('計算A'!DW$10:DW$54,$B3),0))*4000,0)-IF(AND('計算A'!DU$117=1,YS3&gt;0),2000,0)-IF(AND($L3=1,'計算A'!DV$117=1,HU3=0),2000,0))),1000000))</f>
        <v/>
      </c>
      <c r="SY3">
        <f>IF($B3=0,1000000,IF(INDEX('計算A'!$D$60:$EQ$104,$B3,124)*HU3=1,IF(AND($E3=2,NJ3=0),1000000,IF($I3&gt;0,IF(6=$J3,IF(OR(AND(124=$I3+1,OR($K3&lt;&gt;'計算A'!$A$3,'計算A'!$A$4=0)),AND(124=$I3-1,OR(4&lt;&gt;'計算A'!$A$3,'計算A'!$A$4=0))),0,IF(4=$K3,200000,ABS(4-$K3)*100)),100000+ABS(6-$J3)*1000+40)+'計算A'!DW$5*50+IF(AND($E3=1,NJ3=0),25,0),IF($F3&gt;0,INDEX('計算A'!DW$110:DW$114,$F3+1)+IF(AND($E3=1,NJ3=0),1000,0),MIN(TZ3,20)*400+(IF('計算A'!DV$106=1,1-HT3,0)+IF('計算A'!DW$106=1,1-HV3,0))*150+46+'計算A'!DW$5*100000+IF(AND($E3=1,NJ3=0),50000,0))+IF($H3=1,(IF('計算A'!DV$117=1,INDEX('計算A'!DV$10:DV$54,$B3),0)+IF('計算A'!DW$117=1,INDEX('計算A'!DX$10:DX$54,$B3),0))*4000,0)-IF(AND('計算A'!DV$117=1,YT3&gt;0),2000,0)-IF(AND($L3=1,'計算A'!DW$117=1,HV3=0),2000,0))),1000000))</f>
        <v/>
      </c>
      <c r="SZ3">
        <f>IF($B3=0,1000000,IF(INDEX('計算A'!$D$60:$EQ$104,$B3,125)*HV3=1,IF(AND($E3=2,NK3=0),1000000,IF($I3&gt;0,IF(6=$J3,IF(OR(AND(125=$I3+1,OR($K3&lt;&gt;'計算A'!$A$3,'計算A'!$A$4=0)),AND(125=$I3-1,OR(5&lt;&gt;'計算A'!$A$3,'計算A'!$A$4=0))),0,IF(5=$K3,200000,ABS(5-$K3)*100)),100000+ABS(6-$J3)*1000+50)+'計算A'!DX$5*50+IF(AND($E3=1,NK3=0),25,0),IF($F3&gt;0,INDEX('計算A'!DX$110:DX$114,$F3+1)+IF(AND($E3=1,NK3=0),1000,0),MIN(TZ3,20)*400+(IF('計算A'!DW$106=1,1-HU3,0)+IF('計算A'!DX$106=1,1-HW3,0))*150+56+'計算A'!DX$5*100000+IF(AND($E3=1,NK3=0),50000,0))+IF($H3=1,(IF('計算A'!DW$117=1,INDEX('計算A'!DW$10:DW$54,$B3),0)+IF('計算A'!DX$117=1,INDEX('計算A'!DY$10:DY$54,$B3),0))*4000,0)-IF(AND('計算A'!DW$117=1,YU3&gt;0),2000,0)-IF(AND($L3=1,'計算A'!DX$117=1,HW3=0),2000,0))),1000000))</f>
        <v/>
      </c>
      <c r="TA3">
        <f>IF($B3=0,1000000,IF(INDEX('計算A'!$D$60:$EQ$104,$B3,126)*HW3=1,IF(AND($E3=2,NL3=0),1000000,IF($I3&gt;0,IF(6=$J3,IF(OR(AND(126=$I3+1,OR($K3&lt;&gt;'計算A'!$A$3,'計算A'!$A$4=0)),AND(126=$I3-1,OR(6&lt;&gt;'計算A'!$A$3,'計算A'!$A$4=0))),0,IF(6=$K3,200000,ABS(6-$K3)*100)),100000+ABS(6-$J3)*1000+60)+'計算A'!DY$5*50+IF(AND($E3=1,NL3=0),25,0),IF($F3&gt;0,INDEX('計算A'!DY$110:DY$114,$F3+1)+IF(AND($E3=1,NL3=0),1000,0),MIN(TZ3,20)*400+(IF('計算A'!DX$106=1,1-HV3,0)+IF('計算A'!DY$106=1,1-HX3,0))*150+66+'計算A'!DY$5*100000+IF(AND($E3=1,NL3=0),50000,0))+IF($H3=1,(IF('計算A'!DX$117=1,INDEX('計算A'!DX$10:DX$54,$B3),0)+IF('計算A'!DY$117=1,INDEX('計算A'!DZ$10:DZ$54,$B3),0))*4000,0)-IF(AND('計算A'!DX$117=1,YV3&gt;0),2000,0)-IF(AND($L3=1,'計算A'!DY$117=1,HX3=0),2000,0))),1000000))</f>
        <v/>
      </c>
      <c r="TB3">
        <f>IF($B3=0,1000000,IF(INDEX('計算A'!$D$60:$EQ$104,$B3,127)*HX3=1,IF(AND($E3=2,NM3=0),1000000,IF($I3&gt;0,IF(6=$J3,IF(OR(AND(127=$I3+1,OR($K3&lt;&gt;'計算A'!$A$3,'計算A'!$A$4=0)),AND(127=$I3-1,OR(7&lt;&gt;'計算A'!$A$3,'計算A'!$A$4=0))),0,IF(7=$K3,200000,ABS(7-$K3)*100)),100000+ABS(6-$J3)*1000+70)+'計算A'!DZ$5*50+IF(AND($E3=1,NM3=0),25,0),IF($F3&gt;0,INDEX('計算A'!DZ$110:DZ$114,$F3+1)+IF(AND($E3=1,NM3=0),1000,0),MIN(TZ3,20)*400+(IF('計算A'!DY$106=1,1-HW3,0)+IF('計算A'!DZ$106=1,1-HY3,0))*150+76+'計算A'!DZ$5*100000+IF(AND($E3=1,NM3=0),50000,0))+IF($H3=1,(IF('計算A'!DY$117=1,INDEX('計算A'!DY$10:DY$54,$B3),0)+IF('計算A'!DZ$117=1,INDEX('計算A'!EA$10:EA$54,$B3),0))*4000,0)-IF(AND('計算A'!DY$117=1,YW3&gt;0),2000,0)-IF(AND($L3=1,'計算A'!DZ$117=1,HY3=0),2000,0))),1000000))</f>
        <v/>
      </c>
      <c r="TC3">
        <f>IF($B3=0,1000000,IF(INDEX('計算A'!$D$60:$EQ$104,$B3,128)*HY3=1,IF(AND($E3=2,NN3=0),1000000,IF($I3&gt;0,IF(6=$J3,IF(OR(AND(128=$I3+1,OR($K3&lt;&gt;'計算A'!$A$3,'計算A'!$A$4=0)),AND(128=$I3-1,OR(8&lt;&gt;'計算A'!$A$3,'計算A'!$A$4=0))),0,IF(8=$K3,200000,ABS(8-$K3)*100)),100000+ABS(6-$J3)*1000+80)+'計算A'!EA$5*50+IF(AND($E3=1,NN3=0),25,0),IF($F3&gt;0,INDEX('計算A'!EA$110:EA$114,$F3+1)+IF(AND($E3=1,NN3=0),1000,0),MIN(TZ3,20)*400+(IF('計算A'!DZ$106=1,1-HX3,0)+IF('計算A'!EA$106=1,1-HZ3,0))*150+86+'計算A'!EA$5*100000+IF(AND($E3=1,NN3=0),50000,0))+IF($H3=1,(IF('計算A'!DZ$117=1,INDEX('計算A'!DZ$10:DZ$54,$B3),0)+IF('計算A'!EA$117=1,INDEX('計算A'!EB$10:EB$54,$B3),0))*4000,0)-IF(AND('計算A'!DZ$117=1,YX3&gt;0),2000,0)-IF(AND($L3=1,'計算A'!EA$117=1,HZ3=0),2000,0))),1000000))</f>
        <v/>
      </c>
      <c r="TD3">
        <f>IF($B3=0,1000000,IF(INDEX('計算A'!$D$60:$EQ$104,$B3,129)*HZ3=1,IF(AND($E3=2,NO3=0),1000000,IF($I3&gt;0,IF(6=$J3,IF(OR(AND(129=$I3+1,OR($K3&lt;&gt;'計算A'!$A$3,'計算A'!$A$4=0)),AND(129=$I3-1,OR(9&lt;&gt;'計算A'!$A$3,'計算A'!$A$4=0))),0,IF(9=$K3,200000,ABS(9-$K3)*100)),100000+ABS(6-$J3)*1000+90)+'計算A'!EB$5*50+IF(AND($E3=1,NO3=0),25,0),IF($F3&gt;0,INDEX('計算A'!EB$110:EB$114,$F3+1)+IF(AND($E3=1,NO3=0),1000,0),MIN(TZ3,20)*400+(IF('計算A'!EA$106=1,1-HY3,0)+IF('計算A'!EB$106=1,1-IA3,0))*150+96+'計算A'!EB$5*100000+IF(AND($E3=1,NO3=0),50000,0))+IF($H3=1,(IF('計算A'!EA$117=1,INDEX('計算A'!EA$10:EA$54,$B3),0)+IF('計算A'!EB$117=1,INDEX('計算A'!EC$10:EC$54,$B3),0))*4000,0)-IF(AND('計算A'!EA$117=1,YY3&gt;0),2000,0)-IF(AND($L3=1,'計算A'!EB$117=1,IA3=0),2000,0))),1000000))</f>
        <v/>
      </c>
      <c r="TE3">
        <f>IF($B3=0,1000000,IF(INDEX('計算A'!$D$60:$EQ$104,$B3,130)*IA3=1,IF(AND($E3=2,NP3=0),1000000,IF($I3&gt;0,IF(6=$J3,IF(OR(AND(130=$I3+1,OR($K3&lt;&gt;'計算A'!$A$3,'計算A'!$A$4=0)),AND(130=$I3-1,OR(10&lt;&gt;'計算A'!$A$3,'計算A'!$A$4=0))),0,IF(10=$K3,200000,ABS(10-$K3)*100)),100000+ABS(6-$J3)*1000+100)+'計算A'!EC$5*50+IF(AND($E3=1,NP3=0),25,0),IF($F3&gt;0,INDEX('計算A'!EC$110:EC$114,$F3+1)+IF(AND($E3=1,NP3=0),1000,0),MIN(TZ3,20)*400+(IF('計算A'!EB$106=1,1-HZ3,0)+IF('計算A'!EC$106=1,1-IB3,0))*150+106+'計算A'!EC$5*100000+IF(AND($E3=1,NP3=0),50000,0))+IF($H3=1,(IF('計算A'!EB$117=1,INDEX('計算A'!EB$10:EB$54,$B3),0)+IF('計算A'!EC$117=1,INDEX('計算A'!ED$10:ED$54,$B3),0))*4000,0)-IF(AND('計算A'!EB$117=1,YZ3&gt;0),2000,0)-IF(AND($L3=1,'計算A'!EC$117=1,IB3=0),2000,0))),1000000))</f>
        <v/>
      </c>
      <c r="TF3">
        <f>IF($B3=0,1000000,IF(INDEX('計算A'!$D$60:$EQ$104,$B3,131)*IB3=1,IF(AND($E3=2,NQ3=0),1000000,IF($I3&gt;0,IF(6=$J3,IF(OR(AND(131=$I3+1,OR($K3&lt;&gt;'計算A'!$A$3,'計算A'!$A$4=0)),AND(131=$I3-1,OR(11&lt;&gt;'計算A'!$A$3,'計算A'!$A$4=0))),0,IF(11=$K3,200000,ABS(11-$K3)*100)),100000+ABS(6-$J3)*1000+110)+'計算A'!ED$5*50+IF(AND($E3=1,NQ3=0),25,0),IF($F3&gt;0,INDEX('計算A'!ED$110:ED$114,$F3+1)+IF(AND($E3=1,NQ3=0),1000,0),MIN(TZ3,20)*400+(IF('計算A'!EC$106=1,1-IA3,0)+IF('計算A'!ED$106=1,1-IC3,0))*150+116+'計算A'!ED$5*100000+IF(AND($E3=1,NQ3=0),50000,0))+IF($H3=1,(IF('計算A'!EC$117=1,INDEX('計算A'!EC$10:EC$54,$B3),0)+IF('計算A'!ED$117=1,INDEX('計算A'!EE$10:EE$54,$B3),0))*4000,0)-IF(AND('計算A'!EC$117=1,ZA3&gt;0),2000,0)-IF(AND($L3=1,'計算A'!ED$117=1,IC3=0),2000,0))),1000000))</f>
        <v/>
      </c>
      <c r="TG3">
        <f>IF($B3=0,1000000,IF(INDEX('計算A'!$D$60:$EQ$104,$B3,132)*IC3=1,IF(AND($E3=2,NR3=0),1000000,IF($I3&gt;0,IF(6=$J3,IF(OR(AND(132=$I3+1,OR($K3&lt;&gt;'計算A'!$A$3,'計算A'!$A$4=0)),AND(132=$I3-1,OR(12&lt;&gt;'計算A'!$A$3,'計算A'!$A$4=0))),0,IF(12=$K3,200000,ABS(12-$K3)*100)),100000+ABS(6-$J3)*1000+120)+'計算A'!EE$5*50+IF(AND($E3=1,NR3=0),25,0),IF($F3&gt;0,INDEX('計算A'!EE$110:EE$114,$F3+1)+IF(AND($E3=1,NR3=0),1000,0),MIN(TZ3,20)*400+(IF('計算A'!ED$106=1,1-IB3,0)+IF('計算A'!EE$106=1,1-ID3,0))*150+126+'計算A'!EE$5*100000+IF(AND($E3=1,NR3=0),50000,0))+IF($H3=1,(IF('計算A'!ED$117=1,INDEX('計算A'!ED$10:ED$54,$B3),0)+IF('計算A'!EE$117=1,INDEX('計算A'!EF$10:EF$54,$B3),0))*4000,0)-IF(AND('計算A'!ED$117=1,ZB3&gt;0),2000,0)-IF(AND($L3=1,'計算A'!EE$117=1,ID3=0),2000,0))),1000000))</f>
        <v/>
      </c>
      <c r="TH3">
        <f>IF($B3=0,1000000,IF(INDEX('計算A'!$D$60:$EQ$104,$B3,133)*ID3=1,IF(AND($E3=2,NS3=0),1000000,IF($I3&gt;0,IF(6=$J3,IF(OR(AND(133=$I3+1,OR($K3&lt;&gt;'計算A'!$A$3,'計算A'!$A$4=0)),AND(133=$I3-1,OR(13&lt;&gt;'計算A'!$A$3,'計算A'!$A$4=0))),0,IF(13=$K3,200000,ABS(13-$K3)*100)),100000+ABS(6-$J3)*1000+130)+'計算A'!EF$5*50+IF(AND($E3=1,NS3=0),25,0),IF($F3&gt;0,INDEX('計算A'!EF$110:EF$114,$F3+1)+IF(AND($E3=1,NS3=0),1000,0),MIN(TZ3,20)*400+(IF('計算A'!EE$106=1,1-IC3,0)+IF('計算A'!EF$106=1,1-IE3,0))*150+136+'計算A'!EF$5*100000+IF(AND($E3=1,NS3=0),50000,0))+IF($H3=1,(IF('計算A'!EE$117=1,INDEX('計算A'!EE$10:EE$54,$B3),0)+IF('計算A'!EF$117=1,INDEX('計算A'!EG$10:EG$54,$B3),0))*4000,0)-IF(AND('計算A'!EE$117=1,ZC3&gt;0),2000,0)-IF(AND($L3=1,'計算A'!EF$117=1,IE3=0),2000,0))),1000000))</f>
        <v/>
      </c>
      <c r="TI3">
        <f>IF($B3=0,1000000,IF(INDEX('計算A'!$D$60:$EQ$104,$B3,134)*IE3=1,IF(AND($E3=2,NT3=0),1000000,IF($I3&gt;0,IF(6=$J3,IF(OR(AND(134=$I3+1,OR($K3&lt;&gt;'計算A'!$A$3,'計算A'!$A$4=0)),AND(134=$I3-1,OR(14&lt;&gt;'計算A'!$A$3,'計算A'!$A$4=0))),0,IF(14=$K3,200000,ABS(14-$K3)*100)),100000+ABS(6-$J3)*1000+140)+'計算A'!EG$5*50+IF(AND($E3=1,NT3=0),25,0),IF($F3&gt;0,INDEX('計算A'!EG$110:EG$114,$F3+1)+IF(AND($E3=1,NT3=0),1000,0),MIN(TZ3,20)*400+(IF('計算A'!EF$106=1,1-ID3,0)+IF('計算A'!EG$106=1,1-IF3,0))*150+146+'計算A'!EG$5*100000+IF(AND($E3=1,NT3=0),50000,0))+IF($H3=1,(IF('計算A'!EF$117=1,INDEX('計算A'!EF$10:EF$54,$B3),0)+IF('計算A'!EG$117=1,INDEX('計算A'!EH$10:EH$54,$B3),0))*4000,0)-IF(AND('計算A'!EF$117=1,ZD3&gt;0),2000,0)-IF(AND($L3=1,'計算A'!EG$117=1,IF3=0),2000,0))),1000000))</f>
        <v/>
      </c>
      <c r="TJ3">
        <f>IF($B3=0,1000000,IF(INDEX('計算A'!$D$60:$EQ$104,$B3,135)*IF3=1,IF(AND($E3=2,NU3=0),1000000,IF($I3&gt;0,IF(6=$J3,IF(OR(AND(135=$I3+1,OR($K3&lt;&gt;'計算A'!$A$3,'計算A'!$A$4=0)),AND(135=$I3-1,OR(15&lt;&gt;'計算A'!$A$3,'計算A'!$A$4=0))),0,IF(15=$K3,200000,ABS(15-$K3)*100)),100000+ABS(6-$J3)*1000+150)+'計算A'!EH$5*50+IF(AND($E3=1,NU3=0),25,0),IF($F3&gt;0,INDEX('計算A'!EH$110:EH$114,$F3+1)+IF(AND($E3=1,NU3=0),1000,0),MIN(TZ3,20)*400+(IF('計算A'!EG$106=1,1-IE3,0)+IF('計算A'!EH$106=1,1-IG3,0))*150+156+'計算A'!EH$5*100000+IF(AND($E3=1,NU3=0),50000,0))+IF($H3=1,(IF('計算A'!EG$117=1,INDEX('計算A'!EG$10:EG$54,$B3),0)+IF('計算A'!EH$117=1,INDEX('計算A'!EI$10:EI$54,$B3),0))*4000,0)-IF(AND('計算A'!EG$117=1,ZE3&gt;0),2000,0)-IF(AND($L3=1,'計算A'!EH$117=1,IG3=0),2000,0))),1000000))</f>
        <v/>
      </c>
      <c r="TK3">
        <f>IF($B3=0,1000000,IF(INDEX('計算A'!$D$60:$EQ$104,$B3,136)*IG3=1,IF(AND($E3=2,NV3=0),1000000,IF($I3&gt;0,IF(6=$J3,IF(OR(AND(136=$I3+1,OR($K3&lt;&gt;'計算A'!$A$3,'計算A'!$A$4=0)),AND(136=$I3-1,OR(16&lt;&gt;'計算A'!$A$3,'計算A'!$A$4=0))),0,IF(16=$K3,200000,ABS(16-$K3)*100)),100000+ABS(6-$J3)*1000+160)+'計算A'!EI$5*50+IF(AND($E3=1,NV3=0),25,0),IF($F3&gt;0,INDEX('計算A'!EI$110:EI$114,$F3+1)+IF(AND($E3=1,NV3=0),1000,0),MIN(TZ3,20)*400+(IF('計算A'!EH$106=1,1-IF3,0)+IF('計算A'!EI$106=1,1-IH3,0))*150+166+'計算A'!EI$5*100000+IF(AND($E3=1,NV3=0),50000,0))+IF($H3=1,(IF('計算A'!EH$117=1,INDEX('計算A'!EH$10:EH$54,$B3),0)+IF('計算A'!EI$117=1,INDEX('計算A'!EJ$10:EJ$54,$B3),0))*4000,0)-IF(AND('計算A'!EH$117=1,ZF3&gt;0),2000,0)-IF(AND($L3=1,'計算A'!EI$117=1,IH3=0),2000,0))),1000000))</f>
        <v/>
      </c>
      <c r="TL3">
        <f>IF($B3=0,1000000,IF(INDEX('計算A'!$D$60:$EQ$104,$B3,137)*IH3=1,IF(AND($E3=2,NW3=0),1000000,IF($I3&gt;0,IF(6=$J3,IF(OR(AND(137=$I3+1,OR($K3&lt;&gt;'計算A'!$A$3,'計算A'!$A$4=0)),AND(137=$I3-1,OR(17&lt;&gt;'計算A'!$A$3,'計算A'!$A$4=0))),0,IF(17=$K3,200000,ABS(17-$K3)*100)),100000+ABS(6-$J3)*1000+170)+'計算A'!EJ$5*50+IF(AND($E3=1,NW3=0),25,0),IF($F3&gt;0,INDEX('計算A'!EJ$110:EJ$114,$F3+1)+IF(AND($E3=1,NW3=0),1000,0),MIN(TZ3,20)*400+(IF('計算A'!EI$106=1,1-IG3,0)+IF('計算A'!EJ$106=1,1-II3,0))*150+176+'計算A'!EJ$5*100000+IF(AND($E3=1,NW3=0),50000,0))+IF($H3=1,(IF('計算A'!EI$117=1,INDEX('計算A'!EI$10:EI$54,$B3),0)+IF('計算A'!EJ$117=1,INDEX('計算A'!EK$10:EK$54,$B3),0))*4000,0)-IF(AND('計算A'!EI$117=1,ZG3&gt;0),2000,0)-IF(AND($L3=1,'計算A'!EJ$117=1,II3=0),2000,0))),1000000))</f>
        <v/>
      </c>
      <c r="TM3">
        <f>IF($B3=0,1000000,IF(INDEX('計算A'!$D$60:$EQ$104,$B3,138)*II3=1,IF(AND($E3=2,NX3=0),1000000,IF($I3&gt;0,IF(6=$J3,IF(OR(AND(138=$I3+1,OR($K3&lt;&gt;'計算A'!$A$3,'計算A'!$A$4=0)),AND(138=$I3-1,OR(18&lt;&gt;'計算A'!$A$3,'計算A'!$A$4=0))),0,IF(18=$K3,200000,ABS(18-$K3)*100)),100000+ABS(6-$J3)*1000+180)+'計算A'!EK$5*50+IF(AND($E3=1,NX3=0),25,0),IF($F3&gt;0,INDEX('計算A'!EK$110:EK$114,$F3+1)+IF(AND($E3=1,NX3=0),1000,0),MIN(TZ3,20)*400+(IF('計算A'!EJ$106=1,1-IH3,0)+IF('計算A'!EK$106=1,1-IJ3,0))*150+186+'計算A'!EK$5*100000+IF(AND($E3=1,NX3=0),50000,0))+IF($H3=1,(IF('計算A'!EJ$117=1,INDEX('計算A'!EJ$10:EJ$54,$B3),0)+IF('計算A'!EK$117=1,INDEX('計算A'!EL$10:EL$54,$B3),0))*4000,0)-IF(AND('計算A'!EJ$117=1,ZH3&gt;0),2000,0)-IF(AND($L3=1,'計算A'!EK$117=1,IJ3=0),2000,0))),1000000))</f>
        <v/>
      </c>
      <c r="TN3">
        <f>IF($B3=0,1000000,IF(INDEX('計算A'!$D$60:$EQ$104,$B3,139)*IJ3=1,IF(AND($E3=2,NY3=0),1000000,IF($I3&gt;0,IF(6=$J3,IF(OR(AND(139=$I3+1,OR($K3&lt;&gt;'計算A'!$A$3,'計算A'!$A$4=0)),AND(139=$I3-1,OR(19&lt;&gt;'計算A'!$A$3,'計算A'!$A$4=0))),0,IF(19=$K3,200000,ABS(19-$K3)*100)),100000+ABS(6-$J3)*1000+190)+'計算A'!EL$5*50+IF(AND($E3=1,NY3=0),25,0),IF($F3&gt;0,INDEX('計算A'!EL$110:EL$114,$F3+1)+IF(AND($E3=1,NY3=0),1000,0),MIN(TZ3,20)*400+(IF('計算A'!EK$106=1,1-II3,0)+IF('計算A'!EL$106=1,1-IK3,0))*150+196+'計算A'!EL$5*100000+IF(AND($E3=1,NY3=0),50000,0))+IF($H3=1,(IF('計算A'!EK$117=1,INDEX('計算A'!EK$10:EK$54,$B3),0)+IF('計算A'!EL$117=1,INDEX('計算A'!EM$10:EM$54,$B3),0))*4000,0)-IF(AND('計算A'!EK$117=1,ZI3&gt;0),2000,0)-IF(AND($L3=1,'計算A'!EL$117=1,IK3=0),2000,0))),1000000))</f>
        <v/>
      </c>
      <c r="TO3">
        <f>IF($B3=0,1000000,IF(INDEX('計算A'!$D$60:$EQ$104,$B3,140)*IK3=1,IF(AND($E3=2,NZ3=0),1000000,IF($I3&gt;0,IF(6=$J3,IF(OR(AND(140=$I3+1,OR($K3&lt;&gt;'計算A'!$A$3,'計算A'!$A$4=0)),AND(140=$I3-1,OR(20&lt;&gt;'計算A'!$A$3,'計算A'!$A$4=0))),0,IF(20=$K3,200000,ABS(20-$K3)*100)),100000+ABS(6-$J3)*1000+200)+'計算A'!EM$5*50+IF(AND($E3=1,NZ3=0),25,0),IF($F3&gt;0,INDEX('計算A'!EM$110:EM$114,$F3+1)+IF(AND($E3=1,NZ3=0),1000,0),MIN(TZ3,20)*400+(IF('計算A'!EL$106=1,1-IJ3,0)+IF('計算A'!EM$106=1,1-IL3,0))*150+206+'計算A'!EM$5*100000+IF(AND($E3=1,NZ3=0),50000,0))+IF($H3=1,(IF('計算A'!EL$117=1,INDEX('計算A'!EL$10:EL$54,$B3),0)+IF('計算A'!EM$117=1,INDEX('計算A'!EN$10:EN$54,$B3),0))*4000,0)-IF(AND('計算A'!EL$117=1,ZJ3&gt;0),2000,0)-IF(AND($L3=1,'計算A'!EM$117=1,IL3=0),2000,0))),1000000))</f>
        <v/>
      </c>
      <c r="TP3">
        <f>IF($B3=0,1000000,IF(INDEX('計算A'!$D$60:$EQ$104,$B3,141)*IL3=1,IF(AND($E3=2,OA3=0),1000000,IF($I3&gt;0,IF(6=$J3,IF(OR(AND(141=$I3+1,OR($K3&lt;&gt;'計算A'!$A$3,'計算A'!$A$4=0)),AND(141=$I3-1,OR(21&lt;&gt;'計算A'!$A$3,'計算A'!$A$4=0))),0,IF(21=$K3,200000,ABS(21-$K3)*100)),100000+ABS(6-$J3)*1000+210)+'計算A'!EN$5*50+IF(AND($E3=1,OA3=0),25,0),IF($F3&gt;0,INDEX('計算A'!EN$110:EN$114,$F3+1)+IF(AND($E3=1,OA3=0),1000,0),MIN(TZ3,20)*400+(IF('計算A'!EM$106=1,1-IK3,0)+IF('計算A'!EN$106=1,1-IM3,0))*150+216+'計算A'!EN$5*100000+IF(AND($E3=1,OA3=0),50000,0))+IF($H3=1,(IF('計算A'!EM$117=1,INDEX('計算A'!EM$10:EM$54,$B3),0)+IF('計算A'!EN$117=1,INDEX('計算A'!EO$10:EO$54,$B3),0))*4000,0)-IF(AND('計算A'!EM$117=1,ZK3&gt;0),2000,0)-IF(AND($L3=1,'計算A'!EN$117=1,IM3=0),2000,0))),1000000))</f>
        <v/>
      </c>
      <c r="TQ3">
        <f>IF($B3=0,1000000,IF(INDEX('計算A'!$D$60:$EQ$104,$B3,142)*IM3=1,IF(AND($E3=2,OB3=0),1000000,IF($I3&gt;0,IF(6=$J3,IF(OR(AND(142=$I3+1,OR($K3&lt;&gt;'計算A'!$A$3,'計算A'!$A$4=0)),AND(142=$I3-1,OR(22&lt;&gt;'計算A'!$A$3,'計算A'!$A$4=0))),0,IF(22=$K3,200000,ABS(22-$K3)*100)),100000+ABS(6-$J3)*1000+220)+'計算A'!EO$5*50+IF(AND($E3=1,OB3=0),25,0),IF($F3&gt;0,INDEX('計算A'!EO$110:EO$114,$F3+1)+IF(AND($E3=1,OB3=0),1000,0),MIN(TZ3,20)*400+(IF('計算A'!EN$106=1,1-IL3,0)+IF('計算A'!EO$106=1,1-IN3,0))*150+226+'計算A'!EO$5*100000+IF(AND($E3=1,OB3=0),50000,0))+IF($H3=1,(IF('計算A'!EN$117=1,INDEX('計算A'!EN$10:EN$54,$B3),0)+IF('計算A'!EO$117=1,INDEX('計算A'!EP$10:EP$54,$B3),0))*4000,0)-IF(AND('計算A'!EN$117=1,ZL3&gt;0),2000,0)-IF(AND($L3=1,'計算A'!EO$117=1,IN3=0),2000,0))),1000000))</f>
        <v/>
      </c>
      <c r="TR3">
        <f>IF($B3=0,1000000,IF(INDEX('計算A'!$D$60:$EQ$104,$B3,143)*IN3=1,IF(AND($E3=2,OC3=0),1000000,IF($I3&gt;0,IF(6=$J3,IF(OR(AND(143=$I3+1,OR($K3&lt;&gt;'計算A'!$A$3,'計算A'!$A$4=0)),AND(143=$I3-1,OR(23&lt;&gt;'計算A'!$A$3,'計算A'!$A$4=0))),0,IF(23=$K3,200000,ABS(23-$K3)*100)),100000+ABS(6-$J3)*1000+230)+'計算A'!EP$5*50+IF(AND($E3=1,OC3=0),25,0),IF($F3&gt;0,INDEX('計算A'!EP$110:EP$114,$F3+1)+IF(AND($E3=1,OC3=0),1000,0),MIN(TZ3,20)*400+(IF('計算A'!EO$106=1,1-IM3,0)+IF('計算A'!EP$106=1,1-IO3,0))*150+236+'計算A'!EP$5*100000+IF(AND($E3=1,OC3=0),50000,0))+IF($H3=1,(IF('計算A'!EO$117=1,INDEX('計算A'!EO$10:EO$54,$B3),0)+IF('計算A'!EP$117=1,INDEX('計算A'!EQ$10:EQ$54,$B3),0))*4000,0)-IF(AND('計算A'!EO$117=1,ZM3&gt;0),2000,0)-IF(AND($L3=1,'計算A'!EP$117=1,IO3=0),2000,0))),1000000))</f>
        <v/>
      </c>
      <c r="TS3">
        <f>IF($B3=0,1000000,IF(INDEX('計算A'!$D$60:$EQ$104,$B3,144)*IO3=1,IF(AND($E3=2,OD3=0),1000000,IF($I3&gt;0,IF(6=$J3,IF(OR(AND(144=$I3+1,OR($K3&lt;&gt;'計算A'!$A$3,'計算A'!$A$4=0)),AND(144=$I3-1,OR(24&lt;&gt;'計算A'!$A$3,'計算A'!$A$4=0))),0,IF(24=$K3,200000,ABS(24-$K3)*100)),100000+ABS(6-$J3)*1000+240)+'計算A'!EQ$5*50+IF(AND($E3=1,OD3=0),25,0),IF($F3&gt;0,INDEX('計算A'!EQ$110:EQ$114,$F3+1)+IF(AND($E3=1,OD3=0),1000,0),MIN(TZ3,20)*400+(IF('計算A'!EP$106=1,1-IN3,0))*150+246+'計算A'!EQ$5*100000+IF(AND($E3=1,OD3=0),50000,0))+IF($H3=1,(IF('計算A'!EP$117=1,INDEX('計算A'!EP$10:EP$54,$B3),0))*4000,0)-IF(AND('計算A'!EP$117=1,ZN3&gt;0),2000,0))),1000000))</f>
        <v/>
      </c>
      <c r="TU3">
        <f>SUMPRODUCT(('計算A'!$D$2:$EQ$2=1)*'計算A'!$D$109:$EQ$109)</f>
        <v/>
      </c>
      <c r="TV3">
        <f>SUMPRODUCT(('計算A'!$D$2:$EQ$2=2)*'計算A'!$D$109:$EQ$109)</f>
        <v/>
      </c>
      <c r="TW3">
        <f>SUMPRODUCT(('計算A'!$D$2:$EQ$2=3)*'計算A'!$D$109:$EQ$109)</f>
        <v/>
      </c>
      <c r="TX3">
        <f>SUMPRODUCT(('計算A'!$D$2:$EQ$2=4)*'計算A'!$D$109:$EQ$109)</f>
        <v/>
      </c>
      <c r="TY3">
        <f>SUMPRODUCT(('計算A'!$D$2:$EQ$2=5)*'計算A'!$D$109:$EQ$109)</f>
        <v/>
      </c>
      <c r="TZ3">
        <f>SUMPRODUCT(('計算A'!$D$2:$EQ$2=6)*'計算A'!$D$109:$EQ$109)</f>
        <v/>
      </c>
      <c r="UB3">
        <f>'計算A'!D$118</f>
        <v/>
      </c>
      <c r="UC3">
        <f>'計算A'!E$118</f>
        <v/>
      </c>
      <c r="UD3">
        <f>'計算A'!F$118</f>
        <v/>
      </c>
      <c r="UE3">
        <f>'計算A'!G$118</f>
        <v/>
      </c>
      <c r="UF3">
        <f>'計算A'!H$118</f>
        <v/>
      </c>
      <c r="UG3">
        <f>'計算A'!I$118</f>
        <v/>
      </c>
      <c r="UH3">
        <f>'計算A'!J$118</f>
        <v/>
      </c>
      <c r="UI3">
        <f>'計算A'!K$118</f>
        <v/>
      </c>
      <c r="UJ3">
        <f>'計算A'!L$118</f>
        <v/>
      </c>
      <c r="UK3">
        <f>'計算A'!M$118</f>
        <v/>
      </c>
      <c r="UL3">
        <f>'計算A'!N$118</f>
        <v/>
      </c>
      <c r="UM3">
        <f>'計算A'!O$118</f>
        <v/>
      </c>
      <c r="UN3">
        <f>'計算A'!P$118</f>
        <v/>
      </c>
      <c r="UO3">
        <f>'計算A'!Q$118</f>
        <v/>
      </c>
      <c r="UP3">
        <f>'計算A'!R$118</f>
        <v/>
      </c>
      <c r="UQ3">
        <f>'計算A'!S$118</f>
        <v/>
      </c>
      <c r="UR3">
        <f>'計算A'!T$118</f>
        <v/>
      </c>
      <c r="US3">
        <f>'計算A'!U$118</f>
        <v/>
      </c>
      <c r="UT3">
        <f>'計算A'!V$118</f>
        <v/>
      </c>
      <c r="UU3">
        <f>'計算A'!W$118</f>
        <v/>
      </c>
      <c r="UV3">
        <f>'計算A'!X$118</f>
        <v/>
      </c>
      <c r="UW3">
        <f>'計算A'!Y$118</f>
        <v/>
      </c>
      <c r="UX3">
        <f>'計算A'!Z$118</f>
        <v/>
      </c>
      <c r="UY3">
        <f>'計算A'!AA$118</f>
        <v/>
      </c>
      <c r="UZ3">
        <f>'計算A'!AB$118</f>
        <v/>
      </c>
      <c r="VA3">
        <f>'計算A'!AC$118</f>
        <v/>
      </c>
      <c r="VB3">
        <f>'計算A'!AD$118</f>
        <v/>
      </c>
      <c r="VC3">
        <f>'計算A'!AE$118</f>
        <v/>
      </c>
      <c r="VD3">
        <f>'計算A'!AF$118</f>
        <v/>
      </c>
      <c r="VE3">
        <f>'計算A'!AG$118</f>
        <v/>
      </c>
      <c r="VF3">
        <f>'計算A'!AH$118</f>
        <v/>
      </c>
      <c r="VG3">
        <f>'計算A'!AI$118</f>
        <v/>
      </c>
      <c r="VH3">
        <f>'計算A'!AJ$118</f>
        <v/>
      </c>
      <c r="VI3">
        <f>'計算A'!AK$118</f>
        <v/>
      </c>
      <c r="VJ3">
        <f>'計算A'!AL$118</f>
        <v/>
      </c>
      <c r="VK3">
        <f>'計算A'!AM$118</f>
        <v/>
      </c>
      <c r="VL3">
        <f>'計算A'!AN$118</f>
        <v/>
      </c>
      <c r="VM3">
        <f>'計算A'!AO$118</f>
        <v/>
      </c>
      <c r="VN3">
        <f>'計算A'!AP$118</f>
        <v/>
      </c>
      <c r="VO3">
        <f>'計算A'!AQ$118</f>
        <v/>
      </c>
      <c r="VP3">
        <f>'計算A'!AR$118</f>
        <v/>
      </c>
      <c r="VQ3">
        <f>'計算A'!AS$118</f>
        <v/>
      </c>
      <c r="VR3">
        <f>'計算A'!AT$118</f>
        <v/>
      </c>
      <c r="VS3">
        <f>'計算A'!AU$118</f>
        <v/>
      </c>
      <c r="VT3">
        <f>'計算A'!AV$118</f>
        <v/>
      </c>
      <c r="VU3">
        <f>'計算A'!AW$118</f>
        <v/>
      </c>
      <c r="VV3">
        <f>'計算A'!AX$118</f>
        <v/>
      </c>
      <c r="VW3">
        <f>'計算A'!AY$118</f>
        <v/>
      </c>
      <c r="VX3">
        <f>'計算A'!AZ$118</f>
        <v/>
      </c>
      <c r="VY3">
        <f>'計算A'!BA$118</f>
        <v/>
      </c>
      <c r="VZ3">
        <f>'計算A'!BB$118</f>
        <v/>
      </c>
      <c r="WA3">
        <f>'計算A'!BC$118</f>
        <v/>
      </c>
      <c r="WB3">
        <f>'計算A'!BD$118</f>
        <v/>
      </c>
      <c r="WC3">
        <f>'計算A'!BE$118</f>
        <v/>
      </c>
      <c r="WD3">
        <f>'計算A'!BF$118</f>
        <v/>
      </c>
      <c r="WE3">
        <f>'計算A'!BG$118</f>
        <v/>
      </c>
      <c r="WF3">
        <f>'計算A'!BH$118</f>
        <v/>
      </c>
      <c r="WG3">
        <f>'計算A'!BI$118</f>
        <v/>
      </c>
      <c r="WH3">
        <f>'計算A'!BJ$118</f>
        <v/>
      </c>
      <c r="WI3">
        <f>'計算A'!BK$118</f>
        <v/>
      </c>
      <c r="WJ3">
        <f>'計算A'!BL$118</f>
        <v/>
      </c>
      <c r="WK3">
        <f>'計算A'!BM$118</f>
        <v/>
      </c>
      <c r="WL3">
        <f>'計算A'!BN$118</f>
        <v/>
      </c>
      <c r="WM3">
        <f>'計算A'!BO$118</f>
        <v/>
      </c>
      <c r="WN3">
        <f>'計算A'!BP$118</f>
        <v/>
      </c>
      <c r="WO3">
        <f>'計算A'!BQ$118</f>
        <v/>
      </c>
      <c r="WP3">
        <f>'計算A'!BR$118</f>
        <v/>
      </c>
      <c r="WQ3">
        <f>'計算A'!BS$118</f>
        <v/>
      </c>
      <c r="WR3">
        <f>'計算A'!BT$118</f>
        <v/>
      </c>
      <c r="WS3">
        <f>'計算A'!BU$118</f>
        <v/>
      </c>
      <c r="WT3">
        <f>'計算A'!BV$118</f>
        <v/>
      </c>
      <c r="WU3">
        <f>'計算A'!BW$118</f>
        <v/>
      </c>
      <c r="WV3">
        <f>'計算A'!BX$118</f>
        <v/>
      </c>
      <c r="WW3">
        <f>'計算A'!BY$118</f>
        <v/>
      </c>
      <c r="WX3">
        <f>'計算A'!BZ$118</f>
        <v/>
      </c>
      <c r="WY3">
        <f>'計算A'!CA$118</f>
        <v/>
      </c>
      <c r="WZ3">
        <f>'計算A'!CB$118</f>
        <v/>
      </c>
      <c r="XA3">
        <f>'計算A'!CC$118</f>
        <v/>
      </c>
      <c r="XB3">
        <f>'計算A'!CD$118</f>
        <v/>
      </c>
      <c r="XC3">
        <f>'計算A'!CE$118</f>
        <v/>
      </c>
      <c r="XD3">
        <f>'計算A'!CF$118</f>
        <v/>
      </c>
      <c r="XE3">
        <f>'計算A'!CG$118</f>
        <v/>
      </c>
      <c r="XF3">
        <f>'計算A'!CH$118</f>
        <v/>
      </c>
      <c r="XG3">
        <f>'計算A'!CI$118</f>
        <v/>
      </c>
      <c r="XH3">
        <f>'計算A'!CJ$118</f>
        <v/>
      </c>
      <c r="XI3">
        <f>'計算A'!CK$118</f>
        <v/>
      </c>
      <c r="XJ3">
        <f>'計算A'!CL$118</f>
        <v/>
      </c>
      <c r="XK3">
        <f>'計算A'!CM$118</f>
        <v/>
      </c>
      <c r="XL3">
        <f>'計算A'!CN$118</f>
        <v/>
      </c>
      <c r="XM3">
        <f>'計算A'!CO$118</f>
        <v/>
      </c>
      <c r="XN3">
        <f>'計算A'!CP$118</f>
        <v/>
      </c>
      <c r="XO3">
        <f>'計算A'!CQ$118</f>
        <v/>
      </c>
      <c r="XP3">
        <f>'計算A'!CR$118</f>
        <v/>
      </c>
      <c r="XQ3">
        <f>'計算A'!CS$118</f>
        <v/>
      </c>
      <c r="XR3">
        <f>'計算A'!CT$118</f>
        <v/>
      </c>
      <c r="XS3">
        <f>'計算A'!CU$118</f>
        <v/>
      </c>
      <c r="XT3">
        <f>'計算A'!CV$118</f>
        <v/>
      </c>
      <c r="XU3">
        <f>'計算A'!CW$118</f>
        <v/>
      </c>
      <c r="XV3">
        <f>'計算A'!CX$118</f>
        <v/>
      </c>
      <c r="XW3">
        <f>'計算A'!CY$118</f>
        <v/>
      </c>
      <c r="XX3">
        <f>'計算A'!CZ$118</f>
        <v/>
      </c>
      <c r="XY3">
        <f>'計算A'!DA$118</f>
        <v/>
      </c>
      <c r="XZ3">
        <f>'計算A'!DB$118</f>
        <v/>
      </c>
      <c r="YA3">
        <f>'計算A'!DC$118</f>
        <v/>
      </c>
      <c r="YB3">
        <f>'計算A'!DD$118</f>
        <v/>
      </c>
      <c r="YC3">
        <f>'計算A'!DE$118</f>
        <v/>
      </c>
      <c r="YD3">
        <f>'計算A'!DF$118</f>
        <v/>
      </c>
      <c r="YE3">
        <f>'計算A'!DG$118</f>
        <v/>
      </c>
      <c r="YF3">
        <f>'計算A'!DH$118</f>
        <v/>
      </c>
      <c r="YG3">
        <f>'計算A'!DI$118</f>
        <v/>
      </c>
      <c r="YH3">
        <f>'計算A'!DJ$118</f>
        <v/>
      </c>
      <c r="YI3">
        <f>'計算A'!DK$118</f>
        <v/>
      </c>
      <c r="YJ3">
        <f>'計算A'!DL$118</f>
        <v/>
      </c>
      <c r="YK3">
        <f>'計算A'!DM$118</f>
        <v/>
      </c>
      <c r="YL3">
        <f>'計算A'!DN$118</f>
        <v/>
      </c>
      <c r="YM3">
        <f>'計算A'!DO$118</f>
        <v/>
      </c>
      <c r="YN3">
        <f>'計算A'!DP$118</f>
        <v/>
      </c>
      <c r="YO3">
        <f>'計算A'!DQ$118</f>
        <v/>
      </c>
      <c r="YP3">
        <f>'計算A'!DR$118</f>
        <v/>
      </c>
      <c r="YQ3">
        <f>'計算A'!DS$118</f>
        <v/>
      </c>
      <c r="YR3">
        <f>'計算A'!DT$118</f>
        <v/>
      </c>
      <c r="YS3">
        <f>'計算A'!DU$118</f>
        <v/>
      </c>
      <c r="YT3">
        <f>'計算A'!DV$118</f>
        <v/>
      </c>
      <c r="YU3">
        <f>'計算A'!DW$118</f>
        <v/>
      </c>
      <c r="YV3">
        <f>'計算A'!DX$118</f>
        <v/>
      </c>
      <c r="YW3">
        <f>'計算A'!DY$118</f>
        <v/>
      </c>
      <c r="YX3">
        <f>'計算A'!DZ$118</f>
        <v/>
      </c>
      <c r="YY3">
        <f>'計算A'!EA$118</f>
        <v/>
      </c>
      <c r="YZ3">
        <f>'計算A'!EB$118</f>
        <v/>
      </c>
      <c r="ZA3">
        <f>'計算A'!EC$118</f>
        <v/>
      </c>
      <c r="ZB3">
        <f>'計算A'!ED$118</f>
        <v/>
      </c>
      <c r="ZC3">
        <f>'計算A'!EE$118</f>
        <v/>
      </c>
      <c r="ZD3">
        <f>'計算A'!EF$118</f>
        <v/>
      </c>
      <c r="ZE3">
        <f>'計算A'!EG$118</f>
        <v/>
      </c>
      <c r="ZF3">
        <f>'計算A'!EH$118</f>
        <v/>
      </c>
      <c r="ZG3">
        <f>'計算A'!EI$118</f>
        <v/>
      </c>
      <c r="ZH3">
        <f>'計算A'!EJ$118</f>
        <v/>
      </c>
      <c r="ZI3">
        <f>'計算A'!EK$118</f>
        <v/>
      </c>
      <c r="ZJ3">
        <f>'計算A'!EL$118</f>
        <v/>
      </c>
      <c r="ZK3">
        <f>'計算A'!EM$118</f>
        <v/>
      </c>
      <c r="ZL3">
        <f>'計算A'!EN$118</f>
        <v/>
      </c>
      <c r="ZM3">
        <f>'計算A'!EO$118</f>
        <v/>
      </c>
      <c r="ZN3">
        <f>'計算A'!EP$118</f>
        <v/>
      </c>
      <c r="ZO3">
        <f>'計算A'!EQ$118</f>
        <v/>
      </c>
    </row>
    <row r="4">
      <c r="A4" t="n">
        <v>2</v>
      </c>
      <c r="B4">
        <f>IF(MIN(BH4:CZ4)&gt;=1000000,0,MATCH(MIN(BH4:CZ4),BH4:CZ4,0))</f>
        <v/>
      </c>
      <c r="C4">
        <f>IF(MIN(OF4:TS4)&gt;=1000000,0,MATCH(MIN(OF4:TS4),OF4:TS4,0))</f>
        <v/>
      </c>
      <c r="D4">
        <f>IF(C4&gt;0,INDEX('計算A'!$D$5:$EQ$5,C4),0)</f>
        <v/>
      </c>
      <c r="E4">
        <f>IF(B4=0,0,INDEX('計算A'!$IQ$10:$IQ$54,B4))</f>
        <v/>
      </c>
      <c r="F4">
        <f>IF(B4=0,0,INDEX('計算A'!$IP$10:$IP$54,B4))</f>
        <v/>
      </c>
      <c r="G4">
        <f>IF(AND(C4&gt;0,E4&gt;0),IF(AND(INDEX('計算A'!$D$106:$EQ$106,C4)=1,INDEX($IQ4:$OD4,C4)=1),C4+1,0),0)</f>
        <v/>
      </c>
      <c r="H4">
        <f>IF(B4=0,0,INDEX('計算A'!$IW$10:$IW$54,B4))</f>
        <v/>
      </c>
      <c r="I4">
        <f>IF(B4=0,0,MAX(0,INDEX('計算A'!$IT$10:$IT$54,B4)))</f>
        <v/>
      </c>
      <c r="J4">
        <f>IF(I4=0,0,INDEX('計算A'!$D$2:$EQ$2,I4))</f>
        <v/>
      </c>
      <c r="K4">
        <f>IF(I4=0,0,INDEX('計算A'!$D$3:$EQ$3,I4))</f>
        <v/>
      </c>
      <c r="L4">
        <f>IF(B4=0,0,INDEX('計算A'!$IX$10:$IX$54,B4))</f>
        <v/>
      </c>
      <c r="N4">
        <f>MAX(N3,IF($B3=1,1,0))</f>
        <v/>
      </c>
      <c r="O4">
        <f>MAX(O3,IF($B3=2,1,0))</f>
        <v/>
      </c>
      <c r="P4">
        <f>MAX(P3,IF($B3=3,1,0))</f>
        <v/>
      </c>
      <c r="Q4">
        <f>MAX(Q3,IF($B3=4,1,0))</f>
        <v/>
      </c>
      <c r="R4">
        <f>MAX(R3,IF($B3=5,1,0))</f>
        <v/>
      </c>
      <c r="S4">
        <f>MAX(S3,IF($B3=6,1,0))</f>
        <v/>
      </c>
      <c r="T4">
        <f>MAX(T3,IF($B3=7,1,0))</f>
        <v/>
      </c>
      <c r="U4">
        <f>MAX(U3,IF($B3=8,1,0))</f>
        <v/>
      </c>
      <c r="V4">
        <f>MAX(V3,IF($B3=9,1,0))</f>
        <v/>
      </c>
      <c r="W4">
        <f>MAX(W3,IF($B3=10,1,0))</f>
        <v/>
      </c>
      <c r="X4">
        <f>MAX(X3,IF($B3=11,1,0))</f>
        <v/>
      </c>
      <c r="Y4">
        <f>MAX(Y3,IF($B3=12,1,0))</f>
        <v/>
      </c>
      <c r="Z4">
        <f>MAX(Z3,IF($B3=13,1,0))</f>
        <v/>
      </c>
      <c r="AA4">
        <f>MAX(AA3,IF($B3=14,1,0))</f>
        <v/>
      </c>
      <c r="AB4">
        <f>MAX(AB3,IF($B3=15,1,0))</f>
        <v/>
      </c>
      <c r="AC4">
        <f>MAX(AC3,IF($B3=16,1,0))</f>
        <v/>
      </c>
      <c r="AD4">
        <f>MAX(AD3,IF($B3=17,1,0))</f>
        <v/>
      </c>
      <c r="AE4">
        <f>MAX(AE3,IF($B3=18,1,0))</f>
        <v/>
      </c>
      <c r="AF4">
        <f>MAX(AF3,IF($B3=19,1,0))</f>
        <v/>
      </c>
      <c r="AG4">
        <f>MAX(AG3,IF($B3=20,1,0))</f>
        <v/>
      </c>
      <c r="AH4">
        <f>MAX(AH3,IF($B3=21,1,0))</f>
        <v/>
      </c>
      <c r="AI4">
        <f>MAX(AI3,IF($B3=22,1,0))</f>
        <v/>
      </c>
      <c r="AJ4">
        <f>MAX(AJ3,IF($B3=23,1,0))</f>
        <v/>
      </c>
      <c r="AK4">
        <f>MAX(AK3,IF($B3=24,1,0))</f>
        <v/>
      </c>
      <c r="AL4">
        <f>MAX(AL3,IF($B3=25,1,0))</f>
        <v/>
      </c>
      <c r="AM4">
        <f>MAX(AM3,IF($B3=26,1,0))</f>
        <v/>
      </c>
      <c r="AN4">
        <f>MAX(AN3,IF($B3=27,1,0))</f>
        <v/>
      </c>
      <c r="AO4">
        <f>MAX(AO3,IF($B3=28,1,0))</f>
        <v/>
      </c>
      <c r="AP4">
        <f>MAX(AP3,IF($B3=29,1,0))</f>
        <v/>
      </c>
      <c r="AQ4">
        <f>MAX(AQ3,IF($B3=30,1,0))</f>
        <v/>
      </c>
      <c r="AR4">
        <f>MAX(AR3,IF($B3=31,1,0))</f>
        <v/>
      </c>
      <c r="AS4">
        <f>MAX(AS3,IF($B3=32,1,0))</f>
        <v/>
      </c>
      <c r="AT4">
        <f>MAX(AT3,IF($B3=33,1,0))</f>
        <v/>
      </c>
      <c r="AU4">
        <f>MAX(AU3,IF($B3=34,1,0))</f>
        <v/>
      </c>
      <c r="AV4">
        <f>MAX(AV3,IF($B3=35,1,0))</f>
        <v/>
      </c>
      <c r="AW4">
        <f>MAX(AW3,IF($B3=36,1,0))</f>
        <v/>
      </c>
      <c r="AX4">
        <f>MAX(AX3,IF($B3=37,1,0))</f>
        <v/>
      </c>
      <c r="AY4">
        <f>MAX(AY3,IF($B3=38,1,0))</f>
        <v/>
      </c>
      <c r="AZ4">
        <f>MAX(AZ3,IF($B3=39,1,0))</f>
        <v/>
      </c>
      <c r="BA4">
        <f>MAX(BA3,IF($B3=40,1,0))</f>
        <v/>
      </c>
      <c r="BB4">
        <f>MAX(BB3,IF($B3=41,1,0))</f>
        <v/>
      </c>
      <c r="BC4">
        <f>MAX(BC3,IF($B3=42,1,0))</f>
        <v/>
      </c>
      <c r="BD4">
        <f>MAX(BD3,IF($B3=43,1,0))</f>
        <v/>
      </c>
      <c r="BE4">
        <f>MAX(BE3,IF($B3=44,1,0))</f>
        <v/>
      </c>
      <c r="BF4">
        <f>MAX(BF3,IF($B3=45,1,0))</f>
        <v/>
      </c>
      <c r="BH4">
        <f>IF(N4=1,1000000,IF('計算A'!$IT$10&gt;0,0,500000)+IF('計算A'!$IQ$10=2,SUMPRODUCT('計算A'!$D$60:$EQ$60,$DB4:$IO4,$IQ4:$OD4),SUMPRODUCT('計算A'!$D$60:$EQ$60,$DB4:$IO4))*1000+1)</f>
        <v/>
      </c>
      <c r="BI4">
        <f>IF(O4=1,1000000,IF('計算A'!$IT$11&gt;0,0,500000)+IF('計算A'!$IQ$11=2,SUMPRODUCT('計算A'!$D$61:$EQ$61,$DB4:$IO4,$IQ4:$OD4),SUMPRODUCT('計算A'!$D$61:$EQ$61,$DB4:$IO4))*1000+2)</f>
        <v/>
      </c>
      <c r="BJ4">
        <f>IF(P4=1,1000000,IF('計算A'!$IT$12&gt;0,0,500000)+IF('計算A'!$IQ$12=2,SUMPRODUCT('計算A'!$D$62:$EQ$62,$DB4:$IO4,$IQ4:$OD4),SUMPRODUCT('計算A'!$D$62:$EQ$62,$DB4:$IO4))*1000+3)</f>
        <v/>
      </c>
      <c r="BK4">
        <f>IF(Q4=1,1000000,IF('計算A'!$IT$13&gt;0,0,500000)+IF('計算A'!$IQ$13=2,SUMPRODUCT('計算A'!$D$63:$EQ$63,$DB4:$IO4,$IQ4:$OD4),SUMPRODUCT('計算A'!$D$63:$EQ$63,$DB4:$IO4))*1000+4)</f>
        <v/>
      </c>
      <c r="BL4">
        <f>IF(R4=1,1000000,IF('計算A'!$IT$14&gt;0,0,500000)+IF('計算A'!$IQ$14=2,SUMPRODUCT('計算A'!$D$64:$EQ$64,$DB4:$IO4,$IQ4:$OD4),SUMPRODUCT('計算A'!$D$64:$EQ$64,$DB4:$IO4))*1000+5)</f>
        <v/>
      </c>
      <c r="BM4">
        <f>IF(S4=1,1000000,IF('計算A'!$IT$15&gt;0,0,500000)+IF('計算A'!$IQ$15=2,SUMPRODUCT('計算A'!$D$65:$EQ$65,$DB4:$IO4,$IQ4:$OD4),SUMPRODUCT('計算A'!$D$65:$EQ$65,$DB4:$IO4))*1000+6)</f>
        <v/>
      </c>
      <c r="BN4">
        <f>IF(T4=1,1000000,IF('計算A'!$IT$16&gt;0,0,500000)+IF('計算A'!$IQ$16=2,SUMPRODUCT('計算A'!$D$66:$EQ$66,$DB4:$IO4,$IQ4:$OD4),SUMPRODUCT('計算A'!$D$66:$EQ$66,$DB4:$IO4))*1000+7)</f>
        <v/>
      </c>
      <c r="BO4">
        <f>IF(U4=1,1000000,IF('計算A'!$IT$17&gt;0,0,500000)+IF('計算A'!$IQ$17=2,SUMPRODUCT('計算A'!$D$67:$EQ$67,$DB4:$IO4,$IQ4:$OD4),SUMPRODUCT('計算A'!$D$67:$EQ$67,$DB4:$IO4))*1000+8)</f>
        <v/>
      </c>
      <c r="BP4">
        <f>IF(V4=1,1000000,IF('計算A'!$IT$18&gt;0,0,500000)+IF('計算A'!$IQ$18=2,SUMPRODUCT('計算A'!$D$68:$EQ$68,$DB4:$IO4,$IQ4:$OD4),SUMPRODUCT('計算A'!$D$68:$EQ$68,$DB4:$IO4))*1000+9)</f>
        <v/>
      </c>
      <c r="BQ4">
        <f>IF(W4=1,1000000,IF('計算A'!$IT$19&gt;0,0,500000)+IF('計算A'!$IQ$19=2,SUMPRODUCT('計算A'!$D$69:$EQ$69,$DB4:$IO4,$IQ4:$OD4),SUMPRODUCT('計算A'!$D$69:$EQ$69,$DB4:$IO4))*1000+10)</f>
        <v/>
      </c>
      <c r="BR4">
        <f>IF(X4=1,1000000,IF('計算A'!$IT$20&gt;0,0,500000)+IF('計算A'!$IQ$20=2,SUMPRODUCT('計算A'!$D$70:$EQ$70,$DB4:$IO4,$IQ4:$OD4),SUMPRODUCT('計算A'!$D$70:$EQ$70,$DB4:$IO4))*1000+11)</f>
        <v/>
      </c>
      <c r="BS4">
        <f>IF(Y4=1,1000000,IF('計算A'!$IT$21&gt;0,0,500000)+IF('計算A'!$IQ$21=2,SUMPRODUCT('計算A'!$D$71:$EQ$71,$DB4:$IO4,$IQ4:$OD4),SUMPRODUCT('計算A'!$D$71:$EQ$71,$DB4:$IO4))*1000+12)</f>
        <v/>
      </c>
      <c r="BT4">
        <f>IF(Z4=1,1000000,IF('計算A'!$IT$22&gt;0,0,500000)+IF('計算A'!$IQ$22=2,SUMPRODUCT('計算A'!$D$72:$EQ$72,$DB4:$IO4,$IQ4:$OD4),SUMPRODUCT('計算A'!$D$72:$EQ$72,$DB4:$IO4))*1000+13)</f>
        <v/>
      </c>
      <c r="BU4">
        <f>IF(AA4=1,1000000,IF('計算A'!$IT$23&gt;0,0,500000)+IF('計算A'!$IQ$23=2,SUMPRODUCT('計算A'!$D$73:$EQ$73,$DB4:$IO4,$IQ4:$OD4),SUMPRODUCT('計算A'!$D$73:$EQ$73,$DB4:$IO4))*1000+14)</f>
        <v/>
      </c>
      <c r="BV4">
        <f>IF(AB4=1,1000000,IF('計算A'!$IT$24&gt;0,0,500000)+IF('計算A'!$IQ$24=2,SUMPRODUCT('計算A'!$D$74:$EQ$74,$DB4:$IO4,$IQ4:$OD4),SUMPRODUCT('計算A'!$D$74:$EQ$74,$DB4:$IO4))*1000+15)</f>
        <v/>
      </c>
      <c r="BW4">
        <f>IF(AC4=1,1000000,IF('計算A'!$IT$25&gt;0,0,500000)+IF('計算A'!$IQ$25=2,SUMPRODUCT('計算A'!$D$75:$EQ$75,$DB4:$IO4,$IQ4:$OD4),SUMPRODUCT('計算A'!$D$75:$EQ$75,$DB4:$IO4))*1000+16)</f>
        <v/>
      </c>
      <c r="BX4">
        <f>IF(AD4=1,1000000,IF('計算A'!$IT$26&gt;0,0,500000)+IF('計算A'!$IQ$26=2,SUMPRODUCT('計算A'!$D$76:$EQ$76,$DB4:$IO4,$IQ4:$OD4),SUMPRODUCT('計算A'!$D$76:$EQ$76,$DB4:$IO4))*1000+17)</f>
        <v/>
      </c>
      <c r="BY4">
        <f>IF(AE4=1,1000000,IF('計算A'!$IT$27&gt;0,0,500000)+IF('計算A'!$IQ$27=2,SUMPRODUCT('計算A'!$D$77:$EQ$77,$DB4:$IO4,$IQ4:$OD4),SUMPRODUCT('計算A'!$D$77:$EQ$77,$DB4:$IO4))*1000+18)</f>
        <v/>
      </c>
      <c r="BZ4">
        <f>IF(AF4=1,1000000,IF('計算A'!$IT$28&gt;0,0,500000)+IF('計算A'!$IQ$28=2,SUMPRODUCT('計算A'!$D$78:$EQ$78,$DB4:$IO4,$IQ4:$OD4),SUMPRODUCT('計算A'!$D$78:$EQ$78,$DB4:$IO4))*1000+19)</f>
        <v/>
      </c>
      <c r="CA4">
        <f>IF(AG4=1,1000000,IF('計算A'!$IT$29&gt;0,0,500000)+IF('計算A'!$IQ$29=2,SUMPRODUCT('計算A'!$D$79:$EQ$79,$DB4:$IO4,$IQ4:$OD4),SUMPRODUCT('計算A'!$D$79:$EQ$79,$DB4:$IO4))*1000+20)</f>
        <v/>
      </c>
      <c r="CB4">
        <f>IF(AH4=1,1000000,IF('計算A'!$IT$30&gt;0,0,500000)+IF('計算A'!$IQ$30=2,SUMPRODUCT('計算A'!$D$80:$EQ$80,$DB4:$IO4,$IQ4:$OD4),SUMPRODUCT('計算A'!$D$80:$EQ$80,$DB4:$IO4))*1000+21)</f>
        <v/>
      </c>
      <c r="CC4">
        <f>IF(AI4=1,1000000,IF('計算A'!$IT$31&gt;0,0,500000)+IF('計算A'!$IQ$31=2,SUMPRODUCT('計算A'!$D$81:$EQ$81,$DB4:$IO4,$IQ4:$OD4),SUMPRODUCT('計算A'!$D$81:$EQ$81,$DB4:$IO4))*1000+22)</f>
        <v/>
      </c>
      <c r="CD4">
        <f>IF(AJ4=1,1000000,IF('計算A'!$IT$32&gt;0,0,500000)+IF('計算A'!$IQ$32=2,SUMPRODUCT('計算A'!$D$82:$EQ$82,$DB4:$IO4,$IQ4:$OD4),SUMPRODUCT('計算A'!$D$82:$EQ$82,$DB4:$IO4))*1000+23)</f>
        <v/>
      </c>
      <c r="CE4">
        <f>IF(AK4=1,1000000,IF('計算A'!$IT$33&gt;0,0,500000)+IF('計算A'!$IQ$33=2,SUMPRODUCT('計算A'!$D$83:$EQ$83,$DB4:$IO4,$IQ4:$OD4),SUMPRODUCT('計算A'!$D$83:$EQ$83,$DB4:$IO4))*1000+24)</f>
        <v/>
      </c>
      <c r="CF4">
        <f>IF(AL4=1,1000000,IF('計算A'!$IT$34&gt;0,0,500000)+IF('計算A'!$IQ$34=2,SUMPRODUCT('計算A'!$D$84:$EQ$84,$DB4:$IO4,$IQ4:$OD4),SUMPRODUCT('計算A'!$D$84:$EQ$84,$DB4:$IO4))*1000+25)</f>
        <v/>
      </c>
      <c r="CG4">
        <f>IF(AM4=1,1000000,IF('計算A'!$IT$35&gt;0,0,500000)+IF('計算A'!$IQ$35=2,SUMPRODUCT('計算A'!$D$85:$EQ$85,$DB4:$IO4,$IQ4:$OD4),SUMPRODUCT('計算A'!$D$85:$EQ$85,$DB4:$IO4))*1000+26)</f>
        <v/>
      </c>
      <c r="CH4">
        <f>IF(AN4=1,1000000,IF('計算A'!$IT$36&gt;0,0,500000)+IF('計算A'!$IQ$36=2,SUMPRODUCT('計算A'!$D$86:$EQ$86,$DB4:$IO4,$IQ4:$OD4),SUMPRODUCT('計算A'!$D$86:$EQ$86,$DB4:$IO4))*1000+27)</f>
        <v/>
      </c>
      <c r="CI4">
        <f>IF(AO4=1,1000000,IF('計算A'!$IT$37&gt;0,0,500000)+IF('計算A'!$IQ$37=2,SUMPRODUCT('計算A'!$D$87:$EQ$87,$DB4:$IO4,$IQ4:$OD4),SUMPRODUCT('計算A'!$D$87:$EQ$87,$DB4:$IO4))*1000+28)</f>
        <v/>
      </c>
      <c r="CJ4">
        <f>IF(AP4=1,1000000,IF('計算A'!$IT$38&gt;0,0,500000)+IF('計算A'!$IQ$38=2,SUMPRODUCT('計算A'!$D$88:$EQ$88,$DB4:$IO4,$IQ4:$OD4),SUMPRODUCT('計算A'!$D$88:$EQ$88,$DB4:$IO4))*1000+29)</f>
        <v/>
      </c>
      <c r="CK4">
        <f>IF(AQ4=1,1000000,IF('計算A'!$IT$39&gt;0,0,500000)+IF('計算A'!$IQ$39=2,SUMPRODUCT('計算A'!$D$89:$EQ$89,$DB4:$IO4,$IQ4:$OD4),SUMPRODUCT('計算A'!$D$89:$EQ$89,$DB4:$IO4))*1000+30)</f>
        <v/>
      </c>
      <c r="CL4">
        <f>IF(AR4=1,1000000,IF('計算A'!$IT$40&gt;0,0,500000)+IF('計算A'!$IQ$40=2,SUMPRODUCT('計算A'!$D$90:$EQ$90,$DB4:$IO4,$IQ4:$OD4),SUMPRODUCT('計算A'!$D$90:$EQ$90,$DB4:$IO4))*1000+31)</f>
        <v/>
      </c>
      <c r="CM4">
        <f>IF(AS4=1,1000000,IF('計算A'!$IT$41&gt;0,0,500000)+IF('計算A'!$IQ$41=2,SUMPRODUCT('計算A'!$D$91:$EQ$91,$DB4:$IO4,$IQ4:$OD4),SUMPRODUCT('計算A'!$D$91:$EQ$91,$DB4:$IO4))*1000+32)</f>
        <v/>
      </c>
      <c r="CN4">
        <f>IF(AT4=1,1000000,IF('計算A'!$IT$42&gt;0,0,500000)+IF('計算A'!$IQ$42=2,SUMPRODUCT('計算A'!$D$92:$EQ$92,$DB4:$IO4,$IQ4:$OD4),SUMPRODUCT('計算A'!$D$92:$EQ$92,$DB4:$IO4))*1000+33)</f>
        <v/>
      </c>
      <c r="CO4">
        <f>IF(AU4=1,1000000,IF('計算A'!$IT$43&gt;0,0,500000)+IF('計算A'!$IQ$43=2,SUMPRODUCT('計算A'!$D$93:$EQ$93,$DB4:$IO4,$IQ4:$OD4),SUMPRODUCT('計算A'!$D$93:$EQ$93,$DB4:$IO4))*1000+34)</f>
        <v/>
      </c>
      <c r="CP4">
        <f>IF(AV4=1,1000000,IF('計算A'!$IT$44&gt;0,0,500000)+IF('計算A'!$IQ$44=2,SUMPRODUCT('計算A'!$D$94:$EQ$94,$DB4:$IO4,$IQ4:$OD4),SUMPRODUCT('計算A'!$D$94:$EQ$94,$DB4:$IO4))*1000+35)</f>
        <v/>
      </c>
      <c r="CQ4">
        <f>IF(AW4=1,1000000,IF('計算A'!$IT$45&gt;0,0,500000)+IF('計算A'!$IQ$45=2,SUMPRODUCT('計算A'!$D$95:$EQ$95,$DB4:$IO4,$IQ4:$OD4),SUMPRODUCT('計算A'!$D$95:$EQ$95,$DB4:$IO4))*1000+36)</f>
        <v/>
      </c>
      <c r="CR4">
        <f>IF(AX4=1,1000000,IF('計算A'!$IT$46&gt;0,0,500000)+IF('計算A'!$IQ$46=2,SUMPRODUCT('計算A'!$D$96:$EQ$96,$DB4:$IO4,$IQ4:$OD4),SUMPRODUCT('計算A'!$D$96:$EQ$96,$DB4:$IO4))*1000+37)</f>
        <v/>
      </c>
      <c r="CS4">
        <f>IF(AY4=1,1000000,IF('計算A'!$IT$47&gt;0,0,500000)+IF('計算A'!$IQ$47=2,SUMPRODUCT('計算A'!$D$97:$EQ$97,$DB4:$IO4,$IQ4:$OD4),SUMPRODUCT('計算A'!$D$97:$EQ$97,$DB4:$IO4))*1000+38)</f>
        <v/>
      </c>
      <c r="CT4">
        <f>IF(AZ4=1,1000000,IF('計算A'!$IT$48&gt;0,0,500000)+IF('計算A'!$IQ$48=2,SUMPRODUCT('計算A'!$D$98:$EQ$98,$DB4:$IO4,$IQ4:$OD4),SUMPRODUCT('計算A'!$D$98:$EQ$98,$DB4:$IO4))*1000+39)</f>
        <v/>
      </c>
      <c r="CU4">
        <f>IF(BA4=1,1000000,IF('計算A'!$IT$49&gt;0,0,500000)+IF('計算A'!$IQ$49=2,SUMPRODUCT('計算A'!$D$99:$EQ$99,$DB4:$IO4,$IQ4:$OD4),SUMPRODUCT('計算A'!$D$99:$EQ$99,$DB4:$IO4))*1000+40)</f>
        <v/>
      </c>
      <c r="CV4">
        <f>IF(BB4=1,1000000,IF('計算A'!$IT$50&gt;0,0,500000)+IF('計算A'!$IQ$50=2,SUMPRODUCT('計算A'!$D$100:$EQ$100,$DB4:$IO4,$IQ4:$OD4),SUMPRODUCT('計算A'!$D$100:$EQ$100,$DB4:$IO4))*1000+41)</f>
        <v/>
      </c>
      <c r="CW4">
        <f>IF(BC4=1,1000000,IF('計算A'!$IT$51&gt;0,0,500000)+IF('計算A'!$IQ$51=2,SUMPRODUCT('計算A'!$D$101:$EQ$101,$DB4:$IO4,$IQ4:$OD4),SUMPRODUCT('計算A'!$D$101:$EQ$101,$DB4:$IO4))*1000+42)</f>
        <v/>
      </c>
      <c r="CX4">
        <f>IF(BD4=1,1000000,IF('計算A'!$IT$52&gt;0,0,500000)+IF('計算A'!$IQ$52=2,SUMPRODUCT('計算A'!$D$102:$EQ$102,$DB4:$IO4,$IQ4:$OD4),SUMPRODUCT('計算A'!$D$102:$EQ$102,$DB4:$IO4))*1000+43)</f>
        <v/>
      </c>
      <c r="CY4">
        <f>IF(BE4=1,1000000,IF('計算A'!$IT$53&gt;0,0,500000)+IF('計算A'!$IQ$53=2,SUMPRODUCT('計算A'!$D$103:$EQ$103,$DB4:$IO4,$IQ4:$OD4),SUMPRODUCT('計算A'!$D$103:$EQ$103,$DB4:$IO4))*1000+44)</f>
        <v/>
      </c>
      <c r="CZ4">
        <f>IF(BF4=1,1000000,IF('計算A'!$IT$54&gt;0,0,500000)+IF('計算A'!$IQ$54=2,SUMPRODUCT('計算A'!$D$104:$EQ$104,$DB4:$IO4,$IQ4:$OD4),SUMPRODUCT('計算A'!$D$104:$EQ$104,$DB4:$IO4))*1000+45)</f>
        <v/>
      </c>
      <c r="DB4">
        <f>DB3*IF(OR($C3=1,$G3=1),0,1)</f>
        <v/>
      </c>
      <c r="DC4">
        <f>DC3*IF(OR($C3=2,$G3=2),0,1)</f>
        <v/>
      </c>
      <c r="DD4">
        <f>DD3*IF(OR($C3=3,$G3=3),0,1)</f>
        <v/>
      </c>
      <c r="DE4">
        <f>DE3*IF(OR($C3=4,$G3=4),0,1)</f>
        <v/>
      </c>
      <c r="DF4">
        <f>DF3*IF(OR($C3=5,$G3=5),0,1)</f>
        <v/>
      </c>
      <c r="DG4">
        <f>DG3*IF(OR($C3=6,$G3=6),0,1)</f>
        <v/>
      </c>
      <c r="DH4">
        <f>DH3*IF(OR($C3=7,$G3=7),0,1)</f>
        <v/>
      </c>
      <c r="DI4">
        <f>DI3*IF(OR($C3=8,$G3=8),0,1)</f>
        <v/>
      </c>
      <c r="DJ4">
        <f>DJ3*IF(OR($C3=9,$G3=9),0,1)</f>
        <v/>
      </c>
      <c r="DK4">
        <f>DK3*IF(OR($C3=10,$G3=10),0,1)</f>
        <v/>
      </c>
      <c r="DL4">
        <f>DL3*IF(OR($C3=11,$G3=11),0,1)</f>
        <v/>
      </c>
      <c r="DM4">
        <f>DM3*IF(OR($C3=12,$G3=12),0,1)</f>
        <v/>
      </c>
      <c r="DN4">
        <f>DN3*IF(OR($C3=13,$G3=13),0,1)</f>
        <v/>
      </c>
      <c r="DO4">
        <f>DO3*IF(OR($C3=14,$G3=14),0,1)</f>
        <v/>
      </c>
      <c r="DP4">
        <f>DP3*IF(OR($C3=15,$G3=15),0,1)</f>
        <v/>
      </c>
      <c r="DQ4">
        <f>DQ3*IF(OR($C3=16,$G3=16),0,1)</f>
        <v/>
      </c>
      <c r="DR4">
        <f>DR3*IF(OR($C3=17,$G3=17),0,1)</f>
        <v/>
      </c>
      <c r="DS4">
        <f>DS3*IF(OR($C3=18,$G3=18),0,1)</f>
        <v/>
      </c>
      <c r="DT4">
        <f>DT3*IF(OR($C3=19,$G3=19),0,1)</f>
        <v/>
      </c>
      <c r="DU4">
        <f>DU3*IF(OR($C3=20,$G3=20),0,1)</f>
        <v/>
      </c>
      <c r="DV4">
        <f>DV3*IF(OR($C3=21,$G3=21),0,1)</f>
        <v/>
      </c>
      <c r="DW4">
        <f>DW3*IF(OR($C3=22,$G3=22),0,1)</f>
        <v/>
      </c>
      <c r="DX4">
        <f>DX3*IF(OR($C3=23,$G3=23),0,1)</f>
        <v/>
      </c>
      <c r="DY4">
        <f>DY3*IF(OR($C3=24,$G3=24),0,1)</f>
        <v/>
      </c>
      <c r="DZ4">
        <f>DZ3*IF(OR($C3=25,$G3=25),0,1)</f>
        <v/>
      </c>
      <c r="EA4">
        <f>EA3*IF(OR($C3=26,$G3=26),0,1)</f>
        <v/>
      </c>
      <c r="EB4">
        <f>EB3*IF(OR($C3=27,$G3=27),0,1)</f>
        <v/>
      </c>
      <c r="EC4">
        <f>EC3*IF(OR($C3=28,$G3=28),0,1)</f>
        <v/>
      </c>
      <c r="ED4">
        <f>ED3*IF(OR($C3=29,$G3=29),0,1)</f>
        <v/>
      </c>
      <c r="EE4">
        <f>EE3*IF(OR($C3=30,$G3=30),0,1)</f>
        <v/>
      </c>
      <c r="EF4">
        <f>EF3*IF(OR($C3=31,$G3=31),0,1)</f>
        <v/>
      </c>
      <c r="EG4">
        <f>EG3*IF(OR($C3=32,$G3=32),0,1)</f>
        <v/>
      </c>
      <c r="EH4">
        <f>EH3*IF(OR($C3=33,$G3=33),0,1)</f>
        <v/>
      </c>
      <c r="EI4">
        <f>EI3*IF(OR($C3=34,$G3=34),0,1)</f>
        <v/>
      </c>
      <c r="EJ4">
        <f>EJ3*IF(OR($C3=35,$G3=35),0,1)</f>
        <v/>
      </c>
      <c r="EK4">
        <f>EK3*IF(OR($C3=36,$G3=36),0,1)</f>
        <v/>
      </c>
      <c r="EL4">
        <f>EL3*IF(OR($C3=37,$G3=37),0,1)</f>
        <v/>
      </c>
      <c r="EM4">
        <f>EM3*IF(OR($C3=38,$G3=38),0,1)</f>
        <v/>
      </c>
      <c r="EN4">
        <f>EN3*IF(OR($C3=39,$G3=39),0,1)</f>
        <v/>
      </c>
      <c r="EO4">
        <f>EO3*IF(OR($C3=40,$G3=40),0,1)</f>
        <v/>
      </c>
      <c r="EP4">
        <f>EP3*IF(OR($C3=41,$G3=41),0,1)</f>
        <v/>
      </c>
      <c r="EQ4">
        <f>EQ3*IF(OR($C3=42,$G3=42),0,1)</f>
        <v/>
      </c>
      <c r="ER4">
        <f>ER3*IF(OR($C3=43,$G3=43),0,1)</f>
        <v/>
      </c>
      <c r="ES4">
        <f>ES3*IF(OR($C3=44,$G3=44),0,1)</f>
        <v/>
      </c>
      <c r="ET4">
        <f>ET3*IF(OR($C3=45,$G3=45),0,1)</f>
        <v/>
      </c>
      <c r="EU4">
        <f>EU3*IF(OR($C3=46,$G3=46),0,1)</f>
        <v/>
      </c>
      <c r="EV4">
        <f>EV3*IF(OR($C3=47,$G3=47),0,1)</f>
        <v/>
      </c>
      <c r="EW4">
        <f>EW3*IF(OR($C3=48,$G3=48),0,1)</f>
        <v/>
      </c>
      <c r="EX4">
        <f>EX3*IF(OR($C3=49,$G3=49),0,1)</f>
        <v/>
      </c>
      <c r="EY4">
        <f>EY3*IF(OR($C3=50,$G3=50),0,1)</f>
        <v/>
      </c>
      <c r="EZ4">
        <f>EZ3*IF(OR($C3=51,$G3=51),0,1)</f>
        <v/>
      </c>
      <c r="FA4">
        <f>FA3*IF(OR($C3=52,$G3=52),0,1)</f>
        <v/>
      </c>
      <c r="FB4">
        <f>FB3*IF(OR($C3=53,$G3=53),0,1)</f>
        <v/>
      </c>
      <c r="FC4">
        <f>FC3*IF(OR($C3=54,$G3=54),0,1)</f>
        <v/>
      </c>
      <c r="FD4">
        <f>FD3*IF(OR($C3=55,$G3=55),0,1)</f>
        <v/>
      </c>
      <c r="FE4">
        <f>FE3*IF(OR($C3=56,$G3=56),0,1)</f>
        <v/>
      </c>
      <c r="FF4">
        <f>FF3*IF(OR($C3=57,$G3=57),0,1)</f>
        <v/>
      </c>
      <c r="FG4">
        <f>FG3*IF(OR($C3=58,$G3=58),0,1)</f>
        <v/>
      </c>
      <c r="FH4">
        <f>FH3*IF(OR($C3=59,$G3=59),0,1)</f>
        <v/>
      </c>
      <c r="FI4">
        <f>FI3*IF(OR($C3=60,$G3=60),0,1)</f>
        <v/>
      </c>
      <c r="FJ4">
        <f>FJ3*IF(OR($C3=61,$G3=61),0,1)</f>
        <v/>
      </c>
      <c r="FK4">
        <f>FK3*IF(OR($C3=62,$G3=62),0,1)</f>
        <v/>
      </c>
      <c r="FL4">
        <f>FL3*IF(OR($C3=63,$G3=63),0,1)</f>
        <v/>
      </c>
      <c r="FM4">
        <f>FM3*IF(OR($C3=64,$G3=64),0,1)</f>
        <v/>
      </c>
      <c r="FN4">
        <f>FN3*IF(OR($C3=65,$G3=65),0,1)</f>
        <v/>
      </c>
      <c r="FO4">
        <f>FO3*IF(OR($C3=66,$G3=66),0,1)</f>
        <v/>
      </c>
      <c r="FP4">
        <f>FP3*IF(OR($C3=67,$G3=67),0,1)</f>
        <v/>
      </c>
      <c r="FQ4">
        <f>FQ3*IF(OR($C3=68,$G3=68),0,1)</f>
        <v/>
      </c>
      <c r="FR4">
        <f>FR3*IF(OR($C3=69,$G3=69),0,1)</f>
        <v/>
      </c>
      <c r="FS4">
        <f>FS3*IF(OR($C3=70,$G3=70),0,1)</f>
        <v/>
      </c>
      <c r="FT4">
        <f>FT3*IF(OR($C3=71,$G3=71),0,1)</f>
        <v/>
      </c>
      <c r="FU4">
        <f>FU3*IF(OR($C3=72,$G3=72),0,1)</f>
        <v/>
      </c>
      <c r="FV4">
        <f>FV3*IF(OR($C3=73,$G3=73),0,1)</f>
        <v/>
      </c>
      <c r="FW4">
        <f>FW3*IF(OR($C3=74,$G3=74),0,1)</f>
        <v/>
      </c>
      <c r="FX4">
        <f>FX3*IF(OR($C3=75,$G3=75),0,1)</f>
        <v/>
      </c>
      <c r="FY4">
        <f>FY3*IF(OR($C3=76,$G3=76),0,1)</f>
        <v/>
      </c>
      <c r="FZ4">
        <f>FZ3*IF(OR($C3=77,$G3=77),0,1)</f>
        <v/>
      </c>
      <c r="GA4">
        <f>GA3*IF(OR($C3=78,$G3=78),0,1)</f>
        <v/>
      </c>
      <c r="GB4">
        <f>GB3*IF(OR($C3=79,$G3=79),0,1)</f>
        <v/>
      </c>
      <c r="GC4">
        <f>GC3*IF(OR($C3=80,$G3=80),0,1)</f>
        <v/>
      </c>
      <c r="GD4">
        <f>GD3*IF(OR($C3=81,$G3=81),0,1)</f>
        <v/>
      </c>
      <c r="GE4">
        <f>GE3*IF(OR($C3=82,$G3=82),0,1)</f>
        <v/>
      </c>
      <c r="GF4">
        <f>GF3*IF(OR($C3=83,$G3=83),0,1)</f>
        <v/>
      </c>
      <c r="GG4">
        <f>GG3*IF(OR($C3=84,$G3=84),0,1)</f>
        <v/>
      </c>
      <c r="GH4">
        <f>GH3*IF(OR($C3=85,$G3=85),0,1)</f>
        <v/>
      </c>
      <c r="GI4">
        <f>GI3*IF(OR($C3=86,$G3=86),0,1)</f>
        <v/>
      </c>
      <c r="GJ4">
        <f>GJ3*IF(OR($C3=87,$G3=87),0,1)</f>
        <v/>
      </c>
      <c r="GK4">
        <f>GK3*IF(OR($C3=88,$G3=88),0,1)</f>
        <v/>
      </c>
      <c r="GL4">
        <f>GL3*IF(OR($C3=89,$G3=89),0,1)</f>
        <v/>
      </c>
      <c r="GM4">
        <f>GM3*IF(OR($C3=90,$G3=90),0,1)</f>
        <v/>
      </c>
      <c r="GN4">
        <f>GN3*IF(OR($C3=91,$G3=91),0,1)</f>
        <v/>
      </c>
      <c r="GO4">
        <f>GO3*IF(OR($C3=92,$G3=92),0,1)</f>
        <v/>
      </c>
      <c r="GP4">
        <f>GP3*IF(OR($C3=93,$G3=93),0,1)</f>
        <v/>
      </c>
      <c r="GQ4">
        <f>GQ3*IF(OR($C3=94,$G3=94),0,1)</f>
        <v/>
      </c>
      <c r="GR4">
        <f>GR3*IF(OR($C3=95,$G3=95),0,1)</f>
        <v/>
      </c>
      <c r="GS4">
        <f>GS3*IF(OR($C3=96,$G3=96),0,1)</f>
        <v/>
      </c>
      <c r="GT4">
        <f>GT3*IF(OR($C3=97,$G3=97),0,1)</f>
        <v/>
      </c>
      <c r="GU4">
        <f>GU3*IF(OR($C3=98,$G3=98),0,1)</f>
        <v/>
      </c>
      <c r="GV4">
        <f>GV3*IF(OR($C3=99,$G3=99),0,1)</f>
        <v/>
      </c>
      <c r="GW4">
        <f>GW3*IF(OR($C3=100,$G3=100),0,1)</f>
        <v/>
      </c>
      <c r="GX4">
        <f>GX3*IF(OR($C3=101,$G3=101),0,1)</f>
        <v/>
      </c>
      <c r="GY4">
        <f>GY3*IF(OR($C3=102,$G3=102),0,1)</f>
        <v/>
      </c>
      <c r="GZ4">
        <f>GZ3*IF(OR($C3=103,$G3=103),0,1)</f>
        <v/>
      </c>
      <c r="HA4">
        <f>HA3*IF(OR($C3=104,$G3=104),0,1)</f>
        <v/>
      </c>
      <c r="HB4">
        <f>HB3*IF(OR($C3=105,$G3=105),0,1)</f>
        <v/>
      </c>
      <c r="HC4">
        <f>HC3*IF(OR($C3=106,$G3=106),0,1)</f>
        <v/>
      </c>
      <c r="HD4">
        <f>HD3*IF(OR($C3=107,$G3=107),0,1)</f>
        <v/>
      </c>
      <c r="HE4">
        <f>HE3*IF(OR($C3=108,$G3=108),0,1)</f>
        <v/>
      </c>
      <c r="HF4">
        <f>HF3*IF(OR($C3=109,$G3=109),0,1)</f>
        <v/>
      </c>
      <c r="HG4">
        <f>HG3*IF(OR($C3=110,$G3=110),0,1)</f>
        <v/>
      </c>
      <c r="HH4">
        <f>HH3*IF(OR($C3=111,$G3=111),0,1)</f>
        <v/>
      </c>
      <c r="HI4">
        <f>HI3*IF(OR($C3=112,$G3=112),0,1)</f>
        <v/>
      </c>
      <c r="HJ4">
        <f>HJ3*IF(OR($C3=113,$G3=113),0,1)</f>
        <v/>
      </c>
      <c r="HK4">
        <f>HK3*IF(OR($C3=114,$G3=114),0,1)</f>
        <v/>
      </c>
      <c r="HL4">
        <f>HL3*IF(OR($C3=115,$G3=115),0,1)</f>
        <v/>
      </c>
      <c r="HM4">
        <f>HM3*IF(OR($C3=116,$G3=116),0,1)</f>
        <v/>
      </c>
      <c r="HN4">
        <f>HN3*IF(OR($C3=117,$G3=117),0,1)</f>
        <v/>
      </c>
      <c r="HO4">
        <f>HO3*IF(OR($C3=118,$G3=118),0,1)</f>
        <v/>
      </c>
      <c r="HP4">
        <f>HP3*IF(OR($C3=119,$G3=119),0,1)</f>
        <v/>
      </c>
      <c r="HQ4">
        <f>HQ3*IF(OR($C3=120,$G3=120),0,1)</f>
        <v/>
      </c>
      <c r="HR4">
        <f>HR3*IF(OR($C3=121,$G3=121),0,1)</f>
        <v/>
      </c>
      <c r="HS4">
        <f>HS3*IF(OR($C3=122,$G3=122),0,1)</f>
        <v/>
      </c>
      <c r="HT4">
        <f>HT3*IF(OR($C3=123,$G3=123),0,1)</f>
        <v/>
      </c>
      <c r="HU4">
        <f>HU3*IF(OR($C3=124,$G3=124),0,1)</f>
        <v/>
      </c>
      <c r="HV4">
        <f>HV3*IF(OR($C3=125,$G3=125),0,1)</f>
        <v/>
      </c>
      <c r="HW4">
        <f>HW3*IF(OR($C3=126,$G3=126),0,1)</f>
        <v/>
      </c>
      <c r="HX4">
        <f>HX3*IF(OR($C3=127,$G3=127),0,1)</f>
        <v/>
      </c>
      <c r="HY4">
        <f>HY3*IF(OR($C3=128,$G3=128),0,1)</f>
        <v/>
      </c>
      <c r="HZ4">
        <f>HZ3*IF(OR($C3=129,$G3=129),0,1)</f>
        <v/>
      </c>
      <c r="IA4">
        <f>IA3*IF(OR($C3=130,$G3=130),0,1)</f>
        <v/>
      </c>
      <c r="IB4">
        <f>IB3*IF(OR($C3=131,$G3=131),0,1)</f>
        <v/>
      </c>
      <c r="IC4">
        <f>IC3*IF(OR($C3=132,$G3=132),0,1)</f>
        <v/>
      </c>
      <c r="ID4">
        <f>ID3*IF(OR($C3=133,$G3=133),0,1)</f>
        <v/>
      </c>
      <c r="IE4">
        <f>IE3*IF(OR($C3=134,$G3=134),0,1)</f>
        <v/>
      </c>
      <c r="IF4">
        <f>IF3*IF(OR($C3=135,$G3=135),0,1)</f>
        <v/>
      </c>
      <c r="IG4">
        <f>IG3*IF(OR($C3=136,$G3=136),0,1)</f>
        <v/>
      </c>
      <c r="IH4">
        <f>IH3*IF(OR($C3=137,$G3=137),0,1)</f>
        <v/>
      </c>
      <c r="II4">
        <f>II3*IF(OR($C3=138,$G3=138),0,1)</f>
        <v/>
      </c>
      <c r="IJ4">
        <f>IJ3*IF(OR($C3=139,$G3=139),0,1)</f>
        <v/>
      </c>
      <c r="IK4">
        <f>IK3*IF(OR($C3=140,$G3=140),0,1)</f>
        <v/>
      </c>
      <c r="IL4">
        <f>IL3*IF(OR($C3=141,$G3=141),0,1)</f>
        <v/>
      </c>
      <c r="IM4">
        <f>IM3*IF(OR($C3=142,$G3=142),0,1)</f>
        <v/>
      </c>
      <c r="IN4">
        <f>IN3*IF(OR($C3=143,$G3=143),0,1)</f>
        <v/>
      </c>
      <c r="IO4">
        <f>IO3*IF(OR($C3=144,$G3=144),0,1)</f>
        <v/>
      </c>
      <c r="IQ4">
        <f>IF('計算A'!D$106=1,DC4,1)</f>
        <v/>
      </c>
      <c r="IR4">
        <f>IF('計算A'!E$106=1,DD4,1)</f>
        <v/>
      </c>
      <c r="IS4">
        <f>IF('計算A'!F$106=1,DE4,1)</f>
        <v/>
      </c>
      <c r="IT4">
        <f>IF('計算A'!G$106=1,DF4,1)</f>
        <v/>
      </c>
      <c r="IU4">
        <f>IF('計算A'!H$106=1,DG4,1)</f>
        <v/>
      </c>
      <c r="IV4">
        <f>IF('計算A'!I$106=1,DH4,1)</f>
        <v/>
      </c>
      <c r="IW4">
        <f>IF('計算A'!J$106=1,DI4,1)</f>
        <v/>
      </c>
      <c r="IX4">
        <f>IF('計算A'!K$106=1,DJ4,1)</f>
        <v/>
      </c>
      <c r="IY4">
        <f>IF('計算A'!L$106=1,DK4,1)</f>
        <v/>
      </c>
      <c r="IZ4">
        <f>IF('計算A'!M$106=1,DL4,1)</f>
        <v/>
      </c>
      <c r="JA4">
        <f>IF('計算A'!N$106=1,DM4,1)</f>
        <v/>
      </c>
      <c r="JB4">
        <f>IF('計算A'!O$106=1,DN4,1)</f>
        <v/>
      </c>
      <c r="JC4">
        <f>IF('計算A'!P$106=1,DO4,1)</f>
        <v/>
      </c>
      <c r="JD4">
        <f>IF('計算A'!Q$106=1,DP4,1)</f>
        <v/>
      </c>
      <c r="JE4">
        <f>IF('計算A'!R$106=1,DQ4,1)</f>
        <v/>
      </c>
      <c r="JF4">
        <f>IF('計算A'!S$106=1,DR4,1)</f>
        <v/>
      </c>
      <c r="JG4">
        <f>IF('計算A'!T$106=1,DS4,1)</f>
        <v/>
      </c>
      <c r="JH4">
        <f>IF('計算A'!U$106=1,DT4,1)</f>
        <v/>
      </c>
      <c r="JI4">
        <f>IF('計算A'!V$106=1,DU4,1)</f>
        <v/>
      </c>
      <c r="JJ4">
        <f>IF('計算A'!W$106=1,DV4,1)</f>
        <v/>
      </c>
      <c r="JK4">
        <f>IF('計算A'!X$106=1,DW4,1)</f>
        <v/>
      </c>
      <c r="JL4">
        <f>IF('計算A'!Y$106=1,DX4,1)</f>
        <v/>
      </c>
      <c r="JM4">
        <f>IF('計算A'!Z$106=1,DY4,1)</f>
        <v/>
      </c>
      <c r="JN4">
        <f>IF('計算A'!AA$106=1,DZ4,1)</f>
        <v/>
      </c>
      <c r="JO4">
        <f>IF('計算A'!AB$106=1,EA4,1)</f>
        <v/>
      </c>
      <c r="JP4">
        <f>IF('計算A'!AC$106=1,EB4,1)</f>
        <v/>
      </c>
      <c r="JQ4">
        <f>IF('計算A'!AD$106=1,EC4,1)</f>
        <v/>
      </c>
      <c r="JR4">
        <f>IF('計算A'!AE$106=1,ED4,1)</f>
        <v/>
      </c>
      <c r="JS4">
        <f>IF('計算A'!AF$106=1,EE4,1)</f>
        <v/>
      </c>
      <c r="JT4">
        <f>IF('計算A'!AG$106=1,EF4,1)</f>
        <v/>
      </c>
      <c r="JU4">
        <f>IF('計算A'!AH$106=1,EG4,1)</f>
        <v/>
      </c>
      <c r="JV4">
        <f>IF('計算A'!AI$106=1,EH4,1)</f>
        <v/>
      </c>
      <c r="JW4">
        <f>IF('計算A'!AJ$106=1,EI4,1)</f>
        <v/>
      </c>
      <c r="JX4">
        <f>IF('計算A'!AK$106=1,EJ4,1)</f>
        <v/>
      </c>
      <c r="JY4">
        <f>IF('計算A'!AL$106=1,EK4,1)</f>
        <v/>
      </c>
      <c r="JZ4">
        <f>IF('計算A'!AM$106=1,EL4,1)</f>
        <v/>
      </c>
      <c r="KA4">
        <f>IF('計算A'!AN$106=1,EM4,1)</f>
        <v/>
      </c>
      <c r="KB4">
        <f>IF('計算A'!AO$106=1,EN4,1)</f>
        <v/>
      </c>
      <c r="KC4">
        <f>IF('計算A'!AP$106=1,EO4,1)</f>
        <v/>
      </c>
      <c r="KD4">
        <f>IF('計算A'!AQ$106=1,EP4,1)</f>
        <v/>
      </c>
      <c r="KE4">
        <f>IF('計算A'!AR$106=1,EQ4,1)</f>
        <v/>
      </c>
      <c r="KF4">
        <f>IF('計算A'!AS$106=1,ER4,1)</f>
        <v/>
      </c>
      <c r="KG4">
        <f>IF('計算A'!AT$106=1,ES4,1)</f>
        <v/>
      </c>
      <c r="KH4">
        <f>IF('計算A'!AU$106=1,ET4,1)</f>
        <v/>
      </c>
      <c r="KI4">
        <f>IF('計算A'!AV$106=1,EU4,1)</f>
        <v/>
      </c>
      <c r="KJ4">
        <f>IF('計算A'!AW$106=1,EV4,1)</f>
        <v/>
      </c>
      <c r="KK4">
        <f>IF('計算A'!AX$106=1,EW4,1)</f>
        <v/>
      </c>
      <c r="KL4">
        <f>IF('計算A'!AY$106=1,EX4,1)</f>
        <v/>
      </c>
      <c r="KM4">
        <f>IF('計算A'!AZ$106=1,EY4,1)</f>
        <v/>
      </c>
      <c r="KN4">
        <f>IF('計算A'!BA$106=1,EZ4,1)</f>
        <v/>
      </c>
      <c r="KO4">
        <f>IF('計算A'!BB$106=1,FA4,1)</f>
        <v/>
      </c>
      <c r="KP4">
        <f>IF('計算A'!BC$106=1,FB4,1)</f>
        <v/>
      </c>
      <c r="KQ4">
        <f>IF('計算A'!BD$106=1,FC4,1)</f>
        <v/>
      </c>
      <c r="KR4">
        <f>IF('計算A'!BE$106=1,FD4,1)</f>
        <v/>
      </c>
      <c r="KS4">
        <f>IF('計算A'!BF$106=1,FE4,1)</f>
        <v/>
      </c>
      <c r="KT4">
        <f>IF('計算A'!BG$106=1,FF4,1)</f>
        <v/>
      </c>
      <c r="KU4">
        <f>IF('計算A'!BH$106=1,FG4,1)</f>
        <v/>
      </c>
      <c r="KV4">
        <f>IF('計算A'!BI$106=1,FH4,1)</f>
        <v/>
      </c>
      <c r="KW4">
        <f>IF('計算A'!BJ$106=1,FI4,1)</f>
        <v/>
      </c>
      <c r="KX4">
        <f>IF('計算A'!BK$106=1,FJ4,1)</f>
        <v/>
      </c>
      <c r="KY4">
        <f>IF('計算A'!BL$106=1,FK4,1)</f>
        <v/>
      </c>
      <c r="KZ4">
        <f>IF('計算A'!BM$106=1,FL4,1)</f>
        <v/>
      </c>
      <c r="LA4">
        <f>IF('計算A'!BN$106=1,FM4,1)</f>
        <v/>
      </c>
      <c r="LB4">
        <f>IF('計算A'!BO$106=1,FN4,1)</f>
        <v/>
      </c>
      <c r="LC4">
        <f>IF('計算A'!BP$106=1,FO4,1)</f>
        <v/>
      </c>
      <c r="LD4">
        <f>IF('計算A'!BQ$106=1,FP4,1)</f>
        <v/>
      </c>
      <c r="LE4">
        <f>IF('計算A'!BR$106=1,FQ4,1)</f>
        <v/>
      </c>
      <c r="LF4">
        <f>IF('計算A'!BS$106=1,FR4,1)</f>
        <v/>
      </c>
      <c r="LG4">
        <f>IF('計算A'!BT$106=1,FS4,1)</f>
        <v/>
      </c>
      <c r="LH4">
        <f>IF('計算A'!BU$106=1,FT4,1)</f>
        <v/>
      </c>
      <c r="LI4">
        <f>IF('計算A'!BV$106=1,FU4,1)</f>
        <v/>
      </c>
      <c r="LJ4">
        <f>IF('計算A'!BW$106=1,FV4,1)</f>
        <v/>
      </c>
      <c r="LK4">
        <f>IF('計算A'!BX$106=1,FW4,1)</f>
        <v/>
      </c>
      <c r="LL4">
        <f>IF('計算A'!BY$106=1,FX4,1)</f>
        <v/>
      </c>
      <c r="LM4">
        <f>IF('計算A'!BZ$106=1,FY4,1)</f>
        <v/>
      </c>
      <c r="LN4">
        <f>IF('計算A'!CA$106=1,FZ4,1)</f>
        <v/>
      </c>
      <c r="LO4">
        <f>IF('計算A'!CB$106=1,GA4,1)</f>
        <v/>
      </c>
      <c r="LP4">
        <f>IF('計算A'!CC$106=1,GB4,1)</f>
        <v/>
      </c>
      <c r="LQ4">
        <f>IF('計算A'!CD$106=1,GC4,1)</f>
        <v/>
      </c>
      <c r="LR4">
        <f>IF('計算A'!CE$106=1,GD4,1)</f>
        <v/>
      </c>
      <c r="LS4">
        <f>IF('計算A'!CF$106=1,GE4,1)</f>
        <v/>
      </c>
      <c r="LT4">
        <f>IF('計算A'!CG$106=1,GF4,1)</f>
        <v/>
      </c>
      <c r="LU4">
        <f>IF('計算A'!CH$106=1,GG4,1)</f>
        <v/>
      </c>
      <c r="LV4">
        <f>IF('計算A'!CI$106=1,GH4,1)</f>
        <v/>
      </c>
      <c r="LW4">
        <f>IF('計算A'!CJ$106=1,GI4,1)</f>
        <v/>
      </c>
      <c r="LX4">
        <f>IF('計算A'!CK$106=1,GJ4,1)</f>
        <v/>
      </c>
      <c r="LY4">
        <f>IF('計算A'!CL$106=1,GK4,1)</f>
        <v/>
      </c>
      <c r="LZ4">
        <f>IF('計算A'!CM$106=1,GL4,1)</f>
        <v/>
      </c>
      <c r="MA4">
        <f>IF('計算A'!CN$106=1,GM4,1)</f>
        <v/>
      </c>
      <c r="MB4">
        <f>IF('計算A'!CO$106=1,GN4,1)</f>
        <v/>
      </c>
      <c r="MC4">
        <f>IF('計算A'!CP$106=1,GO4,1)</f>
        <v/>
      </c>
      <c r="MD4">
        <f>IF('計算A'!CQ$106=1,GP4,1)</f>
        <v/>
      </c>
      <c r="ME4">
        <f>IF('計算A'!CR$106=1,GQ4,1)</f>
        <v/>
      </c>
      <c r="MF4">
        <f>IF('計算A'!CS$106=1,GR4,1)</f>
        <v/>
      </c>
      <c r="MG4">
        <f>IF('計算A'!CT$106=1,GS4,1)</f>
        <v/>
      </c>
      <c r="MH4">
        <f>IF('計算A'!CU$106=1,GT4,1)</f>
        <v/>
      </c>
      <c r="MI4">
        <f>IF('計算A'!CV$106=1,GU4,1)</f>
        <v/>
      </c>
      <c r="MJ4">
        <f>IF('計算A'!CW$106=1,GV4,1)</f>
        <v/>
      </c>
      <c r="MK4">
        <f>IF('計算A'!CX$106=1,GW4,1)</f>
        <v/>
      </c>
      <c r="ML4">
        <f>IF('計算A'!CY$106=1,GX4,1)</f>
        <v/>
      </c>
      <c r="MM4">
        <f>IF('計算A'!CZ$106=1,GY4,1)</f>
        <v/>
      </c>
      <c r="MN4">
        <f>IF('計算A'!DA$106=1,GZ4,1)</f>
        <v/>
      </c>
      <c r="MO4">
        <f>IF('計算A'!DB$106=1,HA4,1)</f>
        <v/>
      </c>
      <c r="MP4">
        <f>IF('計算A'!DC$106=1,HB4,1)</f>
        <v/>
      </c>
      <c r="MQ4">
        <f>IF('計算A'!DD$106=1,HC4,1)</f>
        <v/>
      </c>
      <c r="MR4">
        <f>IF('計算A'!DE$106=1,HD4,1)</f>
        <v/>
      </c>
      <c r="MS4">
        <f>IF('計算A'!DF$106=1,HE4,1)</f>
        <v/>
      </c>
      <c r="MT4">
        <f>IF('計算A'!DG$106=1,HF4,1)</f>
        <v/>
      </c>
      <c r="MU4">
        <f>IF('計算A'!DH$106=1,HG4,1)</f>
        <v/>
      </c>
      <c r="MV4">
        <f>IF('計算A'!DI$106=1,HH4,1)</f>
        <v/>
      </c>
      <c r="MW4">
        <f>IF('計算A'!DJ$106=1,HI4,1)</f>
        <v/>
      </c>
      <c r="MX4">
        <f>IF('計算A'!DK$106=1,HJ4,1)</f>
        <v/>
      </c>
      <c r="MY4">
        <f>IF('計算A'!DL$106=1,HK4,1)</f>
        <v/>
      </c>
      <c r="MZ4">
        <f>IF('計算A'!DM$106=1,HL4,1)</f>
        <v/>
      </c>
      <c r="NA4">
        <f>IF('計算A'!DN$106=1,HM4,1)</f>
        <v/>
      </c>
      <c r="NB4">
        <f>IF('計算A'!DO$106=1,HN4,1)</f>
        <v/>
      </c>
      <c r="NC4">
        <f>IF('計算A'!DP$106=1,HO4,1)</f>
        <v/>
      </c>
      <c r="ND4">
        <f>IF('計算A'!DQ$106=1,HP4,1)</f>
        <v/>
      </c>
      <c r="NE4">
        <f>IF('計算A'!DR$106=1,HQ4,1)</f>
        <v/>
      </c>
      <c r="NF4">
        <f>IF('計算A'!DS$106=1,HR4,1)</f>
        <v/>
      </c>
      <c r="NG4">
        <f>IF('計算A'!DT$106=1,HS4,1)</f>
        <v/>
      </c>
      <c r="NH4">
        <f>IF('計算A'!DU$106=1,HT4,1)</f>
        <v/>
      </c>
      <c r="NI4">
        <f>IF('計算A'!DV$106=1,HU4,1)</f>
        <v/>
      </c>
      <c r="NJ4">
        <f>IF('計算A'!DW$106=1,HV4,1)</f>
        <v/>
      </c>
      <c r="NK4">
        <f>IF('計算A'!DX$106=1,HW4,1)</f>
        <v/>
      </c>
      <c r="NL4">
        <f>IF('計算A'!DY$106=1,HX4,1)</f>
        <v/>
      </c>
      <c r="NM4">
        <f>IF('計算A'!DZ$106=1,HY4,1)</f>
        <v/>
      </c>
      <c r="NN4">
        <f>IF('計算A'!EA$106=1,HZ4,1)</f>
        <v/>
      </c>
      <c r="NO4">
        <f>IF('計算A'!EB$106=1,IA4,1)</f>
        <v/>
      </c>
      <c r="NP4">
        <f>IF('計算A'!EC$106=1,IB4,1)</f>
        <v/>
      </c>
      <c r="NQ4">
        <f>IF('計算A'!ED$106=1,IC4,1)</f>
        <v/>
      </c>
      <c r="NR4">
        <f>IF('計算A'!EE$106=1,ID4,1)</f>
        <v/>
      </c>
      <c r="NS4">
        <f>IF('計算A'!EF$106=1,IE4,1)</f>
        <v/>
      </c>
      <c r="NT4">
        <f>IF('計算A'!EG$106=1,IF4,1)</f>
        <v/>
      </c>
      <c r="NU4">
        <f>IF('計算A'!EH$106=1,IG4,1)</f>
        <v/>
      </c>
      <c r="NV4">
        <f>IF('計算A'!EI$106=1,IH4,1)</f>
        <v/>
      </c>
      <c r="NW4">
        <f>IF('計算A'!EJ$106=1,II4,1)</f>
        <v/>
      </c>
      <c r="NX4">
        <f>IF('計算A'!EK$106=1,IJ4,1)</f>
        <v/>
      </c>
      <c r="NY4">
        <f>IF('計算A'!EL$106=1,IK4,1)</f>
        <v/>
      </c>
      <c r="NZ4">
        <f>IF('計算A'!EM$106=1,IL4,1)</f>
        <v/>
      </c>
      <c r="OA4">
        <f>IF('計算A'!EN$106=1,IM4,1)</f>
        <v/>
      </c>
      <c r="OB4">
        <f>IF('計算A'!EO$106=1,IN4,1)</f>
        <v/>
      </c>
      <c r="OC4">
        <f>IF('計算A'!EP$106=1,IO4,1)</f>
        <v/>
      </c>
      <c r="OD4" t="n">
        <v>1</v>
      </c>
      <c r="OF4">
        <f>IF($B4=0,1000000,IF(INDEX('計算A'!$D$60:$EQ$104,$B4,1)*DB4=1,IF(AND($E4=2,IQ4=0),1000000,IF($I4&gt;0,IF(1=$J4,IF(OR(AND(1=$I4+1,OR($K4&lt;&gt;'計算A'!$A$3,'計算A'!$A$4=0)),AND(1=$I4-1,OR(1&lt;&gt;'計算A'!$A$3,'計算A'!$A$4=0))),0,IF(1=$K4,200000,ABS(1-$K4)*100)),100000+ABS(1-$J4)*1000+10)+'計算A'!D$5*50+IF(AND($E4=1,IQ4=0),25,0),IF($F4&gt;0,INDEX('計算A'!D$110:D$114,$F4+1)+IF(AND($E4=1,IQ4=0),1000,0),MIN(TU4,20)*400+(IF('計算A'!D$106=1,1-DC4,0))*150+11+'計算A'!D$5*100000+IF(AND($E4=1,IQ4=0),50000,0))+IF($H4=1,(IF('計算A'!D$117=1,INDEX('計算A'!E$10:E$54,$B4),0))*4000,0)-IF(AND($L4=1,'計算A'!D$117=1,DC4=0),2000,0))),1000000))</f>
        <v/>
      </c>
      <c r="OG4">
        <f>IF($B4=0,1000000,IF(INDEX('計算A'!$D$60:$EQ$104,$B4,2)*DC4=1,IF(AND($E4=2,IR4=0),1000000,IF($I4&gt;0,IF(1=$J4,IF(OR(AND(2=$I4+1,OR($K4&lt;&gt;'計算A'!$A$3,'計算A'!$A$4=0)),AND(2=$I4-1,OR(2&lt;&gt;'計算A'!$A$3,'計算A'!$A$4=0))),0,IF(2=$K4,200000,ABS(2-$K4)*100)),100000+ABS(1-$J4)*1000+20)+'計算A'!E$5*50+IF(AND($E4=1,IR4=0),25,0),IF($F4&gt;0,INDEX('計算A'!E$110:E$114,$F4+1)+IF(AND($E4=1,IR4=0),1000,0),MIN(TU4,20)*400+(IF('計算A'!D$106=1,1-DB4,0)+IF('計算A'!E$106=1,1-DD4,0))*150+21+'計算A'!E$5*100000+IF(AND($E4=1,IR4=0),50000,0))+IF($H4=1,(IF('計算A'!D$117=1,INDEX('計算A'!D$10:D$54,$B4),0)+IF('計算A'!E$117=1,INDEX('計算A'!F$10:F$54,$B4),0))*4000,0)-IF(AND('計算A'!D$117=1,UB4&gt;0),2000,0)-IF(AND($L4=1,'計算A'!E$117=1,DD4=0),2000,0))),1000000))</f>
        <v/>
      </c>
      <c r="OH4">
        <f>IF($B4=0,1000000,IF(INDEX('計算A'!$D$60:$EQ$104,$B4,3)*DD4=1,IF(AND($E4=2,IS4=0),1000000,IF($I4&gt;0,IF(1=$J4,IF(OR(AND(3=$I4+1,OR($K4&lt;&gt;'計算A'!$A$3,'計算A'!$A$4=0)),AND(3=$I4-1,OR(3&lt;&gt;'計算A'!$A$3,'計算A'!$A$4=0))),0,IF(3=$K4,200000,ABS(3-$K4)*100)),100000+ABS(1-$J4)*1000+30)+'計算A'!F$5*50+IF(AND($E4=1,IS4=0),25,0),IF($F4&gt;0,INDEX('計算A'!F$110:F$114,$F4+1)+IF(AND($E4=1,IS4=0),1000,0),MIN(TU4,20)*400+(IF('計算A'!E$106=1,1-DC4,0)+IF('計算A'!F$106=1,1-DE4,0))*150+31+'計算A'!F$5*100000+IF(AND($E4=1,IS4=0),50000,0))+IF($H4=1,(IF('計算A'!E$117=1,INDEX('計算A'!E$10:E$54,$B4),0)+IF('計算A'!F$117=1,INDEX('計算A'!G$10:G$54,$B4),0))*4000,0)-IF(AND('計算A'!E$117=1,UC4&gt;0),2000,0)-IF(AND($L4=1,'計算A'!F$117=1,DE4=0),2000,0))),1000000))</f>
        <v/>
      </c>
      <c r="OI4">
        <f>IF($B4=0,1000000,IF(INDEX('計算A'!$D$60:$EQ$104,$B4,4)*DE4=1,IF(AND($E4=2,IT4=0),1000000,IF($I4&gt;0,IF(1=$J4,IF(OR(AND(4=$I4+1,OR($K4&lt;&gt;'計算A'!$A$3,'計算A'!$A$4=0)),AND(4=$I4-1,OR(4&lt;&gt;'計算A'!$A$3,'計算A'!$A$4=0))),0,IF(4=$K4,200000,ABS(4-$K4)*100)),100000+ABS(1-$J4)*1000+40)+'計算A'!G$5*50+IF(AND($E4=1,IT4=0),25,0),IF($F4&gt;0,INDEX('計算A'!G$110:G$114,$F4+1)+IF(AND($E4=1,IT4=0),1000,0),MIN(TU4,20)*400+(IF('計算A'!F$106=1,1-DD4,0)+IF('計算A'!G$106=1,1-DF4,0))*150+41+'計算A'!G$5*100000+IF(AND($E4=1,IT4=0),50000,0))+IF($H4=1,(IF('計算A'!F$117=1,INDEX('計算A'!F$10:F$54,$B4),0)+IF('計算A'!G$117=1,INDEX('計算A'!H$10:H$54,$B4),0))*4000,0)-IF(AND('計算A'!F$117=1,UD4&gt;0),2000,0)-IF(AND($L4=1,'計算A'!G$117=1,DF4=0),2000,0))),1000000))</f>
        <v/>
      </c>
      <c r="OJ4">
        <f>IF($B4=0,1000000,IF(INDEX('計算A'!$D$60:$EQ$104,$B4,5)*DF4=1,IF(AND($E4=2,IU4=0),1000000,IF($I4&gt;0,IF(1=$J4,IF(OR(AND(5=$I4+1,OR($K4&lt;&gt;'計算A'!$A$3,'計算A'!$A$4=0)),AND(5=$I4-1,OR(5&lt;&gt;'計算A'!$A$3,'計算A'!$A$4=0))),0,IF(5=$K4,200000,ABS(5-$K4)*100)),100000+ABS(1-$J4)*1000+50)+'計算A'!H$5*50+IF(AND($E4=1,IU4=0),25,0),IF($F4&gt;0,INDEX('計算A'!H$110:H$114,$F4+1)+IF(AND($E4=1,IU4=0),1000,0),MIN(TU4,20)*400+(IF('計算A'!G$106=1,1-DE4,0)+IF('計算A'!H$106=1,1-DG4,0))*150+51+'計算A'!H$5*100000+IF(AND($E4=1,IU4=0),50000,0))+IF($H4=1,(IF('計算A'!G$117=1,INDEX('計算A'!G$10:G$54,$B4),0)+IF('計算A'!H$117=1,INDEX('計算A'!I$10:I$54,$B4),0))*4000,0)-IF(AND('計算A'!G$117=1,UE4&gt;0),2000,0)-IF(AND($L4=1,'計算A'!H$117=1,DG4=0),2000,0))),1000000))</f>
        <v/>
      </c>
      <c r="OK4">
        <f>IF($B4=0,1000000,IF(INDEX('計算A'!$D$60:$EQ$104,$B4,6)*DG4=1,IF(AND($E4=2,IV4=0),1000000,IF($I4&gt;0,IF(1=$J4,IF(OR(AND(6=$I4+1,OR($K4&lt;&gt;'計算A'!$A$3,'計算A'!$A$4=0)),AND(6=$I4-1,OR(6&lt;&gt;'計算A'!$A$3,'計算A'!$A$4=0))),0,IF(6=$K4,200000,ABS(6-$K4)*100)),100000+ABS(1-$J4)*1000+60)+'計算A'!I$5*50+IF(AND($E4=1,IV4=0),25,0),IF($F4&gt;0,INDEX('計算A'!I$110:I$114,$F4+1)+IF(AND($E4=1,IV4=0),1000,0),MIN(TU4,20)*400+(IF('計算A'!H$106=1,1-DF4,0)+IF('計算A'!I$106=1,1-DH4,0))*150+61+'計算A'!I$5*100000+IF(AND($E4=1,IV4=0),50000,0))+IF($H4=1,(IF('計算A'!H$117=1,INDEX('計算A'!H$10:H$54,$B4),0)+IF('計算A'!I$117=1,INDEX('計算A'!J$10:J$54,$B4),0))*4000,0)-IF(AND('計算A'!H$117=1,UF4&gt;0),2000,0)-IF(AND($L4=1,'計算A'!I$117=1,DH4=0),2000,0))),1000000))</f>
        <v/>
      </c>
      <c r="OL4">
        <f>IF($B4=0,1000000,IF(INDEX('計算A'!$D$60:$EQ$104,$B4,7)*DH4=1,IF(AND($E4=2,IW4=0),1000000,IF($I4&gt;0,IF(1=$J4,IF(OR(AND(7=$I4+1,OR($K4&lt;&gt;'計算A'!$A$3,'計算A'!$A$4=0)),AND(7=$I4-1,OR(7&lt;&gt;'計算A'!$A$3,'計算A'!$A$4=0))),0,IF(7=$K4,200000,ABS(7-$K4)*100)),100000+ABS(1-$J4)*1000+70)+'計算A'!J$5*50+IF(AND($E4=1,IW4=0),25,0),IF($F4&gt;0,INDEX('計算A'!J$110:J$114,$F4+1)+IF(AND($E4=1,IW4=0),1000,0),MIN(TU4,20)*400+(IF('計算A'!I$106=1,1-DG4,0)+IF('計算A'!J$106=1,1-DI4,0))*150+71+'計算A'!J$5*100000+IF(AND($E4=1,IW4=0),50000,0))+IF($H4=1,(IF('計算A'!I$117=1,INDEX('計算A'!I$10:I$54,$B4),0)+IF('計算A'!J$117=1,INDEX('計算A'!K$10:K$54,$B4),0))*4000,0)-IF(AND('計算A'!I$117=1,UG4&gt;0),2000,0)-IF(AND($L4=1,'計算A'!J$117=1,DI4=0),2000,0))),1000000))</f>
        <v/>
      </c>
      <c r="OM4">
        <f>IF($B4=0,1000000,IF(INDEX('計算A'!$D$60:$EQ$104,$B4,8)*DI4=1,IF(AND($E4=2,IX4=0),1000000,IF($I4&gt;0,IF(1=$J4,IF(OR(AND(8=$I4+1,OR($K4&lt;&gt;'計算A'!$A$3,'計算A'!$A$4=0)),AND(8=$I4-1,OR(8&lt;&gt;'計算A'!$A$3,'計算A'!$A$4=0))),0,IF(8=$K4,200000,ABS(8-$K4)*100)),100000+ABS(1-$J4)*1000+80)+'計算A'!K$5*50+IF(AND($E4=1,IX4=0),25,0),IF($F4&gt;0,INDEX('計算A'!K$110:K$114,$F4+1)+IF(AND($E4=1,IX4=0),1000,0),MIN(TU4,20)*400+(IF('計算A'!J$106=1,1-DH4,0)+IF('計算A'!K$106=1,1-DJ4,0))*150+81+'計算A'!K$5*100000+IF(AND($E4=1,IX4=0),50000,0))+IF($H4=1,(IF('計算A'!J$117=1,INDEX('計算A'!J$10:J$54,$B4),0)+IF('計算A'!K$117=1,INDEX('計算A'!L$10:L$54,$B4),0))*4000,0)-IF(AND('計算A'!J$117=1,UH4&gt;0),2000,0)-IF(AND($L4=1,'計算A'!K$117=1,DJ4=0),2000,0))),1000000))</f>
        <v/>
      </c>
      <c r="ON4">
        <f>IF($B4=0,1000000,IF(INDEX('計算A'!$D$60:$EQ$104,$B4,9)*DJ4=1,IF(AND($E4=2,IY4=0),1000000,IF($I4&gt;0,IF(1=$J4,IF(OR(AND(9=$I4+1,OR($K4&lt;&gt;'計算A'!$A$3,'計算A'!$A$4=0)),AND(9=$I4-1,OR(9&lt;&gt;'計算A'!$A$3,'計算A'!$A$4=0))),0,IF(9=$K4,200000,ABS(9-$K4)*100)),100000+ABS(1-$J4)*1000+90)+'計算A'!L$5*50+IF(AND($E4=1,IY4=0),25,0),IF($F4&gt;0,INDEX('計算A'!L$110:L$114,$F4+1)+IF(AND($E4=1,IY4=0),1000,0),MIN(TU4,20)*400+(IF('計算A'!K$106=1,1-DI4,0)+IF('計算A'!L$106=1,1-DK4,0))*150+91+'計算A'!L$5*100000+IF(AND($E4=1,IY4=0),50000,0))+IF($H4=1,(IF('計算A'!K$117=1,INDEX('計算A'!K$10:K$54,$B4),0)+IF('計算A'!L$117=1,INDEX('計算A'!M$10:M$54,$B4),0))*4000,0)-IF(AND('計算A'!K$117=1,UI4&gt;0),2000,0)-IF(AND($L4=1,'計算A'!L$117=1,DK4=0),2000,0))),1000000))</f>
        <v/>
      </c>
      <c r="OO4">
        <f>IF($B4=0,1000000,IF(INDEX('計算A'!$D$60:$EQ$104,$B4,10)*DK4=1,IF(AND($E4=2,IZ4=0),1000000,IF($I4&gt;0,IF(1=$J4,IF(OR(AND(10=$I4+1,OR($K4&lt;&gt;'計算A'!$A$3,'計算A'!$A$4=0)),AND(10=$I4-1,OR(10&lt;&gt;'計算A'!$A$3,'計算A'!$A$4=0))),0,IF(10=$K4,200000,ABS(10-$K4)*100)),100000+ABS(1-$J4)*1000+100)+'計算A'!M$5*50+IF(AND($E4=1,IZ4=0),25,0),IF($F4&gt;0,INDEX('計算A'!M$110:M$114,$F4+1)+IF(AND($E4=1,IZ4=0),1000,0),MIN(TU4,20)*400+(IF('計算A'!L$106=1,1-DJ4,0)+IF('計算A'!M$106=1,1-DL4,0))*150+101+'計算A'!M$5*100000+IF(AND($E4=1,IZ4=0),50000,0))+IF($H4=1,(IF('計算A'!L$117=1,INDEX('計算A'!L$10:L$54,$B4),0)+IF('計算A'!M$117=1,INDEX('計算A'!N$10:N$54,$B4),0))*4000,0)-IF(AND('計算A'!L$117=1,UJ4&gt;0),2000,0)-IF(AND($L4=1,'計算A'!M$117=1,DL4=0),2000,0))),1000000))</f>
        <v/>
      </c>
      <c r="OP4">
        <f>IF($B4=0,1000000,IF(INDEX('計算A'!$D$60:$EQ$104,$B4,11)*DL4=1,IF(AND($E4=2,JA4=0),1000000,IF($I4&gt;0,IF(1=$J4,IF(OR(AND(11=$I4+1,OR($K4&lt;&gt;'計算A'!$A$3,'計算A'!$A$4=0)),AND(11=$I4-1,OR(11&lt;&gt;'計算A'!$A$3,'計算A'!$A$4=0))),0,IF(11=$K4,200000,ABS(11-$K4)*100)),100000+ABS(1-$J4)*1000+110)+'計算A'!N$5*50+IF(AND($E4=1,JA4=0),25,0),IF($F4&gt;0,INDEX('計算A'!N$110:N$114,$F4+1)+IF(AND($E4=1,JA4=0),1000,0),MIN(TU4,20)*400+(IF('計算A'!M$106=1,1-DK4,0)+IF('計算A'!N$106=1,1-DM4,0))*150+111+'計算A'!N$5*100000+IF(AND($E4=1,JA4=0),50000,0))+IF($H4=1,(IF('計算A'!M$117=1,INDEX('計算A'!M$10:M$54,$B4),0)+IF('計算A'!N$117=1,INDEX('計算A'!O$10:O$54,$B4),0))*4000,0)-IF(AND('計算A'!M$117=1,UK4&gt;0),2000,0)-IF(AND($L4=1,'計算A'!N$117=1,DM4=0),2000,0))),1000000))</f>
        <v/>
      </c>
      <c r="OQ4">
        <f>IF($B4=0,1000000,IF(INDEX('計算A'!$D$60:$EQ$104,$B4,12)*DM4=1,IF(AND($E4=2,JB4=0),1000000,IF($I4&gt;0,IF(1=$J4,IF(OR(AND(12=$I4+1,OR($K4&lt;&gt;'計算A'!$A$3,'計算A'!$A$4=0)),AND(12=$I4-1,OR(12&lt;&gt;'計算A'!$A$3,'計算A'!$A$4=0))),0,IF(12=$K4,200000,ABS(12-$K4)*100)),100000+ABS(1-$J4)*1000+120)+'計算A'!O$5*50+IF(AND($E4=1,JB4=0),25,0),IF($F4&gt;0,INDEX('計算A'!O$110:O$114,$F4+1)+IF(AND($E4=1,JB4=0),1000,0),MIN(TU4,20)*400+(IF('計算A'!N$106=1,1-DL4,0)+IF('計算A'!O$106=1,1-DN4,0))*150+121+'計算A'!O$5*100000+IF(AND($E4=1,JB4=0),50000,0))+IF($H4=1,(IF('計算A'!N$117=1,INDEX('計算A'!N$10:N$54,$B4),0)+IF('計算A'!O$117=1,INDEX('計算A'!P$10:P$54,$B4),0))*4000,0)-IF(AND('計算A'!N$117=1,UL4&gt;0),2000,0)-IF(AND($L4=1,'計算A'!O$117=1,DN4=0),2000,0))),1000000))</f>
        <v/>
      </c>
      <c r="OR4">
        <f>IF($B4=0,1000000,IF(INDEX('計算A'!$D$60:$EQ$104,$B4,13)*DN4=1,IF(AND($E4=2,JC4=0),1000000,IF($I4&gt;0,IF(1=$J4,IF(OR(AND(13=$I4+1,OR($K4&lt;&gt;'計算A'!$A$3,'計算A'!$A$4=0)),AND(13=$I4-1,OR(13&lt;&gt;'計算A'!$A$3,'計算A'!$A$4=0))),0,IF(13=$K4,200000,ABS(13-$K4)*100)),100000+ABS(1-$J4)*1000+130)+'計算A'!P$5*50+IF(AND($E4=1,JC4=0),25,0),IF($F4&gt;0,INDEX('計算A'!P$110:P$114,$F4+1)+IF(AND($E4=1,JC4=0),1000,0),MIN(TU4,20)*400+(IF('計算A'!O$106=1,1-DM4,0)+IF('計算A'!P$106=1,1-DO4,0))*150+131+'計算A'!P$5*100000+IF(AND($E4=1,JC4=0),50000,0))+IF($H4=1,(IF('計算A'!O$117=1,INDEX('計算A'!O$10:O$54,$B4),0)+IF('計算A'!P$117=1,INDEX('計算A'!Q$10:Q$54,$B4),0))*4000,0)-IF(AND('計算A'!O$117=1,UM4&gt;0),2000,0)-IF(AND($L4=1,'計算A'!P$117=1,DO4=0),2000,0))),1000000))</f>
        <v/>
      </c>
      <c r="OS4">
        <f>IF($B4=0,1000000,IF(INDEX('計算A'!$D$60:$EQ$104,$B4,14)*DO4=1,IF(AND($E4=2,JD4=0),1000000,IF($I4&gt;0,IF(1=$J4,IF(OR(AND(14=$I4+1,OR($K4&lt;&gt;'計算A'!$A$3,'計算A'!$A$4=0)),AND(14=$I4-1,OR(14&lt;&gt;'計算A'!$A$3,'計算A'!$A$4=0))),0,IF(14=$K4,200000,ABS(14-$K4)*100)),100000+ABS(1-$J4)*1000+140)+'計算A'!Q$5*50+IF(AND($E4=1,JD4=0),25,0),IF($F4&gt;0,INDEX('計算A'!Q$110:Q$114,$F4+1)+IF(AND($E4=1,JD4=0),1000,0),MIN(TU4,20)*400+(IF('計算A'!P$106=1,1-DN4,0)+IF('計算A'!Q$106=1,1-DP4,0))*150+141+'計算A'!Q$5*100000+IF(AND($E4=1,JD4=0),50000,0))+IF($H4=1,(IF('計算A'!P$117=1,INDEX('計算A'!P$10:P$54,$B4),0)+IF('計算A'!Q$117=1,INDEX('計算A'!R$10:R$54,$B4),0))*4000,0)-IF(AND('計算A'!P$117=1,UN4&gt;0),2000,0)-IF(AND($L4=1,'計算A'!Q$117=1,DP4=0),2000,0))),1000000))</f>
        <v/>
      </c>
      <c r="OT4">
        <f>IF($B4=0,1000000,IF(INDEX('計算A'!$D$60:$EQ$104,$B4,15)*DP4=1,IF(AND($E4=2,JE4=0),1000000,IF($I4&gt;0,IF(1=$J4,IF(OR(AND(15=$I4+1,OR($K4&lt;&gt;'計算A'!$A$3,'計算A'!$A$4=0)),AND(15=$I4-1,OR(15&lt;&gt;'計算A'!$A$3,'計算A'!$A$4=0))),0,IF(15=$K4,200000,ABS(15-$K4)*100)),100000+ABS(1-$J4)*1000+150)+'計算A'!R$5*50+IF(AND($E4=1,JE4=0),25,0),IF($F4&gt;0,INDEX('計算A'!R$110:R$114,$F4+1)+IF(AND($E4=1,JE4=0),1000,0),MIN(TU4,20)*400+(IF('計算A'!Q$106=1,1-DO4,0)+IF('計算A'!R$106=1,1-DQ4,0))*150+151+'計算A'!R$5*100000+IF(AND($E4=1,JE4=0),50000,0))+IF($H4=1,(IF('計算A'!Q$117=1,INDEX('計算A'!Q$10:Q$54,$B4),0)+IF('計算A'!R$117=1,INDEX('計算A'!S$10:S$54,$B4),0))*4000,0)-IF(AND('計算A'!Q$117=1,UO4&gt;0),2000,0)-IF(AND($L4=1,'計算A'!R$117=1,DQ4=0),2000,0))),1000000))</f>
        <v/>
      </c>
      <c r="OU4">
        <f>IF($B4=0,1000000,IF(INDEX('計算A'!$D$60:$EQ$104,$B4,16)*DQ4=1,IF(AND($E4=2,JF4=0),1000000,IF($I4&gt;0,IF(1=$J4,IF(OR(AND(16=$I4+1,OR($K4&lt;&gt;'計算A'!$A$3,'計算A'!$A$4=0)),AND(16=$I4-1,OR(16&lt;&gt;'計算A'!$A$3,'計算A'!$A$4=0))),0,IF(16=$K4,200000,ABS(16-$K4)*100)),100000+ABS(1-$J4)*1000+160)+'計算A'!S$5*50+IF(AND($E4=1,JF4=0),25,0),IF($F4&gt;0,INDEX('計算A'!S$110:S$114,$F4+1)+IF(AND($E4=1,JF4=0),1000,0),MIN(TU4,20)*400+(IF('計算A'!R$106=1,1-DP4,0)+IF('計算A'!S$106=1,1-DR4,0))*150+161+'計算A'!S$5*100000+IF(AND($E4=1,JF4=0),50000,0))+IF($H4=1,(IF('計算A'!R$117=1,INDEX('計算A'!R$10:R$54,$B4),0)+IF('計算A'!S$117=1,INDEX('計算A'!T$10:T$54,$B4),0))*4000,0)-IF(AND('計算A'!R$117=1,UP4&gt;0),2000,0)-IF(AND($L4=1,'計算A'!S$117=1,DR4=0),2000,0))),1000000))</f>
        <v/>
      </c>
      <c r="OV4">
        <f>IF($B4=0,1000000,IF(INDEX('計算A'!$D$60:$EQ$104,$B4,17)*DR4=1,IF(AND($E4=2,JG4=0),1000000,IF($I4&gt;0,IF(1=$J4,IF(OR(AND(17=$I4+1,OR($K4&lt;&gt;'計算A'!$A$3,'計算A'!$A$4=0)),AND(17=$I4-1,OR(17&lt;&gt;'計算A'!$A$3,'計算A'!$A$4=0))),0,IF(17=$K4,200000,ABS(17-$K4)*100)),100000+ABS(1-$J4)*1000+170)+'計算A'!T$5*50+IF(AND($E4=1,JG4=0),25,0),IF($F4&gt;0,INDEX('計算A'!T$110:T$114,$F4+1)+IF(AND($E4=1,JG4=0),1000,0),MIN(TU4,20)*400+(IF('計算A'!S$106=1,1-DQ4,0)+IF('計算A'!T$106=1,1-DS4,0))*150+171+'計算A'!T$5*100000+IF(AND($E4=1,JG4=0),50000,0))+IF($H4=1,(IF('計算A'!S$117=1,INDEX('計算A'!S$10:S$54,$B4),0)+IF('計算A'!T$117=1,INDEX('計算A'!U$10:U$54,$B4),0))*4000,0)-IF(AND('計算A'!S$117=1,UQ4&gt;0),2000,0)-IF(AND($L4=1,'計算A'!T$117=1,DS4=0),2000,0))),1000000))</f>
        <v/>
      </c>
      <c r="OW4">
        <f>IF($B4=0,1000000,IF(INDEX('計算A'!$D$60:$EQ$104,$B4,18)*DS4=1,IF(AND($E4=2,JH4=0),1000000,IF($I4&gt;0,IF(1=$J4,IF(OR(AND(18=$I4+1,OR($K4&lt;&gt;'計算A'!$A$3,'計算A'!$A$4=0)),AND(18=$I4-1,OR(18&lt;&gt;'計算A'!$A$3,'計算A'!$A$4=0))),0,IF(18=$K4,200000,ABS(18-$K4)*100)),100000+ABS(1-$J4)*1000+180)+'計算A'!U$5*50+IF(AND($E4=1,JH4=0),25,0),IF($F4&gt;0,INDEX('計算A'!U$110:U$114,$F4+1)+IF(AND($E4=1,JH4=0),1000,0),MIN(TU4,20)*400+(IF('計算A'!T$106=1,1-DR4,0)+IF('計算A'!U$106=1,1-DT4,0))*150+181+'計算A'!U$5*100000+IF(AND($E4=1,JH4=0),50000,0))+IF($H4=1,(IF('計算A'!T$117=1,INDEX('計算A'!T$10:T$54,$B4),0)+IF('計算A'!U$117=1,INDEX('計算A'!V$10:V$54,$B4),0))*4000,0)-IF(AND('計算A'!T$117=1,UR4&gt;0),2000,0)-IF(AND($L4=1,'計算A'!U$117=1,DT4=0),2000,0))),1000000))</f>
        <v/>
      </c>
      <c r="OX4">
        <f>IF($B4=0,1000000,IF(INDEX('計算A'!$D$60:$EQ$104,$B4,19)*DT4=1,IF(AND($E4=2,JI4=0),1000000,IF($I4&gt;0,IF(1=$J4,IF(OR(AND(19=$I4+1,OR($K4&lt;&gt;'計算A'!$A$3,'計算A'!$A$4=0)),AND(19=$I4-1,OR(19&lt;&gt;'計算A'!$A$3,'計算A'!$A$4=0))),0,IF(19=$K4,200000,ABS(19-$K4)*100)),100000+ABS(1-$J4)*1000+190)+'計算A'!V$5*50+IF(AND($E4=1,JI4=0),25,0),IF($F4&gt;0,INDEX('計算A'!V$110:V$114,$F4+1)+IF(AND($E4=1,JI4=0),1000,0),MIN(TU4,20)*400+(IF('計算A'!U$106=1,1-DS4,0)+IF('計算A'!V$106=1,1-DU4,0))*150+191+'計算A'!V$5*100000+IF(AND($E4=1,JI4=0),50000,0))+IF($H4=1,(IF('計算A'!U$117=1,INDEX('計算A'!U$10:U$54,$B4),0)+IF('計算A'!V$117=1,INDEX('計算A'!W$10:W$54,$B4),0))*4000,0)-IF(AND('計算A'!U$117=1,US4&gt;0),2000,0)-IF(AND($L4=1,'計算A'!V$117=1,DU4=0),2000,0))),1000000))</f>
        <v/>
      </c>
      <c r="OY4">
        <f>IF($B4=0,1000000,IF(INDEX('計算A'!$D$60:$EQ$104,$B4,20)*DU4=1,IF(AND($E4=2,JJ4=0),1000000,IF($I4&gt;0,IF(1=$J4,IF(OR(AND(20=$I4+1,OR($K4&lt;&gt;'計算A'!$A$3,'計算A'!$A$4=0)),AND(20=$I4-1,OR(20&lt;&gt;'計算A'!$A$3,'計算A'!$A$4=0))),0,IF(20=$K4,200000,ABS(20-$K4)*100)),100000+ABS(1-$J4)*1000+200)+'計算A'!W$5*50+IF(AND($E4=1,JJ4=0),25,0),IF($F4&gt;0,INDEX('計算A'!W$110:W$114,$F4+1)+IF(AND($E4=1,JJ4=0),1000,0),MIN(TU4,20)*400+(IF('計算A'!V$106=1,1-DT4,0)+IF('計算A'!W$106=1,1-DV4,0))*150+201+'計算A'!W$5*100000+IF(AND($E4=1,JJ4=0),50000,0))+IF($H4=1,(IF('計算A'!V$117=1,INDEX('計算A'!V$10:V$54,$B4),0)+IF('計算A'!W$117=1,INDEX('計算A'!X$10:X$54,$B4),0))*4000,0)-IF(AND('計算A'!V$117=1,UT4&gt;0),2000,0)-IF(AND($L4=1,'計算A'!W$117=1,DV4=0),2000,0))),1000000))</f>
        <v/>
      </c>
      <c r="OZ4">
        <f>IF($B4=0,1000000,IF(INDEX('計算A'!$D$60:$EQ$104,$B4,21)*DV4=1,IF(AND($E4=2,JK4=0),1000000,IF($I4&gt;0,IF(1=$J4,IF(OR(AND(21=$I4+1,OR($K4&lt;&gt;'計算A'!$A$3,'計算A'!$A$4=0)),AND(21=$I4-1,OR(21&lt;&gt;'計算A'!$A$3,'計算A'!$A$4=0))),0,IF(21=$K4,200000,ABS(21-$K4)*100)),100000+ABS(1-$J4)*1000+210)+'計算A'!X$5*50+IF(AND($E4=1,JK4=0),25,0),IF($F4&gt;0,INDEX('計算A'!X$110:X$114,$F4+1)+IF(AND($E4=1,JK4=0),1000,0),MIN(TU4,20)*400+(IF('計算A'!W$106=1,1-DU4,0)+IF('計算A'!X$106=1,1-DW4,0))*150+211+'計算A'!X$5*100000+IF(AND($E4=1,JK4=0),50000,0))+IF($H4=1,(IF('計算A'!W$117=1,INDEX('計算A'!W$10:W$54,$B4),0)+IF('計算A'!X$117=1,INDEX('計算A'!Y$10:Y$54,$B4),0))*4000,0)-IF(AND('計算A'!W$117=1,UU4&gt;0),2000,0)-IF(AND($L4=1,'計算A'!X$117=1,DW4=0),2000,0))),1000000))</f>
        <v/>
      </c>
      <c r="PA4">
        <f>IF($B4=0,1000000,IF(INDEX('計算A'!$D$60:$EQ$104,$B4,22)*DW4=1,IF(AND($E4=2,JL4=0),1000000,IF($I4&gt;0,IF(1=$J4,IF(OR(AND(22=$I4+1,OR($K4&lt;&gt;'計算A'!$A$3,'計算A'!$A$4=0)),AND(22=$I4-1,OR(22&lt;&gt;'計算A'!$A$3,'計算A'!$A$4=0))),0,IF(22=$K4,200000,ABS(22-$K4)*100)),100000+ABS(1-$J4)*1000+220)+'計算A'!Y$5*50+IF(AND($E4=1,JL4=0),25,0),IF($F4&gt;0,INDEX('計算A'!Y$110:Y$114,$F4+1)+IF(AND($E4=1,JL4=0),1000,0),MIN(TU4,20)*400+(IF('計算A'!X$106=1,1-DV4,0)+IF('計算A'!Y$106=1,1-DX4,0))*150+221+'計算A'!Y$5*100000+IF(AND($E4=1,JL4=0),50000,0))+IF($H4=1,(IF('計算A'!X$117=1,INDEX('計算A'!X$10:X$54,$B4),0)+IF('計算A'!Y$117=1,INDEX('計算A'!Z$10:Z$54,$B4),0))*4000,0)-IF(AND('計算A'!X$117=1,UV4&gt;0),2000,0)-IF(AND($L4=1,'計算A'!Y$117=1,DX4=0),2000,0))),1000000))</f>
        <v/>
      </c>
      <c r="PB4">
        <f>IF($B4=0,1000000,IF(INDEX('計算A'!$D$60:$EQ$104,$B4,23)*DX4=1,IF(AND($E4=2,JM4=0),1000000,IF($I4&gt;0,IF(1=$J4,IF(OR(AND(23=$I4+1,OR($K4&lt;&gt;'計算A'!$A$3,'計算A'!$A$4=0)),AND(23=$I4-1,OR(23&lt;&gt;'計算A'!$A$3,'計算A'!$A$4=0))),0,IF(23=$K4,200000,ABS(23-$K4)*100)),100000+ABS(1-$J4)*1000+230)+'計算A'!Z$5*50+IF(AND($E4=1,JM4=0),25,0),IF($F4&gt;0,INDEX('計算A'!Z$110:Z$114,$F4+1)+IF(AND($E4=1,JM4=0),1000,0),MIN(TU4,20)*400+(IF('計算A'!Y$106=1,1-DW4,0)+IF('計算A'!Z$106=1,1-DY4,0))*150+231+'計算A'!Z$5*100000+IF(AND($E4=1,JM4=0),50000,0))+IF($H4=1,(IF('計算A'!Y$117=1,INDEX('計算A'!Y$10:Y$54,$B4),0)+IF('計算A'!Z$117=1,INDEX('計算A'!AA$10:AA$54,$B4),0))*4000,0)-IF(AND('計算A'!Y$117=1,UW4&gt;0),2000,0)-IF(AND($L4=1,'計算A'!Z$117=1,DY4=0),2000,0))),1000000))</f>
        <v/>
      </c>
      <c r="PC4">
        <f>IF($B4=0,1000000,IF(INDEX('計算A'!$D$60:$EQ$104,$B4,24)*DY4=1,IF(AND($E4=2,JN4=0),1000000,IF($I4&gt;0,IF(1=$J4,IF(OR(AND(24=$I4+1,OR($K4&lt;&gt;'計算A'!$A$3,'計算A'!$A$4=0)),AND(24=$I4-1,OR(24&lt;&gt;'計算A'!$A$3,'計算A'!$A$4=0))),0,IF(24=$K4,200000,ABS(24-$K4)*100)),100000+ABS(1-$J4)*1000+240)+'計算A'!AA$5*50+IF(AND($E4=1,JN4=0),25,0),IF($F4&gt;0,INDEX('計算A'!AA$110:AA$114,$F4+1)+IF(AND($E4=1,JN4=0),1000,0),MIN(TU4,20)*400+(IF('計算A'!Z$106=1,1-DX4,0))*150+241+'計算A'!AA$5*100000+IF(AND($E4=1,JN4=0),50000,0))+IF($H4=1,(IF('計算A'!Z$117=1,INDEX('計算A'!Z$10:Z$54,$B4),0))*4000,0)-IF(AND('計算A'!Z$117=1,UX4&gt;0),2000,0))),1000000))</f>
        <v/>
      </c>
      <c r="PD4">
        <f>IF($B4=0,1000000,IF(INDEX('計算A'!$D$60:$EQ$104,$B4,25)*DZ4=1,IF(AND($E4=2,JO4=0),1000000,IF($I4&gt;0,IF(2=$J4,IF(OR(AND(25=$I4+1,OR($K4&lt;&gt;'計算A'!$A$3,'計算A'!$A$4=0)),AND(25=$I4-1,OR(1&lt;&gt;'計算A'!$A$3,'計算A'!$A$4=0))),0,IF(1=$K4,200000,ABS(1-$K4)*100)),100000+ABS(2-$J4)*1000+10)+'計算A'!AB$5*50+IF(AND($E4=1,JO4=0),25,0),IF($F4&gt;0,INDEX('計算A'!AB$110:AB$114,$F4+1)+IF(AND($E4=1,JO4=0),1000,0),MIN(TV4,20)*400+(IF('計算A'!AB$106=1,1-EA4,0))*150+12+'計算A'!AB$5*100000+IF(AND($E4=1,JO4=0),50000,0))+IF($H4=1,(IF('計算A'!AB$117=1,INDEX('計算A'!AC$10:AC$54,$B4),0))*4000,0)-IF(AND($L4=1,'計算A'!AB$117=1,EA4=0),2000,0))),1000000))</f>
        <v/>
      </c>
      <c r="PE4">
        <f>IF($B4=0,1000000,IF(INDEX('計算A'!$D$60:$EQ$104,$B4,26)*EA4=1,IF(AND($E4=2,JP4=0),1000000,IF($I4&gt;0,IF(2=$J4,IF(OR(AND(26=$I4+1,OR($K4&lt;&gt;'計算A'!$A$3,'計算A'!$A$4=0)),AND(26=$I4-1,OR(2&lt;&gt;'計算A'!$A$3,'計算A'!$A$4=0))),0,IF(2=$K4,200000,ABS(2-$K4)*100)),100000+ABS(2-$J4)*1000+20)+'計算A'!AC$5*50+IF(AND($E4=1,JP4=0),25,0),IF($F4&gt;0,INDEX('計算A'!AC$110:AC$114,$F4+1)+IF(AND($E4=1,JP4=0),1000,0),MIN(TV4,20)*400+(IF('計算A'!AB$106=1,1-DZ4,0)+IF('計算A'!AC$106=1,1-EB4,0))*150+22+'計算A'!AC$5*100000+IF(AND($E4=1,JP4=0),50000,0))+IF($H4=1,(IF('計算A'!AB$117=1,INDEX('計算A'!AB$10:AB$54,$B4),0)+IF('計算A'!AC$117=1,INDEX('計算A'!AD$10:AD$54,$B4),0))*4000,0)-IF(AND('計算A'!AB$117=1,UZ4&gt;0),2000,0)-IF(AND($L4=1,'計算A'!AC$117=1,EB4=0),2000,0))),1000000))</f>
        <v/>
      </c>
      <c r="PF4">
        <f>IF($B4=0,1000000,IF(INDEX('計算A'!$D$60:$EQ$104,$B4,27)*EB4=1,IF(AND($E4=2,JQ4=0),1000000,IF($I4&gt;0,IF(2=$J4,IF(OR(AND(27=$I4+1,OR($K4&lt;&gt;'計算A'!$A$3,'計算A'!$A$4=0)),AND(27=$I4-1,OR(3&lt;&gt;'計算A'!$A$3,'計算A'!$A$4=0))),0,IF(3=$K4,200000,ABS(3-$K4)*100)),100000+ABS(2-$J4)*1000+30)+'計算A'!AD$5*50+IF(AND($E4=1,JQ4=0),25,0),IF($F4&gt;0,INDEX('計算A'!AD$110:AD$114,$F4+1)+IF(AND($E4=1,JQ4=0),1000,0),MIN(TV4,20)*400+(IF('計算A'!AC$106=1,1-EA4,0)+IF('計算A'!AD$106=1,1-EC4,0))*150+32+'計算A'!AD$5*100000+IF(AND($E4=1,JQ4=0),50000,0))+IF($H4=1,(IF('計算A'!AC$117=1,INDEX('計算A'!AC$10:AC$54,$B4),0)+IF('計算A'!AD$117=1,INDEX('計算A'!AE$10:AE$54,$B4),0))*4000,0)-IF(AND('計算A'!AC$117=1,VA4&gt;0),2000,0)-IF(AND($L4=1,'計算A'!AD$117=1,EC4=0),2000,0))),1000000))</f>
        <v/>
      </c>
      <c r="PG4">
        <f>IF($B4=0,1000000,IF(INDEX('計算A'!$D$60:$EQ$104,$B4,28)*EC4=1,IF(AND($E4=2,JR4=0),1000000,IF($I4&gt;0,IF(2=$J4,IF(OR(AND(28=$I4+1,OR($K4&lt;&gt;'計算A'!$A$3,'計算A'!$A$4=0)),AND(28=$I4-1,OR(4&lt;&gt;'計算A'!$A$3,'計算A'!$A$4=0))),0,IF(4=$K4,200000,ABS(4-$K4)*100)),100000+ABS(2-$J4)*1000+40)+'計算A'!AE$5*50+IF(AND($E4=1,JR4=0),25,0),IF($F4&gt;0,INDEX('計算A'!AE$110:AE$114,$F4+1)+IF(AND($E4=1,JR4=0),1000,0),MIN(TV4,20)*400+(IF('計算A'!AD$106=1,1-EB4,0)+IF('計算A'!AE$106=1,1-ED4,0))*150+42+'計算A'!AE$5*100000+IF(AND($E4=1,JR4=0),50000,0))+IF($H4=1,(IF('計算A'!AD$117=1,INDEX('計算A'!AD$10:AD$54,$B4),0)+IF('計算A'!AE$117=1,INDEX('計算A'!AF$10:AF$54,$B4),0))*4000,0)-IF(AND('計算A'!AD$117=1,VB4&gt;0),2000,0)-IF(AND($L4=1,'計算A'!AE$117=1,ED4=0),2000,0))),1000000))</f>
        <v/>
      </c>
      <c r="PH4">
        <f>IF($B4=0,1000000,IF(INDEX('計算A'!$D$60:$EQ$104,$B4,29)*ED4=1,IF(AND($E4=2,JS4=0),1000000,IF($I4&gt;0,IF(2=$J4,IF(OR(AND(29=$I4+1,OR($K4&lt;&gt;'計算A'!$A$3,'計算A'!$A$4=0)),AND(29=$I4-1,OR(5&lt;&gt;'計算A'!$A$3,'計算A'!$A$4=0))),0,IF(5=$K4,200000,ABS(5-$K4)*100)),100000+ABS(2-$J4)*1000+50)+'計算A'!AF$5*50+IF(AND($E4=1,JS4=0),25,0),IF($F4&gt;0,INDEX('計算A'!AF$110:AF$114,$F4+1)+IF(AND($E4=1,JS4=0),1000,0),MIN(TV4,20)*400+(IF('計算A'!AE$106=1,1-EC4,0)+IF('計算A'!AF$106=1,1-EE4,0))*150+52+'計算A'!AF$5*100000+IF(AND($E4=1,JS4=0),50000,0))+IF($H4=1,(IF('計算A'!AE$117=1,INDEX('計算A'!AE$10:AE$54,$B4),0)+IF('計算A'!AF$117=1,INDEX('計算A'!AG$10:AG$54,$B4),0))*4000,0)-IF(AND('計算A'!AE$117=1,VC4&gt;0),2000,0)-IF(AND($L4=1,'計算A'!AF$117=1,EE4=0),2000,0))),1000000))</f>
        <v/>
      </c>
      <c r="PI4">
        <f>IF($B4=0,1000000,IF(INDEX('計算A'!$D$60:$EQ$104,$B4,30)*EE4=1,IF(AND($E4=2,JT4=0),1000000,IF($I4&gt;0,IF(2=$J4,IF(OR(AND(30=$I4+1,OR($K4&lt;&gt;'計算A'!$A$3,'計算A'!$A$4=0)),AND(30=$I4-1,OR(6&lt;&gt;'計算A'!$A$3,'計算A'!$A$4=0))),0,IF(6=$K4,200000,ABS(6-$K4)*100)),100000+ABS(2-$J4)*1000+60)+'計算A'!AG$5*50+IF(AND($E4=1,JT4=0),25,0),IF($F4&gt;0,INDEX('計算A'!AG$110:AG$114,$F4+1)+IF(AND($E4=1,JT4=0),1000,0),MIN(TV4,20)*400+(IF('計算A'!AF$106=1,1-ED4,0)+IF('計算A'!AG$106=1,1-EF4,0))*150+62+'計算A'!AG$5*100000+IF(AND($E4=1,JT4=0),50000,0))+IF($H4=1,(IF('計算A'!AF$117=1,INDEX('計算A'!AF$10:AF$54,$B4),0)+IF('計算A'!AG$117=1,INDEX('計算A'!AH$10:AH$54,$B4),0))*4000,0)-IF(AND('計算A'!AF$117=1,VD4&gt;0),2000,0)-IF(AND($L4=1,'計算A'!AG$117=1,EF4=0),2000,0))),1000000))</f>
        <v/>
      </c>
      <c r="PJ4">
        <f>IF($B4=0,1000000,IF(INDEX('計算A'!$D$60:$EQ$104,$B4,31)*EF4=1,IF(AND($E4=2,JU4=0),1000000,IF($I4&gt;0,IF(2=$J4,IF(OR(AND(31=$I4+1,OR($K4&lt;&gt;'計算A'!$A$3,'計算A'!$A$4=0)),AND(31=$I4-1,OR(7&lt;&gt;'計算A'!$A$3,'計算A'!$A$4=0))),0,IF(7=$K4,200000,ABS(7-$K4)*100)),100000+ABS(2-$J4)*1000+70)+'計算A'!AH$5*50+IF(AND($E4=1,JU4=0),25,0),IF($F4&gt;0,INDEX('計算A'!AH$110:AH$114,$F4+1)+IF(AND($E4=1,JU4=0),1000,0),MIN(TV4,20)*400+(IF('計算A'!AG$106=1,1-EE4,0)+IF('計算A'!AH$106=1,1-EG4,0))*150+72+'計算A'!AH$5*100000+IF(AND($E4=1,JU4=0),50000,0))+IF($H4=1,(IF('計算A'!AG$117=1,INDEX('計算A'!AG$10:AG$54,$B4),0)+IF('計算A'!AH$117=1,INDEX('計算A'!AI$10:AI$54,$B4),0))*4000,0)-IF(AND('計算A'!AG$117=1,VE4&gt;0),2000,0)-IF(AND($L4=1,'計算A'!AH$117=1,EG4=0),2000,0))),1000000))</f>
        <v/>
      </c>
      <c r="PK4">
        <f>IF($B4=0,1000000,IF(INDEX('計算A'!$D$60:$EQ$104,$B4,32)*EG4=1,IF(AND($E4=2,JV4=0),1000000,IF($I4&gt;0,IF(2=$J4,IF(OR(AND(32=$I4+1,OR($K4&lt;&gt;'計算A'!$A$3,'計算A'!$A$4=0)),AND(32=$I4-1,OR(8&lt;&gt;'計算A'!$A$3,'計算A'!$A$4=0))),0,IF(8=$K4,200000,ABS(8-$K4)*100)),100000+ABS(2-$J4)*1000+80)+'計算A'!AI$5*50+IF(AND($E4=1,JV4=0),25,0),IF($F4&gt;0,INDEX('計算A'!AI$110:AI$114,$F4+1)+IF(AND($E4=1,JV4=0),1000,0),MIN(TV4,20)*400+(IF('計算A'!AH$106=1,1-EF4,0)+IF('計算A'!AI$106=1,1-EH4,0))*150+82+'計算A'!AI$5*100000+IF(AND($E4=1,JV4=0),50000,0))+IF($H4=1,(IF('計算A'!AH$117=1,INDEX('計算A'!AH$10:AH$54,$B4),0)+IF('計算A'!AI$117=1,INDEX('計算A'!AJ$10:AJ$54,$B4),0))*4000,0)-IF(AND('計算A'!AH$117=1,VF4&gt;0),2000,0)-IF(AND($L4=1,'計算A'!AI$117=1,EH4=0),2000,0))),1000000))</f>
        <v/>
      </c>
      <c r="PL4">
        <f>IF($B4=0,1000000,IF(INDEX('計算A'!$D$60:$EQ$104,$B4,33)*EH4=1,IF(AND($E4=2,JW4=0),1000000,IF($I4&gt;0,IF(2=$J4,IF(OR(AND(33=$I4+1,OR($K4&lt;&gt;'計算A'!$A$3,'計算A'!$A$4=0)),AND(33=$I4-1,OR(9&lt;&gt;'計算A'!$A$3,'計算A'!$A$4=0))),0,IF(9=$K4,200000,ABS(9-$K4)*100)),100000+ABS(2-$J4)*1000+90)+'計算A'!AJ$5*50+IF(AND($E4=1,JW4=0),25,0),IF($F4&gt;0,INDEX('計算A'!AJ$110:AJ$114,$F4+1)+IF(AND($E4=1,JW4=0),1000,0),MIN(TV4,20)*400+(IF('計算A'!AI$106=1,1-EG4,0)+IF('計算A'!AJ$106=1,1-EI4,0))*150+92+'計算A'!AJ$5*100000+IF(AND($E4=1,JW4=0),50000,0))+IF($H4=1,(IF('計算A'!AI$117=1,INDEX('計算A'!AI$10:AI$54,$B4),0)+IF('計算A'!AJ$117=1,INDEX('計算A'!AK$10:AK$54,$B4),0))*4000,0)-IF(AND('計算A'!AI$117=1,VG4&gt;0),2000,0)-IF(AND($L4=1,'計算A'!AJ$117=1,EI4=0),2000,0))),1000000))</f>
        <v/>
      </c>
      <c r="PM4">
        <f>IF($B4=0,1000000,IF(INDEX('計算A'!$D$60:$EQ$104,$B4,34)*EI4=1,IF(AND($E4=2,JX4=0),1000000,IF($I4&gt;0,IF(2=$J4,IF(OR(AND(34=$I4+1,OR($K4&lt;&gt;'計算A'!$A$3,'計算A'!$A$4=0)),AND(34=$I4-1,OR(10&lt;&gt;'計算A'!$A$3,'計算A'!$A$4=0))),0,IF(10=$K4,200000,ABS(10-$K4)*100)),100000+ABS(2-$J4)*1000+100)+'計算A'!AK$5*50+IF(AND($E4=1,JX4=0),25,0),IF($F4&gt;0,INDEX('計算A'!AK$110:AK$114,$F4+1)+IF(AND($E4=1,JX4=0),1000,0),MIN(TV4,20)*400+(IF('計算A'!AJ$106=1,1-EH4,0)+IF('計算A'!AK$106=1,1-EJ4,0))*150+102+'計算A'!AK$5*100000+IF(AND($E4=1,JX4=0),50000,0))+IF($H4=1,(IF('計算A'!AJ$117=1,INDEX('計算A'!AJ$10:AJ$54,$B4),0)+IF('計算A'!AK$117=1,INDEX('計算A'!AL$10:AL$54,$B4),0))*4000,0)-IF(AND('計算A'!AJ$117=1,VH4&gt;0),2000,0)-IF(AND($L4=1,'計算A'!AK$117=1,EJ4=0),2000,0))),1000000))</f>
        <v/>
      </c>
      <c r="PN4">
        <f>IF($B4=0,1000000,IF(INDEX('計算A'!$D$60:$EQ$104,$B4,35)*EJ4=1,IF(AND($E4=2,JY4=0),1000000,IF($I4&gt;0,IF(2=$J4,IF(OR(AND(35=$I4+1,OR($K4&lt;&gt;'計算A'!$A$3,'計算A'!$A$4=0)),AND(35=$I4-1,OR(11&lt;&gt;'計算A'!$A$3,'計算A'!$A$4=0))),0,IF(11=$K4,200000,ABS(11-$K4)*100)),100000+ABS(2-$J4)*1000+110)+'計算A'!AL$5*50+IF(AND($E4=1,JY4=0),25,0),IF($F4&gt;0,INDEX('計算A'!AL$110:AL$114,$F4+1)+IF(AND($E4=1,JY4=0),1000,0),MIN(TV4,20)*400+(IF('計算A'!AK$106=1,1-EI4,0)+IF('計算A'!AL$106=1,1-EK4,0))*150+112+'計算A'!AL$5*100000+IF(AND($E4=1,JY4=0),50000,0))+IF($H4=1,(IF('計算A'!AK$117=1,INDEX('計算A'!AK$10:AK$54,$B4),0)+IF('計算A'!AL$117=1,INDEX('計算A'!AM$10:AM$54,$B4),0))*4000,0)-IF(AND('計算A'!AK$117=1,VI4&gt;0),2000,0)-IF(AND($L4=1,'計算A'!AL$117=1,EK4=0),2000,0))),1000000))</f>
        <v/>
      </c>
      <c r="PO4">
        <f>IF($B4=0,1000000,IF(INDEX('計算A'!$D$60:$EQ$104,$B4,36)*EK4=1,IF(AND($E4=2,JZ4=0),1000000,IF($I4&gt;0,IF(2=$J4,IF(OR(AND(36=$I4+1,OR($K4&lt;&gt;'計算A'!$A$3,'計算A'!$A$4=0)),AND(36=$I4-1,OR(12&lt;&gt;'計算A'!$A$3,'計算A'!$A$4=0))),0,IF(12=$K4,200000,ABS(12-$K4)*100)),100000+ABS(2-$J4)*1000+120)+'計算A'!AM$5*50+IF(AND($E4=1,JZ4=0),25,0),IF($F4&gt;0,INDEX('計算A'!AM$110:AM$114,$F4+1)+IF(AND($E4=1,JZ4=0),1000,0),MIN(TV4,20)*400+(IF('計算A'!AL$106=1,1-EJ4,0)+IF('計算A'!AM$106=1,1-EL4,0))*150+122+'計算A'!AM$5*100000+IF(AND($E4=1,JZ4=0),50000,0))+IF($H4=1,(IF('計算A'!AL$117=1,INDEX('計算A'!AL$10:AL$54,$B4),0)+IF('計算A'!AM$117=1,INDEX('計算A'!AN$10:AN$54,$B4),0))*4000,0)-IF(AND('計算A'!AL$117=1,VJ4&gt;0),2000,0)-IF(AND($L4=1,'計算A'!AM$117=1,EL4=0),2000,0))),1000000))</f>
        <v/>
      </c>
      <c r="PP4">
        <f>IF($B4=0,1000000,IF(INDEX('計算A'!$D$60:$EQ$104,$B4,37)*EL4=1,IF(AND($E4=2,KA4=0),1000000,IF($I4&gt;0,IF(2=$J4,IF(OR(AND(37=$I4+1,OR($K4&lt;&gt;'計算A'!$A$3,'計算A'!$A$4=0)),AND(37=$I4-1,OR(13&lt;&gt;'計算A'!$A$3,'計算A'!$A$4=0))),0,IF(13=$K4,200000,ABS(13-$K4)*100)),100000+ABS(2-$J4)*1000+130)+'計算A'!AN$5*50+IF(AND($E4=1,KA4=0),25,0),IF($F4&gt;0,INDEX('計算A'!AN$110:AN$114,$F4+1)+IF(AND($E4=1,KA4=0),1000,0),MIN(TV4,20)*400+(IF('計算A'!AM$106=1,1-EK4,0)+IF('計算A'!AN$106=1,1-EM4,0))*150+132+'計算A'!AN$5*100000+IF(AND($E4=1,KA4=0),50000,0))+IF($H4=1,(IF('計算A'!AM$117=1,INDEX('計算A'!AM$10:AM$54,$B4),0)+IF('計算A'!AN$117=1,INDEX('計算A'!AO$10:AO$54,$B4),0))*4000,0)-IF(AND('計算A'!AM$117=1,VK4&gt;0),2000,0)-IF(AND($L4=1,'計算A'!AN$117=1,EM4=0),2000,0))),1000000))</f>
        <v/>
      </c>
      <c r="PQ4">
        <f>IF($B4=0,1000000,IF(INDEX('計算A'!$D$60:$EQ$104,$B4,38)*EM4=1,IF(AND($E4=2,KB4=0),1000000,IF($I4&gt;0,IF(2=$J4,IF(OR(AND(38=$I4+1,OR($K4&lt;&gt;'計算A'!$A$3,'計算A'!$A$4=0)),AND(38=$I4-1,OR(14&lt;&gt;'計算A'!$A$3,'計算A'!$A$4=0))),0,IF(14=$K4,200000,ABS(14-$K4)*100)),100000+ABS(2-$J4)*1000+140)+'計算A'!AO$5*50+IF(AND($E4=1,KB4=0),25,0),IF($F4&gt;0,INDEX('計算A'!AO$110:AO$114,$F4+1)+IF(AND($E4=1,KB4=0),1000,0),MIN(TV4,20)*400+(IF('計算A'!AN$106=1,1-EL4,0)+IF('計算A'!AO$106=1,1-EN4,0))*150+142+'計算A'!AO$5*100000+IF(AND($E4=1,KB4=0),50000,0))+IF($H4=1,(IF('計算A'!AN$117=1,INDEX('計算A'!AN$10:AN$54,$B4),0)+IF('計算A'!AO$117=1,INDEX('計算A'!AP$10:AP$54,$B4),0))*4000,0)-IF(AND('計算A'!AN$117=1,VL4&gt;0),2000,0)-IF(AND($L4=1,'計算A'!AO$117=1,EN4=0),2000,0))),1000000))</f>
        <v/>
      </c>
      <c r="PR4">
        <f>IF($B4=0,1000000,IF(INDEX('計算A'!$D$60:$EQ$104,$B4,39)*EN4=1,IF(AND($E4=2,KC4=0),1000000,IF($I4&gt;0,IF(2=$J4,IF(OR(AND(39=$I4+1,OR($K4&lt;&gt;'計算A'!$A$3,'計算A'!$A$4=0)),AND(39=$I4-1,OR(15&lt;&gt;'計算A'!$A$3,'計算A'!$A$4=0))),0,IF(15=$K4,200000,ABS(15-$K4)*100)),100000+ABS(2-$J4)*1000+150)+'計算A'!AP$5*50+IF(AND($E4=1,KC4=0),25,0),IF($F4&gt;0,INDEX('計算A'!AP$110:AP$114,$F4+1)+IF(AND($E4=1,KC4=0),1000,0),MIN(TV4,20)*400+(IF('計算A'!AO$106=1,1-EM4,0)+IF('計算A'!AP$106=1,1-EO4,0))*150+152+'計算A'!AP$5*100000+IF(AND($E4=1,KC4=0),50000,0))+IF($H4=1,(IF('計算A'!AO$117=1,INDEX('計算A'!AO$10:AO$54,$B4),0)+IF('計算A'!AP$117=1,INDEX('計算A'!AQ$10:AQ$54,$B4),0))*4000,0)-IF(AND('計算A'!AO$117=1,VM4&gt;0),2000,0)-IF(AND($L4=1,'計算A'!AP$117=1,EO4=0),2000,0))),1000000))</f>
        <v/>
      </c>
      <c r="PS4">
        <f>IF($B4=0,1000000,IF(INDEX('計算A'!$D$60:$EQ$104,$B4,40)*EO4=1,IF(AND($E4=2,KD4=0),1000000,IF($I4&gt;0,IF(2=$J4,IF(OR(AND(40=$I4+1,OR($K4&lt;&gt;'計算A'!$A$3,'計算A'!$A$4=0)),AND(40=$I4-1,OR(16&lt;&gt;'計算A'!$A$3,'計算A'!$A$4=0))),0,IF(16=$K4,200000,ABS(16-$K4)*100)),100000+ABS(2-$J4)*1000+160)+'計算A'!AQ$5*50+IF(AND($E4=1,KD4=0),25,0),IF($F4&gt;0,INDEX('計算A'!AQ$110:AQ$114,$F4+1)+IF(AND($E4=1,KD4=0),1000,0),MIN(TV4,20)*400+(IF('計算A'!AP$106=1,1-EN4,0)+IF('計算A'!AQ$106=1,1-EP4,0))*150+162+'計算A'!AQ$5*100000+IF(AND($E4=1,KD4=0),50000,0))+IF($H4=1,(IF('計算A'!AP$117=1,INDEX('計算A'!AP$10:AP$54,$B4),0)+IF('計算A'!AQ$117=1,INDEX('計算A'!AR$10:AR$54,$B4),0))*4000,0)-IF(AND('計算A'!AP$117=1,VN4&gt;0),2000,0)-IF(AND($L4=1,'計算A'!AQ$117=1,EP4=0),2000,0))),1000000))</f>
        <v/>
      </c>
      <c r="PT4">
        <f>IF($B4=0,1000000,IF(INDEX('計算A'!$D$60:$EQ$104,$B4,41)*EP4=1,IF(AND($E4=2,KE4=0),1000000,IF($I4&gt;0,IF(2=$J4,IF(OR(AND(41=$I4+1,OR($K4&lt;&gt;'計算A'!$A$3,'計算A'!$A$4=0)),AND(41=$I4-1,OR(17&lt;&gt;'計算A'!$A$3,'計算A'!$A$4=0))),0,IF(17=$K4,200000,ABS(17-$K4)*100)),100000+ABS(2-$J4)*1000+170)+'計算A'!AR$5*50+IF(AND($E4=1,KE4=0),25,0),IF($F4&gt;0,INDEX('計算A'!AR$110:AR$114,$F4+1)+IF(AND($E4=1,KE4=0),1000,0),MIN(TV4,20)*400+(IF('計算A'!AQ$106=1,1-EO4,0)+IF('計算A'!AR$106=1,1-EQ4,0))*150+172+'計算A'!AR$5*100000+IF(AND($E4=1,KE4=0),50000,0))+IF($H4=1,(IF('計算A'!AQ$117=1,INDEX('計算A'!AQ$10:AQ$54,$B4),0)+IF('計算A'!AR$117=1,INDEX('計算A'!AS$10:AS$54,$B4),0))*4000,0)-IF(AND('計算A'!AQ$117=1,VO4&gt;0),2000,0)-IF(AND($L4=1,'計算A'!AR$117=1,EQ4=0),2000,0))),1000000))</f>
        <v/>
      </c>
      <c r="PU4">
        <f>IF($B4=0,1000000,IF(INDEX('計算A'!$D$60:$EQ$104,$B4,42)*EQ4=1,IF(AND($E4=2,KF4=0),1000000,IF($I4&gt;0,IF(2=$J4,IF(OR(AND(42=$I4+1,OR($K4&lt;&gt;'計算A'!$A$3,'計算A'!$A$4=0)),AND(42=$I4-1,OR(18&lt;&gt;'計算A'!$A$3,'計算A'!$A$4=0))),0,IF(18=$K4,200000,ABS(18-$K4)*100)),100000+ABS(2-$J4)*1000+180)+'計算A'!AS$5*50+IF(AND($E4=1,KF4=0),25,0),IF($F4&gt;0,INDEX('計算A'!AS$110:AS$114,$F4+1)+IF(AND($E4=1,KF4=0),1000,0),MIN(TV4,20)*400+(IF('計算A'!AR$106=1,1-EP4,0)+IF('計算A'!AS$106=1,1-ER4,0))*150+182+'計算A'!AS$5*100000+IF(AND($E4=1,KF4=0),50000,0))+IF($H4=1,(IF('計算A'!AR$117=1,INDEX('計算A'!AR$10:AR$54,$B4),0)+IF('計算A'!AS$117=1,INDEX('計算A'!AT$10:AT$54,$B4),0))*4000,0)-IF(AND('計算A'!AR$117=1,VP4&gt;0),2000,0)-IF(AND($L4=1,'計算A'!AS$117=1,ER4=0),2000,0))),1000000))</f>
        <v/>
      </c>
      <c r="PV4">
        <f>IF($B4=0,1000000,IF(INDEX('計算A'!$D$60:$EQ$104,$B4,43)*ER4=1,IF(AND($E4=2,KG4=0),1000000,IF($I4&gt;0,IF(2=$J4,IF(OR(AND(43=$I4+1,OR($K4&lt;&gt;'計算A'!$A$3,'計算A'!$A$4=0)),AND(43=$I4-1,OR(19&lt;&gt;'計算A'!$A$3,'計算A'!$A$4=0))),0,IF(19=$K4,200000,ABS(19-$K4)*100)),100000+ABS(2-$J4)*1000+190)+'計算A'!AT$5*50+IF(AND($E4=1,KG4=0),25,0),IF($F4&gt;0,INDEX('計算A'!AT$110:AT$114,$F4+1)+IF(AND($E4=1,KG4=0),1000,0),MIN(TV4,20)*400+(IF('計算A'!AS$106=1,1-EQ4,0)+IF('計算A'!AT$106=1,1-ES4,0))*150+192+'計算A'!AT$5*100000+IF(AND($E4=1,KG4=0),50000,0))+IF($H4=1,(IF('計算A'!AS$117=1,INDEX('計算A'!AS$10:AS$54,$B4),0)+IF('計算A'!AT$117=1,INDEX('計算A'!AU$10:AU$54,$B4),0))*4000,0)-IF(AND('計算A'!AS$117=1,VQ4&gt;0),2000,0)-IF(AND($L4=1,'計算A'!AT$117=1,ES4=0),2000,0))),1000000))</f>
        <v/>
      </c>
      <c r="PW4">
        <f>IF($B4=0,1000000,IF(INDEX('計算A'!$D$60:$EQ$104,$B4,44)*ES4=1,IF(AND($E4=2,KH4=0),1000000,IF($I4&gt;0,IF(2=$J4,IF(OR(AND(44=$I4+1,OR($K4&lt;&gt;'計算A'!$A$3,'計算A'!$A$4=0)),AND(44=$I4-1,OR(20&lt;&gt;'計算A'!$A$3,'計算A'!$A$4=0))),0,IF(20=$K4,200000,ABS(20-$K4)*100)),100000+ABS(2-$J4)*1000+200)+'計算A'!AU$5*50+IF(AND($E4=1,KH4=0),25,0),IF($F4&gt;0,INDEX('計算A'!AU$110:AU$114,$F4+1)+IF(AND($E4=1,KH4=0),1000,0),MIN(TV4,20)*400+(IF('計算A'!AT$106=1,1-ER4,0)+IF('計算A'!AU$106=1,1-ET4,0))*150+202+'計算A'!AU$5*100000+IF(AND($E4=1,KH4=0),50000,0))+IF($H4=1,(IF('計算A'!AT$117=1,INDEX('計算A'!AT$10:AT$54,$B4),0)+IF('計算A'!AU$117=1,INDEX('計算A'!AV$10:AV$54,$B4),0))*4000,0)-IF(AND('計算A'!AT$117=1,VR4&gt;0),2000,0)-IF(AND($L4=1,'計算A'!AU$117=1,ET4=0),2000,0))),1000000))</f>
        <v/>
      </c>
      <c r="PX4">
        <f>IF($B4=0,1000000,IF(INDEX('計算A'!$D$60:$EQ$104,$B4,45)*ET4=1,IF(AND($E4=2,KI4=0),1000000,IF($I4&gt;0,IF(2=$J4,IF(OR(AND(45=$I4+1,OR($K4&lt;&gt;'計算A'!$A$3,'計算A'!$A$4=0)),AND(45=$I4-1,OR(21&lt;&gt;'計算A'!$A$3,'計算A'!$A$4=0))),0,IF(21=$K4,200000,ABS(21-$K4)*100)),100000+ABS(2-$J4)*1000+210)+'計算A'!AV$5*50+IF(AND($E4=1,KI4=0),25,0),IF($F4&gt;0,INDEX('計算A'!AV$110:AV$114,$F4+1)+IF(AND($E4=1,KI4=0),1000,0),MIN(TV4,20)*400+(IF('計算A'!AU$106=1,1-ES4,0)+IF('計算A'!AV$106=1,1-EU4,0))*150+212+'計算A'!AV$5*100000+IF(AND($E4=1,KI4=0),50000,0))+IF($H4=1,(IF('計算A'!AU$117=1,INDEX('計算A'!AU$10:AU$54,$B4),0)+IF('計算A'!AV$117=1,INDEX('計算A'!AW$10:AW$54,$B4),0))*4000,0)-IF(AND('計算A'!AU$117=1,VS4&gt;0),2000,0)-IF(AND($L4=1,'計算A'!AV$117=1,EU4=0),2000,0))),1000000))</f>
        <v/>
      </c>
      <c r="PY4">
        <f>IF($B4=0,1000000,IF(INDEX('計算A'!$D$60:$EQ$104,$B4,46)*EU4=1,IF(AND($E4=2,KJ4=0),1000000,IF($I4&gt;0,IF(2=$J4,IF(OR(AND(46=$I4+1,OR($K4&lt;&gt;'計算A'!$A$3,'計算A'!$A$4=0)),AND(46=$I4-1,OR(22&lt;&gt;'計算A'!$A$3,'計算A'!$A$4=0))),0,IF(22=$K4,200000,ABS(22-$K4)*100)),100000+ABS(2-$J4)*1000+220)+'計算A'!AW$5*50+IF(AND($E4=1,KJ4=0),25,0),IF($F4&gt;0,INDEX('計算A'!AW$110:AW$114,$F4+1)+IF(AND($E4=1,KJ4=0),1000,0),MIN(TV4,20)*400+(IF('計算A'!AV$106=1,1-ET4,0)+IF('計算A'!AW$106=1,1-EV4,0))*150+222+'計算A'!AW$5*100000+IF(AND($E4=1,KJ4=0),50000,0))+IF($H4=1,(IF('計算A'!AV$117=1,INDEX('計算A'!AV$10:AV$54,$B4),0)+IF('計算A'!AW$117=1,INDEX('計算A'!AX$10:AX$54,$B4),0))*4000,0)-IF(AND('計算A'!AV$117=1,VT4&gt;0),2000,0)-IF(AND($L4=1,'計算A'!AW$117=1,EV4=0),2000,0))),1000000))</f>
        <v/>
      </c>
      <c r="PZ4">
        <f>IF($B4=0,1000000,IF(INDEX('計算A'!$D$60:$EQ$104,$B4,47)*EV4=1,IF(AND($E4=2,KK4=0),1000000,IF($I4&gt;0,IF(2=$J4,IF(OR(AND(47=$I4+1,OR($K4&lt;&gt;'計算A'!$A$3,'計算A'!$A$4=0)),AND(47=$I4-1,OR(23&lt;&gt;'計算A'!$A$3,'計算A'!$A$4=0))),0,IF(23=$K4,200000,ABS(23-$K4)*100)),100000+ABS(2-$J4)*1000+230)+'計算A'!AX$5*50+IF(AND($E4=1,KK4=0),25,0),IF($F4&gt;0,INDEX('計算A'!AX$110:AX$114,$F4+1)+IF(AND($E4=1,KK4=0),1000,0),MIN(TV4,20)*400+(IF('計算A'!AW$106=1,1-EU4,0)+IF('計算A'!AX$106=1,1-EW4,0))*150+232+'計算A'!AX$5*100000+IF(AND($E4=1,KK4=0),50000,0))+IF($H4=1,(IF('計算A'!AW$117=1,INDEX('計算A'!AW$10:AW$54,$B4),0)+IF('計算A'!AX$117=1,INDEX('計算A'!AY$10:AY$54,$B4),0))*4000,0)-IF(AND('計算A'!AW$117=1,VU4&gt;0),2000,0)-IF(AND($L4=1,'計算A'!AX$117=1,EW4=0),2000,0))),1000000))</f>
        <v/>
      </c>
      <c r="QA4">
        <f>IF($B4=0,1000000,IF(INDEX('計算A'!$D$60:$EQ$104,$B4,48)*EW4=1,IF(AND($E4=2,KL4=0),1000000,IF($I4&gt;0,IF(2=$J4,IF(OR(AND(48=$I4+1,OR($K4&lt;&gt;'計算A'!$A$3,'計算A'!$A$4=0)),AND(48=$I4-1,OR(24&lt;&gt;'計算A'!$A$3,'計算A'!$A$4=0))),0,IF(24=$K4,200000,ABS(24-$K4)*100)),100000+ABS(2-$J4)*1000+240)+'計算A'!AY$5*50+IF(AND($E4=1,KL4=0),25,0),IF($F4&gt;0,INDEX('計算A'!AY$110:AY$114,$F4+1)+IF(AND($E4=1,KL4=0),1000,0),MIN(TV4,20)*400+(IF('計算A'!AX$106=1,1-EV4,0))*150+242+'計算A'!AY$5*100000+IF(AND($E4=1,KL4=0),50000,0))+IF($H4=1,(IF('計算A'!AX$117=1,INDEX('計算A'!AX$10:AX$54,$B4),0))*4000,0)-IF(AND('計算A'!AX$117=1,VV4&gt;0),2000,0))),1000000))</f>
        <v/>
      </c>
      <c r="QB4">
        <f>IF($B4=0,1000000,IF(INDEX('計算A'!$D$60:$EQ$104,$B4,49)*EX4=1,IF(AND($E4=2,KM4=0),1000000,IF($I4&gt;0,IF(3=$J4,IF(OR(AND(49=$I4+1,OR($K4&lt;&gt;'計算A'!$A$3,'計算A'!$A$4=0)),AND(49=$I4-1,OR(1&lt;&gt;'計算A'!$A$3,'計算A'!$A$4=0))),0,IF(1=$K4,200000,ABS(1-$K4)*100)),100000+ABS(3-$J4)*1000+10)+'計算A'!AZ$5*50+IF(AND($E4=1,KM4=0),25,0),IF($F4&gt;0,INDEX('計算A'!AZ$110:AZ$114,$F4+1)+IF(AND($E4=1,KM4=0),1000,0),MIN(TW4,20)*400+(IF('計算A'!AZ$106=1,1-EY4,0))*150+13+'計算A'!AZ$5*100000+IF(AND($E4=1,KM4=0),50000,0))+IF($H4=1,(IF('計算A'!AZ$117=1,INDEX('計算A'!BA$10:BA$54,$B4),0))*4000,0)-IF(AND($L4=1,'計算A'!AZ$117=1,EY4=0),2000,0))),1000000))</f>
        <v/>
      </c>
      <c r="QC4">
        <f>IF($B4=0,1000000,IF(INDEX('計算A'!$D$60:$EQ$104,$B4,50)*EY4=1,IF(AND($E4=2,KN4=0),1000000,IF($I4&gt;0,IF(3=$J4,IF(OR(AND(50=$I4+1,OR($K4&lt;&gt;'計算A'!$A$3,'計算A'!$A$4=0)),AND(50=$I4-1,OR(2&lt;&gt;'計算A'!$A$3,'計算A'!$A$4=0))),0,IF(2=$K4,200000,ABS(2-$K4)*100)),100000+ABS(3-$J4)*1000+20)+'計算A'!BA$5*50+IF(AND($E4=1,KN4=0),25,0),IF($F4&gt;0,INDEX('計算A'!BA$110:BA$114,$F4+1)+IF(AND($E4=1,KN4=0),1000,0),MIN(TW4,20)*400+(IF('計算A'!AZ$106=1,1-EX4,0)+IF('計算A'!BA$106=1,1-EZ4,0))*150+23+'計算A'!BA$5*100000+IF(AND($E4=1,KN4=0),50000,0))+IF($H4=1,(IF('計算A'!AZ$117=1,INDEX('計算A'!AZ$10:AZ$54,$B4),0)+IF('計算A'!BA$117=1,INDEX('計算A'!BB$10:BB$54,$B4),0))*4000,0)-IF(AND('計算A'!AZ$117=1,VX4&gt;0),2000,0)-IF(AND($L4=1,'計算A'!BA$117=1,EZ4=0),2000,0))),1000000))</f>
        <v/>
      </c>
      <c r="QD4">
        <f>IF($B4=0,1000000,IF(INDEX('計算A'!$D$60:$EQ$104,$B4,51)*EZ4=1,IF(AND($E4=2,KO4=0),1000000,IF($I4&gt;0,IF(3=$J4,IF(OR(AND(51=$I4+1,OR($K4&lt;&gt;'計算A'!$A$3,'計算A'!$A$4=0)),AND(51=$I4-1,OR(3&lt;&gt;'計算A'!$A$3,'計算A'!$A$4=0))),0,IF(3=$K4,200000,ABS(3-$K4)*100)),100000+ABS(3-$J4)*1000+30)+'計算A'!BB$5*50+IF(AND($E4=1,KO4=0),25,0),IF($F4&gt;0,INDEX('計算A'!BB$110:BB$114,$F4+1)+IF(AND($E4=1,KO4=0),1000,0),MIN(TW4,20)*400+(IF('計算A'!BA$106=1,1-EY4,0)+IF('計算A'!BB$106=1,1-FA4,0))*150+33+'計算A'!BB$5*100000+IF(AND($E4=1,KO4=0),50000,0))+IF($H4=1,(IF('計算A'!BA$117=1,INDEX('計算A'!BA$10:BA$54,$B4),0)+IF('計算A'!BB$117=1,INDEX('計算A'!BC$10:BC$54,$B4),0))*4000,0)-IF(AND('計算A'!BA$117=1,VY4&gt;0),2000,0)-IF(AND($L4=1,'計算A'!BB$117=1,FA4=0),2000,0))),1000000))</f>
        <v/>
      </c>
      <c r="QE4">
        <f>IF($B4=0,1000000,IF(INDEX('計算A'!$D$60:$EQ$104,$B4,52)*FA4=1,IF(AND($E4=2,KP4=0),1000000,IF($I4&gt;0,IF(3=$J4,IF(OR(AND(52=$I4+1,OR($K4&lt;&gt;'計算A'!$A$3,'計算A'!$A$4=0)),AND(52=$I4-1,OR(4&lt;&gt;'計算A'!$A$3,'計算A'!$A$4=0))),0,IF(4=$K4,200000,ABS(4-$K4)*100)),100000+ABS(3-$J4)*1000+40)+'計算A'!BC$5*50+IF(AND($E4=1,KP4=0),25,0),IF($F4&gt;0,INDEX('計算A'!BC$110:BC$114,$F4+1)+IF(AND($E4=1,KP4=0),1000,0),MIN(TW4,20)*400+(IF('計算A'!BB$106=1,1-EZ4,0)+IF('計算A'!BC$106=1,1-FB4,0))*150+43+'計算A'!BC$5*100000+IF(AND($E4=1,KP4=0),50000,0))+IF($H4=1,(IF('計算A'!BB$117=1,INDEX('計算A'!BB$10:BB$54,$B4),0)+IF('計算A'!BC$117=1,INDEX('計算A'!BD$10:BD$54,$B4),0))*4000,0)-IF(AND('計算A'!BB$117=1,VZ4&gt;0),2000,0)-IF(AND($L4=1,'計算A'!BC$117=1,FB4=0),2000,0))),1000000))</f>
        <v/>
      </c>
      <c r="QF4">
        <f>IF($B4=0,1000000,IF(INDEX('計算A'!$D$60:$EQ$104,$B4,53)*FB4=1,IF(AND($E4=2,KQ4=0),1000000,IF($I4&gt;0,IF(3=$J4,IF(OR(AND(53=$I4+1,OR($K4&lt;&gt;'計算A'!$A$3,'計算A'!$A$4=0)),AND(53=$I4-1,OR(5&lt;&gt;'計算A'!$A$3,'計算A'!$A$4=0))),0,IF(5=$K4,200000,ABS(5-$K4)*100)),100000+ABS(3-$J4)*1000+50)+'計算A'!BD$5*50+IF(AND($E4=1,KQ4=0),25,0),IF($F4&gt;0,INDEX('計算A'!BD$110:BD$114,$F4+1)+IF(AND($E4=1,KQ4=0),1000,0),MIN(TW4,20)*400+(IF('計算A'!BC$106=1,1-FA4,0)+IF('計算A'!BD$106=1,1-FC4,0))*150+53+'計算A'!BD$5*100000+IF(AND($E4=1,KQ4=0),50000,0))+IF($H4=1,(IF('計算A'!BC$117=1,INDEX('計算A'!BC$10:BC$54,$B4),0)+IF('計算A'!BD$117=1,INDEX('計算A'!BE$10:BE$54,$B4),0))*4000,0)-IF(AND('計算A'!BC$117=1,WA4&gt;0),2000,0)-IF(AND($L4=1,'計算A'!BD$117=1,FC4=0),2000,0))),1000000))</f>
        <v/>
      </c>
      <c r="QG4">
        <f>IF($B4=0,1000000,IF(INDEX('計算A'!$D$60:$EQ$104,$B4,54)*FC4=1,IF(AND($E4=2,KR4=0),1000000,IF($I4&gt;0,IF(3=$J4,IF(OR(AND(54=$I4+1,OR($K4&lt;&gt;'計算A'!$A$3,'計算A'!$A$4=0)),AND(54=$I4-1,OR(6&lt;&gt;'計算A'!$A$3,'計算A'!$A$4=0))),0,IF(6=$K4,200000,ABS(6-$K4)*100)),100000+ABS(3-$J4)*1000+60)+'計算A'!BE$5*50+IF(AND($E4=1,KR4=0),25,0),IF($F4&gt;0,INDEX('計算A'!BE$110:BE$114,$F4+1)+IF(AND($E4=1,KR4=0),1000,0),MIN(TW4,20)*400+(IF('計算A'!BD$106=1,1-FB4,0)+IF('計算A'!BE$106=1,1-FD4,0))*150+63+'計算A'!BE$5*100000+IF(AND($E4=1,KR4=0),50000,0))+IF($H4=1,(IF('計算A'!BD$117=1,INDEX('計算A'!BD$10:BD$54,$B4),0)+IF('計算A'!BE$117=1,INDEX('計算A'!BF$10:BF$54,$B4),0))*4000,0)-IF(AND('計算A'!BD$117=1,WB4&gt;0),2000,0)-IF(AND($L4=1,'計算A'!BE$117=1,FD4=0),2000,0))),1000000))</f>
        <v/>
      </c>
      <c r="QH4">
        <f>IF($B4=0,1000000,IF(INDEX('計算A'!$D$60:$EQ$104,$B4,55)*FD4=1,IF(AND($E4=2,KS4=0),1000000,IF($I4&gt;0,IF(3=$J4,IF(OR(AND(55=$I4+1,OR($K4&lt;&gt;'計算A'!$A$3,'計算A'!$A$4=0)),AND(55=$I4-1,OR(7&lt;&gt;'計算A'!$A$3,'計算A'!$A$4=0))),0,IF(7=$K4,200000,ABS(7-$K4)*100)),100000+ABS(3-$J4)*1000+70)+'計算A'!BF$5*50+IF(AND($E4=1,KS4=0),25,0),IF($F4&gt;0,INDEX('計算A'!BF$110:BF$114,$F4+1)+IF(AND($E4=1,KS4=0),1000,0),MIN(TW4,20)*400+(IF('計算A'!BE$106=1,1-FC4,0)+IF('計算A'!BF$106=1,1-FE4,0))*150+73+'計算A'!BF$5*100000+IF(AND($E4=1,KS4=0),50000,0))+IF($H4=1,(IF('計算A'!BE$117=1,INDEX('計算A'!BE$10:BE$54,$B4),0)+IF('計算A'!BF$117=1,INDEX('計算A'!BG$10:BG$54,$B4),0))*4000,0)-IF(AND('計算A'!BE$117=1,WC4&gt;0),2000,0)-IF(AND($L4=1,'計算A'!BF$117=1,FE4=0),2000,0))),1000000))</f>
        <v/>
      </c>
      <c r="QI4">
        <f>IF($B4=0,1000000,IF(INDEX('計算A'!$D$60:$EQ$104,$B4,56)*FE4=1,IF(AND($E4=2,KT4=0),1000000,IF($I4&gt;0,IF(3=$J4,IF(OR(AND(56=$I4+1,OR($K4&lt;&gt;'計算A'!$A$3,'計算A'!$A$4=0)),AND(56=$I4-1,OR(8&lt;&gt;'計算A'!$A$3,'計算A'!$A$4=0))),0,IF(8=$K4,200000,ABS(8-$K4)*100)),100000+ABS(3-$J4)*1000+80)+'計算A'!BG$5*50+IF(AND($E4=1,KT4=0),25,0),IF($F4&gt;0,INDEX('計算A'!BG$110:BG$114,$F4+1)+IF(AND($E4=1,KT4=0),1000,0),MIN(TW4,20)*400+(IF('計算A'!BF$106=1,1-FD4,0)+IF('計算A'!BG$106=1,1-FF4,0))*150+83+'計算A'!BG$5*100000+IF(AND($E4=1,KT4=0),50000,0))+IF($H4=1,(IF('計算A'!BF$117=1,INDEX('計算A'!BF$10:BF$54,$B4),0)+IF('計算A'!BG$117=1,INDEX('計算A'!BH$10:BH$54,$B4),0))*4000,0)-IF(AND('計算A'!BF$117=1,WD4&gt;0),2000,0)-IF(AND($L4=1,'計算A'!BG$117=1,FF4=0),2000,0))),1000000))</f>
        <v/>
      </c>
      <c r="QJ4">
        <f>IF($B4=0,1000000,IF(INDEX('計算A'!$D$60:$EQ$104,$B4,57)*FF4=1,IF(AND($E4=2,KU4=0),1000000,IF($I4&gt;0,IF(3=$J4,IF(OR(AND(57=$I4+1,OR($K4&lt;&gt;'計算A'!$A$3,'計算A'!$A$4=0)),AND(57=$I4-1,OR(9&lt;&gt;'計算A'!$A$3,'計算A'!$A$4=0))),0,IF(9=$K4,200000,ABS(9-$K4)*100)),100000+ABS(3-$J4)*1000+90)+'計算A'!BH$5*50+IF(AND($E4=1,KU4=0),25,0),IF($F4&gt;0,INDEX('計算A'!BH$110:BH$114,$F4+1)+IF(AND($E4=1,KU4=0),1000,0),MIN(TW4,20)*400+(IF('計算A'!BG$106=1,1-FE4,0)+IF('計算A'!BH$106=1,1-FG4,0))*150+93+'計算A'!BH$5*100000+IF(AND($E4=1,KU4=0),50000,0))+IF($H4=1,(IF('計算A'!BG$117=1,INDEX('計算A'!BG$10:BG$54,$B4),0)+IF('計算A'!BH$117=1,INDEX('計算A'!BI$10:BI$54,$B4),0))*4000,0)-IF(AND('計算A'!BG$117=1,WE4&gt;0),2000,0)-IF(AND($L4=1,'計算A'!BH$117=1,FG4=0),2000,0))),1000000))</f>
        <v/>
      </c>
      <c r="QK4">
        <f>IF($B4=0,1000000,IF(INDEX('計算A'!$D$60:$EQ$104,$B4,58)*FG4=1,IF(AND($E4=2,KV4=0),1000000,IF($I4&gt;0,IF(3=$J4,IF(OR(AND(58=$I4+1,OR($K4&lt;&gt;'計算A'!$A$3,'計算A'!$A$4=0)),AND(58=$I4-1,OR(10&lt;&gt;'計算A'!$A$3,'計算A'!$A$4=0))),0,IF(10=$K4,200000,ABS(10-$K4)*100)),100000+ABS(3-$J4)*1000+100)+'計算A'!BI$5*50+IF(AND($E4=1,KV4=0),25,0),IF($F4&gt;0,INDEX('計算A'!BI$110:BI$114,$F4+1)+IF(AND($E4=1,KV4=0),1000,0),MIN(TW4,20)*400+(IF('計算A'!BH$106=1,1-FF4,0)+IF('計算A'!BI$106=1,1-FH4,0))*150+103+'計算A'!BI$5*100000+IF(AND($E4=1,KV4=0),50000,0))+IF($H4=1,(IF('計算A'!BH$117=1,INDEX('計算A'!BH$10:BH$54,$B4),0)+IF('計算A'!BI$117=1,INDEX('計算A'!BJ$10:BJ$54,$B4),0))*4000,0)-IF(AND('計算A'!BH$117=1,WF4&gt;0),2000,0)-IF(AND($L4=1,'計算A'!BI$117=1,FH4=0),2000,0))),1000000))</f>
        <v/>
      </c>
      <c r="QL4">
        <f>IF($B4=0,1000000,IF(INDEX('計算A'!$D$60:$EQ$104,$B4,59)*FH4=1,IF(AND($E4=2,KW4=0),1000000,IF($I4&gt;0,IF(3=$J4,IF(OR(AND(59=$I4+1,OR($K4&lt;&gt;'計算A'!$A$3,'計算A'!$A$4=0)),AND(59=$I4-1,OR(11&lt;&gt;'計算A'!$A$3,'計算A'!$A$4=0))),0,IF(11=$K4,200000,ABS(11-$K4)*100)),100000+ABS(3-$J4)*1000+110)+'計算A'!BJ$5*50+IF(AND($E4=1,KW4=0),25,0),IF($F4&gt;0,INDEX('計算A'!BJ$110:BJ$114,$F4+1)+IF(AND($E4=1,KW4=0),1000,0),MIN(TW4,20)*400+(IF('計算A'!BI$106=1,1-FG4,0)+IF('計算A'!BJ$106=1,1-FI4,0))*150+113+'計算A'!BJ$5*100000+IF(AND($E4=1,KW4=0),50000,0))+IF($H4=1,(IF('計算A'!BI$117=1,INDEX('計算A'!BI$10:BI$54,$B4),0)+IF('計算A'!BJ$117=1,INDEX('計算A'!BK$10:BK$54,$B4),0))*4000,0)-IF(AND('計算A'!BI$117=1,WG4&gt;0),2000,0)-IF(AND($L4=1,'計算A'!BJ$117=1,FI4=0),2000,0))),1000000))</f>
        <v/>
      </c>
      <c r="QM4">
        <f>IF($B4=0,1000000,IF(INDEX('計算A'!$D$60:$EQ$104,$B4,60)*FI4=1,IF(AND($E4=2,KX4=0),1000000,IF($I4&gt;0,IF(3=$J4,IF(OR(AND(60=$I4+1,OR($K4&lt;&gt;'計算A'!$A$3,'計算A'!$A$4=0)),AND(60=$I4-1,OR(12&lt;&gt;'計算A'!$A$3,'計算A'!$A$4=0))),0,IF(12=$K4,200000,ABS(12-$K4)*100)),100000+ABS(3-$J4)*1000+120)+'計算A'!BK$5*50+IF(AND($E4=1,KX4=0),25,0),IF($F4&gt;0,INDEX('計算A'!BK$110:BK$114,$F4+1)+IF(AND($E4=1,KX4=0),1000,0),MIN(TW4,20)*400+(IF('計算A'!BJ$106=1,1-FH4,0)+IF('計算A'!BK$106=1,1-FJ4,0))*150+123+'計算A'!BK$5*100000+IF(AND($E4=1,KX4=0),50000,0))+IF($H4=1,(IF('計算A'!BJ$117=1,INDEX('計算A'!BJ$10:BJ$54,$B4),0)+IF('計算A'!BK$117=1,INDEX('計算A'!BL$10:BL$54,$B4),0))*4000,0)-IF(AND('計算A'!BJ$117=1,WH4&gt;0),2000,0)-IF(AND($L4=1,'計算A'!BK$117=1,FJ4=0),2000,0))),1000000))</f>
        <v/>
      </c>
      <c r="QN4">
        <f>IF($B4=0,1000000,IF(INDEX('計算A'!$D$60:$EQ$104,$B4,61)*FJ4=1,IF(AND($E4=2,KY4=0),1000000,IF($I4&gt;0,IF(3=$J4,IF(OR(AND(61=$I4+1,OR($K4&lt;&gt;'計算A'!$A$3,'計算A'!$A$4=0)),AND(61=$I4-1,OR(13&lt;&gt;'計算A'!$A$3,'計算A'!$A$4=0))),0,IF(13=$K4,200000,ABS(13-$K4)*100)),100000+ABS(3-$J4)*1000+130)+'計算A'!BL$5*50+IF(AND($E4=1,KY4=0),25,0),IF($F4&gt;0,INDEX('計算A'!BL$110:BL$114,$F4+1)+IF(AND($E4=1,KY4=0),1000,0),MIN(TW4,20)*400+(IF('計算A'!BK$106=1,1-FI4,0)+IF('計算A'!BL$106=1,1-FK4,0))*150+133+'計算A'!BL$5*100000+IF(AND($E4=1,KY4=0),50000,0))+IF($H4=1,(IF('計算A'!BK$117=1,INDEX('計算A'!BK$10:BK$54,$B4),0)+IF('計算A'!BL$117=1,INDEX('計算A'!BM$10:BM$54,$B4),0))*4000,0)-IF(AND('計算A'!BK$117=1,WI4&gt;0),2000,0)-IF(AND($L4=1,'計算A'!BL$117=1,FK4=0),2000,0))),1000000))</f>
        <v/>
      </c>
      <c r="QO4">
        <f>IF($B4=0,1000000,IF(INDEX('計算A'!$D$60:$EQ$104,$B4,62)*FK4=1,IF(AND($E4=2,KZ4=0),1000000,IF($I4&gt;0,IF(3=$J4,IF(OR(AND(62=$I4+1,OR($K4&lt;&gt;'計算A'!$A$3,'計算A'!$A$4=0)),AND(62=$I4-1,OR(14&lt;&gt;'計算A'!$A$3,'計算A'!$A$4=0))),0,IF(14=$K4,200000,ABS(14-$K4)*100)),100000+ABS(3-$J4)*1000+140)+'計算A'!BM$5*50+IF(AND($E4=1,KZ4=0),25,0),IF($F4&gt;0,INDEX('計算A'!BM$110:BM$114,$F4+1)+IF(AND($E4=1,KZ4=0),1000,0),MIN(TW4,20)*400+(IF('計算A'!BL$106=1,1-FJ4,0)+IF('計算A'!BM$106=1,1-FL4,0))*150+143+'計算A'!BM$5*100000+IF(AND($E4=1,KZ4=0),50000,0))+IF($H4=1,(IF('計算A'!BL$117=1,INDEX('計算A'!BL$10:BL$54,$B4),0)+IF('計算A'!BM$117=1,INDEX('計算A'!BN$10:BN$54,$B4),0))*4000,0)-IF(AND('計算A'!BL$117=1,WJ4&gt;0),2000,0)-IF(AND($L4=1,'計算A'!BM$117=1,FL4=0),2000,0))),1000000))</f>
        <v/>
      </c>
      <c r="QP4">
        <f>IF($B4=0,1000000,IF(INDEX('計算A'!$D$60:$EQ$104,$B4,63)*FL4=1,IF(AND($E4=2,LA4=0),1000000,IF($I4&gt;0,IF(3=$J4,IF(OR(AND(63=$I4+1,OR($K4&lt;&gt;'計算A'!$A$3,'計算A'!$A$4=0)),AND(63=$I4-1,OR(15&lt;&gt;'計算A'!$A$3,'計算A'!$A$4=0))),0,IF(15=$K4,200000,ABS(15-$K4)*100)),100000+ABS(3-$J4)*1000+150)+'計算A'!BN$5*50+IF(AND($E4=1,LA4=0),25,0),IF($F4&gt;0,INDEX('計算A'!BN$110:BN$114,$F4+1)+IF(AND($E4=1,LA4=0),1000,0),MIN(TW4,20)*400+(IF('計算A'!BM$106=1,1-FK4,0)+IF('計算A'!BN$106=1,1-FM4,0))*150+153+'計算A'!BN$5*100000+IF(AND($E4=1,LA4=0),50000,0))+IF($H4=1,(IF('計算A'!BM$117=1,INDEX('計算A'!BM$10:BM$54,$B4),0)+IF('計算A'!BN$117=1,INDEX('計算A'!BO$10:BO$54,$B4),0))*4000,0)-IF(AND('計算A'!BM$117=1,WK4&gt;0),2000,0)-IF(AND($L4=1,'計算A'!BN$117=1,FM4=0),2000,0))),1000000))</f>
        <v/>
      </c>
      <c r="QQ4">
        <f>IF($B4=0,1000000,IF(INDEX('計算A'!$D$60:$EQ$104,$B4,64)*FM4=1,IF(AND($E4=2,LB4=0),1000000,IF($I4&gt;0,IF(3=$J4,IF(OR(AND(64=$I4+1,OR($K4&lt;&gt;'計算A'!$A$3,'計算A'!$A$4=0)),AND(64=$I4-1,OR(16&lt;&gt;'計算A'!$A$3,'計算A'!$A$4=0))),0,IF(16=$K4,200000,ABS(16-$K4)*100)),100000+ABS(3-$J4)*1000+160)+'計算A'!BO$5*50+IF(AND($E4=1,LB4=0),25,0),IF($F4&gt;0,INDEX('計算A'!BO$110:BO$114,$F4+1)+IF(AND($E4=1,LB4=0),1000,0),MIN(TW4,20)*400+(IF('計算A'!BN$106=1,1-FL4,0)+IF('計算A'!BO$106=1,1-FN4,0))*150+163+'計算A'!BO$5*100000+IF(AND($E4=1,LB4=0),50000,0))+IF($H4=1,(IF('計算A'!BN$117=1,INDEX('計算A'!BN$10:BN$54,$B4),0)+IF('計算A'!BO$117=1,INDEX('計算A'!BP$10:BP$54,$B4),0))*4000,0)-IF(AND('計算A'!BN$117=1,WL4&gt;0),2000,0)-IF(AND($L4=1,'計算A'!BO$117=1,FN4=0),2000,0))),1000000))</f>
        <v/>
      </c>
      <c r="QR4">
        <f>IF($B4=0,1000000,IF(INDEX('計算A'!$D$60:$EQ$104,$B4,65)*FN4=1,IF(AND($E4=2,LC4=0),1000000,IF($I4&gt;0,IF(3=$J4,IF(OR(AND(65=$I4+1,OR($K4&lt;&gt;'計算A'!$A$3,'計算A'!$A$4=0)),AND(65=$I4-1,OR(17&lt;&gt;'計算A'!$A$3,'計算A'!$A$4=0))),0,IF(17=$K4,200000,ABS(17-$K4)*100)),100000+ABS(3-$J4)*1000+170)+'計算A'!BP$5*50+IF(AND($E4=1,LC4=0),25,0),IF($F4&gt;0,INDEX('計算A'!BP$110:BP$114,$F4+1)+IF(AND($E4=1,LC4=0),1000,0),MIN(TW4,20)*400+(IF('計算A'!BO$106=1,1-FM4,0)+IF('計算A'!BP$106=1,1-FO4,0))*150+173+'計算A'!BP$5*100000+IF(AND($E4=1,LC4=0),50000,0))+IF($H4=1,(IF('計算A'!BO$117=1,INDEX('計算A'!BO$10:BO$54,$B4),0)+IF('計算A'!BP$117=1,INDEX('計算A'!BQ$10:BQ$54,$B4),0))*4000,0)-IF(AND('計算A'!BO$117=1,WM4&gt;0),2000,0)-IF(AND($L4=1,'計算A'!BP$117=1,FO4=0),2000,0))),1000000))</f>
        <v/>
      </c>
      <c r="QS4">
        <f>IF($B4=0,1000000,IF(INDEX('計算A'!$D$60:$EQ$104,$B4,66)*FO4=1,IF(AND($E4=2,LD4=0),1000000,IF($I4&gt;0,IF(3=$J4,IF(OR(AND(66=$I4+1,OR($K4&lt;&gt;'計算A'!$A$3,'計算A'!$A$4=0)),AND(66=$I4-1,OR(18&lt;&gt;'計算A'!$A$3,'計算A'!$A$4=0))),0,IF(18=$K4,200000,ABS(18-$K4)*100)),100000+ABS(3-$J4)*1000+180)+'計算A'!BQ$5*50+IF(AND($E4=1,LD4=0),25,0),IF($F4&gt;0,INDEX('計算A'!BQ$110:BQ$114,$F4+1)+IF(AND($E4=1,LD4=0),1000,0),MIN(TW4,20)*400+(IF('計算A'!BP$106=1,1-FN4,0)+IF('計算A'!BQ$106=1,1-FP4,0))*150+183+'計算A'!BQ$5*100000+IF(AND($E4=1,LD4=0),50000,0))+IF($H4=1,(IF('計算A'!BP$117=1,INDEX('計算A'!BP$10:BP$54,$B4),0)+IF('計算A'!BQ$117=1,INDEX('計算A'!BR$10:BR$54,$B4),0))*4000,0)-IF(AND('計算A'!BP$117=1,WN4&gt;0),2000,0)-IF(AND($L4=1,'計算A'!BQ$117=1,FP4=0),2000,0))),1000000))</f>
        <v/>
      </c>
      <c r="QT4">
        <f>IF($B4=0,1000000,IF(INDEX('計算A'!$D$60:$EQ$104,$B4,67)*FP4=1,IF(AND($E4=2,LE4=0),1000000,IF($I4&gt;0,IF(3=$J4,IF(OR(AND(67=$I4+1,OR($K4&lt;&gt;'計算A'!$A$3,'計算A'!$A$4=0)),AND(67=$I4-1,OR(19&lt;&gt;'計算A'!$A$3,'計算A'!$A$4=0))),0,IF(19=$K4,200000,ABS(19-$K4)*100)),100000+ABS(3-$J4)*1000+190)+'計算A'!BR$5*50+IF(AND($E4=1,LE4=0),25,0),IF($F4&gt;0,INDEX('計算A'!BR$110:BR$114,$F4+1)+IF(AND($E4=1,LE4=0),1000,0),MIN(TW4,20)*400+(IF('計算A'!BQ$106=1,1-FO4,0)+IF('計算A'!BR$106=1,1-FQ4,0))*150+193+'計算A'!BR$5*100000+IF(AND($E4=1,LE4=0),50000,0))+IF($H4=1,(IF('計算A'!BQ$117=1,INDEX('計算A'!BQ$10:BQ$54,$B4),0)+IF('計算A'!BR$117=1,INDEX('計算A'!BS$10:BS$54,$B4),0))*4000,0)-IF(AND('計算A'!BQ$117=1,WO4&gt;0),2000,0)-IF(AND($L4=1,'計算A'!BR$117=1,FQ4=0),2000,0))),1000000))</f>
        <v/>
      </c>
      <c r="QU4">
        <f>IF($B4=0,1000000,IF(INDEX('計算A'!$D$60:$EQ$104,$B4,68)*FQ4=1,IF(AND($E4=2,LF4=0),1000000,IF($I4&gt;0,IF(3=$J4,IF(OR(AND(68=$I4+1,OR($K4&lt;&gt;'計算A'!$A$3,'計算A'!$A$4=0)),AND(68=$I4-1,OR(20&lt;&gt;'計算A'!$A$3,'計算A'!$A$4=0))),0,IF(20=$K4,200000,ABS(20-$K4)*100)),100000+ABS(3-$J4)*1000+200)+'計算A'!BS$5*50+IF(AND($E4=1,LF4=0),25,0),IF($F4&gt;0,INDEX('計算A'!BS$110:BS$114,$F4+1)+IF(AND($E4=1,LF4=0),1000,0),MIN(TW4,20)*400+(IF('計算A'!BR$106=1,1-FP4,0)+IF('計算A'!BS$106=1,1-FR4,0))*150+203+'計算A'!BS$5*100000+IF(AND($E4=1,LF4=0),50000,0))+IF($H4=1,(IF('計算A'!BR$117=1,INDEX('計算A'!BR$10:BR$54,$B4),0)+IF('計算A'!BS$117=1,INDEX('計算A'!BT$10:BT$54,$B4),0))*4000,0)-IF(AND('計算A'!BR$117=1,WP4&gt;0),2000,0)-IF(AND($L4=1,'計算A'!BS$117=1,FR4=0),2000,0))),1000000))</f>
        <v/>
      </c>
      <c r="QV4">
        <f>IF($B4=0,1000000,IF(INDEX('計算A'!$D$60:$EQ$104,$B4,69)*FR4=1,IF(AND($E4=2,LG4=0),1000000,IF($I4&gt;0,IF(3=$J4,IF(OR(AND(69=$I4+1,OR($K4&lt;&gt;'計算A'!$A$3,'計算A'!$A$4=0)),AND(69=$I4-1,OR(21&lt;&gt;'計算A'!$A$3,'計算A'!$A$4=0))),0,IF(21=$K4,200000,ABS(21-$K4)*100)),100000+ABS(3-$J4)*1000+210)+'計算A'!BT$5*50+IF(AND($E4=1,LG4=0),25,0),IF($F4&gt;0,INDEX('計算A'!BT$110:BT$114,$F4+1)+IF(AND($E4=1,LG4=0),1000,0),MIN(TW4,20)*400+(IF('計算A'!BS$106=1,1-FQ4,0)+IF('計算A'!BT$106=1,1-FS4,0))*150+213+'計算A'!BT$5*100000+IF(AND($E4=1,LG4=0),50000,0))+IF($H4=1,(IF('計算A'!BS$117=1,INDEX('計算A'!BS$10:BS$54,$B4),0)+IF('計算A'!BT$117=1,INDEX('計算A'!BU$10:BU$54,$B4),0))*4000,0)-IF(AND('計算A'!BS$117=1,WQ4&gt;0),2000,0)-IF(AND($L4=1,'計算A'!BT$117=1,FS4=0),2000,0))),1000000))</f>
        <v/>
      </c>
      <c r="QW4">
        <f>IF($B4=0,1000000,IF(INDEX('計算A'!$D$60:$EQ$104,$B4,70)*FS4=1,IF(AND($E4=2,LH4=0),1000000,IF($I4&gt;0,IF(3=$J4,IF(OR(AND(70=$I4+1,OR($K4&lt;&gt;'計算A'!$A$3,'計算A'!$A$4=0)),AND(70=$I4-1,OR(22&lt;&gt;'計算A'!$A$3,'計算A'!$A$4=0))),0,IF(22=$K4,200000,ABS(22-$K4)*100)),100000+ABS(3-$J4)*1000+220)+'計算A'!BU$5*50+IF(AND($E4=1,LH4=0),25,0),IF($F4&gt;0,INDEX('計算A'!BU$110:BU$114,$F4+1)+IF(AND($E4=1,LH4=0),1000,0),MIN(TW4,20)*400+(IF('計算A'!BT$106=1,1-FR4,0)+IF('計算A'!BU$106=1,1-FT4,0))*150+223+'計算A'!BU$5*100000+IF(AND($E4=1,LH4=0),50000,0))+IF($H4=1,(IF('計算A'!BT$117=1,INDEX('計算A'!BT$10:BT$54,$B4),0)+IF('計算A'!BU$117=1,INDEX('計算A'!BV$10:BV$54,$B4),0))*4000,0)-IF(AND('計算A'!BT$117=1,WR4&gt;0),2000,0)-IF(AND($L4=1,'計算A'!BU$117=1,FT4=0),2000,0))),1000000))</f>
        <v/>
      </c>
      <c r="QX4">
        <f>IF($B4=0,1000000,IF(INDEX('計算A'!$D$60:$EQ$104,$B4,71)*FT4=1,IF(AND($E4=2,LI4=0),1000000,IF($I4&gt;0,IF(3=$J4,IF(OR(AND(71=$I4+1,OR($K4&lt;&gt;'計算A'!$A$3,'計算A'!$A$4=0)),AND(71=$I4-1,OR(23&lt;&gt;'計算A'!$A$3,'計算A'!$A$4=0))),0,IF(23=$K4,200000,ABS(23-$K4)*100)),100000+ABS(3-$J4)*1000+230)+'計算A'!BV$5*50+IF(AND($E4=1,LI4=0),25,0),IF($F4&gt;0,INDEX('計算A'!BV$110:BV$114,$F4+1)+IF(AND($E4=1,LI4=0),1000,0),MIN(TW4,20)*400+(IF('計算A'!BU$106=1,1-FS4,0)+IF('計算A'!BV$106=1,1-FU4,0))*150+233+'計算A'!BV$5*100000+IF(AND($E4=1,LI4=0),50000,0))+IF($H4=1,(IF('計算A'!BU$117=1,INDEX('計算A'!BU$10:BU$54,$B4),0)+IF('計算A'!BV$117=1,INDEX('計算A'!BW$10:BW$54,$B4),0))*4000,0)-IF(AND('計算A'!BU$117=1,WS4&gt;0),2000,0)-IF(AND($L4=1,'計算A'!BV$117=1,FU4=0),2000,0))),1000000))</f>
        <v/>
      </c>
      <c r="QY4">
        <f>IF($B4=0,1000000,IF(INDEX('計算A'!$D$60:$EQ$104,$B4,72)*FU4=1,IF(AND($E4=2,LJ4=0),1000000,IF($I4&gt;0,IF(3=$J4,IF(OR(AND(72=$I4+1,OR($K4&lt;&gt;'計算A'!$A$3,'計算A'!$A$4=0)),AND(72=$I4-1,OR(24&lt;&gt;'計算A'!$A$3,'計算A'!$A$4=0))),0,IF(24=$K4,200000,ABS(24-$K4)*100)),100000+ABS(3-$J4)*1000+240)+'計算A'!BW$5*50+IF(AND($E4=1,LJ4=0),25,0),IF($F4&gt;0,INDEX('計算A'!BW$110:BW$114,$F4+1)+IF(AND($E4=1,LJ4=0),1000,0),MIN(TW4,20)*400+(IF('計算A'!BV$106=1,1-FT4,0))*150+243+'計算A'!BW$5*100000+IF(AND($E4=1,LJ4=0),50000,0))+IF($H4=1,(IF('計算A'!BV$117=1,INDEX('計算A'!BV$10:BV$54,$B4),0))*4000,0)-IF(AND('計算A'!BV$117=1,WT4&gt;0),2000,0))),1000000))</f>
        <v/>
      </c>
      <c r="QZ4">
        <f>IF($B4=0,1000000,IF(INDEX('計算A'!$D$60:$EQ$104,$B4,73)*FV4=1,IF(AND($E4=2,LK4=0),1000000,IF($I4&gt;0,IF(4=$J4,IF(OR(AND(73=$I4+1,OR($K4&lt;&gt;'計算A'!$A$3,'計算A'!$A$4=0)),AND(73=$I4-1,OR(1&lt;&gt;'計算A'!$A$3,'計算A'!$A$4=0))),0,IF(1=$K4,200000,ABS(1-$K4)*100)),100000+ABS(4-$J4)*1000+10)+'計算A'!BX$5*50+IF(AND($E4=1,LK4=0),25,0),IF($F4&gt;0,INDEX('計算A'!BX$110:BX$114,$F4+1)+IF(AND($E4=1,LK4=0),1000,0),MIN(TX4,20)*400+(IF('計算A'!BX$106=1,1-FW4,0))*150+14+'計算A'!BX$5*100000+IF(AND($E4=1,LK4=0),50000,0))+IF($H4=1,(IF('計算A'!BX$117=1,INDEX('計算A'!BY$10:BY$54,$B4),0))*4000,0)-IF(AND($L4=1,'計算A'!BX$117=1,FW4=0),2000,0))),1000000))</f>
        <v/>
      </c>
      <c r="RA4">
        <f>IF($B4=0,1000000,IF(INDEX('計算A'!$D$60:$EQ$104,$B4,74)*FW4=1,IF(AND($E4=2,LL4=0),1000000,IF($I4&gt;0,IF(4=$J4,IF(OR(AND(74=$I4+1,OR($K4&lt;&gt;'計算A'!$A$3,'計算A'!$A$4=0)),AND(74=$I4-1,OR(2&lt;&gt;'計算A'!$A$3,'計算A'!$A$4=0))),0,IF(2=$K4,200000,ABS(2-$K4)*100)),100000+ABS(4-$J4)*1000+20)+'計算A'!BY$5*50+IF(AND($E4=1,LL4=0),25,0),IF($F4&gt;0,INDEX('計算A'!BY$110:BY$114,$F4+1)+IF(AND($E4=1,LL4=0),1000,0),MIN(TX4,20)*400+(IF('計算A'!BX$106=1,1-FV4,0)+IF('計算A'!BY$106=1,1-FX4,0))*150+24+'計算A'!BY$5*100000+IF(AND($E4=1,LL4=0),50000,0))+IF($H4=1,(IF('計算A'!BX$117=1,INDEX('計算A'!BX$10:BX$54,$B4),0)+IF('計算A'!BY$117=1,INDEX('計算A'!BZ$10:BZ$54,$B4),0))*4000,0)-IF(AND('計算A'!BX$117=1,WV4&gt;0),2000,0)-IF(AND($L4=1,'計算A'!BY$117=1,FX4=0),2000,0))),1000000))</f>
        <v/>
      </c>
      <c r="RB4">
        <f>IF($B4=0,1000000,IF(INDEX('計算A'!$D$60:$EQ$104,$B4,75)*FX4=1,IF(AND($E4=2,LM4=0),1000000,IF($I4&gt;0,IF(4=$J4,IF(OR(AND(75=$I4+1,OR($K4&lt;&gt;'計算A'!$A$3,'計算A'!$A$4=0)),AND(75=$I4-1,OR(3&lt;&gt;'計算A'!$A$3,'計算A'!$A$4=0))),0,IF(3=$K4,200000,ABS(3-$K4)*100)),100000+ABS(4-$J4)*1000+30)+'計算A'!BZ$5*50+IF(AND($E4=1,LM4=0),25,0),IF($F4&gt;0,INDEX('計算A'!BZ$110:BZ$114,$F4+1)+IF(AND($E4=1,LM4=0),1000,0),MIN(TX4,20)*400+(IF('計算A'!BY$106=1,1-FW4,0)+IF('計算A'!BZ$106=1,1-FY4,0))*150+34+'計算A'!BZ$5*100000+IF(AND($E4=1,LM4=0),50000,0))+IF($H4=1,(IF('計算A'!BY$117=1,INDEX('計算A'!BY$10:BY$54,$B4),0)+IF('計算A'!BZ$117=1,INDEX('計算A'!CA$10:CA$54,$B4),0))*4000,0)-IF(AND('計算A'!BY$117=1,WW4&gt;0),2000,0)-IF(AND($L4=1,'計算A'!BZ$117=1,FY4=0),2000,0))),1000000))</f>
        <v/>
      </c>
      <c r="RC4">
        <f>IF($B4=0,1000000,IF(INDEX('計算A'!$D$60:$EQ$104,$B4,76)*FY4=1,IF(AND($E4=2,LN4=0),1000000,IF($I4&gt;0,IF(4=$J4,IF(OR(AND(76=$I4+1,OR($K4&lt;&gt;'計算A'!$A$3,'計算A'!$A$4=0)),AND(76=$I4-1,OR(4&lt;&gt;'計算A'!$A$3,'計算A'!$A$4=0))),0,IF(4=$K4,200000,ABS(4-$K4)*100)),100000+ABS(4-$J4)*1000+40)+'計算A'!CA$5*50+IF(AND($E4=1,LN4=0),25,0),IF($F4&gt;0,INDEX('計算A'!CA$110:CA$114,$F4+1)+IF(AND($E4=1,LN4=0),1000,0),MIN(TX4,20)*400+(IF('計算A'!BZ$106=1,1-FX4,0)+IF('計算A'!CA$106=1,1-FZ4,0))*150+44+'計算A'!CA$5*100000+IF(AND($E4=1,LN4=0),50000,0))+IF($H4=1,(IF('計算A'!BZ$117=1,INDEX('計算A'!BZ$10:BZ$54,$B4),0)+IF('計算A'!CA$117=1,INDEX('計算A'!CB$10:CB$54,$B4),0))*4000,0)-IF(AND('計算A'!BZ$117=1,WX4&gt;0),2000,0)-IF(AND($L4=1,'計算A'!CA$117=1,FZ4=0),2000,0))),1000000))</f>
        <v/>
      </c>
      <c r="RD4">
        <f>IF($B4=0,1000000,IF(INDEX('計算A'!$D$60:$EQ$104,$B4,77)*FZ4=1,IF(AND($E4=2,LO4=0),1000000,IF($I4&gt;0,IF(4=$J4,IF(OR(AND(77=$I4+1,OR($K4&lt;&gt;'計算A'!$A$3,'計算A'!$A$4=0)),AND(77=$I4-1,OR(5&lt;&gt;'計算A'!$A$3,'計算A'!$A$4=0))),0,IF(5=$K4,200000,ABS(5-$K4)*100)),100000+ABS(4-$J4)*1000+50)+'計算A'!CB$5*50+IF(AND($E4=1,LO4=0),25,0),IF($F4&gt;0,INDEX('計算A'!CB$110:CB$114,$F4+1)+IF(AND($E4=1,LO4=0),1000,0),MIN(TX4,20)*400+(IF('計算A'!CA$106=1,1-FY4,0)+IF('計算A'!CB$106=1,1-GA4,0))*150+54+'計算A'!CB$5*100000+IF(AND($E4=1,LO4=0),50000,0))+IF($H4=1,(IF('計算A'!CA$117=1,INDEX('計算A'!CA$10:CA$54,$B4),0)+IF('計算A'!CB$117=1,INDEX('計算A'!CC$10:CC$54,$B4),0))*4000,0)-IF(AND('計算A'!CA$117=1,WY4&gt;0),2000,0)-IF(AND($L4=1,'計算A'!CB$117=1,GA4=0),2000,0))),1000000))</f>
        <v/>
      </c>
      <c r="RE4">
        <f>IF($B4=0,1000000,IF(INDEX('計算A'!$D$60:$EQ$104,$B4,78)*GA4=1,IF(AND($E4=2,LP4=0),1000000,IF($I4&gt;0,IF(4=$J4,IF(OR(AND(78=$I4+1,OR($K4&lt;&gt;'計算A'!$A$3,'計算A'!$A$4=0)),AND(78=$I4-1,OR(6&lt;&gt;'計算A'!$A$3,'計算A'!$A$4=0))),0,IF(6=$K4,200000,ABS(6-$K4)*100)),100000+ABS(4-$J4)*1000+60)+'計算A'!CC$5*50+IF(AND($E4=1,LP4=0),25,0),IF($F4&gt;0,INDEX('計算A'!CC$110:CC$114,$F4+1)+IF(AND($E4=1,LP4=0),1000,0),MIN(TX4,20)*400+(IF('計算A'!CB$106=1,1-FZ4,0)+IF('計算A'!CC$106=1,1-GB4,0))*150+64+'計算A'!CC$5*100000+IF(AND($E4=1,LP4=0),50000,0))+IF($H4=1,(IF('計算A'!CB$117=1,INDEX('計算A'!CB$10:CB$54,$B4),0)+IF('計算A'!CC$117=1,INDEX('計算A'!CD$10:CD$54,$B4),0))*4000,0)-IF(AND('計算A'!CB$117=1,WZ4&gt;0),2000,0)-IF(AND($L4=1,'計算A'!CC$117=1,GB4=0),2000,0))),1000000))</f>
        <v/>
      </c>
      <c r="RF4">
        <f>IF($B4=0,1000000,IF(INDEX('計算A'!$D$60:$EQ$104,$B4,79)*GB4=1,IF(AND($E4=2,LQ4=0),1000000,IF($I4&gt;0,IF(4=$J4,IF(OR(AND(79=$I4+1,OR($K4&lt;&gt;'計算A'!$A$3,'計算A'!$A$4=0)),AND(79=$I4-1,OR(7&lt;&gt;'計算A'!$A$3,'計算A'!$A$4=0))),0,IF(7=$K4,200000,ABS(7-$K4)*100)),100000+ABS(4-$J4)*1000+70)+'計算A'!CD$5*50+IF(AND($E4=1,LQ4=0),25,0),IF($F4&gt;0,INDEX('計算A'!CD$110:CD$114,$F4+1)+IF(AND($E4=1,LQ4=0),1000,0),MIN(TX4,20)*400+(IF('計算A'!CC$106=1,1-GA4,0)+IF('計算A'!CD$106=1,1-GC4,0))*150+74+'計算A'!CD$5*100000+IF(AND($E4=1,LQ4=0),50000,0))+IF($H4=1,(IF('計算A'!CC$117=1,INDEX('計算A'!CC$10:CC$54,$B4),0)+IF('計算A'!CD$117=1,INDEX('計算A'!CE$10:CE$54,$B4),0))*4000,0)-IF(AND('計算A'!CC$117=1,XA4&gt;0),2000,0)-IF(AND($L4=1,'計算A'!CD$117=1,GC4=0),2000,0))),1000000))</f>
        <v/>
      </c>
      <c r="RG4">
        <f>IF($B4=0,1000000,IF(INDEX('計算A'!$D$60:$EQ$104,$B4,80)*GC4=1,IF(AND($E4=2,LR4=0),1000000,IF($I4&gt;0,IF(4=$J4,IF(OR(AND(80=$I4+1,OR($K4&lt;&gt;'計算A'!$A$3,'計算A'!$A$4=0)),AND(80=$I4-1,OR(8&lt;&gt;'計算A'!$A$3,'計算A'!$A$4=0))),0,IF(8=$K4,200000,ABS(8-$K4)*100)),100000+ABS(4-$J4)*1000+80)+'計算A'!CE$5*50+IF(AND($E4=1,LR4=0),25,0),IF($F4&gt;0,INDEX('計算A'!CE$110:CE$114,$F4+1)+IF(AND($E4=1,LR4=0),1000,0),MIN(TX4,20)*400+(IF('計算A'!CD$106=1,1-GB4,0)+IF('計算A'!CE$106=1,1-GD4,0))*150+84+'計算A'!CE$5*100000+IF(AND($E4=1,LR4=0),50000,0))+IF($H4=1,(IF('計算A'!CD$117=1,INDEX('計算A'!CD$10:CD$54,$B4),0)+IF('計算A'!CE$117=1,INDEX('計算A'!CF$10:CF$54,$B4),0))*4000,0)-IF(AND('計算A'!CD$117=1,XB4&gt;0),2000,0)-IF(AND($L4=1,'計算A'!CE$117=1,GD4=0),2000,0))),1000000))</f>
        <v/>
      </c>
      <c r="RH4">
        <f>IF($B4=0,1000000,IF(INDEX('計算A'!$D$60:$EQ$104,$B4,81)*GD4=1,IF(AND($E4=2,LS4=0),1000000,IF($I4&gt;0,IF(4=$J4,IF(OR(AND(81=$I4+1,OR($K4&lt;&gt;'計算A'!$A$3,'計算A'!$A$4=0)),AND(81=$I4-1,OR(9&lt;&gt;'計算A'!$A$3,'計算A'!$A$4=0))),0,IF(9=$K4,200000,ABS(9-$K4)*100)),100000+ABS(4-$J4)*1000+90)+'計算A'!CF$5*50+IF(AND($E4=1,LS4=0),25,0),IF($F4&gt;0,INDEX('計算A'!CF$110:CF$114,$F4+1)+IF(AND($E4=1,LS4=0),1000,0),MIN(TX4,20)*400+(IF('計算A'!CE$106=1,1-GC4,0)+IF('計算A'!CF$106=1,1-GE4,0))*150+94+'計算A'!CF$5*100000+IF(AND($E4=1,LS4=0),50000,0))+IF($H4=1,(IF('計算A'!CE$117=1,INDEX('計算A'!CE$10:CE$54,$B4),0)+IF('計算A'!CF$117=1,INDEX('計算A'!CG$10:CG$54,$B4),0))*4000,0)-IF(AND('計算A'!CE$117=1,XC4&gt;0),2000,0)-IF(AND($L4=1,'計算A'!CF$117=1,GE4=0),2000,0))),1000000))</f>
        <v/>
      </c>
      <c r="RI4">
        <f>IF($B4=0,1000000,IF(INDEX('計算A'!$D$60:$EQ$104,$B4,82)*GE4=1,IF(AND($E4=2,LT4=0),1000000,IF($I4&gt;0,IF(4=$J4,IF(OR(AND(82=$I4+1,OR($K4&lt;&gt;'計算A'!$A$3,'計算A'!$A$4=0)),AND(82=$I4-1,OR(10&lt;&gt;'計算A'!$A$3,'計算A'!$A$4=0))),0,IF(10=$K4,200000,ABS(10-$K4)*100)),100000+ABS(4-$J4)*1000+100)+'計算A'!CG$5*50+IF(AND($E4=1,LT4=0),25,0),IF($F4&gt;0,INDEX('計算A'!CG$110:CG$114,$F4+1)+IF(AND($E4=1,LT4=0),1000,0),MIN(TX4,20)*400+(IF('計算A'!CF$106=1,1-GD4,0)+IF('計算A'!CG$106=1,1-GF4,0))*150+104+'計算A'!CG$5*100000+IF(AND($E4=1,LT4=0),50000,0))+IF($H4=1,(IF('計算A'!CF$117=1,INDEX('計算A'!CF$10:CF$54,$B4),0)+IF('計算A'!CG$117=1,INDEX('計算A'!CH$10:CH$54,$B4),0))*4000,0)-IF(AND('計算A'!CF$117=1,XD4&gt;0),2000,0)-IF(AND($L4=1,'計算A'!CG$117=1,GF4=0),2000,0))),1000000))</f>
        <v/>
      </c>
      <c r="RJ4">
        <f>IF($B4=0,1000000,IF(INDEX('計算A'!$D$60:$EQ$104,$B4,83)*GF4=1,IF(AND($E4=2,LU4=0),1000000,IF($I4&gt;0,IF(4=$J4,IF(OR(AND(83=$I4+1,OR($K4&lt;&gt;'計算A'!$A$3,'計算A'!$A$4=0)),AND(83=$I4-1,OR(11&lt;&gt;'計算A'!$A$3,'計算A'!$A$4=0))),0,IF(11=$K4,200000,ABS(11-$K4)*100)),100000+ABS(4-$J4)*1000+110)+'計算A'!CH$5*50+IF(AND($E4=1,LU4=0),25,0),IF($F4&gt;0,INDEX('計算A'!CH$110:CH$114,$F4+1)+IF(AND($E4=1,LU4=0),1000,0),MIN(TX4,20)*400+(IF('計算A'!CG$106=1,1-GE4,0)+IF('計算A'!CH$106=1,1-GG4,0))*150+114+'計算A'!CH$5*100000+IF(AND($E4=1,LU4=0),50000,0))+IF($H4=1,(IF('計算A'!CG$117=1,INDEX('計算A'!CG$10:CG$54,$B4),0)+IF('計算A'!CH$117=1,INDEX('計算A'!CI$10:CI$54,$B4),0))*4000,0)-IF(AND('計算A'!CG$117=1,XE4&gt;0),2000,0)-IF(AND($L4=1,'計算A'!CH$117=1,GG4=0),2000,0))),1000000))</f>
        <v/>
      </c>
      <c r="RK4">
        <f>IF($B4=0,1000000,IF(INDEX('計算A'!$D$60:$EQ$104,$B4,84)*GG4=1,IF(AND($E4=2,LV4=0),1000000,IF($I4&gt;0,IF(4=$J4,IF(OR(AND(84=$I4+1,OR($K4&lt;&gt;'計算A'!$A$3,'計算A'!$A$4=0)),AND(84=$I4-1,OR(12&lt;&gt;'計算A'!$A$3,'計算A'!$A$4=0))),0,IF(12=$K4,200000,ABS(12-$K4)*100)),100000+ABS(4-$J4)*1000+120)+'計算A'!CI$5*50+IF(AND($E4=1,LV4=0),25,0),IF($F4&gt;0,INDEX('計算A'!CI$110:CI$114,$F4+1)+IF(AND($E4=1,LV4=0),1000,0),MIN(TX4,20)*400+(IF('計算A'!CH$106=1,1-GF4,0)+IF('計算A'!CI$106=1,1-GH4,0))*150+124+'計算A'!CI$5*100000+IF(AND($E4=1,LV4=0),50000,0))+IF($H4=1,(IF('計算A'!CH$117=1,INDEX('計算A'!CH$10:CH$54,$B4),0)+IF('計算A'!CI$117=1,INDEX('計算A'!CJ$10:CJ$54,$B4),0))*4000,0)-IF(AND('計算A'!CH$117=1,XF4&gt;0),2000,0)-IF(AND($L4=1,'計算A'!CI$117=1,GH4=0),2000,0))),1000000))</f>
        <v/>
      </c>
      <c r="RL4">
        <f>IF($B4=0,1000000,IF(INDEX('計算A'!$D$60:$EQ$104,$B4,85)*GH4=1,IF(AND($E4=2,LW4=0),1000000,IF($I4&gt;0,IF(4=$J4,IF(OR(AND(85=$I4+1,OR($K4&lt;&gt;'計算A'!$A$3,'計算A'!$A$4=0)),AND(85=$I4-1,OR(13&lt;&gt;'計算A'!$A$3,'計算A'!$A$4=0))),0,IF(13=$K4,200000,ABS(13-$K4)*100)),100000+ABS(4-$J4)*1000+130)+'計算A'!CJ$5*50+IF(AND($E4=1,LW4=0),25,0),IF($F4&gt;0,INDEX('計算A'!CJ$110:CJ$114,$F4+1)+IF(AND($E4=1,LW4=0),1000,0),MIN(TX4,20)*400+(IF('計算A'!CI$106=1,1-GG4,0)+IF('計算A'!CJ$106=1,1-GI4,0))*150+134+'計算A'!CJ$5*100000+IF(AND($E4=1,LW4=0),50000,0))+IF($H4=1,(IF('計算A'!CI$117=1,INDEX('計算A'!CI$10:CI$54,$B4),0)+IF('計算A'!CJ$117=1,INDEX('計算A'!CK$10:CK$54,$B4),0))*4000,0)-IF(AND('計算A'!CI$117=1,XG4&gt;0),2000,0)-IF(AND($L4=1,'計算A'!CJ$117=1,GI4=0),2000,0))),1000000))</f>
        <v/>
      </c>
      <c r="RM4">
        <f>IF($B4=0,1000000,IF(INDEX('計算A'!$D$60:$EQ$104,$B4,86)*GI4=1,IF(AND($E4=2,LX4=0),1000000,IF($I4&gt;0,IF(4=$J4,IF(OR(AND(86=$I4+1,OR($K4&lt;&gt;'計算A'!$A$3,'計算A'!$A$4=0)),AND(86=$I4-1,OR(14&lt;&gt;'計算A'!$A$3,'計算A'!$A$4=0))),0,IF(14=$K4,200000,ABS(14-$K4)*100)),100000+ABS(4-$J4)*1000+140)+'計算A'!CK$5*50+IF(AND($E4=1,LX4=0),25,0),IF($F4&gt;0,INDEX('計算A'!CK$110:CK$114,$F4+1)+IF(AND($E4=1,LX4=0),1000,0),MIN(TX4,20)*400+(IF('計算A'!CJ$106=1,1-GH4,0)+IF('計算A'!CK$106=1,1-GJ4,0))*150+144+'計算A'!CK$5*100000+IF(AND($E4=1,LX4=0),50000,0))+IF($H4=1,(IF('計算A'!CJ$117=1,INDEX('計算A'!CJ$10:CJ$54,$B4),0)+IF('計算A'!CK$117=1,INDEX('計算A'!CL$10:CL$54,$B4),0))*4000,0)-IF(AND('計算A'!CJ$117=1,XH4&gt;0),2000,0)-IF(AND($L4=1,'計算A'!CK$117=1,GJ4=0),2000,0))),1000000))</f>
        <v/>
      </c>
      <c r="RN4">
        <f>IF($B4=0,1000000,IF(INDEX('計算A'!$D$60:$EQ$104,$B4,87)*GJ4=1,IF(AND($E4=2,LY4=0),1000000,IF($I4&gt;0,IF(4=$J4,IF(OR(AND(87=$I4+1,OR($K4&lt;&gt;'計算A'!$A$3,'計算A'!$A$4=0)),AND(87=$I4-1,OR(15&lt;&gt;'計算A'!$A$3,'計算A'!$A$4=0))),0,IF(15=$K4,200000,ABS(15-$K4)*100)),100000+ABS(4-$J4)*1000+150)+'計算A'!CL$5*50+IF(AND($E4=1,LY4=0),25,0),IF($F4&gt;0,INDEX('計算A'!CL$110:CL$114,$F4+1)+IF(AND($E4=1,LY4=0),1000,0),MIN(TX4,20)*400+(IF('計算A'!CK$106=1,1-GI4,0)+IF('計算A'!CL$106=1,1-GK4,0))*150+154+'計算A'!CL$5*100000+IF(AND($E4=1,LY4=0),50000,0))+IF($H4=1,(IF('計算A'!CK$117=1,INDEX('計算A'!CK$10:CK$54,$B4),0)+IF('計算A'!CL$117=1,INDEX('計算A'!CM$10:CM$54,$B4),0))*4000,0)-IF(AND('計算A'!CK$117=1,XI4&gt;0),2000,0)-IF(AND($L4=1,'計算A'!CL$117=1,GK4=0),2000,0))),1000000))</f>
        <v/>
      </c>
      <c r="RO4">
        <f>IF($B4=0,1000000,IF(INDEX('計算A'!$D$60:$EQ$104,$B4,88)*GK4=1,IF(AND($E4=2,LZ4=0),1000000,IF($I4&gt;0,IF(4=$J4,IF(OR(AND(88=$I4+1,OR($K4&lt;&gt;'計算A'!$A$3,'計算A'!$A$4=0)),AND(88=$I4-1,OR(16&lt;&gt;'計算A'!$A$3,'計算A'!$A$4=0))),0,IF(16=$K4,200000,ABS(16-$K4)*100)),100000+ABS(4-$J4)*1000+160)+'計算A'!CM$5*50+IF(AND($E4=1,LZ4=0),25,0),IF($F4&gt;0,INDEX('計算A'!CM$110:CM$114,$F4+1)+IF(AND($E4=1,LZ4=0),1000,0),MIN(TX4,20)*400+(IF('計算A'!CL$106=1,1-GJ4,0)+IF('計算A'!CM$106=1,1-GL4,0))*150+164+'計算A'!CM$5*100000+IF(AND($E4=1,LZ4=0),50000,0))+IF($H4=1,(IF('計算A'!CL$117=1,INDEX('計算A'!CL$10:CL$54,$B4),0)+IF('計算A'!CM$117=1,INDEX('計算A'!CN$10:CN$54,$B4),0))*4000,0)-IF(AND('計算A'!CL$117=1,XJ4&gt;0),2000,0)-IF(AND($L4=1,'計算A'!CM$117=1,GL4=0),2000,0))),1000000))</f>
        <v/>
      </c>
      <c r="RP4">
        <f>IF($B4=0,1000000,IF(INDEX('計算A'!$D$60:$EQ$104,$B4,89)*GL4=1,IF(AND($E4=2,MA4=0),1000000,IF($I4&gt;0,IF(4=$J4,IF(OR(AND(89=$I4+1,OR($K4&lt;&gt;'計算A'!$A$3,'計算A'!$A$4=0)),AND(89=$I4-1,OR(17&lt;&gt;'計算A'!$A$3,'計算A'!$A$4=0))),0,IF(17=$K4,200000,ABS(17-$K4)*100)),100000+ABS(4-$J4)*1000+170)+'計算A'!CN$5*50+IF(AND($E4=1,MA4=0),25,0),IF($F4&gt;0,INDEX('計算A'!CN$110:CN$114,$F4+1)+IF(AND($E4=1,MA4=0),1000,0),MIN(TX4,20)*400+(IF('計算A'!CM$106=1,1-GK4,0)+IF('計算A'!CN$106=1,1-GM4,0))*150+174+'計算A'!CN$5*100000+IF(AND($E4=1,MA4=0),50000,0))+IF($H4=1,(IF('計算A'!CM$117=1,INDEX('計算A'!CM$10:CM$54,$B4),0)+IF('計算A'!CN$117=1,INDEX('計算A'!CO$10:CO$54,$B4),0))*4000,0)-IF(AND('計算A'!CM$117=1,XK4&gt;0),2000,0)-IF(AND($L4=1,'計算A'!CN$117=1,GM4=0),2000,0))),1000000))</f>
        <v/>
      </c>
      <c r="RQ4">
        <f>IF($B4=0,1000000,IF(INDEX('計算A'!$D$60:$EQ$104,$B4,90)*GM4=1,IF(AND($E4=2,MB4=0),1000000,IF($I4&gt;0,IF(4=$J4,IF(OR(AND(90=$I4+1,OR($K4&lt;&gt;'計算A'!$A$3,'計算A'!$A$4=0)),AND(90=$I4-1,OR(18&lt;&gt;'計算A'!$A$3,'計算A'!$A$4=0))),0,IF(18=$K4,200000,ABS(18-$K4)*100)),100000+ABS(4-$J4)*1000+180)+'計算A'!CO$5*50+IF(AND($E4=1,MB4=0),25,0),IF($F4&gt;0,INDEX('計算A'!CO$110:CO$114,$F4+1)+IF(AND($E4=1,MB4=0),1000,0),MIN(TX4,20)*400+(IF('計算A'!CN$106=1,1-GL4,0)+IF('計算A'!CO$106=1,1-GN4,0))*150+184+'計算A'!CO$5*100000+IF(AND($E4=1,MB4=0),50000,0))+IF($H4=1,(IF('計算A'!CN$117=1,INDEX('計算A'!CN$10:CN$54,$B4),0)+IF('計算A'!CO$117=1,INDEX('計算A'!CP$10:CP$54,$B4),0))*4000,0)-IF(AND('計算A'!CN$117=1,XL4&gt;0),2000,0)-IF(AND($L4=1,'計算A'!CO$117=1,GN4=0),2000,0))),1000000))</f>
        <v/>
      </c>
      <c r="RR4">
        <f>IF($B4=0,1000000,IF(INDEX('計算A'!$D$60:$EQ$104,$B4,91)*GN4=1,IF(AND($E4=2,MC4=0),1000000,IF($I4&gt;0,IF(4=$J4,IF(OR(AND(91=$I4+1,OR($K4&lt;&gt;'計算A'!$A$3,'計算A'!$A$4=0)),AND(91=$I4-1,OR(19&lt;&gt;'計算A'!$A$3,'計算A'!$A$4=0))),0,IF(19=$K4,200000,ABS(19-$K4)*100)),100000+ABS(4-$J4)*1000+190)+'計算A'!CP$5*50+IF(AND($E4=1,MC4=0),25,0),IF($F4&gt;0,INDEX('計算A'!CP$110:CP$114,$F4+1)+IF(AND($E4=1,MC4=0),1000,0),MIN(TX4,20)*400+(IF('計算A'!CO$106=1,1-GM4,0)+IF('計算A'!CP$106=1,1-GO4,0))*150+194+'計算A'!CP$5*100000+IF(AND($E4=1,MC4=0),50000,0))+IF($H4=1,(IF('計算A'!CO$117=1,INDEX('計算A'!CO$10:CO$54,$B4),0)+IF('計算A'!CP$117=1,INDEX('計算A'!CQ$10:CQ$54,$B4),0))*4000,0)-IF(AND('計算A'!CO$117=1,XM4&gt;0),2000,0)-IF(AND($L4=1,'計算A'!CP$117=1,GO4=0),2000,0))),1000000))</f>
        <v/>
      </c>
      <c r="RS4">
        <f>IF($B4=0,1000000,IF(INDEX('計算A'!$D$60:$EQ$104,$B4,92)*GO4=1,IF(AND($E4=2,MD4=0),1000000,IF($I4&gt;0,IF(4=$J4,IF(OR(AND(92=$I4+1,OR($K4&lt;&gt;'計算A'!$A$3,'計算A'!$A$4=0)),AND(92=$I4-1,OR(20&lt;&gt;'計算A'!$A$3,'計算A'!$A$4=0))),0,IF(20=$K4,200000,ABS(20-$K4)*100)),100000+ABS(4-$J4)*1000+200)+'計算A'!CQ$5*50+IF(AND($E4=1,MD4=0),25,0),IF($F4&gt;0,INDEX('計算A'!CQ$110:CQ$114,$F4+1)+IF(AND($E4=1,MD4=0),1000,0),MIN(TX4,20)*400+(IF('計算A'!CP$106=1,1-GN4,0)+IF('計算A'!CQ$106=1,1-GP4,0))*150+204+'計算A'!CQ$5*100000+IF(AND($E4=1,MD4=0),50000,0))+IF($H4=1,(IF('計算A'!CP$117=1,INDEX('計算A'!CP$10:CP$54,$B4),0)+IF('計算A'!CQ$117=1,INDEX('計算A'!CR$10:CR$54,$B4),0))*4000,0)-IF(AND('計算A'!CP$117=1,XN4&gt;0),2000,0)-IF(AND($L4=1,'計算A'!CQ$117=1,GP4=0),2000,0))),1000000))</f>
        <v/>
      </c>
      <c r="RT4">
        <f>IF($B4=0,1000000,IF(INDEX('計算A'!$D$60:$EQ$104,$B4,93)*GP4=1,IF(AND($E4=2,ME4=0),1000000,IF($I4&gt;0,IF(4=$J4,IF(OR(AND(93=$I4+1,OR($K4&lt;&gt;'計算A'!$A$3,'計算A'!$A$4=0)),AND(93=$I4-1,OR(21&lt;&gt;'計算A'!$A$3,'計算A'!$A$4=0))),0,IF(21=$K4,200000,ABS(21-$K4)*100)),100000+ABS(4-$J4)*1000+210)+'計算A'!CR$5*50+IF(AND($E4=1,ME4=0),25,0),IF($F4&gt;0,INDEX('計算A'!CR$110:CR$114,$F4+1)+IF(AND($E4=1,ME4=0),1000,0),MIN(TX4,20)*400+(IF('計算A'!CQ$106=1,1-GO4,0)+IF('計算A'!CR$106=1,1-GQ4,0))*150+214+'計算A'!CR$5*100000+IF(AND($E4=1,ME4=0),50000,0))+IF($H4=1,(IF('計算A'!CQ$117=1,INDEX('計算A'!CQ$10:CQ$54,$B4),0)+IF('計算A'!CR$117=1,INDEX('計算A'!CS$10:CS$54,$B4),0))*4000,0)-IF(AND('計算A'!CQ$117=1,XO4&gt;0),2000,0)-IF(AND($L4=1,'計算A'!CR$117=1,GQ4=0),2000,0))),1000000))</f>
        <v/>
      </c>
      <c r="RU4">
        <f>IF($B4=0,1000000,IF(INDEX('計算A'!$D$60:$EQ$104,$B4,94)*GQ4=1,IF(AND($E4=2,MF4=0),1000000,IF($I4&gt;0,IF(4=$J4,IF(OR(AND(94=$I4+1,OR($K4&lt;&gt;'計算A'!$A$3,'計算A'!$A$4=0)),AND(94=$I4-1,OR(22&lt;&gt;'計算A'!$A$3,'計算A'!$A$4=0))),0,IF(22=$K4,200000,ABS(22-$K4)*100)),100000+ABS(4-$J4)*1000+220)+'計算A'!CS$5*50+IF(AND($E4=1,MF4=0),25,0),IF($F4&gt;0,INDEX('計算A'!CS$110:CS$114,$F4+1)+IF(AND($E4=1,MF4=0),1000,0),MIN(TX4,20)*400+(IF('計算A'!CR$106=1,1-GP4,0)+IF('計算A'!CS$106=1,1-GR4,0))*150+224+'計算A'!CS$5*100000+IF(AND($E4=1,MF4=0),50000,0))+IF($H4=1,(IF('計算A'!CR$117=1,INDEX('計算A'!CR$10:CR$54,$B4),0)+IF('計算A'!CS$117=1,INDEX('計算A'!CT$10:CT$54,$B4),0))*4000,0)-IF(AND('計算A'!CR$117=1,XP4&gt;0),2000,0)-IF(AND($L4=1,'計算A'!CS$117=1,GR4=0),2000,0))),1000000))</f>
        <v/>
      </c>
      <c r="RV4">
        <f>IF($B4=0,1000000,IF(INDEX('計算A'!$D$60:$EQ$104,$B4,95)*GR4=1,IF(AND($E4=2,MG4=0),1000000,IF($I4&gt;0,IF(4=$J4,IF(OR(AND(95=$I4+1,OR($K4&lt;&gt;'計算A'!$A$3,'計算A'!$A$4=0)),AND(95=$I4-1,OR(23&lt;&gt;'計算A'!$A$3,'計算A'!$A$4=0))),0,IF(23=$K4,200000,ABS(23-$K4)*100)),100000+ABS(4-$J4)*1000+230)+'計算A'!CT$5*50+IF(AND($E4=1,MG4=0),25,0),IF($F4&gt;0,INDEX('計算A'!CT$110:CT$114,$F4+1)+IF(AND($E4=1,MG4=0),1000,0),MIN(TX4,20)*400+(IF('計算A'!CS$106=1,1-GQ4,0)+IF('計算A'!CT$106=1,1-GS4,0))*150+234+'計算A'!CT$5*100000+IF(AND($E4=1,MG4=0),50000,0))+IF($H4=1,(IF('計算A'!CS$117=1,INDEX('計算A'!CS$10:CS$54,$B4),0)+IF('計算A'!CT$117=1,INDEX('計算A'!CU$10:CU$54,$B4),0))*4000,0)-IF(AND('計算A'!CS$117=1,XQ4&gt;0),2000,0)-IF(AND($L4=1,'計算A'!CT$117=1,GS4=0),2000,0))),1000000))</f>
        <v/>
      </c>
      <c r="RW4">
        <f>IF($B4=0,1000000,IF(INDEX('計算A'!$D$60:$EQ$104,$B4,96)*GS4=1,IF(AND($E4=2,MH4=0),1000000,IF($I4&gt;0,IF(4=$J4,IF(OR(AND(96=$I4+1,OR($K4&lt;&gt;'計算A'!$A$3,'計算A'!$A$4=0)),AND(96=$I4-1,OR(24&lt;&gt;'計算A'!$A$3,'計算A'!$A$4=0))),0,IF(24=$K4,200000,ABS(24-$K4)*100)),100000+ABS(4-$J4)*1000+240)+'計算A'!CU$5*50+IF(AND($E4=1,MH4=0),25,0),IF($F4&gt;0,INDEX('計算A'!CU$110:CU$114,$F4+1)+IF(AND($E4=1,MH4=0),1000,0),MIN(TX4,20)*400+(IF('計算A'!CT$106=1,1-GR4,0))*150+244+'計算A'!CU$5*100000+IF(AND($E4=1,MH4=0),50000,0))+IF($H4=1,(IF('計算A'!CT$117=1,INDEX('計算A'!CT$10:CT$54,$B4),0))*4000,0)-IF(AND('計算A'!CT$117=1,XR4&gt;0),2000,0))),1000000))</f>
        <v/>
      </c>
      <c r="RX4">
        <f>IF($B4=0,1000000,IF(INDEX('計算A'!$D$60:$EQ$104,$B4,97)*GT4=1,IF(AND($E4=2,MI4=0),1000000,IF($I4&gt;0,IF(5=$J4,IF(OR(AND(97=$I4+1,OR($K4&lt;&gt;'計算A'!$A$3,'計算A'!$A$4=0)),AND(97=$I4-1,OR(1&lt;&gt;'計算A'!$A$3,'計算A'!$A$4=0))),0,IF(1=$K4,200000,ABS(1-$K4)*100)),100000+ABS(5-$J4)*1000+10)+'計算A'!CV$5*50+IF(AND($E4=1,MI4=0),25,0),IF($F4&gt;0,INDEX('計算A'!CV$110:CV$114,$F4+1)+IF(AND($E4=1,MI4=0),1000,0),MIN(TY4,20)*400+(IF('計算A'!CV$106=1,1-GU4,0))*150+15+'計算A'!CV$5*100000+IF(AND($E4=1,MI4=0),50000,0))+IF($H4=1,(IF('計算A'!CV$117=1,INDEX('計算A'!CW$10:CW$54,$B4),0))*4000,0)-IF(AND($L4=1,'計算A'!CV$117=1,GU4=0),2000,0))),1000000))</f>
        <v/>
      </c>
      <c r="RY4">
        <f>IF($B4=0,1000000,IF(INDEX('計算A'!$D$60:$EQ$104,$B4,98)*GU4=1,IF(AND($E4=2,MJ4=0),1000000,IF($I4&gt;0,IF(5=$J4,IF(OR(AND(98=$I4+1,OR($K4&lt;&gt;'計算A'!$A$3,'計算A'!$A$4=0)),AND(98=$I4-1,OR(2&lt;&gt;'計算A'!$A$3,'計算A'!$A$4=0))),0,IF(2=$K4,200000,ABS(2-$K4)*100)),100000+ABS(5-$J4)*1000+20)+'計算A'!CW$5*50+IF(AND($E4=1,MJ4=0),25,0),IF($F4&gt;0,INDEX('計算A'!CW$110:CW$114,$F4+1)+IF(AND($E4=1,MJ4=0),1000,0),MIN(TY4,20)*400+(IF('計算A'!CV$106=1,1-GT4,0)+IF('計算A'!CW$106=1,1-GV4,0))*150+25+'計算A'!CW$5*100000+IF(AND($E4=1,MJ4=0),50000,0))+IF($H4=1,(IF('計算A'!CV$117=1,INDEX('計算A'!CV$10:CV$54,$B4),0)+IF('計算A'!CW$117=1,INDEX('計算A'!CX$10:CX$54,$B4),0))*4000,0)-IF(AND('計算A'!CV$117=1,XT4&gt;0),2000,0)-IF(AND($L4=1,'計算A'!CW$117=1,GV4=0),2000,0))),1000000))</f>
        <v/>
      </c>
      <c r="RZ4">
        <f>IF($B4=0,1000000,IF(INDEX('計算A'!$D$60:$EQ$104,$B4,99)*GV4=1,IF(AND($E4=2,MK4=0),1000000,IF($I4&gt;0,IF(5=$J4,IF(OR(AND(99=$I4+1,OR($K4&lt;&gt;'計算A'!$A$3,'計算A'!$A$4=0)),AND(99=$I4-1,OR(3&lt;&gt;'計算A'!$A$3,'計算A'!$A$4=0))),0,IF(3=$K4,200000,ABS(3-$K4)*100)),100000+ABS(5-$J4)*1000+30)+'計算A'!CX$5*50+IF(AND($E4=1,MK4=0),25,0),IF($F4&gt;0,INDEX('計算A'!CX$110:CX$114,$F4+1)+IF(AND($E4=1,MK4=0),1000,0),MIN(TY4,20)*400+(IF('計算A'!CW$106=1,1-GU4,0)+IF('計算A'!CX$106=1,1-GW4,0))*150+35+'計算A'!CX$5*100000+IF(AND($E4=1,MK4=0),50000,0))+IF($H4=1,(IF('計算A'!CW$117=1,INDEX('計算A'!CW$10:CW$54,$B4),0)+IF('計算A'!CX$117=1,INDEX('計算A'!CY$10:CY$54,$B4),0))*4000,0)-IF(AND('計算A'!CW$117=1,XU4&gt;0),2000,0)-IF(AND($L4=1,'計算A'!CX$117=1,GW4=0),2000,0))),1000000))</f>
        <v/>
      </c>
      <c r="SA4">
        <f>IF($B4=0,1000000,IF(INDEX('計算A'!$D$60:$EQ$104,$B4,100)*GW4=1,IF(AND($E4=2,ML4=0),1000000,IF($I4&gt;0,IF(5=$J4,IF(OR(AND(100=$I4+1,OR($K4&lt;&gt;'計算A'!$A$3,'計算A'!$A$4=0)),AND(100=$I4-1,OR(4&lt;&gt;'計算A'!$A$3,'計算A'!$A$4=0))),0,IF(4=$K4,200000,ABS(4-$K4)*100)),100000+ABS(5-$J4)*1000+40)+'計算A'!CY$5*50+IF(AND($E4=1,ML4=0),25,0),IF($F4&gt;0,INDEX('計算A'!CY$110:CY$114,$F4+1)+IF(AND($E4=1,ML4=0),1000,0),MIN(TY4,20)*400+(IF('計算A'!CX$106=1,1-GV4,0)+IF('計算A'!CY$106=1,1-GX4,0))*150+45+'計算A'!CY$5*100000+IF(AND($E4=1,ML4=0),50000,0))+IF($H4=1,(IF('計算A'!CX$117=1,INDEX('計算A'!CX$10:CX$54,$B4),0)+IF('計算A'!CY$117=1,INDEX('計算A'!CZ$10:CZ$54,$B4),0))*4000,0)-IF(AND('計算A'!CX$117=1,XV4&gt;0),2000,0)-IF(AND($L4=1,'計算A'!CY$117=1,GX4=0),2000,0))),1000000))</f>
        <v/>
      </c>
      <c r="SB4">
        <f>IF($B4=0,1000000,IF(INDEX('計算A'!$D$60:$EQ$104,$B4,101)*GX4=1,IF(AND($E4=2,MM4=0),1000000,IF($I4&gt;0,IF(5=$J4,IF(OR(AND(101=$I4+1,OR($K4&lt;&gt;'計算A'!$A$3,'計算A'!$A$4=0)),AND(101=$I4-1,OR(5&lt;&gt;'計算A'!$A$3,'計算A'!$A$4=0))),0,IF(5=$K4,200000,ABS(5-$K4)*100)),100000+ABS(5-$J4)*1000+50)+'計算A'!CZ$5*50+IF(AND($E4=1,MM4=0),25,0),IF($F4&gt;0,INDEX('計算A'!CZ$110:CZ$114,$F4+1)+IF(AND($E4=1,MM4=0),1000,0),MIN(TY4,20)*400+(IF('計算A'!CY$106=1,1-GW4,0)+IF('計算A'!CZ$106=1,1-GY4,0))*150+55+'計算A'!CZ$5*100000+IF(AND($E4=1,MM4=0),50000,0))+IF($H4=1,(IF('計算A'!CY$117=1,INDEX('計算A'!CY$10:CY$54,$B4),0)+IF('計算A'!CZ$117=1,INDEX('計算A'!DA$10:DA$54,$B4),0))*4000,0)-IF(AND('計算A'!CY$117=1,XW4&gt;0),2000,0)-IF(AND($L4=1,'計算A'!CZ$117=1,GY4=0),2000,0))),1000000))</f>
        <v/>
      </c>
      <c r="SC4">
        <f>IF($B4=0,1000000,IF(INDEX('計算A'!$D$60:$EQ$104,$B4,102)*GY4=1,IF(AND($E4=2,MN4=0),1000000,IF($I4&gt;0,IF(5=$J4,IF(OR(AND(102=$I4+1,OR($K4&lt;&gt;'計算A'!$A$3,'計算A'!$A$4=0)),AND(102=$I4-1,OR(6&lt;&gt;'計算A'!$A$3,'計算A'!$A$4=0))),0,IF(6=$K4,200000,ABS(6-$K4)*100)),100000+ABS(5-$J4)*1000+60)+'計算A'!DA$5*50+IF(AND($E4=1,MN4=0),25,0),IF($F4&gt;0,INDEX('計算A'!DA$110:DA$114,$F4+1)+IF(AND($E4=1,MN4=0),1000,0),MIN(TY4,20)*400+(IF('計算A'!CZ$106=1,1-GX4,0)+IF('計算A'!DA$106=1,1-GZ4,0))*150+65+'計算A'!DA$5*100000+IF(AND($E4=1,MN4=0),50000,0))+IF($H4=1,(IF('計算A'!CZ$117=1,INDEX('計算A'!CZ$10:CZ$54,$B4),0)+IF('計算A'!DA$117=1,INDEX('計算A'!DB$10:DB$54,$B4),0))*4000,0)-IF(AND('計算A'!CZ$117=1,XX4&gt;0),2000,0)-IF(AND($L4=1,'計算A'!DA$117=1,GZ4=0),2000,0))),1000000))</f>
        <v/>
      </c>
      <c r="SD4">
        <f>IF($B4=0,1000000,IF(INDEX('計算A'!$D$60:$EQ$104,$B4,103)*GZ4=1,IF(AND($E4=2,MO4=0),1000000,IF($I4&gt;0,IF(5=$J4,IF(OR(AND(103=$I4+1,OR($K4&lt;&gt;'計算A'!$A$3,'計算A'!$A$4=0)),AND(103=$I4-1,OR(7&lt;&gt;'計算A'!$A$3,'計算A'!$A$4=0))),0,IF(7=$K4,200000,ABS(7-$K4)*100)),100000+ABS(5-$J4)*1000+70)+'計算A'!DB$5*50+IF(AND($E4=1,MO4=0),25,0),IF($F4&gt;0,INDEX('計算A'!DB$110:DB$114,$F4+1)+IF(AND($E4=1,MO4=0),1000,0),MIN(TY4,20)*400+(IF('計算A'!DA$106=1,1-GY4,0)+IF('計算A'!DB$106=1,1-HA4,0))*150+75+'計算A'!DB$5*100000+IF(AND($E4=1,MO4=0),50000,0))+IF($H4=1,(IF('計算A'!DA$117=1,INDEX('計算A'!DA$10:DA$54,$B4),0)+IF('計算A'!DB$117=1,INDEX('計算A'!DC$10:DC$54,$B4),0))*4000,0)-IF(AND('計算A'!DA$117=1,XY4&gt;0),2000,0)-IF(AND($L4=1,'計算A'!DB$117=1,HA4=0),2000,0))),1000000))</f>
        <v/>
      </c>
      <c r="SE4">
        <f>IF($B4=0,1000000,IF(INDEX('計算A'!$D$60:$EQ$104,$B4,104)*HA4=1,IF(AND($E4=2,MP4=0),1000000,IF($I4&gt;0,IF(5=$J4,IF(OR(AND(104=$I4+1,OR($K4&lt;&gt;'計算A'!$A$3,'計算A'!$A$4=0)),AND(104=$I4-1,OR(8&lt;&gt;'計算A'!$A$3,'計算A'!$A$4=0))),0,IF(8=$K4,200000,ABS(8-$K4)*100)),100000+ABS(5-$J4)*1000+80)+'計算A'!DC$5*50+IF(AND($E4=1,MP4=0),25,0),IF($F4&gt;0,INDEX('計算A'!DC$110:DC$114,$F4+1)+IF(AND($E4=1,MP4=0),1000,0),MIN(TY4,20)*400+(IF('計算A'!DB$106=1,1-GZ4,0)+IF('計算A'!DC$106=1,1-HB4,0))*150+85+'計算A'!DC$5*100000+IF(AND($E4=1,MP4=0),50000,0))+IF($H4=1,(IF('計算A'!DB$117=1,INDEX('計算A'!DB$10:DB$54,$B4),0)+IF('計算A'!DC$117=1,INDEX('計算A'!DD$10:DD$54,$B4),0))*4000,0)-IF(AND('計算A'!DB$117=1,XZ4&gt;0),2000,0)-IF(AND($L4=1,'計算A'!DC$117=1,HB4=0),2000,0))),1000000))</f>
        <v/>
      </c>
      <c r="SF4">
        <f>IF($B4=0,1000000,IF(INDEX('計算A'!$D$60:$EQ$104,$B4,105)*HB4=1,IF(AND($E4=2,MQ4=0),1000000,IF($I4&gt;0,IF(5=$J4,IF(OR(AND(105=$I4+1,OR($K4&lt;&gt;'計算A'!$A$3,'計算A'!$A$4=0)),AND(105=$I4-1,OR(9&lt;&gt;'計算A'!$A$3,'計算A'!$A$4=0))),0,IF(9=$K4,200000,ABS(9-$K4)*100)),100000+ABS(5-$J4)*1000+90)+'計算A'!DD$5*50+IF(AND($E4=1,MQ4=0),25,0),IF($F4&gt;0,INDEX('計算A'!DD$110:DD$114,$F4+1)+IF(AND($E4=1,MQ4=0),1000,0),MIN(TY4,20)*400+(IF('計算A'!DC$106=1,1-HA4,0)+IF('計算A'!DD$106=1,1-HC4,0))*150+95+'計算A'!DD$5*100000+IF(AND($E4=1,MQ4=0),50000,0))+IF($H4=1,(IF('計算A'!DC$117=1,INDEX('計算A'!DC$10:DC$54,$B4),0)+IF('計算A'!DD$117=1,INDEX('計算A'!DE$10:DE$54,$B4),0))*4000,0)-IF(AND('計算A'!DC$117=1,YA4&gt;0),2000,0)-IF(AND($L4=1,'計算A'!DD$117=1,HC4=0),2000,0))),1000000))</f>
        <v/>
      </c>
      <c r="SG4">
        <f>IF($B4=0,1000000,IF(INDEX('計算A'!$D$60:$EQ$104,$B4,106)*HC4=1,IF(AND($E4=2,MR4=0),1000000,IF($I4&gt;0,IF(5=$J4,IF(OR(AND(106=$I4+1,OR($K4&lt;&gt;'計算A'!$A$3,'計算A'!$A$4=0)),AND(106=$I4-1,OR(10&lt;&gt;'計算A'!$A$3,'計算A'!$A$4=0))),0,IF(10=$K4,200000,ABS(10-$K4)*100)),100000+ABS(5-$J4)*1000+100)+'計算A'!DE$5*50+IF(AND($E4=1,MR4=0),25,0),IF($F4&gt;0,INDEX('計算A'!DE$110:DE$114,$F4+1)+IF(AND($E4=1,MR4=0),1000,0),MIN(TY4,20)*400+(IF('計算A'!DD$106=1,1-HB4,0)+IF('計算A'!DE$106=1,1-HD4,0))*150+105+'計算A'!DE$5*100000+IF(AND($E4=1,MR4=0),50000,0))+IF($H4=1,(IF('計算A'!DD$117=1,INDEX('計算A'!DD$10:DD$54,$B4),0)+IF('計算A'!DE$117=1,INDEX('計算A'!DF$10:DF$54,$B4),0))*4000,0)-IF(AND('計算A'!DD$117=1,YB4&gt;0),2000,0)-IF(AND($L4=1,'計算A'!DE$117=1,HD4=0),2000,0))),1000000))</f>
        <v/>
      </c>
      <c r="SH4">
        <f>IF($B4=0,1000000,IF(INDEX('計算A'!$D$60:$EQ$104,$B4,107)*HD4=1,IF(AND($E4=2,MS4=0),1000000,IF($I4&gt;0,IF(5=$J4,IF(OR(AND(107=$I4+1,OR($K4&lt;&gt;'計算A'!$A$3,'計算A'!$A$4=0)),AND(107=$I4-1,OR(11&lt;&gt;'計算A'!$A$3,'計算A'!$A$4=0))),0,IF(11=$K4,200000,ABS(11-$K4)*100)),100000+ABS(5-$J4)*1000+110)+'計算A'!DF$5*50+IF(AND($E4=1,MS4=0),25,0),IF($F4&gt;0,INDEX('計算A'!DF$110:DF$114,$F4+1)+IF(AND($E4=1,MS4=0),1000,0),MIN(TY4,20)*400+(IF('計算A'!DE$106=1,1-HC4,0)+IF('計算A'!DF$106=1,1-HE4,0))*150+115+'計算A'!DF$5*100000+IF(AND($E4=1,MS4=0),50000,0))+IF($H4=1,(IF('計算A'!DE$117=1,INDEX('計算A'!DE$10:DE$54,$B4),0)+IF('計算A'!DF$117=1,INDEX('計算A'!DG$10:DG$54,$B4),0))*4000,0)-IF(AND('計算A'!DE$117=1,YC4&gt;0),2000,0)-IF(AND($L4=1,'計算A'!DF$117=1,HE4=0),2000,0))),1000000))</f>
        <v/>
      </c>
      <c r="SI4">
        <f>IF($B4=0,1000000,IF(INDEX('計算A'!$D$60:$EQ$104,$B4,108)*HE4=1,IF(AND($E4=2,MT4=0),1000000,IF($I4&gt;0,IF(5=$J4,IF(OR(AND(108=$I4+1,OR($K4&lt;&gt;'計算A'!$A$3,'計算A'!$A$4=0)),AND(108=$I4-1,OR(12&lt;&gt;'計算A'!$A$3,'計算A'!$A$4=0))),0,IF(12=$K4,200000,ABS(12-$K4)*100)),100000+ABS(5-$J4)*1000+120)+'計算A'!DG$5*50+IF(AND($E4=1,MT4=0),25,0),IF($F4&gt;0,INDEX('計算A'!DG$110:DG$114,$F4+1)+IF(AND($E4=1,MT4=0),1000,0),MIN(TY4,20)*400+(IF('計算A'!DF$106=1,1-HD4,0)+IF('計算A'!DG$106=1,1-HF4,0))*150+125+'計算A'!DG$5*100000+IF(AND($E4=1,MT4=0),50000,0))+IF($H4=1,(IF('計算A'!DF$117=1,INDEX('計算A'!DF$10:DF$54,$B4),0)+IF('計算A'!DG$117=1,INDEX('計算A'!DH$10:DH$54,$B4),0))*4000,0)-IF(AND('計算A'!DF$117=1,YD4&gt;0),2000,0)-IF(AND($L4=1,'計算A'!DG$117=1,HF4=0),2000,0))),1000000))</f>
        <v/>
      </c>
      <c r="SJ4">
        <f>IF($B4=0,1000000,IF(INDEX('計算A'!$D$60:$EQ$104,$B4,109)*HF4=1,IF(AND($E4=2,MU4=0),1000000,IF($I4&gt;0,IF(5=$J4,IF(OR(AND(109=$I4+1,OR($K4&lt;&gt;'計算A'!$A$3,'計算A'!$A$4=0)),AND(109=$I4-1,OR(13&lt;&gt;'計算A'!$A$3,'計算A'!$A$4=0))),0,IF(13=$K4,200000,ABS(13-$K4)*100)),100000+ABS(5-$J4)*1000+130)+'計算A'!DH$5*50+IF(AND($E4=1,MU4=0),25,0),IF($F4&gt;0,INDEX('計算A'!DH$110:DH$114,$F4+1)+IF(AND($E4=1,MU4=0),1000,0),MIN(TY4,20)*400+(IF('計算A'!DG$106=1,1-HE4,0)+IF('計算A'!DH$106=1,1-HG4,0))*150+135+'計算A'!DH$5*100000+IF(AND($E4=1,MU4=0),50000,0))+IF($H4=1,(IF('計算A'!DG$117=1,INDEX('計算A'!DG$10:DG$54,$B4),0)+IF('計算A'!DH$117=1,INDEX('計算A'!DI$10:DI$54,$B4),0))*4000,0)-IF(AND('計算A'!DG$117=1,YE4&gt;0),2000,0)-IF(AND($L4=1,'計算A'!DH$117=1,HG4=0),2000,0))),1000000))</f>
        <v/>
      </c>
      <c r="SK4">
        <f>IF($B4=0,1000000,IF(INDEX('計算A'!$D$60:$EQ$104,$B4,110)*HG4=1,IF(AND($E4=2,MV4=0),1000000,IF($I4&gt;0,IF(5=$J4,IF(OR(AND(110=$I4+1,OR($K4&lt;&gt;'計算A'!$A$3,'計算A'!$A$4=0)),AND(110=$I4-1,OR(14&lt;&gt;'計算A'!$A$3,'計算A'!$A$4=0))),0,IF(14=$K4,200000,ABS(14-$K4)*100)),100000+ABS(5-$J4)*1000+140)+'計算A'!DI$5*50+IF(AND($E4=1,MV4=0),25,0),IF($F4&gt;0,INDEX('計算A'!DI$110:DI$114,$F4+1)+IF(AND($E4=1,MV4=0),1000,0),MIN(TY4,20)*400+(IF('計算A'!DH$106=1,1-HF4,0)+IF('計算A'!DI$106=1,1-HH4,0))*150+145+'計算A'!DI$5*100000+IF(AND($E4=1,MV4=0),50000,0))+IF($H4=1,(IF('計算A'!DH$117=1,INDEX('計算A'!DH$10:DH$54,$B4),0)+IF('計算A'!DI$117=1,INDEX('計算A'!DJ$10:DJ$54,$B4),0))*4000,0)-IF(AND('計算A'!DH$117=1,YF4&gt;0),2000,0)-IF(AND($L4=1,'計算A'!DI$117=1,HH4=0),2000,0))),1000000))</f>
        <v/>
      </c>
      <c r="SL4">
        <f>IF($B4=0,1000000,IF(INDEX('計算A'!$D$60:$EQ$104,$B4,111)*HH4=1,IF(AND($E4=2,MW4=0),1000000,IF($I4&gt;0,IF(5=$J4,IF(OR(AND(111=$I4+1,OR($K4&lt;&gt;'計算A'!$A$3,'計算A'!$A$4=0)),AND(111=$I4-1,OR(15&lt;&gt;'計算A'!$A$3,'計算A'!$A$4=0))),0,IF(15=$K4,200000,ABS(15-$K4)*100)),100000+ABS(5-$J4)*1000+150)+'計算A'!DJ$5*50+IF(AND($E4=1,MW4=0),25,0),IF($F4&gt;0,INDEX('計算A'!DJ$110:DJ$114,$F4+1)+IF(AND($E4=1,MW4=0),1000,0),MIN(TY4,20)*400+(IF('計算A'!DI$106=1,1-HG4,0)+IF('計算A'!DJ$106=1,1-HI4,0))*150+155+'計算A'!DJ$5*100000+IF(AND($E4=1,MW4=0),50000,0))+IF($H4=1,(IF('計算A'!DI$117=1,INDEX('計算A'!DI$10:DI$54,$B4),0)+IF('計算A'!DJ$117=1,INDEX('計算A'!DK$10:DK$54,$B4),0))*4000,0)-IF(AND('計算A'!DI$117=1,YG4&gt;0),2000,0)-IF(AND($L4=1,'計算A'!DJ$117=1,HI4=0),2000,0))),1000000))</f>
        <v/>
      </c>
      <c r="SM4">
        <f>IF($B4=0,1000000,IF(INDEX('計算A'!$D$60:$EQ$104,$B4,112)*HI4=1,IF(AND($E4=2,MX4=0),1000000,IF($I4&gt;0,IF(5=$J4,IF(OR(AND(112=$I4+1,OR($K4&lt;&gt;'計算A'!$A$3,'計算A'!$A$4=0)),AND(112=$I4-1,OR(16&lt;&gt;'計算A'!$A$3,'計算A'!$A$4=0))),0,IF(16=$K4,200000,ABS(16-$K4)*100)),100000+ABS(5-$J4)*1000+160)+'計算A'!DK$5*50+IF(AND($E4=1,MX4=0),25,0),IF($F4&gt;0,INDEX('計算A'!DK$110:DK$114,$F4+1)+IF(AND($E4=1,MX4=0),1000,0),MIN(TY4,20)*400+(IF('計算A'!DJ$106=1,1-HH4,0)+IF('計算A'!DK$106=1,1-HJ4,0))*150+165+'計算A'!DK$5*100000+IF(AND($E4=1,MX4=0),50000,0))+IF($H4=1,(IF('計算A'!DJ$117=1,INDEX('計算A'!DJ$10:DJ$54,$B4),0)+IF('計算A'!DK$117=1,INDEX('計算A'!DL$10:DL$54,$B4),0))*4000,0)-IF(AND('計算A'!DJ$117=1,YH4&gt;0),2000,0)-IF(AND($L4=1,'計算A'!DK$117=1,HJ4=0),2000,0))),1000000))</f>
        <v/>
      </c>
      <c r="SN4">
        <f>IF($B4=0,1000000,IF(INDEX('計算A'!$D$60:$EQ$104,$B4,113)*HJ4=1,IF(AND($E4=2,MY4=0),1000000,IF($I4&gt;0,IF(5=$J4,IF(OR(AND(113=$I4+1,OR($K4&lt;&gt;'計算A'!$A$3,'計算A'!$A$4=0)),AND(113=$I4-1,OR(17&lt;&gt;'計算A'!$A$3,'計算A'!$A$4=0))),0,IF(17=$K4,200000,ABS(17-$K4)*100)),100000+ABS(5-$J4)*1000+170)+'計算A'!DL$5*50+IF(AND($E4=1,MY4=0),25,0),IF($F4&gt;0,INDEX('計算A'!DL$110:DL$114,$F4+1)+IF(AND($E4=1,MY4=0),1000,0),MIN(TY4,20)*400+(IF('計算A'!DK$106=1,1-HI4,0)+IF('計算A'!DL$106=1,1-HK4,0))*150+175+'計算A'!DL$5*100000+IF(AND($E4=1,MY4=0),50000,0))+IF($H4=1,(IF('計算A'!DK$117=1,INDEX('計算A'!DK$10:DK$54,$B4),0)+IF('計算A'!DL$117=1,INDEX('計算A'!DM$10:DM$54,$B4),0))*4000,0)-IF(AND('計算A'!DK$117=1,YI4&gt;0),2000,0)-IF(AND($L4=1,'計算A'!DL$117=1,HK4=0),2000,0))),1000000))</f>
        <v/>
      </c>
      <c r="SO4">
        <f>IF($B4=0,1000000,IF(INDEX('計算A'!$D$60:$EQ$104,$B4,114)*HK4=1,IF(AND($E4=2,MZ4=0),1000000,IF($I4&gt;0,IF(5=$J4,IF(OR(AND(114=$I4+1,OR($K4&lt;&gt;'計算A'!$A$3,'計算A'!$A$4=0)),AND(114=$I4-1,OR(18&lt;&gt;'計算A'!$A$3,'計算A'!$A$4=0))),0,IF(18=$K4,200000,ABS(18-$K4)*100)),100000+ABS(5-$J4)*1000+180)+'計算A'!DM$5*50+IF(AND($E4=1,MZ4=0),25,0),IF($F4&gt;0,INDEX('計算A'!DM$110:DM$114,$F4+1)+IF(AND($E4=1,MZ4=0),1000,0),MIN(TY4,20)*400+(IF('計算A'!DL$106=1,1-HJ4,0)+IF('計算A'!DM$106=1,1-HL4,0))*150+185+'計算A'!DM$5*100000+IF(AND($E4=1,MZ4=0),50000,0))+IF($H4=1,(IF('計算A'!DL$117=1,INDEX('計算A'!DL$10:DL$54,$B4),0)+IF('計算A'!DM$117=1,INDEX('計算A'!DN$10:DN$54,$B4),0))*4000,0)-IF(AND('計算A'!DL$117=1,YJ4&gt;0),2000,0)-IF(AND($L4=1,'計算A'!DM$117=1,HL4=0),2000,0))),1000000))</f>
        <v/>
      </c>
      <c r="SP4">
        <f>IF($B4=0,1000000,IF(INDEX('計算A'!$D$60:$EQ$104,$B4,115)*HL4=1,IF(AND($E4=2,NA4=0),1000000,IF($I4&gt;0,IF(5=$J4,IF(OR(AND(115=$I4+1,OR($K4&lt;&gt;'計算A'!$A$3,'計算A'!$A$4=0)),AND(115=$I4-1,OR(19&lt;&gt;'計算A'!$A$3,'計算A'!$A$4=0))),0,IF(19=$K4,200000,ABS(19-$K4)*100)),100000+ABS(5-$J4)*1000+190)+'計算A'!DN$5*50+IF(AND($E4=1,NA4=0),25,0),IF($F4&gt;0,INDEX('計算A'!DN$110:DN$114,$F4+1)+IF(AND($E4=1,NA4=0),1000,0),MIN(TY4,20)*400+(IF('計算A'!DM$106=1,1-HK4,0)+IF('計算A'!DN$106=1,1-HM4,0))*150+195+'計算A'!DN$5*100000+IF(AND($E4=1,NA4=0),50000,0))+IF($H4=1,(IF('計算A'!DM$117=1,INDEX('計算A'!DM$10:DM$54,$B4),0)+IF('計算A'!DN$117=1,INDEX('計算A'!DO$10:DO$54,$B4),0))*4000,0)-IF(AND('計算A'!DM$117=1,YK4&gt;0),2000,0)-IF(AND($L4=1,'計算A'!DN$117=1,HM4=0),2000,0))),1000000))</f>
        <v/>
      </c>
      <c r="SQ4">
        <f>IF($B4=0,1000000,IF(INDEX('計算A'!$D$60:$EQ$104,$B4,116)*HM4=1,IF(AND($E4=2,NB4=0),1000000,IF($I4&gt;0,IF(5=$J4,IF(OR(AND(116=$I4+1,OR($K4&lt;&gt;'計算A'!$A$3,'計算A'!$A$4=0)),AND(116=$I4-1,OR(20&lt;&gt;'計算A'!$A$3,'計算A'!$A$4=0))),0,IF(20=$K4,200000,ABS(20-$K4)*100)),100000+ABS(5-$J4)*1000+200)+'計算A'!DO$5*50+IF(AND($E4=1,NB4=0),25,0),IF($F4&gt;0,INDEX('計算A'!DO$110:DO$114,$F4+1)+IF(AND($E4=1,NB4=0),1000,0),MIN(TY4,20)*400+(IF('計算A'!DN$106=1,1-HL4,0)+IF('計算A'!DO$106=1,1-HN4,0))*150+205+'計算A'!DO$5*100000+IF(AND($E4=1,NB4=0),50000,0))+IF($H4=1,(IF('計算A'!DN$117=1,INDEX('計算A'!DN$10:DN$54,$B4),0)+IF('計算A'!DO$117=1,INDEX('計算A'!DP$10:DP$54,$B4),0))*4000,0)-IF(AND('計算A'!DN$117=1,YL4&gt;0),2000,0)-IF(AND($L4=1,'計算A'!DO$117=1,HN4=0),2000,0))),1000000))</f>
        <v/>
      </c>
      <c r="SR4">
        <f>IF($B4=0,1000000,IF(INDEX('計算A'!$D$60:$EQ$104,$B4,117)*HN4=1,IF(AND($E4=2,NC4=0),1000000,IF($I4&gt;0,IF(5=$J4,IF(OR(AND(117=$I4+1,OR($K4&lt;&gt;'計算A'!$A$3,'計算A'!$A$4=0)),AND(117=$I4-1,OR(21&lt;&gt;'計算A'!$A$3,'計算A'!$A$4=0))),0,IF(21=$K4,200000,ABS(21-$K4)*100)),100000+ABS(5-$J4)*1000+210)+'計算A'!DP$5*50+IF(AND($E4=1,NC4=0),25,0),IF($F4&gt;0,INDEX('計算A'!DP$110:DP$114,$F4+1)+IF(AND($E4=1,NC4=0),1000,0),MIN(TY4,20)*400+(IF('計算A'!DO$106=1,1-HM4,0)+IF('計算A'!DP$106=1,1-HO4,0))*150+215+'計算A'!DP$5*100000+IF(AND($E4=1,NC4=0),50000,0))+IF($H4=1,(IF('計算A'!DO$117=1,INDEX('計算A'!DO$10:DO$54,$B4),0)+IF('計算A'!DP$117=1,INDEX('計算A'!DQ$10:DQ$54,$B4),0))*4000,0)-IF(AND('計算A'!DO$117=1,YM4&gt;0),2000,0)-IF(AND($L4=1,'計算A'!DP$117=1,HO4=0),2000,0))),1000000))</f>
        <v/>
      </c>
      <c r="SS4">
        <f>IF($B4=0,1000000,IF(INDEX('計算A'!$D$60:$EQ$104,$B4,118)*HO4=1,IF(AND($E4=2,ND4=0),1000000,IF($I4&gt;0,IF(5=$J4,IF(OR(AND(118=$I4+1,OR($K4&lt;&gt;'計算A'!$A$3,'計算A'!$A$4=0)),AND(118=$I4-1,OR(22&lt;&gt;'計算A'!$A$3,'計算A'!$A$4=0))),0,IF(22=$K4,200000,ABS(22-$K4)*100)),100000+ABS(5-$J4)*1000+220)+'計算A'!DQ$5*50+IF(AND($E4=1,ND4=0),25,0),IF($F4&gt;0,INDEX('計算A'!DQ$110:DQ$114,$F4+1)+IF(AND($E4=1,ND4=0),1000,0),MIN(TY4,20)*400+(IF('計算A'!DP$106=1,1-HN4,0)+IF('計算A'!DQ$106=1,1-HP4,0))*150+225+'計算A'!DQ$5*100000+IF(AND($E4=1,ND4=0),50000,0))+IF($H4=1,(IF('計算A'!DP$117=1,INDEX('計算A'!DP$10:DP$54,$B4),0)+IF('計算A'!DQ$117=1,INDEX('計算A'!DR$10:DR$54,$B4),0))*4000,0)-IF(AND('計算A'!DP$117=1,YN4&gt;0),2000,0)-IF(AND($L4=1,'計算A'!DQ$117=1,HP4=0),2000,0))),1000000))</f>
        <v/>
      </c>
      <c r="ST4">
        <f>IF($B4=0,1000000,IF(INDEX('計算A'!$D$60:$EQ$104,$B4,119)*HP4=1,IF(AND($E4=2,NE4=0),1000000,IF($I4&gt;0,IF(5=$J4,IF(OR(AND(119=$I4+1,OR($K4&lt;&gt;'計算A'!$A$3,'計算A'!$A$4=0)),AND(119=$I4-1,OR(23&lt;&gt;'計算A'!$A$3,'計算A'!$A$4=0))),0,IF(23=$K4,200000,ABS(23-$K4)*100)),100000+ABS(5-$J4)*1000+230)+'計算A'!DR$5*50+IF(AND($E4=1,NE4=0),25,0),IF($F4&gt;0,INDEX('計算A'!DR$110:DR$114,$F4+1)+IF(AND($E4=1,NE4=0),1000,0),MIN(TY4,20)*400+(IF('計算A'!DQ$106=1,1-HO4,0)+IF('計算A'!DR$106=1,1-HQ4,0))*150+235+'計算A'!DR$5*100000+IF(AND($E4=1,NE4=0),50000,0))+IF($H4=1,(IF('計算A'!DQ$117=1,INDEX('計算A'!DQ$10:DQ$54,$B4),0)+IF('計算A'!DR$117=1,INDEX('計算A'!DS$10:DS$54,$B4),0))*4000,0)-IF(AND('計算A'!DQ$117=1,YO4&gt;0),2000,0)-IF(AND($L4=1,'計算A'!DR$117=1,HQ4=0),2000,0))),1000000))</f>
        <v/>
      </c>
      <c r="SU4">
        <f>IF($B4=0,1000000,IF(INDEX('計算A'!$D$60:$EQ$104,$B4,120)*HQ4=1,IF(AND($E4=2,NF4=0),1000000,IF($I4&gt;0,IF(5=$J4,IF(OR(AND(120=$I4+1,OR($K4&lt;&gt;'計算A'!$A$3,'計算A'!$A$4=0)),AND(120=$I4-1,OR(24&lt;&gt;'計算A'!$A$3,'計算A'!$A$4=0))),0,IF(24=$K4,200000,ABS(24-$K4)*100)),100000+ABS(5-$J4)*1000+240)+'計算A'!DS$5*50+IF(AND($E4=1,NF4=0),25,0),IF($F4&gt;0,INDEX('計算A'!DS$110:DS$114,$F4+1)+IF(AND($E4=1,NF4=0),1000,0),MIN(TY4,20)*400+(IF('計算A'!DR$106=1,1-HP4,0))*150+245+'計算A'!DS$5*100000+IF(AND($E4=1,NF4=0),50000,0))+IF($H4=1,(IF('計算A'!DR$117=1,INDEX('計算A'!DR$10:DR$54,$B4),0))*4000,0)-IF(AND('計算A'!DR$117=1,YP4&gt;0),2000,0))),1000000))</f>
        <v/>
      </c>
      <c r="SV4">
        <f>IF($B4=0,1000000,IF(INDEX('計算A'!$D$60:$EQ$104,$B4,121)*HR4=1,IF(AND($E4=2,NG4=0),1000000,IF($I4&gt;0,IF(6=$J4,IF(OR(AND(121=$I4+1,OR($K4&lt;&gt;'計算A'!$A$3,'計算A'!$A$4=0)),AND(121=$I4-1,OR(1&lt;&gt;'計算A'!$A$3,'計算A'!$A$4=0))),0,IF(1=$K4,200000,ABS(1-$K4)*100)),100000+ABS(6-$J4)*1000+10)+'計算A'!DT$5*50+IF(AND($E4=1,NG4=0),25,0),IF($F4&gt;0,INDEX('計算A'!DT$110:DT$114,$F4+1)+IF(AND($E4=1,NG4=0),1000,0),MIN(TZ4,20)*400+(IF('計算A'!DT$106=1,1-HS4,0))*150+16+'計算A'!DT$5*100000+IF(AND($E4=1,NG4=0),50000,0))+IF($H4=1,(IF('計算A'!DT$117=1,INDEX('計算A'!DU$10:DU$54,$B4),0))*4000,0)-IF(AND($L4=1,'計算A'!DT$117=1,HS4=0),2000,0))),1000000))</f>
        <v/>
      </c>
      <c r="SW4">
        <f>IF($B4=0,1000000,IF(INDEX('計算A'!$D$60:$EQ$104,$B4,122)*HS4=1,IF(AND($E4=2,NH4=0),1000000,IF($I4&gt;0,IF(6=$J4,IF(OR(AND(122=$I4+1,OR($K4&lt;&gt;'計算A'!$A$3,'計算A'!$A$4=0)),AND(122=$I4-1,OR(2&lt;&gt;'計算A'!$A$3,'計算A'!$A$4=0))),0,IF(2=$K4,200000,ABS(2-$K4)*100)),100000+ABS(6-$J4)*1000+20)+'計算A'!DU$5*50+IF(AND($E4=1,NH4=0),25,0),IF($F4&gt;0,INDEX('計算A'!DU$110:DU$114,$F4+1)+IF(AND($E4=1,NH4=0),1000,0),MIN(TZ4,20)*400+(IF('計算A'!DT$106=1,1-HR4,0)+IF('計算A'!DU$106=1,1-HT4,0))*150+26+'計算A'!DU$5*100000+IF(AND($E4=1,NH4=0),50000,0))+IF($H4=1,(IF('計算A'!DT$117=1,INDEX('計算A'!DT$10:DT$54,$B4),0)+IF('計算A'!DU$117=1,INDEX('計算A'!DV$10:DV$54,$B4),0))*4000,0)-IF(AND('計算A'!DT$117=1,YR4&gt;0),2000,0)-IF(AND($L4=1,'計算A'!DU$117=1,HT4=0),2000,0))),1000000))</f>
        <v/>
      </c>
      <c r="SX4">
        <f>IF($B4=0,1000000,IF(INDEX('計算A'!$D$60:$EQ$104,$B4,123)*HT4=1,IF(AND($E4=2,NI4=0),1000000,IF($I4&gt;0,IF(6=$J4,IF(OR(AND(123=$I4+1,OR($K4&lt;&gt;'計算A'!$A$3,'計算A'!$A$4=0)),AND(123=$I4-1,OR(3&lt;&gt;'計算A'!$A$3,'計算A'!$A$4=0))),0,IF(3=$K4,200000,ABS(3-$K4)*100)),100000+ABS(6-$J4)*1000+30)+'計算A'!DV$5*50+IF(AND($E4=1,NI4=0),25,0),IF($F4&gt;0,INDEX('計算A'!DV$110:DV$114,$F4+1)+IF(AND($E4=1,NI4=0),1000,0),MIN(TZ4,20)*400+(IF('計算A'!DU$106=1,1-HS4,0)+IF('計算A'!DV$106=1,1-HU4,0))*150+36+'計算A'!DV$5*100000+IF(AND($E4=1,NI4=0),50000,0))+IF($H4=1,(IF('計算A'!DU$117=1,INDEX('計算A'!DU$10:DU$54,$B4),0)+IF('計算A'!DV$117=1,INDEX('計算A'!DW$10:DW$54,$B4),0))*4000,0)-IF(AND('計算A'!DU$117=1,YS4&gt;0),2000,0)-IF(AND($L4=1,'計算A'!DV$117=1,HU4=0),2000,0))),1000000))</f>
        <v/>
      </c>
      <c r="SY4">
        <f>IF($B4=0,1000000,IF(INDEX('計算A'!$D$60:$EQ$104,$B4,124)*HU4=1,IF(AND($E4=2,NJ4=0),1000000,IF($I4&gt;0,IF(6=$J4,IF(OR(AND(124=$I4+1,OR($K4&lt;&gt;'計算A'!$A$3,'計算A'!$A$4=0)),AND(124=$I4-1,OR(4&lt;&gt;'計算A'!$A$3,'計算A'!$A$4=0))),0,IF(4=$K4,200000,ABS(4-$K4)*100)),100000+ABS(6-$J4)*1000+40)+'計算A'!DW$5*50+IF(AND($E4=1,NJ4=0),25,0),IF($F4&gt;0,INDEX('計算A'!DW$110:DW$114,$F4+1)+IF(AND($E4=1,NJ4=0),1000,0),MIN(TZ4,20)*400+(IF('計算A'!DV$106=1,1-HT4,0)+IF('計算A'!DW$106=1,1-HV4,0))*150+46+'計算A'!DW$5*100000+IF(AND($E4=1,NJ4=0),50000,0))+IF($H4=1,(IF('計算A'!DV$117=1,INDEX('計算A'!DV$10:DV$54,$B4),0)+IF('計算A'!DW$117=1,INDEX('計算A'!DX$10:DX$54,$B4),0))*4000,0)-IF(AND('計算A'!DV$117=1,YT4&gt;0),2000,0)-IF(AND($L4=1,'計算A'!DW$117=1,HV4=0),2000,0))),1000000))</f>
        <v/>
      </c>
      <c r="SZ4">
        <f>IF($B4=0,1000000,IF(INDEX('計算A'!$D$60:$EQ$104,$B4,125)*HV4=1,IF(AND($E4=2,NK4=0),1000000,IF($I4&gt;0,IF(6=$J4,IF(OR(AND(125=$I4+1,OR($K4&lt;&gt;'計算A'!$A$3,'計算A'!$A$4=0)),AND(125=$I4-1,OR(5&lt;&gt;'計算A'!$A$3,'計算A'!$A$4=0))),0,IF(5=$K4,200000,ABS(5-$K4)*100)),100000+ABS(6-$J4)*1000+50)+'計算A'!DX$5*50+IF(AND($E4=1,NK4=0),25,0),IF($F4&gt;0,INDEX('計算A'!DX$110:DX$114,$F4+1)+IF(AND($E4=1,NK4=0),1000,0),MIN(TZ4,20)*400+(IF('計算A'!DW$106=1,1-HU4,0)+IF('計算A'!DX$106=1,1-HW4,0))*150+56+'計算A'!DX$5*100000+IF(AND($E4=1,NK4=0),50000,0))+IF($H4=1,(IF('計算A'!DW$117=1,INDEX('計算A'!DW$10:DW$54,$B4),0)+IF('計算A'!DX$117=1,INDEX('計算A'!DY$10:DY$54,$B4),0))*4000,0)-IF(AND('計算A'!DW$117=1,YU4&gt;0),2000,0)-IF(AND($L4=1,'計算A'!DX$117=1,HW4=0),2000,0))),1000000))</f>
        <v/>
      </c>
      <c r="TA4">
        <f>IF($B4=0,1000000,IF(INDEX('計算A'!$D$60:$EQ$104,$B4,126)*HW4=1,IF(AND($E4=2,NL4=0),1000000,IF($I4&gt;0,IF(6=$J4,IF(OR(AND(126=$I4+1,OR($K4&lt;&gt;'計算A'!$A$3,'計算A'!$A$4=0)),AND(126=$I4-1,OR(6&lt;&gt;'計算A'!$A$3,'計算A'!$A$4=0))),0,IF(6=$K4,200000,ABS(6-$K4)*100)),100000+ABS(6-$J4)*1000+60)+'計算A'!DY$5*50+IF(AND($E4=1,NL4=0),25,0),IF($F4&gt;0,INDEX('計算A'!DY$110:DY$114,$F4+1)+IF(AND($E4=1,NL4=0),1000,0),MIN(TZ4,20)*400+(IF('計算A'!DX$106=1,1-HV4,0)+IF('計算A'!DY$106=1,1-HX4,0))*150+66+'計算A'!DY$5*100000+IF(AND($E4=1,NL4=0),50000,0))+IF($H4=1,(IF('計算A'!DX$117=1,INDEX('計算A'!DX$10:DX$54,$B4),0)+IF('計算A'!DY$117=1,INDEX('計算A'!DZ$10:DZ$54,$B4),0))*4000,0)-IF(AND('計算A'!DX$117=1,YV4&gt;0),2000,0)-IF(AND($L4=1,'計算A'!DY$117=1,HX4=0),2000,0))),1000000))</f>
        <v/>
      </c>
      <c r="TB4">
        <f>IF($B4=0,1000000,IF(INDEX('計算A'!$D$60:$EQ$104,$B4,127)*HX4=1,IF(AND($E4=2,NM4=0),1000000,IF($I4&gt;0,IF(6=$J4,IF(OR(AND(127=$I4+1,OR($K4&lt;&gt;'計算A'!$A$3,'計算A'!$A$4=0)),AND(127=$I4-1,OR(7&lt;&gt;'計算A'!$A$3,'計算A'!$A$4=0))),0,IF(7=$K4,200000,ABS(7-$K4)*100)),100000+ABS(6-$J4)*1000+70)+'計算A'!DZ$5*50+IF(AND($E4=1,NM4=0),25,0),IF($F4&gt;0,INDEX('計算A'!DZ$110:DZ$114,$F4+1)+IF(AND($E4=1,NM4=0),1000,0),MIN(TZ4,20)*400+(IF('計算A'!DY$106=1,1-HW4,0)+IF('計算A'!DZ$106=1,1-HY4,0))*150+76+'計算A'!DZ$5*100000+IF(AND($E4=1,NM4=0),50000,0))+IF($H4=1,(IF('計算A'!DY$117=1,INDEX('計算A'!DY$10:DY$54,$B4),0)+IF('計算A'!DZ$117=1,INDEX('計算A'!EA$10:EA$54,$B4),0))*4000,0)-IF(AND('計算A'!DY$117=1,YW4&gt;0),2000,0)-IF(AND($L4=1,'計算A'!DZ$117=1,HY4=0),2000,0))),1000000))</f>
        <v/>
      </c>
      <c r="TC4">
        <f>IF($B4=0,1000000,IF(INDEX('計算A'!$D$60:$EQ$104,$B4,128)*HY4=1,IF(AND($E4=2,NN4=0),1000000,IF($I4&gt;0,IF(6=$J4,IF(OR(AND(128=$I4+1,OR($K4&lt;&gt;'計算A'!$A$3,'計算A'!$A$4=0)),AND(128=$I4-1,OR(8&lt;&gt;'計算A'!$A$3,'計算A'!$A$4=0))),0,IF(8=$K4,200000,ABS(8-$K4)*100)),100000+ABS(6-$J4)*1000+80)+'計算A'!EA$5*50+IF(AND($E4=1,NN4=0),25,0),IF($F4&gt;0,INDEX('計算A'!EA$110:EA$114,$F4+1)+IF(AND($E4=1,NN4=0),1000,0),MIN(TZ4,20)*400+(IF('計算A'!DZ$106=1,1-HX4,0)+IF('計算A'!EA$106=1,1-HZ4,0))*150+86+'計算A'!EA$5*100000+IF(AND($E4=1,NN4=0),50000,0))+IF($H4=1,(IF('計算A'!DZ$117=1,INDEX('計算A'!DZ$10:DZ$54,$B4),0)+IF('計算A'!EA$117=1,INDEX('計算A'!EB$10:EB$54,$B4),0))*4000,0)-IF(AND('計算A'!DZ$117=1,YX4&gt;0),2000,0)-IF(AND($L4=1,'計算A'!EA$117=1,HZ4=0),2000,0))),1000000))</f>
        <v/>
      </c>
      <c r="TD4">
        <f>IF($B4=0,1000000,IF(INDEX('計算A'!$D$60:$EQ$104,$B4,129)*HZ4=1,IF(AND($E4=2,NO4=0),1000000,IF($I4&gt;0,IF(6=$J4,IF(OR(AND(129=$I4+1,OR($K4&lt;&gt;'計算A'!$A$3,'計算A'!$A$4=0)),AND(129=$I4-1,OR(9&lt;&gt;'計算A'!$A$3,'計算A'!$A$4=0))),0,IF(9=$K4,200000,ABS(9-$K4)*100)),100000+ABS(6-$J4)*1000+90)+'計算A'!EB$5*50+IF(AND($E4=1,NO4=0),25,0),IF($F4&gt;0,INDEX('計算A'!EB$110:EB$114,$F4+1)+IF(AND($E4=1,NO4=0),1000,0),MIN(TZ4,20)*400+(IF('計算A'!EA$106=1,1-HY4,0)+IF('計算A'!EB$106=1,1-IA4,0))*150+96+'計算A'!EB$5*100000+IF(AND($E4=1,NO4=0),50000,0))+IF($H4=1,(IF('計算A'!EA$117=1,INDEX('計算A'!EA$10:EA$54,$B4),0)+IF('計算A'!EB$117=1,INDEX('計算A'!EC$10:EC$54,$B4),0))*4000,0)-IF(AND('計算A'!EA$117=1,YY4&gt;0),2000,0)-IF(AND($L4=1,'計算A'!EB$117=1,IA4=0),2000,0))),1000000))</f>
        <v/>
      </c>
      <c r="TE4">
        <f>IF($B4=0,1000000,IF(INDEX('計算A'!$D$60:$EQ$104,$B4,130)*IA4=1,IF(AND($E4=2,NP4=0),1000000,IF($I4&gt;0,IF(6=$J4,IF(OR(AND(130=$I4+1,OR($K4&lt;&gt;'計算A'!$A$3,'計算A'!$A$4=0)),AND(130=$I4-1,OR(10&lt;&gt;'計算A'!$A$3,'計算A'!$A$4=0))),0,IF(10=$K4,200000,ABS(10-$K4)*100)),100000+ABS(6-$J4)*1000+100)+'計算A'!EC$5*50+IF(AND($E4=1,NP4=0),25,0),IF($F4&gt;0,INDEX('計算A'!EC$110:EC$114,$F4+1)+IF(AND($E4=1,NP4=0),1000,0),MIN(TZ4,20)*400+(IF('計算A'!EB$106=1,1-HZ4,0)+IF('計算A'!EC$106=1,1-IB4,0))*150+106+'計算A'!EC$5*100000+IF(AND($E4=1,NP4=0),50000,0))+IF($H4=1,(IF('計算A'!EB$117=1,INDEX('計算A'!EB$10:EB$54,$B4),0)+IF('計算A'!EC$117=1,INDEX('計算A'!ED$10:ED$54,$B4),0))*4000,0)-IF(AND('計算A'!EB$117=1,YZ4&gt;0),2000,0)-IF(AND($L4=1,'計算A'!EC$117=1,IB4=0),2000,0))),1000000))</f>
        <v/>
      </c>
      <c r="TF4">
        <f>IF($B4=0,1000000,IF(INDEX('計算A'!$D$60:$EQ$104,$B4,131)*IB4=1,IF(AND($E4=2,NQ4=0),1000000,IF($I4&gt;0,IF(6=$J4,IF(OR(AND(131=$I4+1,OR($K4&lt;&gt;'計算A'!$A$3,'計算A'!$A$4=0)),AND(131=$I4-1,OR(11&lt;&gt;'計算A'!$A$3,'計算A'!$A$4=0))),0,IF(11=$K4,200000,ABS(11-$K4)*100)),100000+ABS(6-$J4)*1000+110)+'計算A'!ED$5*50+IF(AND($E4=1,NQ4=0),25,0),IF($F4&gt;0,INDEX('計算A'!ED$110:ED$114,$F4+1)+IF(AND($E4=1,NQ4=0),1000,0),MIN(TZ4,20)*400+(IF('計算A'!EC$106=1,1-IA4,0)+IF('計算A'!ED$106=1,1-IC4,0))*150+116+'計算A'!ED$5*100000+IF(AND($E4=1,NQ4=0),50000,0))+IF($H4=1,(IF('計算A'!EC$117=1,INDEX('計算A'!EC$10:EC$54,$B4),0)+IF('計算A'!ED$117=1,INDEX('計算A'!EE$10:EE$54,$B4),0))*4000,0)-IF(AND('計算A'!EC$117=1,ZA4&gt;0),2000,0)-IF(AND($L4=1,'計算A'!ED$117=1,IC4=0),2000,0))),1000000))</f>
        <v/>
      </c>
      <c r="TG4">
        <f>IF($B4=0,1000000,IF(INDEX('計算A'!$D$60:$EQ$104,$B4,132)*IC4=1,IF(AND($E4=2,NR4=0),1000000,IF($I4&gt;0,IF(6=$J4,IF(OR(AND(132=$I4+1,OR($K4&lt;&gt;'計算A'!$A$3,'計算A'!$A$4=0)),AND(132=$I4-1,OR(12&lt;&gt;'計算A'!$A$3,'計算A'!$A$4=0))),0,IF(12=$K4,200000,ABS(12-$K4)*100)),100000+ABS(6-$J4)*1000+120)+'計算A'!EE$5*50+IF(AND($E4=1,NR4=0),25,0),IF($F4&gt;0,INDEX('計算A'!EE$110:EE$114,$F4+1)+IF(AND($E4=1,NR4=0),1000,0),MIN(TZ4,20)*400+(IF('計算A'!ED$106=1,1-IB4,0)+IF('計算A'!EE$106=1,1-ID4,0))*150+126+'計算A'!EE$5*100000+IF(AND($E4=1,NR4=0),50000,0))+IF($H4=1,(IF('計算A'!ED$117=1,INDEX('計算A'!ED$10:ED$54,$B4),0)+IF('計算A'!EE$117=1,INDEX('計算A'!EF$10:EF$54,$B4),0))*4000,0)-IF(AND('計算A'!ED$117=1,ZB4&gt;0),2000,0)-IF(AND($L4=1,'計算A'!EE$117=1,ID4=0),2000,0))),1000000))</f>
        <v/>
      </c>
      <c r="TH4">
        <f>IF($B4=0,1000000,IF(INDEX('計算A'!$D$60:$EQ$104,$B4,133)*ID4=1,IF(AND($E4=2,NS4=0),1000000,IF($I4&gt;0,IF(6=$J4,IF(OR(AND(133=$I4+1,OR($K4&lt;&gt;'計算A'!$A$3,'計算A'!$A$4=0)),AND(133=$I4-1,OR(13&lt;&gt;'計算A'!$A$3,'計算A'!$A$4=0))),0,IF(13=$K4,200000,ABS(13-$K4)*100)),100000+ABS(6-$J4)*1000+130)+'計算A'!EF$5*50+IF(AND($E4=1,NS4=0),25,0),IF($F4&gt;0,INDEX('計算A'!EF$110:EF$114,$F4+1)+IF(AND($E4=1,NS4=0),1000,0),MIN(TZ4,20)*400+(IF('計算A'!EE$106=1,1-IC4,0)+IF('計算A'!EF$106=1,1-IE4,0))*150+136+'計算A'!EF$5*100000+IF(AND($E4=1,NS4=0),50000,0))+IF($H4=1,(IF('計算A'!EE$117=1,INDEX('計算A'!EE$10:EE$54,$B4),0)+IF('計算A'!EF$117=1,INDEX('計算A'!EG$10:EG$54,$B4),0))*4000,0)-IF(AND('計算A'!EE$117=1,ZC4&gt;0),2000,0)-IF(AND($L4=1,'計算A'!EF$117=1,IE4=0),2000,0))),1000000))</f>
        <v/>
      </c>
      <c r="TI4">
        <f>IF($B4=0,1000000,IF(INDEX('計算A'!$D$60:$EQ$104,$B4,134)*IE4=1,IF(AND($E4=2,NT4=0),1000000,IF($I4&gt;0,IF(6=$J4,IF(OR(AND(134=$I4+1,OR($K4&lt;&gt;'計算A'!$A$3,'計算A'!$A$4=0)),AND(134=$I4-1,OR(14&lt;&gt;'計算A'!$A$3,'計算A'!$A$4=0))),0,IF(14=$K4,200000,ABS(14-$K4)*100)),100000+ABS(6-$J4)*1000+140)+'計算A'!EG$5*50+IF(AND($E4=1,NT4=0),25,0),IF($F4&gt;0,INDEX('計算A'!EG$110:EG$114,$F4+1)+IF(AND($E4=1,NT4=0),1000,0),MIN(TZ4,20)*400+(IF('計算A'!EF$106=1,1-ID4,0)+IF('計算A'!EG$106=1,1-IF4,0))*150+146+'計算A'!EG$5*100000+IF(AND($E4=1,NT4=0),50000,0))+IF($H4=1,(IF('計算A'!EF$117=1,INDEX('計算A'!EF$10:EF$54,$B4),0)+IF('計算A'!EG$117=1,INDEX('計算A'!EH$10:EH$54,$B4),0))*4000,0)-IF(AND('計算A'!EF$117=1,ZD4&gt;0),2000,0)-IF(AND($L4=1,'計算A'!EG$117=1,IF4=0),2000,0))),1000000))</f>
        <v/>
      </c>
      <c r="TJ4">
        <f>IF($B4=0,1000000,IF(INDEX('計算A'!$D$60:$EQ$104,$B4,135)*IF4=1,IF(AND($E4=2,NU4=0),1000000,IF($I4&gt;0,IF(6=$J4,IF(OR(AND(135=$I4+1,OR($K4&lt;&gt;'計算A'!$A$3,'計算A'!$A$4=0)),AND(135=$I4-1,OR(15&lt;&gt;'計算A'!$A$3,'計算A'!$A$4=0))),0,IF(15=$K4,200000,ABS(15-$K4)*100)),100000+ABS(6-$J4)*1000+150)+'計算A'!EH$5*50+IF(AND($E4=1,NU4=0),25,0),IF($F4&gt;0,INDEX('計算A'!EH$110:EH$114,$F4+1)+IF(AND($E4=1,NU4=0),1000,0),MIN(TZ4,20)*400+(IF('計算A'!EG$106=1,1-IE4,0)+IF('計算A'!EH$106=1,1-IG4,0))*150+156+'計算A'!EH$5*100000+IF(AND($E4=1,NU4=0),50000,0))+IF($H4=1,(IF('計算A'!EG$117=1,INDEX('計算A'!EG$10:EG$54,$B4),0)+IF('計算A'!EH$117=1,INDEX('計算A'!EI$10:EI$54,$B4),0))*4000,0)-IF(AND('計算A'!EG$117=1,ZE4&gt;0),2000,0)-IF(AND($L4=1,'計算A'!EH$117=1,IG4=0),2000,0))),1000000))</f>
        <v/>
      </c>
      <c r="TK4">
        <f>IF($B4=0,1000000,IF(INDEX('計算A'!$D$60:$EQ$104,$B4,136)*IG4=1,IF(AND($E4=2,NV4=0),1000000,IF($I4&gt;0,IF(6=$J4,IF(OR(AND(136=$I4+1,OR($K4&lt;&gt;'計算A'!$A$3,'計算A'!$A$4=0)),AND(136=$I4-1,OR(16&lt;&gt;'計算A'!$A$3,'計算A'!$A$4=0))),0,IF(16=$K4,200000,ABS(16-$K4)*100)),100000+ABS(6-$J4)*1000+160)+'計算A'!EI$5*50+IF(AND($E4=1,NV4=0),25,0),IF($F4&gt;0,INDEX('計算A'!EI$110:EI$114,$F4+1)+IF(AND($E4=1,NV4=0),1000,0),MIN(TZ4,20)*400+(IF('計算A'!EH$106=1,1-IF4,0)+IF('計算A'!EI$106=1,1-IH4,0))*150+166+'計算A'!EI$5*100000+IF(AND($E4=1,NV4=0),50000,0))+IF($H4=1,(IF('計算A'!EH$117=1,INDEX('計算A'!EH$10:EH$54,$B4),0)+IF('計算A'!EI$117=1,INDEX('計算A'!EJ$10:EJ$54,$B4),0))*4000,0)-IF(AND('計算A'!EH$117=1,ZF4&gt;0),2000,0)-IF(AND($L4=1,'計算A'!EI$117=1,IH4=0),2000,0))),1000000))</f>
        <v/>
      </c>
      <c r="TL4">
        <f>IF($B4=0,1000000,IF(INDEX('計算A'!$D$60:$EQ$104,$B4,137)*IH4=1,IF(AND($E4=2,NW4=0),1000000,IF($I4&gt;0,IF(6=$J4,IF(OR(AND(137=$I4+1,OR($K4&lt;&gt;'計算A'!$A$3,'計算A'!$A$4=0)),AND(137=$I4-1,OR(17&lt;&gt;'計算A'!$A$3,'計算A'!$A$4=0))),0,IF(17=$K4,200000,ABS(17-$K4)*100)),100000+ABS(6-$J4)*1000+170)+'計算A'!EJ$5*50+IF(AND($E4=1,NW4=0),25,0),IF($F4&gt;0,INDEX('計算A'!EJ$110:EJ$114,$F4+1)+IF(AND($E4=1,NW4=0),1000,0),MIN(TZ4,20)*400+(IF('計算A'!EI$106=1,1-IG4,0)+IF('計算A'!EJ$106=1,1-II4,0))*150+176+'計算A'!EJ$5*100000+IF(AND($E4=1,NW4=0),50000,0))+IF($H4=1,(IF('計算A'!EI$117=1,INDEX('計算A'!EI$10:EI$54,$B4),0)+IF('計算A'!EJ$117=1,INDEX('計算A'!EK$10:EK$54,$B4),0))*4000,0)-IF(AND('計算A'!EI$117=1,ZG4&gt;0),2000,0)-IF(AND($L4=1,'計算A'!EJ$117=1,II4=0),2000,0))),1000000))</f>
        <v/>
      </c>
      <c r="TM4">
        <f>IF($B4=0,1000000,IF(INDEX('計算A'!$D$60:$EQ$104,$B4,138)*II4=1,IF(AND($E4=2,NX4=0),1000000,IF($I4&gt;0,IF(6=$J4,IF(OR(AND(138=$I4+1,OR($K4&lt;&gt;'計算A'!$A$3,'計算A'!$A$4=0)),AND(138=$I4-1,OR(18&lt;&gt;'計算A'!$A$3,'計算A'!$A$4=0))),0,IF(18=$K4,200000,ABS(18-$K4)*100)),100000+ABS(6-$J4)*1000+180)+'計算A'!EK$5*50+IF(AND($E4=1,NX4=0),25,0),IF($F4&gt;0,INDEX('計算A'!EK$110:EK$114,$F4+1)+IF(AND($E4=1,NX4=0),1000,0),MIN(TZ4,20)*400+(IF('計算A'!EJ$106=1,1-IH4,0)+IF('計算A'!EK$106=1,1-IJ4,0))*150+186+'計算A'!EK$5*100000+IF(AND($E4=1,NX4=0),50000,0))+IF($H4=1,(IF('計算A'!EJ$117=1,INDEX('計算A'!EJ$10:EJ$54,$B4),0)+IF('計算A'!EK$117=1,INDEX('計算A'!EL$10:EL$54,$B4),0))*4000,0)-IF(AND('計算A'!EJ$117=1,ZH4&gt;0),2000,0)-IF(AND($L4=1,'計算A'!EK$117=1,IJ4=0),2000,0))),1000000))</f>
        <v/>
      </c>
      <c r="TN4">
        <f>IF($B4=0,1000000,IF(INDEX('計算A'!$D$60:$EQ$104,$B4,139)*IJ4=1,IF(AND($E4=2,NY4=0),1000000,IF($I4&gt;0,IF(6=$J4,IF(OR(AND(139=$I4+1,OR($K4&lt;&gt;'計算A'!$A$3,'計算A'!$A$4=0)),AND(139=$I4-1,OR(19&lt;&gt;'計算A'!$A$3,'計算A'!$A$4=0))),0,IF(19=$K4,200000,ABS(19-$K4)*100)),100000+ABS(6-$J4)*1000+190)+'計算A'!EL$5*50+IF(AND($E4=1,NY4=0),25,0),IF($F4&gt;0,INDEX('計算A'!EL$110:EL$114,$F4+1)+IF(AND($E4=1,NY4=0),1000,0),MIN(TZ4,20)*400+(IF('計算A'!EK$106=1,1-II4,0)+IF('計算A'!EL$106=1,1-IK4,0))*150+196+'計算A'!EL$5*100000+IF(AND($E4=1,NY4=0),50000,0))+IF($H4=1,(IF('計算A'!EK$117=1,INDEX('計算A'!EK$10:EK$54,$B4),0)+IF('計算A'!EL$117=1,INDEX('計算A'!EM$10:EM$54,$B4),0))*4000,0)-IF(AND('計算A'!EK$117=1,ZI4&gt;0),2000,0)-IF(AND($L4=1,'計算A'!EL$117=1,IK4=0),2000,0))),1000000))</f>
        <v/>
      </c>
      <c r="TO4">
        <f>IF($B4=0,1000000,IF(INDEX('計算A'!$D$60:$EQ$104,$B4,140)*IK4=1,IF(AND($E4=2,NZ4=0),1000000,IF($I4&gt;0,IF(6=$J4,IF(OR(AND(140=$I4+1,OR($K4&lt;&gt;'計算A'!$A$3,'計算A'!$A$4=0)),AND(140=$I4-1,OR(20&lt;&gt;'計算A'!$A$3,'計算A'!$A$4=0))),0,IF(20=$K4,200000,ABS(20-$K4)*100)),100000+ABS(6-$J4)*1000+200)+'計算A'!EM$5*50+IF(AND($E4=1,NZ4=0),25,0),IF($F4&gt;0,INDEX('計算A'!EM$110:EM$114,$F4+1)+IF(AND($E4=1,NZ4=0),1000,0),MIN(TZ4,20)*400+(IF('計算A'!EL$106=1,1-IJ4,0)+IF('計算A'!EM$106=1,1-IL4,0))*150+206+'計算A'!EM$5*100000+IF(AND($E4=1,NZ4=0),50000,0))+IF($H4=1,(IF('計算A'!EL$117=1,INDEX('計算A'!EL$10:EL$54,$B4),0)+IF('計算A'!EM$117=1,INDEX('計算A'!EN$10:EN$54,$B4),0))*4000,0)-IF(AND('計算A'!EL$117=1,ZJ4&gt;0),2000,0)-IF(AND($L4=1,'計算A'!EM$117=1,IL4=0),2000,0))),1000000))</f>
        <v/>
      </c>
      <c r="TP4">
        <f>IF($B4=0,1000000,IF(INDEX('計算A'!$D$60:$EQ$104,$B4,141)*IL4=1,IF(AND($E4=2,OA4=0),1000000,IF($I4&gt;0,IF(6=$J4,IF(OR(AND(141=$I4+1,OR($K4&lt;&gt;'計算A'!$A$3,'計算A'!$A$4=0)),AND(141=$I4-1,OR(21&lt;&gt;'計算A'!$A$3,'計算A'!$A$4=0))),0,IF(21=$K4,200000,ABS(21-$K4)*100)),100000+ABS(6-$J4)*1000+210)+'計算A'!EN$5*50+IF(AND($E4=1,OA4=0),25,0),IF($F4&gt;0,INDEX('計算A'!EN$110:EN$114,$F4+1)+IF(AND($E4=1,OA4=0),1000,0),MIN(TZ4,20)*400+(IF('計算A'!EM$106=1,1-IK4,0)+IF('計算A'!EN$106=1,1-IM4,0))*150+216+'計算A'!EN$5*100000+IF(AND($E4=1,OA4=0),50000,0))+IF($H4=1,(IF('計算A'!EM$117=1,INDEX('計算A'!EM$10:EM$54,$B4),0)+IF('計算A'!EN$117=1,INDEX('計算A'!EO$10:EO$54,$B4),0))*4000,0)-IF(AND('計算A'!EM$117=1,ZK4&gt;0),2000,0)-IF(AND($L4=1,'計算A'!EN$117=1,IM4=0),2000,0))),1000000))</f>
        <v/>
      </c>
      <c r="TQ4">
        <f>IF($B4=0,1000000,IF(INDEX('計算A'!$D$60:$EQ$104,$B4,142)*IM4=1,IF(AND($E4=2,OB4=0),1000000,IF($I4&gt;0,IF(6=$J4,IF(OR(AND(142=$I4+1,OR($K4&lt;&gt;'計算A'!$A$3,'計算A'!$A$4=0)),AND(142=$I4-1,OR(22&lt;&gt;'計算A'!$A$3,'計算A'!$A$4=0))),0,IF(22=$K4,200000,ABS(22-$K4)*100)),100000+ABS(6-$J4)*1000+220)+'計算A'!EO$5*50+IF(AND($E4=1,OB4=0),25,0),IF($F4&gt;0,INDEX('計算A'!EO$110:EO$114,$F4+1)+IF(AND($E4=1,OB4=0),1000,0),MIN(TZ4,20)*400+(IF('計算A'!EN$106=1,1-IL4,0)+IF('計算A'!EO$106=1,1-IN4,0))*150+226+'計算A'!EO$5*100000+IF(AND($E4=1,OB4=0),50000,0))+IF($H4=1,(IF('計算A'!EN$117=1,INDEX('計算A'!EN$10:EN$54,$B4),0)+IF('計算A'!EO$117=1,INDEX('計算A'!EP$10:EP$54,$B4),0))*4000,0)-IF(AND('計算A'!EN$117=1,ZL4&gt;0),2000,0)-IF(AND($L4=1,'計算A'!EO$117=1,IN4=0),2000,0))),1000000))</f>
        <v/>
      </c>
      <c r="TR4">
        <f>IF($B4=0,1000000,IF(INDEX('計算A'!$D$60:$EQ$104,$B4,143)*IN4=1,IF(AND($E4=2,OC4=0),1000000,IF($I4&gt;0,IF(6=$J4,IF(OR(AND(143=$I4+1,OR($K4&lt;&gt;'計算A'!$A$3,'計算A'!$A$4=0)),AND(143=$I4-1,OR(23&lt;&gt;'計算A'!$A$3,'計算A'!$A$4=0))),0,IF(23=$K4,200000,ABS(23-$K4)*100)),100000+ABS(6-$J4)*1000+230)+'計算A'!EP$5*50+IF(AND($E4=1,OC4=0),25,0),IF($F4&gt;0,INDEX('計算A'!EP$110:EP$114,$F4+1)+IF(AND($E4=1,OC4=0),1000,0),MIN(TZ4,20)*400+(IF('計算A'!EO$106=1,1-IM4,0)+IF('計算A'!EP$106=1,1-IO4,0))*150+236+'計算A'!EP$5*100000+IF(AND($E4=1,OC4=0),50000,0))+IF($H4=1,(IF('計算A'!EO$117=1,INDEX('計算A'!EO$10:EO$54,$B4),0)+IF('計算A'!EP$117=1,INDEX('計算A'!EQ$10:EQ$54,$B4),0))*4000,0)-IF(AND('計算A'!EO$117=1,ZM4&gt;0),2000,0)-IF(AND($L4=1,'計算A'!EP$117=1,IO4=0),2000,0))),1000000))</f>
        <v/>
      </c>
      <c r="TS4">
        <f>IF($B4=0,1000000,IF(INDEX('計算A'!$D$60:$EQ$104,$B4,144)*IO4=1,IF(AND($E4=2,OD4=0),1000000,IF($I4&gt;0,IF(6=$J4,IF(OR(AND(144=$I4+1,OR($K4&lt;&gt;'計算A'!$A$3,'計算A'!$A$4=0)),AND(144=$I4-1,OR(24&lt;&gt;'計算A'!$A$3,'計算A'!$A$4=0))),0,IF(24=$K4,200000,ABS(24-$K4)*100)),100000+ABS(6-$J4)*1000+240)+'計算A'!EQ$5*50+IF(AND($E4=1,OD4=0),25,0),IF($F4&gt;0,INDEX('計算A'!EQ$110:EQ$114,$F4+1)+IF(AND($E4=1,OD4=0),1000,0),MIN(TZ4,20)*400+(IF('計算A'!EP$106=1,1-IN4,0))*150+246+'計算A'!EQ$5*100000+IF(AND($E4=1,OD4=0),50000,0))+IF($H4=1,(IF('計算A'!EP$117=1,INDEX('計算A'!EP$10:EP$54,$B4),0))*4000,0)-IF(AND('計算A'!EP$117=1,ZN4&gt;0),2000,0))),1000000))</f>
        <v/>
      </c>
      <c r="TU4">
        <f>TU3+IF($C3&gt;0,IF(INDEX('計算A'!$D$2:$EQ$2,$C3)=1,1,0),0)</f>
        <v/>
      </c>
      <c r="TV4">
        <f>TV3+IF($C3&gt;0,IF(INDEX('計算A'!$D$2:$EQ$2,$C3)=2,1,0),0)</f>
        <v/>
      </c>
      <c r="TW4">
        <f>TW3+IF($C3&gt;0,IF(INDEX('計算A'!$D$2:$EQ$2,$C3)=3,1,0),0)</f>
        <v/>
      </c>
      <c r="TX4">
        <f>TX3+IF($C3&gt;0,IF(INDEX('計算A'!$D$2:$EQ$2,$C3)=4,1,0),0)</f>
        <v/>
      </c>
      <c r="TY4">
        <f>TY3+IF($C3&gt;0,IF(INDEX('計算A'!$D$2:$EQ$2,$C3)=5,1,0),0)</f>
        <v/>
      </c>
      <c r="TZ4">
        <f>TZ3+IF($C3&gt;0,IF(INDEX('計算A'!$D$2:$EQ$2,$C3)=6,1,0),0)</f>
        <v/>
      </c>
      <c r="UB4">
        <f>UB3+IF(AND($C3=1,$L3=1),1,0)</f>
        <v/>
      </c>
      <c r="UC4">
        <f>UC3+IF(AND($C3=2,$L3=1),1,0)</f>
        <v/>
      </c>
      <c r="UD4">
        <f>UD3+IF(AND($C3=3,$L3=1),1,0)</f>
        <v/>
      </c>
      <c r="UE4">
        <f>UE3+IF(AND($C3=4,$L3=1),1,0)</f>
        <v/>
      </c>
      <c r="UF4">
        <f>UF3+IF(AND($C3=5,$L3=1),1,0)</f>
        <v/>
      </c>
      <c r="UG4">
        <f>UG3+IF(AND($C3=6,$L3=1),1,0)</f>
        <v/>
      </c>
      <c r="UH4">
        <f>UH3+IF(AND($C3=7,$L3=1),1,0)</f>
        <v/>
      </c>
      <c r="UI4">
        <f>UI3+IF(AND($C3=8,$L3=1),1,0)</f>
        <v/>
      </c>
      <c r="UJ4">
        <f>UJ3+IF(AND($C3=9,$L3=1),1,0)</f>
        <v/>
      </c>
      <c r="UK4">
        <f>UK3+IF(AND($C3=10,$L3=1),1,0)</f>
        <v/>
      </c>
      <c r="UL4">
        <f>UL3+IF(AND($C3=11,$L3=1),1,0)</f>
        <v/>
      </c>
      <c r="UM4">
        <f>UM3+IF(AND($C3=12,$L3=1),1,0)</f>
        <v/>
      </c>
      <c r="UN4">
        <f>UN3+IF(AND($C3=13,$L3=1),1,0)</f>
        <v/>
      </c>
      <c r="UO4">
        <f>UO3+IF(AND($C3=14,$L3=1),1,0)</f>
        <v/>
      </c>
      <c r="UP4">
        <f>UP3+IF(AND($C3=15,$L3=1),1,0)</f>
        <v/>
      </c>
      <c r="UQ4">
        <f>UQ3+IF(AND($C3=16,$L3=1),1,0)</f>
        <v/>
      </c>
      <c r="UR4">
        <f>UR3+IF(AND($C3=17,$L3=1),1,0)</f>
        <v/>
      </c>
      <c r="US4">
        <f>US3+IF(AND($C3=18,$L3=1),1,0)</f>
        <v/>
      </c>
      <c r="UT4">
        <f>UT3+IF(AND($C3=19,$L3=1),1,0)</f>
        <v/>
      </c>
      <c r="UU4">
        <f>UU3+IF(AND($C3=20,$L3=1),1,0)</f>
        <v/>
      </c>
      <c r="UV4">
        <f>UV3+IF(AND($C3=21,$L3=1),1,0)</f>
        <v/>
      </c>
      <c r="UW4">
        <f>UW3+IF(AND($C3=22,$L3=1),1,0)</f>
        <v/>
      </c>
      <c r="UX4">
        <f>UX3+IF(AND($C3=23,$L3=1),1,0)</f>
        <v/>
      </c>
      <c r="UY4">
        <f>UY3+IF(AND($C3=24,$L3=1),1,0)</f>
        <v/>
      </c>
      <c r="UZ4">
        <f>UZ3+IF(AND($C3=25,$L3=1),1,0)</f>
        <v/>
      </c>
      <c r="VA4">
        <f>VA3+IF(AND($C3=26,$L3=1),1,0)</f>
        <v/>
      </c>
      <c r="VB4">
        <f>VB3+IF(AND($C3=27,$L3=1),1,0)</f>
        <v/>
      </c>
      <c r="VC4">
        <f>VC3+IF(AND($C3=28,$L3=1),1,0)</f>
        <v/>
      </c>
      <c r="VD4">
        <f>VD3+IF(AND($C3=29,$L3=1),1,0)</f>
        <v/>
      </c>
      <c r="VE4">
        <f>VE3+IF(AND($C3=30,$L3=1),1,0)</f>
        <v/>
      </c>
      <c r="VF4">
        <f>VF3+IF(AND($C3=31,$L3=1),1,0)</f>
        <v/>
      </c>
      <c r="VG4">
        <f>VG3+IF(AND($C3=32,$L3=1),1,0)</f>
        <v/>
      </c>
      <c r="VH4">
        <f>VH3+IF(AND($C3=33,$L3=1),1,0)</f>
        <v/>
      </c>
      <c r="VI4">
        <f>VI3+IF(AND($C3=34,$L3=1),1,0)</f>
        <v/>
      </c>
      <c r="VJ4">
        <f>VJ3+IF(AND($C3=35,$L3=1),1,0)</f>
        <v/>
      </c>
      <c r="VK4">
        <f>VK3+IF(AND($C3=36,$L3=1),1,0)</f>
        <v/>
      </c>
      <c r="VL4">
        <f>VL3+IF(AND($C3=37,$L3=1),1,0)</f>
        <v/>
      </c>
      <c r="VM4">
        <f>VM3+IF(AND($C3=38,$L3=1),1,0)</f>
        <v/>
      </c>
      <c r="VN4">
        <f>VN3+IF(AND($C3=39,$L3=1),1,0)</f>
        <v/>
      </c>
      <c r="VO4">
        <f>VO3+IF(AND($C3=40,$L3=1),1,0)</f>
        <v/>
      </c>
      <c r="VP4">
        <f>VP3+IF(AND($C3=41,$L3=1),1,0)</f>
        <v/>
      </c>
      <c r="VQ4">
        <f>VQ3+IF(AND($C3=42,$L3=1),1,0)</f>
        <v/>
      </c>
      <c r="VR4">
        <f>VR3+IF(AND($C3=43,$L3=1),1,0)</f>
        <v/>
      </c>
      <c r="VS4">
        <f>VS3+IF(AND($C3=44,$L3=1),1,0)</f>
        <v/>
      </c>
      <c r="VT4">
        <f>VT3+IF(AND($C3=45,$L3=1),1,0)</f>
        <v/>
      </c>
      <c r="VU4">
        <f>VU3+IF(AND($C3=46,$L3=1),1,0)</f>
        <v/>
      </c>
      <c r="VV4">
        <f>VV3+IF(AND($C3=47,$L3=1),1,0)</f>
        <v/>
      </c>
      <c r="VW4">
        <f>VW3+IF(AND($C3=48,$L3=1),1,0)</f>
        <v/>
      </c>
      <c r="VX4">
        <f>VX3+IF(AND($C3=49,$L3=1),1,0)</f>
        <v/>
      </c>
      <c r="VY4">
        <f>VY3+IF(AND($C3=50,$L3=1),1,0)</f>
        <v/>
      </c>
      <c r="VZ4">
        <f>VZ3+IF(AND($C3=51,$L3=1),1,0)</f>
        <v/>
      </c>
      <c r="WA4">
        <f>WA3+IF(AND($C3=52,$L3=1),1,0)</f>
        <v/>
      </c>
      <c r="WB4">
        <f>WB3+IF(AND($C3=53,$L3=1),1,0)</f>
        <v/>
      </c>
      <c r="WC4">
        <f>WC3+IF(AND($C3=54,$L3=1),1,0)</f>
        <v/>
      </c>
      <c r="WD4">
        <f>WD3+IF(AND($C3=55,$L3=1),1,0)</f>
        <v/>
      </c>
      <c r="WE4">
        <f>WE3+IF(AND($C3=56,$L3=1),1,0)</f>
        <v/>
      </c>
      <c r="WF4">
        <f>WF3+IF(AND($C3=57,$L3=1),1,0)</f>
        <v/>
      </c>
      <c r="WG4">
        <f>WG3+IF(AND($C3=58,$L3=1),1,0)</f>
        <v/>
      </c>
      <c r="WH4">
        <f>WH3+IF(AND($C3=59,$L3=1),1,0)</f>
        <v/>
      </c>
      <c r="WI4">
        <f>WI3+IF(AND($C3=60,$L3=1),1,0)</f>
        <v/>
      </c>
      <c r="WJ4">
        <f>WJ3+IF(AND($C3=61,$L3=1),1,0)</f>
        <v/>
      </c>
      <c r="WK4">
        <f>WK3+IF(AND($C3=62,$L3=1),1,0)</f>
        <v/>
      </c>
      <c r="WL4">
        <f>WL3+IF(AND($C3=63,$L3=1),1,0)</f>
        <v/>
      </c>
      <c r="WM4">
        <f>WM3+IF(AND($C3=64,$L3=1),1,0)</f>
        <v/>
      </c>
      <c r="WN4">
        <f>WN3+IF(AND($C3=65,$L3=1),1,0)</f>
        <v/>
      </c>
      <c r="WO4">
        <f>WO3+IF(AND($C3=66,$L3=1),1,0)</f>
        <v/>
      </c>
      <c r="WP4">
        <f>WP3+IF(AND($C3=67,$L3=1),1,0)</f>
        <v/>
      </c>
      <c r="WQ4">
        <f>WQ3+IF(AND($C3=68,$L3=1),1,0)</f>
        <v/>
      </c>
      <c r="WR4">
        <f>WR3+IF(AND($C3=69,$L3=1),1,0)</f>
        <v/>
      </c>
      <c r="WS4">
        <f>WS3+IF(AND($C3=70,$L3=1),1,0)</f>
        <v/>
      </c>
      <c r="WT4">
        <f>WT3+IF(AND($C3=71,$L3=1),1,0)</f>
        <v/>
      </c>
      <c r="WU4">
        <f>WU3+IF(AND($C3=72,$L3=1),1,0)</f>
        <v/>
      </c>
      <c r="WV4">
        <f>WV3+IF(AND($C3=73,$L3=1),1,0)</f>
        <v/>
      </c>
      <c r="WW4">
        <f>WW3+IF(AND($C3=74,$L3=1),1,0)</f>
        <v/>
      </c>
      <c r="WX4">
        <f>WX3+IF(AND($C3=75,$L3=1),1,0)</f>
        <v/>
      </c>
      <c r="WY4">
        <f>WY3+IF(AND($C3=76,$L3=1),1,0)</f>
        <v/>
      </c>
      <c r="WZ4">
        <f>WZ3+IF(AND($C3=77,$L3=1),1,0)</f>
        <v/>
      </c>
      <c r="XA4">
        <f>XA3+IF(AND($C3=78,$L3=1),1,0)</f>
        <v/>
      </c>
      <c r="XB4">
        <f>XB3+IF(AND($C3=79,$L3=1),1,0)</f>
        <v/>
      </c>
      <c r="XC4">
        <f>XC3+IF(AND($C3=80,$L3=1),1,0)</f>
        <v/>
      </c>
      <c r="XD4">
        <f>XD3+IF(AND($C3=81,$L3=1),1,0)</f>
        <v/>
      </c>
      <c r="XE4">
        <f>XE3+IF(AND($C3=82,$L3=1),1,0)</f>
        <v/>
      </c>
      <c r="XF4">
        <f>XF3+IF(AND($C3=83,$L3=1),1,0)</f>
        <v/>
      </c>
      <c r="XG4">
        <f>XG3+IF(AND($C3=84,$L3=1),1,0)</f>
        <v/>
      </c>
      <c r="XH4">
        <f>XH3+IF(AND($C3=85,$L3=1),1,0)</f>
        <v/>
      </c>
      <c r="XI4">
        <f>XI3+IF(AND($C3=86,$L3=1),1,0)</f>
        <v/>
      </c>
      <c r="XJ4">
        <f>XJ3+IF(AND($C3=87,$L3=1),1,0)</f>
        <v/>
      </c>
      <c r="XK4">
        <f>XK3+IF(AND($C3=88,$L3=1),1,0)</f>
        <v/>
      </c>
      <c r="XL4">
        <f>XL3+IF(AND($C3=89,$L3=1),1,0)</f>
        <v/>
      </c>
      <c r="XM4">
        <f>XM3+IF(AND($C3=90,$L3=1),1,0)</f>
        <v/>
      </c>
      <c r="XN4">
        <f>XN3+IF(AND($C3=91,$L3=1),1,0)</f>
        <v/>
      </c>
      <c r="XO4">
        <f>XO3+IF(AND($C3=92,$L3=1),1,0)</f>
        <v/>
      </c>
      <c r="XP4">
        <f>XP3+IF(AND($C3=93,$L3=1),1,0)</f>
        <v/>
      </c>
      <c r="XQ4">
        <f>XQ3+IF(AND($C3=94,$L3=1),1,0)</f>
        <v/>
      </c>
      <c r="XR4">
        <f>XR3+IF(AND($C3=95,$L3=1),1,0)</f>
        <v/>
      </c>
      <c r="XS4">
        <f>XS3+IF(AND($C3=96,$L3=1),1,0)</f>
        <v/>
      </c>
      <c r="XT4">
        <f>XT3+IF(AND($C3=97,$L3=1),1,0)</f>
        <v/>
      </c>
      <c r="XU4">
        <f>XU3+IF(AND($C3=98,$L3=1),1,0)</f>
        <v/>
      </c>
      <c r="XV4">
        <f>XV3+IF(AND($C3=99,$L3=1),1,0)</f>
        <v/>
      </c>
      <c r="XW4">
        <f>XW3+IF(AND($C3=100,$L3=1),1,0)</f>
        <v/>
      </c>
      <c r="XX4">
        <f>XX3+IF(AND($C3=101,$L3=1),1,0)</f>
        <v/>
      </c>
      <c r="XY4">
        <f>XY3+IF(AND($C3=102,$L3=1),1,0)</f>
        <v/>
      </c>
      <c r="XZ4">
        <f>XZ3+IF(AND($C3=103,$L3=1),1,0)</f>
        <v/>
      </c>
      <c r="YA4">
        <f>YA3+IF(AND($C3=104,$L3=1),1,0)</f>
        <v/>
      </c>
      <c r="YB4">
        <f>YB3+IF(AND($C3=105,$L3=1),1,0)</f>
        <v/>
      </c>
      <c r="YC4">
        <f>YC3+IF(AND($C3=106,$L3=1),1,0)</f>
        <v/>
      </c>
      <c r="YD4">
        <f>YD3+IF(AND($C3=107,$L3=1),1,0)</f>
        <v/>
      </c>
      <c r="YE4">
        <f>YE3+IF(AND($C3=108,$L3=1),1,0)</f>
        <v/>
      </c>
      <c r="YF4">
        <f>YF3+IF(AND($C3=109,$L3=1),1,0)</f>
        <v/>
      </c>
      <c r="YG4">
        <f>YG3+IF(AND($C3=110,$L3=1),1,0)</f>
        <v/>
      </c>
      <c r="YH4">
        <f>YH3+IF(AND($C3=111,$L3=1),1,0)</f>
        <v/>
      </c>
      <c r="YI4">
        <f>YI3+IF(AND($C3=112,$L3=1),1,0)</f>
        <v/>
      </c>
      <c r="YJ4">
        <f>YJ3+IF(AND($C3=113,$L3=1),1,0)</f>
        <v/>
      </c>
      <c r="YK4">
        <f>YK3+IF(AND($C3=114,$L3=1),1,0)</f>
        <v/>
      </c>
      <c r="YL4">
        <f>YL3+IF(AND($C3=115,$L3=1),1,0)</f>
        <v/>
      </c>
      <c r="YM4">
        <f>YM3+IF(AND($C3=116,$L3=1),1,0)</f>
        <v/>
      </c>
      <c r="YN4">
        <f>YN3+IF(AND($C3=117,$L3=1),1,0)</f>
        <v/>
      </c>
      <c r="YO4">
        <f>YO3+IF(AND($C3=118,$L3=1),1,0)</f>
        <v/>
      </c>
      <c r="YP4">
        <f>YP3+IF(AND($C3=119,$L3=1),1,0)</f>
        <v/>
      </c>
      <c r="YQ4">
        <f>YQ3+IF(AND($C3=120,$L3=1),1,0)</f>
        <v/>
      </c>
      <c r="YR4">
        <f>YR3+IF(AND($C3=121,$L3=1),1,0)</f>
        <v/>
      </c>
      <c r="YS4">
        <f>YS3+IF(AND($C3=122,$L3=1),1,0)</f>
        <v/>
      </c>
      <c r="YT4">
        <f>YT3+IF(AND($C3=123,$L3=1),1,0)</f>
        <v/>
      </c>
      <c r="YU4">
        <f>YU3+IF(AND($C3=124,$L3=1),1,0)</f>
        <v/>
      </c>
      <c r="YV4">
        <f>YV3+IF(AND($C3=125,$L3=1),1,0)</f>
        <v/>
      </c>
      <c r="YW4">
        <f>YW3+IF(AND($C3=126,$L3=1),1,0)</f>
        <v/>
      </c>
      <c r="YX4">
        <f>YX3+IF(AND($C3=127,$L3=1),1,0)</f>
        <v/>
      </c>
      <c r="YY4">
        <f>YY3+IF(AND($C3=128,$L3=1),1,0)</f>
        <v/>
      </c>
      <c r="YZ4">
        <f>YZ3+IF(AND($C3=129,$L3=1),1,0)</f>
        <v/>
      </c>
      <c r="ZA4">
        <f>ZA3+IF(AND($C3=130,$L3=1),1,0)</f>
        <v/>
      </c>
      <c r="ZB4">
        <f>ZB3+IF(AND($C3=131,$L3=1),1,0)</f>
        <v/>
      </c>
      <c r="ZC4">
        <f>ZC3+IF(AND($C3=132,$L3=1),1,0)</f>
        <v/>
      </c>
      <c r="ZD4">
        <f>ZD3+IF(AND($C3=133,$L3=1),1,0)</f>
        <v/>
      </c>
      <c r="ZE4">
        <f>ZE3+IF(AND($C3=134,$L3=1),1,0)</f>
        <v/>
      </c>
      <c r="ZF4">
        <f>ZF3+IF(AND($C3=135,$L3=1),1,0)</f>
        <v/>
      </c>
      <c r="ZG4">
        <f>ZG3+IF(AND($C3=136,$L3=1),1,0)</f>
        <v/>
      </c>
      <c r="ZH4">
        <f>ZH3+IF(AND($C3=137,$L3=1),1,0)</f>
        <v/>
      </c>
      <c r="ZI4">
        <f>ZI3+IF(AND($C3=138,$L3=1),1,0)</f>
        <v/>
      </c>
      <c r="ZJ4">
        <f>ZJ3+IF(AND($C3=139,$L3=1),1,0)</f>
        <v/>
      </c>
      <c r="ZK4">
        <f>ZK3+IF(AND($C3=140,$L3=1),1,0)</f>
        <v/>
      </c>
      <c r="ZL4">
        <f>ZL3+IF(AND($C3=141,$L3=1),1,0)</f>
        <v/>
      </c>
      <c r="ZM4">
        <f>ZM3+IF(AND($C3=142,$L3=1),1,0)</f>
        <v/>
      </c>
      <c r="ZN4">
        <f>ZN3+IF(AND($C3=143,$L3=1),1,0)</f>
        <v/>
      </c>
      <c r="ZO4">
        <f>ZO3+IF(AND($C3=144,$L3=1),1,0)</f>
        <v/>
      </c>
    </row>
    <row r="5">
      <c r="A5" t="n">
        <v>3</v>
      </c>
      <c r="B5">
        <f>IF(MIN(BH5:CZ5)&gt;=1000000,0,MATCH(MIN(BH5:CZ5),BH5:CZ5,0))</f>
        <v/>
      </c>
      <c r="C5">
        <f>IF(MIN(OF5:TS5)&gt;=1000000,0,MATCH(MIN(OF5:TS5),OF5:TS5,0))</f>
        <v/>
      </c>
      <c r="D5">
        <f>IF(C5&gt;0,INDEX('計算A'!$D$5:$EQ$5,C5),0)</f>
        <v/>
      </c>
      <c r="E5">
        <f>IF(B5=0,0,INDEX('計算A'!$IQ$10:$IQ$54,B5))</f>
        <v/>
      </c>
      <c r="F5">
        <f>IF(B5=0,0,INDEX('計算A'!$IP$10:$IP$54,B5))</f>
        <v/>
      </c>
      <c r="G5">
        <f>IF(AND(C5&gt;0,E5&gt;0),IF(AND(INDEX('計算A'!$D$106:$EQ$106,C5)=1,INDEX($IQ5:$OD5,C5)=1),C5+1,0),0)</f>
        <v/>
      </c>
      <c r="H5">
        <f>IF(B5=0,0,INDEX('計算A'!$IW$10:$IW$54,B5))</f>
        <v/>
      </c>
      <c r="I5">
        <f>IF(B5=0,0,MAX(0,INDEX('計算A'!$IT$10:$IT$54,B5)))</f>
        <v/>
      </c>
      <c r="J5">
        <f>IF(I5=0,0,INDEX('計算A'!$D$2:$EQ$2,I5))</f>
        <v/>
      </c>
      <c r="K5">
        <f>IF(I5=0,0,INDEX('計算A'!$D$3:$EQ$3,I5))</f>
        <v/>
      </c>
      <c r="L5">
        <f>IF(B5=0,0,INDEX('計算A'!$IX$10:$IX$54,B5))</f>
        <v/>
      </c>
      <c r="N5">
        <f>MAX(N4,IF($B4=1,1,0))</f>
        <v/>
      </c>
      <c r="O5">
        <f>MAX(O4,IF($B4=2,1,0))</f>
        <v/>
      </c>
      <c r="P5">
        <f>MAX(P4,IF($B4=3,1,0))</f>
        <v/>
      </c>
      <c r="Q5">
        <f>MAX(Q4,IF($B4=4,1,0))</f>
        <v/>
      </c>
      <c r="R5">
        <f>MAX(R4,IF($B4=5,1,0))</f>
        <v/>
      </c>
      <c r="S5">
        <f>MAX(S4,IF($B4=6,1,0))</f>
        <v/>
      </c>
      <c r="T5">
        <f>MAX(T4,IF($B4=7,1,0))</f>
        <v/>
      </c>
      <c r="U5">
        <f>MAX(U4,IF($B4=8,1,0))</f>
        <v/>
      </c>
      <c r="V5">
        <f>MAX(V4,IF($B4=9,1,0))</f>
        <v/>
      </c>
      <c r="W5">
        <f>MAX(W4,IF($B4=10,1,0))</f>
        <v/>
      </c>
      <c r="X5">
        <f>MAX(X4,IF($B4=11,1,0))</f>
        <v/>
      </c>
      <c r="Y5">
        <f>MAX(Y4,IF($B4=12,1,0))</f>
        <v/>
      </c>
      <c r="Z5">
        <f>MAX(Z4,IF($B4=13,1,0))</f>
        <v/>
      </c>
      <c r="AA5">
        <f>MAX(AA4,IF($B4=14,1,0))</f>
        <v/>
      </c>
      <c r="AB5">
        <f>MAX(AB4,IF($B4=15,1,0))</f>
        <v/>
      </c>
      <c r="AC5">
        <f>MAX(AC4,IF($B4=16,1,0))</f>
        <v/>
      </c>
      <c r="AD5">
        <f>MAX(AD4,IF($B4=17,1,0))</f>
        <v/>
      </c>
      <c r="AE5">
        <f>MAX(AE4,IF($B4=18,1,0))</f>
        <v/>
      </c>
      <c r="AF5">
        <f>MAX(AF4,IF($B4=19,1,0))</f>
        <v/>
      </c>
      <c r="AG5">
        <f>MAX(AG4,IF($B4=20,1,0))</f>
        <v/>
      </c>
      <c r="AH5">
        <f>MAX(AH4,IF($B4=21,1,0))</f>
        <v/>
      </c>
      <c r="AI5">
        <f>MAX(AI4,IF($B4=22,1,0))</f>
        <v/>
      </c>
      <c r="AJ5">
        <f>MAX(AJ4,IF($B4=23,1,0))</f>
        <v/>
      </c>
      <c r="AK5">
        <f>MAX(AK4,IF($B4=24,1,0))</f>
        <v/>
      </c>
      <c r="AL5">
        <f>MAX(AL4,IF($B4=25,1,0))</f>
        <v/>
      </c>
      <c r="AM5">
        <f>MAX(AM4,IF($B4=26,1,0))</f>
        <v/>
      </c>
      <c r="AN5">
        <f>MAX(AN4,IF($B4=27,1,0))</f>
        <v/>
      </c>
      <c r="AO5">
        <f>MAX(AO4,IF($B4=28,1,0))</f>
        <v/>
      </c>
      <c r="AP5">
        <f>MAX(AP4,IF($B4=29,1,0))</f>
        <v/>
      </c>
      <c r="AQ5">
        <f>MAX(AQ4,IF($B4=30,1,0))</f>
        <v/>
      </c>
      <c r="AR5">
        <f>MAX(AR4,IF($B4=31,1,0))</f>
        <v/>
      </c>
      <c r="AS5">
        <f>MAX(AS4,IF($B4=32,1,0))</f>
        <v/>
      </c>
      <c r="AT5">
        <f>MAX(AT4,IF($B4=33,1,0))</f>
        <v/>
      </c>
      <c r="AU5">
        <f>MAX(AU4,IF($B4=34,1,0))</f>
        <v/>
      </c>
      <c r="AV5">
        <f>MAX(AV4,IF($B4=35,1,0))</f>
        <v/>
      </c>
      <c r="AW5">
        <f>MAX(AW4,IF($B4=36,1,0))</f>
        <v/>
      </c>
      <c r="AX5">
        <f>MAX(AX4,IF($B4=37,1,0))</f>
        <v/>
      </c>
      <c r="AY5">
        <f>MAX(AY4,IF($B4=38,1,0))</f>
        <v/>
      </c>
      <c r="AZ5">
        <f>MAX(AZ4,IF($B4=39,1,0))</f>
        <v/>
      </c>
      <c r="BA5">
        <f>MAX(BA4,IF($B4=40,1,0))</f>
        <v/>
      </c>
      <c r="BB5">
        <f>MAX(BB4,IF($B4=41,1,0))</f>
        <v/>
      </c>
      <c r="BC5">
        <f>MAX(BC4,IF($B4=42,1,0))</f>
        <v/>
      </c>
      <c r="BD5">
        <f>MAX(BD4,IF($B4=43,1,0))</f>
        <v/>
      </c>
      <c r="BE5">
        <f>MAX(BE4,IF($B4=44,1,0))</f>
        <v/>
      </c>
      <c r="BF5">
        <f>MAX(BF4,IF($B4=45,1,0))</f>
        <v/>
      </c>
      <c r="BH5">
        <f>IF(N5=1,1000000,IF('計算A'!$IT$10&gt;0,0,500000)+IF('計算A'!$IQ$10=2,SUMPRODUCT('計算A'!$D$60:$EQ$60,$DB5:$IO5,$IQ5:$OD5),SUMPRODUCT('計算A'!$D$60:$EQ$60,$DB5:$IO5))*1000+1)</f>
        <v/>
      </c>
      <c r="BI5">
        <f>IF(O5=1,1000000,IF('計算A'!$IT$11&gt;0,0,500000)+IF('計算A'!$IQ$11=2,SUMPRODUCT('計算A'!$D$61:$EQ$61,$DB5:$IO5,$IQ5:$OD5),SUMPRODUCT('計算A'!$D$61:$EQ$61,$DB5:$IO5))*1000+2)</f>
        <v/>
      </c>
      <c r="BJ5">
        <f>IF(P5=1,1000000,IF('計算A'!$IT$12&gt;0,0,500000)+IF('計算A'!$IQ$12=2,SUMPRODUCT('計算A'!$D$62:$EQ$62,$DB5:$IO5,$IQ5:$OD5),SUMPRODUCT('計算A'!$D$62:$EQ$62,$DB5:$IO5))*1000+3)</f>
        <v/>
      </c>
      <c r="BK5">
        <f>IF(Q5=1,1000000,IF('計算A'!$IT$13&gt;0,0,500000)+IF('計算A'!$IQ$13=2,SUMPRODUCT('計算A'!$D$63:$EQ$63,$DB5:$IO5,$IQ5:$OD5),SUMPRODUCT('計算A'!$D$63:$EQ$63,$DB5:$IO5))*1000+4)</f>
        <v/>
      </c>
      <c r="BL5">
        <f>IF(R5=1,1000000,IF('計算A'!$IT$14&gt;0,0,500000)+IF('計算A'!$IQ$14=2,SUMPRODUCT('計算A'!$D$64:$EQ$64,$DB5:$IO5,$IQ5:$OD5),SUMPRODUCT('計算A'!$D$64:$EQ$64,$DB5:$IO5))*1000+5)</f>
        <v/>
      </c>
      <c r="BM5">
        <f>IF(S5=1,1000000,IF('計算A'!$IT$15&gt;0,0,500000)+IF('計算A'!$IQ$15=2,SUMPRODUCT('計算A'!$D$65:$EQ$65,$DB5:$IO5,$IQ5:$OD5),SUMPRODUCT('計算A'!$D$65:$EQ$65,$DB5:$IO5))*1000+6)</f>
        <v/>
      </c>
      <c r="BN5">
        <f>IF(T5=1,1000000,IF('計算A'!$IT$16&gt;0,0,500000)+IF('計算A'!$IQ$16=2,SUMPRODUCT('計算A'!$D$66:$EQ$66,$DB5:$IO5,$IQ5:$OD5),SUMPRODUCT('計算A'!$D$66:$EQ$66,$DB5:$IO5))*1000+7)</f>
        <v/>
      </c>
      <c r="BO5">
        <f>IF(U5=1,1000000,IF('計算A'!$IT$17&gt;0,0,500000)+IF('計算A'!$IQ$17=2,SUMPRODUCT('計算A'!$D$67:$EQ$67,$DB5:$IO5,$IQ5:$OD5),SUMPRODUCT('計算A'!$D$67:$EQ$67,$DB5:$IO5))*1000+8)</f>
        <v/>
      </c>
      <c r="BP5">
        <f>IF(V5=1,1000000,IF('計算A'!$IT$18&gt;0,0,500000)+IF('計算A'!$IQ$18=2,SUMPRODUCT('計算A'!$D$68:$EQ$68,$DB5:$IO5,$IQ5:$OD5),SUMPRODUCT('計算A'!$D$68:$EQ$68,$DB5:$IO5))*1000+9)</f>
        <v/>
      </c>
      <c r="BQ5">
        <f>IF(W5=1,1000000,IF('計算A'!$IT$19&gt;0,0,500000)+IF('計算A'!$IQ$19=2,SUMPRODUCT('計算A'!$D$69:$EQ$69,$DB5:$IO5,$IQ5:$OD5),SUMPRODUCT('計算A'!$D$69:$EQ$69,$DB5:$IO5))*1000+10)</f>
        <v/>
      </c>
      <c r="BR5">
        <f>IF(X5=1,1000000,IF('計算A'!$IT$20&gt;0,0,500000)+IF('計算A'!$IQ$20=2,SUMPRODUCT('計算A'!$D$70:$EQ$70,$DB5:$IO5,$IQ5:$OD5),SUMPRODUCT('計算A'!$D$70:$EQ$70,$DB5:$IO5))*1000+11)</f>
        <v/>
      </c>
      <c r="BS5">
        <f>IF(Y5=1,1000000,IF('計算A'!$IT$21&gt;0,0,500000)+IF('計算A'!$IQ$21=2,SUMPRODUCT('計算A'!$D$71:$EQ$71,$DB5:$IO5,$IQ5:$OD5),SUMPRODUCT('計算A'!$D$71:$EQ$71,$DB5:$IO5))*1000+12)</f>
        <v/>
      </c>
      <c r="BT5">
        <f>IF(Z5=1,1000000,IF('計算A'!$IT$22&gt;0,0,500000)+IF('計算A'!$IQ$22=2,SUMPRODUCT('計算A'!$D$72:$EQ$72,$DB5:$IO5,$IQ5:$OD5),SUMPRODUCT('計算A'!$D$72:$EQ$72,$DB5:$IO5))*1000+13)</f>
        <v/>
      </c>
      <c r="BU5">
        <f>IF(AA5=1,1000000,IF('計算A'!$IT$23&gt;0,0,500000)+IF('計算A'!$IQ$23=2,SUMPRODUCT('計算A'!$D$73:$EQ$73,$DB5:$IO5,$IQ5:$OD5),SUMPRODUCT('計算A'!$D$73:$EQ$73,$DB5:$IO5))*1000+14)</f>
        <v/>
      </c>
      <c r="BV5">
        <f>IF(AB5=1,1000000,IF('計算A'!$IT$24&gt;0,0,500000)+IF('計算A'!$IQ$24=2,SUMPRODUCT('計算A'!$D$74:$EQ$74,$DB5:$IO5,$IQ5:$OD5),SUMPRODUCT('計算A'!$D$74:$EQ$74,$DB5:$IO5))*1000+15)</f>
        <v/>
      </c>
      <c r="BW5">
        <f>IF(AC5=1,1000000,IF('計算A'!$IT$25&gt;0,0,500000)+IF('計算A'!$IQ$25=2,SUMPRODUCT('計算A'!$D$75:$EQ$75,$DB5:$IO5,$IQ5:$OD5),SUMPRODUCT('計算A'!$D$75:$EQ$75,$DB5:$IO5))*1000+16)</f>
        <v/>
      </c>
      <c r="BX5">
        <f>IF(AD5=1,1000000,IF('計算A'!$IT$26&gt;0,0,500000)+IF('計算A'!$IQ$26=2,SUMPRODUCT('計算A'!$D$76:$EQ$76,$DB5:$IO5,$IQ5:$OD5),SUMPRODUCT('計算A'!$D$76:$EQ$76,$DB5:$IO5))*1000+17)</f>
        <v/>
      </c>
      <c r="BY5">
        <f>IF(AE5=1,1000000,IF('計算A'!$IT$27&gt;0,0,500000)+IF('計算A'!$IQ$27=2,SUMPRODUCT('計算A'!$D$77:$EQ$77,$DB5:$IO5,$IQ5:$OD5),SUMPRODUCT('計算A'!$D$77:$EQ$77,$DB5:$IO5))*1000+18)</f>
        <v/>
      </c>
      <c r="BZ5">
        <f>IF(AF5=1,1000000,IF('計算A'!$IT$28&gt;0,0,500000)+IF('計算A'!$IQ$28=2,SUMPRODUCT('計算A'!$D$78:$EQ$78,$DB5:$IO5,$IQ5:$OD5),SUMPRODUCT('計算A'!$D$78:$EQ$78,$DB5:$IO5))*1000+19)</f>
        <v/>
      </c>
      <c r="CA5">
        <f>IF(AG5=1,1000000,IF('計算A'!$IT$29&gt;0,0,500000)+IF('計算A'!$IQ$29=2,SUMPRODUCT('計算A'!$D$79:$EQ$79,$DB5:$IO5,$IQ5:$OD5),SUMPRODUCT('計算A'!$D$79:$EQ$79,$DB5:$IO5))*1000+20)</f>
        <v/>
      </c>
      <c r="CB5">
        <f>IF(AH5=1,1000000,IF('計算A'!$IT$30&gt;0,0,500000)+IF('計算A'!$IQ$30=2,SUMPRODUCT('計算A'!$D$80:$EQ$80,$DB5:$IO5,$IQ5:$OD5),SUMPRODUCT('計算A'!$D$80:$EQ$80,$DB5:$IO5))*1000+21)</f>
        <v/>
      </c>
      <c r="CC5">
        <f>IF(AI5=1,1000000,IF('計算A'!$IT$31&gt;0,0,500000)+IF('計算A'!$IQ$31=2,SUMPRODUCT('計算A'!$D$81:$EQ$81,$DB5:$IO5,$IQ5:$OD5),SUMPRODUCT('計算A'!$D$81:$EQ$81,$DB5:$IO5))*1000+22)</f>
        <v/>
      </c>
      <c r="CD5">
        <f>IF(AJ5=1,1000000,IF('計算A'!$IT$32&gt;0,0,500000)+IF('計算A'!$IQ$32=2,SUMPRODUCT('計算A'!$D$82:$EQ$82,$DB5:$IO5,$IQ5:$OD5),SUMPRODUCT('計算A'!$D$82:$EQ$82,$DB5:$IO5))*1000+23)</f>
        <v/>
      </c>
      <c r="CE5">
        <f>IF(AK5=1,1000000,IF('計算A'!$IT$33&gt;0,0,500000)+IF('計算A'!$IQ$33=2,SUMPRODUCT('計算A'!$D$83:$EQ$83,$DB5:$IO5,$IQ5:$OD5),SUMPRODUCT('計算A'!$D$83:$EQ$83,$DB5:$IO5))*1000+24)</f>
        <v/>
      </c>
      <c r="CF5">
        <f>IF(AL5=1,1000000,IF('計算A'!$IT$34&gt;0,0,500000)+IF('計算A'!$IQ$34=2,SUMPRODUCT('計算A'!$D$84:$EQ$84,$DB5:$IO5,$IQ5:$OD5),SUMPRODUCT('計算A'!$D$84:$EQ$84,$DB5:$IO5))*1000+25)</f>
        <v/>
      </c>
      <c r="CG5">
        <f>IF(AM5=1,1000000,IF('計算A'!$IT$35&gt;0,0,500000)+IF('計算A'!$IQ$35=2,SUMPRODUCT('計算A'!$D$85:$EQ$85,$DB5:$IO5,$IQ5:$OD5),SUMPRODUCT('計算A'!$D$85:$EQ$85,$DB5:$IO5))*1000+26)</f>
        <v/>
      </c>
      <c r="CH5">
        <f>IF(AN5=1,1000000,IF('計算A'!$IT$36&gt;0,0,500000)+IF('計算A'!$IQ$36=2,SUMPRODUCT('計算A'!$D$86:$EQ$86,$DB5:$IO5,$IQ5:$OD5),SUMPRODUCT('計算A'!$D$86:$EQ$86,$DB5:$IO5))*1000+27)</f>
        <v/>
      </c>
      <c r="CI5">
        <f>IF(AO5=1,1000000,IF('計算A'!$IT$37&gt;0,0,500000)+IF('計算A'!$IQ$37=2,SUMPRODUCT('計算A'!$D$87:$EQ$87,$DB5:$IO5,$IQ5:$OD5),SUMPRODUCT('計算A'!$D$87:$EQ$87,$DB5:$IO5))*1000+28)</f>
        <v/>
      </c>
      <c r="CJ5">
        <f>IF(AP5=1,1000000,IF('計算A'!$IT$38&gt;0,0,500000)+IF('計算A'!$IQ$38=2,SUMPRODUCT('計算A'!$D$88:$EQ$88,$DB5:$IO5,$IQ5:$OD5),SUMPRODUCT('計算A'!$D$88:$EQ$88,$DB5:$IO5))*1000+29)</f>
        <v/>
      </c>
      <c r="CK5">
        <f>IF(AQ5=1,1000000,IF('計算A'!$IT$39&gt;0,0,500000)+IF('計算A'!$IQ$39=2,SUMPRODUCT('計算A'!$D$89:$EQ$89,$DB5:$IO5,$IQ5:$OD5),SUMPRODUCT('計算A'!$D$89:$EQ$89,$DB5:$IO5))*1000+30)</f>
        <v/>
      </c>
      <c r="CL5">
        <f>IF(AR5=1,1000000,IF('計算A'!$IT$40&gt;0,0,500000)+IF('計算A'!$IQ$40=2,SUMPRODUCT('計算A'!$D$90:$EQ$90,$DB5:$IO5,$IQ5:$OD5),SUMPRODUCT('計算A'!$D$90:$EQ$90,$DB5:$IO5))*1000+31)</f>
        <v/>
      </c>
      <c r="CM5">
        <f>IF(AS5=1,1000000,IF('計算A'!$IT$41&gt;0,0,500000)+IF('計算A'!$IQ$41=2,SUMPRODUCT('計算A'!$D$91:$EQ$91,$DB5:$IO5,$IQ5:$OD5),SUMPRODUCT('計算A'!$D$91:$EQ$91,$DB5:$IO5))*1000+32)</f>
        <v/>
      </c>
      <c r="CN5">
        <f>IF(AT5=1,1000000,IF('計算A'!$IT$42&gt;0,0,500000)+IF('計算A'!$IQ$42=2,SUMPRODUCT('計算A'!$D$92:$EQ$92,$DB5:$IO5,$IQ5:$OD5),SUMPRODUCT('計算A'!$D$92:$EQ$92,$DB5:$IO5))*1000+33)</f>
        <v/>
      </c>
      <c r="CO5">
        <f>IF(AU5=1,1000000,IF('計算A'!$IT$43&gt;0,0,500000)+IF('計算A'!$IQ$43=2,SUMPRODUCT('計算A'!$D$93:$EQ$93,$DB5:$IO5,$IQ5:$OD5),SUMPRODUCT('計算A'!$D$93:$EQ$93,$DB5:$IO5))*1000+34)</f>
        <v/>
      </c>
      <c r="CP5">
        <f>IF(AV5=1,1000000,IF('計算A'!$IT$44&gt;0,0,500000)+IF('計算A'!$IQ$44=2,SUMPRODUCT('計算A'!$D$94:$EQ$94,$DB5:$IO5,$IQ5:$OD5),SUMPRODUCT('計算A'!$D$94:$EQ$94,$DB5:$IO5))*1000+35)</f>
        <v/>
      </c>
      <c r="CQ5">
        <f>IF(AW5=1,1000000,IF('計算A'!$IT$45&gt;0,0,500000)+IF('計算A'!$IQ$45=2,SUMPRODUCT('計算A'!$D$95:$EQ$95,$DB5:$IO5,$IQ5:$OD5),SUMPRODUCT('計算A'!$D$95:$EQ$95,$DB5:$IO5))*1000+36)</f>
        <v/>
      </c>
      <c r="CR5">
        <f>IF(AX5=1,1000000,IF('計算A'!$IT$46&gt;0,0,500000)+IF('計算A'!$IQ$46=2,SUMPRODUCT('計算A'!$D$96:$EQ$96,$DB5:$IO5,$IQ5:$OD5),SUMPRODUCT('計算A'!$D$96:$EQ$96,$DB5:$IO5))*1000+37)</f>
        <v/>
      </c>
      <c r="CS5">
        <f>IF(AY5=1,1000000,IF('計算A'!$IT$47&gt;0,0,500000)+IF('計算A'!$IQ$47=2,SUMPRODUCT('計算A'!$D$97:$EQ$97,$DB5:$IO5,$IQ5:$OD5),SUMPRODUCT('計算A'!$D$97:$EQ$97,$DB5:$IO5))*1000+38)</f>
        <v/>
      </c>
      <c r="CT5">
        <f>IF(AZ5=1,1000000,IF('計算A'!$IT$48&gt;0,0,500000)+IF('計算A'!$IQ$48=2,SUMPRODUCT('計算A'!$D$98:$EQ$98,$DB5:$IO5,$IQ5:$OD5),SUMPRODUCT('計算A'!$D$98:$EQ$98,$DB5:$IO5))*1000+39)</f>
        <v/>
      </c>
      <c r="CU5">
        <f>IF(BA5=1,1000000,IF('計算A'!$IT$49&gt;0,0,500000)+IF('計算A'!$IQ$49=2,SUMPRODUCT('計算A'!$D$99:$EQ$99,$DB5:$IO5,$IQ5:$OD5),SUMPRODUCT('計算A'!$D$99:$EQ$99,$DB5:$IO5))*1000+40)</f>
        <v/>
      </c>
      <c r="CV5">
        <f>IF(BB5=1,1000000,IF('計算A'!$IT$50&gt;0,0,500000)+IF('計算A'!$IQ$50=2,SUMPRODUCT('計算A'!$D$100:$EQ$100,$DB5:$IO5,$IQ5:$OD5),SUMPRODUCT('計算A'!$D$100:$EQ$100,$DB5:$IO5))*1000+41)</f>
        <v/>
      </c>
      <c r="CW5">
        <f>IF(BC5=1,1000000,IF('計算A'!$IT$51&gt;0,0,500000)+IF('計算A'!$IQ$51=2,SUMPRODUCT('計算A'!$D$101:$EQ$101,$DB5:$IO5,$IQ5:$OD5),SUMPRODUCT('計算A'!$D$101:$EQ$101,$DB5:$IO5))*1000+42)</f>
        <v/>
      </c>
      <c r="CX5">
        <f>IF(BD5=1,1000000,IF('計算A'!$IT$52&gt;0,0,500000)+IF('計算A'!$IQ$52=2,SUMPRODUCT('計算A'!$D$102:$EQ$102,$DB5:$IO5,$IQ5:$OD5),SUMPRODUCT('計算A'!$D$102:$EQ$102,$DB5:$IO5))*1000+43)</f>
        <v/>
      </c>
      <c r="CY5">
        <f>IF(BE5=1,1000000,IF('計算A'!$IT$53&gt;0,0,500000)+IF('計算A'!$IQ$53=2,SUMPRODUCT('計算A'!$D$103:$EQ$103,$DB5:$IO5,$IQ5:$OD5),SUMPRODUCT('計算A'!$D$103:$EQ$103,$DB5:$IO5))*1000+44)</f>
        <v/>
      </c>
      <c r="CZ5">
        <f>IF(BF5=1,1000000,IF('計算A'!$IT$54&gt;0,0,500000)+IF('計算A'!$IQ$54=2,SUMPRODUCT('計算A'!$D$104:$EQ$104,$DB5:$IO5,$IQ5:$OD5),SUMPRODUCT('計算A'!$D$104:$EQ$104,$DB5:$IO5))*1000+45)</f>
        <v/>
      </c>
      <c r="DB5">
        <f>DB4*IF(OR($C4=1,$G4=1),0,1)</f>
        <v/>
      </c>
      <c r="DC5">
        <f>DC4*IF(OR($C4=2,$G4=2),0,1)</f>
        <v/>
      </c>
      <c r="DD5">
        <f>DD4*IF(OR($C4=3,$G4=3),0,1)</f>
        <v/>
      </c>
      <c r="DE5">
        <f>DE4*IF(OR($C4=4,$G4=4),0,1)</f>
        <v/>
      </c>
      <c r="DF5">
        <f>DF4*IF(OR($C4=5,$G4=5),0,1)</f>
        <v/>
      </c>
      <c r="DG5">
        <f>DG4*IF(OR($C4=6,$G4=6),0,1)</f>
        <v/>
      </c>
      <c r="DH5">
        <f>DH4*IF(OR($C4=7,$G4=7),0,1)</f>
        <v/>
      </c>
      <c r="DI5">
        <f>DI4*IF(OR($C4=8,$G4=8),0,1)</f>
        <v/>
      </c>
      <c r="DJ5">
        <f>DJ4*IF(OR($C4=9,$G4=9),0,1)</f>
        <v/>
      </c>
      <c r="DK5">
        <f>DK4*IF(OR($C4=10,$G4=10),0,1)</f>
        <v/>
      </c>
      <c r="DL5">
        <f>DL4*IF(OR($C4=11,$G4=11),0,1)</f>
        <v/>
      </c>
      <c r="DM5">
        <f>DM4*IF(OR($C4=12,$G4=12),0,1)</f>
        <v/>
      </c>
      <c r="DN5">
        <f>DN4*IF(OR($C4=13,$G4=13),0,1)</f>
        <v/>
      </c>
      <c r="DO5">
        <f>DO4*IF(OR($C4=14,$G4=14),0,1)</f>
        <v/>
      </c>
      <c r="DP5">
        <f>DP4*IF(OR($C4=15,$G4=15),0,1)</f>
        <v/>
      </c>
      <c r="DQ5">
        <f>DQ4*IF(OR($C4=16,$G4=16),0,1)</f>
        <v/>
      </c>
      <c r="DR5">
        <f>DR4*IF(OR($C4=17,$G4=17),0,1)</f>
        <v/>
      </c>
      <c r="DS5">
        <f>DS4*IF(OR($C4=18,$G4=18),0,1)</f>
        <v/>
      </c>
      <c r="DT5">
        <f>DT4*IF(OR($C4=19,$G4=19),0,1)</f>
        <v/>
      </c>
      <c r="DU5">
        <f>DU4*IF(OR($C4=20,$G4=20),0,1)</f>
        <v/>
      </c>
      <c r="DV5">
        <f>DV4*IF(OR($C4=21,$G4=21),0,1)</f>
        <v/>
      </c>
      <c r="DW5">
        <f>DW4*IF(OR($C4=22,$G4=22),0,1)</f>
        <v/>
      </c>
      <c r="DX5">
        <f>DX4*IF(OR($C4=23,$G4=23),0,1)</f>
        <v/>
      </c>
      <c r="DY5">
        <f>DY4*IF(OR($C4=24,$G4=24),0,1)</f>
        <v/>
      </c>
      <c r="DZ5">
        <f>DZ4*IF(OR($C4=25,$G4=25),0,1)</f>
        <v/>
      </c>
      <c r="EA5">
        <f>EA4*IF(OR($C4=26,$G4=26),0,1)</f>
        <v/>
      </c>
      <c r="EB5">
        <f>EB4*IF(OR($C4=27,$G4=27),0,1)</f>
        <v/>
      </c>
      <c r="EC5">
        <f>EC4*IF(OR($C4=28,$G4=28),0,1)</f>
        <v/>
      </c>
      <c r="ED5">
        <f>ED4*IF(OR($C4=29,$G4=29),0,1)</f>
        <v/>
      </c>
      <c r="EE5">
        <f>EE4*IF(OR($C4=30,$G4=30),0,1)</f>
        <v/>
      </c>
      <c r="EF5">
        <f>EF4*IF(OR($C4=31,$G4=31),0,1)</f>
        <v/>
      </c>
      <c r="EG5">
        <f>EG4*IF(OR($C4=32,$G4=32),0,1)</f>
        <v/>
      </c>
      <c r="EH5">
        <f>EH4*IF(OR($C4=33,$G4=33),0,1)</f>
        <v/>
      </c>
      <c r="EI5">
        <f>EI4*IF(OR($C4=34,$G4=34),0,1)</f>
        <v/>
      </c>
      <c r="EJ5">
        <f>EJ4*IF(OR($C4=35,$G4=35),0,1)</f>
        <v/>
      </c>
      <c r="EK5">
        <f>EK4*IF(OR($C4=36,$G4=36),0,1)</f>
        <v/>
      </c>
      <c r="EL5">
        <f>EL4*IF(OR($C4=37,$G4=37),0,1)</f>
        <v/>
      </c>
      <c r="EM5">
        <f>EM4*IF(OR($C4=38,$G4=38),0,1)</f>
        <v/>
      </c>
      <c r="EN5">
        <f>EN4*IF(OR($C4=39,$G4=39),0,1)</f>
        <v/>
      </c>
      <c r="EO5">
        <f>EO4*IF(OR($C4=40,$G4=40),0,1)</f>
        <v/>
      </c>
      <c r="EP5">
        <f>EP4*IF(OR($C4=41,$G4=41),0,1)</f>
        <v/>
      </c>
      <c r="EQ5">
        <f>EQ4*IF(OR($C4=42,$G4=42),0,1)</f>
        <v/>
      </c>
      <c r="ER5">
        <f>ER4*IF(OR($C4=43,$G4=43),0,1)</f>
        <v/>
      </c>
      <c r="ES5">
        <f>ES4*IF(OR($C4=44,$G4=44),0,1)</f>
        <v/>
      </c>
      <c r="ET5">
        <f>ET4*IF(OR($C4=45,$G4=45),0,1)</f>
        <v/>
      </c>
      <c r="EU5">
        <f>EU4*IF(OR($C4=46,$G4=46),0,1)</f>
        <v/>
      </c>
      <c r="EV5">
        <f>EV4*IF(OR($C4=47,$G4=47),0,1)</f>
        <v/>
      </c>
      <c r="EW5">
        <f>EW4*IF(OR($C4=48,$G4=48),0,1)</f>
        <v/>
      </c>
      <c r="EX5">
        <f>EX4*IF(OR($C4=49,$G4=49),0,1)</f>
        <v/>
      </c>
      <c r="EY5">
        <f>EY4*IF(OR($C4=50,$G4=50),0,1)</f>
        <v/>
      </c>
      <c r="EZ5">
        <f>EZ4*IF(OR($C4=51,$G4=51),0,1)</f>
        <v/>
      </c>
      <c r="FA5">
        <f>FA4*IF(OR($C4=52,$G4=52),0,1)</f>
        <v/>
      </c>
      <c r="FB5">
        <f>FB4*IF(OR($C4=53,$G4=53),0,1)</f>
        <v/>
      </c>
      <c r="FC5">
        <f>FC4*IF(OR($C4=54,$G4=54),0,1)</f>
        <v/>
      </c>
      <c r="FD5">
        <f>FD4*IF(OR($C4=55,$G4=55),0,1)</f>
        <v/>
      </c>
      <c r="FE5">
        <f>FE4*IF(OR($C4=56,$G4=56),0,1)</f>
        <v/>
      </c>
      <c r="FF5">
        <f>FF4*IF(OR($C4=57,$G4=57),0,1)</f>
        <v/>
      </c>
      <c r="FG5">
        <f>FG4*IF(OR($C4=58,$G4=58),0,1)</f>
        <v/>
      </c>
      <c r="FH5">
        <f>FH4*IF(OR($C4=59,$G4=59),0,1)</f>
        <v/>
      </c>
      <c r="FI5">
        <f>FI4*IF(OR($C4=60,$G4=60),0,1)</f>
        <v/>
      </c>
      <c r="FJ5">
        <f>FJ4*IF(OR($C4=61,$G4=61),0,1)</f>
        <v/>
      </c>
      <c r="FK5">
        <f>FK4*IF(OR($C4=62,$G4=62),0,1)</f>
        <v/>
      </c>
      <c r="FL5">
        <f>FL4*IF(OR($C4=63,$G4=63),0,1)</f>
        <v/>
      </c>
      <c r="FM5">
        <f>FM4*IF(OR($C4=64,$G4=64),0,1)</f>
        <v/>
      </c>
      <c r="FN5">
        <f>FN4*IF(OR($C4=65,$G4=65),0,1)</f>
        <v/>
      </c>
      <c r="FO5">
        <f>FO4*IF(OR($C4=66,$G4=66),0,1)</f>
        <v/>
      </c>
      <c r="FP5">
        <f>FP4*IF(OR($C4=67,$G4=67),0,1)</f>
        <v/>
      </c>
      <c r="FQ5">
        <f>FQ4*IF(OR($C4=68,$G4=68),0,1)</f>
        <v/>
      </c>
      <c r="FR5">
        <f>FR4*IF(OR($C4=69,$G4=69),0,1)</f>
        <v/>
      </c>
      <c r="FS5">
        <f>FS4*IF(OR($C4=70,$G4=70),0,1)</f>
        <v/>
      </c>
      <c r="FT5">
        <f>FT4*IF(OR($C4=71,$G4=71),0,1)</f>
        <v/>
      </c>
      <c r="FU5">
        <f>FU4*IF(OR($C4=72,$G4=72),0,1)</f>
        <v/>
      </c>
      <c r="FV5">
        <f>FV4*IF(OR($C4=73,$G4=73),0,1)</f>
        <v/>
      </c>
      <c r="FW5">
        <f>FW4*IF(OR($C4=74,$G4=74),0,1)</f>
        <v/>
      </c>
      <c r="FX5">
        <f>FX4*IF(OR($C4=75,$G4=75),0,1)</f>
        <v/>
      </c>
      <c r="FY5">
        <f>FY4*IF(OR($C4=76,$G4=76),0,1)</f>
        <v/>
      </c>
      <c r="FZ5">
        <f>FZ4*IF(OR($C4=77,$G4=77),0,1)</f>
        <v/>
      </c>
      <c r="GA5">
        <f>GA4*IF(OR($C4=78,$G4=78),0,1)</f>
        <v/>
      </c>
      <c r="GB5">
        <f>GB4*IF(OR($C4=79,$G4=79),0,1)</f>
        <v/>
      </c>
      <c r="GC5">
        <f>GC4*IF(OR($C4=80,$G4=80),0,1)</f>
        <v/>
      </c>
      <c r="GD5">
        <f>GD4*IF(OR($C4=81,$G4=81),0,1)</f>
        <v/>
      </c>
      <c r="GE5">
        <f>GE4*IF(OR($C4=82,$G4=82),0,1)</f>
        <v/>
      </c>
      <c r="GF5">
        <f>GF4*IF(OR($C4=83,$G4=83),0,1)</f>
        <v/>
      </c>
      <c r="GG5">
        <f>GG4*IF(OR($C4=84,$G4=84),0,1)</f>
        <v/>
      </c>
      <c r="GH5">
        <f>GH4*IF(OR($C4=85,$G4=85),0,1)</f>
        <v/>
      </c>
      <c r="GI5">
        <f>GI4*IF(OR($C4=86,$G4=86),0,1)</f>
        <v/>
      </c>
      <c r="GJ5">
        <f>GJ4*IF(OR($C4=87,$G4=87),0,1)</f>
        <v/>
      </c>
      <c r="GK5">
        <f>GK4*IF(OR($C4=88,$G4=88),0,1)</f>
        <v/>
      </c>
      <c r="GL5">
        <f>GL4*IF(OR($C4=89,$G4=89),0,1)</f>
        <v/>
      </c>
      <c r="GM5">
        <f>GM4*IF(OR($C4=90,$G4=90),0,1)</f>
        <v/>
      </c>
      <c r="GN5">
        <f>GN4*IF(OR($C4=91,$G4=91),0,1)</f>
        <v/>
      </c>
      <c r="GO5">
        <f>GO4*IF(OR($C4=92,$G4=92),0,1)</f>
        <v/>
      </c>
      <c r="GP5">
        <f>GP4*IF(OR($C4=93,$G4=93),0,1)</f>
        <v/>
      </c>
      <c r="GQ5">
        <f>GQ4*IF(OR($C4=94,$G4=94),0,1)</f>
        <v/>
      </c>
      <c r="GR5">
        <f>GR4*IF(OR($C4=95,$G4=95),0,1)</f>
        <v/>
      </c>
      <c r="GS5">
        <f>GS4*IF(OR($C4=96,$G4=96),0,1)</f>
        <v/>
      </c>
      <c r="GT5">
        <f>GT4*IF(OR($C4=97,$G4=97),0,1)</f>
        <v/>
      </c>
      <c r="GU5">
        <f>GU4*IF(OR($C4=98,$G4=98),0,1)</f>
        <v/>
      </c>
      <c r="GV5">
        <f>GV4*IF(OR($C4=99,$G4=99),0,1)</f>
        <v/>
      </c>
      <c r="GW5">
        <f>GW4*IF(OR($C4=100,$G4=100),0,1)</f>
        <v/>
      </c>
      <c r="GX5">
        <f>GX4*IF(OR($C4=101,$G4=101),0,1)</f>
        <v/>
      </c>
      <c r="GY5">
        <f>GY4*IF(OR($C4=102,$G4=102),0,1)</f>
        <v/>
      </c>
      <c r="GZ5">
        <f>GZ4*IF(OR($C4=103,$G4=103),0,1)</f>
        <v/>
      </c>
      <c r="HA5">
        <f>HA4*IF(OR($C4=104,$G4=104),0,1)</f>
        <v/>
      </c>
      <c r="HB5">
        <f>HB4*IF(OR($C4=105,$G4=105),0,1)</f>
        <v/>
      </c>
      <c r="HC5">
        <f>HC4*IF(OR($C4=106,$G4=106),0,1)</f>
        <v/>
      </c>
      <c r="HD5">
        <f>HD4*IF(OR($C4=107,$G4=107),0,1)</f>
        <v/>
      </c>
      <c r="HE5">
        <f>HE4*IF(OR($C4=108,$G4=108),0,1)</f>
        <v/>
      </c>
      <c r="HF5">
        <f>HF4*IF(OR($C4=109,$G4=109),0,1)</f>
        <v/>
      </c>
      <c r="HG5">
        <f>HG4*IF(OR($C4=110,$G4=110),0,1)</f>
        <v/>
      </c>
      <c r="HH5">
        <f>HH4*IF(OR($C4=111,$G4=111),0,1)</f>
        <v/>
      </c>
      <c r="HI5">
        <f>HI4*IF(OR($C4=112,$G4=112),0,1)</f>
        <v/>
      </c>
      <c r="HJ5">
        <f>HJ4*IF(OR($C4=113,$G4=113),0,1)</f>
        <v/>
      </c>
      <c r="HK5">
        <f>HK4*IF(OR($C4=114,$G4=114),0,1)</f>
        <v/>
      </c>
      <c r="HL5">
        <f>HL4*IF(OR($C4=115,$G4=115),0,1)</f>
        <v/>
      </c>
      <c r="HM5">
        <f>HM4*IF(OR($C4=116,$G4=116),0,1)</f>
        <v/>
      </c>
      <c r="HN5">
        <f>HN4*IF(OR($C4=117,$G4=117),0,1)</f>
        <v/>
      </c>
      <c r="HO5">
        <f>HO4*IF(OR($C4=118,$G4=118),0,1)</f>
        <v/>
      </c>
      <c r="HP5">
        <f>HP4*IF(OR($C4=119,$G4=119),0,1)</f>
        <v/>
      </c>
      <c r="HQ5">
        <f>HQ4*IF(OR($C4=120,$G4=120),0,1)</f>
        <v/>
      </c>
      <c r="HR5">
        <f>HR4*IF(OR($C4=121,$G4=121),0,1)</f>
        <v/>
      </c>
      <c r="HS5">
        <f>HS4*IF(OR($C4=122,$G4=122),0,1)</f>
        <v/>
      </c>
      <c r="HT5">
        <f>HT4*IF(OR($C4=123,$G4=123),0,1)</f>
        <v/>
      </c>
      <c r="HU5">
        <f>HU4*IF(OR($C4=124,$G4=124),0,1)</f>
        <v/>
      </c>
      <c r="HV5">
        <f>HV4*IF(OR($C4=125,$G4=125),0,1)</f>
        <v/>
      </c>
      <c r="HW5">
        <f>HW4*IF(OR($C4=126,$G4=126),0,1)</f>
        <v/>
      </c>
      <c r="HX5">
        <f>HX4*IF(OR($C4=127,$G4=127),0,1)</f>
        <v/>
      </c>
      <c r="HY5">
        <f>HY4*IF(OR($C4=128,$G4=128),0,1)</f>
        <v/>
      </c>
      <c r="HZ5">
        <f>HZ4*IF(OR($C4=129,$G4=129),0,1)</f>
        <v/>
      </c>
      <c r="IA5">
        <f>IA4*IF(OR($C4=130,$G4=130),0,1)</f>
        <v/>
      </c>
      <c r="IB5">
        <f>IB4*IF(OR($C4=131,$G4=131),0,1)</f>
        <v/>
      </c>
      <c r="IC5">
        <f>IC4*IF(OR($C4=132,$G4=132),0,1)</f>
        <v/>
      </c>
      <c r="ID5">
        <f>ID4*IF(OR($C4=133,$G4=133),0,1)</f>
        <v/>
      </c>
      <c r="IE5">
        <f>IE4*IF(OR($C4=134,$G4=134),0,1)</f>
        <v/>
      </c>
      <c r="IF5">
        <f>IF4*IF(OR($C4=135,$G4=135),0,1)</f>
        <v/>
      </c>
      <c r="IG5">
        <f>IG4*IF(OR($C4=136,$G4=136),0,1)</f>
        <v/>
      </c>
      <c r="IH5">
        <f>IH4*IF(OR($C4=137,$G4=137),0,1)</f>
        <v/>
      </c>
      <c r="II5">
        <f>II4*IF(OR($C4=138,$G4=138),0,1)</f>
        <v/>
      </c>
      <c r="IJ5">
        <f>IJ4*IF(OR($C4=139,$G4=139),0,1)</f>
        <v/>
      </c>
      <c r="IK5">
        <f>IK4*IF(OR($C4=140,$G4=140),0,1)</f>
        <v/>
      </c>
      <c r="IL5">
        <f>IL4*IF(OR($C4=141,$G4=141),0,1)</f>
        <v/>
      </c>
      <c r="IM5">
        <f>IM4*IF(OR($C4=142,$G4=142),0,1)</f>
        <v/>
      </c>
      <c r="IN5">
        <f>IN4*IF(OR($C4=143,$G4=143),0,1)</f>
        <v/>
      </c>
      <c r="IO5">
        <f>IO4*IF(OR($C4=144,$G4=144),0,1)</f>
        <v/>
      </c>
      <c r="IQ5">
        <f>IF('計算A'!D$106=1,DC5,1)</f>
        <v/>
      </c>
      <c r="IR5">
        <f>IF('計算A'!E$106=1,DD5,1)</f>
        <v/>
      </c>
      <c r="IS5">
        <f>IF('計算A'!F$106=1,DE5,1)</f>
        <v/>
      </c>
      <c r="IT5">
        <f>IF('計算A'!G$106=1,DF5,1)</f>
        <v/>
      </c>
      <c r="IU5">
        <f>IF('計算A'!H$106=1,DG5,1)</f>
        <v/>
      </c>
      <c r="IV5">
        <f>IF('計算A'!I$106=1,DH5,1)</f>
        <v/>
      </c>
      <c r="IW5">
        <f>IF('計算A'!J$106=1,DI5,1)</f>
        <v/>
      </c>
      <c r="IX5">
        <f>IF('計算A'!K$106=1,DJ5,1)</f>
        <v/>
      </c>
      <c r="IY5">
        <f>IF('計算A'!L$106=1,DK5,1)</f>
        <v/>
      </c>
      <c r="IZ5">
        <f>IF('計算A'!M$106=1,DL5,1)</f>
        <v/>
      </c>
      <c r="JA5">
        <f>IF('計算A'!N$106=1,DM5,1)</f>
        <v/>
      </c>
      <c r="JB5">
        <f>IF('計算A'!O$106=1,DN5,1)</f>
        <v/>
      </c>
      <c r="JC5">
        <f>IF('計算A'!P$106=1,DO5,1)</f>
        <v/>
      </c>
      <c r="JD5">
        <f>IF('計算A'!Q$106=1,DP5,1)</f>
        <v/>
      </c>
      <c r="JE5">
        <f>IF('計算A'!R$106=1,DQ5,1)</f>
        <v/>
      </c>
      <c r="JF5">
        <f>IF('計算A'!S$106=1,DR5,1)</f>
        <v/>
      </c>
      <c r="JG5">
        <f>IF('計算A'!T$106=1,DS5,1)</f>
        <v/>
      </c>
      <c r="JH5">
        <f>IF('計算A'!U$106=1,DT5,1)</f>
        <v/>
      </c>
      <c r="JI5">
        <f>IF('計算A'!V$106=1,DU5,1)</f>
        <v/>
      </c>
      <c r="JJ5">
        <f>IF('計算A'!W$106=1,DV5,1)</f>
        <v/>
      </c>
      <c r="JK5">
        <f>IF('計算A'!X$106=1,DW5,1)</f>
        <v/>
      </c>
      <c r="JL5">
        <f>IF('計算A'!Y$106=1,DX5,1)</f>
        <v/>
      </c>
      <c r="JM5">
        <f>IF('計算A'!Z$106=1,DY5,1)</f>
        <v/>
      </c>
      <c r="JN5">
        <f>IF('計算A'!AA$106=1,DZ5,1)</f>
        <v/>
      </c>
      <c r="JO5">
        <f>IF('計算A'!AB$106=1,EA5,1)</f>
        <v/>
      </c>
      <c r="JP5">
        <f>IF('計算A'!AC$106=1,EB5,1)</f>
        <v/>
      </c>
      <c r="JQ5">
        <f>IF('計算A'!AD$106=1,EC5,1)</f>
        <v/>
      </c>
      <c r="JR5">
        <f>IF('計算A'!AE$106=1,ED5,1)</f>
        <v/>
      </c>
      <c r="JS5">
        <f>IF('計算A'!AF$106=1,EE5,1)</f>
        <v/>
      </c>
      <c r="JT5">
        <f>IF('計算A'!AG$106=1,EF5,1)</f>
        <v/>
      </c>
      <c r="JU5">
        <f>IF('計算A'!AH$106=1,EG5,1)</f>
        <v/>
      </c>
      <c r="JV5">
        <f>IF('計算A'!AI$106=1,EH5,1)</f>
        <v/>
      </c>
      <c r="JW5">
        <f>IF('計算A'!AJ$106=1,EI5,1)</f>
        <v/>
      </c>
      <c r="JX5">
        <f>IF('計算A'!AK$106=1,EJ5,1)</f>
        <v/>
      </c>
      <c r="JY5">
        <f>IF('計算A'!AL$106=1,EK5,1)</f>
        <v/>
      </c>
      <c r="JZ5">
        <f>IF('計算A'!AM$106=1,EL5,1)</f>
        <v/>
      </c>
      <c r="KA5">
        <f>IF('計算A'!AN$106=1,EM5,1)</f>
        <v/>
      </c>
      <c r="KB5">
        <f>IF('計算A'!AO$106=1,EN5,1)</f>
        <v/>
      </c>
      <c r="KC5">
        <f>IF('計算A'!AP$106=1,EO5,1)</f>
        <v/>
      </c>
      <c r="KD5">
        <f>IF('計算A'!AQ$106=1,EP5,1)</f>
        <v/>
      </c>
      <c r="KE5">
        <f>IF('計算A'!AR$106=1,EQ5,1)</f>
        <v/>
      </c>
      <c r="KF5">
        <f>IF('計算A'!AS$106=1,ER5,1)</f>
        <v/>
      </c>
      <c r="KG5">
        <f>IF('計算A'!AT$106=1,ES5,1)</f>
        <v/>
      </c>
      <c r="KH5">
        <f>IF('計算A'!AU$106=1,ET5,1)</f>
        <v/>
      </c>
      <c r="KI5">
        <f>IF('計算A'!AV$106=1,EU5,1)</f>
        <v/>
      </c>
      <c r="KJ5">
        <f>IF('計算A'!AW$106=1,EV5,1)</f>
        <v/>
      </c>
      <c r="KK5">
        <f>IF('計算A'!AX$106=1,EW5,1)</f>
        <v/>
      </c>
      <c r="KL5">
        <f>IF('計算A'!AY$106=1,EX5,1)</f>
        <v/>
      </c>
      <c r="KM5">
        <f>IF('計算A'!AZ$106=1,EY5,1)</f>
        <v/>
      </c>
      <c r="KN5">
        <f>IF('計算A'!BA$106=1,EZ5,1)</f>
        <v/>
      </c>
      <c r="KO5">
        <f>IF('計算A'!BB$106=1,FA5,1)</f>
        <v/>
      </c>
      <c r="KP5">
        <f>IF('計算A'!BC$106=1,FB5,1)</f>
        <v/>
      </c>
      <c r="KQ5">
        <f>IF('計算A'!BD$106=1,FC5,1)</f>
        <v/>
      </c>
      <c r="KR5">
        <f>IF('計算A'!BE$106=1,FD5,1)</f>
        <v/>
      </c>
      <c r="KS5">
        <f>IF('計算A'!BF$106=1,FE5,1)</f>
        <v/>
      </c>
      <c r="KT5">
        <f>IF('計算A'!BG$106=1,FF5,1)</f>
        <v/>
      </c>
      <c r="KU5">
        <f>IF('計算A'!BH$106=1,FG5,1)</f>
        <v/>
      </c>
      <c r="KV5">
        <f>IF('計算A'!BI$106=1,FH5,1)</f>
        <v/>
      </c>
      <c r="KW5">
        <f>IF('計算A'!BJ$106=1,FI5,1)</f>
        <v/>
      </c>
      <c r="KX5">
        <f>IF('計算A'!BK$106=1,FJ5,1)</f>
        <v/>
      </c>
      <c r="KY5">
        <f>IF('計算A'!BL$106=1,FK5,1)</f>
        <v/>
      </c>
      <c r="KZ5">
        <f>IF('計算A'!BM$106=1,FL5,1)</f>
        <v/>
      </c>
      <c r="LA5">
        <f>IF('計算A'!BN$106=1,FM5,1)</f>
        <v/>
      </c>
      <c r="LB5">
        <f>IF('計算A'!BO$106=1,FN5,1)</f>
        <v/>
      </c>
      <c r="LC5">
        <f>IF('計算A'!BP$106=1,FO5,1)</f>
        <v/>
      </c>
      <c r="LD5">
        <f>IF('計算A'!BQ$106=1,FP5,1)</f>
        <v/>
      </c>
      <c r="LE5">
        <f>IF('計算A'!BR$106=1,FQ5,1)</f>
        <v/>
      </c>
      <c r="LF5">
        <f>IF('計算A'!BS$106=1,FR5,1)</f>
        <v/>
      </c>
      <c r="LG5">
        <f>IF('計算A'!BT$106=1,FS5,1)</f>
        <v/>
      </c>
      <c r="LH5">
        <f>IF('計算A'!BU$106=1,FT5,1)</f>
        <v/>
      </c>
      <c r="LI5">
        <f>IF('計算A'!BV$106=1,FU5,1)</f>
        <v/>
      </c>
      <c r="LJ5">
        <f>IF('計算A'!BW$106=1,FV5,1)</f>
        <v/>
      </c>
      <c r="LK5">
        <f>IF('計算A'!BX$106=1,FW5,1)</f>
        <v/>
      </c>
      <c r="LL5">
        <f>IF('計算A'!BY$106=1,FX5,1)</f>
        <v/>
      </c>
      <c r="LM5">
        <f>IF('計算A'!BZ$106=1,FY5,1)</f>
        <v/>
      </c>
      <c r="LN5">
        <f>IF('計算A'!CA$106=1,FZ5,1)</f>
        <v/>
      </c>
      <c r="LO5">
        <f>IF('計算A'!CB$106=1,GA5,1)</f>
        <v/>
      </c>
      <c r="LP5">
        <f>IF('計算A'!CC$106=1,GB5,1)</f>
        <v/>
      </c>
      <c r="LQ5">
        <f>IF('計算A'!CD$106=1,GC5,1)</f>
        <v/>
      </c>
      <c r="LR5">
        <f>IF('計算A'!CE$106=1,GD5,1)</f>
        <v/>
      </c>
      <c r="LS5">
        <f>IF('計算A'!CF$106=1,GE5,1)</f>
        <v/>
      </c>
      <c r="LT5">
        <f>IF('計算A'!CG$106=1,GF5,1)</f>
        <v/>
      </c>
      <c r="LU5">
        <f>IF('計算A'!CH$106=1,GG5,1)</f>
        <v/>
      </c>
      <c r="LV5">
        <f>IF('計算A'!CI$106=1,GH5,1)</f>
        <v/>
      </c>
      <c r="LW5">
        <f>IF('計算A'!CJ$106=1,GI5,1)</f>
        <v/>
      </c>
      <c r="LX5">
        <f>IF('計算A'!CK$106=1,GJ5,1)</f>
        <v/>
      </c>
      <c r="LY5">
        <f>IF('計算A'!CL$106=1,GK5,1)</f>
        <v/>
      </c>
      <c r="LZ5">
        <f>IF('計算A'!CM$106=1,GL5,1)</f>
        <v/>
      </c>
      <c r="MA5">
        <f>IF('計算A'!CN$106=1,GM5,1)</f>
        <v/>
      </c>
      <c r="MB5">
        <f>IF('計算A'!CO$106=1,GN5,1)</f>
        <v/>
      </c>
      <c r="MC5">
        <f>IF('計算A'!CP$106=1,GO5,1)</f>
        <v/>
      </c>
      <c r="MD5">
        <f>IF('計算A'!CQ$106=1,GP5,1)</f>
        <v/>
      </c>
      <c r="ME5">
        <f>IF('計算A'!CR$106=1,GQ5,1)</f>
        <v/>
      </c>
      <c r="MF5">
        <f>IF('計算A'!CS$106=1,GR5,1)</f>
        <v/>
      </c>
      <c r="MG5">
        <f>IF('計算A'!CT$106=1,GS5,1)</f>
        <v/>
      </c>
      <c r="MH5">
        <f>IF('計算A'!CU$106=1,GT5,1)</f>
        <v/>
      </c>
      <c r="MI5">
        <f>IF('計算A'!CV$106=1,GU5,1)</f>
        <v/>
      </c>
      <c r="MJ5">
        <f>IF('計算A'!CW$106=1,GV5,1)</f>
        <v/>
      </c>
      <c r="MK5">
        <f>IF('計算A'!CX$106=1,GW5,1)</f>
        <v/>
      </c>
      <c r="ML5">
        <f>IF('計算A'!CY$106=1,GX5,1)</f>
        <v/>
      </c>
      <c r="MM5">
        <f>IF('計算A'!CZ$106=1,GY5,1)</f>
        <v/>
      </c>
      <c r="MN5">
        <f>IF('計算A'!DA$106=1,GZ5,1)</f>
        <v/>
      </c>
      <c r="MO5">
        <f>IF('計算A'!DB$106=1,HA5,1)</f>
        <v/>
      </c>
      <c r="MP5">
        <f>IF('計算A'!DC$106=1,HB5,1)</f>
        <v/>
      </c>
      <c r="MQ5">
        <f>IF('計算A'!DD$106=1,HC5,1)</f>
        <v/>
      </c>
      <c r="MR5">
        <f>IF('計算A'!DE$106=1,HD5,1)</f>
        <v/>
      </c>
      <c r="MS5">
        <f>IF('計算A'!DF$106=1,HE5,1)</f>
        <v/>
      </c>
      <c r="MT5">
        <f>IF('計算A'!DG$106=1,HF5,1)</f>
        <v/>
      </c>
      <c r="MU5">
        <f>IF('計算A'!DH$106=1,HG5,1)</f>
        <v/>
      </c>
      <c r="MV5">
        <f>IF('計算A'!DI$106=1,HH5,1)</f>
        <v/>
      </c>
      <c r="MW5">
        <f>IF('計算A'!DJ$106=1,HI5,1)</f>
        <v/>
      </c>
      <c r="MX5">
        <f>IF('計算A'!DK$106=1,HJ5,1)</f>
        <v/>
      </c>
      <c r="MY5">
        <f>IF('計算A'!DL$106=1,HK5,1)</f>
        <v/>
      </c>
      <c r="MZ5">
        <f>IF('計算A'!DM$106=1,HL5,1)</f>
        <v/>
      </c>
      <c r="NA5">
        <f>IF('計算A'!DN$106=1,HM5,1)</f>
        <v/>
      </c>
      <c r="NB5">
        <f>IF('計算A'!DO$106=1,HN5,1)</f>
        <v/>
      </c>
      <c r="NC5">
        <f>IF('計算A'!DP$106=1,HO5,1)</f>
        <v/>
      </c>
      <c r="ND5">
        <f>IF('計算A'!DQ$106=1,HP5,1)</f>
        <v/>
      </c>
      <c r="NE5">
        <f>IF('計算A'!DR$106=1,HQ5,1)</f>
        <v/>
      </c>
      <c r="NF5">
        <f>IF('計算A'!DS$106=1,HR5,1)</f>
        <v/>
      </c>
      <c r="NG5">
        <f>IF('計算A'!DT$106=1,HS5,1)</f>
        <v/>
      </c>
      <c r="NH5">
        <f>IF('計算A'!DU$106=1,HT5,1)</f>
        <v/>
      </c>
      <c r="NI5">
        <f>IF('計算A'!DV$106=1,HU5,1)</f>
        <v/>
      </c>
      <c r="NJ5">
        <f>IF('計算A'!DW$106=1,HV5,1)</f>
        <v/>
      </c>
      <c r="NK5">
        <f>IF('計算A'!DX$106=1,HW5,1)</f>
        <v/>
      </c>
      <c r="NL5">
        <f>IF('計算A'!DY$106=1,HX5,1)</f>
        <v/>
      </c>
      <c r="NM5">
        <f>IF('計算A'!DZ$106=1,HY5,1)</f>
        <v/>
      </c>
      <c r="NN5">
        <f>IF('計算A'!EA$106=1,HZ5,1)</f>
        <v/>
      </c>
      <c r="NO5">
        <f>IF('計算A'!EB$106=1,IA5,1)</f>
        <v/>
      </c>
      <c r="NP5">
        <f>IF('計算A'!EC$106=1,IB5,1)</f>
        <v/>
      </c>
      <c r="NQ5">
        <f>IF('計算A'!ED$106=1,IC5,1)</f>
        <v/>
      </c>
      <c r="NR5">
        <f>IF('計算A'!EE$106=1,ID5,1)</f>
        <v/>
      </c>
      <c r="NS5">
        <f>IF('計算A'!EF$106=1,IE5,1)</f>
        <v/>
      </c>
      <c r="NT5">
        <f>IF('計算A'!EG$106=1,IF5,1)</f>
        <v/>
      </c>
      <c r="NU5">
        <f>IF('計算A'!EH$106=1,IG5,1)</f>
        <v/>
      </c>
      <c r="NV5">
        <f>IF('計算A'!EI$106=1,IH5,1)</f>
        <v/>
      </c>
      <c r="NW5">
        <f>IF('計算A'!EJ$106=1,II5,1)</f>
        <v/>
      </c>
      <c r="NX5">
        <f>IF('計算A'!EK$106=1,IJ5,1)</f>
        <v/>
      </c>
      <c r="NY5">
        <f>IF('計算A'!EL$106=1,IK5,1)</f>
        <v/>
      </c>
      <c r="NZ5">
        <f>IF('計算A'!EM$106=1,IL5,1)</f>
        <v/>
      </c>
      <c r="OA5">
        <f>IF('計算A'!EN$106=1,IM5,1)</f>
        <v/>
      </c>
      <c r="OB5">
        <f>IF('計算A'!EO$106=1,IN5,1)</f>
        <v/>
      </c>
      <c r="OC5">
        <f>IF('計算A'!EP$106=1,IO5,1)</f>
        <v/>
      </c>
      <c r="OD5" t="n">
        <v>1</v>
      </c>
      <c r="OF5">
        <f>IF($B5=0,1000000,IF(INDEX('計算A'!$D$60:$EQ$104,$B5,1)*DB5=1,IF(AND($E5=2,IQ5=0),1000000,IF($I5&gt;0,IF(1=$J5,IF(OR(AND(1=$I5+1,OR($K5&lt;&gt;'計算A'!$A$3,'計算A'!$A$4=0)),AND(1=$I5-1,OR(1&lt;&gt;'計算A'!$A$3,'計算A'!$A$4=0))),0,IF(1=$K5,200000,ABS(1-$K5)*100)),100000+ABS(1-$J5)*1000+10)+'計算A'!D$5*50+IF(AND($E5=1,IQ5=0),25,0),IF($F5&gt;0,INDEX('計算A'!D$110:D$114,$F5+1)+IF(AND($E5=1,IQ5=0),1000,0),MIN(TU5,20)*400+(IF('計算A'!D$106=1,1-DC5,0))*150+11+'計算A'!D$5*100000+IF(AND($E5=1,IQ5=0),50000,0))+IF($H5=1,(IF('計算A'!D$117=1,INDEX('計算A'!E$10:E$54,$B5),0))*4000,0)-IF(AND($L5=1,'計算A'!D$117=1,DC5=0),2000,0))),1000000))</f>
        <v/>
      </c>
      <c r="OG5">
        <f>IF($B5=0,1000000,IF(INDEX('計算A'!$D$60:$EQ$104,$B5,2)*DC5=1,IF(AND($E5=2,IR5=0),1000000,IF($I5&gt;0,IF(1=$J5,IF(OR(AND(2=$I5+1,OR($K5&lt;&gt;'計算A'!$A$3,'計算A'!$A$4=0)),AND(2=$I5-1,OR(2&lt;&gt;'計算A'!$A$3,'計算A'!$A$4=0))),0,IF(2=$K5,200000,ABS(2-$K5)*100)),100000+ABS(1-$J5)*1000+20)+'計算A'!E$5*50+IF(AND($E5=1,IR5=0),25,0),IF($F5&gt;0,INDEX('計算A'!E$110:E$114,$F5+1)+IF(AND($E5=1,IR5=0),1000,0),MIN(TU5,20)*400+(IF('計算A'!D$106=1,1-DB5,0)+IF('計算A'!E$106=1,1-DD5,0))*150+21+'計算A'!E$5*100000+IF(AND($E5=1,IR5=0),50000,0))+IF($H5=1,(IF('計算A'!D$117=1,INDEX('計算A'!D$10:D$54,$B5),0)+IF('計算A'!E$117=1,INDEX('計算A'!F$10:F$54,$B5),0))*4000,0)-IF(AND('計算A'!D$117=1,UB5&gt;0),2000,0)-IF(AND($L5=1,'計算A'!E$117=1,DD5=0),2000,0))),1000000))</f>
        <v/>
      </c>
      <c r="OH5">
        <f>IF($B5=0,1000000,IF(INDEX('計算A'!$D$60:$EQ$104,$B5,3)*DD5=1,IF(AND($E5=2,IS5=0),1000000,IF($I5&gt;0,IF(1=$J5,IF(OR(AND(3=$I5+1,OR($K5&lt;&gt;'計算A'!$A$3,'計算A'!$A$4=0)),AND(3=$I5-1,OR(3&lt;&gt;'計算A'!$A$3,'計算A'!$A$4=0))),0,IF(3=$K5,200000,ABS(3-$K5)*100)),100000+ABS(1-$J5)*1000+30)+'計算A'!F$5*50+IF(AND($E5=1,IS5=0),25,0),IF($F5&gt;0,INDEX('計算A'!F$110:F$114,$F5+1)+IF(AND($E5=1,IS5=0),1000,0),MIN(TU5,20)*400+(IF('計算A'!E$106=1,1-DC5,0)+IF('計算A'!F$106=1,1-DE5,0))*150+31+'計算A'!F$5*100000+IF(AND($E5=1,IS5=0),50000,0))+IF($H5=1,(IF('計算A'!E$117=1,INDEX('計算A'!E$10:E$54,$B5),0)+IF('計算A'!F$117=1,INDEX('計算A'!G$10:G$54,$B5),0))*4000,0)-IF(AND('計算A'!E$117=1,UC5&gt;0),2000,0)-IF(AND($L5=1,'計算A'!F$117=1,DE5=0),2000,0))),1000000))</f>
        <v/>
      </c>
      <c r="OI5">
        <f>IF($B5=0,1000000,IF(INDEX('計算A'!$D$60:$EQ$104,$B5,4)*DE5=1,IF(AND($E5=2,IT5=0),1000000,IF($I5&gt;0,IF(1=$J5,IF(OR(AND(4=$I5+1,OR($K5&lt;&gt;'計算A'!$A$3,'計算A'!$A$4=0)),AND(4=$I5-1,OR(4&lt;&gt;'計算A'!$A$3,'計算A'!$A$4=0))),0,IF(4=$K5,200000,ABS(4-$K5)*100)),100000+ABS(1-$J5)*1000+40)+'計算A'!G$5*50+IF(AND($E5=1,IT5=0),25,0),IF($F5&gt;0,INDEX('計算A'!G$110:G$114,$F5+1)+IF(AND($E5=1,IT5=0),1000,0),MIN(TU5,20)*400+(IF('計算A'!F$106=1,1-DD5,0)+IF('計算A'!G$106=1,1-DF5,0))*150+41+'計算A'!G$5*100000+IF(AND($E5=1,IT5=0),50000,0))+IF($H5=1,(IF('計算A'!F$117=1,INDEX('計算A'!F$10:F$54,$B5),0)+IF('計算A'!G$117=1,INDEX('計算A'!H$10:H$54,$B5),0))*4000,0)-IF(AND('計算A'!F$117=1,UD5&gt;0),2000,0)-IF(AND($L5=1,'計算A'!G$117=1,DF5=0),2000,0))),1000000))</f>
        <v/>
      </c>
      <c r="OJ5">
        <f>IF($B5=0,1000000,IF(INDEX('計算A'!$D$60:$EQ$104,$B5,5)*DF5=1,IF(AND($E5=2,IU5=0),1000000,IF($I5&gt;0,IF(1=$J5,IF(OR(AND(5=$I5+1,OR($K5&lt;&gt;'計算A'!$A$3,'計算A'!$A$4=0)),AND(5=$I5-1,OR(5&lt;&gt;'計算A'!$A$3,'計算A'!$A$4=0))),0,IF(5=$K5,200000,ABS(5-$K5)*100)),100000+ABS(1-$J5)*1000+50)+'計算A'!H$5*50+IF(AND($E5=1,IU5=0),25,0),IF($F5&gt;0,INDEX('計算A'!H$110:H$114,$F5+1)+IF(AND($E5=1,IU5=0),1000,0),MIN(TU5,20)*400+(IF('計算A'!G$106=1,1-DE5,0)+IF('計算A'!H$106=1,1-DG5,0))*150+51+'計算A'!H$5*100000+IF(AND($E5=1,IU5=0),50000,0))+IF($H5=1,(IF('計算A'!G$117=1,INDEX('計算A'!G$10:G$54,$B5),0)+IF('計算A'!H$117=1,INDEX('計算A'!I$10:I$54,$B5),0))*4000,0)-IF(AND('計算A'!G$117=1,UE5&gt;0),2000,0)-IF(AND($L5=1,'計算A'!H$117=1,DG5=0),2000,0))),1000000))</f>
        <v/>
      </c>
      <c r="OK5">
        <f>IF($B5=0,1000000,IF(INDEX('計算A'!$D$60:$EQ$104,$B5,6)*DG5=1,IF(AND($E5=2,IV5=0),1000000,IF($I5&gt;0,IF(1=$J5,IF(OR(AND(6=$I5+1,OR($K5&lt;&gt;'計算A'!$A$3,'計算A'!$A$4=0)),AND(6=$I5-1,OR(6&lt;&gt;'計算A'!$A$3,'計算A'!$A$4=0))),0,IF(6=$K5,200000,ABS(6-$K5)*100)),100000+ABS(1-$J5)*1000+60)+'計算A'!I$5*50+IF(AND($E5=1,IV5=0),25,0),IF($F5&gt;0,INDEX('計算A'!I$110:I$114,$F5+1)+IF(AND($E5=1,IV5=0),1000,0),MIN(TU5,20)*400+(IF('計算A'!H$106=1,1-DF5,0)+IF('計算A'!I$106=1,1-DH5,0))*150+61+'計算A'!I$5*100000+IF(AND($E5=1,IV5=0),50000,0))+IF($H5=1,(IF('計算A'!H$117=1,INDEX('計算A'!H$10:H$54,$B5),0)+IF('計算A'!I$117=1,INDEX('計算A'!J$10:J$54,$B5),0))*4000,0)-IF(AND('計算A'!H$117=1,UF5&gt;0),2000,0)-IF(AND($L5=1,'計算A'!I$117=1,DH5=0),2000,0))),1000000))</f>
        <v/>
      </c>
      <c r="OL5">
        <f>IF($B5=0,1000000,IF(INDEX('計算A'!$D$60:$EQ$104,$B5,7)*DH5=1,IF(AND($E5=2,IW5=0),1000000,IF($I5&gt;0,IF(1=$J5,IF(OR(AND(7=$I5+1,OR($K5&lt;&gt;'計算A'!$A$3,'計算A'!$A$4=0)),AND(7=$I5-1,OR(7&lt;&gt;'計算A'!$A$3,'計算A'!$A$4=0))),0,IF(7=$K5,200000,ABS(7-$K5)*100)),100000+ABS(1-$J5)*1000+70)+'計算A'!J$5*50+IF(AND($E5=1,IW5=0),25,0),IF($F5&gt;0,INDEX('計算A'!J$110:J$114,$F5+1)+IF(AND($E5=1,IW5=0),1000,0),MIN(TU5,20)*400+(IF('計算A'!I$106=1,1-DG5,0)+IF('計算A'!J$106=1,1-DI5,0))*150+71+'計算A'!J$5*100000+IF(AND($E5=1,IW5=0),50000,0))+IF($H5=1,(IF('計算A'!I$117=1,INDEX('計算A'!I$10:I$54,$B5),0)+IF('計算A'!J$117=1,INDEX('計算A'!K$10:K$54,$B5),0))*4000,0)-IF(AND('計算A'!I$117=1,UG5&gt;0),2000,0)-IF(AND($L5=1,'計算A'!J$117=1,DI5=0),2000,0))),1000000))</f>
        <v/>
      </c>
      <c r="OM5">
        <f>IF($B5=0,1000000,IF(INDEX('計算A'!$D$60:$EQ$104,$B5,8)*DI5=1,IF(AND($E5=2,IX5=0),1000000,IF($I5&gt;0,IF(1=$J5,IF(OR(AND(8=$I5+1,OR($K5&lt;&gt;'計算A'!$A$3,'計算A'!$A$4=0)),AND(8=$I5-1,OR(8&lt;&gt;'計算A'!$A$3,'計算A'!$A$4=0))),0,IF(8=$K5,200000,ABS(8-$K5)*100)),100000+ABS(1-$J5)*1000+80)+'計算A'!K$5*50+IF(AND($E5=1,IX5=0),25,0),IF($F5&gt;0,INDEX('計算A'!K$110:K$114,$F5+1)+IF(AND($E5=1,IX5=0),1000,0),MIN(TU5,20)*400+(IF('計算A'!J$106=1,1-DH5,0)+IF('計算A'!K$106=1,1-DJ5,0))*150+81+'計算A'!K$5*100000+IF(AND($E5=1,IX5=0),50000,0))+IF($H5=1,(IF('計算A'!J$117=1,INDEX('計算A'!J$10:J$54,$B5),0)+IF('計算A'!K$117=1,INDEX('計算A'!L$10:L$54,$B5),0))*4000,0)-IF(AND('計算A'!J$117=1,UH5&gt;0),2000,0)-IF(AND($L5=1,'計算A'!K$117=1,DJ5=0),2000,0))),1000000))</f>
        <v/>
      </c>
      <c r="ON5">
        <f>IF($B5=0,1000000,IF(INDEX('計算A'!$D$60:$EQ$104,$B5,9)*DJ5=1,IF(AND($E5=2,IY5=0),1000000,IF($I5&gt;0,IF(1=$J5,IF(OR(AND(9=$I5+1,OR($K5&lt;&gt;'計算A'!$A$3,'計算A'!$A$4=0)),AND(9=$I5-1,OR(9&lt;&gt;'計算A'!$A$3,'計算A'!$A$4=0))),0,IF(9=$K5,200000,ABS(9-$K5)*100)),100000+ABS(1-$J5)*1000+90)+'計算A'!L$5*50+IF(AND($E5=1,IY5=0),25,0),IF($F5&gt;0,INDEX('計算A'!L$110:L$114,$F5+1)+IF(AND($E5=1,IY5=0),1000,0),MIN(TU5,20)*400+(IF('計算A'!K$106=1,1-DI5,0)+IF('計算A'!L$106=1,1-DK5,0))*150+91+'計算A'!L$5*100000+IF(AND($E5=1,IY5=0),50000,0))+IF($H5=1,(IF('計算A'!K$117=1,INDEX('計算A'!K$10:K$54,$B5),0)+IF('計算A'!L$117=1,INDEX('計算A'!M$10:M$54,$B5),0))*4000,0)-IF(AND('計算A'!K$117=1,UI5&gt;0),2000,0)-IF(AND($L5=1,'計算A'!L$117=1,DK5=0),2000,0))),1000000))</f>
        <v/>
      </c>
      <c r="OO5">
        <f>IF($B5=0,1000000,IF(INDEX('計算A'!$D$60:$EQ$104,$B5,10)*DK5=1,IF(AND($E5=2,IZ5=0),1000000,IF($I5&gt;0,IF(1=$J5,IF(OR(AND(10=$I5+1,OR($K5&lt;&gt;'計算A'!$A$3,'計算A'!$A$4=0)),AND(10=$I5-1,OR(10&lt;&gt;'計算A'!$A$3,'計算A'!$A$4=0))),0,IF(10=$K5,200000,ABS(10-$K5)*100)),100000+ABS(1-$J5)*1000+100)+'計算A'!M$5*50+IF(AND($E5=1,IZ5=0),25,0),IF($F5&gt;0,INDEX('計算A'!M$110:M$114,$F5+1)+IF(AND($E5=1,IZ5=0),1000,0),MIN(TU5,20)*400+(IF('計算A'!L$106=1,1-DJ5,0)+IF('計算A'!M$106=1,1-DL5,0))*150+101+'計算A'!M$5*100000+IF(AND($E5=1,IZ5=0),50000,0))+IF($H5=1,(IF('計算A'!L$117=1,INDEX('計算A'!L$10:L$54,$B5),0)+IF('計算A'!M$117=1,INDEX('計算A'!N$10:N$54,$B5),0))*4000,0)-IF(AND('計算A'!L$117=1,UJ5&gt;0),2000,0)-IF(AND($L5=1,'計算A'!M$117=1,DL5=0),2000,0))),1000000))</f>
        <v/>
      </c>
      <c r="OP5">
        <f>IF($B5=0,1000000,IF(INDEX('計算A'!$D$60:$EQ$104,$B5,11)*DL5=1,IF(AND($E5=2,JA5=0),1000000,IF($I5&gt;0,IF(1=$J5,IF(OR(AND(11=$I5+1,OR($K5&lt;&gt;'計算A'!$A$3,'計算A'!$A$4=0)),AND(11=$I5-1,OR(11&lt;&gt;'計算A'!$A$3,'計算A'!$A$4=0))),0,IF(11=$K5,200000,ABS(11-$K5)*100)),100000+ABS(1-$J5)*1000+110)+'計算A'!N$5*50+IF(AND($E5=1,JA5=0),25,0),IF($F5&gt;0,INDEX('計算A'!N$110:N$114,$F5+1)+IF(AND($E5=1,JA5=0),1000,0),MIN(TU5,20)*400+(IF('計算A'!M$106=1,1-DK5,0)+IF('計算A'!N$106=1,1-DM5,0))*150+111+'計算A'!N$5*100000+IF(AND($E5=1,JA5=0),50000,0))+IF($H5=1,(IF('計算A'!M$117=1,INDEX('計算A'!M$10:M$54,$B5),0)+IF('計算A'!N$117=1,INDEX('計算A'!O$10:O$54,$B5),0))*4000,0)-IF(AND('計算A'!M$117=1,UK5&gt;0),2000,0)-IF(AND($L5=1,'計算A'!N$117=1,DM5=0),2000,0))),1000000))</f>
        <v/>
      </c>
      <c r="OQ5">
        <f>IF($B5=0,1000000,IF(INDEX('計算A'!$D$60:$EQ$104,$B5,12)*DM5=1,IF(AND($E5=2,JB5=0),1000000,IF($I5&gt;0,IF(1=$J5,IF(OR(AND(12=$I5+1,OR($K5&lt;&gt;'計算A'!$A$3,'計算A'!$A$4=0)),AND(12=$I5-1,OR(12&lt;&gt;'計算A'!$A$3,'計算A'!$A$4=0))),0,IF(12=$K5,200000,ABS(12-$K5)*100)),100000+ABS(1-$J5)*1000+120)+'計算A'!O$5*50+IF(AND($E5=1,JB5=0),25,0),IF($F5&gt;0,INDEX('計算A'!O$110:O$114,$F5+1)+IF(AND($E5=1,JB5=0),1000,0),MIN(TU5,20)*400+(IF('計算A'!N$106=1,1-DL5,0)+IF('計算A'!O$106=1,1-DN5,0))*150+121+'計算A'!O$5*100000+IF(AND($E5=1,JB5=0),50000,0))+IF($H5=1,(IF('計算A'!N$117=1,INDEX('計算A'!N$10:N$54,$B5),0)+IF('計算A'!O$117=1,INDEX('計算A'!P$10:P$54,$B5),0))*4000,0)-IF(AND('計算A'!N$117=1,UL5&gt;0),2000,0)-IF(AND($L5=1,'計算A'!O$117=1,DN5=0),2000,0))),1000000))</f>
        <v/>
      </c>
      <c r="OR5">
        <f>IF($B5=0,1000000,IF(INDEX('計算A'!$D$60:$EQ$104,$B5,13)*DN5=1,IF(AND($E5=2,JC5=0),1000000,IF($I5&gt;0,IF(1=$J5,IF(OR(AND(13=$I5+1,OR($K5&lt;&gt;'計算A'!$A$3,'計算A'!$A$4=0)),AND(13=$I5-1,OR(13&lt;&gt;'計算A'!$A$3,'計算A'!$A$4=0))),0,IF(13=$K5,200000,ABS(13-$K5)*100)),100000+ABS(1-$J5)*1000+130)+'計算A'!P$5*50+IF(AND($E5=1,JC5=0),25,0),IF($F5&gt;0,INDEX('計算A'!P$110:P$114,$F5+1)+IF(AND($E5=1,JC5=0),1000,0),MIN(TU5,20)*400+(IF('計算A'!O$106=1,1-DM5,0)+IF('計算A'!P$106=1,1-DO5,0))*150+131+'計算A'!P$5*100000+IF(AND($E5=1,JC5=0),50000,0))+IF($H5=1,(IF('計算A'!O$117=1,INDEX('計算A'!O$10:O$54,$B5),0)+IF('計算A'!P$117=1,INDEX('計算A'!Q$10:Q$54,$B5),0))*4000,0)-IF(AND('計算A'!O$117=1,UM5&gt;0),2000,0)-IF(AND($L5=1,'計算A'!P$117=1,DO5=0),2000,0))),1000000))</f>
        <v/>
      </c>
      <c r="OS5">
        <f>IF($B5=0,1000000,IF(INDEX('計算A'!$D$60:$EQ$104,$B5,14)*DO5=1,IF(AND($E5=2,JD5=0),1000000,IF($I5&gt;0,IF(1=$J5,IF(OR(AND(14=$I5+1,OR($K5&lt;&gt;'計算A'!$A$3,'計算A'!$A$4=0)),AND(14=$I5-1,OR(14&lt;&gt;'計算A'!$A$3,'計算A'!$A$4=0))),0,IF(14=$K5,200000,ABS(14-$K5)*100)),100000+ABS(1-$J5)*1000+140)+'計算A'!Q$5*50+IF(AND($E5=1,JD5=0),25,0),IF($F5&gt;0,INDEX('計算A'!Q$110:Q$114,$F5+1)+IF(AND($E5=1,JD5=0),1000,0),MIN(TU5,20)*400+(IF('計算A'!P$106=1,1-DN5,0)+IF('計算A'!Q$106=1,1-DP5,0))*150+141+'計算A'!Q$5*100000+IF(AND($E5=1,JD5=0),50000,0))+IF($H5=1,(IF('計算A'!P$117=1,INDEX('計算A'!P$10:P$54,$B5),0)+IF('計算A'!Q$117=1,INDEX('計算A'!R$10:R$54,$B5),0))*4000,0)-IF(AND('計算A'!P$117=1,UN5&gt;0),2000,0)-IF(AND($L5=1,'計算A'!Q$117=1,DP5=0),2000,0))),1000000))</f>
        <v/>
      </c>
      <c r="OT5">
        <f>IF($B5=0,1000000,IF(INDEX('計算A'!$D$60:$EQ$104,$B5,15)*DP5=1,IF(AND($E5=2,JE5=0),1000000,IF($I5&gt;0,IF(1=$J5,IF(OR(AND(15=$I5+1,OR($K5&lt;&gt;'計算A'!$A$3,'計算A'!$A$4=0)),AND(15=$I5-1,OR(15&lt;&gt;'計算A'!$A$3,'計算A'!$A$4=0))),0,IF(15=$K5,200000,ABS(15-$K5)*100)),100000+ABS(1-$J5)*1000+150)+'計算A'!R$5*50+IF(AND($E5=1,JE5=0),25,0),IF($F5&gt;0,INDEX('計算A'!R$110:R$114,$F5+1)+IF(AND($E5=1,JE5=0),1000,0),MIN(TU5,20)*400+(IF('計算A'!Q$106=1,1-DO5,0)+IF('計算A'!R$106=1,1-DQ5,0))*150+151+'計算A'!R$5*100000+IF(AND($E5=1,JE5=0),50000,0))+IF($H5=1,(IF('計算A'!Q$117=1,INDEX('計算A'!Q$10:Q$54,$B5),0)+IF('計算A'!R$117=1,INDEX('計算A'!S$10:S$54,$B5),0))*4000,0)-IF(AND('計算A'!Q$117=1,UO5&gt;0),2000,0)-IF(AND($L5=1,'計算A'!R$117=1,DQ5=0),2000,0))),1000000))</f>
        <v/>
      </c>
      <c r="OU5">
        <f>IF($B5=0,1000000,IF(INDEX('計算A'!$D$60:$EQ$104,$B5,16)*DQ5=1,IF(AND($E5=2,JF5=0),1000000,IF($I5&gt;0,IF(1=$J5,IF(OR(AND(16=$I5+1,OR($K5&lt;&gt;'計算A'!$A$3,'計算A'!$A$4=0)),AND(16=$I5-1,OR(16&lt;&gt;'計算A'!$A$3,'計算A'!$A$4=0))),0,IF(16=$K5,200000,ABS(16-$K5)*100)),100000+ABS(1-$J5)*1000+160)+'計算A'!S$5*50+IF(AND($E5=1,JF5=0),25,0),IF($F5&gt;0,INDEX('計算A'!S$110:S$114,$F5+1)+IF(AND($E5=1,JF5=0),1000,0),MIN(TU5,20)*400+(IF('計算A'!R$106=1,1-DP5,0)+IF('計算A'!S$106=1,1-DR5,0))*150+161+'計算A'!S$5*100000+IF(AND($E5=1,JF5=0),50000,0))+IF($H5=1,(IF('計算A'!R$117=1,INDEX('計算A'!R$10:R$54,$B5),0)+IF('計算A'!S$117=1,INDEX('計算A'!T$10:T$54,$B5),0))*4000,0)-IF(AND('計算A'!R$117=1,UP5&gt;0),2000,0)-IF(AND($L5=1,'計算A'!S$117=1,DR5=0),2000,0))),1000000))</f>
        <v/>
      </c>
      <c r="OV5">
        <f>IF($B5=0,1000000,IF(INDEX('計算A'!$D$60:$EQ$104,$B5,17)*DR5=1,IF(AND($E5=2,JG5=0),1000000,IF($I5&gt;0,IF(1=$J5,IF(OR(AND(17=$I5+1,OR($K5&lt;&gt;'計算A'!$A$3,'計算A'!$A$4=0)),AND(17=$I5-1,OR(17&lt;&gt;'計算A'!$A$3,'計算A'!$A$4=0))),0,IF(17=$K5,200000,ABS(17-$K5)*100)),100000+ABS(1-$J5)*1000+170)+'計算A'!T$5*50+IF(AND($E5=1,JG5=0),25,0),IF($F5&gt;0,INDEX('計算A'!T$110:T$114,$F5+1)+IF(AND($E5=1,JG5=0),1000,0),MIN(TU5,20)*400+(IF('計算A'!S$106=1,1-DQ5,0)+IF('計算A'!T$106=1,1-DS5,0))*150+171+'計算A'!T$5*100000+IF(AND($E5=1,JG5=0),50000,0))+IF($H5=1,(IF('計算A'!S$117=1,INDEX('計算A'!S$10:S$54,$B5),0)+IF('計算A'!T$117=1,INDEX('計算A'!U$10:U$54,$B5),0))*4000,0)-IF(AND('計算A'!S$117=1,UQ5&gt;0),2000,0)-IF(AND($L5=1,'計算A'!T$117=1,DS5=0),2000,0))),1000000))</f>
        <v/>
      </c>
      <c r="OW5">
        <f>IF($B5=0,1000000,IF(INDEX('計算A'!$D$60:$EQ$104,$B5,18)*DS5=1,IF(AND($E5=2,JH5=0),1000000,IF($I5&gt;0,IF(1=$J5,IF(OR(AND(18=$I5+1,OR($K5&lt;&gt;'計算A'!$A$3,'計算A'!$A$4=0)),AND(18=$I5-1,OR(18&lt;&gt;'計算A'!$A$3,'計算A'!$A$4=0))),0,IF(18=$K5,200000,ABS(18-$K5)*100)),100000+ABS(1-$J5)*1000+180)+'計算A'!U$5*50+IF(AND($E5=1,JH5=0),25,0),IF($F5&gt;0,INDEX('計算A'!U$110:U$114,$F5+1)+IF(AND($E5=1,JH5=0),1000,0),MIN(TU5,20)*400+(IF('計算A'!T$106=1,1-DR5,0)+IF('計算A'!U$106=1,1-DT5,0))*150+181+'計算A'!U$5*100000+IF(AND($E5=1,JH5=0),50000,0))+IF($H5=1,(IF('計算A'!T$117=1,INDEX('計算A'!T$10:T$54,$B5),0)+IF('計算A'!U$117=1,INDEX('計算A'!V$10:V$54,$B5),0))*4000,0)-IF(AND('計算A'!T$117=1,UR5&gt;0),2000,0)-IF(AND($L5=1,'計算A'!U$117=1,DT5=0),2000,0))),1000000))</f>
        <v/>
      </c>
      <c r="OX5">
        <f>IF($B5=0,1000000,IF(INDEX('計算A'!$D$60:$EQ$104,$B5,19)*DT5=1,IF(AND($E5=2,JI5=0),1000000,IF($I5&gt;0,IF(1=$J5,IF(OR(AND(19=$I5+1,OR($K5&lt;&gt;'計算A'!$A$3,'計算A'!$A$4=0)),AND(19=$I5-1,OR(19&lt;&gt;'計算A'!$A$3,'計算A'!$A$4=0))),0,IF(19=$K5,200000,ABS(19-$K5)*100)),100000+ABS(1-$J5)*1000+190)+'計算A'!V$5*50+IF(AND($E5=1,JI5=0),25,0),IF($F5&gt;0,INDEX('計算A'!V$110:V$114,$F5+1)+IF(AND($E5=1,JI5=0),1000,0),MIN(TU5,20)*400+(IF('計算A'!U$106=1,1-DS5,0)+IF('計算A'!V$106=1,1-DU5,0))*150+191+'計算A'!V$5*100000+IF(AND($E5=1,JI5=0),50000,0))+IF($H5=1,(IF('計算A'!U$117=1,INDEX('計算A'!U$10:U$54,$B5),0)+IF('計算A'!V$117=1,INDEX('計算A'!W$10:W$54,$B5),0))*4000,0)-IF(AND('計算A'!U$117=1,US5&gt;0),2000,0)-IF(AND($L5=1,'計算A'!V$117=1,DU5=0),2000,0))),1000000))</f>
        <v/>
      </c>
      <c r="OY5">
        <f>IF($B5=0,1000000,IF(INDEX('計算A'!$D$60:$EQ$104,$B5,20)*DU5=1,IF(AND($E5=2,JJ5=0),1000000,IF($I5&gt;0,IF(1=$J5,IF(OR(AND(20=$I5+1,OR($K5&lt;&gt;'計算A'!$A$3,'計算A'!$A$4=0)),AND(20=$I5-1,OR(20&lt;&gt;'計算A'!$A$3,'計算A'!$A$4=0))),0,IF(20=$K5,200000,ABS(20-$K5)*100)),100000+ABS(1-$J5)*1000+200)+'計算A'!W$5*50+IF(AND($E5=1,JJ5=0),25,0),IF($F5&gt;0,INDEX('計算A'!W$110:W$114,$F5+1)+IF(AND($E5=1,JJ5=0),1000,0),MIN(TU5,20)*400+(IF('計算A'!V$106=1,1-DT5,0)+IF('計算A'!W$106=1,1-DV5,0))*150+201+'計算A'!W$5*100000+IF(AND($E5=1,JJ5=0),50000,0))+IF($H5=1,(IF('計算A'!V$117=1,INDEX('計算A'!V$10:V$54,$B5),0)+IF('計算A'!W$117=1,INDEX('計算A'!X$10:X$54,$B5),0))*4000,0)-IF(AND('計算A'!V$117=1,UT5&gt;0),2000,0)-IF(AND($L5=1,'計算A'!W$117=1,DV5=0),2000,0))),1000000))</f>
        <v/>
      </c>
      <c r="OZ5">
        <f>IF($B5=0,1000000,IF(INDEX('計算A'!$D$60:$EQ$104,$B5,21)*DV5=1,IF(AND($E5=2,JK5=0),1000000,IF($I5&gt;0,IF(1=$J5,IF(OR(AND(21=$I5+1,OR($K5&lt;&gt;'計算A'!$A$3,'計算A'!$A$4=0)),AND(21=$I5-1,OR(21&lt;&gt;'計算A'!$A$3,'計算A'!$A$4=0))),0,IF(21=$K5,200000,ABS(21-$K5)*100)),100000+ABS(1-$J5)*1000+210)+'計算A'!X$5*50+IF(AND($E5=1,JK5=0),25,0),IF($F5&gt;0,INDEX('計算A'!X$110:X$114,$F5+1)+IF(AND($E5=1,JK5=0),1000,0),MIN(TU5,20)*400+(IF('計算A'!W$106=1,1-DU5,0)+IF('計算A'!X$106=1,1-DW5,0))*150+211+'計算A'!X$5*100000+IF(AND($E5=1,JK5=0),50000,0))+IF($H5=1,(IF('計算A'!W$117=1,INDEX('計算A'!W$10:W$54,$B5),0)+IF('計算A'!X$117=1,INDEX('計算A'!Y$10:Y$54,$B5),0))*4000,0)-IF(AND('計算A'!W$117=1,UU5&gt;0),2000,0)-IF(AND($L5=1,'計算A'!X$117=1,DW5=0),2000,0))),1000000))</f>
        <v/>
      </c>
      <c r="PA5">
        <f>IF($B5=0,1000000,IF(INDEX('計算A'!$D$60:$EQ$104,$B5,22)*DW5=1,IF(AND($E5=2,JL5=0),1000000,IF($I5&gt;0,IF(1=$J5,IF(OR(AND(22=$I5+1,OR($K5&lt;&gt;'計算A'!$A$3,'計算A'!$A$4=0)),AND(22=$I5-1,OR(22&lt;&gt;'計算A'!$A$3,'計算A'!$A$4=0))),0,IF(22=$K5,200000,ABS(22-$K5)*100)),100000+ABS(1-$J5)*1000+220)+'計算A'!Y$5*50+IF(AND($E5=1,JL5=0),25,0),IF($F5&gt;0,INDEX('計算A'!Y$110:Y$114,$F5+1)+IF(AND($E5=1,JL5=0),1000,0),MIN(TU5,20)*400+(IF('計算A'!X$106=1,1-DV5,0)+IF('計算A'!Y$106=1,1-DX5,0))*150+221+'計算A'!Y$5*100000+IF(AND($E5=1,JL5=0),50000,0))+IF($H5=1,(IF('計算A'!X$117=1,INDEX('計算A'!X$10:X$54,$B5),0)+IF('計算A'!Y$117=1,INDEX('計算A'!Z$10:Z$54,$B5),0))*4000,0)-IF(AND('計算A'!X$117=1,UV5&gt;0),2000,0)-IF(AND($L5=1,'計算A'!Y$117=1,DX5=0),2000,0))),1000000))</f>
        <v/>
      </c>
      <c r="PB5">
        <f>IF($B5=0,1000000,IF(INDEX('計算A'!$D$60:$EQ$104,$B5,23)*DX5=1,IF(AND($E5=2,JM5=0),1000000,IF($I5&gt;0,IF(1=$J5,IF(OR(AND(23=$I5+1,OR($K5&lt;&gt;'計算A'!$A$3,'計算A'!$A$4=0)),AND(23=$I5-1,OR(23&lt;&gt;'計算A'!$A$3,'計算A'!$A$4=0))),0,IF(23=$K5,200000,ABS(23-$K5)*100)),100000+ABS(1-$J5)*1000+230)+'計算A'!Z$5*50+IF(AND($E5=1,JM5=0),25,0),IF($F5&gt;0,INDEX('計算A'!Z$110:Z$114,$F5+1)+IF(AND($E5=1,JM5=0),1000,0),MIN(TU5,20)*400+(IF('計算A'!Y$106=1,1-DW5,0)+IF('計算A'!Z$106=1,1-DY5,0))*150+231+'計算A'!Z$5*100000+IF(AND($E5=1,JM5=0),50000,0))+IF($H5=1,(IF('計算A'!Y$117=1,INDEX('計算A'!Y$10:Y$54,$B5),0)+IF('計算A'!Z$117=1,INDEX('計算A'!AA$10:AA$54,$B5),0))*4000,0)-IF(AND('計算A'!Y$117=1,UW5&gt;0),2000,0)-IF(AND($L5=1,'計算A'!Z$117=1,DY5=0),2000,0))),1000000))</f>
        <v/>
      </c>
      <c r="PC5">
        <f>IF($B5=0,1000000,IF(INDEX('計算A'!$D$60:$EQ$104,$B5,24)*DY5=1,IF(AND($E5=2,JN5=0),1000000,IF($I5&gt;0,IF(1=$J5,IF(OR(AND(24=$I5+1,OR($K5&lt;&gt;'計算A'!$A$3,'計算A'!$A$4=0)),AND(24=$I5-1,OR(24&lt;&gt;'計算A'!$A$3,'計算A'!$A$4=0))),0,IF(24=$K5,200000,ABS(24-$K5)*100)),100000+ABS(1-$J5)*1000+240)+'計算A'!AA$5*50+IF(AND($E5=1,JN5=0),25,0),IF($F5&gt;0,INDEX('計算A'!AA$110:AA$114,$F5+1)+IF(AND($E5=1,JN5=0),1000,0),MIN(TU5,20)*400+(IF('計算A'!Z$106=1,1-DX5,0))*150+241+'計算A'!AA$5*100000+IF(AND($E5=1,JN5=0),50000,0))+IF($H5=1,(IF('計算A'!Z$117=1,INDEX('計算A'!Z$10:Z$54,$B5),0))*4000,0)-IF(AND('計算A'!Z$117=1,UX5&gt;0),2000,0))),1000000))</f>
        <v/>
      </c>
      <c r="PD5">
        <f>IF($B5=0,1000000,IF(INDEX('計算A'!$D$60:$EQ$104,$B5,25)*DZ5=1,IF(AND($E5=2,JO5=0),1000000,IF($I5&gt;0,IF(2=$J5,IF(OR(AND(25=$I5+1,OR($K5&lt;&gt;'計算A'!$A$3,'計算A'!$A$4=0)),AND(25=$I5-1,OR(1&lt;&gt;'計算A'!$A$3,'計算A'!$A$4=0))),0,IF(1=$K5,200000,ABS(1-$K5)*100)),100000+ABS(2-$J5)*1000+10)+'計算A'!AB$5*50+IF(AND($E5=1,JO5=0),25,0),IF($F5&gt;0,INDEX('計算A'!AB$110:AB$114,$F5+1)+IF(AND($E5=1,JO5=0),1000,0),MIN(TV5,20)*400+(IF('計算A'!AB$106=1,1-EA5,0))*150+12+'計算A'!AB$5*100000+IF(AND($E5=1,JO5=0),50000,0))+IF($H5=1,(IF('計算A'!AB$117=1,INDEX('計算A'!AC$10:AC$54,$B5),0))*4000,0)-IF(AND($L5=1,'計算A'!AB$117=1,EA5=0),2000,0))),1000000))</f>
        <v/>
      </c>
      <c r="PE5">
        <f>IF($B5=0,1000000,IF(INDEX('計算A'!$D$60:$EQ$104,$B5,26)*EA5=1,IF(AND($E5=2,JP5=0),1000000,IF($I5&gt;0,IF(2=$J5,IF(OR(AND(26=$I5+1,OR($K5&lt;&gt;'計算A'!$A$3,'計算A'!$A$4=0)),AND(26=$I5-1,OR(2&lt;&gt;'計算A'!$A$3,'計算A'!$A$4=0))),0,IF(2=$K5,200000,ABS(2-$K5)*100)),100000+ABS(2-$J5)*1000+20)+'計算A'!AC$5*50+IF(AND($E5=1,JP5=0),25,0),IF($F5&gt;0,INDEX('計算A'!AC$110:AC$114,$F5+1)+IF(AND($E5=1,JP5=0),1000,0),MIN(TV5,20)*400+(IF('計算A'!AB$106=1,1-DZ5,0)+IF('計算A'!AC$106=1,1-EB5,0))*150+22+'計算A'!AC$5*100000+IF(AND($E5=1,JP5=0),50000,0))+IF($H5=1,(IF('計算A'!AB$117=1,INDEX('計算A'!AB$10:AB$54,$B5),0)+IF('計算A'!AC$117=1,INDEX('計算A'!AD$10:AD$54,$B5),0))*4000,0)-IF(AND('計算A'!AB$117=1,UZ5&gt;0),2000,0)-IF(AND($L5=1,'計算A'!AC$117=1,EB5=0),2000,0))),1000000))</f>
        <v/>
      </c>
      <c r="PF5">
        <f>IF($B5=0,1000000,IF(INDEX('計算A'!$D$60:$EQ$104,$B5,27)*EB5=1,IF(AND($E5=2,JQ5=0),1000000,IF($I5&gt;0,IF(2=$J5,IF(OR(AND(27=$I5+1,OR($K5&lt;&gt;'計算A'!$A$3,'計算A'!$A$4=0)),AND(27=$I5-1,OR(3&lt;&gt;'計算A'!$A$3,'計算A'!$A$4=0))),0,IF(3=$K5,200000,ABS(3-$K5)*100)),100000+ABS(2-$J5)*1000+30)+'計算A'!AD$5*50+IF(AND($E5=1,JQ5=0),25,0),IF($F5&gt;0,INDEX('計算A'!AD$110:AD$114,$F5+1)+IF(AND($E5=1,JQ5=0),1000,0),MIN(TV5,20)*400+(IF('計算A'!AC$106=1,1-EA5,0)+IF('計算A'!AD$106=1,1-EC5,0))*150+32+'計算A'!AD$5*100000+IF(AND($E5=1,JQ5=0),50000,0))+IF($H5=1,(IF('計算A'!AC$117=1,INDEX('計算A'!AC$10:AC$54,$B5),0)+IF('計算A'!AD$117=1,INDEX('計算A'!AE$10:AE$54,$B5),0))*4000,0)-IF(AND('計算A'!AC$117=1,VA5&gt;0),2000,0)-IF(AND($L5=1,'計算A'!AD$117=1,EC5=0),2000,0))),1000000))</f>
        <v/>
      </c>
      <c r="PG5">
        <f>IF($B5=0,1000000,IF(INDEX('計算A'!$D$60:$EQ$104,$B5,28)*EC5=1,IF(AND($E5=2,JR5=0),1000000,IF($I5&gt;0,IF(2=$J5,IF(OR(AND(28=$I5+1,OR($K5&lt;&gt;'計算A'!$A$3,'計算A'!$A$4=0)),AND(28=$I5-1,OR(4&lt;&gt;'計算A'!$A$3,'計算A'!$A$4=0))),0,IF(4=$K5,200000,ABS(4-$K5)*100)),100000+ABS(2-$J5)*1000+40)+'計算A'!AE$5*50+IF(AND($E5=1,JR5=0),25,0),IF($F5&gt;0,INDEX('計算A'!AE$110:AE$114,$F5+1)+IF(AND($E5=1,JR5=0),1000,0),MIN(TV5,20)*400+(IF('計算A'!AD$106=1,1-EB5,0)+IF('計算A'!AE$106=1,1-ED5,0))*150+42+'計算A'!AE$5*100000+IF(AND($E5=1,JR5=0),50000,0))+IF($H5=1,(IF('計算A'!AD$117=1,INDEX('計算A'!AD$10:AD$54,$B5),0)+IF('計算A'!AE$117=1,INDEX('計算A'!AF$10:AF$54,$B5),0))*4000,0)-IF(AND('計算A'!AD$117=1,VB5&gt;0),2000,0)-IF(AND($L5=1,'計算A'!AE$117=1,ED5=0),2000,0))),1000000))</f>
        <v/>
      </c>
      <c r="PH5">
        <f>IF($B5=0,1000000,IF(INDEX('計算A'!$D$60:$EQ$104,$B5,29)*ED5=1,IF(AND($E5=2,JS5=0),1000000,IF($I5&gt;0,IF(2=$J5,IF(OR(AND(29=$I5+1,OR($K5&lt;&gt;'計算A'!$A$3,'計算A'!$A$4=0)),AND(29=$I5-1,OR(5&lt;&gt;'計算A'!$A$3,'計算A'!$A$4=0))),0,IF(5=$K5,200000,ABS(5-$K5)*100)),100000+ABS(2-$J5)*1000+50)+'計算A'!AF$5*50+IF(AND($E5=1,JS5=0),25,0),IF($F5&gt;0,INDEX('計算A'!AF$110:AF$114,$F5+1)+IF(AND($E5=1,JS5=0),1000,0),MIN(TV5,20)*400+(IF('計算A'!AE$106=1,1-EC5,0)+IF('計算A'!AF$106=1,1-EE5,0))*150+52+'計算A'!AF$5*100000+IF(AND($E5=1,JS5=0),50000,0))+IF($H5=1,(IF('計算A'!AE$117=1,INDEX('計算A'!AE$10:AE$54,$B5),0)+IF('計算A'!AF$117=1,INDEX('計算A'!AG$10:AG$54,$B5),0))*4000,0)-IF(AND('計算A'!AE$117=1,VC5&gt;0),2000,0)-IF(AND($L5=1,'計算A'!AF$117=1,EE5=0),2000,0))),1000000))</f>
        <v/>
      </c>
      <c r="PI5">
        <f>IF($B5=0,1000000,IF(INDEX('計算A'!$D$60:$EQ$104,$B5,30)*EE5=1,IF(AND($E5=2,JT5=0),1000000,IF($I5&gt;0,IF(2=$J5,IF(OR(AND(30=$I5+1,OR($K5&lt;&gt;'計算A'!$A$3,'計算A'!$A$4=0)),AND(30=$I5-1,OR(6&lt;&gt;'計算A'!$A$3,'計算A'!$A$4=0))),0,IF(6=$K5,200000,ABS(6-$K5)*100)),100000+ABS(2-$J5)*1000+60)+'計算A'!AG$5*50+IF(AND($E5=1,JT5=0),25,0),IF($F5&gt;0,INDEX('計算A'!AG$110:AG$114,$F5+1)+IF(AND($E5=1,JT5=0),1000,0),MIN(TV5,20)*400+(IF('計算A'!AF$106=1,1-ED5,0)+IF('計算A'!AG$106=1,1-EF5,0))*150+62+'計算A'!AG$5*100000+IF(AND($E5=1,JT5=0),50000,0))+IF($H5=1,(IF('計算A'!AF$117=1,INDEX('計算A'!AF$10:AF$54,$B5),0)+IF('計算A'!AG$117=1,INDEX('計算A'!AH$10:AH$54,$B5),0))*4000,0)-IF(AND('計算A'!AF$117=1,VD5&gt;0),2000,0)-IF(AND($L5=1,'計算A'!AG$117=1,EF5=0),2000,0))),1000000))</f>
        <v/>
      </c>
      <c r="PJ5">
        <f>IF($B5=0,1000000,IF(INDEX('計算A'!$D$60:$EQ$104,$B5,31)*EF5=1,IF(AND($E5=2,JU5=0),1000000,IF($I5&gt;0,IF(2=$J5,IF(OR(AND(31=$I5+1,OR($K5&lt;&gt;'計算A'!$A$3,'計算A'!$A$4=0)),AND(31=$I5-1,OR(7&lt;&gt;'計算A'!$A$3,'計算A'!$A$4=0))),0,IF(7=$K5,200000,ABS(7-$K5)*100)),100000+ABS(2-$J5)*1000+70)+'計算A'!AH$5*50+IF(AND($E5=1,JU5=0),25,0),IF($F5&gt;0,INDEX('計算A'!AH$110:AH$114,$F5+1)+IF(AND($E5=1,JU5=0),1000,0),MIN(TV5,20)*400+(IF('計算A'!AG$106=1,1-EE5,0)+IF('計算A'!AH$106=1,1-EG5,0))*150+72+'計算A'!AH$5*100000+IF(AND($E5=1,JU5=0),50000,0))+IF($H5=1,(IF('計算A'!AG$117=1,INDEX('計算A'!AG$10:AG$54,$B5),0)+IF('計算A'!AH$117=1,INDEX('計算A'!AI$10:AI$54,$B5),0))*4000,0)-IF(AND('計算A'!AG$117=1,VE5&gt;0),2000,0)-IF(AND($L5=1,'計算A'!AH$117=1,EG5=0),2000,0))),1000000))</f>
        <v/>
      </c>
      <c r="PK5">
        <f>IF($B5=0,1000000,IF(INDEX('計算A'!$D$60:$EQ$104,$B5,32)*EG5=1,IF(AND($E5=2,JV5=0),1000000,IF($I5&gt;0,IF(2=$J5,IF(OR(AND(32=$I5+1,OR($K5&lt;&gt;'計算A'!$A$3,'計算A'!$A$4=0)),AND(32=$I5-1,OR(8&lt;&gt;'計算A'!$A$3,'計算A'!$A$4=0))),0,IF(8=$K5,200000,ABS(8-$K5)*100)),100000+ABS(2-$J5)*1000+80)+'計算A'!AI$5*50+IF(AND($E5=1,JV5=0),25,0),IF($F5&gt;0,INDEX('計算A'!AI$110:AI$114,$F5+1)+IF(AND($E5=1,JV5=0),1000,0),MIN(TV5,20)*400+(IF('計算A'!AH$106=1,1-EF5,0)+IF('計算A'!AI$106=1,1-EH5,0))*150+82+'計算A'!AI$5*100000+IF(AND($E5=1,JV5=0),50000,0))+IF($H5=1,(IF('計算A'!AH$117=1,INDEX('計算A'!AH$10:AH$54,$B5),0)+IF('計算A'!AI$117=1,INDEX('計算A'!AJ$10:AJ$54,$B5),0))*4000,0)-IF(AND('計算A'!AH$117=1,VF5&gt;0),2000,0)-IF(AND($L5=1,'計算A'!AI$117=1,EH5=0),2000,0))),1000000))</f>
        <v/>
      </c>
      <c r="PL5">
        <f>IF($B5=0,1000000,IF(INDEX('計算A'!$D$60:$EQ$104,$B5,33)*EH5=1,IF(AND($E5=2,JW5=0),1000000,IF($I5&gt;0,IF(2=$J5,IF(OR(AND(33=$I5+1,OR($K5&lt;&gt;'計算A'!$A$3,'計算A'!$A$4=0)),AND(33=$I5-1,OR(9&lt;&gt;'計算A'!$A$3,'計算A'!$A$4=0))),0,IF(9=$K5,200000,ABS(9-$K5)*100)),100000+ABS(2-$J5)*1000+90)+'計算A'!AJ$5*50+IF(AND($E5=1,JW5=0),25,0),IF($F5&gt;0,INDEX('計算A'!AJ$110:AJ$114,$F5+1)+IF(AND($E5=1,JW5=0),1000,0),MIN(TV5,20)*400+(IF('計算A'!AI$106=1,1-EG5,0)+IF('計算A'!AJ$106=1,1-EI5,0))*150+92+'計算A'!AJ$5*100000+IF(AND($E5=1,JW5=0),50000,0))+IF($H5=1,(IF('計算A'!AI$117=1,INDEX('計算A'!AI$10:AI$54,$B5),0)+IF('計算A'!AJ$117=1,INDEX('計算A'!AK$10:AK$54,$B5),0))*4000,0)-IF(AND('計算A'!AI$117=1,VG5&gt;0),2000,0)-IF(AND($L5=1,'計算A'!AJ$117=1,EI5=0),2000,0))),1000000))</f>
        <v/>
      </c>
      <c r="PM5">
        <f>IF($B5=0,1000000,IF(INDEX('計算A'!$D$60:$EQ$104,$B5,34)*EI5=1,IF(AND($E5=2,JX5=0),1000000,IF($I5&gt;0,IF(2=$J5,IF(OR(AND(34=$I5+1,OR($K5&lt;&gt;'計算A'!$A$3,'計算A'!$A$4=0)),AND(34=$I5-1,OR(10&lt;&gt;'計算A'!$A$3,'計算A'!$A$4=0))),0,IF(10=$K5,200000,ABS(10-$K5)*100)),100000+ABS(2-$J5)*1000+100)+'計算A'!AK$5*50+IF(AND($E5=1,JX5=0),25,0),IF($F5&gt;0,INDEX('計算A'!AK$110:AK$114,$F5+1)+IF(AND($E5=1,JX5=0),1000,0),MIN(TV5,20)*400+(IF('計算A'!AJ$106=1,1-EH5,0)+IF('計算A'!AK$106=1,1-EJ5,0))*150+102+'計算A'!AK$5*100000+IF(AND($E5=1,JX5=0),50000,0))+IF($H5=1,(IF('計算A'!AJ$117=1,INDEX('計算A'!AJ$10:AJ$54,$B5),0)+IF('計算A'!AK$117=1,INDEX('計算A'!AL$10:AL$54,$B5),0))*4000,0)-IF(AND('計算A'!AJ$117=1,VH5&gt;0),2000,0)-IF(AND($L5=1,'計算A'!AK$117=1,EJ5=0),2000,0))),1000000))</f>
        <v/>
      </c>
      <c r="PN5">
        <f>IF($B5=0,1000000,IF(INDEX('計算A'!$D$60:$EQ$104,$B5,35)*EJ5=1,IF(AND($E5=2,JY5=0),1000000,IF($I5&gt;0,IF(2=$J5,IF(OR(AND(35=$I5+1,OR($K5&lt;&gt;'計算A'!$A$3,'計算A'!$A$4=0)),AND(35=$I5-1,OR(11&lt;&gt;'計算A'!$A$3,'計算A'!$A$4=0))),0,IF(11=$K5,200000,ABS(11-$K5)*100)),100000+ABS(2-$J5)*1000+110)+'計算A'!AL$5*50+IF(AND($E5=1,JY5=0),25,0),IF($F5&gt;0,INDEX('計算A'!AL$110:AL$114,$F5+1)+IF(AND($E5=1,JY5=0),1000,0),MIN(TV5,20)*400+(IF('計算A'!AK$106=1,1-EI5,0)+IF('計算A'!AL$106=1,1-EK5,0))*150+112+'計算A'!AL$5*100000+IF(AND($E5=1,JY5=0),50000,0))+IF($H5=1,(IF('計算A'!AK$117=1,INDEX('計算A'!AK$10:AK$54,$B5),0)+IF('計算A'!AL$117=1,INDEX('計算A'!AM$10:AM$54,$B5),0))*4000,0)-IF(AND('計算A'!AK$117=1,VI5&gt;0),2000,0)-IF(AND($L5=1,'計算A'!AL$117=1,EK5=0),2000,0))),1000000))</f>
        <v/>
      </c>
      <c r="PO5">
        <f>IF($B5=0,1000000,IF(INDEX('計算A'!$D$60:$EQ$104,$B5,36)*EK5=1,IF(AND($E5=2,JZ5=0),1000000,IF($I5&gt;0,IF(2=$J5,IF(OR(AND(36=$I5+1,OR($K5&lt;&gt;'計算A'!$A$3,'計算A'!$A$4=0)),AND(36=$I5-1,OR(12&lt;&gt;'計算A'!$A$3,'計算A'!$A$4=0))),0,IF(12=$K5,200000,ABS(12-$K5)*100)),100000+ABS(2-$J5)*1000+120)+'計算A'!AM$5*50+IF(AND($E5=1,JZ5=0),25,0),IF($F5&gt;0,INDEX('計算A'!AM$110:AM$114,$F5+1)+IF(AND($E5=1,JZ5=0),1000,0),MIN(TV5,20)*400+(IF('計算A'!AL$106=1,1-EJ5,0)+IF('計算A'!AM$106=1,1-EL5,0))*150+122+'計算A'!AM$5*100000+IF(AND($E5=1,JZ5=0),50000,0))+IF($H5=1,(IF('計算A'!AL$117=1,INDEX('計算A'!AL$10:AL$54,$B5),0)+IF('計算A'!AM$117=1,INDEX('計算A'!AN$10:AN$54,$B5),0))*4000,0)-IF(AND('計算A'!AL$117=1,VJ5&gt;0),2000,0)-IF(AND($L5=1,'計算A'!AM$117=1,EL5=0),2000,0))),1000000))</f>
        <v/>
      </c>
      <c r="PP5">
        <f>IF($B5=0,1000000,IF(INDEX('計算A'!$D$60:$EQ$104,$B5,37)*EL5=1,IF(AND($E5=2,KA5=0),1000000,IF($I5&gt;0,IF(2=$J5,IF(OR(AND(37=$I5+1,OR($K5&lt;&gt;'計算A'!$A$3,'計算A'!$A$4=0)),AND(37=$I5-1,OR(13&lt;&gt;'計算A'!$A$3,'計算A'!$A$4=0))),0,IF(13=$K5,200000,ABS(13-$K5)*100)),100000+ABS(2-$J5)*1000+130)+'計算A'!AN$5*50+IF(AND($E5=1,KA5=0),25,0),IF($F5&gt;0,INDEX('計算A'!AN$110:AN$114,$F5+1)+IF(AND($E5=1,KA5=0),1000,0),MIN(TV5,20)*400+(IF('計算A'!AM$106=1,1-EK5,0)+IF('計算A'!AN$106=1,1-EM5,0))*150+132+'計算A'!AN$5*100000+IF(AND($E5=1,KA5=0),50000,0))+IF($H5=1,(IF('計算A'!AM$117=1,INDEX('計算A'!AM$10:AM$54,$B5),0)+IF('計算A'!AN$117=1,INDEX('計算A'!AO$10:AO$54,$B5),0))*4000,0)-IF(AND('計算A'!AM$117=1,VK5&gt;0),2000,0)-IF(AND($L5=1,'計算A'!AN$117=1,EM5=0),2000,0))),1000000))</f>
        <v/>
      </c>
      <c r="PQ5">
        <f>IF($B5=0,1000000,IF(INDEX('計算A'!$D$60:$EQ$104,$B5,38)*EM5=1,IF(AND($E5=2,KB5=0),1000000,IF($I5&gt;0,IF(2=$J5,IF(OR(AND(38=$I5+1,OR($K5&lt;&gt;'計算A'!$A$3,'計算A'!$A$4=0)),AND(38=$I5-1,OR(14&lt;&gt;'計算A'!$A$3,'計算A'!$A$4=0))),0,IF(14=$K5,200000,ABS(14-$K5)*100)),100000+ABS(2-$J5)*1000+140)+'計算A'!AO$5*50+IF(AND($E5=1,KB5=0),25,0),IF($F5&gt;0,INDEX('計算A'!AO$110:AO$114,$F5+1)+IF(AND($E5=1,KB5=0),1000,0),MIN(TV5,20)*400+(IF('計算A'!AN$106=1,1-EL5,0)+IF('計算A'!AO$106=1,1-EN5,0))*150+142+'計算A'!AO$5*100000+IF(AND($E5=1,KB5=0),50000,0))+IF($H5=1,(IF('計算A'!AN$117=1,INDEX('計算A'!AN$10:AN$54,$B5),0)+IF('計算A'!AO$117=1,INDEX('計算A'!AP$10:AP$54,$B5),0))*4000,0)-IF(AND('計算A'!AN$117=1,VL5&gt;0),2000,0)-IF(AND($L5=1,'計算A'!AO$117=1,EN5=0),2000,0))),1000000))</f>
        <v/>
      </c>
      <c r="PR5">
        <f>IF($B5=0,1000000,IF(INDEX('計算A'!$D$60:$EQ$104,$B5,39)*EN5=1,IF(AND($E5=2,KC5=0),1000000,IF($I5&gt;0,IF(2=$J5,IF(OR(AND(39=$I5+1,OR($K5&lt;&gt;'計算A'!$A$3,'計算A'!$A$4=0)),AND(39=$I5-1,OR(15&lt;&gt;'計算A'!$A$3,'計算A'!$A$4=0))),0,IF(15=$K5,200000,ABS(15-$K5)*100)),100000+ABS(2-$J5)*1000+150)+'計算A'!AP$5*50+IF(AND($E5=1,KC5=0),25,0),IF($F5&gt;0,INDEX('計算A'!AP$110:AP$114,$F5+1)+IF(AND($E5=1,KC5=0),1000,0),MIN(TV5,20)*400+(IF('計算A'!AO$106=1,1-EM5,0)+IF('計算A'!AP$106=1,1-EO5,0))*150+152+'計算A'!AP$5*100000+IF(AND($E5=1,KC5=0),50000,0))+IF($H5=1,(IF('計算A'!AO$117=1,INDEX('計算A'!AO$10:AO$54,$B5),0)+IF('計算A'!AP$117=1,INDEX('計算A'!AQ$10:AQ$54,$B5),0))*4000,0)-IF(AND('計算A'!AO$117=1,VM5&gt;0),2000,0)-IF(AND($L5=1,'計算A'!AP$117=1,EO5=0),2000,0))),1000000))</f>
        <v/>
      </c>
      <c r="PS5">
        <f>IF($B5=0,1000000,IF(INDEX('計算A'!$D$60:$EQ$104,$B5,40)*EO5=1,IF(AND($E5=2,KD5=0),1000000,IF($I5&gt;0,IF(2=$J5,IF(OR(AND(40=$I5+1,OR($K5&lt;&gt;'計算A'!$A$3,'計算A'!$A$4=0)),AND(40=$I5-1,OR(16&lt;&gt;'計算A'!$A$3,'計算A'!$A$4=0))),0,IF(16=$K5,200000,ABS(16-$K5)*100)),100000+ABS(2-$J5)*1000+160)+'計算A'!AQ$5*50+IF(AND($E5=1,KD5=0),25,0),IF($F5&gt;0,INDEX('計算A'!AQ$110:AQ$114,$F5+1)+IF(AND($E5=1,KD5=0),1000,0),MIN(TV5,20)*400+(IF('計算A'!AP$106=1,1-EN5,0)+IF('計算A'!AQ$106=1,1-EP5,0))*150+162+'計算A'!AQ$5*100000+IF(AND($E5=1,KD5=0),50000,0))+IF($H5=1,(IF('計算A'!AP$117=1,INDEX('計算A'!AP$10:AP$54,$B5),0)+IF('計算A'!AQ$117=1,INDEX('計算A'!AR$10:AR$54,$B5),0))*4000,0)-IF(AND('計算A'!AP$117=1,VN5&gt;0),2000,0)-IF(AND($L5=1,'計算A'!AQ$117=1,EP5=0),2000,0))),1000000))</f>
        <v/>
      </c>
      <c r="PT5">
        <f>IF($B5=0,1000000,IF(INDEX('計算A'!$D$60:$EQ$104,$B5,41)*EP5=1,IF(AND($E5=2,KE5=0),1000000,IF($I5&gt;0,IF(2=$J5,IF(OR(AND(41=$I5+1,OR($K5&lt;&gt;'計算A'!$A$3,'計算A'!$A$4=0)),AND(41=$I5-1,OR(17&lt;&gt;'計算A'!$A$3,'計算A'!$A$4=0))),0,IF(17=$K5,200000,ABS(17-$K5)*100)),100000+ABS(2-$J5)*1000+170)+'計算A'!AR$5*50+IF(AND($E5=1,KE5=0),25,0),IF($F5&gt;0,INDEX('計算A'!AR$110:AR$114,$F5+1)+IF(AND($E5=1,KE5=0),1000,0),MIN(TV5,20)*400+(IF('計算A'!AQ$106=1,1-EO5,0)+IF('計算A'!AR$106=1,1-EQ5,0))*150+172+'計算A'!AR$5*100000+IF(AND($E5=1,KE5=0),50000,0))+IF($H5=1,(IF('計算A'!AQ$117=1,INDEX('計算A'!AQ$10:AQ$54,$B5),0)+IF('計算A'!AR$117=1,INDEX('計算A'!AS$10:AS$54,$B5),0))*4000,0)-IF(AND('計算A'!AQ$117=1,VO5&gt;0),2000,0)-IF(AND($L5=1,'計算A'!AR$117=1,EQ5=0),2000,0))),1000000))</f>
        <v/>
      </c>
      <c r="PU5">
        <f>IF($B5=0,1000000,IF(INDEX('計算A'!$D$60:$EQ$104,$B5,42)*EQ5=1,IF(AND($E5=2,KF5=0),1000000,IF($I5&gt;0,IF(2=$J5,IF(OR(AND(42=$I5+1,OR($K5&lt;&gt;'計算A'!$A$3,'計算A'!$A$4=0)),AND(42=$I5-1,OR(18&lt;&gt;'計算A'!$A$3,'計算A'!$A$4=0))),0,IF(18=$K5,200000,ABS(18-$K5)*100)),100000+ABS(2-$J5)*1000+180)+'計算A'!AS$5*50+IF(AND($E5=1,KF5=0),25,0),IF($F5&gt;0,INDEX('計算A'!AS$110:AS$114,$F5+1)+IF(AND($E5=1,KF5=0),1000,0),MIN(TV5,20)*400+(IF('計算A'!AR$106=1,1-EP5,0)+IF('計算A'!AS$106=1,1-ER5,0))*150+182+'計算A'!AS$5*100000+IF(AND($E5=1,KF5=0),50000,0))+IF($H5=1,(IF('計算A'!AR$117=1,INDEX('計算A'!AR$10:AR$54,$B5),0)+IF('計算A'!AS$117=1,INDEX('計算A'!AT$10:AT$54,$B5),0))*4000,0)-IF(AND('計算A'!AR$117=1,VP5&gt;0),2000,0)-IF(AND($L5=1,'計算A'!AS$117=1,ER5=0),2000,0))),1000000))</f>
        <v/>
      </c>
      <c r="PV5">
        <f>IF($B5=0,1000000,IF(INDEX('計算A'!$D$60:$EQ$104,$B5,43)*ER5=1,IF(AND($E5=2,KG5=0),1000000,IF($I5&gt;0,IF(2=$J5,IF(OR(AND(43=$I5+1,OR($K5&lt;&gt;'計算A'!$A$3,'計算A'!$A$4=0)),AND(43=$I5-1,OR(19&lt;&gt;'計算A'!$A$3,'計算A'!$A$4=0))),0,IF(19=$K5,200000,ABS(19-$K5)*100)),100000+ABS(2-$J5)*1000+190)+'計算A'!AT$5*50+IF(AND($E5=1,KG5=0),25,0),IF($F5&gt;0,INDEX('計算A'!AT$110:AT$114,$F5+1)+IF(AND($E5=1,KG5=0),1000,0),MIN(TV5,20)*400+(IF('計算A'!AS$106=1,1-EQ5,0)+IF('計算A'!AT$106=1,1-ES5,0))*150+192+'計算A'!AT$5*100000+IF(AND($E5=1,KG5=0),50000,0))+IF($H5=1,(IF('計算A'!AS$117=1,INDEX('計算A'!AS$10:AS$54,$B5),0)+IF('計算A'!AT$117=1,INDEX('計算A'!AU$10:AU$54,$B5),0))*4000,0)-IF(AND('計算A'!AS$117=1,VQ5&gt;0),2000,0)-IF(AND($L5=1,'計算A'!AT$117=1,ES5=0),2000,0))),1000000))</f>
        <v/>
      </c>
      <c r="PW5">
        <f>IF($B5=0,1000000,IF(INDEX('計算A'!$D$60:$EQ$104,$B5,44)*ES5=1,IF(AND($E5=2,KH5=0),1000000,IF($I5&gt;0,IF(2=$J5,IF(OR(AND(44=$I5+1,OR($K5&lt;&gt;'計算A'!$A$3,'計算A'!$A$4=0)),AND(44=$I5-1,OR(20&lt;&gt;'計算A'!$A$3,'計算A'!$A$4=0))),0,IF(20=$K5,200000,ABS(20-$K5)*100)),100000+ABS(2-$J5)*1000+200)+'計算A'!AU$5*50+IF(AND($E5=1,KH5=0),25,0),IF($F5&gt;0,INDEX('計算A'!AU$110:AU$114,$F5+1)+IF(AND($E5=1,KH5=0),1000,0),MIN(TV5,20)*400+(IF('計算A'!AT$106=1,1-ER5,0)+IF('計算A'!AU$106=1,1-ET5,0))*150+202+'計算A'!AU$5*100000+IF(AND($E5=1,KH5=0),50000,0))+IF($H5=1,(IF('計算A'!AT$117=1,INDEX('計算A'!AT$10:AT$54,$B5),0)+IF('計算A'!AU$117=1,INDEX('計算A'!AV$10:AV$54,$B5),0))*4000,0)-IF(AND('計算A'!AT$117=1,VR5&gt;0),2000,0)-IF(AND($L5=1,'計算A'!AU$117=1,ET5=0),2000,0))),1000000))</f>
        <v/>
      </c>
      <c r="PX5">
        <f>IF($B5=0,1000000,IF(INDEX('計算A'!$D$60:$EQ$104,$B5,45)*ET5=1,IF(AND($E5=2,KI5=0),1000000,IF($I5&gt;0,IF(2=$J5,IF(OR(AND(45=$I5+1,OR($K5&lt;&gt;'計算A'!$A$3,'計算A'!$A$4=0)),AND(45=$I5-1,OR(21&lt;&gt;'計算A'!$A$3,'計算A'!$A$4=0))),0,IF(21=$K5,200000,ABS(21-$K5)*100)),100000+ABS(2-$J5)*1000+210)+'計算A'!AV$5*50+IF(AND($E5=1,KI5=0),25,0),IF($F5&gt;0,INDEX('計算A'!AV$110:AV$114,$F5+1)+IF(AND($E5=1,KI5=0),1000,0),MIN(TV5,20)*400+(IF('計算A'!AU$106=1,1-ES5,0)+IF('計算A'!AV$106=1,1-EU5,0))*150+212+'計算A'!AV$5*100000+IF(AND($E5=1,KI5=0),50000,0))+IF($H5=1,(IF('計算A'!AU$117=1,INDEX('計算A'!AU$10:AU$54,$B5),0)+IF('計算A'!AV$117=1,INDEX('計算A'!AW$10:AW$54,$B5),0))*4000,0)-IF(AND('計算A'!AU$117=1,VS5&gt;0),2000,0)-IF(AND($L5=1,'計算A'!AV$117=1,EU5=0),2000,0))),1000000))</f>
        <v/>
      </c>
      <c r="PY5">
        <f>IF($B5=0,1000000,IF(INDEX('計算A'!$D$60:$EQ$104,$B5,46)*EU5=1,IF(AND($E5=2,KJ5=0),1000000,IF($I5&gt;0,IF(2=$J5,IF(OR(AND(46=$I5+1,OR($K5&lt;&gt;'計算A'!$A$3,'計算A'!$A$4=0)),AND(46=$I5-1,OR(22&lt;&gt;'計算A'!$A$3,'計算A'!$A$4=0))),0,IF(22=$K5,200000,ABS(22-$K5)*100)),100000+ABS(2-$J5)*1000+220)+'計算A'!AW$5*50+IF(AND($E5=1,KJ5=0),25,0),IF($F5&gt;0,INDEX('計算A'!AW$110:AW$114,$F5+1)+IF(AND($E5=1,KJ5=0),1000,0),MIN(TV5,20)*400+(IF('計算A'!AV$106=1,1-ET5,0)+IF('計算A'!AW$106=1,1-EV5,0))*150+222+'計算A'!AW$5*100000+IF(AND($E5=1,KJ5=0),50000,0))+IF($H5=1,(IF('計算A'!AV$117=1,INDEX('計算A'!AV$10:AV$54,$B5),0)+IF('計算A'!AW$117=1,INDEX('計算A'!AX$10:AX$54,$B5),0))*4000,0)-IF(AND('計算A'!AV$117=1,VT5&gt;0),2000,0)-IF(AND($L5=1,'計算A'!AW$117=1,EV5=0),2000,0))),1000000))</f>
        <v/>
      </c>
      <c r="PZ5">
        <f>IF($B5=0,1000000,IF(INDEX('計算A'!$D$60:$EQ$104,$B5,47)*EV5=1,IF(AND($E5=2,KK5=0),1000000,IF($I5&gt;0,IF(2=$J5,IF(OR(AND(47=$I5+1,OR($K5&lt;&gt;'計算A'!$A$3,'計算A'!$A$4=0)),AND(47=$I5-1,OR(23&lt;&gt;'計算A'!$A$3,'計算A'!$A$4=0))),0,IF(23=$K5,200000,ABS(23-$K5)*100)),100000+ABS(2-$J5)*1000+230)+'計算A'!AX$5*50+IF(AND($E5=1,KK5=0),25,0),IF($F5&gt;0,INDEX('計算A'!AX$110:AX$114,$F5+1)+IF(AND($E5=1,KK5=0),1000,0),MIN(TV5,20)*400+(IF('計算A'!AW$106=1,1-EU5,0)+IF('計算A'!AX$106=1,1-EW5,0))*150+232+'計算A'!AX$5*100000+IF(AND($E5=1,KK5=0),50000,0))+IF($H5=1,(IF('計算A'!AW$117=1,INDEX('計算A'!AW$10:AW$54,$B5),0)+IF('計算A'!AX$117=1,INDEX('計算A'!AY$10:AY$54,$B5),0))*4000,0)-IF(AND('計算A'!AW$117=1,VU5&gt;0),2000,0)-IF(AND($L5=1,'計算A'!AX$117=1,EW5=0),2000,0))),1000000))</f>
        <v/>
      </c>
      <c r="QA5">
        <f>IF($B5=0,1000000,IF(INDEX('計算A'!$D$60:$EQ$104,$B5,48)*EW5=1,IF(AND($E5=2,KL5=0),1000000,IF($I5&gt;0,IF(2=$J5,IF(OR(AND(48=$I5+1,OR($K5&lt;&gt;'計算A'!$A$3,'計算A'!$A$4=0)),AND(48=$I5-1,OR(24&lt;&gt;'計算A'!$A$3,'計算A'!$A$4=0))),0,IF(24=$K5,200000,ABS(24-$K5)*100)),100000+ABS(2-$J5)*1000+240)+'計算A'!AY$5*50+IF(AND($E5=1,KL5=0),25,0),IF($F5&gt;0,INDEX('計算A'!AY$110:AY$114,$F5+1)+IF(AND($E5=1,KL5=0),1000,0),MIN(TV5,20)*400+(IF('計算A'!AX$106=1,1-EV5,0))*150+242+'計算A'!AY$5*100000+IF(AND($E5=1,KL5=0),50000,0))+IF($H5=1,(IF('計算A'!AX$117=1,INDEX('計算A'!AX$10:AX$54,$B5),0))*4000,0)-IF(AND('計算A'!AX$117=1,VV5&gt;0),2000,0))),1000000))</f>
        <v/>
      </c>
      <c r="QB5">
        <f>IF($B5=0,1000000,IF(INDEX('計算A'!$D$60:$EQ$104,$B5,49)*EX5=1,IF(AND($E5=2,KM5=0),1000000,IF($I5&gt;0,IF(3=$J5,IF(OR(AND(49=$I5+1,OR($K5&lt;&gt;'計算A'!$A$3,'計算A'!$A$4=0)),AND(49=$I5-1,OR(1&lt;&gt;'計算A'!$A$3,'計算A'!$A$4=0))),0,IF(1=$K5,200000,ABS(1-$K5)*100)),100000+ABS(3-$J5)*1000+10)+'計算A'!AZ$5*50+IF(AND($E5=1,KM5=0),25,0),IF($F5&gt;0,INDEX('計算A'!AZ$110:AZ$114,$F5+1)+IF(AND($E5=1,KM5=0),1000,0),MIN(TW5,20)*400+(IF('計算A'!AZ$106=1,1-EY5,0))*150+13+'計算A'!AZ$5*100000+IF(AND($E5=1,KM5=0),50000,0))+IF($H5=1,(IF('計算A'!AZ$117=1,INDEX('計算A'!BA$10:BA$54,$B5),0))*4000,0)-IF(AND($L5=1,'計算A'!AZ$117=1,EY5=0),2000,0))),1000000))</f>
        <v/>
      </c>
      <c r="QC5">
        <f>IF($B5=0,1000000,IF(INDEX('計算A'!$D$60:$EQ$104,$B5,50)*EY5=1,IF(AND($E5=2,KN5=0),1000000,IF($I5&gt;0,IF(3=$J5,IF(OR(AND(50=$I5+1,OR($K5&lt;&gt;'計算A'!$A$3,'計算A'!$A$4=0)),AND(50=$I5-1,OR(2&lt;&gt;'計算A'!$A$3,'計算A'!$A$4=0))),0,IF(2=$K5,200000,ABS(2-$K5)*100)),100000+ABS(3-$J5)*1000+20)+'計算A'!BA$5*50+IF(AND($E5=1,KN5=0),25,0),IF($F5&gt;0,INDEX('計算A'!BA$110:BA$114,$F5+1)+IF(AND($E5=1,KN5=0),1000,0),MIN(TW5,20)*400+(IF('計算A'!AZ$106=1,1-EX5,0)+IF('計算A'!BA$106=1,1-EZ5,0))*150+23+'計算A'!BA$5*100000+IF(AND($E5=1,KN5=0),50000,0))+IF($H5=1,(IF('計算A'!AZ$117=1,INDEX('計算A'!AZ$10:AZ$54,$B5),0)+IF('計算A'!BA$117=1,INDEX('計算A'!BB$10:BB$54,$B5),0))*4000,0)-IF(AND('計算A'!AZ$117=1,VX5&gt;0),2000,0)-IF(AND($L5=1,'計算A'!BA$117=1,EZ5=0),2000,0))),1000000))</f>
        <v/>
      </c>
      <c r="QD5">
        <f>IF($B5=0,1000000,IF(INDEX('計算A'!$D$60:$EQ$104,$B5,51)*EZ5=1,IF(AND($E5=2,KO5=0),1000000,IF($I5&gt;0,IF(3=$J5,IF(OR(AND(51=$I5+1,OR($K5&lt;&gt;'計算A'!$A$3,'計算A'!$A$4=0)),AND(51=$I5-1,OR(3&lt;&gt;'計算A'!$A$3,'計算A'!$A$4=0))),0,IF(3=$K5,200000,ABS(3-$K5)*100)),100000+ABS(3-$J5)*1000+30)+'計算A'!BB$5*50+IF(AND($E5=1,KO5=0),25,0),IF($F5&gt;0,INDEX('計算A'!BB$110:BB$114,$F5+1)+IF(AND($E5=1,KO5=0),1000,0),MIN(TW5,20)*400+(IF('計算A'!BA$106=1,1-EY5,0)+IF('計算A'!BB$106=1,1-FA5,0))*150+33+'計算A'!BB$5*100000+IF(AND($E5=1,KO5=0),50000,0))+IF($H5=1,(IF('計算A'!BA$117=1,INDEX('計算A'!BA$10:BA$54,$B5),0)+IF('計算A'!BB$117=1,INDEX('計算A'!BC$10:BC$54,$B5),0))*4000,0)-IF(AND('計算A'!BA$117=1,VY5&gt;0),2000,0)-IF(AND($L5=1,'計算A'!BB$117=1,FA5=0),2000,0))),1000000))</f>
        <v/>
      </c>
      <c r="QE5">
        <f>IF($B5=0,1000000,IF(INDEX('計算A'!$D$60:$EQ$104,$B5,52)*FA5=1,IF(AND($E5=2,KP5=0),1000000,IF($I5&gt;0,IF(3=$J5,IF(OR(AND(52=$I5+1,OR($K5&lt;&gt;'計算A'!$A$3,'計算A'!$A$4=0)),AND(52=$I5-1,OR(4&lt;&gt;'計算A'!$A$3,'計算A'!$A$4=0))),0,IF(4=$K5,200000,ABS(4-$K5)*100)),100000+ABS(3-$J5)*1000+40)+'計算A'!BC$5*50+IF(AND($E5=1,KP5=0),25,0),IF($F5&gt;0,INDEX('計算A'!BC$110:BC$114,$F5+1)+IF(AND($E5=1,KP5=0),1000,0),MIN(TW5,20)*400+(IF('計算A'!BB$106=1,1-EZ5,0)+IF('計算A'!BC$106=1,1-FB5,0))*150+43+'計算A'!BC$5*100000+IF(AND($E5=1,KP5=0),50000,0))+IF($H5=1,(IF('計算A'!BB$117=1,INDEX('計算A'!BB$10:BB$54,$B5),0)+IF('計算A'!BC$117=1,INDEX('計算A'!BD$10:BD$54,$B5),0))*4000,0)-IF(AND('計算A'!BB$117=1,VZ5&gt;0),2000,0)-IF(AND($L5=1,'計算A'!BC$117=1,FB5=0),2000,0))),1000000))</f>
        <v/>
      </c>
      <c r="QF5">
        <f>IF($B5=0,1000000,IF(INDEX('計算A'!$D$60:$EQ$104,$B5,53)*FB5=1,IF(AND($E5=2,KQ5=0),1000000,IF($I5&gt;0,IF(3=$J5,IF(OR(AND(53=$I5+1,OR($K5&lt;&gt;'計算A'!$A$3,'計算A'!$A$4=0)),AND(53=$I5-1,OR(5&lt;&gt;'計算A'!$A$3,'計算A'!$A$4=0))),0,IF(5=$K5,200000,ABS(5-$K5)*100)),100000+ABS(3-$J5)*1000+50)+'計算A'!BD$5*50+IF(AND($E5=1,KQ5=0),25,0),IF($F5&gt;0,INDEX('計算A'!BD$110:BD$114,$F5+1)+IF(AND($E5=1,KQ5=0),1000,0),MIN(TW5,20)*400+(IF('計算A'!BC$106=1,1-FA5,0)+IF('計算A'!BD$106=1,1-FC5,0))*150+53+'計算A'!BD$5*100000+IF(AND($E5=1,KQ5=0),50000,0))+IF($H5=1,(IF('計算A'!BC$117=1,INDEX('計算A'!BC$10:BC$54,$B5),0)+IF('計算A'!BD$117=1,INDEX('計算A'!BE$10:BE$54,$B5),0))*4000,0)-IF(AND('計算A'!BC$117=1,WA5&gt;0),2000,0)-IF(AND($L5=1,'計算A'!BD$117=1,FC5=0),2000,0))),1000000))</f>
        <v/>
      </c>
      <c r="QG5">
        <f>IF($B5=0,1000000,IF(INDEX('計算A'!$D$60:$EQ$104,$B5,54)*FC5=1,IF(AND($E5=2,KR5=0),1000000,IF($I5&gt;0,IF(3=$J5,IF(OR(AND(54=$I5+1,OR($K5&lt;&gt;'計算A'!$A$3,'計算A'!$A$4=0)),AND(54=$I5-1,OR(6&lt;&gt;'計算A'!$A$3,'計算A'!$A$4=0))),0,IF(6=$K5,200000,ABS(6-$K5)*100)),100000+ABS(3-$J5)*1000+60)+'計算A'!BE$5*50+IF(AND($E5=1,KR5=0),25,0),IF($F5&gt;0,INDEX('計算A'!BE$110:BE$114,$F5+1)+IF(AND($E5=1,KR5=0),1000,0),MIN(TW5,20)*400+(IF('計算A'!BD$106=1,1-FB5,0)+IF('計算A'!BE$106=1,1-FD5,0))*150+63+'計算A'!BE$5*100000+IF(AND($E5=1,KR5=0),50000,0))+IF($H5=1,(IF('計算A'!BD$117=1,INDEX('計算A'!BD$10:BD$54,$B5),0)+IF('計算A'!BE$117=1,INDEX('計算A'!BF$10:BF$54,$B5),0))*4000,0)-IF(AND('計算A'!BD$117=1,WB5&gt;0),2000,0)-IF(AND($L5=1,'計算A'!BE$117=1,FD5=0),2000,0))),1000000))</f>
        <v/>
      </c>
      <c r="QH5">
        <f>IF($B5=0,1000000,IF(INDEX('計算A'!$D$60:$EQ$104,$B5,55)*FD5=1,IF(AND($E5=2,KS5=0),1000000,IF($I5&gt;0,IF(3=$J5,IF(OR(AND(55=$I5+1,OR($K5&lt;&gt;'計算A'!$A$3,'計算A'!$A$4=0)),AND(55=$I5-1,OR(7&lt;&gt;'計算A'!$A$3,'計算A'!$A$4=0))),0,IF(7=$K5,200000,ABS(7-$K5)*100)),100000+ABS(3-$J5)*1000+70)+'計算A'!BF$5*50+IF(AND($E5=1,KS5=0),25,0),IF($F5&gt;0,INDEX('計算A'!BF$110:BF$114,$F5+1)+IF(AND($E5=1,KS5=0),1000,0),MIN(TW5,20)*400+(IF('計算A'!BE$106=1,1-FC5,0)+IF('計算A'!BF$106=1,1-FE5,0))*150+73+'計算A'!BF$5*100000+IF(AND($E5=1,KS5=0),50000,0))+IF($H5=1,(IF('計算A'!BE$117=1,INDEX('計算A'!BE$10:BE$54,$B5),0)+IF('計算A'!BF$117=1,INDEX('計算A'!BG$10:BG$54,$B5),0))*4000,0)-IF(AND('計算A'!BE$117=1,WC5&gt;0),2000,0)-IF(AND($L5=1,'計算A'!BF$117=1,FE5=0),2000,0))),1000000))</f>
        <v/>
      </c>
      <c r="QI5">
        <f>IF($B5=0,1000000,IF(INDEX('計算A'!$D$60:$EQ$104,$B5,56)*FE5=1,IF(AND($E5=2,KT5=0),1000000,IF($I5&gt;0,IF(3=$J5,IF(OR(AND(56=$I5+1,OR($K5&lt;&gt;'計算A'!$A$3,'計算A'!$A$4=0)),AND(56=$I5-1,OR(8&lt;&gt;'計算A'!$A$3,'計算A'!$A$4=0))),0,IF(8=$K5,200000,ABS(8-$K5)*100)),100000+ABS(3-$J5)*1000+80)+'計算A'!BG$5*50+IF(AND($E5=1,KT5=0),25,0),IF($F5&gt;0,INDEX('計算A'!BG$110:BG$114,$F5+1)+IF(AND($E5=1,KT5=0),1000,0),MIN(TW5,20)*400+(IF('計算A'!BF$106=1,1-FD5,0)+IF('計算A'!BG$106=1,1-FF5,0))*150+83+'計算A'!BG$5*100000+IF(AND($E5=1,KT5=0),50000,0))+IF($H5=1,(IF('計算A'!BF$117=1,INDEX('計算A'!BF$10:BF$54,$B5),0)+IF('計算A'!BG$117=1,INDEX('計算A'!BH$10:BH$54,$B5),0))*4000,0)-IF(AND('計算A'!BF$117=1,WD5&gt;0),2000,0)-IF(AND($L5=1,'計算A'!BG$117=1,FF5=0),2000,0))),1000000))</f>
        <v/>
      </c>
      <c r="QJ5">
        <f>IF($B5=0,1000000,IF(INDEX('計算A'!$D$60:$EQ$104,$B5,57)*FF5=1,IF(AND($E5=2,KU5=0),1000000,IF($I5&gt;0,IF(3=$J5,IF(OR(AND(57=$I5+1,OR($K5&lt;&gt;'計算A'!$A$3,'計算A'!$A$4=0)),AND(57=$I5-1,OR(9&lt;&gt;'計算A'!$A$3,'計算A'!$A$4=0))),0,IF(9=$K5,200000,ABS(9-$K5)*100)),100000+ABS(3-$J5)*1000+90)+'計算A'!BH$5*50+IF(AND($E5=1,KU5=0),25,0),IF($F5&gt;0,INDEX('計算A'!BH$110:BH$114,$F5+1)+IF(AND($E5=1,KU5=0),1000,0),MIN(TW5,20)*400+(IF('計算A'!BG$106=1,1-FE5,0)+IF('計算A'!BH$106=1,1-FG5,0))*150+93+'計算A'!BH$5*100000+IF(AND($E5=1,KU5=0),50000,0))+IF($H5=1,(IF('計算A'!BG$117=1,INDEX('計算A'!BG$10:BG$54,$B5),0)+IF('計算A'!BH$117=1,INDEX('計算A'!BI$10:BI$54,$B5),0))*4000,0)-IF(AND('計算A'!BG$117=1,WE5&gt;0),2000,0)-IF(AND($L5=1,'計算A'!BH$117=1,FG5=0),2000,0))),1000000))</f>
        <v/>
      </c>
      <c r="QK5">
        <f>IF($B5=0,1000000,IF(INDEX('計算A'!$D$60:$EQ$104,$B5,58)*FG5=1,IF(AND($E5=2,KV5=0),1000000,IF($I5&gt;0,IF(3=$J5,IF(OR(AND(58=$I5+1,OR($K5&lt;&gt;'計算A'!$A$3,'計算A'!$A$4=0)),AND(58=$I5-1,OR(10&lt;&gt;'計算A'!$A$3,'計算A'!$A$4=0))),0,IF(10=$K5,200000,ABS(10-$K5)*100)),100000+ABS(3-$J5)*1000+100)+'計算A'!BI$5*50+IF(AND($E5=1,KV5=0),25,0),IF($F5&gt;0,INDEX('計算A'!BI$110:BI$114,$F5+1)+IF(AND($E5=1,KV5=0),1000,0),MIN(TW5,20)*400+(IF('計算A'!BH$106=1,1-FF5,0)+IF('計算A'!BI$106=1,1-FH5,0))*150+103+'計算A'!BI$5*100000+IF(AND($E5=1,KV5=0),50000,0))+IF($H5=1,(IF('計算A'!BH$117=1,INDEX('計算A'!BH$10:BH$54,$B5),0)+IF('計算A'!BI$117=1,INDEX('計算A'!BJ$10:BJ$54,$B5),0))*4000,0)-IF(AND('計算A'!BH$117=1,WF5&gt;0),2000,0)-IF(AND($L5=1,'計算A'!BI$117=1,FH5=0),2000,0))),1000000))</f>
        <v/>
      </c>
      <c r="QL5">
        <f>IF($B5=0,1000000,IF(INDEX('計算A'!$D$60:$EQ$104,$B5,59)*FH5=1,IF(AND($E5=2,KW5=0),1000000,IF($I5&gt;0,IF(3=$J5,IF(OR(AND(59=$I5+1,OR($K5&lt;&gt;'計算A'!$A$3,'計算A'!$A$4=0)),AND(59=$I5-1,OR(11&lt;&gt;'計算A'!$A$3,'計算A'!$A$4=0))),0,IF(11=$K5,200000,ABS(11-$K5)*100)),100000+ABS(3-$J5)*1000+110)+'計算A'!BJ$5*50+IF(AND($E5=1,KW5=0),25,0),IF($F5&gt;0,INDEX('計算A'!BJ$110:BJ$114,$F5+1)+IF(AND($E5=1,KW5=0),1000,0),MIN(TW5,20)*400+(IF('計算A'!BI$106=1,1-FG5,0)+IF('計算A'!BJ$106=1,1-FI5,0))*150+113+'計算A'!BJ$5*100000+IF(AND($E5=1,KW5=0),50000,0))+IF($H5=1,(IF('計算A'!BI$117=1,INDEX('計算A'!BI$10:BI$54,$B5),0)+IF('計算A'!BJ$117=1,INDEX('計算A'!BK$10:BK$54,$B5),0))*4000,0)-IF(AND('計算A'!BI$117=1,WG5&gt;0),2000,0)-IF(AND($L5=1,'計算A'!BJ$117=1,FI5=0),2000,0))),1000000))</f>
        <v/>
      </c>
      <c r="QM5">
        <f>IF($B5=0,1000000,IF(INDEX('計算A'!$D$60:$EQ$104,$B5,60)*FI5=1,IF(AND($E5=2,KX5=0),1000000,IF($I5&gt;0,IF(3=$J5,IF(OR(AND(60=$I5+1,OR($K5&lt;&gt;'計算A'!$A$3,'計算A'!$A$4=0)),AND(60=$I5-1,OR(12&lt;&gt;'計算A'!$A$3,'計算A'!$A$4=0))),0,IF(12=$K5,200000,ABS(12-$K5)*100)),100000+ABS(3-$J5)*1000+120)+'計算A'!BK$5*50+IF(AND($E5=1,KX5=0),25,0),IF($F5&gt;0,INDEX('計算A'!BK$110:BK$114,$F5+1)+IF(AND($E5=1,KX5=0),1000,0),MIN(TW5,20)*400+(IF('計算A'!BJ$106=1,1-FH5,0)+IF('計算A'!BK$106=1,1-FJ5,0))*150+123+'計算A'!BK$5*100000+IF(AND($E5=1,KX5=0),50000,0))+IF($H5=1,(IF('計算A'!BJ$117=1,INDEX('計算A'!BJ$10:BJ$54,$B5),0)+IF('計算A'!BK$117=1,INDEX('計算A'!BL$10:BL$54,$B5),0))*4000,0)-IF(AND('計算A'!BJ$117=1,WH5&gt;0),2000,0)-IF(AND($L5=1,'計算A'!BK$117=1,FJ5=0),2000,0))),1000000))</f>
        <v/>
      </c>
      <c r="QN5">
        <f>IF($B5=0,1000000,IF(INDEX('計算A'!$D$60:$EQ$104,$B5,61)*FJ5=1,IF(AND($E5=2,KY5=0),1000000,IF($I5&gt;0,IF(3=$J5,IF(OR(AND(61=$I5+1,OR($K5&lt;&gt;'計算A'!$A$3,'計算A'!$A$4=0)),AND(61=$I5-1,OR(13&lt;&gt;'計算A'!$A$3,'計算A'!$A$4=0))),0,IF(13=$K5,200000,ABS(13-$K5)*100)),100000+ABS(3-$J5)*1000+130)+'計算A'!BL$5*50+IF(AND($E5=1,KY5=0),25,0),IF($F5&gt;0,INDEX('計算A'!BL$110:BL$114,$F5+1)+IF(AND($E5=1,KY5=0),1000,0),MIN(TW5,20)*400+(IF('計算A'!BK$106=1,1-FI5,0)+IF('計算A'!BL$106=1,1-FK5,0))*150+133+'計算A'!BL$5*100000+IF(AND($E5=1,KY5=0),50000,0))+IF($H5=1,(IF('計算A'!BK$117=1,INDEX('計算A'!BK$10:BK$54,$B5),0)+IF('計算A'!BL$117=1,INDEX('計算A'!BM$10:BM$54,$B5),0))*4000,0)-IF(AND('計算A'!BK$117=1,WI5&gt;0),2000,0)-IF(AND($L5=1,'計算A'!BL$117=1,FK5=0),2000,0))),1000000))</f>
        <v/>
      </c>
      <c r="QO5">
        <f>IF($B5=0,1000000,IF(INDEX('計算A'!$D$60:$EQ$104,$B5,62)*FK5=1,IF(AND($E5=2,KZ5=0),1000000,IF($I5&gt;0,IF(3=$J5,IF(OR(AND(62=$I5+1,OR($K5&lt;&gt;'計算A'!$A$3,'計算A'!$A$4=0)),AND(62=$I5-1,OR(14&lt;&gt;'計算A'!$A$3,'計算A'!$A$4=0))),0,IF(14=$K5,200000,ABS(14-$K5)*100)),100000+ABS(3-$J5)*1000+140)+'計算A'!BM$5*50+IF(AND($E5=1,KZ5=0),25,0),IF($F5&gt;0,INDEX('計算A'!BM$110:BM$114,$F5+1)+IF(AND($E5=1,KZ5=0),1000,0),MIN(TW5,20)*400+(IF('計算A'!BL$106=1,1-FJ5,0)+IF('計算A'!BM$106=1,1-FL5,0))*150+143+'計算A'!BM$5*100000+IF(AND($E5=1,KZ5=0),50000,0))+IF($H5=1,(IF('計算A'!BL$117=1,INDEX('計算A'!BL$10:BL$54,$B5),0)+IF('計算A'!BM$117=1,INDEX('計算A'!BN$10:BN$54,$B5),0))*4000,0)-IF(AND('計算A'!BL$117=1,WJ5&gt;0),2000,0)-IF(AND($L5=1,'計算A'!BM$117=1,FL5=0),2000,0))),1000000))</f>
        <v/>
      </c>
      <c r="QP5">
        <f>IF($B5=0,1000000,IF(INDEX('計算A'!$D$60:$EQ$104,$B5,63)*FL5=1,IF(AND($E5=2,LA5=0),1000000,IF($I5&gt;0,IF(3=$J5,IF(OR(AND(63=$I5+1,OR($K5&lt;&gt;'計算A'!$A$3,'計算A'!$A$4=0)),AND(63=$I5-1,OR(15&lt;&gt;'計算A'!$A$3,'計算A'!$A$4=0))),0,IF(15=$K5,200000,ABS(15-$K5)*100)),100000+ABS(3-$J5)*1000+150)+'計算A'!BN$5*50+IF(AND($E5=1,LA5=0),25,0),IF($F5&gt;0,INDEX('計算A'!BN$110:BN$114,$F5+1)+IF(AND($E5=1,LA5=0),1000,0),MIN(TW5,20)*400+(IF('計算A'!BM$106=1,1-FK5,0)+IF('計算A'!BN$106=1,1-FM5,0))*150+153+'計算A'!BN$5*100000+IF(AND($E5=1,LA5=0),50000,0))+IF($H5=1,(IF('計算A'!BM$117=1,INDEX('計算A'!BM$10:BM$54,$B5),0)+IF('計算A'!BN$117=1,INDEX('計算A'!BO$10:BO$54,$B5),0))*4000,0)-IF(AND('計算A'!BM$117=1,WK5&gt;0),2000,0)-IF(AND($L5=1,'計算A'!BN$117=1,FM5=0),2000,0))),1000000))</f>
        <v/>
      </c>
      <c r="QQ5">
        <f>IF($B5=0,1000000,IF(INDEX('計算A'!$D$60:$EQ$104,$B5,64)*FM5=1,IF(AND($E5=2,LB5=0),1000000,IF($I5&gt;0,IF(3=$J5,IF(OR(AND(64=$I5+1,OR($K5&lt;&gt;'計算A'!$A$3,'計算A'!$A$4=0)),AND(64=$I5-1,OR(16&lt;&gt;'計算A'!$A$3,'計算A'!$A$4=0))),0,IF(16=$K5,200000,ABS(16-$K5)*100)),100000+ABS(3-$J5)*1000+160)+'計算A'!BO$5*50+IF(AND($E5=1,LB5=0),25,0),IF($F5&gt;0,INDEX('計算A'!BO$110:BO$114,$F5+1)+IF(AND($E5=1,LB5=0),1000,0),MIN(TW5,20)*400+(IF('計算A'!BN$106=1,1-FL5,0)+IF('計算A'!BO$106=1,1-FN5,0))*150+163+'計算A'!BO$5*100000+IF(AND($E5=1,LB5=0),50000,0))+IF($H5=1,(IF('計算A'!BN$117=1,INDEX('計算A'!BN$10:BN$54,$B5),0)+IF('計算A'!BO$117=1,INDEX('計算A'!BP$10:BP$54,$B5),0))*4000,0)-IF(AND('計算A'!BN$117=1,WL5&gt;0),2000,0)-IF(AND($L5=1,'計算A'!BO$117=1,FN5=0),2000,0))),1000000))</f>
        <v/>
      </c>
      <c r="QR5">
        <f>IF($B5=0,1000000,IF(INDEX('計算A'!$D$60:$EQ$104,$B5,65)*FN5=1,IF(AND($E5=2,LC5=0),1000000,IF($I5&gt;0,IF(3=$J5,IF(OR(AND(65=$I5+1,OR($K5&lt;&gt;'計算A'!$A$3,'計算A'!$A$4=0)),AND(65=$I5-1,OR(17&lt;&gt;'計算A'!$A$3,'計算A'!$A$4=0))),0,IF(17=$K5,200000,ABS(17-$K5)*100)),100000+ABS(3-$J5)*1000+170)+'計算A'!BP$5*50+IF(AND($E5=1,LC5=0),25,0),IF($F5&gt;0,INDEX('計算A'!BP$110:BP$114,$F5+1)+IF(AND($E5=1,LC5=0),1000,0),MIN(TW5,20)*400+(IF('計算A'!BO$106=1,1-FM5,0)+IF('計算A'!BP$106=1,1-FO5,0))*150+173+'計算A'!BP$5*100000+IF(AND($E5=1,LC5=0),50000,0))+IF($H5=1,(IF('計算A'!BO$117=1,INDEX('計算A'!BO$10:BO$54,$B5),0)+IF('計算A'!BP$117=1,INDEX('計算A'!BQ$10:BQ$54,$B5),0))*4000,0)-IF(AND('計算A'!BO$117=1,WM5&gt;0),2000,0)-IF(AND($L5=1,'計算A'!BP$117=1,FO5=0),2000,0))),1000000))</f>
        <v/>
      </c>
      <c r="QS5">
        <f>IF($B5=0,1000000,IF(INDEX('計算A'!$D$60:$EQ$104,$B5,66)*FO5=1,IF(AND($E5=2,LD5=0),1000000,IF($I5&gt;0,IF(3=$J5,IF(OR(AND(66=$I5+1,OR($K5&lt;&gt;'計算A'!$A$3,'計算A'!$A$4=0)),AND(66=$I5-1,OR(18&lt;&gt;'計算A'!$A$3,'計算A'!$A$4=0))),0,IF(18=$K5,200000,ABS(18-$K5)*100)),100000+ABS(3-$J5)*1000+180)+'計算A'!BQ$5*50+IF(AND($E5=1,LD5=0),25,0),IF($F5&gt;0,INDEX('計算A'!BQ$110:BQ$114,$F5+1)+IF(AND($E5=1,LD5=0),1000,0),MIN(TW5,20)*400+(IF('計算A'!BP$106=1,1-FN5,0)+IF('計算A'!BQ$106=1,1-FP5,0))*150+183+'計算A'!BQ$5*100000+IF(AND($E5=1,LD5=0),50000,0))+IF($H5=1,(IF('計算A'!BP$117=1,INDEX('計算A'!BP$10:BP$54,$B5),0)+IF('計算A'!BQ$117=1,INDEX('計算A'!BR$10:BR$54,$B5),0))*4000,0)-IF(AND('計算A'!BP$117=1,WN5&gt;0),2000,0)-IF(AND($L5=1,'計算A'!BQ$117=1,FP5=0),2000,0))),1000000))</f>
        <v/>
      </c>
      <c r="QT5">
        <f>IF($B5=0,1000000,IF(INDEX('計算A'!$D$60:$EQ$104,$B5,67)*FP5=1,IF(AND($E5=2,LE5=0),1000000,IF($I5&gt;0,IF(3=$J5,IF(OR(AND(67=$I5+1,OR($K5&lt;&gt;'計算A'!$A$3,'計算A'!$A$4=0)),AND(67=$I5-1,OR(19&lt;&gt;'計算A'!$A$3,'計算A'!$A$4=0))),0,IF(19=$K5,200000,ABS(19-$K5)*100)),100000+ABS(3-$J5)*1000+190)+'計算A'!BR$5*50+IF(AND($E5=1,LE5=0),25,0),IF($F5&gt;0,INDEX('計算A'!BR$110:BR$114,$F5+1)+IF(AND($E5=1,LE5=0),1000,0),MIN(TW5,20)*400+(IF('計算A'!BQ$106=1,1-FO5,0)+IF('計算A'!BR$106=1,1-FQ5,0))*150+193+'計算A'!BR$5*100000+IF(AND($E5=1,LE5=0),50000,0))+IF($H5=1,(IF('計算A'!BQ$117=1,INDEX('計算A'!BQ$10:BQ$54,$B5),0)+IF('計算A'!BR$117=1,INDEX('計算A'!BS$10:BS$54,$B5),0))*4000,0)-IF(AND('計算A'!BQ$117=1,WO5&gt;0),2000,0)-IF(AND($L5=1,'計算A'!BR$117=1,FQ5=0),2000,0))),1000000))</f>
        <v/>
      </c>
      <c r="QU5">
        <f>IF($B5=0,1000000,IF(INDEX('計算A'!$D$60:$EQ$104,$B5,68)*FQ5=1,IF(AND($E5=2,LF5=0),1000000,IF($I5&gt;0,IF(3=$J5,IF(OR(AND(68=$I5+1,OR($K5&lt;&gt;'計算A'!$A$3,'計算A'!$A$4=0)),AND(68=$I5-1,OR(20&lt;&gt;'計算A'!$A$3,'計算A'!$A$4=0))),0,IF(20=$K5,200000,ABS(20-$K5)*100)),100000+ABS(3-$J5)*1000+200)+'計算A'!BS$5*50+IF(AND($E5=1,LF5=0),25,0),IF($F5&gt;0,INDEX('計算A'!BS$110:BS$114,$F5+1)+IF(AND($E5=1,LF5=0),1000,0),MIN(TW5,20)*400+(IF('計算A'!BR$106=1,1-FP5,0)+IF('計算A'!BS$106=1,1-FR5,0))*150+203+'計算A'!BS$5*100000+IF(AND($E5=1,LF5=0),50000,0))+IF($H5=1,(IF('計算A'!BR$117=1,INDEX('計算A'!BR$10:BR$54,$B5),0)+IF('計算A'!BS$117=1,INDEX('計算A'!BT$10:BT$54,$B5),0))*4000,0)-IF(AND('計算A'!BR$117=1,WP5&gt;0),2000,0)-IF(AND($L5=1,'計算A'!BS$117=1,FR5=0),2000,0))),1000000))</f>
        <v/>
      </c>
      <c r="QV5">
        <f>IF($B5=0,1000000,IF(INDEX('計算A'!$D$60:$EQ$104,$B5,69)*FR5=1,IF(AND($E5=2,LG5=0),1000000,IF($I5&gt;0,IF(3=$J5,IF(OR(AND(69=$I5+1,OR($K5&lt;&gt;'計算A'!$A$3,'計算A'!$A$4=0)),AND(69=$I5-1,OR(21&lt;&gt;'計算A'!$A$3,'計算A'!$A$4=0))),0,IF(21=$K5,200000,ABS(21-$K5)*100)),100000+ABS(3-$J5)*1000+210)+'計算A'!BT$5*50+IF(AND($E5=1,LG5=0),25,0),IF($F5&gt;0,INDEX('計算A'!BT$110:BT$114,$F5+1)+IF(AND($E5=1,LG5=0),1000,0),MIN(TW5,20)*400+(IF('計算A'!BS$106=1,1-FQ5,0)+IF('計算A'!BT$106=1,1-FS5,0))*150+213+'計算A'!BT$5*100000+IF(AND($E5=1,LG5=0),50000,0))+IF($H5=1,(IF('計算A'!BS$117=1,INDEX('計算A'!BS$10:BS$54,$B5),0)+IF('計算A'!BT$117=1,INDEX('計算A'!BU$10:BU$54,$B5),0))*4000,0)-IF(AND('計算A'!BS$117=1,WQ5&gt;0),2000,0)-IF(AND($L5=1,'計算A'!BT$117=1,FS5=0),2000,0))),1000000))</f>
        <v/>
      </c>
      <c r="QW5">
        <f>IF($B5=0,1000000,IF(INDEX('計算A'!$D$60:$EQ$104,$B5,70)*FS5=1,IF(AND($E5=2,LH5=0),1000000,IF($I5&gt;0,IF(3=$J5,IF(OR(AND(70=$I5+1,OR($K5&lt;&gt;'計算A'!$A$3,'計算A'!$A$4=0)),AND(70=$I5-1,OR(22&lt;&gt;'計算A'!$A$3,'計算A'!$A$4=0))),0,IF(22=$K5,200000,ABS(22-$K5)*100)),100000+ABS(3-$J5)*1000+220)+'計算A'!BU$5*50+IF(AND($E5=1,LH5=0),25,0),IF($F5&gt;0,INDEX('計算A'!BU$110:BU$114,$F5+1)+IF(AND($E5=1,LH5=0),1000,0),MIN(TW5,20)*400+(IF('計算A'!BT$106=1,1-FR5,0)+IF('計算A'!BU$106=1,1-FT5,0))*150+223+'計算A'!BU$5*100000+IF(AND($E5=1,LH5=0),50000,0))+IF($H5=1,(IF('計算A'!BT$117=1,INDEX('計算A'!BT$10:BT$54,$B5),0)+IF('計算A'!BU$117=1,INDEX('計算A'!BV$10:BV$54,$B5),0))*4000,0)-IF(AND('計算A'!BT$117=1,WR5&gt;0),2000,0)-IF(AND($L5=1,'計算A'!BU$117=1,FT5=0),2000,0))),1000000))</f>
        <v/>
      </c>
      <c r="QX5">
        <f>IF($B5=0,1000000,IF(INDEX('計算A'!$D$60:$EQ$104,$B5,71)*FT5=1,IF(AND($E5=2,LI5=0),1000000,IF($I5&gt;0,IF(3=$J5,IF(OR(AND(71=$I5+1,OR($K5&lt;&gt;'計算A'!$A$3,'計算A'!$A$4=0)),AND(71=$I5-1,OR(23&lt;&gt;'計算A'!$A$3,'計算A'!$A$4=0))),0,IF(23=$K5,200000,ABS(23-$K5)*100)),100000+ABS(3-$J5)*1000+230)+'計算A'!BV$5*50+IF(AND($E5=1,LI5=0),25,0),IF($F5&gt;0,INDEX('計算A'!BV$110:BV$114,$F5+1)+IF(AND($E5=1,LI5=0),1000,0),MIN(TW5,20)*400+(IF('計算A'!BU$106=1,1-FS5,0)+IF('計算A'!BV$106=1,1-FU5,0))*150+233+'計算A'!BV$5*100000+IF(AND($E5=1,LI5=0),50000,0))+IF($H5=1,(IF('計算A'!BU$117=1,INDEX('計算A'!BU$10:BU$54,$B5),0)+IF('計算A'!BV$117=1,INDEX('計算A'!BW$10:BW$54,$B5),0))*4000,0)-IF(AND('計算A'!BU$117=1,WS5&gt;0),2000,0)-IF(AND($L5=1,'計算A'!BV$117=1,FU5=0),2000,0))),1000000))</f>
        <v/>
      </c>
      <c r="QY5">
        <f>IF($B5=0,1000000,IF(INDEX('計算A'!$D$60:$EQ$104,$B5,72)*FU5=1,IF(AND($E5=2,LJ5=0),1000000,IF($I5&gt;0,IF(3=$J5,IF(OR(AND(72=$I5+1,OR($K5&lt;&gt;'計算A'!$A$3,'計算A'!$A$4=0)),AND(72=$I5-1,OR(24&lt;&gt;'計算A'!$A$3,'計算A'!$A$4=0))),0,IF(24=$K5,200000,ABS(24-$K5)*100)),100000+ABS(3-$J5)*1000+240)+'計算A'!BW$5*50+IF(AND($E5=1,LJ5=0),25,0),IF($F5&gt;0,INDEX('計算A'!BW$110:BW$114,$F5+1)+IF(AND($E5=1,LJ5=0),1000,0),MIN(TW5,20)*400+(IF('計算A'!BV$106=1,1-FT5,0))*150+243+'計算A'!BW$5*100000+IF(AND($E5=1,LJ5=0),50000,0))+IF($H5=1,(IF('計算A'!BV$117=1,INDEX('計算A'!BV$10:BV$54,$B5),0))*4000,0)-IF(AND('計算A'!BV$117=1,WT5&gt;0),2000,0))),1000000))</f>
        <v/>
      </c>
      <c r="QZ5">
        <f>IF($B5=0,1000000,IF(INDEX('計算A'!$D$60:$EQ$104,$B5,73)*FV5=1,IF(AND($E5=2,LK5=0),1000000,IF($I5&gt;0,IF(4=$J5,IF(OR(AND(73=$I5+1,OR($K5&lt;&gt;'計算A'!$A$3,'計算A'!$A$4=0)),AND(73=$I5-1,OR(1&lt;&gt;'計算A'!$A$3,'計算A'!$A$4=0))),0,IF(1=$K5,200000,ABS(1-$K5)*100)),100000+ABS(4-$J5)*1000+10)+'計算A'!BX$5*50+IF(AND($E5=1,LK5=0),25,0),IF($F5&gt;0,INDEX('計算A'!BX$110:BX$114,$F5+1)+IF(AND($E5=1,LK5=0),1000,0),MIN(TX5,20)*400+(IF('計算A'!BX$106=1,1-FW5,0))*150+14+'計算A'!BX$5*100000+IF(AND($E5=1,LK5=0),50000,0))+IF($H5=1,(IF('計算A'!BX$117=1,INDEX('計算A'!BY$10:BY$54,$B5),0))*4000,0)-IF(AND($L5=1,'計算A'!BX$117=1,FW5=0),2000,0))),1000000))</f>
        <v/>
      </c>
      <c r="RA5">
        <f>IF($B5=0,1000000,IF(INDEX('計算A'!$D$60:$EQ$104,$B5,74)*FW5=1,IF(AND($E5=2,LL5=0),1000000,IF($I5&gt;0,IF(4=$J5,IF(OR(AND(74=$I5+1,OR($K5&lt;&gt;'計算A'!$A$3,'計算A'!$A$4=0)),AND(74=$I5-1,OR(2&lt;&gt;'計算A'!$A$3,'計算A'!$A$4=0))),0,IF(2=$K5,200000,ABS(2-$K5)*100)),100000+ABS(4-$J5)*1000+20)+'計算A'!BY$5*50+IF(AND($E5=1,LL5=0),25,0),IF($F5&gt;0,INDEX('計算A'!BY$110:BY$114,$F5+1)+IF(AND($E5=1,LL5=0),1000,0),MIN(TX5,20)*400+(IF('計算A'!BX$106=1,1-FV5,0)+IF('計算A'!BY$106=1,1-FX5,0))*150+24+'計算A'!BY$5*100000+IF(AND($E5=1,LL5=0),50000,0))+IF($H5=1,(IF('計算A'!BX$117=1,INDEX('計算A'!BX$10:BX$54,$B5),0)+IF('計算A'!BY$117=1,INDEX('計算A'!BZ$10:BZ$54,$B5),0))*4000,0)-IF(AND('計算A'!BX$117=1,WV5&gt;0),2000,0)-IF(AND($L5=1,'計算A'!BY$117=1,FX5=0),2000,0))),1000000))</f>
        <v/>
      </c>
      <c r="RB5">
        <f>IF($B5=0,1000000,IF(INDEX('計算A'!$D$60:$EQ$104,$B5,75)*FX5=1,IF(AND($E5=2,LM5=0),1000000,IF($I5&gt;0,IF(4=$J5,IF(OR(AND(75=$I5+1,OR($K5&lt;&gt;'計算A'!$A$3,'計算A'!$A$4=0)),AND(75=$I5-1,OR(3&lt;&gt;'計算A'!$A$3,'計算A'!$A$4=0))),0,IF(3=$K5,200000,ABS(3-$K5)*100)),100000+ABS(4-$J5)*1000+30)+'計算A'!BZ$5*50+IF(AND($E5=1,LM5=0),25,0),IF($F5&gt;0,INDEX('計算A'!BZ$110:BZ$114,$F5+1)+IF(AND($E5=1,LM5=0),1000,0),MIN(TX5,20)*400+(IF('計算A'!BY$106=1,1-FW5,0)+IF('計算A'!BZ$106=1,1-FY5,0))*150+34+'計算A'!BZ$5*100000+IF(AND($E5=1,LM5=0),50000,0))+IF($H5=1,(IF('計算A'!BY$117=1,INDEX('計算A'!BY$10:BY$54,$B5),0)+IF('計算A'!BZ$117=1,INDEX('計算A'!CA$10:CA$54,$B5),0))*4000,0)-IF(AND('計算A'!BY$117=1,WW5&gt;0),2000,0)-IF(AND($L5=1,'計算A'!BZ$117=1,FY5=0),2000,0))),1000000))</f>
        <v/>
      </c>
      <c r="RC5">
        <f>IF($B5=0,1000000,IF(INDEX('計算A'!$D$60:$EQ$104,$B5,76)*FY5=1,IF(AND($E5=2,LN5=0),1000000,IF($I5&gt;0,IF(4=$J5,IF(OR(AND(76=$I5+1,OR($K5&lt;&gt;'計算A'!$A$3,'計算A'!$A$4=0)),AND(76=$I5-1,OR(4&lt;&gt;'計算A'!$A$3,'計算A'!$A$4=0))),0,IF(4=$K5,200000,ABS(4-$K5)*100)),100000+ABS(4-$J5)*1000+40)+'計算A'!CA$5*50+IF(AND($E5=1,LN5=0),25,0),IF($F5&gt;0,INDEX('計算A'!CA$110:CA$114,$F5+1)+IF(AND($E5=1,LN5=0),1000,0),MIN(TX5,20)*400+(IF('計算A'!BZ$106=1,1-FX5,0)+IF('計算A'!CA$106=1,1-FZ5,0))*150+44+'計算A'!CA$5*100000+IF(AND($E5=1,LN5=0),50000,0))+IF($H5=1,(IF('計算A'!BZ$117=1,INDEX('計算A'!BZ$10:BZ$54,$B5),0)+IF('計算A'!CA$117=1,INDEX('計算A'!CB$10:CB$54,$B5),0))*4000,0)-IF(AND('計算A'!BZ$117=1,WX5&gt;0),2000,0)-IF(AND($L5=1,'計算A'!CA$117=1,FZ5=0),2000,0))),1000000))</f>
        <v/>
      </c>
      <c r="RD5">
        <f>IF($B5=0,1000000,IF(INDEX('計算A'!$D$60:$EQ$104,$B5,77)*FZ5=1,IF(AND($E5=2,LO5=0),1000000,IF($I5&gt;0,IF(4=$J5,IF(OR(AND(77=$I5+1,OR($K5&lt;&gt;'計算A'!$A$3,'計算A'!$A$4=0)),AND(77=$I5-1,OR(5&lt;&gt;'計算A'!$A$3,'計算A'!$A$4=0))),0,IF(5=$K5,200000,ABS(5-$K5)*100)),100000+ABS(4-$J5)*1000+50)+'計算A'!CB$5*50+IF(AND($E5=1,LO5=0),25,0),IF($F5&gt;0,INDEX('計算A'!CB$110:CB$114,$F5+1)+IF(AND($E5=1,LO5=0),1000,0),MIN(TX5,20)*400+(IF('計算A'!CA$106=1,1-FY5,0)+IF('計算A'!CB$106=1,1-GA5,0))*150+54+'計算A'!CB$5*100000+IF(AND($E5=1,LO5=0),50000,0))+IF($H5=1,(IF('計算A'!CA$117=1,INDEX('計算A'!CA$10:CA$54,$B5),0)+IF('計算A'!CB$117=1,INDEX('計算A'!CC$10:CC$54,$B5),0))*4000,0)-IF(AND('計算A'!CA$117=1,WY5&gt;0),2000,0)-IF(AND($L5=1,'計算A'!CB$117=1,GA5=0),2000,0))),1000000))</f>
        <v/>
      </c>
      <c r="RE5">
        <f>IF($B5=0,1000000,IF(INDEX('計算A'!$D$60:$EQ$104,$B5,78)*GA5=1,IF(AND($E5=2,LP5=0),1000000,IF($I5&gt;0,IF(4=$J5,IF(OR(AND(78=$I5+1,OR($K5&lt;&gt;'計算A'!$A$3,'計算A'!$A$4=0)),AND(78=$I5-1,OR(6&lt;&gt;'計算A'!$A$3,'計算A'!$A$4=0))),0,IF(6=$K5,200000,ABS(6-$K5)*100)),100000+ABS(4-$J5)*1000+60)+'計算A'!CC$5*50+IF(AND($E5=1,LP5=0),25,0),IF($F5&gt;0,INDEX('計算A'!CC$110:CC$114,$F5+1)+IF(AND($E5=1,LP5=0),1000,0),MIN(TX5,20)*400+(IF('計算A'!CB$106=1,1-FZ5,0)+IF('計算A'!CC$106=1,1-GB5,0))*150+64+'計算A'!CC$5*100000+IF(AND($E5=1,LP5=0),50000,0))+IF($H5=1,(IF('計算A'!CB$117=1,INDEX('計算A'!CB$10:CB$54,$B5),0)+IF('計算A'!CC$117=1,INDEX('計算A'!CD$10:CD$54,$B5),0))*4000,0)-IF(AND('計算A'!CB$117=1,WZ5&gt;0),2000,0)-IF(AND($L5=1,'計算A'!CC$117=1,GB5=0),2000,0))),1000000))</f>
        <v/>
      </c>
      <c r="RF5">
        <f>IF($B5=0,1000000,IF(INDEX('計算A'!$D$60:$EQ$104,$B5,79)*GB5=1,IF(AND($E5=2,LQ5=0),1000000,IF($I5&gt;0,IF(4=$J5,IF(OR(AND(79=$I5+1,OR($K5&lt;&gt;'計算A'!$A$3,'計算A'!$A$4=0)),AND(79=$I5-1,OR(7&lt;&gt;'計算A'!$A$3,'計算A'!$A$4=0))),0,IF(7=$K5,200000,ABS(7-$K5)*100)),100000+ABS(4-$J5)*1000+70)+'計算A'!CD$5*50+IF(AND($E5=1,LQ5=0),25,0),IF($F5&gt;0,INDEX('計算A'!CD$110:CD$114,$F5+1)+IF(AND($E5=1,LQ5=0),1000,0),MIN(TX5,20)*400+(IF('計算A'!CC$106=1,1-GA5,0)+IF('計算A'!CD$106=1,1-GC5,0))*150+74+'計算A'!CD$5*100000+IF(AND($E5=1,LQ5=0),50000,0))+IF($H5=1,(IF('計算A'!CC$117=1,INDEX('計算A'!CC$10:CC$54,$B5),0)+IF('計算A'!CD$117=1,INDEX('計算A'!CE$10:CE$54,$B5),0))*4000,0)-IF(AND('計算A'!CC$117=1,XA5&gt;0),2000,0)-IF(AND($L5=1,'計算A'!CD$117=1,GC5=0),2000,0))),1000000))</f>
        <v/>
      </c>
      <c r="RG5">
        <f>IF($B5=0,1000000,IF(INDEX('計算A'!$D$60:$EQ$104,$B5,80)*GC5=1,IF(AND($E5=2,LR5=0),1000000,IF($I5&gt;0,IF(4=$J5,IF(OR(AND(80=$I5+1,OR($K5&lt;&gt;'計算A'!$A$3,'計算A'!$A$4=0)),AND(80=$I5-1,OR(8&lt;&gt;'計算A'!$A$3,'計算A'!$A$4=0))),0,IF(8=$K5,200000,ABS(8-$K5)*100)),100000+ABS(4-$J5)*1000+80)+'計算A'!CE$5*50+IF(AND($E5=1,LR5=0),25,0),IF($F5&gt;0,INDEX('計算A'!CE$110:CE$114,$F5+1)+IF(AND($E5=1,LR5=0),1000,0),MIN(TX5,20)*400+(IF('計算A'!CD$106=1,1-GB5,0)+IF('計算A'!CE$106=1,1-GD5,0))*150+84+'計算A'!CE$5*100000+IF(AND($E5=1,LR5=0),50000,0))+IF($H5=1,(IF('計算A'!CD$117=1,INDEX('計算A'!CD$10:CD$54,$B5),0)+IF('計算A'!CE$117=1,INDEX('計算A'!CF$10:CF$54,$B5),0))*4000,0)-IF(AND('計算A'!CD$117=1,XB5&gt;0),2000,0)-IF(AND($L5=1,'計算A'!CE$117=1,GD5=0),2000,0))),1000000))</f>
        <v/>
      </c>
      <c r="RH5">
        <f>IF($B5=0,1000000,IF(INDEX('計算A'!$D$60:$EQ$104,$B5,81)*GD5=1,IF(AND($E5=2,LS5=0),1000000,IF($I5&gt;0,IF(4=$J5,IF(OR(AND(81=$I5+1,OR($K5&lt;&gt;'計算A'!$A$3,'計算A'!$A$4=0)),AND(81=$I5-1,OR(9&lt;&gt;'計算A'!$A$3,'計算A'!$A$4=0))),0,IF(9=$K5,200000,ABS(9-$K5)*100)),100000+ABS(4-$J5)*1000+90)+'計算A'!CF$5*50+IF(AND($E5=1,LS5=0),25,0),IF($F5&gt;0,INDEX('計算A'!CF$110:CF$114,$F5+1)+IF(AND($E5=1,LS5=0),1000,0),MIN(TX5,20)*400+(IF('計算A'!CE$106=1,1-GC5,0)+IF('計算A'!CF$106=1,1-GE5,0))*150+94+'計算A'!CF$5*100000+IF(AND($E5=1,LS5=0),50000,0))+IF($H5=1,(IF('計算A'!CE$117=1,INDEX('計算A'!CE$10:CE$54,$B5),0)+IF('計算A'!CF$117=1,INDEX('計算A'!CG$10:CG$54,$B5),0))*4000,0)-IF(AND('計算A'!CE$117=1,XC5&gt;0),2000,0)-IF(AND($L5=1,'計算A'!CF$117=1,GE5=0),2000,0))),1000000))</f>
        <v/>
      </c>
      <c r="RI5">
        <f>IF($B5=0,1000000,IF(INDEX('計算A'!$D$60:$EQ$104,$B5,82)*GE5=1,IF(AND($E5=2,LT5=0),1000000,IF($I5&gt;0,IF(4=$J5,IF(OR(AND(82=$I5+1,OR($K5&lt;&gt;'計算A'!$A$3,'計算A'!$A$4=0)),AND(82=$I5-1,OR(10&lt;&gt;'計算A'!$A$3,'計算A'!$A$4=0))),0,IF(10=$K5,200000,ABS(10-$K5)*100)),100000+ABS(4-$J5)*1000+100)+'計算A'!CG$5*50+IF(AND($E5=1,LT5=0),25,0),IF($F5&gt;0,INDEX('計算A'!CG$110:CG$114,$F5+1)+IF(AND($E5=1,LT5=0),1000,0),MIN(TX5,20)*400+(IF('計算A'!CF$106=1,1-GD5,0)+IF('計算A'!CG$106=1,1-GF5,0))*150+104+'計算A'!CG$5*100000+IF(AND($E5=1,LT5=0),50000,0))+IF($H5=1,(IF('計算A'!CF$117=1,INDEX('計算A'!CF$10:CF$54,$B5),0)+IF('計算A'!CG$117=1,INDEX('計算A'!CH$10:CH$54,$B5),0))*4000,0)-IF(AND('計算A'!CF$117=1,XD5&gt;0),2000,0)-IF(AND($L5=1,'計算A'!CG$117=1,GF5=0),2000,0))),1000000))</f>
        <v/>
      </c>
      <c r="RJ5">
        <f>IF($B5=0,1000000,IF(INDEX('計算A'!$D$60:$EQ$104,$B5,83)*GF5=1,IF(AND($E5=2,LU5=0),1000000,IF($I5&gt;0,IF(4=$J5,IF(OR(AND(83=$I5+1,OR($K5&lt;&gt;'計算A'!$A$3,'計算A'!$A$4=0)),AND(83=$I5-1,OR(11&lt;&gt;'計算A'!$A$3,'計算A'!$A$4=0))),0,IF(11=$K5,200000,ABS(11-$K5)*100)),100000+ABS(4-$J5)*1000+110)+'計算A'!CH$5*50+IF(AND($E5=1,LU5=0),25,0),IF($F5&gt;0,INDEX('計算A'!CH$110:CH$114,$F5+1)+IF(AND($E5=1,LU5=0),1000,0),MIN(TX5,20)*400+(IF('計算A'!CG$106=1,1-GE5,0)+IF('計算A'!CH$106=1,1-GG5,0))*150+114+'計算A'!CH$5*100000+IF(AND($E5=1,LU5=0),50000,0))+IF($H5=1,(IF('計算A'!CG$117=1,INDEX('計算A'!CG$10:CG$54,$B5),0)+IF('計算A'!CH$117=1,INDEX('計算A'!CI$10:CI$54,$B5),0))*4000,0)-IF(AND('計算A'!CG$117=1,XE5&gt;0),2000,0)-IF(AND($L5=1,'計算A'!CH$117=1,GG5=0),2000,0))),1000000))</f>
        <v/>
      </c>
      <c r="RK5">
        <f>IF($B5=0,1000000,IF(INDEX('計算A'!$D$60:$EQ$104,$B5,84)*GG5=1,IF(AND($E5=2,LV5=0),1000000,IF($I5&gt;0,IF(4=$J5,IF(OR(AND(84=$I5+1,OR($K5&lt;&gt;'計算A'!$A$3,'計算A'!$A$4=0)),AND(84=$I5-1,OR(12&lt;&gt;'計算A'!$A$3,'計算A'!$A$4=0))),0,IF(12=$K5,200000,ABS(12-$K5)*100)),100000+ABS(4-$J5)*1000+120)+'計算A'!CI$5*50+IF(AND($E5=1,LV5=0),25,0),IF($F5&gt;0,INDEX('計算A'!CI$110:CI$114,$F5+1)+IF(AND($E5=1,LV5=0),1000,0),MIN(TX5,20)*400+(IF('計算A'!CH$106=1,1-GF5,0)+IF('計算A'!CI$106=1,1-GH5,0))*150+124+'計算A'!CI$5*100000+IF(AND($E5=1,LV5=0),50000,0))+IF($H5=1,(IF('計算A'!CH$117=1,INDEX('計算A'!CH$10:CH$54,$B5),0)+IF('計算A'!CI$117=1,INDEX('計算A'!CJ$10:CJ$54,$B5),0))*4000,0)-IF(AND('計算A'!CH$117=1,XF5&gt;0),2000,0)-IF(AND($L5=1,'計算A'!CI$117=1,GH5=0),2000,0))),1000000))</f>
        <v/>
      </c>
      <c r="RL5">
        <f>IF($B5=0,1000000,IF(INDEX('計算A'!$D$60:$EQ$104,$B5,85)*GH5=1,IF(AND($E5=2,LW5=0),1000000,IF($I5&gt;0,IF(4=$J5,IF(OR(AND(85=$I5+1,OR($K5&lt;&gt;'計算A'!$A$3,'計算A'!$A$4=0)),AND(85=$I5-1,OR(13&lt;&gt;'計算A'!$A$3,'計算A'!$A$4=0))),0,IF(13=$K5,200000,ABS(13-$K5)*100)),100000+ABS(4-$J5)*1000+130)+'計算A'!CJ$5*50+IF(AND($E5=1,LW5=0),25,0),IF($F5&gt;0,INDEX('計算A'!CJ$110:CJ$114,$F5+1)+IF(AND($E5=1,LW5=0),1000,0),MIN(TX5,20)*400+(IF('計算A'!CI$106=1,1-GG5,0)+IF('計算A'!CJ$106=1,1-GI5,0))*150+134+'計算A'!CJ$5*100000+IF(AND($E5=1,LW5=0),50000,0))+IF($H5=1,(IF('計算A'!CI$117=1,INDEX('計算A'!CI$10:CI$54,$B5),0)+IF('計算A'!CJ$117=1,INDEX('計算A'!CK$10:CK$54,$B5),0))*4000,0)-IF(AND('計算A'!CI$117=1,XG5&gt;0),2000,0)-IF(AND($L5=1,'計算A'!CJ$117=1,GI5=0),2000,0))),1000000))</f>
        <v/>
      </c>
      <c r="RM5">
        <f>IF($B5=0,1000000,IF(INDEX('計算A'!$D$60:$EQ$104,$B5,86)*GI5=1,IF(AND($E5=2,LX5=0),1000000,IF($I5&gt;0,IF(4=$J5,IF(OR(AND(86=$I5+1,OR($K5&lt;&gt;'計算A'!$A$3,'計算A'!$A$4=0)),AND(86=$I5-1,OR(14&lt;&gt;'計算A'!$A$3,'計算A'!$A$4=0))),0,IF(14=$K5,200000,ABS(14-$K5)*100)),100000+ABS(4-$J5)*1000+140)+'計算A'!CK$5*50+IF(AND($E5=1,LX5=0),25,0),IF($F5&gt;0,INDEX('計算A'!CK$110:CK$114,$F5+1)+IF(AND($E5=1,LX5=0),1000,0),MIN(TX5,20)*400+(IF('計算A'!CJ$106=1,1-GH5,0)+IF('計算A'!CK$106=1,1-GJ5,0))*150+144+'計算A'!CK$5*100000+IF(AND($E5=1,LX5=0),50000,0))+IF($H5=1,(IF('計算A'!CJ$117=1,INDEX('計算A'!CJ$10:CJ$54,$B5),0)+IF('計算A'!CK$117=1,INDEX('計算A'!CL$10:CL$54,$B5),0))*4000,0)-IF(AND('計算A'!CJ$117=1,XH5&gt;0),2000,0)-IF(AND($L5=1,'計算A'!CK$117=1,GJ5=0),2000,0))),1000000))</f>
        <v/>
      </c>
      <c r="RN5">
        <f>IF($B5=0,1000000,IF(INDEX('計算A'!$D$60:$EQ$104,$B5,87)*GJ5=1,IF(AND($E5=2,LY5=0),1000000,IF($I5&gt;0,IF(4=$J5,IF(OR(AND(87=$I5+1,OR($K5&lt;&gt;'計算A'!$A$3,'計算A'!$A$4=0)),AND(87=$I5-1,OR(15&lt;&gt;'計算A'!$A$3,'計算A'!$A$4=0))),0,IF(15=$K5,200000,ABS(15-$K5)*100)),100000+ABS(4-$J5)*1000+150)+'計算A'!CL$5*50+IF(AND($E5=1,LY5=0),25,0),IF($F5&gt;0,INDEX('計算A'!CL$110:CL$114,$F5+1)+IF(AND($E5=1,LY5=0),1000,0),MIN(TX5,20)*400+(IF('計算A'!CK$106=1,1-GI5,0)+IF('計算A'!CL$106=1,1-GK5,0))*150+154+'計算A'!CL$5*100000+IF(AND($E5=1,LY5=0),50000,0))+IF($H5=1,(IF('計算A'!CK$117=1,INDEX('計算A'!CK$10:CK$54,$B5),0)+IF('計算A'!CL$117=1,INDEX('計算A'!CM$10:CM$54,$B5),0))*4000,0)-IF(AND('計算A'!CK$117=1,XI5&gt;0),2000,0)-IF(AND($L5=1,'計算A'!CL$117=1,GK5=0),2000,0))),1000000))</f>
        <v/>
      </c>
      <c r="RO5">
        <f>IF($B5=0,1000000,IF(INDEX('計算A'!$D$60:$EQ$104,$B5,88)*GK5=1,IF(AND($E5=2,LZ5=0),1000000,IF($I5&gt;0,IF(4=$J5,IF(OR(AND(88=$I5+1,OR($K5&lt;&gt;'計算A'!$A$3,'計算A'!$A$4=0)),AND(88=$I5-1,OR(16&lt;&gt;'計算A'!$A$3,'計算A'!$A$4=0))),0,IF(16=$K5,200000,ABS(16-$K5)*100)),100000+ABS(4-$J5)*1000+160)+'計算A'!CM$5*50+IF(AND($E5=1,LZ5=0),25,0),IF($F5&gt;0,INDEX('計算A'!CM$110:CM$114,$F5+1)+IF(AND($E5=1,LZ5=0),1000,0),MIN(TX5,20)*400+(IF('計算A'!CL$106=1,1-GJ5,0)+IF('計算A'!CM$106=1,1-GL5,0))*150+164+'計算A'!CM$5*100000+IF(AND($E5=1,LZ5=0),50000,0))+IF($H5=1,(IF('計算A'!CL$117=1,INDEX('計算A'!CL$10:CL$54,$B5),0)+IF('計算A'!CM$117=1,INDEX('計算A'!CN$10:CN$54,$B5),0))*4000,0)-IF(AND('計算A'!CL$117=1,XJ5&gt;0),2000,0)-IF(AND($L5=1,'計算A'!CM$117=1,GL5=0),2000,0))),1000000))</f>
        <v/>
      </c>
      <c r="RP5">
        <f>IF($B5=0,1000000,IF(INDEX('計算A'!$D$60:$EQ$104,$B5,89)*GL5=1,IF(AND($E5=2,MA5=0),1000000,IF($I5&gt;0,IF(4=$J5,IF(OR(AND(89=$I5+1,OR($K5&lt;&gt;'計算A'!$A$3,'計算A'!$A$4=0)),AND(89=$I5-1,OR(17&lt;&gt;'計算A'!$A$3,'計算A'!$A$4=0))),0,IF(17=$K5,200000,ABS(17-$K5)*100)),100000+ABS(4-$J5)*1000+170)+'計算A'!CN$5*50+IF(AND($E5=1,MA5=0),25,0),IF($F5&gt;0,INDEX('計算A'!CN$110:CN$114,$F5+1)+IF(AND($E5=1,MA5=0),1000,0),MIN(TX5,20)*400+(IF('計算A'!CM$106=1,1-GK5,0)+IF('計算A'!CN$106=1,1-GM5,0))*150+174+'計算A'!CN$5*100000+IF(AND($E5=1,MA5=0),50000,0))+IF($H5=1,(IF('計算A'!CM$117=1,INDEX('計算A'!CM$10:CM$54,$B5),0)+IF('計算A'!CN$117=1,INDEX('計算A'!CO$10:CO$54,$B5),0))*4000,0)-IF(AND('計算A'!CM$117=1,XK5&gt;0),2000,0)-IF(AND($L5=1,'計算A'!CN$117=1,GM5=0),2000,0))),1000000))</f>
        <v/>
      </c>
      <c r="RQ5">
        <f>IF($B5=0,1000000,IF(INDEX('計算A'!$D$60:$EQ$104,$B5,90)*GM5=1,IF(AND($E5=2,MB5=0),1000000,IF($I5&gt;0,IF(4=$J5,IF(OR(AND(90=$I5+1,OR($K5&lt;&gt;'計算A'!$A$3,'計算A'!$A$4=0)),AND(90=$I5-1,OR(18&lt;&gt;'計算A'!$A$3,'計算A'!$A$4=0))),0,IF(18=$K5,200000,ABS(18-$K5)*100)),100000+ABS(4-$J5)*1000+180)+'計算A'!CO$5*50+IF(AND($E5=1,MB5=0),25,0),IF($F5&gt;0,INDEX('計算A'!CO$110:CO$114,$F5+1)+IF(AND($E5=1,MB5=0),1000,0),MIN(TX5,20)*400+(IF('計算A'!CN$106=1,1-GL5,0)+IF('計算A'!CO$106=1,1-GN5,0))*150+184+'計算A'!CO$5*100000+IF(AND($E5=1,MB5=0),50000,0))+IF($H5=1,(IF('計算A'!CN$117=1,INDEX('計算A'!CN$10:CN$54,$B5),0)+IF('計算A'!CO$117=1,INDEX('計算A'!CP$10:CP$54,$B5),0))*4000,0)-IF(AND('計算A'!CN$117=1,XL5&gt;0),2000,0)-IF(AND($L5=1,'計算A'!CO$117=1,GN5=0),2000,0))),1000000))</f>
        <v/>
      </c>
      <c r="RR5">
        <f>IF($B5=0,1000000,IF(INDEX('計算A'!$D$60:$EQ$104,$B5,91)*GN5=1,IF(AND($E5=2,MC5=0),1000000,IF($I5&gt;0,IF(4=$J5,IF(OR(AND(91=$I5+1,OR($K5&lt;&gt;'計算A'!$A$3,'計算A'!$A$4=0)),AND(91=$I5-1,OR(19&lt;&gt;'計算A'!$A$3,'計算A'!$A$4=0))),0,IF(19=$K5,200000,ABS(19-$K5)*100)),100000+ABS(4-$J5)*1000+190)+'計算A'!CP$5*50+IF(AND($E5=1,MC5=0),25,0),IF($F5&gt;0,INDEX('計算A'!CP$110:CP$114,$F5+1)+IF(AND($E5=1,MC5=0),1000,0),MIN(TX5,20)*400+(IF('計算A'!CO$106=1,1-GM5,0)+IF('計算A'!CP$106=1,1-GO5,0))*150+194+'計算A'!CP$5*100000+IF(AND($E5=1,MC5=0),50000,0))+IF($H5=1,(IF('計算A'!CO$117=1,INDEX('計算A'!CO$10:CO$54,$B5),0)+IF('計算A'!CP$117=1,INDEX('計算A'!CQ$10:CQ$54,$B5),0))*4000,0)-IF(AND('計算A'!CO$117=1,XM5&gt;0),2000,0)-IF(AND($L5=1,'計算A'!CP$117=1,GO5=0),2000,0))),1000000))</f>
        <v/>
      </c>
      <c r="RS5">
        <f>IF($B5=0,1000000,IF(INDEX('計算A'!$D$60:$EQ$104,$B5,92)*GO5=1,IF(AND($E5=2,MD5=0),1000000,IF($I5&gt;0,IF(4=$J5,IF(OR(AND(92=$I5+1,OR($K5&lt;&gt;'計算A'!$A$3,'計算A'!$A$4=0)),AND(92=$I5-1,OR(20&lt;&gt;'計算A'!$A$3,'計算A'!$A$4=0))),0,IF(20=$K5,200000,ABS(20-$K5)*100)),100000+ABS(4-$J5)*1000+200)+'計算A'!CQ$5*50+IF(AND($E5=1,MD5=0),25,0),IF($F5&gt;0,INDEX('計算A'!CQ$110:CQ$114,$F5+1)+IF(AND($E5=1,MD5=0),1000,0),MIN(TX5,20)*400+(IF('計算A'!CP$106=1,1-GN5,0)+IF('計算A'!CQ$106=1,1-GP5,0))*150+204+'計算A'!CQ$5*100000+IF(AND($E5=1,MD5=0),50000,0))+IF($H5=1,(IF('計算A'!CP$117=1,INDEX('計算A'!CP$10:CP$54,$B5),0)+IF('計算A'!CQ$117=1,INDEX('計算A'!CR$10:CR$54,$B5),0))*4000,0)-IF(AND('計算A'!CP$117=1,XN5&gt;0),2000,0)-IF(AND($L5=1,'計算A'!CQ$117=1,GP5=0),2000,0))),1000000))</f>
        <v/>
      </c>
      <c r="RT5">
        <f>IF($B5=0,1000000,IF(INDEX('計算A'!$D$60:$EQ$104,$B5,93)*GP5=1,IF(AND($E5=2,ME5=0),1000000,IF($I5&gt;0,IF(4=$J5,IF(OR(AND(93=$I5+1,OR($K5&lt;&gt;'計算A'!$A$3,'計算A'!$A$4=0)),AND(93=$I5-1,OR(21&lt;&gt;'計算A'!$A$3,'計算A'!$A$4=0))),0,IF(21=$K5,200000,ABS(21-$K5)*100)),100000+ABS(4-$J5)*1000+210)+'計算A'!CR$5*50+IF(AND($E5=1,ME5=0),25,0),IF($F5&gt;0,INDEX('計算A'!CR$110:CR$114,$F5+1)+IF(AND($E5=1,ME5=0),1000,0),MIN(TX5,20)*400+(IF('計算A'!CQ$106=1,1-GO5,0)+IF('計算A'!CR$106=1,1-GQ5,0))*150+214+'計算A'!CR$5*100000+IF(AND($E5=1,ME5=0),50000,0))+IF($H5=1,(IF('計算A'!CQ$117=1,INDEX('計算A'!CQ$10:CQ$54,$B5),0)+IF('計算A'!CR$117=1,INDEX('計算A'!CS$10:CS$54,$B5),0))*4000,0)-IF(AND('計算A'!CQ$117=1,XO5&gt;0),2000,0)-IF(AND($L5=1,'計算A'!CR$117=1,GQ5=0),2000,0))),1000000))</f>
        <v/>
      </c>
      <c r="RU5">
        <f>IF($B5=0,1000000,IF(INDEX('計算A'!$D$60:$EQ$104,$B5,94)*GQ5=1,IF(AND($E5=2,MF5=0),1000000,IF($I5&gt;0,IF(4=$J5,IF(OR(AND(94=$I5+1,OR($K5&lt;&gt;'計算A'!$A$3,'計算A'!$A$4=0)),AND(94=$I5-1,OR(22&lt;&gt;'計算A'!$A$3,'計算A'!$A$4=0))),0,IF(22=$K5,200000,ABS(22-$K5)*100)),100000+ABS(4-$J5)*1000+220)+'計算A'!CS$5*50+IF(AND($E5=1,MF5=0),25,0),IF($F5&gt;0,INDEX('計算A'!CS$110:CS$114,$F5+1)+IF(AND($E5=1,MF5=0),1000,0),MIN(TX5,20)*400+(IF('計算A'!CR$106=1,1-GP5,0)+IF('計算A'!CS$106=1,1-GR5,0))*150+224+'計算A'!CS$5*100000+IF(AND($E5=1,MF5=0),50000,0))+IF($H5=1,(IF('計算A'!CR$117=1,INDEX('計算A'!CR$10:CR$54,$B5),0)+IF('計算A'!CS$117=1,INDEX('計算A'!CT$10:CT$54,$B5),0))*4000,0)-IF(AND('計算A'!CR$117=1,XP5&gt;0),2000,0)-IF(AND($L5=1,'計算A'!CS$117=1,GR5=0),2000,0))),1000000))</f>
        <v/>
      </c>
      <c r="RV5">
        <f>IF($B5=0,1000000,IF(INDEX('計算A'!$D$60:$EQ$104,$B5,95)*GR5=1,IF(AND($E5=2,MG5=0),1000000,IF($I5&gt;0,IF(4=$J5,IF(OR(AND(95=$I5+1,OR($K5&lt;&gt;'計算A'!$A$3,'計算A'!$A$4=0)),AND(95=$I5-1,OR(23&lt;&gt;'計算A'!$A$3,'計算A'!$A$4=0))),0,IF(23=$K5,200000,ABS(23-$K5)*100)),100000+ABS(4-$J5)*1000+230)+'計算A'!CT$5*50+IF(AND($E5=1,MG5=0),25,0),IF($F5&gt;0,INDEX('計算A'!CT$110:CT$114,$F5+1)+IF(AND($E5=1,MG5=0),1000,0),MIN(TX5,20)*400+(IF('計算A'!CS$106=1,1-GQ5,0)+IF('計算A'!CT$106=1,1-GS5,0))*150+234+'計算A'!CT$5*100000+IF(AND($E5=1,MG5=0),50000,0))+IF($H5=1,(IF('計算A'!CS$117=1,INDEX('計算A'!CS$10:CS$54,$B5),0)+IF('計算A'!CT$117=1,INDEX('計算A'!CU$10:CU$54,$B5),0))*4000,0)-IF(AND('計算A'!CS$117=1,XQ5&gt;0),2000,0)-IF(AND($L5=1,'計算A'!CT$117=1,GS5=0),2000,0))),1000000))</f>
        <v/>
      </c>
      <c r="RW5">
        <f>IF($B5=0,1000000,IF(INDEX('計算A'!$D$60:$EQ$104,$B5,96)*GS5=1,IF(AND($E5=2,MH5=0),1000000,IF($I5&gt;0,IF(4=$J5,IF(OR(AND(96=$I5+1,OR($K5&lt;&gt;'計算A'!$A$3,'計算A'!$A$4=0)),AND(96=$I5-1,OR(24&lt;&gt;'計算A'!$A$3,'計算A'!$A$4=0))),0,IF(24=$K5,200000,ABS(24-$K5)*100)),100000+ABS(4-$J5)*1000+240)+'計算A'!CU$5*50+IF(AND($E5=1,MH5=0),25,0),IF($F5&gt;0,INDEX('計算A'!CU$110:CU$114,$F5+1)+IF(AND($E5=1,MH5=0),1000,0),MIN(TX5,20)*400+(IF('計算A'!CT$106=1,1-GR5,0))*150+244+'計算A'!CU$5*100000+IF(AND($E5=1,MH5=0),50000,0))+IF($H5=1,(IF('計算A'!CT$117=1,INDEX('計算A'!CT$10:CT$54,$B5),0))*4000,0)-IF(AND('計算A'!CT$117=1,XR5&gt;0),2000,0))),1000000))</f>
        <v/>
      </c>
      <c r="RX5">
        <f>IF($B5=0,1000000,IF(INDEX('計算A'!$D$60:$EQ$104,$B5,97)*GT5=1,IF(AND($E5=2,MI5=0),1000000,IF($I5&gt;0,IF(5=$J5,IF(OR(AND(97=$I5+1,OR($K5&lt;&gt;'計算A'!$A$3,'計算A'!$A$4=0)),AND(97=$I5-1,OR(1&lt;&gt;'計算A'!$A$3,'計算A'!$A$4=0))),0,IF(1=$K5,200000,ABS(1-$K5)*100)),100000+ABS(5-$J5)*1000+10)+'計算A'!CV$5*50+IF(AND($E5=1,MI5=0),25,0),IF($F5&gt;0,INDEX('計算A'!CV$110:CV$114,$F5+1)+IF(AND($E5=1,MI5=0),1000,0),MIN(TY5,20)*400+(IF('計算A'!CV$106=1,1-GU5,0))*150+15+'計算A'!CV$5*100000+IF(AND($E5=1,MI5=0),50000,0))+IF($H5=1,(IF('計算A'!CV$117=1,INDEX('計算A'!CW$10:CW$54,$B5),0))*4000,0)-IF(AND($L5=1,'計算A'!CV$117=1,GU5=0),2000,0))),1000000))</f>
        <v/>
      </c>
      <c r="RY5">
        <f>IF($B5=0,1000000,IF(INDEX('計算A'!$D$60:$EQ$104,$B5,98)*GU5=1,IF(AND($E5=2,MJ5=0),1000000,IF($I5&gt;0,IF(5=$J5,IF(OR(AND(98=$I5+1,OR($K5&lt;&gt;'計算A'!$A$3,'計算A'!$A$4=0)),AND(98=$I5-1,OR(2&lt;&gt;'計算A'!$A$3,'計算A'!$A$4=0))),0,IF(2=$K5,200000,ABS(2-$K5)*100)),100000+ABS(5-$J5)*1000+20)+'計算A'!CW$5*50+IF(AND($E5=1,MJ5=0),25,0),IF($F5&gt;0,INDEX('計算A'!CW$110:CW$114,$F5+1)+IF(AND($E5=1,MJ5=0),1000,0),MIN(TY5,20)*400+(IF('計算A'!CV$106=1,1-GT5,0)+IF('計算A'!CW$106=1,1-GV5,0))*150+25+'計算A'!CW$5*100000+IF(AND($E5=1,MJ5=0),50000,0))+IF($H5=1,(IF('計算A'!CV$117=1,INDEX('計算A'!CV$10:CV$54,$B5),0)+IF('計算A'!CW$117=1,INDEX('計算A'!CX$10:CX$54,$B5),0))*4000,0)-IF(AND('計算A'!CV$117=1,XT5&gt;0),2000,0)-IF(AND($L5=1,'計算A'!CW$117=1,GV5=0),2000,0))),1000000))</f>
        <v/>
      </c>
      <c r="RZ5">
        <f>IF($B5=0,1000000,IF(INDEX('計算A'!$D$60:$EQ$104,$B5,99)*GV5=1,IF(AND($E5=2,MK5=0),1000000,IF($I5&gt;0,IF(5=$J5,IF(OR(AND(99=$I5+1,OR($K5&lt;&gt;'計算A'!$A$3,'計算A'!$A$4=0)),AND(99=$I5-1,OR(3&lt;&gt;'計算A'!$A$3,'計算A'!$A$4=0))),0,IF(3=$K5,200000,ABS(3-$K5)*100)),100000+ABS(5-$J5)*1000+30)+'計算A'!CX$5*50+IF(AND($E5=1,MK5=0),25,0),IF($F5&gt;0,INDEX('計算A'!CX$110:CX$114,$F5+1)+IF(AND($E5=1,MK5=0),1000,0),MIN(TY5,20)*400+(IF('計算A'!CW$106=1,1-GU5,0)+IF('計算A'!CX$106=1,1-GW5,0))*150+35+'計算A'!CX$5*100000+IF(AND($E5=1,MK5=0),50000,0))+IF($H5=1,(IF('計算A'!CW$117=1,INDEX('計算A'!CW$10:CW$54,$B5),0)+IF('計算A'!CX$117=1,INDEX('計算A'!CY$10:CY$54,$B5),0))*4000,0)-IF(AND('計算A'!CW$117=1,XU5&gt;0),2000,0)-IF(AND($L5=1,'計算A'!CX$117=1,GW5=0),2000,0))),1000000))</f>
        <v/>
      </c>
      <c r="SA5">
        <f>IF($B5=0,1000000,IF(INDEX('計算A'!$D$60:$EQ$104,$B5,100)*GW5=1,IF(AND($E5=2,ML5=0),1000000,IF($I5&gt;0,IF(5=$J5,IF(OR(AND(100=$I5+1,OR($K5&lt;&gt;'計算A'!$A$3,'計算A'!$A$4=0)),AND(100=$I5-1,OR(4&lt;&gt;'計算A'!$A$3,'計算A'!$A$4=0))),0,IF(4=$K5,200000,ABS(4-$K5)*100)),100000+ABS(5-$J5)*1000+40)+'計算A'!CY$5*50+IF(AND($E5=1,ML5=0),25,0),IF($F5&gt;0,INDEX('計算A'!CY$110:CY$114,$F5+1)+IF(AND($E5=1,ML5=0),1000,0),MIN(TY5,20)*400+(IF('計算A'!CX$106=1,1-GV5,0)+IF('計算A'!CY$106=1,1-GX5,0))*150+45+'計算A'!CY$5*100000+IF(AND($E5=1,ML5=0),50000,0))+IF($H5=1,(IF('計算A'!CX$117=1,INDEX('計算A'!CX$10:CX$54,$B5),0)+IF('計算A'!CY$117=1,INDEX('計算A'!CZ$10:CZ$54,$B5),0))*4000,0)-IF(AND('計算A'!CX$117=1,XV5&gt;0),2000,0)-IF(AND($L5=1,'計算A'!CY$117=1,GX5=0),2000,0))),1000000))</f>
        <v/>
      </c>
      <c r="SB5">
        <f>IF($B5=0,1000000,IF(INDEX('計算A'!$D$60:$EQ$104,$B5,101)*GX5=1,IF(AND($E5=2,MM5=0),1000000,IF($I5&gt;0,IF(5=$J5,IF(OR(AND(101=$I5+1,OR($K5&lt;&gt;'計算A'!$A$3,'計算A'!$A$4=0)),AND(101=$I5-1,OR(5&lt;&gt;'計算A'!$A$3,'計算A'!$A$4=0))),0,IF(5=$K5,200000,ABS(5-$K5)*100)),100000+ABS(5-$J5)*1000+50)+'計算A'!CZ$5*50+IF(AND($E5=1,MM5=0),25,0),IF($F5&gt;0,INDEX('計算A'!CZ$110:CZ$114,$F5+1)+IF(AND($E5=1,MM5=0),1000,0),MIN(TY5,20)*400+(IF('計算A'!CY$106=1,1-GW5,0)+IF('計算A'!CZ$106=1,1-GY5,0))*150+55+'計算A'!CZ$5*100000+IF(AND($E5=1,MM5=0),50000,0))+IF($H5=1,(IF('計算A'!CY$117=1,INDEX('計算A'!CY$10:CY$54,$B5),0)+IF('計算A'!CZ$117=1,INDEX('計算A'!DA$10:DA$54,$B5),0))*4000,0)-IF(AND('計算A'!CY$117=1,XW5&gt;0),2000,0)-IF(AND($L5=1,'計算A'!CZ$117=1,GY5=0),2000,0))),1000000))</f>
        <v/>
      </c>
      <c r="SC5">
        <f>IF($B5=0,1000000,IF(INDEX('計算A'!$D$60:$EQ$104,$B5,102)*GY5=1,IF(AND($E5=2,MN5=0),1000000,IF($I5&gt;0,IF(5=$J5,IF(OR(AND(102=$I5+1,OR($K5&lt;&gt;'計算A'!$A$3,'計算A'!$A$4=0)),AND(102=$I5-1,OR(6&lt;&gt;'計算A'!$A$3,'計算A'!$A$4=0))),0,IF(6=$K5,200000,ABS(6-$K5)*100)),100000+ABS(5-$J5)*1000+60)+'計算A'!DA$5*50+IF(AND($E5=1,MN5=0),25,0),IF($F5&gt;0,INDEX('計算A'!DA$110:DA$114,$F5+1)+IF(AND($E5=1,MN5=0),1000,0),MIN(TY5,20)*400+(IF('計算A'!CZ$106=1,1-GX5,0)+IF('計算A'!DA$106=1,1-GZ5,0))*150+65+'計算A'!DA$5*100000+IF(AND($E5=1,MN5=0),50000,0))+IF($H5=1,(IF('計算A'!CZ$117=1,INDEX('計算A'!CZ$10:CZ$54,$B5),0)+IF('計算A'!DA$117=1,INDEX('計算A'!DB$10:DB$54,$B5),0))*4000,0)-IF(AND('計算A'!CZ$117=1,XX5&gt;0),2000,0)-IF(AND($L5=1,'計算A'!DA$117=1,GZ5=0),2000,0))),1000000))</f>
        <v/>
      </c>
      <c r="SD5">
        <f>IF($B5=0,1000000,IF(INDEX('計算A'!$D$60:$EQ$104,$B5,103)*GZ5=1,IF(AND($E5=2,MO5=0),1000000,IF($I5&gt;0,IF(5=$J5,IF(OR(AND(103=$I5+1,OR($K5&lt;&gt;'計算A'!$A$3,'計算A'!$A$4=0)),AND(103=$I5-1,OR(7&lt;&gt;'計算A'!$A$3,'計算A'!$A$4=0))),0,IF(7=$K5,200000,ABS(7-$K5)*100)),100000+ABS(5-$J5)*1000+70)+'計算A'!DB$5*50+IF(AND($E5=1,MO5=0),25,0),IF($F5&gt;0,INDEX('計算A'!DB$110:DB$114,$F5+1)+IF(AND($E5=1,MO5=0),1000,0),MIN(TY5,20)*400+(IF('計算A'!DA$106=1,1-GY5,0)+IF('計算A'!DB$106=1,1-HA5,0))*150+75+'計算A'!DB$5*100000+IF(AND($E5=1,MO5=0),50000,0))+IF($H5=1,(IF('計算A'!DA$117=1,INDEX('計算A'!DA$10:DA$54,$B5),0)+IF('計算A'!DB$117=1,INDEX('計算A'!DC$10:DC$54,$B5),0))*4000,0)-IF(AND('計算A'!DA$117=1,XY5&gt;0),2000,0)-IF(AND($L5=1,'計算A'!DB$117=1,HA5=0),2000,0))),1000000))</f>
        <v/>
      </c>
      <c r="SE5">
        <f>IF($B5=0,1000000,IF(INDEX('計算A'!$D$60:$EQ$104,$B5,104)*HA5=1,IF(AND($E5=2,MP5=0),1000000,IF($I5&gt;0,IF(5=$J5,IF(OR(AND(104=$I5+1,OR($K5&lt;&gt;'計算A'!$A$3,'計算A'!$A$4=0)),AND(104=$I5-1,OR(8&lt;&gt;'計算A'!$A$3,'計算A'!$A$4=0))),0,IF(8=$K5,200000,ABS(8-$K5)*100)),100000+ABS(5-$J5)*1000+80)+'計算A'!DC$5*50+IF(AND($E5=1,MP5=0),25,0),IF($F5&gt;0,INDEX('計算A'!DC$110:DC$114,$F5+1)+IF(AND($E5=1,MP5=0),1000,0),MIN(TY5,20)*400+(IF('計算A'!DB$106=1,1-GZ5,0)+IF('計算A'!DC$106=1,1-HB5,0))*150+85+'計算A'!DC$5*100000+IF(AND($E5=1,MP5=0),50000,0))+IF($H5=1,(IF('計算A'!DB$117=1,INDEX('計算A'!DB$10:DB$54,$B5),0)+IF('計算A'!DC$117=1,INDEX('計算A'!DD$10:DD$54,$B5),0))*4000,0)-IF(AND('計算A'!DB$117=1,XZ5&gt;0),2000,0)-IF(AND($L5=1,'計算A'!DC$117=1,HB5=0),2000,0))),1000000))</f>
        <v/>
      </c>
      <c r="SF5">
        <f>IF($B5=0,1000000,IF(INDEX('計算A'!$D$60:$EQ$104,$B5,105)*HB5=1,IF(AND($E5=2,MQ5=0),1000000,IF($I5&gt;0,IF(5=$J5,IF(OR(AND(105=$I5+1,OR($K5&lt;&gt;'計算A'!$A$3,'計算A'!$A$4=0)),AND(105=$I5-1,OR(9&lt;&gt;'計算A'!$A$3,'計算A'!$A$4=0))),0,IF(9=$K5,200000,ABS(9-$K5)*100)),100000+ABS(5-$J5)*1000+90)+'計算A'!DD$5*50+IF(AND($E5=1,MQ5=0),25,0),IF($F5&gt;0,INDEX('計算A'!DD$110:DD$114,$F5+1)+IF(AND($E5=1,MQ5=0),1000,0),MIN(TY5,20)*400+(IF('計算A'!DC$106=1,1-HA5,0)+IF('計算A'!DD$106=1,1-HC5,0))*150+95+'計算A'!DD$5*100000+IF(AND($E5=1,MQ5=0),50000,0))+IF($H5=1,(IF('計算A'!DC$117=1,INDEX('計算A'!DC$10:DC$54,$B5),0)+IF('計算A'!DD$117=1,INDEX('計算A'!DE$10:DE$54,$B5),0))*4000,0)-IF(AND('計算A'!DC$117=1,YA5&gt;0),2000,0)-IF(AND($L5=1,'計算A'!DD$117=1,HC5=0),2000,0))),1000000))</f>
        <v/>
      </c>
      <c r="SG5">
        <f>IF($B5=0,1000000,IF(INDEX('計算A'!$D$60:$EQ$104,$B5,106)*HC5=1,IF(AND($E5=2,MR5=0),1000000,IF($I5&gt;0,IF(5=$J5,IF(OR(AND(106=$I5+1,OR($K5&lt;&gt;'計算A'!$A$3,'計算A'!$A$4=0)),AND(106=$I5-1,OR(10&lt;&gt;'計算A'!$A$3,'計算A'!$A$4=0))),0,IF(10=$K5,200000,ABS(10-$K5)*100)),100000+ABS(5-$J5)*1000+100)+'計算A'!DE$5*50+IF(AND($E5=1,MR5=0),25,0),IF($F5&gt;0,INDEX('計算A'!DE$110:DE$114,$F5+1)+IF(AND($E5=1,MR5=0),1000,0),MIN(TY5,20)*400+(IF('計算A'!DD$106=1,1-HB5,0)+IF('計算A'!DE$106=1,1-HD5,0))*150+105+'計算A'!DE$5*100000+IF(AND($E5=1,MR5=0),50000,0))+IF($H5=1,(IF('計算A'!DD$117=1,INDEX('計算A'!DD$10:DD$54,$B5),0)+IF('計算A'!DE$117=1,INDEX('計算A'!DF$10:DF$54,$B5),0))*4000,0)-IF(AND('計算A'!DD$117=1,YB5&gt;0),2000,0)-IF(AND($L5=1,'計算A'!DE$117=1,HD5=0),2000,0))),1000000))</f>
        <v/>
      </c>
      <c r="SH5">
        <f>IF($B5=0,1000000,IF(INDEX('計算A'!$D$60:$EQ$104,$B5,107)*HD5=1,IF(AND($E5=2,MS5=0),1000000,IF($I5&gt;0,IF(5=$J5,IF(OR(AND(107=$I5+1,OR($K5&lt;&gt;'計算A'!$A$3,'計算A'!$A$4=0)),AND(107=$I5-1,OR(11&lt;&gt;'計算A'!$A$3,'計算A'!$A$4=0))),0,IF(11=$K5,200000,ABS(11-$K5)*100)),100000+ABS(5-$J5)*1000+110)+'計算A'!DF$5*50+IF(AND($E5=1,MS5=0),25,0),IF($F5&gt;0,INDEX('計算A'!DF$110:DF$114,$F5+1)+IF(AND($E5=1,MS5=0),1000,0),MIN(TY5,20)*400+(IF('計算A'!DE$106=1,1-HC5,0)+IF('計算A'!DF$106=1,1-HE5,0))*150+115+'計算A'!DF$5*100000+IF(AND($E5=1,MS5=0),50000,0))+IF($H5=1,(IF('計算A'!DE$117=1,INDEX('計算A'!DE$10:DE$54,$B5),0)+IF('計算A'!DF$117=1,INDEX('計算A'!DG$10:DG$54,$B5),0))*4000,0)-IF(AND('計算A'!DE$117=1,YC5&gt;0),2000,0)-IF(AND($L5=1,'計算A'!DF$117=1,HE5=0),2000,0))),1000000))</f>
        <v/>
      </c>
      <c r="SI5">
        <f>IF($B5=0,1000000,IF(INDEX('計算A'!$D$60:$EQ$104,$B5,108)*HE5=1,IF(AND($E5=2,MT5=0),1000000,IF($I5&gt;0,IF(5=$J5,IF(OR(AND(108=$I5+1,OR($K5&lt;&gt;'計算A'!$A$3,'計算A'!$A$4=0)),AND(108=$I5-1,OR(12&lt;&gt;'計算A'!$A$3,'計算A'!$A$4=0))),0,IF(12=$K5,200000,ABS(12-$K5)*100)),100000+ABS(5-$J5)*1000+120)+'計算A'!DG$5*50+IF(AND($E5=1,MT5=0),25,0),IF($F5&gt;0,INDEX('計算A'!DG$110:DG$114,$F5+1)+IF(AND($E5=1,MT5=0),1000,0),MIN(TY5,20)*400+(IF('計算A'!DF$106=1,1-HD5,0)+IF('計算A'!DG$106=1,1-HF5,0))*150+125+'計算A'!DG$5*100000+IF(AND($E5=1,MT5=0),50000,0))+IF($H5=1,(IF('計算A'!DF$117=1,INDEX('計算A'!DF$10:DF$54,$B5),0)+IF('計算A'!DG$117=1,INDEX('計算A'!DH$10:DH$54,$B5),0))*4000,0)-IF(AND('計算A'!DF$117=1,YD5&gt;0),2000,0)-IF(AND($L5=1,'計算A'!DG$117=1,HF5=0),2000,0))),1000000))</f>
        <v/>
      </c>
      <c r="SJ5">
        <f>IF($B5=0,1000000,IF(INDEX('計算A'!$D$60:$EQ$104,$B5,109)*HF5=1,IF(AND($E5=2,MU5=0),1000000,IF($I5&gt;0,IF(5=$J5,IF(OR(AND(109=$I5+1,OR($K5&lt;&gt;'計算A'!$A$3,'計算A'!$A$4=0)),AND(109=$I5-1,OR(13&lt;&gt;'計算A'!$A$3,'計算A'!$A$4=0))),0,IF(13=$K5,200000,ABS(13-$K5)*100)),100000+ABS(5-$J5)*1000+130)+'計算A'!DH$5*50+IF(AND($E5=1,MU5=0),25,0),IF($F5&gt;0,INDEX('計算A'!DH$110:DH$114,$F5+1)+IF(AND($E5=1,MU5=0),1000,0),MIN(TY5,20)*400+(IF('計算A'!DG$106=1,1-HE5,0)+IF('計算A'!DH$106=1,1-HG5,0))*150+135+'計算A'!DH$5*100000+IF(AND($E5=1,MU5=0),50000,0))+IF($H5=1,(IF('計算A'!DG$117=1,INDEX('計算A'!DG$10:DG$54,$B5),0)+IF('計算A'!DH$117=1,INDEX('計算A'!DI$10:DI$54,$B5),0))*4000,0)-IF(AND('計算A'!DG$117=1,YE5&gt;0),2000,0)-IF(AND($L5=1,'計算A'!DH$117=1,HG5=0),2000,0))),1000000))</f>
        <v/>
      </c>
      <c r="SK5">
        <f>IF($B5=0,1000000,IF(INDEX('計算A'!$D$60:$EQ$104,$B5,110)*HG5=1,IF(AND($E5=2,MV5=0),1000000,IF($I5&gt;0,IF(5=$J5,IF(OR(AND(110=$I5+1,OR($K5&lt;&gt;'計算A'!$A$3,'計算A'!$A$4=0)),AND(110=$I5-1,OR(14&lt;&gt;'計算A'!$A$3,'計算A'!$A$4=0))),0,IF(14=$K5,200000,ABS(14-$K5)*100)),100000+ABS(5-$J5)*1000+140)+'計算A'!DI$5*50+IF(AND($E5=1,MV5=0),25,0),IF($F5&gt;0,INDEX('計算A'!DI$110:DI$114,$F5+1)+IF(AND($E5=1,MV5=0),1000,0),MIN(TY5,20)*400+(IF('計算A'!DH$106=1,1-HF5,0)+IF('計算A'!DI$106=1,1-HH5,0))*150+145+'計算A'!DI$5*100000+IF(AND($E5=1,MV5=0),50000,0))+IF($H5=1,(IF('計算A'!DH$117=1,INDEX('計算A'!DH$10:DH$54,$B5),0)+IF('計算A'!DI$117=1,INDEX('計算A'!DJ$10:DJ$54,$B5),0))*4000,0)-IF(AND('計算A'!DH$117=1,YF5&gt;0),2000,0)-IF(AND($L5=1,'計算A'!DI$117=1,HH5=0),2000,0))),1000000))</f>
        <v/>
      </c>
      <c r="SL5">
        <f>IF($B5=0,1000000,IF(INDEX('計算A'!$D$60:$EQ$104,$B5,111)*HH5=1,IF(AND($E5=2,MW5=0),1000000,IF($I5&gt;0,IF(5=$J5,IF(OR(AND(111=$I5+1,OR($K5&lt;&gt;'計算A'!$A$3,'計算A'!$A$4=0)),AND(111=$I5-1,OR(15&lt;&gt;'計算A'!$A$3,'計算A'!$A$4=0))),0,IF(15=$K5,200000,ABS(15-$K5)*100)),100000+ABS(5-$J5)*1000+150)+'計算A'!DJ$5*50+IF(AND($E5=1,MW5=0),25,0),IF($F5&gt;0,INDEX('計算A'!DJ$110:DJ$114,$F5+1)+IF(AND($E5=1,MW5=0),1000,0),MIN(TY5,20)*400+(IF('計算A'!DI$106=1,1-HG5,0)+IF('計算A'!DJ$106=1,1-HI5,0))*150+155+'計算A'!DJ$5*100000+IF(AND($E5=1,MW5=0),50000,0))+IF($H5=1,(IF('計算A'!DI$117=1,INDEX('計算A'!DI$10:DI$54,$B5),0)+IF('計算A'!DJ$117=1,INDEX('計算A'!DK$10:DK$54,$B5),0))*4000,0)-IF(AND('計算A'!DI$117=1,YG5&gt;0),2000,0)-IF(AND($L5=1,'計算A'!DJ$117=1,HI5=0),2000,0))),1000000))</f>
        <v/>
      </c>
      <c r="SM5">
        <f>IF($B5=0,1000000,IF(INDEX('計算A'!$D$60:$EQ$104,$B5,112)*HI5=1,IF(AND($E5=2,MX5=0),1000000,IF($I5&gt;0,IF(5=$J5,IF(OR(AND(112=$I5+1,OR($K5&lt;&gt;'計算A'!$A$3,'計算A'!$A$4=0)),AND(112=$I5-1,OR(16&lt;&gt;'計算A'!$A$3,'計算A'!$A$4=0))),0,IF(16=$K5,200000,ABS(16-$K5)*100)),100000+ABS(5-$J5)*1000+160)+'計算A'!DK$5*50+IF(AND($E5=1,MX5=0),25,0),IF($F5&gt;0,INDEX('計算A'!DK$110:DK$114,$F5+1)+IF(AND($E5=1,MX5=0),1000,0),MIN(TY5,20)*400+(IF('計算A'!DJ$106=1,1-HH5,0)+IF('計算A'!DK$106=1,1-HJ5,0))*150+165+'計算A'!DK$5*100000+IF(AND($E5=1,MX5=0),50000,0))+IF($H5=1,(IF('計算A'!DJ$117=1,INDEX('計算A'!DJ$10:DJ$54,$B5),0)+IF('計算A'!DK$117=1,INDEX('計算A'!DL$10:DL$54,$B5),0))*4000,0)-IF(AND('計算A'!DJ$117=1,YH5&gt;0),2000,0)-IF(AND($L5=1,'計算A'!DK$117=1,HJ5=0),2000,0))),1000000))</f>
        <v/>
      </c>
      <c r="SN5">
        <f>IF($B5=0,1000000,IF(INDEX('計算A'!$D$60:$EQ$104,$B5,113)*HJ5=1,IF(AND($E5=2,MY5=0),1000000,IF($I5&gt;0,IF(5=$J5,IF(OR(AND(113=$I5+1,OR($K5&lt;&gt;'計算A'!$A$3,'計算A'!$A$4=0)),AND(113=$I5-1,OR(17&lt;&gt;'計算A'!$A$3,'計算A'!$A$4=0))),0,IF(17=$K5,200000,ABS(17-$K5)*100)),100000+ABS(5-$J5)*1000+170)+'計算A'!DL$5*50+IF(AND($E5=1,MY5=0),25,0),IF($F5&gt;0,INDEX('計算A'!DL$110:DL$114,$F5+1)+IF(AND($E5=1,MY5=0),1000,0),MIN(TY5,20)*400+(IF('計算A'!DK$106=1,1-HI5,0)+IF('計算A'!DL$106=1,1-HK5,0))*150+175+'計算A'!DL$5*100000+IF(AND($E5=1,MY5=0),50000,0))+IF($H5=1,(IF('計算A'!DK$117=1,INDEX('計算A'!DK$10:DK$54,$B5),0)+IF('計算A'!DL$117=1,INDEX('計算A'!DM$10:DM$54,$B5),0))*4000,0)-IF(AND('計算A'!DK$117=1,YI5&gt;0),2000,0)-IF(AND($L5=1,'計算A'!DL$117=1,HK5=0),2000,0))),1000000))</f>
        <v/>
      </c>
      <c r="SO5">
        <f>IF($B5=0,1000000,IF(INDEX('計算A'!$D$60:$EQ$104,$B5,114)*HK5=1,IF(AND($E5=2,MZ5=0),1000000,IF($I5&gt;0,IF(5=$J5,IF(OR(AND(114=$I5+1,OR($K5&lt;&gt;'計算A'!$A$3,'計算A'!$A$4=0)),AND(114=$I5-1,OR(18&lt;&gt;'計算A'!$A$3,'計算A'!$A$4=0))),0,IF(18=$K5,200000,ABS(18-$K5)*100)),100000+ABS(5-$J5)*1000+180)+'計算A'!DM$5*50+IF(AND($E5=1,MZ5=0),25,0),IF($F5&gt;0,INDEX('計算A'!DM$110:DM$114,$F5+1)+IF(AND($E5=1,MZ5=0),1000,0),MIN(TY5,20)*400+(IF('計算A'!DL$106=1,1-HJ5,0)+IF('計算A'!DM$106=1,1-HL5,0))*150+185+'計算A'!DM$5*100000+IF(AND($E5=1,MZ5=0),50000,0))+IF($H5=1,(IF('計算A'!DL$117=1,INDEX('計算A'!DL$10:DL$54,$B5),0)+IF('計算A'!DM$117=1,INDEX('計算A'!DN$10:DN$54,$B5),0))*4000,0)-IF(AND('計算A'!DL$117=1,YJ5&gt;0),2000,0)-IF(AND($L5=1,'計算A'!DM$117=1,HL5=0),2000,0))),1000000))</f>
        <v/>
      </c>
      <c r="SP5">
        <f>IF($B5=0,1000000,IF(INDEX('計算A'!$D$60:$EQ$104,$B5,115)*HL5=1,IF(AND($E5=2,NA5=0),1000000,IF($I5&gt;0,IF(5=$J5,IF(OR(AND(115=$I5+1,OR($K5&lt;&gt;'計算A'!$A$3,'計算A'!$A$4=0)),AND(115=$I5-1,OR(19&lt;&gt;'計算A'!$A$3,'計算A'!$A$4=0))),0,IF(19=$K5,200000,ABS(19-$K5)*100)),100000+ABS(5-$J5)*1000+190)+'計算A'!DN$5*50+IF(AND($E5=1,NA5=0),25,0),IF($F5&gt;0,INDEX('計算A'!DN$110:DN$114,$F5+1)+IF(AND($E5=1,NA5=0),1000,0),MIN(TY5,20)*400+(IF('計算A'!DM$106=1,1-HK5,0)+IF('計算A'!DN$106=1,1-HM5,0))*150+195+'計算A'!DN$5*100000+IF(AND($E5=1,NA5=0),50000,0))+IF($H5=1,(IF('計算A'!DM$117=1,INDEX('計算A'!DM$10:DM$54,$B5),0)+IF('計算A'!DN$117=1,INDEX('計算A'!DO$10:DO$54,$B5),0))*4000,0)-IF(AND('計算A'!DM$117=1,YK5&gt;0),2000,0)-IF(AND($L5=1,'計算A'!DN$117=1,HM5=0),2000,0))),1000000))</f>
        <v/>
      </c>
      <c r="SQ5">
        <f>IF($B5=0,1000000,IF(INDEX('計算A'!$D$60:$EQ$104,$B5,116)*HM5=1,IF(AND($E5=2,NB5=0),1000000,IF($I5&gt;0,IF(5=$J5,IF(OR(AND(116=$I5+1,OR($K5&lt;&gt;'計算A'!$A$3,'計算A'!$A$4=0)),AND(116=$I5-1,OR(20&lt;&gt;'計算A'!$A$3,'計算A'!$A$4=0))),0,IF(20=$K5,200000,ABS(20-$K5)*100)),100000+ABS(5-$J5)*1000+200)+'計算A'!DO$5*50+IF(AND($E5=1,NB5=0),25,0),IF($F5&gt;0,INDEX('計算A'!DO$110:DO$114,$F5+1)+IF(AND($E5=1,NB5=0),1000,0),MIN(TY5,20)*400+(IF('計算A'!DN$106=1,1-HL5,0)+IF('計算A'!DO$106=1,1-HN5,0))*150+205+'計算A'!DO$5*100000+IF(AND($E5=1,NB5=0),50000,0))+IF($H5=1,(IF('計算A'!DN$117=1,INDEX('計算A'!DN$10:DN$54,$B5),0)+IF('計算A'!DO$117=1,INDEX('計算A'!DP$10:DP$54,$B5),0))*4000,0)-IF(AND('計算A'!DN$117=1,YL5&gt;0),2000,0)-IF(AND($L5=1,'計算A'!DO$117=1,HN5=0),2000,0))),1000000))</f>
        <v/>
      </c>
      <c r="SR5">
        <f>IF($B5=0,1000000,IF(INDEX('計算A'!$D$60:$EQ$104,$B5,117)*HN5=1,IF(AND($E5=2,NC5=0),1000000,IF($I5&gt;0,IF(5=$J5,IF(OR(AND(117=$I5+1,OR($K5&lt;&gt;'計算A'!$A$3,'計算A'!$A$4=0)),AND(117=$I5-1,OR(21&lt;&gt;'計算A'!$A$3,'計算A'!$A$4=0))),0,IF(21=$K5,200000,ABS(21-$K5)*100)),100000+ABS(5-$J5)*1000+210)+'計算A'!DP$5*50+IF(AND($E5=1,NC5=0),25,0),IF($F5&gt;0,INDEX('計算A'!DP$110:DP$114,$F5+1)+IF(AND($E5=1,NC5=0),1000,0),MIN(TY5,20)*400+(IF('計算A'!DO$106=1,1-HM5,0)+IF('計算A'!DP$106=1,1-HO5,0))*150+215+'計算A'!DP$5*100000+IF(AND($E5=1,NC5=0),50000,0))+IF($H5=1,(IF('計算A'!DO$117=1,INDEX('計算A'!DO$10:DO$54,$B5),0)+IF('計算A'!DP$117=1,INDEX('計算A'!DQ$10:DQ$54,$B5),0))*4000,0)-IF(AND('計算A'!DO$117=1,YM5&gt;0),2000,0)-IF(AND($L5=1,'計算A'!DP$117=1,HO5=0),2000,0))),1000000))</f>
        <v/>
      </c>
      <c r="SS5">
        <f>IF($B5=0,1000000,IF(INDEX('計算A'!$D$60:$EQ$104,$B5,118)*HO5=1,IF(AND($E5=2,ND5=0),1000000,IF($I5&gt;0,IF(5=$J5,IF(OR(AND(118=$I5+1,OR($K5&lt;&gt;'計算A'!$A$3,'計算A'!$A$4=0)),AND(118=$I5-1,OR(22&lt;&gt;'計算A'!$A$3,'計算A'!$A$4=0))),0,IF(22=$K5,200000,ABS(22-$K5)*100)),100000+ABS(5-$J5)*1000+220)+'計算A'!DQ$5*50+IF(AND($E5=1,ND5=0),25,0),IF($F5&gt;0,INDEX('計算A'!DQ$110:DQ$114,$F5+1)+IF(AND($E5=1,ND5=0),1000,0),MIN(TY5,20)*400+(IF('計算A'!DP$106=1,1-HN5,0)+IF('計算A'!DQ$106=1,1-HP5,0))*150+225+'計算A'!DQ$5*100000+IF(AND($E5=1,ND5=0),50000,0))+IF($H5=1,(IF('計算A'!DP$117=1,INDEX('計算A'!DP$10:DP$54,$B5),0)+IF('計算A'!DQ$117=1,INDEX('計算A'!DR$10:DR$54,$B5),0))*4000,0)-IF(AND('計算A'!DP$117=1,YN5&gt;0),2000,0)-IF(AND($L5=1,'計算A'!DQ$117=1,HP5=0),2000,0))),1000000))</f>
        <v/>
      </c>
      <c r="ST5">
        <f>IF($B5=0,1000000,IF(INDEX('計算A'!$D$60:$EQ$104,$B5,119)*HP5=1,IF(AND($E5=2,NE5=0),1000000,IF($I5&gt;0,IF(5=$J5,IF(OR(AND(119=$I5+1,OR($K5&lt;&gt;'計算A'!$A$3,'計算A'!$A$4=0)),AND(119=$I5-1,OR(23&lt;&gt;'計算A'!$A$3,'計算A'!$A$4=0))),0,IF(23=$K5,200000,ABS(23-$K5)*100)),100000+ABS(5-$J5)*1000+230)+'計算A'!DR$5*50+IF(AND($E5=1,NE5=0),25,0),IF($F5&gt;0,INDEX('計算A'!DR$110:DR$114,$F5+1)+IF(AND($E5=1,NE5=0),1000,0),MIN(TY5,20)*400+(IF('計算A'!DQ$106=1,1-HO5,0)+IF('計算A'!DR$106=1,1-HQ5,0))*150+235+'計算A'!DR$5*100000+IF(AND($E5=1,NE5=0),50000,0))+IF($H5=1,(IF('計算A'!DQ$117=1,INDEX('計算A'!DQ$10:DQ$54,$B5),0)+IF('計算A'!DR$117=1,INDEX('計算A'!DS$10:DS$54,$B5),0))*4000,0)-IF(AND('計算A'!DQ$117=1,YO5&gt;0),2000,0)-IF(AND($L5=1,'計算A'!DR$117=1,HQ5=0),2000,0))),1000000))</f>
        <v/>
      </c>
      <c r="SU5">
        <f>IF($B5=0,1000000,IF(INDEX('計算A'!$D$60:$EQ$104,$B5,120)*HQ5=1,IF(AND($E5=2,NF5=0),1000000,IF($I5&gt;0,IF(5=$J5,IF(OR(AND(120=$I5+1,OR($K5&lt;&gt;'計算A'!$A$3,'計算A'!$A$4=0)),AND(120=$I5-1,OR(24&lt;&gt;'計算A'!$A$3,'計算A'!$A$4=0))),0,IF(24=$K5,200000,ABS(24-$K5)*100)),100000+ABS(5-$J5)*1000+240)+'計算A'!DS$5*50+IF(AND($E5=1,NF5=0),25,0),IF($F5&gt;0,INDEX('計算A'!DS$110:DS$114,$F5+1)+IF(AND($E5=1,NF5=0),1000,0),MIN(TY5,20)*400+(IF('計算A'!DR$106=1,1-HP5,0))*150+245+'計算A'!DS$5*100000+IF(AND($E5=1,NF5=0),50000,0))+IF($H5=1,(IF('計算A'!DR$117=1,INDEX('計算A'!DR$10:DR$54,$B5),0))*4000,0)-IF(AND('計算A'!DR$117=1,YP5&gt;0),2000,0))),1000000))</f>
        <v/>
      </c>
      <c r="SV5">
        <f>IF($B5=0,1000000,IF(INDEX('計算A'!$D$60:$EQ$104,$B5,121)*HR5=1,IF(AND($E5=2,NG5=0),1000000,IF($I5&gt;0,IF(6=$J5,IF(OR(AND(121=$I5+1,OR($K5&lt;&gt;'計算A'!$A$3,'計算A'!$A$4=0)),AND(121=$I5-1,OR(1&lt;&gt;'計算A'!$A$3,'計算A'!$A$4=0))),0,IF(1=$K5,200000,ABS(1-$K5)*100)),100000+ABS(6-$J5)*1000+10)+'計算A'!DT$5*50+IF(AND($E5=1,NG5=0),25,0),IF($F5&gt;0,INDEX('計算A'!DT$110:DT$114,$F5+1)+IF(AND($E5=1,NG5=0),1000,0),MIN(TZ5,20)*400+(IF('計算A'!DT$106=1,1-HS5,0))*150+16+'計算A'!DT$5*100000+IF(AND($E5=1,NG5=0),50000,0))+IF($H5=1,(IF('計算A'!DT$117=1,INDEX('計算A'!DU$10:DU$54,$B5),0))*4000,0)-IF(AND($L5=1,'計算A'!DT$117=1,HS5=0),2000,0))),1000000))</f>
        <v/>
      </c>
      <c r="SW5">
        <f>IF($B5=0,1000000,IF(INDEX('計算A'!$D$60:$EQ$104,$B5,122)*HS5=1,IF(AND($E5=2,NH5=0),1000000,IF($I5&gt;0,IF(6=$J5,IF(OR(AND(122=$I5+1,OR($K5&lt;&gt;'計算A'!$A$3,'計算A'!$A$4=0)),AND(122=$I5-1,OR(2&lt;&gt;'計算A'!$A$3,'計算A'!$A$4=0))),0,IF(2=$K5,200000,ABS(2-$K5)*100)),100000+ABS(6-$J5)*1000+20)+'計算A'!DU$5*50+IF(AND($E5=1,NH5=0),25,0),IF($F5&gt;0,INDEX('計算A'!DU$110:DU$114,$F5+1)+IF(AND($E5=1,NH5=0),1000,0),MIN(TZ5,20)*400+(IF('計算A'!DT$106=1,1-HR5,0)+IF('計算A'!DU$106=1,1-HT5,0))*150+26+'計算A'!DU$5*100000+IF(AND($E5=1,NH5=0),50000,0))+IF($H5=1,(IF('計算A'!DT$117=1,INDEX('計算A'!DT$10:DT$54,$B5),0)+IF('計算A'!DU$117=1,INDEX('計算A'!DV$10:DV$54,$B5),0))*4000,0)-IF(AND('計算A'!DT$117=1,YR5&gt;0),2000,0)-IF(AND($L5=1,'計算A'!DU$117=1,HT5=0),2000,0))),1000000))</f>
        <v/>
      </c>
      <c r="SX5">
        <f>IF($B5=0,1000000,IF(INDEX('計算A'!$D$60:$EQ$104,$B5,123)*HT5=1,IF(AND($E5=2,NI5=0),1000000,IF($I5&gt;0,IF(6=$J5,IF(OR(AND(123=$I5+1,OR($K5&lt;&gt;'計算A'!$A$3,'計算A'!$A$4=0)),AND(123=$I5-1,OR(3&lt;&gt;'計算A'!$A$3,'計算A'!$A$4=0))),0,IF(3=$K5,200000,ABS(3-$K5)*100)),100000+ABS(6-$J5)*1000+30)+'計算A'!DV$5*50+IF(AND($E5=1,NI5=0),25,0),IF($F5&gt;0,INDEX('計算A'!DV$110:DV$114,$F5+1)+IF(AND($E5=1,NI5=0),1000,0),MIN(TZ5,20)*400+(IF('計算A'!DU$106=1,1-HS5,0)+IF('計算A'!DV$106=1,1-HU5,0))*150+36+'計算A'!DV$5*100000+IF(AND($E5=1,NI5=0),50000,0))+IF($H5=1,(IF('計算A'!DU$117=1,INDEX('計算A'!DU$10:DU$54,$B5),0)+IF('計算A'!DV$117=1,INDEX('計算A'!DW$10:DW$54,$B5),0))*4000,0)-IF(AND('計算A'!DU$117=1,YS5&gt;0),2000,0)-IF(AND($L5=1,'計算A'!DV$117=1,HU5=0),2000,0))),1000000))</f>
        <v/>
      </c>
      <c r="SY5">
        <f>IF($B5=0,1000000,IF(INDEX('計算A'!$D$60:$EQ$104,$B5,124)*HU5=1,IF(AND($E5=2,NJ5=0),1000000,IF($I5&gt;0,IF(6=$J5,IF(OR(AND(124=$I5+1,OR($K5&lt;&gt;'計算A'!$A$3,'計算A'!$A$4=0)),AND(124=$I5-1,OR(4&lt;&gt;'計算A'!$A$3,'計算A'!$A$4=0))),0,IF(4=$K5,200000,ABS(4-$K5)*100)),100000+ABS(6-$J5)*1000+40)+'計算A'!DW$5*50+IF(AND($E5=1,NJ5=0),25,0),IF($F5&gt;0,INDEX('計算A'!DW$110:DW$114,$F5+1)+IF(AND($E5=1,NJ5=0),1000,0),MIN(TZ5,20)*400+(IF('計算A'!DV$106=1,1-HT5,0)+IF('計算A'!DW$106=1,1-HV5,0))*150+46+'計算A'!DW$5*100000+IF(AND($E5=1,NJ5=0),50000,0))+IF($H5=1,(IF('計算A'!DV$117=1,INDEX('計算A'!DV$10:DV$54,$B5),0)+IF('計算A'!DW$117=1,INDEX('計算A'!DX$10:DX$54,$B5),0))*4000,0)-IF(AND('計算A'!DV$117=1,YT5&gt;0),2000,0)-IF(AND($L5=1,'計算A'!DW$117=1,HV5=0),2000,0))),1000000))</f>
        <v/>
      </c>
      <c r="SZ5">
        <f>IF($B5=0,1000000,IF(INDEX('計算A'!$D$60:$EQ$104,$B5,125)*HV5=1,IF(AND($E5=2,NK5=0),1000000,IF($I5&gt;0,IF(6=$J5,IF(OR(AND(125=$I5+1,OR($K5&lt;&gt;'計算A'!$A$3,'計算A'!$A$4=0)),AND(125=$I5-1,OR(5&lt;&gt;'計算A'!$A$3,'計算A'!$A$4=0))),0,IF(5=$K5,200000,ABS(5-$K5)*100)),100000+ABS(6-$J5)*1000+50)+'計算A'!DX$5*50+IF(AND($E5=1,NK5=0),25,0),IF($F5&gt;0,INDEX('計算A'!DX$110:DX$114,$F5+1)+IF(AND($E5=1,NK5=0),1000,0),MIN(TZ5,20)*400+(IF('計算A'!DW$106=1,1-HU5,0)+IF('計算A'!DX$106=1,1-HW5,0))*150+56+'計算A'!DX$5*100000+IF(AND($E5=1,NK5=0),50000,0))+IF($H5=1,(IF('計算A'!DW$117=1,INDEX('計算A'!DW$10:DW$54,$B5),0)+IF('計算A'!DX$117=1,INDEX('計算A'!DY$10:DY$54,$B5),0))*4000,0)-IF(AND('計算A'!DW$117=1,YU5&gt;0),2000,0)-IF(AND($L5=1,'計算A'!DX$117=1,HW5=0),2000,0))),1000000))</f>
        <v/>
      </c>
      <c r="TA5">
        <f>IF($B5=0,1000000,IF(INDEX('計算A'!$D$60:$EQ$104,$B5,126)*HW5=1,IF(AND($E5=2,NL5=0),1000000,IF($I5&gt;0,IF(6=$J5,IF(OR(AND(126=$I5+1,OR($K5&lt;&gt;'計算A'!$A$3,'計算A'!$A$4=0)),AND(126=$I5-1,OR(6&lt;&gt;'計算A'!$A$3,'計算A'!$A$4=0))),0,IF(6=$K5,200000,ABS(6-$K5)*100)),100000+ABS(6-$J5)*1000+60)+'計算A'!DY$5*50+IF(AND($E5=1,NL5=0),25,0),IF($F5&gt;0,INDEX('計算A'!DY$110:DY$114,$F5+1)+IF(AND($E5=1,NL5=0),1000,0),MIN(TZ5,20)*400+(IF('計算A'!DX$106=1,1-HV5,0)+IF('計算A'!DY$106=1,1-HX5,0))*150+66+'計算A'!DY$5*100000+IF(AND($E5=1,NL5=0),50000,0))+IF($H5=1,(IF('計算A'!DX$117=1,INDEX('計算A'!DX$10:DX$54,$B5),0)+IF('計算A'!DY$117=1,INDEX('計算A'!DZ$10:DZ$54,$B5),0))*4000,0)-IF(AND('計算A'!DX$117=1,YV5&gt;0),2000,0)-IF(AND($L5=1,'計算A'!DY$117=1,HX5=0),2000,0))),1000000))</f>
        <v/>
      </c>
      <c r="TB5">
        <f>IF($B5=0,1000000,IF(INDEX('計算A'!$D$60:$EQ$104,$B5,127)*HX5=1,IF(AND($E5=2,NM5=0),1000000,IF($I5&gt;0,IF(6=$J5,IF(OR(AND(127=$I5+1,OR($K5&lt;&gt;'計算A'!$A$3,'計算A'!$A$4=0)),AND(127=$I5-1,OR(7&lt;&gt;'計算A'!$A$3,'計算A'!$A$4=0))),0,IF(7=$K5,200000,ABS(7-$K5)*100)),100000+ABS(6-$J5)*1000+70)+'計算A'!DZ$5*50+IF(AND($E5=1,NM5=0),25,0),IF($F5&gt;0,INDEX('計算A'!DZ$110:DZ$114,$F5+1)+IF(AND($E5=1,NM5=0),1000,0),MIN(TZ5,20)*400+(IF('計算A'!DY$106=1,1-HW5,0)+IF('計算A'!DZ$106=1,1-HY5,0))*150+76+'計算A'!DZ$5*100000+IF(AND($E5=1,NM5=0),50000,0))+IF($H5=1,(IF('計算A'!DY$117=1,INDEX('計算A'!DY$10:DY$54,$B5),0)+IF('計算A'!DZ$117=1,INDEX('計算A'!EA$10:EA$54,$B5),0))*4000,0)-IF(AND('計算A'!DY$117=1,YW5&gt;0),2000,0)-IF(AND($L5=1,'計算A'!DZ$117=1,HY5=0),2000,0))),1000000))</f>
        <v/>
      </c>
      <c r="TC5">
        <f>IF($B5=0,1000000,IF(INDEX('計算A'!$D$60:$EQ$104,$B5,128)*HY5=1,IF(AND($E5=2,NN5=0),1000000,IF($I5&gt;0,IF(6=$J5,IF(OR(AND(128=$I5+1,OR($K5&lt;&gt;'計算A'!$A$3,'計算A'!$A$4=0)),AND(128=$I5-1,OR(8&lt;&gt;'計算A'!$A$3,'計算A'!$A$4=0))),0,IF(8=$K5,200000,ABS(8-$K5)*100)),100000+ABS(6-$J5)*1000+80)+'計算A'!EA$5*50+IF(AND($E5=1,NN5=0),25,0),IF($F5&gt;0,INDEX('計算A'!EA$110:EA$114,$F5+1)+IF(AND($E5=1,NN5=0),1000,0),MIN(TZ5,20)*400+(IF('計算A'!DZ$106=1,1-HX5,0)+IF('計算A'!EA$106=1,1-HZ5,0))*150+86+'計算A'!EA$5*100000+IF(AND($E5=1,NN5=0),50000,0))+IF($H5=1,(IF('計算A'!DZ$117=1,INDEX('計算A'!DZ$10:DZ$54,$B5),0)+IF('計算A'!EA$117=1,INDEX('計算A'!EB$10:EB$54,$B5),0))*4000,0)-IF(AND('計算A'!DZ$117=1,YX5&gt;0),2000,0)-IF(AND($L5=1,'計算A'!EA$117=1,HZ5=0),2000,0))),1000000))</f>
        <v/>
      </c>
      <c r="TD5">
        <f>IF($B5=0,1000000,IF(INDEX('計算A'!$D$60:$EQ$104,$B5,129)*HZ5=1,IF(AND($E5=2,NO5=0),1000000,IF($I5&gt;0,IF(6=$J5,IF(OR(AND(129=$I5+1,OR($K5&lt;&gt;'計算A'!$A$3,'計算A'!$A$4=0)),AND(129=$I5-1,OR(9&lt;&gt;'計算A'!$A$3,'計算A'!$A$4=0))),0,IF(9=$K5,200000,ABS(9-$K5)*100)),100000+ABS(6-$J5)*1000+90)+'計算A'!EB$5*50+IF(AND($E5=1,NO5=0),25,0),IF($F5&gt;0,INDEX('計算A'!EB$110:EB$114,$F5+1)+IF(AND($E5=1,NO5=0),1000,0),MIN(TZ5,20)*400+(IF('計算A'!EA$106=1,1-HY5,0)+IF('計算A'!EB$106=1,1-IA5,0))*150+96+'計算A'!EB$5*100000+IF(AND($E5=1,NO5=0),50000,0))+IF($H5=1,(IF('計算A'!EA$117=1,INDEX('計算A'!EA$10:EA$54,$B5),0)+IF('計算A'!EB$117=1,INDEX('計算A'!EC$10:EC$54,$B5),0))*4000,0)-IF(AND('計算A'!EA$117=1,YY5&gt;0),2000,0)-IF(AND($L5=1,'計算A'!EB$117=1,IA5=0),2000,0))),1000000))</f>
        <v/>
      </c>
      <c r="TE5">
        <f>IF($B5=0,1000000,IF(INDEX('計算A'!$D$60:$EQ$104,$B5,130)*IA5=1,IF(AND($E5=2,NP5=0),1000000,IF($I5&gt;0,IF(6=$J5,IF(OR(AND(130=$I5+1,OR($K5&lt;&gt;'計算A'!$A$3,'計算A'!$A$4=0)),AND(130=$I5-1,OR(10&lt;&gt;'計算A'!$A$3,'計算A'!$A$4=0))),0,IF(10=$K5,200000,ABS(10-$K5)*100)),100000+ABS(6-$J5)*1000+100)+'計算A'!EC$5*50+IF(AND($E5=1,NP5=0),25,0),IF($F5&gt;0,INDEX('計算A'!EC$110:EC$114,$F5+1)+IF(AND($E5=1,NP5=0),1000,0),MIN(TZ5,20)*400+(IF('計算A'!EB$106=1,1-HZ5,0)+IF('計算A'!EC$106=1,1-IB5,0))*150+106+'計算A'!EC$5*100000+IF(AND($E5=1,NP5=0),50000,0))+IF($H5=1,(IF('計算A'!EB$117=1,INDEX('計算A'!EB$10:EB$54,$B5),0)+IF('計算A'!EC$117=1,INDEX('計算A'!ED$10:ED$54,$B5),0))*4000,0)-IF(AND('計算A'!EB$117=1,YZ5&gt;0),2000,0)-IF(AND($L5=1,'計算A'!EC$117=1,IB5=0),2000,0))),1000000))</f>
        <v/>
      </c>
      <c r="TF5">
        <f>IF($B5=0,1000000,IF(INDEX('計算A'!$D$60:$EQ$104,$B5,131)*IB5=1,IF(AND($E5=2,NQ5=0),1000000,IF($I5&gt;0,IF(6=$J5,IF(OR(AND(131=$I5+1,OR($K5&lt;&gt;'計算A'!$A$3,'計算A'!$A$4=0)),AND(131=$I5-1,OR(11&lt;&gt;'計算A'!$A$3,'計算A'!$A$4=0))),0,IF(11=$K5,200000,ABS(11-$K5)*100)),100000+ABS(6-$J5)*1000+110)+'計算A'!ED$5*50+IF(AND($E5=1,NQ5=0),25,0),IF($F5&gt;0,INDEX('計算A'!ED$110:ED$114,$F5+1)+IF(AND($E5=1,NQ5=0),1000,0),MIN(TZ5,20)*400+(IF('計算A'!EC$106=1,1-IA5,0)+IF('計算A'!ED$106=1,1-IC5,0))*150+116+'計算A'!ED$5*100000+IF(AND($E5=1,NQ5=0),50000,0))+IF($H5=1,(IF('計算A'!EC$117=1,INDEX('計算A'!EC$10:EC$54,$B5),0)+IF('計算A'!ED$117=1,INDEX('計算A'!EE$10:EE$54,$B5),0))*4000,0)-IF(AND('計算A'!EC$117=1,ZA5&gt;0),2000,0)-IF(AND($L5=1,'計算A'!ED$117=1,IC5=0),2000,0))),1000000))</f>
        <v/>
      </c>
      <c r="TG5">
        <f>IF($B5=0,1000000,IF(INDEX('計算A'!$D$60:$EQ$104,$B5,132)*IC5=1,IF(AND($E5=2,NR5=0),1000000,IF($I5&gt;0,IF(6=$J5,IF(OR(AND(132=$I5+1,OR($K5&lt;&gt;'計算A'!$A$3,'計算A'!$A$4=0)),AND(132=$I5-1,OR(12&lt;&gt;'計算A'!$A$3,'計算A'!$A$4=0))),0,IF(12=$K5,200000,ABS(12-$K5)*100)),100000+ABS(6-$J5)*1000+120)+'計算A'!EE$5*50+IF(AND($E5=1,NR5=0),25,0),IF($F5&gt;0,INDEX('計算A'!EE$110:EE$114,$F5+1)+IF(AND($E5=1,NR5=0),1000,0),MIN(TZ5,20)*400+(IF('計算A'!ED$106=1,1-IB5,0)+IF('計算A'!EE$106=1,1-ID5,0))*150+126+'計算A'!EE$5*100000+IF(AND($E5=1,NR5=0),50000,0))+IF($H5=1,(IF('計算A'!ED$117=1,INDEX('計算A'!ED$10:ED$54,$B5),0)+IF('計算A'!EE$117=1,INDEX('計算A'!EF$10:EF$54,$B5),0))*4000,0)-IF(AND('計算A'!ED$117=1,ZB5&gt;0),2000,0)-IF(AND($L5=1,'計算A'!EE$117=1,ID5=0),2000,0))),1000000))</f>
        <v/>
      </c>
      <c r="TH5">
        <f>IF($B5=0,1000000,IF(INDEX('計算A'!$D$60:$EQ$104,$B5,133)*ID5=1,IF(AND($E5=2,NS5=0),1000000,IF($I5&gt;0,IF(6=$J5,IF(OR(AND(133=$I5+1,OR($K5&lt;&gt;'計算A'!$A$3,'計算A'!$A$4=0)),AND(133=$I5-1,OR(13&lt;&gt;'計算A'!$A$3,'計算A'!$A$4=0))),0,IF(13=$K5,200000,ABS(13-$K5)*100)),100000+ABS(6-$J5)*1000+130)+'計算A'!EF$5*50+IF(AND($E5=1,NS5=0),25,0),IF($F5&gt;0,INDEX('計算A'!EF$110:EF$114,$F5+1)+IF(AND($E5=1,NS5=0),1000,0),MIN(TZ5,20)*400+(IF('計算A'!EE$106=1,1-IC5,0)+IF('計算A'!EF$106=1,1-IE5,0))*150+136+'計算A'!EF$5*100000+IF(AND($E5=1,NS5=0),50000,0))+IF($H5=1,(IF('計算A'!EE$117=1,INDEX('計算A'!EE$10:EE$54,$B5),0)+IF('計算A'!EF$117=1,INDEX('計算A'!EG$10:EG$54,$B5),0))*4000,0)-IF(AND('計算A'!EE$117=1,ZC5&gt;0),2000,0)-IF(AND($L5=1,'計算A'!EF$117=1,IE5=0),2000,0))),1000000))</f>
        <v/>
      </c>
      <c r="TI5">
        <f>IF($B5=0,1000000,IF(INDEX('計算A'!$D$60:$EQ$104,$B5,134)*IE5=1,IF(AND($E5=2,NT5=0),1000000,IF($I5&gt;0,IF(6=$J5,IF(OR(AND(134=$I5+1,OR($K5&lt;&gt;'計算A'!$A$3,'計算A'!$A$4=0)),AND(134=$I5-1,OR(14&lt;&gt;'計算A'!$A$3,'計算A'!$A$4=0))),0,IF(14=$K5,200000,ABS(14-$K5)*100)),100000+ABS(6-$J5)*1000+140)+'計算A'!EG$5*50+IF(AND($E5=1,NT5=0),25,0),IF($F5&gt;0,INDEX('計算A'!EG$110:EG$114,$F5+1)+IF(AND($E5=1,NT5=0),1000,0),MIN(TZ5,20)*400+(IF('計算A'!EF$106=1,1-ID5,0)+IF('計算A'!EG$106=1,1-IF5,0))*150+146+'計算A'!EG$5*100000+IF(AND($E5=1,NT5=0),50000,0))+IF($H5=1,(IF('計算A'!EF$117=1,INDEX('計算A'!EF$10:EF$54,$B5),0)+IF('計算A'!EG$117=1,INDEX('計算A'!EH$10:EH$54,$B5),0))*4000,0)-IF(AND('計算A'!EF$117=1,ZD5&gt;0),2000,0)-IF(AND($L5=1,'計算A'!EG$117=1,IF5=0),2000,0))),1000000))</f>
        <v/>
      </c>
      <c r="TJ5">
        <f>IF($B5=0,1000000,IF(INDEX('計算A'!$D$60:$EQ$104,$B5,135)*IF5=1,IF(AND($E5=2,NU5=0),1000000,IF($I5&gt;0,IF(6=$J5,IF(OR(AND(135=$I5+1,OR($K5&lt;&gt;'計算A'!$A$3,'計算A'!$A$4=0)),AND(135=$I5-1,OR(15&lt;&gt;'計算A'!$A$3,'計算A'!$A$4=0))),0,IF(15=$K5,200000,ABS(15-$K5)*100)),100000+ABS(6-$J5)*1000+150)+'計算A'!EH$5*50+IF(AND($E5=1,NU5=0),25,0),IF($F5&gt;0,INDEX('計算A'!EH$110:EH$114,$F5+1)+IF(AND($E5=1,NU5=0),1000,0),MIN(TZ5,20)*400+(IF('計算A'!EG$106=1,1-IE5,0)+IF('計算A'!EH$106=1,1-IG5,0))*150+156+'計算A'!EH$5*100000+IF(AND($E5=1,NU5=0),50000,0))+IF($H5=1,(IF('計算A'!EG$117=1,INDEX('計算A'!EG$10:EG$54,$B5),0)+IF('計算A'!EH$117=1,INDEX('計算A'!EI$10:EI$54,$B5),0))*4000,0)-IF(AND('計算A'!EG$117=1,ZE5&gt;0),2000,0)-IF(AND($L5=1,'計算A'!EH$117=1,IG5=0),2000,0))),1000000))</f>
        <v/>
      </c>
      <c r="TK5">
        <f>IF($B5=0,1000000,IF(INDEX('計算A'!$D$60:$EQ$104,$B5,136)*IG5=1,IF(AND($E5=2,NV5=0),1000000,IF($I5&gt;0,IF(6=$J5,IF(OR(AND(136=$I5+1,OR($K5&lt;&gt;'計算A'!$A$3,'計算A'!$A$4=0)),AND(136=$I5-1,OR(16&lt;&gt;'計算A'!$A$3,'計算A'!$A$4=0))),0,IF(16=$K5,200000,ABS(16-$K5)*100)),100000+ABS(6-$J5)*1000+160)+'計算A'!EI$5*50+IF(AND($E5=1,NV5=0),25,0),IF($F5&gt;0,INDEX('計算A'!EI$110:EI$114,$F5+1)+IF(AND($E5=1,NV5=0),1000,0),MIN(TZ5,20)*400+(IF('計算A'!EH$106=1,1-IF5,0)+IF('計算A'!EI$106=1,1-IH5,0))*150+166+'計算A'!EI$5*100000+IF(AND($E5=1,NV5=0),50000,0))+IF($H5=1,(IF('計算A'!EH$117=1,INDEX('計算A'!EH$10:EH$54,$B5),0)+IF('計算A'!EI$117=1,INDEX('計算A'!EJ$10:EJ$54,$B5),0))*4000,0)-IF(AND('計算A'!EH$117=1,ZF5&gt;0),2000,0)-IF(AND($L5=1,'計算A'!EI$117=1,IH5=0),2000,0))),1000000))</f>
        <v/>
      </c>
      <c r="TL5">
        <f>IF($B5=0,1000000,IF(INDEX('計算A'!$D$60:$EQ$104,$B5,137)*IH5=1,IF(AND($E5=2,NW5=0),1000000,IF($I5&gt;0,IF(6=$J5,IF(OR(AND(137=$I5+1,OR($K5&lt;&gt;'計算A'!$A$3,'計算A'!$A$4=0)),AND(137=$I5-1,OR(17&lt;&gt;'計算A'!$A$3,'計算A'!$A$4=0))),0,IF(17=$K5,200000,ABS(17-$K5)*100)),100000+ABS(6-$J5)*1000+170)+'計算A'!EJ$5*50+IF(AND($E5=1,NW5=0),25,0),IF($F5&gt;0,INDEX('計算A'!EJ$110:EJ$114,$F5+1)+IF(AND($E5=1,NW5=0),1000,0),MIN(TZ5,20)*400+(IF('計算A'!EI$106=1,1-IG5,0)+IF('計算A'!EJ$106=1,1-II5,0))*150+176+'計算A'!EJ$5*100000+IF(AND($E5=1,NW5=0),50000,0))+IF($H5=1,(IF('計算A'!EI$117=1,INDEX('計算A'!EI$10:EI$54,$B5),0)+IF('計算A'!EJ$117=1,INDEX('計算A'!EK$10:EK$54,$B5),0))*4000,0)-IF(AND('計算A'!EI$117=1,ZG5&gt;0),2000,0)-IF(AND($L5=1,'計算A'!EJ$117=1,II5=0),2000,0))),1000000))</f>
        <v/>
      </c>
      <c r="TM5">
        <f>IF($B5=0,1000000,IF(INDEX('計算A'!$D$60:$EQ$104,$B5,138)*II5=1,IF(AND($E5=2,NX5=0),1000000,IF($I5&gt;0,IF(6=$J5,IF(OR(AND(138=$I5+1,OR($K5&lt;&gt;'計算A'!$A$3,'計算A'!$A$4=0)),AND(138=$I5-1,OR(18&lt;&gt;'計算A'!$A$3,'計算A'!$A$4=0))),0,IF(18=$K5,200000,ABS(18-$K5)*100)),100000+ABS(6-$J5)*1000+180)+'計算A'!EK$5*50+IF(AND($E5=1,NX5=0),25,0),IF($F5&gt;0,INDEX('計算A'!EK$110:EK$114,$F5+1)+IF(AND($E5=1,NX5=0),1000,0),MIN(TZ5,20)*400+(IF('計算A'!EJ$106=1,1-IH5,0)+IF('計算A'!EK$106=1,1-IJ5,0))*150+186+'計算A'!EK$5*100000+IF(AND($E5=1,NX5=0),50000,0))+IF($H5=1,(IF('計算A'!EJ$117=1,INDEX('計算A'!EJ$10:EJ$54,$B5),0)+IF('計算A'!EK$117=1,INDEX('計算A'!EL$10:EL$54,$B5),0))*4000,0)-IF(AND('計算A'!EJ$117=1,ZH5&gt;0),2000,0)-IF(AND($L5=1,'計算A'!EK$117=1,IJ5=0),2000,0))),1000000))</f>
        <v/>
      </c>
      <c r="TN5">
        <f>IF($B5=0,1000000,IF(INDEX('計算A'!$D$60:$EQ$104,$B5,139)*IJ5=1,IF(AND($E5=2,NY5=0),1000000,IF($I5&gt;0,IF(6=$J5,IF(OR(AND(139=$I5+1,OR($K5&lt;&gt;'計算A'!$A$3,'計算A'!$A$4=0)),AND(139=$I5-1,OR(19&lt;&gt;'計算A'!$A$3,'計算A'!$A$4=0))),0,IF(19=$K5,200000,ABS(19-$K5)*100)),100000+ABS(6-$J5)*1000+190)+'計算A'!EL$5*50+IF(AND($E5=1,NY5=0),25,0),IF($F5&gt;0,INDEX('計算A'!EL$110:EL$114,$F5+1)+IF(AND($E5=1,NY5=0),1000,0),MIN(TZ5,20)*400+(IF('計算A'!EK$106=1,1-II5,0)+IF('計算A'!EL$106=1,1-IK5,0))*150+196+'計算A'!EL$5*100000+IF(AND($E5=1,NY5=0),50000,0))+IF($H5=1,(IF('計算A'!EK$117=1,INDEX('計算A'!EK$10:EK$54,$B5),0)+IF('計算A'!EL$117=1,INDEX('計算A'!EM$10:EM$54,$B5),0))*4000,0)-IF(AND('計算A'!EK$117=1,ZI5&gt;0),2000,0)-IF(AND($L5=1,'計算A'!EL$117=1,IK5=0),2000,0))),1000000))</f>
        <v/>
      </c>
      <c r="TO5">
        <f>IF($B5=0,1000000,IF(INDEX('計算A'!$D$60:$EQ$104,$B5,140)*IK5=1,IF(AND($E5=2,NZ5=0),1000000,IF($I5&gt;0,IF(6=$J5,IF(OR(AND(140=$I5+1,OR($K5&lt;&gt;'計算A'!$A$3,'計算A'!$A$4=0)),AND(140=$I5-1,OR(20&lt;&gt;'計算A'!$A$3,'計算A'!$A$4=0))),0,IF(20=$K5,200000,ABS(20-$K5)*100)),100000+ABS(6-$J5)*1000+200)+'計算A'!EM$5*50+IF(AND($E5=1,NZ5=0),25,0),IF($F5&gt;0,INDEX('計算A'!EM$110:EM$114,$F5+1)+IF(AND($E5=1,NZ5=0),1000,0),MIN(TZ5,20)*400+(IF('計算A'!EL$106=1,1-IJ5,0)+IF('計算A'!EM$106=1,1-IL5,0))*150+206+'計算A'!EM$5*100000+IF(AND($E5=1,NZ5=0),50000,0))+IF($H5=1,(IF('計算A'!EL$117=1,INDEX('計算A'!EL$10:EL$54,$B5),0)+IF('計算A'!EM$117=1,INDEX('計算A'!EN$10:EN$54,$B5),0))*4000,0)-IF(AND('計算A'!EL$117=1,ZJ5&gt;0),2000,0)-IF(AND($L5=1,'計算A'!EM$117=1,IL5=0),2000,0))),1000000))</f>
        <v/>
      </c>
      <c r="TP5">
        <f>IF($B5=0,1000000,IF(INDEX('計算A'!$D$60:$EQ$104,$B5,141)*IL5=1,IF(AND($E5=2,OA5=0),1000000,IF($I5&gt;0,IF(6=$J5,IF(OR(AND(141=$I5+1,OR($K5&lt;&gt;'計算A'!$A$3,'計算A'!$A$4=0)),AND(141=$I5-1,OR(21&lt;&gt;'計算A'!$A$3,'計算A'!$A$4=0))),0,IF(21=$K5,200000,ABS(21-$K5)*100)),100000+ABS(6-$J5)*1000+210)+'計算A'!EN$5*50+IF(AND($E5=1,OA5=0),25,0),IF($F5&gt;0,INDEX('計算A'!EN$110:EN$114,$F5+1)+IF(AND($E5=1,OA5=0),1000,0),MIN(TZ5,20)*400+(IF('計算A'!EM$106=1,1-IK5,0)+IF('計算A'!EN$106=1,1-IM5,0))*150+216+'計算A'!EN$5*100000+IF(AND($E5=1,OA5=0),50000,0))+IF($H5=1,(IF('計算A'!EM$117=1,INDEX('計算A'!EM$10:EM$54,$B5),0)+IF('計算A'!EN$117=1,INDEX('計算A'!EO$10:EO$54,$B5),0))*4000,0)-IF(AND('計算A'!EM$117=1,ZK5&gt;0),2000,0)-IF(AND($L5=1,'計算A'!EN$117=1,IM5=0),2000,0))),1000000))</f>
        <v/>
      </c>
      <c r="TQ5">
        <f>IF($B5=0,1000000,IF(INDEX('計算A'!$D$60:$EQ$104,$B5,142)*IM5=1,IF(AND($E5=2,OB5=0),1000000,IF($I5&gt;0,IF(6=$J5,IF(OR(AND(142=$I5+1,OR($K5&lt;&gt;'計算A'!$A$3,'計算A'!$A$4=0)),AND(142=$I5-1,OR(22&lt;&gt;'計算A'!$A$3,'計算A'!$A$4=0))),0,IF(22=$K5,200000,ABS(22-$K5)*100)),100000+ABS(6-$J5)*1000+220)+'計算A'!EO$5*50+IF(AND($E5=1,OB5=0),25,0),IF($F5&gt;0,INDEX('計算A'!EO$110:EO$114,$F5+1)+IF(AND($E5=1,OB5=0),1000,0),MIN(TZ5,20)*400+(IF('計算A'!EN$106=1,1-IL5,0)+IF('計算A'!EO$106=1,1-IN5,0))*150+226+'計算A'!EO$5*100000+IF(AND($E5=1,OB5=0),50000,0))+IF($H5=1,(IF('計算A'!EN$117=1,INDEX('計算A'!EN$10:EN$54,$B5),0)+IF('計算A'!EO$117=1,INDEX('計算A'!EP$10:EP$54,$B5),0))*4000,0)-IF(AND('計算A'!EN$117=1,ZL5&gt;0),2000,0)-IF(AND($L5=1,'計算A'!EO$117=1,IN5=0),2000,0))),1000000))</f>
        <v/>
      </c>
      <c r="TR5">
        <f>IF($B5=0,1000000,IF(INDEX('計算A'!$D$60:$EQ$104,$B5,143)*IN5=1,IF(AND($E5=2,OC5=0),1000000,IF($I5&gt;0,IF(6=$J5,IF(OR(AND(143=$I5+1,OR($K5&lt;&gt;'計算A'!$A$3,'計算A'!$A$4=0)),AND(143=$I5-1,OR(23&lt;&gt;'計算A'!$A$3,'計算A'!$A$4=0))),0,IF(23=$K5,200000,ABS(23-$K5)*100)),100000+ABS(6-$J5)*1000+230)+'計算A'!EP$5*50+IF(AND($E5=1,OC5=0),25,0),IF($F5&gt;0,INDEX('計算A'!EP$110:EP$114,$F5+1)+IF(AND($E5=1,OC5=0),1000,0),MIN(TZ5,20)*400+(IF('計算A'!EO$106=1,1-IM5,0)+IF('計算A'!EP$106=1,1-IO5,0))*150+236+'計算A'!EP$5*100000+IF(AND($E5=1,OC5=0),50000,0))+IF($H5=1,(IF('計算A'!EO$117=1,INDEX('計算A'!EO$10:EO$54,$B5),0)+IF('計算A'!EP$117=1,INDEX('計算A'!EQ$10:EQ$54,$B5),0))*4000,0)-IF(AND('計算A'!EO$117=1,ZM5&gt;0),2000,0)-IF(AND($L5=1,'計算A'!EP$117=1,IO5=0),2000,0))),1000000))</f>
        <v/>
      </c>
      <c r="TS5">
        <f>IF($B5=0,1000000,IF(INDEX('計算A'!$D$60:$EQ$104,$B5,144)*IO5=1,IF(AND($E5=2,OD5=0),1000000,IF($I5&gt;0,IF(6=$J5,IF(OR(AND(144=$I5+1,OR($K5&lt;&gt;'計算A'!$A$3,'計算A'!$A$4=0)),AND(144=$I5-1,OR(24&lt;&gt;'計算A'!$A$3,'計算A'!$A$4=0))),0,IF(24=$K5,200000,ABS(24-$K5)*100)),100000+ABS(6-$J5)*1000+240)+'計算A'!EQ$5*50+IF(AND($E5=1,OD5=0),25,0),IF($F5&gt;0,INDEX('計算A'!EQ$110:EQ$114,$F5+1)+IF(AND($E5=1,OD5=0),1000,0),MIN(TZ5,20)*400+(IF('計算A'!EP$106=1,1-IN5,0))*150+246+'計算A'!EQ$5*100000+IF(AND($E5=1,OD5=0),50000,0))+IF($H5=1,(IF('計算A'!EP$117=1,INDEX('計算A'!EP$10:EP$54,$B5),0))*4000,0)-IF(AND('計算A'!EP$117=1,ZN5&gt;0),2000,0))),1000000))</f>
        <v/>
      </c>
      <c r="TU5">
        <f>TU4+IF($C4&gt;0,IF(INDEX('計算A'!$D$2:$EQ$2,$C4)=1,1,0),0)</f>
        <v/>
      </c>
      <c r="TV5">
        <f>TV4+IF($C4&gt;0,IF(INDEX('計算A'!$D$2:$EQ$2,$C4)=2,1,0),0)</f>
        <v/>
      </c>
      <c r="TW5">
        <f>TW4+IF($C4&gt;0,IF(INDEX('計算A'!$D$2:$EQ$2,$C4)=3,1,0),0)</f>
        <v/>
      </c>
      <c r="TX5">
        <f>TX4+IF($C4&gt;0,IF(INDEX('計算A'!$D$2:$EQ$2,$C4)=4,1,0),0)</f>
        <v/>
      </c>
      <c r="TY5">
        <f>TY4+IF($C4&gt;0,IF(INDEX('計算A'!$D$2:$EQ$2,$C4)=5,1,0),0)</f>
        <v/>
      </c>
      <c r="TZ5">
        <f>TZ4+IF($C4&gt;0,IF(INDEX('計算A'!$D$2:$EQ$2,$C4)=6,1,0),0)</f>
        <v/>
      </c>
      <c r="UB5">
        <f>UB4+IF(AND($C4=1,$L4=1),1,0)</f>
        <v/>
      </c>
      <c r="UC5">
        <f>UC4+IF(AND($C4=2,$L4=1),1,0)</f>
        <v/>
      </c>
      <c r="UD5">
        <f>UD4+IF(AND($C4=3,$L4=1),1,0)</f>
        <v/>
      </c>
      <c r="UE5">
        <f>UE4+IF(AND($C4=4,$L4=1),1,0)</f>
        <v/>
      </c>
      <c r="UF5">
        <f>UF4+IF(AND($C4=5,$L4=1),1,0)</f>
        <v/>
      </c>
      <c r="UG5">
        <f>UG4+IF(AND($C4=6,$L4=1),1,0)</f>
        <v/>
      </c>
      <c r="UH5">
        <f>UH4+IF(AND($C4=7,$L4=1),1,0)</f>
        <v/>
      </c>
      <c r="UI5">
        <f>UI4+IF(AND($C4=8,$L4=1),1,0)</f>
        <v/>
      </c>
      <c r="UJ5">
        <f>UJ4+IF(AND($C4=9,$L4=1),1,0)</f>
        <v/>
      </c>
      <c r="UK5">
        <f>UK4+IF(AND($C4=10,$L4=1),1,0)</f>
        <v/>
      </c>
      <c r="UL5">
        <f>UL4+IF(AND($C4=11,$L4=1),1,0)</f>
        <v/>
      </c>
      <c r="UM5">
        <f>UM4+IF(AND($C4=12,$L4=1),1,0)</f>
        <v/>
      </c>
      <c r="UN5">
        <f>UN4+IF(AND($C4=13,$L4=1),1,0)</f>
        <v/>
      </c>
      <c r="UO5">
        <f>UO4+IF(AND($C4=14,$L4=1),1,0)</f>
        <v/>
      </c>
      <c r="UP5">
        <f>UP4+IF(AND($C4=15,$L4=1),1,0)</f>
        <v/>
      </c>
      <c r="UQ5">
        <f>UQ4+IF(AND($C4=16,$L4=1),1,0)</f>
        <v/>
      </c>
      <c r="UR5">
        <f>UR4+IF(AND($C4=17,$L4=1),1,0)</f>
        <v/>
      </c>
      <c r="US5">
        <f>US4+IF(AND($C4=18,$L4=1),1,0)</f>
        <v/>
      </c>
      <c r="UT5">
        <f>UT4+IF(AND($C4=19,$L4=1),1,0)</f>
        <v/>
      </c>
      <c r="UU5">
        <f>UU4+IF(AND($C4=20,$L4=1),1,0)</f>
        <v/>
      </c>
      <c r="UV5">
        <f>UV4+IF(AND($C4=21,$L4=1),1,0)</f>
        <v/>
      </c>
      <c r="UW5">
        <f>UW4+IF(AND($C4=22,$L4=1),1,0)</f>
        <v/>
      </c>
      <c r="UX5">
        <f>UX4+IF(AND($C4=23,$L4=1),1,0)</f>
        <v/>
      </c>
      <c r="UY5">
        <f>UY4+IF(AND($C4=24,$L4=1),1,0)</f>
        <v/>
      </c>
      <c r="UZ5">
        <f>UZ4+IF(AND($C4=25,$L4=1),1,0)</f>
        <v/>
      </c>
      <c r="VA5">
        <f>VA4+IF(AND($C4=26,$L4=1),1,0)</f>
        <v/>
      </c>
      <c r="VB5">
        <f>VB4+IF(AND($C4=27,$L4=1),1,0)</f>
        <v/>
      </c>
      <c r="VC5">
        <f>VC4+IF(AND($C4=28,$L4=1),1,0)</f>
        <v/>
      </c>
      <c r="VD5">
        <f>VD4+IF(AND($C4=29,$L4=1),1,0)</f>
        <v/>
      </c>
      <c r="VE5">
        <f>VE4+IF(AND($C4=30,$L4=1),1,0)</f>
        <v/>
      </c>
      <c r="VF5">
        <f>VF4+IF(AND($C4=31,$L4=1),1,0)</f>
        <v/>
      </c>
      <c r="VG5">
        <f>VG4+IF(AND($C4=32,$L4=1),1,0)</f>
        <v/>
      </c>
      <c r="VH5">
        <f>VH4+IF(AND($C4=33,$L4=1),1,0)</f>
        <v/>
      </c>
      <c r="VI5">
        <f>VI4+IF(AND($C4=34,$L4=1),1,0)</f>
        <v/>
      </c>
      <c r="VJ5">
        <f>VJ4+IF(AND($C4=35,$L4=1),1,0)</f>
        <v/>
      </c>
      <c r="VK5">
        <f>VK4+IF(AND($C4=36,$L4=1),1,0)</f>
        <v/>
      </c>
      <c r="VL5">
        <f>VL4+IF(AND($C4=37,$L4=1),1,0)</f>
        <v/>
      </c>
      <c r="VM5">
        <f>VM4+IF(AND($C4=38,$L4=1),1,0)</f>
        <v/>
      </c>
      <c r="VN5">
        <f>VN4+IF(AND($C4=39,$L4=1),1,0)</f>
        <v/>
      </c>
      <c r="VO5">
        <f>VO4+IF(AND($C4=40,$L4=1),1,0)</f>
        <v/>
      </c>
      <c r="VP5">
        <f>VP4+IF(AND($C4=41,$L4=1),1,0)</f>
        <v/>
      </c>
      <c r="VQ5">
        <f>VQ4+IF(AND($C4=42,$L4=1),1,0)</f>
        <v/>
      </c>
      <c r="VR5">
        <f>VR4+IF(AND($C4=43,$L4=1),1,0)</f>
        <v/>
      </c>
      <c r="VS5">
        <f>VS4+IF(AND($C4=44,$L4=1),1,0)</f>
        <v/>
      </c>
      <c r="VT5">
        <f>VT4+IF(AND($C4=45,$L4=1),1,0)</f>
        <v/>
      </c>
      <c r="VU5">
        <f>VU4+IF(AND($C4=46,$L4=1),1,0)</f>
        <v/>
      </c>
      <c r="VV5">
        <f>VV4+IF(AND($C4=47,$L4=1),1,0)</f>
        <v/>
      </c>
      <c r="VW5">
        <f>VW4+IF(AND($C4=48,$L4=1),1,0)</f>
        <v/>
      </c>
      <c r="VX5">
        <f>VX4+IF(AND($C4=49,$L4=1),1,0)</f>
        <v/>
      </c>
      <c r="VY5">
        <f>VY4+IF(AND($C4=50,$L4=1),1,0)</f>
        <v/>
      </c>
      <c r="VZ5">
        <f>VZ4+IF(AND($C4=51,$L4=1),1,0)</f>
        <v/>
      </c>
      <c r="WA5">
        <f>WA4+IF(AND($C4=52,$L4=1),1,0)</f>
        <v/>
      </c>
      <c r="WB5">
        <f>WB4+IF(AND($C4=53,$L4=1),1,0)</f>
        <v/>
      </c>
      <c r="WC5">
        <f>WC4+IF(AND($C4=54,$L4=1),1,0)</f>
        <v/>
      </c>
      <c r="WD5">
        <f>WD4+IF(AND($C4=55,$L4=1),1,0)</f>
        <v/>
      </c>
      <c r="WE5">
        <f>WE4+IF(AND($C4=56,$L4=1),1,0)</f>
        <v/>
      </c>
      <c r="WF5">
        <f>WF4+IF(AND($C4=57,$L4=1),1,0)</f>
        <v/>
      </c>
      <c r="WG5">
        <f>WG4+IF(AND($C4=58,$L4=1),1,0)</f>
        <v/>
      </c>
      <c r="WH5">
        <f>WH4+IF(AND($C4=59,$L4=1),1,0)</f>
        <v/>
      </c>
      <c r="WI5">
        <f>WI4+IF(AND($C4=60,$L4=1),1,0)</f>
        <v/>
      </c>
      <c r="WJ5">
        <f>WJ4+IF(AND($C4=61,$L4=1),1,0)</f>
        <v/>
      </c>
      <c r="WK5">
        <f>WK4+IF(AND($C4=62,$L4=1),1,0)</f>
        <v/>
      </c>
      <c r="WL5">
        <f>WL4+IF(AND($C4=63,$L4=1),1,0)</f>
        <v/>
      </c>
      <c r="WM5">
        <f>WM4+IF(AND($C4=64,$L4=1),1,0)</f>
        <v/>
      </c>
      <c r="WN5">
        <f>WN4+IF(AND($C4=65,$L4=1),1,0)</f>
        <v/>
      </c>
      <c r="WO5">
        <f>WO4+IF(AND($C4=66,$L4=1),1,0)</f>
        <v/>
      </c>
      <c r="WP5">
        <f>WP4+IF(AND($C4=67,$L4=1),1,0)</f>
        <v/>
      </c>
      <c r="WQ5">
        <f>WQ4+IF(AND($C4=68,$L4=1),1,0)</f>
        <v/>
      </c>
      <c r="WR5">
        <f>WR4+IF(AND($C4=69,$L4=1),1,0)</f>
        <v/>
      </c>
      <c r="WS5">
        <f>WS4+IF(AND($C4=70,$L4=1),1,0)</f>
        <v/>
      </c>
      <c r="WT5">
        <f>WT4+IF(AND($C4=71,$L4=1),1,0)</f>
        <v/>
      </c>
      <c r="WU5">
        <f>WU4+IF(AND($C4=72,$L4=1),1,0)</f>
        <v/>
      </c>
      <c r="WV5">
        <f>WV4+IF(AND($C4=73,$L4=1),1,0)</f>
        <v/>
      </c>
      <c r="WW5">
        <f>WW4+IF(AND($C4=74,$L4=1),1,0)</f>
        <v/>
      </c>
      <c r="WX5">
        <f>WX4+IF(AND($C4=75,$L4=1),1,0)</f>
        <v/>
      </c>
      <c r="WY5">
        <f>WY4+IF(AND($C4=76,$L4=1),1,0)</f>
        <v/>
      </c>
      <c r="WZ5">
        <f>WZ4+IF(AND($C4=77,$L4=1),1,0)</f>
        <v/>
      </c>
      <c r="XA5">
        <f>XA4+IF(AND($C4=78,$L4=1),1,0)</f>
        <v/>
      </c>
      <c r="XB5">
        <f>XB4+IF(AND($C4=79,$L4=1),1,0)</f>
        <v/>
      </c>
      <c r="XC5">
        <f>XC4+IF(AND($C4=80,$L4=1),1,0)</f>
        <v/>
      </c>
      <c r="XD5">
        <f>XD4+IF(AND($C4=81,$L4=1),1,0)</f>
        <v/>
      </c>
      <c r="XE5">
        <f>XE4+IF(AND($C4=82,$L4=1),1,0)</f>
        <v/>
      </c>
      <c r="XF5">
        <f>XF4+IF(AND($C4=83,$L4=1),1,0)</f>
        <v/>
      </c>
      <c r="XG5">
        <f>XG4+IF(AND($C4=84,$L4=1),1,0)</f>
        <v/>
      </c>
      <c r="XH5">
        <f>XH4+IF(AND($C4=85,$L4=1),1,0)</f>
        <v/>
      </c>
      <c r="XI5">
        <f>XI4+IF(AND($C4=86,$L4=1),1,0)</f>
        <v/>
      </c>
      <c r="XJ5">
        <f>XJ4+IF(AND($C4=87,$L4=1),1,0)</f>
        <v/>
      </c>
      <c r="XK5">
        <f>XK4+IF(AND($C4=88,$L4=1),1,0)</f>
        <v/>
      </c>
      <c r="XL5">
        <f>XL4+IF(AND($C4=89,$L4=1),1,0)</f>
        <v/>
      </c>
      <c r="XM5">
        <f>XM4+IF(AND($C4=90,$L4=1),1,0)</f>
        <v/>
      </c>
      <c r="XN5">
        <f>XN4+IF(AND($C4=91,$L4=1),1,0)</f>
        <v/>
      </c>
      <c r="XO5">
        <f>XO4+IF(AND($C4=92,$L4=1),1,0)</f>
        <v/>
      </c>
      <c r="XP5">
        <f>XP4+IF(AND($C4=93,$L4=1),1,0)</f>
        <v/>
      </c>
      <c r="XQ5">
        <f>XQ4+IF(AND($C4=94,$L4=1),1,0)</f>
        <v/>
      </c>
      <c r="XR5">
        <f>XR4+IF(AND($C4=95,$L4=1),1,0)</f>
        <v/>
      </c>
      <c r="XS5">
        <f>XS4+IF(AND($C4=96,$L4=1),1,0)</f>
        <v/>
      </c>
      <c r="XT5">
        <f>XT4+IF(AND($C4=97,$L4=1),1,0)</f>
        <v/>
      </c>
      <c r="XU5">
        <f>XU4+IF(AND($C4=98,$L4=1),1,0)</f>
        <v/>
      </c>
      <c r="XV5">
        <f>XV4+IF(AND($C4=99,$L4=1),1,0)</f>
        <v/>
      </c>
      <c r="XW5">
        <f>XW4+IF(AND($C4=100,$L4=1),1,0)</f>
        <v/>
      </c>
      <c r="XX5">
        <f>XX4+IF(AND($C4=101,$L4=1),1,0)</f>
        <v/>
      </c>
      <c r="XY5">
        <f>XY4+IF(AND($C4=102,$L4=1),1,0)</f>
        <v/>
      </c>
      <c r="XZ5">
        <f>XZ4+IF(AND($C4=103,$L4=1),1,0)</f>
        <v/>
      </c>
      <c r="YA5">
        <f>YA4+IF(AND($C4=104,$L4=1),1,0)</f>
        <v/>
      </c>
      <c r="YB5">
        <f>YB4+IF(AND($C4=105,$L4=1),1,0)</f>
        <v/>
      </c>
      <c r="YC5">
        <f>YC4+IF(AND($C4=106,$L4=1),1,0)</f>
        <v/>
      </c>
      <c r="YD5">
        <f>YD4+IF(AND($C4=107,$L4=1),1,0)</f>
        <v/>
      </c>
      <c r="YE5">
        <f>YE4+IF(AND($C4=108,$L4=1),1,0)</f>
        <v/>
      </c>
      <c r="YF5">
        <f>YF4+IF(AND($C4=109,$L4=1),1,0)</f>
        <v/>
      </c>
      <c r="YG5">
        <f>YG4+IF(AND($C4=110,$L4=1),1,0)</f>
        <v/>
      </c>
      <c r="YH5">
        <f>YH4+IF(AND($C4=111,$L4=1),1,0)</f>
        <v/>
      </c>
      <c r="YI5">
        <f>YI4+IF(AND($C4=112,$L4=1),1,0)</f>
        <v/>
      </c>
      <c r="YJ5">
        <f>YJ4+IF(AND($C4=113,$L4=1),1,0)</f>
        <v/>
      </c>
      <c r="YK5">
        <f>YK4+IF(AND($C4=114,$L4=1),1,0)</f>
        <v/>
      </c>
      <c r="YL5">
        <f>YL4+IF(AND($C4=115,$L4=1),1,0)</f>
        <v/>
      </c>
      <c r="YM5">
        <f>YM4+IF(AND($C4=116,$L4=1),1,0)</f>
        <v/>
      </c>
      <c r="YN5">
        <f>YN4+IF(AND($C4=117,$L4=1),1,0)</f>
        <v/>
      </c>
      <c r="YO5">
        <f>YO4+IF(AND($C4=118,$L4=1),1,0)</f>
        <v/>
      </c>
      <c r="YP5">
        <f>YP4+IF(AND($C4=119,$L4=1),1,0)</f>
        <v/>
      </c>
      <c r="YQ5">
        <f>YQ4+IF(AND($C4=120,$L4=1),1,0)</f>
        <v/>
      </c>
      <c r="YR5">
        <f>YR4+IF(AND($C4=121,$L4=1),1,0)</f>
        <v/>
      </c>
      <c r="YS5">
        <f>YS4+IF(AND($C4=122,$L4=1),1,0)</f>
        <v/>
      </c>
      <c r="YT5">
        <f>YT4+IF(AND($C4=123,$L4=1),1,0)</f>
        <v/>
      </c>
      <c r="YU5">
        <f>YU4+IF(AND($C4=124,$L4=1),1,0)</f>
        <v/>
      </c>
      <c r="YV5">
        <f>YV4+IF(AND($C4=125,$L4=1),1,0)</f>
        <v/>
      </c>
      <c r="YW5">
        <f>YW4+IF(AND($C4=126,$L4=1),1,0)</f>
        <v/>
      </c>
      <c r="YX5">
        <f>YX4+IF(AND($C4=127,$L4=1),1,0)</f>
        <v/>
      </c>
      <c r="YY5">
        <f>YY4+IF(AND($C4=128,$L4=1),1,0)</f>
        <v/>
      </c>
      <c r="YZ5">
        <f>YZ4+IF(AND($C4=129,$L4=1),1,0)</f>
        <v/>
      </c>
      <c r="ZA5">
        <f>ZA4+IF(AND($C4=130,$L4=1),1,0)</f>
        <v/>
      </c>
      <c r="ZB5">
        <f>ZB4+IF(AND($C4=131,$L4=1),1,0)</f>
        <v/>
      </c>
      <c r="ZC5">
        <f>ZC4+IF(AND($C4=132,$L4=1),1,0)</f>
        <v/>
      </c>
      <c r="ZD5">
        <f>ZD4+IF(AND($C4=133,$L4=1),1,0)</f>
        <v/>
      </c>
      <c r="ZE5">
        <f>ZE4+IF(AND($C4=134,$L4=1),1,0)</f>
        <v/>
      </c>
      <c r="ZF5">
        <f>ZF4+IF(AND($C4=135,$L4=1),1,0)</f>
        <v/>
      </c>
      <c r="ZG5">
        <f>ZG4+IF(AND($C4=136,$L4=1),1,0)</f>
        <v/>
      </c>
      <c r="ZH5">
        <f>ZH4+IF(AND($C4=137,$L4=1),1,0)</f>
        <v/>
      </c>
      <c r="ZI5">
        <f>ZI4+IF(AND($C4=138,$L4=1),1,0)</f>
        <v/>
      </c>
      <c r="ZJ5">
        <f>ZJ4+IF(AND($C4=139,$L4=1),1,0)</f>
        <v/>
      </c>
      <c r="ZK5">
        <f>ZK4+IF(AND($C4=140,$L4=1),1,0)</f>
        <v/>
      </c>
      <c r="ZL5">
        <f>ZL4+IF(AND($C4=141,$L4=1),1,0)</f>
        <v/>
      </c>
      <c r="ZM5">
        <f>ZM4+IF(AND($C4=142,$L4=1),1,0)</f>
        <v/>
      </c>
      <c r="ZN5">
        <f>ZN4+IF(AND($C4=143,$L4=1),1,0)</f>
        <v/>
      </c>
      <c r="ZO5">
        <f>ZO4+IF(AND($C4=144,$L4=1),1,0)</f>
        <v/>
      </c>
    </row>
    <row r="6">
      <c r="A6" t="n">
        <v>4</v>
      </c>
      <c r="B6">
        <f>IF(MIN(BH6:CZ6)&gt;=1000000,0,MATCH(MIN(BH6:CZ6),BH6:CZ6,0))</f>
        <v/>
      </c>
      <c r="C6">
        <f>IF(MIN(OF6:TS6)&gt;=1000000,0,MATCH(MIN(OF6:TS6),OF6:TS6,0))</f>
        <v/>
      </c>
      <c r="D6">
        <f>IF(C6&gt;0,INDEX('計算A'!$D$5:$EQ$5,C6),0)</f>
        <v/>
      </c>
      <c r="E6">
        <f>IF(B6=0,0,INDEX('計算A'!$IQ$10:$IQ$54,B6))</f>
        <v/>
      </c>
      <c r="F6">
        <f>IF(B6=0,0,INDEX('計算A'!$IP$10:$IP$54,B6))</f>
        <v/>
      </c>
      <c r="G6">
        <f>IF(AND(C6&gt;0,E6&gt;0),IF(AND(INDEX('計算A'!$D$106:$EQ$106,C6)=1,INDEX($IQ6:$OD6,C6)=1),C6+1,0),0)</f>
        <v/>
      </c>
      <c r="H6">
        <f>IF(B6=0,0,INDEX('計算A'!$IW$10:$IW$54,B6))</f>
        <v/>
      </c>
      <c r="I6">
        <f>IF(B6=0,0,MAX(0,INDEX('計算A'!$IT$10:$IT$54,B6)))</f>
        <v/>
      </c>
      <c r="J6">
        <f>IF(I6=0,0,INDEX('計算A'!$D$2:$EQ$2,I6))</f>
        <v/>
      </c>
      <c r="K6">
        <f>IF(I6=0,0,INDEX('計算A'!$D$3:$EQ$3,I6))</f>
        <v/>
      </c>
      <c r="L6">
        <f>IF(B6=0,0,INDEX('計算A'!$IX$10:$IX$54,B6))</f>
        <v/>
      </c>
      <c r="N6">
        <f>MAX(N5,IF($B5=1,1,0))</f>
        <v/>
      </c>
      <c r="O6">
        <f>MAX(O5,IF($B5=2,1,0))</f>
        <v/>
      </c>
      <c r="P6">
        <f>MAX(P5,IF($B5=3,1,0))</f>
        <v/>
      </c>
      <c r="Q6">
        <f>MAX(Q5,IF($B5=4,1,0))</f>
        <v/>
      </c>
      <c r="R6">
        <f>MAX(R5,IF($B5=5,1,0))</f>
        <v/>
      </c>
      <c r="S6">
        <f>MAX(S5,IF($B5=6,1,0))</f>
        <v/>
      </c>
      <c r="T6">
        <f>MAX(T5,IF($B5=7,1,0))</f>
        <v/>
      </c>
      <c r="U6">
        <f>MAX(U5,IF($B5=8,1,0))</f>
        <v/>
      </c>
      <c r="V6">
        <f>MAX(V5,IF($B5=9,1,0))</f>
        <v/>
      </c>
      <c r="W6">
        <f>MAX(W5,IF($B5=10,1,0))</f>
        <v/>
      </c>
      <c r="X6">
        <f>MAX(X5,IF($B5=11,1,0))</f>
        <v/>
      </c>
      <c r="Y6">
        <f>MAX(Y5,IF($B5=12,1,0))</f>
        <v/>
      </c>
      <c r="Z6">
        <f>MAX(Z5,IF($B5=13,1,0))</f>
        <v/>
      </c>
      <c r="AA6">
        <f>MAX(AA5,IF($B5=14,1,0))</f>
        <v/>
      </c>
      <c r="AB6">
        <f>MAX(AB5,IF($B5=15,1,0))</f>
        <v/>
      </c>
      <c r="AC6">
        <f>MAX(AC5,IF($B5=16,1,0))</f>
        <v/>
      </c>
      <c r="AD6">
        <f>MAX(AD5,IF($B5=17,1,0))</f>
        <v/>
      </c>
      <c r="AE6">
        <f>MAX(AE5,IF($B5=18,1,0))</f>
        <v/>
      </c>
      <c r="AF6">
        <f>MAX(AF5,IF($B5=19,1,0))</f>
        <v/>
      </c>
      <c r="AG6">
        <f>MAX(AG5,IF($B5=20,1,0))</f>
        <v/>
      </c>
      <c r="AH6">
        <f>MAX(AH5,IF($B5=21,1,0))</f>
        <v/>
      </c>
      <c r="AI6">
        <f>MAX(AI5,IF($B5=22,1,0))</f>
        <v/>
      </c>
      <c r="AJ6">
        <f>MAX(AJ5,IF($B5=23,1,0))</f>
        <v/>
      </c>
      <c r="AK6">
        <f>MAX(AK5,IF($B5=24,1,0))</f>
        <v/>
      </c>
      <c r="AL6">
        <f>MAX(AL5,IF($B5=25,1,0))</f>
        <v/>
      </c>
      <c r="AM6">
        <f>MAX(AM5,IF($B5=26,1,0))</f>
        <v/>
      </c>
      <c r="AN6">
        <f>MAX(AN5,IF($B5=27,1,0))</f>
        <v/>
      </c>
      <c r="AO6">
        <f>MAX(AO5,IF($B5=28,1,0))</f>
        <v/>
      </c>
      <c r="AP6">
        <f>MAX(AP5,IF($B5=29,1,0))</f>
        <v/>
      </c>
      <c r="AQ6">
        <f>MAX(AQ5,IF($B5=30,1,0))</f>
        <v/>
      </c>
      <c r="AR6">
        <f>MAX(AR5,IF($B5=31,1,0))</f>
        <v/>
      </c>
      <c r="AS6">
        <f>MAX(AS5,IF($B5=32,1,0))</f>
        <v/>
      </c>
      <c r="AT6">
        <f>MAX(AT5,IF($B5=33,1,0))</f>
        <v/>
      </c>
      <c r="AU6">
        <f>MAX(AU5,IF($B5=34,1,0))</f>
        <v/>
      </c>
      <c r="AV6">
        <f>MAX(AV5,IF($B5=35,1,0))</f>
        <v/>
      </c>
      <c r="AW6">
        <f>MAX(AW5,IF($B5=36,1,0))</f>
        <v/>
      </c>
      <c r="AX6">
        <f>MAX(AX5,IF($B5=37,1,0))</f>
        <v/>
      </c>
      <c r="AY6">
        <f>MAX(AY5,IF($B5=38,1,0))</f>
        <v/>
      </c>
      <c r="AZ6">
        <f>MAX(AZ5,IF($B5=39,1,0))</f>
        <v/>
      </c>
      <c r="BA6">
        <f>MAX(BA5,IF($B5=40,1,0))</f>
        <v/>
      </c>
      <c r="BB6">
        <f>MAX(BB5,IF($B5=41,1,0))</f>
        <v/>
      </c>
      <c r="BC6">
        <f>MAX(BC5,IF($B5=42,1,0))</f>
        <v/>
      </c>
      <c r="BD6">
        <f>MAX(BD5,IF($B5=43,1,0))</f>
        <v/>
      </c>
      <c r="BE6">
        <f>MAX(BE5,IF($B5=44,1,0))</f>
        <v/>
      </c>
      <c r="BF6">
        <f>MAX(BF5,IF($B5=45,1,0))</f>
        <v/>
      </c>
      <c r="BH6">
        <f>IF(N6=1,1000000,IF('計算A'!$IT$10&gt;0,0,500000)+IF('計算A'!$IQ$10=2,SUMPRODUCT('計算A'!$D$60:$EQ$60,$DB6:$IO6,$IQ6:$OD6),SUMPRODUCT('計算A'!$D$60:$EQ$60,$DB6:$IO6))*1000+1)</f>
        <v/>
      </c>
      <c r="BI6">
        <f>IF(O6=1,1000000,IF('計算A'!$IT$11&gt;0,0,500000)+IF('計算A'!$IQ$11=2,SUMPRODUCT('計算A'!$D$61:$EQ$61,$DB6:$IO6,$IQ6:$OD6),SUMPRODUCT('計算A'!$D$61:$EQ$61,$DB6:$IO6))*1000+2)</f>
        <v/>
      </c>
      <c r="BJ6">
        <f>IF(P6=1,1000000,IF('計算A'!$IT$12&gt;0,0,500000)+IF('計算A'!$IQ$12=2,SUMPRODUCT('計算A'!$D$62:$EQ$62,$DB6:$IO6,$IQ6:$OD6),SUMPRODUCT('計算A'!$D$62:$EQ$62,$DB6:$IO6))*1000+3)</f>
        <v/>
      </c>
      <c r="BK6">
        <f>IF(Q6=1,1000000,IF('計算A'!$IT$13&gt;0,0,500000)+IF('計算A'!$IQ$13=2,SUMPRODUCT('計算A'!$D$63:$EQ$63,$DB6:$IO6,$IQ6:$OD6),SUMPRODUCT('計算A'!$D$63:$EQ$63,$DB6:$IO6))*1000+4)</f>
        <v/>
      </c>
      <c r="BL6">
        <f>IF(R6=1,1000000,IF('計算A'!$IT$14&gt;0,0,500000)+IF('計算A'!$IQ$14=2,SUMPRODUCT('計算A'!$D$64:$EQ$64,$DB6:$IO6,$IQ6:$OD6),SUMPRODUCT('計算A'!$D$64:$EQ$64,$DB6:$IO6))*1000+5)</f>
        <v/>
      </c>
      <c r="BM6">
        <f>IF(S6=1,1000000,IF('計算A'!$IT$15&gt;0,0,500000)+IF('計算A'!$IQ$15=2,SUMPRODUCT('計算A'!$D$65:$EQ$65,$DB6:$IO6,$IQ6:$OD6),SUMPRODUCT('計算A'!$D$65:$EQ$65,$DB6:$IO6))*1000+6)</f>
        <v/>
      </c>
      <c r="BN6">
        <f>IF(T6=1,1000000,IF('計算A'!$IT$16&gt;0,0,500000)+IF('計算A'!$IQ$16=2,SUMPRODUCT('計算A'!$D$66:$EQ$66,$DB6:$IO6,$IQ6:$OD6),SUMPRODUCT('計算A'!$D$66:$EQ$66,$DB6:$IO6))*1000+7)</f>
        <v/>
      </c>
      <c r="BO6">
        <f>IF(U6=1,1000000,IF('計算A'!$IT$17&gt;0,0,500000)+IF('計算A'!$IQ$17=2,SUMPRODUCT('計算A'!$D$67:$EQ$67,$DB6:$IO6,$IQ6:$OD6),SUMPRODUCT('計算A'!$D$67:$EQ$67,$DB6:$IO6))*1000+8)</f>
        <v/>
      </c>
      <c r="BP6">
        <f>IF(V6=1,1000000,IF('計算A'!$IT$18&gt;0,0,500000)+IF('計算A'!$IQ$18=2,SUMPRODUCT('計算A'!$D$68:$EQ$68,$DB6:$IO6,$IQ6:$OD6),SUMPRODUCT('計算A'!$D$68:$EQ$68,$DB6:$IO6))*1000+9)</f>
        <v/>
      </c>
      <c r="BQ6">
        <f>IF(W6=1,1000000,IF('計算A'!$IT$19&gt;0,0,500000)+IF('計算A'!$IQ$19=2,SUMPRODUCT('計算A'!$D$69:$EQ$69,$DB6:$IO6,$IQ6:$OD6),SUMPRODUCT('計算A'!$D$69:$EQ$69,$DB6:$IO6))*1000+10)</f>
        <v/>
      </c>
      <c r="BR6">
        <f>IF(X6=1,1000000,IF('計算A'!$IT$20&gt;0,0,500000)+IF('計算A'!$IQ$20=2,SUMPRODUCT('計算A'!$D$70:$EQ$70,$DB6:$IO6,$IQ6:$OD6),SUMPRODUCT('計算A'!$D$70:$EQ$70,$DB6:$IO6))*1000+11)</f>
        <v/>
      </c>
      <c r="BS6">
        <f>IF(Y6=1,1000000,IF('計算A'!$IT$21&gt;0,0,500000)+IF('計算A'!$IQ$21=2,SUMPRODUCT('計算A'!$D$71:$EQ$71,$DB6:$IO6,$IQ6:$OD6),SUMPRODUCT('計算A'!$D$71:$EQ$71,$DB6:$IO6))*1000+12)</f>
        <v/>
      </c>
      <c r="BT6">
        <f>IF(Z6=1,1000000,IF('計算A'!$IT$22&gt;0,0,500000)+IF('計算A'!$IQ$22=2,SUMPRODUCT('計算A'!$D$72:$EQ$72,$DB6:$IO6,$IQ6:$OD6),SUMPRODUCT('計算A'!$D$72:$EQ$72,$DB6:$IO6))*1000+13)</f>
        <v/>
      </c>
      <c r="BU6">
        <f>IF(AA6=1,1000000,IF('計算A'!$IT$23&gt;0,0,500000)+IF('計算A'!$IQ$23=2,SUMPRODUCT('計算A'!$D$73:$EQ$73,$DB6:$IO6,$IQ6:$OD6),SUMPRODUCT('計算A'!$D$73:$EQ$73,$DB6:$IO6))*1000+14)</f>
        <v/>
      </c>
      <c r="BV6">
        <f>IF(AB6=1,1000000,IF('計算A'!$IT$24&gt;0,0,500000)+IF('計算A'!$IQ$24=2,SUMPRODUCT('計算A'!$D$74:$EQ$74,$DB6:$IO6,$IQ6:$OD6),SUMPRODUCT('計算A'!$D$74:$EQ$74,$DB6:$IO6))*1000+15)</f>
        <v/>
      </c>
      <c r="BW6">
        <f>IF(AC6=1,1000000,IF('計算A'!$IT$25&gt;0,0,500000)+IF('計算A'!$IQ$25=2,SUMPRODUCT('計算A'!$D$75:$EQ$75,$DB6:$IO6,$IQ6:$OD6),SUMPRODUCT('計算A'!$D$75:$EQ$75,$DB6:$IO6))*1000+16)</f>
        <v/>
      </c>
      <c r="BX6">
        <f>IF(AD6=1,1000000,IF('計算A'!$IT$26&gt;0,0,500000)+IF('計算A'!$IQ$26=2,SUMPRODUCT('計算A'!$D$76:$EQ$76,$DB6:$IO6,$IQ6:$OD6),SUMPRODUCT('計算A'!$D$76:$EQ$76,$DB6:$IO6))*1000+17)</f>
        <v/>
      </c>
      <c r="BY6">
        <f>IF(AE6=1,1000000,IF('計算A'!$IT$27&gt;0,0,500000)+IF('計算A'!$IQ$27=2,SUMPRODUCT('計算A'!$D$77:$EQ$77,$DB6:$IO6,$IQ6:$OD6),SUMPRODUCT('計算A'!$D$77:$EQ$77,$DB6:$IO6))*1000+18)</f>
        <v/>
      </c>
      <c r="BZ6">
        <f>IF(AF6=1,1000000,IF('計算A'!$IT$28&gt;0,0,500000)+IF('計算A'!$IQ$28=2,SUMPRODUCT('計算A'!$D$78:$EQ$78,$DB6:$IO6,$IQ6:$OD6),SUMPRODUCT('計算A'!$D$78:$EQ$78,$DB6:$IO6))*1000+19)</f>
        <v/>
      </c>
      <c r="CA6">
        <f>IF(AG6=1,1000000,IF('計算A'!$IT$29&gt;0,0,500000)+IF('計算A'!$IQ$29=2,SUMPRODUCT('計算A'!$D$79:$EQ$79,$DB6:$IO6,$IQ6:$OD6),SUMPRODUCT('計算A'!$D$79:$EQ$79,$DB6:$IO6))*1000+20)</f>
        <v/>
      </c>
      <c r="CB6">
        <f>IF(AH6=1,1000000,IF('計算A'!$IT$30&gt;0,0,500000)+IF('計算A'!$IQ$30=2,SUMPRODUCT('計算A'!$D$80:$EQ$80,$DB6:$IO6,$IQ6:$OD6),SUMPRODUCT('計算A'!$D$80:$EQ$80,$DB6:$IO6))*1000+21)</f>
        <v/>
      </c>
      <c r="CC6">
        <f>IF(AI6=1,1000000,IF('計算A'!$IT$31&gt;0,0,500000)+IF('計算A'!$IQ$31=2,SUMPRODUCT('計算A'!$D$81:$EQ$81,$DB6:$IO6,$IQ6:$OD6),SUMPRODUCT('計算A'!$D$81:$EQ$81,$DB6:$IO6))*1000+22)</f>
        <v/>
      </c>
      <c r="CD6">
        <f>IF(AJ6=1,1000000,IF('計算A'!$IT$32&gt;0,0,500000)+IF('計算A'!$IQ$32=2,SUMPRODUCT('計算A'!$D$82:$EQ$82,$DB6:$IO6,$IQ6:$OD6),SUMPRODUCT('計算A'!$D$82:$EQ$82,$DB6:$IO6))*1000+23)</f>
        <v/>
      </c>
      <c r="CE6">
        <f>IF(AK6=1,1000000,IF('計算A'!$IT$33&gt;0,0,500000)+IF('計算A'!$IQ$33=2,SUMPRODUCT('計算A'!$D$83:$EQ$83,$DB6:$IO6,$IQ6:$OD6),SUMPRODUCT('計算A'!$D$83:$EQ$83,$DB6:$IO6))*1000+24)</f>
        <v/>
      </c>
      <c r="CF6">
        <f>IF(AL6=1,1000000,IF('計算A'!$IT$34&gt;0,0,500000)+IF('計算A'!$IQ$34=2,SUMPRODUCT('計算A'!$D$84:$EQ$84,$DB6:$IO6,$IQ6:$OD6),SUMPRODUCT('計算A'!$D$84:$EQ$84,$DB6:$IO6))*1000+25)</f>
        <v/>
      </c>
      <c r="CG6">
        <f>IF(AM6=1,1000000,IF('計算A'!$IT$35&gt;0,0,500000)+IF('計算A'!$IQ$35=2,SUMPRODUCT('計算A'!$D$85:$EQ$85,$DB6:$IO6,$IQ6:$OD6),SUMPRODUCT('計算A'!$D$85:$EQ$85,$DB6:$IO6))*1000+26)</f>
        <v/>
      </c>
      <c r="CH6">
        <f>IF(AN6=1,1000000,IF('計算A'!$IT$36&gt;0,0,500000)+IF('計算A'!$IQ$36=2,SUMPRODUCT('計算A'!$D$86:$EQ$86,$DB6:$IO6,$IQ6:$OD6),SUMPRODUCT('計算A'!$D$86:$EQ$86,$DB6:$IO6))*1000+27)</f>
        <v/>
      </c>
      <c r="CI6">
        <f>IF(AO6=1,1000000,IF('計算A'!$IT$37&gt;0,0,500000)+IF('計算A'!$IQ$37=2,SUMPRODUCT('計算A'!$D$87:$EQ$87,$DB6:$IO6,$IQ6:$OD6),SUMPRODUCT('計算A'!$D$87:$EQ$87,$DB6:$IO6))*1000+28)</f>
        <v/>
      </c>
      <c r="CJ6">
        <f>IF(AP6=1,1000000,IF('計算A'!$IT$38&gt;0,0,500000)+IF('計算A'!$IQ$38=2,SUMPRODUCT('計算A'!$D$88:$EQ$88,$DB6:$IO6,$IQ6:$OD6),SUMPRODUCT('計算A'!$D$88:$EQ$88,$DB6:$IO6))*1000+29)</f>
        <v/>
      </c>
      <c r="CK6">
        <f>IF(AQ6=1,1000000,IF('計算A'!$IT$39&gt;0,0,500000)+IF('計算A'!$IQ$39=2,SUMPRODUCT('計算A'!$D$89:$EQ$89,$DB6:$IO6,$IQ6:$OD6),SUMPRODUCT('計算A'!$D$89:$EQ$89,$DB6:$IO6))*1000+30)</f>
        <v/>
      </c>
      <c r="CL6">
        <f>IF(AR6=1,1000000,IF('計算A'!$IT$40&gt;0,0,500000)+IF('計算A'!$IQ$40=2,SUMPRODUCT('計算A'!$D$90:$EQ$90,$DB6:$IO6,$IQ6:$OD6),SUMPRODUCT('計算A'!$D$90:$EQ$90,$DB6:$IO6))*1000+31)</f>
        <v/>
      </c>
      <c r="CM6">
        <f>IF(AS6=1,1000000,IF('計算A'!$IT$41&gt;0,0,500000)+IF('計算A'!$IQ$41=2,SUMPRODUCT('計算A'!$D$91:$EQ$91,$DB6:$IO6,$IQ6:$OD6),SUMPRODUCT('計算A'!$D$91:$EQ$91,$DB6:$IO6))*1000+32)</f>
        <v/>
      </c>
      <c r="CN6">
        <f>IF(AT6=1,1000000,IF('計算A'!$IT$42&gt;0,0,500000)+IF('計算A'!$IQ$42=2,SUMPRODUCT('計算A'!$D$92:$EQ$92,$DB6:$IO6,$IQ6:$OD6),SUMPRODUCT('計算A'!$D$92:$EQ$92,$DB6:$IO6))*1000+33)</f>
        <v/>
      </c>
      <c r="CO6">
        <f>IF(AU6=1,1000000,IF('計算A'!$IT$43&gt;0,0,500000)+IF('計算A'!$IQ$43=2,SUMPRODUCT('計算A'!$D$93:$EQ$93,$DB6:$IO6,$IQ6:$OD6),SUMPRODUCT('計算A'!$D$93:$EQ$93,$DB6:$IO6))*1000+34)</f>
        <v/>
      </c>
      <c r="CP6">
        <f>IF(AV6=1,1000000,IF('計算A'!$IT$44&gt;0,0,500000)+IF('計算A'!$IQ$44=2,SUMPRODUCT('計算A'!$D$94:$EQ$94,$DB6:$IO6,$IQ6:$OD6),SUMPRODUCT('計算A'!$D$94:$EQ$94,$DB6:$IO6))*1000+35)</f>
        <v/>
      </c>
      <c r="CQ6">
        <f>IF(AW6=1,1000000,IF('計算A'!$IT$45&gt;0,0,500000)+IF('計算A'!$IQ$45=2,SUMPRODUCT('計算A'!$D$95:$EQ$95,$DB6:$IO6,$IQ6:$OD6),SUMPRODUCT('計算A'!$D$95:$EQ$95,$DB6:$IO6))*1000+36)</f>
        <v/>
      </c>
      <c r="CR6">
        <f>IF(AX6=1,1000000,IF('計算A'!$IT$46&gt;0,0,500000)+IF('計算A'!$IQ$46=2,SUMPRODUCT('計算A'!$D$96:$EQ$96,$DB6:$IO6,$IQ6:$OD6),SUMPRODUCT('計算A'!$D$96:$EQ$96,$DB6:$IO6))*1000+37)</f>
        <v/>
      </c>
      <c r="CS6">
        <f>IF(AY6=1,1000000,IF('計算A'!$IT$47&gt;0,0,500000)+IF('計算A'!$IQ$47=2,SUMPRODUCT('計算A'!$D$97:$EQ$97,$DB6:$IO6,$IQ6:$OD6),SUMPRODUCT('計算A'!$D$97:$EQ$97,$DB6:$IO6))*1000+38)</f>
        <v/>
      </c>
      <c r="CT6">
        <f>IF(AZ6=1,1000000,IF('計算A'!$IT$48&gt;0,0,500000)+IF('計算A'!$IQ$48=2,SUMPRODUCT('計算A'!$D$98:$EQ$98,$DB6:$IO6,$IQ6:$OD6),SUMPRODUCT('計算A'!$D$98:$EQ$98,$DB6:$IO6))*1000+39)</f>
        <v/>
      </c>
      <c r="CU6">
        <f>IF(BA6=1,1000000,IF('計算A'!$IT$49&gt;0,0,500000)+IF('計算A'!$IQ$49=2,SUMPRODUCT('計算A'!$D$99:$EQ$99,$DB6:$IO6,$IQ6:$OD6),SUMPRODUCT('計算A'!$D$99:$EQ$99,$DB6:$IO6))*1000+40)</f>
        <v/>
      </c>
      <c r="CV6">
        <f>IF(BB6=1,1000000,IF('計算A'!$IT$50&gt;0,0,500000)+IF('計算A'!$IQ$50=2,SUMPRODUCT('計算A'!$D$100:$EQ$100,$DB6:$IO6,$IQ6:$OD6),SUMPRODUCT('計算A'!$D$100:$EQ$100,$DB6:$IO6))*1000+41)</f>
        <v/>
      </c>
      <c r="CW6">
        <f>IF(BC6=1,1000000,IF('計算A'!$IT$51&gt;0,0,500000)+IF('計算A'!$IQ$51=2,SUMPRODUCT('計算A'!$D$101:$EQ$101,$DB6:$IO6,$IQ6:$OD6),SUMPRODUCT('計算A'!$D$101:$EQ$101,$DB6:$IO6))*1000+42)</f>
        <v/>
      </c>
      <c r="CX6">
        <f>IF(BD6=1,1000000,IF('計算A'!$IT$52&gt;0,0,500000)+IF('計算A'!$IQ$52=2,SUMPRODUCT('計算A'!$D$102:$EQ$102,$DB6:$IO6,$IQ6:$OD6),SUMPRODUCT('計算A'!$D$102:$EQ$102,$DB6:$IO6))*1000+43)</f>
        <v/>
      </c>
      <c r="CY6">
        <f>IF(BE6=1,1000000,IF('計算A'!$IT$53&gt;0,0,500000)+IF('計算A'!$IQ$53=2,SUMPRODUCT('計算A'!$D$103:$EQ$103,$DB6:$IO6,$IQ6:$OD6),SUMPRODUCT('計算A'!$D$103:$EQ$103,$DB6:$IO6))*1000+44)</f>
        <v/>
      </c>
      <c r="CZ6">
        <f>IF(BF6=1,1000000,IF('計算A'!$IT$54&gt;0,0,500000)+IF('計算A'!$IQ$54=2,SUMPRODUCT('計算A'!$D$104:$EQ$104,$DB6:$IO6,$IQ6:$OD6),SUMPRODUCT('計算A'!$D$104:$EQ$104,$DB6:$IO6))*1000+45)</f>
        <v/>
      </c>
      <c r="DB6">
        <f>DB5*IF(OR($C5=1,$G5=1),0,1)</f>
        <v/>
      </c>
      <c r="DC6">
        <f>DC5*IF(OR($C5=2,$G5=2),0,1)</f>
        <v/>
      </c>
      <c r="DD6">
        <f>DD5*IF(OR($C5=3,$G5=3),0,1)</f>
        <v/>
      </c>
      <c r="DE6">
        <f>DE5*IF(OR($C5=4,$G5=4),0,1)</f>
        <v/>
      </c>
      <c r="DF6">
        <f>DF5*IF(OR($C5=5,$G5=5),0,1)</f>
        <v/>
      </c>
      <c r="DG6">
        <f>DG5*IF(OR($C5=6,$G5=6),0,1)</f>
        <v/>
      </c>
      <c r="DH6">
        <f>DH5*IF(OR($C5=7,$G5=7),0,1)</f>
        <v/>
      </c>
      <c r="DI6">
        <f>DI5*IF(OR($C5=8,$G5=8),0,1)</f>
        <v/>
      </c>
      <c r="DJ6">
        <f>DJ5*IF(OR($C5=9,$G5=9),0,1)</f>
        <v/>
      </c>
      <c r="DK6">
        <f>DK5*IF(OR($C5=10,$G5=10),0,1)</f>
        <v/>
      </c>
      <c r="DL6">
        <f>DL5*IF(OR($C5=11,$G5=11),0,1)</f>
        <v/>
      </c>
      <c r="DM6">
        <f>DM5*IF(OR($C5=12,$G5=12),0,1)</f>
        <v/>
      </c>
      <c r="DN6">
        <f>DN5*IF(OR($C5=13,$G5=13),0,1)</f>
        <v/>
      </c>
      <c r="DO6">
        <f>DO5*IF(OR($C5=14,$G5=14),0,1)</f>
        <v/>
      </c>
      <c r="DP6">
        <f>DP5*IF(OR($C5=15,$G5=15),0,1)</f>
        <v/>
      </c>
      <c r="DQ6">
        <f>DQ5*IF(OR($C5=16,$G5=16),0,1)</f>
        <v/>
      </c>
      <c r="DR6">
        <f>DR5*IF(OR($C5=17,$G5=17),0,1)</f>
        <v/>
      </c>
      <c r="DS6">
        <f>DS5*IF(OR($C5=18,$G5=18),0,1)</f>
        <v/>
      </c>
      <c r="DT6">
        <f>DT5*IF(OR($C5=19,$G5=19),0,1)</f>
        <v/>
      </c>
      <c r="DU6">
        <f>DU5*IF(OR($C5=20,$G5=20),0,1)</f>
        <v/>
      </c>
      <c r="DV6">
        <f>DV5*IF(OR($C5=21,$G5=21),0,1)</f>
        <v/>
      </c>
      <c r="DW6">
        <f>DW5*IF(OR($C5=22,$G5=22),0,1)</f>
        <v/>
      </c>
      <c r="DX6">
        <f>DX5*IF(OR($C5=23,$G5=23),0,1)</f>
        <v/>
      </c>
      <c r="DY6">
        <f>DY5*IF(OR($C5=24,$G5=24),0,1)</f>
        <v/>
      </c>
      <c r="DZ6">
        <f>DZ5*IF(OR($C5=25,$G5=25),0,1)</f>
        <v/>
      </c>
      <c r="EA6">
        <f>EA5*IF(OR($C5=26,$G5=26),0,1)</f>
        <v/>
      </c>
      <c r="EB6">
        <f>EB5*IF(OR($C5=27,$G5=27),0,1)</f>
        <v/>
      </c>
      <c r="EC6">
        <f>EC5*IF(OR($C5=28,$G5=28),0,1)</f>
        <v/>
      </c>
      <c r="ED6">
        <f>ED5*IF(OR($C5=29,$G5=29),0,1)</f>
        <v/>
      </c>
      <c r="EE6">
        <f>EE5*IF(OR($C5=30,$G5=30),0,1)</f>
        <v/>
      </c>
      <c r="EF6">
        <f>EF5*IF(OR($C5=31,$G5=31),0,1)</f>
        <v/>
      </c>
      <c r="EG6">
        <f>EG5*IF(OR($C5=32,$G5=32),0,1)</f>
        <v/>
      </c>
      <c r="EH6">
        <f>EH5*IF(OR($C5=33,$G5=33),0,1)</f>
        <v/>
      </c>
      <c r="EI6">
        <f>EI5*IF(OR($C5=34,$G5=34),0,1)</f>
        <v/>
      </c>
      <c r="EJ6">
        <f>EJ5*IF(OR($C5=35,$G5=35),0,1)</f>
        <v/>
      </c>
      <c r="EK6">
        <f>EK5*IF(OR($C5=36,$G5=36),0,1)</f>
        <v/>
      </c>
      <c r="EL6">
        <f>EL5*IF(OR($C5=37,$G5=37),0,1)</f>
        <v/>
      </c>
      <c r="EM6">
        <f>EM5*IF(OR($C5=38,$G5=38),0,1)</f>
        <v/>
      </c>
      <c r="EN6">
        <f>EN5*IF(OR($C5=39,$G5=39),0,1)</f>
        <v/>
      </c>
      <c r="EO6">
        <f>EO5*IF(OR($C5=40,$G5=40),0,1)</f>
        <v/>
      </c>
      <c r="EP6">
        <f>EP5*IF(OR($C5=41,$G5=41),0,1)</f>
        <v/>
      </c>
      <c r="EQ6">
        <f>EQ5*IF(OR($C5=42,$G5=42),0,1)</f>
        <v/>
      </c>
      <c r="ER6">
        <f>ER5*IF(OR($C5=43,$G5=43),0,1)</f>
        <v/>
      </c>
      <c r="ES6">
        <f>ES5*IF(OR($C5=44,$G5=44),0,1)</f>
        <v/>
      </c>
      <c r="ET6">
        <f>ET5*IF(OR($C5=45,$G5=45),0,1)</f>
        <v/>
      </c>
      <c r="EU6">
        <f>EU5*IF(OR($C5=46,$G5=46),0,1)</f>
        <v/>
      </c>
      <c r="EV6">
        <f>EV5*IF(OR($C5=47,$G5=47),0,1)</f>
        <v/>
      </c>
      <c r="EW6">
        <f>EW5*IF(OR($C5=48,$G5=48),0,1)</f>
        <v/>
      </c>
      <c r="EX6">
        <f>EX5*IF(OR($C5=49,$G5=49),0,1)</f>
        <v/>
      </c>
      <c r="EY6">
        <f>EY5*IF(OR($C5=50,$G5=50),0,1)</f>
        <v/>
      </c>
      <c r="EZ6">
        <f>EZ5*IF(OR($C5=51,$G5=51),0,1)</f>
        <v/>
      </c>
      <c r="FA6">
        <f>FA5*IF(OR($C5=52,$G5=52),0,1)</f>
        <v/>
      </c>
      <c r="FB6">
        <f>FB5*IF(OR($C5=53,$G5=53),0,1)</f>
        <v/>
      </c>
      <c r="FC6">
        <f>FC5*IF(OR($C5=54,$G5=54),0,1)</f>
        <v/>
      </c>
      <c r="FD6">
        <f>FD5*IF(OR($C5=55,$G5=55),0,1)</f>
        <v/>
      </c>
      <c r="FE6">
        <f>FE5*IF(OR($C5=56,$G5=56),0,1)</f>
        <v/>
      </c>
      <c r="FF6">
        <f>FF5*IF(OR($C5=57,$G5=57),0,1)</f>
        <v/>
      </c>
      <c r="FG6">
        <f>FG5*IF(OR($C5=58,$G5=58),0,1)</f>
        <v/>
      </c>
      <c r="FH6">
        <f>FH5*IF(OR($C5=59,$G5=59),0,1)</f>
        <v/>
      </c>
      <c r="FI6">
        <f>FI5*IF(OR($C5=60,$G5=60),0,1)</f>
        <v/>
      </c>
      <c r="FJ6">
        <f>FJ5*IF(OR($C5=61,$G5=61),0,1)</f>
        <v/>
      </c>
      <c r="FK6">
        <f>FK5*IF(OR($C5=62,$G5=62),0,1)</f>
        <v/>
      </c>
      <c r="FL6">
        <f>FL5*IF(OR($C5=63,$G5=63),0,1)</f>
        <v/>
      </c>
      <c r="FM6">
        <f>FM5*IF(OR($C5=64,$G5=64),0,1)</f>
        <v/>
      </c>
      <c r="FN6">
        <f>FN5*IF(OR($C5=65,$G5=65),0,1)</f>
        <v/>
      </c>
      <c r="FO6">
        <f>FO5*IF(OR($C5=66,$G5=66),0,1)</f>
        <v/>
      </c>
      <c r="FP6">
        <f>FP5*IF(OR($C5=67,$G5=67),0,1)</f>
        <v/>
      </c>
      <c r="FQ6">
        <f>FQ5*IF(OR($C5=68,$G5=68),0,1)</f>
        <v/>
      </c>
      <c r="FR6">
        <f>FR5*IF(OR($C5=69,$G5=69),0,1)</f>
        <v/>
      </c>
      <c r="FS6">
        <f>FS5*IF(OR($C5=70,$G5=70),0,1)</f>
        <v/>
      </c>
      <c r="FT6">
        <f>FT5*IF(OR($C5=71,$G5=71),0,1)</f>
        <v/>
      </c>
      <c r="FU6">
        <f>FU5*IF(OR($C5=72,$G5=72),0,1)</f>
        <v/>
      </c>
      <c r="FV6">
        <f>FV5*IF(OR($C5=73,$G5=73),0,1)</f>
        <v/>
      </c>
      <c r="FW6">
        <f>FW5*IF(OR($C5=74,$G5=74),0,1)</f>
        <v/>
      </c>
      <c r="FX6">
        <f>FX5*IF(OR($C5=75,$G5=75),0,1)</f>
        <v/>
      </c>
      <c r="FY6">
        <f>FY5*IF(OR($C5=76,$G5=76),0,1)</f>
        <v/>
      </c>
      <c r="FZ6">
        <f>FZ5*IF(OR($C5=77,$G5=77),0,1)</f>
        <v/>
      </c>
      <c r="GA6">
        <f>GA5*IF(OR($C5=78,$G5=78),0,1)</f>
        <v/>
      </c>
      <c r="GB6">
        <f>GB5*IF(OR($C5=79,$G5=79),0,1)</f>
        <v/>
      </c>
      <c r="GC6">
        <f>GC5*IF(OR($C5=80,$G5=80),0,1)</f>
        <v/>
      </c>
      <c r="GD6">
        <f>GD5*IF(OR($C5=81,$G5=81),0,1)</f>
        <v/>
      </c>
      <c r="GE6">
        <f>GE5*IF(OR($C5=82,$G5=82),0,1)</f>
        <v/>
      </c>
      <c r="GF6">
        <f>GF5*IF(OR($C5=83,$G5=83),0,1)</f>
        <v/>
      </c>
      <c r="GG6">
        <f>GG5*IF(OR($C5=84,$G5=84),0,1)</f>
        <v/>
      </c>
      <c r="GH6">
        <f>GH5*IF(OR($C5=85,$G5=85),0,1)</f>
        <v/>
      </c>
      <c r="GI6">
        <f>GI5*IF(OR($C5=86,$G5=86),0,1)</f>
        <v/>
      </c>
      <c r="GJ6">
        <f>GJ5*IF(OR($C5=87,$G5=87),0,1)</f>
        <v/>
      </c>
      <c r="GK6">
        <f>GK5*IF(OR($C5=88,$G5=88),0,1)</f>
        <v/>
      </c>
      <c r="GL6">
        <f>GL5*IF(OR($C5=89,$G5=89),0,1)</f>
        <v/>
      </c>
      <c r="GM6">
        <f>GM5*IF(OR($C5=90,$G5=90),0,1)</f>
        <v/>
      </c>
      <c r="GN6">
        <f>GN5*IF(OR($C5=91,$G5=91),0,1)</f>
        <v/>
      </c>
      <c r="GO6">
        <f>GO5*IF(OR($C5=92,$G5=92),0,1)</f>
        <v/>
      </c>
      <c r="GP6">
        <f>GP5*IF(OR($C5=93,$G5=93),0,1)</f>
        <v/>
      </c>
      <c r="GQ6">
        <f>GQ5*IF(OR($C5=94,$G5=94),0,1)</f>
        <v/>
      </c>
      <c r="GR6">
        <f>GR5*IF(OR($C5=95,$G5=95),0,1)</f>
        <v/>
      </c>
      <c r="GS6">
        <f>GS5*IF(OR($C5=96,$G5=96),0,1)</f>
        <v/>
      </c>
      <c r="GT6">
        <f>GT5*IF(OR($C5=97,$G5=97),0,1)</f>
        <v/>
      </c>
      <c r="GU6">
        <f>GU5*IF(OR($C5=98,$G5=98),0,1)</f>
        <v/>
      </c>
      <c r="GV6">
        <f>GV5*IF(OR($C5=99,$G5=99),0,1)</f>
        <v/>
      </c>
      <c r="GW6">
        <f>GW5*IF(OR($C5=100,$G5=100),0,1)</f>
        <v/>
      </c>
      <c r="GX6">
        <f>GX5*IF(OR($C5=101,$G5=101),0,1)</f>
        <v/>
      </c>
      <c r="GY6">
        <f>GY5*IF(OR($C5=102,$G5=102),0,1)</f>
        <v/>
      </c>
      <c r="GZ6">
        <f>GZ5*IF(OR($C5=103,$G5=103),0,1)</f>
        <v/>
      </c>
      <c r="HA6">
        <f>HA5*IF(OR($C5=104,$G5=104),0,1)</f>
        <v/>
      </c>
      <c r="HB6">
        <f>HB5*IF(OR($C5=105,$G5=105),0,1)</f>
        <v/>
      </c>
      <c r="HC6">
        <f>HC5*IF(OR($C5=106,$G5=106),0,1)</f>
        <v/>
      </c>
      <c r="HD6">
        <f>HD5*IF(OR($C5=107,$G5=107),0,1)</f>
        <v/>
      </c>
      <c r="HE6">
        <f>HE5*IF(OR($C5=108,$G5=108),0,1)</f>
        <v/>
      </c>
      <c r="HF6">
        <f>HF5*IF(OR($C5=109,$G5=109),0,1)</f>
        <v/>
      </c>
      <c r="HG6">
        <f>HG5*IF(OR($C5=110,$G5=110),0,1)</f>
        <v/>
      </c>
      <c r="HH6">
        <f>HH5*IF(OR($C5=111,$G5=111),0,1)</f>
        <v/>
      </c>
      <c r="HI6">
        <f>HI5*IF(OR($C5=112,$G5=112),0,1)</f>
        <v/>
      </c>
      <c r="HJ6">
        <f>HJ5*IF(OR($C5=113,$G5=113),0,1)</f>
        <v/>
      </c>
      <c r="HK6">
        <f>HK5*IF(OR($C5=114,$G5=114),0,1)</f>
        <v/>
      </c>
      <c r="HL6">
        <f>HL5*IF(OR($C5=115,$G5=115),0,1)</f>
        <v/>
      </c>
      <c r="HM6">
        <f>HM5*IF(OR($C5=116,$G5=116),0,1)</f>
        <v/>
      </c>
      <c r="HN6">
        <f>HN5*IF(OR($C5=117,$G5=117),0,1)</f>
        <v/>
      </c>
      <c r="HO6">
        <f>HO5*IF(OR($C5=118,$G5=118),0,1)</f>
        <v/>
      </c>
      <c r="HP6">
        <f>HP5*IF(OR($C5=119,$G5=119),0,1)</f>
        <v/>
      </c>
      <c r="HQ6">
        <f>HQ5*IF(OR($C5=120,$G5=120),0,1)</f>
        <v/>
      </c>
      <c r="HR6">
        <f>HR5*IF(OR($C5=121,$G5=121),0,1)</f>
        <v/>
      </c>
      <c r="HS6">
        <f>HS5*IF(OR($C5=122,$G5=122),0,1)</f>
        <v/>
      </c>
      <c r="HT6">
        <f>HT5*IF(OR($C5=123,$G5=123),0,1)</f>
        <v/>
      </c>
      <c r="HU6">
        <f>HU5*IF(OR($C5=124,$G5=124),0,1)</f>
        <v/>
      </c>
      <c r="HV6">
        <f>HV5*IF(OR($C5=125,$G5=125),0,1)</f>
        <v/>
      </c>
      <c r="HW6">
        <f>HW5*IF(OR($C5=126,$G5=126),0,1)</f>
        <v/>
      </c>
      <c r="HX6">
        <f>HX5*IF(OR($C5=127,$G5=127),0,1)</f>
        <v/>
      </c>
      <c r="HY6">
        <f>HY5*IF(OR($C5=128,$G5=128),0,1)</f>
        <v/>
      </c>
      <c r="HZ6">
        <f>HZ5*IF(OR($C5=129,$G5=129),0,1)</f>
        <v/>
      </c>
      <c r="IA6">
        <f>IA5*IF(OR($C5=130,$G5=130),0,1)</f>
        <v/>
      </c>
      <c r="IB6">
        <f>IB5*IF(OR($C5=131,$G5=131),0,1)</f>
        <v/>
      </c>
      <c r="IC6">
        <f>IC5*IF(OR($C5=132,$G5=132),0,1)</f>
        <v/>
      </c>
      <c r="ID6">
        <f>ID5*IF(OR($C5=133,$G5=133),0,1)</f>
        <v/>
      </c>
      <c r="IE6">
        <f>IE5*IF(OR($C5=134,$G5=134),0,1)</f>
        <v/>
      </c>
      <c r="IF6">
        <f>IF5*IF(OR($C5=135,$G5=135),0,1)</f>
        <v/>
      </c>
      <c r="IG6">
        <f>IG5*IF(OR($C5=136,$G5=136),0,1)</f>
        <v/>
      </c>
      <c r="IH6">
        <f>IH5*IF(OR($C5=137,$G5=137),0,1)</f>
        <v/>
      </c>
      <c r="II6">
        <f>II5*IF(OR($C5=138,$G5=138),0,1)</f>
        <v/>
      </c>
      <c r="IJ6">
        <f>IJ5*IF(OR($C5=139,$G5=139),0,1)</f>
        <v/>
      </c>
      <c r="IK6">
        <f>IK5*IF(OR($C5=140,$G5=140),0,1)</f>
        <v/>
      </c>
      <c r="IL6">
        <f>IL5*IF(OR($C5=141,$G5=141),0,1)</f>
        <v/>
      </c>
      <c r="IM6">
        <f>IM5*IF(OR($C5=142,$G5=142),0,1)</f>
        <v/>
      </c>
      <c r="IN6">
        <f>IN5*IF(OR($C5=143,$G5=143),0,1)</f>
        <v/>
      </c>
      <c r="IO6">
        <f>IO5*IF(OR($C5=144,$G5=144),0,1)</f>
        <v/>
      </c>
      <c r="IQ6">
        <f>IF('計算A'!D$106=1,DC6,1)</f>
        <v/>
      </c>
      <c r="IR6">
        <f>IF('計算A'!E$106=1,DD6,1)</f>
        <v/>
      </c>
      <c r="IS6">
        <f>IF('計算A'!F$106=1,DE6,1)</f>
        <v/>
      </c>
      <c r="IT6">
        <f>IF('計算A'!G$106=1,DF6,1)</f>
        <v/>
      </c>
      <c r="IU6">
        <f>IF('計算A'!H$106=1,DG6,1)</f>
        <v/>
      </c>
      <c r="IV6">
        <f>IF('計算A'!I$106=1,DH6,1)</f>
        <v/>
      </c>
      <c r="IW6">
        <f>IF('計算A'!J$106=1,DI6,1)</f>
        <v/>
      </c>
      <c r="IX6">
        <f>IF('計算A'!K$106=1,DJ6,1)</f>
        <v/>
      </c>
      <c r="IY6">
        <f>IF('計算A'!L$106=1,DK6,1)</f>
        <v/>
      </c>
      <c r="IZ6">
        <f>IF('計算A'!M$106=1,DL6,1)</f>
        <v/>
      </c>
      <c r="JA6">
        <f>IF('計算A'!N$106=1,DM6,1)</f>
        <v/>
      </c>
      <c r="JB6">
        <f>IF('計算A'!O$106=1,DN6,1)</f>
        <v/>
      </c>
      <c r="JC6">
        <f>IF('計算A'!P$106=1,DO6,1)</f>
        <v/>
      </c>
      <c r="JD6">
        <f>IF('計算A'!Q$106=1,DP6,1)</f>
        <v/>
      </c>
      <c r="JE6">
        <f>IF('計算A'!R$106=1,DQ6,1)</f>
        <v/>
      </c>
      <c r="JF6">
        <f>IF('計算A'!S$106=1,DR6,1)</f>
        <v/>
      </c>
      <c r="JG6">
        <f>IF('計算A'!T$106=1,DS6,1)</f>
        <v/>
      </c>
      <c r="JH6">
        <f>IF('計算A'!U$106=1,DT6,1)</f>
        <v/>
      </c>
      <c r="JI6">
        <f>IF('計算A'!V$106=1,DU6,1)</f>
        <v/>
      </c>
      <c r="JJ6">
        <f>IF('計算A'!W$106=1,DV6,1)</f>
        <v/>
      </c>
      <c r="JK6">
        <f>IF('計算A'!X$106=1,DW6,1)</f>
        <v/>
      </c>
      <c r="JL6">
        <f>IF('計算A'!Y$106=1,DX6,1)</f>
        <v/>
      </c>
      <c r="JM6">
        <f>IF('計算A'!Z$106=1,DY6,1)</f>
        <v/>
      </c>
      <c r="JN6">
        <f>IF('計算A'!AA$106=1,DZ6,1)</f>
        <v/>
      </c>
      <c r="JO6">
        <f>IF('計算A'!AB$106=1,EA6,1)</f>
        <v/>
      </c>
      <c r="JP6">
        <f>IF('計算A'!AC$106=1,EB6,1)</f>
        <v/>
      </c>
      <c r="JQ6">
        <f>IF('計算A'!AD$106=1,EC6,1)</f>
        <v/>
      </c>
      <c r="JR6">
        <f>IF('計算A'!AE$106=1,ED6,1)</f>
        <v/>
      </c>
      <c r="JS6">
        <f>IF('計算A'!AF$106=1,EE6,1)</f>
        <v/>
      </c>
      <c r="JT6">
        <f>IF('計算A'!AG$106=1,EF6,1)</f>
        <v/>
      </c>
      <c r="JU6">
        <f>IF('計算A'!AH$106=1,EG6,1)</f>
        <v/>
      </c>
      <c r="JV6">
        <f>IF('計算A'!AI$106=1,EH6,1)</f>
        <v/>
      </c>
      <c r="JW6">
        <f>IF('計算A'!AJ$106=1,EI6,1)</f>
        <v/>
      </c>
      <c r="JX6">
        <f>IF('計算A'!AK$106=1,EJ6,1)</f>
        <v/>
      </c>
      <c r="JY6">
        <f>IF('計算A'!AL$106=1,EK6,1)</f>
        <v/>
      </c>
      <c r="JZ6">
        <f>IF('計算A'!AM$106=1,EL6,1)</f>
        <v/>
      </c>
      <c r="KA6">
        <f>IF('計算A'!AN$106=1,EM6,1)</f>
        <v/>
      </c>
      <c r="KB6">
        <f>IF('計算A'!AO$106=1,EN6,1)</f>
        <v/>
      </c>
      <c r="KC6">
        <f>IF('計算A'!AP$106=1,EO6,1)</f>
        <v/>
      </c>
      <c r="KD6">
        <f>IF('計算A'!AQ$106=1,EP6,1)</f>
        <v/>
      </c>
      <c r="KE6">
        <f>IF('計算A'!AR$106=1,EQ6,1)</f>
        <v/>
      </c>
      <c r="KF6">
        <f>IF('計算A'!AS$106=1,ER6,1)</f>
        <v/>
      </c>
      <c r="KG6">
        <f>IF('計算A'!AT$106=1,ES6,1)</f>
        <v/>
      </c>
      <c r="KH6">
        <f>IF('計算A'!AU$106=1,ET6,1)</f>
        <v/>
      </c>
      <c r="KI6">
        <f>IF('計算A'!AV$106=1,EU6,1)</f>
        <v/>
      </c>
      <c r="KJ6">
        <f>IF('計算A'!AW$106=1,EV6,1)</f>
        <v/>
      </c>
      <c r="KK6">
        <f>IF('計算A'!AX$106=1,EW6,1)</f>
        <v/>
      </c>
      <c r="KL6">
        <f>IF('計算A'!AY$106=1,EX6,1)</f>
        <v/>
      </c>
      <c r="KM6">
        <f>IF('計算A'!AZ$106=1,EY6,1)</f>
        <v/>
      </c>
      <c r="KN6">
        <f>IF('計算A'!BA$106=1,EZ6,1)</f>
        <v/>
      </c>
      <c r="KO6">
        <f>IF('計算A'!BB$106=1,FA6,1)</f>
        <v/>
      </c>
      <c r="KP6">
        <f>IF('計算A'!BC$106=1,FB6,1)</f>
        <v/>
      </c>
      <c r="KQ6">
        <f>IF('計算A'!BD$106=1,FC6,1)</f>
        <v/>
      </c>
      <c r="KR6">
        <f>IF('計算A'!BE$106=1,FD6,1)</f>
        <v/>
      </c>
      <c r="KS6">
        <f>IF('計算A'!BF$106=1,FE6,1)</f>
        <v/>
      </c>
      <c r="KT6">
        <f>IF('計算A'!BG$106=1,FF6,1)</f>
        <v/>
      </c>
      <c r="KU6">
        <f>IF('計算A'!BH$106=1,FG6,1)</f>
        <v/>
      </c>
      <c r="KV6">
        <f>IF('計算A'!BI$106=1,FH6,1)</f>
        <v/>
      </c>
      <c r="KW6">
        <f>IF('計算A'!BJ$106=1,FI6,1)</f>
        <v/>
      </c>
      <c r="KX6">
        <f>IF('計算A'!BK$106=1,FJ6,1)</f>
        <v/>
      </c>
      <c r="KY6">
        <f>IF('計算A'!BL$106=1,FK6,1)</f>
        <v/>
      </c>
      <c r="KZ6">
        <f>IF('計算A'!BM$106=1,FL6,1)</f>
        <v/>
      </c>
      <c r="LA6">
        <f>IF('計算A'!BN$106=1,FM6,1)</f>
        <v/>
      </c>
      <c r="LB6">
        <f>IF('計算A'!BO$106=1,FN6,1)</f>
        <v/>
      </c>
      <c r="LC6">
        <f>IF('計算A'!BP$106=1,FO6,1)</f>
        <v/>
      </c>
      <c r="LD6">
        <f>IF('計算A'!BQ$106=1,FP6,1)</f>
        <v/>
      </c>
      <c r="LE6">
        <f>IF('計算A'!BR$106=1,FQ6,1)</f>
        <v/>
      </c>
      <c r="LF6">
        <f>IF('計算A'!BS$106=1,FR6,1)</f>
        <v/>
      </c>
      <c r="LG6">
        <f>IF('計算A'!BT$106=1,FS6,1)</f>
        <v/>
      </c>
      <c r="LH6">
        <f>IF('計算A'!BU$106=1,FT6,1)</f>
        <v/>
      </c>
      <c r="LI6">
        <f>IF('計算A'!BV$106=1,FU6,1)</f>
        <v/>
      </c>
      <c r="LJ6">
        <f>IF('計算A'!BW$106=1,FV6,1)</f>
        <v/>
      </c>
      <c r="LK6">
        <f>IF('計算A'!BX$106=1,FW6,1)</f>
        <v/>
      </c>
      <c r="LL6">
        <f>IF('計算A'!BY$106=1,FX6,1)</f>
        <v/>
      </c>
      <c r="LM6">
        <f>IF('計算A'!BZ$106=1,FY6,1)</f>
        <v/>
      </c>
      <c r="LN6">
        <f>IF('計算A'!CA$106=1,FZ6,1)</f>
        <v/>
      </c>
      <c r="LO6">
        <f>IF('計算A'!CB$106=1,GA6,1)</f>
        <v/>
      </c>
      <c r="LP6">
        <f>IF('計算A'!CC$106=1,GB6,1)</f>
        <v/>
      </c>
      <c r="LQ6">
        <f>IF('計算A'!CD$106=1,GC6,1)</f>
        <v/>
      </c>
      <c r="LR6">
        <f>IF('計算A'!CE$106=1,GD6,1)</f>
        <v/>
      </c>
      <c r="LS6">
        <f>IF('計算A'!CF$106=1,GE6,1)</f>
        <v/>
      </c>
      <c r="LT6">
        <f>IF('計算A'!CG$106=1,GF6,1)</f>
        <v/>
      </c>
      <c r="LU6">
        <f>IF('計算A'!CH$106=1,GG6,1)</f>
        <v/>
      </c>
      <c r="LV6">
        <f>IF('計算A'!CI$106=1,GH6,1)</f>
        <v/>
      </c>
      <c r="LW6">
        <f>IF('計算A'!CJ$106=1,GI6,1)</f>
        <v/>
      </c>
      <c r="LX6">
        <f>IF('計算A'!CK$106=1,GJ6,1)</f>
        <v/>
      </c>
      <c r="LY6">
        <f>IF('計算A'!CL$106=1,GK6,1)</f>
        <v/>
      </c>
      <c r="LZ6">
        <f>IF('計算A'!CM$106=1,GL6,1)</f>
        <v/>
      </c>
      <c r="MA6">
        <f>IF('計算A'!CN$106=1,GM6,1)</f>
        <v/>
      </c>
      <c r="MB6">
        <f>IF('計算A'!CO$106=1,GN6,1)</f>
        <v/>
      </c>
      <c r="MC6">
        <f>IF('計算A'!CP$106=1,GO6,1)</f>
        <v/>
      </c>
      <c r="MD6">
        <f>IF('計算A'!CQ$106=1,GP6,1)</f>
        <v/>
      </c>
      <c r="ME6">
        <f>IF('計算A'!CR$106=1,GQ6,1)</f>
        <v/>
      </c>
      <c r="MF6">
        <f>IF('計算A'!CS$106=1,GR6,1)</f>
        <v/>
      </c>
      <c r="MG6">
        <f>IF('計算A'!CT$106=1,GS6,1)</f>
        <v/>
      </c>
      <c r="MH6">
        <f>IF('計算A'!CU$106=1,GT6,1)</f>
        <v/>
      </c>
      <c r="MI6">
        <f>IF('計算A'!CV$106=1,GU6,1)</f>
        <v/>
      </c>
      <c r="MJ6">
        <f>IF('計算A'!CW$106=1,GV6,1)</f>
        <v/>
      </c>
      <c r="MK6">
        <f>IF('計算A'!CX$106=1,GW6,1)</f>
        <v/>
      </c>
      <c r="ML6">
        <f>IF('計算A'!CY$106=1,GX6,1)</f>
        <v/>
      </c>
      <c r="MM6">
        <f>IF('計算A'!CZ$106=1,GY6,1)</f>
        <v/>
      </c>
      <c r="MN6">
        <f>IF('計算A'!DA$106=1,GZ6,1)</f>
        <v/>
      </c>
      <c r="MO6">
        <f>IF('計算A'!DB$106=1,HA6,1)</f>
        <v/>
      </c>
      <c r="MP6">
        <f>IF('計算A'!DC$106=1,HB6,1)</f>
        <v/>
      </c>
      <c r="MQ6">
        <f>IF('計算A'!DD$106=1,HC6,1)</f>
        <v/>
      </c>
      <c r="MR6">
        <f>IF('計算A'!DE$106=1,HD6,1)</f>
        <v/>
      </c>
      <c r="MS6">
        <f>IF('計算A'!DF$106=1,HE6,1)</f>
        <v/>
      </c>
      <c r="MT6">
        <f>IF('計算A'!DG$106=1,HF6,1)</f>
        <v/>
      </c>
      <c r="MU6">
        <f>IF('計算A'!DH$106=1,HG6,1)</f>
        <v/>
      </c>
      <c r="MV6">
        <f>IF('計算A'!DI$106=1,HH6,1)</f>
        <v/>
      </c>
      <c r="MW6">
        <f>IF('計算A'!DJ$106=1,HI6,1)</f>
        <v/>
      </c>
      <c r="MX6">
        <f>IF('計算A'!DK$106=1,HJ6,1)</f>
        <v/>
      </c>
      <c r="MY6">
        <f>IF('計算A'!DL$106=1,HK6,1)</f>
        <v/>
      </c>
      <c r="MZ6">
        <f>IF('計算A'!DM$106=1,HL6,1)</f>
        <v/>
      </c>
      <c r="NA6">
        <f>IF('計算A'!DN$106=1,HM6,1)</f>
        <v/>
      </c>
      <c r="NB6">
        <f>IF('計算A'!DO$106=1,HN6,1)</f>
        <v/>
      </c>
      <c r="NC6">
        <f>IF('計算A'!DP$106=1,HO6,1)</f>
        <v/>
      </c>
      <c r="ND6">
        <f>IF('計算A'!DQ$106=1,HP6,1)</f>
        <v/>
      </c>
      <c r="NE6">
        <f>IF('計算A'!DR$106=1,HQ6,1)</f>
        <v/>
      </c>
      <c r="NF6">
        <f>IF('計算A'!DS$106=1,HR6,1)</f>
        <v/>
      </c>
      <c r="NG6">
        <f>IF('計算A'!DT$106=1,HS6,1)</f>
        <v/>
      </c>
      <c r="NH6">
        <f>IF('計算A'!DU$106=1,HT6,1)</f>
        <v/>
      </c>
      <c r="NI6">
        <f>IF('計算A'!DV$106=1,HU6,1)</f>
        <v/>
      </c>
      <c r="NJ6">
        <f>IF('計算A'!DW$106=1,HV6,1)</f>
        <v/>
      </c>
      <c r="NK6">
        <f>IF('計算A'!DX$106=1,HW6,1)</f>
        <v/>
      </c>
      <c r="NL6">
        <f>IF('計算A'!DY$106=1,HX6,1)</f>
        <v/>
      </c>
      <c r="NM6">
        <f>IF('計算A'!DZ$106=1,HY6,1)</f>
        <v/>
      </c>
      <c r="NN6">
        <f>IF('計算A'!EA$106=1,HZ6,1)</f>
        <v/>
      </c>
      <c r="NO6">
        <f>IF('計算A'!EB$106=1,IA6,1)</f>
        <v/>
      </c>
      <c r="NP6">
        <f>IF('計算A'!EC$106=1,IB6,1)</f>
        <v/>
      </c>
      <c r="NQ6">
        <f>IF('計算A'!ED$106=1,IC6,1)</f>
        <v/>
      </c>
      <c r="NR6">
        <f>IF('計算A'!EE$106=1,ID6,1)</f>
        <v/>
      </c>
      <c r="NS6">
        <f>IF('計算A'!EF$106=1,IE6,1)</f>
        <v/>
      </c>
      <c r="NT6">
        <f>IF('計算A'!EG$106=1,IF6,1)</f>
        <v/>
      </c>
      <c r="NU6">
        <f>IF('計算A'!EH$106=1,IG6,1)</f>
        <v/>
      </c>
      <c r="NV6">
        <f>IF('計算A'!EI$106=1,IH6,1)</f>
        <v/>
      </c>
      <c r="NW6">
        <f>IF('計算A'!EJ$106=1,II6,1)</f>
        <v/>
      </c>
      <c r="NX6">
        <f>IF('計算A'!EK$106=1,IJ6,1)</f>
        <v/>
      </c>
      <c r="NY6">
        <f>IF('計算A'!EL$106=1,IK6,1)</f>
        <v/>
      </c>
      <c r="NZ6">
        <f>IF('計算A'!EM$106=1,IL6,1)</f>
        <v/>
      </c>
      <c r="OA6">
        <f>IF('計算A'!EN$106=1,IM6,1)</f>
        <v/>
      </c>
      <c r="OB6">
        <f>IF('計算A'!EO$106=1,IN6,1)</f>
        <v/>
      </c>
      <c r="OC6">
        <f>IF('計算A'!EP$106=1,IO6,1)</f>
        <v/>
      </c>
      <c r="OD6" t="n">
        <v>1</v>
      </c>
      <c r="OF6">
        <f>IF($B6=0,1000000,IF(INDEX('計算A'!$D$60:$EQ$104,$B6,1)*DB6=1,IF(AND($E6=2,IQ6=0),1000000,IF($I6&gt;0,IF(1=$J6,IF(OR(AND(1=$I6+1,OR($K6&lt;&gt;'計算A'!$A$3,'計算A'!$A$4=0)),AND(1=$I6-1,OR(1&lt;&gt;'計算A'!$A$3,'計算A'!$A$4=0))),0,IF(1=$K6,200000,ABS(1-$K6)*100)),100000+ABS(1-$J6)*1000+10)+'計算A'!D$5*50+IF(AND($E6=1,IQ6=0),25,0),IF($F6&gt;0,INDEX('計算A'!D$110:D$114,$F6+1)+IF(AND($E6=1,IQ6=0),1000,0),MIN(TU6,20)*400+(IF('計算A'!D$106=1,1-DC6,0))*150+11+'計算A'!D$5*100000+IF(AND($E6=1,IQ6=0),50000,0))+IF($H6=1,(IF('計算A'!D$117=1,INDEX('計算A'!E$10:E$54,$B6),0))*4000,0)-IF(AND($L6=1,'計算A'!D$117=1,DC6=0),2000,0))),1000000))</f>
        <v/>
      </c>
      <c r="OG6">
        <f>IF($B6=0,1000000,IF(INDEX('計算A'!$D$60:$EQ$104,$B6,2)*DC6=1,IF(AND($E6=2,IR6=0),1000000,IF($I6&gt;0,IF(1=$J6,IF(OR(AND(2=$I6+1,OR($K6&lt;&gt;'計算A'!$A$3,'計算A'!$A$4=0)),AND(2=$I6-1,OR(2&lt;&gt;'計算A'!$A$3,'計算A'!$A$4=0))),0,IF(2=$K6,200000,ABS(2-$K6)*100)),100000+ABS(1-$J6)*1000+20)+'計算A'!E$5*50+IF(AND($E6=1,IR6=0),25,0),IF($F6&gt;0,INDEX('計算A'!E$110:E$114,$F6+1)+IF(AND($E6=1,IR6=0),1000,0),MIN(TU6,20)*400+(IF('計算A'!D$106=1,1-DB6,0)+IF('計算A'!E$106=1,1-DD6,0))*150+21+'計算A'!E$5*100000+IF(AND($E6=1,IR6=0),50000,0))+IF($H6=1,(IF('計算A'!D$117=1,INDEX('計算A'!D$10:D$54,$B6),0)+IF('計算A'!E$117=1,INDEX('計算A'!F$10:F$54,$B6),0))*4000,0)-IF(AND('計算A'!D$117=1,UB6&gt;0),2000,0)-IF(AND($L6=1,'計算A'!E$117=1,DD6=0),2000,0))),1000000))</f>
        <v/>
      </c>
      <c r="OH6">
        <f>IF($B6=0,1000000,IF(INDEX('計算A'!$D$60:$EQ$104,$B6,3)*DD6=1,IF(AND($E6=2,IS6=0),1000000,IF($I6&gt;0,IF(1=$J6,IF(OR(AND(3=$I6+1,OR($K6&lt;&gt;'計算A'!$A$3,'計算A'!$A$4=0)),AND(3=$I6-1,OR(3&lt;&gt;'計算A'!$A$3,'計算A'!$A$4=0))),0,IF(3=$K6,200000,ABS(3-$K6)*100)),100000+ABS(1-$J6)*1000+30)+'計算A'!F$5*50+IF(AND($E6=1,IS6=0),25,0),IF($F6&gt;0,INDEX('計算A'!F$110:F$114,$F6+1)+IF(AND($E6=1,IS6=0),1000,0),MIN(TU6,20)*400+(IF('計算A'!E$106=1,1-DC6,0)+IF('計算A'!F$106=1,1-DE6,0))*150+31+'計算A'!F$5*100000+IF(AND($E6=1,IS6=0),50000,0))+IF($H6=1,(IF('計算A'!E$117=1,INDEX('計算A'!E$10:E$54,$B6),0)+IF('計算A'!F$117=1,INDEX('計算A'!G$10:G$54,$B6),0))*4000,0)-IF(AND('計算A'!E$117=1,UC6&gt;0),2000,0)-IF(AND($L6=1,'計算A'!F$117=1,DE6=0),2000,0))),1000000))</f>
        <v/>
      </c>
      <c r="OI6">
        <f>IF($B6=0,1000000,IF(INDEX('計算A'!$D$60:$EQ$104,$B6,4)*DE6=1,IF(AND($E6=2,IT6=0),1000000,IF($I6&gt;0,IF(1=$J6,IF(OR(AND(4=$I6+1,OR($K6&lt;&gt;'計算A'!$A$3,'計算A'!$A$4=0)),AND(4=$I6-1,OR(4&lt;&gt;'計算A'!$A$3,'計算A'!$A$4=0))),0,IF(4=$K6,200000,ABS(4-$K6)*100)),100000+ABS(1-$J6)*1000+40)+'計算A'!G$5*50+IF(AND($E6=1,IT6=0),25,0),IF($F6&gt;0,INDEX('計算A'!G$110:G$114,$F6+1)+IF(AND($E6=1,IT6=0),1000,0),MIN(TU6,20)*400+(IF('計算A'!F$106=1,1-DD6,0)+IF('計算A'!G$106=1,1-DF6,0))*150+41+'計算A'!G$5*100000+IF(AND($E6=1,IT6=0),50000,0))+IF($H6=1,(IF('計算A'!F$117=1,INDEX('計算A'!F$10:F$54,$B6),0)+IF('計算A'!G$117=1,INDEX('計算A'!H$10:H$54,$B6),0))*4000,0)-IF(AND('計算A'!F$117=1,UD6&gt;0),2000,0)-IF(AND($L6=1,'計算A'!G$117=1,DF6=0),2000,0))),1000000))</f>
        <v/>
      </c>
      <c r="OJ6">
        <f>IF($B6=0,1000000,IF(INDEX('計算A'!$D$60:$EQ$104,$B6,5)*DF6=1,IF(AND($E6=2,IU6=0),1000000,IF($I6&gt;0,IF(1=$J6,IF(OR(AND(5=$I6+1,OR($K6&lt;&gt;'計算A'!$A$3,'計算A'!$A$4=0)),AND(5=$I6-1,OR(5&lt;&gt;'計算A'!$A$3,'計算A'!$A$4=0))),0,IF(5=$K6,200000,ABS(5-$K6)*100)),100000+ABS(1-$J6)*1000+50)+'計算A'!H$5*50+IF(AND($E6=1,IU6=0),25,0),IF($F6&gt;0,INDEX('計算A'!H$110:H$114,$F6+1)+IF(AND($E6=1,IU6=0),1000,0),MIN(TU6,20)*400+(IF('計算A'!G$106=1,1-DE6,0)+IF('計算A'!H$106=1,1-DG6,0))*150+51+'計算A'!H$5*100000+IF(AND($E6=1,IU6=0),50000,0))+IF($H6=1,(IF('計算A'!G$117=1,INDEX('計算A'!G$10:G$54,$B6),0)+IF('計算A'!H$117=1,INDEX('計算A'!I$10:I$54,$B6),0))*4000,0)-IF(AND('計算A'!G$117=1,UE6&gt;0),2000,0)-IF(AND($L6=1,'計算A'!H$117=1,DG6=0),2000,0))),1000000))</f>
        <v/>
      </c>
      <c r="OK6">
        <f>IF($B6=0,1000000,IF(INDEX('計算A'!$D$60:$EQ$104,$B6,6)*DG6=1,IF(AND($E6=2,IV6=0),1000000,IF($I6&gt;0,IF(1=$J6,IF(OR(AND(6=$I6+1,OR($K6&lt;&gt;'計算A'!$A$3,'計算A'!$A$4=0)),AND(6=$I6-1,OR(6&lt;&gt;'計算A'!$A$3,'計算A'!$A$4=0))),0,IF(6=$K6,200000,ABS(6-$K6)*100)),100000+ABS(1-$J6)*1000+60)+'計算A'!I$5*50+IF(AND($E6=1,IV6=0),25,0),IF($F6&gt;0,INDEX('計算A'!I$110:I$114,$F6+1)+IF(AND($E6=1,IV6=0),1000,0),MIN(TU6,20)*400+(IF('計算A'!H$106=1,1-DF6,0)+IF('計算A'!I$106=1,1-DH6,0))*150+61+'計算A'!I$5*100000+IF(AND($E6=1,IV6=0),50000,0))+IF($H6=1,(IF('計算A'!H$117=1,INDEX('計算A'!H$10:H$54,$B6),0)+IF('計算A'!I$117=1,INDEX('計算A'!J$10:J$54,$B6),0))*4000,0)-IF(AND('計算A'!H$117=1,UF6&gt;0),2000,0)-IF(AND($L6=1,'計算A'!I$117=1,DH6=0),2000,0))),1000000))</f>
        <v/>
      </c>
      <c r="OL6">
        <f>IF($B6=0,1000000,IF(INDEX('計算A'!$D$60:$EQ$104,$B6,7)*DH6=1,IF(AND($E6=2,IW6=0),1000000,IF($I6&gt;0,IF(1=$J6,IF(OR(AND(7=$I6+1,OR($K6&lt;&gt;'計算A'!$A$3,'計算A'!$A$4=0)),AND(7=$I6-1,OR(7&lt;&gt;'計算A'!$A$3,'計算A'!$A$4=0))),0,IF(7=$K6,200000,ABS(7-$K6)*100)),100000+ABS(1-$J6)*1000+70)+'計算A'!J$5*50+IF(AND($E6=1,IW6=0),25,0),IF($F6&gt;0,INDEX('計算A'!J$110:J$114,$F6+1)+IF(AND($E6=1,IW6=0),1000,0),MIN(TU6,20)*400+(IF('計算A'!I$106=1,1-DG6,0)+IF('計算A'!J$106=1,1-DI6,0))*150+71+'計算A'!J$5*100000+IF(AND($E6=1,IW6=0),50000,0))+IF($H6=1,(IF('計算A'!I$117=1,INDEX('計算A'!I$10:I$54,$B6),0)+IF('計算A'!J$117=1,INDEX('計算A'!K$10:K$54,$B6),0))*4000,0)-IF(AND('計算A'!I$117=1,UG6&gt;0),2000,0)-IF(AND($L6=1,'計算A'!J$117=1,DI6=0),2000,0))),1000000))</f>
        <v/>
      </c>
      <c r="OM6">
        <f>IF($B6=0,1000000,IF(INDEX('計算A'!$D$60:$EQ$104,$B6,8)*DI6=1,IF(AND($E6=2,IX6=0),1000000,IF($I6&gt;0,IF(1=$J6,IF(OR(AND(8=$I6+1,OR($K6&lt;&gt;'計算A'!$A$3,'計算A'!$A$4=0)),AND(8=$I6-1,OR(8&lt;&gt;'計算A'!$A$3,'計算A'!$A$4=0))),0,IF(8=$K6,200000,ABS(8-$K6)*100)),100000+ABS(1-$J6)*1000+80)+'計算A'!K$5*50+IF(AND($E6=1,IX6=0),25,0),IF($F6&gt;0,INDEX('計算A'!K$110:K$114,$F6+1)+IF(AND($E6=1,IX6=0),1000,0),MIN(TU6,20)*400+(IF('計算A'!J$106=1,1-DH6,0)+IF('計算A'!K$106=1,1-DJ6,0))*150+81+'計算A'!K$5*100000+IF(AND($E6=1,IX6=0),50000,0))+IF($H6=1,(IF('計算A'!J$117=1,INDEX('計算A'!J$10:J$54,$B6),0)+IF('計算A'!K$117=1,INDEX('計算A'!L$10:L$54,$B6),0))*4000,0)-IF(AND('計算A'!J$117=1,UH6&gt;0),2000,0)-IF(AND($L6=1,'計算A'!K$117=1,DJ6=0),2000,0))),1000000))</f>
        <v/>
      </c>
      <c r="ON6">
        <f>IF($B6=0,1000000,IF(INDEX('計算A'!$D$60:$EQ$104,$B6,9)*DJ6=1,IF(AND($E6=2,IY6=0),1000000,IF($I6&gt;0,IF(1=$J6,IF(OR(AND(9=$I6+1,OR($K6&lt;&gt;'計算A'!$A$3,'計算A'!$A$4=0)),AND(9=$I6-1,OR(9&lt;&gt;'計算A'!$A$3,'計算A'!$A$4=0))),0,IF(9=$K6,200000,ABS(9-$K6)*100)),100000+ABS(1-$J6)*1000+90)+'計算A'!L$5*50+IF(AND($E6=1,IY6=0),25,0),IF($F6&gt;0,INDEX('計算A'!L$110:L$114,$F6+1)+IF(AND($E6=1,IY6=0),1000,0),MIN(TU6,20)*400+(IF('計算A'!K$106=1,1-DI6,0)+IF('計算A'!L$106=1,1-DK6,0))*150+91+'計算A'!L$5*100000+IF(AND($E6=1,IY6=0),50000,0))+IF($H6=1,(IF('計算A'!K$117=1,INDEX('計算A'!K$10:K$54,$B6),0)+IF('計算A'!L$117=1,INDEX('計算A'!M$10:M$54,$B6),0))*4000,0)-IF(AND('計算A'!K$117=1,UI6&gt;0),2000,0)-IF(AND($L6=1,'計算A'!L$117=1,DK6=0),2000,0))),1000000))</f>
        <v/>
      </c>
      <c r="OO6">
        <f>IF($B6=0,1000000,IF(INDEX('計算A'!$D$60:$EQ$104,$B6,10)*DK6=1,IF(AND($E6=2,IZ6=0),1000000,IF($I6&gt;0,IF(1=$J6,IF(OR(AND(10=$I6+1,OR($K6&lt;&gt;'計算A'!$A$3,'計算A'!$A$4=0)),AND(10=$I6-1,OR(10&lt;&gt;'計算A'!$A$3,'計算A'!$A$4=0))),0,IF(10=$K6,200000,ABS(10-$K6)*100)),100000+ABS(1-$J6)*1000+100)+'計算A'!M$5*50+IF(AND($E6=1,IZ6=0),25,0),IF($F6&gt;0,INDEX('計算A'!M$110:M$114,$F6+1)+IF(AND($E6=1,IZ6=0),1000,0),MIN(TU6,20)*400+(IF('計算A'!L$106=1,1-DJ6,0)+IF('計算A'!M$106=1,1-DL6,0))*150+101+'計算A'!M$5*100000+IF(AND($E6=1,IZ6=0),50000,0))+IF($H6=1,(IF('計算A'!L$117=1,INDEX('計算A'!L$10:L$54,$B6),0)+IF('計算A'!M$117=1,INDEX('計算A'!N$10:N$54,$B6),0))*4000,0)-IF(AND('計算A'!L$117=1,UJ6&gt;0),2000,0)-IF(AND($L6=1,'計算A'!M$117=1,DL6=0),2000,0))),1000000))</f>
        <v/>
      </c>
      <c r="OP6">
        <f>IF($B6=0,1000000,IF(INDEX('計算A'!$D$60:$EQ$104,$B6,11)*DL6=1,IF(AND($E6=2,JA6=0),1000000,IF($I6&gt;0,IF(1=$J6,IF(OR(AND(11=$I6+1,OR($K6&lt;&gt;'計算A'!$A$3,'計算A'!$A$4=0)),AND(11=$I6-1,OR(11&lt;&gt;'計算A'!$A$3,'計算A'!$A$4=0))),0,IF(11=$K6,200000,ABS(11-$K6)*100)),100000+ABS(1-$J6)*1000+110)+'計算A'!N$5*50+IF(AND($E6=1,JA6=0),25,0),IF($F6&gt;0,INDEX('計算A'!N$110:N$114,$F6+1)+IF(AND($E6=1,JA6=0),1000,0),MIN(TU6,20)*400+(IF('計算A'!M$106=1,1-DK6,0)+IF('計算A'!N$106=1,1-DM6,0))*150+111+'計算A'!N$5*100000+IF(AND($E6=1,JA6=0),50000,0))+IF($H6=1,(IF('計算A'!M$117=1,INDEX('計算A'!M$10:M$54,$B6),0)+IF('計算A'!N$117=1,INDEX('計算A'!O$10:O$54,$B6),0))*4000,0)-IF(AND('計算A'!M$117=1,UK6&gt;0),2000,0)-IF(AND($L6=1,'計算A'!N$117=1,DM6=0),2000,0))),1000000))</f>
        <v/>
      </c>
      <c r="OQ6">
        <f>IF($B6=0,1000000,IF(INDEX('計算A'!$D$60:$EQ$104,$B6,12)*DM6=1,IF(AND($E6=2,JB6=0),1000000,IF($I6&gt;0,IF(1=$J6,IF(OR(AND(12=$I6+1,OR($K6&lt;&gt;'計算A'!$A$3,'計算A'!$A$4=0)),AND(12=$I6-1,OR(12&lt;&gt;'計算A'!$A$3,'計算A'!$A$4=0))),0,IF(12=$K6,200000,ABS(12-$K6)*100)),100000+ABS(1-$J6)*1000+120)+'計算A'!O$5*50+IF(AND($E6=1,JB6=0),25,0),IF($F6&gt;0,INDEX('計算A'!O$110:O$114,$F6+1)+IF(AND($E6=1,JB6=0),1000,0),MIN(TU6,20)*400+(IF('計算A'!N$106=1,1-DL6,0)+IF('計算A'!O$106=1,1-DN6,0))*150+121+'計算A'!O$5*100000+IF(AND($E6=1,JB6=0),50000,0))+IF($H6=1,(IF('計算A'!N$117=1,INDEX('計算A'!N$10:N$54,$B6),0)+IF('計算A'!O$117=1,INDEX('計算A'!P$10:P$54,$B6),0))*4000,0)-IF(AND('計算A'!N$117=1,UL6&gt;0),2000,0)-IF(AND($L6=1,'計算A'!O$117=1,DN6=0),2000,0))),1000000))</f>
        <v/>
      </c>
      <c r="OR6">
        <f>IF($B6=0,1000000,IF(INDEX('計算A'!$D$60:$EQ$104,$B6,13)*DN6=1,IF(AND($E6=2,JC6=0),1000000,IF($I6&gt;0,IF(1=$J6,IF(OR(AND(13=$I6+1,OR($K6&lt;&gt;'計算A'!$A$3,'計算A'!$A$4=0)),AND(13=$I6-1,OR(13&lt;&gt;'計算A'!$A$3,'計算A'!$A$4=0))),0,IF(13=$K6,200000,ABS(13-$K6)*100)),100000+ABS(1-$J6)*1000+130)+'計算A'!P$5*50+IF(AND($E6=1,JC6=0),25,0),IF($F6&gt;0,INDEX('計算A'!P$110:P$114,$F6+1)+IF(AND($E6=1,JC6=0),1000,0),MIN(TU6,20)*400+(IF('計算A'!O$106=1,1-DM6,0)+IF('計算A'!P$106=1,1-DO6,0))*150+131+'計算A'!P$5*100000+IF(AND($E6=1,JC6=0),50000,0))+IF($H6=1,(IF('計算A'!O$117=1,INDEX('計算A'!O$10:O$54,$B6),0)+IF('計算A'!P$117=1,INDEX('計算A'!Q$10:Q$54,$B6),0))*4000,0)-IF(AND('計算A'!O$117=1,UM6&gt;0),2000,0)-IF(AND($L6=1,'計算A'!P$117=1,DO6=0),2000,0))),1000000))</f>
        <v/>
      </c>
      <c r="OS6">
        <f>IF($B6=0,1000000,IF(INDEX('計算A'!$D$60:$EQ$104,$B6,14)*DO6=1,IF(AND($E6=2,JD6=0),1000000,IF($I6&gt;0,IF(1=$J6,IF(OR(AND(14=$I6+1,OR($K6&lt;&gt;'計算A'!$A$3,'計算A'!$A$4=0)),AND(14=$I6-1,OR(14&lt;&gt;'計算A'!$A$3,'計算A'!$A$4=0))),0,IF(14=$K6,200000,ABS(14-$K6)*100)),100000+ABS(1-$J6)*1000+140)+'計算A'!Q$5*50+IF(AND($E6=1,JD6=0),25,0),IF($F6&gt;0,INDEX('計算A'!Q$110:Q$114,$F6+1)+IF(AND($E6=1,JD6=0),1000,0),MIN(TU6,20)*400+(IF('計算A'!P$106=1,1-DN6,0)+IF('計算A'!Q$106=1,1-DP6,0))*150+141+'計算A'!Q$5*100000+IF(AND($E6=1,JD6=0),50000,0))+IF($H6=1,(IF('計算A'!P$117=1,INDEX('計算A'!P$10:P$54,$B6),0)+IF('計算A'!Q$117=1,INDEX('計算A'!R$10:R$54,$B6),0))*4000,0)-IF(AND('計算A'!P$117=1,UN6&gt;0),2000,0)-IF(AND($L6=1,'計算A'!Q$117=1,DP6=0),2000,0))),1000000))</f>
        <v/>
      </c>
      <c r="OT6">
        <f>IF($B6=0,1000000,IF(INDEX('計算A'!$D$60:$EQ$104,$B6,15)*DP6=1,IF(AND($E6=2,JE6=0),1000000,IF($I6&gt;0,IF(1=$J6,IF(OR(AND(15=$I6+1,OR($K6&lt;&gt;'計算A'!$A$3,'計算A'!$A$4=0)),AND(15=$I6-1,OR(15&lt;&gt;'計算A'!$A$3,'計算A'!$A$4=0))),0,IF(15=$K6,200000,ABS(15-$K6)*100)),100000+ABS(1-$J6)*1000+150)+'計算A'!R$5*50+IF(AND($E6=1,JE6=0),25,0),IF($F6&gt;0,INDEX('計算A'!R$110:R$114,$F6+1)+IF(AND($E6=1,JE6=0),1000,0),MIN(TU6,20)*400+(IF('計算A'!Q$106=1,1-DO6,0)+IF('計算A'!R$106=1,1-DQ6,0))*150+151+'計算A'!R$5*100000+IF(AND($E6=1,JE6=0),50000,0))+IF($H6=1,(IF('計算A'!Q$117=1,INDEX('計算A'!Q$10:Q$54,$B6),0)+IF('計算A'!R$117=1,INDEX('計算A'!S$10:S$54,$B6),0))*4000,0)-IF(AND('計算A'!Q$117=1,UO6&gt;0),2000,0)-IF(AND($L6=1,'計算A'!R$117=1,DQ6=0),2000,0))),1000000))</f>
        <v/>
      </c>
      <c r="OU6">
        <f>IF($B6=0,1000000,IF(INDEX('計算A'!$D$60:$EQ$104,$B6,16)*DQ6=1,IF(AND($E6=2,JF6=0),1000000,IF($I6&gt;0,IF(1=$J6,IF(OR(AND(16=$I6+1,OR($K6&lt;&gt;'計算A'!$A$3,'計算A'!$A$4=0)),AND(16=$I6-1,OR(16&lt;&gt;'計算A'!$A$3,'計算A'!$A$4=0))),0,IF(16=$K6,200000,ABS(16-$K6)*100)),100000+ABS(1-$J6)*1000+160)+'計算A'!S$5*50+IF(AND($E6=1,JF6=0),25,0),IF($F6&gt;0,INDEX('計算A'!S$110:S$114,$F6+1)+IF(AND($E6=1,JF6=0),1000,0),MIN(TU6,20)*400+(IF('計算A'!R$106=1,1-DP6,0)+IF('計算A'!S$106=1,1-DR6,0))*150+161+'計算A'!S$5*100000+IF(AND($E6=1,JF6=0),50000,0))+IF($H6=1,(IF('計算A'!R$117=1,INDEX('計算A'!R$10:R$54,$B6),0)+IF('計算A'!S$117=1,INDEX('計算A'!T$10:T$54,$B6),0))*4000,0)-IF(AND('計算A'!R$117=1,UP6&gt;0),2000,0)-IF(AND($L6=1,'計算A'!S$117=1,DR6=0),2000,0))),1000000))</f>
        <v/>
      </c>
      <c r="OV6">
        <f>IF($B6=0,1000000,IF(INDEX('計算A'!$D$60:$EQ$104,$B6,17)*DR6=1,IF(AND($E6=2,JG6=0),1000000,IF($I6&gt;0,IF(1=$J6,IF(OR(AND(17=$I6+1,OR($K6&lt;&gt;'計算A'!$A$3,'計算A'!$A$4=0)),AND(17=$I6-1,OR(17&lt;&gt;'計算A'!$A$3,'計算A'!$A$4=0))),0,IF(17=$K6,200000,ABS(17-$K6)*100)),100000+ABS(1-$J6)*1000+170)+'計算A'!T$5*50+IF(AND($E6=1,JG6=0),25,0),IF($F6&gt;0,INDEX('計算A'!T$110:T$114,$F6+1)+IF(AND($E6=1,JG6=0),1000,0),MIN(TU6,20)*400+(IF('計算A'!S$106=1,1-DQ6,0)+IF('計算A'!T$106=1,1-DS6,0))*150+171+'計算A'!T$5*100000+IF(AND($E6=1,JG6=0),50000,0))+IF($H6=1,(IF('計算A'!S$117=1,INDEX('計算A'!S$10:S$54,$B6),0)+IF('計算A'!T$117=1,INDEX('計算A'!U$10:U$54,$B6),0))*4000,0)-IF(AND('計算A'!S$117=1,UQ6&gt;0),2000,0)-IF(AND($L6=1,'計算A'!T$117=1,DS6=0),2000,0))),1000000))</f>
        <v/>
      </c>
      <c r="OW6">
        <f>IF($B6=0,1000000,IF(INDEX('計算A'!$D$60:$EQ$104,$B6,18)*DS6=1,IF(AND($E6=2,JH6=0),1000000,IF($I6&gt;0,IF(1=$J6,IF(OR(AND(18=$I6+1,OR($K6&lt;&gt;'計算A'!$A$3,'計算A'!$A$4=0)),AND(18=$I6-1,OR(18&lt;&gt;'計算A'!$A$3,'計算A'!$A$4=0))),0,IF(18=$K6,200000,ABS(18-$K6)*100)),100000+ABS(1-$J6)*1000+180)+'計算A'!U$5*50+IF(AND($E6=1,JH6=0),25,0),IF($F6&gt;0,INDEX('計算A'!U$110:U$114,$F6+1)+IF(AND($E6=1,JH6=0),1000,0),MIN(TU6,20)*400+(IF('計算A'!T$106=1,1-DR6,0)+IF('計算A'!U$106=1,1-DT6,0))*150+181+'計算A'!U$5*100000+IF(AND($E6=1,JH6=0),50000,0))+IF($H6=1,(IF('計算A'!T$117=1,INDEX('計算A'!T$10:T$54,$B6),0)+IF('計算A'!U$117=1,INDEX('計算A'!V$10:V$54,$B6),0))*4000,0)-IF(AND('計算A'!T$117=1,UR6&gt;0),2000,0)-IF(AND($L6=1,'計算A'!U$117=1,DT6=0),2000,0))),1000000))</f>
        <v/>
      </c>
      <c r="OX6">
        <f>IF($B6=0,1000000,IF(INDEX('計算A'!$D$60:$EQ$104,$B6,19)*DT6=1,IF(AND($E6=2,JI6=0),1000000,IF($I6&gt;0,IF(1=$J6,IF(OR(AND(19=$I6+1,OR($K6&lt;&gt;'計算A'!$A$3,'計算A'!$A$4=0)),AND(19=$I6-1,OR(19&lt;&gt;'計算A'!$A$3,'計算A'!$A$4=0))),0,IF(19=$K6,200000,ABS(19-$K6)*100)),100000+ABS(1-$J6)*1000+190)+'計算A'!V$5*50+IF(AND($E6=1,JI6=0),25,0),IF($F6&gt;0,INDEX('計算A'!V$110:V$114,$F6+1)+IF(AND($E6=1,JI6=0),1000,0),MIN(TU6,20)*400+(IF('計算A'!U$106=1,1-DS6,0)+IF('計算A'!V$106=1,1-DU6,0))*150+191+'計算A'!V$5*100000+IF(AND($E6=1,JI6=0),50000,0))+IF($H6=1,(IF('計算A'!U$117=1,INDEX('計算A'!U$10:U$54,$B6),0)+IF('計算A'!V$117=1,INDEX('計算A'!W$10:W$54,$B6),0))*4000,0)-IF(AND('計算A'!U$117=1,US6&gt;0),2000,0)-IF(AND($L6=1,'計算A'!V$117=1,DU6=0),2000,0))),1000000))</f>
        <v/>
      </c>
      <c r="OY6">
        <f>IF($B6=0,1000000,IF(INDEX('計算A'!$D$60:$EQ$104,$B6,20)*DU6=1,IF(AND($E6=2,JJ6=0),1000000,IF($I6&gt;0,IF(1=$J6,IF(OR(AND(20=$I6+1,OR($K6&lt;&gt;'計算A'!$A$3,'計算A'!$A$4=0)),AND(20=$I6-1,OR(20&lt;&gt;'計算A'!$A$3,'計算A'!$A$4=0))),0,IF(20=$K6,200000,ABS(20-$K6)*100)),100000+ABS(1-$J6)*1000+200)+'計算A'!W$5*50+IF(AND($E6=1,JJ6=0),25,0),IF($F6&gt;0,INDEX('計算A'!W$110:W$114,$F6+1)+IF(AND($E6=1,JJ6=0),1000,0),MIN(TU6,20)*400+(IF('計算A'!V$106=1,1-DT6,0)+IF('計算A'!W$106=1,1-DV6,0))*150+201+'計算A'!W$5*100000+IF(AND($E6=1,JJ6=0),50000,0))+IF($H6=1,(IF('計算A'!V$117=1,INDEX('計算A'!V$10:V$54,$B6),0)+IF('計算A'!W$117=1,INDEX('計算A'!X$10:X$54,$B6),0))*4000,0)-IF(AND('計算A'!V$117=1,UT6&gt;0),2000,0)-IF(AND($L6=1,'計算A'!W$117=1,DV6=0),2000,0))),1000000))</f>
        <v/>
      </c>
      <c r="OZ6">
        <f>IF($B6=0,1000000,IF(INDEX('計算A'!$D$60:$EQ$104,$B6,21)*DV6=1,IF(AND($E6=2,JK6=0),1000000,IF($I6&gt;0,IF(1=$J6,IF(OR(AND(21=$I6+1,OR($K6&lt;&gt;'計算A'!$A$3,'計算A'!$A$4=0)),AND(21=$I6-1,OR(21&lt;&gt;'計算A'!$A$3,'計算A'!$A$4=0))),0,IF(21=$K6,200000,ABS(21-$K6)*100)),100000+ABS(1-$J6)*1000+210)+'計算A'!X$5*50+IF(AND($E6=1,JK6=0),25,0),IF($F6&gt;0,INDEX('計算A'!X$110:X$114,$F6+1)+IF(AND($E6=1,JK6=0),1000,0),MIN(TU6,20)*400+(IF('計算A'!W$106=1,1-DU6,0)+IF('計算A'!X$106=1,1-DW6,0))*150+211+'計算A'!X$5*100000+IF(AND($E6=1,JK6=0),50000,0))+IF($H6=1,(IF('計算A'!W$117=1,INDEX('計算A'!W$10:W$54,$B6),0)+IF('計算A'!X$117=1,INDEX('計算A'!Y$10:Y$54,$B6),0))*4000,0)-IF(AND('計算A'!W$117=1,UU6&gt;0),2000,0)-IF(AND($L6=1,'計算A'!X$117=1,DW6=0),2000,0))),1000000))</f>
        <v/>
      </c>
      <c r="PA6">
        <f>IF($B6=0,1000000,IF(INDEX('計算A'!$D$60:$EQ$104,$B6,22)*DW6=1,IF(AND($E6=2,JL6=0),1000000,IF($I6&gt;0,IF(1=$J6,IF(OR(AND(22=$I6+1,OR($K6&lt;&gt;'計算A'!$A$3,'計算A'!$A$4=0)),AND(22=$I6-1,OR(22&lt;&gt;'計算A'!$A$3,'計算A'!$A$4=0))),0,IF(22=$K6,200000,ABS(22-$K6)*100)),100000+ABS(1-$J6)*1000+220)+'計算A'!Y$5*50+IF(AND($E6=1,JL6=0),25,0),IF($F6&gt;0,INDEX('計算A'!Y$110:Y$114,$F6+1)+IF(AND($E6=1,JL6=0),1000,0),MIN(TU6,20)*400+(IF('計算A'!X$106=1,1-DV6,0)+IF('計算A'!Y$106=1,1-DX6,0))*150+221+'計算A'!Y$5*100000+IF(AND($E6=1,JL6=0),50000,0))+IF($H6=1,(IF('計算A'!X$117=1,INDEX('計算A'!X$10:X$54,$B6),0)+IF('計算A'!Y$117=1,INDEX('計算A'!Z$10:Z$54,$B6),0))*4000,0)-IF(AND('計算A'!X$117=1,UV6&gt;0),2000,0)-IF(AND($L6=1,'計算A'!Y$117=1,DX6=0),2000,0))),1000000))</f>
        <v/>
      </c>
      <c r="PB6">
        <f>IF($B6=0,1000000,IF(INDEX('計算A'!$D$60:$EQ$104,$B6,23)*DX6=1,IF(AND($E6=2,JM6=0),1000000,IF($I6&gt;0,IF(1=$J6,IF(OR(AND(23=$I6+1,OR($K6&lt;&gt;'計算A'!$A$3,'計算A'!$A$4=0)),AND(23=$I6-1,OR(23&lt;&gt;'計算A'!$A$3,'計算A'!$A$4=0))),0,IF(23=$K6,200000,ABS(23-$K6)*100)),100000+ABS(1-$J6)*1000+230)+'計算A'!Z$5*50+IF(AND($E6=1,JM6=0),25,0),IF($F6&gt;0,INDEX('計算A'!Z$110:Z$114,$F6+1)+IF(AND($E6=1,JM6=0),1000,0),MIN(TU6,20)*400+(IF('計算A'!Y$106=1,1-DW6,0)+IF('計算A'!Z$106=1,1-DY6,0))*150+231+'計算A'!Z$5*100000+IF(AND($E6=1,JM6=0),50000,0))+IF($H6=1,(IF('計算A'!Y$117=1,INDEX('計算A'!Y$10:Y$54,$B6),0)+IF('計算A'!Z$117=1,INDEX('計算A'!AA$10:AA$54,$B6),0))*4000,0)-IF(AND('計算A'!Y$117=1,UW6&gt;0),2000,0)-IF(AND($L6=1,'計算A'!Z$117=1,DY6=0),2000,0))),1000000))</f>
        <v/>
      </c>
      <c r="PC6">
        <f>IF($B6=0,1000000,IF(INDEX('計算A'!$D$60:$EQ$104,$B6,24)*DY6=1,IF(AND($E6=2,JN6=0),1000000,IF($I6&gt;0,IF(1=$J6,IF(OR(AND(24=$I6+1,OR($K6&lt;&gt;'計算A'!$A$3,'計算A'!$A$4=0)),AND(24=$I6-1,OR(24&lt;&gt;'計算A'!$A$3,'計算A'!$A$4=0))),0,IF(24=$K6,200000,ABS(24-$K6)*100)),100000+ABS(1-$J6)*1000+240)+'計算A'!AA$5*50+IF(AND($E6=1,JN6=0),25,0),IF($F6&gt;0,INDEX('計算A'!AA$110:AA$114,$F6+1)+IF(AND($E6=1,JN6=0),1000,0),MIN(TU6,20)*400+(IF('計算A'!Z$106=1,1-DX6,0))*150+241+'計算A'!AA$5*100000+IF(AND($E6=1,JN6=0),50000,0))+IF($H6=1,(IF('計算A'!Z$117=1,INDEX('計算A'!Z$10:Z$54,$B6),0))*4000,0)-IF(AND('計算A'!Z$117=1,UX6&gt;0),2000,0))),1000000))</f>
        <v/>
      </c>
      <c r="PD6">
        <f>IF($B6=0,1000000,IF(INDEX('計算A'!$D$60:$EQ$104,$B6,25)*DZ6=1,IF(AND($E6=2,JO6=0),1000000,IF($I6&gt;0,IF(2=$J6,IF(OR(AND(25=$I6+1,OR($K6&lt;&gt;'計算A'!$A$3,'計算A'!$A$4=0)),AND(25=$I6-1,OR(1&lt;&gt;'計算A'!$A$3,'計算A'!$A$4=0))),0,IF(1=$K6,200000,ABS(1-$K6)*100)),100000+ABS(2-$J6)*1000+10)+'計算A'!AB$5*50+IF(AND($E6=1,JO6=0),25,0),IF($F6&gt;0,INDEX('計算A'!AB$110:AB$114,$F6+1)+IF(AND($E6=1,JO6=0),1000,0),MIN(TV6,20)*400+(IF('計算A'!AB$106=1,1-EA6,0))*150+12+'計算A'!AB$5*100000+IF(AND($E6=1,JO6=0),50000,0))+IF($H6=1,(IF('計算A'!AB$117=1,INDEX('計算A'!AC$10:AC$54,$B6),0))*4000,0)-IF(AND($L6=1,'計算A'!AB$117=1,EA6=0),2000,0))),1000000))</f>
        <v/>
      </c>
      <c r="PE6">
        <f>IF($B6=0,1000000,IF(INDEX('計算A'!$D$60:$EQ$104,$B6,26)*EA6=1,IF(AND($E6=2,JP6=0),1000000,IF($I6&gt;0,IF(2=$J6,IF(OR(AND(26=$I6+1,OR($K6&lt;&gt;'計算A'!$A$3,'計算A'!$A$4=0)),AND(26=$I6-1,OR(2&lt;&gt;'計算A'!$A$3,'計算A'!$A$4=0))),0,IF(2=$K6,200000,ABS(2-$K6)*100)),100000+ABS(2-$J6)*1000+20)+'計算A'!AC$5*50+IF(AND($E6=1,JP6=0),25,0),IF($F6&gt;0,INDEX('計算A'!AC$110:AC$114,$F6+1)+IF(AND($E6=1,JP6=0),1000,0),MIN(TV6,20)*400+(IF('計算A'!AB$106=1,1-DZ6,0)+IF('計算A'!AC$106=1,1-EB6,0))*150+22+'計算A'!AC$5*100000+IF(AND($E6=1,JP6=0),50000,0))+IF($H6=1,(IF('計算A'!AB$117=1,INDEX('計算A'!AB$10:AB$54,$B6),0)+IF('計算A'!AC$117=1,INDEX('計算A'!AD$10:AD$54,$B6),0))*4000,0)-IF(AND('計算A'!AB$117=1,UZ6&gt;0),2000,0)-IF(AND($L6=1,'計算A'!AC$117=1,EB6=0),2000,0))),1000000))</f>
        <v/>
      </c>
      <c r="PF6">
        <f>IF($B6=0,1000000,IF(INDEX('計算A'!$D$60:$EQ$104,$B6,27)*EB6=1,IF(AND($E6=2,JQ6=0),1000000,IF($I6&gt;0,IF(2=$J6,IF(OR(AND(27=$I6+1,OR($K6&lt;&gt;'計算A'!$A$3,'計算A'!$A$4=0)),AND(27=$I6-1,OR(3&lt;&gt;'計算A'!$A$3,'計算A'!$A$4=0))),0,IF(3=$K6,200000,ABS(3-$K6)*100)),100000+ABS(2-$J6)*1000+30)+'計算A'!AD$5*50+IF(AND($E6=1,JQ6=0),25,0),IF($F6&gt;0,INDEX('計算A'!AD$110:AD$114,$F6+1)+IF(AND($E6=1,JQ6=0),1000,0),MIN(TV6,20)*400+(IF('計算A'!AC$106=1,1-EA6,0)+IF('計算A'!AD$106=1,1-EC6,0))*150+32+'計算A'!AD$5*100000+IF(AND($E6=1,JQ6=0),50000,0))+IF($H6=1,(IF('計算A'!AC$117=1,INDEX('計算A'!AC$10:AC$54,$B6),0)+IF('計算A'!AD$117=1,INDEX('計算A'!AE$10:AE$54,$B6),0))*4000,0)-IF(AND('計算A'!AC$117=1,VA6&gt;0),2000,0)-IF(AND($L6=1,'計算A'!AD$117=1,EC6=0),2000,0))),1000000))</f>
        <v/>
      </c>
      <c r="PG6">
        <f>IF($B6=0,1000000,IF(INDEX('計算A'!$D$60:$EQ$104,$B6,28)*EC6=1,IF(AND($E6=2,JR6=0),1000000,IF($I6&gt;0,IF(2=$J6,IF(OR(AND(28=$I6+1,OR($K6&lt;&gt;'計算A'!$A$3,'計算A'!$A$4=0)),AND(28=$I6-1,OR(4&lt;&gt;'計算A'!$A$3,'計算A'!$A$4=0))),0,IF(4=$K6,200000,ABS(4-$K6)*100)),100000+ABS(2-$J6)*1000+40)+'計算A'!AE$5*50+IF(AND($E6=1,JR6=0),25,0),IF($F6&gt;0,INDEX('計算A'!AE$110:AE$114,$F6+1)+IF(AND($E6=1,JR6=0),1000,0),MIN(TV6,20)*400+(IF('計算A'!AD$106=1,1-EB6,0)+IF('計算A'!AE$106=1,1-ED6,0))*150+42+'計算A'!AE$5*100000+IF(AND($E6=1,JR6=0),50000,0))+IF($H6=1,(IF('計算A'!AD$117=1,INDEX('計算A'!AD$10:AD$54,$B6),0)+IF('計算A'!AE$117=1,INDEX('計算A'!AF$10:AF$54,$B6),0))*4000,0)-IF(AND('計算A'!AD$117=1,VB6&gt;0),2000,0)-IF(AND($L6=1,'計算A'!AE$117=1,ED6=0),2000,0))),1000000))</f>
        <v/>
      </c>
      <c r="PH6">
        <f>IF($B6=0,1000000,IF(INDEX('計算A'!$D$60:$EQ$104,$B6,29)*ED6=1,IF(AND($E6=2,JS6=0),1000000,IF($I6&gt;0,IF(2=$J6,IF(OR(AND(29=$I6+1,OR($K6&lt;&gt;'計算A'!$A$3,'計算A'!$A$4=0)),AND(29=$I6-1,OR(5&lt;&gt;'計算A'!$A$3,'計算A'!$A$4=0))),0,IF(5=$K6,200000,ABS(5-$K6)*100)),100000+ABS(2-$J6)*1000+50)+'計算A'!AF$5*50+IF(AND($E6=1,JS6=0),25,0),IF($F6&gt;0,INDEX('計算A'!AF$110:AF$114,$F6+1)+IF(AND($E6=1,JS6=0),1000,0),MIN(TV6,20)*400+(IF('計算A'!AE$106=1,1-EC6,0)+IF('計算A'!AF$106=1,1-EE6,0))*150+52+'計算A'!AF$5*100000+IF(AND($E6=1,JS6=0),50000,0))+IF($H6=1,(IF('計算A'!AE$117=1,INDEX('計算A'!AE$10:AE$54,$B6),0)+IF('計算A'!AF$117=1,INDEX('計算A'!AG$10:AG$54,$B6),0))*4000,0)-IF(AND('計算A'!AE$117=1,VC6&gt;0),2000,0)-IF(AND($L6=1,'計算A'!AF$117=1,EE6=0),2000,0))),1000000))</f>
        <v/>
      </c>
      <c r="PI6">
        <f>IF($B6=0,1000000,IF(INDEX('計算A'!$D$60:$EQ$104,$B6,30)*EE6=1,IF(AND($E6=2,JT6=0),1000000,IF($I6&gt;0,IF(2=$J6,IF(OR(AND(30=$I6+1,OR($K6&lt;&gt;'計算A'!$A$3,'計算A'!$A$4=0)),AND(30=$I6-1,OR(6&lt;&gt;'計算A'!$A$3,'計算A'!$A$4=0))),0,IF(6=$K6,200000,ABS(6-$K6)*100)),100000+ABS(2-$J6)*1000+60)+'計算A'!AG$5*50+IF(AND($E6=1,JT6=0),25,0),IF($F6&gt;0,INDEX('計算A'!AG$110:AG$114,$F6+1)+IF(AND($E6=1,JT6=0),1000,0),MIN(TV6,20)*400+(IF('計算A'!AF$106=1,1-ED6,0)+IF('計算A'!AG$106=1,1-EF6,0))*150+62+'計算A'!AG$5*100000+IF(AND($E6=1,JT6=0),50000,0))+IF($H6=1,(IF('計算A'!AF$117=1,INDEX('計算A'!AF$10:AF$54,$B6),0)+IF('計算A'!AG$117=1,INDEX('計算A'!AH$10:AH$54,$B6),0))*4000,0)-IF(AND('計算A'!AF$117=1,VD6&gt;0),2000,0)-IF(AND($L6=1,'計算A'!AG$117=1,EF6=0),2000,0))),1000000))</f>
        <v/>
      </c>
      <c r="PJ6">
        <f>IF($B6=0,1000000,IF(INDEX('計算A'!$D$60:$EQ$104,$B6,31)*EF6=1,IF(AND($E6=2,JU6=0),1000000,IF($I6&gt;0,IF(2=$J6,IF(OR(AND(31=$I6+1,OR($K6&lt;&gt;'計算A'!$A$3,'計算A'!$A$4=0)),AND(31=$I6-1,OR(7&lt;&gt;'計算A'!$A$3,'計算A'!$A$4=0))),0,IF(7=$K6,200000,ABS(7-$K6)*100)),100000+ABS(2-$J6)*1000+70)+'計算A'!AH$5*50+IF(AND($E6=1,JU6=0),25,0),IF($F6&gt;0,INDEX('計算A'!AH$110:AH$114,$F6+1)+IF(AND($E6=1,JU6=0),1000,0),MIN(TV6,20)*400+(IF('計算A'!AG$106=1,1-EE6,0)+IF('計算A'!AH$106=1,1-EG6,0))*150+72+'計算A'!AH$5*100000+IF(AND($E6=1,JU6=0),50000,0))+IF($H6=1,(IF('計算A'!AG$117=1,INDEX('計算A'!AG$10:AG$54,$B6),0)+IF('計算A'!AH$117=1,INDEX('計算A'!AI$10:AI$54,$B6),0))*4000,0)-IF(AND('計算A'!AG$117=1,VE6&gt;0),2000,0)-IF(AND($L6=1,'計算A'!AH$117=1,EG6=0),2000,0))),1000000))</f>
        <v/>
      </c>
      <c r="PK6">
        <f>IF($B6=0,1000000,IF(INDEX('計算A'!$D$60:$EQ$104,$B6,32)*EG6=1,IF(AND($E6=2,JV6=0),1000000,IF($I6&gt;0,IF(2=$J6,IF(OR(AND(32=$I6+1,OR($K6&lt;&gt;'計算A'!$A$3,'計算A'!$A$4=0)),AND(32=$I6-1,OR(8&lt;&gt;'計算A'!$A$3,'計算A'!$A$4=0))),0,IF(8=$K6,200000,ABS(8-$K6)*100)),100000+ABS(2-$J6)*1000+80)+'計算A'!AI$5*50+IF(AND($E6=1,JV6=0),25,0),IF($F6&gt;0,INDEX('計算A'!AI$110:AI$114,$F6+1)+IF(AND($E6=1,JV6=0),1000,0),MIN(TV6,20)*400+(IF('計算A'!AH$106=1,1-EF6,0)+IF('計算A'!AI$106=1,1-EH6,0))*150+82+'計算A'!AI$5*100000+IF(AND($E6=1,JV6=0),50000,0))+IF($H6=1,(IF('計算A'!AH$117=1,INDEX('計算A'!AH$10:AH$54,$B6),0)+IF('計算A'!AI$117=1,INDEX('計算A'!AJ$10:AJ$54,$B6),0))*4000,0)-IF(AND('計算A'!AH$117=1,VF6&gt;0),2000,0)-IF(AND($L6=1,'計算A'!AI$117=1,EH6=0),2000,0))),1000000))</f>
        <v/>
      </c>
      <c r="PL6">
        <f>IF($B6=0,1000000,IF(INDEX('計算A'!$D$60:$EQ$104,$B6,33)*EH6=1,IF(AND($E6=2,JW6=0),1000000,IF($I6&gt;0,IF(2=$J6,IF(OR(AND(33=$I6+1,OR($K6&lt;&gt;'計算A'!$A$3,'計算A'!$A$4=0)),AND(33=$I6-1,OR(9&lt;&gt;'計算A'!$A$3,'計算A'!$A$4=0))),0,IF(9=$K6,200000,ABS(9-$K6)*100)),100000+ABS(2-$J6)*1000+90)+'計算A'!AJ$5*50+IF(AND($E6=1,JW6=0),25,0),IF($F6&gt;0,INDEX('計算A'!AJ$110:AJ$114,$F6+1)+IF(AND($E6=1,JW6=0),1000,0),MIN(TV6,20)*400+(IF('計算A'!AI$106=1,1-EG6,0)+IF('計算A'!AJ$106=1,1-EI6,0))*150+92+'計算A'!AJ$5*100000+IF(AND($E6=1,JW6=0),50000,0))+IF($H6=1,(IF('計算A'!AI$117=1,INDEX('計算A'!AI$10:AI$54,$B6),0)+IF('計算A'!AJ$117=1,INDEX('計算A'!AK$10:AK$54,$B6),0))*4000,0)-IF(AND('計算A'!AI$117=1,VG6&gt;0),2000,0)-IF(AND($L6=1,'計算A'!AJ$117=1,EI6=0),2000,0))),1000000))</f>
        <v/>
      </c>
      <c r="PM6">
        <f>IF($B6=0,1000000,IF(INDEX('計算A'!$D$60:$EQ$104,$B6,34)*EI6=1,IF(AND($E6=2,JX6=0),1000000,IF($I6&gt;0,IF(2=$J6,IF(OR(AND(34=$I6+1,OR($K6&lt;&gt;'計算A'!$A$3,'計算A'!$A$4=0)),AND(34=$I6-1,OR(10&lt;&gt;'計算A'!$A$3,'計算A'!$A$4=0))),0,IF(10=$K6,200000,ABS(10-$K6)*100)),100000+ABS(2-$J6)*1000+100)+'計算A'!AK$5*50+IF(AND($E6=1,JX6=0),25,0),IF($F6&gt;0,INDEX('計算A'!AK$110:AK$114,$F6+1)+IF(AND($E6=1,JX6=0),1000,0),MIN(TV6,20)*400+(IF('計算A'!AJ$106=1,1-EH6,0)+IF('計算A'!AK$106=1,1-EJ6,0))*150+102+'計算A'!AK$5*100000+IF(AND($E6=1,JX6=0),50000,0))+IF($H6=1,(IF('計算A'!AJ$117=1,INDEX('計算A'!AJ$10:AJ$54,$B6),0)+IF('計算A'!AK$117=1,INDEX('計算A'!AL$10:AL$54,$B6),0))*4000,0)-IF(AND('計算A'!AJ$117=1,VH6&gt;0),2000,0)-IF(AND($L6=1,'計算A'!AK$117=1,EJ6=0),2000,0))),1000000))</f>
        <v/>
      </c>
      <c r="PN6">
        <f>IF($B6=0,1000000,IF(INDEX('計算A'!$D$60:$EQ$104,$B6,35)*EJ6=1,IF(AND($E6=2,JY6=0),1000000,IF($I6&gt;0,IF(2=$J6,IF(OR(AND(35=$I6+1,OR($K6&lt;&gt;'計算A'!$A$3,'計算A'!$A$4=0)),AND(35=$I6-1,OR(11&lt;&gt;'計算A'!$A$3,'計算A'!$A$4=0))),0,IF(11=$K6,200000,ABS(11-$K6)*100)),100000+ABS(2-$J6)*1000+110)+'計算A'!AL$5*50+IF(AND($E6=1,JY6=0),25,0),IF($F6&gt;0,INDEX('計算A'!AL$110:AL$114,$F6+1)+IF(AND($E6=1,JY6=0),1000,0),MIN(TV6,20)*400+(IF('計算A'!AK$106=1,1-EI6,0)+IF('計算A'!AL$106=1,1-EK6,0))*150+112+'計算A'!AL$5*100000+IF(AND($E6=1,JY6=0),50000,0))+IF($H6=1,(IF('計算A'!AK$117=1,INDEX('計算A'!AK$10:AK$54,$B6),0)+IF('計算A'!AL$117=1,INDEX('計算A'!AM$10:AM$54,$B6),0))*4000,0)-IF(AND('計算A'!AK$117=1,VI6&gt;0),2000,0)-IF(AND($L6=1,'計算A'!AL$117=1,EK6=0),2000,0))),1000000))</f>
        <v/>
      </c>
      <c r="PO6">
        <f>IF($B6=0,1000000,IF(INDEX('計算A'!$D$60:$EQ$104,$B6,36)*EK6=1,IF(AND($E6=2,JZ6=0),1000000,IF($I6&gt;0,IF(2=$J6,IF(OR(AND(36=$I6+1,OR($K6&lt;&gt;'計算A'!$A$3,'計算A'!$A$4=0)),AND(36=$I6-1,OR(12&lt;&gt;'計算A'!$A$3,'計算A'!$A$4=0))),0,IF(12=$K6,200000,ABS(12-$K6)*100)),100000+ABS(2-$J6)*1000+120)+'計算A'!AM$5*50+IF(AND($E6=1,JZ6=0),25,0),IF($F6&gt;0,INDEX('計算A'!AM$110:AM$114,$F6+1)+IF(AND($E6=1,JZ6=0),1000,0),MIN(TV6,20)*400+(IF('計算A'!AL$106=1,1-EJ6,0)+IF('計算A'!AM$106=1,1-EL6,0))*150+122+'計算A'!AM$5*100000+IF(AND($E6=1,JZ6=0),50000,0))+IF($H6=1,(IF('計算A'!AL$117=1,INDEX('計算A'!AL$10:AL$54,$B6),0)+IF('計算A'!AM$117=1,INDEX('計算A'!AN$10:AN$54,$B6),0))*4000,0)-IF(AND('計算A'!AL$117=1,VJ6&gt;0),2000,0)-IF(AND($L6=1,'計算A'!AM$117=1,EL6=0),2000,0))),1000000))</f>
        <v/>
      </c>
      <c r="PP6">
        <f>IF($B6=0,1000000,IF(INDEX('計算A'!$D$60:$EQ$104,$B6,37)*EL6=1,IF(AND($E6=2,KA6=0),1000000,IF($I6&gt;0,IF(2=$J6,IF(OR(AND(37=$I6+1,OR($K6&lt;&gt;'計算A'!$A$3,'計算A'!$A$4=0)),AND(37=$I6-1,OR(13&lt;&gt;'計算A'!$A$3,'計算A'!$A$4=0))),0,IF(13=$K6,200000,ABS(13-$K6)*100)),100000+ABS(2-$J6)*1000+130)+'計算A'!AN$5*50+IF(AND($E6=1,KA6=0),25,0),IF($F6&gt;0,INDEX('計算A'!AN$110:AN$114,$F6+1)+IF(AND($E6=1,KA6=0),1000,0),MIN(TV6,20)*400+(IF('計算A'!AM$106=1,1-EK6,0)+IF('計算A'!AN$106=1,1-EM6,0))*150+132+'計算A'!AN$5*100000+IF(AND($E6=1,KA6=0),50000,0))+IF($H6=1,(IF('計算A'!AM$117=1,INDEX('計算A'!AM$10:AM$54,$B6),0)+IF('計算A'!AN$117=1,INDEX('計算A'!AO$10:AO$54,$B6),0))*4000,0)-IF(AND('計算A'!AM$117=1,VK6&gt;0),2000,0)-IF(AND($L6=1,'計算A'!AN$117=1,EM6=0),2000,0))),1000000))</f>
        <v/>
      </c>
      <c r="PQ6">
        <f>IF($B6=0,1000000,IF(INDEX('計算A'!$D$60:$EQ$104,$B6,38)*EM6=1,IF(AND($E6=2,KB6=0),1000000,IF($I6&gt;0,IF(2=$J6,IF(OR(AND(38=$I6+1,OR($K6&lt;&gt;'計算A'!$A$3,'計算A'!$A$4=0)),AND(38=$I6-1,OR(14&lt;&gt;'計算A'!$A$3,'計算A'!$A$4=0))),0,IF(14=$K6,200000,ABS(14-$K6)*100)),100000+ABS(2-$J6)*1000+140)+'計算A'!AO$5*50+IF(AND($E6=1,KB6=0),25,0),IF($F6&gt;0,INDEX('計算A'!AO$110:AO$114,$F6+1)+IF(AND($E6=1,KB6=0),1000,0),MIN(TV6,20)*400+(IF('計算A'!AN$106=1,1-EL6,0)+IF('計算A'!AO$106=1,1-EN6,0))*150+142+'計算A'!AO$5*100000+IF(AND($E6=1,KB6=0),50000,0))+IF($H6=1,(IF('計算A'!AN$117=1,INDEX('計算A'!AN$10:AN$54,$B6),0)+IF('計算A'!AO$117=1,INDEX('計算A'!AP$10:AP$54,$B6),0))*4000,0)-IF(AND('計算A'!AN$117=1,VL6&gt;0),2000,0)-IF(AND($L6=1,'計算A'!AO$117=1,EN6=0),2000,0))),1000000))</f>
        <v/>
      </c>
      <c r="PR6">
        <f>IF($B6=0,1000000,IF(INDEX('計算A'!$D$60:$EQ$104,$B6,39)*EN6=1,IF(AND($E6=2,KC6=0),1000000,IF($I6&gt;0,IF(2=$J6,IF(OR(AND(39=$I6+1,OR($K6&lt;&gt;'計算A'!$A$3,'計算A'!$A$4=0)),AND(39=$I6-1,OR(15&lt;&gt;'計算A'!$A$3,'計算A'!$A$4=0))),0,IF(15=$K6,200000,ABS(15-$K6)*100)),100000+ABS(2-$J6)*1000+150)+'計算A'!AP$5*50+IF(AND($E6=1,KC6=0),25,0),IF($F6&gt;0,INDEX('計算A'!AP$110:AP$114,$F6+1)+IF(AND($E6=1,KC6=0),1000,0),MIN(TV6,20)*400+(IF('計算A'!AO$106=1,1-EM6,0)+IF('計算A'!AP$106=1,1-EO6,0))*150+152+'計算A'!AP$5*100000+IF(AND($E6=1,KC6=0),50000,0))+IF($H6=1,(IF('計算A'!AO$117=1,INDEX('計算A'!AO$10:AO$54,$B6),0)+IF('計算A'!AP$117=1,INDEX('計算A'!AQ$10:AQ$54,$B6),0))*4000,0)-IF(AND('計算A'!AO$117=1,VM6&gt;0),2000,0)-IF(AND($L6=1,'計算A'!AP$117=1,EO6=0),2000,0))),1000000))</f>
        <v/>
      </c>
      <c r="PS6">
        <f>IF($B6=0,1000000,IF(INDEX('計算A'!$D$60:$EQ$104,$B6,40)*EO6=1,IF(AND($E6=2,KD6=0),1000000,IF($I6&gt;0,IF(2=$J6,IF(OR(AND(40=$I6+1,OR($K6&lt;&gt;'計算A'!$A$3,'計算A'!$A$4=0)),AND(40=$I6-1,OR(16&lt;&gt;'計算A'!$A$3,'計算A'!$A$4=0))),0,IF(16=$K6,200000,ABS(16-$K6)*100)),100000+ABS(2-$J6)*1000+160)+'計算A'!AQ$5*50+IF(AND($E6=1,KD6=0),25,0),IF($F6&gt;0,INDEX('計算A'!AQ$110:AQ$114,$F6+1)+IF(AND($E6=1,KD6=0),1000,0),MIN(TV6,20)*400+(IF('計算A'!AP$106=1,1-EN6,0)+IF('計算A'!AQ$106=1,1-EP6,0))*150+162+'計算A'!AQ$5*100000+IF(AND($E6=1,KD6=0),50000,0))+IF($H6=1,(IF('計算A'!AP$117=1,INDEX('計算A'!AP$10:AP$54,$B6),0)+IF('計算A'!AQ$117=1,INDEX('計算A'!AR$10:AR$54,$B6),0))*4000,0)-IF(AND('計算A'!AP$117=1,VN6&gt;0),2000,0)-IF(AND($L6=1,'計算A'!AQ$117=1,EP6=0),2000,0))),1000000))</f>
        <v/>
      </c>
      <c r="PT6">
        <f>IF($B6=0,1000000,IF(INDEX('計算A'!$D$60:$EQ$104,$B6,41)*EP6=1,IF(AND($E6=2,KE6=0),1000000,IF($I6&gt;0,IF(2=$J6,IF(OR(AND(41=$I6+1,OR($K6&lt;&gt;'計算A'!$A$3,'計算A'!$A$4=0)),AND(41=$I6-1,OR(17&lt;&gt;'計算A'!$A$3,'計算A'!$A$4=0))),0,IF(17=$K6,200000,ABS(17-$K6)*100)),100000+ABS(2-$J6)*1000+170)+'計算A'!AR$5*50+IF(AND($E6=1,KE6=0),25,0),IF($F6&gt;0,INDEX('計算A'!AR$110:AR$114,$F6+1)+IF(AND($E6=1,KE6=0),1000,0),MIN(TV6,20)*400+(IF('計算A'!AQ$106=1,1-EO6,0)+IF('計算A'!AR$106=1,1-EQ6,0))*150+172+'計算A'!AR$5*100000+IF(AND($E6=1,KE6=0),50000,0))+IF($H6=1,(IF('計算A'!AQ$117=1,INDEX('計算A'!AQ$10:AQ$54,$B6),0)+IF('計算A'!AR$117=1,INDEX('計算A'!AS$10:AS$54,$B6),0))*4000,0)-IF(AND('計算A'!AQ$117=1,VO6&gt;0),2000,0)-IF(AND($L6=1,'計算A'!AR$117=1,EQ6=0),2000,0))),1000000))</f>
        <v/>
      </c>
      <c r="PU6">
        <f>IF($B6=0,1000000,IF(INDEX('計算A'!$D$60:$EQ$104,$B6,42)*EQ6=1,IF(AND($E6=2,KF6=0),1000000,IF($I6&gt;0,IF(2=$J6,IF(OR(AND(42=$I6+1,OR($K6&lt;&gt;'計算A'!$A$3,'計算A'!$A$4=0)),AND(42=$I6-1,OR(18&lt;&gt;'計算A'!$A$3,'計算A'!$A$4=0))),0,IF(18=$K6,200000,ABS(18-$K6)*100)),100000+ABS(2-$J6)*1000+180)+'計算A'!AS$5*50+IF(AND($E6=1,KF6=0),25,0),IF($F6&gt;0,INDEX('計算A'!AS$110:AS$114,$F6+1)+IF(AND($E6=1,KF6=0),1000,0),MIN(TV6,20)*400+(IF('計算A'!AR$106=1,1-EP6,0)+IF('計算A'!AS$106=1,1-ER6,0))*150+182+'計算A'!AS$5*100000+IF(AND($E6=1,KF6=0),50000,0))+IF($H6=1,(IF('計算A'!AR$117=1,INDEX('計算A'!AR$10:AR$54,$B6),0)+IF('計算A'!AS$117=1,INDEX('計算A'!AT$10:AT$54,$B6),0))*4000,0)-IF(AND('計算A'!AR$117=1,VP6&gt;0),2000,0)-IF(AND($L6=1,'計算A'!AS$117=1,ER6=0),2000,0))),1000000))</f>
        <v/>
      </c>
      <c r="PV6">
        <f>IF($B6=0,1000000,IF(INDEX('計算A'!$D$60:$EQ$104,$B6,43)*ER6=1,IF(AND($E6=2,KG6=0),1000000,IF($I6&gt;0,IF(2=$J6,IF(OR(AND(43=$I6+1,OR($K6&lt;&gt;'計算A'!$A$3,'計算A'!$A$4=0)),AND(43=$I6-1,OR(19&lt;&gt;'計算A'!$A$3,'計算A'!$A$4=0))),0,IF(19=$K6,200000,ABS(19-$K6)*100)),100000+ABS(2-$J6)*1000+190)+'計算A'!AT$5*50+IF(AND($E6=1,KG6=0),25,0),IF($F6&gt;0,INDEX('計算A'!AT$110:AT$114,$F6+1)+IF(AND($E6=1,KG6=0),1000,0),MIN(TV6,20)*400+(IF('計算A'!AS$106=1,1-EQ6,0)+IF('計算A'!AT$106=1,1-ES6,0))*150+192+'計算A'!AT$5*100000+IF(AND($E6=1,KG6=0),50000,0))+IF($H6=1,(IF('計算A'!AS$117=1,INDEX('計算A'!AS$10:AS$54,$B6),0)+IF('計算A'!AT$117=1,INDEX('計算A'!AU$10:AU$54,$B6),0))*4000,0)-IF(AND('計算A'!AS$117=1,VQ6&gt;0),2000,0)-IF(AND($L6=1,'計算A'!AT$117=1,ES6=0),2000,0))),1000000))</f>
        <v/>
      </c>
      <c r="PW6">
        <f>IF($B6=0,1000000,IF(INDEX('計算A'!$D$60:$EQ$104,$B6,44)*ES6=1,IF(AND($E6=2,KH6=0),1000000,IF($I6&gt;0,IF(2=$J6,IF(OR(AND(44=$I6+1,OR($K6&lt;&gt;'計算A'!$A$3,'計算A'!$A$4=0)),AND(44=$I6-1,OR(20&lt;&gt;'計算A'!$A$3,'計算A'!$A$4=0))),0,IF(20=$K6,200000,ABS(20-$K6)*100)),100000+ABS(2-$J6)*1000+200)+'計算A'!AU$5*50+IF(AND($E6=1,KH6=0),25,0),IF($F6&gt;0,INDEX('計算A'!AU$110:AU$114,$F6+1)+IF(AND($E6=1,KH6=0),1000,0),MIN(TV6,20)*400+(IF('計算A'!AT$106=1,1-ER6,0)+IF('計算A'!AU$106=1,1-ET6,0))*150+202+'計算A'!AU$5*100000+IF(AND($E6=1,KH6=0),50000,0))+IF($H6=1,(IF('計算A'!AT$117=1,INDEX('計算A'!AT$10:AT$54,$B6),0)+IF('計算A'!AU$117=1,INDEX('計算A'!AV$10:AV$54,$B6),0))*4000,0)-IF(AND('計算A'!AT$117=1,VR6&gt;0),2000,0)-IF(AND($L6=1,'計算A'!AU$117=1,ET6=0),2000,0))),1000000))</f>
        <v/>
      </c>
      <c r="PX6">
        <f>IF($B6=0,1000000,IF(INDEX('計算A'!$D$60:$EQ$104,$B6,45)*ET6=1,IF(AND($E6=2,KI6=0),1000000,IF($I6&gt;0,IF(2=$J6,IF(OR(AND(45=$I6+1,OR($K6&lt;&gt;'計算A'!$A$3,'計算A'!$A$4=0)),AND(45=$I6-1,OR(21&lt;&gt;'計算A'!$A$3,'計算A'!$A$4=0))),0,IF(21=$K6,200000,ABS(21-$K6)*100)),100000+ABS(2-$J6)*1000+210)+'計算A'!AV$5*50+IF(AND($E6=1,KI6=0),25,0),IF($F6&gt;0,INDEX('計算A'!AV$110:AV$114,$F6+1)+IF(AND($E6=1,KI6=0),1000,0),MIN(TV6,20)*400+(IF('計算A'!AU$106=1,1-ES6,0)+IF('計算A'!AV$106=1,1-EU6,0))*150+212+'計算A'!AV$5*100000+IF(AND($E6=1,KI6=0),50000,0))+IF($H6=1,(IF('計算A'!AU$117=1,INDEX('計算A'!AU$10:AU$54,$B6),0)+IF('計算A'!AV$117=1,INDEX('計算A'!AW$10:AW$54,$B6),0))*4000,0)-IF(AND('計算A'!AU$117=1,VS6&gt;0),2000,0)-IF(AND($L6=1,'計算A'!AV$117=1,EU6=0),2000,0))),1000000))</f>
        <v/>
      </c>
      <c r="PY6">
        <f>IF($B6=0,1000000,IF(INDEX('計算A'!$D$60:$EQ$104,$B6,46)*EU6=1,IF(AND($E6=2,KJ6=0),1000000,IF($I6&gt;0,IF(2=$J6,IF(OR(AND(46=$I6+1,OR($K6&lt;&gt;'計算A'!$A$3,'計算A'!$A$4=0)),AND(46=$I6-1,OR(22&lt;&gt;'計算A'!$A$3,'計算A'!$A$4=0))),0,IF(22=$K6,200000,ABS(22-$K6)*100)),100000+ABS(2-$J6)*1000+220)+'計算A'!AW$5*50+IF(AND($E6=1,KJ6=0),25,0),IF($F6&gt;0,INDEX('計算A'!AW$110:AW$114,$F6+1)+IF(AND($E6=1,KJ6=0),1000,0),MIN(TV6,20)*400+(IF('計算A'!AV$106=1,1-ET6,0)+IF('計算A'!AW$106=1,1-EV6,0))*150+222+'計算A'!AW$5*100000+IF(AND($E6=1,KJ6=0),50000,0))+IF($H6=1,(IF('計算A'!AV$117=1,INDEX('計算A'!AV$10:AV$54,$B6),0)+IF('計算A'!AW$117=1,INDEX('計算A'!AX$10:AX$54,$B6),0))*4000,0)-IF(AND('計算A'!AV$117=1,VT6&gt;0),2000,0)-IF(AND($L6=1,'計算A'!AW$117=1,EV6=0),2000,0))),1000000))</f>
        <v/>
      </c>
      <c r="PZ6">
        <f>IF($B6=0,1000000,IF(INDEX('計算A'!$D$60:$EQ$104,$B6,47)*EV6=1,IF(AND($E6=2,KK6=0),1000000,IF($I6&gt;0,IF(2=$J6,IF(OR(AND(47=$I6+1,OR($K6&lt;&gt;'計算A'!$A$3,'計算A'!$A$4=0)),AND(47=$I6-1,OR(23&lt;&gt;'計算A'!$A$3,'計算A'!$A$4=0))),0,IF(23=$K6,200000,ABS(23-$K6)*100)),100000+ABS(2-$J6)*1000+230)+'計算A'!AX$5*50+IF(AND($E6=1,KK6=0),25,0),IF($F6&gt;0,INDEX('計算A'!AX$110:AX$114,$F6+1)+IF(AND($E6=1,KK6=0),1000,0),MIN(TV6,20)*400+(IF('計算A'!AW$106=1,1-EU6,0)+IF('計算A'!AX$106=1,1-EW6,0))*150+232+'計算A'!AX$5*100000+IF(AND($E6=1,KK6=0),50000,0))+IF($H6=1,(IF('計算A'!AW$117=1,INDEX('計算A'!AW$10:AW$54,$B6),0)+IF('計算A'!AX$117=1,INDEX('計算A'!AY$10:AY$54,$B6),0))*4000,0)-IF(AND('計算A'!AW$117=1,VU6&gt;0),2000,0)-IF(AND($L6=1,'計算A'!AX$117=1,EW6=0),2000,0))),1000000))</f>
        <v/>
      </c>
      <c r="QA6">
        <f>IF($B6=0,1000000,IF(INDEX('計算A'!$D$60:$EQ$104,$B6,48)*EW6=1,IF(AND($E6=2,KL6=0),1000000,IF($I6&gt;0,IF(2=$J6,IF(OR(AND(48=$I6+1,OR($K6&lt;&gt;'計算A'!$A$3,'計算A'!$A$4=0)),AND(48=$I6-1,OR(24&lt;&gt;'計算A'!$A$3,'計算A'!$A$4=0))),0,IF(24=$K6,200000,ABS(24-$K6)*100)),100000+ABS(2-$J6)*1000+240)+'計算A'!AY$5*50+IF(AND($E6=1,KL6=0),25,0),IF($F6&gt;0,INDEX('計算A'!AY$110:AY$114,$F6+1)+IF(AND($E6=1,KL6=0),1000,0),MIN(TV6,20)*400+(IF('計算A'!AX$106=1,1-EV6,0))*150+242+'計算A'!AY$5*100000+IF(AND($E6=1,KL6=0),50000,0))+IF($H6=1,(IF('計算A'!AX$117=1,INDEX('計算A'!AX$10:AX$54,$B6),0))*4000,0)-IF(AND('計算A'!AX$117=1,VV6&gt;0),2000,0))),1000000))</f>
        <v/>
      </c>
      <c r="QB6">
        <f>IF($B6=0,1000000,IF(INDEX('計算A'!$D$60:$EQ$104,$B6,49)*EX6=1,IF(AND($E6=2,KM6=0),1000000,IF($I6&gt;0,IF(3=$J6,IF(OR(AND(49=$I6+1,OR($K6&lt;&gt;'計算A'!$A$3,'計算A'!$A$4=0)),AND(49=$I6-1,OR(1&lt;&gt;'計算A'!$A$3,'計算A'!$A$4=0))),0,IF(1=$K6,200000,ABS(1-$K6)*100)),100000+ABS(3-$J6)*1000+10)+'計算A'!AZ$5*50+IF(AND($E6=1,KM6=0),25,0),IF($F6&gt;0,INDEX('計算A'!AZ$110:AZ$114,$F6+1)+IF(AND($E6=1,KM6=0),1000,0),MIN(TW6,20)*400+(IF('計算A'!AZ$106=1,1-EY6,0))*150+13+'計算A'!AZ$5*100000+IF(AND($E6=1,KM6=0),50000,0))+IF($H6=1,(IF('計算A'!AZ$117=1,INDEX('計算A'!BA$10:BA$54,$B6),0))*4000,0)-IF(AND($L6=1,'計算A'!AZ$117=1,EY6=0),2000,0))),1000000))</f>
        <v/>
      </c>
      <c r="QC6">
        <f>IF($B6=0,1000000,IF(INDEX('計算A'!$D$60:$EQ$104,$B6,50)*EY6=1,IF(AND($E6=2,KN6=0),1000000,IF($I6&gt;0,IF(3=$J6,IF(OR(AND(50=$I6+1,OR($K6&lt;&gt;'計算A'!$A$3,'計算A'!$A$4=0)),AND(50=$I6-1,OR(2&lt;&gt;'計算A'!$A$3,'計算A'!$A$4=0))),0,IF(2=$K6,200000,ABS(2-$K6)*100)),100000+ABS(3-$J6)*1000+20)+'計算A'!BA$5*50+IF(AND($E6=1,KN6=0),25,0),IF($F6&gt;0,INDEX('計算A'!BA$110:BA$114,$F6+1)+IF(AND($E6=1,KN6=0),1000,0),MIN(TW6,20)*400+(IF('計算A'!AZ$106=1,1-EX6,0)+IF('計算A'!BA$106=1,1-EZ6,0))*150+23+'計算A'!BA$5*100000+IF(AND($E6=1,KN6=0),50000,0))+IF($H6=1,(IF('計算A'!AZ$117=1,INDEX('計算A'!AZ$10:AZ$54,$B6),0)+IF('計算A'!BA$117=1,INDEX('計算A'!BB$10:BB$54,$B6),0))*4000,0)-IF(AND('計算A'!AZ$117=1,VX6&gt;0),2000,0)-IF(AND($L6=1,'計算A'!BA$117=1,EZ6=0),2000,0))),1000000))</f>
        <v/>
      </c>
      <c r="QD6">
        <f>IF($B6=0,1000000,IF(INDEX('計算A'!$D$60:$EQ$104,$B6,51)*EZ6=1,IF(AND($E6=2,KO6=0),1000000,IF($I6&gt;0,IF(3=$J6,IF(OR(AND(51=$I6+1,OR($K6&lt;&gt;'計算A'!$A$3,'計算A'!$A$4=0)),AND(51=$I6-1,OR(3&lt;&gt;'計算A'!$A$3,'計算A'!$A$4=0))),0,IF(3=$K6,200000,ABS(3-$K6)*100)),100000+ABS(3-$J6)*1000+30)+'計算A'!BB$5*50+IF(AND($E6=1,KO6=0),25,0),IF($F6&gt;0,INDEX('計算A'!BB$110:BB$114,$F6+1)+IF(AND($E6=1,KO6=0),1000,0),MIN(TW6,20)*400+(IF('計算A'!BA$106=1,1-EY6,0)+IF('計算A'!BB$106=1,1-FA6,0))*150+33+'計算A'!BB$5*100000+IF(AND($E6=1,KO6=0),50000,0))+IF($H6=1,(IF('計算A'!BA$117=1,INDEX('計算A'!BA$10:BA$54,$B6),0)+IF('計算A'!BB$117=1,INDEX('計算A'!BC$10:BC$54,$B6),0))*4000,0)-IF(AND('計算A'!BA$117=1,VY6&gt;0),2000,0)-IF(AND($L6=1,'計算A'!BB$117=1,FA6=0),2000,0))),1000000))</f>
        <v/>
      </c>
      <c r="QE6">
        <f>IF($B6=0,1000000,IF(INDEX('計算A'!$D$60:$EQ$104,$B6,52)*FA6=1,IF(AND($E6=2,KP6=0),1000000,IF($I6&gt;0,IF(3=$J6,IF(OR(AND(52=$I6+1,OR($K6&lt;&gt;'計算A'!$A$3,'計算A'!$A$4=0)),AND(52=$I6-1,OR(4&lt;&gt;'計算A'!$A$3,'計算A'!$A$4=0))),0,IF(4=$K6,200000,ABS(4-$K6)*100)),100000+ABS(3-$J6)*1000+40)+'計算A'!BC$5*50+IF(AND($E6=1,KP6=0),25,0),IF($F6&gt;0,INDEX('計算A'!BC$110:BC$114,$F6+1)+IF(AND($E6=1,KP6=0),1000,0),MIN(TW6,20)*400+(IF('計算A'!BB$106=1,1-EZ6,0)+IF('計算A'!BC$106=1,1-FB6,0))*150+43+'計算A'!BC$5*100000+IF(AND($E6=1,KP6=0),50000,0))+IF($H6=1,(IF('計算A'!BB$117=1,INDEX('計算A'!BB$10:BB$54,$B6),0)+IF('計算A'!BC$117=1,INDEX('計算A'!BD$10:BD$54,$B6),0))*4000,0)-IF(AND('計算A'!BB$117=1,VZ6&gt;0),2000,0)-IF(AND($L6=1,'計算A'!BC$117=1,FB6=0),2000,0))),1000000))</f>
        <v/>
      </c>
      <c r="QF6">
        <f>IF($B6=0,1000000,IF(INDEX('計算A'!$D$60:$EQ$104,$B6,53)*FB6=1,IF(AND($E6=2,KQ6=0),1000000,IF($I6&gt;0,IF(3=$J6,IF(OR(AND(53=$I6+1,OR($K6&lt;&gt;'計算A'!$A$3,'計算A'!$A$4=0)),AND(53=$I6-1,OR(5&lt;&gt;'計算A'!$A$3,'計算A'!$A$4=0))),0,IF(5=$K6,200000,ABS(5-$K6)*100)),100000+ABS(3-$J6)*1000+50)+'計算A'!BD$5*50+IF(AND($E6=1,KQ6=0),25,0),IF($F6&gt;0,INDEX('計算A'!BD$110:BD$114,$F6+1)+IF(AND($E6=1,KQ6=0),1000,0),MIN(TW6,20)*400+(IF('計算A'!BC$106=1,1-FA6,0)+IF('計算A'!BD$106=1,1-FC6,0))*150+53+'計算A'!BD$5*100000+IF(AND($E6=1,KQ6=0),50000,0))+IF($H6=1,(IF('計算A'!BC$117=1,INDEX('計算A'!BC$10:BC$54,$B6),0)+IF('計算A'!BD$117=1,INDEX('計算A'!BE$10:BE$54,$B6),0))*4000,0)-IF(AND('計算A'!BC$117=1,WA6&gt;0),2000,0)-IF(AND($L6=1,'計算A'!BD$117=1,FC6=0),2000,0))),1000000))</f>
        <v/>
      </c>
      <c r="QG6">
        <f>IF($B6=0,1000000,IF(INDEX('計算A'!$D$60:$EQ$104,$B6,54)*FC6=1,IF(AND($E6=2,KR6=0),1000000,IF($I6&gt;0,IF(3=$J6,IF(OR(AND(54=$I6+1,OR($K6&lt;&gt;'計算A'!$A$3,'計算A'!$A$4=0)),AND(54=$I6-1,OR(6&lt;&gt;'計算A'!$A$3,'計算A'!$A$4=0))),0,IF(6=$K6,200000,ABS(6-$K6)*100)),100000+ABS(3-$J6)*1000+60)+'計算A'!BE$5*50+IF(AND($E6=1,KR6=0),25,0),IF($F6&gt;0,INDEX('計算A'!BE$110:BE$114,$F6+1)+IF(AND($E6=1,KR6=0),1000,0),MIN(TW6,20)*400+(IF('計算A'!BD$106=1,1-FB6,0)+IF('計算A'!BE$106=1,1-FD6,0))*150+63+'計算A'!BE$5*100000+IF(AND($E6=1,KR6=0),50000,0))+IF($H6=1,(IF('計算A'!BD$117=1,INDEX('計算A'!BD$10:BD$54,$B6),0)+IF('計算A'!BE$117=1,INDEX('計算A'!BF$10:BF$54,$B6),0))*4000,0)-IF(AND('計算A'!BD$117=1,WB6&gt;0),2000,0)-IF(AND($L6=1,'計算A'!BE$117=1,FD6=0),2000,0))),1000000))</f>
        <v/>
      </c>
      <c r="QH6">
        <f>IF($B6=0,1000000,IF(INDEX('計算A'!$D$60:$EQ$104,$B6,55)*FD6=1,IF(AND($E6=2,KS6=0),1000000,IF($I6&gt;0,IF(3=$J6,IF(OR(AND(55=$I6+1,OR($K6&lt;&gt;'計算A'!$A$3,'計算A'!$A$4=0)),AND(55=$I6-1,OR(7&lt;&gt;'計算A'!$A$3,'計算A'!$A$4=0))),0,IF(7=$K6,200000,ABS(7-$K6)*100)),100000+ABS(3-$J6)*1000+70)+'計算A'!BF$5*50+IF(AND($E6=1,KS6=0),25,0),IF($F6&gt;0,INDEX('計算A'!BF$110:BF$114,$F6+1)+IF(AND($E6=1,KS6=0),1000,0),MIN(TW6,20)*400+(IF('計算A'!BE$106=1,1-FC6,0)+IF('計算A'!BF$106=1,1-FE6,0))*150+73+'計算A'!BF$5*100000+IF(AND($E6=1,KS6=0),50000,0))+IF($H6=1,(IF('計算A'!BE$117=1,INDEX('計算A'!BE$10:BE$54,$B6),0)+IF('計算A'!BF$117=1,INDEX('計算A'!BG$10:BG$54,$B6),0))*4000,0)-IF(AND('計算A'!BE$117=1,WC6&gt;0),2000,0)-IF(AND($L6=1,'計算A'!BF$117=1,FE6=0),2000,0))),1000000))</f>
        <v/>
      </c>
      <c r="QI6">
        <f>IF($B6=0,1000000,IF(INDEX('計算A'!$D$60:$EQ$104,$B6,56)*FE6=1,IF(AND($E6=2,KT6=0),1000000,IF($I6&gt;0,IF(3=$J6,IF(OR(AND(56=$I6+1,OR($K6&lt;&gt;'計算A'!$A$3,'計算A'!$A$4=0)),AND(56=$I6-1,OR(8&lt;&gt;'計算A'!$A$3,'計算A'!$A$4=0))),0,IF(8=$K6,200000,ABS(8-$K6)*100)),100000+ABS(3-$J6)*1000+80)+'計算A'!BG$5*50+IF(AND($E6=1,KT6=0),25,0),IF($F6&gt;0,INDEX('計算A'!BG$110:BG$114,$F6+1)+IF(AND($E6=1,KT6=0),1000,0),MIN(TW6,20)*400+(IF('計算A'!BF$106=1,1-FD6,0)+IF('計算A'!BG$106=1,1-FF6,0))*150+83+'計算A'!BG$5*100000+IF(AND($E6=1,KT6=0),50000,0))+IF($H6=1,(IF('計算A'!BF$117=1,INDEX('計算A'!BF$10:BF$54,$B6),0)+IF('計算A'!BG$117=1,INDEX('計算A'!BH$10:BH$54,$B6),0))*4000,0)-IF(AND('計算A'!BF$117=1,WD6&gt;0),2000,0)-IF(AND($L6=1,'計算A'!BG$117=1,FF6=0),2000,0))),1000000))</f>
        <v/>
      </c>
      <c r="QJ6">
        <f>IF($B6=0,1000000,IF(INDEX('計算A'!$D$60:$EQ$104,$B6,57)*FF6=1,IF(AND($E6=2,KU6=0),1000000,IF($I6&gt;0,IF(3=$J6,IF(OR(AND(57=$I6+1,OR($K6&lt;&gt;'計算A'!$A$3,'計算A'!$A$4=0)),AND(57=$I6-1,OR(9&lt;&gt;'計算A'!$A$3,'計算A'!$A$4=0))),0,IF(9=$K6,200000,ABS(9-$K6)*100)),100000+ABS(3-$J6)*1000+90)+'計算A'!BH$5*50+IF(AND($E6=1,KU6=0),25,0),IF($F6&gt;0,INDEX('計算A'!BH$110:BH$114,$F6+1)+IF(AND($E6=1,KU6=0),1000,0),MIN(TW6,20)*400+(IF('計算A'!BG$106=1,1-FE6,0)+IF('計算A'!BH$106=1,1-FG6,0))*150+93+'計算A'!BH$5*100000+IF(AND($E6=1,KU6=0),50000,0))+IF($H6=1,(IF('計算A'!BG$117=1,INDEX('計算A'!BG$10:BG$54,$B6),0)+IF('計算A'!BH$117=1,INDEX('計算A'!BI$10:BI$54,$B6),0))*4000,0)-IF(AND('計算A'!BG$117=1,WE6&gt;0),2000,0)-IF(AND($L6=1,'計算A'!BH$117=1,FG6=0),2000,0))),1000000))</f>
        <v/>
      </c>
      <c r="QK6">
        <f>IF($B6=0,1000000,IF(INDEX('計算A'!$D$60:$EQ$104,$B6,58)*FG6=1,IF(AND($E6=2,KV6=0),1000000,IF($I6&gt;0,IF(3=$J6,IF(OR(AND(58=$I6+1,OR($K6&lt;&gt;'計算A'!$A$3,'計算A'!$A$4=0)),AND(58=$I6-1,OR(10&lt;&gt;'計算A'!$A$3,'計算A'!$A$4=0))),0,IF(10=$K6,200000,ABS(10-$K6)*100)),100000+ABS(3-$J6)*1000+100)+'計算A'!BI$5*50+IF(AND($E6=1,KV6=0),25,0),IF($F6&gt;0,INDEX('計算A'!BI$110:BI$114,$F6+1)+IF(AND($E6=1,KV6=0),1000,0),MIN(TW6,20)*400+(IF('計算A'!BH$106=1,1-FF6,0)+IF('計算A'!BI$106=1,1-FH6,0))*150+103+'計算A'!BI$5*100000+IF(AND($E6=1,KV6=0),50000,0))+IF($H6=1,(IF('計算A'!BH$117=1,INDEX('計算A'!BH$10:BH$54,$B6),0)+IF('計算A'!BI$117=1,INDEX('計算A'!BJ$10:BJ$54,$B6),0))*4000,0)-IF(AND('計算A'!BH$117=1,WF6&gt;0),2000,0)-IF(AND($L6=1,'計算A'!BI$117=1,FH6=0),2000,0))),1000000))</f>
        <v/>
      </c>
      <c r="QL6">
        <f>IF($B6=0,1000000,IF(INDEX('計算A'!$D$60:$EQ$104,$B6,59)*FH6=1,IF(AND($E6=2,KW6=0),1000000,IF($I6&gt;0,IF(3=$J6,IF(OR(AND(59=$I6+1,OR($K6&lt;&gt;'計算A'!$A$3,'計算A'!$A$4=0)),AND(59=$I6-1,OR(11&lt;&gt;'計算A'!$A$3,'計算A'!$A$4=0))),0,IF(11=$K6,200000,ABS(11-$K6)*100)),100000+ABS(3-$J6)*1000+110)+'計算A'!BJ$5*50+IF(AND($E6=1,KW6=0),25,0),IF($F6&gt;0,INDEX('計算A'!BJ$110:BJ$114,$F6+1)+IF(AND($E6=1,KW6=0),1000,0),MIN(TW6,20)*400+(IF('計算A'!BI$106=1,1-FG6,0)+IF('計算A'!BJ$106=1,1-FI6,0))*150+113+'計算A'!BJ$5*100000+IF(AND($E6=1,KW6=0),50000,0))+IF($H6=1,(IF('計算A'!BI$117=1,INDEX('計算A'!BI$10:BI$54,$B6),0)+IF('計算A'!BJ$117=1,INDEX('計算A'!BK$10:BK$54,$B6),0))*4000,0)-IF(AND('計算A'!BI$117=1,WG6&gt;0),2000,0)-IF(AND($L6=1,'計算A'!BJ$117=1,FI6=0),2000,0))),1000000))</f>
        <v/>
      </c>
      <c r="QM6">
        <f>IF($B6=0,1000000,IF(INDEX('計算A'!$D$60:$EQ$104,$B6,60)*FI6=1,IF(AND($E6=2,KX6=0),1000000,IF($I6&gt;0,IF(3=$J6,IF(OR(AND(60=$I6+1,OR($K6&lt;&gt;'計算A'!$A$3,'計算A'!$A$4=0)),AND(60=$I6-1,OR(12&lt;&gt;'計算A'!$A$3,'計算A'!$A$4=0))),0,IF(12=$K6,200000,ABS(12-$K6)*100)),100000+ABS(3-$J6)*1000+120)+'計算A'!BK$5*50+IF(AND($E6=1,KX6=0),25,0),IF($F6&gt;0,INDEX('計算A'!BK$110:BK$114,$F6+1)+IF(AND($E6=1,KX6=0),1000,0),MIN(TW6,20)*400+(IF('計算A'!BJ$106=1,1-FH6,0)+IF('計算A'!BK$106=1,1-FJ6,0))*150+123+'計算A'!BK$5*100000+IF(AND($E6=1,KX6=0),50000,0))+IF($H6=1,(IF('計算A'!BJ$117=1,INDEX('計算A'!BJ$10:BJ$54,$B6),0)+IF('計算A'!BK$117=1,INDEX('計算A'!BL$10:BL$54,$B6),0))*4000,0)-IF(AND('計算A'!BJ$117=1,WH6&gt;0),2000,0)-IF(AND($L6=1,'計算A'!BK$117=1,FJ6=0),2000,0))),1000000))</f>
        <v/>
      </c>
      <c r="QN6">
        <f>IF($B6=0,1000000,IF(INDEX('計算A'!$D$60:$EQ$104,$B6,61)*FJ6=1,IF(AND($E6=2,KY6=0),1000000,IF($I6&gt;0,IF(3=$J6,IF(OR(AND(61=$I6+1,OR($K6&lt;&gt;'計算A'!$A$3,'計算A'!$A$4=0)),AND(61=$I6-1,OR(13&lt;&gt;'計算A'!$A$3,'計算A'!$A$4=0))),0,IF(13=$K6,200000,ABS(13-$K6)*100)),100000+ABS(3-$J6)*1000+130)+'計算A'!BL$5*50+IF(AND($E6=1,KY6=0),25,0),IF($F6&gt;0,INDEX('計算A'!BL$110:BL$114,$F6+1)+IF(AND($E6=1,KY6=0),1000,0),MIN(TW6,20)*400+(IF('計算A'!BK$106=1,1-FI6,0)+IF('計算A'!BL$106=1,1-FK6,0))*150+133+'計算A'!BL$5*100000+IF(AND($E6=1,KY6=0),50000,0))+IF($H6=1,(IF('計算A'!BK$117=1,INDEX('計算A'!BK$10:BK$54,$B6),0)+IF('計算A'!BL$117=1,INDEX('計算A'!BM$10:BM$54,$B6),0))*4000,0)-IF(AND('計算A'!BK$117=1,WI6&gt;0),2000,0)-IF(AND($L6=1,'計算A'!BL$117=1,FK6=0),2000,0))),1000000))</f>
        <v/>
      </c>
      <c r="QO6">
        <f>IF($B6=0,1000000,IF(INDEX('計算A'!$D$60:$EQ$104,$B6,62)*FK6=1,IF(AND($E6=2,KZ6=0),1000000,IF($I6&gt;0,IF(3=$J6,IF(OR(AND(62=$I6+1,OR($K6&lt;&gt;'計算A'!$A$3,'計算A'!$A$4=0)),AND(62=$I6-1,OR(14&lt;&gt;'計算A'!$A$3,'計算A'!$A$4=0))),0,IF(14=$K6,200000,ABS(14-$K6)*100)),100000+ABS(3-$J6)*1000+140)+'計算A'!BM$5*50+IF(AND($E6=1,KZ6=0),25,0),IF($F6&gt;0,INDEX('計算A'!BM$110:BM$114,$F6+1)+IF(AND($E6=1,KZ6=0),1000,0),MIN(TW6,20)*400+(IF('計算A'!BL$106=1,1-FJ6,0)+IF('計算A'!BM$106=1,1-FL6,0))*150+143+'計算A'!BM$5*100000+IF(AND($E6=1,KZ6=0),50000,0))+IF($H6=1,(IF('計算A'!BL$117=1,INDEX('計算A'!BL$10:BL$54,$B6),0)+IF('計算A'!BM$117=1,INDEX('計算A'!BN$10:BN$54,$B6),0))*4000,0)-IF(AND('計算A'!BL$117=1,WJ6&gt;0),2000,0)-IF(AND($L6=1,'計算A'!BM$117=1,FL6=0),2000,0))),1000000))</f>
        <v/>
      </c>
      <c r="QP6">
        <f>IF($B6=0,1000000,IF(INDEX('計算A'!$D$60:$EQ$104,$B6,63)*FL6=1,IF(AND($E6=2,LA6=0),1000000,IF($I6&gt;0,IF(3=$J6,IF(OR(AND(63=$I6+1,OR($K6&lt;&gt;'計算A'!$A$3,'計算A'!$A$4=0)),AND(63=$I6-1,OR(15&lt;&gt;'計算A'!$A$3,'計算A'!$A$4=0))),0,IF(15=$K6,200000,ABS(15-$K6)*100)),100000+ABS(3-$J6)*1000+150)+'計算A'!BN$5*50+IF(AND($E6=1,LA6=0),25,0),IF($F6&gt;0,INDEX('計算A'!BN$110:BN$114,$F6+1)+IF(AND($E6=1,LA6=0),1000,0),MIN(TW6,20)*400+(IF('計算A'!BM$106=1,1-FK6,0)+IF('計算A'!BN$106=1,1-FM6,0))*150+153+'計算A'!BN$5*100000+IF(AND($E6=1,LA6=0),50000,0))+IF($H6=1,(IF('計算A'!BM$117=1,INDEX('計算A'!BM$10:BM$54,$B6),0)+IF('計算A'!BN$117=1,INDEX('計算A'!BO$10:BO$54,$B6),0))*4000,0)-IF(AND('計算A'!BM$117=1,WK6&gt;0),2000,0)-IF(AND($L6=1,'計算A'!BN$117=1,FM6=0),2000,0))),1000000))</f>
        <v/>
      </c>
      <c r="QQ6">
        <f>IF($B6=0,1000000,IF(INDEX('計算A'!$D$60:$EQ$104,$B6,64)*FM6=1,IF(AND($E6=2,LB6=0),1000000,IF($I6&gt;0,IF(3=$J6,IF(OR(AND(64=$I6+1,OR($K6&lt;&gt;'計算A'!$A$3,'計算A'!$A$4=0)),AND(64=$I6-1,OR(16&lt;&gt;'計算A'!$A$3,'計算A'!$A$4=0))),0,IF(16=$K6,200000,ABS(16-$K6)*100)),100000+ABS(3-$J6)*1000+160)+'計算A'!BO$5*50+IF(AND($E6=1,LB6=0),25,0),IF($F6&gt;0,INDEX('計算A'!BO$110:BO$114,$F6+1)+IF(AND($E6=1,LB6=0),1000,0),MIN(TW6,20)*400+(IF('計算A'!BN$106=1,1-FL6,0)+IF('計算A'!BO$106=1,1-FN6,0))*150+163+'計算A'!BO$5*100000+IF(AND($E6=1,LB6=0),50000,0))+IF($H6=1,(IF('計算A'!BN$117=1,INDEX('計算A'!BN$10:BN$54,$B6),0)+IF('計算A'!BO$117=1,INDEX('計算A'!BP$10:BP$54,$B6),0))*4000,0)-IF(AND('計算A'!BN$117=1,WL6&gt;0),2000,0)-IF(AND($L6=1,'計算A'!BO$117=1,FN6=0),2000,0))),1000000))</f>
        <v/>
      </c>
      <c r="QR6">
        <f>IF($B6=0,1000000,IF(INDEX('計算A'!$D$60:$EQ$104,$B6,65)*FN6=1,IF(AND($E6=2,LC6=0),1000000,IF($I6&gt;0,IF(3=$J6,IF(OR(AND(65=$I6+1,OR($K6&lt;&gt;'計算A'!$A$3,'計算A'!$A$4=0)),AND(65=$I6-1,OR(17&lt;&gt;'計算A'!$A$3,'計算A'!$A$4=0))),0,IF(17=$K6,200000,ABS(17-$K6)*100)),100000+ABS(3-$J6)*1000+170)+'計算A'!BP$5*50+IF(AND($E6=1,LC6=0),25,0),IF($F6&gt;0,INDEX('計算A'!BP$110:BP$114,$F6+1)+IF(AND($E6=1,LC6=0),1000,0),MIN(TW6,20)*400+(IF('計算A'!BO$106=1,1-FM6,0)+IF('計算A'!BP$106=1,1-FO6,0))*150+173+'計算A'!BP$5*100000+IF(AND($E6=1,LC6=0),50000,0))+IF($H6=1,(IF('計算A'!BO$117=1,INDEX('計算A'!BO$10:BO$54,$B6),0)+IF('計算A'!BP$117=1,INDEX('計算A'!BQ$10:BQ$54,$B6),0))*4000,0)-IF(AND('計算A'!BO$117=1,WM6&gt;0),2000,0)-IF(AND($L6=1,'計算A'!BP$117=1,FO6=0),2000,0))),1000000))</f>
        <v/>
      </c>
      <c r="QS6">
        <f>IF($B6=0,1000000,IF(INDEX('計算A'!$D$60:$EQ$104,$B6,66)*FO6=1,IF(AND($E6=2,LD6=0),1000000,IF($I6&gt;0,IF(3=$J6,IF(OR(AND(66=$I6+1,OR($K6&lt;&gt;'計算A'!$A$3,'計算A'!$A$4=0)),AND(66=$I6-1,OR(18&lt;&gt;'計算A'!$A$3,'計算A'!$A$4=0))),0,IF(18=$K6,200000,ABS(18-$K6)*100)),100000+ABS(3-$J6)*1000+180)+'計算A'!BQ$5*50+IF(AND($E6=1,LD6=0),25,0),IF($F6&gt;0,INDEX('計算A'!BQ$110:BQ$114,$F6+1)+IF(AND($E6=1,LD6=0),1000,0),MIN(TW6,20)*400+(IF('計算A'!BP$106=1,1-FN6,0)+IF('計算A'!BQ$106=1,1-FP6,0))*150+183+'計算A'!BQ$5*100000+IF(AND($E6=1,LD6=0),50000,0))+IF($H6=1,(IF('計算A'!BP$117=1,INDEX('計算A'!BP$10:BP$54,$B6),0)+IF('計算A'!BQ$117=1,INDEX('計算A'!BR$10:BR$54,$B6),0))*4000,0)-IF(AND('計算A'!BP$117=1,WN6&gt;0),2000,0)-IF(AND($L6=1,'計算A'!BQ$117=1,FP6=0),2000,0))),1000000))</f>
        <v/>
      </c>
      <c r="QT6">
        <f>IF($B6=0,1000000,IF(INDEX('計算A'!$D$60:$EQ$104,$B6,67)*FP6=1,IF(AND($E6=2,LE6=0),1000000,IF($I6&gt;0,IF(3=$J6,IF(OR(AND(67=$I6+1,OR($K6&lt;&gt;'計算A'!$A$3,'計算A'!$A$4=0)),AND(67=$I6-1,OR(19&lt;&gt;'計算A'!$A$3,'計算A'!$A$4=0))),0,IF(19=$K6,200000,ABS(19-$K6)*100)),100000+ABS(3-$J6)*1000+190)+'計算A'!BR$5*50+IF(AND($E6=1,LE6=0),25,0),IF($F6&gt;0,INDEX('計算A'!BR$110:BR$114,$F6+1)+IF(AND($E6=1,LE6=0),1000,0),MIN(TW6,20)*400+(IF('計算A'!BQ$106=1,1-FO6,0)+IF('計算A'!BR$106=1,1-FQ6,0))*150+193+'計算A'!BR$5*100000+IF(AND($E6=1,LE6=0),50000,0))+IF($H6=1,(IF('計算A'!BQ$117=1,INDEX('計算A'!BQ$10:BQ$54,$B6),0)+IF('計算A'!BR$117=1,INDEX('計算A'!BS$10:BS$54,$B6),0))*4000,0)-IF(AND('計算A'!BQ$117=1,WO6&gt;0),2000,0)-IF(AND($L6=1,'計算A'!BR$117=1,FQ6=0),2000,0))),1000000))</f>
        <v/>
      </c>
      <c r="QU6">
        <f>IF($B6=0,1000000,IF(INDEX('計算A'!$D$60:$EQ$104,$B6,68)*FQ6=1,IF(AND($E6=2,LF6=0),1000000,IF($I6&gt;0,IF(3=$J6,IF(OR(AND(68=$I6+1,OR($K6&lt;&gt;'計算A'!$A$3,'計算A'!$A$4=0)),AND(68=$I6-1,OR(20&lt;&gt;'計算A'!$A$3,'計算A'!$A$4=0))),0,IF(20=$K6,200000,ABS(20-$K6)*100)),100000+ABS(3-$J6)*1000+200)+'計算A'!BS$5*50+IF(AND($E6=1,LF6=0),25,0),IF($F6&gt;0,INDEX('計算A'!BS$110:BS$114,$F6+1)+IF(AND($E6=1,LF6=0),1000,0),MIN(TW6,20)*400+(IF('計算A'!BR$106=1,1-FP6,0)+IF('計算A'!BS$106=1,1-FR6,0))*150+203+'計算A'!BS$5*100000+IF(AND($E6=1,LF6=0),50000,0))+IF($H6=1,(IF('計算A'!BR$117=1,INDEX('計算A'!BR$10:BR$54,$B6),0)+IF('計算A'!BS$117=1,INDEX('計算A'!BT$10:BT$54,$B6),0))*4000,0)-IF(AND('計算A'!BR$117=1,WP6&gt;0),2000,0)-IF(AND($L6=1,'計算A'!BS$117=1,FR6=0),2000,0))),1000000))</f>
        <v/>
      </c>
      <c r="QV6">
        <f>IF($B6=0,1000000,IF(INDEX('計算A'!$D$60:$EQ$104,$B6,69)*FR6=1,IF(AND($E6=2,LG6=0),1000000,IF($I6&gt;0,IF(3=$J6,IF(OR(AND(69=$I6+1,OR($K6&lt;&gt;'計算A'!$A$3,'計算A'!$A$4=0)),AND(69=$I6-1,OR(21&lt;&gt;'計算A'!$A$3,'計算A'!$A$4=0))),0,IF(21=$K6,200000,ABS(21-$K6)*100)),100000+ABS(3-$J6)*1000+210)+'計算A'!BT$5*50+IF(AND($E6=1,LG6=0),25,0),IF($F6&gt;0,INDEX('計算A'!BT$110:BT$114,$F6+1)+IF(AND($E6=1,LG6=0),1000,0),MIN(TW6,20)*400+(IF('計算A'!BS$106=1,1-FQ6,0)+IF('計算A'!BT$106=1,1-FS6,0))*150+213+'計算A'!BT$5*100000+IF(AND($E6=1,LG6=0),50000,0))+IF($H6=1,(IF('計算A'!BS$117=1,INDEX('計算A'!BS$10:BS$54,$B6),0)+IF('計算A'!BT$117=1,INDEX('計算A'!BU$10:BU$54,$B6),0))*4000,0)-IF(AND('計算A'!BS$117=1,WQ6&gt;0),2000,0)-IF(AND($L6=1,'計算A'!BT$117=1,FS6=0),2000,0))),1000000))</f>
        <v/>
      </c>
      <c r="QW6">
        <f>IF($B6=0,1000000,IF(INDEX('計算A'!$D$60:$EQ$104,$B6,70)*FS6=1,IF(AND($E6=2,LH6=0),1000000,IF($I6&gt;0,IF(3=$J6,IF(OR(AND(70=$I6+1,OR($K6&lt;&gt;'計算A'!$A$3,'計算A'!$A$4=0)),AND(70=$I6-1,OR(22&lt;&gt;'計算A'!$A$3,'計算A'!$A$4=0))),0,IF(22=$K6,200000,ABS(22-$K6)*100)),100000+ABS(3-$J6)*1000+220)+'計算A'!BU$5*50+IF(AND($E6=1,LH6=0),25,0),IF($F6&gt;0,INDEX('計算A'!BU$110:BU$114,$F6+1)+IF(AND($E6=1,LH6=0),1000,0),MIN(TW6,20)*400+(IF('計算A'!BT$106=1,1-FR6,0)+IF('計算A'!BU$106=1,1-FT6,0))*150+223+'計算A'!BU$5*100000+IF(AND($E6=1,LH6=0),50000,0))+IF($H6=1,(IF('計算A'!BT$117=1,INDEX('計算A'!BT$10:BT$54,$B6),0)+IF('計算A'!BU$117=1,INDEX('計算A'!BV$10:BV$54,$B6),0))*4000,0)-IF(AND('計算A'!BT$117=1,WR6&gt;0),2000,0)-IF(AND($L6=1,'計算A'!BU$117=1,FT6=0),2000,0))),1000000))</f>
        <v/>
      </c>
      <c r="QX6">
        <f>IF($B6=0,1000000,IF(INDEX('計算A'!$D$60:$EQ$104,$B6,71)*FT6=1,IF(AND($E6=2,LI6=0),1000000,IF($I6&gt;0,IF(3=$J6,IF(OR(AND(71=$I6+1,OR($K6&lt;&gt;'計算A'!$A$3,'計算A'!$A$4=0)),AND(71=$I6-1,OR(23&lt;&gt;'計算A'!$A$3,'計算A'!$A$4=0))),0,IF(23=$K6,200000,ABS(23-$K6)*100)),100000+ABS(3-$J6)*1000+230)+'計算A'!BV$5*50+IF(AND($E6=1,LI6=0),25,0),IF($F6&gt;0,INDEX('計算A'!BV$110:BV$114,$F6+1)+IF(AND($E6=1,LI6=0),1000,0),MIN(TW6,20)*400+(IF('計算A'!BU$106=1,1-FS6,0)+IF('計算A'!BV$106=1,1-FU6,0))*150+233+'計算A'!BV$5*100000+IF(AND($E6=1,LI6=0),50000,0))+IF($H6=1,(IF('計算A'!BU$117=1,INDEX('計算A'!BU$10:BU$54,$B6),0)+IF('計算A'!BV$117=1,INDEX('計算A'!BW$10:BW$54,$B6),0))*4000,0)-IF(AND('計算A'!BU$117=1,WS6&gt;0),2000,0)-IF(AND($L6=1,'計算A'!BV$117=1,FU6=0),2000,0))),1000000))</f>
        <v/>
      </c>
      <c r="QY6">
        <f>IF($B6=0,1000000,IF(INDEX('計算A'!$D$60:$EQ$104,$B6,72)*FU6=1,IF(AND($E6=2,LJ6=0),1000000,IF($I6&gt;0,IF(3=$J6,IF(OR(AND(72=$I6+1,OR($K6&lt;&gt;'計算A'!$A$3,'計算A'!$A$4=0)),AND(72=$I6-1,OR(24&lt;&gt;'計算A'!$A$3,'計算A'!$A$4=0))),0,IF(24=$K6,200000,ABS(24-$K6)*100)),100000+ABS(3-$J6)*1000+240)+'計算A'!BW$5*50+IF(AND($E6=1,LJ6=0),25,0),IF($F6&gt;0,INDEX('計算A'!BW$110:BW$114,$F6+1)+IF(AND($E6=1,LJ6=0),1000,0),MIN(TW6,20)*400+(IF('計算A'!BV$106=1,1-FT6,0))*150+243+'計算A'!BW$5*100000+IF(AND($E6=1,LJ6=0),50000,0))+IF($H6=1,(IF('計算A'!BV$117=1,INDEX('計算A'!BV$10:BV$54,$B6),0))*4000,0)-IF(AND('計算A'!BV$117=1,WT6&gt;0),2000,0))),1000000))</f>
        <v/>
      </c>
      <c r="QZ6">
        <f>IF($B6=0,1000000,IF(INDEX('計算A'!$D$60:$EQ$104,$B6,73)*FV6=1,IF(AND($E6=2,LK6=0),1000000,IF($I6&gt;0,IF(4=$J6,IF(OR(AND(73=$I6+1,OR($K6&lt;&gt;'計算A'!$A$3,'計算A'!$A$4=0)),AND(73=$I6-1,OR(1&lt;&gt;'計算A'!$A$3,'計算A'!$A$4=0))),0,IF(1=$K6,200000,ABS(1-$K6)*100)),100000+ABS(4-$J6)*1000+10)+'計算A'!BX$5*50+IF(AND($E6=1,LK6=0),25,0),IF($F6&gt;0,INDEX('計算A'!BX$110:BX$114,$F6+1)+IF(AND($E6=1,LK6=0),1000,0),MIN(TX6,20)*400+(IF('計算A'!BX$106=1,1-FW6,0))*150+14+'計算A'!BX$5*100000+IF(AND($E6=1,LK6=0),50000,0))+IF($H6=1,(IF('計算A'!BX$117=1,INDEX('計算A'!BY$10:BY$54,$B6),0))*4000,0)-IF(AND($L6=1,'計算A'!BX$117=1,FW6=0),2000,0))),1000000))</f>
        <v/>
      </c>
      <c r="RA6">
        <f>IF($B6=0,1000000,IF(INDEX('計算A'!$D$60:$EQ$104,$B6,74)*FW6=1,IF(AND($E6=2,LL6=0),1000000,IF($I6&gt;0,IF(4=$J6,IF(OR(AND(74=$I6+1,OR($K6&lt;&gt;'計算A'!$A$3,'計算A'!$A$4=0)),AND(74=$I6-1,OR(2&lt;&gt;'計算A'!$A$3,'計算A'!$A$4=0))),0,IF(2=$K6,200000,ABS(2-$K6)*100)),100000+ABS(4-$J6)*1000+20)+'計算A'!BY$5*50+IF(AND($E6=1,LL6=0),25,0),IF($F6&gt;0,INDEX('計算A'!BY$110:BY$114,$F6+1)+IF(AND($E6=1,LL6=0),1000,0),MIN(TX6,20)*400+(IF('計算A'!BX$106=1,1-FV6,0)+IF('計算A'!BY$106=1,1-FX6,0))*150+24+'計算A'!BY$5*100000+IF(AND($E6=1,LL6=0),50000,0))+IF($H6=1,(IF('計算A'!BX$117=1,INDEX('計算A'!BX$10:BX$54,$B6),0)+IF('計算A'!BY$117=1,INDEX('計算A'!BZ$10:BZ$54,$B6),0))*4000,0)-IF(AND('計算A'!BX$117=1,WV6&gt;0),2000,0)-IF(AND($L6=1,'計算A'!BY$117=1,FX6=0),2000,0))),1000000))</f>
        <v/>
      </c>
      <c r="RB6">
        <f>IF($B6=0,1000000,IF(INDEX('計算A'!$D$60:$EQ$104,$B6,75)*FX6=1,IF(AND($E6=2,LM6=0),1000000,IF($I6&gt;0,IF(4=$J6,IF(OR(AND(75=$I6+1,OR($K6&lt;&gt;'計算A'!$A$3,'計算A'!$A$4=0)),AND(75=$I6-1,OR(3&lt;&gt;'計算A'!$A$3,'計算A'!$A$4=0))),0,IF(3=$K6,200000,ABS(3-$K6)*100)),100000+ABS(4-$J6)*1000+30)+'計算A'!BZ$5*50+IF(AND($E6=1,LM6=0),25,0),IF($F6&gt;0,INDEX('計算A'!BZ$110:BZ$114,$F6+1)+IF(AND($E6=1,LM6=0),1000,0),MIN(TX6,20)*400+(IF('計算A'!BY$106=1,1-FW6,0)+IF('計算A'!BZ$106=1,1-FY6,0))*150+34+'計算A'!BZ$5*100000+IF(AND($E6=1,LM6=0),50000,0))+IF($H6=1,(IF('計算A'!BY$117=1,INDEX('計算A'!BY$10:BY$54,$B6),0)+IF('計算A'!BZ$117=1,INDEX('計算A'!CA$10:CA$54,$B6),0))*4000,0)-IF(AND('計算A'!BY$117=1,WW6&gt;0),2000,0)-IF(AND($L6=1,'計算A'!BZ$117=1,FY6=0),2000,0))),1000000))</f>
        <v/>
      </c>
      <c r="RC6">
        <f>IF($B6=0,1000000,IF(INDEX('計算A'!$D$60:$EQ$104,$B6,76)*FY6=1,IF(AND($E6=2,LN6=0),1000000,IF($I6&gt;0,IF(4=$J6,IF(OR(AND(76=$I6+1,OR($K6&lt;&gt;'計算A'!$A$3,'計算A'!$A$4=0)),AND(76=$I6-1,OR(4&lt;&gt;'計算A'!$A$3,'計算A'!$A$4=0))),0,IF(4=$K6,200000,ABS(4-$K6)*100)),100000+ABS(4-$J6)*1000+40)+'計算A'!CA$5*50+IF(AND($E6=1,LN6=0),25,0),IF($F6&gt;0,INDEX('計算A'!CA$110:CA$114,$F6+1)+IF(AND($E6=1,LN6=0),1000,0),MIN(TX6,20)*400+(IF('計算A'!BZ$106=1,1-FX6,0)+IF('計算A'!CA$106=1,1-FZ6,0))*150+44+'計算A'!CA$5*100000+IF(AND($E6=1,LN6=0),50000,0))+IF($H6=1,(IF('計算A'!BZ$117=1,INDEX('計算A'!BZ$10:BZ$54,$B6),0)+IF('計算A'!CA$117=1,INDEX('計算A'!CB$10:CB$54,$B6),0))*4000,0)-IF(AND('計算A'!BZ$117=1,WX6&gt;0),2000,0)-IF(AND($L6=1,'計算A'!CA$117=1,FZ6=0),2000,0))),1000000))</f>
        <v/>
      </c>
      <c r="RD6">
        <f>IF($B6=0,1000000,IF(INDEX('計算A'!$D$60:$EQ$104,$B6,77)*FZ6=1,IF(AND($E6=2,LO6=0),1000000,IF($I6&gt;0,IF(4=$J6,IF(OR(AND(77=$I6+1,OR($K6&lt;&gt;'計算A'!$A$3,'計算A'!$A$4=0)),AND(77=$I6-1,OR(5&lt;&gt;'計算A'!$A$3,'計算A'!$A$4=0))),0,IF(5=$K6,200000,ABS(5-$K6)*100)),100000+ABS(4-$J6)*1000+50)+'計算A'!CB$5*50+IF(AND($E6=1,LO6=0),25,0),IF($F6&gt;0,INDEX('計算A'!CB$110:CB$114,$F6+1)+IF(AND($E6=1,LO6=0),1000,0),MIN(TX6,20)*400+(IF('計算A'!CA$106=1,1-FY6,0)+IF('計算A'!CB$106=1,1-GA6,0))*150+54+'計算A'!CB$5*100000+IF(AND($E6=1,LO6=0),50000,0))+IF($H6=1,(IF('計算A'!CA$117=1,INDEX('計算A'!CA$10:CA$54,$B6),0)+IF('計算A'!CB$117=1,INDEX('計算A'!CC$10:CC$54,$B6),0))*4000,0)-IF(AND('計算A'!CA$117=1,WY6&gt;0),2000,0)-IF(AND($L6=1,'計算A'!CB$117=1,GA6=0),2000,0))),1000000))</f>
        <v/>
      </c>
      <c r="RE6">
        <f>IF($B6=0,1000000,IF(INDEX('計算A'!$D$60:$EQ$104,$B6,78)*GA6=1,IF(AND($E6=2,LP6=0),1000000,IF($I6&gt;0,IF(4=$J6,IF(OR(AND(78=$I6+1,OR($K6&lt;&gt;'計算A'!$A$3,'計算A'!$A$4=0)),AND(78=$I6-1,OR(6&lt;&gt;'計算A'!$A$3,'計算A'!$A$4=0))),0,IF(6=$K6,200000,ABS(6-$K6)*100)),100000+ABS(4-$J6)*1000+60)+'計算A'!CC$5*50+IF(AND($E6=1,LP6=0),25,0),IF($F6&gt;0,INDEX('計算A'!CC$110:CC$114,$F6+1)+IF(AND($E6=1,LP6=0),1000,0),MIN(TX6,20)*400+(IF('計算A'!CB$106=1,1-FZ6,0)+IF('計算A'!CC$106=1,1-GB6,0))*150+64+'計算A'!CC$5*100000+IF(AND($E6=1,LP6=0),50000,0))+IF($H6=1,(IF('計算A'!CB$117=1,INDEX('計算A'!CB$10:CB$54,$B6),0)+IF('計算A'!CC$117=1,INDEX('計算A'!CD$10:CD$54,$B6),0))*4000,0)-IF(AND('計算A'!CB$117=1,WZ6&gt;0),2000,0)-IF(AND($L6=1,'計算A'!CC$117=1,GB6=0),2000,0))),1000000))</f>
        <v/>
      </c>
      <c r="RF6">
        <f>IF($B6=0,1000000,IF(INDEX('計算A'!$D$60:$EQ$104,$B6,79)*GB6=1,IF(AND($E6=2,LQ6=0),1000000,IF($I6&gt;0,IF(4=$J6,IF(OR(AND(79=$I6+1,OR($K6&lt;&gt;'計算A'!$A$3,'計算A'!$A$4=0)),AND(79=$I6-1,OR(7&lt;&gt;'計算A'!$A$3,'計算A'!$A$4=0))),0,IF(7=$K6,200000,ABS(7-$K6)*100)),100000+ABS(4-$J6)*1000+70)+'計算A'!CD$5*50+IF(AND($E6=1,LQ6=0),25,0),IF($F6&gt;0,INDEX('計算A'!CD$110:CD$114,$F6+1)+IF(AND($E6=1,LQ6=0),1000,0),MIN(TX6,20)*400+(IF('計算A'!CC$106=1,1-GA6,0)+IF('計算A'!CD$106=1,1-GC6,0))*150+74+'計算A'!CD$5*100000+IF(AND($E6=1,LQ6=0),50000,0))+IF($H6=1,(IF('計算A'!CC$117=1,INDEX('計算A'!CC$10:CC$54,$B6),0)+IF('計算A'!CD$117=1,INDEX('計算A'!CE$10:CE$54,$B6),0))*4000,0)-IF(AND('計算A'!CC$117=1,XA6&gt;0),2000,0)-IF(AND($L6=1,'計算A'!CD$117=1,GC6=0),2000,0))),1000000))</f>
        <v/>
      </c>
      <c r="RG6">
        <f>IF($B6=0,1000000,IF(INDEX('計算A'!$D$60:$EQ$104,$B6,80)*GC6=1,IF(AND($E6=2,LR6=0),1000000,IF($I6&gt;0,IF(4=$J6,IF(OR(AND(80=$I6+1,OR($K6&lt;&gt;'計算A'!$A$3,'計算A'!$A$4=0)),AND(80=$I6-1,OR(8&lt;&gt;'計算A'!$A$3,'計算A'!$A$4=0))),0,IF(8=$K6,200000,ABS(8-$K6)*100)),100000+ABS(4-$J6)*1000+80)+'計算A'!CE$5*50+IF(AND($E6=1,LR6=0),25,0),IF($F6&gt;0,INDEX('計算A'!CE$110:CE$114,$F6+1)+IF(AND($E6=1,LR6=0),1000,0),MIN(TX6,20)*400+(IF('計算A'!CD$106=1,1-GB6,0)+IF('計算A'!CE$106=1,1-GD6,0))*150+84+'計算A'!CE$5*100000+IF(AND($E6=1,LR6=0),50000,0))+IF($H6=1,(IF('計算A'!CD$117=1,INDEX('計算A'!CD$10:CD$54,$B6),0)+IF('計算A'!CE$117=1,INDEX('計算A'!CF$10:CF$54,$B6),0))*4000,0)-IF(AND('計算A'!CD$117=1,XB6&gt;0),2000,0)-IF(AND($L6=1,'計算A'!CE$117=1,GD6=0),2000,0))),1000000))</f>
        <v/>
      </c>
      <c r="RH6">
        <f>IF($B6=0,1000000,IF(INDEX('計算A'!$D$60:$EQ$104,$B6,81)*GD6=1,IF(AND($E6=2,LS6=0),1000000,IF($I6&gt;0,IF(4=$J6,IF(OR(AND(81=$I6+1,OR($K6&lt;&gt;'計算A'!$A$3,'計算A'!$A$4=0)),AND(81=$I6-1,OR(9&lt;&gt;'計算A'!$A$3,'計算A'!$A$4=0))),0,IF(9=$K6,200000,ABS(9-$K6)*100)),100000+ABS(4-$J6)*1000+90)+'計算A'!CF$5*50+IF(AND($E6=1,LS6=0),25,0),IF($F6&gt;0,INDEX('計算A'!CF$110:CF$114,$F6+1)+IF(AND($E6=1,LS6=0),1000,0),MIN(TX6,20)*400+(IF('計算A'!CE$106=1,1-GC6,0)+IF('計算A'!CF$106=1,1-GE6,0))*150+94+'計算A'!CF$5*100000+IF(AND($E6=1,LS6=0),50000,0))+IF($H6=1,(IF('計算A'!CE$117=1,INDEX('計算A'!CE$10:CE$54,$B6),0)+IF('計算A'!CF$117=1,INDEX('計算A'!CG$10:CG$54,$B6),0))*4000,0)-IF(AND('計算A'!CE$117=1,XC6&gt;0),2000,0)-IF(AND($L6=1,'計算A'!CF$117=1,GE6=0),2000,0))),1000000))</f>
        <v/>
      </c>
      <c r="RI6">
        <f>IF($B6=0,1000000,IF(INDEX('計算A'!$D$60:$EQ$104,$B6,82)*GE6=1,IF(AND($E6=2,LT6=0),1000000,IF($I6&gt;0,IF(4=$J6,IF(OR(AND(82=$I6+1,OR($K6&lt;&gt;'計算A'!$A$3,'計算A'!$A$4=0)),AND(82=$I6-1,OR(10&lt;&gt;'計算A'!$A$3,'計算A'!$A$4=0))),0,IF(10=$K6,200000,ABS(10-$K6)*100)),100000+ABS(4-$J6)*1000+100)+'計算A'!CG$5*50+IF(AND($E6=1,LT6=0),25,0),IF($F6&gt;0,INDEX('計算A'!CG$110:CG$114,$F6+1)+IF(AND($E6=1,LT6=0),1000,0),MIN(TX6,20)*400+(IF('計算A'!CF$106=1,1-GD6,0)+IF('計算A'!CG$106=1,1-GF6,0))*150+104+'計算A'!CG$5*100000+IF(AND($E6=1,LT6=0),50000,0))+IF($H6=1,(IF('計算A'!CF$117=1,INDEX('計算A'!CF$10:CF$54,$B6),0)+IF('計算A'!CG$117=1,INDEX('計算A'!CH$10:CH$54,$B6),0))*4000,0)-IF(AND('計算A'!CF$117=1,XD6&gt;0),2000,0)-IF(AND($L6=1,'計算A'!CG$117=1,GF6=0),2000,0))),1000000))</f>
        <v/>
      </c>
      <c r="RJ6">
        <f>IF($B6=0,1000000,IF(INDEX('計算A'!$D$60:$EQ$104,$B6,83)*GF6=1,IF(AND($E6=2,LU6=0),1000000,IF($I6&gt;0,IF(4=$J6,IF(OR(AND(83=$I6+1,OR($K6&lt;&gt;'計算A'!$A$3,'計算A'!$A$4=0)),AND(83=$I6-1,OR(11&lt;&gt;'計算A'!$A$3,'計算A'!$A$4=0))),0,IF(11=$K6,200000,ABS(11-$K6)*100)),100000+ABS(4-$J6)*1000+110)+'計算A'!CH$5*50+IF(AND($E6=1,LU6=0),25,0),IF($F6&gt;0,INDEX('計算A'!CH$110:CH$114,$F6+1)+IF(AND($E6=1,LU6=0),1000,0),MIN(TX6,20)*400+(IF('計算A'!CG$106=1,1-GE6,0)+IF('計算A'!CH$106=1,1-GG6,0))*150+114+'計算A'!CH$5*100000+IF(AND($E6=1,LU6=0),50000,0))+IF($H6=1,(IF('計算A'!CG$117=1,INDEX('計算A'!CG$10:CG$54,$B6),0)+IF('計算A'!CH$117=1,INDEX('計算A'!CI$10:CI$54,$B6),0))*4000,0)-IF(AND('計算A'!CG$117=1,XE6&gt;0),2000,0)-IF(AND($L6=1,'計算A'!CH$117=1,GG6=0),2000,0))),1000000))</f>
        <v/>
      </c>
      <c r="RK6">
        <f>IF($B6=0,1000000,IF(INDEX('計算A'!$D$60:$EQ$104,$B6,84)*GG6=1,IF(AND($E6=2,LV6=0),1000000,IF($I6&gt;0,IF(4=$J6,IF(OR(AND(84=$I6+1,OR($K6&lt;&gt;'計算A'!$A$3,'計算A'!$A$4=0)),AND(84=$I6-1,OR(12&lt;&gt;'計算A'!$A$3,'計算A'!$A$4=0))),0,IF(12=$K6,200000,ABS(12-$K6)*100)),100000+ABS(4-$J6)*1000+120)+'計算A'!CI$5*50+IF(AND($E6=1,LV6=0),25,0),IF($F6&gt;0,INDEX('計算A'!CI$110:CI$114,$F6+1)+IF(AND($E6=1,LV6=0),1000,0),MIN(TX6,20)*400+(IF('計算A'!CH$106=1,1-GF6,0)+IF('計算A'!CI$106=1,1-GH6,0))*150+124+'計算A'!CI$5*100000+IF(AND($E6=1,LV6=0),50000,0))+IF($H6=1,(IF('計算A'!CH$117=1,INDEX('計算A'!CH$10:CH$54,$B6),0)+IF('計算A'!CI$117=1,INDEX('計算A'!CJ$10:CJ$54,$B6),0))*4000,0)-IF(AND('計算A'!CH$117=1,XF6&gt;0),2000,0)-IF(AND($L6=1,'計算A'!CI$117=1,GH6=0),2000,0))),1000000))</f>
        <v/>
      </c>
      <c r="RL6">
        <f>IF($B6=0,1000000,IF(INDEX('計算A'!$D$60:$EQ$104,$B6,85)*GH6=1,IF(AND($E6=2,LW6=0),1000000,IF($I6&gt;0,IF(4=$J6,IF(OR(AND(85=$I6+1,OR($K6&lt;&gt;'計算A'!$A$3,'計算A'!$A$4=0)),AND(85=$I6-1,OR(13&lt;&gt;'計算A'!$A$3,'計算A'!$A$4=0))),0,IF(13=$K6,200000,ABS(13-$K6)*100)),100000+ABS(4-$J6)*1000+130)+'計算A'!CJ$5*50+IF(AND($E6=1,LW6=0),25,0),IF($F6&gt;0,INDEX('計算A'!CJ$110:CJ$114,$F6+1)+IF(AND($E6=1,LW6=0),1000,0),MIN(TX6,20)*400+(IF('計算A'!CI$106=1,1-GG6,0)+IF('計算A'!CJ$106=1,1-GI6,0))*150+134+'計算A'!CJ$5*100000+IF(AND($E6=1,LW6=0),50000,0))+IF($H6=1,(IF('計算A'!CI$117=1,INDEX('計算A'!CI$10:CI$54,$B6),0)+IF('計算A'!CJ$117=1,INDEX('計算A'!CK$10:CK$54,$B6),0))*4000,0)-IF(AND('計算A'!CI$117=1,XG6&gt;0),2000,0)-IF(AND($L6=1,'計算A'!CJ$117=1,GI6=0),2000,0))),1000000))</f>
        <v/>
      </c>
      <c r="RM6">
        <f>IF($B6=0,1000000,IF(INDEX('計算A'!$D$60:$EQ$104,$B6,86)*GI6=1,IF(AND($E6=2,LX6=0),1000000,IF($I6&gt;0,IF(4=$J6,IF(OR(AND(86=$I6+1,OR($K6&lt;&gt;'計算A'!$A$3,'計算A'!$A$4=0)),AND(86=$I6-1,OR(14&lt;&gt;'計算A'!$A$3,'計算A'!$A$4=0))),0,IF(14=$K6,200000,ABS(14-$K6)*100)),100000+ABS(4-$J6)*1000+140)+'計算A'!CK$5*50+IF(AND($E6=1,LX6=0),25,0),IF($F6&gt;0,INDEX('計算A'!CK$110:CK$114,$F6+1)+IF(AND($E6=1,LX6=0),1000,0),MIN(TX6,20)*400+(IF('計算A'!CJ$106=1,1-GH6,0)+IF('計算A'!CK$106=1,1-GJ6,0))*150+144+'計算A'!CK$5*100000+IF(AND($E6=1,LX6=0),50000,0))+IF($H6=1,(IF('計算A'!CJ$117=1,INDEX('計算A'!CJ$10:CJ$54,$B6),0)+IF('計算A'!CK$117=1,INDEX('計算A'!CL$10:CL$54,$B6),0))*4000,0)-IF(AND('計算A'!CJ$117=1,XH6&gt;0),2000,0)-IF(AND($L6=1,'計算A'!CK$117=1,GJ6=0),2000,0))),1000000))</f>
        <v/>
      </c>
      <c r="RN6">
        <f>IF($B6=0,1000000,IF(INDEX('計算A'!$D$60:$EQ$104,$B6,87)*GJ6=1,IF(AND($E6=2,LY6=0),1000000,IF($I6&gt;0,IF(4=$J6,IF(OR(AND(87=$I6+1,OR($K6&lt;&gt;'計算A'!$A$3,'計算A'!$A$4=0)),AND(87=$I6-1,OR(15&lt;&gt;'計算A'!$A$3,'計算A'!$A$4=0))),0,IF(15=$K6,200000,ABS(15-$K6)*100)),100000+ABS(4-$J6)*1000+150)+'計算A'!CL$5*50+IF(AND($E6=1,LY6=0),25,0),IF($F6&gt;0,INDEX('計算A'!CL$110:CL$114,$F6+1)+IF(AND($E6=1,LY6=0),1000,0),MIN(TX6,20)*400+(IF('計算A'!CK$106=1,1-GI6,0)+IF('計算A'!CL$106=1,1-GK6,0))*150+154+'計算A'!CL$5*100000+IF(AND($E6=1,LY6=0),50000,0))+IF($H6=1,(IF('計算A'!CK$117=1,INDEX('計算A'!CK$10:CK$54,$B6),0)+IF('計算A'!CL$117=1,INDEX('計算A'!CM$10:CM$54,$B6),0))*4000,0)-IF(AND('計算A'!CK$117=1,XI6&gt;0),2000,0)-IF(AND($L6=1,'計算A'!CL$117=1,GK6=0),2000,0))),1000000))</f>
        <v/>
      </c>
      <c r="RO6">
        <f>IF($B6=0,1000000,IF(INDEX('計算A'!$D$60:$EQ$104,$B6,88)*GK6=1,IF(AND($E6=2,LZ6=0),1000000,IF($I6&gt;0,IF(4=$J6,IF(OR(AND(88=$I6+1,OR($K6&lt;&gt;'計算A'!$A$3,'計算A'!$A$4=0)),AND(88=$I6-1,OR(16&lt;&gt;'計算A'!$A$3,'計算A'!$A$4=0))),0,IF(16=$K6,200000,ABS(16-$K6)*100)),100000+ABS(4-$J6)*1000+160)+'計算A'!CM$5*50+IF(AND($E6=1,LZ6=0),25,0),IF($F6&gt;0,INDEX('計算A'!CM$110:CM$114,$F6+1)+IF(AND($E6=1,LZ6=0),1000,0),MIN(TX6,20)*400+(IF('計算A'!CL$106=1,1-GJ6,0)+IF('計算A'!CM$106=1,1-GL6,0))*150+164+'計算A'!CM$5*100000+IF(AND($E6=1,LZ6=0),50000,0))+IF($H6=1,(IF('計算A'!CL$117=1,INDEX('計算A'!CL$10:CL$54,$B6),0)+IF('計算A'!CM$117=1,INDEX('計算A'!CN$10:CN$54,$B6),0))*4000,0)-IF(AND('計算A'!CL$117=1,XJ6&gt;0),2000,0)-IF(AND($L6=1,'計算A'!CM$117=1,GL6=0),2000,0))),1000000))</f>
        <v/>
      </c>
      <c r="RP6">
        <f>IF($B6=0,1000000,IF(INDEX('計算A'!$D$60:$EQ$104,$B6,89)*GL6=1,IF(AND($E6=2,MA6=0),1000000,IF($I6&gt;0,IF(4=$J6,IF(OR(AND(89=$I6+1,OR($K6&lt;&gt;'計算A'!$A$3,'計算A'!$A$4=0)),AND(89=$I6-1,OR(17&lt;&gt;'計算A'!$A$3,'計算A'!$A$4=0))),0,IF(17=$K6,200000,ABS(17-$K6)*100)),100000+ABS(4-$J6)*1000+170)+'計算A'!CN$5*50+IF(AND($E6=1,MA6=0),25,0),IF($F6&gt;0,INDEX('計算A'!CN$110:CN$114,$F6+1)+IF(AND($E6=1,MA6=0),1000,0),MIN(TX6,20)*400+(IF('計算A'!CM$106=1,1-GK6,0)+IF('計算A'!CN$106=1,1-GM6,0))*150+174+'計算A'!CN$5*100000+IF(AND($E6=1,MA6=0),50000,0))+IF($H6=1,(IF('計算A'!CM$117=1,INDEX('計算A'!CM$10:CM$54,$B6),0)+IF('計算A'!CN$117=1,INDEX('計算A'!CO$10:CO$54,$B6),0))*4000,0)-IF(AND('計算A'!CM$117=1,XK6&gt;0),2000,0)-IF(AND($L6=1,'計算A'!CN$117=1,GM6=0),2000,0))),1000000))</f>
        <v/>
      </c>
      <c r="RQ6">
        <f>IF($B6=0,1000000,IF(INDEX('計算A'!$D$60:$EQ$104,$B6,90)*GM6=1,IF(AND($E6=2,MB6=0),1000000,IF($I6&gt;0,IF(4=$J6,IF(OR(AND(90=$I6+1,OR($K6&lt;&gt;'計算A'!$A$3,'計算A'!$A$4=0)),AND(90=$I6-1,OR(18&lt;&gt;'計算A'!$A$3,'計算A'!$A$4=0))),0,IF(18=$K6,200000,ABS(18-$K6)*100)),100000+ABS(4-$J6)*1000+180)+'計算A'!CO$5*50+IF(AND($E6=1,MB6=0),25,0),IF($F6&gt;0,INDEX('計算A'!CO$110:CO$114,$F6+1)+IF(AND($E6=1,MB6=0),1000,0),MIN(TX6,20)*400+(IF('計算A'!CN$106=1,1-GL6,0)+IF('計算A'!CO$106=1,1-GN6,0))*150+184+'計算A'!CO$5*100000+IF(AND($E6=1,MB6=0),50000,0))+IF($H6=1,(IF('計算A'!CN$117=1,INDEX('計算A'!CN$10:CN$54,$B6),0)+IF('計算A'!CO$117=1,INDEX('計算A'!CP$10:CP$54,$B6),0))*4000,0)-IF(AND('計算A'!CN$117=1,XL6&gt;0),2000,0)-IF(AND($L6=1,'計算A'!CO$117=1,GN6=0),2000,0))),1000000))</f>
        <v/>
      </c>
      <c r="RR6">
        <f>IF($B6=0,1000000,IF(INDEX('計算A'!$D$60:$EQ$104,$B6,91)*GN6=1,IF(AND($E6=2,MC6=0),1000000,IF($I6&gt;0,IF(4=$J6,IF(OR(AND(91=$I6+1,OR($K6&lt;&gt;'計算A'!$A$3,'計算A'!$A$4=0)),AND(91=$I6-1,OR(19&lt;&gt;'計算A'!$A$3,'計算A'!$A$4=0))),0,IF(19=$K6,200000,ABS(19-$K6)*100)),100000+ABS(4-$J6)*1000+190)+'計算A'!CP$5*50+IF(AND($E6=1,MC6=0),25,0),IF($F6&gt;0,INDEX('計算A'!CP$110:CP$114,$F6+1)+IF(AND($E6=1,MC6=0),1000,0),MIN(TX6,20)*400+(IF('計算A'!CO$106=1,1-GM6,0)+IF('計算A'!CP$106=1,1-GO6,0))*150+194+'計算A'!CP$5*100000+IF(AND($E6=1,MC6=0),50000,0))+IF($H6=1,(IF('計算A'!CO$117=1,INDEX('計算A'!CO$10:CO$54,$B6),0)+IF('計算A'!CP$117=1,INDEX('計算A'!CQ$10:CQ$54,$B6),0))*4000,0)-IF(AND('計算A'!CO$117=1,XM6&gt;0),2000,0)-IF(AND($L6=1,'計算A'!CP$117=1,GO6=0),2000,0))),1000000))</f>
        <v/>
      </c>
      <c r="RS6">
        <f>IF($B6=0,1000000,IF(INDEX('計算A'!$D$60:$EQ$104,$B6,92)*GO6=1,IF(AND($E6=2,MD6=0),1000000,IF($I6&gt;0,IF(4=$J6,IF(OR(AND(92=$I6+1,OR($K6&lt;&gt;'計算A'!$A$3,'計算A'!$A$4=0)),AND(92=$I6-1,OR(20&lt;&gt;'計算A'!$A$3,'計算A'!$A$4=0))),0,IF(20=$K6,200000,ABS(20-$K6)*100)),100000+ABS(4-$J6)*1000+200)+'計算A'!CQ$5*50+IF(AND($E6=1,MD6=0),25,0),IF($F6&gt;0,INDEX('計算A'!CQ$110:CQ$114,$F6+1)+IF(AND($E6=1,MD6=0),1000,0),MIN(TX6,20)*400+(IF('計算A'!CP$106=1,1-GN6,0)+IF('計算A'!CQ$106=1,1-GP6,0))*150+204+'計算A'!CQ$5*100000+IF(AND($E6=1,MD6=0),50000,0))+IF($H6=1,(IF('計算A'!CP$117=1,INDEX('計算A'!CP$10:CP$54,$B6),0)+IF('計算A'!CQ$117=1,INDEX('計算A'!CR$10:CR$54,$B6),0))*4000,0)-IF(AND('計算A'!CP$117=1,XN6&gt;0),2000,0)-IF(AND($L6=1,'計算A'!CQ$117=1,GP6=0),2000,0))),1000000))</f>
        <v/>
      </c>
      <c r="RT6">
        <f>IF($B6=0,1000000,IF(INDEX('計算A'!$D$60:$EQ$104,$B6,93)*GP6=1,IF(AND($E6=2,ME6=0),1000000,IF($I6&gt;0,IF(4=$J6,IF(OR(AND(93=$I6+1,OR($K6&lt;&gt;'計算A'!$A$3,'計算A'!$A$4=0)),AND(93=$I6-1,OR(21&lt;&gt;'計算A'!$A$3,'計算A'!$A$4=0))),0,IF(21=$K6,200000,ABS(21-$K6)*100)),100000+ABS(4-$J6)*1000+210)+'計算A'!CR$5*50+IF(AND($E6=1,ME6=0),25,0),IF($F6&gt;0,INDEX('計算A'!CR$110:CR$114,$F6+1)+IF(AND($E6=1,ME6=0),1000,0),MIN(TX6,20)*400+(IF('計算A'!CQ$106=1,1-GO6,0)+IF('計算A'!CR$106=1,1-GQ6,0))*150+214+'計算A'!CR$5*100000+IF(AND($E6=1,ME6=0),50000,0))+IF($H6=1,(IF('計算A'!CQ$117=1,INDEX('計算A'!CQ$10:CQ$54,$B6),0)+IF('計算A'!CR$117=1,INDEX('計算A'!CS$10:CS$54,$B6),0))*4000,0)-IF(AND('計算A'!CQ$117=1,XO6&gt;0),2000,0)-IF(AND($L6=1,'計算A'!CR$117=1,GQ6=0),2000,0))),1000000))</f>
        <v/>
      </c>
      <c r="RU6">
        <f>IF($B6=0,1000000,IF(INDEX('計算A'!$D$60:$EQ$104,$B6,94)*GQ6=1,IF(AND($E6=2,MF6=0),1000000,IF($I6&gt;0,IF(4=$J6,IF(OR(AND(94=$I6+1,OR($K6&lt;&gt;'計算A'!$A$3,'計算A'!$A$4=0)),AND(94=$I6-1,OR(22&lt;&gt;'計算A'!$A$3,'計算A'!$A$4=0))),0,IF(22=$K6,200000,ABS(22-$K6)*100)),100000+ABS(4-$J6)*1000+220)+'計算A'!CS$5*50+IF(AND($E6=1,MF6=0),25,0),IF($F6&gt;0,INDEX('計算A'!CS$110:CS$114,$F6+1)+IF(AND($E6=1,MF6=0),1000,0),MIN(TX6,20)*400+(IF('計算A'!CR$106=1,1-GP6,0)+IF('計算A'!CS$106=1,1-GR6,0))*150+224+'計算A'!CS$5*100000+IF(AND($E6=1,MF6=0),50000,0))+IF($H6=1,(IF('計算A'!CR$117=1,INDEX('計算A'!CR$10:CR$54,$B6),0)+IF('計算A'!CS$117=1,INDEX('計算A'!CT$10:CT$54,$B6),0))*4000,0)-IF(AND('計算A'!CR$117=1,XP6&gt;0),2000,0)-IF(AND($L6=1,'計算A'!CS$117=1,GR6=0),2000,0))),1000000))</f>
        <v/>
      </c>
      <c r="RV6">
        <f>IF($B6=0,1000000,IF(INDEX('計算A'!$D$60:$EQ$104,$B6,95)*GR6=1,IF(AND($E6=2,MG6=0),1000000,IF($I6&gt;0,IF(4=$J6,IF(OR(AND(95=$I6+1,OR($K6&lt;&gt;'計算A'!$A$3,'計算A'!$A$4=0)),AND(95=$I6-1,OR(23&lt;&gt;'計算A'!$A$3,'計算A'!$A$4=0))),0,IF(23=$K6,200000,ABS(23-$K6)*100)),100000+ABS(4-$J6)*1000+230)+'計算A'!CT$5*50+IF(AND($E6=1,MG6=0),25,0),IF($F6&gt;0,INDEX('計算A'!CT$110:CT$114,$F6+1)+IF(AND($E6=1,MG6=0),1000,0),MIN(TX6,20)*400+(IF('計算A'!CS$106=1,1-GQ6,0)+IF('計算A'!CT$106=1,1-GS6,0))*150+234+'計算A'!CT$5*100000+IF(AND($E6=1,MG6=0),50000,0))+IF($H6=1,(IF('計算A'!CS$117=1,INDEX('計算A'!CS$10:CS$54,$B6),0)+IF('計算A'!CT$117=1,INDEX('計算A'!CU$10:CU$54,$B6),0))*4000,0)-IF(AND('計算A'!CS$117=1,XQ6&gt;0),2000,0)-IF(AND($L6=1,'計算A'!CT$117=1,GS6=0),2000,0))),1000000))</f>
        <v/>
      </c>
      <c r="RW6">
        <f>IF($B6=0,1000000,IF(INDEX('計算A'!$D$60:$EQ$104,$B6,96)*GS6=1,IF(AND($E6=2,MH6=0),1000000,IF($I6&gt;0,IF(4=$J6,IF(OR(AND(96=$I6+1,OR($K6&lt;&gt;'計算A'!$A$3,'計算A'!$A$4=0)),AND(96=$I6-1,OR(24&lt;&gt;'計算A'!$A$3,'計算A'!$A$4=0))),0,IF(24=$K6,200000,ABS(24-$K6)*100)),100000+ABS(4-$J6)*1000+240)+'計算A'!CU$5*50+IF(AND($E6=1,MH6=0),25,0),IF($F6&gt;0,INDEX('計算A'!CU$110:CU$114,$F6+1)+IF(AND($E6=1,MH6=0),1000,0),MIN(TX6,20)*400+(IF('計算A'!CT$106=1,1-GR6,0))*150+244+'計算A'!CU$5*100000+IF(AND($E6=1,MH6=0),50000,0))+IF($H6=1,(IF('計算A'!CT$117=1,INDEX('計算A'!CT$10:CT$54,$B6),0))*4000,0)-IF(AND('計算A'!CT$117=1,XR6&gt;0),2000,0))),1000000))</f>
        <v/>
      </c>
      <c r="RX6">
        <f>IF($B6=0,1000000,IF(INDEX('計算A'!$D$60:$EQ$104,$B6,97)*GT6=1,IF(AND($E6=2,MI6=0),1000000,IF($I6&gt;0,IF(5=$J6,IF(OR(AND(97=$I6+1,OR($K6&lt;&gt;'計算A'!$A$3,'計算A'!$A$4=0)),AND(97=$I6-1,OR(1&lt;&gt;'計算A'!$A$3,'計算A'!$A$4=0))),0,IF(1=$K6,200000,ABS(1-$K6)*100)),100000+ABS(5-$J6)*1000+10)+'計算A'!CV$5*50+IF(AND($E6=1,MI6=0),25,0),IF($F6&gt;0,INDEX('計算A'!CV$110:CV$114,$F6+1)+IF(AND($E6=1,MI6=0),1000,0),MIN(TY6,20)*400+(IF('計算A'!CV$106=1,1-GU6,0))*150+15+'計算A'!CV$5*100000+IF(AND($E6=1,MI6=0),50000,0))+IF($H6=1,(IF('計算A'!CV$117=1,INDEX('計算A'!CW$10:CW$54,$B6),0))*4000,0)-IF(AND($L6=1,'計算A'!CV$117=1,GU6=0),2000,0))),1000000))</f>
        <v/>
      </c>
      <c r="RY6">
        <f>IF($B6=0,1000000,IF(INDEX('計算A'!$D$60:$EQ$104,$B6,98)*GU6=1,IF(AND($E6=2,MJ6=0),1000000,IF($I6&gt;0,IF(5=$J6,IF(OR(AND(98=$I6+1,OR($K6&lt;&gt;'計算A'!$A$3,'計算A'!$A$4=0)),AND(98=$I6-1,OR(2&lt;&gt;'計算A'!$A$3,'計算A'!$A$4=0))),0,IF(2=$K6,200000,ABS(2-$K6)*100)),100000+ABS(5-$J6)*1000+20)+'計算A'!CW$5*50+IF(AND($E6=1,MJ6=0),25,0),IF($F6&gt;0,INDEX('計算A'!CW$110:CW$114,$F6+1)+IF(AND($E6=1,MJ6=0),1000,0),MIN(TY6,20)*400+(IF('計算A'!CV$106=1,1-GT6,0)+IF('計算A'!CW$106=1,1-GV6,0))*150+25+'計算A'!CW$5*100000+IF(AND($E6=1,MJ6=0),50000,0))+IF($H6=1,(IF('計算A'!CV$117=1,INDEX('計算A'!CV$10:CV$54,$B6),0)+IF('計算A'!CW$117=1,INDEX('計算A'!CX$10:CX$54,$B6),0))*4000,0)-IF(AND('計算A'!CV$117=1,XT6&gt;0),2000,0)-IF(AND($L6=1,'計算A'!CW$117=1,GV6=0),2000,0))),1000000))</f>
        <v/>
      </c>
      <c r="RZ6">
        <f>IF($B6=0,1000000,IF(INDEX('計算A'!$D$60:$EQ$104,$B6,99)*GV6=1,IF(AND($E6=2,MK6=0),1000000,IF($I6&gt;0,IF(5=$J6,IF(OR(AND(99=$I6+1,OR($K6&lt;&gt;'計算A'!$A$3,'計算A'!$A$4=0)),AND(99=$I6-1,OR(3&lt;&gt;'計算A'!$A$3,'計算A'!$A$4=0))),0,IF(3=$K6,200000,ABS(3-$K6)*100)),100000+ABS(5-$J6)*1000+30)+'計算A'!CX$5*50+IF(AND($E6=1,MK6=0),25,0),IF($F6&gt;0,INDEX('計算A'!CX$110:CX$114,$F6+1)+IF(AND($E6=1,MK6=0),1000,0),MIN(TY6,20)*400+(IF('計算A'!CW$106=1,1-GU6,0)+IF('計算A'!CX$106=1,1-GW6,0))*150+35+'計算A'!CX$5*100000+IF(AND($E6=1,MK6=0),50000,0))+IF($H6=1,(IF('計算A'!CW$117=1,INDEX('計算A'!CW$10:CW$54,$B6),0)+IF('計算A'!CX$117=1,INDEX('計算A'!CY$10:CY$54,$B6),0))*4000,0)-IF(AND('計算A'!CW$117=1,XU6&gt;0),2000,0)-IF(AND($L6=1,'計算A'!CX$117=1,GW6=0),2000,0))),1000000))</f>
        <v/>
      </c>
      <c r="SA6">
        <f>IF($B6=0,1000000,IF(INDEX('計算A'!$D$60:$EQ$104,$B6,100)*GW6=1,IF(AND($E6=2,ML6=0),1000000,IF($I6&gt;0,IF(5=$J6,IF(OR(AND(100=$I6+1,OR($K6&lt;&gt;'計算A'!$A$3,'計算A'!$A$4=0)),AND(100=$I6-1,OR(4&lt;&gt;'計算A'!$A$3,'計算A'!$A$4=0))),0,IF(4=$K6,200000,ABS(4-$K6)*100)),100000+ABS(5-$J6)*1000+40)+'計算A'!CY$5*50+IF(AND($E6=1,ML6=0),25,0),IF($F6&gt;0,INDEX('計算A'!CY$110:CY$114,$F6+1)+IF(AND($E6=1,ML6=0),1000,0),MIN(TY6,20)*400+(IF('計算A'!CX$106=1,1-GV6,0)+IF('計算A'!CY$106=1,1-GX6,0))*150+45+'計算A'!CY$5*100000+IF(AND($E6=1,ML6=0),50000,0))+IF($H6=1,(IF('計算A'!CX$117=1,INDEX('計算A'!CX$10:CX$54,$B6),0)+IF('計算A'!CY$117=1,INDEX('計算A'!CZ$10:CZ$54,$B6),0))*4000,0)-IF(AND('計算A'!CX$117=1,XV6&gt;0),2000,0)-IF(AND($L6=1,'計算A'!CY$117=1,GX6=0),2000,0))),1000000))</f>
        <v/>
      </c>
      <c r="SB6">
        <f>IF($B6=0,1000000,IF(INDEX('計算A'!$D$60:$EQ$104,$B6,101)*GX6=1,IF(AND($E6=2,MM6=0),1000000,IF($I6&gt;0,IF(5=$J6,IF(OR(AND(101=$I6+1,OR($K6&lt;&gt;'計算A'!$A$3,'計算A'!$A$4=0)),AND(101=$I6-1,OR(5&lt;&gt;'計算A'!$A$3,'計算A'!$A$4=0))),0,IF(5=$K6,200000,ABS(5-$K6)*100)),100000+ABS(5-$J6)*1000+50)+'計算A'!CZ$5*50+IF(AND($E6=1,MM6=0),25,0),IF($F6&gt;0,INDEX('計算A'!CZ$110:CZ$114,$F6+1)+IF(AND($E6=1,MM6=0),1000,0),MIN(TY6,20)*400+(IF('計算A'!CY$106=1,1-GW6,0)+IF('計算A'!CZ$106=1,1-GY6,0))*150+55+'計算A'!CZ$5*100000+IF(AND($E6=1,MM6=0),50000,0))+IF($H6=1,(IF('計算A'!CY$117=1,INDEX('計算A'!CY$10:CY$54,$B6),0)+IF('計算A'!CZ$117=1,INDEX('計算A'!DA$10:DA$54,$B6),0))*4000,0)-IF(AND('計算A'!CY$117=1,XW6&gt;0),2000,0)-IF(AND($L6=1,'計算A'!CZ$117=1,GY6=0),2000,0))),1000000))</f>
        <v/>
      </c>
      <c r="SC6">
        <f>IF($B6=0,1000000,IF(INDEX('計算A'!$D$60:$EQ$104,$B6,102)*GY6=1,IF(AND($E6=2,MN6=0),1000000,IF($I6&gt;0,IF(5=$J6,IF(OR(AND(102=$I6+1,OR($K6&lt;&gt;'計算A'!$A$3,'計算A'!$A$4=0)),AND(102=$I6-1,OR(6&lt;&gt;'計算A'!$A$3,'計算A'!$A$4=0))),0,IF(6=$K6,200000,ABS(6-$K6)*100)),100000+ABS(5-$J6)*1000+60)+'計算A'!DA$5*50+IF(AND($E6=1,MN6=0),25,0),IF($F6&gt;0,INDEX('計算A'!DA$110:DA$114,$F6+1)+IF(AND($E6=1,MN6=0),1000,0),MIN(TY6,20)*400+(IF('計算A'!CZ$106=1,1-GX6,0)+IF('計算A'!DA$106=1,1-GZ6,0))*150+65+'計算A'!DA$5*100000+IF(AND($E6=1,MN6=0),50000,0))+IF($H6=1,(IF('計算A'!CZ$117=1,INDEX('計算A'!CZ$10:CZ$54,$B6),0)+IF('計算A'!DA$117=1,INDEX('計算A'!DB$10:DB$54,$B6),0))*4000,0)-IF(AND('計算A'!CZ$117=1,XX6&gt;0),2000,0)-IF(AND($L6=1,'計算A'!DA$117=1,GZ6=0),2000,0))),1000000))</f>
        <v/>
      </c>
      <c r="SD6">
        <f>IF($B6=0,1000000,IF(INDEX('計算A'!$D$60:$EQ$104,$B6,103)*GZ6=1,IF(AND($E6=2,MO6=0),1000000,IF($I6&gt;0,IF(5=$J6,IF(OR(AND(103=$I6+1,OR($K6&lt;&gt;'計算A'!$A$3,'計算A'!$A$4=0)),AND(103=$I6-1,OR(7&lt;&gt;'計算A'!$A$3,'計算A'!$A$4=0))),0,IF(7=$K6,200000,ABS(7-$K6)*100)),100000+ABS(5-$J6)*1000+70)+'計算A'!DB$5*50+IF(AND($E6=1,MO6=0),25,0),IF($F6&gt;0,INDEX('計算A'!DB$110:DB$114,$F6+1)+IF(AND($E6=1,MO6=0),1000,0),MIN(TY6,20)*400+(IF('計算A'!DA$106=1,1-GY6,0)+IF('計算A'!DB$106=1,1-HA6,0))*150+75+'計算A'!DB$5*100000+IF(AND($E6=1,MO6=0),50000,0))+IF($H6=1,(IF('計算A'!DA$117=1,INDEX('計算A'!DA$10:DA$54,$B6),0)+IF('計算A'!DB$117=1,INDEX('計算A'!DC$10:DC$54,$B6),0))*4000,0)-IF(AND('計算A'!DA$117=1,XY6&gt;0),2000,0)-IF(AND($L6=1,'計算A'!DB$117=1,HA6=0),2000,0))),1000000))</f>
        <v/>
      </c>
      <c r="SE6">
        <f>IF($B6=0,1000000,IF(INDEX('計算A'!$D$60:$EQ$104,$B6,104)*HA6=1,IF(AND($E6=2,MP6=0),1000000,IF($I6&gt;0,IF(5=$J6,IF(OR(AND(104=$I6+1,OR($K6&lt;&gt;'計算A'!$A$3,'計算A'!$A$4=0)),AND(104=$I6-1,OR(8&lt;&gt;'計算A'!$A$3,'計算A'!$A$4=0))),0,IF(8=$K6,200000,ABS(8-$K6)*100)),100000+ABS(5-$J6)*1000+80)+'計算A'!DC$5*50+IF(AND($E6=1,MP6=0),25,0),IF($F6&gt;0,INDEX('計算A'!DC$110:DC$114,$F6+1)+IF(AND($E6=1,MP6=0),1000,0),MIN(TY6,20)*400+(IF('計算A'!DB$106=1,1-GZ6,0)+IF('計算A'!DC$106=1,1-HB6,0))*150+85+'計算A'!DC$5*100000+IF(AND($E6=1,MP6=0),50000,0))+IF($H6=1,(IF('計算A'!DB$117=1,INDEX('計算A'!DB$10:DB$54,$B6),0)+IF('計算A'!DC$117=1,INDEX('計算A'!DD$10:DD$54,$B6),0))*4000,0)-IF(AND('計算A'!DB$117=1,XZ6&gt;0),2000,0)-IF(AND($L6=1,'計算A'!DC$117=1,HB6=0),2000,0))),1000000))</f>
        <v/>
      </c>
      <c r="SF6">
        <f>IF($B6=0,1000000,IF(INDEX('計算A'!$D$60:$EQ$104,$B6,105)*HB6=1,IF(AND($E6=2,MQ6=0),1000000,IF($I6&gt;0,IF(5=$J6,IF(OR(AND(105=$I6+1,OR($K6&lt;&gt;'計算A'!$A$3,'計算A'!$A$4=0)),AND(105=$I6-1,OR(9&lt;&gt;'計算A'!$A$3,'計算A'!$A$4=0))),0,IF(9=$K6,200000,ABS(9-$K6)*100)),100000+ABS(5-$J6)*1000+90)+'計算A'!DD$5*50+IF(AND($E6=1,MQ6=0),25,0),IF($F6&gt;0,INDEX('計算A'!DD$110:DD$114,$F6+1)+IF(AND($E6=1,MQ6=0),1000,0),MIN(TY6,20)*400+(IF('計算A'!DC$106=1,1-HA6,0)+IF('計算A'!DD$106=1,1-HC6,0))*150+95+'計算A'!DD$5*100000+IF(AND($E6=1,MQ6=0),50000,0))+IF($H6=1,(IF('計算A'!DC$117=1,INDEX('計算A'!DC$10:DC$54,$B6),0)+IF('計算A'!DD$117=1,INDEX('計算A'!DE$10:DE$54,$B6),0))*4000,0)-IF(AND('計算A'!DC$117=1,YA6&gt;0),2000,0)-IF(AND($L6=1,'計算A'!DD$117=1,HC6=0),2000,0))),1000000))</f>
        <v/>
      </c>
      <c r="SG6">
        <f>IF($B6=0,1000000,IF(INDEX('計算A'!$D$60:$EQ$104,$B6,106)*HC6=1,IF(AND($E6=2,MR6=0),1000000,IF($I6&gt;0,IF(5=$J6,IF(OR(AND(106=$I6+1,OR($K6&lt;&gt;'計算A'!$A$3,'計算A'!$A$4=0)),AND(106=$I6-1,OR(10&lt;&gt;'計算A'!$A$3,'計算A'!$A$4=0))),0,IF(10=$K6,200000,ABS(10-$K6)*100)),100000+ABS(5-$J6)*1000+100)+'計算A'!DE$5*50+IF(AND($E6=1,MR6=0),25,0),IF($F6&gt;0,INDEX('計算A'!DE$110:DE$114,$F6+1)+IF(AND($E6=1,MR6=0),1000,0),MIN(TY6,20)*400+(IF('計算A'!DD$106=1,1-HB6,0)+IF('計算A'!DE$106=1,1-HD6,0))*150+105+'計算A'!DE$5*100000+IF(AND($E6=1,MR6=0),50000,0))+IF($H6=1,(IF('計算A'!DD$117=1,INDEX('計算A'!DD$10:DD$54,$B6),0)+IF('計算A'!DE$117=1,INDEX('計算A'!DF$10:DF$54,$B6),0))*4000,0)-IF(AND('計算A'!DD$117=1,YB6&gt;0),2000,0)-IF(AND($L6=1,'計算A'!DE$117=1,HD6=0),2000,0))),1000000))</f>
        <v/>
      </c>
      <c r="SH6">
        <f>IF($B6=0,1000000,IF(INDEX('計算A'!$D$60:$EQ$104,$B6,107)*HD6=1,IF(AND($E6=2,MS6=0),1000000,IF($I6&gt;0,IF(5=$J6,IF(OR(AND(107=$I6+1,OR($K6&lt;&gt;'計算A'!$A$3,'計算A'!$A$4=0)),AND(107=$I6-1,OR(11&lt;&gt;'計算A'!$A$3,'計算A'!$A$4=0))),0,IF(11=$K6,200000,ABS(11-$K6)*100)),100000+ABS(5-$J6)*1000+110)+'計算A'!DF$5*50+IF(AND($E6=1,MS6=0),25,0),IF($F6&gt;0,INDEX('計算A'!DF$110:DF$114,$F6+1)+IF(AND($E6=1,MS6=0),1000,0),MIN(TY6,20)*400+(IF('計算A'!DE$106=1,1-HC6,0)+IF('計算A'!DF$106=1,1-HE6,0))*150+115+'計算A'!DF$5*100000+IF(AND($E6=1,MS6=0),50000,0))+IF($H6=1,(IF('計算A'!DE$117=1,INDEX('計算A'!DE$10:DE$54,$B6),0)+IF('計算A'!DF$117=1,INDEX('計算A'!DG$10:DG$54,$B6),0))*4000,0)-IF(AND('計算A'!DE$117=1,YC6&gt;0),2000,0)-IF(AND($L6=1,'計算A'!DF$117=1,HE6=0),2000,0))),1000000))</f>
        <v/>
      </c>
      <c r="SI6">
        <f>IF($B6=0,1000000,IF(INDEX('計算A'!$D$60:$EQ$104,$B6,108)*HE6=1,IF(AND($E6=2,MT6=0),1000000,IF($I6&gt;0,IF(5=$J6,IF(OR(AND(108=$I6+1,OR($K6&lt;&gt;'計算A'!$A$3,'計算A'!$A$4=0)),AND(108=$I6-1,OR(12&lt;&gt;'計算A'!$A$3,'計算A'!$A$4=0))),0,IF(12=$K6,200000,ABS(12-$K6)*100)),100000+ABS(5-$J6)*1000+120)+'計算A'!DG$5*50+IF(AND($E6=1,MT6=0),25,0),IF($F6&gt;0,INDEX('計算A'!DG$110:DG$114,$F6+1)+IF(AND($E6=1,MT6=0),1000,0),MIN(TY6,20)*400+(IF('計算A'!DF$106=1,1-HD6,0)+IF('計算A'!DG$106=1,1-HF6,0))*150+125+'計算A'!DG$5*100000+IF(AND($E6=1,MT6=0),50000,0))+IF($H6=1,(IF('計算A'!DF$117=1,INDEX('計算A'!DF$10:DF$54,$B6),0)+IF('計算A'!DG$117=1,INDEX('計算A'!DH$10:DH$54,$B6),0))*4000,0)-IF(AND('計算A'!DF$117=1,YD6&gt;0),2000,0)-IF(AND($L6=1,'計算A'!DG$117=1,HF6=0),2000,0))),1000000))</f>
        <v/>
      </c>
      <c r="SJ6">
        <f>IF($B6=0,1000000,IF(INDEX('計算A'!$D$60:$EQ$104,$B6,109)*HF6=1,IF(AND($E6=2,MU6=0),1000000,IF($I6&gt;0,IF(5=$J6,IF(OR(AND(109=$I6+1,OR($K6&lt;&gt;'計算A'!$A$3,'計算A'!$A$4=0)),AND(109=$I6-1,OR(13&lt;&gt;'計算A'!$A$3,'計算A'!$A$4=0))),0,IF(13=$K6,200000,ABS(13-$K6)*100)),100000+ABS(5-$J6)*1000+130)+'計算A'!DH$5*50+IF(AND($E6=1,MU6=0),25,0),IF($F6&gt;0,INDEX('計算A'!DH$110:DH$114,$F6+1)+IF(AND($E6=1,MU6=0),1000,0),MIN(TY6,20)*400+(IF('計算A'!DG$106=1,1-HE6,0)+IF('計算A'!DH$106=1,1-HG6,0))*150+135+'計算A'!DH$5*100000+IF(AND($E6=1,MU6=0),50000,0))+IF($H6=1,(IF('計算A'!DG$117=1,INDEX('計算A'!DG$10:DG$54,$B6),0)+IF('計算A'!DH$117=1,INDEX('計算A'!DI$10:DI$54,$B6),0))*4000,0)-IF(AND('計算A'!DG$117=1,YE6&gt;0),2000,0)-IF(AND($L6=1,'計算A'!DH$117=1,HG6=0),2000,0))),1000000))</f>
        <v/>
      </c>
      <c r="SK6">
        <f>IF($B6=0,1000000,IF(INDEX('計算A'!$D$60:$EQ$104,$B6,110)*HG6=1,IF(AND($E6=2,MV6=0),1000000,IF($I6&gt;0,IF(5=$J6,IF(OR(AND(110=$I6+1,OR($K6&lt;&gt;'計算A'!$A$3,'計算A'!$A$4=0)),AND(110=$I6-1,OR(14&lt;&gt;'計算A'!$A$3,'計算A'!$A$4=0))),0,IF(14=$K6,200000,ABS(14-$K6)*100)),100000+ABS(5-$J6)*1000+140)+'計算A'!DI$5*50+IF(AND($E6=1,MV6=0),25,0),IF($F6&gt;0,INDEX('計算A'!DI$110:DI$114,$F6+1)+IF(AND($E6=1,MV6=0),1000,0),MIN(TY6,20)*400+(IF('計算A'!DH$106=1,1-HF6,0)+IF('計算A'!DI$106=1,1-HH6,0))*150+145+'計算A'!DI$5*100000+IF(AND($E6=1,MV6=0),50000,0))+IF($H6=1,(IF('計算A'!DH$117=1,INDEX('計算A'!DH$10:DH$54,$B6),0)+IF('計算A'!DI$117=1,INDEX('計算A'!DJ$10:DJ$54,$B6),0))*4000,0)-IF(AND('計算A'!DH$117=1,YF6&gt;0),2000,0)-IF(AND($L6=1,'計算A'!DI$117=1,HH6=0),2000,0))),1000000))</f>
        <v/>
      </c>
      <c r="SL6">
        <f>IF($B6=0,1000000,IF(INDEX('計算A'!$D$60:$EQ$104,$B6,111)*HH6=1,IF(AND($E6=2,MW6=0),1000000,IF($I6&gt;0,IF(5=$J6,IF(OR(AND(111=$I6+1,OR($K6&lt;&gt;'計算A'!$A$3,'計算A'!$A$4=0)),AND(111=$I6-1,OR(15&lt;&gt;'計算A'!$A$3,'計算A'!$A$4=0))),0,IF(15=$K6,200000,ABS(15-$K6)*100)),100000+ABS(5-$J6)*1000+150)+'計算A'!DJ$5*50+IF(AND($E6=1,MW6=0),25,0),IF($F6&gt;0,INDEX('計算A'!DJ$110:DJ$114,$F6+1)+IF(AND($E6=1,MW6=0),1000,0),MIN(TY6,20)*400+(IF('計算A'!DI$106=1,1-HG6,0)+IF('計算A'!DJ$106=1,1-HI6,0))*150+155+'計算A'!DJ$5*100000+IF(AND($E6=1,MW6=0),50000,0))+IF($H6=1,(IF('計算A'!DI$117=1,INDEX('計算A'!DI$10:DI$54,$B6),0)+IF('計算A'!DJ$117=1,INDEX('計算A'!DK$10:DK$54,$B6),0))*4000,0)-IF(AND('計算A'!DI$117=1,YG6&gt;0),2000,0)-IF(AND($L6=1,'計算A'!DJ$117=1,HI6=0),2000,0))),1000000))</f>
        <v/>
      </c>
      <c r="SM6">
        <f>IF($B6=0,1000000,IF(INDEX('計算A'!$D$60:$EQ$104,$B6,112)*HI6=1,IF(AND($E6=2,MX6=0),1000000,IF($I6&gt;0,IF(5=$J6,IF(OR(AND(112=$I6+1,OR($K6&lt;&gt;'計算A'!$A$3,'計算A'!$A$4=0)),AND(112=$I6-1,OR(16&lt;&gt;'計算A'!$A$3,'計算A'!$A$4=0))),0,IF(16=$K6,200000,ABS(16-$K6)*100)),100000+ABS(5-$J6)*1000+160)+'計算A'!DK$5*50+IF(AND($E6=1,MX6=0),25,0),IF($F6&gt;0,INDEX('計算A'!DK$110:DK$114,$F6+1)+IF(AND($E6=1,MX6=0),1000,0),MIN(TY6,20)*400+(IF('計算A'!DJ$106=1,1-HH6,0)+IF('計算A'!DK$106=1,1-HJ6,0))*150+165+'計算A'!DK$5*100000+IF(AND($E6=1,MX6=0),50000,0))+IF($H6=1,(IF('計算A'!DJ$117=1,INDEX('計算A'!DJ$10:DJ$54,$B6),0)+IF('計算A'!DK$117=1,INDEX('計算A'!DL$10:DL$54,$B6),0))*4000,0)-IF(AND('計算A'!DJ$117=1,YH6&gt;0),2000,0)-IF(AND($L6=1,'計算A'!DK$117=1,HJ6=0),2000,0))),1000000))</f>
        <v/>
      </c>
      <c r="SN6">
        <f>IF($B6=0,1000000,IF(INDEX('計算A'!$D$60:$EQ$104,$B6,113)*HJ6=1,IF(AND($E6=2,MY6=0),1000000,IF($I6&gt;0,IF(5=$J6,IF(OR(AND(113=$I6+1,OR($K6&lt;&gt;'計算A'!$A$3,'計算A'!$A$4=0)),AND(113=$I6-1,OR(17&lt;&gt;'計算A'!$A$3,'計算A'!$A$4=0))),0,IF(17=$K6,200000,ABS(17-$K6)*100)),100000+ABS(5-$J6)*1000+170)+'計算A'!DL$5*50+IF(AND($E6=1,MY6=0),25,0),IF($F6&gt;0,INDEX('計算A'!DL$110:DL$114,$F6+1)+IF(AND($E6=1,MY6=0),1000,0),MIN(TY6,20)*400+(IF('計算A'!DK$106=1,1-HI6,0)+IF('計算A'!DL$106=1,1-HK6,0))*150+175+'計算A'!DL$5*100000+IF(AND($E6=1,MY6=0),50000,0))+IF($H6=1,(IF('計算A'!DK$117=1,INDEX('計算A'!DK$10:DK$54,$B6),0)+IF('計算A'!DL$117=1,INDEX('計算A'!DM$10:DM$54,$B6),0))*4000,0)-IF(AND('計算A'!DK$117=1,YI6&gt;0),2000,0)-IF(AND($L6=1,'計算A'!DL$117=1,HK6=0),2000,0))),1000000))</f>
        <v/>
      </c>
      <c r="SO6">
        <f>IF($B6=0,1000000,IF(INDEX('計算A'!$D$60:$EQ$104,$B6,114)*HK6=1,IF(AND($E6=2,MZ6=0),1000000,IF($I6&gt;0,IF(5=$J6,IF(OR(AND(114=$I6+1,OR($K6&lt;&gt;'計算A'!$A$3,'計算A'!$A$4=0)),AND(114=$I6-1,OR(18&lt;&gt;'計算A'!$A$3,'計算A'!$A$4=0))),0,IF(18=$K6,200000,ABS(18-$K6)*100)),100000+ABS(5-$J6)*1000+180)+'計算A'!DM$5*50+IF(AND($E6=1,MZ6=0),25,0),IF($F6&gt;0,INDEX('計算A'!DM$110:DM$114,$F6+1)+IF(AND($E6=1,MZ6=0),1000,0),MIN(TY6,20)*400+(IF('計算A'!DL$106=1,1-HJ6,0)+IF('計算A'!DM$106=1,1-HL6,0))*150+185+'計算A'!DM$5*100000+IF(AND($E6=1,MZ6=0),50000,0))+IF($H6=1,(IF('計算A'!DL$117=1,INDEX('計算A'!DL$10:DL$54,$B6),0)+IF('計算A'!DM$117=1,INDEX('計算A'!DN$10:DN$54,$B6),0))*4000,0)-IF(AND('計算A'!DL$117=1,YJ6&gt;0),2000,0)-IF(AND($L6=1,'計算A'!DM$117=1,HL6=0),2000,0))),1000000))</f>
        <v/>
      </c>
      <c r="SP6">
        <f>IF($B6=0,1000000,IF(INDEX('計算A'!$D$60:$EQ$104,$B6,115)*HL6=1,IF(AND($E6=2,NA6=0),1000000,IF($I6&gt;0,IF(5=$J6,IF(OR(AND(115=$I6+1,OR($K6&lt;&gt;'計算A'!$A$3,'計算A'!$A$4=0)),AND(115=$I6-1,OR(19&lt;&gt;'計算A'!$A$3,'計算A'!$A$4=0))),0,IF(19=$K6,200000,ABS(19-$K6)*100)),100000+ABS(5-$J6)*1000+190)+'計算A'!DN$5*50+IF(AND($E6=1,NA6=0),25,0),IF($F6&gt;0,INDEX('計算A'!DN$110:DN$114,$F6+1)+IF(AND($E6=1,NA6=0),1000,0),MIN(TY6,20)*400+(IF('計算A'!DM$106=1,1-HK6,0)+IF('計算A'!DN$106=1,1-HM6,0))*150+195+'計算A'!DN$5*100000+IF(AND($E6=1,NA6=0),50000,0))+IF($H6=1,(IF('計算A'!DM$117=1,INDEX('計算A'!DM$10:DM$54,$B6),0)+IF('計算A'!DN$117=1,INDEX('計算A'!DO$10:DO$54,$B6),0))*4000,0)-IF(AND('計算A'!DM$117=1,YK6&gt;0),2000,0)-IF(AND($L6=1,'計算A'!DN$117=1,HM6=0),2000,0))),1000000))</f>
        <v/>
      </c>
      <c r="SQ6">
        <f>IF($B6=0,1000000,IF(INDEX('計算A'!$D$60:$EQ$104,$B6,116)*HM6=1,IF(AND($E6=2,NB6=0),1000000,IF($I6&gt;0,IF(5=$J6,IF(OR(AND(116=$I6+1,OR($K6&lt;&gt;'計算A'!$A$3,'計算A'!$A$4=0)),AND(116=$I6-1,OR(20&lt;&gt;'計算A'!$A$3,'計算A'!$A$4=0))),0,IF(20=$K6,200000,ABS(20-$K6)*100)),100000+ABS(5-$J6)*1000+200)+'計算A'!DO$5*50+IF(AND($E6=1,NB6=0),25,0),IF($F6&gt;0,INDEX('計算A'!DO$110:DO$114,$F6+1)+IF(AND($E6=1,NB6=0),1000,0),MIN(TY6,20)*400+(IF('計算A'!DN$106=1,1-HL6,0)+IF('計算A'!DO$106=1,1-HN6,0))*150+205+'計算A'!DO$5*100000+IF(AND($E6=1,NB6=0),50000,0))+IF($H6=1,(IF('計算A'!DN$117=1,INDEX('計算A'!DN$10:DN$54,$B6),0)+IF('計算A'!DO$117=1,INDEX('計算A'!DP$10:DP$54,$B6),0))*4000,0)-IF(AND('計算A'!DN$117=1,YL6&gt;0),2000,0)-IF(AND($L6=1,'計算A'!DO$117=1,HN6=0),2000,0))),1000000))</f>
        <v/>
      </c>
      <c r="SR6">
        <f>IF($B6=0,1000000,IF(INDEX('計算A'!$D$60:$EQ$104,$B6,117)*HN6=1,IF(AND($E6=2,NC6=0),1000000,IF($I6&gt;0,IF(5=$J6,IF(OR(AND(117=$I6+1,OR($K6&lt;&gt;'計算A'!$A$3,'計算A'!$A$4=0)),AND(117=$I6-1,OR(21&lt;&gt;'計算A'!$A$3,'計算A'!$A$4=0))),0,IF(21=$K6,200000,ABS(21-$K6)*100)),100000+ABS(5-$J6)*1000+210)+'計算A'!DP$5*50+IF(AND($E6=1,NC6=0),25,0),IF($F6&gt;0,INDEX('計算A'!DP$110:DP$114,$F6+1)+IF(AND($E6=1,NC6=0),1000,0),MIN(TY6,20)*400+(IF('計算A'!DO$106=1,1-HM6,0)+IF('計算A'!DP$106=1,1-HO6,0))*150+215+'計算A'!DP$5*100000+IF(AND($E6=1,NC6=0),50000,0))+IF($H6=1,(IF('計算A'!DO$117=1,INDEX('計算A'!DO$10:DO$54,$B6),0)+IF('計算A'!DP$117=1,INDEX('計算A'!DQ$10:DQ$54,$B6),0))*4000,0)-IF(AND('計算A'!DO$117=1,YM6&gt;0),2000,0)-IF(AND($L6=1,'計算A'!DP$117=1,HO6=0),2000,0))),1000000))</f>
        <v/>
      </c>
      <c r="SS6">
        <f>IF($B6=0,1000000,IF(INDEX('計算A'!$D$60:$EQ$104,$B6,118)*HO6=1,IF(AND($E6=2,ND6=0),1000000,IF($I6&gt;0,IF(5=$J6,IF(OR(AND(118=$I6+1,OR($K6&lt;&gt;'計算A'!$A$3,'計算A'!$A$4=0)),AND(118=$I6-1,OR(22&lt;&gt;'計算A'!$A$3,'計算A'!$A$4=0))),0,IF(22=$K6,200000,ABS(22-$K6)*100)),100000+ABS(5-$J6)*1000+220)+'計算A'!DQ$5*50+IF(AND($E6=1,ND6=0),25,0),IF($F6&gt;0,INDEX('計算A'!DQ$110:DQ$114,$F6+1)+IF(AND($E6=1,ND6=0),1000,0),MIN(TY6,20)*400+(IF('計算A'!DP$106=1,1-HN6,0)+IF('計算A'!DQ$106=1,1-HP6,0))*150+225+'計算A'!DQ$5*100000+IF(AND($E6=1,ND6=0),50000,0))+IF($H6=1,(IF('計算A'!DP$117=1,INDEX('計算A'!DP$10:DP$54,$B6),0)+IF('計算A'!DQ$117=1,INDEX('計算A'!DR$10:DR$54,$B6),0))*4000,0)-IF(AND('計算A'!DP$117=1,YN6&gt;0),2000,0)-IF(AND($L6=1,'計算A'!DQ$117=1,HP6=0),2000,0))),1000000))</f>
        <v/>
      </c>
      <c r="ST6">
        <f>IF($B6=0,1000000,IF(INDEX('計算A'!$D$60:$EQ$104,$B6,119)*HP6=1,IF(AND($E6=2,NE6=0),1000000,IF($I6&gt;0,IF(5=$J6,IF(OR(AND(119=$I6+1,OR($K6&lt;&gt;'計算A'!$A$3,'計算A'!$A$4=0)),AND(119=$I6-1,OR(23&lt;&gt;'計算A'!$A$3,'計算A'!$A$4=0))),0,IF(23=$K6,200000,ABS(23-$K6)*100)),100000+ABS(5-$J6)*1000+230)+'計算A'!DR$5*50+IF(AND($E6=1,NE6=0),25,0),IF($F6&gt;0,INDEX('計算A'!DR$110:DR$114,$F6+1)+IF(AND($E6=1,NE6=0),1000,0),MIN(TY6,20)*400+(IF('計算A'!DQ$106=1,1-HO6,0)+IF('計算A'!DR$106=1,1-HQ6,0))*150+235+'計算A'!DR$5*100000+IF(AND($E6=1,NE6=0),50000,0))+IF($H6=1,(IF('計算A'!DQ$117=1,INDEX('計算A'!DQ$10:DQ$54,$B6),0)+IF('計算A'!DR$117=1,INDEX('計算A'!DS$10:DS$54,$B6),0))*4000,0)-IF(AND('計算A'!DQ$117=1,YO6&gt;0),2000,0)-IF(AND($L6=1,'計算A'!DR$117=1,HQ6=0),2000,0))),1000000))</f>
        <v/>
      </c>
      <c r="SU6">
        <f>IF($B6=0,1000000,IF(INDEX('計算A'!$D$60:$EQ$104,$B6,120)*HQ6=1,IF(AND($E6=2,NF6=0),1000000,IF($I6&gt;0,IF(5=$J6,IF(OR(AND(120=$I6+1,OR($K6&lt;&gt;'計算A'!$A$3,'計算A'!$A$4=0)),AND(120=$I6-1,OR(24&lt;&gt;'計算A'!$A$3,'計算A'!$A$4=0))),0,IF(24=$K6,200000,ABS(24-$K6)*100)),100000+ABS(5-$J6)*1000+240)+'計算A'!DS$5*50+IF(AND($E6=1,NF6=0),25,0),IF($F6&gt;0,INDEX('計算A'!DS$110:DS$114,$F6+1)+IF(AND($E6=1,NF6=0),1000,0),MIN(TY6,20)*400+(IF('計算A'!DR$106=1,1-HP6,0))*150+245+'計算A'!DS$5*100000+IF(AND($E6=1,NF6=0),50000,0))+IF($H6=1,(IF('計算A'!DR$117=1,INDEX('計算A'!DR$10:DR$54,$B6),0))*4000,0)-IF(AND('計算A'!DR$117=1,YP6&gt;0),2000,0))),1000000))</f>
        <v/>
      </c>
      <c r="SV6">
        <f>IF($B6=0,1000000,IF(INDEX('計算A'!$D$60:$EQ$104,$B6,121)*HR6=1,IF(AND($E6=2,NG6=0),1000000,IF($I6&gt;0,IF(6=$J6,IF(OR(AND(121=$I6+1,OR($K6&lt;&gt;'計算A'!$A$3,'計算A'!$A$4=0)),AND(121=$I6-1,OR(1&lt;&gt;'計算A'!$A$3,'計算A'!$A$4=0))),0,IF(1=$K6,200000,ABS(1-$K6)*100)),100000+ABS(6-$J6)*1000+10)+'計算A'!DT$5*50+IF(AND($E6=1,NG6=0),25,0),IF($F6&gt;0,INDEX('計算A'!DT$110:DT$114,$F6+1)+IF(AND($E6=1,NG6=0),1000,0),MIN(TZ6,20)*400+(IF('計算A'!DT$106=1,1-HS6,0))*150+16+'計算A'!DT$5*100000+IF(AND($E6=1,NG6=0),50000,0))+IF($H6=1,(IF('計算A'!DT$117=1,INDEX('計算A'!DU$10:DU$54,$B6),0))*4000,0)-IF(AND($L6=1,'計算A'!DT$117=1,HS6=0),2000,0))),1000000))</f>
        <v/>
      </c>
      <c r="SW6">
        <f>IF($B6=0,1000000,IF(INDEX('計算A'!$D$60:$EQ$104,$B6,122)*HS6=1,IF(AND($E6=2,NH6=0),1000000,IF($I6&gt;0,IF(6=$J6,IF(OR(AND(122=$I6+1,OR($K6&lt;&gt;'計算A'!$A$3,'計算A'!$A$4=0)),AND(122=$I6-1,OR(2&lt;&gt;'計算A'!$A$3,'計算A'!$A$4=0))),0,IF(2=$K6,200000,ABS(2-$K6)*100)),100000+ABS(6-$J6)*1000+20)+'計算A'!DU$5*50+IF(AND($E6=1,NH6=0),25,0),IF($F6&gt;0,INDEX('計算A'!DU$110:DU$114,$F6+1)+IF(AND($E6=1,NH6=0),1000,0),MIN(TZ6,20)*400+(IF('計算A'!DT$106=1,1-HR6,0)+IF('計算A'!DU$106=1,1-HT6,0))*150+26+'計算A'!DU$5*100000+IF(AND($E6=1,NH6=0),50000,0))+IF($H6=1,(IF('計算A'!DT$117=1,INDEX('計算A'!DT$10:DT$54,$B6),0)+IF('計算A'!DU$117=1,INDEX('計算A'!DV$10:DV$54,$B6),0))*4000,0)-IF(AND('計算A'!DT$117=1,YR6&gt;0),2000,0)-IF(AND($L6=1,'計算A'!DU$117=1,HT6=0),2000,0))),1000000))</f>
        <v/>
      </c>
      <c r="SX6">
        <f>IF($B6=0,1000000,IF(INDEX('計算A'!$D$60:$EQ$104,$B6,123)*HT6=1,IF(AND($E6=2,NI6=0),1000000,IF($I6&gt;0,IF(6=$J6,IF(OR(AND(123=$I6+1,OR($K6&lt;&gt;'計算A'!$A$3,'計算A'!$A$4=0)),AND(123=$I6-1,OR(3&lt;&gt;'計算A'!$A$3,'計算A'!$A$4=0))),0,IF(3=$K6,200000,ABS(3-$K6)*100)),100000+ABS(6-$J6)*1000+30)+'計算A'!DV$5*50+IF(AND($E6=1,NI6=0),25,0),IF($F6&gt;0,INDEX('計算A'!DV$110:DV$114,$F6+1)+IF(AND($E6=1,NI6=0),1000,0),MIN(TZ6,20)*400+(IF('計算A'!DU$106=1,1-HS6,0)+IF('計算A'!DV$106=1,1-HU6,0))*150+36+'計算A'!DV$5*100000+IF(AND($E6=1,NI6=0),50000,0))+IF($H6=1,(IF('計算A'!DU$117=1,INDEX('計算A'!DU$10:DU$54,$B6),0)+IF('計算A'!DV$117=1,INDEX('計算A'!DW$10:DW$54,$B6),0))*4000,0)-IF(AND('計算A'!DU$117=1,YS6&gt;0),2000,0)-IF(AND($L6=1,'計算A'!DV$117=1,HU6=0),2000,0))),1000000))</f>
        <v/>
      </c>
      <c r="SY6">
        <f>IF($B6=0,1000000,IF(INDEX('計算A'!$D$60:$EQ$104,$B6,124)*HU6=1,IF(AND($E6=2,NJ6=0),1000000,IF($I6&gt;0,IF(6=$J6,IF(OR(AND(124=$I6+1,OR($K6&lt;&gt;'計算A'!$A$3,'計算A'!$A$4=0)),AND(124=$I6-1,OR(4&lt;&gt;'計算A'!$A$3,'計算A'!$A$4=0))),0,IF(4=$K6,200000,ABS(4-$K6)*100)),100000+ABS(6-$J6)*1000+40)+'計算A'!DW$5*50+IF(AND($E6=1,NJ6=0),25,0),IF($F6&gt;0,INDEX('計算A'!DW$110:DW$114,$F6+1)+IF(AND($E6=1,NJ6=0),1000,0),MIN(TZ6,20)*400+(IF('計算A'!DV$106=1,1-HT6,0)+IF('計算A'!DW$106=1,1-HV6,0))*150+46+'計算A'!DW$5*100000+IF(AND($E6=1,NJ6=0),50000,0))+IF($H6=1,(IF('計算A'!DV$117=1,INDEX('計算A'!DV$10:DV$54,$B6),0)+IF('計算A'!DW$117=1,INDEX('計算A'!DX$10:DX$54,$B6),0))*4000,0)-IF(AND('計算A'!DV$117=1,YT6&gt;0),2000,0)-IF(AND($L6=1,'計算A'!DW$117=1,HV6=0),2000,0))),1000000))</f>
        <v/>
      </c>
      <c r="SZ6">
        <f>IF($B6=0,1000000,IF(INDEX('計算A'!$D$60:$EQ$104,$B6,125)*HV6=1,IF(AND($E6=2,NK6=0),1000000,IF($I6&gt;0,IF(6=$J6,IF(OR(AND(125=$I6+1,OR($K6&lt;&gt;'計算A'!$A$3,'計算A'!$A$4=0)),AND(125=$I6-1,OR(5&lt;&gt;'計算A'!$A$3,'計算A'!$A$4=0))),0,IF(5=$K6,200000,ABS(5-$K6)*100)),100000+ABS(6-$J6)*1000+50)+'計算A'!DX$5*50+IF(AND($E6=1,NK6=0),25,0),IF($F6&gt;0,INDEX('計算A'!DX$110:DX$114,$F6+1)+IF(AND($E6=1,NK6=0),1000,0),MIN(TZ6,20)*400+(IF('計算A'!DW$106=1,1-HU6,0)+IF('計算A'!DX$106=1,1-HW6,0))*150+56+'計算A'!DX$5*100000+IF(AND($E6=1,NK6=0),50000,0))+IF($H6=1,(IF('計算A'!DW$117=1,INDEX('計算A'!DW$10:DW$54,$B6),0)+IF('計算A'!DX$117=1,INDEX('計算A'!DY$10:DY$54,$B6),0))*4000,0)-IF(AND('計算A'!DW$117=1,YU6&gt;0),2000,0)-IF(AND($L6=1,'計算A'!DX$117=1,HW6=0),2000,0))),1000000))</f>
        <v/>
      </c>
      <c r="TA6">
        <f>IF($B6=0,1000000,IF(INDEX('計算A'!$D$60:$EQ$104,$B6,126)*HW6=1,IF(AND($E6=2,NL6=0),1000000,IF($I6&gt;0,IF(6=$J6,IF(OR(AND(126=$I6+1,OR($K6&lt;&gt;'計算A'!$A$3,'計算A'!$A$4=0)),AND(126=$I6-1,OR(6&lt;&gt;'計算A'!$A$3,'計算A'!$A$4=0))),0,IF(6=$K6,200000,ABS(6-$K6)*100)),100000+ABS(6-$J6)*1000+60)+'計算A'!DY$5*50+IF(AND($E6=1,NL6=0),25,0),IF($F6&gt;0,INDEX('計算A'!DY$110:DY$114,$F6+1)+IF(AND($E6=1,NL6=0),1000,0),MIN(TZ6,20)*400+(IF('計算A'!DX$106=1,1-HV6,0)+IF('計算A'!DY$106=1,1-HX6,0))*150+66+'計算A'!DY$5*100000+IF(AND($E6=1,NL6=0),50000,0))+IF($H6=1,(IF('計算A'!DX$117=1,INDEX('計算A'!DX$10:DX$54,$B6),0)+IF('計算A'!DY$117=1,INDEX('計算A'!DZ$10:DZ$54,$B6),0))*4000,0)-IF(AND('計算A'!DX$117=1,YV6&gt;0),2000,0)-IF(AND($L6=1,'計算A'!DY$117=1,HX6=0),2000,0))),1000000))</f>
        <v/>
      </c>
      <c r="TB6">
        <f>IF($B6=0,1000000,IF(INDEX('計算A'!$D$60:$EQ$104,$B6,127)*HX6=1,IF(AND($E6=2,NM6=0),1000000,IF($I6&gt;0,IF(6=$J6,IF(OR(AND(127=$I6+1,OR($K6&lt;&gt;'計算A'!$A$3,'計算A'!$A$4=0)),AND(127=$I6-1,OR(7&lt;&gt;'計算A'!$A$3,'計算A'!$A$4=0))),0,IF(7=$K6,200000,ABS(7-$K6)*100)),100000+ABS(6-$J6)*1000+70)+'計算A'!DZ$5*50+IF(AND($E6=1,NM6=0),25,0),IF($F6&gt;0,INDEX('計算A'!DZ$110:DZ$114,$F6+1)+IF(AND($E6=1,NM6=0),1000,0),MIN(TZ6,20)*400+(IF('計算A'!DY$106=1,1-HW6,0)+IF('計算A'!DZ$106=1,1-HY6,0))*150+76+'計算A'!DZ$5*100000+IF(AND($E6=1,NM6=0),50000,0))+IF($H6=1,(IF('計算A'!DY$117=1,INDEX('計算A'!DY$10:DY$54,$B6),0)+IF('計算A'!DZ$117=1,INDEX('計算A'!EA$10:EA$54,$B6),0))*4000,0)-IF(AND('計算A'!DY$117=1,YW6&gt;0),2000,0)-IF(AND($L6=1,'計算A'!DZ$117=1,HY6=0),2000,0))),1000000))</f>
        <v/>
      </c>
      <c r="TC6">
        <f>IF($B6=0,1000000,IF(INDEX('計算A'!$D$60:$EQ$104,$B6,128)*HY6=1,IF(AND($E6=2,NN6=0),1000000,IF($I6&gt;0,IF(6=$J6,IF(OR(AND(128=$I6+1,OR($K6&lt;&gt;'計算A'!$A$3,'計算A'!$A$4=0)),AND(128=$I6-1,OR(8&lt;&gt;'計算A'!$A$3,'計算A'!$A$4=0))),0,IF(8=$K6,200000,ABS(8-$K6)*100)),100000+ABS(6-$J6)*1000+80)+'計算A'!EA$5*50+IF(AND($E6=1,NN6=0),25,0),IF($F6&gt;0,INDEX('計算A'!EA$110:EA$114,$F6+1)+IF(AND($E6=1,NN6=0),1000,0),MIN(TZ6,20)*400+(IF('計算A'!DZ$106=1,1-HX6,0)+IF('計算A'!EA$106=1,1-HZ6,0))*150+86+'計算A'!EA$5*100000+IF(AND($E6=1,NN6=0),50000,0))+IF($H6=1,(IF('計算A'!DZ$117=1,INDEX('計算A'!DZ$10:DZ$54,$B6),0)+IF('計算A'!EA$117=1,INDEX('計算A'!EB$10:EB$54,$B6),0))*4000,0)-IF(AND('計算A'!DZ$117=1,YX6&gt;0),2000,0)-IF(AND($L6=1,'計算A'!EA$117=1,HZ6=0),2000,0))),1000000))</f>
        <v/>
      </c>
      <c r="TD6">
        <f>IF($B6=0,1000000,IF(INDEX('計算A'!$D$60:$EQ$104,$B6,129)*HZ6=1,IF(AND($E6=2,NO6=0),1000000,IF($I6&gt;0,IF(6=$J6,IF(OR(AND(129=$I6+1,OR($K6&lt;&gt;'計算A'!$A$3,'計算A'!$A$4=0)),AND(129=$I6-1,OR(9&lt;&gt;'計算A'!$A$3,'計算A'!$A$4=0))),0,IF(9=$K6,200000,ABS(9-$K6)*100)),100000+ABS(6-$J6)*1000+90)+'計算A'!EB$5*50+IF(AND($E6=1,NO6=0),25,0),IF($F6&gt;0,INDEX('計算A'!EB$110:EB$114,$F6+1)+IF(AND($E6=1,NO6=0),1000,0),MIN(TZ6,20)*400+(IF('計算A'!EA$106=1,1-HY6,0)+IF('計算A'!EB$106=1,1-IA6,0))*150+96+'計算A'!EB$5*100000+IF(AND($E6=1,NO6=0),50000,0))+IF($H6=1,(IF('計算A'!EA$117=1,INDEX('計算A'!EA$10:EA$54,$B6),0)+IF('計算A'!EB$117=1,INDEX('計算A'!EC$10:EC$54,$B6),0))*4000,0)-IF(AND('計算A'!EA$117=1,YY6&gt;0),2000,0)-IF(AND($L6=1,'計算A'!EB$117=1,IA6=0),2000,0))),1000000))</f>
        <v/>
      </c>
      <c r="TE6">
        <f>IF($B6=0,1000000,IF(INDEX('計算A'!$D$60:$EQ$104,$B6,130)*IA6=1,IF(AND($E6=2,NP6=0),1000000,IF($I6&gt;0,IF(6=$J6,IF(OR(AND(130=$I6+1,OR($K6&lt;&gt;'計算A'!$A$3,'計算A'!$A$4=0)),AND(130=$I6-1,OR(10&lt;&gt;'計算A'!$A$3,'計算A'!$A$4=0))),0,IF(10=$K6,200000,ABS(10-$K6)*100)),100000+ABS(6-$J6)*1000+100)+'計算A'!EC$5*50+IF(AND($E6=1,NP6=0),25,0),IF($F6&gt;0,INDEX('計算A'!EC$110:EC$114,$F6+1)+IF(AND($E6=1,NP6=0),1000,0),MIN(TZ6,20)*400+(IF('計算A'!EB$106=1,1-HZ6,0)+IF('計算A'!EC$106=1,1-IB6,0))*150+106+'計算A'!EC$5*100000+IF(AND($E6=1,NP6=0),50000,0))+IF($H6=1,(IF('計算A'!EB$117=1,INDEX('計算A'!EB$10:EB$54,$B6),0)+IF('計算A'!EC$117=1,INDEX('計算A'!ED$10:ED$54,$B6),0))*4000,0)-IF(AND('計算A'!EB$117=1,YZ6&gt;0),2000,0)-IF(AND($L6=1,'計算A'!EC$117=1,IB6=0),2000,0))),1000000))</f>
        <v/>
      </c>
      <c r="TF6">
        <f>IF($B6=0,1000000,IF(INDEX('計算A'!$D$60:$EQ$104,$B6,131)*IB6=1,IF(AND($E6=2,NQ6=0),1000000,IF($I6&gt;0,IF(6=$J6,IF(OR(AND(131=$I6+1,OR($K6&lt;&gt;'計算A'!$A$3,'計算A'!$A$4=0)),AND(131=$I6-1,OR(11&lt;&gt;'計算A'!$A$3,'計算A'!$A$4=0))),0,IF(11=$K6,200000,ABS(11-$K6)*100)),100000+ABS(6-$J6)*1000+110)+'計算A'!ED$5*50+IF(AND($E6=1,NQ6=0),25,0),IF($F6&gt;0,INDEX('計算A'!ED$110:ED$114,$F6+1)+IF(AND($E6=1,NQ6=0),1000,0),MIN(TZ6,20)*400+(IF('計算A'!EC$106=1,1-IA6,0)+IF('計算A'!ED$106=1,1-IC6,0))*150+116+'計算A'!ED$5*100000+IF(AND($E6=1,NQ6=0),50000,0))+IF($H6=1,(IF('計算A'!EC$117=1,INDEX('計算A'!EC$10:EC$54,$B6),0)+IF('計算A'!ED$117=1,INDEX('計算A'!EE$10:EE$54,$B6),0))*4000,0)-IF(AND('計算A'!EC$117=1,ZA6&gt;0),2000,0)-IF(AND($L6=1,'計算A'!ED$117=1,IC6=0),2000,0))),1000000))</f>
        <v/>
      </c>
      <c r="TG6">
        <f>IF($B6=0,1000000,IF(INDEX('計算A'!$D$60:$EQ$104,$B6,132)*IC6=1,IF(AND($E6=2,NR6=0),1000000,IF($I6&gt;0,IF(6=$J6,IF(OR(AND(132=$I6+1,OR($K6&lt;&gt;'計算A'!$A$3,'計算A'!$A$4=0)),AND(132=$I6-1,OR(12&lt;&gt;'計算A'!$A$3,'計算A'!$A$4=0))),0,IF(12=$K6,200000,ABS(12-$K6)*100)),100000+ABS(6-$J6)*1000+120)+'計算A'!EE$5*50+IF(AND($E6=1,NR6=0),25,0),IF($F6&gt;0,INDEX('計算A'!EE$110:EE$114,$F6+1)+IF(AND($E6=1,NR6=0),1000,0),MIN(TZ6,20)*400+(IF('計算A'!ED$106=1,1-IB6,0)+IF('計算A'!EE$106=1,1-ID6,0))*150+126+'計算A'!EE$5*100000+IF(AND($E6=1,NR6=0),50000,0))+IF($H6=1,(IF('計算A'!ED$117=1,INDEX('計算A'!ED$10:ED$54,$B6),0)+IF('計算A'!EE$117=1,INDEX('計算A'!EF$10:EF$54,$B6),0))*4000,0)-IF(AND('計算A'!ED$117=1,ZB6&gt;0),2000,0)-IF(AND($L6=1,'計算A'!EE$117=1,ID6=0),2000,0))),1000000))</f>
        <v/>
      </c>
      <c r="TH6">
        <f>IF($B6=0,1000000,IF(INDEX('計算A'!$D$60:$EQ$104,$B6,133)*ID6=1,IF(AND($E6=2,NS6=0),1000000,IF($I6&gt;0,IF(6=$J6,IF(OR(AND(133=$I6+1,OR($K6&lt;&gt;'計算A'!$A$3,'計算A'!$A$4=0)),AND(133=$I6-1,OR(13&lt;&gt;'計算A'!$A$3,'計算A'!$A$4=0))),0,IF(13=$K6,200000,ABS(13-$K6)*100)),100000+ABS(6-$J6)*1000+130)+'計算A'!EF$5*50+IF(AND($E6=1,NS6=0),25,0),IF($F6&gt;0,INDEX('計算A'!EF$110:EF$114,$F6+1)+IF(AND($E6=1,NS6=0),1000,0),MIN(TZ6,20)*400+(IF('計算A'!EE$106=1,1-IC6,0)+IF('計算A'!EF$106=1,1-IE6,0))*150+136+'計算A'!EF$5*100000+IF(AND($E6=1,NS6=0),50000,0))+IF($H6=1,(IF('計算A'!EE$117=1,INDEX('計算A'!EE$10:EE$54,$B6),0)+IF('計算A'!EF$117=1,INDEX('計算A'!EG$10:EG$54,$B6),0))*4000,0)-IF(AND('計算A'!EE$117=1,ZC6&gt;0),2000,0)-IF(AND($L6=1,'計算A'!EF$117=1,IE6=0),2000,0))),1000000))</f>
        <v/>
      </c>
      <c r="TI6">
        <f>IF($B6=0,1000000,IF(INDEX('計算A'!$D$60:$EQ$104,$B6,134)*IE6=1,IF(AND($E6=2,NT6=0),1000000,IF($I6&gt;0,IF(6=$J6,IF(OR(AND(134=$I6+1,OR($K6&lt;&gt;'計算A'!$A$3,'計算A'!$A$4=0)),AND(134=$I6-1,OR(14&lt;&gt;'計算A'!$A$3,'計算A'!$A$4=0))),0,IF(14=$K6,200000,ABS(14-$K6)*100)),100000+ABS(6-$J6)*1000+140)+'計算A'!EG$5*50+IF(AND($E6=1,NT6=0),25,0),IF($F6&gt;0,INDEX('計算A'!EG$110:EG$114,$F6+1)+IF(AND($E6=1,NT6=0),1000,0),MIN(TZ6,20)*400+(IF('計算A'!EF$106=1,1-ID6,0)+IF('計算A'!EG$106=1,1-IF6,0))*150+146+'計算A'!EG$5*100000+IF(AND($E6=1,NT6=0),50000,0))+IF($H6=1,(IF('計算A'!EF$117=1,INDEX('計算A'!EF$10:EF$54,$B6),0)+IF('計算A'!EG$117=1,INDEX('計算A'!EH$10:EH$54,$B6),0))*4000,0)-IF(AND('計算A'!EF$117=1,ZD6&gt;0),2000,0)-IF(AND($L6=1,'計算A'!EG$117=1,IF6=0),2000,0))),1000000))</f>
        <v/>
      </c>
      <c r="TJ6">
        <f>IF($B6=0,1000000,IF(INDEX('計算A'!$D$60:$EQ$104,$B6,135)*IF6=1,IF(AND($E6=2,NU6=0),1000000,IF($I6&gt;0,IF(6=$J6,IF(OR(AND(135=$I6+1,OR($K6&lt;&gt;'計算A'!$A$3,'計算A'!$A$4=0)),AND(135=$I6-1,OR(15&lt;&gt;'計算A'!$A$3,'計算A'!$A$4=0))),0,IF(15=$K6,200000,ABS(15-$K6)*100)),100000+ABS(6-$J6)*1000+150)+'計算A'!EH$5*50+IF(AND($E6=1,NU6=0),25,0),IF($F6&gt;0,INDEX('計算A'!EH$110:EH$114,$F6+1)+IF(AND($E6=1,NU6=0),1000,0),MIN(TZ6,20)*400+(IF('計算A'!EG$106=1,1-IE6,0)+IF('計算A'!EH$106=1,1-IG6,0))*150+156+'計算A'!EH$5*100000+IF(AND($E6=1,NU6=0),50000,0))+IF($H6=1,(IF('計算A'!EG$117=1,INDEX('計算A'!EG$10:EG$54,$B6),0)+IF('計算A'!EH$117=1,INDEX('計算A'!EI$10:EI$54,$B6),0))*4000,0)-IF(AND('計算A'!EG$117=1,ZE6&gt;0),2000,0)-IF(AND($L6=1,'計算A'!EH$117=1,IG6=0),2000,0))),1000000))</f>
        <v/>
      </c>
      <c r="TK6">
        <f>IF($B6=0,1000000,IF(INDEX('計算A'!$D$60:$EQ$104,$B6,136)*IG6=1,IF(AND($E6=2,NV6=0),1000000,IF($I6&gt;0,IF(6=$J6,IF(OR(AND(136=$I6+1,OR($K6&lt;&gt;'計算A'!$A$3,'計算A'!$A$4=0)),AND(136=$I6-1,OR(16&lt;&gt;'計算A'!$A$3,'計算A'!$A$4=0))),0,IF(16=$K6,200000,ABS(16-$K6)*100)),100000+ABS(6-$J6)*1000+160)+'計算A'!EI$5*50+IF(AND($E6=1,NV6=0),25,0),IF($F6&gt;0,INDEX('計算A'!EI$110:EI$114,$F6+1)+IF(AND($E6=1,NV6=0),1000,0),MIN(TZ6,20)*400+(IF('計算A'!EH$106=1,1-IF6,0)+IF('計算A'!EI$106=1,1-IH6,0))*150+166+'計算A'!EI$5*100000+IF(AND($E6=1,NV6=0),50000,0))+IF($H6=1,(IF('計算A'!EH$117=1,INDEX('計算A'!EH$10:EH$54,$B6),0)+IF('計算A'!EI$117=1,INDEX('計算A'!EJ$10:EJ$54,$B6),0))*4000,0)-IF(AND('計算A'!EH$117=1,ZF6&gt;0),2000,0)-IF(AND($L6=1,'計算A'!EI$117=1,IH6=0),2000,0))),1000000))</f>
        <v/>
      </c>
      <c r="TL6">
        <f>IF($B6=0,1000000,IF(INDEX('計算A'!$D$60:$EQ$104,$B6,137)*IH6=1,IF(AND($E6=2,NW6=0),1000000,IF($I6&gt;0,IF(6=$J6,IF(OR(AND(137=$I6+1,OR($K6&lt;&gt;'計算A'!$A$3,'計算A'!$A$4=0)),AND(137=$I6-1,OR(17&lt;&gt;'計算A'!$A$3,'計算A'!$A$4=0))),0,IF(17=$K6,200000,ABS(17-$K6)*100)),100000+ABS(6-$J6)*1000+170)+'計算A'!EJ$5*50+IF(AND($E6=1,NW6=0),25,0),IF($F6&gt;0,INDEX('計算A'!EJ$110:EJ$114,$F6+1)+IF(AND($E6=1,NW6=0),1000,0),MIN(TZ6,20)*400+(IF('計算A'!EI$106=1,1-IG6,0)+IF('計算A'!EJ$106=1,1-II6,0))*150+176+'計算A'!EJ$5*100000+IF(AND($E6=1,NW6=0),50000,0))+IF($H6=1,(IF('計算A'!EI$117=1,INDEX('計算A'!EI$10:EI$54,$B6),0)+IF('計算A'!EJ$117=1,INDEX('計算A'!EK$10:EK$54,$B6),0))*4000,0)-IF(AND('計算A'!EI$117=1,ZG6&gt;0),2000,0)-IF(AND($L6=1,'計算A'!EJ$117=1,II6=0),2000,0))),1000000))</f>
        <v/>
      </c>
      <c r="TM6">
        <f>IF($B6=0,1000000,IF(INDEX('計算A'!$D$60:$EQ$104,$B6,138)*II6=1,IF(AND($E6=2,NX6=0),1000000,IF($I6&gt;0,IF(6=$J6,IF(OR(AND(138=$I6+1,OR($K6&lt;&gt;'計算A'!$A$3,'計算A'!$A$4=0)),AND(138=$I6-1,OR(18&lt;&gt;'計算A'!$A$3,'計算A'!$A$4=0))),0,IF(18=$K6,200000,ABS(18-$K6)*100)),100000+ABS(6-$J6)*1000+180)+'計算A'!EK$5*50+IF(AND($E6=1,NX6=0),25,0),IF($F6&gt;0,INDEX('計算A'!EK$110:EK$114,$F6+1)+IF(AND($E6=1,NX6=0),1000,0),MIN(TZ6,20)*400+(IF('計算A'!EJ$106=1,1-IH6,0)+IF('計算A'!EK$106=1,1-IJ6,0))*150+186+'計算A'!EK$5*100000+IF(AND($E6=1,NX6=0),50000,0))+IF($H6=1,(IF('計算A'!EJ$117=1,INDEX('計算A'!EJ$10:EJ$54,$B6),0)+IF('計算A'!EK$117=1,INDEX('計算A'!EL$10:EL$54,$B6),0))*4000,0)-IF(AND('計算A'!EJ$117=1,ZH6&gt;0),2000,0)-IF(AND($L6=1,'計算A'!EK$117=1,IJ6=0),2000,0))),1000000))</f>
        <v/>
      </c>
      <c r="TN6">
        <f>IF($B6=0,1000000,IF(INDEX('計算A'!$D$60:$EQ$104,$B6,139)*IJ6=1,IF(AND($E6=2,NY6=0),1000000,IF($I6&gt;0,IF(6=$J6,IF(OR(AND(139=$I6+1,OR($K6&lt;&gt;'計算A'!$A$3,'計算A'!$A$4=0)),AND(139=$I6-1,OR(19&lt;&gt;'計算A'!$A$3,'計算A'!$A$4=0))),0,IF(19=$K6,200000,ABS(19-$K6)*100)),100000+ABS(6-$J6)*1000+190)+'計算A'!EL$5*50+IF(AND($E6=1,NY6=0),25,0),IF($F6&gt;0,INDEX('計算A'!EL$110:EL$114,$F6+1)+IF(AND($E6=1,NY6=0),1000,0),MIN(TZ6,20)*400+(IF('計算A'!EK$106=1,1-II6,0)+IF('計算A'!EL$106=1,1-IK6,0))*150+196+'計算A'!EL$5*100000+IF(AND($E6=1,NY6=0),50000,0))+IF($H6=1,(IF('計算A'!EK$117=1,INDEX('計算A'!EK$10:EK$54,$B6),0)+IF('計算A'!EL$117=1,INDEX('計算A'!EM$10:EM$54,$B6),0))*4000,0)-IF(AND('計算A'!EK$117=1,ZI6&gt;0),2000,0)-IF(AND($L6=1,'計算A'!EL$117=1,IK6=0),2000,0))),1000000))</f>
        <v/>
      </c>
      <c r="TO6">
        <f>IF($B6=0,1000000,IF(INDEX('計算A'!$D$60:$EQ$104,$B6,140)*IK6=1,IF(AND($E6=2,NZ6=0),1000000,IF($I6&gt;0,IF(6=$J6,IF(OR(AND(140=$I6+1,OR($K6&lt;&gt;'計算A'!$A$3,'計算A'!$A$4=0)),AND(140=$I6-1,OR(20&lt;&gt;'計算A'!$A$3,'計算A'!$A$4=0))),0,IF(20=$K6,200000,ABS(20-$K6)*100)),100000+ABS(6-$J6)*1000+200)+'計算A'!EM$5*50+IF(AND($E6=1,NZ6=0),25,0),IF($F6&gt;0,INDEX('計算A'!EM$110:EM$114,$F6+1)+IF(AND($E6=1,NZ6=0),1000,0),MIN(TZ6,20)*400+(IF('計算A'!EL$106=1,1-IJ6,0)+IF('計算A'!EM$106=1,1-IL6,0))*150+206+'計算A'!EM$5*100000+IF(AND($E6=1,NZ6=0),50000,0))+IF($H6=1,(IF('計算A'!EL$117=1,INDEX('計算A'!EL$10:EL$54,$B6),0)+IF('計算A'!EM$117=1,INDEX('計算A'!EN$10:EN$54,$B6),0))*4000,0)-IF(AND('計算A'!EL$117=1,ZJ6&gt;0),2000,0)-IF(AND($L6=1,'計算A'!EM$117=1,IL6=0),2000,0))),1000000))</f>
        <v/>
      </c>
      <c r="TP6">
        <f>IF($B6=0,1000000,IF(INDEX('計算A'!$D$60:$EQ$104,$B6,141)*IL6=1,IF(AND($E6=2,OA6=0),1000000,IF($I6&gt;0,IF(6=$J6,IF(OR(AND(141=$I6+1,OR($K6&lt;&gt;'計算A'!$A$3,'計算A'!$A$4=0)),AND(141=$I6-1,OR(21&lt;&gt;'計算A'!$A$3,'計算A'!$A$4=0))),0,IF(21=$K6,200000,ABS(21-$K6)*100)),100000+ABS(6-$J6)*1000+210)+'計算A'!EN$5*50+IF(AND($E6=1,OA6=0),25,0),IF($F6&gt;0,INDEX('計算A'!EN$110:EN$114,$F6+1)+IF(AND($E6=1,OA6=0),1000,0),MIN(TZ6,20)*400+(IF('計算A'!EM$106=1,1-IK6,0)+IF('計算A'!EN$106=1,1-IM6,0))*150+216+'計算A'!EN$5*100000+IF(AND($E6=1,OA6=0),50000,0))+IF($H6=1,(IF('計算A'!EM$117=1,INDEX('計算A'!EM$10:EM$54,$B6),0)+IF('計算A'!EN$117=1,INDEX('計算A'!EO$10:EO$54,$B6),0))*4000,0)-IF(AND('計算A'!EM$117=1,ZK6&gt;0),2000,0)-IF(AND($L6=1,'計算A'!EN$117=1,IM6=0),2000,0))),1000000))</f>
        <v/>
      </c>
      <c r="TQ6">
        <f>IF($B6=0,1000000,IF(INDEX('計算A'!$D$60:$EQ$104,$B6,142)*IM6=1,IF(AND($E6=2,OB6=0),1000000,IF($I6&gt;0,IF(6=$J6,IF(OR(AND(142=$I6+1,OR($K6&lt;&gt;'計算A'!$A$3,'計算A'!$A$4=0)),AND(142=$I6-1,OR(22&lt;&gt;'計算A'!$A$3,'計算A'!$A$4=0))),0,IF(22=$K6,200000,ABS(22-$K6)*100)),100000+ABS(6-$J6)*1000+220)+'計算A'!EO$5*50+IF(AND($E6=1,OB6=0),25,0),IF($F6&gt;0,INDEX('計算A'!EO$110:EO$114,$F6+1)+IF(AND($E6=1,OB6=0),1000,0),MIN(TZ6,20)*400+(IF('計算A'!EN$106=1,1-IL6,0)+IF('計算A'!EO$106=1,1-IN6,0))*150+226+'計算A'!EO$5*100000+IF(AND($E6=1,OB6=0),50000,0))+IF($H6=1,(IF('計算A'!EN$117=1,INDEX('計算A'!EN$10:EN$54,$B6),0)+IF('計算A'!EO$117=1,INDEX('計算A'!EP$10:EP$54,$B6),0))*4000,0)-IF(AND('計算A'!EN$117=1,ZL6&gt;0),2000,0)-IF(AND($L6=1,'計算A'!EO$117=1,IN6=0),2000,0))),1000000))</f>
        <v/>
      </c>
      <c r="TR6">
        <f>IF($B6=0,1000000,IF(INDEX('計算A'!$D$60:$EQ$104,$B6,143)*IN6=1,IF(AND($E6=2,OC6=0),1000000,IF($I6&gt;0,IF(6=$J6,IF(OR(AND(143=$I6+1,OR($K6&lt;&gt;'計算A'!$A$3,'計算A'!$A$4=0)),AND(143=$I6-1,OR(23&lt;&gt;'計算A'!$A$3,'計算A'!$A$4=0))),0,IF(23=$K6,200000,ABS(23-$K6)*100)),100000+ABS(6-$J6)*1000+230)+'計算A'!EP$5*50+IF(AND($E6=1,OC6=0),25,0),IF($F6&gt;0,INDEX('計算A'!EP$110:EP$114,$F6+1)+IF(AND($E6=1,OC6=0),1000,0),MIN(TZ6,20)*400+(IF('計算A'!EO$106=1,1-IM6,0)+IF('計算A'!EP$106=1,1-IO6,0))*150+236+'計算A'!EP$5*100000+IF(AND($E6=1,OC6=0),50000,0))+IF($H6=1,(IF('計算A'!EO$117=1,INDEX('計算A'!EO$10:EO$54,$B6),0)+IF('計算A'!EP$117=1,INDEX('計算A'!EQ$10:EQ$54,$B6),0))*4000,0)-IF(AND('計算A'!EO$117=1,ZM6&gt;0),2000,0)-IF(AND($L6=1,'計算A'!EP$117=1,IO6=0),2000,0))),1000000))</f>
        <v/>
      </c>
      <c r="TS6">
        <f>IF($B6=0,1000000,IF(INDEX('計算A'!$D$60:$EQ$104,$B6,144)*IO6=1,IF(AND($E6=2,OD6=0),1000000,IF($I6&gt;0,IF(6=$J6,IF(OR(AND(144=$I6+1,OR($K6&lt;&gt;'計算A'!$A$3,'計算A'!$A$4=0)),AND(144=$I6-1,OR(24&lt;&gt;'計算A'!$A$3,'計算A'!$A$4=0))),0,IF(24=$K6,200000,ABS(24-$K6)*100)),100000+ABS(6-$J6)*1000+240)+'計算A'!EQ$5*50+IF(AND($E6=1,OD6=0),25,0),IF($F6&gt;0,INDEX('計算A'!EQ$110:EQ$114,$F6+1)+IF(AND($E6=1,OD6=0),1000,0),MIN(TZ6,20)*400+(IF('計算A'!EP$106=1,1-IN6,0))*150+246+'計算A'!EQ$5*100000+IF(AND($E6=1,OD6=0),50000,0))+IF($H6=1,(IF('計算A'!EP$117=1,INDEX('計算A'!EP$10:EP$54,$B6),0))*4000,0)-IF(AND('計算A'!EP$117=1,ZN6&gt;0),2000,0))),1000000))</f>
        <v/>
      </c>
      <c r="TU6">
        <f>TU5+IF($C5&gt;0,IF(INDEX('計算A'!$D$2:$EQ$2,$C5)=1,1,0),0)</f>
        <v/>
      </c>
      <c r="TV6">
        <f>TV5+IF($C5&gt;0,IF(INDEX('計算A'!$D$2:$EQ$2,$C5)=2,1,0),0)</f>
        <v/>
      </c>
      <c r="TW6">
        <f>TW5+IF($C5&gt;0,IF(INDEX('計算A'!$D$2:$EQ$2,$C5)=3,1,0),0)</f>
        <v/>
      </c>
      <c r="TX6">
        <f>TX5+IF($C5&gt;0,IF(INDEX('計算A'!$D$2:$EQ$2,$C5)=4,1,0),0)</f>
        <v/>
      </c>
      <c r="TY6">
        <f>TY5+IF($C5&gt;0,IF(INDEX('計算A'!$D$2:$EQ$2,$C5)=5,1,0),0)</f>
        <v/>
      </c>
      <c r="TZ6">
        <f>TZ5+IF($C5&gt;0,IF(INDEX('計算A'!$D$2:$EQ$2,$C5)=6,1,0),0)</f>
        <v/>
      </c>
      <c r="UB6">
        <f>UB5+IF(AND($C5=1,$L5=1),1,0)</f>
        <v/>
      </c>
      <c r="UC6">
        <f>UC5+IF(AND($C5=2,$L5=1),1,0)</f>
        <v/>
      </c>
      <c r="UD6">
        <f>UD5+IF(AND($C5=3,$L5=1),1,0)</f>
        <v/>
      </c>
      <c r="UE6">
        <f>UE5+IF(AND($C5=4,$L5=1),1,0)</f>
        <v/>
      </c>
      <c r="UF6">
        <f>UF5+IF(AND($C5=5,$L5=1),1,0)</f>
        <v/>
      </c>
      <c r="UG6">
        <f>UG5+IF(AND($C5=6,$L5=1),1,0)</f>
        <v/>
      </c>
      <c r="UH6">
        <f>UH5+IF(AND($C5=7,$L5=1),1,0)</f>
        <v/>
      </c>
      <c r="UI6">
        <f>UI5+IF(AND($C5=8,$L5=1),1,0)</f>
        <v/>
      </c>
      <c r="UJ6">
        <f>UJ5+IF(AND($C5=9,$L5=1),1,0)</f>
        <v/>
      </c>
      <c r="UK6">
        <f>UK5+IF(AND($C5=10,$L5=1),1,0)</f>
        <v/>
      </c>
      <c r="UL6">
        <f>UL5+IF(AND($C5=11,$L5=1),1,0)</f>
        <v/>
      </c>
      <c r="UM6">
        <f>UM5+IF(AND($C5=12,$L5=1),1,0)</f>
        <v/>
      </c>
      <c r="UN6">
        <f>UN5+IF(AND($C5=13,$L5=1),1,0)</f>
        <v/>
      </c>
      <c r="UO6">
        <f>UO5+IF(AND($C5=14,$L5=1),1,0)</f>
        <v/>
      </c>
      <c r="UP6">
        <f>UP5+IF(AND($C5=15,$L5=1),1,0)</f>
        <v/>
      </c>
      <c r="UQ6">
        <f>UQ5+IF(AND($C5=16,$L5=1),1,0)</f>
        <v/>
      </c>
      <c r="UR6">
        <f>UR5+IF(AND($C5=17,$L5=1),1,0)</f>
        <v/>
      </c>
      <c r="US6">
        <f>US5+IF(AND($C5=18,$L5=1),1,0)</f>
        <v/>
      </c>
      <c r="UT6">
        <f>UT5+IF(AND($C5=19,$L5=1),1,0)</f>
        <v/>
      </c>
      <c r="UU6">
        <f>UU5+IF(AND($C5=20,$L5=1),1,0)</f>
        <v/>
      </c>
      <c r="UV6">
        <f>UV5+IF(AND($C5=21,$L5=1),1,0)</f>
        <v/>
      </c>
      <c r="UW6">
        <f>UW5+IF(AND($C5=22,$L5=1),1,0)</f>
        <v/>
      </c>
      <c r="UX6">
        <f>UX5+IF(AND($C5=23,$L5=1),1,0)</f>
        <v/>
      </c>
      <c r="UY6">
        <f>UY5+IF(AND($C5=24,$L5=1),1,0)</f>
        <v/>
      </c>
      <c r="UZ6">
        <f>UZ5+IF(AND($C5=25,$L5=1),1,0)</f>
        <v/>
      </c>
      <c r="VA6">
        <f>VA5+IF(AND($C5=26,$L5=1),1,0)</f>
        <v/>
      </c>
      <c r="VB6">
        <f>VB5+IF(AND($C5=27,$L5=1),1,0)</f>
        <v/>
      </c>
      <c r="VC6">
        <f>VC5+IF(AND($C5=28,$L5=1),1,0)</f>
        <v/>
      </c>
      <c r="VD6">
        <f>VD5+IF(AND($C5=29,$L5=1),1,0)</f>
        <v/>
      </c>
      <c r="VE6">
        <f>VE5+IF(AND($C5=30,$L5=1),1,0)</f>
        <v/>
      </c>
      <c r="VF6">
        <f>VF5+IF(AND($C5=31,$L5=1),1,0)</f>
        <v/>
      </c>
      <c r="VG6">
        <f>VG5+IF(AND($C5=32,$L5=1),1,0)</f>
        <v/>
      </c>
      <c r="VH6">
        <f>VH5+IF(AND($C5=33,$L5=1),1,0)</f>
        <v/>
      </c>
      <c r="VI6">
        <f>VI5+IF(AND($C5=34,$L5=1),1,0)</f>
        <v/>
      </c>
      <c r="VJ6">
        <f>VJ5+IF(AND($C5=35,$L5=1),1,0)</f>
        <v/>
      </c>
      <c r="VK6">
        <f>VK5+IF(AND($C5=36,$L5=1),1,0)</f>
        <v/>
      </c>
      <c r="VL6">
        <f>VL5+IF(AND($C5=37,$L5=1),1,0)</f>
        <v/>
      </c>
      <c r="VM6">
        <f>VM5+IF(AND($C5=38,$L5=1),1,0)</f>
        <v/>
      </c>
      <c r="VN6">
        <f>VN5+IF(AND($C5=39,$L5=1),1,0)</f>
        <v/>
      </c>
      <c r="VO6">
        <f>VO5+IF(AND($C5=40,$L5=1),1,0)</f>
        <v/>
      </c>
      <c r="VP6">
        <f>VP5+IF(AND($C5=41,$L5=1),1,0)</f>
        <v/>
      </c>
      <c r="VQ6">
        <f>VQ5+IF(AND($C5=42,$L5=1),1,0)</f>
        <v/>
      </c>
      <c r="VR6">
        <f>VR5+IF(AND($C5=43,$L5=1),1,0)</f>
        <v/>
      </c>
      <c r="VS6">
        <f>VS5+IF(AND($C5=44,$L5=1),1,0)</f>
        <v/>
      </c>
      <c r="VT6">
        <f>VT5+IF(AND($C5=45,$L5=1),1,0)</f>
        <v/>
      </c>
      <c r="VU6">
        <f>VU5+IF(AND($C5=46,$L5=1),1,0)</f>
        <v/>
      </c>
      <c r="VV6">
        <f>VV5+IF(AND($C5=47,$L5=1),1,0)</f>
        <v/>
      </c>
      <c r="VW6">
        <f>VW5+IF(AND($C5=48,$L5=1),1,0)</f>
        <v/>
      </c>
      <c r="VX6">
        <f>VX5+IF(AND($C5=49,$L5=1),1,0)</f>
        <v/>
      </c>
      <c r="VY6">
        <f>VY5+IF(AND($C5=50,$L5=1),1,0)</f>
        <v/>
      </c>
      <c r="VZ6">
        <f>VZ5+IF(AND($C5=51,$L5=1),1,0)</f>
        <v/>
      </c>
      <c r="WA6">
        <f>WA5+IF(AND($C5=52,$L5=1),1,0)</f>
        <v/>
      </c>
      <c r="WB6">
        <f>WB5+IF(AND($C5=53,$L5=1),1,0)</f>
        <v/>
      </c>
      <c r="WC6">
        <f>WC5+IF(AND($C5=54,$L5=1),1,0)</f>
        <v/>
      </c>
      <c r="WD6">
        <f>WD5+IF(AND($C5=55,$L5=1),1,0)</f>
        <v/>
      </c>
      <c r="WE6">
        <f>WE5+IF(AND($C5=56,$L5=1),1,0)</f>
        <v/>
      </c>
      <c r="WF6">
        <f>WF5+IF(AND($C5=57,$L5=1),1,0)</f>
        <v/>
      </c>
      <c r="WG6">
        <f>WG5+IF(AND($C5=58,$L5=1),1,0)</f>
        <v/>
      </c>
      <c r="WH6">
        <f>WH5+IF(AND($C5=59,$L5=1),1,0)</f>
        <v/>
      </c>
      <c r="WI6">
        <f>WI5+IF(AND($C5=60,$L5=1),1,0)</f>
        <v/>
      </c>
      <c r="WJ6">
        <f>WJ5+IF(AND($C5=61,$L5=1),1,0)</f>
        <v/>
      </c>
      <c r="WK6">
        <f>WK5+IF(AND($C5=62,$L5=1),1,0)</f>
        <v/>
      </c>
      <c r="WL6">
        <f>WL5+IF(AND($C5=63,$L5=1),1,0)</f>
        <v/>
      </c>
      <c r="WM6">
        <f>WM5+IF(AND($C5=64,$L5=1),1,0)</f>
        <v/>
      </c>
      <c r="WN6">
        <f>WN5+IF(AND($C5=65,$L5=1),1,0)</f>
        <v/>
      </c>
      <c r="WO6">
        <f>WO5+IF(AND($C5=66,$L5=1),1,0)</f>
        <v/>
      </c>
      <c r="WP6">
        <f>WP5+IF(AND($C5=67,$L5=1),1,0)</f>
        <v/>
      </c>
      <c r="WQ6">
        <f>WQ5+IF(AND($C5=68,$L5=1),1,0)</f>
        <v/>
      </c>
      <c r="WR6">
        <f>WR5+IF(AND($C5=69,$L5=1),1,0)</f>
        <v/>
      </c>
      <c r="WS6">
        <f>WS5+IF(AND($C5=70,$L5=1),1,0)</f>
        <v/>
      </c>
      <c r="WT6">
        <f>WT5+IF(AND($C5=71,$L5=1),1,0)</f>
        <v/>
      </c>
      <c r="WU6">
        <f>WU5+IF(AND($C5=72,$L5=1),1,0)</f>
        <v/>
      </c>
      <c r="WV6">
        <f>WV5+IF(AND($C5=73,$L5=1),1,0)</f>
        <v/>
      </c>
      <c r="WW6">
        <f>WW5+IF(AND($C5=74,$L5=1),1,0)</f>
        <v/>
      </c>
      <c r="WX6">
        <f>WX5+IF(AND($C5=75,$L5=1),1,0)</f>
        <v/>
      </c>
      <c r="WY6">
        <f>WY5+IF(AND($C5=76,$L5=1),1,0)</f>
        <v/>
      </c>
      <c r="WZ6">
        <f>WZ5+IF(AND($C5=77,$L5=1),1,0)</f>
        <v/>
      </c>
      <c r="XA6">
        <f>XA5+IF(AND($C5=78,$L5=1),1,0)</f>
        <v/>
      </c>
      <c r="XB6">
        <f>XB5+IF(AND($C5=79,$L5=1),1,0)</f>
        <v/>
      </c>
      <c r="XC6">
        <f>XC5+IF(AND($C5=80,$L5=1),1,0)</f>
        <v/>
      </c>
      <c r="XD6">
        <f>XD5+IF(AND($C5=81,$L5=1),1,0)</f>
        <v/>
      </c>
      <c r="XE6">
        <f>XE5+IF(AND($C5=82,$L5=1),1,0)</f>
        <v/>
      </c>
      <c r="XF6">
        <f>XF5+IF(AND($C5=83,$L5=1),1,0)</f>
        <v/>
      </c>
      <c r="XG6">
        <f>XG5+IF(AND($C5=84,$L5=1),1,0)</f>
        <v/>
      </c>
      <c r="XH6">
        <f>XH5+IF(AND($C5=85,$L5=1),1,0)</f>
        <v/>
      </c>
      <c r="XI6">
        <f>XI5+IF(AND($C5=86,$L5=1),1,0)</f>
        <v/>
      </c>
      <c r="XJ6">
        <f>XJ5+IF(AND($C5=87,$L5=1),1,0)</f>
        <v/>
      </c>
      <c r="XK6">
        <f>XK5+IF(AND($C5=88,$L5=1),1,0)</f>
        <v/>
      </c>
      <c r="XL6">
        <f>XL5+IF(AND($C5=89,$L5=1),1,0)</f>
        <v/>
      </c>
      <c r="XM6">
        <f>XM5+IF(AND($C5=90,$L5=1),1,0)</f>
        <v/>
      </c>
      <c r="XN6">
        <f>XN5+IF(AND($C5=91,$L5=1),1,0)</f>
        <v/>
      </c>
      <c r="XO6">
        <f>XO5+IF(AND($C5=92,$L5=1),1,0)</f>
        <v/>
      </c>
      <c r="XP6">
        <f>XP5+IF(AND($C5=93,$L5=1),1,0)</f>
        <v/>
      </c>
      <c r="XQ6">
        <f>XQ5+IF(AND($C5=94,$L5=1),1,0)</f>
        <v/>
      </c>
      <c r="XR6">
        <f>XR5+IF(AND($C5=95,$L5=1),1,0)</f>
        <v/>
      </c>
      <c r="XS6">
        <f>XS5+IF(AND($C5=96,$L5=1),1,0)</f>
        <v/>
      </c>
      <c r="XT6">
        <f>XT5+IF(AND($C5=97,$L5=1),1,0)</f>
        <v/>
      </c>
      <c r="XU6">
        <f>XU5+IF(AND($C5=98,$L5=1),1,0)</f>
        <v/>
      </c>
      <c r="XV6">
        <f>XV5+IF(AND($C5=99,$L5=1),1,0)</f>
        <v/>
      </c>
      <c r="XW6">
        <f>XW5+IF(AND($C5=100,$L5=1),1,0)</f>
        <v/>
      </c>
      <c r="XX6">
        <f>XX5+IF(AND($C5=101,$L5=1),1,0)</f>
        <v/>
      </c>
      <c r="XY6">
        <f>XY5+IF(AND($C5=102,$L5=1),1,0)</f>
        <v/>
      </c>
      <c r="XZ6">
        <f>XZ5+IF(AND($C5=103,$L5=1),1,0)</f>
        <v/>
      </c>
      <c r="YA6">
        <f>YA5+IF(AND($C5=104,$L5=1),1,0)</f>
        <v/>
      </c>
      <c r="YB6">
        <f>YB5+IF(AND($C5=105,$L5=1),1,0)</f>
        <v/>
      </c>
      <c r="YC6">
        <f>YC5+IF(AND($C5=106,$L5=1),1,0)</f>
        <v/>
      </c>
      <c r="YD6">
        <f>YD5+IF(AND($C5=107,$L5=1),1,0)</f>
        <v/>
      </c>
      <c r="YE6">
        <f>YE5+IF(AND($C5=108,$L5=1),1,0)</f>
        <v/>
      </c>
      <c r="YF6">
        <f>YF5+IF(AND($C5=109,$L5=1),1,0)</f>
        <v/>
      </c>
      <c r="YG6">
        <f>YG5+IF(AND($C5=110,$L5=1),1,0)</f>
        <v/>
      </c>
      <c r="YH6">
        <f>YH5+IF(AND($C5=111,$L5=1),1,0)</f>
        <v/>
      </c>
      <c r="YI6">
        <f>YI5+IF(AND($C5=112,$L5=1),1,0)</f>
        <v/>
      </c>
      <c r="YJ6">
        <f>YJ5+IF(AND($C5=113,$L5=1),1,0)</f>
        <v/>
      </c>
      <c r="YK6">
        <f>YK5+IF(AND($C5=114,$L5=1),1,0)</f>
        <v/>
      </c>
      <c r="YL6">
        <f>YL5+IF(AND($C5=115,$L5=1),1,0)</f>
        <v/>
      </c>
      <c r="YM6">
        <f>YM5+IF(AND($C5=116,$L5=1),1,0)</f>
        <v/>
      </c>
      <c r="YN6">
        <f>YN5+IF(AND($C5=117,$L5=1),1,0)</f>
        <v/>
      </c>
      <c r="YO6">
        <f>YO5+IF(AND($C5=118,$L5=1),1,0)</f>
        <v/>
      </c>
      <c r="YP6">
        <f>YP5+IF(AND($C5=119,$L5=1),1,0)</f>
        <v/>
      </c>
      <c r="YQ6">
        <f>YQ5+IF(AND($C5=120,$L5=1),1,0)</f>
        <v/>
      </c>
      <c r="YR6">
        <f>YR5+IF(AND($C5=121,$L5=1),1,0)</f>
        <v/>
      </c>
      <c r="YS6">
        <f>YS5+IF(AND($C5=122,$L5=1),1,0)</f>
        <v/>
      </c>
      <c r="YT6">
        <f>YT5+IF(AND($C5=123,$L5=1),1,0)</f>
        <v/>
      </c>
      <c r="YU6">
        <f>YU5+IF(AND($C5=124,$L5=1),1,0)</f>
        <v/>
      </c>
      <c r="YV6">
        <f>YV5+IF(AND($C5=125,$L5=1),1,0)</f>
        <v/>
      </c>
      <c r="YW6">
        <f>YW5+IF(AND($C5=126,$L5=1),1,0)</f>
        <v/>
      </c>
      <c r="YX6">
        <f>YX5+IF(AND($C5=127,$L5=1),1,0)</f>
        <v/>
      </c>
      <c r="YY6">
        <f>YY5+IF(AND($C5=128,$L5=1),1,0)</f>
        <v/>
      </c>
      <c r="YZ6">
        <f>YZ5+IF(AND($C5=129,$L5=1),1,0)</f>
        <v/>
      </c>
      <c r="ZA6">
        <f>ZA5+IF(AND($C5=130,$L5=1),1,0)</f>
        <v/>
      </c>
      <c r="ZB6">
        <f>ZB5+IF(AND($C5=131,$L5=1),1,0)</f>
        <v/>
      </c>
      <c r="ZC6">
        <f>ZC5+IF(AND($C5=132,$L5=1),1,0)</f>
        <v/>
      </c>
      <c r="ZD6">
        <f>ZD5+IF(AND($C5=133,$L5=1),1,0)</f>
        <v/>
      </c>
      <c r="ZE6">
        <f>ZE5+IF(AND($C5=134,$L5=1),1,0)</f>
        <v/>
      </c>
      <c r="ZF6">
        <f>ZF5+IF(AND($C5=135,$L5=1),1,0)</f>
        <v/>
      </c>
      <c r="ZG6">
        <f>ZG5+IF(AND($C5=136,$L5=1),1,0)</f>
        <v/>
      </c>
      <c r="ZH6">
        <f>ZH5+IF(AND($C5=137,$L5=1),1,0)</f>
        <v/>
      </c>
      <c r="ZI6">
        <f>ZI5+IF(AND($C5=138,$L5=1),1,0)</f>
        <v/>
      </c>
      <c r="ZJ6">
        <f>ZJ5+IF(AND($C5=139,$L5=1),1,0)</f>
        <v/>
      </c>
      <c r="ZK6">
        <f>ZK5+IF(AND($C5=140,$L5=1),1,0)</f>
        <v/>
      </c>
      <c r="ZL6">
        <f>ZL5+IF(AND($C5=141,$L5=1),1,0)</f>
        <v/>
      </c>
      <c r="ZM6">
        <f>ZM5+IF(AND($C5=142,$L5=1),1,0)</f>
        <v/>
      </c>
      <c r="ZN6">
        <f>ZN5+IF(AND($C5=143,$L5=1),1,0)</f>
        <v/>
      </c>
      <c r="ZO6">
        <f>ZO5+IF(AND($C5=144,$L5=1),1,0)</f>
        <v/>
      </c>
    </row>
    <row r="7">
      <c r="A7" t="n">
        <v>5</v>
      </c>
      <c r="B7">
        <f>IF(MIN(BH7:CZ7)&gt;=1000000,0,MATCH(MIN(BH7:CZ7),BH7:CZ7,0))</f>
        <v/>
      </c>
      <c r="C7">
        <f>IF(MIN(OF7:TS7)&gt;=1000000,0,MATCH(MIN(OF7:TS7),OF7:TS7,0))</f>
        <v/>
      </c>
      <c r="D7">
        <f>IF(C7&gt;0,INDEX('計算A'!$D$5:$EQ$5,C7),0)</f>
        <v/>
      </c>
      <c r="E7">
        <f>IF(B7=0,0,INDEX('計算A'!$IQ$10:$IQ$54,B7))</f>
        <v/>
      </c>
      <c r="F7">
        <f>IF(B7=0,0,INDEX('計算A'!$IP$10:$IP$54,B7))</f>
        <v/>
      </c>
      <c r="G7">
        <f>IF(AND(C7&gt;0,E7&gt;0),IF(AND(INDEX('計算A'!$D$106:$EQ$106,C7)=1,INDEX($IQ7:$OD7,C7)=1),C7+1,0),0)</f>
        <v/>
      </c>
      <c r="H7">
        <f>IF(B7=0,0,INDEX('計算A'!$IW$10:$IW$54,B7))</f>
        <v/>
      </c>
      <c r="I7">
        <f>IF(B7=0,0,MAX(0,INDEX('計算A'!$IT$10:$IT$54,B7)))</f>
        <v/>
      </c>
      <c r="J7">
        <f>IF(I7=0,0,INDEX('計算A'!$D$2:$EQ$2,I7))</f>
        <v/>
      </c>
      <c r="K7">
        <f>IF(I7=0,0,INDEX('計算A'!$D$3:$EQ$3,I7))</f>
        <v/>
      </c>
      <c r="L7">
        <f>IF(B7=0,0,INDEX('計算A'!$IX$10:$IX$54,B7))</f>
        <v/>
      </c>
      <c r="N7">
        <f>MAX(N6,IF($B6=1,1,0))</f>
        <v/>
      </c>
      <c r="O7">
        <f>MAX(O6,IF($B6=2,1,0))</f>
        <v/>
      </c>
      <c r="P7">
        <f>MAX(P6,IF($B6=3,1,0))</f>
        <v/>
      </c>
      <c r="Q7">
        <f>MAX(Q6,IF($B6=4,1,0))</f>
        <v/>
      </c>
      <c r="R7">
        <f>MAX(R6,IF($B6=5,1,0))</f>
        <v/>
      </c>
      <c r="S7">
        <f>MAX(S6,IF($B6=6,1,0))</f>
        <v/>
      </c>
      <c r="T7">
        <f>MAX(T6,IF($B6=7,1,0))</f>
        <v/>
      </c>
      <c r="U7">
        <f>MAX(U6,IF($B6=8,1,0))</f>
        <v/>
      </c>
      <c r="V7">
        <f>MAX(V6,IF($B6=9,1,0))</f>
        <v/>
      </c>
      <c r="W7">
        <f>MAX(W6,IF($B6=10,1,0))</f>
        <v/>
      </c>
      <c r="X7">
        <f>MAX(X6,IF($B6=11,1,0))</f>
        <v/>
      </c>
      <c r="Y7">
        <f>MAX(Y6,IF($B6=12,1,0))</f>
        <v/>
      </c>
      <c r="Z7">
        <f>MAX(Z6,IF($B6=13,1,0))</f>
        <v/>
      </c>
      <c r="AA7">
        <f>MAX(AA6,IF($B6=14,1,0))</f>
        <v/>
      </c>
      <c r="AB7">
        <f>MAX(AB6,IF($B6=15,1,0))</f>
        <v/>
      </c>
      <c r="AC7">
        <f>MAX(AC6,IF($B6=16,1,0))</f>
        <v/>
      </c>
      <c r="AD7">
        <f>MAX(AD6,IF($B6=17,1,0))</f>
        <v/>
      </c>
      <c r="AE7">
        <f>MAX(AE6,IF($B6=18,1,0))</f>
        <v/>
      </c>
      <c r="AF7">
        <f>MAX(AF6,IF($B6=19,1,0))</f>
        <v/>
      </c>
      <c r="AG7">
        <f>MAX(AG6,IF($B6=20,1,0))</f>
        <v/>
      </c>
      <c r="AH7">
        <f>MAX(AH6,IF($B6=21,1,0))</f>
        <v/>
      </c>
      <c r="AI7">
        <f>MAX(AI6,IF($B6=22,1,0))</f>
        <v/>
      </c>
      <c r="AJ7">
        <f>MAX(AJ6,IF($B6=23,1,0))</f>
        <v/>
      </c>
      <c r="AK7">
        <f>MAX(AK6,IF($B6=24,1,0))</f>
        <v/>
      </c>
      <c r="AL7">
        <f>MAX(AL6,IF($B6=25,1,0))</f>
        <v/>
      </c>
      <c r="AM7">
        <f>MAX(AM6,IF($B6=26,1,0))</f>
        <v/>
      </c>
      <c r="AN7">
        <f>MAX(AN6,IF($B6=27,1,0))</f>
        <v/>
      </c>
      <c r="AO7">
        <f>MAX(AO6,IF($B6=28,1,0))</f>
        <v/>
      </c>
      <c r="AP7">
        <f>MAX(AP6,IF($B6=29,1,0))</f>
        <v/>
      </c>
      <c r="AQ7">
        <f>MAX(AQ6,IF($B6=30,1,0))</f>
        <v/>
      </c>
      <c r="AR7">
        <f>MAX(AR6,IF($B6=31,1,0))</f>
        <v/>
      </c>
      <c r="AS7">
        <f>MAX(AS6,IF($B6=32,1,0))</f>
        <v/>
      </c>
      <c r="AT7">
        <f>MAX(AT6,IF($B6=33,1,0))</f>
        <v/>
      </c>
      <c r="AU7">
        <f>MAX(AU6,IF($B6=34,1,0))</f>
        <v/>
      </c>
      <c r="AV7">
        <f>MAX(AV6,IF($B6=35,1,0))</f>
        <v/>
      </c>
      <c r="AW7">
        <f>MAX(AW6,IF($B6=36,1,0))</f>
        <v/>
      </c>
      <c r="AX7">
        <f>MAX(AX6,IF($B6=37,1,0))</f>
        <v/>
      </c>
      <c r="AY7">
        <f>MAX(AY6,IF($B6=38,1,0))</f>
        <v/>
      </c>
      <c r="AZ7">
        <f>MAX(AZ6,IF($B6=39,1,0))</f>
        <v/>
      </c>
      <c r="BA7">
        <f>MAX(BA6,IF($B6=40,1,0))</f>
        <v/>
      </c>
      <c r="BB7">
        <f>MAX(BB6,IF($B6=41,1,0))</f>
        <v/>
      </c>
      <c r="BC7">
        <f>MAX(BC6,IF($B6=42,1,0))</f>
        <v/>
      </c>
      <c r="BD7">
        <f>MAX(BD6,IF($B6=43,1,0))</f>
        <v/>
      </c>
      <c r="BE7">
        <f>MAX(BE6,IF($B6=44,1,0))</f>
        <v/>
      </c>
      <c r="BF7">
        <f>MAX(BF6,IF($B6=45,1,0))</f>
        <v/>
      </c>
      <c r="BH7">
        <f>IF(N7=1,1000000,IF('計算A'!$IT$10&gt;0,0,500000)+IF('計算A'!$IQ$10=2,SUMPRODUCT('計算A'!$D$60:$EQ$60,$DB7:$IO7,$IQ7:$OD7),SUMPRODUCT('計算A'!$D$60:$EQ$60,$DB7:$IO7))*1000+1)</f>
        <v/>
      </c>
      <c r="BI7">
        <f>IF(O7=1,1000000,IF('計算A'!$IT$11&gt;0,0,500000)+IF('計算A'!$IQ$11=2,SUMPRODUCT('計算A'!$D$61:$EQ$61,$DB7:$IO7,$IQ7:$OD7),SUMPRODUCT('計算A'!$D$61:$EQ$61,$DB7:$IO7))*1000+2)</f>
        <v/>
      </c>
      <c r="BJ7">
        <f>IF(P7=1,1000000,IF('計算A'!$IT$12&gt;0,0,500000)+IF('計算A'!$IQ$12=2,SUMPRODUCT('計算A'!$D$62:$EQ$62,$DB7:$IO7,$IQ7:$OD7),SUMPRODUCT('計算A'!$D$62:$EQ$62,$DB7:$IO7))*1000+3)</f>
        <v/>
      </c>
      <c r="BK7">
        <f>IF(Q7=1,1000000,IF('計算A'!$IT$13&gt;0,0,500000)+IF('計算A'!$IQ$13=2,SUMPRODUCT('計算A'!$D$63:$EQ$63,$DB7:$IO7,$IQ7:$OD7),SUMPRODUCT('計算A'!$D$63:$EQ$63,$DB7:$IO7))*1000+4)</f>
        <v/>
      </c>
      <c r="BL7">
        <f>IF(R7=1,1000000,IF('計算A'!$IT$14&gt;0,0,500000)+IF('計算A'!$IQ$14=2,SUMPRODUCT('計算A'!$D$64:$EQ$64,$DB7:$IO7,$IQ7:$OD7),SUMPRODUCT('計算A'!$D$64:$EQ$64,$DB7:$IO7))*1000+5)</f>
        <v/>
      </c>
      <c r="BM7">
        <f>IF(S7=1,1000000,IF('計算A'!$IT$15&gt;0,0,500000)+IF('計算A'!$IQ$15=2,SUMPRODUCT('計算A'!$D$65:$EQ$65,$DB7:$IO7,$IQ7:$OD7),SUMPRODUCT('計算A'!$D$65:$EQ$65,$DB7:$IO7))*1000+6)</f>
        <v/>
      </c>
      <c r="BN7">
        <f>IF(T7=1,1000000,IF('計算A'!$IT$16&gt;0,0,500000)+IF('計算A'!$IQ$16=2,SUMPRODUCT('計算A'!$D$66:$EQ$66,$DB7:$IO7,$IQ7:$OD7),SUMPRODUCT('計算A'!$D$66:$EQ$66,$DB7:$IO7))*1000+7)</f>
        <v/>
      </c>
      <c r="BO7">
        <f>IF(U7=1,1000000,IF('計算A'!$IT$17&gt;0,0,500000)+IF('計算A'!$IQ$17=2,SUMPRODUCT('計算A'!$D$67:$EQ$67,$DB7:$IO7,$IQ7:$OD7),SUMPRODUCT('計算A'!$D$67:$EQ$67,$DB7:$IO7))*1000+8)</f>
        <v/>
      </c>
      <c r="BP7">
        <f>IF(V7=1,1000000,IF('計算A'!$IT$18&gt;0,0,500000)+IF('計算A'!$IQ$18=2,SUMPRODUCT('計算A'!$D$68:$EQ$68,$DB7:$IO7,$IQ7:$OD7),SUMPRODUCT('計算A'!$D$68:$EQ$68,$DB7:$IO7))*1000+9)</f>
        <v/>
      </c>
      <c r="BQ7">
        <f>IF(W7=1,1000000,IF('計算A'!$IT$19&gt;0,0,500000)+IF('計算A'!$IQ$19=2,SUMPRODUCT('計算A'!$D$69:$EQ$69,$DB7:$IO7,$IQ7:$OD7),SUMPRODUCT('計算A'!$D$69:$EQ$69,$DB7:$IO7))*1000+10)</f>
        <v/>
      </c>
      <c r="BR7">
        <f>IF(X7=1,1000000,IF('計算A'!$IT$20&gt;0,0,500000)+IF('計算A'!$IQ$20=2,SUMPRODUCT('計算A'!$D$70:$EQ$70,$DB7:$IO7,$IQ7:$OD7),SUMPRODUCT('計算A'!$D$70:$EQ$70,$DB7:$IO7))*1000+11)</f>
        <v/>
      </c>
      <c r="BS7">
        <f>IF(Y7=1,1000000,IF('計算A'!$IT$21&gt;0,0,500000)+IF('計算A'!$IQ$21=2,SUMPRODUCT('計算A'!$D$71:$EQ$71,$DB7:$IO7,$IQ7:$OD7),SUMPRODUCT('計算A'!$D$71:$EQ$71,$DB7:$IO7))*1000+12)</f>
        <v/>
      </c>
      <c r="BT7">
        <f>IF(Z7=1,1000000,IF('計算A'!$IT$22&gt;0,0,500000)+IF('計算A'!$IQ$22=2,SUMPRODUCT('計算A'!$D$72:$EQ$72,$DB7:$IO7,$IQ7:$OD7),SUMPRODUCT('計算A'!$D$72:$EQ$72,$DB7:$IO7))*1000+13)</f>
        <v/>
      </c>
      <c r="BU7">
        <f>IF(AA7=1,1000000,IF('計算A'!$IT$23&gt;0,0,500000)+IF('計算A'!$IQ$23=2,SUMPRODUCT('計算A'!$D$73:$EQ$73,$DB7:$IO7,$IQ7:$OD7),SUMPRODUCT('計算A'!$D$73:$EQ$73,$DB7:$IO7))*1000+14)</f>
        <v/>
      </c>
      <c r="BV7">
        <f>IF(AB7=1,1000000,IF('計算A'!$IT$24&gt;0,0,500000)+IF('計算A'!$IQ$24=2,SUMPRODUCT('計算A'!$D$74:$EQ$74,$DB7:$IO7,$IQ7:$OD7),SUMPRODUCT('計算A'!$D$74:$EQ$74,$DB7:$IO7))*1000+15)</f>
        <v/>
      </c>
      <c r="BW7">
        <f>IF(AC7=1,1000000,IF('計算A'!$IT$25&gt;0,0,500000)+IF('計算A'!$IQ$25=2,SUMPRODUCT('計算A'!$D$75:$EQ$75,$DB7:$IO7,$IQ7:$OD7),SUMPRODUCT('計算A'!$D$75:$EQ$75,$DB7:$IO7))*1000+16)</f>
        <v/>
      </c>
      <c r="BX7">
        <f>IF(AD7=1,1000000,IF('計算A'!$IT$26&gt;0,0,500000)+IF('計算A'!$IQ$26=2,SUMPRODUCT('計算A'!$D$76:$EQ$76,$DB7:$IO7,$IQ7:$OD7),SUMPRODUCT('計算A'!$D$76:$EQ$76,$DB7:$IO7))*1000+17)</f>
        <v/>
      </c>
      <c r="BY7">
        <f>IF(AE7=1,1000000,IF('計算A'!$IT$27&gt;0,0,500000)+IF('計算A'!$IQ$27=2,SUMPRODUCT('計算A'!$D$77:$EQ$77,$DB7:$IO7,$IQ7:$OD7),SUMPRODUCT('計算A'!$D$77:$EQ$77,$DB7:$IO7))*1000+18)</f>
        <v/>
      </c>
      <c r="BZ7">
        <f>IF(AF7=1,1000000,IF('計算A'!$IT$28&gt;0,0,500000)+IF('計算A'!$IQ$28=2,SUMPRODUCT('計算A'!$D$78:$EQ$78,$DB7:$IO7,$IQ7:$OD7),SUMPRODUCT('計算A'!$D$78:$EQ$78,$DB7:$IO7))*1000+19)</f>
        <v/>
      </c>
      <c r="CA7">
        <f>IF(AG7=1,1000000,IF('計算A'!$IT$29&gt;0,0,500000)+IF('計算A'!$IQ$29=2,SUMPRODUCT('計算A'!$D$79:$EQ$79,$DB7:$IO7,$IQ7:$OD7),SUMPRODUCT('計算A'!$D$79:$EQ$79,$DB7:$IO7))*1000+20)</f>
        <v/>
      </c>
      <c r="CB7">
        <f>IF(AH7=1,1000000,IF('計算A'!$IT$30&gt;0,0,500000)+IF('計算A'!$IQ$30=2,SUMPRODUCT('計算A'!$D$80:$EQ$80,$DB7:$IO7,$IQ7:$OD7),SUMPRODUCT('計算A'!$D$80:$EQ$80,$DB7:$IO7))*1000+21)</f>
        <v/>
      </c>
      <c r="CC7">
        <f>IF(AI7=1,1000000,IF('計算A'!$IT$31&gt;0,0,500000)+IF('計算A'!$IQ$31=2,SUMPRODUCT('計算A'!$D$81:$EQ$81,$DB7:$IO7,$IQ7:$OD7),SUMPRODUCT('計算A'!$D$81:$EQ$81,$DB7:$IO7))*1000+22)</f>
        <v/>
      </c>
      <c r="CD7">
        <f>IF(AJ7=1,1000000,IF('計算A'!$IT$32&gt;0,0,500000)+IF('計算A'!$IQ$32=2,SUMPRODUCT('計算A'!$D$82:$EQ$82,$DB7:$IO7,$IQ7:$OD7),SUMPRODUCT('計算A'!$D$82:$EQ$82,$DB7:$IO7))*1000+23)</f>
        <v/>
      </c>
      <c r="CE7">
        <f>IF(AK7=1,1000000,IF('計算A'!$IT$33&gt;0,0,500000)+IF('計算A'!$IQ$33=2,SUMPRODUCT('計算A'!$D$83:$EQ$83,$DB7:$IO7,$IQ7:$OD7),SUMPRODUCT('計算A'!$D$83:$EQ$83,$DB7:$IO7))*1000+24)</f>
        <v/>
      </c>
      <c r="CF7">
        <f>IF(AL7=1,1000000,IF('計算A'!$IT$34&gt;0,0,500000)+IF('計算A'!$IQ$34=2,SUMPRODUCT('計算A'!$D$84:$EQ$84,$DB7:$IO7,$IQ7:$OD7),SUMPRODUCT('計算A'!$D$84:$EQ$84,$DB7:$IO7))*1000+25)</f>
        <v/>
      </c>
      <c r="CG7">
        <f>IF(AM7=1,1000000,IF('計算A'!$IT$35&gt;0,0,500000)+IF('計算A'!$IQ$35=2,SUMPRODUCT('計算A'!$D$85:$EQ$85,$DB7:$IO7,$IQ7:$OD7),SUMPRODUCT('計算A'!$D$85:$EQ$85,$DB7:$IO7))*1000+26)</f>
        <v/>
      </c>
      <c r="CH7">
        <f>IF(AN7=1,1000000,IF('計算A'!$IT$36&gt;0,0,500000)+IF('計算A'!$IQ$36=2,SUMPRODUCT('計算A'!$D$86:$EQ$86,$DB7:$IO7,$IQ7:$OD7),SUMPRODUCT('計算A'!$D$86:$EQ$86,$DB7:$IO7))*1000+27)</f>
        <v/>
      </c>
      <c r="CI7">
        <f>IF(AO7=1,1000000,IF('計算A'!$IT$37&gt;0,0,500000)+IF('計算A'!$IQ$37=2,SUMPRODUCT('計算A'!$D$87:$EQ$87,$DB7:$IO7,$IQ7:$OD7),SUMPRODUCT('計算A'!$D$87:$EQ$87,$DB7:$IO7))*1000+28)</f>
        <v/>
      </c>
      <c r="CJ7">
        <f>IF(AP7=1,1000000,IF('計算A'!$IT$38&gt;0,0,500000)+IF('計算A'!$IQ$38=2,SUMPRODUCT('計算A'!$D$88:$EQ$88,$DB7:$IO7,$IQ7:$OD7),SUMPRODUCT('計算A'!$D$88:$EQ$88,$DB7:$IO7))*1000+29)</f>
        <v/>
      </c>
      <c r="CK7">
        <f>IF(AQ7=1,1000000,IF('計算A'!$IT$39&gt;0,0,500000)+IF('計算A'!$IQ$39=2,SUMPRODUCT('計算A'!$D$89:$EQ$89,$DB7:$IO7,$IQ7:$OD7),SUMPRODUCT('計算A'!$D$89:$EQ$89,$DB7:$IO7))*1000+30)</f>
        <v/>
      </c>
      <c r="CL7">
        <f>IF(AR7=1,1000000,IF('計算A'!$IT$40&gt;0,0,500000)+IF('計算A'!$IQ$40=2,SUMPRODUCT('計算A'!$D$90:$EQ$90,$DB7:$IO7,$IQ7:$OD7),SUMPRODUCT('計算A'!$D$90:$EQ$90,$DB7:$IO7))*1000+31)</f>
        <v/>
      </c>
      <c r="CM7">
        <f>IF(AS7=1,1000000,IF('計算A'!$IT$41&gt;0,0,500000)+IF('計算A'!$IQ$41=2,SUMPRODUCT('計算A'!$D$91:$EQ$91,$DB7:$IO7,$IQ7:$OD7),SUMPRODUCT('計算A'!$D$91:$EQ$91,$DB7:$IO7))*1000+32)</f>
        <v/>
      </c>
      <c r="CN7">
        <f>IF(AT7=1,1000000,IF('計算A'!$IT$42&gt;0,0,500000)+IF('計算A'!$IQ$42=2,SUMPRODUCT('計算A'!$D$92:$EQ$92,$DB7:$IO7,$IQ7:$OD7),SUMPRODUCT('計算A'!$D$92:$EQ$92,$DB7:$IO7))*1000+33)</f>
        <v/>
      </c>
      <c r="CO7">
        <f>IF(AU7=1,1000000,IF('計算A'!$IT$43&gt;0,0,500000)+IF('計算A'!$IQ$43=2,SUMPRODUCT('計算A'!$D$93:$EQ$93,$DB7:$IO7,$IQ7:$OD7),SUMPRODUCT('計算A'!$D$93:$EQ$93,$DB7:$IO7))*1000+34)</f>
        <v/>
      </c>
      <c r="CP7">
        <f>IF(AV7=1,1000000,IF('計算A'!$IT$44&gt;0,0,500000)+IF('計算A'!$IQ$44=2,SUMPRODUCT('計算A'!$D$94:$EQ$94,$DB7:$IO7,$IQ7:$OD7),SUMPRODUCT('計算A'!$D$94:$EQ$94,$DB7:$IO7))*1000+35)</f>
        <v/>
      </c>
      <c r="CQ7">
        <f>IF(AW7=1,1000000,IF('計算A'!$IT$45&gt;0,0,500000)+IF('計算A'!$IQ$45=2,SUMPRODUCT('計算A'!$D$95:$EQ$95,$DB7:$IO7,$IQ7:$OD7),SUMPRODUCT('計算A'!$D$95:$EQ$95,$DB7:$IO7))*1000+36)</f>
        <v/>
      </c>
      <c r="CR7">
        <f>IF(AX7=1,1000000,IF('計算A'!$IT$46&gt;0,0,500000)+IF('計算A'!$IQ$46=2,SUMPRODUCT('計算A'!$D$96:$EQ$96,$DB7:$IO7,$IQ7:$OD7),SUMPRODUCT('計算A'!$D$96:$EQ$96,$DB7:$IO7))*1000+37)</f>
        <v/>
      </c>
      <c r="CS7">
        <f>IF(AY7=1,1000000,IF('計算A'!$IT$47&gt;0,0,500000)+IF('計算A'!$IQ$47=2,SUMPRODUCT('計算A'!$D$97:$EQ$97,$DB7:$IO7,$IQ7:$OD7),SUMPRODUCT('計算A'!$D$97:$EQ$97,$DB7:$IO7))*1000+38)</f>
        <v/>
      </c>
      <c r="CT7">
        <f>IF(AZ7=1,1000000,IF('計算A'!$IT$48&gt;0,0,500000)+IF('計算A'!$IQ$48=2,SUMPRODUCT('計算A'!$D$98:$EQ$98,$DB7:$IO7,$IQ7:$OD7),SUMPRODUCT('計算A'!$D$98:$EQ$98,$DB7:$IO7))*1000+39)</f>
        <v/>
      </c>
      <c r="CU7">
        <f>IF(BA7=1,1000000,IF('計算A'!$IT$49&gt;0,0,500000)+IF('計算A'!$IQ$49=2,SUMPRODUCT('計算A'!$D$99:$EQ$99,$DB7:$IO7,$IQ7:$OD7),SUMPRODUCT('計算A'!$D$99:$EQ$99,$DB7:$IO7))*1000+40)</f>
        <v/>
      </c>
      <c r="CV7">
        <f>IF(BB7=1,1000000,IF('計算A'!$IT$50&gt;0,0,500000)+IF('計算A'!$IQ$50=2,SUMPRODUCT('計算A'!$D$100:$EQ$100,$DB7:$IO7,$IQ7:$OD7),SUMPRODUCT('計算A'!$D$100:$EQ$100,$DB7:$IO7))*1000+41)</f>
        <v/>
      </c>
      <c r="CW7">
        <f>IF(BC7=1,1000000,IF('計算A'!$IT$51&gt;0,0,500000)+IF('計算A'!$IQ$51=2,SUMPRODUCT('計算A'!$D$101:$EQ$101,$DB7:$IO7,$IQ7:$OD7),SUMPRODUCT('計算A'!$D$101:$EQ$101,$DB7:$IO7))*1000+42)</f>
        <v/>
      </c>
      <c r="CX7">
        <f>IF(BD7=1,1000000,IF('計算A'!$IT$52&gt;0,0,500000)+IF('計算A'!$IQ$52=2,SUMPRODUCT('計算A'!$D$102:$EQ$102,$DB7:$IO7,$IQ7:$OD7),SUMPRODUCT('計算A'!$D$102:$EQ$102,$DB7:$IO7))*1000+43)</f>
        <v/>
      </c>
      <c r="CY7">
        <f>IF(BE7=1,1000000,IF('計算A'!$IT$53&gt;0,0,500000)+IF('計算A'!$IQ$53=2,SUMPRODUCT('計算A'!$D$103:$EQ$103,$DB7:$IO7,$IQ7:$OD7),SUMPRODUCT('計算A'!$D$103:$EQ$103,$DB7:$IO7))*1000+44)</f>
        <v/>
      </c>
      <c r="CZ7">
        <f>IF(BF7=1,1000000,IF('計算A'!$IT$54&gt;0,0,500000)+IF('計算A'!$IQ$54=2,SUMPRODUCT('計算A'!$D$104:$EQ$104,$DB7:$IO7,$IQ7:$OD7),SUMPRODUCT('計算A'!$D$104:$EQ$104,$DB7:$IO7))*1000+45)</f>
        <v/>
      </c>
      <c r="DB7">
        <f>DB6*IF(OR($C6=1,$G6=1),0,1)</f>
        <v/>
      </c>
      <c r="DC7">
        <f>DC6*IF(OR($C6=2,$G6=2),0,1)</f>
        <v/>
      </c>
      <c r="DD7">
        <f>DD6*IF(OR($C6=3,$G6=3),0,1)</f>
        <v/>
      </c>
      <c r="DE7">
        <f>DE6*IF(OR($C6=4,$G6=4),0,1)</f>
        <v/>
      </c>
      <c r="DF7">
        <f>DF6*IF(OR($C6=5,$G6=5),0,1)</f>
        <v/>
      </c>
      <c r="DG7">
        <f>DG6*IF(OR($C6=6,$G6=6),0,1)</f>
        <v/>
      </c>
      <c r="DH7">
        <f>DH6*IF(OR($C6=7,$G6=7),0,1)</f>
        <v/>
      </c>
      <c r="DI7">
        <f>DI6*IF(OR($C6=8,$G6=8),0,1)</f>
        <v/>
      </c>
      <c r="DJ7">
        <f>DJ6*IF(OR($C6=9,$G6=9),0,1)</f>
        <v/>
      </c>
      <c r="DK7">
        <f>DK6*IF(OR($C6=10,$G6=10),0,1)</f>
        <v/>
      </c>
      <c r="DL7">
        <f>DL6*IF(OR($C6=11,$G6=11),0,1)</f>
        <v/>
      </c>
      <c r="DM7">
        <f>DM6*IF(OR($C6=12,$G6=12),0,1)</f>
        <v/>
      </c>
      <c r="DN7">
        <f>DN6*IF(OR($C6=13,$G6=13),0,1)</f>
        <v/>
      </c>
      <c r="DO7">
        <f>DO6*IF(OR($C6=14,$G6=14),0,1)</f>
        <v/>
      </c>
      <c r="DP7">
        <f>DP6*IF(OR($C6=15,$G6=15),0,1)</f>
        <v/>
      </c>
      <c r="DQ7">
        <f>DQ6*IF(OR($C6=16,$G6=16),0,1)</f>
        <v/>
      </c>
      <c r="DR7">
        <f>DR6*IF(OR($C6=17,$G6=17),0,1)</f>
        <v/>
      </c>
      <c r="DS7">
        <f>DS6*IF(OR($C6=18,$G6=18),0,1)</f>
        <v/>
      </c>
      <c r="DT7">
        <f>DT6*IF(OR($C6=19,$G6=19),0,1)</f>
        <v/>
      </c>
      <c r="DU7">
        <f>DU6*IF(OR($C6=20,$G6=20),0,1)</f>
        <v/>
      </c>
      <c r="DV7">
        <f>DV6*IF(OR($C6=21,$G6=21),0,1)</f>
        <v/>
      </c>
      <c r="DW7">
        <f>DW6*IF(OR($C6=22,$G6=22),0,1)</f>
        <v/>
      </c>
      <c r="DX7">
        <f>DX6*IF(OR($C6=23,$G6=23),0,1)</f>
        <v/>
      </c>
      <c r="DY7">
        <f>DY6*IF(OR($C6=24,$G6=24),0,1)</f>
        <v/>
      </c>
      <c r="DZ7">
        <f>DZ6*IF(OR($C6=25,$G6=25),0,1)</f>
        <v/>
      </c>
      <c r="EA7">
        <f>EA6*IF(OR($C6=26,$G6=26),0,1)</f>
        <v/>
      </c>
      <c r="EB7">
        <f>EB6*IF(OR($C6=27,$G6=27),0,1)</f>
        <v/>
      </c>
      <c r="EC7">
        <f>EC6*IF(OR($C6=28,$G6=28),0,1)</f>
        <v/>
      </c>
      <c r="ED7">
        <f>ED6*IF(OR($C6=29,$G6=29),0,1)</f>
        <v/>
      </c>
      <c r="EE7">
        <f>EE6*IF(OR($C6=30,$G6=30),0,1)</f>
        <v/>
      </c>
      <c r="EF7">
        <f>EF6*IF(OR($C6=31,$G6=31),0,1)</f>
        <v/>
      </c>
      <c r="EG7">
        <f>EG6*IF(OR($C6=32,$G6=32),0,1)</f>
        <v/>
      </c>
      <c r="EH7">
        <f>EH6*IF(OR($C6=33,$G6=33),0,1)</f>
        <v/>
      </c>
      <c r="EI7">
        <f>EI6*IF(OR($C6=34,$G6=34),0,1)</f>
        <v/>
      </c>
      <c r="EJ7">
        <f>EJ6*IF(OR($C6=35,$G6=35),0,1)</f>
        <v/>
      </c>
      <c r="EK7">
        <f>EK6*IF(OR($C6=36,$G6=36),0,1)</f>
        <v/>
      </c>
      <c r="EL7">
        <f>EL6*IF(OR($C6=37,$G6=37),0,1)</f>
        <v/>
      </c>
      <c r="EM7">
        <f>EM6*IF(OR($C6=38,$G6=38),0,1)</f>
        <v/>
      </c>
      <c r="EN7">
        <f>EN6*IF(OR($C6=39,$G6=39),0,1)</f>
        <v/>
      </c>
      <c r="EO7">
        <f>EO6*IF(OR($C6=40,$G6=40),0,1)</f>
        <v/>
      </c>
      <c r="EP7">
        <f>EP6*IF(OR($C6=41,$G6=41),0,1)</f>
        <v/>
      </c>
      <c r="EQ7">
        <f>EQ6*IF(OR($C6=42,$G6=42),0,1)</f>
        <v/>
      </c>
      <c r="ER7">
        <f>ER6*IF(OR($C6=43,$G6=43),0,1)</f>
        <v/>
      </c>
      <c r="ES7">
        <f>ES6*IF(OR($C6=44,$G6=44),0,1)</f>
        <v/>
      </c>
      <c r="ET7">
        <f>ET6*IF(OR($C6=45,$G6=45),0,1)</f>
        <v/>
      </c>
      <c r="EU7">
        <f>EU6*IF(OR($C6=46,$G6=46),0,1)</f>
        <v/>
      </c>
      <c r="EV7">
        <f>EV6*IF(OR($C6=47,$G6=47),0,1)</f>
        <v/>
      </c>
      <c r="EW7">
        <f>EW6*IF(OR($C6=48,$G6=48),0,1)</f>
        <v/>
      </c>
      <c r="EX7">
        <f>EX6*IF(OR($C6=49,$G6=49),0,1)</f>
        <v/>
      </c>
      <c r="EY7">
        <f>EY6*IF(OR($C6=50,$G6=50),0,1)</f>
        <v/>
      </c>
      <c r="EZ7">
        <f>EZ6*IF(OR($C6=51,$G6=51),0,1)</f>
        <v/>
      </c>
      <c r="FA7">
        <f>FA6*IF(OR($C6=52,$G6=52),0,1)</f>
        <v/>
      </c>
      <c r="FB7">
        <f>FB6*IF(OR($C6=53,$G6=53),0,1)</f>
        <v/>
      </c>
      <c r="FC7">
        <f>FC6*IF(OR($C6=54,$G6=54),0,1)</f>
        <v/>
      </c>
      <c r="FD7">
        <f>FD6*IF(OR($C6=55,$G6=55),0,1)</f>
        <v/>
      </c>
      <c r="FE7">
        <f>FE6*IF(OR($C6=56,$G6=56),0,1)</f>
        <v/>
      </c>
      <c r="FF7">
        <f>FF6*IF(OR($C6=57,$G6=57),0,1)</f>
        <v/>
      </c>
      <c r="FG7">
        <f>FG6*IF(OR($C6=58,$G6=58),0,1)</f>
        <v/>
      </c>
      <c r="FH7">
        <f>FH6*IF(OR($C6=59,$G6=59),0,1)</f>
        <v/>
      </c>
      <c r="FI7">
        <f>FI6*IF(OR($C6=60,$G6=60),0,1)</f>
        <v/>
      </c>
      <c r="FJ7">
        <f>FJ6*IF(OR($C6=61,$G6=61),0,1)</f>
        <v/>
      </c>
      <c r="FK7">
        <f>FK6*IF(OR($C6=62,$G6=62),0,1)</f>
        <v/>
      </c>
      <c r="FL7">
        <f>FL6*IF(OR($C6=63,$G6=63),0,1)</f>
        <v/>
      </c>
      <c r="FM7">
        <f>FM6*IF(OR($C6=64,$G6=64),0,1)</f>
        <v/>
      </c>
      <c r="FN7">
        <f>FN6*IF(OR($C6=65,$G6=65),0,1)</f>
        <v/>
      </c>
      <c r="FO7">
        <f>FO6*IF(OR($C6=66,$G6=66),0,1)</f>
        <v/>
      </c>
      <c r="FP7">
        <f>FP6*IF(OR($C6=67,$G6=67),0,1)</f>
        <v/>
      </c>
      <c r="FQ7">
        <f>FQ6*IF(OR($C6=68,$G6=68),0,1)</f>
        <v/>
      </c>
      <c r="FR7">
        <f>FR6*IF(OR($C6=69,$G6=69),0,1)</f>
        <v/>
      </c>
      <c r="FS7">
        <f>FS6*IF(OR($C6=70,$G6=70),0,1)</f>
        <v/>
      </c>
      <c r="FT7">
        <f>FT6*IF(OR($C6=71,$G6=71),0,1)</f>
        <v/>
      </c>
      <c r="FU7">
        <f>FU6*IF(OR($C6=72,$G6=72),0,1)</f>
        <v/>
      </c>
      <c r="FV7">
        <f>FV6*IF(OR($C6=73,$G6=73),0,1)</f>
        <v/>
      </c>
      <c r="FW7">
        <f>FW6*IF(OR($C6=74,$G6=74),0,1)</f>
        <v/>
      </c>
      <c r="FX7">
        <f>FX6*IF(OR($C6=75,$G6=75),0,1)</f>
        <v/>
      </c>
      <c r="FY7">
        <f>FY6*IF(OR($C6=76,$G6=76),0,1)</f>
        <v/>
      </c>
      <c r="FZ7">
        <f>FZ6*IF(OR($C6=77,$G6=77),0,1)</f>
        <v/>
      </c>
      <c r="GA7">
        <f>GA6*IF(OR($C6=78,$G6=78),0,1)</f>
        <v/>
      </c>
      <c r="GB7">
        <f>GB6*IF(OR($C6=79,$G6=79),0,1)</f>
        <v/>
      </c>
      <c r="GC7">
        <f>GC6*IF(OR($C6=80,$G6=80),0,1)</f>
        <v/>
      </c>
      <c r="GD7">
        <f>GD6*IF(OR($C6=81,$G6=81),0,1)</f>
        <v/>
      </c>
      <c r="GE7">
        <f>GE6*IF(OR($C6=82,$G6=82),0,1)</f>
        <v/>
      </c>
      <c r="GF7">
        <f>GF6*IF(OR($C6=83,$G6=83),0,1)</f>
        <v/>
      </c>
      <c r="GG7">
        <f>GG6*IF(OR($C6=84,$G6=84),0,1)</f>
        <v/>
      </c>
      <c r="GH7">
        <f>GH6*IF(OR($C6=85,$G6=85),0,1)</f>
        <v/>
      </c>
      <c r="GI7">
        <f>GI6*IF(OR($C6=86,$G6=86),0,1)</f>
        <v/>
      </c>
      <c r="GJ7">
        <f>GJ6*IF(OR($C6=87,$G6=87),0,1)</f>
        <v/>
      </c>
      <c r="GK7">
        <f>GK6*IF(OR($C6=88,$G6=88),0,1)</f>
        <v/>
      </c>
      <c r="GL7">
        <f>GL6*IF(OR($C6=89,$G6=89),0,1)</f>
        <v/>
      </c>
      <c r="GM7">
        <f>GM6*IF(OR($C6=90,$G6=90),0,1)</f>
        <v/>
      </c>
      <c r="GN7">
        <f>GN6*IF(OR($C6=91,$G6=91),0,1)</f>
        <v/>
      </c>
      <c r="GO7">
        <f>GO6*IF(OR($C6=92,$G6=92),0,1)</f>
        <v/>
      </c>
      <c r="GP7">
        <f>GP6*IF(OR($C6=93,$G6=93),0,1)</f>
        <v/>
      </c>
      <c r="GQ7">
        <f>GQ6*IF(OR($C6=94,$G6=94),0,1)</f>
        <v/>
      </c>
      <c r="GR7">
        <f>GR6*IF(OR($C6=95,$G6=95),0,1)</f>
        <v/>
      </c>
      <c r="GS7">
        <f>GS6*IF(OR($C6=96,$G6=96),0,1)</f>
        <v/>
      </c>
      <c r="GT7">
        <f>GT6*IF(OR($C6=97,$G6=97),0,1)</f>
        <v/>
      </c>
      <c r="GU7">
        <f>GU6*IF(OR($C6=98,$G6=98),0,1)</f>
        <v/>
      </c>
      <c r="GV7">
        <f>GV6*IF(OR($C6=99,$G6=99),0,1)</f>
        <v/>
      </c>
      <c r="GW7">
        <f>GW6*IF(OR($C6=100,$G6=100),0,1)</f>
        <v/>
      </c>
      <c r="GX7">
        <f>GX6*IF(OR($C6=101,$G6=101),0,1)</f>
        <v/>
      </c>
      <c r="GY7">
        <f>GY6*IF(OR($C6=102,$G6=102),0,1)</f>
        <v/>
      </c>
      <c r="GZ7">
        <f>GZ6*IF(OR($C6=103,$G6=103),0,1)</f>
        <v/>
      </c>
      <c r="HA7">
        <f>HA6*IF(OR($C6=104,$G6=104),0,1)</f>
        <v/>
      </c>
      <c r="HB7">
        <f>HB6*IF(OR($C6=105,$G6=105),0,1)</f>
        <v/>
      </c>
      <c r="HC7">
        <f>HC6*IF(OR($C6=106,$G6=106),0,1)</f>
        <v/>
      </c>
      <c r="HD7">
        <f>HD6*IF(OR($C6=107,$G6=107),0,1)</f>
        <v/>
      </c>
      <c r="HE7">
        <f>HE6*IF(OR($C6=108,$G6=108),0,1)</f>
        <v/>
      </c>
      <c r="HF7">
        <f>HF6*IF(OR($C6=109,$G6=109),0,1)</f>
        <v/>
      </c>
      <c r="HG7">
        <f>HG6*IF(OR($C6=110,$G6=110),0,1)</f>
        <v/>
      </c>
      <c r="HH7">
        <f>HH6*IF(OR($C6=111,$G6=111),0,1)</f>
        <v/>
      </c>
      <c r="HI7">
        <f>HI6*IF(OR($C6=112,$G6=112),0,1)</f>
        <v/>
      </c>
      <c r="HJ7">
        <f>HJ6*IF(OR($C6=113,$G6=113),0,1)</f>
        <v/>
      </c>
      <c r="HK7">
        <f>HK6*IF(OR($C6=114,$G6=114),0,1)</f>
        <v/>
      </c>
      <c r="HL7">
        <f>HL6*IF(OR($C6=115,$G6=115),0,1)</f>
        <v/>
      </c>
      <c r="HM7">
        <f>HM6*IF(OR($C6=116,$G6=116),0,1)</f>
        <v/>
      </c>
      <c r="HN7">
        <f>HN6*IF(OR($C6=117,$G6=117),0,1)</f>
        <v/>
      </c>
      <c r="HO7">
        <f>HO6*IF(OR($C6=118,$G6=118),0,1)</f>
        <v/>
      </c>
      <c r="HP7">
        <f>HP6*IF(OR($C6=119,$G6=119),0,1)</f>
        <v/>
      </c>
      <c r="HQ7">
        <f>HQ6*IF(OR($C6=120,$G6=120),0,1)</f>
        <v/>
      </c>
      <c r="HR7">
        <f>HR6*IF(OR($C6=121,$G6=121),0,1)</f>
        <v/>
      </c>
      <c r="HS7">
        <f>HS6*IF(OR($C6=122,$G6=122),0,1)</f>
        <v/>
      </c>
      <c r="HT7">
        <f>HT6*IF(OR($C6=123,$G6=123),0,1)</f>
        <v/>
      </c>
      <c r="HU7">
        <f>HU6*IF(OR($C6=124,$G6=124),0,1)</f>
        <v/>
      </c>
      <c r="HV7">
        <f>HV6*IF(OR($C6=125,$G6=125),0,1)</f>
        <v/>
      </c>
      <c r="HW7">
        <f>HW6*IF(OR($C6=126,$G6=126),0,1)</f>
        <v/>
      </c>
      <c r="HX7">
        <f>HX6*IF(OR($C6=127,$G6=127),0,1)</f>
        <v/>
      </c>
      <c r="HY7">
        <f>HY6*IF(OR($C6=128,$G6=128),0,1)</f>
        <v/>
      </c>
      <c r="HZ7">
        <f>HZ6*IF(OR($C6=129,$G6=129),0,1)</f>
        <v/>
      </c>
      <c r="IA7">
        <f>IA6*IF(OR($C6=130,$G6=130),0,1)</f>
        <v/>
      </c>
      <c r="IB7">
        <f>IB6*IF(OR($C6=131,$G6=131),0,1)</f>
        <v/>
      </c>
      <c r="IC7">
        <f>IC6*IF(OR($C6=132,$G6=132),0,1)</f>
        <v/>
      </c>
      <c r="ID7">
        <f>ID6*IF(OR($C6=133,$G6=133),0,1)</f>
        <v/>
      </c>
      <c r="IE7">
        <f>IE6*IF(OR($C6=134,$G6=134),0,1)</f>
        <v/>
      </c>
      <c r="IF7">
        <f>IF6*IF(OR($C6=135,$G6=135),0,1)</f>
        <v/>
      </c>
      <c r="IG7">
        <f>IG6*IF(OR($C6=136,$G6=136),0,1)</f>
        <v/>
      </c>
      <c r="IH7">
        <f>IH6*IF(OR($C6=137,$G6=137),0,1)</f>
        <v/>
      </c>
      <c r="II7">
        <f>II6*IF(OR($C6=138,$G6=138),0,1)</f>
        <v/>
      </c>
      <c r="IJ7">
        <f>IJ6*IF(OR($C6=139,$G6=139),0,1)</f>
        <v/>
      </c>
      <c r="IK7">
        <f>IK6*IF(OR($C6=140,$G6=140),0,1)</f>
        <v/>
      </c>
      <c r="IL7">
        <f>IL6*IF(OR($C6=141,$G6=141),0,1)</f>
        <v/>
      </c>
      <c r="IM7">
        <f>IM6*IF(OR($C6=142,$G6=142),0,1)</f>
        <v/>
      </c>
      <c r="IN7">
        <f>IN6*IF(OR($C6=143,$G6=143),0,1)</f>
        <v/>
      </c>
      <c r="IO7">
        <f>IO6*IF(OR($C6=144,$G6=144),0,1)</f>
        <v/>
      </c>
      <c r="IQ7">
        <f>IF('計算A'!D$106=1,DC7,1)</f>
        <v/>
      </c>
      <c r="IR7">
        <f>IF('計算A'!E$106=1,DD7,1)</f>
        <v/>
      </c>
      <c r="IS7">
        <f>IF('計算A'!F$106=1,DE7,1)</f>
        <v/>
      </c>
      <c r="IT7">
        <f>IF('計算A'!G$106=1,DF7,1)</f>
        <v/>
      </c>
      <c r="IU7">
        <f>IF('計算A'!H$106=1,DG7,1)</f>
        <v/>
      </c>
      <c r="IV7">
        <f>IF('計算A'!I$106=1,DH7,1)</f>
        <v/>
      </c>
      <c r="IW7">
        <f>IF('計算A'!J$106=1,DI7,1)</f>
        <v/>
      </c>
      <c r="IX7">
        <f>IF('計算A'!K$106=1,DJ7,1)</f>
        <v/>
      </c>
      <c r="IY7">
        <f>IF('計算A'!L$106=1,DK7,1)</f>
        <v/>
      </c>
      <c r="IZ7">
        <f>IF('計算A'!M$106=1,DL7,1)</f>
        <v/>
      </c>
      <c r="JA7">
        <f>IF('計算A'!N$106=1,DM7,1)</f>
        <v/>
      </c>
      <c r="JB7">
        <f>IF('計算A'!O$106=1,DN7,1)</f>
        <v/>
      </c>
      <c r="JC7">
        <f>IF('計算A'!P$106=1,DO7,1)</f>
        <v/>
      </c>
      <c r="JD7">
        <f>IF('計算A'!Q$106=1,DP7,1)</f>
        <v/>
      </c>
      <c r="JE7">
        <f>IF('計算A'!R$106=1,DQ7,1)</f>
        <v/>
      </c>
      <c r="JF7">
        <f>IF('計算A'!S$106=1,DR7,1)</f>
        <v/>
      </c>
      <c r="JG7">
        <f>IF('計算A'!T$106=1,DS7,1)</f>
        <v/>
      </c>
      <c r="JH7">
        <f>IF('計算A'!U$106=1,DT7,1)</f>
        <v/>
      </c>
      <c r="JI7">
        <f>IF('計算A'!V$106=1,DU7,1)</f>
        <v/>
      </c>
      <c r="JJ7">
        <f>IF('計算A'!W$106=1,DV7,1)</f>
        <v/>
      </c>
      <c r="JK7">
        <f>IF('計算A'!X$106=1,DW7,1)</f>
        <v/>
      </c>
      <c r="JL7">
        <f>IF('計算A'!Y$106=1,DX7,1)</f>
        <v/>
      </c>
      <c r="JM7">
        <f>IF('計算A'!Z$106=1,DY7,1)</f>
        <v/>
      </c>
      <c r="JN7">
        <f>IF('計算A'!AA$106=1,DZ7,1)</f>
        <v/>
      </c>
      <c r="JO7">
        <f>IF('計算A'!AB$106=1,EA7,1)</f>
        <v/>
      </c>
      <c r="JP7">
        <f>IF('計算A'!AC$106=1,EB7,1)</f>
        <v/>
      </c>
      <c r="JQ7">
        <f>IF('計算A'!AD$106=1,EC7,1)</f>
        <v/>
      </c>
      <c r="JR7">
        <f>IF('計算A'!AE$106=1,ED7,1)</f>
        <v/>
      </c>
      <c r="JS7">
        <f>IF('計算A'!AF$106=1,EE7,1)</f>
        <v/>
      </c>
      <c r="JT7">
        <f>IF('計算A'!AG$106=1,EF7,1)</f>
        <v/>
      </c>
      <c r="JU7">
        <f>IF('計算A'!AH$106=1,EG7,1)</f>
        <v/>
      </c>
      <c r="JV7">
        <f>IF('計算A'!AI$106=1,EH7,1)</f>
        <v/>
      </c>
      <c r="JW7">
        <f>IF('計算A'!AJ$106=1,EI7,1)</f>
        <v/>
      </c>
      <c r="JX7">
        <f>IF('計算A'!AK$106=1,EJ7,1)</f>
        <v/>
      </c>
      <c r="JY7">
        <f>IF('計算A'!AL$106=1,EK7,1)</f>
        <v/>
      </c>
      <c r="JZ7">
        <f>IF('計算A'!AM$106=1,EL7,1)</f>
        <v/>
      </c>
      <c r="KA7">
        <f>IF('計算A'!AN$106=1,EM7,1)</f>
        <v/>
      </c>
      <c r="KB7">
        <f>IF('計算A'!AO$106=1,EN7,1)</f>
        <v/>
      </c>
      <c r="KC7">
        <f>IF('計算A'!AP$106=1,EO7,1)</f>
        <v/>
      </c>
      <c r="KD7">
        <f>IF('計算A'!AQ$106=1,EP7,1)</f>
        <v/>
      </c>
      <c r="KE7">
        <f>IF('計算A'!AR$106=1,EQ7,1)</f>
        <v/>
      </c>
      <c r="KF7">
        <f>IF('計算A'!AS$106=1,ER7,1)</f>
        <v/>
      </c>
      <c r="KG7">
        <f>IF('計算A'!AT$106=1,ES7,1)</f>
        <v/>
      </c>
      <c r="KH7">
        <f>IF('計算A'!AU$106=1,ET7,1)</f>
        <v/>
      </c>
      <c r="KI7">
        <f>IF('計算A'!AV$106=1,EU7,1)</f>
        <v/>
      </c>
      <c r="KJ7">
        <f>IF('計算A'!AW$106=1,EV7,1)</f>
        <v/>
      </c>
      <c r="KK7">
        <f>IF('計算A'!AX$106=1,EW7,1)</f>
        <v/>
      </c>
      <c r="KL7">
        <f>IF('計算A'!AY$106=1,EX7,1)</f>
        <v/>
      </c>
      <c r="KM7">
        <f>IF('計算A'!AZ$106=1,EY7,1)</f>
        <v/>
      </c>
      <c r="KN7">
        <f>IF('計算A'!BA$106=1,EZ7,1)</f>
        <v/>
      </c>
      <c r="KO7">
        <f>IF('計算A'!BB$106=1,FA7,1)</f>
        <v/>
      </c>
      <c r="KP7">
        <f>IF('計算A'!BC$106=1,FB7,1)</f>
        <v/>
      </c>
      <c r="KQ7">
        <f>IF('計算A'!BD$106=1,FC7,1)</f>
        <v/>
      </c>
      <c r="KR7">
        <f>IF('計算A'!BE$106=1,FD7,1)</f>
        <v/>
      </c>
      <c r="KS7">
        <f>IF('計算A'!BF$106=1,FE7,1)</f>
        <v/>
      </c>
      <c r="KT7">
        <f>IF('計算A'!BG$106=1,FF7,1)</f>
        <v/>
      </c>
      <c r="KU7">
        <f>IF('計算A'!BH$106=1,FG7,1)</f>
        <v/>
      </c>
      <c r="KV7">
        <f>IF('計算A'!BI$106=1,FH7,1)</f>
        <v/>
      </c>
      <c r="KW7">
        <f>IF('計算A'!BJ$106=1,FI7,1)</f>
        <v/>
      </c>
      <c r="KX7">
        <f>IF('計算A'!BK$106=1,FJ7,1)</f>
        <v/>
      </c>
      <c r="KY7">
        <f>IF('計算A'!BL$106=1,FK7,1)</f>
        <v/>
      </c>
      <c r="KZ7">
        <f>IF('計算A'!BM$106=1,FL7,1)</f>
        <v/>
      </c>
      <c r="LA7">
        <f>IF('計算A'!BN$106=1,FM7,1)</f>
        <v/>
      </c>
      <c r="LB7">
        <f>IF('計算A'!BO$106=1,FN7,1)</f>
        <v/>
      </c>
      <c r="LC7">
        <f>IF('計算A'!BP$106=1,FO7,1)</f>
        <v/>
      </c>
      <c r="LD7">
        <f>IF('計算A'!BQ$106=1,FP7,1)</f>
        <v/>
      </c>
      <c r="LE7">
        <f>IF('計算A'!BR$106=1,FQ7,1)</f>
        <v/>
      </c>
      <c r="LF7">
        <f>IF('計算A'!BS$106=1,FR7,1)</f>
        <v/>
      </c>
      <c r="LG7">
        <f>IF('計算A'!BT$106=1,FS7,1)</f>
        <v/>
      </c>
      <c r="LH7">
        <f>IF('計算A'!BU$106=1,FT7,1)</f>
        <v/>
      </c>
      <c r="LI7">
        <f>IF('計算A'!BV$106=1,FU7,1)</f>
        <v/>
      </c>
      <c r="LJ7">
        <f>IF('計算A'!BW$106=1,FV7,1)</f>
        <v/>
      </c>
      <c r="LK7">
        <f>IF('計算A'!BX$106=1,FW7,1)</f>
        <v/>
      </c>
      <c r="LL7">
        <f>IF('計算A'!BY$106=1,FX7,1)</f>
        <v/>
      </c>
      <c r="LM7">
        <f>IF('計算A'!BZ$106=1,FY7,1)</f>
        <v/>
      </c>
      <c r="LN7">
        <f>IF('計算A'!CA$106=1,FZ7,1)</f>
        <v/>
      </c>
      <c r="LO7">
        <f>IF('計算A'!CB$106=1,GA7,1)</f>
        <v/>
      </c>
      <c r="LP7">
        <f>IF('計算A'!CC$106=1,GB7,1)</f>
        <v/>
      </c>
      <c r="LQ7">
        <f>IF('計算A'!CD$106=1,GC7,1)</f>
        <v/>
      </c>
      <c r="LR7">
        <f>IF('計算A'!CE$106=1,GD7,1)</f>
        <v/>
      </c>
      <c r="LS7">
        <f>IF('計算A'!CF$106=1,GE7,1)</f>
        <v/>
      </c>
      <c r="LT7">
        <f>IF('計算A'!CG$106=1,GF7,1)</f>
        <v/>
      </c>
      <c r="LU7">
        <f>IF('計算A'!CH$106=1,GG7,1)</f>
        <v/>
      </c>
      <c r="LV7">
        <f>IF('計算A'!CI$106=1,GH7,1)</f>
        <v/>
      </c>
      <c r="LW7">
        <f>IF('計算A'!CJ$106=1,GI7,1)</f>
        <v/>
      </c>
      <c r="LX7">
        <f>IF('計算A'!CK$106=1,GJ7,1)</f>
        <v/>
      </c>
      <c r="LY7">
        <f>IF('計算A'!CL$106=1,GK7,1)</f>
        <v/>
      </c>
      <c r="LZ7">
        <f>IF('計算A'!CM$106=1,GL7,1)</f>
        <v/>
      </c>
      <c r="MA7">
        <f>IF('計算A'!CN$106=1,GM7,1)</f>
        <v/>
      </c>
      <c r="MB7">
        <f>IF('計算A'!CO$106=1,GN7,1)</f>
        <v/>
      </c>
      <c r="MC7">
        <f>IF('計算A'!CP$106=1,GO7,1)</f>
        <v/>
      </c>
      <c r="MD7">
        <f>IF('計算A'!CQ$106=1,GP7,1)</f>
        <v/>
      </c>
      <c r="ME7">
        <f>IF('計算A'!CR$106=1,GQ7,1)</f>
        <v/>
      </c>
      <c r="MF7">
        <f>IF('計算A'!CS$106=1,GR7,1)</f>
        <v/>
      </c>
      <c r="MG7">
        <f>IF('計算A'!CT$106=1,GS7,1)</f>
        <v/>
      </c>
      <c r="MH7">
        <f>IF('計算A'!CU$106=1,GT7,1)</f>
        <v/>
      </c>
      <c r="MI7">
        <f>IF('計算A'!CV$106=1,GU7,1)</f>
        <v/>
      </c>
      <c r="MJ7">
        <f>IF('計算A'!CW$106=1,GV7,1)</f>
        <v/>
      </c>
      <c r="MK7">
        <f>IF('計算A'!CX$106=1,GW7,1)</f>
        <v/>
      </c>
      <c r="ML7">
        <f>IF('計算A'!CY$106=1,GX7,1)</f>
        <v/>
      </c>
      <c r="MM7">
        <f>IF('計算A'!CZ$106=1,GY7,1)</f>
        <v/>
      </c>
      <c r="MN7">
        <f>IF('計算A'!DA$106=1,GZ7,1)</f>
        <v/>
      </c>
      <c r="MO7">
        <f>IF('計算A'!DB$106=1,HA7,1)</f>
        <v/>
      </c>
      <c r="MP7">
        <f>IF('計算A'!DC$106=1,HB7,1)</f>
        <v/>
      </c>
      <c r="MQ7">
        <f>IF('計算A'!DD$106=1,HC7,1)</f>
        <v/>
      </c>
      <c r="MR7">
        <f>IF('計算A'!DE$106=1,HD7,1)</f>
        <v/>
      </c>
      <c r="MS7">
        <f>IF('計算A'!DF$106=1,HE7,1)</f>
        <v/>
      </c>
      <c r="MT7">
        <f>IF('計算A'!DG$106=1,HF7,1)</f>
        <v/>
      </c>
      <c r="MU7">
        <f>IF('計算A'!DH$106=1,HG7,1)</f>
        <v/>
      </c>
      <c r="MV7">
        <f>IF('計算A'!DI$106=1,HH7,1)</f>
        <v/>
      </c>
      <c r="MW7">
        <f>IF('計算A'!DJ$106=1,HI7,1)</f>
        <v/>
      </c>
      <c r="MX7">
        <f>IF('計算A'!DK$106=1,HJ7,1)</f>
        <v/>
      </c>
      <c r="MY7">
        <f>IF('計算A'!DL$106=1,HK7,1)</f>
        <v/>
      </c>
      <c r="MZ7">
        <f>IF('計算A'!DM$106=1,HL7,1)</f>
        <v/>
      </c>
      <c r="NA7">
        <f>IF('計算A'!DN$106=1,HM7,1)</f>
        <v/>
      </c>
      <c r="NB7">
        <f>IF('計算A'!DO$106=1,HN7,1)</f>
        <v/>
      </c>
      <c r="NC7">
        <f>IF('計算A'!DP$106=1,HO7,1)</f>
        <v/>
      </c>
      <c r="ND7">
        <f>IF('計算A'!DQ$106=1,HP7,1)</f>
        <v/>
      </c>
      <c r="NE7">
        <f>IF('計算A'!DR$106=1,HQ7,1)</f>
        <v/>
      </c>
      <c r="NF7">
        <f>IF('計算A'!DS$106=1,HR7,1)</f>
        <v/>
      </c>
      <c r="NG7">
        <f>IF('計算A'!DT$106=1,HS7,1)</f>
        <v/>
      </c>
      <c r="NH7">
        <f>IF('計算A'!DU$106=1,HT7,1)</f>
        <v/>
      </c>
      <c r="NI7">
        <f>IF('計算A'!DV$106=1,HU7,1)</f>
        <v/>
      </c>
      <c r="NJ7">
        <f>IF('計算A'!DW$106=1,HV7,1)</f>
        <v/>
      </c>
      <c r="NK7">
        <f>IF('計算A'!DX$106=1,HW7,1)</f>
        <v/>
      </c>
      <c r="NL7">
        <f>IF('計算A'!DY$106=1,HX7,1)</f>
        <v/>
      </c>
      <c r="NM7">
        <f>IF('計算A'!DZ$106=1,HY7,1)</f>
        <v/>
      </c>
      <c r="NN7">
        <f>IF('計算A'!EA$106=1,HZ7,1)</f>
        <v/>
      </c>
      <c r="NO7">
        <f>IF('計算A'!EB$106=1,IA7,1)</f>
        <v/>
      </c>
      <c r="NP7">
        <f>IF('計算A'!EC$106=1,IB7,1)</f>
        <v/>
      </c>
      <c r="NQ7">
        <f>IF('計算A'!ED$106=1,IC7,1)</f>
        <v/>
      </c>
      <c r="NR7">
        <f>IF('計算A'!EE$106=1,ID7,1)</f>
        <v/>
      </c>
      <c r="NS7">
        <f>IF('計算A'!EF$106=1,IE7,1)</f>
        <v/>
      </c>
      <c r="NT7">
        <f>IF('計算A'!EG$106=1,IF7,1)</f>
        <v/>
      </c>
      <c r="NU7">
        <f>IF('計算A'!EH$106=1,IG7,1)</f>
        <v/>
      </c>
      <c r="NV7">
        <f>IF('計算A'!EI$106=1,IH7,1)</f>
        <v/>
      </c>
      <c r="NW7">
        <f>IF('計算A'!EJ$106=1,II7,1)</f>
        <v/>
      </c>
      <c r="NX7">
        <f>IF('計算A'!EK$106=1,IJ7,1)</f>
        <v/>
      </c>
      <c r="NY7">
        <f>IF('計算A'!EL$106=1,IK7,1)</f>
        <v/>
      </c>
      <c r="NZ7">
        <f>IF('計算A'!EM$106=1,IL7,1)</f>
        <v/>
      </c>
      <c r="OA7">
        <f>IF('計算A'!EN$106=1,IM7,1)</f>
        <v/>
      </c>
      <c r="OB7">
        <f>IF('計算A'!EO$106=1,IN7,1)</f>
        <v/>
      </c>
      <c r="OC7">
        <f>IF('計算A'!EP$106=1,IO7,1)</f>
        <v/>
      </c>
      <c r="OD7" t="n">
        <v>1</v>
      </c>
      <c r="OF7">
        <f>IF($B7=0,1000000,IF(INDEX('計算A'!$D$60:$EQ$104,$B7,1)*DB7=1,IF(AND($E7=2,IQ7=0),1000000,IF($I7&gt;0,IF(1=$J7,IF(OR(AND(1=$I7+1,OR($K7&lt;&gt;'計算A'!$A$3,'計算A'!$A$4=0)),AND(1=$I7-1,OR(1&lt;&gt;'計算A'!$A$3,'計算A'!$A$4=0))),0,IF(1=$K7,200000,ABS(1-$K7)*100)),100000+ABS(1-$J7)*1000+10)+'計算A'!D$5*50+IF(AND($E7=1,IQ7=0),25,0),IF($F7&gt;0,INDEX('計算A'!D$110:D$114,$F7+1)+IF(AND($E7=1,IQ7=0),1000,0),MIN(TU7,20)*400+(IF('計算A'!D$106=1,1-DC7,0))*150+11+'計算A'!D$5*100000+IF(AND($E7=1,IQ7=0),50000,0))+IF($H7=1,(IF('計算A'!D$117=1,INDEX('計算A'!E$10:E$54,$B7),0))*4000,0)-IF(AND($L7=1,'計算A'!D$117=1,DC7=0),2000,0))),1000000))</f>
        <v/>
      </c>
      <c r="OG7">
        <f>IF($B7=0,1000000,IF(INDEX('計算A'!$D$60:$EQ$104,$B7,2)*DC7=1,IF(AND($E7=2,IR7=0),1000000,IF($I7&gt;0,IF(1=$J7,IF(OR(AND(2=$I7+1,OR($K7&lt;&gt;'計算A'!$A$3,'計算A'!$A$4=0)),AND(2=$I7-1,OR(2&lt;&gt;'計算A'!$A$3,'計算A'!$A$4=0))),0,IF(2=$K7,200000,ABS(2-$K7)*100)),100000+ABS(1-$J7)*1000+20)+'計算A'!E$5*50+IF(AND($E7=1,IR7=0),25,0),IF($F7&gt;0,INDEX('計算A'!E$110:E$114,$F7+1)+IF(AND($E7=1,IR7=0),1000,0),MIN(TU7,20)*400+(IF('計算A'!D$106=1,1-DB7,0)+IF('計算A'!E$106=1,1-DD7,0))*150+21+'計算A'!E$5*100000+IF(AND($E7=1,IR7=0),50000,0))+IF($H7=1,(IF('計算A'!D$117=1,INDEX('計算A'!D$10:D$54,$B7),0)+IF('計算A'!E$117=1,INDEX('計算A'!F$10:F$54,$B7),0))*4000,0)-IF(AND('計算A'!D$117=1,UB7&gt;0),2000,0)-IF(AND($L7=1,'計算A'!E$117=1,DD7=0),2000,0))),1000000))</f>
        <v/>
      </c>
      <c r="OH7">
        <f>IF($B7=0,1000000,IF(INDEX('計算A'!$D$60:$EQ$104,$B7,3)*DD7=1,IF(AND($E7=2,IS7=0),1000000,IF($I7&gt;0,IF(1=$J7,IF(OR(AND(3=$I7+1,OR($K7&lt;&gt;'計算A'!$A$3,'計算A'!$A$4=0)),AND(3=$I7-1,OR(3&lt;&gt;'計算A'!$A$3,'計算A'!$A$4=0))),0,IF(3=$K7,200000,ABS(3-$K7)*100)),100000+ABS(1-$J7)*1000+30)+'計算A'!F$5*50+IF(AND($E7=1,IS7=0),25,0),IF($F7&gt;0,INDEX('計算A'!F$110:F$114,$F7+1)+IF(AND($E7=1,IS7=0),1000,0),MIN(TU7,20)*400+(IF('計算A'!E$106=1,1-DC7,0)+IF('計算A'!F$106=1,1-DE7,0))*150+31+'計算A'!F$5*100000+IF(AND($E7=1,IS7=0),50000,0))+IF($H7=1,(IF('計算A'!E$117=1,INDEX('計算A'!E$10:E$54,$B7),0)+IF('計算A'!F$117=1,INDEX('計算A'!G$10:G$54,$B7),0))*4000,0)-IF(AND('計算A'!E$117=1,UC7&gt;0),2000,0)-IF(AND($L7=1,'計算A'!F$117=1,DE7=0),2000,0))),1000000))</f>
        <v/>
      </c>
      <c r="OI7">
        <f>IF($B7=0,1000000,IF(INDEX('計算A'!$D$60:$EQ$104,$B7,4)*DE7=1,IF(AND($E7=2,IT7=0),1000000,IF($I7&gt;0,IF(1=$J7,IF(OR(AND(4=$I7+1,OR($K7&lt;&gt;'計算A'!$A$3,'計算A'!$A$4=0)),AND(4=$I7-1,OR(4&lt;&gt;'計算A'!$A$3,'計算A'!$A$4=0))),0,IF(4=$K7,200000,ABS(4-$K7)*100)),100000+ABS(1-$J7)*1000+40)+'計算A'!G$5*50+IF(AND($E7=1,IT7=0),25,0),IF($F7&gt;0,INDEX('計算A'!G$110:G$114,$F7+1)+IF(AND($E7=1,IT7=0),1000,0),MIN(TU7,20)*400+(IF('計算A'!F$106=1,1-DD7,0)+IF('計算A'!G$106=1,1-DF7,0))*150+41+'計算A'!G$5*100000+IF(AND($E7=1,IT7=0),50000,0))+IF($H7=1,(IF('計算A'!F$117=1,INDEX('計算A'!F$10:F$54,$B7),0)+IF('計算A'!G$117=1,INDEX('計算A'!H$10:H$54,$B7),0))*4000,0)-IF(AND('計算A'!F$117=1,UD7&gt;0),2000,0)-IF(AND($L7=1,'計算A'!G$117=1,DF7=0),2000,0))),1000000))</f>
        <v/>
      </c>
      <c r="OJ7">
        <f>IF($B7=0,1000000,IF(INDEX('計算A'!$D$60:$EQ$104,$B7,5)*DF7=1,IF(AND($E7=2,IU7=0),1000000,IF($I7&gt;0,IF(1=$J7,IF(OR(AND(5=$I7+1,OR($K7&lt;&gt;'計算A'!$A$3,'計算A'!$A$4=0)),AND(5=$I7-1,OR(5&lt;&gt;'計算A'!$A$3,'計算A'!$A$4=0))),0,IF(5=$K7,200000,ABS(5-$K7)*100)),100000+ABS(1-$J7)*1000+50)+'計算A'!H$5*50+IF(AND($E7=1,IU7=0),25,0),IF($F7&gt;0,INDEX('計算A'!H$110:H$114,$F7+1)+IF(AND($E7=1,IU7=0),1000,0),MIN(TU7,20)*400+(IF('計算A'!G$106=1,1-DE7,0)+IF('計算A'!H$106=1,1-DG7,0))*150+51+'計算A'!H$5*100000+IF(AND($E7=1,IU7=0),50000,0))+IF($H7=1,(IF('計算A'!G$117=1,INDEX('計算A'!G$10:G$54,$B7),0)+IF('計算A'!H$117=1,INDEX('計算A'!I$10:I$54,$B7),0))*4000,0)-IF(AND('計算A'!G$117=1,UE7&gt;0),2000,0)-IF(AND($L7=1,'計算A'!H$117=1,DG7=0),2000,0))),1000000))</f>
        <v/>
      </c>
      <c r="OK7">
        <f>IF($B7=0,1000000,IF(INDEX('計算A'!$D$60:$EQ$104,$B7,6)*DG7=1,IF(AND($E7=2,IV7=0),1000000,IF($I7&gt;0,IF(1=$J7,IF(OR(AND(6=$I7+1,OR($K7&lt;&gt;'計算A'!$A$3,'計算A'!$A$4=0)),AND(6=$I7-1,OR(6&lt;&gt;'計算A'!$A$3,'計算A'!$A$4=0))),0,IF(6=$K7,200000,ABS(6-$K7)*100)),100000+ABS(1-$J7)*1000+60)+'計算A'!I$5*50+IF(AND($E7=1,IV7=0),25,0),IF($F7&gt;0,INDEX('計算A'!I$110:I$114,$F7+1)+IF(AND($E7=1,IV7=0),1000,0),MIN(TU7,20)*400+(IF('計算A'!H$106=1,1-DF7,0)+IF('計算A'!I$106=1,1-DH7,0))*150+61+'計算A'!I$5*100000+IF(AND($E7=1,IV7=0),50000,0))+IF($H7=1,(IF('計算A'!H$117=1,INDEX('計算A'!H$10:H$54,$B7),0)+IF('計算A'!I$117=1,INDEX('計算A'!J$10:J$54,$B7),0))*4000,0)-IF(AND('計算A'!H$117=1,UF7&gt;0),2000,0)-IF(AND($L7=1,'計算A'!I$117=1,DH7=0),2000,0))),1000000))</f>
        <v/>
      </c>
      <c r="OL7">
        <f>IF($B7=0,1000000,IF(INDEX('計算A'!$D$60:$EQ$104,$B7,7)*DH7=1,IF(AND($E7=2,IW7=0),1000000,IF($I7&gt;0,IF(1=$J7,IF(OR(AND(7=$I7+1,OR($K7&lt;&gt;'計算A'!$A$3,'計算A'!$A$4=0)),AND(7=$I7-1,OR(7&lt;&gt;'計算A'!$A$3,'計算A'!$A$4=0))),0,IF(7=$K7,200000,ABS(7-$K7)*100)),100000+ABS(1-$J7)*1000+70)+'計算A'!J$5*50+IF(AND($E7=1,IW7=0),25,0),IF($F7&gt;0,INDEX('計算A'!J$110:J$114,$F7+1)+IF(AND($E7=1,IW7=0),1000,0),MIN(TU7,20)*400+(IF('計算A'!I$106=1,1-DG7,0)+IF('計算A'!J$106=1,1-DI7,0))*150+71+'計算A'!J$5*100000+IF(AND($E7=1,IW7=0),50000,0))+IF($H7=1,(IF('計算A'!I$117=1,INDEX('計算A'!I$10:I$54,$B7),0)+IF('計算A'!J$117=1,INDEX('計算A'!K$10:K$54,$B7),0))*4000,0)-IF(AND('計算A'!I$117=1,UG7&gt;0),2000,0)-IF(AND($L7=1,'計算A'!J$117=1,DI7=0),2000,0))),1000000))</f>
        <v/>
      </c>
      <c r="OM7">
        <f>IF($B7=0,1000000,IF(INDEX('計算A'!$D$60:$EQ$104,$B7,8)*DI7=1,IF(AND($E7=2,IX7=0),1000000,IF($I7&gt;0,IF(1=$J7,IF(OR(AND(8=$I7+1,OR($K7&lt;&gt;'計算A'!$A$3,'計算A'!$A$4=0)),AND(8=$I7-1,OR(8&lt;&gt;'計算A'!$A$3,'計算A'!$A$4=0))),0,IF(8=$K7,200000,ABS(8-$K7)*100)),100000+ABS(1-$J7)*1000+80)+'計算A'!K$5*50+IF(AND($E7=1,IX7=0),25,0),IF($F7&gt;0,INDEX('計算A'!K$110:K$114,$F7+1)+IF(AND($E7=1,IX7=0),1000,0),MIN(TU7,20)*400+(IF('計算A'!J$106=1,1-DH7,0)+IF('計算A'!K$106=1,1-DJ7,0))*150+81+'計算A'!K$5*100000+IF(AND($E7=1,IX7=0),50000,0))+IF($H7=1,(IF('計算A'!J$117=1,INDEX('計算A'!J$10:J$54,$B7),0)+IF('計算A'!K$117=1,INDEX('計算A'!L$10:L$54,$B7),0))*4000,0)-IF(AND('計算A'!J$117=1,UH7&gt;0),2000,0)-IF(AND($L7=1,'計算A'!K$117=1,DJ7=0),2000,0))),1000000))</f>
        <v/>
      </c>
      <c r="ON7">
        <f>IF($B7=0,1000000,IF(INDEX('計算A'!$D$60:$EQ$104,$B7,9)*DJ7=1,IF(AND($E7=2,IY7=0),1000000,IF($I7&gt;0,IF(1=$J7,IF(OR(AND(9=$I7+1,OR($K7&lt;&gt;'計算A'!$A$3,'計算A'!$A$4=0)),AND(9=$I7-1,OR(9&lt;&gt;'計算A'!$A$3,'計算A'!$A$4=0))),0,IF(9=$K7,200000,ABS(9-$K7)*100)),100000+ABS(1-$J7)*1000+90)+'計算A'!L$5*50+IF(AND($E7=1,IY7=0),25,0),IF($F7&gt;0,INDEX('計算A'!L$110:L$114,$F7+1)+IF(AND($E7=1,IY7=0),1000,0),MIN(TU7,20)*400+(IF('計算A'!K$106=1,1-DI7,0)+IF('計算A'!L$106=1,1-DK7,0))*150+91+'計算A'!L$5*100000+IF(AND($E7=1,IY7=0),50000,0))+IF($H7=1,(IF('計算A'!K$117=1,INDEX('計算A'!K$10:K$54,$B7),0)+IF('計算A'!L$117=1,INDEX('計算A'!M$10:M$54,$B7),0))*4000,0)-IF(AND('計算A'!K$117=1,UI7&gt;0),2000,0)-IF(AND($L7=1,'計算A'!L$117=1,DK7=0),2000,0))),1000000))</f>
        <v/>
      </c>
      <c r="OO7">
        <f>IF($B7=0,1000000,IF(INDEX('計算A'!$D$60:$EQ$104,$B7,10)*DK7=1,IF(AND($E7=2,IZ7=0),1000000,IF($I7&gt;0,IF(1=$J7,IF(OR(AND(10=$I7+1,OR($K7&lt;&gt;'計算A'!$A$3,'計算A'!$A$4=0)),AND(10=$I7-1,OR(10&lt;&gt;'計算A'!$A$3,'計算A'!$A$4=0))),0,IF(10=$K7,200000,ABS(10-$K7)*100)),100000+ABS(1-$J7)*1000+100)+'計算A'!M$5*50+IF(AND($E7=1,IZ7=0),25,0),IF($F7&gt;0,INDEX('計算A'!M$110:M$114,$F7+1)+IF(AND($E7=1,IZ7=0),1000,0),MIN(TU7,20)*400+(IF('計算A'!L$106=1,1-DJ7,0)+IF('計算A'!M$106=1,1-DL7,0))*150+101+'計算A'!M$5*100000+IF(AND($E7=1,IZ7=0),50000,0))+IF($H7=1,(IF('計算A'!L$117=1,INDEX('計算A'!L$10:L$54,$B7),0)+IF('計算A'!M$117=1,INDEX('計算A'!N$10:N$54,$B7),0))*4000,0)-IF(AND('計算A'!L$117=1,UJ7&gt;0),2000,0)-IF(AND($L7=1,'計算A'!M$117=1,DL7=0),2000,0))),1000000))</f>
        <v/>
      </c>
      <c r="OP7">
        <f>IF($B7=0,1000000,IF(INDEX('計算A'!$D$60:$EQ$104,$B7,11)*DL7=1,IF(AND($E7=2,JA7=0),1000000,IF($I7&gt;0,IF(1=$J7,IF(OR(AND(11=$I7+1,OR($K7&lt;&gt;'計算A'!$A$3,'計算A'!$A$4=0)),AND(11=$I7-1,OR(11&lt;&gt;'計算A'!$A$3,'計算A'!$A$4=0))),0,IF(11=$K7,200000,ABS(11-$K7)*100)),100000+ABS(1-$J7)*1000+110)+'計算A'!N$5*50+IF(AND($E7=1,JA7=0),25,0),IF($F7&gt;0,INDEX('計算A'!N$110:N$114,$F7+1)+IF(AND($E7=1,JA7=0),1000,0),MIN(TU7,20)*400+(IF('計算A'!M$106=1,1-DK7,0)+IF('計算A'!N$106=1,1-DM7,0))*150+111+'計算A'!N$5*100000+IF(AND($E7=1,JA7=0),50000,0))+IF($H7=1,(IF('計算A'!M$117=1,INDEX('計算A'!M$10:M$54,$B7),0)+IF('計算A'!N$117=1,INDEX('計算A'!O$10:O$54,$B7),0))*4000,0)-IF(AND('計算A'!M$117=1,UK7&gt;0),2000,0)-IF(AND($L7=1,'計算A'!N$117=1,DM7=0),2000,0))),1000000))</f>
        <v/>
      </c>
      <c r="OQ7">
        <f>IF($B7=0,1000000,IF(INDEX('計算A'!$D$60:$EQ$104,$B7,12)*DM7=1,IF(AND($E7=2,JB7=0),1000000,IF($I7&gt;0,IF(1=$J7,IF(OR(AND(12=$I7+1,OR($K7&lt;&gt;'計算A'!$A$3,'計算A'!$A$4=0)),AND(12=$I7-1,OR(12&lt;&gt;'計算A'!$A$3,'計算A'!$A$4=0))),0,IF(12=$K7,200000,ABS(12-$K7)*100)),100000+ABS(1-$J7)*1000+120)+'計算A'!O$5*50+IF(AND($E7=1,JB7=0),25,0),IF($F7&gt;0,INDEX('計算A'!O$110:O$114,$F7+1)+IF(AND($E7=1,JB7=0),1000,0),MIN(TU7,20)*400+(IF('計算A'!N$106=1,1-DL7,0)+IF('計算A'!O$106=1,1-DN7,0))*150+121+'計算A'!O$5*100000+IF(AND($E7=1,JB7=0),50000,0))+IF($H7=1,(IF('計算A'!N$117=1,INDEX('計算A'!N$10:N$54,$B7),0)+IF('計算A'!O$117=1,INDEX('計算A'!P$10:P$54,$B7),0))*4000,0)-IF(AND('計算A'!N$117=1,UL7&gt;0),2000,0)-IF(AND($L7=1,'計算A'!O$117=1,DN7=0),2000,0))),1000000))</f>
        <v/>
      </c>
      <c r="OR7">
        <f>IF($B7=0,1000000,IF(INDEX('計算A'!$D$60:$EQ$104,$B7,13)*DN7=1,IF(AND($E7=2,JC7=0),1000000,IF($I7&gt;0,IF(1=$J7,IF(OR(AND(13=$I7+1,OR($K7&lt;&gt;'計算A'!$A$3,'計算A'!$A$4=0)),AND(13=$I7-1,OR(13&lt;&gt;'計算A'!$A$3,'計算A'!$A$4=0))),0,IF(13=$K7,200000,ABS(13-$K7)*100)),100000+ABS(1-$J7)*1000+130)+'計算A'!P$5*50+IF(AND($E7=1,JC7=0),25,0),IF($F7&gt;0,INDEX('計算A'!P$110:P$114,$F7+1)+IF(AND($E7=1,JC7=0),1000,0),MIN(TU7,20)*400+(IF('計算A'!O$106=1,1-DM7,0)+IF('計算A'!P$106=1,1-DO7,0))*150+131+'計算A'!P$5*100000+IF(AND($E7=1,JC7=0),50000,0))+IF($H7=1,(IF('計算A'!O$117=1,INDEX('計算A'!O$10:O$54,$B7),0)+IF('計算A'!P$117=1,INDEX('計算A'!Q$10:Q$54,$B7),0))*4000,0)-IF(AND('計算A'!O$117=1,UM7&gt;0),2000,0)-IF(AND($L7=1,'計算A'!P$117=1,DO7=0),2000,0))),1000000))</f>
        <v/>
      </c>
      <c r="OS7">
        <f>IF($B7=0,1000000,IF(INDEX('計算A'!$D$60:$EQ$104,$B7,14)*DO7=1,IF(AND($E7=2,JD7=0),1000000,IF($I7&gt;0,IF(1=$J7,IF(OR(AND(14=$I7+1,OR($K7&lt;&gt;'計算A'!$A$3,'計算A'!$A$4=0)),AND(14=$I7-1,OR(14&lt;&gt;'計算A'!$A$3,'計算A'!$A$4=0))),0,IF(14=$K7,200000,ABS(14-$K7)*100)),100000+ABS(1-$J7)*1000+140)+'計算A'!Q$5*50+IF(AND($E7=1,JD7=0),25,0),IF($F7&gt;0,INDEX('計算A'!Q$110:Q$114,$F7+1)+IF(AND($E7=1,JD7=0),1000,0),MIN(TU7,20)*400+(IF('計算A'!P$106=1,1-DN7,0)+IF('計算A'!Q$106=1,1-DP7,0))*150+141+'計算A'!Q$5*100000+IF(AND($E7=1,JD7=0),50000,0))+IF($H7=1,(IF('計算A'!P$117=1,INDEX('計算A'!P$10:P$54,$B7),0)+IF('計算A'!Q$117=1,INDEX('計算A'!R$10:R$54,$B7),0))*4000,0)-IF(AND('計算A'!P$117=1,UN7&gt;0),2000,0)-IF(AND($L7=1,'計算A'!Q$117=1,DP7=0),2000,0))),1000000))</f>
        <v/>
      </c>
      <c r="OT7">
        <f>IF($B7=0,1000000,IF(INDEX('計算A'!$D$60:$EQ$104,$B7,15)*DP7=1,IF(AND($E7=2,JE7=0),1000000,IF($I7&gt;0,IF(1=$J7,IF(OR(AND(15=$I7+1,OR($K7&lt;&gt;'計算A'!$A$3,'計算A'!$A$4=0)),AND(15=$I7-1,OR(15&lt;&gt;'計算A'!$A$3,'計算A'!$A$4=0))),0,IF(15=$K7,200000,ABS(15-$K7)*100)),100000+ABS(1-$J7)*1000+150)+'計算A'!R$5*50+IF(AND($E7=1,JE7=0),25,0),IF($F7&gt;0,INDEX('計算A'!R$110:R$114,$F7+1)+IF(AND($E7=1,JE7=0),1000,0),MIN(TU7,20)*400+(IF('計算A'!Q$106=1,1-DO7,0)+IF('計算A'!R$106=1,1-DQ7,0))*150+151+'計算A'!R$5*100000+IF(AND($E7=1,JE7=0),50000,0))+IF($H7=1,(IF('計算A'!Q$117=1,INDEX('計算A'!Q$10:Q$54,$B7),0)+IF('計算A'!R$117=1,INDEX('計算A'!S$10:S$54,$B7),0))*4000,0)-IF(AND('計算A'!Q$117=1,UO7&gt;0),2000,0)-IF(AND($L7=1,'計算A'!R$117=1,DQ7=0),2000,0))),1000000))</f>
        <v/>
      </c>
      <c r="OU7">
        <f>IF($B7=0,1000000,IF(INDEX('計算A'!$D$60:$EQ$104,$B7,16)*DQ7=1,IF(AND($E7=2,JF7=0),1000000,IF($I7&gt;0,IF(1=$J7,IF(OR(AND(16=$I7+1,OR($K7&lt;&gt;'計算A'!$A$3,'計算A'!$A$4=0)),AND(16=$I7-1,OR(16&lt;&gt;'計算A'!$A$3,'計算A'!$A$4=0))),0,IF(16=$K7,200000,ABS(16-$K7)*100)),100000+ABS(1-$J7)*1000+160)+'計算A'!S$5*50+IF(AND($E7=1,JF7=0),25,0),IF($F7&gt;0,INDEX('計算A'!S$110:S$114,$F7+1)+IF(AND($E7=1,JF7=0),1000,0),MIN(TU7,20)*400+(IF('計算A'!R$106=1,1-DP7,0)+IF('計算A'!S$106=1,1-DR7,0))*150+161+'計算A'!S$5*100000+IF(AND($E7=1,JF7=0),50000,0))+IF($H7=1,(IF('計算A'!R$117=1,INDEX('計算A'!R$10:R$54,$B7),0)+IF('計算A'!S$117=1,INDEX('計算A'!T$10:T$54,$B7),0))*4000,0)-IF(AND('計算A'!R$117=1,UP7&gt;0),2000,0)-IF(AND($L7=1,'計算A'!S$117=1,DR7=0),2000,0))),1000000))</f>
        <v/>
      </c>
      <c r="OV7">
        <f>IF($B7=0,1000000,IF(INDEX('計算A'!$D$60:$EQ$104,$B7,17)*DR7=1,IF(AND($E7=2,JG7=0),1000000,IF($I7&gt;0,IF(1=$J7,IF(OR(AND(17=$I7+1,OR($K7&lt;&gt;'計算A'!$A$3,'計算A'!$A$4=0)),AND(17=$I7-1,OR(17&lt;&gt;'計算A'!$A$3,'計算A'!$A$4=0))),0,IF(17=$K7,200000,ABS(17-$K7)*100)),100000+ABS(1-$J7)*1000+170)+'計算A'!T$5*50+IF(AND($E7=1,JG7=0),25,0),IF($F7&gt;0,INDEX('計算A'!T$110:T$114,$F7+1)+IF(AND($E7=1,JG7=0),1000,0),MIN(TU7,20)*400+(IF('計算A'!S$106=1,1-DQ7,0)+IF('計算A'!T$106=1,1-DS7,0))*150+171+'計算A'!T$5*100000+IF(AND($E7=1,JG7=0),50000,0))+IF($H7=1,(IF('計算A'!S$117=1,INDEX('計算A'!S$10:S$54,$B7),0)+IF('計算A'!T$117=1,INDEX('計算A'!U$10:U$54,$B7),0))*4000,0)-IF(AND('計算A'!S$117=1,UQ7&gt;0),2000,0)-IF(AND($L7=1,'計算A'!T$117=1,DS7=0),2000,0))),1000000))</f>
        <v/>
      </c>
      <c r="OW7">
        <f>IF($B7=0,1000000,IF(INDEX('計算A'!$D$60:$EQ$104,$B7,18)*DS7=1,IF(AND($E7=2,JH7=0),1000000,IF($I7&gt;0,IF(1=$J7,IF(OR(AND(18=$I7+1,OR($K7&lt;&gt;'計算A'!$A$3,'計算A'!$A$4=0)),AND(18=$I7-1,OR(18&lt;&gt;'計算A'!$A$3,'計算A'!$A$4=0))),0,IF(18=$K7,200000,ABS(18-$K7)*100)),100000+ABS(1-$J7)*1000+180)+'計算A'!U$5*50+IF(AND($E7=1,JH7=0),25,0),IF($F7&gt;0,INDEX('計算A'!U$110:U$114,$F7+1)+IF(AND($E7=1,JH7=0),1000,0),MIN(TU7,20)*400+(IF('計算A'!T$106=1,1-DR7,0)+IF('計算A'!U$106=1,1-DT7,0))*150+181+'計算A'!U$5*100000+IF(AND($E7=1,JH7=0),50000,0))+IF($H7=1,(IF('計算A'!T$117=1,INDEX('計算A'!T$10:T$54,$B7),0)+IF('計算A'!U$117=1,INDEX('計算A'!V$10:V$54,$B7),0))*4000,0)-IF(AND('計算A'!T$117=1,UR7&gt;0),2000,0)-IF(AND($L7=1,'計算A'!U$117=1,DT7=0),2000,0))),1000000))</f>
        <v/>
      </c>
      <c r="OX7">
        <f>IF($B7=0,1000000,IF(INDEX('計算A'!$D$60:$EQ$104,$B7,19)*DT7=1,IF(AND($E7=2,JI7=0),1000000,IF($I7&gt;0,IF(1=$J7,IF(OR(AND(19=$I7+1,OR($K7&lt;&gt;'計算A'!$A$3,'計算A'!$A$4=0)),AND(19=$I7-1,OR(19&lt;&gt;'計算A'!$A$3,'計算A'!$A$4=0))),0,IF(19=$K7,200000,ABS(19-$K7)*100)),100000+ABS(1-$J7)*1000+190)+'計算A'!V$5*50+IF(AND($E7=1,JI7=0),25,0),IF($F7&gt;0,INDEX('計算A'!V$110:V$114,$F7+1)+IF(AND($E7=1,JI7=0),1000,0),MIN(TU7,20)*400+(IF('計算A'!U$106=1,1-DS7,0)+IF('計算A'!V$106=1,1-DU7,0))*150+191+'計算A'!V$5*100000+IF(AND($E7=1,JI7=0),50000,0))+IF($H7=1,(IF('計算A'!U$117=1,INDEX('計算A'!U$10:U$54,$B7),0)+IF('計算A'!V$117=1,INDEX('計算A'!W$10:W$54,$B7),0))*4000,0)-IF(AND('計算A'!U$117=1,US7&gt;0),2000,0)-IF(AND($L7=1,'計算A'!V$117=1,DU7=0),2000,0))),1000000))</f>
        <v/>
      </c>
      <c r="OY7">
        <f>IF($B7=0,1000000,IF(INDEX('計算A'!$D$60:$EQ$104,$B7,20)*DU7=1,IF(AND($E7=2,JJ7=0),1000000,IF($I7&gt;0,IF(1=$J7,IF(OR(AND(20=$I7+1,OR($K7&lt;&gt;'計算A'!$A$3,'計算A'!$A$4=0)),AND(20=$I7-1,OR(20&lt;&gt;'計算A'!$A$3,'計算A'!$A$4=0))),0,IF(20=$K7,200000,ABS(20-$K7)*100)),100000+ABS(1-$J7)*1000+200)+'計算A'!W$5*50+IF(AND($E7=1,JJ7=0),25,0),IF($F7&gt;0,INDEX('計算A'!W$110:W$114,$F7+1)+IF(AND($E7=1,JJ7=0),1000,0),MIN(TU7,20)*400+(IF('計算A'!V$106=1,1-DT7,0)+IF('計算A'!W$106=1,1-DV7,0))*150+201+'計算A'!W$5*100000+IF(AND($E7=1,JJ7=0),50000,0))+IF($H7=1,(IF('計算A'!V$117=1,INDEX('計算A'!V$10:V$54,$B7),0)+IF('計算A'!W$117=1,INDEX('計算A'!X$10:X$54,$B7),0))*4000,0)-IF(AND('計算A'!V$117=1,UT7&gt;0),2000,0)-IF(AND($L7=1,'計算A'!W$117=1,DV7=0),2000,0))),1000000))</f>
        <v/>
      </c>
      <c r="OZ7">
        <f>IF($B7=0,1000000,IF(INDEX('計算A'!$D$60:$EQ$104,$B7,21)*DV7=1,IF(AND($E7=2,JK7=0),1000000,IF($I7&gt;0,IF(1=$J7,IF(OR(AND(21=$I7+1,OR($K7&lt;&gt;'計算A'!$A$3,'計算A'!$A$4=0)),AND(21=$I7-1,OR(21&lt;&gt;'計算A'!$A$3,'計算A'!$A$4=0))),0,IF(21=$K7,200000,ABS(21-$K7)*100)),100000+ABS(1-$J7)*1000+210)+'計算A'!X$5*50+IF(AND($E7=1,JK7=0),25,0),IF($F7&gt;0,INDEX('計算A'!X$110:X$114,$F7+1)+IF(AND($E7=1,JK7=0),1000,0),MIN(TU7,20)*400+(IF('計算A'!W$106=1,1-DU7,0)+IF('計算A'!X$106=1,1-DW7,0))*150+211+'計算A'!X$5*100000+IF(AND($E7=1,JK7=0),50000,0))+IF($H7=1,(IF('計算A'!W$117=1,INDEX('計算A'!W$10:W$54,$B7),0)+IF('計算A'!X$117=1,INDEX('計算A'!Y$10:Y$54,$B7),0))*4000,0)-IF(AND('計算A'!W$117=1,UU7&gt;0),2000,0)-IF(AND($L7=1,'計算A'!X$117=1,DW7=0),2000,0))),1000000))</f>
        <v/>
      </c>
      <c r="PA7">
        <f>IF($B7=0,1000000,IF(INDEX('計算A'!$D$60:$EQ$104,$B7,22)*DW7=1,IF(AND($E7=2,JL7=0),1000000,IF($I7&gt;0,IF(1=$J7,IF(OR(AND(22=$I7+1,OR($K7&lt;&gt;'計算A'!$A$3,'計算A'!$A$4=0)),AND(22=$I7-1,OR(22&lt;&gt;'計算A'!$A$3,'計算A'!$A$4=0))),0,IF(22=$K7,200000,ABS(22-$K7)*100)),100000+ABS(1-$J7)*1000+220)+'計算A'!Y$5*50+IF(AND($E7=1,JL7=0),25,0),IF($F7&gt;0,INDEX('計算A'!Y$110:Y$114,$F7+1)+IF(AND($E7=1,JL7=0),1000,0),MIN(TU7,20)*400+(IF('計算A'!X$106=1,1-DV7,0)+IF('計算A'!Y$106=1,1-DX7,0))*150+221+'計算A'!Y$5*100000+IF(AND($E7=1,JL7=0),50000,0))+IF($H7=1,(IF('計算A'!X$117=1,INDEX('計算A'!X$10:X$54,$B7),0)+IF('計算A'!Y$117=1,INDEX('計算A'!Z$10:Z$54,$B7),0))*4000,0)-IF(AND('計算A'!X$117=1,UV7&gt;0),2000,0)-IF(AND($L7=1,'計算A'!Y$117=1,DX7=0),2000,0))),1000000))</f>
        <v/>
      </c>
      <c r="PB7">
        <f>IF($B7=0,1000000,IF(INDEX('計算A'!$D$60:$EQ$104,$B7,23)*DX7=1,IF(AND($E7=2,JM7=0),1000000,IF($I7&gt;0,IF(1=$J7,IF(OR(AND(23=$I7+1,OR($K7&lt;&gt;'計算A'!$A$3,'計算A'!$A$4=0)),AND(23=$I7-1,OR(23&lt;&gt;'計算A'!$A$3,'計算A'!$A$4=0))),0,IF(23=$K7,200000,ABS(23-$K7)*100)),100000+ABS(1-$J7)*1000+230)+'計算A'!Z$5*50+IF(AND($E7=1,JM7=0),25,0),IF($F7&gt;0,INDEX('計算A'!Z$110:Z$114,$F7+1)+IF(AND($E7=1,JM7=0),1000,0),MIN(TU7,20)*400+(IF('計算A'!Y$106=1,1-DW7,0)+IF('計算A'!Z$106=1,1-DY7,0))*150+231+'計算A'!Z$5*100000+IF(AND($E7=1,JM7=0),50000,0))+IF($H7=1,(IF('計算A'!Y$117=1,INDEX('計算A'!Y$10:Y$54,$B7),0)+IF('計算A'!Z$117=1,INDEX('計算A'!AA$10:AA$54,$B7),0))*4000,0)-IF(AND('計算A'!Y$117=1,UW7&gt;0),2000,0)-IF(AND($L7=1,'計算A'!Z$117=1,DY7=0),2000,0))),1000000))</f>
        <v/>
      </c>
      <c r="PC7">
        <f>IF($B7=0,1000000,IF(INDEX('計算A'!$D$60:$EQ$104,$B7,24)*DY7=1,IF(AND($E7=2,JN7=0),1000000,IF($I7&gt;0,IF(1=$J7,IF(OR(AND(24=$I7+1,OR($K7&lt;&gt;'計算A'!$A$3,'計算A'!$A$4=0)),AND(24=$I7-1,OR(24&lt;&gt;'計算A'!$A$3,'計算A'!$A$4=0))),0,IF(24=$K7,200000,ABS(24-$K7)*100)),100000+ABS(1-$J7)*1000+240)+'計算A'!AA$5*50+IF(AND($E7=1,JN7=0),25,0),IF($F7&gt;0,INDEX('計算A'!AA$110:AA$114,$F7+1)+IF(AND($E7=1,JN7=0),1000,0),MIN(TU7,20)*400+(IF('計算A'!Z$106=1,1-DX7,0))*150+241+'計算A'!AA$5*100000+IF(AND($E7=1,JN7=0),50000,0))+IF($H7=1,(IF('計算A'!Z$117=1,INDEX('計算A'!Z$10:Z$54,$B7),0))*4000,0)-IF(AND('計算A'!Z$117=1,UX7&gt;0),2000,0))),1000000))</f>
        <v/>
      </c>
      <c r="PD7">
        <f>IF($B7=0,1000000,IF(INDEX('計算A'!$D$60:$EQ$104,$B7,25)*DZ7=1,IF(AND($E7=2,JO7=0),1000000,IF($I7&gt;0,IF(2=$J7,IF(OR(AND(25=$I7+1,OR($K7&lt;&gt;'計算A'!$A$3,'計算A'!$A$4=0)),AND(25=$I7-1,OR(1&lt;&gt;'計算A'!$A$3,'計算A'!$A$4=0))),0,IF(1=$K7,200000,ABS(1-$K7)*100)),100000+ABS(2-$J7)*1000+10)+'計算A'!AB$5*50+IF(AND($E7=1,JO7=0),25,0),IF($F7&gt;0,INDEX('計算A'!AB$110:AB$114,$F7+1)+IF(AND($E7=1,JO7=0),1000,0),MIN(TV7,20)*400+(IF('計算A'!AB$106=1,1-EA7,0))*150+12+'計算A'!AB$5*100000+IF(AND($E7=1,JO7=0),50000,0))+IF($H7=1,(IF('計算A'!AB$117=1,INDEX('計算A'!AC$10:AC$54,$B7),0))*4000,0)-IF(AND($L7=1,'計算A'!AB$117=1,EA7=0),2000,0))),1000000))</f>
        <v/>
      </c>
      <c r="PE7">
        <f>IF($B7=0,1000000,IF(INDEX('計算A'!$D$60:$EQ$104,$B7,26)*EA7=1,IF(AND($E7=2,JP7=0),1000000,IF($I7&gt;0,IF(2=$J7,IF(OR(AND(26=$I7+1,OR($K7&lt;&gt;'計算A'!$A$3,'計算A'!$A$4=0)),AND(26=$I7-1,OR(2&lt;&gt;'計算A'!$A$3,'計算A'!$A$4=0))),0,IF(2=$K7,200000,ABS(2-$K7)*100)),100000+ABS(2-$J7)*1000+20)+'計算A'!AC$5*50+IF(AND($E7=1,JP7=0),25,0),IF($F7&gt;0,INDEX('計算A'!AC$110:AC$114,$F7+1)+IF(AND($E7=1,JP7=0),1000,0),MIN(TV7,20)*400+(IF('計算A'!AB$106=1,1-DZ7,0)+IF('計算A'!AC$106=1,1-EB7,0))*150+22+'計算A'!AC$5*100000+IF(AND($E7=1,JP7=0),50000,0))+IF($H7=1,(IF('計算A'!AB$117=1,INDEX('計算A'!AB$10:AB$54,$B7),0)+IF('計算A'!AC$117=1,INDEX('計算A'!AD$10:AD$54,$B7),0))*4000,0)-IF(AND('計算A'!AB$117=1,UZ7&gt;0),2000,0)-IF(AND($L7=1,'計算A'!AC$117=1,EB7=0),2000,0))),1000000))</f>
        <v/>
      </c>
      <c r="PF7">
        <f>IF($B7=0,1000000,IF(INDEX('計算A'!$D$60:$EQ$104,$B7,27)*EB7=1,IF(AND($E7=2,JQ7=0),1000000,IF($I7&gt;0,IF(2=$J7,IF(OR(AND(27=$I7+1,OR($K7&lt;&gt;'計算A'!$A$3,'計算A'!$A$4=0)),AND(27=$I7-1,OR(3&lt;&gt;'計算A'!$A$3,'計算A'!$A$4=0))),0,IF(3=$K7,200000,ABS(3-$K7)*100)),100000+ABS(2-$J7)*1000+30)+'計算A'!AD$5*50+IF(AND($E7=1,JQ7=0),25,0),IF($F7&gt;0,INDEX('計算A'!AD$110:AD$114,$F7+1)+IF(AND($E7=1,JQ7=0),1000,0),MIN(TV7,20)*400+(IF('計算A'!AC$106=1,1-EA7,0)+IF('計算A'!AD$106=1,1-EC7,0))*150+32+'計算A'!AD$5*100000+IF(AND($E7=1,JQ7=0),50000,0))+IF($H7=1,(IF('計算A'!AC$117=1,INDEX('計算A'!AC$10:AC$54,$B7),0)+IF('計算A'!AD$117=1,INDEX('計算A'!AE$10:AE$54,$B7),0))*4000,0)-IF(AND('計算A'!AC$117=1,VA7&gt;0),2000,0)-IF(AND($L7=1,'計算A'!AD$117=1,EC7=0),2000,0))),1000000))</f>
        <v/>
      </c>
      <c r="PG7">
        <f>IF($B7=0,1000000,IF(INDEX('計算A'!$D$60:$EQ$104,$B7,28)*EC7=1,IF(AND($E7=2,JR7=0),1000000,IF($I7&gt;0,IF(2=$J7,IF(OR(AND(28=$I7+1,OR($K7&lt;&gt;'計算A'!$A$3,'計算A'!$A$4=0)),AND(28=$I7-1,OR(4&lt;&gt;'計算A'!$A$3,'計算A'!$A$4=0))),0,IF(4=$K7,200000,ABS(4-$K7)*100)),100000+ABS(2-$J7)*1000+40)+'計算A'!AE$5*50+IF(AND($E7=1,JR7=0),25,0),IF($F7&gt;0,INDEX('計算A'!AE$110:AE$114,$F7+1)+IF(AND($E7=1,JR7=0),1000,0),MIN(TV7,20)*400+(IF('計算A'!AD$106=1,1-EB7,0)+IF('計算A'!AE$106=1,1-ED7,0))*150+42+'計算A'!AE$5*100000+IF(AND($E7=1,JR7=0),50000,0))+IF($H7=1,(IF('計算A'!AD$117=1,INDEX('計算A'!AD$10:AD$54,$B7),0)+IF('計算A'!AE$117=1,INDEX('計算A'!AF$10:AF$54,$B7),0))*4000,0)-IF(AND('計算A'!AD$117=1,VB7&gt;0),2000,0)-IF(AND($L7=1,'計算A'!AE$117=1,ED7=0),2000,0))),1000000))</f>
        <v/>
      </c>
      <c r="PH7">
        <f>IF($B7=0,1000000,IF(INDEX('計算A'!$D$60:$EQ$104,$B7,29)*ED7=1,IF(AND($E7=2,JS7=0),1000000,IF($I7&gt;0,IF(2=$J7,IF(OR(AND(29=$I7+1,OR($K7&lt;&gt;'計算A'!$A$3,'計算A'!$A$4=0)),AND(29=$I7-1,OR(5&lt;&gt;'計算A'!$A$3,'計算A'!$A$4=0))),0,IF(5=$K7,200000,ABS(5-$K7)*100)),100000+ABS(2-$J7)*1000+50)+'計算A'!AF$5*50+IF(AND($E7=1,JS7=0),25,0),IF($F7&gt;0,INDEX('計算A'!AF$110:AF$114,$F7+1)+IF(AND($E7=1,JS7=0),1000,0),MIN(TV7,20)*400+(IF('計算A'!AE$106=1,1-EC7,0)+IF('計算A'!AF$106=1,1-EE7,0))*150+52+'計算A'!AF$5*100000+IF(AND($E7=1,JS7=0),50000,0))+IF($H7=1,(IF('計算A'!AE$117=1,INDEX('計算A'!AE$10:AE$54,$B7),0)+IF('計算A'!AF$117=1,INDEX('計算A'!AG$10:AG$54,$B7),0))*4000,0)-IF(AND('計算A'!AE$117=1,VC7&gt;0),2000,0)-IF(AND($L7=1,'計算A'!AF$117=1,EE7=0),2000,0))),1000000))</f>
        <v/>
      </c>
      <c r="PI7">
        <f>IF($B7=0,1000000,IF(INDEX('計算A'!$D$60:$EQ$104,$B7,30)*EE7=1,IF(AND($E7=2,JT7=0),1000000,IF($I7&gt;0,IF(2=$J7,IF(OR(AND(30=$I7+1,OR($K7&lt;&gt;'計算A'!$A$3,'計算A'!$A$4=0)),AND(30=$I7-1,OR(6&lt;&gt;'計算A'!$A$3,'計算A'!$A$4=0))),0,IF(6=$K7,200000,ABS(6-$K7)*100)),100000+ABS(2-$J7)*1000+60)+'計算A'!AG$5*50+IF(AND($E7=1,JT7=0),25,0),IF($F7&gt;0,INDEX('計算A'!AG$110:AG$114,$F7+1)+IF(AND($E7=1,JT7=0),1000,0),MIN(TV7,20)*400+(IF('計算A'!AF$106=1,1-ED7,0)+IF('計算A'!AG$106=1,1-EF7,0))*150+62+'計算A'!AG$5*100000+IF(AND($E7=1,JT7=0),50000,0))+IF($H7=1,(IF('計算A'!AF$117=1,INDEX('計算A'!AF$10:AF$54,$B7),0)+IF('計算A'!AG$117=1,INDEX('計算A'!AH$10:AH$54,$B7),0))*4000,0)-IF(AND('計算A'!AF$117=1,VD7&gt;0),2000,0)-IF(AND($L7=1,'計算A'!AG$117=1,EF7=0),2000,0))),1000000))</f>
        <v/>
      </c>
      <c r="PJ7">
        <f>IF($B7=0,1000000,IF(INDEX('計算A'!$D$60:$EQ$104,$B7,31)*EF7=1,IF(AND($E7=2,JU7=0),1000000,IF($I7&gt;0,IF(2=$J7,IF(OR(AND(31=$I7+1,OR($K7&lt;&gt;'計算A'!$A$3,'計算A'!$A$4=0)),AND(31=$I7-1,OR(7&lt;&gt;'計算A'!$A$3,'計算A'!$A$4=0))),0,IF(7=$K7,200000,ABS(7-$K7)*100)),100000+ABS(2-$J7)*1000+70)+'計算A'!AH$5*50+IF(AND($E7=1,JU7=0),25,0),IF($F7&gt;0,INDEX('計算A'!AH$110:AH$114,$F7+1)+IF(AND($E7=1,JU7=0),1000,0),MIN(TV7,20)*400+(IF('計算A'!AG$106=1,1-EE7,0)+IF('計算A'!AH$106=1,1-EG7,0))*150+72+'計算A'!AH$5*100000+IF(AND($E7=1,JU7=0),50000,0))+IF($H7=1,(IF('計算A'!AG$117=1,INDEX('計算A'!AG$10:AG$54,$B7),0)+IF('計算A'!AH$117=1,INDEX('計算A'!AI$10:AI$54,$B7),0))*4000,0)-IF(AND('計算A'!AG$117=1,VE7&gt;0),2000,0)-IF(AND($L7=1,'計算A'!AH$117=1,EG7=0),2000,0))),1000000))</f>
        <v/>
      </c>
      <c r="PK7">
        <f>IF($B7=0,1000000,IF(INDEX('計算A'!$D$60:$EQ$104,$B7,32)*EG7=1,IF(AND($E7=2,JV7=0),1000000,IF($I7&gt;0,IF(2=$J7,IF(OR(AND(32=$I7+1,OR($K7&lt;&gt;'計算A'!$A$3,'計算A'!$A$4=0)),AND(32=$I7-1,OR(8&lt;&gt;'計算A'!$A$3,'計算A'!$A$4=0))),0,IF(8=$K7,200000,ABS(8-$K7)*100)),100000+ABS(2-$J7)*1000+80)+'計算A'!AI$5*50+IF(AND($E7=1,JV7=0),25,0),IF($F7&gt;0,INDEX('計算A'!AI$110:AI$114,$F7+1)+IF(AND($E7=1,JV7=0),1000,0),MIN(TV7,20)*400+(IF('計算A'!AH$106=1,1-EF7,0)+IF('計算A'!AI$106=1,1-EH7,0))*150+82+'計算A'!AI$5*100000+IF(AND($E7=1,JV7=0),50000,0))+IF($H7=1,(IF('計算A'!AH$117=1,INDEX('計算A'!AH$10:AH$54,$B7),0)+IF('計算A'!AI$117=1,INDEX('計算A'!AJ$10:AJ$54,$B7),0))*4000,0)-IF(AND('計算A'!AH$117=1,VF7&gt;0),2000,0)-IF(AND($L7=1,'計算A'!AI$117=1,EH7=0),2000,0))),1000000))</f>
        <v/>
      </c>
      <c r="PL7">
        <f>IF($B7=0,1000000,IF(INDEX('計算A'!$D$60:$EQ$104,$B7,33)*EH7=1,IF(AND($E7=2,JW7=0),1000000,IF($I7&gt;0,IF(2=$J7,IF(OR(AND(33=$I7+1,OR($K7&lt;&gt;'計算A'!$A$3,'計算A'!$A$4=0)),AND(33=$I7-1,OR(9&lt;&gt;'計算A'!$A$3,'計算A'!$A$4=0))),0,IF(9=$K7,200000,ABS(9-$K7)*100)),100000+ABS(2-$J7)*1000+90)+'計算A'!AJ$5*50+IF(AND($E7=1,JW7=0),25,0),IF($F7&gt;0,INDEX('計算A'!AJ$110:AJ$114,$F7+1)+IF(AND($E7=1,JW7=0),1000,0),MIN(TV7,20)*400+(IF('計算A'!AI$106=1,1-EG7,0)+IF('計算A'!AJ$106=1,1-EI7,0))*150+92+'計算A'!AJ$5*100000+IF(AND($E7=1,JW7=0),50000,0))+IF($H7=1,(IF('計算A'!AI$117=1,INDEX('計算A'!AI$10:AI$54,$B7),0)+IF('計算A'!AJ$117=1,INDEX('計算A'!AK$10:AK$54,$B7),0))*4000,0)-IF(AND('計算A'!AI$117=1,VG7&gt;0),2000,0)-IF(AND($L7=1,'計算A'!AJ$117=1,EI7=0),2000,0))),1000000))</f>
        <v/>
      </c>
      <c r="PM7">
        <f>IF($B7=0,1000000,IF(INDEX('計算A'!$D$60:$EQ$104,$B7,34)*EI7=1,IF(AND($E7=2,JX7=0),1000000,IF($I7&gt;0,IF(2=$J7,IF(OR(AND(34=$I7+1,OR($K7&lt;&gt;'計算A'!$A$3,'計算A'!$A$4=0)),AND(34=$I7-1,OR(10&lt;&gt;'計算A'!$A$3,'計算A'!$A$4=0))),0,IF(10=$K7,200000,ABS(10-$K7)*100)),100000+ABS(2-$J7)*1000+100)+'計算A'!AK$5*50+IF(AND($E7=1,JX7=0),25,0),IF($F7&gt;0,INDEX('計算A'!AK$110:AK$114,$F7+1)+IF(AND($E7=1,JX7=0),1000,0),MIN(TV7,20)*400+(IF('計算A'!AJ$106=1,1-EH7,0)+IF('計算A'!AK$106=1,1-EJ7,0))*150+102+'計算A'!AK$5*100000+IF(AND($E7=1,JX7=0),50000,0))+IF($H7=1,(IF('計算A'!AJ$117=1,INDEX('計算A'!AJ$10:AJ$54,$B7),0)+IF('計算A'!AK$117=1,INDEX('計算A'!AL$10:AL$54,$B7),0))*4000,0)-IF(AND('計算A'!AJ$117=1,VH7&gt;0),2000,0)-IF(AND($L7=1,'計算A'!AK$117=1,EJ7=0),2000,0))),1000000))</f>
        <v/>
      </c>
      <c r="PN7">
        <f>IF($B7=0,1000000,IF(INDEX('計算A'!$D$60:$EQ$104,$B7,35)*EJ7=1,IF(AND($E7=2,JY7=0),1000000,IF($I7&gt;0,IF(2=$J7,IF(OR(AND(35=$I7+1,OR($K7&lt;&gt;'計算A'!$A$3,'計算A'!$A$4=0)),AND(35=$I7-1,OR(11&lt;&gt;'計算A'!$A$3,'計算A'!$A$4=0))),0,IF(11=$K7,200000,ABS(11-$K7)*100)),100000+ABS(2-$J7)*1000+110)+'計算A'!AL$5*50+IF(AND($E7=1,JY7=0),25,0),IF($F7&gt;0,INDEX('計算A'!AL$110:AL$114,$F7+1)+IF(AND($E7=1,JY7=0),1000,0),MIN(TV7,20)*400+(IF('計算A'!AK$106=1,1-EI7,0)+IF('計算A'!AL$106=1,1-EK7,0))*150+112+'計算A'!AL$5*100000+IF(AND($E7=1,JY7=0),50000,0))+IF($H7=1,(IF('計算A'!AK$117=1,INDEX('計算A'!AK$10:AK$54,$B7),0)+IF('計算A'!AL$117=1,INDEX('計算A'!AM$10:AM$54,$B7),0))*4000,0)-IF(AND('計算A'!AK$117=1,VI7&gt;0),2000,0)-IF(AND($L7=1,'計算A'!AL$117=1,EK7=0),2000,0))),1000000))</f>
        <v/>
      </c>
      <c r="PO7">
        <f>IF($B7=0,1000000,IF(INDEX('計算A'!$D$60:$EQ$104,$B7,36)*EK7=1,IF(AND($E7=2,JZ7=0),1000000,IF($I7&gt;0,IF(2=$J7,IF(OR(AND(36=$I7+1,OR($K7&lt;&gt;'計算A'!$A$3,'計算A'!$A$4=0)),AND(36=$I7-1,OR(12&lt;&gt;'計算A'!$A$3,'計算A'!$A$4=0))),0,IF(12=$K7,200000,ABS(12-$K7)*100)),100000+ABS(2-$J7)*1000+120)+'計算A'!AM$5*50+IF(AND($E7=1,JZ7=0),25,0),IF($F7&gt;0,INDEX('計算A'!AM$110:AM$114,$F7+1)+IF(AND($E7=1,JZ7=0),1000,0),MIN(TV7,20)*400+(IF('計算A'!AL$106=1,1-EJ7,0)+IF('計算A'!AM$106=1,1-EL7,0))*150+122+'計算A'!AM$5*100000+IF(AND($E7=1,JZ7=0),50000,0))+IF($H7=1,(IF('計算A'!AL$117=1,INDEX('計算A'!AL$10:AL$54,$B7),0)+IF('計算A'!AM$117=1,INDEX('計算A'!AN$10:AN$54,$B7),0))*4000,0)-IF(AND('計算A'!AL$117=1,VJ7&gt;0),2000,0)-IF(AND($L7=1,'計算A'!AM$117=1,EL7=0),2000,0))),1000000))</f>
        <v/>
      </c>
      <c r="PP7">
        <f>IF($B7=0,1000000,IF(INDEX('計算A'!$D$60:$EQ$104,$B7,37)*EL7=1,IF(AND($E7=2,KA7=0),1000000,IF($I7&gt;0,IF(2=$J7,IF(OR(AND(37=$I7+1,OR($K7&lt;&gt;'計算A'!$A$3,'計算A'!$A$4=0)),AND(37=$I7-1,OR(13&lt;&gt;'計算A'!$A$3,'計算A'!$A$4=0))),0,IF(13=$K7,200000,ABS(13-$K7)*100)),100000+ABS(2-$J7)*1000+130)+'計算A'!AN$5*50+IF(AND($E7=1,KA7=0),25,0),IF($F7&gt;0,INDEX('計算A'!AN$110:AN$114,$F7+1)+IF(AND($E7=1,KA7=0),1000,0),MIN(TV7,20)*400+(IF('計算A'!AM$106=1,1-EK7,0)+IF('計算A'!AN$106=1,1-EM7,0))*150+132+'計算A'!AN$5*100000+IF(AND($E7=1,KA7=0),50000,0))+IF($H7=1,(IF('計算A'!AM$117=1,INDEX('計算A'!AM$10:AM$54,$B7),0)+IF('計算A'!AN$117=1,INDEX('計算A'!AO$10:AO$54,$B7),0))*4000,0)-IF(AND('計算A'!AM$117=1,VK7&gt;0),2000,0)-IF(AND($L7=1,'計算A'!AN$117=1,EM7=0),2000,0))),1000000))</f>
        <v/>
      </c>
      <c r="PQ7">
        <f>IF($B7=0,1000000,IF(INDEX('計算A'!$D$60:$EQ$104,$B7,38)*EM7=1,IF(AND($E7=2,KB7=0),1000000,IF($I7&gt;0,IF(2=$J7,IF(OR(AND(38=$I7+1,OR($K7&lt;&gt;'計算A'!$A$3,'計算A'!$A$4=0)),AND(38=$I7-1,OR(14&lt;&gt;'計算A'!$A$3,'計算A'!$A$4=0))),0,IF(14=$K7,200000,ABS(14-$K7)*100)),100000+ABS(2-$J7)*1000+140)+'計算A'!AO$5*50+IF(AND($E7=1,KB7=0),25,0),IF($F7&gt;0,INDEX('計算A'!AO$110:AO$114,$F7+1)+IF(AND($E7=1,KB7=0),1000,0),MIN(TV7,20)*400+(IF('計算A'!AN$106=1,1-EL7,0)+IF('計算A'!AO$106=1,1-EN7,0))*150+142+'計算A'!AO$5*100000+IF(AND($E7=1,KB7=0),50000,0))+IF($H7=1,(IF('計算A'!AN$117=1,INDEX('計算A'!AN$10:AN$54,$B7),0)+IF('計算A'!AO$117=1,INDEX('計算A'!AP$10:AP$54,$B7),0))*4000,0)-IF(AND('計算A'!AN$117=1,VL7&gt;0),2000,0)-IF(AND($L7=1,'計算A'!AO$117=1,EN7=0),2000,0))),1000000))</f>
        <v/>
      </c>
      <c r="PR7">
        <f>IF($B7=0,1000000,IF(INDEX('計算A'!$D$60:$EQ$104,$B7,39)*EN7=1,IF(AND($E7=2,KC7=0),1000000,IF($I7&gt;0,IF(2=$J7,IF(OR(AND(39=$I7+1,OR($K7&lt;&gt;'計算A'!$A$3,'計算A'!$A$4=0)),AND(39=$I7-1,OR(15&lt;&gt;'計算A'!$A$3,'計算A'!$A$4=0))),0,IF(15=$K7,200000,ABS(15-$K7)*100)),100000+ABS(2-$J7)*1000+150)+'計算A'!AP$5*50+IF(AND($E7=1,KC7=0),25,0),IF($F7&gt;0,INDEX('計算A'!AP$110:AP$114,$F7+1)+IF(AND($E7=1,KC7=0),1000,0),MIN(TV7,20)*400+(IF('計算A'!AO$106=1,1-EM7,0)+IF('計算A'!AP$106=1,1-EO7,0))*150+152+'計算A'!AP$5*100000+IF(AND($E7=1,KC7=0),50000,0))+IF($H7=1,(IF('計算A'!AO$117=1,INDEX('計算A'!AO$10:AO$54,$B7),0)+IF('計算A'!AP$117=1,INDEX('計算A'!AQ$10:AQ$54,$B7),0))*4000,0)-IF(AND('計算A'!AO$117=1,VM7&gt;0),2000,0)-IF(AND($L7=1,'計算A'!AP$117=1,EO7=0),2000,0))),1000000))</f>
        <v/>
      </c>
      <c r="PS7">
        <f>IF($B7=0,1000000,IF(INDEX('計算A'!$D$60:$EQ$104,$B7,40)*EO7=1,IF(AND($E7=2,KD7=0),1000000,IF($I7&gt;0,IF(2=$J7,IF(OR(AND(40=$I7+1,OR($K7&lt;&gt;'計算A'!$A$3,'計算A'!$A$4=0)),AND(40=$I7-1,OR(16&lt;&gt;'計算A'!$A$3,'計算A'!$A$4=0))),0,IF(16=$K7,200000,ABS(16-$K7)*100)),100000+ABS(2-$J7)*1000+160)+'計算A'!AQ$5*50+IF(AND($E7=1,KD7=0),25,0),IF($F7&gt;0,INDEX('計算A'!AQ$110:AQ$114,$F7+1)+IF(AND($E7=1,KD7=0),1000,0),MIN(TV7,20)*400+(IF('計算A'!AP$106=1,1-EN7,0)+IF('計算A'!AQ$106=1,1-EP7,0))*150+162+'計算A'!AQ$5*100000+IF(AND($E7=1,KD7=0),50000,0))+IF($H7=1,(IF('計算A'!AP$117=1,INDEX('計算A'!AP$10:AP$54,$B7),0)+IF('計算A'!AQ$117=1,INDEX('計算A'!AR$10:AR$54,$B7),0))*4000,0)-IF(AND('計算A'!AP$117=1,VN7&gt;0),2000,0)-IF(AND($L7=1,'計算A'!AQ$117=1,EP7=0),2000,0))),1000000))</f>
        <v/>
      </c>
      <c r="PT7">
        <f>IF($B7=0,1000000,IF(INDEX('計算A'!$D$60:$EQ$104,$B7,41)*EP7=1,IF(AND($E7=2,KE7=0),1000000,IF($I7&gt;0,IF(2=$J7,IF(OR(AND(41=$I7+1,OR($K7&lt;&gt;'計算A'!$A$3,'計算A'!$A$4=0)),AND(41=$I7-1,OR(17&lt;&gt;'計算A'!$A$3,'計算A'!$A$4=0))),0,IF(17=$K7,200000,ABS(17-$K7)*100)),100000+ABS(2-$J7)*1000+170)+'計算A'!AR$5*50+IF(AND($E7=1,KE7=0),25,0),IF($F7&gt;0,INDEX('計算A'!AR$110:AR$114,$F7+1)+IF(AND($E7=1,KE7=0),1000,0),MIN(TV7,20)*400+(IF('計算A'!AQ$106=1,1-EO7,0)+IF('計算A'!AR$106=1,1-EQ7,0))*150+172+'計算A'!AR$5*100000+IF(AND($E7=1,KE7=0),50000,0))+IF($H7=1,(IF('計算A'!AQ$117=1,INDEX('計算A'!AQ$10:AQ$54,$B7),0)+IF('計算A'!AR$117=1,INDEX('計算A'!AS$10:AS$54,$B7),0))*4000,0)-IF(AND('計算A'!AQ$117=1,VO7&gt;0),2000,0)-IF(AND($L7=1,'計算A'!AR$117=1,EQ7=0),2000,0))),1000000))</f>
        <v/>
      </c>
      <c r="PU7">
        <f>IF($B7=0,1000000,IF(INDEX('計算A'!$D$60:$EQ$104,$B7,42)*EQ7=1,IF(AND($E7=2,KF7=0),1000000,IF($I7&gt;0,IF(2=$J7,IF(OR(AND(42=$I7+1,OR($K7&lt;&gt;'計算A'!$A$3,'計算A'!$A$4=0)),AND(42=$I7-1,OR(18&lt;&gt;'計算A'!$A$3,'計算A'!$A$4=0))),0,IF(18=$K7,200000,ABS(18-$K7)*100)),100000+ABS(2-$J7)*1000+180)+'計算A'!AS$5*50+IF(AND($E7=1,KF7=0),25,0),IF($F7&gt;0,INDEX('計算A'!AS$110:AS$114,$F7+1)+IF(AND($E7=1,KF7=0),1000,0),MIN(TV7,20)*400+(IF('計算A'!AR$106=1,1-EP7,0)+IF('計算A'!AS$106=1,1-ER7,0))*150+182+'計算A'!AS$5*100000+IF(AND($E7=1,KF7=0),50000,0))+IF($H7=1,(IF('計算A'!AR$117=1,INDEX('計算A'!AR$10:AR$54,$B7),0)+IF('計算A'!AS$117=1,INDEX('計算A'!AT$10:AT$54,$B7),0))*4000,0)-IF(AND('計算A'!AR$117=1,VP7&gt;0),2000,0)-IF(AND($L7=1,'計算A'!AS$117=1,ER7=0),2000,0))),1000000))</f>
        <v/>
      </c>
      <c r="PV7">
        <f>IF($B7=0,1000000,IF(INDEX('計算A'!$D$60:$EQ$104,$B7,43)*ER7=1,IF(AND($E7=2,KG7=0),1000000,IF($I7&gt;0,IF(2=$J7,IF(OR(AND(43=$I7+1,OR($K7&lt;&gt;'計算A'!$A$3,'計算A'!$A$4=0)),AND(43=$I7-1,OR(19&lt;&gt;'計算A'!$A$3,'計算A'!$A$4=0))),0,IF(19=$K7,200000,ABS(19-$K7)*100)),100000+ABS(2-$J7)*1000+190)+'計算A'!AT$5*50+IF(AND($E7=1,KG7=0),25,0),IF($F7&gt;0,INDEX('計算A'!AT$110:AT$114,$F7+1)+IF(AND($E7=1,KG7=0),1000,0),MIN(TV7,20)*400+(IF('計算A'!AS$106=1,1-EQ7,0)+IF('計算A'!AT$106=1,1-ES7,0))*150+192+'計算A'!AT$5*100000+IF(AND($E7=1,KG7=0),50000,0))+IF($H7=1,(IF('計算A'!AS$117=1,INDEX('計算A'!AS$10:AS$54,$B7),0)+IF('計算A'!AT$117=1,INDEX('計算A'!AU$10:AU$54,$B7),0))*4000,0)-IF(AND('計算A'!AS$117=1,VQ7&gt;0),2000,0)-IF(AND($L7=1,'計算A'!AT$117=1,ES7=0),2000,0))),1000000))</f>
        <v/>
      </c>
      <c r="PW7">
        <f>IF($B7=0,1000000,IF(INDEX('計算A'!$D$60:$EQ$104,$B7,44)*ES7=1,IF(AND($E7=2,KH7=0),1000000,IF($I7&gt;0,IF(2=$J7,IF(OR(AND(44=$I7+1,OR($K7&lt;&gt;'計算A'!$A$3,'計算A'!$A$4=0)),AND(44=$I7-1,OR(20&lt;&gt;'計算A'!$A$3,'計算A'!$A$4=0))),0,IF(20=$K7,200000,ABS(20-$K7)*100)),100000+ABS(2-$J7)*1000+200)+'計算A'!AU$5*50+IF(AND($E7=1,KH7=0),25,0),IF($F7&gt;0,INDEX('計算A'!AU$110:AU$114,$F7+1)+IF(AND($E7=1,KH7=0),1000,0),MIN(TV7,20)*400+(IF('計算A'!AT$106=1,1-ER7,0)+IF('計算A'!AU$106=1,1-ET7,0))*150+202+'計算A'!AU$5*100000+IF(AND($E7=1,KH7=0),50000,0))+IF($H7=1,(IF('計算A'!AT$117=1,INDEX('計算A'!AT$10:AT$54,$B7),0)+IF('計算A'!AU$117=1,INDEX('計算A'!AV$10:AV$54,$B7),0))*4000,0)-IF(AND('計算A'!AT$117=1,VR7&gt;0),2000,0)-IF(AND($L7=1,'計算A'!AU$117=1,ET7=0),2000,0))),1000000))</f>
        <v/>
      </c>
      <c r="PX7">
        <f>IF($B7=0,1000000,IF(INDEX('計算A'!$D$60:$EQ$104,$B7,45)*ET7=1,IF(AND($E7=2,KI7=0),1000000,IF($I7&gt;0,IF(2=$J7,IF(OR(AND(45=$I7+1,OR($K7&lt;&gt;'計算A'!$A$3,'計算A'!$A$4=0)),AND(45=$I7-1,OR(21&lt;&gt;'計算A'!$A$3,'計算A'!$A$4=0))),0,IF(21=$K7,200000,ABS(21-$K7)*100)),100000+ABS(2-$J7)*1000+210)+'計算A'!AV$5*50+IF(AND($E7=1,KI7=0),25,0),IF($F7&gt;0,INDEX('計算A'!AV$110:AV$114,$F7+1)+IF(AND($E7=1,KI7=0),1000,0),MIN(TV7,20)*400+(IF('計算A'!AU$106=1,1-ES7,0)+IF('計算A'!AV$106=1,1-EU7,0))*150+212+'計算A'!AV$5*100000+IF(AND($E7=1,KI7=0),50000,0))+IF($H7=1,(IF('計算A'!AU$117=1,INDEX('計算A'!AU$10:AU$54,$B7),0)+IF('計算A'!AV$117=1,INDEX('計算A'!AW$10:AW$54,$B7),0))*4000,0)-IF(AND('計算A'!AU$117=1,VS7&gt;0),2000,0)-IF(AND($L7=1,'計算A'!AV$117=1,EU7=0),2000,0))),1000000))</f>
        <v/>
      </c>
      <c r="PY7">
        <f>IF($B7=0,1000000,IF(INDEX('計算A'!$D$60:$EQ$104,$B7,46)*EU7=1,IF(AND($E7=2,KJ7=0),1000000,IF($I7&gt;0,IF(2=$J7,IF(OR(AND(46=$I7+1,OR($K7&lt;&gt;'計算A'!$A$3,'計算A'!$A$4=0)),AND(46=$I7-1,OR(22&lt;&gt;'計算A'!$A$3,'計算A'!$A$4=0))),0,IF(22=$K7,200000,ABS(22-$K7)*100)),100000+ABS(2-$J7)*1000+220)+'計算A'!AW$5*50+IF(AND($E7=1,KJ7=0),25,0),IF($F7&gt;0,INDEX('計算A'!AW$110:AW$114,$F7+1)+IF(AND($E7=1,KJ7=0),1000,0),MIN(TV7,20)*400+(IF('計算A'!AV$106=1,1-ET7,0)+IF('計算A'!AW$106=1,1-EV7,0))*150+222+'計算A'!AW$5*100000+IF(AND($E7=1,KJ7=0),50000,0))+IF($H7=1,(IF('計算A'!AV$117=1,INDEX('計算A'!AV$10:AV$54,$B7),0)+IF('計算A'!AW$117=1,INDEX('計算A'!AX$10:AX$54,$B7),0))*4000,0)-IF(AND('計算A'!AV$117=1,VT7&gt;0),2000,0)-IF(AND($L7=1,'計算A'!AW$117=1,EV7=0),2000,0))),1000000))</f>
        <v/>
      </c>
      <c r="PZ7">
        <f>IF($B7=0,1000000,IF(INDEX('計算A'!$D$60:$EQ$104,$B7,47)*EV7=1,IF(AND($E7=2,KK7=0),1000000,IF($I7&gt;0,IF(2=$J7,IF(OR(AND(47=$I7+1,OR($K7&lt;&gt;'計算A'!$A$3,'計算A'!$A$4=0)),AND(47=$I7-1,OR(23&lt;&gt;'計算A'!$A$3,'計算A'!$A$4=0))),0,IF(23=$K7,200000,ABS(23-$K7)*100)),100000+ABS(2-$J7)*1000+230)+'計算A'!AX$5*50+IF(AND($E7=1,KK7=0),25,0),IF($F7&gt;0,INDEX('計算A'!AX$110:AX$114,$F7+1)+IF(AND($E7=1,KK7=0),1000,0),MIN(TV7,20)*400+(IF('計算A'!AW$106=1,1-EU7,0)+IF('計算A'!AX$106=1,1-EW7,0))*150+232+'計算A'!AX$5*100000+IF(AND($E7=1,KK7=0),50000,0))+IF($H7=1,(IF('計算A'!AW$117=1,INDEX('計算A'!AW$10:AW$54,$B7),0)+IF('計算A'!AX$117=1,INDEX('計算A'!AY$10:AY$54,$B7),0))*4000,0)-IF(AND('計算A'!AW$117=1,VU7&gt;0),2000,0)-IF(AND($L7=1,'計算A'!AX$117=1,EW7=0),2000,0))),1000000))</f>
        <v/>
      </c>
      <c r="QA7">
        <f>IF($B7=0,1000000,IF(INDEX('計算A'!$D$60:$EQ$104,$B7,48)*EW7=1,IF(AND($E7=2,KL7=0),1000000,IF($I7&gt;0,IF(2=$J7,IF(OR(AND(48=$I7+1,OR($K7&lt;&gt;'計算A'!$A$3,'計算A'!$A$4=0)),AND(48=$I7-1,OR(24&lt;&gt;'計算A'!$A$3,'計算A'!$A$4=0))),0,IF(24=$K7,200000,ABS(24-$K7)*100)),100000+ABS(2-$J7)*1000+240)+'計算A'!AY$5*50+IF(AND($E7=1,KL7=0),25,0),IF($F7&gt;0,INDEX('計算A'!AY$110:AY$114,$F7+1)+IF(AND($E7=1,KL7=0),1000,0),MIN(TV7,20)*400+(IF('計算A'!AX$106=1,1-EV7,0))*150+242+'計算A'!AY$5*100000+IF(AND($E7=1,KL7=0),50000,0))+IF($H7=1,(IF('計算A'!AX$117=1,INDEX('計算A'!AX$10:AX$54,$B7),0))*4000,0)-IF(AND('計算A'!AX$117=1,VV7&gt;0),2000,0))),1000000))</f>
        <v/>
      </c>
      <c r="QB7">
        <f>IF($B7=0,1000000,IF(INDEX('計算A'!$D$60:$EQ$104,$B7,49)*EX7=1,IF(AND($E7=2,KM7=0),1000000,IF($I7&gt;0,IF(3=$J7,IF(OR(AND(49=$I7+1,OR($K7&lt;&gt;'計算A'!$A$3,'計算A'!$A$4=0)),AND(49=$I7-1,OR(1&lt;&gt;'計算A'!$A$3,'計算A'!$A$4=0))),0,IF(1=$K7,200000,ABS(1-$K7)*100)),100000+ABS(3-$J7)*1000+10)+'計算A'!AZ$5*50+IF(AND($E7=1,KM7=0),25,0),IF($F7&gt;0,INDEX('計算A'!AZ$110:AZ$114,$F7+1)+IF(AND($E7=1,KM7=0),1000,0),MIN(TW7,20)*400+(IF('計算A'!AZ$106=1,1-EY7,0))*150+13+'計算A'!AZ$5*100000+IF(AND($E7=1,KM7=0),50000,0))+IF($H7=1,(IF('計算A'!AZ$117=1,INDEX('計算A'!BA$10:BA$54,$B7),0))*4000,0)-IF(AND($L7=1,'計算A'!AZ$117=1,EY7=0),2000,0))),1000000))</f>
        <v/>
      </c>
      <c r="QC7">
        <f>IF($B7=0,1000000,IF(INDEX('計算A'!$D$60:$EQ$104,$B7,50)*EY7=1,IF(AND($E7=2,KN7=0),1000000,IF($I7&gt;0,IF(3=$J7,IF(OR(AND(50=$I7+1,OR($K7&lt;&gt;'計算A'!$A$3,'計算A'!$A$4=0)),AND(50=$I7-1,OR(2&lt;&gt;'計算A'!$A$3,'計算A'!$A$4=0))),0,IF(2=$K7,200000,ABS(2-$K7)*100)),100000+ABS(3-$J7)*1000+20)+'計算A'!BA$5*50+IF(AND($E7=1,KN7=0),25,0),IF($F7&gt;0,INDEX('計算A'!BA$110:BA$114,$F7+1)+IF(AND($E7=1,KN7=0),1000,0),MIN(TW7,20)*400+(IF('計算A'!AZ$106=1,1-EX7,0)+IF('計算A'!BA$106=1,1-EZ7,0))*150+23+'計算A'!BA$5*100000+IF(AND($E7=1,KN7=0),50000,0))+IF($H7=1,(IF('計算A'!AZ$117=1,INDEX('計算A'!AZ$10:AZ$54,$B7),0)+IF('計算A'!BA$117=1,INDEX('計算A'!BB$10:BB$54,$B7),0))*4000,0)-IF(AND('計算A'!AZ$117=1,VX7&gt;0),2000,0)-IF(AND($L7=1,'計算A'!BA$117=1,EZ7=0),2000,0))),1000000))</f>
        <v/>
      </c>
      <c r="QD7">
        <f>IF($B7=0,1000000,IF(INDEX('計算A'!$D$60:$EQ$104,$B7,51)*EZ7=1,IF(AND($E7=2,KO7=0),1000000,IF($I7&gt;0,IF(3=$J7,IF(OR(AND(51=$I7+1,OR($K7&lt;&gt;'計算A'!$A$3,'計算A'!$A$4=0)),AND(51=$I7-1,OR(3&lt;&gt;'計算A'!$A$3,'計算A'!$A$4=0))),0,IF(3=$K7,200000,ABS(3-$K7)*100)),100000+ABS(3-$J7)*1000+30)+'計算A'!BB$5*50+IF(AND($E7=1,KO7=0),25,0),IF($F7&gt;0,INDEX('計算A'!BB$110:BB$114,$F7+1)+IF(AND($E7=1,KO7=0),1000,0),MIN(TW7,20)*400+(IF('計算A'!BA$106=1,1-EY7,0)+IF('計算A'!BB$106=1,1-FA7,0))*150+33+'計算A'!BB$5*100000+IF(AND($E7=1,KO7=0),50000,0))+IF($H7=1,(IF('計算A'!BA$117=1,INDEX('計算A'!BA$10:BA$54,$B7),0)+IF('計算A'!BB$117=1,INDEX('計算A'!BC$10:BC$54,$B7),0))*4000,0)-IF(AND('計算A'!BA$117=1,VY7&gt;0),2000,0)-IF(AND($L7=1,'計算A'!BB$117=1,FA7=0),2000,0))),1000000))</f>
        <v/>
      </c>
      <c r="QE7">
        <f>IF($B7=0,1000000,IF(INDEX('計算A'!$D$60:$EQ$104,$B7,52)*FA7=1,IF(AND($E7=2,KP7=0),1000000,IF($I7&gt;0,IF(3=$J7,IF(OR(AND(52=$I7+1,OR($K7&lt;&gt;'計算A'!$A$3,'計算A'!$A$4=0)),AND(52=$I7-1,OR(4&lt;&gt;'計算A'!$A$3,'計算A'!$A$4=0))),0,IF(4=$K7,200000,ABS(4-$K7)*100)),100000+ABS(3-$J7)*1000+40)+'計算A'!BC$5*50+IF(AND($E7=1,KP7=0),25,0),IF($F7&gt;0,INDEX('計算A'!BC$110:BC$114,$F7+1)+IF(AND($E7=1,KP7=0),1000,0),MIN(TW7,20)*400+(IF('計算A'!BB$106=1,1-EZ7,0)+IF('計算A'!BC$106=1,1-FB7,0))*150+43+'計算A'!BC$5*100000+IF(AND($E7=1,KP7=0),50000,0))+IF($H7=1,(IF('計算A'!BB$117=1,INDEX('計算A'!BB$10:BB$54,$B7),0)+IF('計算A'!BC$117=1,INDEX('計算A'!BD$10:BD$54,$B7),0))*4000,0)-IF(AND('計算A'!BB$117=1,VZ7&gt;0),2000,0)-IF(AND($L7=1,'計算A'!BC$117=1,FB7=0),2000,0))),1000000))</f>
        <v/>
      </c>
      <c r="QF7">
        <f>IF($B7=0,1000000,IF(INDEX('計算A'!$D$60:$EQ$104,$B7,53)*FB7=1,IF(AND($E7=2,KQ7=0),1000000,IF($I7&gt;0,IF(3=$J7,IF(OR(AND(53=$I7+1,OR($K7&lt;&gt;'計算A'!$A$3,'計算A'!$A$4=0)),AND(53=$I7-1,OR(5&lt;&gt;'計算A'!$A$3,'計算A'!$A$4=0))),0,IF(5=$K7,200000,ABS(5-$K7)*100)),100000+ABS(3-$J7)*1000+50)+'計算A'!BD$5*50+IF(AND($E7=1,KQ7=0),25,0),IF($F7&gt;0,INDEX('計算A'!BD$110:BD$114,$F7+1)+IF(AND($E7=1,KQ7=0),1000,0),MIN(TW7,20)*400+(IF('計算A'!BC$106=1,1-FA7,0)+IF('計算A'!BD$106=1,1-FC7,0))*150+53+'計算A'!BD$5*100000+IF(AND($E7=1,KQ7=0),50000,0))+IF($H7=1,(IF('計算A'!BC$117=1,INDEX('計算A'!BC$10:BC$54,$B7),0)+IF('計算A'!BD$117=1,INDEX('計算A'!BE$10:BE$54,$B7),0))*4000,0)-IF(AND('計算A'!BC$117=1,WA7&gt;0),2000,0)-IF(AND($L7=1,'計算A'!BD$117=1,FC7=0),2000,0))),1000000))</f>
        <v/>
      </c>
      <c r="QG7">
        <f>IF($B7=0,1000000,IF(INDEX('計算A'!$D$60:$EQ$104,$B7,54)*FC7=1,IF(AND($E7=2,KR7=0),1000000,IF($I7&gt;0,IF(3=$J7,IF(OR(AND(54=$I7+1,OR($K7&lt;&gt;'計算A'!$A$3,'計算A'!$A$4=0)),AND(54=$I7-1,OR(6&lt;&gt;'計算A'!$A$3,'計算A'!$A$4=0))),0,IF(6=$K7,200000,ABS(6-$K7)*100)),100000+ABS(3-$J7)*1000+60)+'計算A'!BE$5*50+IF(AND($E7=1,KR7=0),25,0),IF($F7&gt;0,INDEX('計算A'!BE$110:BE$114,$F7+1)+IF(AND($E7=1,KR7=0),1000,0),MIN(TW7,20)*400+(IF('計算A'!BD$106=1,1-FB7,0)+IF('計算A'!BE$106=1,1-FD7,0))*150+63+'計算A'!BE$5*100000+IF(AND($E7=1,KR7=0),50000,0))+IF($H7=1,(IF('計算A'!BD$117=1,INDEX('計算A'!BD$10:BD$54,$B7),0)+IF('計算A'!BE$117=1,INDEX('計算A'!BF$10:BF$54,$B7),0))*4000,0)-IF(AND('計算A'!BD$117=1,WB7&gt;0),2000,0)-IF(AND($L7=1,'計算A'!BE$117=1,FD7=0),2000,0))),1000000))</f>
        <v/>
      </c>
      <c r="QH7">
        <f>IF($B7=0,1000000,IF(INDEX('計算A'!$D$60:$EQ$104,$B7,55)*FD7=1,IF(AND($E7=2,KS7=0),1000000,IF($I7&gt;0,IF(3=$J7,IF(OR(AND(55=$I7+1,OR($K7&lt;&gt;'計算A'!$A$3,'計算A'!$A$4=0)),AND(55=$I7-1,OR(7&lt;&gt;'計算A'!$A$3,'計算A'!$A$4=0))),0,IF(7=$K7,200000,ABS(7-$K7)*100)),100000+ABS(3-$J7)*1000+70)+'計算A'!BF$5*50+IF(AND($E7=1,KS7=0),25,0),IF($F7&gt;0,INDEX('計算A'!BF$110:BF$114,$F7+1)+IF(AND($E7=1,KS7=0),1000,0),MIN(TW7,20)*400+(IF('計算A'!BE$106=1,1-FC7,0)+IF('計算A'!BF$106=1,1-FE7,0))*150+73+'計算A'!BF$5*100000+IF(AND($E7=1,KS7=0),50000,0))+IF($H7=1,(IF('計算A'!BE$117=1,INDEX('計算A'!BE$10:BE$54,$B7),0)+IF('計算A'!BF$117=1,INDEX('計算A'!BG$10:BG$54,$B7),0))*4000,0)-IF(AND('計算A'!BE$117=1,WC7&gt;0),2000,0)-IF(AND($L7=1,'計算A'!BF$117=1,FE7=0),2000,0))),1000000))</f>
        <v/>
      </c>
      <c r="QI7">
        <f>IF($B7=0,1000000,IF(INDEX('計算A'!$D$60:$EQ$104,$B7,56)*FE7=1,IF(AND($E7=2,KT7=0),1000000,IF($I7&gt;0,IF(3=$J7,IF(OR(AND(56=$I7+1,OR($K7&lt;&gt;'計算A'!$A$3,'計算A'!$A$4=0)),AND(56=$I7-1,OR(8&lt;&gt;'計算A'!$A$3,'計算A'!$A$4=0))),0,IF(8=$K7,200000,ABS(8-$K7)*100)),100000+ABS(3-$J7)*1000+80)+'計算A'!BG$5*50+IF(AND($E7=1,KT7=0),25,0),IF($F7&gt;0,INDEX('計算A'!BG$110:BG$114,$F7+1)+IF(AND($E7=1,KT7=0),1000,0),MIN(TW7,20)*400+(IF('計算A'!BF$106=1,1-FD7,0)+IF('計算A'!BG$106=1,1-FF7,0))*150+83+'計算A'!BG$5*100000+IF(AND($E7=1,KT7=0),50000,0))+IF($H7=1,(IF('計算A'!BF$117=1,INDEX('計算A'!BF$10:BF$54,$B7),0)+IF('計算A'!BG$117=1,INDEX('計算A'!BH$10:BH$54,$B7),0))*4000,0)-IF(AND('計算A'!BF$117=1,WD7&gt;0),2000,0)-IF(AND($L7=1,'計算A'!BG$117=1,FF7=0),2000,0))),1000000))</f>
        <v/>
      </c>
      <c r="QJ7">
        <f>IF($B7=0,1000000,IF(INDEX('計算A'!$D$60:$EQ$104,$B7,57)*FF7=1,IF(AND($E7=2,KU7=0),1000000,IF($I7&gt;0,IF(3=$J7,IF(OR(AND(57=$I7+1,OR($K7&lt;&gt;'計算A'!$A$3,'計算A'!$A$4=0)),AND(57=$I7-1,OR(9&lt;&gt;'計算A'!$A$3,'計算A'!$A$4=0))),0,IF(9=$K7,200000,ABS(9-$K7)*100)),100000+ABS(3-$J7)*1000+90)+'計算A'!BH$5*50+IF(AND($E7=1,KU7=0),25,0),IF($F7&gt;0,INDEX('計算A'!BH$110:BH$114,$F7+1)+IF(AND($E7=1,KU7=0),1000,0),MIN(TW7,20)*400+(IF('計算A'!BG$106=1,1-FE7,0)+IF('計算A'!BH$106=1,1-FG7,0))*150+93+'計算A'!BH$5*100000+IF(AND($E7=1,KU7=0),50000,0))+IF($H7=1,(IF('計算A'!BG$117=1,INDEX('計算A'!BG$10:BG$54,$B7),0)+IF('計算A'!BH$117=1,INDEX('計算A'!BI$10:BI$54,$B7),0))*4000,0)-IF(AND('計算A'!BG$117=1,WE7&gt;0),2000,0)-IF(AND($L7=1,'計算A'!BH$117=1,FG7=0),2000,0))),1000000))</f>
        <v/>
      </c>
      <c r="QK7">
        <f>IF($B7=0,1000000,IF(INDEX('計算A'!$D$60:$EQ$104,$B7,58)*FG7=1,IF(AND($E7=2,KV7=0),1000000,IF($I7&gt;0,IF(3=$J7,IF(OR(AND(58=$I7+1,OR($K7&lt;&gt;'計算A'!$A$3,'計算A'!$A$4=0)),AND(58=$I7-1,OR(10&lt;&gt;'計算A'!$A$3,'計算A'!$A$4=0))),0,IF(10=$K7,200000,ABS(10-$K7)*100)),100000+ABS(3-$J7)*1000+100)+'計算A'!BI$5*50+IF(AND($E7=1,KV7=0),25,0),IF($F7&gt;0,INDEX('計算A'!BI$110:BI$114,$F7+1)+IF(AND($E7=1,KV7=0),1000,0),MIN(TW7,20)*400+(IF('計算A'!BH$106=1,1-FF7,0)+IF('計算A'!BI$106=1,1-FH7,0))*150+103+'計算A'!BI$5*100000+IF(AND($E7=1,KV7=0),50000,0))+IF($H7=1,(IF('計算A'!BH$117=1,INDEX('計算A'!BH$10:BH$54,$B7),0)+IF('計算A'!BI$117=1,INDEX('計算A'!BJ$10:BJ$54,$B7),0))*4000,0)-IF(AND('計算A'!BH$117=1,WF7&gt;0),2000,0)-IF(AND($L7=1,'計算A'!BI$117=1,FH7=0),2000,0))),1000000))</f>
        <v/>
      </c>
      <c r="QL7">
        <f>IF($B7=0,1000000,IF(INDEX('計算A'!$D$60:$EQ$104,$B7,59)*FH7=1,IF(AND($E7=2,KW7=0),1000000,IF($I7&gt;0,IF(3=$J7,IF(OR(AND(59=$I7+1,OR($K7&lt;&gt;'計算A'!$A$3,'計算A'!$A$4=0)),AND(59=$I7-1,OR(11&lt;&gt;'計算A'!$A$3,'計算A'!$A$4=0))),0,IF(11=$K7,200000,ABS(11-$K7)*100)),100000+ABS(3-$J7)*1000+110)+'計算A'!BJ$5*50+IF(AND($E7=1,KW7=0),25,0),IF($F7&gt;0,INDEX('計算A'!BJ$110:BJ$114,$F7+1)+IF(AND($E7=1,KW7=0),1000,0),MIN(TW7,20)*400+(IF('計算A'!BI$106=1,1-FG7,0)+IF('計算A'!BJ$106=1,1-FI7,0))*150+113+'計算A'!BJ$5*100000+IF(AND($E7=1,KW7=0),50000,0))+IF($H7=1,(IF('計算A'!BI$117=1,INDEX('計算A'!BI$10:BI$54,$B7),0)+IF('計算A'!BJ$117=1,INDEX('計算A'!BK$10:BK$54,$B7),0))*4000,0)-IF(AND('計算A'!BI$117=1,WG7&gt;0),2000,0)-IF(AND($L7=1,'計算A'!BJ$117=1,FI7=0),2000,0))),1000000))</f>
        <v/>
      </c>
      <c r="QM7">
        <f>IF($B7=0,1000000,IF(INDEX('計算A'!$D$60:$EQ$104,$B7,60)*FI7=1,IF(AND($E7=2,KX7=0),1000000,IF($I7&gt;0,IF(3=$J7,IF(OR(AND(60=$I7+1,OR($K7&lt;&gt;'計算A'!$A$3,'計算A'!$A$4=0)),AND(60=$I7-1,OR(12&lt;&gt;'計算A'!$A$3,'計算A'!$A$4=0))),0,IF(12=$K7,200000,ABS(12-$K7)*100)),100000+ABS(3-$J7)*1000+120)+'計算A'!BK$5*50+IF(AND($E7=1,KX7=0),25,0),IF($F7&gt;0,INDEX('計算A'!BK$110:BK$114,$F7+1)+IF(AND($E7=1,KX7=0),1000,0),MIN(TW7,20)*400+(IF('計算A'!BJ$106=1,1-FH7,0)+IF('計算A'!BK$106=1,1-FJ7,0))*150+123+'計算A'!BK$5*100000+IF(AND($E7=1,KX7=0),50000,0))+IF($H7=1,(IF('計算A'!BJ$117=1,INDEX('計算A'!BJ$10:BJ$54,$B7),0)+IF('計算A'!BK$117=1,INDEX('計算A'!BL$10:BL$54,$B7),0))*4000,0)-IF(AND('計算A'!BJ$117=1,WH7&gt;0),2000,0)-IF(AND($L7=1,'計算A'!BK$117=1,FJ7=0),2000,0))),1000000))</f>
        <v/>
      </c>
      <c r="QN7">
        <f>IF($B7=0,1000000,IF(INDEX('計算A'!$D$60:$EQ$104,$B7,61)*FJ7=1,IF(AND($E7=2,KY7=0),1000000,IF($I7&gt;0,IF(3=$J7,IF(OR(AND(61=$I7+1,OR($K7&lt;&gt;'計算A'!$A$3,'計算A'!$A$4=0)),AND(61=$I7-1,OR(13&lt;&gt;'計算A'!$A$3,'計算A'!$A$4=0))),0,IF(13=$K7,200000,ABS(13-$K7)*100)),100000+ABS(3-$J7)*1000+130)+'計算A'!BL$5*50+IF(AND($E7=1,KY7=0),25,0),IF($F7&gt;0,INDEX('計算A'!BL$110:BL$114,$F7+1)+IF(AND($E7=1,KY7=0),1000,0),MIN(TW7,20)*400+(IF('計算A'!BK$106=1,1-FI7,0)+IF('計算A'!BL$106=1,1-FK7,0))*150+133+'計算A'!BL$5*100000+IF(AND($E7=1,KY7=0),50000,0))+IF($H7=1,(IF('計算A'!BK$117=1,INDEX('計算A'!BK$10:BK$54,$B7),0)+IF('計算A'!BL$117=1,INDEX('計算A'!BM$10:BM$54,$B7),0))*4000,0)-IF(AND('計算A'!BK$117=1,WI7&gt;0),2000,0)-IF(AND($L7=1,'計算A'!BL$117=1,FK7=0),2000,0))),1000000))</f>
        <v/>
      </c>
      <c r="QO7">
        <f>IF($B7=0,1000000,IF(INDEX('計算A'!$D$60:$EQ$104,$B7,62)*FK7=1,IF(AND($E7=2,KZ7=0),1000000,IF($I7&gt;0,IF(3=$J7,IF(OR(AND(62=$I7+1,OR($K7&lt;&gt;'計算A'!$A$3,'計算A'!$A$4=0)),AND(62=$I7-1,OR(14&lt;&gt;'計算A'!$A$3,'計算A'!$A$4=0))),0,IF(14=$K7,200000,ABS(14-$K7)*100)),100000+ABS(3-$J7)*1000+140)+'計算A'!BM$5*50+IF(AND($E7=1,KZ7=0),25,0),IF($F7&gt;0,INDEX('計算A'!BM$110:BM$114,$F7+1)+IF(AND($E7=1,KZ7=0),1000,0),MIN(TW7,20)*400+(IF('計算A'!BL$106=1,1-FJ7,0)+IF('計算A'!BM$106=1,1-FL7,0))*150+143+'計算A'!BM$5*100000+IF(AND($E7=1,KZ7=0),50000,0))+IF($H7=1,(IF('計算A'!BL$117=1,INDEX('計算A'!BL$10:BL$54,$B7),0)+IF('計算A'!BM$117=1,INDEX('計算A'!BN$10:BN$54,$B7),0))*4000,0)-IF(AND('計算A'!BL$117=1,WJ7&gt;0),2000,0)-IF(AND($L7=1,'計算A'!BM$117=1,FL7=0),2000,0))),1000000))</f>
        <v/>
      </c>
      <c r="QP7">
        <f>IF($B7=0,1000000,IF(INDEX('計算A'!$D$60:$EQ$104,$B7,63)*FL7=1,IF(AND($E7=2,LA7=0),1000000,IF($I7&gt;0,IF(3=$J7,IF(OR(AND(63=$I7+1,OR($K7&lt;&gt;'計算A'!$A$3,'計算A'!$A$4=0)),AND(63=$I7-1,OR(15&lt;&gt;'計算A'!$A$3,'計算A'!$A$4=0))),0,IF(15=$K7,200000,ABS(15-$K7)*100)),100000+ABS(3-$J7)*1000+150)+'計算A'!BN$5*50+IF(AND($E7=1,LA7=0),25,0),IF($F7&gt;0,INDEX('計算A'!BN$110:BN$114,$F7+1)+IF(AND($E7=1,LA7=0),1000,0),MIN(TW7,20)*400+(IF('計算A'!BM$106=1,1-FK7,0)+IF('計算A'!BN$106=1,1-FM7,0))*150+153+'計算A'!BN$5*100000+IF(AND($E7=1,LA7=0),50000,0))+IF($H7=1,(IF('計算A'!BM$117=1,INDEX('計算A'!BM$10:BM$54,$B7),0)+IF('計算A'!BN$117=1,INDEX('計算A'!BO$10:BO$54,$B7),0))*4000,0)-IF(AND('計算A'!BM$117=1,WK7&gt;0),2000,0)-IF(AND($L7=1,'計算A'!BN$117=1,FM7=0),2000,0))),1000000))</f>
        <v/>
      </c>
      <c r="QQ7">
        <f>IF($B7=0,1000000,IF(INDEX('計算A'!$D$60:$EQ$104,$B7,64)*FM7=1,IF(AND($E7=2,LB7=0),1000000,IF($I7&gt;0,IF(3=$J7,IF(OR(AND(64=$I7+1,OR($K7&lt;&gt;'計算A'!$A$3,'計算A'!$A$4=0)),AND(64=$I7-1,OR(16&lt;&gt;'計算A'!$A$3,'計算A'!$A$4=0))),0,IF(16=$K7,200000,ABS(16-$K7)*100)),100000+ABS(3-$J7)*1000+160)+'計算A'!BO$5*50+IF(AND($E7=1,LB7=0),25,0),IF($F7&gt;0,INDEX('計算A'!BO$110:BO$114,$F7+1)+IF(AND($E7=1,LB7=0),1000,0),MIN(TW7,20)*400+(IF('計算A'!BN$106=1,1-FL7,0)+IF('計算A'!BO$106=1,1-FN7,0))*150+163+'計算A'!BO$5*100000+IF(AND($E7=1,LB7=0),50000,0))+IF($H7=1,(IF('計算A'!BN$117=1,INDEX('計算A'!BN$10:BN$54,$B7),0)+IF('計算A'!BO$117=1,INDEX('計算A'!BP$10:BP$54,$B7),0))*4000,0)-IF(AND('計算A'!BN$117=1,WL7&gt;0),2000,0)-IF(AND($L7=1,'計算A'!BO$117=1,FN7=0),2000,0))),1000000))</f>
        <v/>
      </c>
      <c r="QR7">
        <f>IF($B7=0,1000000,IF(INDEX('計算A'!$D$60:$EQ$104,$B7,65)*FN7=1,IF(AND($E7=2,LC7=0),1000000,IF($I7&gt;0,IF(3=$J7,IF(OR(AND(65=$I7+1,OR($K7&lt;&gt;'計算A'!$A$3,'計算A'!$A$4=0)),AND(65=$I7-1,OR(17&lt;&gt;'計算A'!$A$3,'計算A'!$A$4=0))),0,IF(17=$K7,200000,ABS(17-$K7)*100)),100000+ABS(3-$J7)*1000+170)+'計算A'!BP$5*50+IF(AND($E7=1,LC7=0),25,0),IF($F7&gt;0,INDEX('計算A'!BP$110:BP$114,$F7+1)+IF(AND($E7=1,LC7=0),1000,0),MIN(TW7,20)*400+(IF('計算A'!BO$106=1,1-FM7,0)+IF('計算A'!BP$106=1,1-FO7,0))*150+173+'計算A'!BP$5*100000+IF(AND($E7=1,LC7=0),50000,0))+IF($H7=1,(IF('計算A'!BO$117=1,INDEX('計算A'!BO$10:BO$54,$B7),0)+IF('計算A'!BP$117=1,INDEX('計算A'!BQ$10:BQ$54,$B7),0))*4000,0)-IF(AND('計算A'!BO$117=1,WM7&gt;0),2000,0)-IF(AND($L7=1,'計算A'!BP$117=1,FO7=0),2000,0))),1000000))</f>
        <v/>
      </c>
      <c r="QS7">
        <f>IF($B7=0,1000000,IF(INDEX('計算A'!$D$60:$EQ$104,$B7,66)*FO7=1,IF(AND($E7=2,LD7=0),1000000,IF($I7&gt;0,IF(3=$J7,IF(OR(AND(66=$I7+1,OR($K7&lt;&gt;'計算A'!$A$3,'計算A'!$A$4=0)),AND(66=$I7-1,OR(18&lt;&gt;'計算A'!$A$3,'計算A'!$A$4=0))),0,IF(18=$K7,200000,ABS(18-$K7)*100)),100000+ABS(3-$J7)*1000+180)+'計算A'!BQ$5*50+IF(AND($E7=1,LD7=0),25,0),IF($F7&gt;0,INDEX('計算A'!BQ$110:BQ$114,$F7+1)+IF(AND($E7=1,LD7=0),1000,0),MIN(TW7,20)*400+(IF('計算A'!BP$106=1,1-FN7,0)+IF('計算A'!BQ$106=1,1-FP7,0))*150+183+'計算A'!BQ$5*100000+IF(AND($E7=1,LD7=0),50000,0))+IF($H7=1,(IF('計算A'!BP$117=1,INDEX('計算A'!BP$10:BP$54,$B7),0)+IF('計算A'!BQ$117=1,INDEX('計算A'!BR$10:BR$54,$B7),0))*4000,0)-IF(AND('計算A'!BP$117=1,WN7&gt;0),2000,0)-IF(AND($L7=1,'計算A'!BQ$117=1,FP7=0),2000,0))),1000000))</f>
        <v/>
      </c>
      <c r="QT7">
        <f>IF($B7=0,1000000,IF(INDEX('計算A'!$D$60:$EQ$104,$B7,67)*FP7=1,IF(AND($E7=2,LE7=0),1000000,IF($I7&gt;0,IF(3=$J7,IF(OR(AND(67=$I7+1,OR($K7&lt;&gt;'計算A'!$A$3,'計算A'!$A$4=0)),AND(67=$I7-1,OR(19&lt;&gt;'計算A'!$A$3,'計算A'!$A$4=0))),0,IF(19=$K7,200000,ABS(19-$K7)*100)),100000+ABS(3-$J7)*1000+190)+'計算A'!BR$5*50+IF(AND($E7=1,LE7=0),25,0),IF($F7&gt;0,INDEX('計算A'!BR$110:BR$114,$F7+1)+IF(AND($E7=1,LE7=0),1000,0),MIN(TW7,20)*400+(IF('計算A'!BQ$106=1,1-FO7,0)+IF('計算A'!BR$106=1,1-FQ7,0))*150+193+'計算A'!BR$5*100000+IF(AND($E7=1,LE7=0),50000,0))+IF($H7=1,(IF('計算A'!BQ$117=1,INDEX('計算A'!BQ$10:BQ$54,$B7),0)+IF('計算A'!BR$117=1,INDEX('計算A'!BS$10:BS$54,$B7),0))*4000,0)-IF(AND('計算A'!BQ$117=1,WO7&gt;0),2000,0)-IF(AND($L7=1,'計算A'!BR$117=1,FQ7=0),2000,0))),1000000))</f>
        <v/>
      </c>
      <c r="QU7">
        <f>IF($B7=0,1000000,IF(INDEX('計算A'!$D$60:$EQ$104,$B7,68)*FQ7=1,IF(AND($E7=2,LF7=0),1000000,IF($I7&gt;0,IF(3=$J7,IF(OR(AND(68=$I7+1,OR($K7&lt;&gt;'計算A'!$A$3,'計算A'!$A$4=0)),AND(68=$I7-1,OR(20&lt;&gt;'計算A'!$A$3,'計算A'!$A$4=0))),0,IF(20=$K7,200000,ABS(20-$K7)*100)),100000+ABS(3-$J7)*1000+200)+'計算A'!BS$5*50+IF(AND($E7=1,LF7=0),25,0),IF($F7&gt;0,INDEX('計算A'!BS$110:BS$114,$F7+1)+IF(AND($E7=1,LF7=0),1000,0),MIN(TW7,20)*400+(IF('計算A'!BR$106=1,1-FP7,0)+IF('計算A'!BS$106=1,1-FR7,0))*150+203+'計算A'!BS$5*100000+IF(AND($E7=1,LF7=0),50000,0))+IF($H7=1,(IF('計算A'!BR$117=1,INDEX('計算A'!BR$10:BR$54,$B7),0)+IF('計算A'!BS$117=1,INDEX('計算A'!BT$10:BT$54,$B7),0))*4000,0)-IF(AND('計算A'!BR$117=1,WP7&gt;0),2000,0)-IF(AND($L7=1,'計算A'!BS$117=1,FR7=0),2000,0))),1000000))</f>
        <v/>
      </c>
      <c r="QV7">
        <f>IF($B7=0,1000000,IF(INDEX('計算A'!$D$60:$EQ$104,$B7,69)*FR7=1,IF(AND($E7=2,LG7=0),1000000,IF($I7&gt;0,IF(3=$J7,IF(OR(AND(69=$I7+1,OR($K7&lt;&gt;'計算A'!$A$3,'計算A'!$A$4=0)),AND(69=$I7-1,OR(21&lt;&gt;'計算A'!$A$3,'計算A'!$A$4=0))),0,IF(21=$K7,200000,ABS(21-$K7)*100)),100000+ABS(3-$J7)*1000+210)+'計算A'!BT$5*50+IF(AND($E7=1,LG7=0),25,0),IF($F7&gt;0,INDEX('計算A'!BT$110:BT$114,$F7+1)+IF(AND($E7=1,LG7=0),1000,0),MIN(TW7,20)*400+(IF('計算A'!BS$106=1,1-FQ7,0)+IF('計算A'!BT$106=1,1-FS7,0))*150+213+'計算A'!BT$5*100000+IF(AND($E7=1,LG7=0),50000,0))+IF($H7=1,(IF('計算A'!BS$117=1,INDEX('計算A'!BS$10:BS$54,$B7),0)+IF('計算A'!BT$117=1,INDEX('計算A'!BU$10:BU$54,$B7),0))*4000,0)-IF(AND('計算A'!BS$117=1,WQ7&gt;0),2000,0)-IF(AND($L7=1,'計算A'!BT$117=1,FS7=0),2000,0))),1000000))</f>
        <v/>
      </c>
      <c r="QW7">
        <f>IF($B7=0,1000000,IF(INDEX('計算A'!$D$60:$EQ$104,$B7,70)*FS7=1,IF(AND($E7=2,LH7=0),1000000,IF($I7&gt;0,IF(3=$J7,IF(OR(AND(70=$I7+1,OR($K7&lt;&gt;'計算A'!$A$3,'計算A'!$A$4=0)),AND(70=$I7-1,OR(22&lt;&gt;'計算A'!$A$3,'計算A'!$A$4=0))),0,IF(22=$K7,200000,ABS(22-$K7)*100)),100000+ABS(3-$J7)*1000+220)+'計算A'!BU$5*50+IF(AND($E7=1,LH7=0),25,0),IF($F7&gt;0,INDEX('計算A'!BU$110:BU$114,$F7+1)+IF(AND($E7=1,LH7=0),1000,0),MIN(TW7,20)*400+(IF('計算A'!BT$106=1,1-FR7,0)+IF('計算A'!BU$106=1,1-FT7,0))*150+223+'計算A'!BU$5*100000+IF(AND($E7=1,LH7=0),50000,0))+IF($H7=1,(IF('計算A'!BT$117=1,INDEX('計算A'!BT$10:BT$54,$B7),0)+IF('計算A'!BU$117=1,INDEX('計算A'!BV$10:BV$54,$B7),0))*4000,0)-IF(AND('計算A'!BT$117=1,WR7&gt;0),2000,0)-IF(AND($L7=1,'計算A'!BU$117=1,FT7=0),2000,0))),1000000))</f>
        <v/>
      </c>
      <c r="QX7">
        <f>IF($B7=0,1000000,IF(INDEX('計算A'!$D$60:$EQ$104,$B7,71)*FT7=1,IF(AND($E7=2,LI7=0),1000000,IF($I7&gt;0,IF(3=$J7,IF(OR(AND(71=$I7+1,OR($K7&lt;&gt;'計算A'!$A$3,'計算A'!$A$4=0)),AND(71=$I7-1,OR(23&lt;&gt;'計算A'!$A$3,'計算A'!$A$4=0))),0,IF(23=$K7,200000,ABS(23-$K7)*100)),100000+ABS(3-$J7)*1000+230)+'計算A'!BV$5*50+IF(AND($E7=1,LI7=0),25,0),IF($F7&gt;0,INDEX('計算A'!BV$110:BV$114,$F7+1)+IF(AND($E7=1,LI7=0),1000,0),MIN(TW7,20)*400+(IF('計算A'!BU$106=1,1-FS7,0)+IF('計算A'!BV$106=1,1-FU7,0))*150+233+'計算A'!BV$5*100000+IF(AND($E7=1,LI7=0),50000,0))+IF($H7=1,(IF('計算A'!BU$117=1,INDEX('計算A'!BU$10:BU$54,$B7),0)+IF('計算A'!BV$117=1,INDEX('計算A'!BW$10:BW$54,$B7),0))*4000,0)-IF(AND('計算A'!BU$117=1,WS7&gt;0),2000,0)-IF(AND($L7=1,'計算A'!BV$117=1,FU7=0),2000,0))),1000000))</f>
        <v/>
      </c>
      <c r="QY7">
        <f>IF($B7=0,1000000,IF(INDEX('計算A'!$D$60:$EQ$104,$B7,72)*FU7=1,IF(AND($E7=2,LJ7=0),1000000,IF($I7&gt;0,IF(3=$J7,IF(OR(AND(72=$I7+1,OR($K7&lt;&gt;'計算A'!$A$3,'計算A'!$A$4=0)),AND(72=$I7-1,OR(24&lt;&gt;'計算A'!$A$3,'計算A'!$A$4=0))),0,IF(24=$K7,200000,ABS(24-$K7)*100)),100000+ABS(3-$J7)*1000+240)+'計算A'!BW$5*50+IF(AND($E7=1,LJ7=0),25,0),IF($F7&gt;0,INDEX('計算A'!BW$110:BW$114,$F7+1)+IF(AND($E7=1,LJ7=0),1000,0),MIN(TW7,20)*400+(IF('計算A'!BV$106=1,1-FT7,0))*150+243+'計算A'!BW$5*100000+IF(AND($E7=1,LJ7=0),50000,0))+IF($H7=1,(IF('計算A'!BV$117=1,INDEX('計算A'!BV$10:BV$54,$B7),0))*4000,0)-IF(AND('計算A'!BV$117=1,WT7&gt;0),2000,0))),1000000))</f>
        <v/>
      </c>
      <c r="QZ7">
        <f>IF($B7=0,1000000,IF(INDEX('計算A'!$D$60:$EQ$104,$B7,73)*FV7=1,IF(AND($E7=2,LK7=0),1000000,IF($I7&gt;0,IF(4=$J7,IF(OR(AND(73=$I7+1,OR($K7&lt;&gt;'計算A'!$A$3,'計算A'!$A$4=0)),AND(73=$I7-1,OR(1&lt;&gt;'計算A'!$A$3,'計算A'!$A$4=0))),0,IF(1=$K7,200000,ABS(1-$K7)*100)),100000+ABS(4-$J7)*1000+10)+'計算A'!BX$5*50+IF(AND($E7=1,LK7=0),25,0),IF($F7&gt;0,INDEX('計算A'!BX$110:BX$114,$F7+1)+IF(AND($E7=1,LK7=0),1000,0),MIN(TX7,20)*400+(IF('計算A'!BX$106=1,1-FW7,0))*150+14+'計算A'!BX$5*100000+IF(AND($E7=1,LK7=0),50000,0))+IF($H7=1,(IF('計算A'!BX$117=1,INDEX('計算A'!BY$10:BY$54,$B7),0))*4000,0)-IF(AND($L7=1,'計算A'!BX$117=1,FW7=0),2000,0))),1000000))</f>
        <v/>
      </c>
      <c r="RA7">
        <f>IF($B7=0,1000000,IF(INDEX('計算A'!$D$60:$EQ$104,$B7,74)*FW7=1,IF(AND($E7=2,LL7=0),1000000,IF($I7&gt;0,IF(4=$J7,IF(OR(AND(74=$I7+1,OR($K7&lt;&gt;'計算A'!$A$3,'計算A'!$A$4=0)),AND(74=$I7-1,OR(2&lt;&gt;'計算A'!$A$3,'計算A'!$A$4=0))),0,IF(2=$K7,200000,ABS(2-$K7)*100)),100000+ABS(4-$J7)*1000+20)+'計算A'!BY$5*50+IF(AND($E7=1,LL7=0),25,0),IF($F7&gt;0,INDEX('計算A'!BY$110:BY$114,$F7+1)+IF(AND($E7=1,LL7=0),1000,0),MIN(TX7,20)*400+(IF('計算A'!BX$106=1,1-FV7,0)+IF('計算A'!BY$106=1,1-FX7,0))*150+24+'計算A'!BY$5*100000+IF(AND($E7=1,LL7=0),50000,0))+IF($H7=1,(IF('計算A'!BX$117=1,INDEX('計算A'!BX$10:BX$54,$B7),0)+IF('計算A'!BY$117=1,INDEX('計算A'!BZ$10:BZ$54,$B7),0))*4000,0)-IF(AND('計算A'!BX$117=1,WV7&gt;0),2000,0)-IF(AND($L7=1,'計算A'!BY$117=1,FX7=0),2000,0))),1000000))</f>
        <v/>
      </c>
      <c r="RB7">
        <f>IF($B7=0,1000000,IF(INDEX('計算A'!$D$60:$EQ$104,$B7,75)*FX7=1,IF(AND($E7=2,LM7=0),1000000,IF($I7&gt;0,IF(4=$J7,IF(OR(AND(75=$I7+1,OR($K7&lt;&gt;'計算A'!$A$3,'計算A'!$A$4=0)),AND(75=$I7-1,OR(3&lt;&gt;'計算A'!$A$3,'計算A'!$A$4=0))),0,IF(3=$K7,200000,ABS(3-$K7)*100)),100000+ABS(4-$J7)*1000+30)+'計算A'!BZ$5*50+IF(AND($E7=1,LM7=0),25,0),IF($F7&gt;0,INDEX('計算A'!BZ$110:BZ$114,$F7+1)+IF(AND($E7=1,LM7=0),1000,0),MIN(TX7,20)*400+(IF('計算A'!BY$106=1,1-FW7,0)+IF('計算A'!BZ$106=1,1-FY7,0))*150+34+'計算A'!BZ$5*100000+IF(AND($E7=1,LM7=0),50000,0))+IF($H7=1,(IF('計算A'!BY$117=1,INDEX('計算A'!BY$10:BY$54,$B7),0)+IF('計算A'!BZ$117=1,INDEX('計算A'!CA$10:CA$54,$B7),0))*4000,0)-IF(AND('計算A'!BY$117=1,WW7&gt;0),2000,0)-IF(AND($L7=1,'計算A'!BZ$117=1,FY7=0),2000,0))),1000000))</f>
        <v/>
      </c>
      <c r="RC7">
        <f>IF($B7=0,1000000,IF(INDEX('計算A'!$D$60:$EQ$104,$B7,76)*FY7=1,IF(AND($E7=2,LN7=0),1000000,IF($I7&gt;0,IF(4=$J7,IF(OR(AND(76=$I7+1,OR($K7&lt;&gt;'計算A'!$A$3,'計算A'!$A$4=0)),AND(76=$I7-1,OR(4&lt;&gt;'計算A'!$A$3,'計算A'!$A$4=0))),0,IF(4=$K7,200000,ABS(4-$K7)*100)),100000+ABS(4-$J7)*1000+40)+'計算A'!CA$5*50+IF(AND($E7=1,LN7=0),25,0),IF($F7&gt;0,INDEX('計算A'!CA$110:CA$114,$F7+1)+IF(AND($E7=1,LN7=0),1000,0),MIN(TX7,20)*400+(IF('計算A'!BZ$106=1,1-FX7,0)+IF('計算A'!CA$106=1,1-FZ7,0))*150+44+'計算A'!CA$5*100000+IF(AND($E7=1,LN7=0),50000,0))+IF($H7=1,(IF('計算A'!BZ$117=1,INDEX('計算A'!BZ$10:BZ$54,$B7),0)+IF('計算A'!CA$117=1,INDEX('計算A'!CB$10:CB$54,$B7),0))*4000,0)-IF(AND('計算A'!BZ$117=1,WX7&gt;0),2000,0)-IF(AND($L7=1,'計算A'!CA$117=1,FZ7=0),2000,0))),1000000))</f>
        <v/>
      </c>
      <c r="RD7">
        <f>IF($B7=0,1000000,IF(INDEX('計算A'!$D$60:$EQ$104,$B7,77)*FZ7=1,IF(AND($E7=2,LO7=0),1000000,IF($I7&gt;0,IF(4=$J7,IF(OR(AND(77=$I7+1,OR($K7&lt;&gt;'計算A'!$A$3,'計算A'!$A$4=0)),AND(77=$I7-1,OR(5&lt;&gt;'計算A'!$A$3,'計算A'!$A$4=0))),0,IF(5=$K7,200000,ABS(5-$K7)*100)),100000+ABS(4-$J7)*1000+50)+'計算A'!CB$5*50+IF(AND($E7=1,LO7=0),25,0),IF($F7&gt;0,INDEX('計算A'!CB$110:CB$114,$F7+1)+IF(AND($E7=1,LO7=0),1000,0),MIN(TX7,20)*400+(IF('計算A'!CA$106=1,1-FY7,0)+IF('計算A'!CB$106=1,1-GA7,0))*150+54+'計算A'!CB$5*100000+IF(AND($E7=1,LO7=0),50000,0))+IF($H7=1,(IF('計算A'!CA$117=1,INDEX('計算A'!CA$10:CA$54,$B7),0)+IF('計算A'!CB$117=1,INDEX('計算A'!CC$10:CC$54,$B7),0))*4000,0)-IF(AND('計算A'!CA$117=1,WY7&gt;0),2000,0)-IF(AND($L7=1,'計算A'!CB$117=1,GA7=0),2000,0))),1000000))</f>
        <v/>
      </c>
      <c r="RE7">
        <f>IF($B7=0,1000000,IF(INDEX('計算A'!$D$60:$EQ$104,$B7,78)*GA7=1,IF(AND($E7=2,LP7=0),1000000,IF($I7&gt;0,IF(4=$J7,IF(OR(AND(78=$I7+1,OR($K7&lt;&gt;'計算A'!$A$3,'計算A'!$A$4=0)),AND(78=$I7-1,OR(6&lt;&gt;'計算A'!$A$3,'計算A'!$A$4=0))),0,IF(6=$K7,200000,ABS(6-$K7)*100)),100000+ABS(4-$J7)*1000+60)+'計算A'!CC$5*50+IF(AND($E7=1,LP7=0),25,0),IF($F7&gt;0,INDEX('計算A'!CC$110:CC$114,$F7+1)+IF(AND($E7=1,LP7=0),1000,0),MIN(TX7,20)*400+(IF('計算A'!CB$106=1,1-FZ7,0)+IF('計算A'!CC$106=1,1-GB7,0))*150+64+'計算A'!CC$5*100000+IF(AND($E7=1,LP7=0),50000,0))+IF($H7=1,(IF('計算A'!CB$117=1,INDEX('計算A'!CB$10:CB$54,$B7),0)+IF('計算A'!CC$117=1,INDEX('計算A'!CD$10:CD$54,$B7),0))*4000,0)-IF(AND('計算A'!CB$117=1,WZ7&gt;0),2000,0)-IF(AND($L7=1,'計算A'!CC$117=1,GB7=0),2000,0))),1000000))</f>
        <v/>
      </c>
      <c r="RF7">
        <f>IF($B7=0,1000000,IF(INDEX('計算A'!$D$60:$EQ$104,$B7,79)*GB7=1,IF(AND($E7=2,LQ7=0),1000000,IF($I7&gt;0,IF(4=$J7,IF(OR(AND(79=$I7+1,OR($K7&lt;&gt;'計算A'!$A$3,'計算A'!$A$4=0)),AND(79=$I7-1,OR(7&lt;&gt;'計算A'!$A$3,'計算A'!$A$4=0))),0,IF(7=$K7,200000,ABS(7-$K7)*100)),100000+ABS(4-$J7)*1000+70)+'計算A'!CD$5*50+IF(AND($E7=1,LQ7=0),25,0),IF($F7&gt;0,INDEX('計算A'!CD$110:CD$114,$F7+1)+IF(AND($E7=1,LQ7=0),1000,0),MIN(TX7,20)*400+(IF('計算A'!CC$106=1,1-GA7,0)+IF('計算A'!CD$106=1,1-GC7,0))*150+74+'計算A'!CD$5*100000+IF(AND($E7=1,LQ7=0),50000,0))+IF($H7=1,(IF('計算A'!CC$117=1,INDEX('計算A'!CC$10:CC$54,$B7),0)+IF('計算A'!CD$117=1,INDEX('計算A'!CE$10:CE$54,$B7),0))*4000,0)-IF(AND('計算A'!CC$117=1,XA7&gt;0),2000,0)-IF(AND($L7=1,'計算A'!CD$117=1,GC7=0),2000,0))),1000000))</f>
        <v/>
      </c>
      <c r="RG7">
        <f>IF($B7=0,1000000,IF(INDEX('計算A'!$D$60:$EQ$104,$B7,80)*GC7=1,IF(AND($E7=2,LR7=0),1000000,IF($I7&gt;0,IF(4=$J7,IF(OR(AND(80=$I7+1,OR($K7&lt;&gt;'計算A'!$A$3,'計算A'!$A$4=0)),AND(80=$I7-1,OR(8&lt;&gt;'計算A'!$A$3,'計算A'!$A$4=0))),0,IF(8=$K7,200000,ABS(8-$K7)*100)),100000+ABS(4-$J7)*1000+80)+'計算A'!CE$5*50+IF(AND($E7=1,LR7=0),25,0),IF($F7&gt;0,INDEX('計算A'!CE$110:CE$114,$F7+1)+IF(AND($E7=1,LR7=0),1000,0),MIN(TX7,20)*400+(IF('計算A'!CD$106=1,1-GB7,0)+IF('計算A'!CE$106=1,1-GD7,0))*150+84+'計算A'!CE$5*100000+IF(AND($E7=1,LR7=0),50000,0))+IF($H7=1,(IF('計算A'!CD$117=1,INDEX('計算A'!CD$10:CD$54,$B7),0)+IF('計算A'!CE$117=1,INDEX('計算A'!CF$10:CF$54,$B7),0))*4000,0)-IF(AND('計算A'!CD$117=1,XB7&gt;0),2000,0)-IF(AND($L7=1,'計算A'!CE$117=1,GD7=0),2000,0))),1000000))</f>
        <v/>
      </c>
      <c r="RH7">
        <f>IF($B7=0,1000000,IF(INDEX('計算A'!$D$60:$EQ$104,$B7,81)*GD7=1,IF(AND($E7=2,LS7=0),1000000,IF($I7&gt;0,IF(4=$J7,IF(OR(AND(81=$I7+1,OR($K7&lt;&gt;'計算A'!$A$3,'計算A'!$A$4=0)),AND(81=$I7-1,OR(9&lt;&gt;'計算A'!$A$3,'計算A'!$A$4=0))),0,IF(9=$K7,200000,ABS(9-$K7)*100)),100000+ABS(4-$J7)*1000+90)+'計算A'!CF$5*50+IF(AND($E7=1,LS7=0),25,0),IF($F7&gt;0,INDEX('計算A'!CF$110:CF$114,$F7+1)+IF(AND($E7=1,LS7=0),1000,0),MIN(TX7,20)*400+(IF('計算A'!CE$106=1,1-GC7,0)+IF('計算A'!CF$106=1,1-GE7,0))*150+94+'計算A'!CF$5*100000+IF(AND($E7=1,LS7=0),50000,0))+IF($H7=1,(IF('計算A'!CE$117=1,INDEX('計算A'!CE$10:CE$54,$B7),0)+IF('計算A'!CF$117=1,INDEX('計算A'!CG$10:CG$54,$B7),0))*4000,0)-IF(AND('計算A'!CE$117=1,XC7&gt;0),2000,0)-IF(AND($L7=1,'計算A'!CF$117=1,GE7=0),2000,0))),1000000))</f>
        <v/>
      </c>
      <c r="RI7">
        <f>IF($B7=0,1000000,IF(INDEX('計算A'!$D$60:$EQ$104,$B7,82)*GE7=1,IF(AND($E7=2,LT7=0),1000000,IF($I7&gt;0,IF(4=$J7,IF(OR(AND(82=$I7+1,OR($K7&lt;&gt;'計算A'!$A$3,'計算A'!$A$4=0)),AND(82=$I7-1,OR(10&lt;&gt;'計算A'!$A$3,'計算A'!$A$4=0))),0,IF(10=$K7,200000,ABS(10-$K7)*100)),100000+ABS(4-$J7)*1000+100)+'計算A'!CG$5*50+IF(AND($E7=1,LT7=0),25,0),IF($F7&gt;0,INDEX('計算A'!CG$110:CG$114,$F7+1)+IF(AND($E7=1,LT7=0),1000,0),MIN(TX7,20)*400+(IF('計算A'!CF$106=1,1-GD7,0)+IF('計算A'!CG$106=1,1-GF7,0))*150+104+'計算A'!CG$5*100000+IF(AND($E7=1,LT7=0),50000,0))+IF($H7=1,(IF('計算A'!CF$117=1,INDEX('計算A'!CF$10:CF$54,$B7),0)+IF('計算A'!CG$117=1,INDEX('計算A'!CH$10:CH$54,$B7),0))*4000,0)-IF(AND('計算A'!CF$117=1,XD7&gt;0),2000,0)-IF(AND($L7=1,'計算A'!CG$117=1,GF7=0),2000,0))),1000000))</f>
        <v/>
      </c>
      <c r="RJ7">
        <f>IF($B7=0,1000000,IF(INDEX('計算A'!$D$60:$EQ$104,$B7,83)*GF7=1,IF(AND($E7=2,LU7=0),1000000,IF($I7&gt;0,IF(4=$J7,IF(OR(AND(83=$I7+1,OR($K7&lt;&gt;'計算A'!$A$3,'計算A'!$A$4=0)),AND(83=$I7-1,OR(11&lt;&gt;'計算A'!$A$3,'計算A'!$A$4=0))),0,IF(11=$K7,200000,ABS(11-$K7)*100)),100000+ABS(4-$J7)*1000+110)+'計算A'!CH$5*50+IF(AND($E7=1,LU7=0),25,0),IF($F7&gt;0,INDEX('計算A'!CH$110:CH$114,$F7+1)+IF(AND($E7=1,LU7=0),1000,0),MIN(TX7,20)*400+(IF('計算A'!CG$106=1,1-GE7,0)+IF('計算A'!CH$106=1,1-GG7,0))*150+114+'計算A'!CH$5*100000+IF(AND($E7=1,LU7=0),50000,0))+IF($H7=1,(IF('計算A'!CG$117=1,INDEX('計算A'!CG$10:CG$54,$B7),0)+IF('計算A'!CH$117=1,INDEX('計算A'!CI$10:CI$54,$B7),0))*4000,0)-IF(AND('計算A'!CG$117=1,XE7&gt;0),2000,0)-IF(AND($L7=1,'計算A'!CH$117=1,GG7=0),2000,0))),1000000))</f>
        <v/>
      </c>
      <c r="RK7">
        <f>IF($B7=0,1000000,IF(INDEX('計算A'!$D$60:$EQ$104,$B7,84)*GG7=1,IF(AND($E7=2,LV7=0),1000000,IF($I7&gt;0,IF(4=$J7,IF(OR(AND(84=$I7+1,OR($K7&lt;&gt;'計算A'!$A$3,'計算A'!$A$4=0)),AND(84=$I7-1,OR(12&lt;&gt;'計算A'!$A$3,'計算A'!$A$4=0))),0,IF(12=$K7,200000,ABS(12-$K7)*100)),100000+ABS(4-$J7)*1000+120)+'計算A'!CI$5*50+IF(AND($E7=1,LV7=0),25,0),IF($F7&gt;0,INDEX('計算A'!CI$110:CI$114,$F7+1)+IF(AND($E7=1,LV7=0),1000,0),MIN(TX7,20)*400+(IF('計算A'!CH$106=1,1-GF7,0)+IF('計算A'!CI$106=1,1-GH7,0))*150+124+'計算A'!CI$5*100000+IF(AND($E7=1,LV7=0),50000,0))+IF($H7=1,(IF('計算A'!CH$117=1,INDEX('計算A'!CH$10:CH$54,$B7),0)+IF('計算A'!CI$117=1,INDEX('計算A'!CJ$10:CJ$54,$B7),0))*4000,0)-IF(AND('計算A'!CH$117=1,XF7&gt;0),2000,0)-IF(AND($L7=1,'計算A'!CI$117=1,GH7=0),2000,0))),1000000))</f>
        <v/>
      </c>
      <c r="RL7">
        <f>IF($B7=0,1000000,IF(INDEX('計算A'!$D$60:$EQ$104,$B7,85)*GH7=1,IF(AND($E7=2,LW7=0),1000000,IF($I7&gt;0,IF(4=$J7,IF(OR(AND(85=$I7+1,OR($K7&lt;&gt;'計算A'!$A$3,'計算A'!$A$4=0)),AND(85=$I7-1,OR(13&lt;&gt;'計算A'!$A$3,'計算A'!$A$4=0))),0,IF(13=$K7,200000,ABS(13-$K7)*100)),100000+ABS(4-$J7)*1000+130)+'計算A'!CJ$5*50+IF(AND($E7=1,LW7=0),25,0),IF($F7&gt;0,INDEX('計算A'!CJ$110:CJ$114,$F7+1)+IF(AND($E7=1,LW7=0),1000,0),MIN(TX7,20)*400+(IF('計算A'!CI$106=1,1-GG7,0)+IF('計算A'!CJ$106=1,1-GI7,0))*150+134+'計算A'!CJ$5*100000+IF(AND($E7=1,LW7=0),50000,0))+IF($H7=1,(IF('計算A'!CI$117=1,INDEX('計算A'!CI$10:CI$54,$B7),0)+IF('計算A'!CJ$117=1,INDEX('計算A'!CK$10:CK$54,$B7),0))*4000,0)-IF(AND('計算A'!CI$117=1,XG7&gt;0),2000,0)-IF(AND($L7=1,'計算A'!CJ$117=1,GI7=0),2000,0))),1000000))</f>
        <v/>
      </c>
      <c r="RM7">
        <f>IF($B7=0,1000000,IF(INDEX('計算A'!$D$60:$EQ$104,$B7,86)*GI7=1,IF(AND($E7=2,LX7=0),1000000,IF($I7&gt;0,IF(4=$J7,IF(OR(AND(86=$I7+1,OR($K7&lt;&gt;'計算A'!$A$3,'計算A'!$A$4=0)),AND(86=$I7-1,OR(14&lt;&gt;'計算A'!$A$3,'計算A'!$A$4=0))),0,IF(14=$K7,200000,ABS(14-$K7)*100)),100000+ABS(4-$J7)*1000+140)+'計算A'!CK$5*50+IF(AND($E7=1,LX7=0),25,0),IF($F7&gt;0,INDEX('計算A'!CK$110:CK$114,$F7+1)+IF(AND($E7=1,LX7=0),1000,0),MIN(TX7,20)*400+(IF('計算A'!CJ$106=1,1-GH7,0)+IF('計算A'!CK$106=1,1-GJ7,0))*150+144+'計算A'!CK$5*100000+IF(AND($E7=1,LX7=0),50000,0))+IF($H7=1,(IF('計算A'!CJ$117=1,INDEX('計算A'!CJ$10:CJ$54,$B7),0)+IF('計算A'!CK$117=1,INDEX('計算A'!CL$10:CL$54,$B7),0))*4000,0)-IF(AND('計算A'!CJ$117=1,XH7&gt;0),2000,0)-IF(AND($L7=1,'計算A'!CK$117=1,GJ7=0),2000,0))),1000000))</f>
        <v/>
      </c>
      <c r="RN7">
        <f>IF($B7=0,1000000,IF(INDEX('計算A'!$D$60:$EQ$104,$B7,87)*GJ7=1,IF(AND($E7=2,LY7=0),1000000,IF($I7&gt;0,IF(4=$J7,IF(OR(AND(87=$I7+1,OR($K7&lt;&gt;'計算A'!$A$3,'計算A'!$A$4=0)),AND(87=$I7-1,OR(15&lt;&gt;'計算A'!$A$3,'計算A'!$A$4=0))),0,IF(15=$K7,200000,ABS(15-$K7)*100)),100000+ABS(4-$J7)*1000+150)+'計算A'!CL$5*50+IF(AND($E7=1,LY7=0),25,0),IF($F7&gt;0,INDEX('計算A'!CL$110:CL$114,$F7+1)+IF(AND($E7=1,LY7=0),1000,0),MIN(TX7,20)*400+(IF('計算A'!CK$106=1,1-GI7,0)+IF('計算A'!CL$106=1,1-GK7,0))*150+154+'計算A'!CL$5*100000+IF(AND($E7=1,LY7=0),50000,0))+IF($H7=1,(IF('計算A'!CK$117=1,INDEX('計算A'!CK$10:CK$54,$B7),0)+IF('計算A'!CL$117=1,INDEX('計算A'!CM$10:CM$54,$B7),0))*4000,0)-IF(AND('計算A'!CK$117=1,XI7&gt;0),2000,0)-IF(AND($L7=1,'計算A'!CL$117=1,GK7=0),2000,0))),1000000))</f>
        <v/>
      </c>
      <c r="RO7">
        <f>IF($B7=0,1000000,IF(INDEX('計算A'!$D$60:$EQ$104,$B7,88)*GK7=1,IF(AND($E7=2,LZ7=0),1000000,IF($I7&gt;0,IF(4=$J7,IF(OR(AND(88=$I7+1,OR($K7&lt;&gt;'計算A'!$A$3,'計算A'!$A$4=0)),AND(88=$I7-1,OR(16&lt;&gt;'計算A'!$A$3,'計算A'!$A$4=0))),0,IF(16=$K7,200000,ABS(16-$K7)*100)),100000+ABS(4-$J7)*1000+160)+'計算A'!CM$5*50+IF(AND($E7=1,LZ7=0),25,0),IF($F7&gt;0,INDEX('計算A'!CM$110:CM$114,$F7+1)+IF(AND($E7=1,LZ7=0),1000,0),MIN(TX7,20)*400+(IF('計算A'!CL$106=1,1-GJ7,0)+IF('計算A'!CM$106=1,1-GL7,0))*150+164+'計算A'!CM$5*100000+IF(AND($E7=1,LZ7=0),50000,0))+IF($H7=1,(IF('計算A'!CL$117=1,INDEX('計算A'!CL$10:CL$54,$B7),0)+IF('計算A'!CM$117=1,INDEX('計算A'!CN$10:CN$54,$B7),0))*4000,0)-IF(AND('計算A'!CL$117=1,XJ7&gt;0),2000,0)-IF(AND($L7=1,'計算A'!CM$117=1,GL7=0),2000,0))),1000000))</f>
        <v/>
      </c>
      <c r="RP7">
        <f>IF($B7=0,1000000,IF(INDEX('計算A'!$D$60:$EQ$104,$B7,89)*GL7=1,IF(AND($E7=2,MA7=0),1000000,IF($I7&gt;0,IF(4=$J7,IF(OR(AND(89=$I7+1,OR($K7&lt;&gt;'計算A'!$A$3,'計算A'!$A$4=0)),AND(89=$I7-1,OR(17&lt;&gt;'計算A'!$A$3,'計算A'!$A$4=0))),0,IF(17=$K7,200000,ABS(17-$K7)*100)),100000+ABS(4-$J7)*1000+170)+'計算A'!CN$5*50+IF(AND($E7=1,MA7=0),25,0),IF($F7&gt;0,INDEX('計算A'!CN$110:CN$114,$F7+1)+IF(AND($E7=1,MA7=0),1000,0),MIN(TX7,20)*400+(IF('計算A'!CM$106=1,1-GK7,0)+IF('計算A'!CN$106=1,1-GM7,0))*150+174+'計算A'!CN$5*100000+IF(AND($E7=1,MA7=0),50000,0))+IF($H7=1,(IF('計算A'!CM$117=1,INDEX('計算A'!CM$10:CM$54,$B7),0)+IF('計算A'!CN$117=1,INDEX('計算A'!CO$10:CO$54,$B7),0))*4000,0)-IF(AND('計算A'!CM$117=1,XK7&gt;0),2000,0)-IF(AND($L7=1,'計算A'!CN$117=1,GM7=0),2000,0))),1000000))</f>
        <v/>
      </c>
      <c r="RQ7">
        <f>IF($B7=0,1000000,IF(INDEX('計算A'!$D$60:$EQ$104,$B7,90)*GM7=1,IF(AND($E7=2,MB7=0),1000000,IF($I7&gt;0,IF(4=$J7,IF(OR(AND(90=$I7+1,OR($K7&lt;&gt;'計算A'!$A$3,'計算A'!$A$4=0)),AND(90=$I7-1,OR(18&lt;&gt;'計算A'!$A$3,'計算A'!$A$4=0))),0,IF(18=$K7,200000,ABS(18-$K7)*100)),100000+ABS(4-$J7)*1000+180)+'計算A'!CO$5*50+IF(AND($E7=1,MB7=0),25,0),IF($F7&gt;0,INDEX('計算A'!CO$110:CO$114,$F7+1)+IF(AND($E7=1,MB7=0),1000,0),MIN(TX7,20)*400+(IF('計算A'!CN$106=1,1-GL7,0)+IF('計算A'!CO$106=1,1-GN7,0))*150+184+'計算A'!CO$5*100000+IF(AND($E7=1,MB7=0),50000,0))+IF($H7=1,(IF('計算A'!CN$117=1,INDEX('計算A'!CN$10:CN$54,$B7),0)+IF('計算A'!CO$117=1,INDEX('計算A'!CP$10:CP$54,$B7),0))*4000,0)-IF(AND('計算A'!CN$117=1,XL7&gt;0),2000,0)-IF(AND($L7=1,'計算A'!CO$117=1,GN7=0),2000,0))),1000000))</f>
        <v/>
      </c>
      <c r="RR7">
        <f>IF($B7=0,1000000,IF(INDEX('計算A'!$D$60:$EQ$104,$B7,91)*GN7=1,IF(AND($E7=2,MC7=0),1000000,IF($I7&gt;0,IF(4=$J7,IF(OR(AND(91=$I7+1,OR($K7&lt;&gt;'計算A'!$A$3,'計算A'!$A$4=0)),AND(91=$I7-1,OR(19&lt;&gt;'計算A'!$A$3,'計算A'!$A$4=0))),0,IF(19=$K7,200000,ABS(19-$K7)*100)),100000+ABS(4-$J7)*1000+190)+'計算A'!CP$5*50+IF(AND($E7=1,MC7=0),25,0),IF($F7&gt;0,INDEX('計算A'!CP$110:CP$114,$F7+1)+IF(AND($E7=1,MC7=0),1000,0),MIN(TX7,20)*400+(IF('計算A'!CO$106=1,1-GM7,0)+IF('計算A'!CP$106=1,1-GO7,0))*150+194+'計算A'!CP$5*100000+IF(AND($E7=1,MC7=0),50000,0))+IF($H7=1,(IF('計算A'!CO$117=1,INDEX('計算A'!CO$10:CO$54,$B7),0)+IF('計算A'!CP$117=1,INDEX('計算A'!CQ$10:CQ$54,$B7),0))*4000,0)-IF(AND('計算A'!CO$117=1,XM7&gt;0),2000,0)-IF(AND($L7=1,'計算A'!CP$117=1,GO7=0),2000,0))),1000000))</f>
        <v/>
      </c>
      <c r="RS7">
        <f>IF($B7=0,1000000,IF(INDEX('計算A'!$D$60:$EQ$104,$B7,92)*GO7=1,IF(AND($E7=2,MD7=0),1000000,IF($I7&gt;0,IF(4=$J7,IF(OR(AND(92=$I7+1,OR($K7&lt;&gt;'計算A'!$A$3,'計算A'!$A$4=0)),AND(92=$I7-1,OR(20&lt;&gt;'計算A'!$A$3,'計算A'!$A$4=0))),0,IF(20=$K7,200000,ABS(20-$K7)*100)),100000+ABS(4-$J7)*1000+200)+'計算A'!CQ$5*50+IF(AND($E7=1,MD7=0),25,0),IF($F7&gt;0,INDEX('計算A'!CQ$110:CQ$114,$F7+1)+IF(AND($E7=1,MD7=0),1000,0),MIN(TX7,20)*400+(IF('計算A'!CP$106=1,1-GN7,0)+IF('計算A'!CQ$106=1,1-GP7,0))*150+204+'計算A'!CQ$5*100000+IF(AND($E7=1,MD7=0),50000,0))+IF($H7=1,(IF('計算A'!CP$117=1,INDEX('計算A'!CP$10:CP$54,$B7),0)+IF('計算A'!CQ$117=1,INDEX('計算A'!CR$10:CR$54,$B7),0))*4000,0)-IF(AND('計算A'!CP$117=1,XN7&gt;0),2000,0)-IF(AND($L7=1,'計算A'!CQ$117=1,GP7=0),2000,0))),1000000))</f>
        <v/>
      </c>
      <c r="RT7">
        <f>IF($B7=0,1000000,IF(INDEX('計算A'!$D$60:$EQ$104,$B7,93)*GP7=1,IF(AND($E7=2,ME7=0),1000000,IF($I7&gt;0,IF(4=$J7,IF(OR(AND(93=$I7+1,OR($K7&lt;&gt;'計算A'!$A$3,'計算A'!$A$4=0)),AND(93=$I7-1,OR(21&lt;&gt;'計算A'!$A$3,'計算A'!$A$4=0))),0,IF(21=$K7,200000,ABS(21-$K7)*100)),100000+ABS(4-$J7)*1000+210)+'計算A'!CR$5*50+IF(AND($E7=1,ME7=0),25,0),IF($F7&gt;0,INDEX('計算A'!CR$110:CR$114,$F7+1)+IF(AND($E7=1,ME7=0),1000,0),MIN(TX7,20)*400+(IF('計算A'!CQ$106=1,1-GO7,0)+IF('計算A'!CR$106=1,1-GQ7,0))*150+214+'計算A'!CR$5*100000+IF(AND($E7=1,ME7=0),50000,0))+IF($H7=1,(IF('計算A'!CQ$117=1,INDEX('計算A'!CQ$10:CQ$54,$B7),0)+IF('計算A'!CR$117=1,INDEX('計算A'!CS$10:CS$54,$B7),0))*4000,0)-IF(AND('計算A'!CQ$117=1,XO7&gt;0),2000,0)-IF(AND($L7=1,'計算A'!CR$117=1,GQ7=0),2000,0))),1000000))</f>
        <v/>
      </c>
      <c r="RU7">
        <f>IF($B7=0,1000000,IF(INDEX('計算A'!$D$60:$EQ$104,$B7,94)*GQ7=1,IF(AND($E7=2,MF7=0),1000000,IF($I7&gt;0,IF(4=$J7,IF(OR(AND(94=$I7+1,OR($K7&lt;&gt;'計算A'!$A$3,'計算A'!$A$4=0)),AND(94=$I7-1,OR(22&lt;&gt;'計算A'!$A$3,'計算A'!$A$4=0))),0,IF(22=$K7,200000,ABS(22-$K7)*100)),100000+ABS(4-$J7)*1000+220)+'計算A'!CS$5*50+IF(AND($E7=1,MF7=0),25,0),IF($F7&gt;0,INDEX('計算A'!CS$110:CS$114,$F7+1)+IF(AND($E7=1,MF7=0),1000,0),MIN(TX7,20)*400+(IF('計算A'!CR$106=1,1-GP7,0)+IF('計算A'!CS$106=1,1-GR7,0))*150+224+'計算A'!CS$5*100000+IF(AND($E7=1,MF7=0),50000,0))+IF($H7=1,(IF('計算A'!CR$117=1,INDEX('計算A'!CR$10:CR$54,$B7),0)+IF('計算A'!CS$117=1,INDEX('計算A'!CT$10:CT$54,$B7),0))*4000,0)-IF(AND('計算A'!CR$117=1,XP7&gt;0),2000,0)-IF(AND($L7=1,'計算A'!CS$117=1,GR7=0),2000,0))),1000000))</f>
        <v/>
      </c>
      <c r="RV7">
        <f>IF($B7=0,1000000,IF(INDEX('計算A'!$D$60:$EQ$104,$B7,95)*GR7=1,IF(AND($E7=2,MG7=0),1000000,IF($I7&gt;0,IF(4=$J7,IF(OR(AND(95=$I7+1,OR($K7&lt;&gt;'計算A'!$A$3,'計算A'!$A$4=0)),AND(95=$I7-1,OR(23&lt;&gt;'計算A'!$A$3,'計算A'!$A$4=0))),0,IF(23=$K7,200000,ABS(23-$K7)*100)),100000+ABS(4-$J7)*1000+230)+'計算A'!CT$5*50+IF(AND($E7=1,MG7=0),25,0),IF($F7&gt;0,INDEX('計算A'!CT$110:CT$114,$F7+1)+IF(AND($E7=1,MG7=0),1000,0),MIN(TX7,20)*400+(IF('計算A'!CS$106=1,1-GQ7,0)+IF('計算A'!CT$106=1,1-GS7,0))*150+234+'計算A'!CT$5*100000+IF(AND($E7=1,MG7=0),50000,0))+IF($H7=1,(IF('計算A'!CS$117=1,INDEX('計算A'!CS$10:CS$54,$B7),0)+IF('計算A'!CT$117=1,INDEX('計算A'!CU$10:CU$54,$B7),0))*4000,0)-IF(AND('計算A'!CS$117=1,XQ7&gt;0),2000,0)-IF(AND($L7=1,'計算A'!CT$117=1,GS7=0),2000,0))),1000000))</f>
        <v/>
      </c>
      <c r="RW7">
        <f>IF($B7=0,1000000,IF(INDEX('計算A'!$D$60:$EQ$104,$B7,96)*GS7=1,IF(AND($E7=2,MH7=0),1000000,IF($I7&gt;0,IF(4=$J7,IF(OR(AND(96=$I7+1,OR($K7&lt;&gt;'計算A'!$A$3,'計算A'!$A$4=0)),AND(96=$I7-1,OR(24&lt;&gt;'計算A'!$A$3,'計算A'!$A$4=0))),0,IF(24=$K7,200000,ABS(24-$K7)*100)),100000+ABS(4-$J7)*1000+240)+'計算A'!CU$5*50+IF(AND($E7=1,MH7=0),25,0),IF($F7&gt;0,INDEX('計算A'!CU$110:CU$114,$F7+1)+IF(AND($E7=1,MH7=0),1000,0),MIN(TX7,20)*400+(IF('計算A'!CT$106=1,1-GR7,0))*150+244+'計算A'!CU$5*100000+IF(AND($E7=1,MH7=0),50000,0))+IF($H7=1,(IF('計算A'!CT$117=1,INDEX('計算A'!CT$10:CT$54,$B7),0))*4000,0)-IF(AND('計算A'!CT$117=1,XR7&gt;0),2000,0))),1000000))</f>
        <v/>
      </c>
      <c r="RX7">
        <f>IF($B7=0,1000000,IF(INDEX('計算A'!$D$60:$EQ$104,$B7,97)*GT7=1,IF(AND($E7=2,MI7=0),1000000,IF($I7&gt;0,IF(5=$J7,IF(OR(AND(97=$I7+1,OR($K7&lt;&gt;'計算A'!$A$3,'計算A'!$A$4=0)),AND(97=$I7-1,OR(1&lt;&gt;'計算A'!$A$3,'計算A'!$A$4=0))),0,IF(1=$K7,200000,ABS(1-$K7)*100)),100000+ABS(5-$J7)*1000+10)+'計算A'!CV$5*50+IF(AND($E7=1,MI7=0),25,0),IF($F7&gt;0,INDEX('計算A'!CV$110:CV$114,$F7+1)+IF(AND($E7=1,MI7=0),1000,0),MIN(TY7,20)*400+(IF('計算A'!CV$106=1,1-GU7,0))*150+15+'計算A'!CV$5*100000+IF(AND($E7=1,MI7=0),50000,0))+IF($H7=1,(IF('計算A'!CV$117=1,INDEX('計算A'!CW$10:CW$54,$B7),0))*4000,0)-IF(AND($L7=1,'計算A'!CV$117=1,GU7=0),2000,0))),1000000))</f>
        <v/>
      </c>
      <c r="RY7">
        <f>IF($B7=0,1000000,IF(INDEX('計算A'!$D$60:$EQ$104,$B7,98)*GU7=1,IF(AND($E7=2,MJ7=0),1000000,IF($I7&gt;0,IF(5=$J7,IF(OR(AND(98=$I7+1,OR($K7&lt;&gt;'計算A'!$A$3,'計算A'!$A$4=0)),AND(98=$I7-1,OR(2&lt;&gt;'計算A'!$A$3,'計算A'!$A$4=0))),0,IF(2=$K7,200000,ABS(2-$K7)*100)),100000+ABS(5-$J7)*1000+20)+'計算A'!CW$5*50+IF(AND($E7=1,MJ7=0),25,0),IF($F7&gt;0,INDEX('計算A'!CW$110:CW$114,$F7+1)+IF(AND($E7=1,MJ7=0),1000,0),MIN(TY7,20)*400+(IF('計算A'!CV$106=1,1-GT7,0)+IF('計算A'!CW$106=1,1-GV7,0))*150+25+'計算A'!CW$5*100000+IF(AND($E7=1,MJ7=0),50000,0))+IF($H7=1,(IF('計算A'!CV$117=1,INDEX('計算A'!CV$10:CV$54,$B7),0)+IF('計算A'!CW$117=1,INDEX('計算A'!CX$10:CX$54,$B7),0))*4000,0)-IF(AND('計算A'!CV$117=1,XT7&gt;0),2000,0)-IF(AND($L7=1,'計算A'!CW$117=1,GV7=0),2000,0))),1000000))</f>
        <v/>
      </c>
      <c r="RZ7">
        <f>IF($B7=0,1000000,IF(INDEX('計算A'!$D$60:$EQ$104,$B7,99)*GV7=1,IF(AND($E7=2,MK7=0),1000000,IF($I7&gt;0,IF(5=$J7,IF(OR(AND(99=$I7+1,OR($K7&lt;&gt;'計算A'!$A$3,'計算A'!$A$4=0)),AND(99=$I7-1,OR(3&lt;&gt;'計算A'!$A$3,'計算A'!$A$4=0))),0,IF(3=$K7,200000,ABS(3-$K7)*100)),100000+ABS(5-$J7)*1000+30)+'計算A'!CX$5*50+IF(AND($E7=1,MK7=0),25,0),IF($F7&gt;0,INDEX('計算A'!CX$110:CX$114,$F7+1)+IF(AND($E7=1,MK7=0),1000,0),MIN(TY7,20)*400+(IF('計算A'!CW$106=1,1-GU7,0)+IF('計算A'!CX$106=1,1-GW7,0))*150+35+'計算A'!CX$5*100000+IF(AND($E7=1,MK7=0),50000,0))+IF($H7=1,(IF('計算A'!CW$117=1,INDEX('計算A'!CW$10:CW$54,$B7),0)+IF('計算A'!CX$117=1,INDEX('計算A'!CY$10:CY$54,$B7),0))*4000,0)-IF(AND('計算A'!CW$117=1,XU7&gt;0),2000,0)-IF(AND($L7=1,'計算A'!CX$117=1,GW7=0),2000,0))),1000000))</f>
        <v/>
      </c>
      <c r="SA7">
        <f>IF($B7=0,1000000,IF(INDEX('計算A'!$D$60:$EQ$104,$B7,100)*GW7=1,IF(AND($E7=2,ML7=0),1000000,IF($I7&gt;0,IF(5=$J7,IF(OR(AND(100=$I7+1,OR($K7&lt;&gt;'計算A'!$A$3,'計算A'!$A$4=0)),AND(100=$I7-1,OR(4&lt;&gt;'計算A'!$A$3,'計算A'!$A$4=0))),0,IF(4=$K7,200000,ABS(4-$K7)*100)),100000+ABS(5-$J7)*1000+40)+'計算A'!CY$5*50+IF(AND($E7=1,ML7=0),25,0),IF($F7&gt;0,INDEX('計算A'!CY$110:CY$114,$F7+1)+IF(AND($E7=1,ML7=0),1000,0),MIN(TY7,20)*400+(IF('計算A'!CX$106=1,1-GV7,0)+IF('計算A'!CY$106=1,1-GX7,0))*150+45+'計算A'!CY$5*100000+IF(AND($E7=1,ML7=0),50000,0))+IF($H7=1,(IF('計算A'!CX$117=1,INDEX('計算A'!CX$10:CX$54,$B7),0)+IF('計算A'!CY$117=1,INDEX('計算A'!CZ$10:CZ$54,$B7),0))*4000,0)-IF(AND('計算A'!CX$117=1,XV7&gt;0),2000,0)-IF(AND($L7=1,'計算A'!CY$117=1,GX7=0),2000,0))),1000000))</f>
        <v/>
      </c>
      <c r="SB7">
        <f>IF($B7=0,1000000,IF(INDEX('計算A'!$D$60:$EQ$104,$B7,101)*GX7=1,IF(AND($E7=2,MM7=0),1000000,IF($I7&gt;0,IF(5=$J7,IF(OR(AND(101=$I7+1,OR($K7&lt;&gt;'計算A'!$A$3,'計算A'!$A$4=0)),AND(101=$I7-1,OR(5&lt;&gt;'計算A'!$A$3,'計算A'!$A$4=0))),0,IF(5=$K7,200000,ABS(5-$K7)*100)),100000+ABS(5-$J7)*1000+50)+'計算A'!CZ$5*50+IF(AND($E7=1,MM7=0),25,0),IF($F7&gt;0,INDEX('計算A'!CZ$110:CZ$114,$F7+1)+IF(AND($E7=1,MM7=0),1000,0),MIN(TY7,20)*400+(IF('計算A'!CY$106=1,1-GW7,0)+IF('計算A'!CZ$106=1,1-GY7,0))*150+55+'計算A'!CZ$5*100000+IF(AND($E7=1,MM7=0),50000,0))+IF($H7=1,(IF('計算A'!CY$117=1,INDEX('計算A'!CY$10:CY$54,$B7),0)+IF('計算A'!CZ$117=1,INDEX('計算A'!DA$10:DA$54,$B7),0))*4000,0)-IF(AND('計算A'!CY$117=1,XW7&gt;0),2000,0)-IF(AND($L7=1,'計算A'!CZ$117=1,GY7=0),2000,0))),1000000))</f>
        <v/>
      </c>
      <c r="SC7">
        <f>IF($B7=0,1000000,IF(INDEX('計算A'!$D$60:$EQ$104,$B7,102)*GY7=1,IF(AND($E7=2,MN7=0),1000000,IF($I7&gt;0,IF(5=$J7,IF(OR(AND(102=$I7+1,OR($K7&lt;&gt;'計算A'!$A$3,'計算A'!$A$4=0)),AND(102=$I7-1,OR(6&lt;&gt;'計算A'!$A$3,'計算A'!$A$4=0))),0,IF(6=$K7,200000,ABS(6-$K7)*100)),100000+ABS(5-$J7)*1000+60)+'計算A'!DA$5*50+IF(AND($E7=1,MN7=0),25,0),IF($F7&gt;0,INDEX('計算A'!DA$110:DA$114,$F7+1)+IF(AND($E7=1,MN7=0),1000,0),MIN(TY7,20)*400+(IF('計算A'!CZ$106=1,1-GX7,0)+IF('計算A'!DA$106=1,1-GZ7,0))*150+65+'計算A'!DA$5*100000+IF(AND($E7=1,MN7=0),50000,0))+IF($H7=1,(IF('計算A'!CZ$117=1,INDEX('計算A'!CZ$10:CZ$54,$B7),0)+IF('計算A'!DA$117=1,INDEX('計算A'!DB$10:DB$54,$B7),0))*4000,0)-IF(AND('計算A'!CZ$117=1,XX7&gt;0),2000,0)-IF(AND($L7=1,'計算A'!DA$117=1,GZ7=0),2000,0))),1000000))</f>
        <v/>
      </c>
      <c r="SD7">
        <f>IF($B7=0,1000000,IF(INDEX('計算A'!$D$60:$EQ$104,$B7,103)*GZ7=1,IF(AND($E7=2,MO7=0),1000000,IF($I7&gt;0,IF(5=$J7,IF(OR(AND(103=$I7+1,OR($K7&lt;&gt;'計算A'!$A$3,'計算A'!$A$4=0)),AND(103=$I7-1,OR(7&lt;&gt;'計算A'!$A$3,'計算A'!$A$4=0))),0,IF(7=$K7,200000,ABS(7-$K7)*100)),100000+ABS(5-$J7)*1000+70)+'計算A'!DB$5*50+IF(AND($E7=1,MO7=0),25,0),IF($F7&gt;0,INDEX('計算A'!DB$110:DB$114,$F7+1)+IF(AND($E7=1,MO7=0),1000,0),MIN(TY7,20)*400+(IF('計算A'!DA$106=1,1-GY7,0)+IF('計算A'!DB$106=1,1-HA7,0))*150+75+'計算A'!DB$5*100000+IF(AND($E7=1,MO7=0),50000,0))+IF($H7=1,(IF('計算A'!DA$117=1,INDEX('計算A'!DA$10:DA$54,$B7),0)+IF('計算A'!DB$117=1,INDEX('計算A'!DC$10:DC$54,$B7),0))*4000,0)-IF(AND('計算A'!DA$117=1,XY7&gt;0),2000,0)-IF(AND($L7=1,'計算A'!DB$117=1,HA7=0),2000,0))),1000000))</f>
        <v/>
      </c>
      <c r="SE7">
        <f>IF($B7=0,1000000,IF(INDEX('計算A'!$D$60:$EQ$104,$B7,104)*HA7=1,IF(AND($E7=2,MP7=0),1000000,IF($I7&gt;0,IF(5=$J7,IF(OR(AND(104=$I7+1,OR($K7&lt;&gt;'計算A'!$A$3,'計算A'!$A$4=0)),AND(104=$I7-1,OR(8&lt;&gt;'計算A'!$A$3,'計算A'!$A$4=0))),0,IF(8=$K7,200000,ABS(8-$K7)*100)),100000+ABS(5-$J7)*1000+80)+'計算A'!DC$5*50+IF(AND($E7=1,MP7=0),25,0),IF($F7&gt;0,INDEX('計算A'!DC$110:DC$114,$F7+1)+IF(AND($E7=1,MP7=0),1000,0),MIN(TY7,20)*400+(IF('計算A'!DB$106=1,1-GZ7,0)+IF('計算A'!DC$106=1,1-HB7,0))*150+85+'計算A'!DC$5*100000+IF(AND($E7=1,MP7=0),50000,0))+IF($H7=1,(IF('計算A'!DB$117=1,INDEX('計算A'!DB$10:DB$54,$B7),0)+IF('計算A'!DC$117=1,INDEX('計算A'!DD$10:DD$54,$B7),0))*4000,0)-IF(AND('計算A'!DB$117=1,XZ7&gt;0),2000,0)-IF(AND($L7=1,'計算A'!DC$117=1,HB7=0),2000,0))),1000000))</f>
        <v/>
      </c>
      <c r="SF7">
        <f>IF($B7=0,1000000,IF(INDEX('計算A'!$D$60:$EQ$104,$B7,105)*HB7=1,IF(AND($E7=2,MQ7=0),1000000,IF($I7&gt;0,IF(5=$J7,IF(OR(AND(105=$I7+1,OR($K7&lt;&gt;'計算A'!$A$3,'計算A'!$A$4=0)),AND(105=$I7-1,OR(9&lt;&gt;'計算A'!$A$3,'計算A'!$A$4=0))),0,IF(9=$K7,200000,ABS(9-$K7)*100)),100000+ABS(5-$J7)*1000+90)+'計算A'!DD$5*50+IF(AND($E7=1,MQ7=0),25,0),IF($F7&gt;0,INDEX('計算A'!DD$110:DD$114,$F7+1)+IF(AND($E7=1,MQ7=0),1000,0),MIN(TY7,20)*400+(IF('計算A'!DC$106=1,1-HA7,0)+IF('計算A'!DD$106=1,1-HC7,0))*150+95+'計算A'!DD$5*100000+IF(AND($E7=1,MQ7=0),50000,0))+IF($H7=1,(IF('計算A'!DC$117=1,INDEX('計算A'!DC$10:DC$54,$B7),0)+IF('計算A'!DD$117=1,INDEX('計算A'!DE$10:DE$54,$B7),0))*4000,0)-IF(AND('計算A'!DC$117=1,YA7&gt;0),2000,0)-IF(AND($L7=1,'計算A'!DD$117=1,HC7=0),2000,0))),1000000))</f>
        <v/>
      </c>
      <c r="SG7">
        <f>IF($B7=0,1000000,IF(INDEX('計算A'!$D$60:$EQ$104,$B7,106)*HC7=1,IF(AND($E7=2,MR7=0),1000000,IF($I7&gt;0,IF(5=$J7,IF(OR(AND(106=$I7+1,OR($K7&lt;&gt;'計算A'!$A$3,'計算A'!$A$4=0)),AND(106=$I7-1,OR(10&lt;&gt;'計算A'!$A$3,'計算A'!$A$4=0))),0,IF(10=$K7,200000,ABS(10-$K7)*100)),100000+ABS(5-$J7)*1000+100)+'計算A'!DE$5*50+IF(AND($E7=1,MR7=0),25,0),IF($F7&gt;0,INDEX('計算A'!DE$110:DE$114,$F7+1)+IF(AND($E7=1,MR7=0),1000,0),MIN(TY7,20)*400+(IF('計算A'!DD$106=1,1-HB7,0)+IF('計算A'!DE$106=1,1-HD7,0))*150+105+'計算A'!DE$5*100000+IF(AND($E7=1,MR7=0),50000,0))+IF($H7=1,(IF('計算A'!DD$117=1,INDEX('計算A'!DD$10:DD$54,$B7),0)+IF('計算A'!DE$117=1,INDEX('計算A'!DF$10:DF$54,$B7),0))*4000,0)-IF(AND('計算A'!DD$117=1,YB7&gt;0),2000,0)-IF(AND($L7=1,'計算A'!DE$117=1,HD7=0),2000,0))),1000000))</f>
        <v/>
      </c>
      <c r="SH7">
        <f>IF($B7=0,1000000,IF(INDEX('計算A'!$D$60:$EQ$104,$B7,107)*HD7=1,IF(AND($E7=2,MS7=0),1000000,IF($I7&gt;0,IF(5=$J7,IF(OR(AND(107=$I7+1,OR($K7&lt;&gt;'計算A'!$A$3,'計算A'!$A$4=0)),AND(107=$I7-1,OR(11&lt;&gt;'計算A'!$A$3,'計算A'!$A$4=0))),0,IF(11=$K7,200000,ABS(11-$K7)*100)),100000+ABS(5-$J7)*1000+110)+'計算A'!DF$5*50+IF(AND($E7=1,MS7=0),25,0),IF($F7&gt;0,INDEX('計算A'!DF$110:DF$114,$F7+1)+IF(AND($E7=1,MS7=0),1000,0),MIN(TY7,20)*400+(IF('計算A'!DE$106=1,1-HC7,0)+IF('計算A'!DF$106=1,1-HE7,0))*150+115+'計算A'!DF$5*100000+IF(AND($E7=1,MS7=0),50000,0))+IF($H7=1,(IF('計算A'!DE$117=1,INDEX('計算A'!DE$10:DE$54,$B7),0)+IF('計算A'!DF$117=1,INDEX('計算A'!DG$10:DG$54,$B7),0))*4000,0)-IF(AND('計算A'!DE$117=1,YC7&gt;0),2000,0)-IF(AND($L7=1,'計算A'!DF$117=1,HE7=0),2000,0))),1000000))</f>
        <v/>
      </c>
      <c r="SI7">
        <f>IF($B7=0,1000000,IF(INDEX('計算A'!$D$60:$EQ$104,$B7,108)*HE7=1,IF(AND($E7=2,MT7=0),1000000,IF($I7&gt;0,IF(5=$J7,IF(OR(AND(108=$I7+1,OR($K7&lt;&gt;'計算A'!$A$3,'計算A'!$A$4=0)),AND(108=$I7-1,OR(12&lt;&gt;'計算A'!$A$3,'計算A'!$A$4=0))),0,IF(12=$K7,200000,ABS(12-$K7)*100)),100000+ABS(5-$J7)*1000+120)+'計算A'!DG$5*50+IF(AND($E7=1,MT7=0),25,0),IF($F7&gt;0,INDEX('計算A'!DG$110:DG$114,$F7+1)+IF(AND($E7=1,MT7=0),1000,0),MIN(TY7,20)*400+(IF('計算A'!DF$106=1,1-HD7,0)+IF('計算A'!DG$106=1,1-HF7,0))*150+125+'計算A'!DG$5*100000+IF(AND($E7=1,MT7=0),50000,0))+IF($H7=1,(IF('計算A'!DF$117=1,INDEX('計算A'!DF$10:DF$54,$B7),0)+IF('計算A'!DG$117=1,INDEX('計算A'!DH$10:DH$54,$B7),0))*4000,0)-IF(AND('計算A'!DF$117=1,YD7&gt;0),2000,0)-IF(AND($L7=1,'計算A'!DG$117=1,HF7=0),2000,0))),1000000))</f>
        <v/>
      </c>
      <c r="SJ7">
        <f>IF($B7=0,1000000,IF(INDEX('計算A'!$D$60:$EQ$104,$B7,109)*HF7=1,IF(AND($E7=2,MU7=0),1000000,IF($I7&gt;0,IF(5=$J7,IF(OR(AND(109=$I7+1,OR($K7&lt;&gt;'計算A'!$A$3,'計算A'!$A$4=0)),AND(109=$I7-1,OR(13&lt;&gt;'計算A'!$A$3,'計算A'!$A$4=0))),0,IF(13=$K7,200000,ABS(13-$K7)*100)),100000+ABS(5-$J7)*1000+130)+'計算A'!DH$5*50+IF(AND($E7=1,MU7=0),25,0),IF($F7&gt;0,INDEX('計算A'!DH$110:DH$114,$F7+1)+IF(AND($E7=1,MU7=0),1000,0),MIN(TY7,20)*400+(IF('計算A'!DG$106=1,1-HE7,0)+IF('計算A'!DH$106=1,1-HG7,0))*150+135+'計算A'!DH$5*100000+IF(AND($E7=1,MU7=0),50000,0))+IF($H7=1,(IF('計算A'!DG$117=1,INDEX('計算A'!DG$10:DG$54,$B7),0)+IF('計算A'!DH$117=1,INDEX('計算A'!DI$10:DI$54,$B7),0))*4000,0)-IF(AND('計算A'!DG$117=1,YE7&gt;0),2000,0)-IF(AND($L7=1,'計算A'!DH$117=1,HG7=0),2000,0))),1000000))</f>
        <v/>
      </c>
      <c r="SK7">
        <f>IF($B7=0,1000000,IF(INDEX('計算A'!$D$60:$EQ$104,$B7,110)*HG7=1,IF(AND($E7=2,MV7=0),1000000,IF($I7&gt;0,IF(5=$J7,IF(OR(AND(110=$I7+1,OR($K7&lt;&gt;'計算A'!$A$3,'計算A'!$A$4=0)),AND(110=$I7-1,OR(14&lt;&gt;'計算A'!$A$3,'計算A'!$A$4=0))),0,IF(14=$K7,200000,ABS(14-$K7)*100)),100000+ABS(5-$J7)*1000+140)+'計算A'!DI$5*50+IF(AND($E7=1,MV7=0),25,0),IF($F7&gt;0,INDEX('計算A'!DI$110:DI$114,$F7+1)+IF(AND($E7=1,MV7=0),1000,0),MIN(TY7,20)*400+(IF('計算A'!DH$106=1,1-HF7,0)+IF('計算A'!DI$106=1,1-HH7,0))*150+145+'計算A'!DI$5*100000+IF(AND($E7=1,MV7=0),50000,0))+IF($H7=1,(IF('計算A'!DH$117=1,INDEX('計算A'!DH$10:DH$54,$B7),0)+IF('計算A'!DI$117=1,INDEX('計算A'!DJ$10:DJ$54,$B7),0))*4000,0)-IF(AND('計算A'!DH$117=1,YF7&gt;0),2000,0)-IF(AND($L7=1,'計算A'!DI$117=1,HH7=0),2000,0))),1000000))</f>
        <v/>
      </c>
      <c r="SL7">
        <f>IF($B7=0,1000000,IF(INDEX('計算A'!$D$60:$EQ$104,$B7,111)*HH7=1,IF(AND($E7=2,MW7=0),1000000,IF($I7&gt;0,IF(5=$J7,IF(OR(AND(111=$I7+1,OR($K7&lt;&gt;'計算A'!$A$3,'計算A'!$A$4=0)),AND(111=$I7-1,OR(15&lt;&gt;'計算A'!$A$3,'計算A'!$A$4=0))),0,IF(15=$K7,200000,ABS(15-$K7)*100)),100000+ABS(5-$J7)*1000+150)+'計算A'!DJ$5*50+IF(AND($E7=1,MW7=0),25,0),IF($F7&gt;0,INDEX('計算A'!DJ$110:DJ$114,$F7+1)+IF(AND($E7=1,MW7=0),1000,0),MIN(TY7,20)*400+(IF('計算A'!DI$106=1,1-HG7,0)+IF('計算A'!DJ$106=1,1-HI7,0))*150+155+'計算A'!DJ$5*100000+IF(AND($E7=1,MW7=0),50000,0))+IF($H7=1,(IF('計算A'!DI$117=1,INDEX('計算A'!DI$10:DI$54,$B7),0)+IF('計算A'!DJ$117=1,INDEX('計算A'!DK$10:DK$54,$B7),0))*4000,0)-IF(AND('計算A'!DI$117=1,YG7&gt;0),2000,0)-IF(AND($L7=1,'計算A'!DJ$117=1,HI7=0),2000,0))),1000000))</f>
        <v/>
      </c>
      <c r="SM7">
        <f>IF($B7=0,1000000,IF(INDEX('計算A'!$D$60:$EQ$104,$B7,112)*HI7=1,IF(AND($E7=2,MX7=0),1000000,IF($I7&gt;0,IF(5=$J7,IF(OR(AND(112=$I7+1,OR($K7&lt;&gt;'計算A'!$A$3,'計算A'!$A$4=0)),AND(112=$I7-1,OR(16&lt;&gt;'計算A'!$A$3,'計算A'!$A$4=0))),0,IF(16=$K7,200000,ABS(16-$K7)*100)),100000+ABS(5-$J7)*1000+160)+'計算A'!DK$5*50+IF(AND($E7=1,MX7=0),25,0),IF($F7&gt;0,INDEX('計算A'!DK$110:DK$114,$F7+1)+IF(AND($E7=1,MX7=0),1000,0),MIN(TY7,20)*400+(IF('計算A'!DJ$106=1,1-HH7,0)+IF('計算A'!DK$106=1,1-HJ7,0))*150+165+'計算A'!DK$5*100000+IF(AND($E7=1,MX7=0),50000,0))+IF($H7=1,(IF('計算A'!DJ$117=1,INDEX('計算A'!DJ$10:DJ$54,$B7),0)+IF('計算A'!DK$117=1,INDEX('計算A'!DL$10:DL$54,$B7),0))*4000,0)-IF(AND('計算A'!DJ$117=1,YH7&gt;0),2000,0)-IF(AND($L7=1,'計算A'!DK$117=1,HJ7=0),2000,0))),1000000))</f>
        <v/>
      </c>
      <c r="SN7">
        <f>IF($B7=0,1000000,IF(INDEX('計算A'!$D$60:$EQ$104,$B7,113)*HJ7=1,IF(AND($E7=2,MY7=0),1000000,IF($I7&gt;0,IF(5=$J7,IF(OR(AND(113=$I7+1,OR($K7&lt;&gt;'計算A'!$A$3,'計算A'!$A$4=0)),AND(113=$I7-1,OR(17&lt;&gt;'計算A'!$A$3,'計算A'!$A$4=0))),0,IF(17=$K7,200000,ABS(17-$K7)*100)),100000+ABS(5-$J7)*1000+170)+'計算A'!DL$5*50+IF(AND($E7=1,MY7=0),25,0),IF($F7&gt;0,INDEX('計算A'!DL$110:DL$114,$F7+1)+IF(AND($E7=1,MY7=0),1000,0),MIN(TY7,20)*400+(IF('計算A'!DK$106=1,1-HI7,0)+IF('計算A'!DL$106=1,1-HK7,0))*150+175+'計算A'!DL$5*100000+IF(AND($E7=1,MY7=0),50000,0))+IF($H7=1,(IF('計算A'!DK$117=1,INDEX('計算A'!DK$10:DK$54,$B7),0)+IF('計算A'!DL$117=1,INDEX('計算A'!DM$10:DM$54,$B7),0))*4000,0)-IF(AND('計算A'!DK$117=1,YI7&gt;0),2000,0)-IF(AND($L7=1,'計算A'!DL$117=1,HK7=0),2000,0))),1000000))</f>
        <v/>
      </c>
      <c r="SO7">
        <f>IF($B7=0,1000000,IF(INDEX('計算A'!$D$60:$EQ$104,$B7,114)*HK7=1,IF(AND($E7=2,MZ7=0),1000000,IF($I7&gt;0,IF(5=$J7,IF(OR(AND(114=$I7+1,OR($K7&lt;&gt;'計算A'!$A$3,'計算A'!$A$4=0)),AND(114=$I7-1,OR(18&lt;&gt;'計算A'!$A$3,'計算A'!$A$4=0))),0,IF(18=$K7,200000,ABS(18-$K7)*100)),100000+ABS(5-$J7)*1000+180)+'計算A'!DM$5*50+IF(AND($E7=1,MZ7=0),25,0),IF($F7&gt;0,INDEX('計算A'!DM$110:DM$114,$F7+1)+IF(AND($E7=1,MZ7=0),1000,0),MIN(TY7,20)*400+(IF('計算A'!DL$106=1,1-HJ7,0)+IF('計算A'!DM$106=1,1-HL7,0))*150+185+'計算A'!DM$5*100000+IF(AND($E7=1,MZ7=0),50000,0))+IF($H7=1,(IF('計算A'!DL$117=1,INDEX('計算A'!DL$10:DL$54,$B7),0)+IF('計算A'!DM$117=1,INDEX('計算A'!DN$10:DN$54,$B7),0))*4000,0)-IF(AND('計算A'!DL$117=1,YJ7&gt;0),2000,0)-IF(AND($L7=1,'計算A'!DM$117=1,HL7=0),2000,0))),1000000))</f>
        <v/>
      </c>
      <c r="SP7">
        <f>IF($B7=0,1000000,IF(INDEX('計算A'!$D$60:$EQ$104,$B7,115)*HL7=1,IF(AND($E7=2,NA7=0),1000000,IF($I7&gt;0,IF(5=$J7,IF(OR(AND(115=$I7+1,OR($K7&lt;&gt;'計算A'!$A$3,'計算A'!$A$4=0)),AND(115=$I7-1,OR(19&lt;&gt;'計算A'!$A$3,'計算A'!$A$4=0))),0,IF(19=$K7,200000,ABS(19-$K7)*100)),100000+ABS(5-$J7)*1000+190)+'計算A'!DN$5*50+IF(AND($E7=1,NA7=0),25,0),IF($F7&gt;0,INDEX('計算A'!DN$110:DN$114,$F7+1)+IF(AND($E7=1,NA7=0),1000,0),MIN(TY7,20)*400+(IF('計算A'!DM$106=1,1-HK7,0)+IF('計算A'!DN$106=1,1-HM7,0))*150+195+'計算A'!DN$5*100000+IF(AND($E7=1,NA7=0),50000,0))+IF($H7=1,(IF('計算A'!DM$117=1,INDEX('計算A'!DM$10:DM$54,$B7),0)+IF('計算A'!DN$117=1,INDEX('計算A'!DO$10:DO$54,$B7),0))*4000,0)-IF(AND('計算A'!DM$117=1,YK7&gt;0),2000,0)-IF(AND($L7=1,'計算A'!DN$117=1,HM7=0),2000,0))),1000000))</f>
        <v/>
      </c>
      <c r="SQ7">
        <f>IF($B7=0,1000000,IF(INDEX('計算A'!$D$60:$EQ$104,$B7,116)*HM7=1,IF(AND($E7=2,NB7=0),1000000,IF($I7&gt;0,IF(5=$J7,IF(OR(AND(116=$I7+1,OR($K7&lt;&gt;'計算A'!$A$3,'計算A'!$A$4=0)),AND(116=$I7-1,OR(20&lt;&gt;'計算A'!$A$3,'計算A'!$A$4=0))),0,IF(20=$K7,200000,ABS(20-$K7)*100)),100000+ABS(5-$J7)*1000+200)+'計算A'!DO$5*50+IF(AND($E7=1,NB7=0),25,0),IF($F7&gt;0,INDEX('計算A'!DO$110:DO$114,$F7+1)+IF(AND($E7=1,NB7=0),1000,0),MIN(TY7,20)*400+(IF('計算A'!DN$106=1,1-HL7,0)+IF('計算A'!DO$106=1,1-HN7,0))*150+205+'計算A'!DO$5*100000+IF(AND($E7=1,NB7=0),50000,0))+IF($H7=1,(IF('計算A'!DN$117=1,INDEX('計算A'!DN$10:DN$54,$B7),0)+IF('計算A'!DO$117=1,INDEX('計算A'!DP$10:DP$54,$B7),0))*4000,0)-IF(AND('計算A'!DN$117=1,YL7&gt;0),2000,0)-IF(AND($L7=1,'計算A'!DO$117=1,HN7=0),2000,0))),1000000))</f>
        <v/>
      </c>
      <c r="SR7">
        <f>IF($B7=0,1000000,IF(INDEX('計算A'!$D$60:$EQ$104,$B7,117)*HN7=1,IF(AND($E7=2,NC7=0),1000000,IF($I7&gt;0,IF(5=$J7,IF(OR(AND(117=$I7+1,OR($K7&lt;&gt;'計算A'!$A$3,'計算A'!$A$4=0)),AND(117=$I7-1,OR(21&lt;&gt;'計算A'!$A$3,'計算A'!$A$4=0))),0,IF(21=$K7,200000,ABS(21-$K7)*100)),100000+ABS(5-$J7)*1000+210)+'計算A'!DP$5*50+IF(AND($E7=1,NC7=0),25,0),IF($F7&gt;0,INDEX('計算A'!DP$110:DP$114,$F7+1)+IF(AND($E7=1,NC7=0),1000,0),MIN(TY7,20)*400+(IF('計算A'!DO$106=1,1-HM7,0)+IF('計算A'!DP$106=1,1-HO7,0))*150+215+'計算A'!DP$5*100000+IF(AND($E7=1,NC7=0),50000,0))+IF($H7=1,(IF('計算A'!DO$117=1,INDEX('計算A'!DO$10:DO$54,$B7),0)+IF('計算A'!DP$117=1,INDEX('計算A'!DQ$10:DQ$54,$B7),0))*4000,0)-IF(AND('計算A'!DO$117=1,YM7&gt;0),2000,0)-IF(AND($L7=1,'計算A'!DP$117=1,HO7=0),2000,0))),1000000))</f>
        <v/>
      </c>
      <c r="SS7">
        <f>IF($B7=0,1000000,IF(INDEX('計算A'!$D$60:$EQ$104,$B7,118)*HO7=1,IF(AND($E7=2,ND7=0),1000000,IF($I7&gt;0,IF(5=$J7,IF(OR(AND(118=$I7+1,OR($K7&lt;&gt;'計算A'!$A$3,'計算A'!$A$4=0)),AND(118=$I7-1,OR(22&lt;&gt;'計算A'!$A$3,'計算A'!$A$4=0))),0,IF(22=$K7,200000,ABS(22-$K7)*100)),100000+ABS(5-$J7)*1000+220)+'計算A'!DQ$5*50+IF(AND($E7=1,ND7=0),25,0),IF($F7&gt;0,INDEX('計算A'!DQ$110:DQ$114,$F7+1)+IF(AND($E7=1,ND7=0),1000,0),MIN(TY7,20)*400+(IF('計算A'!DP$106=1,1-HN7,0)+IF('計算A'!DQ$106=1,1-HP7,0))*150+225+'計算A'!DQ$5*100000+IF(AND($E7=1,ND7=0),50000,0))+IF($H7=1,(IF('計算A'!DP$117=1,INDEX('計算A'!DP$10:DP$54,$B7),0)+IF('計算A'!DQ$117=1,INDEX('計算A'!DR$10:DR$54,$B7),0))*4000,0)-IF(AND('計算A'!DP$117=1,YN7&gt;0),2000,0)-IF(AND($L7=1,'計算A'!DQ$117=1,HP7=0),2000,0))),1000000))</f>
        <v/>
      </c>
      <c r="ST7">
        <f>IF($B7=0,1000000,IF(INDEX('計算A'!$D$60:$EQ$104,$B7,119)*HP7=1,IF(AND($E7=2,NE7=0),1000000,IF($I7&gt;0,IF(5=$J7,IF(OR(AND(119=$I7+1,OR($K7&lt;&gt;'計算A'!$A$3,'計算A'!$A$4=0)),AND(119=$I7-1,OR(23&lt;&gt;'計算A'!$A$3,'計算A'!$A$4=0))),0,IF(23=$K7,200000,ABS(23-$K7)*100)),100000+ABS(5-$J7)*1000+230)+'計算A'!DR$5*50+IF(AND($E7=1,NE7=0),25,0),IF($F7&gt;0,INDEX('計算A'!DR$110:DR$114,$F7+1)+IF(AND($E7=1,NE7=0),1000,0),MIN(TY7,20)*400+(IF('計算A'!DQ$106=1,1-HO7,0)+IF('計算A'!DR$106=1,1-HQ7,0))*150+235+'計算A'!DR$5*100000+IF(AND($E7=1,NE7=0),50000,0))+IF($H7=1,(IF('計算A'!DQ$117=1,INDEX('計算A'!DQ$10:DQ$54,$B7),0)+IF('計算A'!DR$117=1,INDEX('計算A'!DS$10:DS$54,$B7),0))*4000,0)-IF(AND('計算A'!DQ$117=1,YO7&gt;0),2000,0)-IF(AND($L7=1,'計算A'!DR$117=1,HQ7=0),2000,0))),1000000))</f>
        <v/>
      </c>
      <c r="SU7">
        <f>IF($B7=0,1000000,IF(INDEX('計算A'!$D$60:$EQ$104,$B7,120)*HQ7=1,IF(AND($E7=2,NF7=0),1000000,IF($I7&gt;0,IF(5=$J7,IF(OR(AND(120=$I7+1,OR($K7&lt;&gt;'計算A'!$A$3,'計算A'!$A$4=0)),AND(120=$I7-1,OR(24&lt;&gt;'計算A'!$A$3,'計算A'!$A$4=0))),0,IF(24=$K7,200000,ABS(24-$K7)*100)),100000+ABS(5-$J7)*1000+240)+'計算A'!DS$5*50+IF(AND($E7=1,NF7=0),25,0),IF($F7&gt;0,INDEX('計算A'!DS$110:DS$114,$F7+1)+IF(AND($E7=1,NF7=0),1000,0),MIN(TY7,20)*400+(IF('計算A'!DR$106=1,1-HP7,0))*150+245+'計算A'!DS$5*100000+IF(AND($E7=1,NF7=0),50000,0))+IF($H7=1,(IF('計算A'!DR$117=1,INDEX('計算A'!DR$10:DR$54,$B7),0))*4000,0)-IF(AND('計算A'!DR$117=1,YP7&gt;0),2000,0))),1000000))</f>
        <v/>
      </c>
      <c r="SV7">
        <f>IF($B7=0,1000000,IF(INDEX('計算A'!$D$60:$EQ$104,$B7,121)*HR7=1,IF(AND($E7=2,NG7=0),1000000,IF($I7&gt;0,IF(6=$J7,IF(OR(AND(121=$I7+1,OR($K7&lt;&gt;'計算A'!$A$3,'計算A'!$A$4=0)),AND(121=$I7-1,OR(1&lt;&gt;'計算A'!$A$3,'計算A'!$A$4=0))),0,IF(1=$K7,200000,ABS(1-$K7)*100)),100000+ABS(6-$J7)*1000+10)+'計算A'!DT$5*50+IF(AND($E7=1,NG7=0),25,0),IF($F7&gt;0,INDEX('計算A'!DT$110:DT$114,$F7+1)+IF(AND($E7=1,NG7=0),1000,0),MIN(TZ7,20)*400+(IF('計算A'!DT$106=1,1-HS7,0))*150+16+'計算A'!DT$5*100000+IF(AND($E7=1,NG7=0),50000,0))+IF($H7=1,(IF('計算A'!DT$117=1,INDEX('計算A'!DU$10:DU$54,$B7),0))*4000,0)-IF(AND($L7=1,'計算A'!DT$117=1,HS7=0),2000,0))),1000000))</f>
        <v/>
      </c>
      <c r="SW7">
        <f>IF($B7=0,1000000,IF(INDEX('計算A'!$D$60:$EQ$104,$B7,122)*HS7=1,IF(AND($E7=2,NH7=0),1000000,IF($I7&gt;0,IF(6=$J7,IF(OR(AND(122=$I7+1,OR($K7&lt;&gt;'計算A'!$A$3,'計算A'!$A$4=0)),AND(122=$I7-1,OR(2&lt;&gt;'計算A'!$A$3,'計算A'!$A$4=0))),0,IF(2=$K7,200000,ABS(2-$K7)*100)),100000+ABS(6-$J7)*1000+20)+'計算A'!DU$5*50+IF(AND($E7=1,NH7=0),25,0),IF($F7&gt;0,INDEX('計算A'!DU$110:DU$114,$F7+1)+IF(AND($E7=1,NH7=0),1000,0),MIN(TZ7,20)*400+(IF('計算A'!DT$106=1,1-HR7,0)+IF('計算A'!DU$106=1,1-HT7,0))*150+26+'計算A'!DU$5*100000+IF(AND($E7=1,NH7=0),50000,0))+IF($H7=1,(IF('計算A'!DT$117=1,INDEX('計算A'!DT$10:DT$54,$B7),0)+IF('計算A'!DU$117=1,INDEX('計算A'!DV$10:DV$54,$B7),0))*4000,0)-IF(AND('計算A'!DT$117=1,YR7&gt;0),2000,0)-IF(AND($L7=1,'計算A'!DU$117=1,HT7=0),2000,0))),1000000))</f>
        <v/>
      </c>
      <c r="SX7">
        <f>IF($B7=0,1000000,IF(INDEX('計算A'!$D$60:$EQ$104,$B7,123)*HT7=1,IF(AND($E7=2,NI7=0),1000000,IF($I7&gt;0,IF(6=$J7,IF(OR(AND(123=$I7+1,OR($K7&lt;&gt;'計算A'!$A$3,'計算A'!$A$4=0)),AND(123=$I7-1,OR(3&lt;&gt;'計算A'!$A$3,'計算A'!$A$4=0))),0,IF(3=$K7,200000,ABS(3-$K7)*100)),100000+ABS(6-$J7)*1000+30)+'計算A'!DV$5*50+IF(AND($E7=1,NI7=0),25,0),IF($F7&gt;0,INDEX('計算A'!DV$110:DV$114,$F7+1)+IF(AND($E7=1,NI7=0),1000,0),MIN(TZ7,20)*400+(IF('計算A'!DU$106=1,1-HS7,0)+IF('計算A'!DV$106=1,1-HU7,0))*150+36+'計算A'!DV$5*100000+IF(AND($E7=1,NI7=0),50000,0))+IF($H7=1,(IF('計算A'!DU$117=1,INDEX('計算A'!DU$10:DU$54,$B7),0)+IF('計算A'!DV$117=1,INDEX('計算A'!DW$10:DW$54,$B7),0))*4000,0)-IF(AND('計算A'!DU$117=1,YS7&gt;0),2000,0)-IF(AND($L7=1,'計算A'!DV$117=1,HU7=0),2000,0))),1000000))</f>
        <v/>
      </c>
      <c r="SY7">
        <f>IF($B7=0,1000000,IF(INDEX('計算A'!$D$60:$EQ$104,$B7,124)*HU7=1,IF(AND($E7=2,NJ7=0),1000000,IF($I7&gt;0,IF(6=$J7,IF(OR(AND(124=$I7+1,OR($K7&lt;&gt;'計算A'!$A$3,'計算A'!$A$4=0)),AND(124=$I7-1,OR(4&lt;&gt;'計算A'!$A$3,'計算A'!$A$4=0))),0,IF(4=$K7,200000,ABS(4-$K7)*100)),100000+ABS(6-$J7)*1000+40)+'計算A'!DW$5*50+IF(AND($E7=1,NJ7=0),25,0),IF($F7&gt;0,INDEX('計算A'!DW$110:DW$114,$F7+1)+IF(AND($E7=1,NJ7=0),1000,0),MIN(TZ7,20)*400+(IF('計算A'!DV$106=1,1-HT7,0)+IF('計算A'!DW$106=1,1-HV7,0))*150+46+'計算A'!DW$5*100000+IF(AND($E7=1,NJ7=0),50000,0))+IF($H7=1,(IF('計算A'!DV$117=1,INDEX('計算A'!DV$10:DV$54,$B7),0)+IF('計算A'!DW$117=1,INDEX('計算A'!DX$10:DX$54,$B7),0))*4000,0)-IF(AND('計算A'!DV$117=1,YT7&gt;0),2000,0)-IF(AND($L7=1,'計算A'!DW$117=1,HV7=0),2000,0))),1000000))</f>
        <v/>
      </c>
      <c r="SZ7">
        <f>IF($B7=0,1000000,IF(INDEX('計算A'!$D$60:$EQ$104,$B7,125)*HV7=1,IF(AND($E7=2,NK7=0),1000000,IF($I7&gt;0,IF(6=$J7,IF(OR(AND(125=$I7+1,OR($K7&lt;&gt;'計算A'!$A$3,'計算A'!$A$4=0)),AND(125=$I7-1,OR(5&lt;&gt;'計算A'!$A$3,'計算A'!$A$4=0))),0,IF(5=$K7,200000,ABS(5-$K7)*100)),100000+ABS(6-$J7)*1000+50)+'計算A'!DX$5*50+IF(AND($E7=1,NK7=0),25,0),IF($F7&gt;0,INDEX('計算A'!DX$110:DX$114,$F7+1)+IF(AND($E7=1,NK7=0),1000,0),MIN(TZ7,20)*400+(IF('計算A'!DW$106=1,1-HU7,0)+IF('計算A'!DX$106=1,1-HW7,0))*150+56+'計算A'!DX$5*100000+IF(AND($E7=1,NK7=0),50000,0))+IF($H7=1,(IF('計算A'!DW$117=1,INDEX('計算A'!DW$10:DW$54,$B7),0)+IF('計算A'!DX$117=1,INDEX('計算A'!DY$10:DY$54,$B7),0))*4000,0)-IF(AND('計算A'!DW$117=1,YU7&gt;0),2000,0)-IF(AND($L7=1,'計算A'!DX$117=1,HW7=0),2000,0))),1000000))</f>
        <v/>
      </c>
      <c r="TA7">
        <f>IF($B7=0,1000000,IF(INDEX('計算A'!$D$60:$EQ$104,$B7,126)*HW7=1,IF(AND($E7=2,NL7=0),1000000,IF($I7&gt;0,IF(6=$J7,IF(OR(AND(126=$I7+1,OR($K7&lt;&gt;'計算A'!$A$3,'計算A'!$A$4=0)),AND(126=$I7-1,OR(6&lt;&gt;'計算A'!$A$3,'計算A'!$A$4=0))),0,IF(6=$K7,200000,ABS(6-$K7)*100)),100000+ABS(6-$J7)*1000+60)+'計算A'!DY$5*50+IF(AND($E7=1,NL7=0),25,0),IF($F7&gt;0,INDEX('計算A'!DY$110:DY$114,$F7+1)+IF(AND($E7=1,NL7=0),1000,0),MIN(TZ7,20)*400+(IF('計算A'!DX$106=1,1-HV7,0)+IF('計算A'!DY$106=1,1-HX7,0))*150+66+'計算A'!DY$5*100000+IF(AND($E7=1,NL7=0),50000,0))+IF($H7=1,(IF('計算A'!DX$117=1,INDEX('計算A'!DX$10:DX$54,$B7),0)+IF('計算A'!DY$117=1,INDEX('計算A'!DZ$10:DZ$54,$B7),0))*4000,0)-IF(AND('計算A'!DX$117=1,YV7&gt;0),2000,0)-IF(AND($L7=1,'計算A'!DY$117=1,HX7=0),2000,0))),1000000))</f>
        <v/>
      </c>
      <c r="TB7">
        <f>IF($B7=0,1000000,IF(INDEX('計算A'!$D$60:$EQ$104,$B7,127)*HX7=1,IF(AND($E7=2,NM7=0),1000000,IF($I7&gt;0,IF(6=$J7,IF(OR(AND(127=$I7+1,OR($K7&lt;&gt;'計算A'!$A$3,'計算A'!$A$4=0)),AND(127=$I7-1,OR(7&lt;&gt;'計算A'!$A$3,'計算A'!$A$4=0))),0,IF(7=$K7,200000,ABS(7-$K7)*100)),100000+ABS(6-$J7)*1000+70)+'計算A'!DZ$5*50+IF(AND($E7=1,NM7=0),25,0),IF($F7&gt;0,INDEX('計算A'!DZ$110:DZ$114,$F7+1)+IF(AND($E7=1,NM7=0),1000,0),MIN(TZ7,20)*400+(IF('計算A'!DY$106=1,1-HW7,0)+IF('計算A'!DZ$106=1,1-HY7,0))*150+76+'計算A'!DZ$5*100000+IF(AND($E7=1,NM7=0),50000,0))+IF($H7=1,(IF('計算A'!DY$117=1,INDEX('計算A'!DY$10:DY$54,$B7),0)+IF('計算A'!DZ$117=1,INDEX('計算A'!EA$10:EA$54,$B7),0))*4000,0)-IF(AND('計算A'!DY$117=1,YW7&gt;0),2000,0)-IF(AND($L7=1,'計算A'!DZ$117=1,HY7=0),2000,0))),1000000))</f>
        <v/>
      </c>
      <c r="TC7">
        <f>IF($B7=0,1000000,IF(INDEX('計算A'!$D$60:$EQ$104,$B7,128)*HY7=1,IF(AND($E7=2,NN7=0),1000000,IF($I7&gt;0,IF(6=$J7,IF(OR(AND(128=$I7+1,OR($K7&lt;&gt;'計算A'!$A$3,'計算A'!$A$4=0)),AND(128=$I7-1,OR(8&lt;&gt;'計算A'!$A$3,'計算A'!$A$4=0))),0,IF(8=$K7,200000,ABS(8-$K7)*100)),100000+ABS(6-$J7)*1000+80)+'計算A'!EA$5*50+IF(AND($E7=1,NN7=0),25,0),IF($F7&gt;0,INDEX('計算A'!EA$110:EA$114,$F7+1)+IF(AND($E7=1,NN7=0),1000,0),MIN(TZ7,20)*400+(IF('計算A'!DZ$106=1,1-HX7,0)+IF('計算A'!EA$106=1,1-HZ7,0))*150+86+'計算A'!EA$5*100000+IF(AND($E7=1,NN7=0),50000,0))+IF($H7=1,(IF('計算A'!DZ$117=1,INDEX('計算A'!DZ$10:DZ$54,$B7),0)+IF('計算A'!EA$117=1,INDEX('計算A'!EB$10:EB$54,$B7),0))*4000,0)-IF(AND('計算A'!DZ$117=1,YX7&gt;0),2000,0)-IF(AND($L7=1,'計算A'!EA$117=1,HZ7=0),2000,0))),1000000))</f>
        <v/>
      </c>
      <c r="TD7">
        <f>IF($B7=0,1000000,IF(INDEX('計算A'!$D$60:$EQ$104,$B7,129)*HZ7=1,IF(AND($E7=2,NO7=0),1000000,IF($I7&gt;0,IF(6=$J7,IF(OR(AND(129=$I7+1,OR($K7&lt;&gt;'計算A'!$A$3,'計算A'!$A$4=0)),AND(129=$I7-1,OR(9&lt;&gt;'計算A'!$A$3,'計算A'!$A$4=0))),0,IF(9=$K7,200000,ABS(9-$K7)*100)),100000+ABS(6-$J7)*1000+90)+'計算A'!EB$5*50+IF(AND($E7=1,NO7=0),25,0),IF($F7&gt;0,INDEX('計算A'!EB$110:EB$114,$F7+1)+IF(AND($E7=1,NO7=0),1000,0),MIN(TZ7,20)*400+(IF('計算A'!EA$106=1,1-HY7,0)+IF('計算A'!EB$106=1,1-IA7,0))*150+96+'計算A'!EB$5*100000+IF(AND($E7=1,NO7=0),50000,0))+IF($H7=1,(IF('計算A'!EA$117=1,INDEX('計算A'!EA$10:EA$54,$B7),0)+IF('計算A'!EB$117=1,INDEX('計算A'!EC$10:EC$54,$B7),0))*4000,0)-IF(AND('計算A'!EA$117=1,YY7&gt;0),2000,0)-IF(AND($L7=1,'計算A'!EB$117=1,IA7=0),2000,0))),1000000))</f>
        <v/>
      </c>
      <c r="TE7">
        <f>IF($B7=0,1000000,IF(INDEX('計算A'!$D$60:$EQ$104,$B7,130)*IA7=1,IF(AND($E7=2,NP7=0),1000000,IF($I7&gt;0,IF(6=$J7,IF(OR(AND(130=$I7+1,OR($K7&lt;&gt;'計算A'!$A$3,'計算A'!$A$4=0)),AND(130=$I7-1,OR(10&lt;&gt;'計算A'!$A$3,'計算A'!$A$4=0))),0,IF(10=$K7,200000,ABS(10-$K7)*100)),100000+ABS(6-$J7)*1000+100)+'計算A'!EC$5*50+IF(AND($E7=1,NP7=0),25,0),IF($F7&gt;0,INDEX('計算A'!EC$110:EC$114,$F7+1)+IF(AND($E7=1,NP7=0),1000,0),MIN(TZ7,20)*400+(IF('計算A'!EB$106=1,1-HZ7,0)+IF('計算A'!EC$106=1,1-IB7,0))*150+106+'計算A'!EC$5*100000+IF(AND($E7=1,NP7=0),50000,0))+IF($H7=1,(IF('計算A'!EB$117=1,INDEX('計算A'!EB$10:EB$54,$B7),0)+IF('計算A'!EC$117=1,INDEX('計算A'!ED$10:ED$54,$B7),0))*4000,0)-IF(AND('計算A'!EB$117=1,YZ7&gt;0),2000,0)-IF(AND($L7=1,'計算A'!EC$117=1,IB7=0),2000,0))),1000000))</f>
        <v/>
      </c>
      <c r="TF7">
        <f>IF($B7=0,1000000,IF(INDEX('計算A'!$D$60:$EQ$104,$B7,131)*IB7=1,IF(AND($E7=2,NQ7=0),1000000,IF($I7&gt;0,IF(6=$J7,IF(OR(AND(131=$I7+1,OR($K7&lt;&gt;'計算A'!$A$3,'計算A'!$A$4=0)),AND(131=$I7-1,OR(11&lt;&gt;'計算A'!$A$3,'計算A'!$A$4=0))),0,IF(11=$K7,200000,ABS(11-$K7)*100)),100000+ABS(6-$J7)*1000+110)+'計算A'!ED$5*50+IF(AND($E7=1,NQ7=0),25,0),IF($F7&gt;0,INDEX('計算A'!ED$110:ED$114,$F7+1)+IF(AND($E7=1,NQ7=0),1000,0),MIN(TZ7,20)*400+(IF('計算A'!EC$106=1,1-IA7,0)+IF('計算A'!ED$106=1,1-IC7,0))*150+116+'計算A'!ED$5*100000+IF(AND($E7=1,NQ7=0),50000,0))+IF($H7=1,(IF('計算A'!EC$117=1,INDEX('計算A'!EC$10:EC$54,$B7),0)+IF('計算A'!ED$117=1,INDEX('計算A'!EE$10:EE$54,$B7),0))*4000,0)-IF(AND('計算A'!EC$117=1,ZA7&gt;0),2000,0)-IF(AND($L7=1,'計算A'!ED$117=1,IC7=0),2000,0))),1000000))</f>
        <v/>
      </c>
      <c r="TG7">
        <f>IF($B7=0,1000000,IF(INDEX('計算A'!$D$60:$EQ$104,$B7,132)*IC7=1,IF(AND($E7=2,NR7=0),1000000,IF($I7&gt;0,IF(6=$J7,IF(OR(AND(132=$I7+1,OR($K7&lt;&gt;'計算A'!$A$3,'計算A'!$A$4=0)),AND(132=$I7-1,OR(12&lt;&gt;'計算A'!$A$3,'計算A'!$A$4=0))),0,IF(12=$K7,200000,ABS(12-$K7)*100)),100000+ABS(6-$J7)*1000+120)+'計算A'!EE$5*50+IF(AND($E7=1,NR7=0),25,0),IF($F7&gt;0,INDEX('計算A'!EE$110:EE$114,$F7+1)+IF(AND($E7=1,NR7=0),1000,0),MIN(TZ7,20)*400+(IF('計算A'!ED$106=1,1-IB7,0)+IF('計算A'!EE$106=1,1-ID7,0))*150+126+'計算A'!EE$5*100000+IF(AND($E7=1,NR7=0),50000,0))+IF($H7=1,(IF('計算A'!ED$117=1,INDEX('計算A'!ED$10:ED$54,$B7),0)+IF('計算A'!EE$117=1,INDEX('計算A'!EF$10:EF$54,$B7),0))*4000,0)-IF(AND('計算A'!ED$117=1,ZB7&gt;0),2000,0)-IF(AND($L7=1,'計算A'!EE$117=1,ID7=0),2000,0))),1000000))</f>
        <v/>
      </c>
      <c r="TH7">
        <f>IF($B7=0,1000000,IF(INDEX('計算A'!$D$60:$EQ$104,$B7,133)*ID7=1,IF(AND($E7=2,NS7=0),1000000,IF($I7&gt;0,IF(6=$J7,IF(OR(AND(133=$I7+1,OR($K7&lt;&gt;'計算A'!$A$3,'計算A'!$A$4=0)),AND(133=$I7-1,OR(13&lt;&gt;'計算A'!$A$3,'計算A'!$A$4=0))),0,IF(13=$K7,200000,ABS(13-$K7)*100)),100000+ABS(6-$J7)*1000+130)+'計算A'!EF$5*50+IF(AND($E7=1,NS7=0),25,0),IF($F7&gt;0,INDEX('計算A'!EF$110:EF$114,$F7+1)+IF(AND($E7=1,NS7=0),1000,0),MIN(TZ7,20)*400+(IF('計算A'!EE$106=1,1-IC7,0)+IF('計算A'!EF$106=1,1-IE7,0))*150+136+'計算A'!EF$5*100000+IF(AND($E7=1,NS7=0),50000,0))+IF($H7=1,(IF('計算A'!EE$117=1,INDEX('計算A'!EE$10:EE$54,$B7),0)+IF('計算A'!EF$117=1,INDEX('計算A'!EG$10:EG$54,$B7),0))*4000,0)-IF(AND('計算A'!EE$117=1,ZC7&gt;0),2000,0)-IF(AND($L7=1,'計算A'!EF$117=1,IE7=0),2000,0))),1000000))</f>
        <v/>
      </c>
      <c r="TI7">
        <f>IF($B7=0,1000000,IF(INDEX('計算A'!$D$60:$EQ$104,$B7,134)*IE7=1,IF(AND($E7=2,NT7=0),1000000,IF($I7&gt;0,IF(6=$J7,IF(OR(AND(134=$I7+1,OR($K7&lt;&gt;'計算A'!$A$3,'計算A'!$A$4=0)),AND(134=$I7-1,OR(14&lt;&gt;'計算A'!$A$3,'計算A'!$A$4=0))),0,IF(14=$K7,200000,ABS(14-$K7)*100)),100000+ABS(6-$J7)*1000+140)+'計算A'!EG$5*50+IF(AND($E7=1,NT7=0),25,0),IF($F7&gt;0,INDEX('計算A'!EG$110:EG$114,$F7+1)+IF(AND($E7=1,NT7=0),1000,0),MIN(TZ7,20)*400+(IF('計算A'!EF$106=1,1-ID7,0)+IF('計算A'!EG$106=1,1-IF7,0))*150+146+'計算A'!EG$5*100000+IF(AND($E7=1,NT7=0),50000,0))+IF($H7=1,(IF('計算A'!EF$117=1,INDEX('計算A'!EF$10:EF$54,$B7),0)+IF('計算A'!EG$117=1,INDEX('計算A'!EH$10:EH$54,$B7),0))*4000,0)-IF(AND('計算A'!EF$117=1,ZD7&gt;0),2000,0)-IF(AND($L7=1,'計算A'!EG$117=1,IF7=0),2000,0))),1000000))</f>
        <v/>
      </c>
      <c r="TJ7">
        <f>IF($B7=0,1000000,IF(INDEX('計算A'!$D$60:$EQ$104,$B7,135)*IF7=1,IF(AND($E7=2,NU7=0),1000000,IF($I7&gt;0,IF(6=$J7,IF(OR(AND(135=$I7+1,OR($K7&lt;&gt;'計算A'!$A$3,'計算A'!$A$4=0)),AND(135=$I7-1,OR(15&lt;&gt;'計算A'!$A$3,'計算A'!$A$4=0))),0,IF(15=$K7,200000,ABS(15-$K7)*100)),100000+ABS(6-$J7)*1000+150)+'計算A'!EH$5*50+IF(AND($E7=1,NU7=0),25,0),IF($F7&gt;0,INDEX('計算A'!EH$110:EH$114,$F7+1)+IF(AND($E7=1,NU7=0),1000,0),MIN(TZ7,20)*400+(IF('計算A'!EG$106=1,1-IE7,0)+IF('計算A'!EH$106=1,1-IG7,0))*150+156+'計算A'!EH$5*100000+IF(AND($E7=1,NU7=0),50000,0))+IF($H7=1,(IF('計算A'!EG$117=1,INDEX('計算A'!EG$10:EG$54,$B7),0)+IF('計算A'!EH$117=1,INDEX('計算A'!EI$10:EI$54,$B7),0))*4000,0)-IF(AND('計算A'!EG$117=1,ZE7&gt;0),2000,0)-IF(AND($L7=1,'計算A'!EH$117=1,IG7=0),2000,0))),1000000))</f>
        <v/>
      </c>
      <c r="TK7">
        <f>IF($B7=0,1000000,IF(INDEX('計算A'!$D$60:$EQ$104,$B7,136)*IG7=1,IF(AND($E7=2,NV7=0),1000000,IF($I7&gt;0,IF(6=$J7,IF(OR(AND(136=$I7+1,OR($K7&lt;&gt;'計算A'!$A$3,'計算A'!$A$4=0)),AND(136=$I7-1,OR(16&lt;&gt;'計算A'!$A$3,'計算A'!$A$4=0))),0,IF(16=$K7,200000,ABS(16-$K7)*100)),100000+ABS(6-$J7)*1000+160)+'計算A'!EI$5*50+IF(AND($E7=1,NV7=0),25,0),IF($F7&gt;0,INDEX('計算A'!EI$110:EI$114,$F7+1)+IF(AND($E7=1,NV7=0),1000,0),MIN(TZ7,20)*400+(IF('計算A'!EH$106=1,1-IF7,0)+IF('計算A'!EI$106=1,1-IH7,0))*150+166+'計算A'!EI$5*100000+IF(AND($E7=1,NV7=0),50000,0))+IF($H7=1,(IF('計算A'!EH$117=1,INDEX('計算A'!EH$10:EH$54,$B7),0)+IF('計算A'!EI$117=1,INDEX('計算A'!EJ$10:EJ$54,$B7),0))*4000,0)-IF(AND('計算A'!EH$117=1,ZF7&gt;0),2000,0)-IF(AND($L7=1,'計算A'!EI$117=1,IH7=0),2000,0))),1000000))</f>
        <v/>
      </c>
      <c r="TL7">
        <f>IF($B7=0,1000000,IF(INDEX('計算A'!$D$60:$EQ$104,$B7,137)*IH7=1,IF(AND($E7=2,NW7=0),1000000,IF($I7&gt;0,IF(6=$J7,IF(OR(AND(137=$I7+1,OR($K7&lt;&gt;'計算A'!$A$3,'計算A'!$A$4=0)),AND(137=$I7-1,OR(17&lt;&gt;'計算A'!$A$3,'計算A'!$A$4=0))),0,IF(17=$K7,200000,ABS(17-$K7)*100)),100000+ABS(6-$J7)*1000+170)+'計算A'!EJ$5*50+IF(AND($E7=1,NW7=0),25,0),IF($F7&gt;0,INDEX('計算A'!EJ$110:EJ$114,$F7+1)+IF(AND($E7=1,NW7=0),1000,0),MIN(TZ7,20)*400+(IF('計算A'!EI$106=1,1-IG7,0)+IF('計算A'!EJ$106=1,1-II7,0))*150+176+'計算A'!EJ$5*100000+IF(AND($E7=1,NW7=0),50000,0))+IF($H7=1,(IF('計算A'!EI$117=1,INDEX('計算A'!EI$10:EI$54,$B7),0)+IF('計算A'!EJ$117=1,INDEX('計算A'!EK$10:EK$54,$B7),0))*4000,0)-IF(AND('計算A'!EI$117=1,ZG7&gt;0),2000,0)-IF(AND($L7=1,'計算A'!EJ$117=1,II7=0),2000,0))),1000000))</f>
        <v/>
      </c>
      <c r="TM7">
        <f>IF($B7=0,1000000,IF(INDEX('計算A'!$D$60:$EQ$104,$B7,138)*II7=1,IF(AND($E7=2,NX7=0),1000000,IF($I7&gt;0,IF(6=$J7,IF(OR(AND(138=$I7+1,OR($K7&lt;&gt;'計算A'!$A$3,'計算A'!$A$4=0)),AND(138=$I7-1,OR(18&lt;&gt;'計算A'!$A$3,'計算A'!$A$4=0))),0,IF(18=$K7,200000,ABS(18-$K7)*100)),100000+ABS(6-$J7)*1000+180)+'計算A'!EK$5*50+IF(AND($E7=1,NX7=0),25,0),IF($F7&gt;0,INDEX('計算A'!EK$110:EK$114,$F7+1)+IF(AND($E7=1,NX7=0),1000,0),MIN(TZ7,20)*400+(IF('計算A'!EJ$106=1,1-IH7,0)+IF('計算A'!EK$106=1,1-IJ7,0))*150+186+'計算A'!EK$5*100000+IF(AND($E7=1,NX7=0),50000,0))+IF($H7=1,(IF('計算A'!EJ$117=1,INDEX('計算A'!EJ$10:EJ$54,$B7),0)+IF('計算A'!EK$117=1,INDEX('計算A'!EL$10:EL$54,$B7),0))*4000,0)-IF(AND('計算A'!EJ$117=1,ZH7&gt;0),2000,0)-IF(AND($L7=1,'計算A'!EK$117=1,IJ7=0),2000,0))),1000000))</f>
        <v/>
      </c>
      <c r="TN7">
        <f>IF($B7=0,1000000,IF(INDEX('計算A'!$D$60:$EQ$104,$B7,139)*IJ7=1,IF(AND($E7=2,NY7=0),1000000,IF($I7&gt;0,IF(6=$J7,IF(OR(AND(139=$I7+1,OR($K7&lt;&gt;'計算A'!$A$3,'計算A'!$A$4=0)),AND(139=$I7-1,OR(19&lt;&gt;'計算A'!$A$3,'計算A'!$A$4=0))),0,IF(19=$K7,200000,ABS(19-$K7)*100)),100000+ABS(6-$J7)*1000+190)+'計算A'!EL$5*50+IF(AND($E7=1,NY7=0),25,0),IF($F7&gt;0,INDEX('計算A'!EL$110:EL$114,$F7+1)+IF(AND($E7=1,NY7=0),1000,0),MIN(TZ7,20)*400+(IF('計算A'!EK$106=1,1-II7,0)+IF('計算A'!EL$106=1,1-IK7,0))*150+196+'計算A'!EL$5*100000+IF(AND($E7=1,NY7=0),50000,0))+IF($H7=1,(IF('計算A'!EK$117=1,INDEX('計算A'!EK$10:EK$54,$B7),0)+IF('計算A'!EL$117=1,INDEX('計算A'!EM$10:EM$54,$B7),0))*4000,0)-IF(AND('計算A'!EK$117=1,ZI7&gt;0),2000,0)-IF(AND($L7=1,'計算A'!EL$117=1,IK7=0),2000,0))),1000000))</f>
        <v/>
      </c>
      <c r="TO7">
        <f>IF($B7=0,1000000,IF(INDEX('計算A'!$D$60:$EQ$104,$B7,140)*IK7=1,IF(AND($E7=2,NZ7=0),1000000,IF($I7&gt;0,IF(6=$J7,IF(OR(AND(140=$I7+1,OR($K7&lt;&gt;'計算A'!$A$3,'計算A'!$A$4=0)),AND(140=$I7-1,OR(20&lt;&gt;'計算A'!$A$3,'計算A'!$A$4=0))),0,IF(20=$K7,200000,ABS(20-$K7)*100)),100000+ABS(6-$J7)*1000+200)+'計算A'!EM$5*50+IF(AND($E7=1,NZ7=0),25,0),IF($F7&gt;0,INDEX('計算A'!EM$110:EM$114,$F7+1)+IF(AND($E7=1,NZ7=0),1000,0),MIN(TZ7,20)*400+(IF('計算A'!EL$106=1,1-IJ7,0)+IF('計算A'!EM$106=1,1-IL7,0))*150+206+'計算A'!EM$5*100000+IF(AND($E7=1,NZ7=0),50000,0))+IF($H7=1,(IF('計算A'!EL$117=1,INDEX('計算A'!EL$10:EL$54,$B7),0)+IF('計算A'!EM$117=1,INDEX('計算A'!EN$10:EN$54,$B7),0))*4000,0)-IF(AND('計算A'!EL$117=1,ZJ7&gt;0),2000,0)-IF(AND($L7=1,'計算A'!EM$117=1,IL7=0),2000,0))),1000000))</f>
        <v/>
      </c>
      <c r="TP7">
        <f>IF($B7=0,1000000,IF(INDEX('計算A'!$D$60:$EQ$104,$B7,141)*IL7=1,IF(AND($E7=2,OA7=0),1000000,IF($I7&gt;0,IF(6=$J7,IF(OR(AND(141=$I7+1,OR($K7&lt;&gt;'計算A'!$A$3,'計算A'!$A$4=0)),AND(141=$I7-1,OR(21&lt;&gt;'計算A'!$A$3,'計算A'!$A$4=0))),0,IF(21=$K7,200000,ABS(21-$K7)*100)),100000+ABS(6-$J7)*1000+210)+'計算A'!EN$5*50+IF(AND($E7=1,OA7=0),25,0),IF($F7&gt;0,INDEX('計算A'!EN$110:EN$114,$F7+1)+IF(AND($E7=1,OA7=0),1000,0),MIN(TZ7,20)*400+(IF('計算A'!EM$106=1,1-IK7,0)+IF('計算A'!EN$106=1,1-IM7,0))*150+216+'計算A'!EN$5*100000+IF(AND($E7=1,OA7=0),50000,0))+IF($H7=1,(IF('計算A'!EM$117=1,INDEX('計算A'!EM$10:EM$54,$B7),0)+IF('計算A'!EN$117=1,INDEX('計算A'!EO$10:EO$54,$B7),0))*4000,0)-IF(AND('計算A'!EM$117=1,ZK7&gt;0),2000,0)-IF(AND($L7=1,'計算A'!EN$117=1,IM7=0),2000,0))),1000000))</f>
        <v/>
      </c>
      <c r="TQ7">
        <f>IF($B7=0,1000000,IF(INDEX('計算A'!$D$60:$EQ$104,$B7,142)*IM7=1,IF(AND($E7=2,OB7=0),1000000,IF($I7&gt;0,IF(6=$J7,IF(OR(AND(142=$I7+1,OR($K7&lt;&gt;'計算A'!$A$3,'計算A'!$A$4=0)),AND(142=$I7-1,OR(22&lt;&gt;'計算A'!$A$3,'計算A'!$A$4=0))),0,IF(22=$K7,200000,ABS(22-$K7)*100)),100000+ABS(6-$J7)*1000+220)+'計算A'!EO$5*50+IF(AND($E7=1,OB7=0),25,0),IF($F7&gt;0,INDEX('計算A'!EO$110:EO$114,$F7+1)+IF(AND($E7=1,OB7=0),1000,0),MIN(TZ7,20)*400+(IF('計算A'!EN$106=1,1-IL7,0)+IF('計算A'!EO$106=1,1-IN7,0))*150+226+'計算A'!EO$5*100000+IF(AND($E7=1,OB7=0),50000,0))+IF($H7=1,(IF('計算A'!EN$117=1,INDEX('計算A'!EN$10:EN$54,$B7),0)+IF('計算A'!EO$117=1,INDEX('計算A'!EP$10:EP$54,$B7),0))*4000,0)-IF(AND('計算A'!EN$117=1,ZL7&gt;0),2000,0)-IF(AND($L7=1,'計算A'!EO$117=1,IN7=0),2000,0))),1000000))</f>
        <v/>
      </c>
      <c r="TR7">
        <f>IF($B7=0,1000000,IF(INDEX('計算A'!$D$60:$EQ$104,$B7,143)*IN7=1,IF(AND($E7=2,OC7=0),1000000,IF($I7&gt;0,IF(6=$J7,IF(OR(AND(143=$I7+1,OR($K7&lt;&gt;'計算A'!$A$3,'計算A'!$A$4=0)),AND(143=$I7-1,OR(23&lt;&gt;'計算A'!$A$3,'計算A'!$A$4=0))),0,IF(23=$K7,200000,ABS(23-$K7)*100)),100000+ABS(6-$J7)*1000+230)+'計算A'!EP$5*50+IF(AND($E7=1,OC7=0),25,0),IF($F7&gt;0,INDEX('計算A'!EP$110:EP$114,$F7+1)+IF(AND($E7=1,OC7=0),1000,0),MIN(TZ7,20)*400+(IF('計算A'!EO$106=1,1-IM7,0)+IF('計算A'!EP$106=1,1-IO7,0))*150+236+'計算A'!EP$5*100000+IF(AND($E7=1,OC7=0),50000,0))+IF($H7=1,(IF('計算A'!EO$117=1,INDEX('計算A'!EO$10:EO$54,$B7),0)+IF('計算A'!EP$117=1,INDEX('計算A'!EQ$10:EQ$54,$B7),0))*4000,0)-IF(AND('計算A'!EO$117=1,ZM7&gt;0),2000,0)-IF(AND($L7=1,'計算A'!EP$117=1,IO7=0),2000,0))),1000000))</f>
        <v/>
      </c>
      <c r="TS7">
        <f>IF($B7=0,1000000,IF(INDEX('計算A'!$D$60:$EQ$104,$B7,144)*IO7=1,IF(AND($E7=2,OD7=0),1000000,IF($I7&gt;0,IF(6=$J7,IF(OR(AND(144=$I7+1,OR($K7&lt;&gt;'計算A'!$A$3,'計算A'!$A$4=0)),AND(144=$I7-1,OR(24&lt;&gt;'計算A'!$A$3,'計算A'!$A$4=0))),0,IF(24=$K7,200000,ABS(24-$K7)*100)),100000+ABS(6-$J7)*1000+240)+'計算A'!EQ$5*50+IF(AND($E7=1,OD7=0),25,0),IF($F7&gt;0,INDEX('計算A'!EQ$110:EQ$114,$F7+1)+IF(AND($E7=1,OD7=0),1000,0),MIN(TZ7,20)*400+(IF('計算A'!EP$106=1,1-IN7,0))*150+246+'計算A'!EQ$5*100000+IF(AND($E7=1,OD7=0),50000,0))+IF($H7=1,(IF('計算A'!EP$117=1,INDEX('計算A'!EP$10:EP$54,$B7),0))*4000,0)-IF(AND('計算A'!EP$117=1,ZN7&gt;0),2000,0))),1000000))</f>
        <v/>
      </c>
      <c r="TU7">
        <f>TU6+IF($C6&gt;0,IF(INDEX('計算A'!$D$2:$EQ$2,$C6)=1,1,0),0)</f>
        <v/>
      </c>
      <c r="TV7">
        <f>TV6+IF($C6&gt;0,IF(INDEX('計算A'!$D$2:$EQ$2,$C6)=2,1,0),0)</f>
        <v/>
      </c>
      <c r="TW7">
        <f>TW6+IF($C6&gt;0,IF(INDEX('計算A'!$D$2:$EQ$2,$C6)=3,1,0),0)</f>
        <v/>
      </c>
      <c r="TX7">
        <f>TX6+IF($C6&gt;0,IF(INDEX('計算A'!$D$2:$EQ$2,$C6)=4,1,0),0)</f>
        <v/>
      </c>
      <c r="TY7">
        <f>TY6+IF($C6&gt;0,IF(INDEX('計算A'!$D$2:$EQ$2,$C6)=5,1,0),0)</f>
        <v/>
      </c>
      <c r="TZ7">
        <f>TZ6+IF($C6&gt;0,IF(INDEX('計算A'!$D$2:$EQ$2,$C6)=6,1,0),0)</f>
        <v/>
      </c>
      <c r="UB7">
        <f>UB6+IF(AND($C6=1,$L6=1),1,0)</f>
        <v/>
      </c>
      <c r="UC7">
        <f>UC6+IF(AND($C6=2,$L6=1),1,0)</f>
        <v/>
      </c>
      <c r="UD7">
        <f>UD6+IF(AND($C6=3,$L6=1),1,0)</f>
        <v/>
      </c>
      <c r="UE7">
        <f>UE6+IF(AND($C6=4,$L6=1),1,0)</f>
        <v/>
      </c>
      <c r="UF7">
        <f>UF6+IF(AND($C6=5,$L6=1),1,0)</f>
        <v/>
      </c>
      <c r="UG7">
        <f>UG6+IF(AND($C6=6,$L6=1),1,0)</f>
        <v/>
      </c>
      <c r="UH7">
        <f>UH6+IF(AND($C6=7,$L6=1),1,0)</f>
        <v/>
      </c>
      <c r="UI7">
        <f>UI6+IF(AND($C6=8,$L6=1),1,0)</f>
        <v/>
      </c>
      <c r="UJ7">
        <f>UJ6+IF(AND($C6=9,$L6=1),1,0)</f>
        <v/>
      </c>
      <c r="UK7">
        <f>UK6+IF(AND($C6=10,$L6=1),1,0)</f>
        <v/>
      </c>
      <c r="UL7">
        <f>UL6+IF(AND($C6=11,$L6=1),1,0)</f>
        <v/>
      </c>
      <c r="UM7">
        <f>UM6+IF(AND($C6=12,$L6=1),1,0)</f>
        <v/>
      </c>
      <c r="UN7">
        <f>UN6+IF(AND($C6=13,$L6=1),1,0)</f>
        <v/>
      </c>
      <c r="UO7">
        <f>UO6+IF(AND($C6=14,$L6=1),1,0)</f>
        <v/>
      </c>
      <c r="UP7">
        <f>UP6+IF(AND($C6=15,$L6=1),1,0)</f>
        <v/>
      </c>
      <c r="UQ7">
        <f>UQ6+IF(AND($C6=16,$L6=1),1,0)</f>
        <v/>
      </c>
      <c r="UR7">
        <f>UR6+IF(AND($C6=17,$L6=1),1,0)</f>
        <v/>
      </c>
      <c r="US7">
        <f>US6+IF(AND($C6=18,$L6=1),1,0)</f>
        <v/>
      </c>
      <c r="UT7">
        <f>UT6+IF(AND($C6=19,$L6=1),1,0)</f>
        <v/>
      </c>
      <c r="UU7">
        <f>UU6+IF(AND($C6=20,$L6=1),1,0)</f>
        <v/>
      </c>
      <c r="UV7">
        <f>UV6+IF(AND($C6=21,$L6=1),1,0)</f>
        <v/>
      </c>
      <c r="UW7">
        <f>UW6+IF(AND($C6=22,$L6=1),1,0)</f>
        <v/>
      </c>
      <c r="UX7">
        <f>UX6+IF(AND($C6=23,$L6=1),1,0)</f>
        <v/>
      </c>
      <c r="UY7">
        <f>UY6+IF(AND($C6=24,$L6=1),1,0)</f>
        <v/>
      </c>
      <c r="UZ7">
        <f>UZ6+IF(AND($C6=25,$L6=1),1,0)</f>
        <v/>
      </c>
      <c r="VA7">
        <f>VA6+IF(AND($C6=26,$L6=1),1,0)</f>
        <v/>
      </c>
      <c r="VB7">
        <f>VB6+IF(AND($C6=27,$L6=1),1,0)</f>
        <v/>
      </c>
      <c r="VC7">
        <f>VC6+IF(AND($C6=28,$L6=1),1,0)</f>
        <v/>
      </c>
      <c r="VD7">
        <f>VD6+IF(AND($C6=29,$L6=1),1,0)</f>
        <v/>
      </c>
      <c r="VE7">
        <f>VE6+IF(AND($C6=30,$L6=1),1,0)</f>
        <v/>
      </c>
      <c r="VF7">
        <f>VF6+IF(AND($C6=31,$L6=1),1,0)</f>
        <v/>
      </c>
      <c r="VG7">
        <f>VG6+IF(AND($C6=32,$L6=1),1,0)</f>
        <v/>
      </c>
      <c r="VH7">
        <f>VH6+IF(AND($C6=33,$L6=1),1,0)</f>
        <v/>
      </c>
      <c r="VI7">
        <f>VI6+IF(AND($C6=34,$L6=1),1,0)</f>
        <v/>
      </c>
      <c r="VJ7">
        <f>VJ6+IF(AND($C6=35,$L6=1),1,0)</f>
        <v/>
      </c>
      <c r="VK7">
        <f>VK6+IF(AND($C6=36,$L6=1),1,0)</f>
        <v/>
      </c>
      <c r="VL7">
        <f>VL6+IF(AND($C6=37,$L6=1),1,0)</f>
        <v/>
      </c>
      <c r="VM7">
        <f>VM6+IF(AND($C6=38,$L6=1),1,0)</f>
        <v/>
      </c>
      <c r="VN7">
        <f>VN6+IF(AND($C6=39,$L6=1),1,0)</f>
        <v/>
      </c>
      <c r="VO7">
        <f>VO6+IF(AND($C6=40,$L6=1),1,0)</f>
        <v/>
      </c>
      <c r="VP7">
        <f>VP6+IF(AND($C6=41,$L6=1),1,0)</f>
        <v/>
      </c>
      <c r="VQ7">
        <f>VQ6+IF(AND($C6=42,$L6=1),1,0)</f>
        <v/>
      </c>
      <c r="VR7">
        <f>VR6+IF(AND($C6=43,$L6=1),1,0)</f>
        <v/>
      </c>
      <c r="VS7">
        <f>VS6+IF(AND($C6=44,$L6=1),1,0)</f>
        <v/>
      </c>
      <c r="VT7">
        <f>VT6+IF(AND($C6=45,$L6=1),1,0)</f>
        <v/>
      </c>
      <c r="VU7">
        <f>VU6+IF(AND($C6=46,$L6=1),1,0)</f>
        <v/>
      </c>
      <c r="VV7">
        <f>VV6+IF(AND($C6=47,$L6=1),1,0)</f>
        <v/>
      </c>
      <c r="VW7">
        <f>VW6+IF(AND($C6=48,$L6=1),1,0)</f>
        <v/>
      </c>
      <c r="VX7">
        <f>VX6+IF(AND($C6=49,$L6=1),1,0)</f>
        <v/>
      </c>
      <c r="VY7">
        <f>VY6+IF(AND($C6=50,$L6=1),1,0)</f>
        <v/>
      </c>
      <c r="VZ7">
        <f>VZ6+IF(AND($C6=51,$L6=1),1,0)</f>
        <v/>
      </c>
      <c r="WA7">
        <f>WA6+IF(AND($C6=52,$L6=1),1,0)</f>
        <v/>
      </c>
      <c r="WB7">
        <f>WB6+IF(AND($C6=53,$L6=1),1,0)</f>
        <v/>
      </c>
      <c r="WC7">
        <f>WC6+IF(AND($C6=54,$L6=1),1,0)</f>
        <v/>
      </c>
      <c r="WD7">
        <f>WD6+IF(AND($C6=55,$L6=1),1,0)</f>
        <v/>
      </c>
      <c r="WE7">
        <f>WE6+IF(AND($C6=56,$L6=1),1,0)</f>
        <v/>
      </c>
      <c r="WF7">
        <f>WF6+IF(AND($C6=57,$L6=1),1,0)</f>
        <v/>
      </c>
      <c r="WG7">
        <f>WG6+IF(AND($C6=58,$L6=1),1,0)</f>
        <v/>
      </c>
      <c r="WH7">
        <f>WH6+IF(AND($C6=59,$L6=1),1,0)</f>
        <v/>
      </c>
      <c r="WI7">
        <f>WI6+IF(AND($C6=60,$L6=1),1,0)</f>
        <v/>
      </c>
      <c r="WJ7">
        <f>WJ6+IF(AND($C6=61,$L6=1),1,0)</f>
        <v/>
      </c>
      <c r="WK7">
        <f>WK6+IF(AND($C6=62,$L6=1),1,0)</f>
        <v/>
      </c>
      <c r="WL7">
        <f>WL6+IF(AND($C6=63,$L6=1),1,0)</f>
        <v/>
      </c>
      <c r="WM7">
        <f>WM6+IF(AND($C6=64,$L6=1),1,0)</f>
        <v/>
      </c>
      <c r="WN7">
        <f>WN6+IF(AND($C6=65,$L6=1),1,0)</f>
        <v/>
      </c>
      <c r="WO7">
        <f>WO6+IF(AND($C6=66,$L6=1),1,0)</f>
        <v/>
      </c>
      <c r="WP7">
        <f>WP6+IF(AND($C6=67,$L6=1),1,0)</f>
        <v/>
      </c>
      <c r="WQ7">
        <f>WQ6+IF(AND($C6=68,$L6=1),1,0)</f>
        <v/>
      </c>
      <c r="WR7">
        <f>WR6+IF(AND($C6=69,$L6=1),1,0)</f>
        <v/>
      </c>
      <c r="WS7">
        <f>WS6+IF(AND($C6=70,$L6=1),1,0)</f>
        <v/>
      </c>
      <c r="WT7">
        <f>WT6+IF(AND($C6=71,$L6=1),1,0)</f>
        <v/>
      </c>
      <c r="WU7">
        <f>WU6+IF(AND($C6=72,$L6=1),1,0)</f>
        <v/>
      </c>
      <c r="WV7">
        <f>WV6+IF(AND($C6=73,$L6=1),1,0)</f>
        <v/>
      </c>
      <c r="WW7">
        <f>WW6+IF(AND($C6=74,$L6=1),1,0)</f>
        <v/>
      </c>
      <c r="WX7">
        <f>WX6+IF(AND($C6=75,$L6=1),1,0)</f>
        <v/>
      </c>
      <c r="WY7">
        <f>WY6+IF(AND($C6=76,$L6=1),1,0)</f>
        <v/>
      </c>
      <c r="WZ7">
        <f>WZ6+IF(AND($C6=77,$L6=1),1,0)</f>
        <v/>
      </c>
      <c r="XA7">
        <f>XA6+IF(AND($C6=78,$L6=1),1,0)</f>
        <v/>
      </c>
      <c r="XB7">
        <f>XB6+IF(AND($C6=79,$L6=1),1,0)</f>
        <v/>
      </c>
      <c r="XC7">
        <f>XC6+IF(AND($C6=80,$L6=1),1,0)</f>
        <v/>
      </c>
      <c r="XD7">
        <f>XD6+IF(AND($C6=81,$L6=1),1,0)</f>
        <v/>
      </c>
      <c r="XE7">
        <f>XE6+IF(AND($C6=82,$L6=1),1,0)</f>
        <v/>
      </c>
      <c r="XF7">
        <f>XF6+IF(AND($C6=83,$L6=1),1,0)</f>
        <v/>
      </c>
      <c r="XG7">
        <f>XG6+IF(AND($C6=84,$L6=1),1,0)</f>
        <v/>
      </c>
      <c r="XH7">
        <f>XH6+IF(AND($C6=85,$L6=1),1,0)</f>
        <v/>
      </c>
      <c r="XI7">
        <f>XI6+IF(AND($C6=86,$L6=1),1,0)</f>
        <v/>
      </c>
      <c r="XJ7">
        <f>XJ6+IF(AND($C6=87,$L6=1),1,0)</f>
        <v/>
      </c>
      <c r="XK7">
        <f>XK6+IF(AND($C6=88,$L6=1),1,0)</f>
        <v/>
      </c>
      <c r="XL7">
        <f>XL6+IF(AND($C6=89,$L6=1),1,0)</f>
        <v/>
      </c>
      <c r="XM7">
        <f>XM6+IF(AND($C6=90,$L6=1),1,0)</f>
        <v/>
      </c>
      <c r="XN7">
        <f>XN6+IF(AND($C6=91,$L6=1),1,0)</f>
        <v/>
      </c>
      <c r="XO7">
        <f>XO6+IF(AND($C6=92,$L6=1),1,0)</f>
        <v/>
      </c>
      <c r="XP7">
        <f>XP6+IF(AND($C6=93,$L6=1),1,0)</f>
        <v/>
      </c>
      <c r="XQ7">
        <f>XQ6+IF(AND($C6=94,$L6=1),1,0)</f>
        <v/>
      </c>
      <c r="XR7">
        <f>XR6+IF(AND($C6=95,$L6=1),1,0)</f>
        <v/>
      </c>
      <c r="XS7">
        <f>XS6+IF(AND($C6=96,$L6=1),1,0)</f>
        <v/>
      </c>
      <c r="XT7">
        <f>XT6+IF(AND($C6=97,$L6=1),1,0)</f>
        <v/>
      </c>
      <c r="XU7">
        <f>XU6+IF(AND($C6=98,$L6=1),1,0)</f>
        <v/>
      </c>
      <c r="XV7">
        <f>XV6+IF(AND($C6=99,$L6=1),1,0)</f>
        <v/>
      </c>
      <c r="XW7">
        <f>XW6+IF(AND($C6=100,$L6=1),1,0)</f>
        <v/>
      </c>
      <c r="XX7">
        <f>XX6+IF(AND($C6=101,$L6=1),1,0)</f>
        <v/>
      </c>
      <c r="XY7">
        <f>XY6+IF(AND($C6=102,$L6=1),1,0)</f>
        <v/>
      </c>
      <c r="XZ7">
        <f>XZ6+IF(AND($C6=103,$L6=1),1,0)</f>
        <v/>
      </c>
      <c r="YA7">
        <f>YA6+IF(AND($C6=104,$L6=1),1,0)</f>
        <v/>
      </c>
      <c r="YB7">
        <f>YB6+IF(AND($C6=105,$L6=1),1,0)</f>
        <v/>
      </c>
      <c r="YC7">
        <f>YC6+IF(AND($C6=106,$L6=1),1,0)</f>
        <v/>
      </c>
      <c r="YD7">
        <f>YD6+IF(AND($C6=107,$L6=1),1,0)</f>
        <v/>
      </c>
      <c r="YE7">
        <f>YE6+IF(AND($C6=108,$L6=1),1,0)</f>
        <v/>
      </c>
      <c r="YF7">
        <f>YF6+IF(AND($C6=109,$L6=1),1,0)</f>
        <v/>
      </c>
      <c r="YG7">
        <f>YG6+IF(AND($C6=110,$L6=1),1,0)</f>
        <v/>
      </c>
      <c r="YH7">
        <f>YH6+IF(AND($C6=111,$L6=1),1,0)</f>
        <v/>
      </c>
      <c r="YI7">
        <f>YI6+IF(AND($C6=112,$L6=1),1,0)</f>
        <v/>
      </c>
      <c r="YJ7">
        <f>YJ6+IF(AND($C6=113,$L6=1),1,0)</f>
        <v/>
      </c>
      <c r="YK7">
        <f>YK6+IF(AND($C6=114,$L6=1),1,0)</f>
        <v/>
      </c>
      <c r="YL7">
        <f>YL6+IF(AND($C6=115,$L6=1),1,0)</f>
        <v/>
      </c>
      <c r="YM7">
        <f>YM6+IF(AND($C6=116,$L6=1),1,0)</f>
        <v/>
      </c>
      <c r="YN7">
        <f>YN6+IF(AND($C6=117,$L6=1),1,0)</f>
        <v/>
      </c>
      <c r="YO7">
        <f>YO6+IF(AND($C6=118,$L6=1),1,0)</f>
        <v/>
      </c>
      <c r="YP7">
        <f>YP6+IF(AND($C6=119,$L6=1),1,0)</f>
        <v/>
      </c>
      <c r="YQ7">
        <f>YQ6+IF(AND($C6=120,$L6=1),1,0)</f>
        <v/>
      </c>
      <c r="YR7">
        <f>YR6+IF(AND($C6=121,$L6=1),1,0)</f>
        <v/>
      </c>
      <c r="YS7">
        <f>YS6+IF(AND($C6=122,$L6=1),1,0)</f>
        <v/>
      </c>
      <c r="YT7">
        <f>YT6+IF(AND($C6=123,$L6=1),1,0)</f>
        <v/>
      </c>
      <c r="YU7">
        <f>YU6+IF(AND($C6=124,$L6=1),1,0)</f>
        <v/>
      </c>
      <c r="YV7">
        <f>YV6+IF(AND($C6=125,$L6=1),1,0)</f>
        <v/>
      </c>
      <c r="YW7">
        <f>YW6+IF(AND($C6=126,$L6=1),1,0)</f>
        <v/>
      </c>
      <c r="YX7">
        <f>YX6+IF(AND($C6=127,$L6=1),1,0)</f>
        <v/>
      </c>
      <c r="YY7">
        <f>YY6+IF(AND($C6=128,$L6=1),1,0)</f>
        <v/>
      </c>
      <c r="YZ7">
        <f>YZ6+IF(AND($C6=129,$L6=1),1,0)</f>
        <v/>
      </c>
      <c r="ZA7">
        <f>ZA6+IF(AND($C6=130,$L6=1),1,0)</f>
        <v/>
      </c>
      <c r="ZB7">
        <f>ZB6+IF(AND($C6=131,$L6=1),1,0)</f>
        <v/>
      </c>
      <c r="ZC7">
        <f>ZC6+IF(AND($C6=132,$L6=1),1,0)</f>
        <v/>
      </c>
      <c r="ZD7">
        <f>ZD6+IF(AND($C6=133,$L6=1),1,0)</f>
        <v/>
      </c>
      <c r="ZE7">
        <f>ZE6+IF(AND($C6=134,$L6=1),1,0)</f>
        <v/>
      </c>
      <c r="ZF7">
        <f>ZF6+IF(AND($C6=135,$L6=1),1,0)</f>
        <v/>
      </c>
      <c r="ZG7">
        <f>ZG6+IF(AND($C6=136,$L6=1),1,0)</f>
        <v/>
      </c>
      <c r="ZH7">
        <f>ZH6+IF(AND($C6=137,$L6=1),1,0)</f>
        <v/>
      </c>
      <c r="ZI7">
        <f>ZI6+IF(AND($C6=138,$L6=1),1,0)</f>
        <v/>
      </c>
      <c r="ZJ7">
        <f>ZJ6+IF(AND($C6=139,$L6=1),1,0)</f>
        <v/>
      </c>
      <c r="ZK7">
        <f>ZK6+IF(AND($C6=140,$L6=1),1,0)</f>
        <v/>
      </c>
      <c r="ZL7">
        <f>ZL6+IF(AND($C6=141,$L6=1),1,0)</f>
        <v/>
      </c>
      <c r="ZM7">
        <f>ZM6+IF(AND($C6=142,$L6=1),1,0)</f>
        <v/>
      </c>
      <c r="ZN7">
        <f>ZN6+IF(AND($C6=143,$L6=1),1,0)</f>
        <v/>
      </c>
      <c r="ZO7">
        <f>ZO6+IF(AND($C6=144,$L6=1),1,0)</f>
        <v/>
      </c>
    </row>
    <row r="8">
      <c r="A8" t="n">
        <v>6</v>
      </c>
      <c r="B8">
        <f>IF(MIN(BH8:CZ8)&gt;=1000000,0,MATCH(MIN(BH8:CZ8),BH8:CZ8,0))</f>
        <v/>
      </c>
      <c r="C8">
        <f>IF(MIN(OF8:TS8)&gt;=1000000,0,MATCH(MIN(OF8:TS8),OF8:TS8,0))</f>
        <v/>
      </c>
      <c r="D8">
        <f>IF(C8&gt;0,INDEX('計算A'!$D$5:$EQ$5,C8),0)</f>
        <v/>
      </c>
      <c r="E8">
        <f>IF(B8=0,0,INDEX('計算A'!$IQ$10:$IQ$54,B8))</f>
        <v/>
      </c>
      <c r="F8">
        <f>IF(B8=0,0,INDEX('計算A'!$IP$10:$IP$54,B8))</f>
        <v/>
      </c>
      <c r="G8">
        <f>IF(AND(C8&gt;0,E8&gt;0),IF(AND(INDEX('計算A'!$D$106:$EQ$106,C8)=1,INDEX($IQ8:$OD8,C8)=1),C8+1,0),0)</f>
        <v/>
      </c>
      <c r="H8">
        <f>IF(B8=0,0,INDEX('計算A'!$IW$10:$IW$54,B8))</f>
        <v/>
      </c>
      <c r="I8">
        <f>IF(B8=0,0,MAX(0,INDEX('計算A'!$IT$10:$IT$54,B8)))</f>
        <v/>
      </c>
      <c r="J8">
        <f>IF(I8=0,0,INDEX('計算A'!$D$2:$EQ$2,I8))</f>
        <v/>
      </c>
      <c r="K8">
        <f>IF(I8=0,0,INDEX('計算A'!$D$3:$EQ$3,I8))</f>
        <v/>
      </c>
      <c r="L8">
        <f>IF(B8=0,0,INDEX('計算A'!$IX$10:$IX$54,B8))</f>
        <v/>
      </c>
      <c r="N8">
        <f>MAX(N7,IF($B7=1,1,0))</f>
        <v/>
      </c>
      <c r="O8">
        <f>MAX(O7,IF($B7=2,1,0))</f>
        <v/>
      </c>
      <c r="P8">
        <f>MAX(P7,IF($B7=3,1,0))</f>
        <v/>
      </c>
      <c r="Q8">
        <f>MAX(Q7,IF($B7=4,1,0))</f>
        <v/>
      </c>
      <c r="R8">
        <f>MAX(R7,IF($B7=5,1,0))</f>
        <v/>
      </c>
      <c r="S8">
        <f>MAX(S7,IF($B7=6,1,0))</f>
        <v/>
      </c>
      <c r="T8">
        <f>MAX(T7,IF($B7=7,1,0))</f>
        <v/>
      </c>
      <c r="U8">
        <f>MAX(U7,IF($B7=8,1,0))</f>
        <v/>
      </c>
      <c r="V8">
        <f>MAX(V7,IF($B7=9,1,0))</f>
        <v/>
      </c>
      <c r="W8">
        <f>MAX(W7,IF($B7=10,1,0))</f>
        <v/>
      </c>
      <c r="X8">
        <f>MAX(X7,IF($B7=11,1,0))</f>
        <v/>
      </c>
      <c r="Y8">
        <f>MAX(Y7,IF($B7=12,1,0))</f>
        <v/>
      </c>
      <c r="Z8">
        <f>MAX(Z7,IF($B7=13,1,0))</f>
        <v/>
      </c>
      <c r="AA8">
        <f>MAX(AA7,IF($B7=14,1,0))</f>
        <v/>
      </c>
      <c r="AB8">
        <f>MAX(AB7,IF($B7=15,1,0))</f>
        <v/>
      </c>
      <c r="AC8">
        <f>MAX(AC7,IF($B7=16,1,0))</f>
        <v/>
      </c>
      <c r="AD8">
        <f>MAX(AD7,IF($B7=17,1,0))</f>
        <v/>
      </c>
      <c r="AE8">
        <f>MAX(AE7,IF($B7=18,1,0))</f>
        <v/>
      </c>
      <c r="AF8">
        <f>MAX(AF7,IF($B7=19,1,0))</f>
        <v/>
      </c>
      <c r="AG8">
        <f>MAX(AG7,IF($B7=20,1,0))</f>
        <v/>
      </c>
      <c r="AH8">
        <f>MAX(AH7,IF($B7=21,1,0))</f>
        <v/>
      </c>
      <c r="AI8">
        <f>MAX(AI7,IF($B7=22,1,0))</f>
        <v/>
      </c>
      <c r="AJ8">
        <f>MAX(AJ7,IF($B7=23,1,0))</f>
        <v/>
      </c>
      <c r="AK8">
        <f>MAX(AK7,IF($B7=24,1,0))</f>
        <v/>
      </c>
      <c r="AL8">
        <f>MAX(AL7,IF($B7=25,1,0))</f>
        <v/>
      </c>
      <c r="AM8">
        <f>MAX(AM7,IF($B7=26,1,0))</f>
        <v/>
      </c>
      <c r="AN8">
        <f>MAX(AN7,IF($B7=27,1,0))</f>
        <v/>
      </c>
      <c r="AO8">
        <f>MAX(AO7,IF($B7=28,1,0))</f>
        <v/>
      </c>
      <c r="AP8">
        <f>MAX(AP7,IF($B7=29,1,0))</f>
        <v/>
      </c>
      <c r="AQ8">
        <f>MAX(AQ7,IF($B7=30,1,0))</f>
        <v/>
      </c>
      <c r="AR8">
        <f>MAX(AR7,IF($B7=31,1,0))</f>
        <v/>
      </c>
      <c r="AS8">
        <f>MAX(AS7,IF($B7=32,1,0))</f>
        <v/>
      </c>
      <c r="AT8">
        <f>MAX(AT7,IF($B7=33,1,0))</f>
        <v/>
      </c>
      <c r="AU8">
        <f>MAX(AU7,IF($B7=34,1,0))</f>
        <v/>
      </c>
      <c r="AV8">
        <f>MAX(AV7,IF($B7=35,1,0))</f>
        <v/>
      </c>
      <c r="AW8">
        <f>MAX(AW7,IF($B7=36,1,0))</f>
        <v/>
      </c>
      <c r="AX8">
        <f>MAX(AX7,IF($B7=37,1,0))</f>
        <v/>
      </c>
      <c r="AY8">
        <f>MAX(AY7,IF($B7=38,1,0))</f>
        <v/>
      </c>
      <c r="AZ8">
        <f>MAX(AZ7,IF($B7=39,1,0))</f>
        <v/>
      </c>
      <c r="BA8">
        <f>MAX(BA7,IF($B7=40,1,0))</f>
        <v/>
      </c>
      <c r="BB8">
        <f>MAX(BB7,IF($B7=41,1,0))</f>
        <v/>
      </c>
      <c r="BC8">
        <f>MAX(BC7,IF($B7=42,1,0))</f>
        <v/>
      </c>
      <c r="BD8">
        <f>MAX(BD7,IF($B7=43,1,0))</f>
        <v/>
      </c>
      <c r="BE8">
        <f>MAX(BE7,IF($B7=44,1,0))</f>
        <v/>
      </c>
      <c r="BF8">
        <f>MAX(BF7,IF($B7=45,1,0))</f>
        <v/>
      </c>
      <c r="BH8">
        <f>IF(N8=1,1000000,IF('計算A'!$IT$10&gt;0,0,500000)+IF('計算A'!$IQ$10=2,SUMPRODUCT('計算A'!$D$60:$EQ$60,$DB8:$IO8,$IQ8:$OD8),SUMPRODUCT('計算A'!$D$60:$EQ$60,$DB8:$IO8))*1000+1)</f>
        <v/>
      </c>
      <c r="BI8">
        <f>IF(O8=1,1000000,IF('計算A'!$IT$11&gt;0,0,500000)+IF('計算A'!$IQ$11=2,SUMPRODUCT('計算A'!$D$61:$EQ$61,$DB8:$IO8,$IQ8:$OD8),SUMPRODUCT('計算A'!$D$61:$EQ$61,$DB8:$IO8))*1000+2)</f>
        <v/>
      </c>
      <c r="BJ8">
        <f>IF(P8=1,1000000,IF('計算A'!$IT$12&gt;0,0,500000)+IF('計算A'!$IQ$12=2,SUMPRODUCT('計算A'!$D$62:$EQ$62,$DB8:$IO8,$IQ8:$OD8),SUMPRODUCT('計算A'!$D$62:$EQ$62,$DB8:$IO8))*1000+3)</f>
        <v/>
      </c>
      <c r="BK8">
        <f>IF(Q8=1,1000000,IF('計算A'!$IT$13&gt;0,0,500000)+IF('計算A'!$IQ$13=2,SUMPRODUCT('計算A'!$D$63:$EQ$63,$DB8:$IO8,$IQ8:$OD8),SUMPRODUCT('計算A'!$D$63:$EQ$63,$DB8:$IO8))*1000+4)</f>
        <v/>
      </c>
      <c r="BL8">
        <f>IF(R8=1,1000000,IF('計算A'!$IT$14&gt;0,0,500000)+IF('計算A'!$IQ$14=2,SUMPRODUCT('計算A'!$D$64:$EQ$64,$DB8:$IO8,$IQ8:$OD8),SUMPRODUCT('計算A'!$D$64:$EQ$64,$DB8:$IO8))*1000+5)</f>
        <v/>
      </c>
      <c r="BM8">
        <f>IF(S8=1,1000000,IF('計算A'!$IT$15&gt;0,0,500000)+IF('計算A'!$IQ$15=2,SUMPRODUCT('計算A'!$D$65:$EQ$65,$DB8:$IO8,$IQ8:$OD8),SUMPRODUCT('計算A'!$D$65:$EQ$65,$DB8:$IO8))*1000+6)</f>
        <v/>
      </c>
      <c r="BN8">
        <f>IF(T8=1,1000000,IF('計算A'!$IT$16&gt;0,0,500000)+IF('計算A'!$IQ$16=2,SUMPRODUCT('計算A'!$D$66:$EQ$66,$DB8:$IO8,$IQ8:$OD8),SUMPRODUCT('計算A'!$D$66:$EQ$66,$DB8:$IO8))*1000+7)</f>
        <v/>
      </c>
      <c r="BO8">
        <f>IF(U8=1,1000000,IF('計算A'!$IT$17&gt;0,0,500000)+IF('計算A'!$IQ$17=2,SUMPRODUCT('計算A'!$D$67:$EQ$67,$DB8:$IO8,$IQ8:$OD8),SUMPRODUCT('計算A'!$D$67:$EQ$67,$DB8:$IO8))*1000+8)</f>
        <v/>
      </c>
      <c r="BP8">
        <f>IF(V8=1,1000000,IF('計算A'!$IT$18&gt;0,0,500000)+IF('計算A'!$IQ$18=2,SUMPRODUCT('計算A'!$D$68:$EQ$68,$DB8:$IO8,$IQ8:$OD8),SUMPRODUCT('計算A'!$D$68:$EQ$68,$DB8:$IO8))*1000+9)</f>
        <v/>
      </c>
      <c r="BQ8">
        <f>IF(W8=1,1000000,IF('計算A'!$IT$19&gt;0,0,500000)+IF('計算A'!$IQ$19=2,SUMPRODUCT('計算A'!$D$69:$EQ$69,$DB8:$IO8,$IQ8:$OD8),SUMPRODUCT('計算A'!$D$69:$EQ$69,$DB8:$IO8))*1000+10)</f>
        <v/>
      </c>
      <c r="BR8">
        <f>IF(X8=1,1000000,IF('計算A'!$IT$20&gt;0,0,500000)+IF('計算A'!$IQ$20=2,SUMPRODUCT('計算A'!$D$70:$EQ$70,$DB8:$IO8,$IQ8:$OD8),SUMPRODUCT('計算A'!$D$70:$EQ$70,$DB8:$IO8))*1000+11)</f>
        <v/>
      </c>
      <c r="BS8">
        <f>IF(Y8=1,1000000,IF('計算A'!$IT$21&gt;0,0,500000)+IF('計算A'!$IQ$21=2,SUMPRODUCT('計算A'!$D$71:$EQ$71,$DB8:$IO8,$IQ8:$OD8),SUMPRODUCT('計算A'!$D$71:$EQ$71,$DB8:$IO8))*1000+12)</f>
        <v/>
      </c>
      <c r="BT8">
        <f>IF(Z8=1,1000000,IF('計算A'!$IT$22&gt;0,0,500000)+IF('計算A'!$IQ$22=2,SUMPRODUCT('計算A'!$D$72:$EQ$72,$DB8:$IO8,$IQ8:$OD8),SUMPRODUCT('計算A'!$D$72:$EQ$72,$DB8:$IO8))*1000+13)</f>
        <v/>
      </c>
      <c r="BU8">
        <f>IF(AA8=1,1000000,IF('計算A'!$IT$23&gt;0,0,500000)+IF('計算A'!$IQ$23=2,SUMPRODUCT('計算A'!$D$73:$EQ$73,$DB8:$IO8,$IQ8:$OD8),SUMPRODUCT('計算A'!$D$73:$EQ$73,$DB8:$IO8))*1000+14)</f>
        <v/>
      </c>
      <c r="BV8">
        <f>IF(AB8=1,1000000,IF('計算A'!$IT$24&gt;0,0,500000)+IF('計算A'!$IQ$24=2,SUMPRODUCT('計算A'!$D$74:$EQ$74,$DB8:$IO8,$IQ8:$OD8),SUMPRODUCT('計算A'!$D$74:$EQ$74,$DB8:$IO8))*1000+15)</f>
        <v/>
      </c>
      <c r="BW8">
        <f>IF(AC8=1,1000000,IF('計算A'!$IT$25&gt;0,0,500000)+IF('計算A'!$IQ$25=2,SUMPRODUCT('計算A'!$D$75:$EQ$75,$DB8:$IO8,$IQ8:$OD8),SUMPRODUCT('計算A'!$D$75:$EQ$75,$DB8:$IO8))*1000+16)</f>
        <v/>
      </c>
      <c r="BX8">
        <f>IF(AD8=1,1000000,IF('計算A'!$IT$26&gt;0,0,500000)+IF('計算A'!$IQ$26=2,SUMPRODUCT('計算A'!$D$76:$EQ$76,$DB8:$IO8,$IQ8:$OD8),SUMPRODUCT('計算A'!$D$76:$EQ$76,$DB8:$IO8))*1000+17)</f>
        <v/>
      </c>
      <c r="BY8">
        <f>IF(AE8=1,1000000,IF('計算A'!$IT$27&gt;0,0,500000)+IF('計算A'!$IQ$27=2,SUMPRODUCT('計算A'!$D$77:$EQ$77,$DB8:$IO8,$IQ8:$OD8),SUMPRODUCT('計算A'!$D$77:$EQ$77,$DB8:$IO8))*1000+18)</f>
        <v/>
      </c>
      <c r="BZ8">
        <f>IF(AF8=1,1000000,IF('計算A'!$IT$28&gt;0,0,500000)+IF('計算A'!$IQ$28=2,SUMPRODUCT('計算A'!$D$78:$EQ$78,$DB8:$IO8,$IQ8:$OD8),SUMPRODUCT('計算A'!$D$78:$EQ$78,$DB8:$IO8))*1000+19)</f>
        <v/>
      </c>
      <c r="CA8">
        <f>IF(AG8=1,1000000,IF('計算A'!$IT$29&gt;0,0,500000)+IF('計算A'!$IQ$29=2,SUMPRODUCT('計算A'!$D$79:$EQ$79,$DB8:$IO8,$IQ8:$OD8),SUMPRODUCT('計算A'!$D$79:$EQ$79,$DB8:$IO8))*1000+20)</f>
        <v/>
      </c>
      <c r="CB8">
        <f>IF(AH8=1,1000000,IF('計算A'!$IT$30&gt;0,0,500000)+IF('計算A'!$IQ$30=2,SUMPRODUCT('計算A'!$D$80:$EQ$80,$DB8:$IO8,$IQ8:$OD8),SUMPRODUCT('計算A'!$D$80:$EQ$80,$DB8:$IO8))*1000+21)</f>
        <v/>
      </c>
      <c r="CC8">
        <f>IF(AI8=1,1000000,IF('計算A'!$IT$31&gt;0,0,500000)+IF('計算A'!$IQ$31=2,SUMPRODUCT('計算A'!$D$81:$EQ$81,$DB8:$IO8,$IQ8:$OD8),SUMPRODUCT('計算A'!$D$81:$EQ$81,$DB8:$IO8))*1000+22)</f>
        <v/>
      </c>
      <c r="CD8">
        <f>IF(AJ8=1,1000000,IF('計算A'!$IT$32&gt;0,0,500000)+IF('計算A'!$IQ$32=2,SUMPRODUCT('計算A'!$D$82:$EQ$82,$DB8:$IO8,$IQ8:$OD8),SUMPRODUCT('計算A'!$D$82:$EQ$82,$DB8:$IO8))*1000+23)</f>
        <v/>
      </c>
      <c r="CE8">
        <f>IF(AK8=1,1000000,IF('計算A'!$IT$33&gt;0,0,500000)+IF('計算A'!$IQ$33=2,SUMPRODUCT('計算A'!$D$83:$EQ$83,$DB8:$IO8,$IQ8:$OD8),SUMPRODUCT('計算A'!$D$83:$EQ$83,$DB8:$IO8))*1000+24)</f>
        <v/>
      </c>
      <c r="CF8">
        <f>IF(AL8=1,1000000,IF('計算A'!$IT$34&gt;0,0,500000)+IF('計算A'!$IQ$34=2,SUMPRODUCT('計算A'!$D$84:$EQ$84,$DB8:$IO8,$IQ8:$OD8),SUMPRODUCT('計算A'!$D$84:$EQ$84,$DB8:$IO8))*1000+25)</f>
        <v/>
      </c>
      <c r="CG8">
        <f>IF(AM8=1,1000000,IF('計算A'!$IT$35&gt;0,0,500000)+IF('計算A'!$IQ$35=2,SUMPRODUCT('計算A'!$D$85:$EQ$85,$DB8:$IO8,$IQ8:$OD8),SUMPRODUCT('計算A'!$D$85:$EQ$85,$DB8:$IO8))*1000+26)</f>
        <v/>
      </c>
      <c r="CH8">
        <f>IF(AN8=1,1000000,IF('計算A'!$IT$36&gt;0,0,500000)+IF('計算A'!$IQ$36=2,SUMPRODUCT('計算A'!$D$86:$EQ$86,$DB8:$IO8,$IQ8:$OD8),SUMPRODUCT('計算A'!$D$86:$EQ$86,$DB8:$IO8))*1000+27)</f>
        <v/>
      </c>
      <c r="CI8">
        <f>IF(AO8=1,1000000,IF('計算A'!$IT$37&gt;0,0,500000)+IF('計算A'!$IQ$37=2,SUMPRODUCT('計算A'!$D$87:$EQ$87,$DB8:$IO8,$IQ8:$OD8),SUMPRODUCT('計算A'!$D$87:$EQ$87,$DB8:$IO8))*1000+28)</f>
        <v/>
      </c>
      <c r="CJ8">
        <f>IF(AP8=1,1000000,IF('計算A'!$IT$38&gt;0,0,500000)+IF('計算A'!$IQ$38=2,SUMPRODUCT('計算A'!$D$88:$EQ$88,$DB8:$IO8,$IQ8:$OD8),SUMPRODUCT('計算A'!$D$88:$EQ$88,$DB8:$IO8))*1000+29)</f>
        <v/>
      </c>
      <c r="CK8">
        <f>IF(AQ8=1,1000000,IF('計算A'!$IT$39&gt;0,0,500000)+IF('計算A'!$IQ$39=2,SUMPRODUCT('計算A'!$D$89:$EQ$89,$DB8:$IO8,$IQ8:$OD8),SUMPRODUCT('計算A'!$D$89:$EQ$89,$DB8:$IO8))*1000+30)</f>
        <v/>
      </c>
      <c r="CL8">
        <f>IF(AR8=1,1000000,IF('計算A'!$IT$40&gt;0,0,500000)+IF('計算A'!$IQ$40=2,SUMPRODUCT('計算A'!$D$90:$EQ$90,$DB8:$IO8,$IQ8:$OD8),SUMPRODUCT('計算A'!$D$90:$EQ$90,$DB8:$IO8))*1000+31)</f>
        <v/>
      </c>
      <c r="CM8">
        <f>IF(AS8=1,1000000,IF('計算A'!$IT$41&gt;0,0,500000)+IF('計算A'!$IQ$41=2,SUMPRODUCT('計算A'!$D$91:$EQ$91,$DB8:$IO8,$IQ8:$OD8),SUMPRODUCT('計算A'!$D$91:$EQ$91,$DB8:$IO8))*1000+32)</f>
        <v/>
      </c>
      <c r="CN8">
        <f>IF(AT8=1,1000000,IF('計算A'!$IT$42&gt;0,0,500000)+IF('計算A'!$IQ$42=2,SUMPRODUCT('計算A'!$D$92:$EQ$92,$DB8:$IO8,$IQ8:$OD8),SUMPRODUCT('計算A'!$D$92:$EQ$92,$DB8:$IO8))*1000+33)</f>
        <v/>
      </c>
      <c r="CO8">
        <f>IF(AU8=1,1000000,IF('計算A'!$IT$43&gt;0,0,500000)+IF('計算A'!$IQ$43=2,SUMPRODUCT('計算A'!$D$93:$EQ$93,$DB8:$IO8,$IQ8:$OD8),SUMPRODUCT('計算A'!$D$93:$EQ$93,$DB8:$IO8))*1000+34)</f>
        <v/>
      </c>
      <c r="CP8">
        <f>IF(AV8=1,1000000,IF('計算A'!$IT$44&gt;0,0,500000)+IF('計算A'!$IQ$44=2,SUMPRODUCT('計算A'!$D$94:$EQ$94,$DB8:$IO8,$IQ8:$OD8),SUMPRODUCT('計算A'!$D$94:$EQ$94,$DB8:$IO8))*1000+35)</f>
        <v/>
      </c>
      <c r="CQ8">
        <f>IF(AW8=1,1000000,IF('計算A'!$IT$45&gt;0,0,500000)+IF('計算A'!$IQ$45=2,SUMPRODUCT('計算A'!$D$95:$EQ$95,$DB8:$IO8,$IQ8:$OD8),SUMPRODUCT('計算A'!$D$95:$EQ$95,$DB8:$IO8))*1000+36)</f>
        <v/>
      </c>
      <c r="CR8">
        <f>IF(AX8=1,1000000,IF('計算A'!$IT$46&gt;0,0,500000)+IF('計算A'!$IQ$46=2,SUMPRODUCT('計算A'!$D$96:$EQ$96,$DB8:$IO8,$IQ8:$OD8),SUMPRODUCT('計算A'!$D$96:$EQ$96,$DB8:$IO8))*1000+37)</f>
        <v/>
      </c>
      <c r="CS8">
        <f>IF(AY8=1,1000000,IF('計算A'!$IT$47&gt;0,0,500000)+IF('計算A'!$IQ$47=2,SUMPRODUCT('計算A'!$D$97:$EQ$97,$DB8:$IO8,$IQ8:$OD8),SUMPRODUCT('計算A'!$D$97:$EQ$97,$DB8:$IO8))*1000+38)</f>
        <v/>
      </c>
      <c r="CT8">
        <f>IF(AZ8=1,1000000,IF('計算A'!$IT$48&gt;0,0,500000)+IF('計算A'!$IQ$48=2,SUMPRODUCT('計算A'!$D$98:$EQ$98,$DB8:$IO8,$IQ8:$OD8),SUMPRODUCT('計算A'!$D$98:$EQ$98,$DB8:$IO8))*1000+39)</f>
        <v/>
      </c>
      <c r="CU8">
        <f>IF(BA8=1,1000000,IF('計算A'!$IT$49&gt;0,0,500000)+IF('計算A'!$IQ$49=2,SUMPRODUCT('計算A'!$D$99:$EQ$99,$DB8:$IO8,$IQ8:$OD8),SUMPRODUCT('計算A'!$D$99:$EQ$99,$DB8:$IO8))*1000+40)</f>
        <v/>
      </c>
      <c r="CV8">
        <f>IF(BB8=1,1000000,IF('計算A'!$IT$50&gt;0,0,500000)+IF('計算A'!$IQ$50=2,SUMPRODUCT('計算A'!$D$100:$EQ$100,$DB8:$IO8,$IQ8:$OD8),SUMPRODUCT('計算A'!$D$100:$EQ$100,$DB8:$IO8))*1000+41)</f>
        <v/>
      </c>
      <c r="CW8">
        <f>IF(BC8=1,1000000,IF('計算A'!$IT$51&gt;0,0,500000)+IF('計算A'!$IQ$51=2,SUMPRODUCT('計算A'!$D$101:$EQ$101,$DB8:$IO8,$IQ8:$OD8),SUMPRODUCT('計算A'!$D$101:$EQ$101,$DB8:$IO8))*1000+42)</f>
        <v/>
      </c>
      <c r="CX8">
        <f>IF(BD8=1,1000000,IF('計算A'!$IT$52&gt;0,0,500000)+IF('計算A'!$IQ$52=2,SUMPRODUCT('計算A'!$D$102:$EQ$102,$DB8:$IO8,$IQ8:$OD8),SUMPRODUCT('計算A'!$D$102:$EQ$102,$DB8:$IO8))*1000+43)</f>
        <v/>
      </c>
      <c r="CY8">
        <f>IF(BE8=1,1000000,IF('計算A'!$IT$53&gt;0,0,500000)+IF('計算A'!$IQ$53=2,SUMPRODUCT('計算A'!$D$103:$EQ$103,$DB8:$IO8,$IQ8:$OD8),SUMPRODUCT('計算A'!$D$103:$EQ$103,$DB8:$IO8))*1000+44)</f>
        <v/>
      </c>
      <c r="CZ8">
        <f>IF(BF8=1,1000000,IF('計算A'!$IT$54&gt;0,0,500000)+IF('計算A'!$IQ$54=2,SUMPRODUCT('計算A'!$D$104:$EQ$104,$DB8:$IO8,$IQ8:$OD8),SUMPRODUCT('計算A'!$D$104:$EQ$104,$DB8:$IO8))*1000+45)</f>
        <v/>
      </c>
      <c r="DB8">
        <f>DB7*IF(OR($C7=1,$G7=1),0,1)</f>
        <v/>
      </c>
      <c r="DC8">
        <f>DC7*IF(OR($C7=2,$G7=2),0,1)</f>
        <v/>
      </c>
      <c r="DD8">
        <f>DD7*IF(OR($C7=3,$G7=3),0,1)</f>
        <v/>
      </c>
      <c r="DE8">
        <f>DE7*IF(OR($C7=4,$G7=4),0,1)</f>
        <v/>
      </c>
      <c r="DF8">
        <f>DF7*IF(OR($C7=5,$G7=5),0,1)</f>
        <v/>
      </c>
      <c r="DG8">
        <f>DG7*IF(OR($C7=6,$G7=6),0,1)</f>
        <v/>
      </c>
      <c r="DH8">
        <f>DH7*IF(OR($C7=7,$G7=7),0,1)</f>
        <v/>
      </c>
      <c r="DI8">
        <f>DI7*IF(OR($C7=8,$G7=8),0,1)</f>
        <v/>
      </c>
      <c r="DJ8">
        <f>DJ7*IF(OR($C7=9,$G7=9),0,1)</f>
        <v/>
      </c>
      <c r="DK8">
        <f>DK7*IF(OR($C7=10,$G7=10),0,1)</f>
        <v/>
      </c>
      <c r="DL8">
        <f>DL7*IF(OR($C7=11,$G7=11),0,1)</f>
        <v/>
      </c>
      <c r="DM8">
        <f>DM7*IF(OR($C7=12,$G7=12),0,1)</f>
        <v/>
      </c>
      <c r="DN8">
        <f>DN7*IF(OR($C7=13,$G7=13),0,1)</f>
        <v/>
      </c>
      <c r="DO8">
        <f>DO7*IF(OR($C7=14,$G7=14),0,1)</f>
        <v/>
      </c>
      <c r="DP8">
        <f>DP7*IF(OR($C7=15,$G7=15),0,1)</f>
        <v/>
      </c>
      <c r="DQ8">
        <f>DQ7*IF(OR($C7=16,$G7=16),0,1)</f>
        <v/>
      </c>
      <c r="DR8">
        <f>DR7*IF(OR($C7=17,$G7=17),0,1)</f>
        <v/>
      </c>
      <c r="DS8">
        <f>DS7*IF(OR($C7=18,$G7=18),0,1)</f>
        <v/>
      </c>
      <c r="DT8">
        <f>DT7*IF(OR($C7=19,$G7=19),0,1)</f>
        <v/>
      </c>
      <c r="DU8">
        <f>DU7*IF(OR($C7=20,$G7=20),0,1)</f>
        <v/>
      </c>
      <c r="DV8">
        <f>DV7*IF(OR($C7=21,$G7=21),0,1)</f>
        <v/>
      </c>
      <c r="DW8">
        <f>DW7*IF(OR($C7=22,$G7=22),0,1)</f>
        <v/>
      </c>
      <c r="DX8">
        <f>DX7*IF(OR($C7=23,$G7=23),0,1)</f>
        <v/>
      </c>
      <c r="DY8">
        <f>DY7*IF(OR($C7=24,$G7=24),0,1)</f>
        <v/>
      </c>
      <c r="DZ8">
        <f>DZ7*IF(OR($C7=25,$G7=25),0,1)</f>
        <v/>
      </c>
      <c r="EA8">
        <f>EA7*IF(OR($C7=26,$G7=26),0,1)</f>
        <v/>
      </c>
      <c r="EB8">
        <f>EB7*IF(OR($C7=27,$G7=27),0,1)</f>
        <v/>
      </c>
      <c r="EC8">
        <f>EC7*IF(OR($C7=28,$G7=28),0,1)</f>
        <v/>
      </c>
      <c r="ED8">
        <f>ED7*IF(OR($C7=29,$G7=29),0,1)</f>
        <v/>
      </c>
      <c r="EE8">
        <f>EE7*IF(OR($C7=30,$G7=30),0,1)</f>
        <v/>
      </c>
      <c r="EF8">
        <f>EF7*IF(OR($C7=31,$G7=31),0,1)</f>
        <v/>
      </c>
      <c r="EG8">
        <f>EG7*IF(OR($C7=32,$G7=32),0,1)</f>
        <v/>
      </c>
      <c r="EH8">
        <f>EH7*IF(OR($C7=33,$G7=33),0,1)</f>
        <v/>
      </c>
      <c r="EI8">
        <f>EI7*IF(OR($C7=34,$G7=34),0,1)</f>
        <v/>
      </c>
      <c r="EJ8">
        <f>EJ7*IF(OR($C7=35,$G7=35),0,1)</f>
        <v/>
      </c>
      <c r="EK8">
        <f>EK7*IF(OR($C7=36,$G7=36),0,1)</f>
        <v/>
      </c>
      <c r="EL8">
        <f>EL7*IF(OR($C7=37,$G7=37),0,1)</f>
        <v/>
      </c>
      <c r="EM8">
        <f>EM7*IF(OR($C7=38,$G7=38),0,1)</f>
        <v/>
      </c>
      <c r="EN8">
        <f>EN7*IF(OR($C7=39,$G7=39),0,1)</f>
        <v/>
      </c>
      <c r="EO8">
        <f>EO7*IF(OR($C7=40,$G7=40),0,1)</f>
        <v/>
      </c>
      <c r="EP8">
        <f>EP7*IF(OR($C7=41,$G7=41),0,1)</f>
        <v/>
      </c>
      <c r="EQ8">
        <f>EQ7*IF(OR($C7=42,$G7=42),0,1)</f>
        <v/>
      </c>
      <c r="ER8">
        <f>ER7*IF(OR($C7=43,$G7=43),0,1)</f>
        <v/>
      </c>
      <c r="ES8">
        <f>ES7*IF(OR($C7=44,$G7=44),0,1)</f>
        <v/>
      </c>
      <c r="ET8">
        <f>ET7*IF(OR($C7=45,$G7=45),0,1)</f>
        <v/>
      </c>
      <c r="EU8">
        <f>EU7*IF(OR($C7=46,$G7=46),0,1)</f>
        <v/>
      </c>
      <c r="EV8">
        <f>EV7*IF(OR($C7=47,$G7=47),0,1)</f>
        <v/>
      </c>
      <c r="EW8">
        <f>EW7*IF(OR($C7=48,$G7=48),0,1)</f>
        <v/>
      </c>
      <c r="EX8">
        <f>EX7*IF(OR($C7=49,$G7=49),0,1)</f>
        <v/>
      </c>
      <c r="EY8">
        <f>EY7*IF(OR($C7=50,$G7=50),0,1)</f>
        <v/>
      </c>
      <c r="EZ8">
        <f>EZ7*IF(OR($C7=51,$G7=51),0,1)</f>
        <v/>
      </c>
      <c r="FA8">
        <f>FA7*IF(OR($C7=52,$G7=52),0,1)</f>
        <v/>
      </c>
      <c r="FB8">
        <f>FB7*IF(OR($C7=53,$G7=53),0,1)</f>
        <v/>
      </c>
      <c r="FC8">
        <f>FC7*IF(OR($C7=54,$G7=54),0,1)</f>
        <v/>
      </c>
      <c r="FD8">
        <f>FD7*IF(OR($C7=55,$G7=55),0,1)</f>
        <v/>
      </c>
      <c r="FE8">
        <f>FE7*IF(OR($C7=56,$G7=56),0,1)</f>
        <v/>
      </c>
      <c r="FF8">
        <f>FF7*IF(OR($C7=57,$G7=57),0,1)</f>
        <v/>
      </c>
      <c r="FG8">
        <f>FG7*IF(OR($C7=58,$G7=58),0,1)</f>
        <v/>
      </c>
      <c r="FH8">
        <f>FH7*IF(OR($C7=59,$G7=59),0,1)</f>
        <v/>
      </c>
      <c r="FI8">
        <f>FI7*IF(OR($C7=60,$G7=60),0,1)</f>
        <v/>
      </c>
      <c r="FJ8">
        <f>FJ7*IF(OR($C7=61,$G7=61),0,1)</f>
        <v/>
      </c>
      <c r="FK8">
        <f>FK7*IF(OR($C7=62,$G7=62),0,1)</f>
        <v/>
      </c>
      <c r="FL8">
        <f>FL7*IF(OR($C7=63,$G7=63),0,1)</f>
        <v/>
      </c>
      <c r="FM8">
        <f>FM7*IF(OR($C7=64,$G7=64),0,1)</f>
        <v/>
      </c>
      <c r="FN8">
        <f>FN7*IF(OR($C7=65,$G7=65),0,1)</f>
        <v/>
      </c>
      <c r="FO8">
        <f>FO7*IF(OR($C7=66,$G7=66),0,1)</f>
        <v/>
      </c>
      <c r="FP8">
        <f>FP7*IF(OR($C7=67,$G7=67),0,1)</f>
        <v/>
      </c>
      <c r="FQ8">
        <f>FQ7*IF(OR($C7=68,$G7=68),0,1)</f>
        <v/>
      </c>
      <c r="FR8">
        <f>FR7*IF(OR($C7=69,$G7=69),0,1)</f>
        <v/>
      </c>
      <c r="FS8">
        <f>FS7*IF(OR($C7=70,$G7=70),0,1)</f>
        <v/>
      </c>
      <c r="FT8">
        <f>FT7*IF(OR($C7=71,$G7=71),0,1)</f>
        <v/>
      </c>
      <c r="FU8">
        <f>FU7*IF(OR($C7=72,$G7=72),0,1)</f>
        <v/>
      </c>
      <c r="FV8">
        <f>FV7*IF(OR($C7=73,$G7=73),0,1)</f>
        <v/>
      </c>
      <c r="FW8">
        <f>FW7*IF(OR($C7=74,$G7=74),0,1)</f>
        <v/>
      </c>
      <c r="FX8">
        <f>FX7*IF(OR($C7=75,$G7=75),0,1)</f>
        <v/>
      </c>
      <c r="FY8">
        <f>FY7*IF(OR($C7=76,$G7=76),0,1)</f>
        <v/>
      </c>
      <c r="FZ8">
        <f>FZ7*IF(OR($C7=77,$G7=77),0,1)</f>
        <v/>
      </c>
      <c r="GA8">
        <f>GA7*IF(OR($C7=78,$G7=78),0,1)</f>
        <v/>
      </c>
      <c r="GB8">
        <f>GB7*IF(OR($C7=79,$G7=79),0,1)</f>
        <v/>
      </c>
      <c r="GC8">
        <f>GC7*IF(OR($C7=80,$G7=80),0,1)</f>
        <v/>
      </c>
      <c r="GD8">
        <f>GD7*IF(OR($C7=81,$G7=81),0,1)</f>
        <v/>
      </c>
      <c r="GE8">
        <f>GE7*IF(OR($C7=82,$G7=82),0,1)</f>
        <v/>
      </c>
      <c r="GF8">
        <f>GF7*IF(OR($C7=83,$G7=83),0,1)</f>
        <v/>
      </c>
      <c r="GG8">
        <f>GG7*IF(OR($C7=84,$G7=84),0,1)</f>
        <v/>
      </c>
      <c r="GH8">
        <f>GH7*IF(OR($C7=85,$G7=85),0,1)</f>
        <v/>
      </c>
      <c r="GI8">
        <f>GI7*IF(OR($C7=86,$G7=86),0,1)</f>
        <v/>
      </c>
      <c r="GJ8">
        <f>GJ7*IF(OR($C7=87,$G7=87),0,1)</f>
        <v/>
      </c>
      <c r="GK8">
        <f>GK7*IF(OR($C7=88,$G7=88),0,1)</f>
        <v/>
      </c>
      <c r="GL8">
        <f>GL7*IF(OR($C7=89,$G7=89),0,1)</f>
        <v/>
      </c>
      <c r="GM8">
        <f>GM7*IF(OR($C7=90,$G7=90),0,1)</f>
        <v/>
      </c>
      <c r="GN8">
        <f>GN7*IF(OR($C7=91,$G7=91),0,1)</f>
        <v/>
      </c>
      <c r="GO8">
        <f>GO7*IF(OR($C7=92,$G7=92),0,1)</f>
        <v/>
      </c>
      <c r="GP8">
        <f>GP7*IF(OR($C7=93,$G7=93),0,1)</f>
        <v/>
      </c>
      <c r="GQ8">
        <f>GQ7*IF(OR($C7=94,$G7=94),0,1)</f>
        <v/>
      </c>
      <c r="GR8">
        <f>GR7*IF(OR($C7=95,$G7=95),0,1)</f>
        <v/>
      </c>
      <c r="GS8">
        <f>GS7*IF(OR($C7=96,$G7=96),0,1)</f>
        <v/>
      </c>
      <c r="GT8">
        <f>GT7*IF(OR($C7=97,$G7=97),0,1)</f>
        <v/>
      </c>
      <c r="GU8">
        <f>GU7*IF(OR($C7=98,$G7=98),0,1)</f>
        <v/>
      </c>
      <c r="GV8">
        <f>GV7*IF(OR($C7=99,$G7=99),0,1)</f>
        <v/>
      </c>
      <c r="GW8">
        <f>GW7*IF(OR($C7=100,$G7=100),0,1)</f>
        <v/>
      </c>
      <c r="GX8">
        <f>GX7*IF(OR($C7=101,$G7=101),0,1)</f>
        <v/>
      </c>
      <c r="GY8">
        <f>GY7*IF(OR($C7=102,$G7=102),0,1)</f>
        <v/>
      </c>
      <c r="GZ8">
        <f>GZ7*IF(OR($C7=103,$G7=103),0,1)</f>
        <v/>
      </c>
      <c r="HA8">
        <f>HA7*IF(OR($C7=104,$G7=104),0,1)</f>
        <v/>
      </c>
      <c r="HB8">
        <f>HB7*IF(OR($C7=105,$G7=105),0,1)</f>
        <v/>
      </c>
      <c r="HC8">
        <f>HC7*IF(OR($C7=106,$G7=106),0,1)</f>
        <v/>
      </c>
      <c r="HD8">
        <f>HD7*IF(OR($C7=107,$G7=107),0,1)</f>
        <v/>
      </c>
      <c r="HE8">
        <f>HE7*IF(OR($C7=108,$G7=108),0,1)</f>
        <v/>
      </c>
      <c r="HF8">
        <f>HF7*IF(OR($C7=109,$G7=109),0,1)</f>
        <v/>
      </c>
      <c r="HG8">
        <f>HG7*IF(OR($C7=110,$G7=110),0,1)</f>
        <v/>
      </c>
      <c r="HH8">
        <f>HH7*IF(OR($C7=111,$G7=111),0,1)</f>
        <v/>
      </c>
      <c r="HI8">
        <f>HI7*IF(OR($C7=112,$G7=112),0,1)</f>
        <v/>
      </c>
      <c r="HJ8">
        <f>HJ7*IF(OR($C7=113,$G7=113),0,1)</f>
        <v/>
      </c>
      <c r="HK8">
        <f>HK7*IF(OR($C7=114,$G7=114),0,1)</f>
        <v/>
      </c>
      <c r="HL8">
        <f>HL7*IF(OR($C7=115,$G7=115),0,1)</f>
        <v/>
      </c>
      <c r="HM8">
        <f>HM7*IF(OR($C7=116,$G7=116),0,1)</f>
        <v/>
      </c>
      <c r="HN8">
        <f>HN7*IF(OR($C7=117,$G7=117),0,1)</f>
        <v/>
      </c>
      <c r="HO8">
        <f>HO7*IF(OR($C7=118,$G7=118),0,1)</f>
        <v/>
      </c>
      <c r="HP8">
        <f>HP7*IF(OR($C7=119,$G7=119),0,1)</f>
        <v/>
      </c>
      <c r="HQ8">
        <f>HQ7*IF(OR($C7=120,$G7=120),0,1)</f>
        <v/>
      </c>
      <c r="HR8">
        <f>HR7*IF(OR($C7=121,$G7=121),0,1)</f>
        <v/>
      </c>
      <c r="HS8">
        <f>HS7*IF(OR($C7=122,$G7=122),0,1)</f>
        <v/>
      </c>
      <c r="HT8">
        <f>HT7*IF(OR($C7=123,$G7=123),0,1)</f>
        <v/>
      </c>
      <c r="HU8">
        <f>HU7*IF(OR($C7=124,$G7=124),0,1)</f>
        <v/>
      </c>
      <c r="HV8">
        <f>HV7*IF(OR($C7=125,$G7=125),0,1)</f>
        <v/>
      </c>
      <c r="HW8">
        <f>HW7*IF(OR($C7=126,$G7=126),0,1)</f>
        <v/>
      </c>
      <c r="HX8">
        <f>HX7*IF(OR($C7=127,$G7=127),0,1)</f>
        <v/>
      </c>
      <c r="HY8">
        <f>HY7*IF(OR($C7=128,$G7=128),0,1)</f>
        <v/>
      </c>
      <c r="HZ8">
        <f>HZ7*IF(OR($C7=129,$G7=129),0,1)</f>
        <v/>
      </c>
      <c r="IA8">
        <f>IA7*IF(OR($C7=130,$G7=130),0,1)</f>
        <v/>
      </c>
      <c r="IB8">
        <f>IB7*IF(OR($C7=131,$G7=131),0,1)</f>
        <v/>
      </c>
      <c r="IC8">
        <f>IC7*IF(OR($C7=132,$G7=132),0,1)</f>
        <v/>
      </c>
      <c r="ID8">
        <f>ID7*IF(OR($C7=133,$G7=133),0,1)</f>
        <v/>
      </c>
      <c r="IE8">
        <f>IE7*IF(OR($C7=134,$G7=134),0,1)</f>
        <v/>
      </c>
      <c r="IF8">
        <f>IF7*IF(OR($C7=135,$G7=135),0,1)</f>
        <v/>
      </c>
      <c r="IG8">
        <f>IG7*IF(OR($C7=136,$G7=136),0,1)</f>
        <v/>
      </c>
      <c r="IH8">
        <f>IH7*IF(OR($C7=137,$G7=137),0,1)</f>
        <v/>
      </c>
      <c r="II8">
        <f>II7*IF(OR($C7=138,$G7=138),0,1)</f>
        <v/>
      </c>
      <c r="IJ8">
        <f>IJ7*IF(OR($C7=139,$G7=139),0,1)</f>
        <v/>
      </c>
      <c r="IK8">
        <f>IK7*IF(OR($C7=140,$G7=140),0,1)</f>
        <v/>
      </c>
      <c r="IL8">
        <f>IL7*IF(OR($C7=141,$G7=141),0,1)</f>
        <v/>
      </c>
      <c r="IM8">
        <f>IM7*IF(OR($C7=142,$G7=142),0,1)</f>
        <v/>
      </c>
      <c r="IN8">
        <f>IN7*IF(OR($C7=143,$G7=143),0,1)</f>
        <v/>
      </c>
      <c r="IO8">
        <f>IO7*IF(OR($C7=144,$G7=144),0,1)</f>
        <v/>
      </c>
      <c r="IQ8">
        <f>IF('計算A'!D$106=1,DC8,1)</f>
        <v/>
      </c>
      <c r="IR8">
        <f>IF('計算A'!E$106=1,DD8,1)</f>
        <v/>
      </c>
      <c r="IS8">
        <f>IF('計算A'!F$106=1,DE8,1)</f>
        <v/>
      </c>
      <c r="IT8">
        <f>IF('計算A'!G$106=1,DF8,1)</f>
        <v/>
      </c>
      <c r="IU8">
        <f>IF('計算A'!H$106=1,DG8,1)</f>
        <v/>
      </c>
      <c r="IV8">
        <f>IF('計算A'!I$106=1,DH8,1)</f>
        <v/>
      </c>
      <c r="IW8">
        <f>IF('計算A'!J$106=1,DI8,1)</f>
        <v/>
      </c>
      <c r="IX8">
        <f>IF('計算A'!K$106=1,DJ8,1)</f>
        <v/>
      </c>
      <c r="IY8">
        <f>IF('計算A'!L$106=1,DK8,1)</f>
        <v/>
      </c>
      <c r="IZ8">
        <f>IF('計算A'!M$106=1,DL8,1)</f>
        <v/>
      </c>
      <c r="JA8">
        <f>IF('計算A'!N$106=1,DM8,1)</f>
        <v/>
      </c>
      <c r="JB8">
        <f>IF('計算A'!O$106=1,DN8,1)</f>
        <v/>
      </c>
      <c r="JC8">
        <f>IF('計算A'!P$106=1,DO8,1)</f>
        <v/>
      </c>
      <c r="JD8">
        <f>IF('計算A'!Q$106=1,DP8,1)</f>
        <v/>
      </c>
      <c r="JE8">
        <f>IF('計算A'!R$106=1,DQ8,1)</f>
        <v/>
      </c>
      <c r="JF8">
        <f>IF('計算A'!S$106=1,DR8,1)</f>
        <v/>
      </c>
      <c r="JG8">
        <f>IF('計算A'!T$106=1,DS8,1)</f>
        <v/>
      </c>
      <c r="JH8">
        <f>IF('計算A'!U$106=1,DT8,1)</f>
        <v/>
      </c>
      <c r="JI8">
        <f>IF('計算A'!V$106=1,DU8,1)</f>
        <v/>
      </c>
      <c r="JJ8">
        <f>IF('計算A'!W$106=1,DV8,1)</f>
        <v/>
      </c>
      <c r="JK8">
        <f>IF('計算A'!X$106=1,DW8,1)</f>
        <v/>
      </c>
      <c r="JL8">
        <f>IF('計算A'!Y$106=1,DX8,1)</f>
        <v/>
      </c>
      <c r="JM8">
        <f>IF('計算A'!Z$106=1,DY8,1)</f>
        <v/>
      </c>
      <c r="JN8">
        <f>IF('計算A'!AA$106=1,DZ8,1)</f>
        <v/>
      </c>
      <c r="JO8">
        <f>IF('計算A'!AB$106=1,EA8,1)</f>
        <v/>
      </c>
      <c r="JP8">
        <f>IF('計算A'!AC$106=1,EB8,1)</f>
        <v/>
      </c>
      <c r="JQ8">
        <f>IF('計算A'!AD$106=1,EC8,1)</f>
        <v/>
      </c>
      <c r="JR8">
        <f>IF('計算A'!AE$106=1,ED8,1)</f>
        <v/>
      </c>
      <c r="JS8">
        <f>IF('計算A'!AF$106=1,EE8,1)</f>
        <v/>
      </c>
      <c r="JT8">
        <f>IF('計算A'!AG$106=1,EF8,1)</f>
        <v/>
      </c>
      <c r="JU8">
        <f>IF('計算A'!AH$106=1,EG8,1)</f>
        <v/>
      </c>
      <c r="JV8">
        <f>IF('計算A'!AI$106=1,EH8,1)</f>
        <v/>
      </c>
      <c r="JW8">
        <f>IF('計算A'!AJ$106=1,EI8,1)</f>
        <v/>
      </c>
      <c r="JX8">
        <f>IF('計算A'!AK$106=1,EJ8,1)</f>
        <v/>
      </c>
      <c r="JY8">
        <f>IF('計算A'!AL$106=1,EK8,1)</f>
        <v/>
      </c>
      <c r="JZ8">
        <f>IF('計算A'!AM$106=1,EL8,1)</f>
        <v/>
      </c>
      <c r="KA8">
        <f>IF('計算A'!AN$106=1,EM8,1)</f>
        <v/>
      </c>
      <c r="KB8">
        <f>IF('計算A'!AO$106=1,EN8,1)</f>
        <v/>
      </c>
      <c r="KC8">
        <f>IF('計算A'!AP$106=1,EO8,1)</f>
        <v/>
      </c>
      <c r="KD8">
        <f>IF('計算A'!AQ$106=1,EP8,1)</f>
        <v/>
      </c>
      <c r="KE8">
        <f>IF('計算A'!AR$106=1,EQ8,1)</f>
        <v/>
      </c>
      <c r="KF8">
        <f>IF('計算A'!AS$106=1,ER8,1)</f>
        <v/>
      </c>
      <c r="KG8">
        <f>IF('計算A'!AT$106=1,ES8,1)</f>
        <v/>
      </c>
      <c r="KH8">
        <f>IF('計算A'!AU$106=1,ET8,1)</f>
        <v/>
      </c>
      <c r="KI8">
        <f>IF('計算A'!AV$106=1,EU8,1)</f>
        <v/>
      </c>
      <c r="KJ8">
        <f>IF('計算A'!AW$106=1,EV8,1)</f>
        <v/>
      </c>
      <c r="KK8">
        <f>IF('計算A'!AX$106=1,EW8,1)</f>
        <v/>
      </c>
      <c r="KL8">
        <f>IF('計算A'!AY$106=1,EX8,1)</f>
        <v/>
      </c>
      <c r="KM8">
        <f>IF('計算A'!AZ$106=1,EY8,1)</f>
        <v/>
      </c>
      <c r="KN8">
        <f>IF('計算A'!BA$106=1,EZ8,1)</f>
        <v/>
      </c>
      <c r="KO8">
        <f>IF('計算A'!BB$106=1,FA8,1)</f>
        <v/>
      </c>
      <c r="KP8">
        <f>IF('計算A'!BC$106=1,FB8,1)</f>
        <v/>
      </c>
      <c r="KQ8">
        <f>IF('計算A'!BD$106=1,FC8,1)</f>
        <v/>
      </c>
      <c r="KR8">
        <f>IF('計算A'!BE$106=1,FD8,1)</f>
        <v/>
      </c>
      <c r="KS8">
        <f>IF('計算A'!BF$106=1,FE8,1)</f>
        <v/>
      </c>
      <c r="KT8">
        <f>IF('計算A'!BG$106=1,FF8,1)</f>
        <v/>
      </c>
      <c r="KU8">
        <f>IF('計算A'!BH$106=1,FG8,1)</f>
        <v/>
      </c>
      <c r="KV8">
        <f>IF('計算A'!BI$106=1,FH8,1)</f>
        <v/>
      </c>
      <c r="KW8">
        <f>IF('計算A'!BJ$106=1,FI8,1)</f>
        <v/>
      </c>
      <c r="KX8">
        <f>IF('計算A'!BK$106=1,FJ8,1)</f>
        <v/>
      </c>
      <c r="KY8">
        <f>IF('計算A'!BL$106=1,FK8,1)</f>
        <v/>
      </c>
      <c r="KZ8">
        <f>IF('計算A'!BM$106=1,FL8,1)</f>
        <v/>
      </c>
      <c r="LA8">
        <f>IF('計算A'!BN$106=1,FM8,1)</f>
        <v/>
      </c>
      <c r="LB8">
        <f>IF('計算A'!BO$106=1,FN8,1)</f>
        <v/>
      </c>
      <c r="LC8">
        <f>IF('計算A'!BP$106=1,FO8,1)</f>
        <v/>
      </c>
      <c r="LD8">
        <f>IF('計算A'!BQ$106=1,FP8,1)</f>
        <v/>
      </c>
      <c r="LE8">
        <f>IF('計算A'!BR$106=1,FQ8,1)</f>
        <v/>
      </c>
      <c r="LF8">
        <f>IF('計算A'!BS$106=1,FR8,1)</f>
        <v/>
      </c>
      <c r="LG8">
        <f>IF('計算A'!BT$106=1,FS8,1)</f>
        <v/>
      </c>
      <c r="LH8">
        <f>IF('計算A'!BU$106=1,FT8,1)</f>
        <v/>
      </c>
      <c r="LI8">
        <f>IF('計算A'!BV$106=1,FU8,1)</f>
        <v/>
      </c>
      <c r="LJ8">
        <f>IF('計算A'!BW$106=1,FV8,1)</f>
        <v/>
      </c>
      <c r="LK8">
        <f>IF('計算A'!BX$106=1,FW8,1)</f>
        <v/>
      </c>
      <c r="LL8">
        <f>IF('計算A'!BY$106=1,FX8,1)</f>
        <v/>
      </c>
      <c r="LM8">
        <f>IF('計算A'!BZ$106=1,FY8,1)</f>
        <v/>
      </c>
      <c r="LN8">
        <f>IF('計算A'!CA$106=1,FZ8,1)</f>
        <v/>
      </c>
      <c r="LO8">
        <f>IF('計算A'!CB$106=1,GA8,1)</f>
        <v/>
      </c>
      <c r="LP8">
        <f>IF('計算A'!CC$106=1,GB8,1)</f>
        <v/>
      </c>
      <c r="LQ8">
        <f>IF('計算A'!CD$106=1,GC8,1)</f>
        <v/>
      </c>
      <c r="LR8">
        <f>IF('計算A'!CE$106=1,GD8,1)</f>
        <v/>
      </c>
      <c r="LS8">
        <f>IF('計算A'!CF$106=1,GE8,1)</f>
        <v/>
      </c>
      <c r="LT8">
        <f>IF('計算A'!CG$106=1,GF8,1)</f>
        <v/>
      </c>
      <c r="LU8">
        <f>IF('計算A'!CH$106=1,GG8,1)</f>
        <v/>
      </c>
      <c r="LV8">
        <f>IF('計算A'!CI$106=1,GH8,1)</f>
        <v/>
      </c>
      <c r="LW8">
        <f>IF('計算A'!CJ$106=1,GI8,1)</f>
        <v/>
      </c>
      <c r="LX8">
        <f>IF('計算A'!CK$106=1,GJ8,1)</f>
        <v/>
      </c>
      <c r="LY8">
        <f>IF('計算A'!CL$106=1,GK8,1)</f>
        <v/>
      </c>
      <c r="LZ8">
        <f>IF('計算A'!CM$106=1,GL8,1)</f>
        <v/>
      </c>
      <c r="MA8">
        <f>IF('計算A'!CN$106=1,GM8,1)</f>
        <v/>
      </c>
      <c r="MB8">
        <f>IF('計算A'!CO$106=1,GN8,1)</f>
        <v/>
      </c>
      <c r="MC8">
        <f>IF('計算A'!CP$106=1,GO8,1)</f>
        <v/>
      </c>
      <c r="MD8">
        <f>IF('計算A'!CQ$106=1,GP8,1)</f>
        <v/>
      </c>
      <c r="ME8">
        <f>IF('計算A'!CR$106=1,GQ8,1)</f>
        <v/>
      </c>
      <c r="MF8">
        <f>IF('計算A'!CS$106=1,GR8,1)</f>
        <v/>
      </c>
      <c r="MG8">
        <f>IF('計算A'!CT$106=1,GS8,1)</f>
        <v/>
      </c>
      <c r="MH8">
        <f>IF('計算A'!CU$106=1,GT8,1)</f>
        <v/>
      </c>
      <c r="MI8">
        <f>IF('計算A'!CV$106=1,GU8,1)</f>
        <v/>
      </c>
      <c r="MJ8">
        <f>IF('計算A'!CW$106=1,GV8,1)</f>
        <v/>
      </c>
      <c r="MK8">
        <f>IF('計算A'!CX$106=1,GW8,1)</f>
        <v/>
      </c>
      <c r="ML8">
        <f>IF('計算A'!CY$106=1,GX8,1)</f>
        <v/>
      </c>
      <c r="MM8">
        <f>IF('計算A'!CZ$106=1,GY8,1)</f>
        <v/>
      </c>
      <c r="MN8">
        <f>IF('計算A'!DA$106=1,GZ8,1)</f>
        <v/>
      </c>
      <c r="MO8">
        <f>IF('計算A'!DB$106=1,HA8,1)</f>
        <v/>
      </c>
      <c r="MP8">
        <f>IF('計算A'!DC$106=1,HB8,1)</f>
        <v/>
      </c>
      <c r="MQ8">
        <f>IF('計算A'!DD$106=1,HC8,1)</f>
        <v/>
      </c>
      <c r="MR8">
        <f>IF('計算A'!DE$106=1,HD8,1)</f>
        <v/>
      </c>
      <c r="MS8">
        <f>IF('計算A'!DF$106=1,HE8,1)</f>
        <v/>
      </c>
      <c r="MT8">
        <f>IF('計算A'!DG$106=1,HF8,1)</f>
        <v/>
      </c>
      <c r="MU8">
        <f>IF('計算A'!DH$106=1,HG8,1)</f>
        <v/>
      </c>
      <c r="MV8">
        <f>IF('計算A'!DI$106=1,HH8,1)</f>
        <v/>
      </c>
      <c r="MW8">
        <f>IF('計算A'!DJ$106=1,HI8,1)</f>
        <v/>
      </c>
      <c r="MX8">
        <f>IF('計算A'!DK$106=1,HJ8,1)</f>
        <v/>
      </c>
      <c r="MY8">
        <f>IF('計算A'!DL$106=1,HK8,1)</f>
        <v/>
      </c>
      <c r="MZ8">
        <f>IF('計算A'!DM$106=1,HL8,1)</f>
        <v/>
      </c>
      <c r="NA8">
        <f>IF('計算A'!DN$106=1,HM8,1)</f>
        <v/>
      </c>
      <c r="NB8">
        <f>IF('計算A'!DO$106=1,HN8,1)</f>
        <v/>
      </c>
      <c r="NC8">
        <f>IF('計算A'!DP$106=1,HO8,1)</f>
        <v/>
      </c>
      <c r="ND8">
        <f>IF('計算A'!DQ$106=1,HP8,1)</f>
        <v/>
      </c>
      <c r="NE8">
        <f>IF('計算A'!DR$106=1,HQ8,1)</f>
        <v/>
      </c>
      <c r="NF8">
        <f>IF('計算A'!DS$106=1,HR8,1)</f>
        <v/>
      </c>
      <c r="NG8">
        <f>IF('計算A'!DT$106=1,HS8,1)</f>
        <v/>
      </c>
      <c r="NH8">
        <f>IF('計算A'!DU$106=1,HT8,1)</f>
        <v/>
      </c>
      <c r="NI8">
        <f>IF('計算A'!DV$106=1,HU8,1)</f>
        <v/>
      </c>
      <c r="NJ8">
        <f>IF('計算A'!DW$106=1,HV8,1)</f>
        <v/>
      </c>
      <c r="NK8">
        <f>IF('計算A'!DX$106=1,HW8,1)</f>
        <v/>
      </c>
      <c r="NL8">
        <f>IF('計算A'!DY$106=1,HX8,1)</f>
        <v/>
      </c>
      <c r="NM8">
        <f>IF('計算A'!DZ$106=1,HY8,1)</f>
        <v/>
      </c>
      <c r="NN8">
        <f>IF('計算A'!EA$106=1,HZ8,1)</f>
        <v/>
      </c>
      <c r="NO8">
        <f>IF('計算A'!EB$106=1,IA8,1)</f>
        <v/>
      </c>
      <c r="NP8">
        <f>IF('計算A'!EC$106=1,IB8,1)</f>
        <v/>
      </c>
      <c r="NQ8">
        <f>IF('計算A'!ED$106=1,IC8,1)</f>
        <v/>
      </c>
      <c r="NR8">
        <f>IF('計算A'!EE$106=1,ID8,1)</f>
        <v/>
      </c>
      <c r="NS8">
        <f>IF('計算A'!EF$106=1,IE8,1)</f>
        <v/>
      </c>
      <c r="NT8">
        <f>IF('計算A'!EG$106=1,IF8,1)</f>
        <v/>
      </c>
      <c r="NU8">
        <f>IF('計算A'!EH$106=1,IG8,1)</f>
        <v/>
      </c>
      <c r="NV8">
        <f>IF('計算A'!EI$106=1,IH8,1)</f>
        <v/>
      </c>
      <c r="NW8">
        <f>IF('計算A'!EJ$106=1,II8,1)</f>
        <v/>
      </c>
      <c r="NX8">
        <f>IF('計算A'!EK$106=1,IJ8,1)</f>
        <v/>
      </c>
      <c r="NY8">
        <f>IF('計算A'!EL$106=1,IK8,1)</f>
        <v/>
      </c>
      <c r="NZ8">
        <f>IF('計算A'!EM$106=1,IL8,1)</f>
        <v/>
      </c>
      <c r="OA8">
        <f>IF('計算A'!EN$106=1,IM8,1)</f>
        <v/>
      </c>
      <c r="OB8">
        <f>IF('計算A'!EO$106=1,IN8,1)</f>
        <v/>
      </c>
      <c r="OC8">
        <f>IF('計算A'!EP$106=1,IO8,1)</f>
        <v/>
      </c>
      <c r="OD8" t="n">
        <v>1</v>
      </c>
      <c r="OF8">
        <f>IF($B8=0,1000000,IF(INDEX('計算A'!$D$60:$EQ$104,$B8,1)*DB8=1,IF(AND($E8=2,IQ8=0),1000000,IF($I8&gt;0,IF(1=$J8,IF(OR(AND(1=$I8+1,OR($K8&lt;&gt;'計算A'!$A$3,'計算A'!$A$4=0)),AND(1=$I8-1,OR(1&lt;&gt;'計算A'!$A$3,'計算A'!$A$4=0))),0,IF(1=$K8,200000,ABS(1-$K8)*100)),100000+ABS(1-$J8)*1000+10)+'計算A'!D$5*50+IF(AND($E8=1,IQ8=0),25,0),IF($F8&gt;0,INDEX('計算A'!D$110:D$114,$F8+1)+IF(AND($E8=1,IQ8=0),1000,0),MIN(TU8,20)*400+(IF('計算A'!D$106=1,1-DC8,0))*150+11+'計算A'!D$5*100000+IF(AND($E8=1,IQ8=0),50000,0))+IF($H8=1,(IF('計算A'!D$117=1,INDEX('計算A'!E$10:E$54,$B8),0))*4000,0)-IF(AND($L8=1,'計算A'!D$117=1,DC8=0),2000,0))),1000000))</f>
        <v/>
      </c>
      <c r="OG8">
        <f>IF($B8=0,1000000,IF(INDEX('計算A'!$D$60:$EQ$104,$B8,2)*DC8=1,IF(AND($E8=2,IR8=0),1000000,IF($I8&gt;0,IF(1=$J8,IF(OR(AND(2=$I8+1,OR($K8&lt;&gt;'計算A'!$A$3,'計算A'!$A$4=0)),AND(2=$I8-1,OR(2&lt;&gt;'計算A'!$A$3,'計算A'!$A$4=0))),0,IF(2=$K8,200000,ABS(2-$K8)*100)),100000+ABS(1-$J8)*1000+20)+'計算A'!E$5*50+IF(AND($E8=1,IR8=0),25,0),IF($F8&gt;0,INDEX('計算A'!E$110:E$114,$F8+1)+IF(AND($E8=1,IR8=0),1000,0),MIN(TU8,20)*400+(IF('計算A'!D$106=1,1-DB8,0)+IF('計算A'!E$106=1,1-DD8,0))*150+21+'計算A'!E$5*100000+IF(AND($E8=1,IR8=0),50000,0))+IF($H8=1,(IF('計算A'!D$117=1,INDEX('計算A'!D$10:D$54,$B8),0)+IF('計算A'!E$117=1,INDEX('計算A'!F$10:F$54,$B8),0))*4000,0)-IF(AND('計算A'!D$117=1,UB8&gt;0),2000,0)-IF(AND($L8=1,'計算A'!E$117=1,DD8=0),2000,0))),1000000))</f>
        <v/>
      </c>
      <c r="OH8">
        <f>IF($B8=0,1000000,IF(INDEX('計算A'!$D$60:$EQ$104,$B8,3)*DD8=1,IF(AND($E8=2,IS8=0),1000000,IF($I8&gt;0,IF(1=$J8,IF(OR(AND(3=$I8+1,OR($K8&lt;&gt;'計算A'!$A$3,'計算A'!$A$4=0)),AND(3=$I8-1,OR(3&lt;&gt;'計算A'!$A$3,'計算A'!$A$4=0))),0,IF(3=$K8,200000,ABS(3-$K8)*100)),100000+ABS(1-$J8)*1000+30)+'計算A'!F$5*50+IF(AND($E8=1,IS8=0),25,0),IF($F8&gt;0,INDEX('計算A'!F$110:F$114,$F8+1)+IF(AND($E8=1,IS8=0),1000,0),MIN(TU8,20)*400+(IF('計算A'!E$106=1,1-DC8,0)+IF('計算A'!F$106=1,1-DE8,0))*150+31+'計算A'!F$5*100000+IF(AND($E8=1,IS8=0),50000,0))+IF($H8=1,(IF('計算A'!E$117=1,INDEX('計算A'!E$10:E$54,$B8),0)+IF('計算A'!F$117=1,INDEX('計算A'!G$10:G$54,$B8),0))*4000,0)-IF(AND('計算A'!E$117=1,UC8&gt;0),2000,0)-IF(AND($L8=1,'計算A'!F$117=1,DE8=0),2000,0))),1000000))</f>
        <v/>
      </c>
      <c r="OI8">
        <f>IF($B8=0,1000000,IF(INDEX('計算A'!$D$60:$EQ$104,$B8,4)*DE8=1,IF(AND($E8=2,IT8=0),1000000,IF($I8&gt;0,IF(1=$J8,IF(OR(AND(4=$I8+1,OR($K8&lt;&gt;'計算A'!$A$3,'計算A'!$A$4=0)),AND(4=$I8-1,OR(4&lt;&gt;'計算A'!$A$3,'計算A'!$A$4=0))),0,IF(4=$K8,200000,ABS(4-$K8)*100)),100000+ABS(1-$J8)*1000+40)+'計算A'!G$5*50+IF(AND($E8=1,IT8=0),25,0),IF($F8&gt;0,INDEX('計算A'!G$110:G$114,$F8+1)+IF(AND($E8=1,IT8=0),1000,0),MIN(TU8,20)*400+(IF('計算A'!F$106=1,1-DD8,0)+IF('計算A'!G$106=1,1-DF8,0))*150+41+'計算A'!G$5*100000+IF(AND($E8=1,IT8=0),50000,0))+IF($H8=1,(IF('計算A'!F$117=1,INDEX('計算A'!F$10:F$54,$B8),0)+IF('計算A'!G$117=1,INDEX('計算A'!H$10:H$54,$B8),0))*4000,0)-IF(AND('計算A'!F$117=1,UD8&gt;0),2000,0)-IF(AND($L8=1,'計算A'!G$117=1,DF8=0),2000,0))),1000000))</f>
        <v/>
      </c>
      <c r="OJ8">
        <f>IF($B8=0,1000000,IF(INDEX('計算A'!$D$60:$EQ$104,$B8,5)*DF8=1,IF(AND($E8=2,IU8=0),1000000,IF($I8&gt;0,IF(1=$J8,IF(OR(AND(5=$I8+1,OR($K8&lt;&gt;'計算A'!$A$3,'計算A'!$A$4=0)),AND(5=$I8-1,OR(5&lt;&gt;'計算A'!$A$3,'計算A'!$A$4=0))),0,IF(5=$K8,200000,ABS(5-$K8)*100)),100000+ABS(1-$J8)*1000+50)+'計算A'!H$5*50+IF(AND($E8=1,IU8=0),25,0),IF($F8&gt;0,INDEX('計算A'!H$110:H$114,$F8+1)+IF(AND($E8=1,IU8=0),1000,0),MIN(TU8,20)*400+(IF('計算A'!G$106=1,1-DE8,0)+IF('計算A'!H$106=1,1-DG8,0))*150+51+'計算A'!H$5*100000+IF(AND($E8=1,IU8=0),50000,0))+IF($H8=1,(IF('計算A'!G$117=1,INDEX('計算A'!G$10:G$54,$B8),0)+IF('計算A'!H$117=1,INDEX('計算A'!I$10:I$54,$B8),0))*4000,0)-IF(AND('計算A'!G$117=1,UE8&gt;0),2000,0)-IF(AND($L8=1,'計算A'!H$117=1,DG8=0),2000,0))),1000000))</f>
        <v/>
      </c>
      <c r="OK8">
        <f>IF($B8=0,1000000,IF(INDEX('計算A'!$D$60:$EQ$104,$B8,6)*DG8=1,IF(AND($E8=2,IV8=0),1000000,IF($I8&gt;0,IF(1=$J8,IF(OR(AND(6=$I8+1,OR($K8&lt;&gt;'計算A'!$A$3,'計算A'!$A$4=0)),AND(6=$I8-1,OR(6&lt;&gt;'計算A'!$A$3,'計算A'!$A$4=0))),0,IF(6=$K8,200000,ABS(6-$K8)*100)),100000+ABS(1-$J8)*1000+60)+'計算A'!I$5*50+IF(AND($E8=1,IV8=0),25,0),IF($F8&gt;0,INDEX('計算A'!I$110:I$114,$F8+1)+IF(AND($E8=1,IV8=0),1000,0),MIN(TU8,20)*400+(IF('計算A'!H$106=1,1-DF8,0)+IF('計算A'!I$106=1,1-DH8,0))*150+61+'計算A'!I$5*100000+IF(AND($E8=1,IV8=0),50000,0))+IF($H8=1,(IF('計算A'!H$117=1,INDEX('計算A'!H$10:H$54,$B8),0)+IF('計算A'!I$117=1,INDEX('計算A'!J$10:J$54,$B8),0))*4000,0)-IF(AND('計算A'!H$117=1,UF8&gt;0),2000,0)-IF(AND($L8=1,'計算A'!I$117=1,DH8=0),2000,0))),1000000))</f>
        <v/>
      </c>
      <c r="OL8">
        <f>IF($B8=0,1000000,IF(INDEX('計算A'!$D$60:$EQ$104,$B8,7)*DH8=1,IF(AND($E8=2,IW8=0),1000000,IF($I8&gt;0,IF(1=$J8,IF(OR(AND(7=$I8+1,OR($K8&lt;&gt;'計算A'!$A$3,'計算A'!$A$4=0)),AND(7=$I8-1,OR(7&lt;&gt;'計算A'!$A$3,'計算A'!$A$4=0))),0,IF(7=$K8,200000,ABS(7-$K8)*100)),100000+ABS(1-$J8)*1000+70)+'計算A'!J$5*50+IF(AND($E8=1,IW8=0),25,0),IF($F8&gt;0,INDEX('計算A'!J$110:J$114,$F8+1)+IF(AND($E8=1,IW8=0),1000,0),MIN(TU8,20)*400+(IF('計算A'!I$106=1,1-DG8,0)+IF('計算A'!J$106=1,1-DI8,0))*150+71+'計算A'!J$5*100000+IF(AND($E8=1,IW8=0),50000,0))+IF($H8=1,(IF('計算A'!I$117=1,INDEX('計算A'!I$10:I$54,$B8),0)+IF('計算A'!J$117=1,INDEX('計算A'!K$10:K$54,$B8),0))*4000,0)-IF(AND('計算A'!I$117=1,UG8&gt;0),2000,0)-IF(AND($L8=1,'計算A'!J$117=1,DI8=0),2000,0))),1000000))</f>
        <v/>
      </c>
      <c r="OM8">
        <f>IF($B8=0,1000000,IF(INDEX('計算A'!$D$60:$EQ$104,$B8,8)*DI8=1,IF(AND($E8=2,IX8=0),1000000,IF($I8&gt;0,IF(1=$J8,IF(OR(AND(8=$I8+1,OR($K8&lt;&gt;'計算A'!$A$3,'計算A'!$A$4=0)),AND(8=$I8-1,OR(8&lt;&gt;'計算A'!$A$3,'計算A'!$A$4=0))),0,IF(8=$K8,200000,ABS(8-$K8)*100)),100000+ABS(1-$J8)*1000+80)+'計算A'!K$5*50+IF(AND($E8=1,IX8=0),25,0),IF($F8&gt;0,INDEX('計算A'!K$110:K$114,$F8+1)+IF(AND($E8=1,IX8=0),1000,0),MIN(TU8,20)*400+(IF('計算A'!J$106=1,1-DH8,0)+IF('計算A'!K$106=1,1-DJ8,0))*150+81+'計算A'!K$5*100000+IF(AND($E8=1,IX8=0),50000,0))+IF($H8=1,(IF('計算A'!J$117=1,INDEX('計算A'!J$10:J$54,$B8),0)+IF('計算A'!K$117=1,INDEX('計算A'!L$10:L$54,$B8),0))*4000,0)-IF(AND('計算A'!J$117=1,UH8&gt;0),2000,0)-IF(AND($L8=1,'計算A'!K$117=1,DJ8=0),2000,0))),1000000))</f>
        <v/>
      </c>
      <c r="ON8">
        <f>IF($B8=0,1000000,IF(INDEX('計算A'!$D$60:$EQ$104,$B8,9)*DJ8=1,IF(AND($E8=2,IY8=0),1000000,IF($I8&gt;0,IF(1=$J8,IF(OR(AND(9=$I8+1,OR($K8&lt;&gt;'計算A'!$A$3,'計算A'!$A$4=0)),AND(9=$I8-1,OR(9&lt;&gt;'計算A'!$A$3,'計算A'!$A$4=0))),0,IF(9=$K8,200000,ABS(9-$K8)*100)),100000+ABS(1-$J8)*1000+90)+'計算A'!L$5*50+IF(AND($E8=1,IY8=0),25,0),IF($F8&gt;0,INDEX('計算A'!L$110:L$114,$F8+1)+IF(AND($E8=1,IY8=0),1000,0),MIN(TU8,20)*400+(IF('計算A'!K$106=1,1-DI8,0)+IF('計算A'!L$106=1,1-DK8,0))*150+91+'計算A'!L$5*100000+IF(AND($E8=1,IY8=0),50000,0))+IF($H8=1,(IF('計算A'!K$117=1,INDEX('計算A'!K$10:K$54,$B8),0)+IF('計算A'!L$117=1,INDEX('計算A'!M$10:M$54,$B8),0))*4000,0)-IF(AND('計算A'!K$117=1,UI8&gt;0),2000,0)-IF(AND($L8=1,'計算A'!L$117=1,DK8=0),2000,0))),1000000))</f>
        <v/>
      </c>
      <c r="OO8">
        <f>IF($B8=0,1000000,IF(INDEX('計算A'!$D$60:$EQ$104,$B8,10)*DK8=1,IF(AND($E8=2,IZ8=0),1000000,IF($I8&gt;0,IF(1=$J8,IF(OR(AND(10=$I8+1,OR($K8&lt;&gt;'計算A'!$A$3,'計算A'!$A$4=0)),AND(10=$I8-1,OR(10&lt;&gt;'計算A'!$A$3,'計算A'!$A$4=0))),0,IF(10=$K8,200000,ABS(10-$K8)*100)),100000+ABS(1-$J8)*1000+100)+'計算A'!M$5*50+IF(AND($E8=1,IZ8=0),25,0),IF($F8&gt;0,INDEX('計算A'!M$110:M$114,$F8+1)+IF(AND($E8=1,IZ8=0),1000,0),MIN(TU8,20)*400+(IF('計算A'!L$106=1,1-DJ8,0)+IF('計算A'!M$106=1,1-DL8,0))*150+101+'計算A'!M$5*100000+IF(AND($E8=1,IZ8=0),50000,0))+IF($H8=1,(IF('計算A'!L$117=1,INDEX('計算A'!L$10:L$54,$B8),0)+IF('計算A'!M$117=1,INDEX('計算A'!N$10:N$54,$B8),0))*4000,0)-IF(AND('計算A'!L$117=1,UJ8&gt;0),2000,0)-IF(AND($L8=1,'計算A'!M$117=1,DL8=0),2000,0))),1000000))</f>
        <v/>
      </c>
      <c r="OP8">
        <f>IF($B8=0,1000000,IF(INDEX('計算A'!$D$60:$EQ$104,$B8,11)*DL8=1,IF(AND($E8=2,JA8=0),1000000,IF($I8&gt;0,IF(1=$J8,IF(OR(AND(11=$I8+1,OR($K8&lt;&gt;'計算A'!$A$3,'計算A'!$A$4=0)),AND(11=$I8-1,OR(11&lt;&gt;'計算A'!$A$3,'計算A'!$A$4=0))),0,IF(11=$K8,200000,ABS(11-$K8)*100)),100000+ABS(1-$J8)*1000+110)+'計算A'!N$5*50+IF(AND($E8=1,JA8=0),25,0),IF($F8&gt;0,INDEX('計算A'!N$110:N$114,$F8+1)+IF(AND($E8=1,JA8=0),1000,0),MIN(TU8,20)*400+(IF('計算A'!M$106=1,1-DK8,0)+IF('計算A'!N$106=1,1-DM8,0))*150+111+'計算A'!N$5*100000+IF(AND($E8=1,JA8=0),50000,0))+IF($H8=1,(IF('計算A'!M$117=1,INDEX('計算A'!M$10:M$54,$B8),0)+IF('計算A'!N$117=1,INDEX('計算A'!O$10:O$54,$B8),0))*4000,0)-IF(AND('計算A'!M$117=1,UK8&gt;0),2000,0)-IF(AND($L8=1,'計算A'!N$117=1,DM8=0),2000,0))),1000000))</f>
        <v/>
      </c>
      <c r="OQ8">
        <f>IF($B8=0,1000000,IF(INDEX('計算A'!$D$60:$EQ$104,$B8,12)*DM8=1,IF(AND($E8=2,JB8=0),1000000,IF($I8&gt;0,IF(1=$J8,IF(OR(AND(12=$I8+1,OR($K8&lt;&gt;'計算A'!$A$3,'計算A'!$A$4=0)),AND(12=$I8-1,OR(12&lt;&gt;'計算A'!$A$3,'計算A'!$A$4=0))),0,IF(12=$K8,200000,ABS(12-$K8)*100)),100000+ABS(1-$J8)*1000+120)+'計算A'!O$5*50+IF(AND($E8=1,JB8=0),25,0),IF($F8&gt;0,INDEX('計算A'!O$110:O$114,$F8+1)+IF(AND($E8=1,JB8=0),1000,0),MIN(TU8,20)*400+(IF('計算A'!N$106=1,1-DL8,0)+IF('計算A'!O$106=1,1-DN8,0))*150+121+'計算A'!O$5*100000+IF(AND($E8=1,JB8=0),50000,0))+IF($H8=1,(IF('計算A'!N$117=1,INDEX('計算A'!N$10:N$54,$B8),0)+IF('計算A'!O$117=1,INDEX('計算A'!P$10:P$54,$B8),0))*4000,0)-IF(AND('計算A'!N$117=1,UL8&gt;0),2000,0)-IF(AND($L8=1,'計算A'!O$117=1,DN8=0),2000,0))),1000000))</f>
        <v/>
      </c>
      <c r="OR8">
        <f>IF($B8=0,1000000,IF(INDEX('計算A'!$D$60:$EQ$104,$B8,13)*DN8=1,IF(AND($E8=2,JC8=0),1000000,IF($I8&gt;0,IF(1=$J8,IF(OR(AND(13=$I8+1,OR($K8&lt;&gt;'計算A'!$A$3,'計算A'!$A$4=0)),AND(13=$I8-1,OR(13&lt;&gt;'計算A'!$A$3,'計算A'!$A$4=0))),0,IF(13=$K8,200000,ABS(13-$K8)*100)),100000+ABS(1-$J8)*1000+130)+'計算A'!P$5*50+IF(AND($E8=1,JC8=0),25,0),IF($F8&gt;0,INDEX('計算A'!P$110:P$114,$F8+1)+IF(AND($E8=1,JC8=0),1000,0),MIN(TU8,20)*400+(IF('計算A'!O$106=1,1-DM8,0)+IF('計算A'!P$106=1,1-DO8,0))*150+131+'計算A'!P$5*100000+IF(AND($E8=1,JC8=0),50000,0))+IF($H8=1,(IF('計算A'!O$117=1,INDEX('計算A'!O$10:O$54,$B8),0)+IF('計算A'!P$117=1,INDEX('計算A'!Q$10:Q$54,$B8),0))*4000,0)-IF(AND('計算A'!O$117=1,UM8&gt;0),2000,0)-IF(AND($L8=1,'計算A'!P$117=1,DO8=0),2000,0))),1000000))</f>
        <v/>
      </c>
      <c r="OS8">
        <f>IF($B8=0,1000000,IF(INDEX('計算A'!$D$60:$EQ$104,$B8,14)*DO8=1,IF(AND($E8=2,JD8=0),1000000,IF($I8&gt;0,IF(1=$J8,IF(OR(AND(14=$I8+1,OR($K8&lt;&gt;'計算A'!$A$3,'計算A'!$A$4=0)),AND(14=$I8-1,OR(14&lt;&gt;'計算A'!$A$3,'計算A'!$A$4=0))),0,IF(14=$K8,200000,ABS(14-$K8)*100)),100000+ABS(1-$J8)*1000+140)+'計算A'!Q$5*50+IF(AND($E8=1,JD8=0),25,0),IF($F8&gt;0,INDEX('計算A'!Q$110:Q$114,$F8+1)+IF(AND($E8=1,JD8=0),1000,0),MIN(TU8,20)*400+(IF('計算A'!P$106=1,1-DN8,0)+IF('計算A'!Q$106=1,1-DP8,0))*150+141+'計算A'!Q$5*100000+IF(AND($E8=1,JD8=0),50000,0))+IF($H8=1,(IF('計算A'!P$117=1,INDEX('計算A'!P$10:P$54,$B8),0)+IF('計算A'!Q$117=1,INDEX('計算A'!R$10:R$54,$B8),0))*4000,0)-IF(AND('計算A'!P$117=1,UN8&gt;0),2000,0)-IF(AND($L8=1,'計算A'!Q$117=1,DP8=0),2000,0))),1000000))</f>
        <v/>
      </c>
      <c r="OT8">
        <f>IF($B8=0,1000000,IF(INDEX('計算A'!$D$60:$EQ$104,$B8,15)*DP8=1,IF(AND($E8=2,JE8=0),1000000,IF($I8&gt;0,IF(1=$J8,IF(OR(AND(15=$I8+1,OR($K8&lt;&gt;'計算A'!$A$3,'計算A'!$A$4=0)),AND(15=$I8-1,OR(15&lt;&gt;'計算A'!$A$3,'計算A'!$A$4=0))),0,IF(15=$K8,200000,ABS(15-$K8)*100)),100000+ABS(1-$J8)*1000+150)+'計算A'!R$5*50+IF(AND($E8=1,JE8=0),25,0),IF($F8&gt;0,INDEX('計算A'!R$110:R$114,$F8+1)+IF(AND($E8=1,JE8=0),1000,0),MIN(TU8,20)*400+(IF('計算A'!Q$106=1,1-DO8,0)+IF('計算A'!R$106=1,1-DQ8,0))*150+151+'計算A'!R$5*100000+IF(AND($E8=1,JE8=0),50000,0))+IF($H8=1,(IF('計算A'!Q$117=1,INDEX('計算A'!Q$10:Q$54,$B8),0)+IF('計算A'!R$117=1,INDEX('計算A'!S$10:S$54,$B8),0))*4000,0)-IF(AND('計算A'!Q$117=1,UO8&gt;0),2000,0)-IF(AND($L8=1,'計算A'!R$117=1,DQ8=0),2000,0))),1000000))</f>
        <v/>
      </c>
      <c r="OU8">
        <f>IF($B8=0,1000000,IF(INDEX('計算A'!$D$60:$EQ$104,$B8,16)*DQ8=1,IF(AND($E8=2,JF8=0),1000000,IF($I8&gt;0,IF(1=$J8,IF(OR(AND(16=$I8+1,OR($K8&lt;&gt;'計算A'!$A$3,'計算A'!$A$4=0)),AND(16=$I8-1,OR(16&lt;&gt;'計算A'!$A$3,'計算A'!$A$4=0))),0,IF(16=$K8,200000,ABS(16-$K8)*100)),100000+ABS(1-$J8)*1000+160)+'計算A'!S$5*50+IF(AND($E8=1,JF8=0),25,0),IF($F8&gt;0,INDEX('計算A'!S$110:S$114,$F8+1)+IF(AND($E8=1,JF8=0),1000,0),MIN(TU8,20)*400+(IF('計算A'!R$106=1,1-DP8,0)+IF('計算A'!S$106=1,1-DR8,0))*150+161+'計算A'!S$5*100000+IF(AND($E8=1,JF8=0),50000,0))+IF($H8=1,(IF('計算A'!R$117=1,INDEX('計算A'!R$10:R$54,$B8),0)+IF('計算A'!S$117=1,INDEX('計算A'!T$10:T$54,$B8),0))*4000,0)-IF(AND('計算A'!R$117=1,UP8&gt;0),2000,0)-IF(AND($L8=1,'計算A'!S$117=1,DR8=0),2000,0))),1000000))</f>
        <v/>
      </c>
      <c r="OV8">
        <f>IF($B8=0,1000000,IF(INDEX('計算A'!$D$60:$EQ$104,$B8,17)*DR8=1,IF(AND($E8=2,JG8=0),1000000,IF($I8&gt;0,IF(1=$J8,IF(OR(AND(17=$I8+1,OR($K8&lt;&gt;'計算A'!$A$3,'計算A'!$A$4=0)),AND(17=$I8-1,OR(17&lt;&gt;'計算A'!$A$3,'計算A'!$A$4=0))),0,IF(17=$K8,200000,ABS(17-$K8)*100)),100000+ABS(1-$J8)*1000+170)+'計算A'!T$5*50+IF(AND($E8=1,JG8=0),25,0),IF($F8&gt;0,INDEX('計算A'!T$110:T$114,$F8+1)+IF(AND($E8=1,JG8=0),1000,0),MIN(TU8,20)*400+(IF('計算A'!S$106=1,1-DQ8,0)+IF('計算A'!T$106=1,1-DS8,0))*150+171+'計算A'!T$5*100000+IF(AND($E8=1,JG8=0),50000,0))+IF($H8=1,(IF('計算A'!S$117=1,INDEX('計算A'!S$10:S$54,$B8),0)+IF('計算A'!T$117=1,INDEX('計算A'!U$10:U$54,$B8),0))*4000,0)-IF(AND('計算A'!S$117=1,UQ8&gt;0),2000,0)-IF(AND($L8=1,'計算A'!T$117=1,DS8=0),2000,0))),1000000))</f>
        <v/>
      </c>
      <c r="OW8">
        <f>IF($B8=0,1000000,IF(INDEX('計算A'!$D$60:$EQ$104,$B8,18)*DS8=1,IF(AND($E8=2,JH8=0),1000000,IF($I8&gt;0,IF(1=$J8,IF(OR(AND(18=$I8+1,OR($K8&lt;&gt;'計算A'!$A$3,'計算A'!$A$4=0)),AND(18=$I8-1,OR(18&lt;&gt;'計算A'!$A$3,'計算A'!$A$4=0))),0,IF(18=$K8,200000,ABS(18-$K8)*100)),100000+ABS(1-$J8)*1000+180)+'計算A'!U$5*50+IF(AND($E8=1,JH8=0),25,0),IF($F8&gt;0,INDEX('計算A'!U$110:U$114,$F8+1)+IF(AND($E8=1,JH8=0),1000,0),MIN(TU8,20)*400+(IF('計算A'!T$106=1,1-DR8,0)+IF('計算A'!U$106=1,1-DT8,0))*150+181+'計算A'!U$5*100000+IF(AND($E8=1,JH8=0),50000,0))+IF($H8=1,(IF('計算A'!T$117=1,INDEX('計算A'!T$10:T$54,$B8),0)+IF('計算A'!U$117=1,INDEX('計算A'!V$10:V$54,$B8),0))*4000,0)-IF(AND('計算A'!T$117=1,UR8&gt;0),2000,0)-IF(AND($L8=1,'計算A'!U$117=1,DT8=0),2000,0))),1000000))</f>
        <v/>
      </c>
      <c r="OX8">
        <f>IF($B8=0,1000000,IF(INDEX('計算A'!$D$60:$EQ$104,$B8,19)*DT8=1,IF(AND($E8=2,JI8=0),1000000,IF($I8&gt;0,IF(1=$J8,IF(OR(AND(19=$I8+1,OR($K8&lt;&gt;'計算A'!$A$3,'計算A'!$A$4=0)),AND(19=$I8-1,OR(19&lt;&gt;'計算A'!$A$3,'計算A'!$A$4=0))),0,IF(19=$K8,200000,ABS(19-$K8)*100)),100000+ABS(1-$J8)*1000+190)+'計算A'!V$5*50+IF(AND($E8=1,JI8=0),25,0),IF($F8&gt;0,INDEX('計算A'!V$110:V$114,$F8+1)+IF(AND($E8=1,JI8=0),1000,0),MIN(TU8,20)*400+(IF('計算A'!U$106=1,1-DS8,0)+IF('計算A'!V$106=1,1-DU8,0))*150+191+'計算A'!V$5*100000+IF(AND($E8=1,JI8=0),50000,0))+IF($H8=1,(IF('計算A'!U$117=1,INDEX('計算A'!U$10:U$54,$B8),0)+IF('計算A'!V$117=1,INDEX('計算A'!W$10:W$54,$B8),0))*4000,0)-IF(AND('計算A'!U$117=1,US8&gt;0),2000,0)-IF(AND($L8=1,'計算A'!V$117=1,DU8=0),2000,0))),1000000))</f>
        <v/>
      </c>
      <c r="OY8">
        <f>IF($B8=0,1000000,IF(INDEX('計算A'!$D$60:$EQ$104,$B8,20)*DU8=1,IF(AND($E8=2,JJ8=0),1000000,IF($I8&gt;0,IF(1=$J8,IF(OR(AND(20=$I8+1,OR($K8&lt;&gt;'計算A'!$A$3,'計算A'!$A$4=0)),AND(20=$I8-1,OR(20&lt;&gt;'計算A'!$A$3,'計算A'!$A$4=0))),0,IF(20=$K8,200000,ABS(20-$K8)*100)),100000+ABS(1-$J8)*1000+200)+'計算A'!W$5*50+IF(AND($E8=1,JJ8=0),25,0),IF($F8&gt;0,INDEX('計算A'!W$110:W$114,$F8+1)+IF(AND($E8=1,JJ8=0),1000,0),MIN(TU8,20)*400+(IF('計算A'!V$106=1,1-DT8,0)+IF('計算A'!W$106=1,1-DV8,0))*150+201+'計算A'!W$5*100000+IF(AND($E8=1,JJ8=0),50000,0))+IF($H8=1,(IF('計算A'!V$117=1,INDEX('計算A'!V$10:V$54,$B8),0)+IF('計算A'!W$117=1,INDEX('計算A'!X$10:X$54,$B8),0))*4000,0)-IF(AND('計算A'!V$117=1,UT8&gt;0),2000,0)-IF(AND($L8=1,'計算A'!W$117=1,DV8=0),2000,0))),1000000))</f>
        <v/>
      </c>
      <c r="OZ8">
        <f>IF($B8=0,1000000,IF(INDEX('計算A'!$D$60:$EQ$104,$B8,21)*DV8=1,IF(AND($E8=2,JK8=0),1000000,IF($I8&gt;0,IF(1=$J8,IF(OR(AND(21=$I8+1,OR($K8&lt;&gt;'計算A'!$A$3,'計算A'!$A$4=0)),AND(21=$I8-1,OR(21&lt;&gt;'計算A'!$A$3,'計算A'!$A$4=0))),0,IF(21=$K8,200000,ABS(21-$K8)*100)),100000+ABS(1-$J8)*1000+210)+'計算A'!X$5*50+IF(AND($E8=1,JK8=0),25,0),IF($F8&gt;0,INDEX('計算A'!X$110:X$114,$F8+1)+IF(AND($E8=1,JK8=0),1000,0),MIN(TU8,20)*400+(IF('計算A'!W$106=1,1-DU8,0)+IF('計算A'!X$106=1,1-DW8,0))*150+211+'計算A'!X$5*100000+IF(AND($E8=1,JK8=0),50000,0))+IF($H8=1,(IF('計算A'!W$117=1,INDEX('計算A'!W$10:W$54,$B8),0)+IF('計算A'!X$117=1,INDEX('計算A'!Y$10:Y$54,$B8),0))*4000,0)-IF(AND('計算A'!W$117=1,UU8&gt;0),2000,0)-IF(AND($L8=1,'計算A'!X$117=1,DW8=0),2000,0))),1000000))</f>
        <v/>
      </c>
      <c r="PA8">
        <f>IF($B8=0,1000000,IF(INDEX('計算A'!$D$60:$EQ$104,$B8,22)*DW8=1,IF(AND($E8=2,JL8=0),1000000,IF($I8&gt;0,IF(1=$J8,IF(OR(AND(22=$I8+1,OR($K8&lt;&gt;'計算A'!$A$3,'計算A'!$A$4=0)),AND(22=$I8-1,OR(22&lt;&gt;'計算A'!$A$3,'計算A'!$A$4=0))),0,IF(22=$K8,200000,ABS(22-$K8)*100)),100000+ABS(1-$J8)*1000+220)+'計算A'!Y$5*50+IF(AND($E8=1,JL8=0),25,0),IF($F8&gt;0,INDEX('計算A'!Y$110:Y$114,$F8+1)+IF(AND($E8=1,JL8=0),1000,0),MIN(TU8,20)*400+(IF('計算A'!X$106=1,1-DV8,0)+IF('計算A'!Y$106=1,1-DX8,0))*150+221+'計算A'!Y$5*100000+IF(AND($E8=1,JL8=0),50000,0))+IF($H8=1,(IF('計算A'!X$117=1,INDEX('計算A'!X$10:X$54,$B8),0)+IF('計算A'!Y$117=1,INDEX('計算A'!Z$10:Z$54,$B8),0))*4000,0)-IF(AND('計算A'!X$117=1,UV8&gt;0),2000,0)-IF(AND($L8=1,'計算A'!Y$117=1,DX8=0),2000,0))),1000000))</f>
        <v/>
      </c>
      <c r="PB8">
        <f>IF($B8=0,1000000,IF(INDEX('計算A'!$D$60:$EQ$104,$B8,23)*DX8=1,IF(AND($E8=2,JM8=0),1000000,IF($I8&gt;0,IF(1=$J8,IF(OR(AND(23=$I8+1,OR($K8&lt;&gt;'計算A'!$A$3,'計算A'!$A$4=0)),AND(23=$I8-1,OR(23&lt;&gt;'計算A'!$A$3,'計算A'!$A$4=0))),0,IF(23=$K8,200000,ABS(23-$K8)*100)),100000+ABS(1-$J8)*1000+230)+'計算A'!Z$5*50+IF(AND($E8=1,JM8=0),25,0),IF($F8&gt;0,INDEX('計算A'!Z$110:Z$114,$F8+1)+IF(AND($E8=1,JM8=0),1000,0),MIN(TU8,20)*400+(IF('計算A'!Y$106=1,1-DW8,0)+IF('計算A'!Z$106=1,1-DY8,0))*150+231+'計算A'!Z$5*100000+IF(AND($E8=1,JM8=0),50000,0))+IF($H8=1,(IF('計算A'!Y$117=1,INDEX('計算A'!Y$10:Y$54,$B8),0)+IF('計算A'!Z$117=1,INDEX('計算A'!AA$10:AA$54,$B8),0))*4000,0)-IF(AND('計算A'!Y$117=1,UW8&gt;0),2000,0)-IF(AND($L8=1,'計算A'!Z$117=1,DY8=0),2000,0))),1000000))</f>
        <v/>
      </c>
      <c r="PC8">
        <f>IF($B8=0,1000000,IF(INDEX('計算A'!$D$60:$EQ$104,$B8,24)*DY8=1,IF(AND($E8=2,JN8=0),1000000,IF($I8&gt;0,IF(1=$J8,IF(OR(AND(24=$I8+1,OR($K8&lt;&gt;'計算A'!$A$3,'計算A'!$A$4=0)),AND(24=$I8-1,OR(24&lt;&gt;'計算A'!$A$3,'計算A'!$A$4=0))),0,IF(24=$K8,200000,ABS(24-$K8)*100)),100000+ABS(1-$J8)*1000+240)+'計算A'!AA$5*50+IF(AND($E8=1,JN8=0),25,0),IF($F8&gt;0,INDEX('計算A'!AA$110:AA$114,$F8+1)+IF(AND($E8=1,JN8=0),1000,0),MIN(TU8,20)*400+(IF('計算A'!Z$106=1,1-DX8,0))*150+241+'計算A'!AA$5*100000+IF(AND($E8=1,JN8=0),50000,0))+IF($H8=1,(IF('計算A'!Z$117=1,INDEX('計算A'!Z$10:Z$54,$B8),0))*4000,0)-IF(AND('計算A'!Z$117=1,UX8&gt;0),2000,0))),1000000))</f>
        <v/>
      </c>
      <c r="PD8">
        <f>IF($B8=0,1000000,IF(INDEX('計算A'!$D$60:$EQ$104,$B8,25)*DZ8=1,IF(AND($E8=2,JO8=0),1000000,IF($I8&gt;0,IF(2=$J8,IF(OR(AND(25=$I8+1,OR($K8&lt;&gt;'計算A'!$A$3,'計算A'!$A$4=0)),AND(25=$I8-1,OR(1&lt;&gt;'計算A'!$A$3,'計算A'!$A$4=0))),0,IF(1=$K8,200000,ABS(1-$K8)*100)),100000+ABS(2-$J8)*1000+10)+'計算A'!AB$5*50+IF(AND($E8=1,JO8=0),25,0),IF($F8&gt;0,INDEX('計算A'!AB$110:AB$114,$F8+1)+IF(AND($E8=1,JO8=0),1000,0),MIN(TV8,20)*400+(IF('計算A'!AB$106=1,1-EA8,0))*150+12+'計算A'!AB$5*100000+IF(AND($E8=1,JO8=0),50000,0))+IF($H8=1,(IF('計算A'!AB$117=1,INDEX('計算A'!AC$10:AC$54,$B8),0))*4000,0)-IF(AND($L8=1,'計算A'!AB$117=1,EA8=0),2000,0))),1000000))</f>
        <v/>
      </c>
      <c r="PE8">
        <f>IF($B8=0,1000000,IF(INDEX('計算A'!$D$60:$EQ$104,$B8,26)*EA8=1,IF(AND($E8=2,JP8=0),1000000,IF($I8&gt;0,IF(2=$J8,IF(OR(AND(26=$I8+1,OR($K8&lt;&gt;'計算A'!$A$3,'計算A'!$A$4=0)),AND(26=$I8-1,OR(2&lt;&gt;'計算A'!$A$3,'計算A'!$A$4=0))),0,IF(2=$K8,200000,ABS(2-$K8)*100)),100000+ABS(2-$J8)*1000+20)+'計算A'!AC$5*50+IF(AND($E8=1,JP8=0),25,0),IF($F8&gt;0,INDEX('計算A'!AC$110:AC$114,$F8+1)+IF(AND($E8=1,JP8=0),1000,0),MIN(TV8,20)*400+(IF('計算A'!AB$106=1,1-DZ8,0)+IF('計算A'!AC$106=1,1-EB8,0))*150+22+'計算A'!AC$5*100000+IF(AND($E8=1,JP8=0),50000,0))+IF($H8=1,(IF('計算A'!AB$117=1,INDEX('計算A'!AB$10:AB$54,$B8),0)+IF('計算A'!AC$117=1,INDEX('計算A'!AD$10:AD$54,$B8),0))*4000,0)-IF(AND('計算A'!AB$117=1,UZ8&gt;0),2000,0)-IF(AND($L8=1,'計算A'!AC$117=1,EB8=0),2000,0))),1000000))</f>
        <v/>
      </c>
      <c r="PF8">
        <f>IF($B8=0,1000000,IF(INDEX('計算A'!$D$60:$EQ$104,$B8,27)*EB8=1,IF(AND($E8=2,JQ8=0),1000000,IF($I8&gt;0,IF(2=$J8,IF(OR(AND(27=$I8+1,OR($K8&lt;&gt;'計算A'!$A$3,'計算A'!$A$4=0)),AND(27=$I8-1,OR(3&lt;&gt;'計算A'!$A$3,'計算A'!$A$4=0))),0,IF(3=$K8,200000,ABS(3-$K8)*100)),100000+ABS(2-$J8)*1000+30)+'計算A'!AD$5*50+IF(AND($E8=1,JQ8=0),25,0),IF($F8&gt;0,INDEX('計算A'!AD$110:AD$114,$F8+1)+IF(AND($E8=1,JQ8=0),1000,0),MIN(TV8,20)*400+(IF('計算A'!AC$106=1,1-EA8,0)+IF('計算A'!AD$106=1,1-EC8,0))*150+32+'計算A'!AD$5*100000+IF(AND($E8=1,JQ8=0),50000,0))+IF($H8=1,(IF('計算A'!AC$117=1,INDEX('計算A'!AC$10:AC$54,$B8),0)+IF('計算A'!AD$117=1,INDEX('計算A'!AE$10:AE$54,$B8),0))*4000,0)-IF(AND('計算A'!AC$117=1,VA8&gt;0),2000,0)-IF(AND($L8=1,'計算A'!AD$117=1,EC8=0),2000,0))),1000000))</f>
        <v/>
      </c>
      <c r="PG8">
        <f>IF($B8=0,1000000,IF(INDEX('計算A'!$D$60:$EQ$104,$B8,28)*EC8=1,IF(AND($E8=2,JR8=0),1000000,IF($I8&gt;0,IF(2=$J8,IF(OR(AND(28=$I8+1,OR($K8&lt;&gt;'計算A'!$A$3,'計算A'!$A$4=0)),AND(28=$I8-1,OR(4&lt;&gt;'計算A'!$A$3,'計算A'!$A$4=0))),0,IF(4=$K8,200000,ABS(4-$K8)*100)),100000+ABS(2-$J8)*1000+40)+'計算A'!AE$5*50+IF(AND($E8=1,JR8=0),25,0),IF($F8&gt;0,INDEX('計算A'!AE$110:AE$114,$F8+1)+IF(AND($E8=1,JR8=0),1000,0),MIN(TV8,20)*400+(IF('計算A'!AD$106=1,1-EB8,0)+IF('計算A'!AE$106=1,1-ED8,0))*150+42+'計算A'!AE$5*100000+IF(AND($E8=1,JR8=0),50000,0))+IF($H8=1,(IF('計算A'!AD$117=1,INDEX('計算A'!AD$10:AD$54,$B8),0)+IF('計算A'!AE$117=1,INDEX('計算A'!AF$10:AF$54,$B8),0))*4000,0)-IF(AND('計算A'!AD$117=1,VB8&gt;0),2000,0)-IF(AND($L8=1,'計算A'!AE$117=1,ED8=0),2000,0))),1000000))</f>
        <v/>
      </c>
      <c r="PH8">
        <f>IF($B8=0,1000000,IF(INDEX('計算A'!$D$60:$EQ$104,$B8,29)*ED8=1,IF(AND($E8=2,JS8=0),1000000,IF($I8&gt;0,IF(2=$J8,IF(OR(AND(29=$I8+1,OR($K8&lt;&gt;'計算A'!$A$3,'計算A'!$A$4=0)),AND(29=$I8-1,OR(5&lt;&gt;'計算A'!$A$3,'計算A'!$A$4=0))),0,IF(5=$K8,200000,ABS(5-$K8)*100)),100000+ABS(2-$J8)*1000+50)+'計算A'!AF$5*50+IF(AND($E8=1,JS8=0),25,0),IF($F8&gt;0,INDEX('計算A'!AF$110:AF$114,$F8+1)+IF(AND($E8=1,JS8=0),1000,0),MIN(TV8,20)*400+(IF('計算A'!AE$106=1,1-EC8,0)+IF('計算A'!AF$106=1,1-EE8,0))*150+52+'計算A'!AF$5*100000+IF(AND($E8=1,JS8=0),50000,0))+IF($H8=1,(IF('計算A'!AE$117=1,INDEX('計算A'!AE$10:AE$54,$B8),0)+IF('計算A'!AF$117=1,INDEX('計算A'!AG$10:AG$54,$B8),0))*4000,0)-IF(AND('計算A'!AE$117=1,VC8&gt;0),2000,0)-IF(AND($L8=1,'計算A'!AF$117=1,EE8=0),2000,0))),1000000))</f>
        <v/>
      </c>
      <c r="PI8">
        <f>IF($B8=0,1000000,IF(INDEX('計算A'!$D$60:$EQ$104,$B8,30)*EE8=1,IF(AND($E8=2,JT8=0),1000000,IF($I8&gt;0,IF(2=$J8,IF(OR(AND(30=$I8+1,OR($K8&lt;&gt;'計算A'!$A$3,'計算A'!$A$4=0)),AND(30=$I8-1,OR(6&lt;&gt;'計算A'!$A$3,'計算A'!$A$4=0))),0,IF(6=$K8,200000,ABS(6-$K8)*100)),100000+ABS(2-$J8)*1000+60)+'計算A'!AG$5*50+IF(AND($E8=1,JT8=0),25,0),IF($F8&gt;0,INDEX('計算A'!AG$110:AG$114,$F8+1)+IF(AND($E8=1,JT8=0),1000,0),MIN(TV8,20)*400+(IF('計算A'!AF$106=1,1-ED8,0)+IF('計算A'!AG$106=1,1-EF8,0))*150+62+'計算A'!AG$5*100000+IF(AND($E8=1,JT8=0),50000,0))+IF($H8=1,(IF('計算A'!AF$117=1,INDEX('計算A'!AF$10:AF$54,$B8),0)+IF('計算A'!AG$117=1,INDEX('計算A'!AH$10:AH$54,$B8),0))*4000,0)-IF(AND('計算A'!AF$117=1,VD8&gt;0),2000,0)-IF(AND($L8=1,'計算A'!AG$117=1,EF8=0),2000,0))),1000000))</f>
        <v/>
      </c>
      <c r="PJ8">
        <f>IF($B8=0,1000000,IF(INDEX('計算A'!$D$60:$EQ$104,$B8,31)*EF8=1,IF(AND($E8=2,JU8=0),1000000,IF($I8&gt;0,IF(2=$J8,IF(OR(AND(31=$I8+1,OR($K8&lt;&gt;'計算A'!$A$3,'計算A'!$A$4=0)),AND(31=$I8-1,OR(7&lt;&gt;'計算A'!$A$3,'計算A'!$A$4=0))),0,IF(7=$K8,200000,ABS(7-$K8)*100)),100000+ABS(2-$J8)*1000+70)+'計算A'!AH$5*50+IF(AND($E8=1,JU8=0),25,0),IF($F8&gt;0,INDEX('計算A'!AH$110:AH$114,$F8+1)+IF(AND($E8=1,JU8=0),1000,0),MIN(TV8,20)*400+(IF('計算A'!AG$106=1,1-EE8,0)+IF('計算A'!AH$106=1,1-EG8,0))*150+72+'計算A'!AH$5*100000+IF(AND($E8=1,JU8=0),50000,0))+IF($H8=1,(IF('計算A'!AG$117=1,INDEX('計算A'!AG$10:AG$54,$B8),0)+IF('計算A'!AH$117=1,INDEX('計算A'!AI$10:AI$54,$B8),0))*4000,0)-IF(AND('計算A'!AG$117=1,VE8&gt;0),2000,0)-IF(AND($L8=1,'計算A'!AH$117=1,EG8=0),2000,0))),1000000))</f>
        <v/>
      </c>
      <c r="PK8">
        <f>IF($B8=0,1000000,IF(INDEX('計算A'!$D$60:$EQ$104,$B8,32)*EG8=1,IF(AND($E8=2,JV8=0),1000000,IF($I8&gt;0,IF(2=$J8,IF(OR(AND(32=$I8+1,OR($K8&lt;&gt;'計算A'!$A$3,'計算A'!$A$4=0)),AND(32=$I8-1,OR(8&lt;&gt;'計算A'!$A$3,'計算A'!$A$4=0))),0,IF(8=$K8,200000,ABS(8-$K8)*100)),100000+ABS(2-$J8)*1000+80)+'計算A'!AI$5*50+IF(AND($E8=1,JV8=0),25,0),IF($F8&gt;0,INDEX('計算A'!AI$110:AI$114,$F8+1)+IF(AND($E8=1,JV8=0),1000,0),MIN(TV8,20)*400+(IF('計算A'!AH$106=1,1-EF8,0)+IF('計算A'!AI$106=1,1-EH8,0))*150+82+'計算A'!AI$5*100000+IF(AND($E8=1,JV8=0),50000,0))+IF($H8=1,(IF('計算A'!AH$117=1,INDEX('計算A'!AH$10:AH$54,$B8),0)+IF('計算A'!AI$117=1,INDEX('計算A'!AJ$10:AJ$54,$B8),0))*4000,0)-IF(AND('計算A'!AH$117=1,VF8&gt;0),2000,0)-IF(AND($L8=1,'計算A'!AI$117=1,EH8=0),2000,0))),1000000))</f>
        <v/>
      </c>
      <c r="PL8">
        <f>IF($B8=0,1000000,IF(INDEX('計算A'!$D$60:$EQ$104,$B8,33)*EH8=1,IF(AND($E8=2,JW8=0),1000000,IF($I8&gt;0,IF(2=$J8,IF(OR(AND(33=$I8+1,OR($K8&lt;&gt;'計算A'!$A$3,'計算A'!$A$4=0)),AND(33=$I8-1,OR(9&lt;&gt;'計算A'!$A$3,'計算A'!$A$4=0))),0,IF(9=$K8,200000,ABS(9-$K8)*100)),100000+ABS(2-$J8)*1000+90)+'計算A'!AJ$5*50+IF(AND($E8=1,JW8=0),25,0),IF($F8&gt;0,INDEX('計算A'!AJ$110:AJ$114,$F8+1)+IF(AND($E8=1,JW8=0),1000,0),MIN(TV8,20)*400+(IF('計算A'!AI$106=1,1-EG8,0)+IF('計算A'!AJ$106=1,1-EI8,0))*150+92+'計算A'!AJ$5*100000+IF(AND($E8=1,JW8=0),50000,0))+IF($H8=1,(IF('計算A'!AI$117=1,INDEX('計算A'!AI$10:AI$54,$B8),0)+IF('計算A'!AJ$117=1,INDEX('計算A'!AK$10:AK$54,$B8),0))*4000,0)-IF(AND('計算A'!AI$117=1,VG8&gt;0),2000,0)-IF(AND($L8=1,'計算A'!AJ$117=1,EI8=0),2000,0))),1000000))</f>
        <v/>
      </c>
      <c r="PM8">
        <f>IF($B8=0,1000000,IF(INDEX('計算A'!$D$60:$EQ$104,$B8,34)*EI8=1,IF(AND($E8=2,JX8=0),1000000,IF($I8&gt;0,IF(2=$J8,IF(OR(AND(34=$I8+1,OR($K8&lt;&gt;'計算A'!$A$3,'計算A'!$A$4=0)),AND(34=$I8-1,OR(10&lt;&gt;'計算A'!$A$3,'計算A'!$A$4=0))),0,IF(10=$K8,200000,ABS(10-$K8)*100)),100000+ABS(2-$J8)*1000+100)+'計算A'!AK$5*50+IF(AND($E8=1,JX8=0),25,0),IF($F8&gt;0,INDEX('計算A'!AK$110:AK$114,$F8+1)+IF(AND($E8=1,JX8=0),1000,0),MIN(TV8,20)*400+(IF('計算A'!AJ$106=1,1-EH8,0)+IF('計算A'!AK$106=1,1-EJ8,0))*150+102+'計算A'!AK$5*100000+IF(AND($E8=1,JX8=0),50000,0))+IF($H8=1,(IF('計算A'!AJ$117=1,INDEX('計算A'!AJ$10:AJ$54,$B8),0)+IF('計算A'!AK$117=1,INDEX('計算A'!AL$10:AL$54,$B8),0))*4000,0)-IF(AND('計算A'!AJ$117=1,VH8&gt;0),2000,0)-IF(AND($L8=1,'計算A'!AK$117=1,EJ8=0),2000,0))),1000000))</f>
        <v/>
      </c>
      <c r="PN8">
        <f>IF($B8=0,1000000,IF(INDEX('計算A'!$D$60:$EQ$104,$B8,35)*EJ8=1,IF(AND($E8=2,JY8=0),1000000,IF($I8&gt;0,IF(2=$J8,IF(OR(AND(35=$I8+1,OR($K8&lt;&gt;'計算A'!$A$3,'計算A'!$A$4=0)),AND(35=$I8-1,OR(11&lt;&gt;'計算A'!$A$3,'計算A'!$A$4=0))),0,IF(11=$K8,200000,ABS(11-$K8)*100)),100000+ABS(2-$J8)*1000+110)+'計算A'!AL$5*50+IF(AND($E8=1,JY8=0),25,0),IF($F8&gt;0,INDEX('計算A'!AL$110:AL$114,$F8+1)+IF(AND($E8=1,JY8=0),1000,0),MIN(TV8,20)*400+(IF('計算A'!AK$106=1,1-EI8,0)+IF('計算A'!AL$106=1,1-EK8,0))*150+112+'計算A'!AL$5*100000+IF(AND($E8=1,JY8=0),50000,0))+IF($H8=1,(IF('計算A'!AK$117=1,INDEX('計算A'!AK$10:AK$54,$B8),0)+IF('計算A'!AL$117=1,INDEX('計算A'!AM$10:AM$54,$B8),0))*4000,0)-IF(AND('計算A'!AK$117=1,VI8&gt;0),2000,0)-IF(AND($L8=1,'計算A'!AL$117=1,EK8=0),2000,0))),1000000))</f>
        <v/>
      </c>
      <c r="PO8">
        <f>IF($B8=0,1000000,IF(INDEX('計算A'!$D$60:$EQ$104,$B8,36)*EK8=1,IF(AND($E8=2,JZ8=0),1000000,IF($I8&gt;0,IF(2=$J8,IF(OR(AND(36=$I8+1,OR($K8&lt;&gt;'計算A'!$A$3,'計算A'!$A$4=0)),AND(36=$I8-1,OR(12&lt;&gt;'計算A'!$A$3,'計算A'!$A$4=0))),0,IF(12=$K8,200000,ABS(12-$K8)*100)),100000+ABS(2-$J8)*1000+120)+'計算A'!AM$5*50+IF(AND($E8=1,JZ8=0),25,0),IF($F8&gt;0,INDEX('計算A'!AM$110:AM$114,$F8+1)+IF(AND($E8=1,JZ8=0),1000,0),MIN(TV8,20)*400+(IF('計算A'!AL$106=1,1-EJ8,0)+IF('計算A'!AM$106=1,1-EL8,0))*150+122+'計算A'!AM$5*100000+IF(AND($E8=1,JZ8=0),50000,0))+IF($H8=1,(IF('計算A'!AL$117=1,INDEX('計算A'!AL$10:AL$54,$B8),0)+IF('計算A'!AM$117=1,INDEX('計算A'!AN$10:AN$54,$B8),0))*4000,0)-IF(AND('計算A'!AL$117=1,VJ8&gt;0),2000,0)-IF(AND($L8=1,'計算A'!AM$117=1,EL8=0),2000,0))),1000000))</f>
        <v/>
      </c>
      <c r="PP8">
        <f>IF($B8=0,1000000,IF(INDEX('計算A'!$D$60:$EQ$104,$B8,37)*EL8=1,IF(AND($E8=2,KA8=0),1000000,IF($I8&gt;0,IF(2=$J8,IF(OR(AND(37=$I8+1,OR($K8&lt;&gt;'計算A'!$A$3,'計算A'!$A$4=0)),AND(37=$I8-1,OR(13&lt;&gt;'計算A'!$A$3,'計算A'!$A$4=0))),0,IF(13=$K8,200000,ABS(13-$K8)*100)),100000+ABS(2-$J8)*1000+130)+'計算A'!AN$5*50+IF(AND($E8=1,KA8=0),25,0),IF($F8&gt;0,INDEX('計算A'!AN$110:AN$114,$F8+1)+IF(AND($E8=1,KA8=0),1000,0),MIN(TV8,20)*400+(IF('計算A'!AM$106=1,1-EK8,0)+IF('計算A'!AN$106=1,1-EM8,0))*150+132+'計算A'!AN$5*100000+IF(AND($E8=1,KA8=0),50000,0))+IF($H8=1,(IF('計算A'!AM$117=1,INDEX('計算A'!AM$10:AM$54,$B8),0)+IF('計算A'!AN$117=1,INDEX('計算A'!AO$10:AO$54,$B8),0))*4000,0)-IF(AND('計算A'!AM$117=1,VK8&gt;0),2000,0)-IF(AND($L8=1,'計算A'!AN$117=1,EM8=0),2000,0))),1000000))</f>
        <v/>
      </c>
      <c r="PQ8">
        <f>IF($B8=0,1000000,IF(INDEX('計算A'!$D$60:$EQ$104,$B8,38)*EM8=1,IF(AND($E8=2,KB8=0),1000000,IF($I8&gt;0,IF(2=$J8,IF(OR(AND(38=$I8+1,OR($K8&lt;&gt;'計算A'!$A$3,'計算A'!$A$4=0)),AND(38=$I8-1,OR(14&lt;&gt;'計算A'!$A$3,'計算A'!$A$4=0))),0,IF(14=$K8,200000,ABS(14-$K8)*100)),100000+ABS(2-$J8)*1000+140)+'計算A'!AO$5*50+IF(AND($E8=1,KB8=0),25,0),IF($F8&gt;0,INDEX('計算A'!AO$110:AO$114,$F8+1)+IF(AND($E8=1,KB8=0),1000,0),MIN(TV8,20)*400+(IF('計算A'!AN$106=1,1-EL8,0)+IF('計算A'!AO$106=1,1-EN8,0))*150+142+'計算A'!AO$5*100000+IF(AND($E8=1,KB8=0),50000,0))+IF($H8=1,(IF('計算A'!AN$117=1,INDEX('計算A'!AN$10:AN$54,$B8),0)+IF('計算A'!AO$117=1,INDEX('計算A'!AP$10:AP$54,$B8),0))*4000,0)-IF(AND('計算A'!AN$117=1,VL8&gt;0),2000,0)-IF(AND($L8=1,'計算A'!AO$117=1,EN8=0),2000,0))),1000000))</f>
        <v/>
      </c>
      <c r="PR8">
        <f>IF($B8=0,1000000,IF(INDEX('計算A'!$D$60:$EQ$104,$B8,39)*EN8=1,IF(AND($E8=2,KC8=0),1000000,IF($I8&gt;0,IF(2=$J8,IF(OR(AND(39=$I8+1,OR($K8&lt;&gt;'計算A'!$A$3,'計算A'!$A$4=0)),AND(39=$I8-1,OR(15&lt;&gt;'計算A'!$A$3,'計算A'!$A$4=0))),0,IF(15=$K8,200000,ABS(15-$K8)*100)),100000+ABS(2-$J8)*1000+150)+'計算A'!AP$5*50+IF(AND($E8=1,KC8=0),25,0),IF($F8&gt;0,INDEX('計算A'!AP$110:AP$114,$F8+1)+IF(AND($E8=1,KC8=0),1000,0),MIN(TV8,20)*400+(IF('計算A'!AO$106=1,1-EM8,0)+IF('計算A'!AP$106=1,1-EO8,0))*150+152+'計算A'!AP$5*100000+IF(AND($E8=1,KC8=0),50000,0))+IF($H8=1,(IF('計算A'!AO$117=1,INDEX('計算A'!AO$10:AO$54,$B8),0)+IF('計算A'!AP$117=1,INDEX('計算A'!AQ$10:AQ$54,$B8),0))*4000,0)-IF(AND('計算A'!AO$117=1,VM8&gt;0),2000,0)-IF(AND($L8=1,'計算A'!AP$117=1,EO8=0),2000,0))),1000000))</f>
        <v/>
      </c>
      <c r="PS8">
        <f>IF($B8=0,1000000,IF(INDEX('計算A'!$D$60:$EQ$104,$B8,40)*EO8=1,IF(AND($E8=2,KD8=0),1000000,IF($I8&gt;0,IF(2=$J8,IF(OR(AND(40=$I8+1,OR($K8&lt;&gt;'計算A'!$A$3,'計算A'!$A$4=0)),AND(40=$I8-1,OR(16&lt;&gt;'計算A'!$A$3,'計算A'!$A$4=0))),0,IF(16=$K8,200000,ABS(16-$K8)*100)),100000+ABS(2-$J8)*1000+160)+'計算A'!AQ$5*50+IF(AND($E8=1,KD8=0),25,0),IF($F8&gt;0,INDEX('計算A'!AQ$110:AQ$114,$F8+1)+IF(AND($E8=1,KD8=0),1000,0),MIN(TV8,20)*400+(IF('計算A'!AP$106=1,1-EN8,0)+IF('計算A'!AQ$106=1,1-EP8,0))*150+162+'計算A'!AQ$5*100000+IF(AND($E8=1,KD8=0),50000,0))+IF($H8=1,(IF('計算A'!AP$117=1,INDEX('計算A'!AP$10:AP$54,$B8),0)+IF('計算A'!AQ$117=1,INDEX('計算A'!AR$10:AR$54,$B8),0))*4000,0)-IF(AND('計算A'!AP$117=1,VN8&gt;0),2000,0)-IF(AND($L8=1,'計算A'!AQ$117=1,EP8=0),2000,0))),1000000))</f>
        <v/>
      </c>
      <c r="PT8">
        <f>IF($B8=0,1000000,IF(INDEX('計算A'!$D$60:$EQ$104,$B8,41)*EP8=1,IF(AND($E8=2,KE8=0),1000000,IF($I8&gt;0,IF(2=$J8,IF(OR(AND(41=$I8+1,OR($K8&lt;&gt;'計算A'!$A$3,'計算A'!$A$4=0)),AND(41=$I8-1,OR(17&lt;&gt;'計算A'!$A$3,'計算A'!$A$4=0))),0,IF(17=$K8,200000,ABS(17-$K8)*100)),100000+ABS(2-$J8)*1000+170)+'計算A'!AR$5*50+IF(AND($E8=1,KE8=0),25,0),IF($F8&gt;0,INDEX('計算A'!AR$110:AR$114,$F8+1)+IF(AND($E8=1,KE8=0),1000,0),MIN(TV8,20)*400+(IF('計算A'!AQ$106=1,1-EO8,0)+IF('計算A'!AR$106=1,1-EQ8,0))*150+172+'計算A'!AR$5*100000+IF(AND($E8=1,KE8=0),50000,0))+IF($H8=1,(IF('計算A'!AQ$117=1,INDEX('計算A'!AQ$10:AQ$54,$B8),0)+IF('計算A'!AR$117=1,INDEX('計算A'!AS$10:AS$54,$B8),0))*4000,0)-IF(AND('計算A'!AQ$117=1,VO8&gt;0),2000,0)-IF(AND($L8=1,'計算A'!AR$117=1,EQ8=0),2000,0))),1000000))</f>
        <v/>
      </c>
      <c r="PU8">
        <f>IF($B8=0,1000000,IF(INDEX('計算A'!$D$60:$EQ$104,$B8,42)*EQ8=1,IF(AND($E8=2,KF8=0),1000000,IF($I8&gt;0,IF(2=$J8,IF(OR(AND(42=$I8+1,OR($K8&lt;&gt;'計算A'!$A$3,'計算A'!$A$4=0)),AND(42=$I8-1,OR(18&lt;&gt;'計算A'!$A$3,'計算A'!$A$4=0))),0,IF(18=$K8,200000,ABS(18-$K8)*100)),100000+ABS(2-$J8)*1000+180)+'計算A'!AS$5*50+IF(AND($E8=1,KF8=0),25,0),IF($F8&gt;0,INDEX('計算A'!AS$110:AS$114,$F8+1)+IF(AND($E8=1,KF8=0),1000,0),MIN(TV8,20)*400+(IF('計算A'!AR$106=1,1-EP8,0)+IF('計算A'!AS$106=1,1-ER8,0))*150+182+'計算A'!AS$5*100000+IF(AND($E8=1,KF8=0),50000,0))+IF($H8=1,(IF('計算A'!AR$117=1,INDEX('計算A'!AR$10:AR$54,$B8),0)+IF('計算A'!AS$117=1,INDEX('計算A'!AT$10:AT$54,$B8),0))*4000,0)-IF(AND('計算A'!AR$117=1,VP8&gt;0),2000,0)-IF(AND($L8=1,'計算A'!AS$117=1,ER8=0),2000,0))),1000000))</f>
        <v/>
      </c>
      <c r="PV8">
        <f>IF($B8=0,1000000,IF(INDEX('計算A'!$D$60:$EQ$104,$B8,43)*ER8=1,IF(AND($E8=2,KG8=0),1000000,IF($I8&gt;0,IF(2=$J8,IF(OR(AND(43=$I8+1,OR($K8&lt;&gt;'計算A'!$A$3,'計算A'!$A$4=0)),AND(43=$I8-1,OR(19&lt;&gt;'計算A'!$A$3,'計算A'!$A$4=0))),0,IF(19=$K8,200000,ABS(19-$K8)*100)),100000+ABS(2-$J8)*1000+190)+'計算A'!AT$5*50+IF(AND($E8=1,KG8=0),25,0),IF($F8&gt;0,INDEX('計算A'!AT$110:AT$114,$F8+1)+IF(AND($E8=1,KG8=0),1000,0),MIN(TV8,20)*400+(IF('計算A'!AS$106=1,1-EQ8,0)+IF('計算A'!AT$106=1,1-ES8,0))*150+192+'計算A'!AT$5*100000+IF(AND($E8=1,KG8=0),50000,0))+IF($H8=1,(IF('計算A'!AS$117=1,INDEX('計算A'!AS$10:AS$54,$B8),0)+IF('計算A'!AT$117=1,INDEX('計算A'!AU$10:AU$54,$B8),0))*4000,0)-IF(AND('計算A'!AS$117=1,VQ8&gt;0),2000,0)-IF(AND($L8=1,'計算A'!AT$117=1,ES8=0),2000,0))),1000000))</f>
        <v/>
      </c>
      <c r="PW8">
        <f>IF($B8=0,1000000,IF(INDEX('計算A'!$D$60:$EQ$104,$B8,44)*ES8=1,IF(AND($E8=2,KH8=0),1000000,IF($I8&gt;0,IF(2=$J8,IF(OR(AND(44=$I8+1,OR($K8&lt;&gt;'計算A'!$A$3,'計算A'!$A$4=0)),AND(44=$I8-1,OR(20&lt;&gt;'計算A'!$A$3,'計算A'!$A$4=0))),0,IF(20=$K8,200000,ABS(20-$K8)*100)),100000+ABS(2-$J8)*1000+200)+'計算A'!AU$5*50+IF(AND($E8=1,KH8=0),25,0),IF($F8&gt;0,INDEX('計算A'!AU$110:AU$114,$F8+1)+IF(AND($E8=1,KH8=0),1000,0),MIN(TV8,20)*400+(IF('計算A'!AT$106=1,1-ER8,0)+IF('計算A'!AU$106=1,1-ET8,0))*150+202+'計算A'!AU$5*100000+IF(AND($E8=1,KH8=0),50000,0))+IF($H8=1,(IF('計算A'!AT$117=1,INDEX('計算A'!AT$10:AT$54,$B8),0)+IF('計算A'!AU$117=1,INDEX('計算A'!AV$10:AV$54,$B8),0))*4000,0)-IF(AND('計算A'!AT$117=1,VR8&gt;0),2000,0)-IF(AND($L8=1,'計算A'!AU$117=1,ET8=0),2000,0))),1000000))</f>
        <v/>
      </c>
      <c r="PX8">
        <f>IF($B8=0,1000000,IF(INDEX('計算A'!$D$60:$EQ$104,$B8,45)*ET8=1,IF(AND($E8=2,KI8=0),1000000,IF($I8&gt;0,IF(2=$J8,IF(OR(AND(45=$I8+1,OR($K8&lt;&gt;'計算A'!$A$3,'計算A'!$A$4=0)),AND(45=$I8-1,OR(21&lt;&gt;'計算A'!$A$3,'計算A'!$A$4=0))),0,IF(21=$K8,200000,ABS(21-$K8)*100)),100000+ABS(2-$J8)*1000+210)+'計算A'!AV$5*50+IF(AND($E8=1,KI8=0),25,0),IF($F8&gt;0,INDEX('計算A'!AV$110:AV$114,$F8+1)+IF(AND($E8=1,KI8=0),1000,0),MIN(TV8,20)*400+(IF('計算A'!AU$106=1,1-ES8,0)+IF('計算A'!AV$106=1,1-EU8,0))*150+212+'計算A'!AV$5*100000+IF(AND($E8=1,KI8=0),50000,0))+IF($H8=1,(IF('計算A'!AU$117=1,INDEX('計算A'!AU$10:AU$54,$B8),0)+IF('計算A'!AV$117=1,INDEX('計算A'!AW$10:AW$54,$B8),0))*4000,0)-IF(AND('計算A'!AU$117=1,VS8&gt;0),2000,0)-IF(AND($L8=1,'計算A'!AV$117=1,EU8=0),2000,0))),1000000))</f>
        <v/>
      </c>
      <c r="PY8">
        <f>IF($B8=0,1000000,IF(INDEX('計算A'!$D$60:$EQ$104,$B8,46)*EU8=1,IF(AND($E8=2,KJ8=0),1000000,IF($I8&gt;0,IF(2=$J8,IF(OR(AND(46=$I8+1,OR($K8&lt;&gt;'計算A'!$A$3,'計算A'!$A$4=0)),AND(46=$I8-1,OR(22&lt;&gt;'計算A'!$A$3,'計算A'!$A$4=0))),0,IF(22=$K8,200000,ABS(22-$K8)*100)),100000+ABS(2-$J8)*1000+220)+'計算A'!AW$5*50+IF(AND($E8=1,KJ8=0),25,0),IF($F8&gt;0,INDEX('計算A'!AW$110:AW$114,$F8+1)+IF(AND($E8=1,KJ8=0),1000,0),MIN(TV8,20)*400+(IF('計算A'!AV$106=1,1-ET8,0)+IF('計算A'!AW$106=1,1-EV8,0))*150+222+'計算A'!AW$5*100000+IF(AND($E8=1,KJ8=0),50000,0))+IF($H8=1,(IF('計算A'!AV$117=1,INDEX('計算A'!AV$10:AV$54,$B8),0)+IF('計算A'!AW$117=1,INDEX('計算A'!AX$10:AX$54,$B8),0))*4000,0)-IF(AND('計算A'!AV$117=1,VT8&gt;0),2000,0)-IF(AND($L8=1,'計算A'!AW$117=1,EV8=0),2000,0))),1000000))</f>
        <v/>
      </c>
      <c r="PZ8">
        <f>IF($B8=0,1000000,IF(INDEX('計算A'!$D$60:$EQ$104,$B8,47)*EV8=1,IF(AND($E8=2,KK8=0),1000000,IF($I8&gt;0,IF(2=$J8,IF(OR(AND(47=$I8+1,OR($K8&lt;&gt;'計算A'!$A$3,'計算A'!$A$4=0)),AND(47=$I8-1,OR(23&lt;&gt;'計算A'!$A$3,'計算A'!$A$4=0))),0,IF(23=$K8,200000,ABS(23-$K8)*100)),100000+ABS(2-$J8)*1000+230)+'計算A'!AX$5*50+IF(AND($E8=1,KK8=0),25,0),IF($F8&gt;0,INDEX('計算A'!AX$110:AX$114,$F8+1)+IF(AND($E8=1,KK8=0),1000,0),MIN(TV8,20)*400+(IF('計算A'!AW$106=1,1-EU8,0)+IF('計算A'!AX$106=1,1-EW8,0))*150+232+'計算A'!AX$5*100000+IF(AND($E8=1,KK8=0),50000,0))+IF($H8=1,(IF('計算A'!AW$117=1,INDEX('計算A'!AW$10:AW$54,$B8),0)+IF('計算A'!AX$117=1,INDEX('計算A'!AY$10:AY$54,$B8),0))*4000,0)-IF(AND('計算A'!AW$117=1,VU8&gt;0),2000,0)-IF(AND($L8=1,'計算A'!AX$117=1,EW8=0),2000,0))),1000000))</f>
        <v/>
      </c>
      <c r="QA8">
        <f>IF($B8=0,1000000,IF(INDEX('計算A'!$D$60:$EQ$104,$B8,48)*EW8=1,IF(AND($E8=2,KL8=0),1000000,IF($I8&gt;0,IF(2=$J8,IF(OR(AND(48=$I8+1,OR($K8&lt;&gt;'計算A'!$A$3,'計算A'!$A$4=0)),AND(48=$I8-1,OR(24&lt;&gt;'計算A'!$A$3,'計算A'!$A$4=0))),0,IF(24=$K8,200000,ABS(24-$K8)*100)),100000+ABS(2-$J8)*1000+240)+'計算A'!AY$5*50+IF(AND($E8=1,KL8=0),25,0),IF($F8&gt;0,INDEX('計算A'!AY$110:AY$114,$F8+1)+IF(AND($E8=1,KL8=0),1000,0),MIN(TV8,20)*400+(IF('計算A'!AX$106=1,1-EV8,0))*150+242+'計算A'!AY$5*100000+IF(AND($E8=1,KL8=0),50000,0))+IF($H8=1,(IF('計算A'!AX$117=1,INDEX('計算A'!AX$10:AX$54,$B8),0))*4000,0)-IF(AND('計算A'!AX$117=1,VV8&gt;0),2000,0))),1000000))</f>
        <v/>
      </c>
      <c r="QB8">
        <f>IF($B8=0,1000000,IF(INDEX('計算A'!$D$60:$EQ$104,$B8,49)*EX8=1,IF(AND($E8=2,KM8=0),1000000,IF($I8&gt;0,IF(3=$J8,IF(OR(AND(49=$I8+1,OR($K8&lt;&gt;'計算A'!$A$3,'計算A'!$A$4=0)),AND(49=$I8-1,OR(1&lt;&gt;'計算A'!$A$3,'計算A'!$A$4=0))),0,IF(1=$K8,200000,ABS(1-$K8)*100)),100000+ABS(3-$J8)*1000+10)+'計算A'!AZ$5*50+IF(AND($E8=1,KM8=0),25,0),IF($F8&gt;0,INDEX('計算A'!AZ$110:AZ$114,$F8+1)+IF(AND($E8=1,KM8=0),1000,0),MIN(TW8,20)*400+(IF('計算A'!AZ$106=1,1-EY8,0))*150+13+'計算A'!AZ$5*100000+IF(AND($E8=1,KM8=0),50000,0))+IF($H8=1,(IF('計算A'!AZ$117=1,INDEX('計算A'!BA$10:BA$54,$B8),0))*4000,0)-IF(AND($L8=1,'計算A'!AZ$117=1,EY8=0),2000,0))),1000000))</f>
        <v/>
      </c>
      <c r="QC8">
        <f>IF($B8=0,1000000,IF(INDEX('計算A'!$D$60:$EQ$104,$B8,50)*EY8=1,IF(AND($E8=2,KN8=0),1000000,IF($I8&gt;0,IF(3=$J8,IF(OR(AND(50=$I8+1,OR($K8&lt;&gt;'計算A'!$A$3,'計算A'!$A$4=0)),AND(50=$I8-1,OR(2&lt;&gt;'計算A'!$A$3,'計算A'!$A$4=0))),0,IF(2=$K8,200000,ABS(2-$K8)*100)),100000+ABS(3-$J8)*1000+20)+'計算A'!BA$5*50+IF(AND($E8=1,KN8=0),25,0),IF($F8&gt;0,INDEX('計算A'!BA$110:BA$114,$F8+1)+IF(AND($E8=1,KN8=0),1000,0),MIN(TW8,20)*400+(IF('計算A'!AZ$106=1,1-EX8,0)+IF('計算A'!BA$106=1,1-EZ8,0))*150+23+'計算A'!BA$5*100000+IF(AND($E8=1,KN8=0),50000,0))+IF($H8=1,(IF('計算A'!AZ$117=1,INDEX('計算A'!AZ$10:AZ$54,$B8),0)+IF('計算A'!BA$117=1,INDEX('計算A'!BB$10:BB$54,$B8),0))*4000,0)-IF(AND('計算A'!AZ$117=1,VX8&gt;0),2000,0)-IF(AND($L8=1,'計算A'!BA$117=1,EZ8=0),2000,0))),1000000))</f>
        <v/>
      </c>
      <c r="QD8">
        <f>IF($B8=0,1000000,IF(INDEX('計算A'!$D$60:$EQ$104,$B8,51)*EZ8=1,IF(AND($E8=2,KO8=0),1000000,IF($I8&gt;0,IF(3=$J8,IF(OR(AND(51=$I8+1,OR($K8&lt;&gt;'計算A'!$A$3,'計算A'!$A$4=0)),AND(51=$I8-1,OR(3&lt;&gt;'計算A'!$A$3,'計算A'!$A$4=0))),0,IF(3=$K8,200000,ABS(3-$K8)*100)),100000+ABS(3-$J8)*1000+30)+'計算A'!BB$5*50+IF(AND($E8=1,KO8=0),25,0),IF($F8&gt;0,INDEX('計算A'!BB$110:BB$114,$F8+1)+IF(AND($E8=1,KO8=0),1000,0),MIN(TW8,20)*400+(IF('計算A'!BA$106=1,1-EY8,0)+IF('計算A'!BB$106=1,1-FA8,0))*150+33+'計算A'!BB$5*100000+IF(AND($E8=1,KO8=0),50000,0))+IF($H8=1,(IF('計算A'!BA$117=1,INDEX('計算A'!BA$10:BA$54,$B8),0)+IF('計算A'!BB$117=1,INDEX('計算A'!BC$10:BC$54,$B8),0))*4000,0)-IF(AND('計算A'!BA$117=1,VY8&gt;0),2000,0)-IF(AND($L8=1,'計算A'!BB$117=1,FA8=0),2000,0))),1000000))</f>
        <v/>
      </c>
      <c r="QE8">
        <f>IF($B8=0,1000000,IF(INDEX('計算A'!$D$60:$EQ$104,$B8,52)*FA8=1,IF(AND($E8=2,KP8=0),1000000,IF($I8&gt;0,IF(3=$J8,IF(OR(AND(52=$I8+1,OR($K8&lt;&gt;'計算A'!$A$3,'計算A'!$A$4=0)),AND(52=$I8-1,OR(4&lt;&gt;'計算A'!$A$3,'計算A'!$A$4=0))),0,IF(4=$K8,200000,ABS(4-$K8)*100)),100000+ABS(3-$J8)*1000+40)+'計算A'!BC$5*50+IF(AND($E8=1,KP8=0),25,0),IF($F8&gt;0,INDEX('計算A'!BC$110:BC$114,$F8+1)+IF(AND($E8=1,KP8=0),1000,0),MIN(TW8,20)*400+(IF('計算A'!BB$106=1,1-EZ8,0)+IF('計算A'!BC$106=1,1-FB8,0))*150+43+'計算A'!BC$5*100000+IF(AND($E8=1,KP8=0),50000,0))+IF($H8=1,(IF('計算A'!BB$117=1,INDEX('計算A'!BB$10:BB$54,$B8),0)+IF('計算A'!BC$117=1,INDEX('計算A'!BD$10:BD$54,$B8),0))*4000,0)-IF(AND('計算A'!BB$117=1,VZ8&gt;0),2000,0)-IF(AND($L8=1,'計算A'!BC$117=1,FB8=0),2000,0))),1000000))</f>
        <v/>
      </c>
      <c r="QF8">
        <f>IF($B8=0,1000000,IF(INDEX('計算A'!$D$60:$EQ$104,$B8,53)*FB8=1,IF(AND($E8=2,KQ8=0),1000000,IF($I8&gt;0,IF(3=$J8,IF(OR(AND(53=$I8+1,OR($K8&lt;&gt;'計算A'!$A$3,'計算A'!$A$4=0)),AND(53=$I8-1,OR(5&lt;&gt;'計算A'!$A$3,'計算A'!$A$4=0))),0,IF(5=$K8,200000,ABS(5-$K8)*100)),100000+ABS(3-$J8)*1000+50)+'計算A'!BD$5*50+IF(AND($E8=1,KQ8=0),25,0),IF($F8&gt;0,INDEX('計算A'!BD$110:BD$114,$F8+1)+IF(AND($E8=1,KQ8=0),1000,0),MIN(TW8,20)*400+(IF('計算A'!BC$106=1,1-FA8,0)+IF('計算A'!BD$106=1,1-FC8,0))*150+53+'計算A'!BD$5*100000+IF(AND($E8=1,KQ8=0),50000,0))+IF($H8=1,(IF('計算A'!BC$117=1,INDEX('計算A'!BC$10:BC$54,$B8),0)+IF('計算A'!BD$117=1,INDEX('計算A'!BE$10:BE$54,$B8),0))*4000,0)-IF(AND('計算A'!BC$117=1,WA8&gt;0),2000,0)-IF(AND($L8=1,'計算A'!BD$117=1,FC8=0),2000,0))),1000000))</f>
        <v/>
      </c>
      <c r="QG8">
        <f>IF($B8=0,1000000,IF(INDEX('計算A'!$D$60:$EQ$104,$B8,54)*FC8=1,IF(AND($E8=2,KR8=0),1000000,IF($I8&gt;0,IF(3=$J8,IF(OR(AND(54=$I8+1,OR($K8&lt;&gt;'計算A'!$A$3,'計算A'!$A$4=0)),AND(54=$I8-1,OR(6&lt;&gt;'計算A'!$A$3,'計算A'!$A$4=0))),0,IF(6=$K8,200000,ABS(6-$K8)*100)),100000+ABS(3-$J8)*1000+60)+'計算A'!BE$5*50+IF(AND($E8=1,KR8=0),25,0),IF($F8&gt;0,INDEX('計算A'!BE$110:BE$114,$F8+1)+IF(AND($E8=1,KR8=0),1000,0),MIN(TW8,20)*400+(IF('計算A'!BD$106=1,1-FB8,0)+IF('計算A'!BE$106=1,1-FD8,0))*150+63+'計算A'!BE$5*100000+IF(AND($E8=1,KR8=0),50000,0))+IF($H8=1,(IF('計算A'!BD$117=1,INDEX('計算A'!BD$10:BD$54,$B8),0)+IF('計算A'!BE$117=1,INDEX('計算A'!BF$10:BF$54,$B8),0))*4000,0)-IF(AND('計算A'!BD$117=1,WB8&gt;0),2000,0)-IF(AND($L8=1,'計算A'!BE$117=1,FD8=0),2000,0))),1000000))</f>
        <v/>
      </c>
      <c r="QH8">
        <f>IF($B8=0,1000000,IF(INDEX('計算A'!$D$60:$EQ$104,$B8,55)*FD8=1,IF(AND($E8=2,KS8=0),1000000,IF($I8&gt;0,IF(3=$J8,IF(OR(AND(55=$I8+1,OR($K8&lt;&gt;'計算A'!$A$3,'計算A'!$A$4=0)),AND(55=$I8-1,OR(7&lt;&gt;'計算A'!$A$3,'計算A'!$A$4=0))),0,IF(7=$K8,200000,ABS(7-$K8)*100)),100000+ABS(3-$J8)*1000+70)+'計算A'!BF$5*50+IF(AND($E8=1,KS8=0),25,0),IF($F8&gt;0,INDEX('計算A'!BF$110:BF$114,$F8+1)+IF(AND($E8=1,KS8=0),1000,0),MIN(TW8,20)*400+(IF('計算A'!BE$106=1,1-FC8,0)+IF('計算A'!BF$106=1,1-FE8,0))*150+73+'計算A'!BF$5*100000+IF(AND($E8=1,KS8=0),50000,0))+IF($H8=1,(IF('計算A'!BE$117=1,INDEX('計算A'!BE$10:BE$54,$B8),0)+IF('計算A'!BF$117=1,INDEX('計算A'!BG$10:BG$54,$B8),0))*4000,0)-IF(AND('計算A'!BE$117=1,WC8&gt;0),2000,0)-IF(AND($L8=1,'計算A'!BF$117=1,FE8=0),2000,0))),1000000))</f>
        <v/>
      </c>
      <c r="QI8">
        <f>IF($B8=0,1000000,IF(INDEX('計算A'!$D$60:$EQ$104,$B8,56)*FE8=1,IF(AND($E8=2,KT8=0),1000000,IF($I8&gt;0,IF(3=$J8,IF(OR(AND(56=$I8+1,OR($K8&lt;&gt;'計算A'!$A$3,'計算A'!$A$4=0)),AND(56=$I8-1,OR(8&lt;&gt;'計算A'!$A$3,'計算A'!$A$4=0))),0,IF(8=$K8,200000,ABS(8-$K8)*100)),100000+ABS(3-$J8)*1000+80)+'計算A'!BG$5*50+IF(AND($E8=1,KT8=0),25,0),IF($F8&gt;0,INDEX('計算A'!BG$110:BG$114,$F8+1)+IF(AND($E8=1,KT8=0),1000,0),MIN(TW8,20)*400+(IF('計算A'!BF$106=1,1-FD8,0)+IF('計算A'!BG$106=1,1-FF8,0))*150+83+'計算A'!BG$5*100000+IF(AND($E8=1,KT8=0),50000,0))+IF($H8=1,(IF('計算A'!BF$117=1,INDEX('計算A'!BF$10:BF$54,$B8),0)+IF('計算A'!BG$117=1,INDEX('計算A'!BH$10:BH$54,$B8),0))*4000,0)-IF(AND('計算A'!BF$117=1,WD8&gt;0),2000,0)-IF(AND($L8=1,'計算A'!BG$117=1,FF8=0),2000,0))),1000000))</f>
        <v/>
      </c>
      <c r="QJ8">
        <f>IF($B8=0,1000000,IF(INDEX('計算A'!$D$60:$EQ$104,$B8,57)*FF8=1,IF(AND($E8=2,KU8=0),1000000,IF($I8&gt;0,IF(3=$J8,IF(OR(AND(57=$I8+1,OR($K8&lt;&gt;'計算A'!$A$3,'計算A'!$A$4=0)),AND(57=$I8-1,OR(9&lt;&gt;'計算A'!$A$3,'計算A'!$A$4=0))),0,IF(9=$K8,200000,ABS(9-$K8)*100)),100000+ABS(3-$J8)*1000+90)+'計算A'!BH$5*50+IF(AND($E8=1,KU8=0),25,0),IF($F8&gt;0,INDEX('計算A'!BH$110:BH$114,$F8+1)+IF(AND($E8=1,KU8=0),1000,0),MIN(TW8,20)*400+(IF('計算A'!BG$106=1,1-FE8,0)+IF('計算A'!BH$106=1,1-FG8,0))*150+93+'計算A'!BH$5*100000+IF(AND($E8=1,KU8=0),50000,0))+IF($H8=1,(IF('計算A'!BG$117=1,INDEX('計算A'!BG$10:BG$54,$B8),0)+IF('計算A'!BH$117=1,INDEX('計算A'!BI$10:BI$54,$B8),0))*4000,0)-IF(AND('計算A'!BG$117=1,WE8&gt;0),2000,0)-IF(AND($L8=1,'計算A'!BH$117=1,FG8=0),2000,0))),1000000))</f>
        <v/>
      </c>
      <c r="QK8">
        <f>IF($B8=0,1000000,IF(INDEX('計算A'!$D$60:$EQ$104,$B8,58)*FG8=1,IF(AND($E8=2,KV8=0),1000000,IF($I8&gt;0,IF(3=$J8,IF(OR(AND(58=$I8+1,OR($K8&lt;&gt;'計算A'!$A$3,'計算A'!$A$4=0)),AND(58=$I8-1,OR(10&lt;&gt;'計算A'!$A$3,'計算A'!$A$4=0))),0,IF(10=$K8,200000,ABS(10-$K8)*100)),100000+ABS(3-$J8)*1000+100)+'計算A'!BI$5*50+IF(AND($E8=1,KV8=0),25,0),IF($F8&gt;0,INDEX('計算A'!BI$110:BI$114,$F8+1)+IF(AND($E8=1,KV8=0),1000,0),MIN(TW8,20)*400+(IF('計算A'!BH$106=1,1-FF8,0)+IF('計算A'!BI$106=1,1-FH8,0))*150+103+'計算A'!BI$5*100000+IF(AND($E8=1,KV8=0),50000,0))+IF($H8=1,(IF('計算A'!BH$117=1,INDEX('計算A'!BH$10:BH$54,$B8),0)+IF('計算A'!BI$117=1,INDEX('計算A'!BJ$10:BJ$54,$B8),0))*4000,0)-IF(AND('計算A'!BH$117=1,WF8&gt;0),2000,0)-IF(AND($L8=1,'計算A'!BI$117=1,FH8=0),2000,0))),1000000))</f>
        <v/>
      </c>
      <c r="QL8">
        <f>IF($B8=0,1000000,IF(INDEX('計算A'!$D$60:$EQ$104,$B8,59)*FH8=1,IF(AND($E8=2,KW8=0),1000000,IF($I8&gt;0,IF(3=$J8,IF(OR(AND(59=$I8+1,OR($K8&lt;&gt;'計算A'!$A$3,'計算A'!$A$4=0)),AND(59=$I8-1,OR(11&lt;&gt;'計算A'!$A$3,'計算A'!$A$4=0))),0,IF(11=$K8,200000,ABS(11-$K8)*100)),100000+ABS(3-$J8)*1000+110)+'計算A'!BJ$5*50+IF(AND($E8=1,KW8=0),25,0),IF($F8&gt;0,INDEX('計算A'!BJ$110:BJ$114,$F8+1)+IF(AND($E8=1,KW8=0),1000,0),MIN(TW8,20)*400+(IF('計算A'!BI$106=1,1-FG8,0)+IF('計算A'!BJ$106=1,1-FI8,0))*150+113+'計算A'!BJ$5*100000+IF(AND($E8=1,KW8=0),50000,0))+IF($H8=1,(IF('計算A'!BI$117=1,INDEX('計算A'!BI$10:BI$54,$B8),0)+IF('計算A'!BJ$117=1,INDEX('計算A'!BK$10:BK$54,$B8),0))*4000,0)-IF(AND('計算A'!BI$117=1,WG8&gt;0),2000,0)-IF(AND($L8=1,'計算A'!BJ$117=1,FI8=0),2000,0))),1000000))</f>
        <v/>
      </c>
      <c r="QM8">
        <f>IF($B8=0,1000000,IF(INDEX('計算A'!$D$60:$EQ$104,$B8,60)*FI8=1,IF(AND($E8=2,KX8=0),1000000,IF($I8&gt;0,IF(3=$J8,IF(OR(AND(60=$I8+1,OR($K8&lt;&gt;'計算A'!$A$3,'計算A'!$A$4=0)),AND(60=$I8-1,OR(12&lt;&gt;'計算A'!$A$3,'計算A'!$A$4=0))),0,IF(12=$K8,200000,ABS(12-$K8)*100)),100000+ABS(3-$J8)*1000+120)+'計算A'!BK$5*50+IF(AND($E8=1,KX8=0),25,0),IF($F8&gt;0,INDEX('計算A'!BK$110:BK$114,$F8+1)+IF(AND($E8=1,KX8=0),1000,0),MIN(TW8,20)*400+(IF('計算A'!BJ$106=1,1-FH8,0)+IF('計算A'!BK$106=1,1-FJ8,0))*150+123+'計算A'!BK$5*100000+IF(AND($E8=1,KX8=0),50000,0))+IF($H8=1,(IF('計算A'!BJ$117=1,INDEX('計算A'!BJ$10:BJ$54,$B8),0)+IF('計算A'!BK$117=1,INDEX('計算A'!BL$10:BL$54,$B8),0))*4000,0)-IF(AND('計算A'!BJ$117=1,WH8&gt;0),2000,0)-IF(AND($L8=1,'計算A'!BK$117=1,FJ8=0),2000,0))),1000000))</f>
        <v/>
      </c>
      <c r="QN8">
        <f>IF($B8=0,1000000,IF(INDEX('計算A'!$D$60:$EQ$104,$B8,61)*FJ8=1,IF(AND($E8=2,KY8=0),1000000,IF($I8&gt;0,IF(3=$J8,IF(OR(AND(61=$I8+1,OR($K8&lt;&gt;'計算A'!$A$3,'計算A'!$A$4=0)),AND(61=$I8-1,OR(13&lt;&gt;'計算A'!$A$3,'計算A'!$A$4=0))),0,IF(13=$K8,200000,ABS(13-$K8)*100)),100000+ABS(3-$J8)*1000+130)+'計算A'!BL$5*50+IF(AND($E8=1,KY8=0),25,0),IF($F8&gt;0,INDEX('計算A'!BL$110:BL$114,$F8+1)+IF(AND($E8=1,KY8=0),1000,0),MIN(TW8,20)*400+(IF('計算A'!BK$106=1,1-FI8,0)+IF('計算A'!BL$106=1,1-FK8,0))*150+133+'計算A'!BL$5*100000+IF(AND($E8=1,KY8=0),50000,0))+IF($H8=1,(IF('計算A'!BK$117=1,INDEX('計算A'!BK$10:BK$54,$B8),0)+IF('計算A'!BL$117=1,INDEX('計算A'!BM$10:BM$54,$B8),0))*4000,0)-IF(AND('計算A'!BK$117=1,WI8&gt;0),2000,0)-IF(AND($L8=1,'計算A'!BL$117=1,FK8=0),2000,0))),1000000))</f>
        <v/>
      </c>
      <c r="QO8">
        <f>IF($B8=0,1000000,IF(INDEX('計算A'!$D$60:$EQ$104,$B8,62)*FK8=1,IF(AND($E8=2,KZ8=0),1000000,IF($I8&gt;0,IF(3=$J8,IF(OR(AND(62=$I8+1,OR($K8&lt;&gt;'計算A'!$A$3,'計算A'!$A$4=0)),AND(62=$I8-1,OR(14&lt;&gt;'計算A'!$A$3,'計算A'!$A$4=0))),0,IF(14=$K8,200000,ABS(14-$K8)*100)),100000+ABS(3-$J8)*1000+140)+'計算A'!BM$5*50+IF(AND($E8=1,KZ8=0),25,0),IF($F8&gt;0,INDEX('計算A'!BM$110:BM$114,$F8+1)+IF(AND($E8=1,KZ8=0),1000,0),MIN(TW8,20)*400+(IF('計算A'!BL$106=1,1-FJ8,0)+IF('計算A'!BM$106=1,1-FL8,0))*150+143+'計算A'!BM$5*100000+IF(AND($E8=1,KZ8=0),50000,0))+IF($H8=1,(IF('計算A'!BL$117=1,INDEX('計算A'!BL$10:BL$54,$B8),0)+IF('計算A'!BM$117=1,INDEX('計算A'!BN$10:BN$54,$B8),0))*4000,0)-IF(AND('計算A'!BL$117=1,WJ8&gt;0),2000,0)-IF(AND($L8=1,'計算A'!BM$117=1,FL8=0),2000,0))),1000000))</f>
        <v/>
      </c>
      <c r="QP8">
        <f>IF($B8=0,1000000,IF(INDEX('計算A'!$D$60:$EQ$104,$B8,63)*FL8=1,IF(AND($E8=2,LA8=0),1000000,IF($I8&gt;0,IF(3=$J8,IF(OR(AND(63=$I8+1,OR($K8&lt;&gt;'計算A'!$A$3,'計算A'!$A$4=0)),AND(63=$I8-1,OR(15&lt;&gt;'計算A'!$A$3,'計算A'!$A$4=0))),0,IF(15=$K8,200000,ABS(15-$K8)*100)),100000+ABS(3-$J8)*1000+150)+'計算A'!BN$5*50+IF(AND($E8=1,LA8=0),25,0),IF($F8&gt;0,INDEX('計算A'!BN$110:BN$114,$F8+1)+IF(AND($E8=1,LA8=0),1000,0),MIN(TW8,20)*400+(IF('計算A'!BM$106=1,1-FK8,0)+IF('計算A'!BN$106=1,1-FM8,0))*150+153+'計算A'!BN$5*100000+IF(AND($E8=1,LA8=0),50000,0))+IF($H8=1,(IF('計算A'!BM$117=1,INDEX('計算A'!BM$10:BM$54,$B8),0)+IF('計算A'!BN$117=1,INDEX('計算A'!BO$10:BO$54,$B8),0))*4000,0)-IF(AND('計算A'!BM$117=1,WK8&gt;0),2000,0)-IF(AND($L8=1,'計算A'!BN$117=1,FM8=0),2000,0))),1000000))</f>
        <v/>
      </c>
      <c r="QQ8">
        <f>IF($B8=0,1000000,IF(INDEX('計算A'!$D$60:$EQ$104,$B8,64)*FM8=1,IF(AND($E8=2,LB8=0),1000000,IF($I8&gt;0,IF(3=$J8,IF(OR(AND(64=$I8+1,OR($K8&lt;&gt;'計算A'!$A$3,'計算A'!$A$4=0)),AND(64=$I8-1,OR(16&lt;&gt;'計算A'!$A$3,'計算A'!$A$4=0))),0,IF(16=$K8,200000,ABS(16-$K8)*100)),100000+ABS(3-$J8)*1000+160)+'計算A'!BO$5*50+IF(AND($E8=1,LB8=0),25,0),IF($F8&gt;0,INDEX('計算A'!BO$110:BO$114,$F8+1)+IF(AND($E8=1,LB8=0),1000,0),MIN(TW8,20)*400+(IF('計算A'!BN$106=1,1-FL8,0)+IF('計算A'!BO$106=1,1-FN8,0))*150+163+'計算A'!BO$5*100000+IF(AND($E8=1,LB8=0),50000,0))+IF($H8=1,(IF('計算A'!BN$117=1,INDEX('計算A'!BN$10:BN$54,$B8),0)+IF('計算A'!BO$117=1,INDEX('計算A'!BP$10:BP$54,$B8),0))*4000,0)-IF(AND('計算A'!BN$117=1,WL8&gt;0),2000,0)-IF(AND($L8=1,'計算A'!BO$117=1,FN8=0),2000,0))),1000000))</f>
        <v/>
      </c>
      <c r="QR8">
        <f>IF($B8=0,1000000,IF(INDEX('計算A'!$D$60:$EQ$104,$B8,65)*FN8=1,IF(AND($E8=2,LC8=0),1000000,IF($I8&gt;0,IF(3=$J8,IF(OR(AND(65=$I8+1,OR($K8&lt;&gt;'計算A'!$A$3,'計算A'!$A$4=0)),AND(65=$I8-1,OR(17&lt;&gt;'計算A'!$A$3,'計算A'!$A$4=0))),0,IF(17=$K8,200000,ABS(17-$K8)*100)),100000+ABS(3-$J8)*1000+170)+'計算A'!BP$5*50+IF(AND($E8=1,LC8=0),25,0),IF($F8&gt;0,INDEX('計算A'!BP$110:BP$114,$F8+1)+IF(AND($E8=1,LC8=0),1000,0),MIN(TW8,20)*400+(IF('計算A'!BO$106=1,1-FM8,0)+IF('計算A'!BP$106=1,1-FO8,0))*150+173+'計算A'!BP$5*100000+IF(AND($E8=1,LC8=0),50000,0))+IF($H8=1,(IF('計算A'!BO$117=1,INDEX('計算A'!BO$10:BO$54,$B8),0)+IF('計算A'!BP$117=1,INDEX('計算A'!BQ$10:BQ$54,$B8),0))*4000,0)-IF(AND('計算A'!BO$117=1,WM8&gt;0),2000,0)-IF(AND($L8=1,'計算A'!BP$117=1,FO8=0),2000,0))),1000000))</f>
        <v/>
      </c>
      <c r="QS8">
        <f>IF($B8=0,1000000,IF(INDEX('計算A'!$D$60:$EQ$104,$B8,66)*FO8=1,IF(AND($E8=2,LD8=0),1000000,IF($I8&gt;0,IF(3=$J8,IF(OR(AND(66=$I8+1,OR($K8&lt;&gt;'計算A'!$A$3,'計算A'!$A$4=0)),AND(66=$I8-1,OR(18&lt;&gt;'計算A'!$A$3,'計算A'!$A$4=0))),0,IF(18=$K8,200000,ABS(18-$K8)*100)),100000+ABS(3-$J8)*1000+180)+'計算A'!BQ$5*50+IF(AND($E8=1,LD8=0),25,0),IF($F8&gt;0,INDEX('計算A'!BQ$110:BQ$114,$F8+1)+IF(AND($E8=1,LD8=0),1000,0),MIN(TW8,20)*400+(IF('計算A'!BP$106=1,1-FN8,0)+IF('計算A'!BQ$106=1,1-FP8,0))*150+183+'計算A'!BQ$5*100000+IF(AND($E8=1,LD8=0),50000,0))+IF($H8=1,(IF('計算A'!BP$117=1,INDEX('計算A'!BP$10:BP$54,$B8),0)+IF('計算A'!BQ$117=1,INDEX('計算A'!BR$10:BR$54,$B8),0))*4000,0)-IF(AND('計算A'!BP$117=1,WN8&gt;0),2000,0)-IF(AND($L8=1,'計算A'!BQ$117=1,FP8=0),2000,0))),1000000))</f>
        <v/>
      </c>
      <c r="QT8">
        <f>IF($B8=0,1000000,IF(INDEX('計算A'!$D$60:$EQ$104,$B8,67)*FP8=1,IF(AND($E8=2,LE8=0),1000000,IF($I8&gt;0,IF(3=$J8,IF(OR(AND(67=$I8+1,OR($K8&lt;&gt;'計算A'!$A$3,'計算A'!$A$4=0)),AND(67=$I8-1,OR(19&lt;&gt;'計算A'!$A$3,'計算A'!$A$4=0))),0,IF(19=$K8,200000,ABS(19-$K8)*100)),100000+ABS(3-$J8)*1000+190)+'計算A'!BR$5*50+IF(AND($E8=1,LE8=0),25,0),IF($F8&gt;0,INDEX('計算A'!BR$110:BR$114,$F8+1)+IF(AND($E8=1,LE8=0),1000,0),MIN(TW8,20)*400+(IF('計算A'!BQ$106=1,1-FO8,0)+IF('計算A'!BR$106=1,1-FQ8,0))*150+193+'計算A'!BR$5*100000+IF(AND($E8=1,LE8=0),50000,0))+IF($H8=1,(IF('計算A'!BQ$117=1,INDEX('計算A'!BQ$10:BQ$54,$B8),0)+IF('計算A'!BR$117=1,INDEX('計算A'!BS$10:BS$54,$B8),0))*4000,0)-IF(AND('計算A'!BQ$117=1,WO8&gt;0),2000,0)-IF(AND($L8=1,'計算A'!BR$117=1,FQ8=0),2000,0))),1000000))</f>
        <v/>
      </c>
      <c r="QU8">
        <f>IF($B8=0,1000000,IF(INDEX('計算A'!$D$60:$EQ$104,$B8,68)*FQ8=1,IF(AND($E8=2,LF8=0),1000000,IF($I8&gt;0,IF(3=$J8,IF(OR(AND(68=$I8+1,OR($K8&lt;&gt;'計算A'!$A$3,'計算A'!$A$4=0)),AND(68=$I8-1,OR(20&lt;&gt;'計算A'!$A$3,'計算A'!$A$4=0))),0,IF(20=$K8,200000,ABS(20-$K8)*100)),100000+ABS(3-$J8)*1000+200)+'計算A'!BS$5*50+IF(AND($E8=1,LF8=0),25,0),IF($F8&gt;0,INDEX('計算A'!BS$110:BS$114,$F8+1)+IF(AND($E8=1,LF8=0),1000,0),MIN(TW8,20)*400+(IF('計算A'!BR$106=1,1-FP8,0)+IF('計算A'!BS$106=1,1-FR8,0))*150+203+'計算A'!BS$5*100000+IF(AND($E8=1,LF8=0),50000,0))+IF($H8=1,(IF('計算A'!BR$117=1,INDEX('計算A'!BR$10:BR$54,$B8),0)+IF('計算A'!BS$117=1,INDEX('計算A'!BT$10:BT$54,$B8),0))*4000,0)-IF(AND('計算A'!BR$117=1,WP8&gt;0),2000,0)-IF(AND($L8=1,'計算A'!BS$117=1,FR8=0),2000,0))),1000000))</f>
        <v/>
      </c>
      <c r="QV8">
        <f>IF($B8=0,1000000,IF(INDEX('計算A'!$D$60:$EQ$104,$B8,69)*FR8=1,IF(AND($E8=2,LG8=0),1000000,IF($I8&gt;0,IF(3=$J8,IF(OR(AND(69=$I8+1,OR($K8&lt;&gt;'計算A'!$A$3,'計算A'!$A$4=0)),AND(69=$I8-1,OR(21&lt;&gt;'計算A'!$A$3,'計算A'!$A$4=0))),0,IF(21=$K8,200000,ABS(21-$K8)*100)),100000+ABS(3-$J8)*1000+210)+'計算A'!BT$5*50+IF(AND($E8=1,LG8=0),25,0),IF($F8&gt;0,INDEX('計算A'!BT$110:BT$114,$F8+1)+IF(AND($E8=1,LG8=0),1000,0),MIN(TW8,20)*400+(IF('計算A'!BS$106=1,1-FQ8,0)+IF('計算A'!BT$106=1,1-FS8,0))*150+213+'計算A'!BT$5*100000+IF(AND($E8=1,LG8=0),50000,0))+IF($H8=1,(IF('計算A'!BS$117=1,INDEX('計算A'!BS$10:BS$54,$B8),0)+IF('計算A'!BT$117=1,INDEX('計算A'!BU$10:BU$54,$B8),0))*4000,0)-IF(AND('計算A'!BS$117=1,WQ8&gt;0),2000,0)-IF(AND($L8=1,'計算A'!BT$117=1,FS8=0),2000,0))),1000000))</f>
        <v/>
      </c>
      <c r="QW8">
        <f>IF($B8=0,1000000,IF(INDEX('計算A'!$D$60:$EQ$104,$B8,70)*FS8=1,IF(AND($E8=2,LH8=0),1000000,IF($I8&gt;0,IF(3=$J8,IF(OR(AND(70=$I8+1,OR($K8&lt;&gt;'計算A'!$A$3,'計算A'!$A$4=0)),AND(70=$I8-1,OR(22&lt;&gt;'計算A'!$A$3,'計算A'!$A$4=0))),0,IF(22=$K8,200000,ABS(22-$K8)*100)),100000+ABS(3-$J8)*1000+220)+'計算A'!BU$5*50+IF(AND($E8=1,LH8=0),25,0),IF($F8&gt;0,INDEX('計算A'!BU$110:BU$114,$F8+1)+IF(AND($E8=1,LH8=0),1000,0),MIN(TW8,20)*400+(IF('計算A'!BT$106=1,1-FR8,0)+IF('計算A'!BU$106=1,1-FT8,0))*150+223+'計算A'!BU$5*100000+IF(AND($E8=1,LH8=0),50000,0))+IF($H8=1,(IF('計算A'!BT$117=1,INDEX('計算A'!BT$10:BT$54,$B8),0)+IF('計算A'!BU$117=1,INDEX('計算A'!BV$10:BV$54,$B8),0))*4000,0)-IF(AND('計算A'!BT$117=1,WR8&gt;0),2000,0)-IF(AND($L8=1,'計算A'!BU$117=1,FT8=0),2000,0))),1000000))</f>
        <v/>
      </c>
      <c r="QX8">
        <f>IF($B8=0,1000000,IF(INDEX('計算A'!$D$60:$EQ$104,$B8,71)*FT8=1,IF(AND($E8=2,LI8=0),1000000,IF($I8&gt;0,IF(3=$J8,IF(OR(AND(71=$I8+1,OR($K8&lt;&gt;'計算A'!$A$3,'計算A'!$A$4=0)),AND(71=$I8-1,OR(23&lt;&gt;'計算A'!$A$3,'計算A'!$A$4=0))),0,IF(23=$K8,200000,ABS(23-$K8)*100)),100000+ABS(3-$J8)*1000+230)+'計算A'!BV$5*50+IF(AND($E8=1,LI8=0),25,0),IF($F8&gt;0,INDEX('計算A'!BV$110:BV$114,$F8+1)+IF(AND($E8=1,LI8=0),1000,0),MIN(TW8,20)*400+(IF('計算A'!BU$106=1,1-FS8,0)+IF('計算A'!BV$106=1,1-FU8,0))*150+233+'計算A'!BV$5*100000+IF(AND($E8=1,LI8=0),50000,0))+IF($H8=1,(IF('計算A'!BU$117=1,INDEX('計算A'!BU$10:BU$54,$B8),0)+IF('計算A'!BV$117=1,INDEX('計算A'!BW$10:BW$54,$B8),0))*4000,0)-IF(AND('計算A'!BU$117=1,WS8&gt;0),2000,0)-IF(AND($L8=1,'計算A'!BV$117=1,FU8=0),2000,0))),1000000))</f>
        <v/>
      </c>
      <c r="QY8">
        <f>IF($B8=0,1000000,IF(INDEX('計算A'!$D$60:$EQ$104,$B8,72)*FU8=1,IF(AND($E8=2,LJ8=0),1000000,IF($I8&gt;0,IF(3=$J8,IF(OR(AND(72=$I8+1,OR($K8&lt;&gt;'計算A'!$A$3,'計算A'!$A$4=0)),AND(72=$I8-1,OR(24&lt;&gt;'計算A'!$A$3,'計算A'!$A$4=0))),0,IF(24=$K8,200000,ABS(24-$K8)*100)),100000+ABS(3-$J8)*1000+240)+'計算A'!BW$5*50+IF(AND($E8=1,LJ8=0),25,0),IF($F8&gt;0,INDEX('計算A'!BW$110:BW$114,$F8+1)+IF(AND($E8=1,LJ8=0),1000,0),MIN(TW8,20)*400+(IF('計算A'!BV$106=1,1-FT8,0))*150+243+'計算A'!BW$5*100000+IF(AND($E8=1,LJ8=0),50000,0))+IF($H8=1,(IF('計算A'!BV$117=1,INDEX('計算A'!BV$10:BV$54,$B8),0))*4000,0)-IF(AND('計算A'!BV$117=1,WT8&gt;0),2000,0))),1000000))</f>
        <v/>
      </c>
      <c r="QZ8">
        <f>IF($B8=0,1000000,IF(INDEX('計算A'!$D$60:$EQ$104,$B8,73)*FV8=1,IF(AND($E8=2,LK8=0),1000000,IF($I8&gt;0,IF(4=$J8,IF(OR(AND(73=$I8+1,OR($K8&lt;&gt;'計算A'!$A$3,'計算A'!$A$4=0)),AND(73=$I8-1,OR(1&lt;&gt;'計算A'!$A$3,'計算A'!$A$4=0))),0,IF(1=$K8,200000,ABS(1-$K8)*100)),100000+ABS(4-$J8)*1000+10)+'計算A'!BX$5*50+IF(AND($E8=1,LK8=0),25,0),IF($F8&gt;0,INDEX('計算A'!BX$110:BX$114,$F8+1)+IF(AND($E8=1,LK8=0),1000,0),MIN(TX8,20)*400+(IF('計算A'!BX$106=1,1-FW8,0))*150+14+'計算A'!BX$5*100000+IF(AND($E8=1,LK8=0),50000,0))+IF($H8=1,(IF('計算A'!BX$117=1,INDEX('計算A'!BY$10:BY$54,$B8),0))*4000,0)-IF(AND($L8=1,'計算A'!BX$117=1,FW8=0),2000,0))),1000000))</f>
        <v/>
      </c>
      <c r="RA8">
        <f>IF($B8=0,1000000,IF(INDEX('計算A'!$D$60:$EQ$104,$B8,74)*FW8=1,IF(AND($E8=2,LL8=0),1000000,IF($I8&gt;0,IF(4=$J8,IF(OR(AND(74=$I8+1,OR($K8&lt;&gt;'計算A'!$A$3,'計算A'!$A$4=0)),AND(74=$I8-1,OR(2&lt;&gt;'計算A'!$A$3,'計算A'!$A$4=0))),0,IF(2=$K8,200000,ABS(2-$K8)*100)),100000+ABS(4-$J8)*1000+20)+'計算A'!BY$5*50+IF(AND($E8=1,LL8=0),25,0),IF($F8&gt;0,INDEX('計算A'!BY$110:BY$114,$F8+1)+IF(AND($E8=1,LL8=0),1000,0),MIN(TX8,20)*400+(IF('計算A'!BX$106=1,1-FV8,0)+IF('計算A'!BY$106=1,1-FX8,0))*150+24+'計算A'!BY$5*100000+IF(AND($E8=1,LL8=0),50000,0))+IF($H8=1,(IF('計算A'!BX$117=1,INDEX('計算A'!BX$10:BX$54,$B8),0)+IF('計算A'!BY$117=1,INDEX('計算A'!BZ$10:BZ$54,$B8),0))*4000,0)-IF(AND('計算A'!BX$117=1,WV8&gt;0),2000,0)-IF(AND($L8=1,'計算A'!BY$117=1,FX8=0),2000,0))),1000000))</f>
        <v/>
      </c>
      <c r="RB8">
        <f>IF($B8=0,1000000,IF(INDEX('計算A'!$D$60:$EQ$104,$B8,75)*FX8=1,IF(AND($E8=2,LM8=0),1000000,IF($I8&gt;0,IF(4=$J8,IF(OR(AND(75=$I8+1,OR($K8&lt;&gt;'計算A'!$A$3,'計算A'!$A$4=0)),AND(75=$I8-1,OR(3&lt;&gt;'計算A'!$A$3,'計算A'!$A$4=0))),0,IF(3=$K8,200000,ABS(3-$K8)*100)),100000+ABS(4-$J8)*1000+30)+'計算A'!BZ$5*50+IF(AND($E8=1,LM8=0),25,0),IF($F8&gt;0,INDEX('計算A'!BZ$110:BZ$114,$F8+1)+IF(AND($E8=1,LM8=0),1000,0),MIN(TX8,20)*400+(IF('計算A'!BY$106=1,1-FW8,0)+IF('計算A'!BZ$106=1,1-FY8,0))*150+34+'計算A'!BZ$5*100000+IF(AND($E8=1,LM8=0),50000,0))+IF($H8=1,(IF('計算A'!BY$117=1,INDEX('計算A'!BY$10:BY$54,$B8),0)+IF('計算A'!BZ$117=1,INDEX('計算A'!CA$10:CA$54,$B8),0))*4000,0)-IF(AND('計算A'!BY$117=1,WW8&gt;0),2000,0)-IF(AND($L8=1,'計算A'!BZ$117=1,FY8=0),2000,0))),1000000))</f>
        <v/>
      </c>
      <c r="RC8">
        <f>IF($B8=0,1000000,IF(INDEX('計算A'!$D$60:$EQ$104,$B8,76)*FY8=1,IF(AND($E8=2,LN8=0),1000000,IF($I8&gt;0,IF(4=$J8,IF(OR(AND(76=$I8+1,OR($K8&lt;&gt;'計算A'!$A$3,'計算A'!$A$4=0)),AND(76=$I8-1,OR(4&lt;&gt;'計算A'!$A$3,'計算A'!$A$4=0))),0,IF(4=$K8,200000,ABS(4-$K8)*100)),100000+ABS(4-$J8)*1000+40)+'計算A'!CA$5*50+IF(AND($E8=1,LN8=0),25,0),IF($F8&gt;0,INDEX('計算A'!CA$110:CA$114,$F8+1)+IF(AND($E8=1,LN8=0),1000,0),MIN(TX8,20)*400+(IF('計算A'!BZ$106=1,1-FX8,0)+IF('計算A'!CA$106=1,1-FZ8,0))*150+44+'計算A'!CA$5*100000+IF(AND($E8=1,LN8=0),50000,0))+IF($H8=1,(IF('計算A'!BZ$117=1,INDEX('計算A'!BZ$10:BZ$54,$B8),0)+IF('計算A'!CA$117=1,INDEX('計算A'!CB$10:CB$54,$B8),0))*4000,0)-IF(AND('計算A'!BZ$117=1,WX8&gt;0),2000,0)-IF(AND($L8=1,'計算A'!CA$117=1,FZ8=0),2000,0))),1000000))</f>
        <v/>
      </c>
      <c r="RD8">
        <f>IF($B8=0,1000000,IF(INDEX('計算A'!$D$60:$EQ$104,$B8,77)*FZ8=1,IF(AND($E8=2,LO8=0),1000000,IF($I8&gt;0,IF(4=$J8,IF(OR(AND(77=$I8+1,OR($K8&lt;&gt;'計算A'!$A$3,'計算A'!$A$4=0)),AND(77=$I8-1,OR(5&lt;&gt;'計算A'!$A$3,'計算A'!$A$4=0))),0,IF(5=$K8,200000,ABS(5-$K8)*100)),100000+ABS(4-$J8)*1000+50)+'計算A'!CB$5*50+IF(AND($E8=1,LO8=0),25,0),IF($F8&gt;0,INDEX('計算A'!CB$110:CB$114,$F8+1)+IF(AND($E8=1,LO8=0),1000,0),MIN(TX8,20)*400+(IF('計算A'!CA$106=1,1-FY8,0)+IF('計算A'!CB$106=1,1-GA8,0))*150+54+'計算A'!CB$5*100000+IF(AND($E8=1,LO8=0),50000,0))+IF($H8=1,(IF('計算A'!CA$117=1,INDEX('計算A'!CA$10:CA$54,$B8),0)+IF('計算A'!CB$117=1,INDEX('計算A'!CC$10:CC$54,$B8),0))*4000,0)-IF(AND('計算A'!CA$117=1,WY8&gt;0),2000,0)-IF(AND($L8=1,'計算A'!CB$117=1,GA8=0),2000,0))),1000000))</f>
        <v/>
      </c>
      <c r="RE8">
        <f>IF($B8=0,1000000,IF(INDEX('計算A'!$D$60:$EQ$104,$B8,78)*GA8=1,IF(AND($E8=2,LP8=0),1000000,IF($I8&gt;0,IF(4=$J8,IF(OR(AND(78=$I8+1,OR($K8&lt;&gt;'計算A'!$A$3,'計算A'!$A$4=0)),AND(78=$I8-1,OR(6&lt;&gt;'計算A'!$A$3,'計算A'!$A$4=0))),0,IF(6=$K8,200000,ABS(6-$K8)*100)),100000+ABS(4-$J8)*1000+60)+'計算A'!CC$5*50+IF(AND($E8=1,LP8=0),25,0),IF($F8&gt;0,INDEX('計算A'!CC$110:CC$114,$F8+1)+IF(AND($E8=1,LP8=0),1000,0),MIN(TX8,20)*400+(IF('計算A'!CB$106=1,1-FZ8,0)+IF('計算A'!CC$106=1,1-GB8,0))*150+64+'計算A'!CC$5*100000+IF(AND($E8=1,LP8=0),50000,0))+IF($H8=1,(IF('計算A'!CB$117=1,INDEX('計算A'!CB$10:CB$54,$B8),0)+IF('計算A'!CC$117=1,INDEX('計算A'!CD$10:CD$54,$B8),0))*4000,0)-IF(AND('計算A'!CB$117=1,WZ8&gt;0),2000,0)-IF(AND($L8=1,'計算A'!CC$117=1,GB8=0),2000,0))),1000000))</f>
        <v/>
      </c>
      <c r="RF8">
        <f>IF($B8=0,1000000,IF(INDEX('計算A'!$D$60:$EQ$104,$B8,79)*GB8=1,IF(AND($E8=2,LQ8=0),1000000,IF($I8&gt;0,IF(4=$J8,IF(OR(AND(79=$I8+1,OR($K8&lt;&gt;'計算A'!$A$3,'計算A'!$A$4=0)),AND(79=$I8-1,OR(7&lt;&gt;'計算A'!$A$3,'計算A'!$A$4=0))),0,IF(7=$K8,200000,ABS(7-$K8)*100)),100000+ABS(4-$J8)*1000+70)+'計算A'!CD$5*50+IF(AND($E8=1,LQ8=0),25,0),IF($F8&gt;0,INDEX('計算A'!CD$110:CD$114,$F8+1)+IF(AND($E8=1,LQ8=0),1000,0),MIN(TX8,20)*400+(IF('計算A'!CC$106=1,1-GA8,0)+IF('計算A'!CD$106=1,1-GC8,0))*150+74+'計算A'!CD$5*100000+IF(AND($E8=1,LQ8=0),50000,0))+IF($H8=1,(IF('計算A'!CC$117=1,INDEX('計算A'!CC$10:CC$54,$B8),0)+IF('計算A'!CD$117=1,INDEX('計算A'!CE$10:CE$54,$B8),0))*4000,0)-IF(AND('計算A'!CC$117=1,XA8&gt;0),2000,0)-IF(AND($L8=1,'計算A'!CD$117=1,GC8=0),2000,0))),1000000))</f>
        <v/>
      </c>
      <c r="RG8">
        <f>IF($B8=0,1000000,IF(INDEX('計算A'!$D$60:$EQ$104,$B8,80)*GC8=1,IF(AND($E8=2,LR8=0),1000000,IF($I8&gt;0,IF(4=$J8,IF(OR(AND(80=$I8+1,OR($K8&lt;&gt;'計算A'!$A$3,'計算A'!$A$4=0)),AND(80=$I8-1,OR(8&lt;&gt;'計算A'!$A$3,'計算A'!$A$4=0))),0,IF(8=$K8,200000,ABS(8-$K8)*100)),100000+ABS(4-$J8)*1000+80)+'計算A'!CE$5*50+IF(AND($E8=1,LR8=0),25,0),IF($F8&gt;0,INDEX('計算A'!CE$110:CE$114,$F8+1)+IF(AND($E8=1,LR8=0),1000,0),MIN(TX8,20)*400+(IF('計算A'!CD$106=1,1-GB8,0)+IF('計算A'!CE$106=1,1-GD8,0))*150+84+'計算A'!CE$5*100000+IF(AND($E8=1,LR8=0),50000,0))+IF($H8=1,(IF('計算A'!CD$117=1,INDEX('計算A'!CD$10:CD$54,$B8),0)+IF('計算A'!CE$117=1,INDEX('計算A'!CF$10:CF$54,$B8),0))*4000,0)-IF(AND('計算A'!CD$117=1,XB8&gt;0),2000,0)-IF(AND($L8=1,'計算A'!CE$117=1,GD8=0),2000,0))),1000000))</f>
        <v/>
      </c>
      <c r="RH8">
        <f>IF($B8=0,1000000,IF(INDEX('計算A'!$D$60:$EQ$104,$B8,81)*GD8=1,IF(AND($E8=2,LS8=0),1000000,IF($I8&gt;0,IF(4=$J8,IF(OR(AND(81=$I8+1,OR($K8&lt;&gt;'計算A'!$A$3,'計算A'!$A$4=0)),AND(81=$I8-1,OR(9&lt;&gt;'計算A'!$A$3,'計算A'!$A$4=0))),0,IF(9=$K8,200000,ABS(9-$K8)*100)),100000+ABS(4-$J8)*1000+90)+'計算A'!CF$5*50+IF(AND($E8=1,LS8=0),25,0),IF($F8&gt;0,INDEX('計算A'!CF$110:CF$114,$F8+1)+IF(AND($E8=1,LS8=0),1000,0),MIN(TX8,20)*400+(IF('計算A'!CE$106=1,1-GC8,0)+IF('計算A'!CF$106=1,1-GE8,0))*150+94+'計算A'!CF$5*100000+IF(AND($E8=1,LS8=0),50000,0))+IF($H8=1,(IF('計算A'!CE$117=1,INDEX('計算A'!CE$10:CE$54,$B8),0)+IF('計算A'!CF$117=1,INDEX('計算A'!CG$10:CG$54,$B8),0))*4000,0)-IF(AND('計算A'!CE$117=1,XC8&gt;0),2000,0)-IF(AND($L8=1,'計算A'!CF$117=1,GE8=0),2000,0))),1000000))</f>
        <v/>
      </c>
      <c r="RI8">
        <f>IF($B8=0,1000000,IF(INDEX('計算A'!$D$60:$EQ$104,$B8,82)*GE8=1,IF(AND($E8=2,LT8=0),1000000,IF($I8&gt;0,IF(4=$J8,IF(OR(AND(82=$I8+1,OR($K8&lt;&gt;'計算A'!$A$3,'計算A'!$A$4=0)),AND(82=$I8-1,OR(10&lt;&gt;'計算A'!$A$3,'計算A'!$A$4=0))),0,IF(10=$K8,200000,ABS(10-$K8)*100)),100000+ABS(4-$J8)*1000+100)+'計算A'!CG$5*50+IF(AND($E8=1,LT8=0),25,0),IF($F8&gt;0,INDEX('計算A'!CG$110:CG$114,$F8+1)+IF(AND($E8=1,LT8=0),1000,0),MIN(TX8,20)*400+(IF('計算A'!CF$106=1,1-GD8,0)+IF('計算A'!CG$106=1,1-GF8,0))*150+104+'計算A'!CG$5*100000+IF(AND($E8=1,LT8=0),50000,0))+IF($H8=1,(IF('計算A'!CF$117=1,INDEX('計算A'!CF$10:CF$54,$B8),0)+IF('計算A'!CG$117=1,INDEX('計算A'!CH$10:CH$54,$B8),0))*4000,0)-IF(AND('計算A'!CF$117=1,XD8&gt;0),2000,0)-IF(AND($L8=1,'計算A'!CG$117=1,GF8=0),2000,0))),1000000))</f>
        <v/>
      </c>
      <c r="RJ8">
        <f>IF($B8=0,1000000,IF(INDEX('計算A'!$D$60:$EQ$104,$B8,83)*GF8=1,IF(AND($E8=2,LU8=0),1000000,IF($I8&gt;0,IF(4=$J8,IF(OR(AND(83=$I8+1,OR($K8&lt;&gt;'計算A'!$A$3,'計算A'!$A$4=0)),AND(83=$I8-1,OR(11&lt;&gt;'計算A'!$A$3,'計算A'!$A$4=0))),0,IF(11=$K8,200000,ABS(11-$K8)*100)),100000+ABS(4-$J8)*1000+110)+'計算A'!CH$5*50+IF(AND($E8=1,LU8=0),25,0),IF($F8&gt;0,INDEX('計算A'!CH$110:CH$114,$F8+1)+IF(AND($E8=1,LU8=0),1000,0),MIN(TX8,20)*400+(IF('計算A'!CG$106=1,1-GE8,0)+IF('計算A'!CH$106=1,1-GG8,0))*150+114+'計算A'!CH$5*100000+IF(AND($E8=1,LU8=0),50000,0))+IF($H8=1,(IF('計算A'!CG$117=1,INDEX('計算A'!CG$10:CG$54,$B8),0)+IF('計算A'!CH$117=1,INDEX('計算A'!CI$10:CI$54,$B8),0))*4000,0)-IF(AND('計算A'!CG$117=1,XE8&gt;0),2000,0)-IF(AND($L8=1,'計算A'!CH$117=1,GG8=0),2000,0))),1000000))</f>
        <v/>
      </c>
      <c r="RK8">
        <f>IF($B8=0,1000000,IF(INDEX('計算A'!$D$60:$EQ$104,$B8,84)*GG8=1,IF(AND($E8=2,LV8=0),1000000,IF($I8&gt;0,IF(4=$J8,IF(OR(AND(84=$I8+1,OR($K8&lt;&gt;'計算A'!$A$3,'計算A'!$A$4=0)),AND(84=$I8-1,OR(12&lt;&gt;'計算A'!$A$3,'計算A'!$A$4=0))),0,IF(12=$K8,200000,ABS(12-$K8)*100)),100000+ABS(4-$J8)*1000+120)+'計算A'!CI$5*50+IF(AND($E8=1,LV8=0),25,0),IF($F8&gt;0,INDEX('計算A'!CI$110:CI$114,$F8+1)+IF(AND($E8=1,LV8=0),1000,0),MIN(TX8,20)*400+(IF('計算A'!CH$106=1,1-GF8,0)+IF('計算A'!CI$106=1,1-GH8,0))*150+124+'計算A'!CI$5*100000+IF(AND($E8=1,LV8=0),50000,0))+IF($H8=1,(IF('計算A'!CH$117=1,INDEX('計算A'!CH$10:CH$54,$B8),0)+IF('計算A'!CI$117=1,INDEX('計算A'!CJ$10:CJ$54,$B8),0))*4000,0)-IF(AND('計算A'!CH$117=1,XF8&gt;0),2000,0)-IF(AND($L8=1,'計算A'!CI$117=1,GH8=0),2000,0))),1000000))</f>
        <v/>
      </c>
      <c r="RL8">
        <f>IF($B8=0,1000000,IF(INDEX('計算A'!$D$60:$EQ$104,$B8,85)*GH8=1,IF(AND($E8=2,LW8=0),1000000,IF($I8&gt;0,IF(4=$J8,IF(OR(AND(85=$I8+1,OR($K8&lt;&gt;'計算A'!$A$3,'計算A'!$A$4=0)),AND(85=$I8-1,OR(13&lt;&gt;'計算A'!$A$3,'計算A'!$A$4=0))),0,IF(13=$K8,200000,ABS(13-$K8)*100)),100000+ABS(4-$J8)*1000+130)+'計算A'!CJ$5*50+IF(AND($E8=1,LW8=0),25,0),IF($F8&gt;0,INDEX('計算A'!CJ$110:CJ$114,$F8+1)+IF(AND($E8=1,LW8=0),1000,0),MIN(TX8,20)*400+(IF('計算A'!CI$106=1,1-GG8,0)+IF('計算A'!CJ$106=1,1-GI8,0))*150+134+'計算A'!CJ$5*100000+IF(AND($E8=1,LW8=0),50000,0))+IF($H8=1,(IF('計算A'!CI$117=1,INDEX('計算A'!CI$10:CI$54,$B8),0)+IF('計算A'!CJ$117=1,INDEX('計算A'!CK$10:CK$54,$B8),0))*4000,0)-IF(AND('計算A'!CI$117=1,XG8&gt;0),2000,0)-IF(AND($L8=1,'計算A'!CJ$117=1,GI8=0),2000,0))),1000000))</f>
        <v/>
      </c>
      <c r="RM8">
        <f>IF($B8=0,1000000,IF(INDEX('計算A'!$D$60:$EQ$104,$B8,86)*GI8=1,IF(AND($E8=2,LX8=0),1000000,IF($I8&gt;0,IF(4=$J8,IF(OR(AND(86=$I8+1,OR($K8&lt;&gt;'計算A'!$A$3,'計算A'!$A$4=0)),AND(86=$I8-1,OR(14&lt;&gt;'計算A'!$A$3,'計算A'!$A$4=0))),0,IF(14=$K8,200000,ABS(14-$K8)*100)),100000+ABS(4-$J8)*1000+140)+'計算A'!CK$5*50+IF(AND($E8=1,LX8=0),25,0),IF($F8&gt;0,INDEX('計算A'!CK$110:CK$114,$F8+1)+IF(AND($E8=1,LX8=0),1000,0),MIN(TX8,20)*400+(IF('計算A'!CJ$106=1,1-GH8,0)+IF('計算A'!CK$106=1,1-GJ8,0))*150+144+'計算A'!CK$5*100000+IF(AND($E8=1,LX8=0),50000,0))+IF($H8=1,(IF('計算A'!CJ$117=1,INDEX('計算A'!CJ$10:CJ$54,$B8),0)+IF('計算A'!CK$117=1,INDEX('計算A'!CL$10:CL$54,$B8),0))*4000,0)-IF(AND('計算A'!CJ$117=1,XH8&gt;0),2000,0)-IF(AND($L8=1,'計算A'!CK$117=1,GJ8=0),2000,0))),1000000))</f>
        <v/>
      </c>
      <c r="RN8">
        <f>IF($B8=0,1000000,IF(INDEX('計算A'!$D$60:$EQ$104,$B8,87)*GJ8=1,IF(AND($E8=2,LY8=0),1000000,IF($I8&gt;0,IF(4=$J8,IF(OR(AND(87=$I8+1,OR($K8&lt;&gt;'計算A'!$A$3,'計算A'!$A$4=0)),AND(87=$I8-1,OR(15&lt;&gt;'計算A'!$A$3,'計算A'!$A$4=0))),0,IF(15=$K8,200000,ABS(15-$K8)*100)),100000+ABS(4-$J8)*1000+150)+'計算A'!CL$5*50+IF(AND($E8=1,LY8=0),25,0),IF($F8&gt;0,INDEX('計算A'!CL$110:CL$114,$F8+1)+IF(AND($E8=1,LY8=0),1000,0),MIN(TX8,20)*400+(IF('計算A'!CK$106=1,1-GI8,0)+IF('計算A'!CL$106=1,1-GK8,0))*150+154+'計算A'!CL$5*100000+IF(AND($E8=1,LY8=0),50000,0))+IF($H8=1,(IF('計算A'!CK$117=1,INDEX('計算A'!CK$10:CK$54,$B8),0)+IF('計算A'!CL$117=1,INDEX('計算A'!CM$10:CM$54,$B8),0))*4000,0)-IF(AND('計算A'!CK$117=1,XI8&gt;0),2000,0)-IF(AND($L8=1,'計算A'!CL$117=1,GK8=0),2000,0))),1000000))</f>
        <v/>
      </c>
      <c r="RO8">
        <f>IF($B8=0,1000000,IF(INDEX('計算A'!$D$60:$EQ$104,$B8,88)*GK8=1,IF(AND($E8=2,LZ8=0),1000000,IF($I8&gt;0,IF(4=$J8,IF(OR(AND(88=$I8+1,OR($K8&lt;&gt;'計算A'!$A$3,'計算A'!$A$4=0)),AND(88=$I8-1,OR(16&lt;&gt;'計算A'!$A$3,'計算A'!$A$4=0))),0,IF(16=$K8,200000,ABS(16-$K8)*100)),100000+ABS(4-$J8)*1000+160)+'計算A'!CM$5*50+IF(AND($E8=1,LZ8=0),25,0),IF($F8&gt;0,INDEX('計算A'!CM$110:CM$114,$F8+1)+IF(AND($E8=1,LZ8=0),1000,0),MIN(TX8,20)*400+(IF('計算A'!CL$106=1,1-GJ8,0)+IF('計算A'!CM$106=1,1-GL8,0))*150+164+'計算A'!CM$5*100000+IF(AND($E8=1,LZ8=0),50000,0))+IF($H8=1,(IF('計算A'!CL$117=1,INDEX('計算A'!CL$10:CL$54,$B8),0)+IF('計算A'!CM$117=1,INDEX('計算A'!CN$10:CN$54,$B8),0))*4000,0)-IF(AND('計算A'!CL$117=1,XJ8&gt;0),2000,0)-IF(AND($L8=1,'計算A'!CM$117=1,GL8=0),2000,0))),1000000))</f>
        <v/>
      </c>
      <c r="RP8">
        <f>IF($B8=0,1000000,IF(INDEX('計算A'!$D$60:$EQ$104,$B8,89)*GL8=1,IF(AND($E8=2,MA8=0),1000000,IF($I8&gt;0,IF(4=$J8,IF(OR(AND(89=$I8+1,OR($K8&lt;&gt;'計算A'!$A$3,'計算A'!$A$4=0)),AND(89=$I8-1,OR(17&lt;&gt;'計算A'!$A$3,'計算A'!$A$4=0))),0,IF(17=$K8,200000,ABS(17-$K8)*100)),100000+ABS(4-$J8)*1000+170)+'計算A'!CN$5*50+IF(AND($E8=1,MA8=0),25,0),IF($F8&gt;0,INDEX('計算A'!CN$110:CN$114,$F8+1)+IF(AND($E8=1,MA8=0),1000,0),MIN(TX8,20)*400+(IF('計算A'!CM$106=1,1-GK8,0)+IF('計算A'!CN$106=1,1-GM8,0))*150+174+'計算A'!CN$5*100000+IF(AND($E8=1,MA8=0),50000,0))+IF($H8=1,(IF('計算A'!CM$117=1,INDEX('計算A'!CM$10:CM$54,$B8),0)+IF('計算A'!CN$117=1,INDEX('計算A'!CO$10:CO$54,$B8),0))*4000,0)-IF(AND('計算A'!CM$117=1,XK8&gt;0),2000,0)-IF(AND($L8=1,'計算A'!CN$117=1,GM8=0),2000,0))),1000000))</f>
        <v/>
      </c>
      <c r="RQ8">
        <f>IF($B8=0,1000000,IF(INDEX('計算A'!$D$60:$EQ$104,$B8,90)*GM8=1,IF(AND($E8=2,MB8=0),1000000,IF($I8&gt;0,IF(4=$J8,IF(OR(AND(90=$I8+1,OR($K8&lt;&gt;'計算A'!$A$3,'計算A'!$A$4=0)),AND(90=$I8-1,OR(18&lt;&gt;'計算A'!$A$3,'計算A'!$A$4=0))),0,IF(18=$K8,200000,ABS(18-$K8)*100)),100000+ABS(4-$J8)*1000+180)+'計算A'!CO$5*50+IF(AND($E8=1,MB8=0),25,0),IF($F8&gt;0,INDEX('計算A'!CO$110:CO$114,$F8+1)+IF(AND($E8=1,MB8=0),1000,0),MIN(TX8,20)*400+(IF('計算A'!CN$106=1,1-GL8,0)+IF('計算A'!CO$106=1,1-GN8,0))*150+184+'計算A'!CO$5*100000+IF(AND($E8=1,MB8=0),50000,0))+IF($H8=1,(IF('計算A'!CN$117=1,INDEX('計算A'!CN$10:CN$54,$B8),0)+IF('計算A'!CO$117=1,INDEX('計算A'!CP$10:CP$54,$B8),0))*4000,0)-IF(AND('計算A'!CN$117=1,XL8&gt;0),2000,0)-IF(AND($L8=1,'計算A'!CO$117=1,GN8=0),2000,0))),1000000))</f>
        <v/>
      </c>
      <c r="RR8">
        <f>IF($B8=0,1000000,IF(INDEX('計算A'!$D$60:$EQ$104,$B8,91)*GN8=1,IF(AND($E8=2,MC8=0),1000000,IF($I8&gt;0,IF(4=$J8,IF(OR(AND(91=$I8+1,OR($K8&lt;&gt;'計算A'!$A$3,'計算A'!$A$4=0)),AND(91=$I8-1,OR(19&lt;&gt;'計算A'!$A$3,'計算A'!$A$4=0))),0,IF(19=$K8,200000,ABS(19-$K8)*100)),100000+ABS(4-$J8)*1000+190)+'計算A'!CP$5*50+IF(AND($E8=1,MC8=0),25,0),IF($F8&gt;0,INDEX('計算A'!CP$110:CP$114,$F8+1)+IF(AND($E8=1,MC8=0),1000,0),MIN(TX8,20)*400+(IF('計算A'!CO$106=1,1-GM8,0)+IF('計算A'!CP$106=1,1-GO8,0))*150+194+'計算A'!CP$5*100000+IF(AND($E8=1,MC8=0),50000,0))+IF($H8=1,(IF('計算A'!CO$117=1,INDEX('計算A'!CO$10:CO$54,$B8),0)+IF('計算A'!CP$117=1,INDEX('計算A'!CQ$10:CQ$54,$B8),0))*4000,0)-IF(AND('計算A'!CO$117=1,XM8&gt;0),2000,0)-IF(AND($L8=1,'計算A'!CP$117=1,GO8=0),2000,0))),1000000))</f>
        <v/>
      </c>
      <c r="RS8">
        <f>IF($B8=0,1000000,IF(INDEX('計算A'!$D$60:$EQ$104,$B8,92)*GO8=1,IF(AND($E8=2,MD8=0),1000000,IF($I8&gt;0,IF(4=$J8,IF(OR(AND(92=$I8+1,OR($K8&lt;&gt;'計算A'!$A$3,'計算A'!$A$4=0)),AND(92=$I8-1,OR(20&lt;&gt;'計算A'!$A$3,'計算A'!$A$4=0))),0,IF(20=$K8,200000,ABS(20-$K8)*100)),100000+ABS(4-$J8)*1000+200)+'計算A'!CQ$5*50+IF(AND($E8=1,MD8=0),25,0),IF($F8&gt;0,INDEX('計算A'!CQ$110:CQ$114,$F8+1)+IF(AND($E8=1,MD8=0),1000,0),MIN(TX8,20)*400+(IF('計算A'!CP$106=1,1-GN8,0)+IF('計算A'!CQ$106=1,1-GP8,0))*150+204+'計算A'!CQ$5*100000+IF(AND($E8=1,MD8=0),50000,0))+IF($H8=1,(IF('計算A'!CP$117=1,INDEX('計算A'!CP$10:CP$54,$B8),0)+IF('計算A'!CQ$117=1,INDEX('計算A'!CR$10:CR$54,$B8),0))*4000,0)-IF(AND('計算A'!CP$117=1,XN8&gt;0),2000,0)-IF(AND($L8=1,'計算A'!CQ$117=1,GP8=0),2000,0))),1000000))</f>
        <v/>
      </c>
      <c r="RT8">
        <f>IF($B8=0,1000000,IF(INDEX('計算A'!$D$60:$EQ$104,$B8,93)*GP8=1,IF(AND($E8=2,ME8=0),1000000,IF($I8&gt;0,IF(4=$J8,IF(OR(AND(93=$I8+1,OR($K8&lt;&gt;'計算A'!$A$3,'計算A'!$A$4=0)),AND(93=$I8-1,OR(21&lt;&gt;'計算A'!$A$3,'計算A'!$A$4=0))),0,IF(21=$K8,200000,ABS(21-$K8)*100)),100000+ABS(4-$J8)*1000+210)+'計算A'!CR$5*50+IF(AND($E8=1,ME8=0),25,0),IF($F8&gt;0,INDEX('計算A'!CR$110:CR$114,$F8+1)+IF(AND($E8=1,ME8=0),1000,0),MIN(TX8,20)*400+(IF('計算A'!CQ$106=1,1-GO8,0)+IF('計算A'!CR$106=1,1-GQ8,0))*150+214+'計算A'!CR$5*100000+IF(AND($E8=1,ME8=0),50000,0))+IF($H8=1,(IF('計算A'!CQ$117=1,INDEX('計算A'!CQ$10:CQ$54,$B8),0)+IF('計算A'!CR$117=1,INDEX('計算A'!CS$10:CS$54,$B8),0))*4000,0)-IF(AND('計算A'!CQ$117=1,XO8&gt;0),2000,0)-IF(AND($L8=1,'計算A'!CR$117=1,GQ8=0),2000,0))),1000000))</f>
        <v/>
      </c>
      <c r="RU8">
        <f>IF($B8=0,1000000,IF(INDEX('計算A'!$D$60:$EQ$104,$B8,94)*GQ8=1,IF(AND($E8=2,MF8=0),1000000,IF($I8&gt;0,IF(4=$J8,IF(OR(AND(94=$I8+1,OR($K8&lt;&gt;'計算A'!$A$3,'計算A'!$A$4=0)),AND(94=$I8-1,OR(22&lt;&gt;'計算A'!$A$3,'計算A'!$A$4=0))),0,IF(22=$K8,200000,ABS(22-$K8)*100)),100000+ABS(4-$J8)*1000+220)+'計算A'!CS$5*50+IF(AND($E8=1,MF8=0),25,0),IF($F8&gt;0,INDEX('計算A'!CS$110:CS$114,$F8+1)+IF(AND($E8=1,MF8=0),1000,0),MIN(TX8,20)*400+(IF('計算A'!CR$106=1,1-GP8,0)+IF('計算A'!CS$106=1,1-GR8,0))*150+224+'計算A'!CS$5*100000+IF(AND($E8=1,MF8=0),50000,0))+IF($H8=1,(IF('計算A'!CR$117=1,INDEX('計算A'!CR$10:CR$54,$B8),0)+IF('計算A'!CS$117=1,INDEX('計算A'!CT$10:CT$54,$B8),0))*4000,0)-IF(AND('計算A'!CR$117=1,XP8&gt;0),2000,0)-IF(AND($L8=1,'計算A'!CS$117=1,GR8=0),2000,0))),1000000))</f>
        <v/>
      </c>
      <c r="RV8">
        <f>IF($B8=0,1000000,IF(INDEX('計算A'!$D$60:$EQ$104,$B8,95)*GR8=1,IF(AND($E8=2,MG8=0),1000000,IF($I8&gt;0,IF(4=$J8,IF(OR(AND(95=$I8+1,OR($K8&lt;&gt;'計算A'!$A$3,'計算A'!$A$4=0)),AND(95=$I8-1,OR(23&lt;&gt;'計算A'!$A$3,'計算A'!$A$4=0))),0,IF(23=$K8,200000,ABS(23-$K8)*100)),100000+ABS(4-$J8)*1000+230)+'計算A'!CT$5*50+IF(AND($E8=1,MG8=0),25,0),IF($F8&gt;0,INDEX('計算A'!CT$110:CT$114,$F8+1)+IF(AND($E8=1,MG8=0),1000,0),MIN(TX8,20)*400+(IF('計算A'!CS$106=1,1-GQ8,0)+IF('計算A'!CT$106=1,1-GS8,0))*150+234+'計算A'!CT$5*100000+IF(AND($E8=1,MG8=0),50000,0))+IF($H8=1,(IF('計算A'!CS$117=1,INDEX('計算A'!CS$10:CS$54,$B8),0)+IF('計算A'!CT$117=1,INDEX('計算A'!CU$10:CU$54,$B8),0))*4000,0)-IF(AND('計算A'!CS$117=1,XQ8&gt;0),2000,0)-IF(AND($L8=1,'計算A'!CT$117=1,GS8=0),2000,0))),1000000))</f>
        <v/>
      </c>
      <c r="RW8">
        <f>IF($B8=0,1000000,IF(INDEX('計算A'!$D$60:$EQ$104,$B8,96)*GS8=1,IF(AND($E8=2,MH8=0),1000000,IF($I8&gt;0,IF(4=$J8,IF(OR(AND(96=$I8+1,OR($K8&lt;&gt;'計算A'!$A$3,'計算A'!$A$4=0)),AND(96=$I8-1,OR(24&lt;&gt;'計算A'!$A$3,'計算A'!$A$4=0))),0,IF(24=$K8,200000,ABS(24-$K8)*100)),100000+ABS(4-$J8)*1000+240)+'計算A'!CU$5*50+IF(AND($E8=1,MH8=0),25,0),IF($F8&gt;0,INDEX('計算A'!CU$110:CU$114,$F8+1)+IF(AND($E8=1,MH8=0),1000,0),MIN(TX8,20)*400+(IF('計算A'!CT$106=1,1-GR8,0))*150+244+'計算A'!CU$5*100000+IF(AND($E8=1,MH8=0),50000,0))+IF($H8=1,(IF('計算A'!CT$117=1,INDEX('計算A'!CT$10:CT$54,$B8),0))*4000,0)-IF(AND('計算A'!CT$117=1,XR8&gt;0),2000,0))),1000000))</f>
        <v/>
      </c>
      <c r="RX8">
        <f>IF($B8=0,1000000,IF(INDEX('計算A'!$D$60:$EQ$104,$B8,97)*GT8=1,IF(AND($E8=2,MI8=0),1000000,IF($I8&gt;0,IF(5=$J8,IF(OR(AND(97=$I8+1,OR($K8&lt;&gt;'計算A'!$A$3,'計算A'!$A$4=0)),AND(97=$I8-1,OR(1&lt;&gt;'計算A'!$A$3,'計算A'!$A$4=0))),0,IF(1=$K8,200000,ABS(1-$K8)*100)),100000+ABS(5-$J8)*1000+10)+'計算A'!CV$5*50+IF(AND($E8=1,MI8=0),25,0),IF($F8&gt;0,INDEX('計算A'!CV$110:CV$114,$F8+1)+IF(AND($E8=1,MI8=0),1000,0),MIN(TY8,20)*400+(IF('計算A'!CV$106=1,1-GU8,0))*150+15+'計算A'!CV$5*100000+IF(AND($E8=1,MI8=0),50000,0))+IF($H8=1,(IF('計算A'!CV$117=1,INDEX('計算A'!CW$10:CW$54,$B8),0))*4000,0)-IF(AND($L8=1,'計算A'!CV$117=1,GU8=0),2000,0))),1000000))</f>
        <v/>
      </c>
      <c r="RY8">
        <f>IF($B8=0,1000000,IF(INDEX('計算A'!$D$60:$EQ$104,$B8,98)*GU8=1,IF(AND($E8=2,MJ8=0),1000000,IF($I8&gt;0,IF(5=$J8,IF(OR(AND(98=$I8+1,OR($K8&lt;&gt;'計算A'!$A$3,'計算A'!$A$4=0)),AND(98=$I8-1,OR(2&lt;&gt;'計算A'!$A$3,'計算A'!$A$4=0))),0,IF(2=$K8,200000,ABS(2-$K8)*100)),100000+ABS(5-$J8)*1000+20)+'計算A'!CW$5*50+IF(AND($E8=1,MJ8=0),25,0),IF($F8&gt;0,INDEX('計算A'!CW$110:CW$114,$F8+1)+IF(AND($E8=1,MJ8=0),1000,0),MIN(TY8,20)*400+(IF('計算A'!CV$106=1,1-GT8,0)+IF('計算A'!CW$106=1,1-GV8,0))*150+25+'計算A'!CW$5*100000+IF(AND($E8=1,MJ8=0),50000,0))+IF($H8=1,(IF('計算A'!CV$117=1,INDEX('計算A'!CV$10:CV$54,$B8),0)+IF('計算A'!CW$117=1,INDEX('計算A'!CX$10:CX$54,$B8),0))*4000,0)-IF(AND('計算A'!CV$117=1,XT8&gt;0),2000,0)-IF(AND($L8=1,'計算A'!CW$117=1,GV8=0),2000,0))),1000000))</f>
        <v/>
      </c>
      <c r="RZ8">
        <f>IF($B8=0,1000000,IF(INDEX('計算A'!$D$60:$EQ$104,$B8,99)*GV8=1,IF(AND($E8=2,MK8=0),1000000,IF($I8&gt;0,IF(5=$J8,IF(OR(AND(99=$I8+1,OR($K8&lt;&gt;'計算A'!$A$3,'計算A'!$A$4=0)),AND(99=$I8-1,OR(3&lt;&gt;'計算A'!$A$3,'計算A'!$A$4=0))),0,IF(3=$K8,200000,ABS(3-$K8)*100)),100000+ABS(5-$J8)*1000+30)+'計算A'!CX$5*50+IF(AND($E8=1,MK8=0),25,0),IF($F8&gt;0,INDEX('計算A'!CX$110:CX$114,$F8+1)+IF(AND($E8=1,MK8=0),1000,0),MIN(TY8,20)*400+(IF('計算A'!CW$106=1,1-GU8,0)+IF('計算A'!CX$106=1,1-GW8,0))*150+35+'計算A'!CX$5*100000+IF(AND($E8=1,MK8=0),50000,0))+IF($H8=1,(IF('計算A'!CW$117=1,INDEX('計算A'!CW$10:CW$54,$B8),0)+IF('計算A'!CX$117=1,INDEX('計算A'!CY$10:CY$54,$B8),0))*4000,0)-IF(AND('計算A'!CW$117=1,XU8&gt;0),2000,0)-IF(AND($L8=1,'計算A'!CX$117=1,GW8=0),2000,0))),1000000))</f>
        <v/>
      </c>
      <c r="SA8">
        <f>IF($B8=0,1000000,IF(INDEX('計算A'!$D$60:$EQ$104,$B8,100)*GW8=1,IF(AND($E8=2,ML8=0),1000000,IF($I8&gt;0,IF(5=$J8,IF(OR(AND(100=$I8+1,OR($K8&lt;&gt;'計算A'!$A$3,'計算A'!$A$4=0)),AND(100=$I8-1,OR(4&lt;&gt;'計算A'!$A$3,'計算A'!$A$4=0))),0,IF(4=$K8,200000,ABS(4-$K8)*100)),100000+ABS(5-$J8)*1000+40)+'計算A'!CY$5*50+IF(AND($E8=1,ML8=0),25,0),IF($F8&gt;0,INDEX('計算A'!CY$110:CY$114,$F8+1)+IF(AND($E8=1,ML8=0),1000,0),MIN(TY8,20)*400+(IF('計算A'!CX$106=1,1-GV8,0)+IF('計算A'!CY$106=1,1-GX8,0))*150+45+'計算A'!CY$5*100000+IF(AND($E8=1,ML8=0),50000,0))+IF($H8=1,(IF('計算A'!CX$117=1,INDEX('計算A'!CX$10:CX$54,$B8),0)+IF('計算A'!CY$117=1,INDEX('計算A'!CZ$10:CZ$54,$B8),0))*4000,0)-IF(AND('計算A'!CX$117=1,XV8&gt;0),2000,0)-IF(AND($L8=1,'計算A'!CY$117=1,GX8=0),2000,0))),1000000))</f>
        <v/>
      </c>
      <c r="SB8">
        <f>IF($B8=0,1000000,IF(INDEX('計算A'!$D$60:$EQ$104,$B8,101)*GX8=1,IF(AND($E8=2,MM8=0),1000000,IF($I8&gt;0,IF(5=$J8,IF(OR(AND(101=$I8+1,OR($K8&lt;&gt;'計算A'!$A$3,'計算A'!$A$4=0)),AND(101=$I8-1,OR(5&lt;&gt;'計算A'!$A$3,'計算A'!$A$4=0))),0,IF(5=$K8,200000,ABS(5-$K8)*100)),100000+ABS(5-$J8)*1000+50)+'計算A'!CZ$5*50+IF(AND($E8=1,MM8=0),25,0),IF($F8&gt;0,INDEX('計算A'!CZ$110:CZ$114,$F8+1)+IF(AND($E8=1,MM8=0),1000,0),MIN(TY8,20)*400+(IF('計算A'!CY$106=1,1-GW8,0)+IF('計算A'!CZ$106=1,1-GY8,0))*150+55+'計算A'!CZ$5*100000+IF(AND($E8=1,MM8=0),50000,0))+IF($H8=1,(IF('計算A'!CY$117=1,INDEX('計算A'!CY$10:CY$54,$B8),0)+IF('計算A'!CZ$117=1,INDEX('計算A'!DA$10:DA$54,$B8),0))*4000,0)-IF(AND('計算A'!CY$117=1,XW8&gt;0),2000,0)-IF(AND($L8=1,'計算A'!CZ$117=1,GY8=0),2000,0))),1000000))</f>
        <v/>
      </c>
      <c r="SC8">
        <f>IF($B8=0,1000000,IF(INDEX('計算A'!$D$60:$EQ$104,$B8,102)*GY8=1,IF(AND($E8=2,MN8=0),1000000,IF($I8&gt;0,IF(5=$J8,IF(OR(AND(102=$I8+1,OR($K8&lt;&gt;'計算A'!$A$3,'計算A'!$A$4=0)),AND(102=$I8-1,OR(6&lt;&gt;'計算A'!$A$3,'計算A'!$A$4=0))),0,IF(6=$K8,200000,ABS(6-$K8)*100)),100000+ABS(5-$J8)*1000+60)+'計算A'!DA$5*50+IF(AND($E8=1,MN8=0),25,0),IF($F8&gt;0,INDEX('計算A'!DA$110:DA$114,$F8+1)+IF(AND($E8=1,MN8=0),1000,0),MIN(TY8,20)*400+(IF('計算A'!CZ$106=1,1-GX8,0)+IF('計算A'!DA$106=1,1-GZ8,0))*150+65+'計算A'!DA$5*100000+IF(AND($E8=1,MN8=0),50000,0))+IF($H8=1,(IF('計算A'!CZ$117=1,INDEX('計算A'!CZ$10:CZ$54,$B8),0)+IF('計算A'!DA$117=1,INDEX('計算A'!DB$10:DB$54,$B8),0))*4000,0)-IF(AND('計算A'!CZ$117=1,XX8&gt;0),2000,0)-IF(AND($L8=1,'計算A'!DA$117=1,GZ8=0),2000,0))),1000000))</f>
        <v/>
      </c>
      <c r="SD8">
        <f>IF($B8=0,1000000,IF(INDEX('計算A'!$D$60:$EQ$104,$B8,103)*GZ8=1,IF(AND($E8=2,MO8=0),1000000,IF($I8&gt;0,IF(5=$J8,IF(OR(AND(103=$I8+1,OR($K8&lt;&gt;'計算A'!$A$3,'計算A'!$A$4=0)),AND(103=$I8-1,OR(7&lt;&gt;'計算A'!$A$3,'計算A'!$A$4=0))),0,IF(7=$K8,200000,ABS(7-$K8)*100)),100000+ABS(5-$J8)*1000+70)+'計算A'!DB$5*50+IF(AND($E8=1,MO8=0),25,0),IF($F8&gt;0,INDEX('計算A'!DB$110:DB$114,$F8+1)+IF(AND($E8=1,MO8=0),1000,0),MIN(TY8,20)*400+(IF('計算A'!DA$106=1,1-GY8,0)+IF('計算A'!DB$106=1,1-HA8,0))*150+75+'計算A'!DB$5*100000+IF(AND($E8=1,MO8=0),50000,0))+IF($H8=1,(IF('計算A'!DA$117=1,INDEX('計算A'!DA$10:DA$54,$B8),0)+IF('計算A'!DB$117=1,INDEX('計算A'!DC$10:DC$54,$B8),0))*4000,0)-IF(AND('計算A'!DA$117=1,XY8&gt;0),2000,0)-IF(AND($L8=1,'計算A'!DB$117=1,HA8=0),2000,0))),1000000))</f>
        <v/>
      </c>
      <c r="SE8">
        <f>IF($B8=0,1000000,IF(INDEX('計算A'!$D$60:$EQ$104,$B8,104)*HA8=1,IF(AND($E8=2,MP8=0),1000000,IF($I8&gt;0,IF(5=$J8,IF(OR(AND(104=$I8+1,OR($K8&lt;&gt;'計算A'!$A$3,'計算A'!$A$4=0)),AND(104=$I8-1,OR(8&lt;&gt;'計算A'!$A$3,'計算A'!$A$4=0))),0,IF(8=$K8,200000,ABS(8-$K8)*100)),100000+ABS(5-$J8)*1000+80)+'計算A'!DC$5*50+IF(AND($E8=1,MP8=0),25,0),IF($F8&gt;0,INDEX('計算A'!DC$110:DC$114,$F8+1)+IF(AND($E8=1,MP8=0),1000,0),MIN(TY8,20)*400+(IF('計算A'!DB$106=1,1-GZ8,0)+IF('計算A'!DC$106=1,1-HB8,0))*150+85+'計算A'!DC$5*100000+IF(AND($E8=1,MP8=0),50000,0))+IF($H8=1,(IF('計算A'!DB$117=1,INDEX('計算A'!DB$10:DB$54,$B8),0)+IF('計算A'!DC$117=1,INDEX('計算A'!DD$10:DD$54,$B8),0))*4000,0)-IF(AND('計算A'!DB$117=1,XZ8&gt;0),2000,0)-IF(AND($L8=1,'計算A'!DC$117=1,HB8=0),2000,0))),1000000))</f>
        <v/>
      </c>
      <c r="SF8">
        <f>IF($B8=0,1000000,IF(INDEX('計算A'!$D$60:$EQ$104,$B8,105)*HB8=1,IF(AND($E8=2,MQ8=0),1000000,IF($I8&gt;0,IF(5=$J8,IF(OR(AND(105=$I8+1,OR($K8&lt;&gt;'計算A'!$A$3,'計算A'!$A$4=0)),AND(105=$I8-1,OR(9&lt;&gt;'計算A'!$A$3,'計算A'!$A$4=0))),0,IF(9=$K8,200000,ABS(9-$K8)*100)),100000+ABS(5-$J8)*1000+90)+'計算A'!DD$5*50+IF(AND($E8=1,MQ8=0),25,0),IF($F8&gt;0,INDEX('計算A'!DD$110:DD$114,$F8+1)+IF(AND($E8=1,MQ8=0),1000,0),MIN(TY8,20)*400+(IF('計算A'!DC$106=1,1-HA8,0)+IF('計算A'!DD$106=1,1-HC8,0))*150+95+'計算A'!DD$5*100000+IF(AND($E8=1,MQ8=0),50000,0))+IF($H8=1,(IF('計算A'!DC$117=1,INDEX('計算A'!DC$10:DC$54,$B8),0)+IF('計算A'!DD$117=1,INDEX('計算A'!DE$10:DE$54,$B8),0))*4000,0)-IF(AND('計算A'!DC$117=1,YA8&gt;0),2000,0)-IF(AND($L8=1,'計算A'!DD$117=1,HC8=0),2000,0))),1000000))</f>
        <v/>
      </c>
      <c r="SG8">
        <f>IF($B8=0,1000000,IF(INDEX('計算A'!$D$60:$EQ$104,$B8,106)*HC8=1,IF(AND($E8=2,MR8=0),1000000,IF($I8&gt;0,IF(5=$J8,IF(OR(AND(106=$I8+1,OR($K8&lt;&gt;'計算A'!$A$3,'計算A'!$A$4=0)),AND(106=$I8-1,OR(10&lt;&gt;'計算A'!$A$3,'計算A'!$A$4=0))),0,IF(10=$K8,200000,ABS(10-$K8)*100)),100000+ABS(5-$J8)*1000+100)+'計算A'!DE$5*50+IF(AND($E8=1,MR8=0),25,0),IF($F8&gt;0,INDEX('計算A'!DE$110:DE$114,$F8+1)+IF(AND($E8=1,MR8=0),1000,0),MIN(TY8,20)*400+(IF('計算A'!DD$106=1,1-HB8,0)+IF('計算A'!DE$106=1,1-HD8,0))*150+105+'計算A'!DE$5*100000+IF(AND($E8=1,MR8=0),50000,0))+IF($H8=1,(IF('計算A'!DD$117=1,INDEX('計算A'!DD$10:DD$54,$B8),0)+IF('計算A'!DE$117=1,INDEX('計算A'!DF$10:DF$54,$B8),0))*4000,0)-IF(AND('計算A'!DD$117=1,YB8&gt;0),2000,0)-IF(AND($L8=1,'計算A'!DE$117=1,HD8=0),2000,0))),1000000))</f>
        <v/>
      </c>
      <c r="SH8">
        <f>IF($B8=0,1000000,IF(INDEX('計算A'!$D$60:$EQ$104,$B8,107)*HD8=1,IF(AND($E8=2,MS8=0),1000000,IF($I8&gt;0,IF(5=$J8,IF(OR(AND(107=$I8+1,OR($K8&lt;&gt;'計算A'!$A$3,'計算A'!$A$4=0)),AND(107=$I8-1,OR(11&lt;&gt;'計算A'!$A$3,'計算A'!$A$4=0))),0,IF(11=$K8,200000,ABS(11-$K8)*100)),100000+ABS(5-$J8)*1000+110)+'計算A'!DF$5*50+IF(AND($E8=1,MS8=0),25,0),IF($F8&gt;0,INDEX('計算A'!DF$110:DF$114,$F8+1)+IF(AND($E8=1,MS8=0),1000,0),MIN(TY8,20)*400+(IF('計算A'!DE$106=1,1-HC8,0)+IF('計算A'!DF$106=1,1-HE8,0))*150+115+'計算A'!DF$5*100000+IF(AND($E8=1,MS8=0),50000,0))+IF($H8=1,(IF('計算A'!DE$117=1,INDEX('計算A'!DE$10:DE$54,$B8),0)+IF('計算A'!DF$117=1,INDEX('計算A'!DG$10:DG$54,$B8),0))*4000,0)-IF(AND('計算A'!DE$117=1,YC8&gt;0),2000,0)-IF(AND($L8=1,'計算A'!DF$117=1,HE8=0),2000,0))),1000000))</f>
        <v/>
      </c>
      <c r="SI8">
        <f>IF($B8=0,1000000,IF(INDEX('計算A'!$D$60:$EQ$104,$B8,108)*HE8=1,IF(AND($E8=2,MT8=0),1000000,IF($I8&gt;0,IF(5=$J8,IF(OR(AND(108=$I8+1,OR($K8&lt;&gt;'計算A'!$A$3,'計算A'!$A$4=0)),AND(108=$I8-1,OR(12&lt;&gt;'計算A'!$A$3,'計算A'!$A$4=0))),0,IF(12=$K8,200000,ABS(12-$K8)*100)),100000+ABS(5-$J8)*1000+120)+'計算A'!DG$5*50+IF(AND($E8=1,MT8=0),25,0),IF($F8&gt;0,INDEX('計算A'!DG$110:DG$114,$F8+1)+IF(AND($E8=1,MT8=0),1000,0),MIN(TY8,20)*400+(IF('計算A'!DF$106=1,1-HD8,0)+IF('計算A'!DG$106=1,1-HF8,0))*150+125+'計算A'!DG$5*100000+IF(AND($E8=1,MT8=0),50000,0))+IF($H8=1,(IF('計算A'!DF$117=1,INDEX('計算A'!DF$10:DF$54,$B8),0)+IF('計算A'!DG$117=1,INDEX('計算A'!DH$10:DH$54,$B8),0))*4000,0)-IF(AND('計算A'!DF$117=1,YD8&gt;0),2000,0)-IF(AND($L8=1,'計算A'!DG$117=1,HF8=0),2000,0))),1000000))</f>
        <v/>
      </c>
      <c r="SJ8">
        <f>IF($B8=0,1000000,IF(INDEX('計算A'!$D$60:$EQ$104,$B8,109)*HF8=1,IF(AND($E8=2,MU8=0),1000000,IF($I8&gt;0,IF(5=$J8,IF(OR(AND(109=$I8+1,OR($K8&lt;&gt;'計算A'!$A$3,'計算A'!$A$4=0)),AND(109=$I8-1,OR(13&lt;&gt;'計算A'!$A$3,'計算A'!$A$4=0))),0,IF(13=$K8,200000,ABS(13-$K8)*100)),100000+ABS(5-$J8)*1000+130)+'計算A'!DH$5*50+IF(AND($E8=1,MU8=0),25,0),IF($F8&gt;0,INDEX('計算A'!DH$110:DH$114,$F8+1)+IF(AND($E8=1,MU8=0),1000,0),MIN(TY8,20)*400+(IF('計算A'!DG$106=1,1-HE8,0)+IF('計算A'!DH$106=1,1-HG8,0))*150+135+'計算A'!DH$5*100000+IF(AND($E8=1,MU8=0),50000,0))+IF($H8=1,(IF('計算A'!DG$117=1,INDEX('計算A'!DG$10:DG$54,$B8),0)+IF('計算A'!DH$117=1,INDEX('計算A'!DI$10:DI$54,$B8),0))*4000,0)-IF(AND('計算A'!DG$117=1,YE8&gt;0),2000,0)-IF(AND($L8=1,'計算A'!DH$117=1,HG8=0),2000,0))),1000000))</f>
        <v/>
      </c>
      <c r="SK8">
        <f>IF($B8=0,1000000,IF(INDEX('計算A'!$D$60:$EQ$104,$B8,110)*HG8=1,IF(AND($E8=2,MV8=0),1000000,IF($I8&gt;0,IF(5=$J8,IF(OR(AND(110=$I8+1,OR($K8&lt;&gt;'計算A'!$A$3,'計算A'!$A$4=0)),AND(110=$I8-1,OR(14&lt;&gt;'計算A'!$A$3,'計算A'!$A$4=0))),0,IF(14=$K8,200000,ABS(14-$K8)*100)),100000+ABS(5-$J8)*1000+140)+'計算A'!DI$5*50+IF(AND($E8=1,MV8=0),25,0),IF($F8&gt;0,INDEX('計算A'!DI$110:DI$114,$F8+1)+IF(AND($E8=1,MV8=0),1000,0),MIN(TY8,20)*400+(IF('計算A'!DH$106=1,1-HF8,0)+IF('計算A'!DI$106=1,1-HH8,0))*150+145+'計算A'!DI$5*100000+IF(AND($E8=1,MV8=0),50000,0))+IF($H8=1,(IF('計算A'!DH$117=1,INDEX('計算A'!DH$10:DH$54,$B8),0)+IF('計算A'!DI$117=1,INDEX('計算A'!DJ$10:DJ$54,$B8),0))*4000,0)-IF(AND('計算A'!DH$117=1,YF8&gt;0),2000,0)-IF(AND($L8=1,'計算A'!DI$117=1,HH8=0),2000,0))),1000000))</f>
        <v/>
      </c>
      <c r="SL8">
        <f>IF($B8=0,1000000,IF(INDEX('計算A'!$D$60:$EQ$104,$B8,111)*HH8=1,IF(AND($E8=2,MW8=0),1000000,IF($I8&gt;0,IF(5=$J8,IF(OR(AND(111=$I8+1,OR($K8&lt;&gt;'計算A'!$A$3,'計算A'!$A$4=0)),AND(111=$I8-1,OR(15&lt;&gt;'計算A'!$A$3,'計算A'!$A$4=0))),0,IF(15=$K8,200000,ABS(15-$K8)*100)),100000+ABS(5-$J8)*1000+150)+'計算A'!DJ$5*50+IF(AND($E8=1,MW8=0),25,0),IF($F8&gt;0,INDEX('計算A'!DJ$110:DJ$114,$F8+1)+IF(AND($E8=1,MW8=0),1000,0),MIN(TY8,20)*400+(IF('計算A'!DI$106=1,1-HG8,0)+IF('計算A'!DJ$106=1,1-HI8,0))*150+155+'計算A'!DJ$5*100000+IF(AND($E8=1,MW8=0),50000,0))+IF($H8=1,(IF('計算A'!DI$117=1,INDEX('計算A'!DI$10:DI$54,$B8),0)+IF('計算A'!DJ$117=1,INDEX('計算A'!DK$10:DK$54,$B8),0))*4000,0)-IF(AND('計算A'!DI$117=1,YG8&gt;0),2000,0)-IF(AND($L8=1,'計算A'!DJ$117=1,HI8=0),2000,0))),1000000))</f>
        <v/>
      </c>
      <c r="SM8">
        <f>IF($B8=0,1000000,IF(INDEX('計算A'!$D$60:$EQ$104,$B8,112)*HI8=1,IF(AND($E8=2,MX8=0),1000000,IF($I8&gt;0,IF(5=$J8,IF(OR(AND(112=$I8+1,OR($K8&lt;&gt;'計算A'!$A$3,'計算A'!$A$4=0)),AND(112=$I8-1,OR(16&lt;&gt;'計算A'!$A$3,'計算A'!$A$4=0))),0,IF(16=$K8,200000,ABS(16-$K8)*100)),100000+ABS(5-$J8)*1000+160)+'計算A'!DK$5*50+IF(AND($E8=1,MX8=0),25,0),IF($F8&gt;0,INDEX('計算A'!DK$110:DK$114,$F8+1)+IF(AND($E8=1,MX8=0),1000,0),MIN(TY8,20)*400+(IF('計算A'!DJ$106=1,1-HH8,0)+IF('計算A'!DK$106=1,1-HJ8,0))*150+165+'計算A'!DK$5*100000+IF(AND($E8=1,MX8=0),50000,0))+IF($H8=1,(IF('計算A'!DJ$117=1,INDEX('計算A'!DJ$10:DJ$54,$B8),0)+IF('計算A'!DK$117=1,INDEX('計算A'!DL$10:DL$54,$B8),0))*4000,0)-IF(AND('計算A'!DJ$117=1,YH8&gt;0),2000,0)-IF(AND($L8=1,'計算A'!DK$117=1,HJ8=0),2000,0))),1000000))</f>
        <v/>
      </c>
      <c r="SN8">
        <f>IF($B8=0,1000000,IF(INDEX('計算A'!$D$60:$EQ$104,$B8,113)*HJ8=1,IF(AND($E8=2,MY8=0),1000000,IF($I8&gt;0,IF(5=$J8,IF(OR(AND(113=$I8+1,OR($K8&lt;&gt;'計算A'!$A$3,'計算A'!$A$4=0)),AND(113=$I8-1,OR(17&lt;&gt;'計算A'!$A$3,'計算A'!$A$4=0))),0,IF(17=$K8,200000,ABS(17-$K8)*100)),100000+ABS(5-$J8)*1000+170)+'計算A'!DL$5*50+IF(AND($E8=1,MY8=0),25,0),IF($F8&gt;0,INDEX('計算A'!DL$110:DL$114,$F8+1)+IF(AND($E8=1,MY8=0),1000,0),MIN(TY8,20)*400+(IF('計算A'!DK$106=1,1-HI8,0)+IF('計算A'!DL$106=1,1-HK8,0))*150+175+'計算A'!DL$5*100000+IF(AND($E8=1,MY8=0),50000,0))+IF($H8=1,(IF('計算A'!DK$117=1,INDEX('計算A'!DK$10:DK$54,$B8),0)+IF('計算A'!DL$117=1,INDEX('計算A'!DM$10:DM$54,$B8),0))*4000,0)-IF(AND('計算A'!DK$117=1,YI8&gt;0),2000,0)-IF(AND($L8=1,'計算A'!DL$117=1,HK8=0),2000,0))),1000000))</f>
        <v/>
      </c>
      <c r="SO8">
        <f>IF($B8=0,1000000,IF(INDEX('計算A'!$D$60:$EQ$104,$B8,114)*HK8=1,IF(AND($E8=2,MZ8=0),1000000,IF($I8&gt;0,IF(5=$J8,IF(OR(AND(114=$I8+1,OR($K8&lt;&gt;'計算A'!$A$3,'計算A'!$A$4=0)),AND(114=$I8-1,OR(18&lt;&gt;'計算A'!$A$3,'計算A'!$A$4=0))),0,IF(18=$K8,200000,ABS(18-$K8)*100)),100000+ABS(5-$J8)*1000+180)+'計算A'!DM$5*50+IF(AND($E8=1,MZ8=0),25,0),IF($F8&gt;0,INDEX('計算A'!DM$110:DM$114,$F8+1)+IF(AND($E8=1,MZ8=0),1000,0),MIN(TY8,20)*400+(IF('計算A'!DL$106=1,1-HJ8,0)+IF('計算A'!DM$106=1,1-HL8,0))*150+185+'計算A'!DM$5*100000+IF(AND($E8=1,MZ8=0),50000,0))+IF($H8=1,(IF('計算A'!DL$117=1,INDEX('計算A'!DL$10:DL$54,$B8),0)+IF('計算A'!DM$117=1,INDEX('計算A'!DN$10:DN$54,$B8),0))*4000,0)-IF(AND('計算A'!DL$117=1,YJ8&gt;0),2000,0)-IF(AND($L8=1,'計算A'!DM$117=1,HL8=0),2000,0))),1000000))</f>
        <v/>
      </c>
      <c r="SP8">
        <f>IF($B8=0,1000000,IF(INDEX('計算A'!$D$60:$EQ$104,$B8,115)*HL8=1,IF(AND($E8=2,NA8=0),1000000,IF($I8&gt;0,IF(5=$J8,IF(OR(AND(115=$I8+1,OR($K8&lt;&gt;'計算A'!$A$3,'計算A'!$A$4=0)),AND(115=$I8-1,OR(19&lt;&gt;'計算A'!$A$3,'計算A'!$A$4=0))),0,IF(19=$K8,200000,ABS(19-$K8)*100)),100000+ABS(5-$J8)*1000+190)+'計算A'!DN$5*50+IF(AND($E8=1,NA8=0),25,0),IF($F8&gt;0,INDEX('計算A'!DN$110:DN$114,$F8+1)+IF(AND($E8=1,NA8=0),1000,0),MIN(TY8,20)*400+(IF('計算A'!DM$106=1,1-HK8,0)+IF('計算A'!DN$106=1,1-HM8,0))*150+195+'計算A'!DN$5*100000+IF(AND($E8=1,NA8=0),50000,0))+IF($H8=1,(IF('計算A'!DM$117=1,INDEX('計算A'!DM$10:DM$54,$B8),0)+IF('計算A'!DN$117=1,INDEX('計算A'!DO$10:DO$54,$B8),0))*4000,0)-IF(AND('計算A'!DM$117=1,YK8&gt;0),2000,0)-IF(AND($L8=1,'計算A'!DN$117=1,HM8=0),2000,0))),1000000))</f>
        <v/>
      </c>
      <c r="SQ8">
        <f>IF($B8=0,1000000,IF(INDEX('計算A'!$D$60:$EQ$104,$B8,116)*HM8=1,IF(AND($E8=2,NB8=0),1000000,IF($I8&gt;0,IF(5=$J8,IF(OR(AND(116=$I8+1,OR($K8&lt;&gt;'計算A'!$A$3,'計算A'!$A$4=0)),AND(116=$I8-1,OR(20&lt;&gt;'計算A'!$A$3,'計算A'!$A$4=0))),0,IF(20=$K8,200000,ABS(20-$K8)*100)),100000+ABS(5-$J8)*1000+200)+'計算A'!DO$5*50+IF(AND($E8=1,NB8=0),25,0),IF($F8&gt;0,INDEX('計算A'!DO$110:DO$114,$F8+1)+IF(AND($E8=1,NB8=0),1000,0),MIN(TY8,20)*400+(IF('計算A'!DN$106=1,1-HL8,0)+IF('計算A'!DO$106=1,1-HN8,0))*150+205+'計算A'!DO$5*100000+IF(AND($E8=1,NB8=0),50000,0))+IF($H8=1,(IF('計算A'!DN$117=1,INDEX('計算A'!DN$10:DN$54,$B8),0)+IF('計算A'!DO$117=1,INDEX('計算A'!DP$10:DP$54,$B8),0))*4000,0)-IF(AND('計算A'!DN$117=1,YL8&gt;0),2000,0)-IF(AND($L8=1,'計算A'!DO$117=1,HN8=0),2000,0))),1000000))</f>
        <v/>
      </c>
      <c r="SR8">
        <f>IF($B8=0,1000000,IF(INDEX('計算A'!$D$60:$EQ$104,$B8,117)*HN8=1,IF(AND($E8=2,NC8=0),1000000,IF($I8&gt;0,IF(5=$J8,IF(OR(AND(117=$I8+1,OR($K8&lt;&gt;'計算A'!$A$3,'計算A'!$A$4=0)),AND(117=$I8-1,OR(21&lt;&gt;'計算A'!$A$3,'計算A'!$A$4=0))),0,IF(21=$K8,200000,ABS(21-$K8)*100)),100000+ABS(5-$J8)*1000+210)+'計算A'!DP$5*50+IF(AND($E8=1,NC8=0),25,0),IF($F8&gt;0,INDEX('計算A'!DP$110:DP$114,$F8+1)+IF(AND($E8=1,NC8=0),1000,0),MIN(TY8,20)*400+(IF('計算A'!DO$106=1,1-HM8,0)+IF('計算A'!DP$106=1,1-HO8,0))*150+215+'計算A'!DP$5*100000+IF(AND($E8=1,NC8=0),50000,0))+IF($H8=1,(IF('計算A'!DO$117=1,INDEX('計算A'!DO$10:DO$54,$B8),0)+IF('計算A'!DP$117=1,INDEX('計算A'!DQ$10:DQ$54,$B8),0))*4000,0)-IF(AND('計算A'!DO$117=1,YM8&gt;0),2000,0)-IF(AND($L8=1,'計算A'!DP$117=1,HO8=0),2000,0))),1000000))</f>
        <v/>
      </c>
      <c r="SS8">
        <f>IF($B8=0,1000000,IF(INDEX('計算A'!$D$60:$EQ$104,$B8,118)*HO8=1,IF(AND($E8=2,ND8=0),1000000,IF($I8&gt;0,IF(5=$J8,IF(OR(AND(118=$I8+1,OR($K8&lt;&gt;'計算A'!$A$3,'計算A'!$A$4=0)),AND(118=$I8-1,OR(22&lt;&gt;'計算A'!$A$3,'計算A'!$A$4=0))),0,IF(22=$K8,200000,ABS(22-$K8)*100)),100000+ABS(5-$J8)*1000+220)+'計算A'!DQ$5*50+IF(AND($E8=1,ND8=0),25,0),IF($F8&gt;0,INDEX('計算A'!DQ$110:DQ$114,$F8+1)+IF(AND($E8=1,ND8=0),1000,0),MIN(TY8,20)*400+(IF('計算A'!DP$106=1,1-HN8,0)+IF('計算A'!DQ$106=1,1-HP8,0))*150+225+'計算A'!DQ$5*100000+IF(AND($E8=1,ND8=0),50000,0))+IF($H8=1,(IF('計算A'!DP$117=1,INDEX('計算A'!DP$10:DP$54,$B8),0)+IF('計算A'!DQ$117=1,INDEX('計算A'!DR$10:DR$54,$B8),0))*4000,0)-IF(AND('計算A'!DP$117=1,YN8&gt;0),2000,0)-IF(AND($L8=1,'計算A'!DQ$117=1,HP8=0),2000,0))),1000000))</f>
        <v/>
      </c>
      <c r="ST8">
        <f>IF($B8=0,1000000,IF(INDEX('計算A'!$D$60:$EQ$104,$B8,119)*HP8=1,IF(AND($E8=2,NE8=0),1000000,IF($I8&gt;0,IF(5=$J8,IF(OR(AND(119=$I8+1,OR($K8&lt;&gt;'計算A'!$A$3,'計算A'!$A$4=0)),AND(119=$I8-1,OR(23&lt;&gt;'計算A'!$A$3,'計算A'!$A$4=0))),0,IF(23=$K8,200000,ABS(23-$K8)*100)),100000+ABS(5-$J8)*1000+230)+'計算A'!DR$5*50+IF(AND($E8=1,NE8=0),25,0),IF($F8&gt;0,INDEX('計算A'!DR$110:DR$114,$F8+1)+IF(AND($E8=1,NE8=0),1000,0),MIN(TY8,20)*400+(IF('計算A'!DQ$106=1,1-HO8,0)+IF('計算A'!DR$106=1,1-HQ8,0))*150+235+'計算A'!DR$5*100000+IF(AND($E8=1,NE8=0),50000,0))+IF($H8=1,(IF('計算A'!DQ$117=1,INDEX('計算A'!DQ$10:DQ$54,$B8),0)+IF('計算A'!DR$117=1,INDEX('計算A'!DS$10:DS$54,$B8),0))*4000,0)-IF(AND('計算A'!DQ$117=1,YO8&gt;0),2000,0)-IF(AND($L8=1,'計算A'!DR$117=1,HQ8=0),2000,0))),1000000))</f>
        <v/>
      </c>
      <c r="SU8">
        <f>IF($B8=0,1000000,IF(INDEX('計算A'!$D$60:$EQ$104,$B8,120)*HQ8=1,IF(AND($E8=2,NF8=0),1000000,IF($I8&gt;0,IF(5=$J8,IF(OR(AND(120=$I8+1,OR($K8&lt;&gt;'計算A'!$A$3,'計算A'!$A$4=0)),AND(120=$I8-1,OR(24&lt;&gt;'計算A'!$A$3,'計算A'!$A$4=0))),0,IF(24=$K8,200000,ABS(24-$K8)*100)),100000+ABS(5-$J8)*1000+240)+'計算A'!DS$5*50+IF(AND($E8=1,NF8=0),25,0),IF($F8&gt;0,INDEX('計算A'!DS$110:DS$114,$F8+1)+IF(AND($E8=1,NF8=0),1000,0),MIN(TY8,20)*400+(IF('計算A'!DR$106=1,1-HP8,0))*150+245+'計算A'!DS$5*100000+IF(AND($E8=1,NF8=0),50000,0))+IF($H8=1,(IF('計算A'!DR$117=1,INDEX('計算A'!DR$10:DR$54,$B8),0))*4000,0)-IF(AND('計算A'!DR$117=1,YP8&gt;0),2000,0))),1000000))</f>
        <v/>
      </c>
      <c r="SV8">
        <f>IF($B8=0,1000000,IF(INDEX('計算A'!$D$60:$EQ$104,$B8,121)*HR8=1,IF(AND($E8=2,NG8=0),1000000,IF($I8&gt;0,IF(6=$J8,IF(OR(AND(121=$I8+1,OR($K8&lt;&gt;'計算A'!$A$3,'計算A'!$A$4=0)),AND(121=$I8-1,OR(1&lt;&gt;'計算A'!$A$3,'計算A'!$A$4=0))),0,IF(1=$K8,200000,ABS(1-$K8)*100)),100000+ABS(6-$J8)*1000+10)+'計算A'!DT$5*50+IF(AND($E8=1,NG8=0),25,0),IF($F8&gt;0,INDEX('計算A'!DT$110:DT$114,$F8+1)+IF(AND($E8=1,NG8=0),1000,0),MIN(TZ8,20)*400+(IF('計算A'!DT$106=1,1-HS8,0))*150+16+'計算A'!DT$5*100000+IF(AND($E8=1,NG8=0),50000,0))+IF($H8=1,(IF('計算A'!DT$117=1,INDEX('計算A'!DU$10:DU$54,$B8),0))*4000,0)-IF(AND($L8=1,'計算A'!DT$117=1,HS8=0),2000,0))),1000000))</f>
        <v/>
      </c>
      <c r="SW8">
        <f>IF($B8=0,1000000,IF(INDEX('計算A'!$D$60:$EQ$104,$B8,122)*HS8=1,IF(AND($E8=2,NH8=0),1000000,IF($I8&gt;0,IF(6=$J8,IF(OR(AND(122=$I8+1,OR($K8&lt;&gt;'計算A'!$A$3,'計算A'!$A$4=0)),AND(122=$I8-1,OR(2&lt;&gt;'計算A'!$A$3,'計算A'!$A$4=0))),0,IF(2=$K8,200000,ABS(2-$K8)*100)),100000+ABS(6-$J8)*1000+20)+'計算A'!DU$5*50+IF(AND($E8=1,NH8=0),25,0),IF($F8&gt;0,INDEX('計算A'!DU$110:DU$114,$F8+1)+IF(AND($E8=1,NH8=0),1000,0),MIN(TZ8,20)*400+(IF('計算A'!DT$106=1,1-HR8,0)+IF('計算A'!DU$106=1,1-HT8,0))*150+26+'計算A'!DU$5*100000+IF(AND($E8=1,NH8=0),50000,0))+IF($H8=1,(IF('計算A'!DT$117=1,INDEX('計算A'!DT$10:DT$54,$B8),0)+IF('計算A'!DU$117=1,INDEX('計算A'!DV$10:DV$54,$B8),0))*4000,0)-IF(AND('計算A'!DT$117=1,YR8&gt;0),2000,0)-IF(AND($L8=1,'計算A'!DU$117=1,HT8=0),2000,0))),1000000))</f>
        <v/>
      </c>
      <c r="SX8">
        <f>IF($B8=0,1000000,IF(INDEX('計算A'!$D$60:$EQ$104,$B8,123)*HT8=1,IF(AND($E8=2,NI8=0),1000000,IF($I8&gt;0,IF(6=$J8,IF(OR(AND(123=$I8+1,OR($K8&lt;&gt;'計算A'!$A$3,'計算A'!$A$4=0)),AND(123=$I8-1,OR(3&lt;&gt;'計算A'!$A$3,'計算A'!$A$4=0))),0,IF(3=$K8,200000,ABS(3-$K8)*100)),100000+ABS(6-$J8)*1000+30)+'計算A'!DV$5*50+IF(AND($E8=1,NI8=0),25,0),IF($F8&gt;0,INDEX('計算A'!DV$110:DV$114,$F8+1)+IF(AND($E8=1,NI8=0),1000,0),MIN(TZ8,20)*400+(IF('計算A'!DU$106=1,1-HS8,0)+IF('計算A'!DV$106=1,1-HU8,0))*150+36+'計算A'!DV$5*100000+IF(AND($E8=1,NI8=0),50000,0))+IF($H8=1,(IF('計算A'!DU$117=1,INDEX('計算A'!DU$10:DU$54,$B8),0)+IF('計算A'!DV$117=1,INDEX('計算A'!DW$10:DW$54,$B8),0))*4000,0)-IF(AND('計算A'!DU$117=1,YS8&gt;0),2000,0)-IF(AND($L8=1,'計算A'!DV$117=1,HU8=0),2000,0))),1000000))</f>
        <v/>
      </c>
      <c r="SY8">
        <f>IF($B8=0,1000000,IF(INDEX('計算A'!$D$60:$EQ$104,$B8,124)*HU8=1,IF(AND($E8=2,NJ8=0),1000000,IF($I8&gt;0,IF(6=$J8,IF(OR(AND(124=$I8+1,OR($K8&lt;&gt;'計算A'!$A$3,'計算A'!$A$4=0)),AND(124=$I8-1,OR(4&lt;&gt;'計算A'!$A$3,'計算A'!$A$4=0))),0,IF(4=$K8,200000,ABS(4-$K8)*100)),100000+ABS(6-$J8)*1000+40)+'計算A'!DW$5*50+IF(AND($E8=1,NJ8=0),25,0),IF($F8&gt;0,INDEX('計算A'!DW$110:DW$114,$F8+1)+IF(AND($E8=1,NJ8=0),1000,0),MIN(TZ8,20)*400+(IF('計算A'!DV$106=1,1-HT8,0)+IF('計算A'!DW$106=1,1-HV8,0))*150+46+'計算A'!DW$5*100000+IF(AND($E8=1,NJ8=0),50000,0))+IF($H8=1,(IF('計算A'!DV$117=1,INDEX('計算A'!DV$10:DV$54,$B8),0)+IF('計算A'!DW$117=1,INDEX('計算A'!DX$10:DX$54,$B8),0))*4000,0)-IF(AND('計算A'!DV$117=1,YT8&gt;0),2000,0)-IF(AND($L8=1,'計算A'!DW$117=1,HV8=0),2000,0))),1000000))</f>
        <v/>
      </c>
      <c r="SZ8">
        <f>IF($B8=0,1000000,IF(INDEX('計算A'!$D$60:$EQ$104,$B8,125)*HV8=1,IF(AND($E8=2,NK8=0),1000000,IF($I8&gt;0,IF(6=$J8,IF(OR(AND(125=$I8+1,OR($K8&lt;&gt;'計算A'!$A$3,'計算A'!$A$4=0)),AND(125=$I8-1,OR(5&lt;&gt;'計算A'!$A$3,'計算A'!$A$4=0))),0,IF(5=$K8,200000,ABS(5-$K8)*100)),100000+ABS(6-$J8)*1000+50)+'計算A'!DX$5*50+IF(AND($E8=1,NK8=0),25,0),IF($F8&gt;0,INDEX('計算A'!DX$110:DX$114,$F8+1)+IF(AND($E8=1,NK8=0),1000,0),MIN(TZ8,20)*400+(IF('計算A'!DW$106=1,1-HU8,0)+IF('計算A'!DX$106=1,1-HW8,0))*150+56+'計算A'!DX$5*100000+IF(AND($E8=1,NK8=0),50000,0))+IF($H8=1,(IF('計算A'!DW$117=1,INDEX('計算A'!DW$10:DW$54,$B8),0)+IF('計算A'!DX$117=1,INDEX('計算A'!DY$10:DY$54,$B8),0))*4000,0)-IF(AND('計算A'!DW$117=1,YU8&gt;0),2000,0)-IF(AND($L8=1,'計算A'!DX$117=1,HW8=0),2000,0))),1000000))</f>
        <v/>
      </c>
      <c r="TA8">
        <f>IF($B8=0,1000000,IF(INDEX('計算A'!$D$60:$EQ$104,$B8,126)*HW8=1,IF(AND($E8=2,NL8=0),1000000,IF($I8&gt;0,IF(6=$J8,IF(OR(AND(126=$I8+1,OR($K8&lt;&gt;'計算A'!$A$3,'計算A'!$A$4=0)),AND(126=$I8-1,OR(6&lt;&gt;'計算A'!$A$3,'計算A'!$A$4=0))),0,IF(6=$K8,200000,ABS(6-$K8)*100)),100000+ABS(6-$J8)*1000+60)+'計算A'!DY$5*50+IF(AND($E8=1,NL8=0),25,0),IF($F8&gt;0,INDEX('計算A'!DY$110:DY$114,$F8+1)+IF(AND($E8=1,NL8=0),1000,0),MIN(TZ8,20)*400+(IF('計算A'!DX$106=1,1-HV8,0)+IF('計算A'!DY$106=1,1-HX8,0))*150+66+'計算A'!DY$5*100000+IF(AND($E8=1,NL8=0),50000,0))+IF($H8=1,(IF('計算A'!DX$117=1,INDEX('計算A'!DX$10:DX$54,$B8),0)+IF('計算A'!DY$117=1,INDEX('計算A'!DZ$10:DZ$54,$B8),0))*4000,0)-IF(AND('計算A'!DX$117=1,YV8&gt;0),2000,0)-IF(AND($L8=1,'計算A'!DY$117=1,HX8=0),2000,0))),1000000))</f>
        <v/>
      </c>
      <c r="TB8">
        <f>IF($B8=0,1000000,IF(INDEX('計算A'!$D$60:$EQ$104,$B8,127)*HX8=1,IF(AND($E8=2,NM8=0),1000000,IF($I8&gt;0,IF(6=$J8,IF(OR(AND(127=$I8+1,OR($K8&lt;&gt;'計算A'!$A$3,'計算A'!$A$4=0)),AND(127=$I8-1,OR(7&lt;&gt;'計算A'!$A$3,'計算A'!$A$4=0))),0,IF(7=$K8,200000,ABS(7-$K8)*100)),100000+ABS(6-$J8)*1000+70)+'計算A'!DZ$5*50+IF(AND($E8=1,NM8=0),25,0),IF($F8&gt;0,INDEX('計算A'!DZ$110:DZ$114,$F8+1)+IF(AND($E8=1,NM8=0),1000,0),MIN(TZ8,20)*400+(IF('計算A'!DY$106=1,1-HW8,0)+IF('計算A'!DZ$106=1,1-HY8,0))*150+76+'計算A'!DZ$5*100000+IF(AND($E8=1,NM8=0),50000,0))+IF($H8=1,(IF('計算A'!DY$117=1,INDEX('計算A'!DY$10:DY$54,$B8),0)+IF('計算A'!DZ$117=1,INDEX('計算A'!EA$10:EA$54,$B8),0))*4000,0)-IF(AND('計算A'!DY$117=1,YW8&gt;0),2000,0)-IF(AND($L8=1,'計算A'!DZ$117=1,HY8=0),2000,0))),1000000))</f>
        <v/>
      </c>
      <c r="TC8">
        <f>IF($B8=0,1000000,IF(INDEX('計算A'!$D$60:$EQ$104,$B8,128)*HY8=1,IF(AND($E8=2,NN8=0),1000000,IF($I8&gt;0,IF(6=$J8,IF(OR(AND(128=$I8+1,OR($K8&lt;&gt;'計算A'!$A$3,'計算A'!$A$4=0)),AND(128=$I8-1,OR(8&lt;&gt;'計算A'!$A$3,'計算A'!$A$4=0))),0,IF(8=$K8,200000,ABS(8-$K8)*100)),100000+ABS(6-$J8)*1000+80)+'計算A'!EA$5*50+IF(AND($E8=1,NN8=0),25,0),IF($F8&gt;0,INDEX('計算A'!EA$110:EA$114,$F8+1)+IF(AND($E8=1,NN8=0),1000,0),MIN(TZ8,20)*400+(IF('計算A'!DZ$106=1,1-HX8,0)+IF('計算A'!EA$106=1,1-HZ8,0))*150+86+'計算A'!EA$5*100000+IF(AND($E8=1,NN8=0),50000,0))+IF($H8=1,(IF('計算A'!DZ$117=1,INDEX('計算A'!DZ$10:DZ$54,$B8),0)+IF('計算A'!EA$117=1,INDEX('計算A'!EB$10:EB$54,$B8),0))*4000,0)-IF(AND('計算A'!DZ$117=1,YX8&gt;0),2000,0)-IF(AND($L8=1,'計算A'!EA$117=1,HZ8=0),2000,0))),1000000))</f>
        <v/>
      </c>
      <c r="TD8">
        <f>IF($B8=0,1000000,IF(INDEX('計算A'!$D$60:$EQ$104,$B8,129)*HZ8=1,IF(AND($E8=2,NO8=0),1000000,IF($I8&gt;0,IF(6=$J8,IF(OR(AND(129=$I8+1,OR($K8&lt;&gt;'計算A'!$A$3,'計算A'!$A$4=0)),AND(129=$I8-1,OR(9&lt;&gt;'計算A'!$A$3,'計算A'!$A$4=0))),0,IF(9=$K8,200000,ABS(9-$K8)*100)),100000+ABS(6-$J8)*1000+90)+'計算A'!EB$5*50+IF(AND($E8=1,NO8=0),25,0),IF($F8&gt;0,INDEX('計算A'!EB$110:EB$114,$F8+1)+IF(AND($E8=1,NO8=0),1000,0),MIN(TZ8,20)*400+(IF('計算A'!EA$106=1,1-HY8,0)+IF('計算A'!EB$106=1,1-IA8,0))*150+96+'計算A'!EB$5*100000+IF(AND($E8=1,NO8=0),50000,0))+IF($H8=1,(IF('計算A'!EA$117=1,INDEX('計算A'!EA$10:EA$54,$B8),0)+IF('計算A'!EB$117=1,INDEX('計算A'!EC$10:EC$54,$B8),0))*4000,0)-IF(AND('計算A'!EA$117=1,YY8&gt;0),2000,0)-IF(AND($L8=1,'計算A'!EB$117=1,IA8=0),2000,0))),1000000))</f>
        <v/>
      </c>
      <c r="TE8">
        <f>IF($B8=0,1000000,IF(INDEX('計算A'!$D$60:$EQ$104,$B8,130)*IA8=1,IF(AND($E8=2,NP8=0),1000000,IF($I8&gt;0,IF(6=$J8,IF(OR(AND(130=$I8+1,OR($K8&lt;&gt;'計算A'!$A$3,'計算A'!$A$4=0)),AND(130=$I8-1,OR(10&lt;&gt;'計算A'!$A$3,'計算A'!$A$4=0))),0,IF(10=$K8,200000,ABS(10-$K8)*100)),100000+ABS(6-$J8)*1000+100)+'計算A'!EC$5*50+IF(AND($E8=1,NP8=0),25,0),IF($F8&gt;0,INDEX('計算A'!EC$110:EC$114,$F8+1)+IF(AND($E8=1,NP8=0),1000,0),MIN(TZ8,20)*400+(IF('計算A'!EB$106=1,1-HZ8,0)+IF('計算A'!EC$106=1,1-IB8,0))*150+106+'計算A'!EC$5*100000+IF(AND($E8=1,NP8=0),50000,0))+IF($H8=1,(IF('計算A'!EB$117=1,INDEX('計算A'!EB$10:EB$54,$B8),0)+IF('計算A'!EC$117=1,INDEX('計算A'!ED$10:ED$54,$B8),0))*4000,0)-IF(AND('計算A'!EB$117=1,YZ8&gt;0),2000,0)-IF(AND($L8=1,'計算A'!EC$117=1,IB8=0),2000,0))),1000000))</f>
        <v/>
      </c>
      <c r="TF8">
        <f>IF($B8=0,1000000,IF(INDEX('計算A'!$D$60:$EQ$104,$B8,131)*IB8=1,IF(AND($E8=2,NQ8=0),1000000,IF($I8&gt;0,IF(6=$J8,IF(OR(AND(131=$I8+1,OR($K8&lt;&gt;'計算A'!$A$3,'計算A'!$A$4=0)),AND(131=$I8-1,OR(11&lt;&gt;'計算A'!$A$3,'計算A'!$A$4=0))),0,IF(11=$K8,200000,ABS(11-$K8)*100)),100000+ABS(6-$J8)*1000+110)+'計算A'!ED$5*50+IF(AND($E8=1,NQ8=0),25,0),IF($F8&gt;0,INDEX('計算A'!ED$110:ED$114,$F8+1)+IF(AND($E8=1,NQ8=0),1000,0),MIN(TZ8,20)*400+(IF('計算A'!EC$106=1,1-IA8,0)+IF('計算A'!ED$106=1,1-IC8,0))*150+116+'計算A'!ED$5*100000+IF(AND($E8=1,NQ8=0),50000,0))+IF($H8=1,(IF('計算A'!EC$117=1,INDEX('計算A'!EC$10:EC$54,$B8),0)+IF('計算A'!ED$117=1,INDEX('計算A'!EE$10:EE$54,$B8),0))*4000,0)-IF(AND('計算A'!EC$117=1,ZA8&gt;0),2000,0)-IF(AND($L8=1,'計算A'!ED$117=1,IC8=0),2000,0))),1000000))</f>
        <v/>
      </c>
      <c r="TG8">
        <f>IF($B8=0,1000000,IF(INDEX('計算A'!$D$60:$EQ$104,$B8,132)*IC8=1,IF(AND($E8=2,NR8=0),1000000,IF($I8&gt;0,IF(6=$J8,IF(OR(AND(132=$I8+1,OR($K8&lt;&gt;'計算A'!$A$3,'計算A'!$A$4=0)),AND(132=$I8-1,OR(12&lt;&gt;'計算A'!$A$3,'計算A'!$A$4=0))),0,IF(12=$K8,200000,ABS(12-$K8)*100)),100000+ABS(6-$J8)*1000+120)+'計算A'!EE$5*50+IF(AND($E8=1,NR8=0),25,0),IF($F8&gt;0,INDEX('計算A'!EE$110:EE$114,$F8+1)+IF(AND($E8=1,NR8=0),1000,0),MIN(TZ8,20)*400+(IF('計算A'!ED$106=1,1-IB8,0)+IF('計算A'!EE$106=1,1-ID8,0))*150+126+'計算A'!EE$5*100000+IF(AND($E8=1,NR8=0),50000,0))+IF($H8=1,(IF('計算A'!ED$117=1,INDEX('計算A'!ED$10:ED$54,$B8),0)+IF('計算A'!EE$117=1,INDEX('計算A'!EF$10:EF$54,$B8),0))*4000,0)-IF(AND('計算A'!ED$117=1,ZB8&gt;0),2000,0)-IF(AND($L8=1,'計算A'!EE$117=1,ID8=0),2000,0))),1000000))</f>
        <v/>
      </c>
      <c r="TH8">
        <f>IF($B8=0,1000000,IF(INDEX('計算A'!$D$60:$EQ$104,$B8,133)*ID8=1,IF(AND($E8=2,NS8=0),1000000,IF($I8&gt;0,IF(6=$J8,IF(OR(AND(133=$I8+1,OR($K8&lt;&gt;'計算A'!$A$3,'計算A'!$A$4=0)),AND(133=$I8-1,OR(13&lt;&gt;'計算A'!$A$3,'計算A'!$A$4=0))),0,IF(13=$K8,200000,ABS(13-$K8)*100)),100000+ABS(6-$J8)*1000+130)+'計算A'!EF$5*50+IF(AND($E8=1,NS8=0),25,0),IF($F8&gt;0,INDEX('計算A'!EF$110:EF$114,$F8+1)+IF(AND($E8=1,NS8=0),1000,0),MIN(TZ8,20)*400+(IF('計算A'!EE$106=1,1-IC8,0)+IF('計算A'!EF$106=1,1-IE8,0))*150+136+'計算A'!EF$5*100000+IF(AND($E8=1,NS8=0),50000,0))+IF($H8=1,(IF('計算A'!EE$117=1,INDEX('計算A'!EE$10:EE$54,$B8),0)+IF('計算A'!EF$117=1,INDEX('計算A'!EG$10:EG$54,$B8),0))*4000,0)-IF(AND('計算A'!EE$117=1,ZC8&gt;0),2000,0)-IF(AND($L8=1,'計算A'!EF$117=1,IE8=0),2000,0))),1000000))</f>
        <v/>
      </c>
      <c r="TI8">
        <f>IF($B8=0,1000000,IF(INDEX('計算A'!$D$60:$EQ$104,$B8,134)*IE8=1,IF(AND($E8=2,NT8=0),1000000,IF($I8&gt;0,IF(6=$J8,IF(OR(AND(134=$I8+1,OR($K8&lt;&gt;'計算A'!$A$3,'計算A'!$A$4=0)),AND(134=$I8-1,OR(14&lt;&gt;'計算A'!$A$3,'計算A'!$A$4=0))),0,IF(14=$K8,200000,ABS(14-$K8)*100)),100000+ABS(6-$J8)*1000+140)+'計算A'!EG$5*50+IF(AND($E8=1,NT8=0),25,0),IF($F8&gt;0,INDEX('計算A'!EG$110:EG$114,$F8+1)+IF(AND($E8=1,NT8=0),1000,0),MIN(TZ8,20)*400+(IF('計算A'!EF$106=1,1-ID8,0)+IF('計算A'!EG$106=1,1-IF8,0))*150+146+'計算A'!EG$5*100000+IF(AND($E8=1,NT8=0),50000,0))+IF($H8=1,(IF('計算A'!EF$117=1,INDEX('計算A'!EF$10:EF$54,$B8),0)+IF('計算A'!EG$117=1,INDEX('計算A'!EH$10:EH$54,$B8),0))*4000,0)-IF(AND('計算A'!EF$117=1,ZD8&gt;0),2000,0)-IF(AND($L8=1,'計算A'!EG$117=1,IF8=0),2000,0))),1000000))</f>
        <v/>
      </c>
      <c r="TJ8">
        <f>IF($B8=0,1000000,IF(INDEX('計算A'!$D$60:$EQ$104,$B8,135)*IF8=1,IF(AND($E8=2,NU8=0),1000000,IF($I8&gt;0,IF(6=$J8,IF(OR(AND(135=$I8+1,OR($K8&lt;&gt;'計算A'!$A$3,'計算A'!$A$4=0)),AND(135=$I8-1,OR(15&lt;&gt;'計算A'!$A$3,'計算A'!$A$4=0))),0,IF(15=$K8,200000,ABS(15-$K8)*100)),100000+ABS(6-$J8)*1000+150)+'計算A'!EH$5*50+IF(AND($E8=1,NU8=0),25,0),IF($F8&gt;0,INDEX('計算A'!EH$110:EH$114,$F8+1)+IF(AND($E8=1,NU8=0),1000,0),MIN(TZ8,20)*400+(IF('計算A'!EG$106=1,1-IE8,0)+IF('計算A'!EH$106=1,1-IG8,0))*150+156+'計算A'!EH$5*100000+IF(AND($E8=1,NU8=0),50000,0))+IF($H8=1,(IF('計算A'!EG$117=1,INDEX('計算A'!EG$10:EG$54,$B8),0)+IF('計算A'!EH$117=1,INDEX('計算A'!EI$10:EI$54,$B8),0))*4000,0)-IF(AND('計算A'!EG$117=1,ZE8&gt;0),2000,0)-IF(AND($L8=1,'計算A'!EH$117=1,IG8=0),2000,0))),1000000))</f>
        <v/>
      </c>
      <c r="TK8">
        <f>IF($B8=0,1000000,IF(INDEX('計算A'!$D$60:$EQ$104,$B8,136)*IG8=1,IF(AND($E8=2,NV8=0),1000000,IF($I8&gt;0,IF(6=$J8,IF(OR(AND(136=$I8+1,OR($K8&lt;&gt;'計算A'!$A$3,'計算A'!$A$4=0)),AND(136=$I8-1,OR(16&lt;&gt;'計算A'!$A$3,'計算A'!$A$4=0))),0,IF(16=$K8,200000,ABS(16-$K8)*100)),100000+ABS(6-$J8)*1000+160)+'計算A'!EI$5*50+IF(AND($E8=1,NV8=0),25,0),IF($F8&gt;0,INDEX('計算A'!EI$110:EI$114,$F8+1)+IF(AND($E8=1,NV8=0),1000,0),MIN(TZ8,20)*400+(IF('計算A'!EH$106=1,1-IF8,0)+IF('計算A'!EI$106=1,1-IH8,0))*150+166+'計算A'!EI$5*100000+IF(AND($E8=1,NV8=0),50000,0))+IF($H8=1,(IF('計算A'!EH$117=1,INDEX('計算A'!EH$10:EH$54,$B8),0)+IF('計算A'!EI$117=1,INDEX('計算A'!EJ$10:EJ$54,$B8),0))*4000,0)-IF(AND('計算A'!EH$117=1,ZF8&gt;0),2000,0)-IF(AND($L8=1,'計算A'!EI$117=1,IH8=0),2000,0))),1000000))</f>
        <v/>
      </c>
      <c r="TL8">
        <f>IF($B8=0,1000000,IF(INDEX('計算A'!$D$60:$EQ$104,$B8,137)*IH8=1,IF(AND($E8=2,NW8=0),1000000,IF($I8&gt;0,IF(6=$J8,IF(OR(AND(137=$I8+1,OR($K8&lt;&gt;'計算A'!$A$3,'計算A'!$A$4=0)),AND(137=$I8-1,OR(17&lt;&gt;'計算A'!$A$3,'計算A'!$A$4=0))),0,IF(17=$K8,200000,ABS(17-$K8)*100)),100000+ABS(6-$J8)*1000+170)+'計算A'!EJ$5*50+IF(AND($E8=1,NW8=0),25,0),IF($F8&gt;0,INDEX('計算A'!EJ$110:EJ$114,$F8+1)+IF(AND($E8=1,NW8=0),1000,0),MIN(TZ8,20)*400+(IF('計算A'!EI$106=1,1-IG8,0)+IF('計算A'!EJ$106=1,1-II8,0))*150+176+'計算A'!EJ$5*100000+IF(AND($E8=1,NW8=0),50000,0))+IF($H8=1,(IF('計算A'!EI$117=1,INDEX('計算A'!EI$10:EI$54,$B8),0)+IF('計算A'!EJ$117=1,INDEX('計算A'!EK$10:EK$54,$B8),0))*4000,0)-IF(AND('計算A'!EI$117=1,ZG8&gt;0),2000,0)-IF(AND($L8=1,'計算A'!EJ$117=1,II8=0),2000,0))),1000000))</f>
        <v/>
      </c>
      <c r="TM8">
        <f>IF($B8=0,1000000,IF(INDEX('計算A'!$D$60:$EQ$104,$B8,138)*II8=1,IF(AND($E8=2,NX8=0),1000000,IF($I8&gt;0,IF(6=$J8,IF(OR(AND(138=$I8+1,OR($K8&lt;&gt;'計算A'!$A$3,'計算A'!$A$4=0)),AND(138=$I8-1,OR(18&lt;&gt;'計算A'!$A$3,'計算A'!$A$4=0))),0,IF(18=$K8,200000,ABS(18-$K8)*100)),100000+ABS(6-$J8)*1000+180)+'計算A'!EK$5*50+IF(AND($E8=1,NX8=0),25,0),IF($F8&gt;0,INDEX('計算A'!EK$110:EK$114,$F8+1)+IF(AND($E8=1,NX8=0),1000,0),MIN(TZ8,20)*400+(IF('計算A'!EJ$106=1,1-IH8,0)+IF('計算A'!EK$106=1,1-IJ8,0))*150+186+'計算A'!EK$5*100000+IF(AND($E8=1,NX8=0),50000,0))+IF($H8=1,(IF('計算A'!EJ$117=1,INDEX('計算A'!EJ$10:EJ$54,$B8),0)+IF('計算A'!EK$117=1,INDEX('計算A'!EL$10:EL$54,$B8),0))*4000,0)-IF(AND('計算A'!EJ$117=1,ZH8&gt;0),2000,0)-IF(AND($L8=1,'計算A'!EK$117=1,IJ8=0),2000,0))),1000000))</f>
        <v/>
      </c>
      <c r="TN8">
        <f>IF($B8=0,1000000,IF(INDEX('計算A'!$D$60:$EQ$104,$B8,139)*IJ8=1,IF(AND($E8=2,NY8=0),1000000,IF($I8&gt;0,IF(6=$J8,IF(OR(AND(139=$I8+1,OR($K8&lt;&gt;'計算A'!$A$3,'計算A'!$A$4=0)),AND(139=$I8-1,OR(19&lt;&gt;'計算A'!$A$3,'計算A'!$A$4=0))),0,IF(19=$K8,200000,ABS(19-$K8)*100)),100000+ABS(6-$J8)*1000+190)+'計算A'!EL$5*50+IF(AND($E8=1,NY8=0),25,0),IF($F8&gt;0,INDEX('計算A'!EL$110:EL$114,$F8+1)+IF(AND($E8=1,NY8=0),1000,0),MIN(TZ8,20)*400+(IF('計算A'!EK$106=1,1-II8,0)+IF('計算A'!EL$106=1,1-IK8,0))*150+196+'計算A'!EL$5*100000+IF(AND($E8=1,NY8=0),50000,0))+IF($H8=1,(IF('計算A'!EK$117=1,INDEX('計算A'!EK$10:EK$54,$B8),0)+IF('計算A'!EL$117=1,INDEX('計算A'!EM$10:EM$54,$B8),0))*4000,0)-IF(AND('計算A'!EK$117=1,ZI8&gt;0),2000,0)-IF(AND($L8=1,'計算A'!EL$117=1,IK8=0),2000,0))),1000000))</f>
        <v/>
      </c>
      <c r="TO8">
        <f>IF($B8=0,1000000,IF(INDEX('計算A'!$D$60:$EQ$104,$B8,140)*IK8=1,IF(AND($E8=2,NZ8=0),1000000,IF($I8&gt;0,IF(6=$J8,IF(OR(AND(140=$I8+1,OR($K8&lt;&gt;'計算A'!$A$3,'計算A'!$A$4=0)),AND(140=$I8-1,OR(20&lt;&gt;'計算A'!$A$3,'計算A'!$A$4=0))),0,IF(20=$K8,200000,ABS(20-$K8)*100)),100000+ABS(6-$J8)*1000+200)+'計算A'!EM$5*50+IF(AND($E8=1,NZ8=0),25,0),IF($F8&gt;0,INDEX('計算A'!EM$110:EM$114,$F8+1)+IF(AND($E8=1,NZ8=0),1000,0),MIN(TZ8,20)*400+(IF('計算A'!EL$106=1,1-IJ8,0)+IF('計算A'!EM$106=1,1-IL8,0))*150+206+'計算A'!EM$5*100000+IF(AND($E8=1,NZ8=0),50000,0))+IF($H8=1,(IF('計算A'!EL$117=1,INDEX('計算A'!EL$10:EL$54,$B8),0)+IF('計算A'!EM$117=1,INDEX('計算A'!EN$10:EN$54,$B8),0))*4000,0)-IF(AND('計算A'!EL$117=1,ZJ8&gt;0),2000,0)-IF(AND($L8=1,'計算A'!EM$117=1,IL8=0),2000,0))),1000000))</f>
        <v/>
      </c>
      <c r="TP8">
        <f>IF($B8=0,1000000,IF(INDEX('計算A'!$D$60:$EQ$104,$B8,141)*IL8=1,IF(AND($E8=2,OA8=0),1000000,IF($I8&gt;0,IF(6=$J8,IF(OR(AND(141=$I8+1,OR($K8&lt;&gt;'計算A'!$A$3,'計算A'!$A$4=0)),AND(141=$I8-1,OR(21&lt;&gt;'計算A'!$A$3,'計算A'!$A$4=0))),0,IF(21=$K8,200000,ABS(21-$K8)*100)),100000+ABS(6-$J8)*1000+210)+'計算A'!EN$5*50+IF(AND($E8=1,OA8=0),25,0),IF($F8&gt;0,INDEX('計算A'!EN$110:EN$114,$F8+1)+IF(AND($E8=1,OA8=0),1000,0),MIN(TZ8,20)*400+(IF('計算A'!EM$106=1,1-IK8,0)+IF('計算A'!EN$106=1,1-IM8,0))*150+216+'計算A'!EN$5*100000+IF(AND($E8=1,OA8=0),50000,0))+IF($H8=1,(IF('計算A'!EM$117=1,INDEX('計算A'!EM$10:EM$54,$B8),0)+IF('計算A'!EN$117=1,INDEX('計算A'!EO$10:EO$54,$B8),0))*4000,0)-IF(AND('計算A'!EM$117=1,ZK8&gt;0),2000,0)-IF(AND($L8=1,'計算A'!EN$117=1,IM8=0),2000,0))),1000000))</f>
        <v/>
      </c>
      <c r="TQ8">
        <f>IF($B8=0,1000000,IF(INDEX('計算A'!$D$60:$EQ$104,$B8,142)*IM8=1,IF(AND($E8=2,OB8=0),1000000,IF($I8&gt;0,IF(6=$J8,IF(OR(AND(142=$I8+1,OR($K8&lt;&gt;'計算A'!$A$3,'計算A'!$A$4=0)),AND(142=$I8-1,OR(22&lt;&gt;'計算A'!$A$3,'計算A'!$A$4=0))),0,IF(22=$K8,200000,ABS(22-$K8)*100)),100000+ABS(6-$J8)*1000+220)+'計算A'!EO$5*50+IF(AND($E8=1,OB8=0),25,0),IF($F8&gt;0,INDEX('計算A'!EO$110:EO$114,$F8+1)+IF(AND($E8=1,OB8=0),1000,0),MIN(TZ8,20)*400+(IF('計算A'!EN$106=1,1-IL8,0)+IF('計算A'!EO$106=1,1-IN8,0))*150+226+'計算A'!EO$5*100000+IF(AND($E8=1,OB8=0),50000,0))+IF($H8=1,(IF('計算A'!EN$117=1,INDEX('計算A'!EN$10:EN$54,$B8),0)+IF('計算A'!EO$117=1,INDEX('計算A'!EP$10:EP$54,$B8),0))*4000,0)-IF(AND('計算A'!EN$117=1,ZL8&gt;0),2000,0)-IF(AND($L8=1,'計算A'!EO$117=1,IN8=0),2000,0))),1000000))</f>
        <v/>
      </c>
      <c r="TR8">
        <f>IF($B8=0,1000000,IF(INDEX('計算A'!$D$60:$EQ$104,$B8,143)*IN8=1,IF(AND($E8=2,OC8=0),1000000,IF($I8&gt;0,IF(6=$J8,IF(OR(AND(143=$I8+1,OR($K8&lt;&gt;'計算A'!$A$3,'計算A'!$A$4=0)),AND(143=$I8-1,OR(23&lt;&gt;'計算A'!$A$3,'計算A'!$A$4=0))),0,IF(23=$K8,200000,ABS(23-$K8)*100)),100000+ABS(6-$J8)*1000+230)+'計算A'!EP$5*50+IF(AND($E8=1,OC8=0),25,0),IF($F8&gt;0,INDEX('計算A'!EP$110:EP$114,$F8+1)+IF(AND($E8=1,OC8=0),1000,0),MIN(TZ8,20)*400+(IF('計算A'!EO$106=1,1-IM8,0)+IF('計算A'!EP$106=1,1-IO8,0))*150+236+'計算A'!EP$5*100000+IF(AND($E8=1,OC8=0),50000,0))+IF($H8=1,(IF('計算A'!EO$117=1,INDEX('計算A'!EO$10:EO$54,$B8),0)+IF('計算A'!EP$117=1,INDEX('計算A'!EQ$10:EQ$54,$B8),0))*4000,0)-IF(AND('計算A'!EO$117=1,ZM8&gt;0),2000,0)-IF(AND($L8=1,'計算A'!EP$117=1,IO8=0),2000,0))),1000000))</f>
        <v/>
      </c>
      <c r="TS8">
        <f>IF($B8=0,1000000,IF(INDEX('計算A'!$D$60:$EQ$104,$B8,144)*IO8=1,IF(AND($E8=2,OD8=0),1000000,IF($I8&gt;0,IF(6=$J8,IF(OR(AND(144=$I8+1,OR($K8&lt;&gt;'計算A'!$A$3,'計算A'!$A$4=0)),AND(144=$I8-1,OR(24&lt;&gt;'計算A'!$A$3,'計算A'!$A$4=0))),0,IF(24=$K8,200000,ABS(24-$K8)*100)),100000+ABS(6-$J8)*1000+240)+'計算A'!EQ$5*50+IF(AND($E8=1,OD8=0),25,0),IF($F8&gt;0,INDEX('計算A'!EQ$110:EQ$114,$F8+1)+IF(AND($E8=1,OD8=0),1000,0),MIN(TZ8,20)*400+(IF('計算A'!EP$106=1,1-IN8,0))*150+246+'計算A'!EQ$5*100000+IF(AND($E8=1,OD8=0),50000,0))+IF($H8=1,(IF('計算A'!EP$117=1,INDEX('計算A'!EP$10:EP$54,$B8),0))*4000,0)-IF(AND('計算A'!EP$117=1,ZN8&gt;0),2000,0))),1000000))</f>
        <v/>
      </c>
      <c r="TU8">
        <f>TU7+IF($C7&gt;0,IF(INDEX('計算A'!$D$2:$EQ$2,$C7)=1,1,0),0)</f>
        <v/>
      </c>
      <c r="TV8">
        <f>TV7+IF($C7&gt;0,IF(INDEX('計算A'!$D$2:$EQ$2,$C7)=2,1,0),0)</f>
        <v/>
      </c>
      <c r="TW8">
        <f>TW7+IF($C7&gt;0,IF(INDEX('計算A'!$D$2:$EQ$2,$C7)=3,1,0),0)</f>
        <v/>
      </c>
      <c r="TX8">
        <f>TX7+IF($C7&gt;0,IF(INDEX('計算A'!$D$2:$EQ$2,$C7)=4,1,0),0)</f>
        <v/>
      </c>
      <c r="TY8">
        <f>TY7+IF($C7&gt;0,IF(INDEX('計算A'!$D$2:$EQ$2,$C7)=5,1,0),0)</f>
        <v/>
      </c>
      <c r="TZ8">
        <f>TZ7+IF($C7&gt;0,IF(INDEX('計算A'!$D$2:$EQ$2,$C7)=6,1,0),0)</f>
        <v/>
      </c>
      <c r="UB8">
        <f>UB7+IF(AND($C7=1,$L7=1),1,0)</f>
        <v/>
      </c>
      <c r="UC8">
        <f>UC7+IF(AND($C7=2,$L7=1),1,0)</f>
        <v/>
      </c>
      <c r="UD8">
        <f>UD7+IF(AND($C7=3,$L7=1),1,0)</f>
        <v/>
      </c>
      <c r="UE8">
        <f>UE7+IF(AND($C7=4,$L7=1),1,0)</f>
        <v/>
      </c>
      <c r="UF8">
        <f>UF7+IF(AND($C7=5,$L7=1),1,0)</f>
        <v/>
      </c>
      <c r="UG8">
        <f>UG7+IF(AND($C7=6,$L7=1),1,0)</f>
        <v/>
      </c>
      <c r="UH8">
        <f>UH7+IF(AND($C7=7,$L7=1),1,0)</f>
        <v/>
      </c>
      <c r="UI8">
        <f>UI7+IF(AND($C7=8,$L7=1),1,0)</f>
        <v/>
      </c>
      <c r="UJ8">
        <f>UJ7+IF(AND($C7=9,$L7=1),1,0)</f>
        <v/>
      </c>
      <c r="UK8">
        <f>UK7+IF(AND($C7=10,$L7=1),1,0)</f>
        <v/>
      </c>
      <c r="UL8">
        <f>UL7+IF(AND($C7=11,$L7=1),1,0)</f>
        <v/>
      </c>
      <c r="UM8">
        <f>UM7+IF(AND($C7=12,$L7=1),1,0)</f>
        <v/>
      </c>
      <c r="UN8">
        <f>UN7+IF(AND($C7=13,$L7=1),1,0)</f>
        <v/>
      </c>
      <c r="UO8">
        <f>UO7+IF(AND($C7=14,$L7=1),1,0)</f>
        <v/>
      </c>
      <c r="UP8">
        <f>UP7+IF(AND($C7=15,$L7=1),1,0)</f>
        <v/>
      </c>
      <c r="UQ8">
        <f>UQ7+IF(AND($C7=16,$L7=1),1,0)</f>
        <v/>
      </c>
      <c r="UR8">
        <f>UR7+IF(AND($C7=17,$L7=1),1,0)</f>
        <v/>
      </c>
      <c r="US8">
        <f>US7+IF(AND($C7=18,$L7=1),1,0)</f>
        <v/>
      </c>
      <c r="UT8">
        <f>UT7+IF(AND($C7=19,$L7=1),1,0)</f>
        <v/>
      </c>
      <c r="UU8">
        <f>UU7+IF(AND($C7=20,$L7=1),1,0)</f>
        <v/>
      </c>
      <c r="UV8">
        <f>UV7+IF(AND($C7=21,$L7=1),1,0)</f>
        <v/>
      </c>
      <c r="UW8">
        <f>UW7+IF(AND($C7=22,$L7=1),1,0)</f>
        <v/>
      </c>
      <c r="UX8">
        <f>UX7+IF(AND($C7=23,$L7=1),1,0)</f>
        <v/>
      </c>
      <c r="UY8">
        <f>UY7+IF(AND($C7=24,$L7=1),1,0)</f>
        <v/>
      </c>
      <c r="UZ8">
        <f>UZ7+IF(AND($C7=25,$L7=1),1,0)</f>
        <v/>
      </c>
      <c r="VA8">
        <f>VA7+IF(AND($C7=26,$L7=1),1,0)</f>
        <v/>
      </c>
      <c r="VB8">
        <f>VB7+IF(AND($C7=27,$L7=1),1,0)</f>
        <v/>
      </c>
      <c r="VC8">
        <f>VC7+IF(AND($C7=28,$L7=1),1,0)</f>
        <v/>
      </c>
      <c r="VD8">
        <f>VD7+IF(AND($C7=29,$L7=1),1,0)</f>
        <v/>
      </c>
      <c r="VE8">
        <f>VE7+IF(AND($C7=30,$L7=1),1,0)</f>
        <v/>
      </c>
      <c r="VF8">
        <f>VF7+IF(AND($C7=31,$L7=1),1,0)</f>
        <v/>
      </c>
      <c r="VG8">
        <f>VG7+IF(AND($C7=32,$L7=1),1,0)</f>
        <v/>
      </c>
      <c r="VH8">
        <f>VH7+IF(AND($C7=33,$L7=1),1,0)</f>
        <v/>
      </c>
      <c r="VI8">
        <f>VI7+IF(AND($C7=34,$L7=1),1,0)</f>
        <v/>
      </c>
      <c r="VJ8">
        <f>VJ7+IF(AND($C7=35,$L7=1),1,0)</f>
        <v/>
      </c>
      <c r="VK8">
        <f>VK7+IF(AND($C7=36,$L7=1),1,0)</f>
        <v/>
      </c>
      <c r="VL8">
        <f>VL7+IF(AND($C7=37,$L7=1),1,0)</f>
        <v/>
      </c>
      <c r="VM8">
        <f>VM7+IF(AND($C7=38,$L7=1),1,0)</f>
        <v/>
      </c>
      <c r="VN8">
        <f>VN7+IF(AND($C7=39,$L7=1),1,0)</f>
        <v/>
      </c>
      <c r="VO8">
        <f>VO7+IF(AND($C7=40,$L7=1),1,0)</f>
        <v/>
      </c>
      <c r="VP8">
        <f>VP7+IF(AND($C7=41,$L7=1),1,0)</f>
        <v/>
      </c>
      <c r="VQ8">
        <f>VQ7+IF(AND($C7=42,$L7=1),1,0)</f>
        <v/>
      </c>
      <c r="VR8">
        <f>VR7+IF(AND($C7=43,$L7=1),1,0)</f>
        <v/>
      </c>
      <c r="VS8">
        <f>VS7+IF(AND($C7=44,$L7=1),1,0)</f>
        <v/>
      </c>
      <c r="VT8">
        <f>VT7+IF(AND($C7=45,$L7=1),1,0)</f>
        <v/>
      </c>
      <c r="VU8">
        <f>VU7+IF(AND($C7=46,$L7=1),1,0)</f>
        <v/>
      </c>
      <c r="VV8">
        <f>VV7+IF(AND($C7=47,$L7=1),1,0)</f>
        <v/>
      </c>
      <c r="VW8">
        <f>VW7+IF(AND($C7=48,$L7=1),1,0)</f>
        <v/>
      </c>
      <c r="VX8">
        <f>VX7+IF(AND($C7=49,$L7=1),1,0)</f>
        <v/>
      </c>
      <c r="VY8">
        <f>VY7+IF(AND($C7=50,$L7=1),1,0)</f>
        <v/>
      </c>
      <c r="VZ8">
        <f>VZ7+IF(AND($C7=51,$L7=1),1,0)</f>
        <v/>
      </c>
      <c r="WA8">
        <f>WA7+IF(AND($C7=52,$L7=1),1,0)</f>
        <v/>
      </c>
      <c r="WB8">
        <f>WB7+IF(AND($C7=53,$L7=1),1,0)</f>
        <v/>
      </c>
      <c r="WC8">
        <f>WC7+IF(AND($C7=54,$L7=1),1,0)</f>
        <v/>
      </c>
      <c r="WD8">
        <f>WD7+IF(AND($C7=55,$L7=1),1,0)</f>
        <v/>
      </c>
      <c r="WE8">
        <f>WE7+IF(AND($C7=56,$L7=1),1,0)</f>
        <v/>
      </c>
      <c r="WF8">
        <f>WF7+IF(AND($C7=57,$L7=1),1,0)</f>
        <v/>
      </c>
      <c r="WG8">
        <f>WG7+IF(AND($C7=58,$L7=1),1,0)</f>
        <v/>
      </c>
      <c r="WH8">
        <f>WH7+IF(AND($C7=59,$L7=1),1,0)</f>
        <v/>
      </c>
      <c r="WI8">
        <f>WI7+IF(AND($C7=60,$L7=1),1,0)</f>
        <v/>
      </c>
      <c r="WJ8">
        <f>WJ7+IF(AND($C7=61,$L7=1),1,0)</f>
        <v/>
      </c>
      <c r="WK8">
        <f>WK7+IF(AND($C7=62,$L7=1),1,0)</f>
        <v/>
      </c>
      <c r="WL8">
        <f>WL7+IF(AND($C7=63,$L7=1),1,0)</f>
        <v/>
      </c>
      <c r="WM8">
        <f>WM7+IF(AND($C7=64,$L7=1),1,0)</f>
        <v/>
      </c>
      <c r="WN8">
        <f>WN7+IF(AND($C7=65,$L7=1),1,0)</f>
        <v/>
      </c>
      <c r="WO8">
        <f>WO7+IF(AND($C7=66,$L7=1),1,0)</f>
        <v/>
      </c>
      <c r="WP8">
        <f>WP7+IF(AND($C7=67,$L7=1),1,0)</f>
        <v/>
      </c>
      <c r="WQ8">
        <f>WQ7+IF(AND($C7=68,$L7=1),1,0)</f>
        <v/>
      </c>
      <c r="WR8">
        <f>WR7+IF(AND($C7=69,$L7=1),1,0)</f>
        <v/>
      </c>
      <c r="WS8">
        <f>WS7+IF(AND($C7=70,$L7=1),1,0)</f>
        <v/>
      </c>
      <c r="WT8">
        <f>WT7+IF(AND($C7=71,$L7=1),1,0)</f>
        <v/>
      </c>
      <c r="WU8">
        <f>WU7+IF(AND($C7=72,$L7=1),1,0)</f>
        <v/>
      </c>
      <c r="WV8">
        <f>WV7+IF(AND($C7=73,$L7=1),1,0)</f>
        <v/>
      </c>
      <c r="WW8">
        <f>WW7+IF(AND($C7=74,$L7=1),1,0)</f>
        <v/>
      </c>
      <c r="WX8">
        <f>WX7+IF(AND($C7=75,$L7=1),1,0)</f>
        <v/>
      </c>
      <c r="WY8">
        <f>WY7+IF(AND($C7=76,$L7=1),1,0)</f>
        <v/>
      </c>
      <c r="WZ8">
        <f>WZ7+IF(AND($C7=77,$L7=1),1,0)</f>
        <v/>
      </c>
      <c r="XA8">
        <f>XA7+IF(AND($C7=78,$L7=1),1,0)</f>
        <v/>
      </c>
      <c r="XB8">
        <f>XB7+IF(AND($C7=79,$L7=1),1,0)</f>
        <v/>
      </c>
      <c r="XC8">
        <f>XC7+IF(AND($C7=80,$L7=1),1,0)</f>
        <v/>
      </c>
      <c r="XD8">
        <f>XD7+IF(AND($C7=81,$L7=1),1,0)</f>
        <v/>
      </c>
      <c r="XE8">
        <f>XE7+IF(AND($C7=82,$L7=1),1,0)</f>
        <v/>
      </c>
      <c r="XF8">
        <f>XF7+IF(AND($C7=83,$L7=1),1,0)</f>
        <v/>
      </c>
      <c r="XG8">
        <f>XG7+IF(AND($C7=84,$L7=1),1,0)</f>
        <v/>
      </c>
      <c r="XH8">
        <f>XH7+IF(AND($C7=85,$L7=1),1,0)</f>
        <v/>
      </c>
      <c r="XI8">
        <f>XI7+IF(AND($C7=86,$L7=1),1,0)</f>
        <v/>
      </c>
      <c r="XJ8">
        <f>XJ7+IF(AND($C7=87,$L7=1),1,0)</f>
        <v/>
      </c>
      <c r="XK8">
        <f>XK7+IF(AND($C7=88,$L7=1),1,0)</f>
        <v/>
      </c>
      <c r="XL8">
        <f>XL7+IF(AND($C7=89,$L7=1),1,0)</f>
        <v/>
      </c>
      <c r="XM8">
        <f>XM7+IF(AND($C7=90,$L7=1),1,0)</f>
        <v/>
      </c>
      <c r="XN8">
        <f>XN7+IF(AND($C7=91,$L7=1),1,0)</f>
        <v/>
      </c>
      <c r="XO8">
        <f>XO7+IF(AND($C7=92,$L7=1),1,0)</f>
        <v/>
      </c>
      <c r="XP8">
        <f>XP7+IF(AND($C7=93,$L7=1),1,0)</f>
        <v/>
      </c>
      <c r="XQ8">
        <f>XQ7+IF(AND($C7=94,$L7=1),1,0)</f>
        <v/>
      </c>
      <c r="XR8">
        <f>XR7+IF(AND($C7=95,$L7=1),1,0)</f>
        <v/>
      </c>
      <c r="XS8">
        <f>XS7+IF(AND($C7=96,$L7=1),1,0)</f>
        <v/>
      </c>
      <c r="XT8">
        <f>XT7+IF(AND($C7=97,$L7=1),1,0)</f>
        <v/>
      </c>
      <c r="XU8">
        <f>XU7+IF(AND($C7=98,$L7=1),1,0)</f>
        <v/>
      </c>
      <c r="XV8">
        <f>XV7+IF(AND($C7=99,$L7=1),1,0)</f>
        <v/>
      </c>
      <c r="XW8">
        <f>XW7+IF(AND($C7=100,$L7=1),1,0)</f>
        <v/>
      </c>
      <c r="XX8">
        <f>XX7+IF(AND($C7=101,$L7=1),1,0)</f>
        <v/>
      </c>
      <c r="XY8">
        <f>XY7+IF(AND($C7=102,$L7=1),1,0)</f>
        <v/>
      </c>
      <c r="XZ8">
        <f>XZ7+IF(AND($C7=103,$L7=1),1,0)</f>
        <v/>
      </c>
      <c r="YA8">
        <f>YA7+IF(AND($C7=104,$L7=1),1,0)</f>
        <v/>
      </c>
      <c r="YB8">
        <f>YB7+IF(AND($C7=105,$L7=1),1,0)</f>
        <v/>
      </c>
      <c r="YC8">
        <f>YC7+IF(AND($C7=106,$L7=1),1,0)</f>
        <v/>
      </c>
      <c r="YD8">
        <f>YD7+IF(AND($C7=107,$L7=1),1,0)</f>
        <v/>
      </c>
      <c r="YE8">
        <f>YE7+IF(AND($C7=108,$L7=1),1,0)</f>
        <v/>
      </c>
      <c r="YF8">
        <f>YF7+IF(AND($C7=109,$L7=1),1,0)</f>
        <v/>
      </c>
      <c r="YG8">
        <f>YG7+IF(AND($C7=110,$L7=1),1,0)</f>
        <v/>
      </c>
      <c r="YH8">
        <f>YH7+IF(AND($C7=111,$L7=1),1,0)</f>
        <v/>
      </c>
      <c r="YI8">
        <f>YI7+IF(AND($C7=112,$L7=1),1,0)</f>
        <v/>
      </c>
      <c r="YJ8">
        <f>YJ7+IF(AND($C7=113,$L7=1),1,0)</f>
        <v/>
      </c>
      <c r="YK8">
        <f>YK7+IF(AND($C7=114,$L7=1),1,0)</f>
        <v/>
      </c>
      <c r="YL8">
        <f>YL7+IF(AND($C7=115,$L7=1),1,0)</f>
        <v/>
      </c>
      <c r="YM8">
        <f>YM7+IF(AND($C7=116,$L7=1),1,0)</f>
        <v/>
      </c>
      <c r="YN8">
        <f>YN7+IF(AND($C7=117,$L7=1),1,0)</f>
        <v/>
      </c>
      <c r="YO8">
        <f>YO7+IF(AND($C7=118,$L7=1),1,0)</f>
        <v/>
      </c>
      <c r="YP8">
        <f>YP7+IF(AND($C7=119,$L7=1),1,0)</f>
        <v/>
      </c>
      <c r="YQ8">
        <f>YQ7+IF(AND($C7=120,$L7=1),1,0)</f>
        <v/>
      </c>
      <c r="YR8">
        <f>YR7+IF(AND($C7=121,$L7=1),1,0)</f>
        <v/>
      </c>
      <c r="YS8">
        <f>YS7+IF(AND($C7=122,$L7=1),1,0)</f>
        <v/>
      </c>
      <c r="YT8">
        <f>YT7+IF(AND($C7=123,$L7=1),1,0)</f>
        <v/>
      </c>
      <c r="YU8">
        <f>YU7+IF(AND($C7=124,$L7=1),1,0)</f>
        <v/>
      </c>
      <c r="YV8">
        <f>YV7+IF(AND($C7=125,$L7=1),1,0)</f>
        <v/>
      </c>
      <c r="YW8">
        <f>YW7+IF(AND($C7=126,$L7=1),1,0)</f>
        <v/>
      </c>
      <c r="YX8">
        <f>YX7+IF(AND($C7=127,$L7=1),1,0)</f>
        <v/>
      </c>
      <c r="YY8">
        <f>YY7+IF(AND($C7=128,$L7=1),1,0)</f>
        <v/>
      </c>
      <c r="YZ8">
        <f>YZ7+IF(AND($C7=129,$L7=1),1,0)</f>
        <v/>
      </c>
      <c r="ZA8">
        <f>ZA7+IF(AND($C7=130,$L7=1),1,0)</f>
        <v/>
      </c>
      <c r="ZB8">
        <f>ZB7+IF(AND($C7=131,$L7=1),1,0)</f>
        <v/>
      </c>
      <c r="ZC8">
        <f>ZC7+IF(AND($C7=132,$L7=1),1,0)</f>
        <v/>
      </c>
      <c r="ZD8">
        <f>ZD7+IF(AND($C7=133,$L7=1),1,0)</f>
        <v/>
      </c>
      <c r="ZE8">
        <f>ZE7+IF(AND($C7=134,$L7=1),1,0)</f>
        <v/>
      </c>
      <c r="ZF8">
        <f>ZF7+IF(AND($C7=135,$L7=1),1,0)</f>
        <v/>
      </c>
      <c r="ZG8">
        <f>ZG7+IF(AND($C7=136,$L7=1),1,0)</f>
        <v/>
      </c>
      <c r="ZH8">
        <f>ZH7+IF(AND($C7=137,$L7=1),1,0)</f>
        <v/>
      </c>
      <c r="ZI8">
        <f>ZI7+IF(AND($C7=138,$L7=1),1,0)</f>
        <v/>
      </c>
      <c r="ZJ8">
        <f>ZJ7+IF(AND($C7=139,$L7=1),1,0)</f>
        <v/>
      </c>
      <c r="ZK8">
        <f>ZK7+IF(AND($C7=140,$L7=1),1,0)</f>
        <v/>
      </c>
      <c r="ZL8">
        <f>ZL7+IF(AND($C7=141,$L7=1),1,0)</f>
        <v/>
      </c>
      <c r="ZM8">
        <f>ZM7+IF(AND($C7=142,$L7=1),1,0)</f>
        <v/>
      </c>
      <c r="ZN8">
        <f>ZN7+IF(AND($C7=143,$L7=1),1,0)</f>
        <v/>
      </c>
      <c r="ZO8">
        <f>ZO7+IF(AND($C7=144,$L7=1),1,0)</f>
        <v/>
      </c>
    </row>
    <row r="9">
      <c r="A9" t="n">
        <v>7</v>
      </c>
      <c r="B9">
        <f>IF(MIN(BH9:CZ9)&gt;=1000000,0,MATCH(MIN(BH9:CZ9),BH9:CZ9,0))</f>
        <v/>
      </c>
      <c r="C9">
        <f>IF(MIN(OF9:TS9)&gt;=1000000,0,MATCH(MIN(OF9:TS9),OF9:TS9,0))</f>
        <v/>
      </c>
      <c r="D9">
        <f>IF(C9&gt;0,INDEX('計算A'!$D$5:$EQ$5,C9),0)</f>
        <v/>
      </c>
      <c r="E9">
        <f>IF(B9=0,0,INDEX('計算A'!$IQ$10:$IQ$54,B9))</f>
        <v/>
      </c>
      <c r="F9">
        <f>IF(B9=0,0,INDEX('計算A'!$IP$10:$IP$54,B9))</f>
        <v/>
      </c>
      <c r="G9">
        <f>IF(AND(C9&gt;0,E9&gt;0),IF(AND(INDEX('計算A'!$D$106:$EQ$106,C9)=1,INDEX($IQ9:$OD9,C9)=1),C9+1,0),0)</f>
        <v/>
      </c>
      <c r="H9">
        <f>IF(B9=0,0,INDEX('計算A'!$IW$10:$IW$54,B9))</f>
        <v/>
      </c>
      <c r="I9">
        <f>IF(B9=0,0,MAX(0,INDEX('計算A'!$IT$10:$IT$54,B9)))</f>
        <v/>
      </c>
      <c r="J9">
        <f>IF(I9=0,0,INDEX('計算A'!$D$2:$EQ$2,I9))</f>
        <v/>
      </c>
      <c r="K9">
        <f>IF(I9=0,0,INDEX('計算A'!$D$3:$EQ$3,I9))</f>
        <v/>
      </c>
      <c r="L9">
        <f>IF(B9=0,0,INDEX('計算A'!$IX$10:$IX$54,B9))</f>
        <v/>
      </c>
      <c r="N9">
        <f>MAX(N8,IF($B8=1,1,0))</f>
        <v/>
      </c>
      <c r="O9">
        <f>MAX(O8,IF($B8=2,1,0))</f>
        <v/>
      </c>
      <c r="P9">
        <f>MAX(P8,IF($B8=3,1,0))</f>
        <v/>
      </c>
      <c r="Q9">
        <f>MAX(Q8,IF($B8=4,1,0))</f>
        <v/>
      </c>
      <c r="R9">
        <f>MAX(R8,IF($B8=5,1,0))</f>
        <v/>
      </c>
      <c r="S9">
        <f>MAX(S8,IF($B8=6,1,0))</f>
        <v/>
      </c>
      <c r="T9">
        <f>MAX(T8,IF($B8=7,1,0))</f>
        <v/>
      </c>
      <c r="U9">
        <f>MAX(U8,IF($B8=8,1,0))</f>
        <v/>
      </c>
      <c r="V9">
        <f>MAX(V8,IF($B8=9,1,0))</f>
        <v/>
      </c>
      <c r="W9">
        <f>MAX(W8,IF($B8=10,1,0))</f>
        <v/>
      </c>
      <c r="X9">
        <f>MAX(X8,IF($B8=11,1,0))</f>
        <v/>
      </c>
      <c r="Y9">
        <f>MAX(Y8,IF($B8=12,1,0))</f>
        <v/>
      </c>
      <c r="Z9">
        <f>MAX(Z8,IF($B8=13,1,0))</f>
        <v/>
      </c>
      <c r="AA9">
        <f>MAX(AA8,IF($B8=14,1,0))</f>
        <v/>
      </c>
      <c r="AB9">
        <f>MAX(AB8,IF($B8=15,1,0))</f>
        <v/>
      </c>
      <c r="AC9">
        <f>MAX(AC8,IF($B8=16,1,0))</f>
        <v/>
      </c>
      <c r="AD9">
        <f>MAX(AD8,IF($B8=17,1,0))</f>
        <v/>
      </c>
      <c r="AE9">
        <f>MAX(AE8,IF($B8=18,1,0))</f>
        <v/>
      </c>
      <c r="AF9">
        <f>MAX(AF8,IF($B8=19,1,0))</f>
        <v/>
      </c>
      <c r="AG9">
        <f>MAX(AG8,IF($B8=20,1,0))</f>
        <v/>
      </c>
      <c r="AH9">
        <f>MAX(AH8,IF($B8=21,1,0))</f>
        <v/>
      </c>
      <c r="AI9">
        <f>MAX(AI8,IF($B8=22,1,0))</f>
        <v/>
      </c>
      <c r="AJ9">
        <f>MAX(AJ8,IF($B8=23,1,0))</f>
        <v/>
      </c>
      <c r="AK9">
        <f>MAX(AK8,IF($B8=24,1,0))</f>
        <v/>
      </c>
      <c r="AL9">
        <f>MAX(AL8,IF($B8=25,1,0))</f>
        <v/>
      </c>
      <c r="AM9">
        <f>MAX(AM8,IF($B8=26,1,0))</f>
        <v/>
      </c>
      <c r="AN9">
        <f>MAX(AN8,IF($B8=27,1,0))</f>
        <v/>
      </c>
      <c r="AO9">
        <f>MAX(AO8,IF($B8=28,1,0))</f>
        <v/>
      </c>
      <c r="AP9">
        <f>MAX(AP8,IF($B8=29,1,0))</f>
        <v/>
      </c>
      <c r="AQ9">
        <f>MAX(AQ8,IF($B8=30,1,0))</f>
        <v/>
      </c>
      <c r="AR9">
        <f>MAX(AR8,IF($B8=31,1,0))</f>
        <v/>
      </c>
      <c r="AS9">
        <f>MAX(AS8,IF($B8=32,1,0))</f>
        <v/>
      </c>
      <c r="AT9">
        <f>MAX(AT8,IF($B8=33,1,0))</f>
        <v/>
      </c>
      <c r="AU9">
        <f>MAX(AU8,IF($B8=34,1,0))</f>
        <v/>
      </c>
      <c r="AV9">
        <f>MAX(AV8,IF($B8=35,1,0))</f>
        <v/>
      </c>
      <c r="AW9">
        <f>MAX(AW8,IF($B8=36,1,0))</f>
        <v/>
      </c>
      <c r="AX9">
        <f>MAX(AX8,IF($B8=37,1,0))</f>
        <v/>
      </c>
      <c r="AY9">
        <f>MAX(AY8,IF($B8=38,1,0))</f>
        <v/>
      </c>
      <c r="AZ9">
        <f>MAX(AZ8,IF($B8=39,1,0))</f>
        <v/>
      </c>
      <c r="BA9">
        <f>MAX(BA8,IF($B8=40,1,0))</f>
        <v/>
      </c>
      <c r="BB9">
        <f>MAX(BB8,IF($B8=41,1,0))</f>
        <v/>
      </c>
      <c r="BC9">
        <f>MAX(BC8,IF($B8=42,1,0))</f>
        <v/>
      </c>
      <c r="BD9">
        <f>MAX(BD8,IF($B8=43,1,0))</f>
        <v/>
      </c>
      <c r="BE9">
        <f>MAX(BE8,IF($B8=44,1,0))</f>
        <v/>
      </c>
      <c r="BF9">
        <f>MAX(BF8,IF($B8=45,1,0))</f>
        <v/>
      </c>
      <c r="BH9">
        <f>IF(N9=1,1000000,IF('計算A'!$IT$10&gt;0,0,500000)+IF('計算A'!$IQ$10=2,SUMPRODUCT('計算A'!$D$60:$EQ$60,$DB9:$IO9,$IQ9:$OD9),SUMPRODUCT('計算A'!$D$60:$EQ$60,$DB9:$IO9))*1000+1)</f>
        <v/>
      </c>
      <c r="BI9">
        <f>IF(O9=1,1000000,IF('計算A'!$IT$11&gt;0,0,500000)+IF('計算A'!$IQ$11=2,SUMPRODUCT('計算A'!$D$61:$EQ$61,$DB9:$IO9,$IQ9:$OD9),SUMPRODUCT('計算A'!$D$61:$EQ$61,$DB9:$IO9))*1000+2)</f>
        <v/>
      </c>
      <c r="BJ9">
        <f>IF(P9=1,1000000,IF('計算A'!$IT$12&gt;0,0,500000)+IF('計算A'!$IQ$12=2,SUMPRODUCT('計算A'!$D$62:$EQ$62,$DB9:$IO9,$IQ9:$OD9),SUMPRODUCT('計算A'!$D$62:$EQ$62,$DB9:$IO9))*1000+3)</f>
        <v/>
      </c>
      <c r="BK9">
        <f>IF(Q9=1,1000000,IF('計算A'!$IT$13&gt;0,0,500000)+IF('計算A'!$IQ$13=2,SUMPRODUCT('計算A'!$D$63:$EQ$63,$DB9:$IO9,$IQ9:$OD9),SUMPRODUCT('計算A'!$D$63:$EQ$63,$DB9:$IO9))*1000+4)</f>
        <v/>
      </c>
      <c r="BL9">
        <f>IF(R9=1,1000000,IF('計算A'!$IT$14&gt;0,0,500000)+IF('計算A'!$IQ$14=2,SUMPRODUCT('計算A'!$D$64:$EQ$64,$DB9:$IO9,$IQ9:$OD9),SUMPRODUCT('計算A'!$D$64:$EQ$64,$DB9:$IO9))*1000+5)</f>
        <v/>
      </c>
      <c r="BM9">
        <f>IF(S9=1,1000000,IF('計算A'!$IT$15&gt;0,0,500000)+IF('計算A'!$IQ$15=2,SUMPRODUCT('計算A'!$D$65:$EQ$65,$DB9:$IO9,$IQ9:$OD9),SUMPRODUCT('計算A'!$D$65:$EQ$65,$DB9:$IO9))*1000+6)</f>
        <v/>
      </c>
      <c r="BN9">
        <f>IF(T9=1,1000000,IF('計算A'!$IT$16&gt;0,0,500000)+IF('計算A'!$IQ$16=2,SUMPRODUCT('計算A'!$D$66:$EQ$66,$DB9:$IO9,$IQ9:$OD9),SUMPRODUCT('計算A'!$D$66:$EQ$66,$DB9:$IO9))*1000+7)</f>
        <v/>
      </c>
      <c r="BO9">
        <f>IF(U9=1,1000000,IF('計算A'!$IT$17&gt;0,0,500000)+IF('計算A'!$IQ$17=2,SUMPRODUCT('計算A'!$D$67:$EQ$67,$DB9:$IO9,$IQ9:$OD9),SUMPRODUCT('計算A'!$D$67:$EQ$67,$DB9:$IO9))*1000+8)</f>
        <v/>
      </c>
      <c r="BP9">
        <f>IF(V9=1,1000000,IF('計算A'!$IT$18&gt;0,0,500000)+IF('計算A'!$IQ$18=2,SUMPRODUCT('計算A'!$D$68:$EQ$68,$DB9:$IO9,$IQ9:$OD9),SUMPRODUCT('計算A'!$D$68:$EQ$68,$DB9:$IO9))*1000+9)</f>
        <v/>
      </c>
      <c r="BQ9">
        <f>IF(W9=1,1000000,IF('計算A'!$IT$19&gt;0,0,500000)+IF('計算A'!$IQ$19=2,SUMPRODUCT('計算A'!$D$69:$EQ$69,$DB9:$IO9,$IQ9:$OD9),SUMPRODUCT('計算A'!$D$69:$EQ$69,$DB9:$IO9))*1000+10)</f>
        <v/>
      </c>
      <c r="BR9">
        <f>IF(X9=1,1000000,IF('計算A'!$IT$20&gt;0,0,500000)+IF('計算A'!$IQ$20=2,SUMPRODUCT('計算A'!$D$70:$EQ$70,$DB9:$IO9,$IQ9:$OD9),SUMPRODUCT('計算A'!$D$70:$EQ$70,$DB9:$IO9))*1000+11)</f>
        <v/>
      </c>
      <c r="BS9">
        <f>IF(Y9=1,1000000,IF('計算A'!$IT$21&gt;0,0,500000)+IF('計算A'!$IQ$21=2,SUMPRODUCT('計算A'!$D$71:$EQ$71,$DB9:$IO9,$IQ9:$OD9),SUMPRODUCT('計算A'!$D$71:$EQ$71,$DB9:$IO9))*1000+12)</f>
        <v/>
      </c>
      <c r="BT9">
        <f>IF(Z9=1,1000000,IF('計算A'!$IT$22&gt;0,0,500000)+IF('計算A'!$IQ$22=2,SUMPRODUCT('計算A'!$D$72:$EQ$72,$DB9:$IO9,$IQ9:$OD9),SUMPRODUCT('計算A'!$D$72:$EQ$72,$DB9:$IO9))*1000+13)</f>
        <v/>
      </c>
      <c r="BU9">
        <f>IF(AA9=1,1000000,IF('計算A'!$IT$23&gt;0,0,500000)+IF('計算A'!$IQ$23=2,SUMPRODUCT('計算A'!$D$73:$EQ$73,$DB9:$IO9,$IQ9:$OD9),SUMPRODUCT('計算A'!$D$73:$EQ$73,$DB9:$IO9))*1000+14)</f>
        <v/>
      </c>
      <c r="BV9">
        <f>IF(AB9=1,1000000,IF('計算A'!$IT$24&gt;0,0,500000)+IF('計算A'!$IQ$24=2,SUMPRODUCT('計算A'!$D$74:$EQ$74,$DB9:$IO9,$IQ9:$OD9),SUMPRODUCT('計算A'!$D$74:$EQ$74,$DB9:$IO9))*1000+15)</f>
        <v/>
      </c>
      <c r="BW9">
        <f>IF(AC9=1,1000000,IF('計算A'!$IT$25&gt;0,0,500000)+IF('計算A'!$IQ$25=2,SUMPRODUCT('計算A'!$D$75:$EQ$75,$DB9:$IO9,$IQ9:$OD9),SUMPRODUCT('計算A'!$D$75:$EQ$75,$DB9:$IO9))*1000+16)</f>
        <v/>
      </c>
      <c r="BX9">
        <f>IF(AD9=1,1000000,IF('計算A'!$IT$26&gt;0,0,500000)+IF('計算A'!$IQ$26=2,SUMPRODUCT('計算A'!$D$76:$EQ$76,$DB9:$IO9,$IQ9:$OD9),SUMPRODUCT('計算A'!$D$76:$EQ$76,$DB9:$IO9))*1000+17)</f>
        <v/>
      </c>
      <c r="BY9">
        <f>IF(AE9=1,1000000,IF('計算A'!$IT$27&gt;0,0,500000)+IF('計算A'!$IQ$27=2,SUMPRODUCT('計算A'!$D$77:$EQ$77,$DB9:$IO9,$IQ9:$OD9),SUMPRODUCT('計算A'!$D$77:$EQ$77,$DB9:$IO9))*1000+18)</f>
        <v/>
      </c>
      <c r="BZ9">
        <f>IF(AF9=1,1000000,IF('計算A'!$IT$28&gt;0,0,500000)+IF('計算A'!$IQ$28=2,SUMPRODUCT('計算A'!$D$78:$EQ$78,$DB9:$IO9,$IQ9:$OD9),SUMPRODUCT('計算A'!$D$78:$EQ$78,$DB9:$IO9))*1000+19)</f>
        <v/>
      </c>
      <c r="CA9">
        <f>IF(AG9=1,1000000,IF('計算A'!$IT$29&gt;0,0,500000)+IF('計算A'!$IQ$29=2,SUMPRODUCT('計算A'!$D$79:$EQ$79,$DB9:$IO9,$IQ9:$OD9),SUMPRODUCT('計算A'!$D$79:$EQ$79,$DB9:$IO9))*1000+20)</f>
        <v/>
      </c>
      <c r="CB9">
        <f>IF(AH9=1,1000000,IF('計算A'!$IT$30&gt;0,0,500000)+IF('計算A'!$IQ$30=2,SUMPRODUCT('計算A'!$D$80:$EQ$80,$DB9:$IO9,$IQ9:$OD9),SUMPRODUCT('計算A'!$D$80:$EQ$80,$DB9:$IO9))*1000+21)</f>
        <v/>
      </c>
      <c r="CC9">
        <f>IF(AI9=1,1000000,IF('計算A'!$IT$31&gt;0,0,500000)+IF('計算A'!$IQ$31=2,SUMPRODUCT('計算A'!$D$81:$EQ$81,$DB9:$IO9,$IQ9:$OD9),SUMPRODUCT('計算A'!$D$81:$EQ$81,$DB9:$IO9))*1000+22)</f>
        <v/>
      </c>
      <c r="CD9">
        <f>IF(AJ9=1,1000000,IF('計算A'!$IT$32&gt;0,0,500000)+IF('計算A'!$IQ$32=2,SUMPRODUCT('計算A'!$D$82:$EQ$82,$DB9:$IO9,$IQ9:$OD9),SUMPRODUCT('計算A'!$D$82:$EQ$82,$DB9:$IO9))*1000+23)</f>
        <v/>
      </c>
      <c r="CE9">
        <f>IF(AK9=1,1000000,IF('計算A'!$IT$33&gt;0,0,500000)+IF('計算A'!$IQ$33=2,SUMPRODUCT('計算A'!$D$83:$EQ$83,$DB9:$IO9,$IQ9:$OD9),SUMPRODUCT('計算A'!$D$83:$EQ$83,$DB9:$IO9))*1000+24)</f>
        <v/>
      </c>
      <c r="CF9">
        <f>IF(AL9=1,1000000,IF('計算A'!$IT$34&gt;0,0,500000)+IF('計算A'!$IQ$34=2,SUMPRODUCT('計算A'!$D$84:$EQ$84,$DB9:$IO9,$IQ9:$OD9),SUMPRODUCT('計算A'!$D$84:$EQ$84,$DB9:$IO9))*1000+25)</f>
        <v/>
      </c>
      <c r="CG9">
        <f>IF(AM9=1,1000000,IF('計算A'!$IT$35&gt;0,0,500000)+IF('計算A'!$IQ$35=2,SUMPRODUCT('計算A'!$D$85:$EQ$85,$DB9:$IO9,$IQ9:$OD9),SUMPRODUCT('計算A'!$D$85:$EQ$85,$DB9:$IO9))*1000+26)</f>
        <v/>
      </c>
      <c r="CH9">
        <f>IF(AN9=1,1000000,IF('計算A'!$IT$36&gt;0,0,500000)+IF('計算A'!$IQ$36=2,SUMPRODUCT('計算A'!$D$86:$EQ$86,$DB9:$IO9,$IQ9:$OD9),SUMPRODUCT('計算A'!$D$86:$EQ$86,$DB9:$IO9))*1000+27)</f>
        <v/>
      </c>
      <c r="CI9">
        <f>IF(AO9=1,1000000,IF('計算A'!$IT$37&gt;0,0,500000)+IF('計算A'!$IQ$37=2,SUMPRODUCT('計算A'!$D$87:$EQ$87,$DB9:$IO9,$IQ9:$OD9),SUMPRODUCT('計算A'!$D$87:$EQ$87,$DB9:$IO9))*1000+28)</f>
        <v/>
      </c>
      <c r="CJ9">
        <f>IF(AP9=1,1000000,IF('計算A'!$IT$38&gt;0,0,500000)+IF('計算A'!$IQ$38=2,SUMPRODUCT('計算A'!$D$88:$EQ$88,$DB9:$IO9,$IQ9:$OD9),SUMPRODUCT('計算A'!$D$88:$EQ$88,$DB9:$IO9))*1000+29)</f>
        <v/>
      </c>
      <c r="CK9">
        <f>IF(AQ9=1,1000000,IF('計算A'!$IT$39&gt;0,0,500000)+IF('計算A'!$IQ$39=2,SUMPRODUCT('計算A'!$D$89:$EQ$89,$DB9:$IO9,$IQ9:$OD9),SUMPRODUCT('計算A'!$D$89:$EQ$89,$DB9:$IO9))*1000+30)</f>
        <v/>
      </c>
      <c r="CL9">
        <f>IF(AR9=1,1000000,IF('計算A'!$IT$40&gt;0,0,500000)+IF('計算A'!$IQ$40=2,SUMPRODUCT('計算A'!$D$90:$EQ$90,$DB9:$IO9,$IQ9:$OD9),SUMPRODUCT('計算A'!$D$90:$EQ$90,$DB9:$IO9))*1000+31)</f>
        <v/>
      </c>
      <c r="CM9">
        <f>IF(AS9=1,1000000,IF('計算A'!$IT$41&gt;0,0,500000)+IF('計算A'!$IQ$41=2,SUMPRODUCT('計算A'!$D$91:$EQ$91,$DB9:$IO9,$IQ9:$OD9),SUMPRODUCT('計算A'!$D$91:$EQ$91,$DB9:$IO9))*1000+32)</f>
        <v/>
      </c>
      <c r="CN9">
        <f>IF(AT9=1,1000000,IF('計算A'!$IT$42&gt;0,0,500000)+IF('計算A'!$IQ$42=2,SUMPRODUCT('計算A'!$D$92:$EQ$92,$DB9:$IO9,$IQ9:$OD9),SUMPRODUCT('計算A'!$D$92:$EQ$92,$DB9:$IO9))*1000+33)</f>
        <v/>
      </c>
      <c r="CO9">
        <f>IF(AU9=1,1000000,IF('計算A'!$IT$43&gt;0,0,500000)+IF('計算A'!$IQ$43=2,SUMPRODUCT('計算A'!$D$93:$EQ$93,$DB9:$IO9,$IQ9:$OD9),SUMPRODUCT('計算A'!$D$93:$EQ$93,$DB9:$IO9))*1000+34)</f>
        <v/>
      </c>
      <c r="CP9">
        <f>IF(AV9=1,1000000,IF('計算A'!$IT$44&gt;0,0,500000)+IF('計算A'!$IQ$44=2,SUMPRODUCT('計算A'!$D$94:$EQ$94,$DB9:$IO9,$IQ9:$OD9),SUMPRODUCT('計算A'!$D$94:$EQ$94,$DB9:$IO9))*1000+35)</f>
        <v/>
      </c>
      <c r="CQ9">
        <f>IF(AW9=1,1000000,IF('計算A'!$IT$45&gt;0,0,500000)+IF('計算A'!$IQ$45=2,SUMPRODUCT('計算A'!$D$95:$EQ$95,$DB9:$IO9,$IQ9:$OD9),SUMPRODUCT('計算A'!$D$95:$EQ$95,$DB9:$IO9))*1000+36)</f>
        <v/>
      </c>
      <c r="CR9">
        <f>IF(AX9=1,1000000,IF('計算A'!$IT$46&gt;0,0,500000)+IF('計算A'!$IQ$46=2,SUMPRODUCT('計算A'!$D$96:$EQ$96,$DB9:$IO9,$IQ9:$OD9),SUMPRODUCT('計算A'!$D$96:$EQ$96,$DB9:$IO9))*1000+37)</f>
        <v/>
      </c>
      <c r="CS9">
        <f>IF(AY9=1,1000000,IF('計算A'!$IT$47&gt;0,0,500000)+IF('計算A'!$IQ$47=2,SUMPRODUCT('計算A'!$D$97:$EQ$97,$DB9:$IO9,$IQ9:$OD9),SUMPRODUCT('計算A'!$D$97:$EQ$97,$DB9:$IO9))*1000+38)</f>
        <v/>
      </c>
      <c r="CT9">
        <f>IF(AZ9=1,1000000,IF('計算A'!$IT$48&gt;0,0,500000)+IF('計算A'!$IQ$48=2,SUMPRODUCT('計算A'!$D$98:$EQ$98,$DB9:$IO9,$IQ9:$OD9),SUMPRODUCT('計算A'!$D$98:$EQ$98,$DB9:$IO9))*1000+39)</f>
        <v/>
      </c>
      <c r="CU9">
        <f>IF(BA9=1,1000000,IF('計算A'!$IT$49&gt;0,0,500000)+IF('計算A'!$IQ$49=2,SUMPRODUCT('計算A'!$D$99:$EQ$99,$DB9:$IO9,$IQ9:$OD9),SUMPRODUCT('計算A'!$D$99:$EQ$99,$DB9:$IO9))*1000+40)</f>
        <v/>
      </c>
      <c r="CV9">
        <f>IF(BB9=1,1000000,IF('計算A'!$IT$50&gt;0,0,500000)+IF('計算A'!$IQ$50=2,SUMPRODUCT('計算A'!$D$100:$EQ$100,$DB9:$IO9,$IQ9:$OD9),SUMPRODUCT('計算A'!$D$100:$EQ$100,$DB9:$IO9))*1000+41)</f>
        <v/>
      </c>
      <c r="CW9">
        <f>IF(BC9=1,1000000,IF('計算A'!$IT$51&gt;0,0,500000)+IF('計算A'!$IQ$51=2,SUMPRODUCT('計算A'!$D$101:$EQ$101,$DB9:$IO9,$IQ9:$OD9),SUMPRODUCT('計算A'!$D$101:$EQ$101,$DB9:$IO9))*1000+42)</f>
        <v/>
      </c>
      <c r="CX9">
        <f>IF(BD9=1,1000000,IF('計算A'!$IT$52&gt;0,0,500000)+IF('計算A'!$IQ$52=2,SUMPRODUCT('計算A'!$D$102:$EQ$102,$DB9:$IO9,$IQ9:$OD9),SUMPRODUCT('計算A'!$D$102:$EQ$102,$DB9:$IO9))*1000+43)</f>
        <v/>
      </c>
      <c r="CY9">
        <f>IF(BE9=1,1000000,IF('計算A'!$IT$53&gt;0,0,500000)+IF('計算A'!$IQ$53=2,SUMPRODUCT('計算A'!$D$103:$EQ$103,$DB9:$IO9,$IQ9:$OD9),SUMPRODUCT('計算A'!$D$103:$EQ$103,$DB9:$IO9))*1000+44)</f>
        <v/>
      </c>
      <c r="CZ9">
        <f>IF(BF9=1,1000000,IF('計算A'!$IT$54&gt;0,0,500000)+IF('計算A'!$IQ$54=2,SUMPRODUCT('計算A'!$D$104:$EQ$104,$DB9:$IO9,$IQ9:$OD9),SUMPRODUCT('計算A'!$D$104:$EQ$104,$DB9:$IO9))*1000+45)</f>
        <v/>
      </c>
      <c r="DB9">
        <f>DB8*IF(OR($C8=1,$G8=1),0,1)</f>
        <v/>
      </c>
      <c r="DC9">
        <f>DC8*IF(OR($C8=2,$G8=2),0,1)</f>
        <v/>
      </c>
      <c r="DD9">
        <f>DD8*IF(OR($C8=3,$G8=3),0,1)</f>
        <v/>
      </c>
      <c r="DE9">
        <f>DE8*IF(OR($C8=4,$G8=4),0,1)</f>
        <v/>
      </c>
      <c r="DF9">
        <f>DF8*IF(OR($C8=5,$G8=5),0,1)</f>
        <v/>
      </c>
      <c r="DG9">
        <f>DG8*IF(OR($C8=6,$G8=6),0,1)</f>
        <v/>
      </c>
      <c r="DH9">
        <f>DH8*IF(OR($C8=7,$G8=7),0,1)</f>
        <v/>
      </c>
      <c r="DI9">
        <f>DI8*IF(OR($C8=8,$G8=8),0,1)</f>
        <v/>
      </c>
      <c r="DJ9">
        <f>DJ8*IF(OR($C8=9,$G8=9),0,1)</f>
        <v/>
      </c>
      <c r="DK9">
        <f>DK8*IF(OR($C8=10,$G8=10),0,1)</f>
        <v/>
      </c>
      <c r="DL9">
        <f>DL8*IF(OR($C8=11,$G8=11),0,1)</f>
        <v/>
      </c>
      <c r="DM9">
        <f>DM8*IF(OR($C8=12,$G8=12),0,1)</f>
        <v/>
      </c>
      <c r="DN9">
        <f>DN8*IF(OR($C8=13,$G8=13),0,1)</f>
        <v/>
      </c>
      <c r="DO9">
        <f>DO8*IF(OR($C8=14,$G8=14),0,1)</f>
        <v/>
      </c>
      <c r="DP9">
        <f>DP8*IF(OR($C8=15,$G8=15),0,1)</f>
        <v/>
      </c>
      <c r="DQ9">
        <f>DQ8*IF(OR($C8=16,$G8=16),0,1)</f>
        <v/>
      </c>
      <c r="DR9">
        <f>DR8*IF(OR($C8=17,$G8=17),0,1)</f>
        <v/>
      </c>
      <c r="DS9">
        <f>DS8*IF(OR($C8=18,$G8=18),0,1)</f>
        <v/>
      </c>
      <c r="DT9">
        <f>DT8*IF(OR($C8=19,$G8=19),0,1)</f>
        <v/>
      </c>
      <c r="DU9">
        <f>DU8*IF(OR($C8=20,$G8=20),0,1)</f>
        <v/>
      </c>
      <c r="DV9">
        <f>DV8*IF(OR($C8=21,$G8=21),0,1)</f>
        <v/>
      </c>
      <c r="DW9">
        <f>DW8*IF(OR($C8=22,$G8=22),0,1)</f>
        <v/>
      </c>
      <c r="DX9">
        <f>DX8*IF(OR($C8=23,$G8=23),0,1)</f>
        <v/>
      </c>
      <c r="DY9">
        <f>DY8*IF(OR($C8=24,$G8=24),0,1)</f>
        <v/>
      </c>
      <c r="DZ9">
        <f>DZ8*IF(OR($C8=25,$G8=25),0,1)</f>
        <v/>
      </c>
      <c r="EA9">
        <f>EA8*IF(OR($C8=26,$G8=26),0,1)</f>
        <v/>
      </c>
      <c r="EB9">
        <f>EB8*IF(OR($C8=27,$G8=27),0,1)</f>
        <v/>
      </c>
      <c r="EC9">
        <f>EC8*IF(OR($C8=28,$G8=28),0,1)</f>
        <v/>
      </c>
      <c r="ED9">
        <f>ED8*IF(OR($C8=29,$G8=29),0,1)</f>
        <v/>
      </c>
      <c r="EE9">
        <f>EE8*IF(OR($C8=30,$G8=30),0,1)</f>
        <v/>
      </c>
      <c r="EF9">
        <f>EF8*IF(OR($C8=31,$G8=31),0,1)</f>
        <v/>
      </c>
      <c r="EG9">
        <f>EG8*IF(OR($C8=32,$G8=32),0,1)</f>
        <v/>
      </c>
      <c r="EH9">
        <f>EH8*IF(OR($C8=33,$G8=33),0,1)</f>
        <v/>
      </c>
      <c r="EI9">
        <f>EI8*IF(OR($C8=34,$G8=34),0,1)</f>
        <v/>
      </c>
      <c r="EJ9">
        <f>EJ8*IF(OR($C8=35,$G8=35),0,1)</f>
        <v/>
      </c>
      <c r="EK9">
        <f>EK8*IF(OR($C8=36,$G8=36),0,1)</f>
        <v/>
      </c>
      <c r="EL9">
        <f>EL8*IF(OR($C8=37,$G8=37),0,1)</f>
        <v/>
      </c>
      <c r="EM9">
        <f>EM8*IF(OR($C8=38,$G8=38),0,1)</f>
        <v/>
      </c>
      <c r="EN9">
        <f>EN8*IF(OR($C8=39,$G8=39),0,1)</f>
        <v/>
      </c>
      <c r="EO9">
        <f>EO8*IF(OR($C8=40,$G8=40),0,1)</f>
        <v/>
      </c>
      <c r="EP9">
        <f>EP8*IF(OR($C8=41,$G8=41),0,1)</f>
        <v/>
      </c>
      <c r="EQ9">
        <f>EQ8*IF(OR($C8=42,$G8=42),0,1)</f>
        <v/>
      </c>
      <c r="ER9">
        <f>ER8*IF(OR($C8=43,$G8=43),0,1)</f>
        <v/>
      </c>
      <c r="ES9">
        <f>ES8*IF(OR($C8=44,$G8=44),0,1)</f>
        <v/>
      </c>
      <c r="ET9">
        <f>ET8*IF(OR($C8=45,$G8=45),0,1)</f>
        <v/>
      </c>
      <c r="EU9">
        <f>EU8*IF(OR($C8=46,$G8=46),0,1)</f>
        <v/>
      </c>
      <c r="EV9">
        <f>EV8*IF(OR($C8=47,$G8=47),0,1)</f>
        <v/>
      </c>
      <c r="EW9">
        <f>EW8*IF(OR($C8=48,$G8=48),0,1)</f>
        <v/>
      </c>
      <c r="EX9">
        <f>EX8*IF(OR($C8=49,$G8=49),0,1)</f>
        <v/>
      </c>
      <c r="EY9">
        <f>EY8*IF(OR($C8=50,$G8=50),0,1)</f>
        <v/>
      </c>
      <c r="EZ9">
        <f>EZ8*IF(OR($C8=51,$G8=51),0,1)</f>
        <v/>
      </c>
      <c r="FA9">
        <f>FA8*IF(OR($C8=52,$G8=52),0,1)</f>
        <v/>
      </c>
      <c r="FB9">
        <f>FB8*IF(OR($C8=53,$G8=53),0,1)</f>
        <v/>
      </c>
      <c r="FC9">
        <f>FC8*IF(OR($C8=54,$G8=54),0,1)</f>
        <v/>
      </c>
      <c r="FD9">
        <f>FD8*IF(OR($C8=55,$G8=55),0,1)</f>
        <v/>
      </c>
      <c r="FE9">
        <f>FE8*IF(OR($C8=56,$G8=56),0,1)</f>
        <v/>
      </c>
      <c r="FF9">
        <f>FF8*IF(OR($C8=57,$G8=57),0,1)</f>
        <v/>
      </c>
      <c r="FG9">
        <f>FG8*IF(OR($C8=58,$G8=58),0,1)</f>
        <v/>
      </c>
      <c r="FH9">
        <f>FH8*IF(OR($C8=59,$G8=59),0,1)</f>
        <v/>
      </c>
      <c r="FI9">
        <f>FI8*IF(OR($C8=60,$G8=60),0,1)</f>
        <v/>
      </c>
      <c r="FJ9">
        <f>FJ8*IF(OR($C8=61,$G8=61),0,1)</f>
        <v/>
      </c>
      <c r="FK9">
        <f>FK8*IF(OR($C8=62,$G8=62),0,1)</f>
        <v/>
      </c>
      <c r="FL9">
        <f>FL8*IF(OR($C8=63,$G8=63),0,1)</f>
        <v/>
      </c>
      <c r="FM9">
        <f>FM8*IF(OR($C8=64,$G8=64),0,1)</f>
        <v/>
      </c>
      <c r="FN9">
        <f>FN8*IF(OR($C8=65,$G8=65),0,1)</f>
        <v/>
      </c>
      <c r="FO9">
        <f>FO8*IF(OR($C8=66,$G8=66),0,1)</f>
        <v/>
      </c>
      <c r="FP9">
        <f>FP8*IF(OR($C8=67,$G8=67),0,1)</f>
        <v/>
      </c>
      <c r="FQ9">
        <f>FQ8*IF(OR($C8=68,$G8=68),0,1)</f>
        <v/>
      </c>
      <c r="FR9">
        <f>FR8*IF(OR($C8=69,$G8=69),0,1)</f>
        <v/>
      </c>
      <c r="FS9">
        <f>FS8*IF(OR($C8=70,$G8=70),0,1)</f>
        <v/>
      </c>
      <c r="FT9">
        <f>FT8*IF(OR($C8=71,$G8=71),0,1)</f>
        <v/>
      </c>
      <c r="FU9">
        <f>FU8*IF(OR($C8=72,$G8=72),0,1)</f>
        <v/>
      </c>
      <c r="FV9">
        <f>FV8*IF(OR($C8=73,$G8=73),0,1)</f>
        <v/>
      </c>
      <c r="FW9">
        <f>FW8*IF(OR($C8=74,$G8=74),0,1)</f>
        <v/>
      </c>
      <c r="FX9">
        <f>FX8*IF(OR($C8=75,$G8=75),0,1)</f>
        <v/>
      </c>
      <c r="FY9">
        <f>FY8*IF(OR($C8=76,$G8=76),0,1)</f>
        <v/>
      </c>
      <c r="FZ9">
        <f>FZ8*IF(OR($C8=77,$G8=77),0,1)</f>
        <v/>
      </c>
      <c r="GA9">
        <f>GA8*IF(OR($C8=78,$G8=78),0,1)</f>
        <v/>
      </c>
      <c r="GB9">
        <f>GB8*IF(OR($C8=79,$G8=79),0,1)</f>
        <v/>
      </c>
      <c r="GC9">
        <f>GC8*IF(OR($C8=80,$G8=80),0,1)</f>
        <v/>
      </c>
      <c r="GD9">
        <f>GD8*IF(OR($C8=81,$G8=81),0,1)</f>
        <v/>
      </c>
      <c r="GE9">
        <f>GE8*IF(OR($C8=82,$G8=82),0,1)</f>
        <v/>
      </c>
      <c r="GF9">
        <f>GF8*IF(OR($C8=83,$G8=83),0,1)</f>
        <v/>
      </c>
      <c r="GG9">
        <f>GG8*IF(OR($C8=84,$G8=84),0,1)</f>
        <v/>
      </c>
      <c r="GH9">
        <f>GH8*IF(OR($C8=85,$G8=85),0,1)</f>
        <v/>
      </c>
      <c r="GI9">
        <f>GI8*IF(OR($C8=86,$G8=86),0,1)</f>
        <v/>
      </c>
      <c r="GJ9">
        <f>GJ8*IF(OR($C8=87,$G8=87),0,1)</f>
        <v/>
      </c>
      <c r="GK9">
        <f>GK8*IF(OR($C8=88,$G8=88),0,1)</f>
        <v/>
      </c>
      <c r="GL9">
        <f>GL8*IF(OR($C8=89,$G8=89),0,1)</f>
        <v/>
      </c>
      <c r="GM9">
        <f>GM8*IF(OR($C8=90,$G8=90),0,1)</f>
        <v/>
      </c>
      <c r="GN9">
        <f>GN8*IF(OR($C8=91,$G8=91),0,1)</f>
        <v/>
      </c>
      <c r="GO9">
        <f>GO8*IF(OR($C8=92,$G8=92),0,1)</f>
        <v/>
      </c>
      <c r="GP9">
        <f>GP8*IF(OR($C8=93,$G8=93),0,1)</f>
        <v/>
      </c>
      <c r="GQ9">
        <f>GQ8*IF(OR($C8=94,$G8=94),0,1)</f>
        <v/>
      </c>
      <c r="GR9">
        <f>GR8*IF(OR($C8=95,$G8=95),0,1)</f>
        <v/>
      </c>
      <c r="GS9">
        <f>GS8*IF(OR($C8=96,$G8=96),0,1)</f>
        <v/>
      </c>
      <c r="GT9">
        <f>GT8*IF(OR($C8=97,$G8=97),0,1)</f>
        <v/>
      </c>
      <c r="GU9">
        <f>GU8*IF(OR($C8=98,$G8=98),0,1)</f>
        <v/>
      </c>
      <c r="GV9">
        <f>GV8*IF(OR($C8=99,$G8=99),0,1)</f>
        <v/>
      </c>
      <c r="GW9">
        <f>GW8*IF(OR($C8=100,$G8=100),0,1)</f>
        <v/>
      </c>
      <c r="GX9">
        <f>GX8*IF(OR($C8=101,$G8=101),0,1)</f>
        <v/>
      </c>
      <c r="GY9">
        <f>GY8*IF(OR($C8=102,$G8=102),0,1)</f>
        <v/>
      </c>
      <c r="GZ9">
        <f>GZ8*IF(OR($C8=103,$G8=103),0,1)</f>
        <v/>
      </c>
      <c r="HA9">
        <f>HA8*IF(OR($C8=104,$G8=104),0,1)</f>
        <v/>
      </c>
      <c r="HB9">
        <f>HB8*IF(OR($C8=105,$G8=105),0,1)</f>
        <v/>
      </c>
      <c r="HC9">
        <f>HC8*IF(OR($C8=106,$G8=106),0,1)</f>
        <v/>
      </c>
      <c r="HD9">
        <f>HD8*IF(OR($C8=107,$G8=107),0,1)</f>
        <v/>
      </c>
      <c r="HE9">
        <f>HE8*IF(OR($C8=108,$G8=108),0,1)</f>
        <v/>
      </c>
      <c r="HF9">
        <f>HF8*IF(OR($C8=109,$G8=109),0,1)</f>
        <v/>
      </c>
      <c r="HG9">
        <f>HG8*IF(OR($C8=110,$G8=110),0,1)</f>
        <v/>
      </c>
      <c r="HH9">
        <f>HH8*IF(OR($C8=111,$G8=111),0,1)</f>
        <v/>
      </c>
      <c r="HI9">
        <f>HI8*IF(OR($C8=112,$G8=112),0,1)</f>
        <v/>
      </c>
      <c r="HJ9">
        <f>HJ8*IF(OR($C8=113,$G8=113),0,1)</f>
        <v/>
      </c>
      <c r="HK9">
        <f>HK8*IF(OR($C8=114,$G8=114),0,1)</f>
        <v/>
      </c>
      <c r="HL9">
        <f>HL8*IF(OR($C8=115,$G8=115),0,1)</f>
        <v/>
      </c>
      <c r="HM9">
        <f>HM8*IF(OR($C8=116,$G8=116),0,1)</f>
        <v/>
      </c>
      <c r="HN9">
        <f>HN8*IF(OR($C8=117,$G8=117),0,1)</f>
        <v/>
      </c>
      <c r="HO9">
        <f>HO8*IF(OR($C8=118,$G8=118),0,1)</f>
        <v/>
      </c>
      <c r="HP9">
        <f>HP8*IF(OR($C8=119,$G8=119),0,1)</f>
        <v/>
      </c>
      <c r="HQ9">
        <f>HQ8*IF(OR($C8=120,$G8=120),0,1)</f>
        <v/>
      </c>
      <c r="HR9">
        <f>HR8*IF(OR($C8=121,$G8=121),0,1)</f>
        <v/>
      </c>
      <c r="HS9">
        <f>HS8*IF(OR($C8=122,$G8=122),0,1)</f>
        <v/>
      </c>
      <c r="HT9">
        <f>HT8*IF(OR($C8=123,$G8=123),0,1)</f>
        <v/>
      </c>
      <c r="HU9">
        <f>HU8*IF(OR($C8=124,$G8=124),0,1)</f>
        <v/>
      </c>
      <c r="HV9">
        <f>HV8*IF(OR($C8=125,$G8=125),0,1)</f>
        <v/>
      </c>
      <c r="HW9">
        <f>HW8*IF(OR($C8=126,$G8=126),0,1)</f>
        <v/>
      </c>
      <c r="HX9">
        <f>HX8*IF(OR($C8=127,$G8=127),0,1)</f>
        <v/>
      </c>
      <c r="HY9">
        <f>HY8*IF(OR($C8=128,$G8=128),0,1)</f>
        <v/>
      </c>
      <c r="HZ9">
        <f>HZ8*IF(OR($C8=129,$G8=129),0,1)</f>
        <v/>
      </c>
      <c r="IA9">
        <f>IA8*IF(OR($C8=130,$G8=130),0,1)</f>
        <v/>
      </c>
      <c r="IB9">
        <f>IB8*IF(OR($C8=131,$G8=131),0,1)</f>
        <v/>
      </c>
      <c r="IC9">
        <f>IC8*IF(OR($C8=132,$G8=132),0,1)</f>
        <v/>
      </c>
      <c r="ID9">
        <f>ID8*IF(OR($C8=133,$G8=133),0,1)</f>
        <v/>
      </c>
      <c r="IE9">
        <f>IE8*IF(OR($C8=134,$G8=134),0,1)</f>
        <v/>
      </c>
      <c r="IF9">
        <f>IF8*IF(OR($C8=135,$G8=135),0,1)</f>
        <v/>
      </c>
      <c r="IG9">
        <f>IG8*IF(OR($C8=136,$G8=136),0,1)</f>
        <v/>
      </c>
      <c r="IH9">
        <f>IH8*IF(OR($C8=137,$G8=137),0,1)</f>
        <v/>
      </c>
      <c r="II9">
        <f>II8*IF(OR($C8=138,$G8=138),0,1)</f>
        <v/>
      </c>
      <c r="IJ9">
        <f>IJ8*IF(OR($C8=139,$G8=139),0,1)</f>
        <v/>
      </c>
      <c r="IK9">
        <f>IK8*IF(OR($C8=140,$G8=140),0,1)</f>
        <v/>
      </c>
      <c r="IL9">
        <f>IL8*IF(OR($C8=141,$G8=141),0,1)</f>
        <v/>
      </c>
      <c r="IM9">
        <f>IM8*IF(OR($C8=142,$G8=142),0,1)</f>
        <v/>
      </c>
      <c r="IN9">
        <f>IN8*IF(OR($C8=143,$G8=143),0,1)</f>
        <v/>
      </c>
      <c r="IO9">
        <f>IO8*IF(OR($C8=144,$G8=144),0,1)</f>
        <v/>
      </c>
      <c r="IQ9">
        <f>IF('計算A'!D$106=1,DC9,1)</f>
        <v/>
      </c>
      <c r="IR9">
        <f>IF('計算A'!E$106=1,DD9,1)</f>
        <v/>
      </c>
      <c r="IS9">
        <f>IF('計算A'!F$106=1,DE9,1)</f>
        <v/>
      </c>
      <c r="IT9">
        <f>IF('計算A'!G$106=1,DF9,1)</f>
        <v/>
      </c>
      <c r="IU9">
        <f>IF('計算A'!H$106=1,DG9,1)</f>
        <v/>
      </c>
      <c r="IV9">
        <f>IF('計算A'!I$106=1,DH9,1)</f>
        <v/>
      </c>
      <c r="IW9">
        <f>IF('計算A'!J$106=1,DI9,1)</f>
        <v/>
      </c>
      <c r="IX9">
        <f>IF('計算A'!K$106=1,DJ9,1)</f>
        <v/>
      </c>
      <c r="IY9">
        <f>IF('計算A'!L$106=1,DK9,1)</f>
        <v/>
      </c>
      <c r="IZ9">
        <f>IF('計算A'!M$106=1,DL9,1)</f>
        <v/>
      </c>
      <c r="JA9">
        <f>IF('計算A'!N$106=1,DM9,1)</f>
        <v/>
      </c>
      <c r="JB9">
        <f>IF('計算A'!O$106=1,DN9,1)</f>
        <v/>
      </c>
      <c r="JC9">
        <f>IF('計算A'!P$106=1,DO9,1)</f>
        <v/>
      </c>
      <c r="JD9">
        <f>IF('計算A'!Q$106=1,DP9,1)</f>
        <v/>
      </c>
      <c r="JE9">
        <f>IF('計算A'!R$106=1,DQ9,1)</f>
        <v/>
      </c>
      <c r="JF9">
        <f>IF('計算A'!S$106=1,DR9,1)</f>
        <v/>
      </c>
      <c r="JG9">
        <f>IF('計算A'!T$106=1,DS9,1)</f>
        <v/>
      </c>
      <c r="JH9">
        <f>IF('計算A'!U$106=1,DT9,1)</f>
        <v/>
      </c>
      <c r="JI9">
        <f>IF('計算A'!V$106=1,DU9,1)</f>
        <v/>
      </c>
      <c r="JJ9">
        <f>IF('計算A'!W$106=1,DV9,1)</f>
        <v/>
      </c>
      <c r="JK9">
        <f>IF('計算A'!X$106=1,DW9,1)</f>
        <v/>
      </c>
      <c r="JL9">
        <f>IF('計算A'!Y$106=1,DX9,1)</f>
        <v/>
      </c>
      <c r="JM9">
        <f>IF('計算A'!Z$106=1,DY9,1)</f>
        <v/>
      </c>
      <c r="JN9">
        <f>IF('計算A'!AA$106=1,DZ9,1)</f>
        <v/>
      </c>
      <c r="JO9">
        <f>IF('計算A'!AB$106=1,EA9,1)</f>
        <v/>
      </c>
      <c r="JP9">
        <f>IF('計算A'!AC$106=1,EB9,1)</f>
        <v/>
      </c>
      <c r="JQ9">
        <f>IF('計算A'!AD$106=1,EC9,1)</f>
        <v/>
      </c>
      <c r="JR9">
        <f>IF('計算A'!AE$106=1,ED9,1)</f>
        <v/>
      </c>
      <c r="JS9">
        <f>IF('計算A'!AF$106=1,EE9,1)</f>
        <v/>
      </c>
      <c r="JT9">
        <f>IF('計算A'!AG$106=1,EF9,1)</f>
        <v/>
      </c>
      <c r="JU9">
        <f>IF('計算A'!AH$106=1,EG9,1)</f>
        <v/>
      </c>
      <c r="JV9">
        <f>IF('計算A'!AI$106=1,EH9,1)</f>
        <v/>
      </c>
      <c r="JW9">
        <f>IF('計算A'!AJ$106=1,EI9,1)</f>
        <v/>
      </c>
      <c r="JX9">
        <f>IF('計算A'!AK$106=1,EJ9,1)</f>
        <v/>
      </c>
      <c r="JY9">
        <f>IF('計算A'!AL$106=1,EK9,1)</f>
        <v/>
      </c>
      <c r="JZ9">
        <f>IF('計算A'!AM$106=1,EL9,1)</f>
        <v/>
      </c>
      <c r="KA9">
        <f>IF('計算A'!AN$106=1,EM9,1)</f>
        <v/>
      </c>
      <c r="KB9">
        <f>IF('計算A'!AO$106=1,EN9,1)</f>
        <v/>
      </c>
      <c r="KC9">
        <f>IF('計算A'!AP$106=1,EO9,1)</f>
        <v/>
      </c>
      <c r="KD9">
        <f>IF('計算A'!AQ$106=1,EP9,1)</f>
        <v/>
      </c>
      <c r="KE9">
        <f>IF('計算A'!AR$106=1,EQ9,1)</f>
        <v/>
      </c>
      <c r="KF9">
        <f>IF('計算A'!AS$106=1,ER9,1)</f>
        <v/>
      </c>
      <c r="KG9">
        <f>IF('計算A'!AT$106=1,ES9,1)</f>
        <v/>
      </c>
      <c r="KH9">
        <f>IF('計算A'!AU$106=1,ET9,1)</f>
        <v/>
      </c>
      <c r="KI9">
        <f>IF('計算A'!AV$106=1,EU9,1)</f>
        <v/>
      </c>
      <c r="KJ9">
        <f>IF('計算A'!AW$106=1,EV9,1)</f>
        <v/>
      </c>
      <c r="KK9">
        <f>IF('計算A'!AX$106=1,EW9,1)</f>
        <v/>
      </c>
      <c r="KL9">
        <f>IF('計算A'!AY$106=1,EX9,1)</f>
        <v/>
      </c>
      <c r="KM9">
        <f>IF('計算A'!AZ$106=1,EY9,1)</f>
        <v/>
      </c>
      <c r="KN9">
        <f>IF('計算A'!BA$106=1,EZ9,1)</f>
        <v/>
      </c>
      <c r="KO9">
        <f>IF('計算A'!BB$106=1,FA9,1)</f>
        <v/>
      </c>
      <c r="KP9">
        <f>IF('計算A'!BC$106=1,FB9,1)</f>
        <v/>
      </c>
      <c r="KQ9">
        <f>IF('計算A'!BD$106=1,FC9,1)</f>
        <v/>
      </c>
      <c r="KR9">
        <f>IF('計算A'!BE$106=1,FD9,1)</f>
        <v/>
      </c>
      <c r="KS9">
        <f>IF('計算A'!BF$106=1,FE9,1)</f>
        <v/>
      </c>
      <c r="KT9">
        <f>IF('計算A'!BG$106=1,FF9,1)</f>
        <v/>
      </c>
      <c r="KU9">
        <f>IF('計算A'!BH$106=1,FG9,1)</f>
        <v/>
      </c>
      <c r="KV9">
        <f>IF('計算A'!BI$106=1,FH9,1)</f>
        <v/>
      </c>
      <c r="KW9">
        <f>IF('計算A'!BJ$106=1,FI9,1)</f>
        <v/>
      </c>
      <c r="KX9">
        <f>IF('計算A'!BK$106=1,FJ9,1)</f>
        <v/>
      </c>
      <c r="KY9">
        <f>IF('計算A'!BL$106=1,FK9,1)</f>
        <v/>
      </c>
      <c r="KZ9">
        <f>IF('計算A'!BM$106=1,FL9,1)</f>
        <v/>
      </c>
      <c r="LA9">
        <f>IF('計算A'!BN$106=1,FM9,1)</f>
        <v/>
      </c>
      <c r="LB9">
        <f>IF('計算A'!BO$106=1,FN9,1)</f>
        <v/>
      </c>
      <c r="LC9">
        <f>IF('計算A'!BP$106=1,FO9,1)</f>
        <v/>
      </c>
      <c r="LD9">
        <f>IF('計算A'!BQ$106=1,FP9,1)</f>
        <v/>
      </c>
      <c r="LE9">
        <f>IF('計算A'!BR$106=1,FQ9,1)</f>
        <v/>
      </c>
      <c r="LF9">
        <f>IF('計算A'!BS$106=1,FR9,1)</f>
        <v/>
      </c>
      <c r="LG9">
        <f>IF('計算A'!BT$106=1,FS9,1)</f>
        <v/>
      </c>
      <c r="LH9">
        <f>IF('計算A'!BU$106=1,FT9,1)</f>
        <v/>
      </c>
      <c r="LI9">
        <f>IF('計算A'!BV$106=1,FU9,1)</f>
        <v/>
      </c>
      <c r="LJ9">
        <f>IF('計算A'!BW$106=1,FV9,1)</f>
        <v/>
      </c>
      <c r="LK9">
        <f>IF('計算A'!BX$106=1,FW9,1)</f>
        <v/>
      </c>
      <c r="LL9">
        <f>IF('計算A'!BY$106=1,FX9,1)</f>
        <v/>
      </c>
      <c r="LM9">
        <f>IF('計算A'!BZ$106=1,FY9,1)</f>
        <v/>
      </c>
      <c r="LN9">
        <f>IF('計算A'!CA$106=1,FZ9,1)</f>
        <v/>
      </c>
      <c r="LO9">
        <f>IF('計算A'!CB$106=1,GA9,1)</f>
        <v/>
      </c>
      <c r="LP9">
        <f>IF('計算A'!CC$106=1,GB9,1)</f>
        <v/>
      </c>
      <c r="LQ9">
        <f>IF('計算A'!CD$106=1,GC9,1)</f>
        <v/>
      </c>
      <c r="LR9">
        <f>IF('計算A'!CE$106=1,GD9,1)</f>
        <v/>
      </c>
      <c r="LS9">
        <f>IF('計算A'!CF$106=1,GE9,1)</f>
        <v/>
      </c>
      <c r="LT9">
        <f>IF('計算A'!CG$106=1,GF9,1)</f>
        <v/>
      </c>
      <c r="LU9">
        <f>IF('計算A'!CH$106=1,GG9,1)</f>
        <v/>
      </c>
      <c r="LV9">
        <f>IF('計算A'!CI$106=1,GH9,1)</f>
        <v/>
      </c>
      <c r="LW9">
        <f>IF('計算A'!CJ$106=1,GI9,1)</f>
        <v/>
      </c>
      <c r="LX9">
        <f>IF('計算A'!CK$106=1,GJ9,1)</f>
        <v/>
      </c>
      <c r="LY9">
        <f>IF('計算A'!CL$106=1,GK9,1)</f>
        <v/>
      </c>
      <c r="LZ9">
        <f>IF('計算A'!CM$106=1,GL9,1)</f>
        <v/>
      </c>
      <c r="MA9">
        <f>IF('計算A'!CN$106=1,GM9,1)</f>
        <v/>
      </c>
      <c r="MB9">
        <f>IF('計算A'!CO$106=1,GN9,1)</f>
        <v/>
      </c>
      <c r="MC9">
        <f>IF('計算A'!CP$106=1,GO9,1)</f>
        <v/>
      </c>
      <c r="MD9">
        <f>IF('計算A'!CQ$106=1,GP9,1)</f>
        <v/>
      </c>
      <c r="ME9">
        <f>IF('計算A'!CR$106=1,GQ9,1)</f>
        <v/>
      </c>
      <c r="MF9">
        <f>IF('計算A'!CS$106=1,GR9,1)</f>
        <v/>
      </c>
      <c r="MG9">
        <f>IF('計算A'!CT$106=1,GS9,1)</f>
        <v/>
      </c>
      <c r="MH9">
        <f>IF('計算A'!CU$106=1,GT9,1)</f>
        <v/>
      </c>
      <c r="MI9">
        <f>IF('計算A'!CV$106=1,GU9,1)</f>
        <v/>
      </c>
      <c r="MJ9">
        <f>IF('計算A'!CW$106=1,GV9,1)</f>
        <v/>
      </c>
      <c r="MK9">
        <f>IF('計算A'!CX$106=1,GW9,1)</f>
        <v/>
      </c>
      <c r="ML9">
        <f>IF('計算A'!CY$106=1,GX9,1)</f>
        <v/>
      </c>
      <c r="MM9">
        <f>IF('計算A'!CZ$106=1,GY9,1)</f>
        <v/>
      </c>
      <c r="MN9">
        <f>IF('計算A'!DA$106=1,GZ9,1)</f>
        <v/>
      </c>
      <c r="MO9">
        <f>IF('計算A'!DB$106=1,HA9,1)</f>
        <v/>
      </c>
      <c r="MP9">
        <f>IF('計算A'!DC$106=1,HB9,1)</f>
        <v/>
      </c>
      <c r="MQ9">
        <f>IF('計算A'!DD$106=1,HC9,1)</f>
        <v/>
      </c>
      <c r="MR9">
        <f>IF('計算A'!DE$106=1,HD9,1)</f>
        <v/>
      </c>
      <c r="MS9">
        <f>IF('計算A'!DF$106=1,HE9,1)</f>
        <v/>
      </c>
      <c r="MT9">
        <f>IF('計算A'!DG$106=1,HF9,1)</f>
        <v/>
      </c>
      <c r="MU9">
        <f>IF('計算A'!DH$106=1,HG9,1)</f>
        <v/>
      </c>
      <c r="MV9">
        <f>IF('計算A'!DI$106=1,HH9,1)</f>
        <v/>
      </c>
      <c r="MW9">
        <f>IF('計算A'!DJ$106=1,HI9,1)</f>
        <v/>
      </c>
      <c r="MX9">
        <f>IF('計算A'!DK$106=1,HJ9,1)</f>
        <v/>
      </c>
      <c r="MY9">
        <f>IF('計算A'!DL$106=1,HK9,1)</f>
        <v/>
      </c>
      <c r="MZ9">
        <f>IF('計算A'!DM$106=1,HL9,1)</f>
        <v/>
      </c>
      <c r="NA9">
        <f>IF('計算A'!DN$106=1,HM9,1)</f>
        <v/>
      </c>
      <c r="NB9">
        <f>IF('計算A'!DO$106=1,HN9,1)</f>
        <v/>
      </c>
      <c r="NC9">
        <f>IF('計算A'!DP$106=1,HO9,1)</f>
        <v/>
      </c>
      <c r="ND9">
        <f>IF('計算A'!DQ$106=1,HP9,1)</f>
        <v/>
      </c>
      <c r="NE9">
        <f>IF('計算A'!DR$106=1,HQ9,1)</f>
        <v/>
      </c>
      <c r="NF9">
        <f>IF('計算A'!DS$106=1,HR9,1)</f>
        <v/>
      </c>
      <c r="NG9">
        <f>IF('計算A'!DT$106=1,HS9,1)</f>
        <v/>
      </c>
      <c r="NH9">
        <f>IF('計算A'!DU$106=1,HT9,1)</f>
        <v/>
      </c>
      <c r="NI9">
        <f>IF('計算A'!DV$106=1,HU9,1)</f>
        <v/>
      </c>
      <c r="NJ9">
        <f>IF('計算A'!DW$106=1,HV9,1)</f>
        <v/>
      </c>
      <c r="NK9">
        <f>IF('計算A'!DX$106=1,HW9,1)</f>
        <v/>
      </c>
      <c r="NL9">
        <f>IF('計算A'!DY$106=1,HX9,1)</f>
        <v/>
      </c>
      <c r="NM9">
        <f>IF('計算A'!DZ$106=1,HY9,1)</f>
        <v/>
      </c>
      <c r="NN9">
        <f>IF('計算A'!EA$106=1,HZ9,1)</f>
        <v/>
      </c>
      <c r="NO9">
        <f>IF('計算A'!EB$106=1,IA9,1)</f>
        <v/>
      </c>
      <c r="NP9">
        <f>IF('計算A'!EC$106=1,IB9,1)</f>
        <v/>
      </c>
      <c r="NQ9">
        <f>IF('計算A'!ED$106=1,IC9,1)</f>
        <v/>
      </c>
      <c r="NR9">
        <f>IF('計算A'!EE$106=1,ID9,1)</f>
        <v/>
      </c>
      <c r="NS9">
        <f>IF('計算A'!EF$106=1,IE9,1)</f>
        <v/>
      </c>
      <c r="NT9">
        <f>IF('計算A'!EG$106=1,IF9,1)</f>
        <v/>
      </c>
      <c r="NU9">
        <f>IF('計算A'!EH$106=1,IG9,1)</f>
        <v/>
      </c>
      <c r="NV9">
        <f>IF('計算A'!EI$106=1,IH9,1)</f>
        <v/>
      </c>
      <c r="NW9">
        <f>IF('計算A'!EJ$106=1,II9,1)</f>
        <v/>
      </c>
      <c r="NX9">
        <f>IF('計算A'!EK$106=1,IJ9,1)</f>
        <v/>
      </c>
      <c r="NY9">
        <f>IF('計算A'!EL$106=1,IK9,1)</f>
        <v/>
      </c>
      <c r="NZ9">
        <f>IF('計算A'!EM$106=1,IL9,1)</f>
        <v/>
      </c>
      <c r="OA9">
        <f>IF('計算A'!EN$106=1,IM9,1)</f>
        <v/>
      </c>
      <c r="OB9">
        <f>IF('計算A'!EO$106=1,IN9,1)</f>
        <v/>
      </c>
      <c r="OC9">
        <f>IF('計算A'!EP$106=1,IO9,1)</f>
        <v/>
      </c>
      <c r="OD9" t="n">
        <v>1</v>
      </c>
      <c r="OF9">
        <f>IF($B9=0,1000000,IF(INDEX('計算A'!$D$60:$EQ$104,$B9,1)*DB9=1,IF(AND($E9=2,IQ9=0),1000000,IF($I9&gt;0,IF(1=$J9,IF(OR(AND(1=$I9+1,OR($K9&lt;&gt;'計算A'!$A$3,'計算A'!$A$4=0)),AND(1=$I9-1,OR(1&lt;&gt;'計算A'!$A$3,'計算A'!$A$4=0))),0,IF(1=$K9,200000,ABS(1-$K9)*100)),100000+ABS(1-$J9)*1000+10)+'計算A'!D$5*50+IF(AND($E9=1,IQ9=0),25,0),IF($F9&gt;0,INDEX('計算A'!D$110:D$114,$F9+1)+IF(AND($E9=1,IQ9=0),1000,0),MIN(TU9,20)*400+(IF('計算A'!D$106=1,1-DC9,0))*150+11+'計算A'!D$5*100000+IF(AND($E9=1,IQ9=0),50000,0))+IF($H9=1,(IF('計算A'!D$117=1,INDEX('計算A'!E$10:E$54,$B9),0))*4000,0)-IF(AND($L9=1,'計算A'!D$117=1,DC9=0),2000,0))),1000000))</f>
        <v/>
      </c>
      <c r="OG9">
        <f>IF($B9=0,1000000,IF(INDEX('計算A'!$D$60:$EQ$104,$B9,2)*DC9=1,IF(AND($E9=2,IR9=0),1000000,IF($I9&gt;0,IF(1=$J9,IF(OR(AND(2=$I9+1,OR($K9&lt;&gt;'計算A'!$A$3,'計算A'!$A$4=0)),AND(2=$I9-1,OR(2&lt;&gt;'計算A'!$A$3,'計算A'!$A$4=0))),0,IF(2=$K9,200000,ABS(2-$K9)*100)),100000+ABS(1-$J9)*1000+20)+'計算A'!E$5*50+IF(AND($E9=1,IR9=0),25,0),IF($F9&gt;0,INDEX('計算A'!E$110:E$114,$F9+1)+IF(AND($E9=1,IR9=0),1000,0),MIN(TU9,20)*400+(IF('計算A'!D$106=1,1-DB9,0)+IF('計算A'!E$106=1,1-DD9,0))*150+21+'計算A'!E$5*100000+IF(AND($E9=1,IR9=0),50000,0))+IF($H9=1,(IF('計算A'!D$117=1,INDEX('計算A'!D$10:D$54,$B9),0)+IF('計算A'!E$117=1,INDEX('計算A'!F$10:F$54,$B9),0))*4000,0)-IF(AND('計算A'!D$117=1,UB9&gt;0),2000,0)-IF(AND($L9=1,'計算A'!E$117=1,DD9=0),2000,0))),1000000))</f>
        <v/>
      </c>
      <c r="OH9">
        <f>IF($B9=0,1000000,IF(INDEX('計算A'!$D$60:$EQ$104,$B9,3)*DD9=1,IF(AND($E9=2,IS9=0),1000000,IF($I9&gt;0,IF(1=$J9,IF(OR(AND(3=$I9+1,OR($K9&lt;&gt;'計算A'!$A$3,'計算A'!$A$4=0)),AND(3=$I9-1,OR(3&lt;&gt;'計算A'!$A$3,'計算A'!$A$4=0))),0,IF(3=$K9,200000,ABS(3-$K9)*100)),100000+ABS(1-$J9)*1000+30)+'計算A'!F$5*50+IF(AND($E9=1,IS9=0),25,0),IF($F9&gt;0,INDEX('計算A'!F$110:F$114,$F9+1)+IF(AND($E9=1,IS9=0),1000,0),MIN(TU9,20)*400+(IF('計算A'!E$106=1,1-DC9,0)+IF('計算A'!F$106=1,1-DE9,0))*150+31+'計算A'!F$5*100000+IF(AND($E9=1,IS9=0),50000,0))+IF($H9=1,(IF('計算A'!E$117=1,INDEX('計算A'!E$10:E$54,$B9),0)+IF('計算A'!F$117=1,INDEX('計算A'!G$10:G$54,$B9),0))*4000,0)-IF(AND('計算A'!E$117=1,UC9&gt;0),2000,0)-IF(AND($L9=1,'計算A'!F$117=1,DE9=0),2000,0))),1000000))</f>
        <v/>
      </c>
      <c r="OI9">
        <f>IF($B9=0,1000000,IF(INDEX('計算A'!$D$60:$EQ$104,$B9,4)*DE9=1,IF(AND($E9=2,IT9=0),1000000,IF($I9&gt;0,IF(1=$J9,IF(OR(AND(4=$I9+1,OR($K9&lt;&gt;'計算A'!$A$3,'計算A'!$A$4=0)),AND(4=$I9-1,OR(4&lt;&gt;'計算A'!$A$3,'計算A'!$A$4=0))),0,IF(4=$K9,200000,ABS(4-$K9)*100)),100000+ABS(1-$J9)*1000+40)+'計算A'!G$5*50+IF(AND($E9=1,IT9=0),25,0),IF($F9&gt;0,INDEX('計算A'!G$110:G$114,$F9+1)+IF(AND($E9=1,IT9=0),1000,0),MIN(TU9,20)*400+(IF('計算A'!F$106=1,1-DD9,0)+IF('計算A'!G$106=1,1-DF9,0))*150+41+'計算A'!G$5*100000+IF(AND($E9=1,IT9=0),50000,0))+IF($H9=1,(IF('計算A'!F$117=1,INDEX('計算A'!F$10:F$54,$B9),0)+IF('計算A'!G$117=1,INDEX('計算A'!H$10:H$54,$B9),0))*4000,0)-IF(AND('計算A'!F$117=1,UD9&gt;0),2000,0)-IF(AND($L9=1,'計算A'!G$117=1,DF9=0),2000,0))),1000000))</f>
        <v/>
      </c>
      <c r="OJ9">
        <f>IF($B9=0,1000000,IF(INDEX('計算A'!$D$60:$EQ$104,$B9,5)*DF9=1,IF(AND($E9=2,IU9=0),1000000,IF($I9&gt;0,IF(1=$J9,IF(OR(AND(5=$I9+1,OR($K9&lt;&gt;'計算A'!$A$3,'計算A'!$A$4=0)),AND(5=$I9-1,OR(5&lt;&gt;'計算A'!$A$3,'計算A'!$A$4=0))),0,IF(5=$K9,200000,ABS(5-$K9)*100)),100000+ABS(1-$J9)*1000+50)+'計算A'!H$5*50+IF(AND($E9=1,IU9=0),25,0),IF($F9&gt;0,INDEX('計算A'!H$110:H$114,$F9+1)+IF(AND($E9=1,IU9=0),1000,0),MIN(TU9,20)*400+(IF('計算A'!G$106=1,1-DE9,0)+IF('計算A'!H$106=1,1-DG9,0))*150+51+'計算A'!H$5*100000+IF(AND($E9=1,IU9=0),50000,0))+IF($H9=1,(IF('計算A'!G$117=1,INDEX('計算A'!G$10:G$54,$B9),0)+IF('計算A'!H$117=1,INDEX('計算A'!I$10:I$54,$B9),0))*4000,0)-IF(AND('計算A'!G$117=1,UE9&gt;0),2000,0)-IF(AND($L9=1,'計算A'!H$117=1,DG9=0),2000,0))),1000000))</f>
        <v/>
      </c>
      <c r="OK9">
        <f>IF($B9=0,1000000,IF(INDEX('計算A'!$D$60:$EQ$104,$B9,6)*DG9=1,IF(AND($E9=2,IV9=0),1000000,IF($I9&gt;0,IF(1=$J9,IF(OR(AND(6=$I9+1,OR($K9&lt;&gt;'計算A'!$A$3,'計算A'!$A$4=0)),AND(6=$I9-1,OR(6&lt;&gt;'計算A'!$A$3,'計算A'!$A$4=0))),0,IF(6=$K9,200000,ABS(6-$K9)*100)),100000+ABS(1-$J9)*1000+60)+'計算A'!I$5*50+IF(AND($E9=1,IV9=0),25,0),IF($F9&gt;0,INDEX('計算A'!I$110:I$114,$F9+1)+IF(AND($E9=1,IV9=0),1000,0),MIN(TU9,20)*400+(IF('計算A'!H$106=1,1-DF9,0)+IF('計算A'!I$106=1,1-DH9,0))*150+61+'計算A'!I$5*100000+IF(AND($E9=1,IV9=0),50000,0))+IF($H9=1,(IF('計算A'!H$117=1,INDEX('計算A'!H$10:H$54,$B9),0)+IF('計算A'!I$117=1,INDEX('計算A'!J$10:J$54,$B9),0))*4000,0)-IF(AND('計算A'!H$117=1,UF9&gt;0),2000,0)-IF(AND($L9=1,'計算A'!I$117=1,DH9=0),2000,0))),1000000))</f>
        <v/>
      </c>
      <c r="OL9">
        <f>IF($B9=0,1000000,IF(INDEX('計算A'!$D$60:$EQ$104,$B9,7)*DH9=1,IF(AND($E9=2,IW9=0),1000000,IF($I9&gt;0,IF(1=$J9,IF(OR(AND(7=$I9+1,OR($K9&lt;&gt;'計算A'!$A$3,'計算A'!$A$4=0)),AND(7=$I9-1,OR(7&lt;&gt;'計算A'!$A$3,'計算A'!$A$4=0))),0,IF(7=$K9,200000,ABS(7-$K9)*100)),100000+ABS(1-$J9)*1000+70)+'計算A'!J$5*50+IF(AND($E9=1,IW9=0),25,0),IF($F9&gt;0,INDEX('計算A'!J$110:J$114,$F9+1)+IF(AND($E9=1,IW9=0),1000,0),MIN(TU9,20)*400+(IF('計算A'!I$106=1,1-DG9,0)+IF('計算A'!J$106=1,1-DI9,0))*150+71+'計算A'!J$5*100000+IF(AND($E9=1,IW9=0),50000,0))+IF($H9=1,(IF('計算A'!I$117=1,INDEX('計算A'!I$10:I$54,$B9),0)+IF('計算A'!J$117=1,INDEX('計算A'!K$10:K$54,$B9),0))*4000,0)-IF(AND('計算A'!I$117=1,UG9&gt;0),2000,0)-IF(AND($L9=1,'計算A'!J$117=1,DI9=0),2000,0))),1000000))</f>
        <v/>
      </c>
      <c r="OM9">
        <f>IF($B9=0,1000000,IF(INDEX('計算A'!$D$60:$EQ$104,$B9,8)*DI9=1,IF(AND($E9=2,IX9=0),1000000,IF($I9&gt;0,IF(1=$J9,IF(OR(AND(8=$I9+1,OR($K9&lt;&gt;'計算A'!$A$3,'計算A'!$A$4=0)),AND(8=$I9-1,OR(8&lt;&gt;'計算A'!$A$3,'計算A'!$A$4=0))),0,IF(8=$K9,200000,ABS(8-$K9)*100)),100000+ABS(1-$J9)*1000+80)+'計算A'!K$5*50+IF(AND($E9=1,IX9=0),25,0),IF($F9&gt;0,INDEX('計算A'!K$110:K$114,$F9+1)+IF(AND($E9=1,IX9=0),1000,0),MIN(TU9,20)*400+(IF('計算A'!J$106=1,1-DH9,0)+IF('計算A'!K$106=1,1-DJ9,0))*150+81+'計算A'!K$5*100000+IF(AND($E9=1,IX9=0),50000,0))+IF($H9=1,(IF('計算A'!J$117=1,INDEX('計算A'!J$10:J$54,$B9),0)+IF('計算A'!K$117=1,INDEX('計算A'!L$10:L$54,$B9),0))*4000,0)-IF(AND('計算A'!J$117=1,UH9&gt;0),2000,0)-IF(AND($L9=1,'計算A'!K$117=1,DJ9=0),2000,0))),1000000))</f>
        <v/>
      </c>
      <c r="ON9">
        <f>IF($B9=0,1000000,IF(INDEX('計算A'!$D$60:$EQ$104,$B9,9)*DJ9=1,IF(AND($E9=2,IY9=0),1000000,IF($I9&gt;0,IF(1=$J9,IF(OR(AND(9=$I9+1,OR($K9&lt;&gt;'計算A'!$A$3,'計算A'!$A$4=0)),AND(9=$I9-1,OR(9&lt;&gt;'計算A'!$A$3,'計算A'!$A$4=0))),0,IF(9=$K9,200000,ABS(9-$K9)*100)),100000+ABS(1-$J9)*1000+90)+'計算A'!L$5*50+IF(AND($E9=1,IY9=0),25,0),IF($F9&gt;0,INDEX('計算A'!L$110:L$114,$F9+1)+IF(AND($E9=1,IY9=0),1000,0),MIN(TU9,20)*400+(IF('計算A'!K$106=1,1-DI9,0)+IF('計算A'!L$106=1,1-DK9,0))*150+91+'計算A'!L$5*100000+IF(AND($E9=1,IY9=0),50000,0))+IF($H9=1,(IF('計算A'!K$117=1,INDEX('計算A'!K$10:K$54,$B9),0)+IF('計算A'!L$117=1,INDEX('計算A'!M$10:M$54,$B9),0))*4000,0)-IF(AND('計算A'!K$117=1,UI9&gt;0),2000,0)-IF(AND($L9=1,'計算A'!L$117=1,DK9=0),2000,0))),1000000))</f>
        <v/>
      </c>
      <c r="OO9">
        <f>IF($B9=0,1000000,IF(INDEX('計算A'!$D$60:$EQ$104,$B9,10)*DK9=1,IF(AND($E9=2,IZ9=0),1000000,IF($I9&gt;0,IF(1=$J9,IF(OR(AND(10=$I9+1,OR($K9&lt;&gt;'計算A'!$A$3,'計算A'!$A$4=0)),AND(10=$I9-1,OR(10&lt;&gt;'計算A'!$A$3,'計算A'!$A$4=0))),0,IF(10=$K9,200000,ABS(10-$K9)*100)),100000+ABS(1-$J9)*1000+100)+'計算A'!M$5*50+IF(AND($E9=1,IZ9=0),25,0),IF($F9&gt;0,INDEX('計算A'!M$110:M$114,$F9+1)+IF(AND($E9=1,IZ9=0),1000,0),MIN(TU9,20)*400+(IF('計算A'!L$106=1,1-DJ9,0)+IF('計算A'!M$106=1,1-DL9,0))*150+101+'計算A'!M$5*100000+IF(AND($E9=1,IZ9=0),50000,0))+IF($H9=1,(IF('計算A'!L$117=1,INDEX('計算A'!L$10:L$54,$B9),0)+IF('計算A'!M$117=1,INDEX('計算A'!N$10:N$54,$B9),0))*4000,0)-IF(AND('計算A'!L$117=1,UJ9&gt;0),2000,0)-IF(AND($L9=1,'計算A'!M$117=1,DL9=0),2000,0))),1000000))</f>
        <v/>
      </c>
      <c r="OP9">
        <f>IF($B9=0,1000000,IF(INDEX('計算A'!$D$60:$EQ$104,$B9,11)*DL9=1,IF(AND($E9=2,JA9=0),1000000,IF($I9&gt;0,IF(1=$J9,IF(OR(AND(11=$I9+1,OR($K9&lt;&gt;'計算A'!$A$3,'計算A'!$A$4=0)),AND(11=$I9-1,OR(11&lt;&gt;'計算A'!$A$3,'計算A'!$A$4=0))),0,IF(11=$K9,200000,ABS(11-$K9)*100)),100000+ABS(1-$J9)*1000+110)+'計算A'!N$5*50+IF(AND($E9=1,JA9=0),25,0),IF($F9&gt;0,INDEX('計算A'!N$110:N$114,$F9+1)+IF(AND($E9=1,JA9=0),1000,0),MIN(TU9,20)*400+(IF('計算A'!M$106=1,1-DK9,0)+IF('計算A'!N$106=1,1-DM9,0))*150+111+'計算A'!N$5*100000+IF(AND($E9=1,JA9=0),50000,0))+IF($H9=1,(IF('計算A'!M$117=1,INDEX('計算A'!M$10:M$54,$B9),0)+IF('計算A'!N$117=1,INDEX('計算A'!O$10:O$54,$B9),0))*4000,0)-IF(AND('計算A'!M$117=1,UK9&gt;0),2000,0)-IF(AND($L9=1,'計算A'!N$117=1,DM9=0),2000,0))),1000000))</f>
        <v/>
      </c>
      <c r="OQ9">
        <f>IF($B9=0,1000000,IF(INDEX('計算A'!$D$60:$EQ$104,$B9,12)*DM9=1,IF(AND($E9=2,JB9=0),1000000,IF($I9&gt;0,IF(1=$J9,IF(OR(AND(12=$I9+1,OR($K9&lt;&gt;'計算A'!$A$3,'計算A'!$A$4=0)),AND(12=$I9-1,OR(12&lt;&gt;'計算A'!$A$3,'計算A'!$A$4=0))),0,IF(12=$K9,200000,ABS(12-$K9)*100)),100000+ABS(1-$J9)*1000+120)+'計算A'!O$5*50+IF(AND($E9=1,JB9=0),25,0),IF($F9&gt;0,INDEX('計算A'!O$110:O$114,$F9+1)+IF(AND($E9=1,JB9=0),1000,0),MIN(TU9,20)*400+(IF('計算A'!N$106=1,1-DL9,0)+IF('計算A'!O$106=1,1-DN9,0))*150+121+'計算A'!O$5*100000+IF(AND($E9=1,JB9=0),50000,0))+IF($H9=1,(IF('計算A'!N$117=1,INDEX('計算A'!N$10:N$54,$B9),0)+IF('計算A'!O$117=1,INDEX('計算A'!P$10:P$54,$B9),0))*4000,0)-IF(AND('計算A'!N$117=1,UL9&gt;0),2000,0)-IF(AND($L9=1,'計算A'!O$117=1,DN9=0),2000,0))),1000000))</f>
        <v/>
      </c>
      <c r="OR9">
        <f>IF($B9=0,1000000,IF(INDEX('計算A'!$D$60:$EQ$104,$B9,13)*DN9=1,IF(AND($E9=2,JC9=0),1000000,IF($I9&gt;0,IF(1=$J9,IF(OR(AND(13=$I9+1,OR($K9&lt;&gt;'計算A'!$A$3,'計算A'!$A$4=0)),AND(13=$I9-1,OR(13&lt;&gt;'計算A'!$A$3,'計算A'!$A$4=0))),0,IF(13=$K9,200000,ABS(13-$K9)*100)),100000+ABS(1-$J9)*1000+130)+'計算A'!P$5*50+IF(AND($E9=1,JC9=0),25,0),IF($F9&gt;0,INDEX('計算A'!P$110:P$114,$F9+1)+IF(AND($E9=1,JC9=0),1000,0),MIN(TU9,20)*400+(IF('計算A'!O$106=1,1-DM9,0)+IF('計算A'!P$106=1,1-DO9,0))*150+131+'計算A'!P$5*100000+IF(AND($E9=1,JC9=0),50000,0))+IF($H9=1,(IF('計算A'!O$117=1,INDEX('計算A'!O$10:O$54,$B9),0)+IF('計算A'!P$117=1,INDEX('計算A'!Q$10:Q$54,$B9),0))*4000,0)-IF(AND('計算A'!O$117=1,UM9&gt;0),2000,0)-IF(AND($L9=1,'計算A'!P$117=1,DO9=0),2000,0))),1000000))</f>
        <v/>
      </c>
      <c r="OS9">
        <f>IF($B9=0,1000000,IF(INDEX('計算A'!$D$60:$EQ$104,$B9,14)*DO9=1,IF(AND($E9=2,JD9=0),1000000,IF($I9&gt;0,IF(1=$J9,IF(OR(AND(14=$I9+1,OR($K9&lt;&gt;'計算A'!$A$3,'計算A'!$A$4=0)),AND(14=$I9-1,OR(14&lt;&gt;'計算A'!$A$3,'計算A'!$A$4=0))),0,IF(14=$K9,200000,ABS(14-$K9)*100)),100000+ABS(1-$J9)*1000+140)+'計算A'!Q$5*50+IF(AND($E9=1,JD9=0),25,0),IF($F9&gt;0,INDEX('計算A'!Q$110:Q$114,$F9+1)+IF(AND($E9=1,JD9=0),1000,0),MIN(TU9,20)*400+(IF('計算A'!P$106=1,1-DN9,0)+IF('計算A'!Q$106=1,1-DP9,0))*150+141+'計算A'!Q$5*100000+IF(AND($E9=1,JD9=0),50000,0))+IF($H9=1,(IF('計算A'!P$117=1,INDEX('計算A'!P$10:P$54,$B9),0)+IF('計算A'!Q$117=1,INDEX('計算A'!R$10:R$54,$B9),0))*4000,0)-IF(AND('計算A'!P$117=1,UN9&gt;0),2000,0)-IF(AND($L9=1,'計算A'!Q$117=1,DP9=0),2000,0))),1000000))</f>
        <v/>
      </c>
      <c r="OT9">
        <f>IF($B9=0,1000000,IF(INDEX('計算A'!$D$60:$EQ$104,$B9,15)*DP9=1,IF(AND($E9=2,JE9=0),1000000,IF($I9&gt;0,IF(1=$J9,IF(OR(AND(15=$I9+1,OR($K9&lt;&gt;'計算A'!$A$3,'計算A'!$A$4=0)),AND(15=$I9-1,OR(15&lt;&gt;'計算A'!$A$3,'計算A'!$A$4=0))),0,IF(15=$K9,200000,ABS(15-$K9)*100)),100000+ABS(1-$J9)*1000+150)+'計算A'!R$5*50+IF(AND($E9=1,JE9=0),25,0),IF($F9&gt;0,INDEX('計算A'!R$110:R$114,$F9+1)+IF(AND($E9=1,JE9=0),1000,0),MIN(TU9,20)*400+(IF('計算A'!Q$106=1,1-DO9,0)+IF('計算A'!R$106=1,1-DQ9,0))*150+151+'計算A'!R$5*100000+IF(AND($E9=1,JE9=0),50000,0))+IF($H9=1,(IF('計算A'!Q$117=1,INDEX('計算A'!Q$10:Q$54,$B9),0)+IF('計算A'!R$117=1,INDEX('計算A'!S$10:S$54,$B9),0))*4000,0)-IF(AND('計算A'!Q$117=1,UO9&gt;0),2000,0)-IF(AND($L9=1,'計算A'!R$117=1,DQ9=0),2000,0))),1000000))</f>
        <v/>
      </c>
      <c r="OU9">
        <f>IF($B9=0,1000000,IF(INDEX('計算A'!$D$60:$EQ$104,$B9,16)*DQ9=1,IF(AND($E9=2,JF9=0),1000000,IF($I9&gt;0,IF(1=$J9,IF(OR(AND(16=$I9+1,OR($K9&lt;&gt;'計算A'!$A$3,'計算A'!$A$4=0)),AND(16=$I9-1,OR(16&lt;&gt;'計算A'!$A$3,'計算A'!$A$4=0))),0,IF(16=$K9,200000,ABS(16-$K9)*100)),100000+ABS(1-$J9)*1000+160)+'計算A'!S$5*50+IF(AND($E9=1,JF9=0),25,0),IF($F9&gt;0,INDEX('計算A'!S$110:S$114,$F9+1)+IF(AND($E9=1,JF9=0),1000,0),MIN(TU9,20)*400+(IF('計算A'!R$106=1,1-DP9,0)+IF('計算A'!S$106=1,1-DR9,0))*150+161+'計算A'!S$5*100000+IF(AND($E9=1,JF9=0),50000,0))+IF($H9=1,(IF('計算A'!R$117=1,INDEX('計算A'!R$10:R$54,$B9),0)+IF('計算A'!S$117=1,INDEX('計算A'!T$10:T$54,$B9),0))*4000,0)-IF(AND('計算A'!R$117=1,UP9&gt;0),2000,0)-IF(AND($L9=1,'計算A'!S$117=1,DR9=0),2000,0))),1000000))</f>
        <v/>
      </c>
      <c r="OV9">
        <f>IF($B9=0,1000000,IF(INDEX('計算A'!$D$60:$EQ$104,$B9,17)*DR9=1,IF(AND($E9=2,JG9=0),1000000,IF($I9&gt;0,IF(1=$J9,IF(OR(AND(17=$I9+1,OR($K9&lt;&gt;'計算A'!$A$3,'計算A'!$A$4=0)),AND(17=$I9-1,OR(17&lt;&gt;'計算A'!$A$3,'計算A'!$A$4=0))),0,IF(17=$K9,200000,ABS(17-$K9)*100)),100000+ABS(1-$J9)*1000+170)+'計算A'!T$5*50+IF(AND($E9=1,JG9=0),25,0),IF($F9&gt;0,INDEX('計算A'!T$110:T$114,$F9+1)+IF(AND($E9=1,JG9=0),1000,0),MIN(TU9,20)*400+(IF('計算A'!S$106=1,1-DQ9,0)+IF('計算A'!T$106=1,1-DS9,0))*150+171+'計算A'!T$5*100000+IF(AND($E9=1,JG9=0),50000,0))+IF($H9=1,(IF('計算A'!S$117=1,INDEX('計算A'!S$10:S$54,$B9),0)+IF('計算A'!T$117=1,INDEX('計算A'!U$10:U$54,$B9),0))*4000,0)-IF(AND('計算A'!S$117=1,UQ9&gt;0),2000,0)-IF(AND($L9=1,'計算A'!T$117=1,DS9=0),2000,0))),1000000))</f>
        <v/>
      </c>
      <c r="OW9">
        <f>IF($B9=0,1000000,IF(INDEX('計算A'!$D$60:$EQ$104,$B9,18)*DS9=1,IF(AND($E9=2,JH9=0),1000000,IF($I9&gt;0,IF(1=$J9,IF(OR(AND(18=$I9+1,OR($K9&lt;&gt;'計算A'!$A$3,'計算A'!$A$4=0)),AND(18=$I9-1,OR(18&lt;&gt;'計算A'!$A$3,'計算A'!$A$4=0))),0,IF(18=$K9,200000,ABS(18-$K9)*100)),100000+ABS(1-$J9)*1000+180)+'計算A'!U$5*50+IF(AND($E9=1,JH9=0),25,0),IF($F9&gt;0,INDEX('計算A'!U$110:U$114,$F9+1)+IF(AND($E9=1,JH9=0),1000,0),MIN(TU9,20)*400+(IF('計算A'!T$106=1,1-DR9,0)+IF('計算A'!U$106=1,1-DT9,0))*150+181+'計算A'!U$5*100000+IF(AND($E9=1,JH9=0),50000,0))+IF($H9=1,(IF('計算A'!T$117=1,INDEX('計算A'!T$10:T$54,$B9),0)+IF('計算A'!U$117=1,INDEX('計算A'!V$10:V$54,$B9),0))*4000,0)-IF(AND('計算A'!T$117=1,UR9&gt;0),2000,0)-IF(AND($L9=1,'計算A'!U$117=1,DT9=0),2000,0))),1000000))</f>
        <v/>
      </c>
      <c r="OX9">
        <f>IF($B9=0,1000000,IF(INDEX('計算A'!$D$60:$EQ$104,$B9,19)*DT9=1,IF(AND($E9=2,JI9=0),1000000,IF($I9&gt;0,IF(1=$J9,IF(OR(AND(19=$I9+1,OR($K9&lt;&gt;'計算A'!$A$3,'計算A'!$A$4=0)),AND(19=$I9-1,OR(19&lt;&gt;'計算A'!$A$3,'計算A'!$A$4=0))),0,IF(19=$K9,200000,ABS(19-$K9)*100)),100000+ABS(1-$J9)*1000+190)+'計算A'!V$5*50+IF(AND($E9=1,JI9=0),25,0),IF($F9&gt;0,INDEX('計算A'!V$110:V$114,$F9+1)+IF(AND($E9=1,JI9=0),1000,0),MIN(TU9,20)*400+(IF('計算A'!U$106=1,1-DS9,0)+IF('計算A'!V$106=1,1-DU9,0))*150+191+'計算A'!V$5*100000+IF(AND($E9=1,JI9=0),50000,0))+IF($H9=1,(IF('計算A'!U$117=1,INDEX('計算A'!U$10:U$54,$B9),0)+IF('計算A'!V$117=1,INDEX('計算A'!W$10:W$54,$B9),0))*4000,0)-IF(AND('計算A'!U$117=1,US9&gt;0),2000,0)-IF(AND($L9=1,'計算A'!V$117=1,DU9=0),2000,0))),1000000))</f>
        <v/>
      </c>
      <c r="OY9">
        <f>IF($B9=0,1000000,IF(INDEX('計算A'!$D$60:$EQ$104,$B9,20)*DU9=1,IF(AND($E9=2,JJ9=0),1000000,IF($I9&gt;0,IF(1=$J9,IF(OR(AND(20=$I9+1,OR($K9&lt;&gt;'計算A'!$A$3,'計算A'!$A$4=0)),AND(20=$I9-1,OR(20&lt;&gt;'計算A'!$A$3,'計算A'!$A$4=0))),0,IF(20=$K9,200000,ABS(20-$K9)*100)),100000+ABS(1-$J9)*1000+200)+'計算A'!W$5*50+IF(AND($E9=1,JJ9=0),25,0),IF($F9&gt;0,INDEX('計算A'!W$110:W$114,$F9+1)+IF(AND($E9=1,JJ9=0),1000,0),MIN(TU9,20)*400+(IF('計算A'!V$106=1,1-DT9,0)+IF('計算A'!W$106=1,1-DV9,0))*150+201+'計算A'!W$5*100000+IF(AND($E9=1,JJ9=0),50000,0))+IF($H9=1,(IF('計算A'!V$117=1,INDEX('計算A'!V$10:V$54,$B9),0)+IF('計算A'!W$117=1,INDEX('計算A'!X$10:X$54,$B9),0))*4000,0)-IF(AND('計算A'!V$117=1,UT9&gt;0),2000,0)-IF(AND($L9=1,'計算A'!W$117=1,DV9=0),2000,0))),1000000))</f>
        <v/>
      </c>
      <c r="OZ9">
        <f>IF($B9=0,1000000,IF(INDEX('計算A'!$D$60:$EQ$104,$B9,21)*DV9=1,IF(AND($E9=2,JK9=0),1000000,IF($I9&gt;0,IF(1=$J9,IF(OR(AND(21=$I9+1,OR($K9&lt;&gt;'計算A'!$A$3,'計算A'!$A$4=0)),AND(21=$I9-1,OR(21&lt;&gt;'計算A'!$A$3,'計算A'!$A$4=0))),0,IF(21=$K9,200000,ABS(21-$K9)*100)),100000+ABS(1-$J9)*1000+210)+'計算A'!X$5*50+IF(AND($E9=1,JK9=0),25,0),IF($F9&gt;0,INDEX('計算A'!X$110:X$114,$F9+1)+IF(AND($E9=1,JK9=0),1000,0),MIN(TU9,20)*400+(IF('計算A'!W$106=1,1-DU9,0)+IF('計算A'!X$106=1,1-DW9,0))*150+211+'計算A'!X$5*100000+IF(AND($E9=1,JK9=0),50000,0))+IF($H9=1,(IF('計算A'!W$117=1,INDEX('計算A'!W$10:W$54,$B9),0)+IF('計算A'!X$117=1,INDEX('計算A'!Y$10:Y$54,$B9),0))*4000,0)-IF(AND('計算A'!W$117=1,UU9&gt;0),2000,0)-IF(AND($L9=1,'計算A'!X$117=1,DW9=0),2000,0))),1000000))</f>
        <v/>
      </c>
      <c r="PA9">
        <f>IF($B9=0,1000000,IF(INDEX('計算A'!$D$60:$EQ$104,$B9,22)*DW9=1,IF(AND($E9=2,JL9=0),1000000,IF($I9&gt;0,IF(1=$J9,IF(OR(AND(22=$I9+1,OR($K9&lt;&gt;'計算A'!$A$3,'計算A'!$A$4=0)),AND(22=$I9-1,OR(22&lt;&gt;'計算A'!$A$3,'計算A'!$A$4=0))),0,IF(22=$K9,200000,ABS(22-$K9)*100)),100000+ABS(1-$J9)*1000+220)+'計算A'!Y$5*50+IF(AND($E9=1,JL9=0),25,0),IF($F9&gt;0,INDEX('計算A'!Y$110:Y$114,$F9+1)+IF(AND($E9=1,JL9=0),1000,0),MIN(TU9,20)*400+(IF('計算A'!X$106=1,1-DV9,0)+IF('計算A'!Y$106=1,1-DX9,0))*150+221+'計算A'!Y$5*100000+IF(AND($E9=1,JL9=0),50000,0))+IF($H9=1,(IF('計算A'!X$117=1,INDEX('計算A'!X$10:X$54,$B9),0)+IF('計算A'!Y$117=1,INDEX('計算A'!Z$10:Z$54,$B9),0))*4000,0)-IF(AND('計算A'!X$117=1,UV9&gt;0),2000,0)-IF(AND($L9=1,'計算A'!Y$117=1,DX9=0),2000,0))),1000000))</f>
        <v/>
      </c>
      <c r="PB9">
        <f>IF($B9=0,1000000,IF(INDEX('計算A'!$D$60:$EQ$104,$B9,23)*DX9=1,IF(AND($E9=2,JM9=0),1000000,IF($I9&gt;0,IF(1=$J9,IF(OR(AND(23=$I9+1,OR($K9&lt;&gt;'計算A'!$A$3,'計算A'!$A$4=0)),AND(23=$I9-1,OR(23&lt;&gt;'計算A'!$A$3,'計算A'!$A$4=0))),0,IF(23=$K9,200000,ABS(23-$K9)*100)),100000+ABS(1-$J9)*1000+230)+'計算A'!Z$5*50+IF(AND($E9=1,JM9=0),25,0),IF($F9&gt;0,INDEX('計算A'!Z$110:Z$114,$F9+1)+IF(AND($E9=1,JM9=0),1000,0),MIN(TU9,20)*400+(IF('計算A'!Y$106=1,1-DW9,0)+IF('計算A'!Z$106=1,1-DY9,0))*150+231+'計算A'!Z$5*100000+IF(AND($E9=1,JM9=0),50000,0))+IF($H9=1,(IF('計算A'!Y$117=1,INDEX('計算A'!Y$10:Y$54,$B9),0)+IF('計算A'!Z$117=1,INDEX('計算A'!AA$10:AA$54,$B9),0))*4000,0)-IF(AND('計算A'!Y$117=1,UW9&gt;0),2000,0)-IF(AND($L9=1,'計算A'!Z$117=1,DY9=0),2000,0))),1000000))</f>
        <v/>
      </c>
      <c r="PC9">
        <f>IF($B9=0,1000000,IF(INDEX('計算A'!$D$60:$EQ$104,$B9,24)*DY9=1,IF(AND($E9=2,JN9=0),1000000,IF($I9&gt;0,IF(1=$J9,IF(OR(AND(24=$I9+1,OR($K9&lt;&gt;'計算A'!$A$3,'計算A'!$A$4=0)),AND(24=$I9-1,OR(24&lt;&gt;'計算A'!$A$3,'計算A'!$A$4=0))),0,IF(24=$K9,200000,ABS(24-$K9)*100)),100000+ABS(1-$J9)*1000+240)+'計算A'!AA$5*50+IF(AND($E9=1,JN9=0),25,0),IF($F9&gt;0,INDEX('計算A'!AA$110:AA$114,$F9+1)+IF(AND($E9=1,JN9=0),1000,0),MIN(TU9,20)*400+(IF('計算A'!Z$106=1,1-DX9,0))*150+241+'計算A'!AA$5*100000+IF(AND($E9=1,JN9=0),50000,0))+IF($H9=1,(IF('計算A'!Z$117=1,INDEX('計算A'!Z$10:Z$54,$B9),0))*4000,0)-IF(AND('計算A'!Z$117=1,UX9&gt;0),2000,0))),1000000))</f>
        <v/>
      </c>
      <c r="PD9">
        <f>IF($B9=0,1000000,IF(INDEX('計算A'!$D$60:$EQ$104,$B9,25)*DZ9=1,IF(AND($E9=2,JO9=0),1000000,IF($I9&gt;0,IF(2=$J9,IF(OR(AND(25=$I9+1,OR($K9&lt;&gt;'計算A'!$A$3,'計算A'!$A$4=0)),AND(25=$I9-1,OR(1&lt;&gt;'計算A'!$A$3,'計算A'!$A$4=0))),0,IF(1=$K9,200000,ABS(1-$K9)*100)),100000+ABS(2-$J9)*1000+10)+'計算A'!AB$5*50+IF(AND($E9=1,JO9=0),25,0),IF($F9&gt;0,INDEX('計算A'!AB$110:AB$114,$F9+1)+IF(AND($E9=1,JO9=0),1000,0),MIN(TV9,20)*400+(IF('計算A'!AB$106=1,1-EA9,0))*150+12+'計算A'!AB$5*100000+IF(AND($E9=1,JO9=0),50000,0))+IF($H9=1,(IF('計算A'!AB$117=1,INDEX('計算A'!AC$10:AC$54,$B9),0))*4000,0)-IF(AND($L9=1,'計算A'!AB$117=1,EA9=0),2000,0))),1000000))</f>
        <v/>
      </c>
      <c r="PE9">
        <f>IF($B9=0,1000000,IF(INDEX('計算A'!$D$60:$EQ$104,$B9,26)*EA9=1,IF(AND($E9=2,JP9=0),1000000,IF($I9&gt;0,IF(2=$J9,IF(OR(AND(26=$I9+1,OR($K9&lt;&gt;'計算A'!$A$3,'計算A'!$A$4=0)),AND(26=$I9-1,OR(2&lt;&gt;'計算A'!$A$3,'計算A'!$A$4=0))),0,IF(2=$K9,200000,ABS(2-$K9)*100)),100000+ABS(2-$J9)*1000+20)+'計算A'!AC$5*50+IF(AND($E9=1,JP9=0),25,0),IF($F9&gt;0,INDEX('計算A'!AC$110:AC$114,$F9+1)+IF(AND($E9=1,JP9=0),1000,0),MIN(TV9,20)*400+(IF('計算A'!AB$106=1,1-DZ9,0)+IF('計算A'!AC$106=1,1-EB9,0))*150+22+'計算A'!AC$5*100000+IF(AND($E9=1,JP9=0),50000,0))+IF($H9=1,(IF('計算A'!AB$117=1,INDEX('計算A'!AB$10:AB$54,$B9),0)+IF('計算A'!AC$117=1,INDEX('計算A'!AD$10:AD$54,$B9),0))*4000,0)-IF(AND('計算A'!AB$117=1,UZ9&gt;0),2000,0)-IF(AND($L9=1,'計算A'!AC$117=1,EB9=0),2000,0))),1000000))</f>
        <v/>
      </c>
      <c r="PF9">
        <f>IF($B9=0,1000000,IF(INDEX('計算A'!$D$60:$EQ$104,$B9,27)*EB9=1,IF(AND($E9=2,JQ9=0),1000000,IF($I9&gt;0,IF(2=$J9,IF(OR(AND(27=$I9+1,OR($K9&lt;&gt;'計算A'!$A$3,'計算A'!$A$4=0)),AND(27=$I9-1,OR(3&lt;&gt;'計算A'!$A$3,'計算A'!$A$4=0))),0,IF(3=$K9,200000,ABS(3-$K9)*100)),100000+ABS(2-$J9)*1000+30)+'計算A'!AD$5*50+IF(AND($E9=1,JQ9=0),25,0),IF($F9&gt;0,INDEX('計算A'!AD$110:AD$114,$F9+1)+IF(AND($E9=1,JQ9=0),1000,0),MIN(TV9,20)*400+(IF('計算A'!AC$106=1,1-EA9,0)+IF('計算A'!AD$106=1,1-EC9,0))*150+32+'計算A'!AD$5*100000+IF(AND($E9=1,JQ9=0),50000,0))+IF($H9=1,(IF('計算A'!AC$117=1,INDEX('計算A'!AC$10:AC$54,$B9),0)+IF('計算A'!AD$117=1,INDEX('計算A'!AE$10:AE$54,$B9),0))*4000,0)-IF(AND('計算A'!AC$117=1,VA9&gt;0),2000,0)-IF(AND($L9=1,'計算A'!AD$117=1,EC9=0),2000,0))),1000000))</f>
        <v/>
      </c>
      <c r="PG9">
        <f>IF($B9=0,1000000,IF(INDEX('計算A'!$D$60:$EQ$104,$B9,28)*EC9=1,IF(AND($E9=2,JR9=0),1000000,IF($I9&gt;0,IF(2=$J9,IF(OR(AND(28=$I9+1,OR($K9&lt;&gt;'計算A'!$A$3,'計算A'!$A$4=0)),AND(28=$I9-1,OR(4&lt;&gt;'計算A'!$A$3,'計算A'!$A$4=0))),0,IF(4=$K9,200000,ABS(4-$K9)*100)),100000+ABS(2-$J9)*1000+40)+'計算A'!AE$5*50+IF(AND($E9=1,JR9=0),25,0),IF($F9&gt;0,INDEX('計算A'!AE$110:AE$114,$F9+1)+IF(AND($E9=1,JR9=0),1000,0),MIN(TV9,20)*400+(IF('計算A'!AD$106=1,1-EB9,0)+IF('計算A'!AE$106=1,1-ED9,0))*150+42+'計算A'!AE$5*100000+IF(AND($E9=1,JR9=0),50000,0))+IF($H9=1,(IF('計算A'!AD$117=1,INDEX('計算A'!AD$10:AD$54,$B9),0)+IF('計算A'!AE$117=1,INDEX('計算A'!AF$10:AF$54,$B9),0))*4000,0)-IF(AND('計算A'!AD$117=1,VB9&gt;0),2000,0)-IF(AND($L9=1,'計算A'!AE$117=1,ED9=0),2000,0))),1000000))</f>
        <v/>
      </c>
      <c r="PH9">
        <f>IF($B9=0,1000000,IF(INDEX('計算A'!$D$60:$EQ$104,$B9,29)*ED9=1,IF(AND($E9=2,JS9=0),1000000,IF($I9&gt;0,IF(2=$J9,IF(OR(AND(29=$I9+1,OR($K9&lt;&gt;'計算A'!$A$3,'計算A'!$A$4=0)),AND(29=$I9-1,OR(5&lt;&gt;'計算A'!$A$3,'計算A'!$A$4=0))),0,IF(5=$K9,200000,ABS(5-$K9)*100)),100000+ABS(2-$J9)*1000+50)+'計算A'!AF$5*50+IF(AND($E9=1,JS9=0),25,0),IF($F9&gt;0,INDEX('計算A'!AF$110:AF$114,$F9+1)+IF(AND($E9=1,JS9=0),1000,0),MIN(TV9,20)*400+(IF('計算A'!AE$106=1,1-EC9,0)+IF('計算A'!AF$106=1,1-EE9,0))*150+52+'計算A'!AF$5*100000+IF(AND($E9=1,JS9=0),50000,0))+IF($H9=1,(IF('計算A'!AE$117=1,INDEX('計算A'!AE$10:AE$54,$B9),0)+IF('計算A'!AF$117=1,INDEX('計算A'!AG$10:AG$54,$B9),0))*4000,0)-IF(AND('計算A'!AE$117=1,VC9&gt;0),2000,0)-IF(AND($L9=1,'計算A'!AF$117=1,EE9=0),2000,0))),1000000))</f>
        <v/>
      </c>
      <c r="PI9">
        <f>IF($B9=0,1000000,IF(INDEX('計算A'!$D$60:$EQ$104,$B9,30)*EE9=1,IF(AND($E9=2,JT9=0),1000000,IF($I9&gt;0,IF(2=$J9,IF(OR(AND(30=$I9+1,OR($K9&lt;&gt;'計算A'!$A$3,'計算A'!$A$4=0)),AND(30=$I9-1,OR(6&lt;&gt;'計算A'!$A$3,'計算A'!$A$4=0))),0,IF(6=$K9,200000,ABS(6-$K9)*100)),100000+ABS(2-$J9)*1000+60)+'計算A'!AG$5*50+IF(AND($E9=1,JT9=0),25,0),IF($F9&gt;0,INDEX('計算A'!AG$110:AG$114,$F9+1)+IF(AND($E9=1,JT9=0),1000,0),MIN(TV9,20)*400+(IF('計算A'!AF$106=1,1-ED9,0)+IF('計算A'!AG$106=1,1-EF9,0))*150+62+'計算A'!AG$5*100000+IF(AND($E9=1,JT9=0),50000,0))+IF($H9=1,(IF('計算A'!AF$117=1,INDEX('計算A'!AF$10:AF$54,$B9),0)+IF('計算A'!AG$117=1,INDEX('計算A'!AH$10:AH$54,$B9),0))*4000,0)-IF(AND('計算A'!AF$117=1,VD9&gt;0),2000,0)-IF(AND($L9=1,'計算A'!AG$117=1,EF9=0),2000,0))),1000000))</f>
        <v/>
      </c>
      <c r="PJ9">
        <f>IF($B9=0,1000000,IF(INDEX('計算A'!$D$60:$EQ$104,$B9,31)*EF9=1,IF(AND($E9=2,JU9=0),1000000,IF($I9&gt;0,IF(2=$J9,IF(OR(AND(31=$I9+1,OR($K9&lt;&gt;'計算A'!$A$3,'計算A'!$A$4=0)),AND(31=$I9-1,OR(7&lt;&gt;'計算A'!$A$3,'計算A'!$A$4=0))),0,IF(7=$K9,200000,ABS(7-$K9)*100)),100000+ABS(2-$J9)*1000+70)+'計算A'!AH$5*50+IF(AND($E9=1,JU9=0),25,0),IF($F9&gt;0,INDEX('計算A'!AH$110:AH$114,$F9+1)+IF(AND($E9=1,JU9=0),1000,0),MIN(TV9,20)*400+(IF('計算A'!AG$106=1,1-EE9,0)+IF('計算A'!AH$106=1,1-EG9,0))*150+72+'計算A'!AH$5*100000+IF(AND($E9=1,JU9=0),50000,0))+IF($H9=1,(IF('計算A'!AG$117=1,INDEX('計算A'!AG$10:AG$54,$B9),0)+IF('計算A'!AH$117=1,INDEX('計算A'!AI$10:AI$54,$B9),0))*4000,0)-IF(AND('計算A'!AG$117=1,VE9&gt;0),2000,0)-IF(AND($L9=1,'計算A'!AH$117=1,EG9=0),2000,0))),1000000))</f>
        <v/>
      </c>
      <c r="PK9">
        <f>IF($B9=0,1000000,IF(INDEX('計算A'!$D$60:$EQ$104,$B9,32)*EG9=1,IF(AND($E9=2,JV9=0),1000000,IF($I9&gt;0,IF(2=$J9,IF(OR(AND(32=$I9+1,OR($K9&lt;&gt;'計算A'!$A$3,'計算A'!$A$4=0)),AND(32=$I9-1,OR(8&lt;&gt;'計算A'!$A$3,'計算A'!$A$4=0))),0,IF(8=$K9,200000,ABS(8-$K9)*100)),100000+ABS(2-$J9)*1000+80)+'計算A'!AI$5*50+IF(AND($E9=1,JV9=0),25,0),IF($F9&gt;0,INDEX('計算A'!AI$110:AI$114,$F9+1)+IF(AND($E9=1,JV9=0),1000,0),MIN(TV9,20)*400+(IF('計算A'!AH$106=1,1-EF9,0)+IF('計算A'!AI$106=1,1-EH9,0))*150+82+'計算A'!AI$5*100000+IF(AND($E9=1,JV9=0),50000,0))+IF($H9=1,(IF('計算A'!AH$117=1,INDEX('計算A'!AH$10:AH$54,$B9),0)+IF('計算A'!AI$117=1,INDEX('計算A'!AJ$10:AJ$54,$B9),0))*4000,0)-IF(AND('計算A'!AH$117=1,VF9&gt;0),2000,0)-IF(AND($L9=1,'計算A'!AI$117=1,EH9=0),2000,0))),1000000))</f>
        <v/>
      </c>
      <c r="PL9">
        <f>IF($B9=0,1000000,IF(INDEX('計算A'!$D$60:$EQ$104,$B9,33)*EH9=1,IF(AND($E9=2,JW9=0),1000000,IF($I9&gt;0,IF(2=$J9,IF(OR(AND(33=$I9+1,OR($K9&lt;&gt;'計算A'!$A$3,'計算A'!$A$4=0)),AND(33=$I9-1,OR(9&lt;&gt;'計算A'!$A$3,'計算A'!$A$4=0))),0,IF(9=$K9,200000,ABS(9-$K9)*100)),100000+ABS(2-$J9)*1000+90)+'計算A'!AJ$5*50+IF(AND($E9=1,JW9=0),25,0),IF($F9&gt;0,INDEX('計算A'!AJ$110:AJ$114,$F9+1)+IF(AND($E9=1,JW9=0),1000,0),MIN(TV9,20)*400+(IF('計算A'!AI$106=1,1-EG9,0)+IF('計算A'!AJ$106=1,1-EI9,0))*150+92+'計算A'!AJ$5*100000+IF(AND($E9=1,JW9=0),50000,0))+IF($H9=1,(IF('計算A'!AI$117=1,INDEX('計算A'!AI$10:AI$54,$B9),0)+IF('計算A'!AJ$117=1,INDEX('計算A'!AK$10:AK$54,$B9),0))*4000,0)-IF(AND('計算A'!AI$117=1,VG9&gt;0),2000,0)-IF(AND($L9=1,'計算A'!AJ$117=1,EI9=0),2000,0))),1000000))</f>
        <v/>
      </c>
      <c r="PM9">
        <f>IF($B9=0,1000000,IF(INDEX('計算A'!$D$60:$EQ$104,$B9,34)*EI9=1,IF(AND($E9=2,JX9=0),1000000,IF($I9&gt;0,IF(2=$J9,IF(OR(AND(34=$I9+1,OR($K9&lt;&gt;'計算A'!$A$3,'計算A'!$A$4=0)),AND(34=$I9-1,OR(10&lt;&gt;'計算A'!$A$3,'計算A'!$A$4=0))),0,IF(10=$K9,200000,ABS(10-$K9)*100)),100000+ABS(2-$J9)*1000+100)+'計算A'!AK$5*50+IF(AND($E9=1,JX9=0),25,0),IF($F9&gt;0,INDEX('計算A'!AK$110:AK$114,$F9+1)+IF(AND($E9=1,JX9=0),1000,0),MIN(TV9,20)*400+(IF('計算A'!AJ$106=1,1-EH9,0)+IF('計算A'!AK$106=1,1-EJ9,0))*150+102+'計算A'!AK$5*100000+IF(AND($E9=1,JX9=0),50000,0))+IF($H9=1,(IF('計算A'!AJ$117=1,INDEX('計算A'!AJ$10:AJ$54,$B9),0)+IF('計算A'!AK$117=1,INDEX('計算A'!AL$10:AL$54,$B9),0))*4000,0)-IF(AND('計算A'!AJ$117=1,VH9&gt;0),2000,0)-IF(AND($L9=1,'計算A'!AK$117=1,EJ9=0),2000,0))),1000000))</f>
        <v/>
      </c>
      <c r="PN9">
        <f>IF($B9=0,1000000,IF(INDEX('計算A'!$D$60:$EQ$104,$B9,35)*EJ9=1,IF(AND($E9=2,JY9=0),1000000,IF($I9&gt;0,IF(2=$J9,IF(OR(AND(35=$I9+1,OR($K9&lt;&gt;'計算A'!$A$3,'計算A'!$A$4=0)),AND(35=$I9-1,OR(11&lt;&gt;'計算A'!$A$3,'計算A'!$A$4=0))),0,IF(11=$K9,200000,ABS(11-$K9)*100)),100000+ABS(2-$J9)*1000+110)+'計算A'!AL$5*50+IF(AND($E9=1,JY9=0),25,0),IF($F9&gt;0,INDEX('計算A'!AL$110:AL$114,$F9+1)+IF(AND($E9=1,JY9=0),1000,0),MIN(TV9,20)*400+(IF('計算A'!AK$106=1,1-EI9,0)+IF('計算A'!AL$106=1,1-EK9,0))*150+112+'計算A'!AL$5*100000+IF(AND($E9=1,JY9=0),50000,0))+IF($H9=1,(IF('計算A'!AK$117=1,INDEX('計算A'!AK$10:AK$54,$B9),0)+IF('計算A'!AL$117=1,INDEX('計算A'!AM$10:AM$54,$B9),0))*4000,0)-IF(AND('計算A'!AK$117=1,VI9&gt;0),2000,0)-IF(AND($L9=1,'計算A'!AL$117=1,EK9=0),2000,0))),1000000))</f>
        <v/>
      </c>
      <c r="PO9">
        <f>IF($B9=0,1000000,IF(INDEX('計算A'!$D$60:$EQ$104,$B9,36)*EK9=1,IF(AND($E9=2,JZ9=0),1000000,IF($I9&gt;0,IF(2=$J9,IF(OR(AND(36=$I9+1,OR($K9&lt;&gt;'計算A'!$A$3,'計算A'!$A$4=0)),AND(36=$I9-1,OR(12&lt;&gt;'計算A'!$A$3,'計算A'!$A$4=0))),0,IF(12=$K9,200000,ABS(12-$K9)*100)),100000+ABS(2-$J9)*1000+120)+'計算A'!AM$5*50+IF(AND($E9=1,JZ9=0),25,0),IF($F9&gt;0,INDEX('計算A'!AM$110:AM$114,$F9+1)+IF(AND($E9=1,JZ9=0),1000,0),MIN(TV9,20)*400+(IF('計算A'!AL$106=1,1-EJ9,0)+IF('計算A'!AM$106=1,1-EL9,0))*150+122+'計算A'!AM$5*100000+IF(AND($E9=1,JZ9=0),50000,0))+IF($H9=1,(IF('計算A'!AL$117=1,INDEX('計算A'!AL$10:AL$54,$B9),0)+IF('計算A'!AM$117=1,INDEX('計算A'!AN$10:AN$54,$B9),0))*4000,0)-IF(AND('計算A'!AL$117=1,VJ9&gt;0),2000,0)-IF(AND($L9=1,'計算A'!AM$117=1,EL9=0),2000,0))),1000000))</f>
        <v/>
      </c>
      <c r="PP9">
        <f>IF($B9=0,1000000,IF(INDEX('計算A'!$D$60:$EQ$104,$B9,37)*EL9=1,IF(AND($E9=2,KA9=0),1000000,IF($I9&gt;0,IF(2=$J9,IF(OR(AND(37=$I9+1,OR($K9&lt;&gt;'計算A'!$A$3,'計算A'!$A$4=0)),AND(37=$I9-1,OR(13&lt;&gt;'計算A'!$A$3,'計算A'!$A$4=0))),0,IF(13=$K9,200000,ABS(13-$K9)*100)),100000+ABS(2-$J9)*1000+130)+'計算A'!AN$5*50+IF(AND($E9=1,KA9=0),25,0),IF($F9&gt;0,INDEX('計算A'!AN$110:AN$114,$F9+1)+IF(AND($E9=1,KA9=0),1000,0),MIN(TV9,20)*400+(IF('計算A'!AM$106=1,1-EK9,0)+IF('計算A'!AN$106=1,1-EM9,0))*150+132+'計算A'!AN$5*100000+IF(AND($E9=1,KA9=0),50000,0))+IF($H9=1,(IF('計算A'!AM$117=1,INDEX('計算A'!AM$10:AM$54,$B9),0)+IF('計算A'!AN$117=1,INDEX('計算A'!AO$10:AO$54,$B9),0))*4000,0)-IF(AND('計算A'!AM$117=1,VK9&gt;0),2000,0)-IF(AND($L9=1,'計算A'!AN$117=1,EM9=0),2000,0))),1000000))</f>
        <v/>
      </c>
      <c r="PQ9">
        <f>IF($B9=0,1000000,IF(INDEX('計算A'!$D$60:$EQ$104,$B9,38)*EM9=1,IF(AND($E9=2,KB9=0),1000000,IF($I9&gt;0,IF(2=$J9,IF(OR(AND(38=$I9+1,OR($K9&lt;&gt;'計算A'!$A$3,'計算A'!$A$4=0)),AND(38=$I9-1,OR(14&lt;&gt;'計算A'!$A$3,'計算A'!$A$4=0))),0,IF(14=$K9,200000,ABS(14-$K9)*100)),100000+ABS(2-$J9)*1000+140)+'計算A'!AO$5*50+IF(AND($E9=1,KB9=0),25,0),IF($F9&gt;0,INDEX('計算A'!AO$110:AO$114,$F9+1)+IF(AND($E9=1,KB9=0),1000,0),MIN(TV9,20)*400+(IF('計算A'!AN$106=1,1-EL9,0)+IF('計算A'!AO$106=1,1-EN9,0))*150+142+'計算A'!AO$5*100000+IF(AND($E9=1,KB9=0),50000,0))+IF($H9=1,(IF('計算A'!AN$117=1,INDEX('計算A'!AN$10:AN$54,$B9),0)+IF('計算A'!AO$117=1,INDEX('計算A'!AP$10:AP$54,$B9),0))*4000,0)-IF(AND('計算A'!AN$117=1,VL9&gt;0),2000,0)-IF(AND($L9=1,'計算A'!AO$117=1,EN9=0),2000,0))),1000000))</f>
        <v/>
      </c>
      <c r="PR9">
        <f>IF($B9=0,1000000,IF(INDEX('計算A'!$D$60:$EQ$104,$B9,39)*EN9=1,IF(AND($E9=2,KC9=0),1000000,IF($I9&gt;0,IF(2=$J9,IF(OR(AND(39=$I9+1,OR($K9&lt;&gt;'計算A'!$A$3,'計算A'!$A$4=0)),AND(39=$I9-1,OR(15&lt;&gt;'計算A'!$A$3,'計算A'!$A$4=0))),0,IF(15=$K9,200000,ABS(15-$K9)*100)),100000+ABS(2-$J9)*1000+150)+'計算A'!AP$5*50+IF(AND($E9=1,KC9=0),25,0),IF($F9&gt;0,INDEX('計算A'!AP$110:AP$114,$F9+1)+IF(AND($E9=1,KC9=0),1000,0),MIN(TV9,20)*400+(IF('計算A'!AO$106=1,1-EM9,0)+IF('計算A'!AP$106=1,1-EO9,0))*150+152+'計算A'!AP$5*100000+IF(AND($E9=1,KC9=0),50000,0))+IF($H9=1,(IF('計算A'!AO$117=1,INDEX('計算A'!AO$10:AO$54,$B9),0)+IF('計算A'!AP$117=1,INDEX('計算A'!AQ$10:AQ$54,$B9),0))*4000,0)-IF(AND('計算A'!AO$117=1,VM9&gt;0),2000,0)-IF(AND($L9=1,'計算A'!AP$117=1,EO9=0),2000,0))),1000000))</f>
        <v/>
      </c>
      <c r="PS9">
        <f>IF($B9=0,1000000,IF(INDEX('計算A'!$D$60:$EQ$104,$B9,40)*EO9=1,IF(AND($E9=2,KD9=0),1000000,IF($I9&gt;0,IF(2=$J9,IF(OR(AND(40=$I9+1,OR($K9&lt;&gt;'計算A'!$A$3,'計算A'!$A$4=0)),AND(40=$I9-1,OR(16&lt;&gt;'計算A'!$A$3,'計算A'!$A$4=0))),0,IF(16=$K9,200000,ABS(16-$K9)*100)),100000+ABS(2-$J9)*1000+160)+'計算A'!AQ$5*50+IF(AND($E9=1,KD9=0),25,0),IF($F9&gt;0,INDEX('計算A'!AQ$110:AQ$114,$F9+1)+IF(AND($E9=1,KD9=0),1000,0),MIN(TV9,20)*400+(IF('計算A'!AP$106=1,1-EN9,0)+IF('計算A'!AQ$106=1,1-EP9,0))*150+162+'計算A'!AQ$5*100000+IF(AND($E9=1,KD9=0),50000,0))+IF($H9=1,(IF('計算A'!AP$117=1,INDEX('計算A'!AP$10:AP$54,$B9),0)+IF('計算A'!AQ$117=1,INDEX('計算A'!AR$10:AR$54,$B9),0))*4000,0)-IF(AND('計算A'!AP$117=1,VN9&gt;0),2000,0)-IF(AND($L9=1,'計算A'!AQ$117=1,EP9=0),2000,0))),1000000))</f>
        <v/>
      </c>
      <c r="PT9">
        <f>IF($B9=0,1000000,IF(INDEX('計算A'!$D$60:$EQ$104,$B9,41)*EP9=1,IF(AND($E9=2,KE9=0),1000000,IF($I9&gt;0,IF(2=$J9,IF(OR(AND(41=$I9+1,OR($K9&lt;&gt;'計算A'!$A$3,'計算A'!$A$4=0)),AND(41=$I9-1,OR(17&lt;&gt;'計算A'!$A$3,'計算A'!$A$4=0))),0,IF(17=$K9,200000,ABS(17-$K9)*100)),100000+ABS(2-$J9)*1000+170)+'計算A'!AR$5*50+IF(AND($E9=1,KE9=0),25,0),IF($F9&gt;0,INDEX('計算A'!AR$110:AR$114,$F9+1)+IF(AND($E9=1,KE9=0),1000,0),MIN(TV9,20)*400+(IF('計算A'!AQ$106=1,1-EO9,0)+IF('計算A'!AR$106=1,1-EQ9,0))*150+172+'計算A'!AR$5*100000+IF(AND($E9=1,KE9=0),50000,0))+IF($H9=1,(IF('計算A'!AQ$117=1,INDEX('計算A'!AQ$10:AQ$54,$B9),0)+IF('計算A'!AR$117=1,INDEX('計算A'!AS$10:AS$54,$B9),0))*4000,0)-IF(AND('計算A'!AQ$117=1,VO9&gt;0),2000,0)-IF(AND($L9=1,'計算A'!AR$117=1,EQ9=0),2000,0))),1000000))</f>
        <v/>
      </c>
      <c r="PU9">
        <f>IF($B9=0,1000000,IF(INDEX('計算A'!$D$60:$EQ$104,$B9,42)*EQ9=1,IF(AND($E9=2,KF9=0),1000000,IF($I9&gt;0,IF(2=$J9,IF(OR(AND(42=$I9+1,OR($K9&lt;&gt;'計算A'!$A$3,'計算A'!$A$4=0)),AND(42=$I9-1,OR(18&lt;&gt;'計算A'!$A$3,'計算A'!$A$4=0))),0,IF(18=$K9,200000,ABS(18-$K9)*100)),100000+ABS(2-$J9)*1000+180)+'計算A'!AS$5*50+IF(AND($E9=1,KF9=0),25,0),IF($F9&gt;0,INDEX('計算A'!AS$110:AS$114,$F9+1)+IF(AND($E9=1,KF9=0),1000,0),MIN(TV9,20)*400+(IF('計算A'!AR$106=1,1-EP9,0)+IF('計算A'!AS$106=1,1-ER9,0))*150+182+'計算A'!AS$5*100000+IF(AND($E9=1,KF9=0),50000,0))+IF($H9=1,(IF('計算A'!AR$117=1,INDEX('計算A'!AR$10:AR$54,$B9),0)+IF('計算A'!AS$117=1,INDEX('計算A'!AT$10:AT$54,$B9),0))*4000,0)-IF(AND('計算A'!AR$117=1,VP9&gt;0),2000,0)-IF(AND($L9=1,'計算A'!AS$117=1,ER9=0),2000,0))),1000000))</f>
        <v/>
      </c>
      <c r="PV9">
        <f>IF($B9=0,1000000,IF(INDEX('計算A'!$D$60:$EQ$104,$B9,43)*ER9=1,IF(AND($E9=2,KG9=0),1000000,IF($I9&gt;0,IF(2=$J9,IF(OR(AND(43=$I9+1,OR($K9&lt;&gt;'計算A'!$A$3,'計算A'!$A$4=0)),AND(43=$I9-1,OR(19&lt;&gt;'計算A'!$A$3,'計算A'!$A$4=0))),0,IF(19=$K9,200000,ABS(19-$K9)*100)),100000+ABS(2-$J9)*1000+190)+'計算A'!AT$5*50+IF(AND($E9=1,KG9=0),25,0),IF($F9&gt;0,INDEX('計算A'!AT$110:AT$114,$F9+1)+IF(AND($E9=1,KG9=0),1000,0),MIN(TV9,20)*400+(IF('計算A'!AS$106=1,1-EQ9,0)+IF('計算A'!AT$106=1,1-ES9,0))*150+192+'計算A'!AT$5*100000+IF(AND($E9=1,KG9=0),50000,0))+IF($H9=1,(IF('計算A'!AS$117=1,INDEX('計算A'!AS$10:AS$54,$B9),0)+IF('計算A'!AT$117=1,INDEX('計算A'!AU$10:AU$54,$B9),0))*4000,0)-IF(AND('計算A'!AS$117=1,VQ9&gt;0),2000,0)-IF(AND($L9=1,'計算A'!AT$117=1,ES9=0),2000,0))),1000000))</f>
        <v/>
      </c>
      <c r="PW9">
        <f>IF($B9=0,1000000,IF(INDEX('計算A'!$D$60:$EQ$104,$B9,44)*ES9=1,IF(AND($E9=2,KH9=0),1000000,IF($I9&gt;0,IF(2=$J9,IF(OR(AND(44=$I9+1,OR($K9&lt;&gt;'計算A'!$A$3,'計算A'!$A$4=0)),AND(44=$I9-1,OR(20&lt;&gt;'計算A'!$A$3,'計算A'!$A$4=0))),0,IF(20=$K9,200000,ABS(20-$K9)*100)),100000+ABS(2-$J9)*1000+200)+'計算A'!AU$5*50+IF(AND($E9=1,KH9=0),25,0),IF($F9&gt;0,INDEX('計算A'!AU$110:AU$114,$F9+1)+IF(AND($E9=1,KH9=0),1000,0),MIN(TV9,20)*400+(IF('計算A'!AT$106=1,1-ER9,0)+IF('計算A'!AU$106=1,1-ET9,0))*150+202+'計算A'!AU$5*100000+IF(AND($E9=1,KH9=0),50000,0))+IF($H9=1,(IF('計算A'!AT$117=1,INDEX('計算A'!AT$10:AT$54,$B9),0)+IF('計算A'!AU$117=1,INDEX('計算A'!AV$10:AV$54,$B9),0))*4000,0)-IF(AND('計算A'!AT$117=1,VR9&gt;0),2000,0)-IF(AND($L9=1,'計算A'!AU$117=1,ET9=0),2000,0))),1000000))</f>
        <v/>
      </c>
      <c r="PX9">
        <f>IF($B9=0,1000000,IF(INDEX('計算A'!$D$60:$EQ$104,$B9,45)*ET9=1,IF(AND($E9=2,KI9=0),1000000,IF($I9&gt;0,IF(2=$J9,IF(OR(AND(45=$I9+1,OR($K9&lt;&gt;'計算A'!$A$3,'計算A'!$A$4=0)),AND(45=$I9-1,OR(21&lt;&gt;'計算A'!$A$3,'計算A'!$A$4=0))),0,IF(21=$K9,200000,ABS(21-$K9)*100)),100000+ABS(2-$J9)*1000+210)+'計算A'!AV$5*50+IF(AND($E9=1,KI9=0),25,0),IF($F9&gt;0,INDEX('計算A'!AV$110:AV$114,$F9+1)+IF(AND($E9=1,KI9=0),1000,0),MIN(TV9,20)*400+(IF('計算A'!AU$106=1,1-ES9,0)+IF('計算A'!AV$106=1,1-EU9,0))*150+212+'計算A'!AV$5*100000+IF(AND($E9=1,KI9=0),50000,0))+IF($H9=1,(IF('計算A'!AU$117=1,INDEX('計算A'!AU$10:AU$54,$B9),0)+IF('計算A'!AV$117=1,INDEX('計算A'!AW$10:AW$54,$B9),0))*4000,0)-IF(AND('計算A'!AU$117=1,VS9&gt;0),2000,0)-IF(AND($L9=1,'計算A'!AV$117=1,EU9=0),2000,0))),1000000))</f>
        <v/>
      </c>
      <c r="PY9">
        <f>IF($B9=0,1000000,IF(INDEX('計算A'!$D$60:$EQ$104,$B9,46)*EU9=1,IF(AND($E9=2,KJ9=0),1000000,IF($I9&gt;0,IF(2=$J9,IF(OR(AND(46=$I9+1,OR($K9&lt;&gt;'計算A'!$A$3,'計算A'!$A$4=0)),AND(46=$I9-1,OR(22&lt;&gt;'計算A'!$A$3,'計算A'!$A$4=0))),0,IF(22=$K9,200000,ABS(22-$K9)*100)),100000+ABS(2-$J9)*1000+220)+'計算A'!AW$5*50+IF(AND($E9=1,KJ9=0),25,0),IF($F9&gt;0,INDEX('計算A'!AW$110:AW$114,$F9+1)+IF(AND($E9=1,KJ9=0),1000,0),MIN(TV9,20)*400+(IF('計算A'!AV$106=1,1-ET9,0)+IF('計算A'!AW$106=1,1-EV9,0))*150+222+'計算A'!AW$5*100000+IF(AND($E9=1,KJ9=0),50000,0))+IF($H9=1,(IF('計算A'!AV$117=1,INDEX('計算A'!AV$10:AV$54,$B9),0)+IF('計算A'!AW$117=1,INDEX('計算A'!AX$10:AX$54,$B9),0))*4000,0)-IF(AND('計算A'!AV$117=1,VT9&gt;0),2000,0)-IF(AND($L9=1,'計算A'!AW$117=1,EV9=0),2000,0))),1000000))</f>
        <v/>
      </c>
      <c r="PZ9">
        <f>IF($B9=0,1000000,IF(INDEX('計算A'!$D$60:$EQ$104,$B9,47)*EV9=1,IF(AND($E9=2,KK9=0),1000000,IF($I9&gt;0,IF(2=$J9,IF(OR(AND(47=$I9+1,OR($K9&lt;&gt;'計算A'!$A$3,'計算A'!$A$4=0)),AND(47=$I9-1,OR(23&lt;&gt;'計算A'!$A$3,'計算A'!$A$4=0))),0,IF(23=$K9,200000,ABS(23-$K9)*100)),100000+ABS(2-$J9)*1000+230)+'計算A'!AX$5*50+IF(AND($E9=1,KK9=0),25,0),IF($F9&gt;0,INDEX('計算A'!AX$110:AX$114,$F9+1)+IF(AND($E9=1,KK9=0),1000,0),MIN(TV9,20)*400+(IF('計算A'!AW$106=1,1-EU9,0)+IF('計算A'!AX$106=1,1-EW9,0))*150+232+'計算A'!AX$5*100000+IF(AND($E9=1,KK9=0),50000,0))+IF($H9=1,(IF('計算A'!AW$117=1,INDEX('計算A'!AW$10:AW$54,$B9),0)+IF('計算A'!AX$117=1,INDEX('計算A'!AY$10:AY$54,$B9),0))*4000,0)-IF(AND('計算A'!AW$117=1,VU9&gt;0),2000,0)-IF(AND($L9=1,'計算A'!AX$117=1,EW9=0),2000,0))),1000000))</f>
        <v/>
      </c>
      <c r="QA9">
        <f>IF($B9=0,1000000,IF(INDEX('計算A'!$D$60:$EQ$104,$B9,48)*EW9=1,IF(AND($E9=2,KL9=0),1000000,IF($I9&gt;0,IF(2=$J9,IF(OR(AND(48=$I9+1,OR($K9&lt;&gt;'計算A'!$A$3,'計算A'!$A$4=0)),AND(48=$I9-1,OR(24&lt;&gt;'計算A'!$A$3,'計算A'!$A$4=0))),0,IF(24=$K9,200000,ABS(24-$K9)*100)),100000+ABS(2-$J9)*1000+240)+'計算A'!AY$5*50+IF(AND($E9=1,KL9=0),25,0),IF($F9&gt;0,INDEX('計算A'!AY$110:AY$114,$F9+1)+IF(AND($E9=1,KL9=0),1000,0),MIN(TV9,20)*400+(IF('計算A'!AX$106=1,1-EV9,0))*150+242+'計算A'!AY$5*100000+IF(AND($E9=1,KL9=0),50000,0))+IF($H9=1,(IF('計算A'!AX$117=1,INDEX('計算A'!AX$10:AX$54,$B9),0))*4000,0)-IF(AND('計算A'!AX$117=1,VV9&gt;0),2000,0))),1000000))</f>
        <v/>
      </c>
      <c r="QB9">
        <f>IF($B9=0,1000000,IF(INDEX('計算A'!$D$60:$EQ$104,$B9,49)*EX9=1,IF(AND($E9=2,KM9=0),1000000,IF($I9&gt;0,IF(3=$J9,IF(OR(AND(49=$I9+1,OR($K9&lt;&gt;'計算A'!$A$3,'計算A'!$A$4=0)),AND(49=$I9-1,OR(1&lt;&gt;'計算A'!$A$3,'計算A'!$A$4=0))),0,IF(1=$K9,200000,ABS(1-$K9)*100)),100000+ABS(3-$J9)*1000+10)+'計算A'!AZ$5*50+IF(AND($E9=1,KM9=0),25,0),IF($F9&gt;0,INDEX('計算A'!AZ$110:AZ$114,$F9+1)+IF(AND($E9=1,KM9=0),1000,0),MIN(TW9,20)*400+(IF('計算A'!AZ$106=1,1-EY9,0))*150+13+'計算A'!AZ$5*100000+IF(AND($E9=1,KM9=0),50000,0))+IF($H9=1,(IF('計算A'!AZ$117=1,INDEX('計算A'!BA$10:BA$54,$B9),0))*4000,0)-IF(AND($L9=1,'計算A'!AZ$117=1,EY9=0),2000,0))),1000000))</f>
        <v/>
      </c>
      <c r="QC9">
        <f>IF($B9=0,1000000,IF(INDEX('計算A'!$D$60:$EQ$104,$B9,50)*EY9=1,IF(AND($E9=2,KN9=0),1000000,IF($I9&gt;0,IF(3=$J9,IF(OR(AND(50=$I9+1,OR($K9&lt;&gt;'計算A'!$A$3,'計算A'!$A$4=0)),AND(50=$I9-1,OR(2&lt;&gt;'計算A'!$A$3,'計算A'!$A$4=0))),0,IF(2=$K9,200000,ABS(2-$K9)*100)),100000+ABS(3-$J9)*1000+20)+'計算A'!BA$5*50+IF(AND($E9=1,KN9=0),25,0),IF($F9&gt;0,INDEX('計算A'!BA$110:BA$114,$F9+1)+IF(AND($E9=1,KN9=0),1000,0),MIN(TW9,20)*400+(IF('計算A'!AZ$106=1,1-EX9,0)+IF('計算A'!BA$106=1,1-EZ9,0))*150+23+'計算A'!BA$5*100000+IF(AND($E9=1,KN9=0),50000,0))+IF($H9=1,(IF('計算A'!AZ$117=1,INDEX('計算A'!AZ$10:AZ$54,$B9),0)+IF('計算A'!BA$117=1,INDEX('計算A'!BB$10:BB$54,$B9),0))*4000,0)-IF(AND('計算A'!AZ$117=1,VX9&gt;0),2000,0)-IF(AND($L9=1,'計算A'!BA$117=1,EZ9=0),2000,0))),1000000))</f>
        <v/>
      </c>
      <c r="QD9">
        <f>IF($B9=0,1000000,IF(INDEX('計算A'!$D$60:$EQ$104,$B9,51)*EZ9=1,IF(AND($E9=2,KO9=0),1000000,IF($I9&gt;0,IF(3=$J9,IF(OR(AND(51=$I9+1,OR($K9&lt;&gt;'計算A'!$A$3,'計算A'!$A$4=0)),AND(51=$I9-1,OR(3&lt;&gt;'計算A'!$A$3,'計算A'!$A$4=0))),0,IF(3=$K9,200000,ABS(3-$K9)*100)),100000+ABS(3-$J9)*1000+30)+'計算A'!BB$5*50+IF(AND($E9=1,KO9=0),25,0),IF($F9&gt;0,INDEX('計算A'!BB$110:BB$114,$F9+1)+IF(AND($E9=1,KO9=0),1000,0),MIN(TW9,20)*400+(IF('計算A'!BA$106=1,1-EY9,0)+IF('計算A'!BB$106=1,1-FA9,0))*150+33+'計算A'!BB$5*100000+IF(AND($E9=1,KO9=0),50000,0))+IF($H9=1,(IF('計算A'!BA$117=1,INDEX('計算A'!BA$10:BA$54,$B9),0)+IF('計算A'!BB$117=1,INDEX('計算A'!BC$10:BC$54,$B9),0))*4000,0)-IF(AND('計算A'!BA$117=1,VY9&gt;0),2000,0)-IF(AND($L9=1,'計算A'!BB$117=1,FA9=0),2000,0))),1000000))</f>
        <v/>
      </c>
      <c r="QE9">
        <f>IF($B9=0,1000000,IF(INDEX('計算A'!$D$60:$EQ$104,$B9,52)*FA9=1,IF(AND($E9=2,KP9=0),1000000,IF($I9&gt;0,IF(3=$J9,IF(OR(AND(52=$I9+1,OR($K9&lt;&gt;'計算A'!$A$3,'計算A'!$A$4=0)),AND(52=$I9-1,OR(4&lt;&gt;'計算A'!$A$3,'計算A'!$A$4=0))),0,IF(4=$K9,200000,ABS(4-$K9)*100)),100000+ABS(3-$J9)*1000+40)+'計算A'!BC$5*50+IF(AND($E9=1,KP9=0),25,0),IF($F9&gt;0,INDEX('計算A'!BC$110:BC$114,$F9+1)+IF(AND($E9=1,KP9=0),1000,0),MIN(TW9,20)*400+(IF('計算A'!BB$106=1,1-EZ9,0)+IF('計算A'!BC$106=1,1-FB9,0))*150+43+'計算A'!BC$5*100000+IF(AND($E9=1,KP9=0),50000,0))+IF($H9=1,(IF('計算A'!BB$117=1,INDEX('計算A'!BB$10:BB$54,$B9),0)+IF('計算A'!BC$117=1,INDEX('計算A'!BD$10:BD$54,$B9),0))*4000,0)-IF(AND('計算A'!BB$117=1,VZ9&gt;0),2000,0)-IF(AND($L9=1,'計算A'!BC$117=1,FB9=0),2000,0))),1000000))</f>
        <v/>
      </c>
      <c r="QF9">
        <f>IF($B9=0,1000000,IF(INDEX('計算A'!$D$60:$EQ$104,$B9,53)*FB9=1,IF(AND($E9=2,KQ9=0),1000000,IF($I9&gt;0,IF(3=$J9,IF(OR(AND(53=$I9+1,OR($K9&lt;&gt;'計算A'!$A$3,'計算A'!$A$4=0)),AND(53=$I9-1,OR(5&lt;&gt;'計算A'!$A$3,'計算A'!$A$4=0))),0,IF(5=$K9,200000,ABS(5-$K9)*100)),100000+ABS(3-$J9)*1000+50)+'計算A'!BD$5*50+IF(AND($E9=1,KQ9=0),25,0),IF($F9&gt;0,INDEX('計算A'!BD$110:BD$114,$F9+1)+IF(AND($E9=1,KQ9=0),1000,0),MIN(TW9,20)*400+(IF('計算A'!BC$106=1,1-FA9,0)+IF('計算A'!BD$106=1,1-FC9,0))*150+53+'計算A'!BD$5*100000+IF(AND($E9=1,KQ9=0),50000,0))+IF($H9=1,(IF('計算A'!BC$117=1,INDEX('計算A'!BC$10:BC$54,$B9),0)+IF('計算A'!BD$117=1,INDEX('計算A'!BE$10:BE$54,$B9),0))*4000,0)-IF(AND('計算A'!BC$117=1,WA9&gt;0),2000,0)-IF(AND($L9=1,'計算A'!BD$117=1,FC9=0),2000,0))),1000000))</f>
        <v/>
      </c>
      <c r="QG9">
        <f>IF($B9=0,1000000,IF(INDEX('計算A'!$D$60:$EQ$104,$B9,54)*FC9=1,IF(AND($E9=2,KR9=0),1000000,IF($I9&gt;0,IF(3=$J9,IF(OR(AND(54=$I9+1,OR($K9&lt;&gt;'計算A'!$A$3,'計算A'!$A$4=0)),AND(54=$I9-1,OR(6&lt;&gt;'計算A'!$A$3,'計算A'!$A$4=0))),0,IF(6=$K9,200000,ABS(6-$K9)*100)),100000+ABS(3-$J9)*1000+60)+'計算A'!BE$5*50+IF(AND($E9=1,KR9=0),25,0),IF($F9&gt;0,INDEX('計算A'!BE$110:BE$114,$F9+1)+IF(AND($E9=1,KR9=0),1000,0),MIN(TW9,20)*400+(IF('計算A'!BD$106=1,1-FB9,0)+IF('計算A'!BE$106=1,1-FD9,0))*150+63+'計算A'!BE$5*100000+IF(AND($E9=1,KR9=0),50000,0))+IF($H9=1,(IF('計算A'!BD$117=1,INDEX('計算A'!BD$10:BD$54,$B9),0)+IF('計算A'!BE$117=1,INDEX('計算A'!BF$10:BF$54,$B9),0))*4000,0)-IF(AND('計算A'!BD$117=1,WB9&gt;0),2000,0)-IF(AND($L9=1,'計算A'!BE$117=1,FD9=0),2000,0))),1000000))</f>
        <v/>
      </c>
      <c r="QH9">
        <f>IF($B9=0,1000000,IF(INDEX('計算A'!$D$60:$EQ$104,$B9,55)*FD9=1,IF(AND($E9=2,KS9=0),1000000,IF($I9&gt;0,IF(3=$J9,IF(OR(AND(55=$I9+1,OR($K9&lt;&gt;'計算A'!$A$3,'計算A'!$A$4=0)),AND(55=$I9-1,OR(7&lt;&gt;'計算A'!$A$3,'計算A'!$A$4=0))),0,IF(7=$K9,200000,ABS(7-$K9)*100)),100000+ABS(3-$J9)*1000+70)+'計算A'!BF$5*50+IF(AND($E9=1,KS9=0),25,0),IF($F9&gt;0,INDEX('計算A'!BF$110:BF$114,$F9+1)+IF(AND($E9=1,KS9=0),1000,0),MIN(TW9,20)*400+(IF('計算A'!BE$106=1,1-FC9,0)+IF('計算A'!BF$106=1,1-FE9,0))*150+73+'計算A'!BF$5*100000+IF(AND($E9=1,KS9=0),50000,0))+IF($H9=1,(IF('計算A'!BE$117=1,INDEX('計算A'!BE$10:BE$54,$B9),0)+IF('計算A'!BF$117=1,INDEX('計算A'!BG$10:BG$54,$B9),0))*4000,0)-IF(AND('計算A'!BE$117=1,WC9&gt;0),2000,0)-IF(AND($L9=1,'計算A'!BF$117=1,FE9=0),2000,0))),1000000))</f>
        <v/>
      </c>
      <c r="QI9">
        <f>IF($B9=0,1000000,IF(INDEX('計算A'!$D$60:$EQ$104,$B9,56)*FE9=1,IF(AND($E9=2,KT9=0),1000000,IF($I9&gt;0,IF(3=$J9,IF(OR(AND(56=$I9+1,OR($K9&lt;&gt;'計算A'!$A$3,'計算A'!$A$4=0)),AND(56=$I9-1,OR(8&lt;&gt;'計算A'!$A$3,'計算A'!$A$4=0))),0,IF(8=$K9,200000,ABS(8-$K9)*100)),100000+ABS(3-$J9)*1000+80)+'計算A'!BG$5*50+IF(AND($E9=1,KT9=0),25,0),IF($F9&gt;0,INDEX('計算A'!BG$110:BG$114,$F9+1)+IF(AND($E9=1,KT9=0),1000,0),MIN(TW9,20)*400+(IF('計算A'!BF$106=1,1-FD9,0)+IF('計算A'!BG$106=1,1-FF9,0))*150+83+'計算A'!BG$5*100000+IF(AND($E9=1,KT9=0),50000,0))+IF($H9=1,(IF('計算A'!BF$117=1,INDEX('計算A'!BF$10:BF$54,$B9),0)+IF('計算A'!BG$117=1,INDEX('計算A'!BH$10:BH$54,$B9),0))*4000,0)-IF(AND('計算A'!BF$117=1,WD9&gt;0),2000,0)-IF(AND($L9=1,'計算A'!BG$117=1,FF9=0),2000,0))),1000000))</f>
        <v/>
      </c>
      <c r="QJ9">
        <f>IF($B9=0,1000000,IF(INDEX('計算A'!$D$60:$EQ$104,$B9,57)*FF9=1,IF(AND($E9=2,KU9=0),1000000,IF($I9&gt;0,IF(3=$J9,IF(OR(AND(57=$I9+1,OR($K9&lt;&gt;'計算A'!$A$3,'計算A'!$A$4=0)),AND(57=$I9-1,OR(9&lt;&gt;'計算A'!$A$3,'計算A'!$A$4=0))),0,IF(9=$K9,200000,ABS(9-$K9)*100)),100000+ABS(3-$J9)*1000+90)+'計算A'!BH$5*50+IF(AND($E9=1,KU9=0),25,0),IF($F9&gt;0,INDEX('計算A'!BH$110:BH$114,$F9+1)+IF(AND($E9=1,KU9=0),1000,0),MIN(TW9,20)*400+(IF('計算A'!BG$106=1,1-FE9,0)+IF('計算A'!BH$106=1,1-FG9,0))*150+93+'計算A'!BH$5*100000+IF(AND($E9=1,KU9=0),50000,0))+IF($H9=1,(IF('計算A'!BG$117=1,INDEX('計算A'!BG$10:BG$54,$B9),0)+IF('計算A'!BH$117=1,INDEX('計算A'!BI$10:BI$54,$B9),0))*4000,0)-IF(AND('計算A'!BG$117=1,WE9&gt;0),2000,0)-IF(AND($L9=1,'計算A'!BH$117=1,FG9=0),2000,0))),1000000))</f>
        <v/>
      </c>
      <c r="QK9">
        <f>IF($B9=0,1000000,IF(INDEX('計算A'!$D$60:$EQ$104,$B9,58)*FG9=1,IF(AND($E9=2,KV9=0),1000000,IF($I9&gt;0,IF(3=$J9,IF(OR(AND(58=$I9+1,OR($K9&lt;&gt;'計算A'!$A$3,'計算A'!$A$4=0)),AND(58=$I9-1,OR(10&lt;&gt;'計算A'!$A$3,'計算A'!$A$4=0))),0,IF(10=$K9,200000,ABS(10-$K9)*100)),100000+ABS(3-$J9)*1000+100)+'計算A'!BI$5*50+IF(AND($E9=1,KV9=0),25,0),IF($F9&gt;0,INDEX('計算A'!BI$110:BI$114,$F9+1)+IF(AND($E9=1,KV9=0),1000,0),MIN(TW9,20)*400+(IF('計算A'!BH$106=1,1-FF9,0)+IF('計算A'!BI$106=1,1-FH9,0))*150+103+'計算A'!BI$5*100000+IF(AND($E9=1,KV9=0),50000,0))+IF($H9=1,(IF('計算A'!BH$117=1,INDEX('計算A'!BH$10:BH$54,$B9),0)+IF('計算A'!BI$117=1,INDEX('計算A'!BJ$10:BJ$54,$B9),0))*4000,0)-IF(AND('計算A'!BH$117=1,WF9&gt;0),2000,0)-IF(AND($L9=1,'計算A'!BI$117=1,FH9=0),2000,0))),1000000))</f>
        <v/>
      </c>
      <c r="QL9">
        <f>IF($B9=0,1000000,IF(INDEX('計算A'!$D$60:$EQ$104,$B9,59)*FH9=1,IF(AND($E9=2,KW9=0),1000000,IF($I9&gt;0,IF(3=$J9,IF(OR(AND(59=$I9+1,OR($K9&lt;&gt;'計算A'!$A$3,'計算A'!$A$4=0)),AND(59=$I9-1,OR(11&lt;&gt;'計算A'!$A$3,'計算A'!$A$4=0))),0,IF(11=$K9,200000,ABS(11-$K9)*100)),100000+ABS(3-$J9)*1000+110)+'計算A'!BJ$5*50+IF(AND($E9=1,KW9=0),25,0),IF($F9&gt;0,INDEX('計算A'!BJ$110:BJ$114,$F9+1)+IF(AND($E9=1,KW9=0),1000,0),MIN(TW9,20)*400+(IF('計算A'!BI$106=1,1-FG9,0)+IF('計算A'!BJ$106=1,1-FI9,0))*150+113+'計算A'!BJ$5*100000+IF(AND($E9=1,KW9=0),50000,0))+IF($H9=1,(IF('計算A'!BI$117=1,INDEX('計算A'!BI$10:BI$54,$B9),0)+IF('計算A'!BJ$117=1,INDEX('計算A'!BK$10:BK$54,$B9),0))*4000,0)-IF(AND('計算A'!BI$117=1,WG9&gt;0),2000,0)-IF(AND($L9=1,'計算A'!BJ$117=1,FI9=0),2000,0))),1000000))</f>
        <v/>
      </c>
      <c r="QM9">
        <f>IF($B9=0,1000000,IF(INDEX('計算A'!$D$60:$EQ$104,$B9,60)*FI9=1,IF(AND($E9=2,KX9=0),1000000,IF($I9&gt;0,IF(3=$J9,IF(OR(AND(60=$I9+1,OR($K9&lt;&gt;'計算A'!$A$3,'計算A'!$A$4=0)),AND(60=$I9-1,OR(12&lt;&gt;'計算A'!$A$3,'計算A'!$A$4=0))),0,IF(12=$K9,200000,ABS(12-$K9)*100)),100000+ABS(3-$J9)*1000+120)+'計算A'!BK$5*50+IF(AND($E9=1,KX9=0),25,0),IF($F9&gt;0,INDEX('計算A'!BK$110:BK$114,$F9+1)+IF(AND($E9=1,KX9=0),1000,0),MIN(TW9,20)*400+(IF('計算A'!BJ$106=1,1-FH9,0)+IF('計算A'!BK$106=1,1-FJ9,0))*150+123+'計算A'!BK$5*100000+IF(AND($E9=1,KX9=0),50000,0))+IF($H9=1,(IF('計算A'!BJ$117=1,INDEX('計算A'!BJ$10:BJ$54,$B9),0)+IF('計算A'!BK$117=1,INDEX('計算A'!BL$10:BL$54,$B9),0))*4000,0)-IF(AND('計算A'!BJ$117=1,WH9&gt;0),2000,0)-IF(AND($L9=1,'計算A'!BK$117=1,FJ9=0),2000,0))),1000000))</f>
        <v/>
      </c>
      <c r="QN9">
        <f>IF($B9=0,1000000,IF(INDEX('計算A'!$D$60:$EQ$104,$B9,61)*FJ9=1,IF(AND($E9=2,KY9=0),1000000,IF($I9&gt;0,IF(3=$J9,IF(OR(AND(61=$I9+1,OR($K9&lt;&gt;'計算A'!$A$3,'計算A'!$A$4=0)),AND(61=$I9-1,OR(13&lt;&gt;'計算A'!$A$3,'計算A'!$A$4=0))),0,IF(13=$K9,200000,ABS(13-$K9)*100)),100000+ABS(3-$J9)*1000+130)+'計算A'!BL$5*50+IF(AND($E9=1,KY9=0),25,0),IF($F9&gt;0,INDEX('計算A'!BL$110:BL$114,$F9+1)+IF(AND($E9=1,KY9=0),1000,0),MIN(TW9,20)*400+(IF('計算A'!BK$106=1,1-FI9,0)+IF('計算A'!BL$106=1,1-FK9,0))*150+133+'計算A'!BL$5*100000+IF(AND($E9=1,KY9=0),50000,0))+IF($H9=1,(IF('計算A'!BK$117=1,INDEX('計算A'!BK$10:BK$54,$B9),0)+IF('計算A'!BL$117=1,INDEX('計算A'!BM$10:BM$54,$B9),0))*4000,0)-IF(AND('計算A'!BK$117=1,WI9&gt;0),2000,0)-IF(AND($L9=1,'計算A'!BL$117=1,FK9=0),2000,0))),1000000))</f>
        <v/>
      </c>
      <c r="QO9">
        <f>IF($B9=0,1000000,IF(INDEX('計算A'!$D$60:$EQ$104,$B9,62)*FK9=1,IF(AND($E9=2,KZ9=0),1000000,IF($I9&gt;0,IF(3=$J9,IF(OR(AND(62=$I9+1,OR($K9&lt;&gt;'計算A'!$A$3,'計算A'!$A$4=0)),AND(62=$I9-1,OR(14&lt;&gt;'計算A'!$A$3,'計算A'!$A$4=0))),0,IF(14=$K9,200000,ABS(14-$K9)*100)),100000+ABS(3-$J9)*1000+140)+'計算A'!BM$5*50+IF(AND($E9=1,KZ9=0),25,0),IF($F9&gt;0,INDEX('計算A'!BM$110:BM$114,$F9+1)+IF(AND($E9=1,KZ9=0),1000,0),MIN(TW9,20)*400+(IF('計算A'!BL$106=1,1-FJ9,0)+IF('計算A'!BM$106=1,1-FL9,0))*150+143+'計算A'!BM$5*100000+IF(AND($E9=1,KZ9=0),50000,0))+IF($H9=1,(IF('計算A'!BL$117=1,INDEX('計算A'!BL$10:BL$54,$B9),0)+IF('計算A'!BM$117=1,INDEX('計算A'!BN$10:BN$54,$B9),0))*4000,0)-IF(AND('計算A'!BL$117=1,WJ9&gt;0),2000,0)-IF(AND($L9=1,'計算A'!BM$117=1,FL9=0),2000,0))),1000000))</f>
        <v/>
      </c>
      <c r="QP9">
        <f>IF($B9=0,1000000,IF(INDEX('計算A'!$D$60:$EQ$104,$B9,63)*FL9=1,IF(AND($E9=2,LA9=0),1000000,IF($I9&gt;0,IF(3=$J9,IF(OR(AND(63=$I9+1,OR($K9&lt;&gt;'計算A'!$A$3,'計算A'!$A$4=0)),AND(63=$I9-1,OR(15&lt;&gt;'計算A'!$A$3,'計算A'!$A$4=0))),0,IF(15=$K9,200000,ABS(15-$K9)*100)),100000+ABS(3-$J9)*1000+150)+'計算A'!BN$5*50+IF(AND($E9=1,LA9=0),25,0),IF($F9&gt;0,INDEX('計算A'!BN$110:BN$114,$F9+1)+IF(AND($E9=1,LA9=0),1000,0),MIN(TW9,20)*400+(IF('計算A'!BM$106=1,1-FK9,0)+IF('計算A'!BN$106=1,1-FM9,0))*150+153+'計算A'!BN$5*100000+IF(AND($E9=1,LA9=0),50000,0))+IF($H9=1,(IF('計算A'!BM$117=1,INDEX('計算A'!BM$10:BM$54,$B9),0)+IF('計算A'!BN$117=1,INDEX('計算A'!BO$10:BO$54,$B9),0))*4000,0)-IF(AND('計算A'!BM$117=1,WK9&gt;0),2000,0)-IF(AND($L9=1,'計算A'!BN$117=1,FM9=0),2000,0))),1000000))</f>
        <v/>
      </c>
      <c r="QQ9">
        <f>IF($B9=0,1000000,IF(INDEX('計算A'!$D$60:$EQ$104,$B9,64)*FM9=1,IF(AND($E9=2,LB9=0),1000000,IF($I9&gt;0,IF(3=$J9,IF(OR(AND(64=$I9+1,OR($K9&lt;&gt;'計算A'!$A$3,'計算A'!$A$4=0)),AND(64=$I9-1,OR(16&lt;&gt;'計算A'!$A$3,'計算A'!$A$4=0))),0,IF(16=$K9,200000,ABS(16-$K9)*100)),100000+ABS(3-$J9)*1000+160)+'計算A'!BO$5*50+IF(AND($E9=1,LB9=0),25,0),IF($F9&gt;0,INDEX('計算A'!BO$110:BO$114,$F9+1)+IF(AND($E9=1,LB9=0),1000,0),MIN(TW9,20)*400+(IF('計算A'!BN$106=1,1-FL9,0)+IF('計算A'!BO$106=1,1-FN9,0))*150+163+'計算A'!BO$5*100000+IF(AND($E9=1,LB9=0),50000,0))+IF($H9=1,(IF('計算A'!BN$117=1,INDEX('計算A'!BN$10:BN$54,$B9),0)+IF('計算A'!BO$117=1,INDEX('計算A'!BP$10:BP$54,$B9),0))*4000,0)-IF(AND('計算A'!BN$117=1,WL9&gt;0),2000,0)-IF(AND($L9=1,'計算A'!BO$117=1,FN9=0),2000,0))),1000000))</f>
        <v/>
      </c>
      <c r="QR9">
        <f>IF($B9=0,1000000,IF(INDEX('計算A'!$D$60:$EQ$104,$B9,65)*FN9=1,IF(AND($E9=2,LC9=0),1000000,IF($I9&gt;0,IF(3=$J9,IF(OR(AND(65=$I9+1,OR($K9&lt;&gt;'計算A'!$A$3,'計算A'!$A$4=0)),AND(65=$I9-1,OR(17&lt;&gt;'計算A'!$A$3,'計算A'!$A$4=0))),0,IF(17=$K9,200000,ABS(17-$K9)*100)),100000+ABS(3-$J9)*1000+170)+'計算A'!BP$5*50+IF(AND($E9=1,LC9=0),25,0),IF($F9&gt;0,INDEX('計算A'!BP$110:BP$114,$F9+1)+IF(AND($E9=1,LC9=0),1000,0),MIN(TW9,20)*400+(IF('計算A'!BO$106=1,1-FM9,0)+IF('計算A'!BP$106=1,1-FO9,0))*150+173+'計算A'!BP$5*100000+IF(AND($E9=1,LC9=0),50000,0))+IF($H9=1,(IF('計算A'!BO$117=1,INDEX('計算A'!BO$10:BO$54,$B9),0)+IF('計算A'!BP$117=1,INDEX('計算A'!BQ$10:BQ$54,$B9),0))*4000,0)-IF(AND('計算A'!BO$117=1,WM9&gt;0),2000,0)-IF(AND($L9=1,'計算A'!BP$117=1,FO9=0),2000,0))),1000000))</f>
        <v/>
      </c>
      <c r="QS9">
        <f>IF($B9=0,1000000,IF(INDEX('計算A'!$D$60:$EQ$104,$B9,66)*FO9=1,IF(AND($E9=2,LD9=0),1000000,IF($I9&gt;0,IF(3=$J9,IF(OR(AND(66=$I9+1,OR($K9&lt;&gt;'計算A'!$A$3,'計算A'!$A$4=0)),AND(66=$I9-1,OR(18&lt;&gt;'計算A'!$A$3,'計算A'!$A$4=0))),0,IF(18=$K9,200000,ABS(18-$K9)*100)),100000+ABS(3-$J9)*1000+180)+'計算A'!BQ$5*50+IF(AND($E9=1,LD9=0),25,0),IF($F9&gt;0,INDEX('計算A'!BQ$110:BQ$114,$F9+1)+IF(AND($E9=1,LD9=0),1000,0),MIN(TW9,20)*400+(IF('計算A'!BP$106=1,1-FN9,0)+IF('計算A'!BQ$106=1,1-FP9,0))*150+183+'計算A'!BQ$5*100000+IF(AND($E9=1,LD9=0),50000,0))+IF($H9=1,(IF('計算A'!BP$117=1,INDEX('計算A'!BP$10:BP$54,$B9),0)+IF('計算A'!BQ$117=1,INDEX('計算A'!BR$10:BR$54,$B9),0))*4000,0)-IF(AND('計算A'!BP$117=1,WN9&gt;0),2000,0)-IF(AND($L9=1,'計算A'!BQ$117=1,FP9=0),2000,0))),1000000))</f>
        <v/>
      </c>
      <c r="QT9">
        <f>IF($B9=0,1000000,IF(INDEX('計算A'!$D$60:$EQ$104,$B9,67)*FP9=1,IF(AND($E9=2,LE9=0),1000000,IF($I9&gt;0,IF(3=$J9,IF(OR(AND(67=$I9+1,OR($K9&lt;&gt;'計算A'!$A$3,'計算A'!$A$4=0)),AND(67=$I9-1,OR(19&lt;&gt;'計算A'!$A$3,'計算A'!$A$4=0))),0,IF(19=$K9,200000,ABS(19-$K9)*100)),100000+ABS(3-$J9)*1000+190)+'計算A'!BR$5*50+IF(AND($E9=1,LE9=0),25,0),IF($F9&gt;0,INDEX('計算A'!BR$110:BR$114,$F9+1)+IF(AND($E9=1,LE9=0),1000,0),MIN(TW9,20)*400+(IF('計算A'!BQ$106=1,1-FO9,0)+IF('計算A'!BR$106=1,1-FQ9,0))*150+193+'計算A'!BR$5*100000+IF(AND($E9=1,LE9=0),50000,0))+IF($H9=1,(IF('計算A'!BQ$117=1,INDEX('計算A'!BQ$10:BQ$54,$B9),0)+IF('計算A'!BR$117=1,INDEX('計算A'!BS$10:BS$54,$B9),0))*4000,0)-IF(AND('計算A'!BQ$117=1,WO9&gt;0),2000,0)-IF(AND($L9=1,'計算A'!BR$117=1,FQ9=0),2000,0))),1000000))</f>
        <v/>
      </c>
      <c r="QU9">
        <f>IF($B9=0,1000000,IF(INDEX('計算A'!$D$60:$EQ$104,$B9,68)*FQ9=1,IF(AND($E9=2,LF9=0),1000000,IF($I9&gt;0,IF(3=$J9,IF(OR(AND(68=$I9+1,OR($K9&lt;&gt;'計算A'!$A$3,'計算A'!$A$4=0)),AND(68=$I9-1,OR(20&lt;&gt;'計算A'!$A$3,'計算A'!$A$4=0))),0,IF(20=$K9,200000,ABS(20-$K9)*100)),100000+ABS(3-$J9)*1000+200)+'計算A'!BS$5*50+IF(AND($E9=1,LF9=0),25,0),IF($F9&gt;0,INDEX('計算A'!BS$110:BS$114,$F9+1)+IF(AND($E9=1,LF9=0),1000,0),MIN(TW9,20)*400+(IF('計算A'!BR$106=1,1-FP9,0)+IF('計算A'!BS$106=1,1-FR9,0))*150+203+'計算A'!BS$5*100000+IF(AND($E9=1,LF9=0),50000,0))+IF($H9=1,(IF('計算A'!BR$117=1,INDEX('計算A'!BR$10:BR$54,$B9),0)+IF('計算A'!BS$117=1,INDEX('計算A'!BT$10:BT$54,$B9),0))*4000,0)-IF(AND('計算A'!BR$117=1,WP9&gt;0),2000,0)-IF(AND($L9=1,'計算A'!BS$117=1,FR9=0),2000,0))),1000000))</f>
        <v/>
      </c>
      <c r="QV9">
        <f>IF($B9=0,1000000,IF(INDEX('計算A'!$D$60:$EQ$104,$B9,69)*FR9=1,IF(AND($E9=2,LG9=0),1000000,IF($I9&gt;0,IF(3=$J9,IF(OR(AND(69=$I9+1,OR($K9&lt;&gt;'計算A'!$A$3,'計算A'!$A$4=0)),AND(69=$I9-1,OR(21&lt;&gt;'計算A'!$A$3,'計算A'!$A$4=0))),0,IF(21=$K9,200000,ABS(21-$K9)*100)),100000+ABS(3-$J9)*1000+210)+'計算A'!BT$5*50+IF(AND($E9=1,LG9=0),25,0),IF($F9&gt;0,INDEX('計算A'!BT$110:BT$114,$F9+1)+IF(AND($E9=1,LG9=0),1000,0),MIN(TW9,20)*400+(IF('計算A'!BS$106=1,1-FQ9,0)+IF('計算A'!BT$106=1,1-FS9,0))*150+213+'計算A'!BT$5*100000+IF(AND($E9=1,LG9=0),50000,0))+IF($H9=1,(IF('計算A'!BS$117=1,INDEX('計算A'!BS$10:BS$54,$B9),0)+IF('計算A'!BT$117=1,INDEX('計算A'!BU$10:BU$54,$B9),0))*4000,0)-IF(AND('計算A'!BS$117=1,WQ9&gt;0),2000,0)-IF(AND($L9=1,'計算A'!BT$117=1,FS9=0),2000,0))),1000000))</f>
        <v/>
      </c>
      <c r="QW9">
        <f>IF($B9=0,1000000,IF(INDEX('計算A'!$D$60:$EQ$104,$B9,70)*FS9=1,IF(AND($E9=2,LH9=0),1000000,IF($I9&gt;0,IF(3=$J9,IF(OR(AND(70=$I9+1,OR($K9&lt;&gt;'計算A'!$A$3,'計算A'!$A$4=0)),AND(70=$I9-1,OR(22&lt;&gt;'計算A'!$A$3,'計算A'!$A$4=0))),0,IF(22=$K9,200000,ABS(22-$K9)*100)),100000+ABS(3-$J9)*1000+220)+'計算A'!BU$5*50+IF(AND($E9=1,LH9=0),25,0),IF($F9&gt;0,INDEX('計算A'!BU$110:BU$114,$F9+1)+IF(AND($E9=1,LH9=0),1000,0),MIN(TW9,20)*400+(IF('計算A'!BT$106=1,1-FR9,0)+IF('計算A'!BU$106=1,1-FT9,0))*150+223+'計算A'!BU$5*100000+IF(AND($E9=1,LH9=0),50000,0))+IF($H9=1,(IF('計算A'!BT$117=1,INDEX('計算A'!BT$10:BT$54,$B9),0)+IF('計算A'!BU$117=1,INDEX('計算A'!BV$10:BV$54,$B9),0))*4000,0)-IF(AND('計算A'!BT$117=1,WR9&gt;0),2000,0)-IF(AND($L9=1,'計算A'!BU$117=1,FT9=0),2000,0))),1000000))</f>
        <v/>
      </c>
      <c r="QX9">
        <f>IF($B9=0,1000000,IF(INDEX('計算A'!$D$60:$EQ$104,$B9,71)*FT9=1,IF(AND($E9=2,LI9=0),1000000,IF($I9&gt;0,IF(3=$J9,IF(OR(AND(71=$I9+1,OR($K9&lt;&gt;'計算A'!$A$3,'計算A'!$A$4=0)),AND(71=$I9-1,OR(23&lt;&gt;'計算A'!$A$3,'計算A'!$A$4=0))),0,IF(23=$K9,200000,ABS(23-$K9)*100)),100000+ABS(3-$J9)*1000+230)+'計算A'!BV$5*50+IF(AND($E9=1,LI9=0),25,0),IF($F9&gt;0,INDEX('計算A'!BV$110:BV$114,$F9+1)+IF(AND($E9=1,LI9=0),1000,0),MIN(TW9,20)*400+(IF('計算A'!BU$106=1,1-FS9,0)+IF('計算A'!BV$106=1,1-FU9,0))*150+233+'計算A'!BV$5*100000+IF(AND($E9=1,LI9=0),50000,0))+IF($H9=1,(IF('計算A'!BU$117=1,INDEX('計算A'!BU$10:BU$54,$B9),0)+IF('計算A'!BV$117=1,INDEX('計算A'!BW$10:BW$54,$B9),0))*4000,0)-IF(AND('計算A'!BU$117=1,WS9&gt;0),2000,0)-IF(AND($L9=1,'計算A'!BV$117=1,FU9=0),2000,0))),1000000))</f>
        <v/>
      </c>
      <c r="QY9">
        <f>IF($B9=0,1000000,IF(INDEX('計算A'!$D$60:$EQ$104,$B9,72)*FU9=1,IF(AND($E9=2,LJ9=0),1000000,IF($I9&gt;0,IF(3=$J9,IF(OR(AND(72=$I9+1,OR($K9&lt;&gt;'計算A'!$A$3,'計算A'!$A$4=0)),AND(72=$I9-1,OR(24&lt;&gt;'計算A'!$A$3,'計算A'!$A$4=0))),0,IF(24=$K9,200000,ABS(24-$K9)*100)),100000+ABS(3-$J9)*1000+240)+'計算A'!BW$5*50+IF(AND($E9=1,LJ9=0),25,0),IF($F9&gt;0,INDEX('計算A'!BW$110:BW$114,$F9+1)+IF(AND($E9=1,LJ9=0),1000,0),MIN(TW9,20)*400+(IF('計算A'!BV$106=1,1-FT9,0))*150+243+'計算A'!BW$5*100000+IF(AND($E9=1,LJ9=0),50000,0))+IF($H9=1,(IF('計算A'!BV$117=1,INDEX('計算A'!BV$10:BV$54,$B9),0))*4000,0)-IF(AND('計算A'!BV$117=1,WT9&gt;0),2000,0))),1000000))</f>
        <v/>
      </c>
      <c r="QZ9">
        <f>IF($B9=0,1000000,IF(INDEX('計算A'!$D$60:$EQ$104,$B9,73)*FV9=1,IF(AND($E9=2,LK9=0),1000000,IF($I9&gt;0,IF(4=$J9,IF(OR(AND(73=$I9+1,OR($K9&lt;&gt;'計算A'!$A$3,'計算A'!$A$4=0)),AND(73=$I9-1,OR(1&lt;&gt;'計算A'!$A$3,'計算A'!$A$4=0))),0,IF(1=$K9,200000,ABS(1-$K9)*100)),100000+ABS(4-$J9)*1000+10)+'計算A'!BX$5*50+IF(AND($E9=1,LK9=0),25,0),IF($F9&gt;0,INDEX('計算A'!BX$110:BX$114,$F9+1)+IF(AND($E9=1,LK9=0),1000,0),MIN(TX9,20)*400+(IF('計算A'!BX$106=1,1-FW9,0))*150+14+'計算A'!BX$5*100000+IF(AND($E9=1,LK9=0),50000,0))+IF($H9=1,(IF('計算A'!BX$117=1,INDEX('計算A'!BY$10:BY$54,$B9),0))*4000,0)-IF(AND($L9=1,'計算A'!BX$117=1,FW9=0),2000,0))),1000000))</f>
        <v/>
      </c>
      <c r="RA9">
        <f>IF($B9=0,1000000,IF(INDEX('計算A'!$D$60:$EQ$104,$B9,74)*FW9=1,IF(AND($E9=2,LL9=0),1000000,IF($I9&gt;0,IF(4=$J9,IF(OR(AND(74=$I9+1,OR($K9&lt;&gt;'計算A'!$A$3,'計算A'!$A$4=0)),AND(74=$I9-1,OR(2&lt;&gt;'計算A'!$A$3,'計算A'!$A$4=0))),0,IF(2=$K9,200000,ABS(2-$K9)*100)),100000+ABS(4-$J9)*1000+20)+'計算A'!BY$5*50+IF(AND($E9=1,LL9=0),25,0),IF($F9&gt;0,INDEX('計算A'!BY$110:BY$114,$F9+1)+IF(AND($E9=1,LL9=0),1000,0),MIN(TX9,20)*400+(IF('計算A'!BX$106=1,1-FV9,0)+IF('計算A'!BY$106=1,1-FX9,0))*150+24+'計算A'!BY$5*100000+IF(AND($E9=1,LL9=0),50000,0))+IF($H9=1,(IF('計算A'!BX$117=1,INDEX('計算A'!BX$10:BX$54,$B9),0)+IF('計算A'!BY$117=1,INDEX('計算A'!BZ$10:BZ$54,$B9),0))*4000,0)-IF(AND('計算A'!BX$117=1,WV9&gt;0),2000,0)-IF(AND($L9=1,'計算A'!BY$117=1,FX9=0),2000,0))),1000000))</f>
        <v/>
      </c>
      <c r="RB9">
        <f>IF($B9=0,1000000,IF(INDEX('計算A'!$D$60:$EQ$104,$B9,75)*FX9=1,IF(AND($E9=2,LM9=0),1000000,IF($I9&gt;0,IF(4=$J9,IF(OR(AND(75=$I9+1,OR($K9&lt;&gt;'計算A'!$A$3,'計算A'!$A$4=0)),AND(75=$I9-1,OR(3&lt;&gt;'計算A'!$A$3,'計算A'!$A$4=0))),0,IF(3=$K9,200000,ABS(3-$K9)*100)),100000+ABS(4-$J9)*1000+30)+'計算A'!BZ$5*50+IF(AND($E9=1,LM9=0),25,0),IF($F9&gt;0,INDEX('計算A'!BZ$110:BZ$114,$F9+1)+IF(AND($E9=1,LM9=0),1000,0),MIN(TX9,20)*400+(IF('計算A'!BY$106=1,1-FW9,0)+IF('計算A'!BZ$106=1,1-FY9,0))*150+34+'計算A'!BZ$5*100000+IF(AND($E9=1,LM9=0),50000,0))+IF($H9=1,(IF('計算A'!BY$117=1,INDEX('計算A'!BY$10:BY$54,$B9),0)+IF('計算A'!BZ$117=1,INDEX('計算A'!CA$10:CA$54,$B9),0))*4000,0)-IF(AND('計算A'!BY$117=1,WW9&gt;0),2000,0)-IF(AND($L9=1,'計算A'!BZ$117=1,FY9=0),2000,0))),1000000))</f>
        <v/>
      </c>
      <c r="RC9">
        <f>IF($B9=0,1000000,IF(INDEX('計算A'!$D$60:$EQ$104,$B9,76)*FY9=1,IF(AND($E9=2,LN9=0),1000000,IF($I9&gt;0,IF(4=$J9,IF(OR(AND(76=$I9+1,OR($K9&lt;&gt;'計算A'!$A$3,'計算A'!$A$4=0)),AND(76=$I9-1,OR(4&lt;&gt;'計算A'!$A$3,'計算A'!$A$4=0))),0,IF(4=$K9,200000,ABS(4-$K9)*100)),100000+ABS(4-$J9)*1000+40)+'計算A'!CA$5*50+IF(AND($E9=1,LN9=0),25,0),IF($F9&gt;0,INDEX('計算A'!CA$110:CA$114,$F9+1)+IF(AND($E9=1,LN9=0),1000,0),MIN(TX9,20)*400+(IF('計算A'!BZ$106=1,1-FX9,0)+IF('計算A'!CA$106=1,1-FZ9,0))*150+44+'計算A'!CA$5*100000+IF(AND($E9=1,LN9=0),50000,0))+IF($H9=1,(IF('計算A'!BZ$117=1,INDEX('計算A'!BZ$10:BZ$54,$B9),0)+IF('計算A'!CA$117=1,INDEX('計算A'!CB$10:CB$54,$B9),0))*4000,0)-IF(AND('計算A'!BZ$117=1,WX9&gt;0),2000,0)-IF(AND($L9=1,'計算A'!CA$117=1,FZ9=0),2000,0))),1000000))</f>
        <v/>
      </c>
      <c r="RD9">
        <f>IF($B9=0,1000000,IF(INDEX('計算A'!$D$60:$EQ$104,$B9,77)*FZ9=1,IF(AND($E9=2,LO9=0),1000000,IF($I9&gt;0,IF(4=$J9,IF(OR(AND(77=$I9+1,OR($K9&lt;&gt;'計算A'!$A$3,'計算A'!$A$4=0)),AND(77=$I9-1,OR(5&lt;&gt;'計算A'!$A$3,'計算A'!$A$4=0))),0,IF(5=$K9,200000,ABS(5-$K9)*100)),100000+ABS(4-$J9)*1000+50)+'計算A'!CB$5*50+IF(AND($E9=1,LO9=0),25,0),IF($F9&gt;0,INDEX('計算A'!CB$110:CB$114,$F9+1)+IF(AND($E9=1,LO9=0),1000,0),MIN(TX9,20)*400+(IF('計算A'!CA$106=1,1-FY9,0)+IF('計算A'!CB$106=1,1-GA9,0))*150+54+'計算A'!CB$5*100000+IF(AND($E9=1,LO9=0),50000,0))+IF($H9=1,(IF('計算A'!CA$117=1,INDEX('計算A'!CA$10:CA$54,$B9),0)+IF('計算A'!CB$117=1,INDEX('計算A'!CC$10:CC$54,$B9),0))*4000,0)-IF(AND('計算A'!CA$117=1,WY9&gt;0),2000,0)-IF(AND($L9=1,'計算A'!CB$117=1,GA9=0),2000,0))),1000000))</f>
        <v/>
      </c>
      <c r="RE9">
        <f>IF($B9=0,1000000,IF(INDEX('計算A'!$D$60:$EQ$104,$B9,78)*GA9=1,IF(AND($E9=2,LP9=0),1000000,IF($I9&gt;0,IF(4=$J9,IF(OR(AND(78=$I9+1,OR($K9&lt;&gt;'計算A'!$A$3,'計算A'!$A$4=0)),AND(78=$I9-1,OR(6&lt;&gt;'計算A'!$A$3,'計算A'!$A$4=0))),0,IF(6=$K9,200000,ABS(6-$K9)*100)),100000+ABS(4-$J9)*1000+60)+'計算A'!CC$5*50+IF(AND($E9=1,LP9=0),25,0),IF($F9&gt;0,INDEX('計算A'!CC$110:CC$114,$F9+1)+IF(AND($E9=1,LP9=0),1000,0),MIN(TX9,20)*400+(IF('計算A'!CB$106=1,1-FZ9,0)+IF('計算A'!CC$106=1,1-GB9,0))*150+64+'計算A'!CC$5*100000+IF(AND($E9=1,LP9=0),50000,0))+IF($H9=1,(IF('計算A'!CB$117=1,INDEX('計算A'!CB$10:CB$54,$B9),0)+IF('計算A'!CC$117=1,INDEX('計算A'!CD$10:CD$54,$B9),0))*4000,0)-IF(AND('計算A'!CB$117=1,WZ9&gt;0),2000,0)-IF(AND($L9=1,'計算A'!CC$117=1,GB9=0),2000,0))),1000000))</f>
        <v/>
      </c>
      <c r="RF9">
        <f>IF($B9=0,1000000,IF(INDEX('計算A'!$D$60:$EQ$104,$B9,79)*GB9=1,IF(AND($E9=2,LQ9=0),1000000,IF($I9&gt;0,IF(4=$J9,IF(OR(AND(79=$I9+1,OR($K9&lt;&gt;'計算A'!$A$3,'計算A'!$A$4=0)),AND(79=$I9-1,OR(7&lt;&gt;'計算A'!$A$3,'計算A'!$A$4=0))),0,IF(7=$K9,200000,ABS(7-$K9)*100)),100000+ABS(4-$J9)*1000+70)+'計算A'!CD$5*50+IF(AND($E9=1,LQ9=0),25,0),IF($F9&gt;0,INDEX('計算A'!CD$110:CD$114,$F9+1)+IF(AND($E9=1,LQ9=0),1000,0),MIN(TX9,20)*400+(IF('計算A'!CC$106=1,1-GA9,0)+IF('計算A'!CD$106=1,1-GC9,0))*150+74+'計算A'!CD$5*100000+IF(AND($E9=1,LQ9=0),50000,0))+IF($H9=1,(IF('計算A'!CC$117=1,INDEX('計算A'!CC$10:CC$54,$B9),0)+IF('計算A'!CD$117=1,INDEX('計算A'!CE$10:CE$54,$B9),0))*4000,0)-IF(AND('計算A'!CC$117=1,XA9&gt;0),2000,0)-IF(AND($L9=1,'計算A'!CD$117=1,GC9=0),2000,0))),1000000))</f>
        <v/>
      </c>
      <c r="RG9">
        <f>IF($B9=0,1000000,IF(INDEX('計算A'!$D$60:$EQ$104,$B9,80)*GC9=1,IF(AND($E9=2,LR9=0),1000000,IF($I9&gt;0,IF(4=$J9,IF(OR(AND(80=$I9+1,OR($K9&lt;&gt;'計算A'!$A$3,'計算A'!$A$4=0)),AND(80=$I9-1,OR(8&lt;&gt;'計算A'!$A$3,'計算A'!$A$4=0))),0,IF(8=$K9,200000,ABS(8-$K9)*100)),100000+ABS(4-$J9)*1000+80)+'計算A'!CE$5*50+IF(AND($E9=1,LR9=0),25,0),IF($F9&gt;0,INDEX('計算A'!CE$110:CE$114,$F9+1)+IF(AND($E9=1,LR9=0),1000,0),MIN(TX9,20)*400+(IF('計算A'!CD$106=1,1-GB9,0)+IF('計算A'!CE$106=1,1-GD9,0))*150+84+'計算A'!CE$5*100000+IF(AND($E9=1,LR9=0),50000,0))+IF($H9=1,(IF('計算A'!CD$117=1,INDEX('計算A'!CD$10:CD$54,$B9),0)+IF('計算A'!CE$117=1,INDEX('計算A'!CF$10:CF$54,$B9),0))*4000,0)-IF(AND('計算A'!CD$117=1,XB9&gt;0),2000,0)-IF(AND($L9=1,'計算A'!CE$117=1,GD9=0),2000,0))),1000000))</f>
        <v/>
      </c>
      <c r="RH9">
        <f>IF($B9=0,1000000,IF(INDEX('計算A'!$D$60:$EQ$104,$B9,81)*GD9=1,IF(AND($E9=2,LS9=0),1000000,IF($I9&gt;0,IF(4=$J9,IF(OR(AND(81=$I9+1,OR($K9&lt;&gt;'計算A'!$A$3,'計算A'!$A$4=0)),AND(81=$I9-1,OR(9&lt;&gt;'計算A'!$A$3,'計算A'!$A$4=0))),0,IF(9=$K9,200000,ABS(9-$K9)*100)),100000+ABS(4-$J9)*1000+90)+'計算A'!CF$5*50+IF(AND($E9=1,LS9=0),25,0),IF($F9&gt;0,INDEX('計算A'!CF$110:CF$114,$F9+1)+IF(AND($E9=1,LS9=0),1000,0),MIN(TX9,20)*400+(IF('計算A'!CE$106=1,1-GC9,0)+IF('計算A'!CF$106=1,1-GE9,0))*150+94+'計算A'!CF$5*100000+IF(AND($E9=1,LS9=0),50000,0))+IF($H9=1,(IF('計算A'!CE$117=1,INDEX('計算A'!CE$10:CE$54,$B9),0)+IF('計算A'!CF$117=1,INDEX('計算A'!CG$10:CG$54,$B9),0))*4000,0)-IF(AND('計算A'!CE$117=1,XC9&gt;0),2000,0)-IF(AND($L9=1,'計算A'!CF$117=1,GE9=0),2000,0))),1000000))</f>
        <v/>
      </c>
      <c r="RI9">
        <f>IF($B9=0,1000000,IF(INDEX('計算A'!$D$60:$EQ$104,$B9,82)*GE9=1,IF(AND($E9=2,LT9=0),1000000,IF($I9&gt;0,IF(4=$J9,IF(OR(AND(82=$I9+1,OR($K9&lt;&gt;'計算A'!$A$3,'計算A'!$A$4=0)),AND(82=$I9-1,OR(10&lt;&gt;'計算A'!$A$3,'計算A'!$A$4=0))),0,IF(10=$K9,200000,ABS(10-$K9)*100)),100000+ABS(4-$J9)*1000+100)+'計算A'!CG$5*50+IF(AND($E9=1,LT9=0),25,0),IF($F9&gt;0,INDEX('計算A'!CG$110:CG$114,$F9+1)+IF(AND($E9=1,LT9=0),1000,0),MIN(TX9,20)*400+(IF('計算A'!CF$106=1,1-GD9,0)+IF('計算A'!CG$106=1,1-GF9,0))*150+104+'計算A'!CG$5*100000+IF(AND($E9=1,LT9=0),50000,0))+IF($H9=1,(IF('計算A'!CF$117=1,INDEX('計算A'!CF$10:CF$54,$B9),0)+IF('計算A'!CG$117=1,INDEX('計算A'!CH$10:CH$54,$B9),0))*4000,0)-IF(AND('計算A'!CF$117=1,XD9&gt;0),2000,0)-IF(AND($L9=1,'計算A'!CG$117=1,GF9=0),2000,0))),1000000))</f>
        <v/>
      </c>
      <c r="RJ9">
        <f>IF($B9=0,1000000,IF(INDEX('計算A'!$D$60:$EQ$104,$B9,83)*GF9=1,IF(AND($E9=2,LU9=0),1000000,IF($I9&gt;0,IF(4=$J9,IF(OR(AND(83=$I9+1,OR($K9&lt;&gt;'計算A'!$A$3,'計算A'!$A$4=0)),AND(83=$I9-1,OR(11&lt;&gt;'計算A'!$A$3,'計算A'!$A$4=0))),0,IF(11=$K9,200000,ABS(11-$K9)*100)),100000+ABS(4-$J9)*1000+110)+'計算A'!CH$5*50+IF(AND($E9=1,LU9=0),25,0),IF($F9&gt;0,INDEX('計算A'!CH$110:CH$114,$F9+1)+IF(AND($E9=1,LU9=0),1000,0),MIN(TX9,20)*400+(IF('計算A'!CG$106=1,1-GE9,0)+IF('計算A'!CH$106=1,1-GG9,0))*150+114+'計算A'!CH$5*100000+IF(AND($E9=1,LU9=0),50000,0))+IF($H9=1,(IF('計算A'!CG$117=1,INDEX('計算A'!CG$10:CG$54,$B9),0)+IF('計算A'!CH$117=1,INDEX('計算A'!CI$10:CI$54,$B9),0))*4000,0)-IF(AND('計算A'!CG$117=1,XE9&gt;0),2000,0)-IF(AND($L9=1,'計算A'!CH$117=1,GG9=0),2000,0))),1000000))</f>
        <v/>
      </c>
      <c r="RK9">
        <f>IF($B9=0,1000000,IF(INDEX('計算A'!$D$60:$EQ$104,$B9,84)*GG9=1,IF(AND($E9=2,LV9=0),1000000,IF($I9&gt;0,IF(4=$J9,IF(OR(AND(84=$I9+1,OR($K9&lt;&gt;'計算A'!$A$3,'計算A'!$A$4=0)),AND(84=$I9-1,OR(12&lt;&gt;'計算A'!$A$3,'計算A'!$A$4=0))),0,IF(12=$K9,200000,ABS(12-$K9)*100)),100000+ABS(4-$J9)*1000+120)+'計算A'!CI$5*50+IF(AND($E9=1,LV9=0),25,0),IF($F9&gt;0,INDEX('計算A'!CI$110:CI$114,$F9+1)+IF(AND($E9=1,LV9=0),1000,0),MIN(TX9,20)*400+(IF('計算A'!CH$106=1,1-GF9,0)+IF('計算A'!CI$106=1,1-GH9,0))*150+124+'計算A'!CI$5*100000+IF(AND($E9=1,LV9=0),50000,0))+IF($H9=1,(IF('計算A'!CH$117=1,INDEX('計算A'!CH$10:CH$54,$B9),0)+IF('計算A'!CI$117=1,INDEX('計算A'!CJ$10:CJ$54,$B9),0))*4000,0)-IF(AND('計算A'!CH$117=1,XF9&gt;0),2000,0)-IF(AND($L9=1,'計算A'!CI$117=1,GH9=0),2000,0))),1000000))</f>
        <v/>
      </c>
      <c r="RL9">
        <f>IF($B9=0,1000000,IF(INDEX('計算A'!$D$60:$EQ$104,$B9,85)*GH9=1,IF(AND($E9=2,LW9=0),1000000,IF($I9&gt;0,IF(4=$J9,IF(OR(AND(85=$I9+1,OR($K9&lt;&gt;'計算A'!$A$3,'計算A'!$A$4=0)),AND(85=$I9-1,OR(13&lt;&gt;'計算A'!$A$3,'計算A'!$A$4=0))),0,IF(13=$K9,200000,ABS(13-$K9)*100)),100000+ABS(4-$J9)*1000+130)+'計算A'!CJ$5*50+IF(AND($E9=1,LW9=0),25,0),IF($F9&gt;0,INDEX('計算A'!CJ$110:CJ$114,$F9+1)+IF(AND($E9=1,LW9=0),1000,0),MIN(TX9,20)*400+(IF('計算A'!CI$106=1,1-GG9,0)+IF('計算A'!CJ$106=1,1-GI9,0))*150+134+'計算A'!CJ$5*100000+IF(AND($E9=1,LW9=0),50000,0))+IF($H9=1,(IF('計算A'!CI$117=1,INDEX('計算A'!CI$10:CI$54,$B9),0)+IF('計算A'!CJ$117=1,INDEX('計算A'!CK$10:CK$54,$B9),0))*4000,0)-IF(AND('計算A'!CI$117=1,XG9&gt;0),2000,0)-IF(AND($L9=1,'計算A'!CJ$117=1,GI9=0),2000,0))),1000000))</f>
        <v/>
      </c>
      <c r="RM9">
        <f>IF($B9=0,1000000,IF(INDEX('計算A'!$D$60:$EQ$104,$B9,86)*GI9=1,IF(AND($E9=2,LX9=0),1000000,IF($I9&gt;0,IF(4=$J9,IF(OR(AND(86=$I9+1,OR($K9&lt;&gt;'計算A'!$A$3,'計算A'!$A$4=0)),AND(86=$I9-1,OR(14&lt;&gt;'計算A'!$A$3,'計算A'!$A$4=0))),0,IF(14=$K9,200000,ABS(14-$K9)*100)),100000+ABS(4-$J9)*1000+140)+'計算A'!CK$5*50+IF(AND($E9=1,LX9=0),25,0),IF($F9&gt;0,INDEX('計算A'!CK$110:CK$114,$F9+1)+IF(AND($E9=1,LX9=0),1000,0),MIN(TX9,20)*400+(IF('計算A'!CJ$106=1,1-GH9,0)+IF('計算A'!CK$106=1,1-GJ9,0))*150+144+'計算A'!CK$5*100000+IF(AND($E9=1,LX9=0),50000,0))+IF($H9=1,(IF('計算A'!CJ$117=1,INDEX('計算A'!CJ$10:CJ$54,$B9),0)+IF('計算A'!CK$117=1,INDEX('計算A'!CL$10:CL$54,$B9),0))*4000,0)-IF(AND('計算A'!CJ$117=1,XH9&gt;0),2000,0)-IF(AND($L9=1,'計算A'!CK$117=1,GJ9=0),2000,0))),1000000))</f>
        <v/>
      </c>
      <c r="RN9">
        <f>IF($B9=0,1000000,IF(INDEX('計算A'!$D$60:$EQ$104,$B9,87)*GJ9=1,IF(AND($E9=2,LY9=0),1000000,IF($I9&gt;0,IF(4=$J9,IF(OR(AND(87=$I9+1,OR($K9&lt;&gt;'計算A'!$A$3,'計算A'!$A$4=0)),AND(87=$I9-1,OR(15&lt;&gt;'計算A'!$A$3,'計算A'!$A$4=0))),0,IF(15=$K9,200000,ABS(15-$K9)*100)),100000+ABS(4-$J9)*1000+150)+'計算A'!CL$5*50+IF(AND($E9=1,LY9=0),25,0),IF($F9&gt;0,INDEX('計算A'!CL$110:CL$114,$F9+1)+IF(AND($E9=1,LY9=0),1000,0),MIN(TX9,20)*400+(IF('計算A'!CK$106=1,1-GI9,0)+IF('計算A'!CL$106=1,1-GK9,0))*150+154+'計算A'!CL$5*100000+IF(AND($E9=1,LY9=0),50000,0))+IF($H9=1,(IF('計算A'!CK$117=1,INDEX('計算A'!CK$10:CK$54,$B9),0)+IF('計算A'!CL$117=1,INDEX('計算A'!CM$10:CM$54,$B9),0))*4000,0)-IF(AND('計算A'!CK$117=1,XI9&gt;0),2000,0)-IF(AND($L9=1,'計算A'!CL$117=1,GK9=0),2000,0))),1000000))</f>
        <v/>
      </c>
      <c r="RO9">
        <f>IF($B9=0,1000000,IF(INDEX('計算A'!$D$60:$EQ$104,$B9,88)*GK9=1,IF(AND($E9=2,LZ9=0),1000000,IF($I9&gt;0,IF(4=$J9,IF(OR(AND(88=$I9+1,OR($K9&lt;&gt;'計算A'!$A$3,'計算A'!$A$4=0)),AND(88=$I9-1,OR(16&lt;&gt;'計算A'!$A$3,'計算A'!$A$4=0))),0,IF(16=$K9,200000,ABS(16-$K9)*100)),100000+ABS(4-$J9)*1000+160)+'計算A'!CM$5*50+IF(AND($E9=1,LZ9=0),25,0),IF($F9&gt;0,INDEX('計算A'!CM$110:CM$114,$F9+1)+IF(AND($E9=1,LZ9=0),1000,0),MIN(TX9,20)*400+(IF('計算A'!CL$106=1,1-GJ9,0)+IF('計算A'!CM$106=1,1-GL9,0))*150+164+'計算A'!CM$5*100000+IF(AND($E9=1,LZ9=0),50000,0))+IF($H9=1,(IF('計算A'!CL$117=1,INDEX('計算A'!CL$10:CL$54,$B9),0)+IF('計算A'!CM$117=1,INDEX('計算A'!CN$10:CN$54,$B9),0))*4000,0)-IF(AND('計算A'!CL$117=1,XJ9&gt;0),2000,0)-IF(AND($L9=1,'計算A'!CM$117=1,GL9=0),2000,0))),1000000))</f>
        <v/>
      </c>
      <c r="RP9">
        <f>IF($B9=0,1000000,IF(INDEX('計算A'!$D$60:$EQ$104,$B9,89)*GL9=1,IF(AND($E9=2,MA9=0),1000000,IF($I9&gt;0,IF(4=$J9,IF(OR(AND(89=$I9+1,OR($K9&lt;&gt;'計算A'!$A$3,'計算A'!$A$4=0)),AND(89=$I9-1,OR(17&lt;&gt;'計算A'!$A$3,'計算A'!$A$4=0))),0,IF(17=$K9,200000,ABS(17-$K9)*100)),100000+ABS(4-$J9)*1000+170)+'計算A'!CN$5*50+IF(AND($E9=1,MA9=0),25,0),IF($F9&gt;0,INDEX('計算A'!CN$110:CN$114,$F9+1)+IF(AND($E9=1,MA9=0),1000,0),MIN(TX9,20)*400+(IF('計算A'!CM$106=1,1-GK9,0)+IF('計算A'!CN$106=1,1-GM9,0))*150+174+'計算A'!CN$5*100000+IF(AND($E9=1,MA9=0),50000,0))+IF($H9=1,(IF('計算A'!CM$117=1,INDEX('計算A'!CM$10:CM$54,$B9),0)+IF('計算A'!CN$117=1,INDEX('計算A'!CO$10:CO$54,$B9),0))*4000,0)-IF(AND('計算A'!CM$117=1,XK9&gt;0),2000,0)-IF(AND($L9=1,'計算A'!CN$117=1,GM9=0),2000,0))),1000000))</f>
        <v/>
      </c>
      <c r="RQ9">
        <f>IF($B9=0,1000000,IF(INDEX('計算A'!$D$60:$EQ$104,$B9,90)*GM9=1,IF(AND($E9=2,MB9=0),1000000,IF($I9&gt;0,IF(4=$J9,IF(OR(AND(90=$I9+1,OR($K9&lt;&gt;'計算A'!$A$3,'計算A'!$A$4=0)),AND(90=$I9-1,OR(18&lt;&gt;'計算A'!$A$3,'計算A'!$A$4=0))),0,IF(18=$K9,200000,ABS(18-$K9)*100)),100000+ABS(4-$J9)*1000+180)+'計算A'!CO$5*50+IF(AND($E9=1,MB9=0),25,0),IF($F9&gt;0,INDEX('計算A'!CO$110:CO$114,$F9+1)+IF(AND($E9=1,MB9=0),1000,0),MIN(TX9,20)*400+(IF('計算A'!CN$106=1,1-GL9,0)+IF('計算A'!CO$106=1,1-GN9,0))*150+184+'計算A'!CO$5*100000+IF(AND($E9=1,MB9=0),50000,0))+IF($H9=1,(IF('計算A'!CN$117=1,INDEX('計算A'!CN$10:CN$54,$B9),0)+IF('計算A'!CO$117=1,INDEX('計算A'!CP$10:CP$54,$B9),0))*4000,0)-IF(AND('計算A'!CN$117=1,XL9&gt;0),2000,0)-IF(AND($L9=1,'計算A'!CO$117=1,GN9=0),2000,0))),1000000))</f>
        <v/>
      </c>
      <c r="RR9">
        <f>IF($B9=0,1000000,IF(INDEX('計算A'!$D$60:$EQ$104,$B9,91)*GN9=1,IF(AND($E9=2,MC9=0),1000000,IF($I9&gt;0,IF(4=$J9,IF(OR(AND(91=$I9+1,OR($K9&lt;&gt;'計算A'!$A$3,'計算A'!$A$4=0)),AND(91=$I9-1,OR(19&lt;&gt;'計算A'!$A$3,'計算A'!$A$4=0))),0,IF(19=$K9,200000,ABS(19-$K9)*100)),100000+ABS(4-$J9)*1000+190)+'計算A'!CP$5*50+IF(AND($E9=1,MC9=0),25,0),IF($F9&gt;0,INDEX('計算A'!CP$110:CP$114,$F9+1)+IF(AND($E9=1,MC9=0),1000,0),MIN(TX9,20)*400+(IF('計算A'!CO$106=1,1-GM9,0)+IF('計算A'!CP$106=1,1-GO9,0))*150+194+'計算A'!CP$5*100000+IF(AND($E9=1,MC9=0),50000,0))+IF($H9=1,(IF('計算A'!CO$117=1,INDEX('計算A'!CO$10:CO$54,$B9),0)+IF('計算A'!CP$117=1,INDEX('計算A'!CQ$10:CQ$54,$B9),0))*4000,0)-IF(AND('計算A'!CO$117=1,XM9&gt;0),2000,0)-IF(AND($L9=1,'計算A'!CP$117=1,GO9=0),2000,0))),1000000))</f>
        <v/>
      </c>
      <c r="RS9">
        <f>IF($B9=0,1000000,IF(INDEX('計算A'!$D$60:$EQ$104,$B9,92)*GO9=1,IF(AND($E9=2,MD9=0),1000000,IF($I9&gt;0,IF(4=$J9,IF(OR(AND(92=$I9+1,OR($K9&lt;&gt;'計算A'!$A$3,'計算A'!$A$4=0)),AND(92=$I9-1,OR(20&lt;&gt;'計算A'!$A$3,'計算A'!$A$4=0))),0,IF(20=$K9,200000,ABS(20-$K9)*100)),100000+ABS(4-$J9)*1000+200)+'計算A'!CQ$5*50+IF(AND($E9=1,MD9=0),25,0),IF($F9&gt;0,INDEX('計算A'!CQ$110:CQ$114,$F9+1)+IF(AND($E9=1,MD9=0),1000,0),MIN(TX9,20)*400+(IF('計算A'!CP$106=1,1-GN9,0)+IF('計算A'!CQ$106=1,1-GP9,0))*150+204+'計算A'!CQ$5*100000+IF(AND($E9=1,MD9=0),50000,0))+IF($H9=1,(IF('計算A'!CP$117=1,INDEX('計算A'!CP$10:CP$54,$B9),0)+IF('計算A'!CQ$117=1,INDEX('計算A'!CR$10:CR$54,$B9),0))*4000,0)-IF(AND('計算A'!CP$117=1,XN9&gt;0),2000,0)-IF(AND($L9=1,'計算A'!CQ$117=1,GP9=0),2000,0))),1000000))</f>
        <v/>
      </c>
      <c r="RT9">
        <f>IF($B9=0,1000000,IF(INDEX('計算A'!$D$60:$EQ$104,$B9,93)*GP9=1,IF(AND($E9=2,ME9=0),1000000,IF($I9&gt;0,IF(4=$J9,IF(OR(AND(93=$I9+1,OR($K9&lt;&gt;'計算A'!$A$3,'計算A'!$A$4=0)),AND(93=$I9-1,OR(21&lt;&gt;'計算A'!$A$3,'計算A'!$A$4=0))),0,IF(21=$K9,200000,ABS(21-$K9)*100)),100000+ABS(4-$J9)*1000+210)+'計算A'!CR$5*50+IF(AND($E9=1,ME9=0),25,0),IF($F9&gt;0,INDEX('計算A'!CR$110:CR$114,$F9+1)+IF(AND($E9=1,ME9=0),1000,0),MIN(TX9,20)*400+(IF('計算A'!CQ$106=1,1-GO9,0)+IF('計算A'!CR$106=1,1-GQ9,0))*150+214+'計算A'!CR$5*100000+IF(AND($E9=1,ME9=0),50000,0))+IF($H9=1,(IF('計算A'!CQ$117=1,INDEX('計算A'!CQ$10:CQ$54,$B9),0)+IF('計算A'!CR$117=1,INDEX('計算A'!CS$10:CS$54,$B9),0))*4000,0)-IF(AND('計算A'!CQ$117=1,XO9&gt;0),2000,0)-IF(AND($L9=1,'計算A'!CR$117=1,GQ9=0),2000,0))),1000000))</f>
        <v/>
      </c>
      <c r="RU9">
        <f>IF($B9=0,1000000,IF(INDEX('計算A'!$D$60:$EQ$104,$B9,94)*GQ9=1,IF(AND($E9=2,MF9=0),1000000,IF($I9&gt;0,IF(4=$J9,IF(OR(AND(94=$I9+1,OR($K9&lt;&gt;'計算A'!$A$3,'計算A'!$A$4=0)),AND(94=$I9-1,OR(22&lt;&gt;'計算A'!$A$3,'計算A'!$A$4=0))),0,IF(22=$K9,200000,ABS(22-$K9)*100)),100000+ABS(4-$J9)*1000+220)+'計算A'!CS$5*50+IF(AND($E9=1,MF9=0),25,0),IF($F9&gt;0,INDEX('計算A'!CS$110:CS$114,$F9+1)+IF(AND($E9=1,MF9=0),1000,0),MIN(TX9,20)*400+(IF('計算A'!CR$106=1,1-GP9,0)+IF('計算A'!CS$106=1,1-GR9,0))*150+224+'計算A'!CS$5*100000+IF(AND($E9=1,MF9=0),50000,0))+IF($H9=1,(IF('計算A'!CR$117=1,INDEX('計算A'!CR$10:CR$54,$B9),0)+IF('計算A'!CS$117=1,INDEX('計算A'!CT$10:CT$54,$B9),0))*4000,0)-IF(AND('計算A'!CR$117=1,XP9&gt;0),2000,0)-IF(AND($L9=1,'計算A'!CS$117=1,GR9=0),2000,0))),1000000))</f>
        <v/>
      </c>
      <c r="RV9">
        <f>IF($B9=0,1000000,IF(INDEX('計算A'!$D$60:$EQ$104,$B9,95)*GR9=1,IF(AND($E9=2,MG9=0),1000000,IF($I9&gt;0,IF(4=$J9,IF(OR(AND(95=$I9+1,OR($K9&lt;&gt;'計算A'!$A$3,'計算A'!$A$4=0)),AND(95=$I9-1,OR(23&lt;&gt;'計算A'!$A$3,'計算A'!$A$4=0))),0,IF(23=$K9,200000,ABS(23-$K9)*100)),100000+ABS(4-$J9)*1000+230)+'計算A'!CT$5*50+IF(AND($E9=1,MG9=0),25,0),IF($F9&gt;0,INDEX('計算A'!CT$110:CT$114,$F9+1)+IF(AND($E9=1,MG9=0),1000,0),MIN(TX9,20)*400+(IF('計算A'!CS$106=1,1-GQ9,0)+IF('計算A'!CT$106=1,1-GS9,0))*150+234+'計算A'!CT$5*100000+IF(AND($E9=1,MG9=0),50000,0))+IF($H9=1,(IF('計算A'!CS$117=1,INDEX('計算A'!CS$10:CS$54,$B9),0)+IF('計算A'!CT$117=1,INDEX('計算A'!CU$10:CU$54,$B9),0))*4000,0)-IF(AND('計算A'!CS$117=1,XQ9&gt;0),2000,0)-IF(AND($L9=1,'計算A'!CT$117=1,GS9=0),2000,0))),1000000))</f>
        <v/>
      </c>
      <c r="RW9">
        <f>IF($B9=0,1000000,IF(INDEX('計算A'!$D$60:$EQ$104,$B9,96)*GS9=1,IF(AND($E9=2,MH9=0),1000000,IF($I9&gt;0,IF(4=$J9,IF(OR(AND(96=$I9+1,OR($K9&lt;&gt;'計算A'!$A$3,'計算A'!$A$4=0)),AND(96=$I9-1,OR(24&lt;&gt;'計算A'!$A$3,'計算A'!$A$4=0))),0,IF(24=$K9,200000,ABS(24-$K9)*100)),100000+ABS(4-$J9)*1000+240)+'計算A'!CU$5*50+IF(AND($E9=1,MH9=0),25,0),IF($F9&gt;0,INDEX('計算A'!CU$110:CU$114,$F9+1)+IF(AND($E9=1,MH9=0),1000,0),MIN(TX9,20)*400+(IF('計算A'!CT$106=1,1-GR9,0))*150+244+'計算A'!CU$5*100000+IF(AND($E9=1,MH9=0),50000,0))+IF($H9=1,(IF('計算A'!CT$117=1,INDEX('計算A'!CT$10:CT$54,$B9),0))*4000,0)-IF(AND('計算A'!CT$117=1,XR9&gt;0),2000,0))),1000000))</f>
        <v/>
      </c>
      <c r="RX9">
        <f>IF($B9=0,1000000,IF(INDEX('計算A'!$D$60:$EQ$104,$B9,97)*GT9=1,IF(AND($E9=2,MI9=0),1000000,IF($I9&gt;0,IF(5=$J9,IF(OR(AND(97=$I9+1,OR($K9&lt;&gt;'計算A'!$A$3,'計算A'!$A$4=0)),AND(97=$I9-1,OR(1&lt;&gt;'計算A'!$A$3,'計算A'!$A$4=0))),0,IF(1=$K9,200000,ABS(1-$K9)*100)),100000+ABS(5-$J9)*1000+10)+'計算A'!CV$5*50+IF(AND($E9=1,MI9=0),25,0),IF($F9&gt;0,INDEX('計算A'!CV$110:CV$114,$F9+1)+IF(AND($E9=1,MI9=0),1000,0),MIN(TY9,20)*400+(IF('計算A'!CV$106=1,1-GU9,0))*150+15+'計算A'!CV$5*100000+IF(AND($E9=1,MI9=0),50000,0))+IF($H9=1,(IF('計算A'!CV$117=1,INDEX('計算A'!CW$10:CW$54,$B9),0))*4000,0)-IF(AND($L9=1,'計算A'!CV$117=1,GU9=0),2000,0))),1000000))</f>
        <v/>
      </c>
      <c r="RY9">
        <f>IF($B9=0,1000000,IF(INDEX('計算A'!$D$60:$EQ$104,$B9,98)*GU9=1,IF(AND($E9=2,MJ9=0),1000000,IF($I9&gt;0,IF(5=$J9,IF(OR(AND(98=$I9+1,OR($K9&lt;&gt;'計算A'!$A$3,'計算A'!$A$4=0)),AND(98=$I9-1,OR(2&lt;&gt;'計算A'!$A$3,'計算A'!$A$4=0))),0,IF(2=$K9,200000,ABS(2-$K9)*100)),100000+ABS(5-$J9)*1000+20)+'計算A'!CW$5*50+IF(AND($E9=1,MJ9=0),25,0),IF($F9&gt;0,INDEX('計算A'!CW$110:CW$114,$F9+1)+IF(AND($E9=1,MJ9=0),1000,0),MIN(TY9,20)*400+(IF('計算A'!CV$106=1,1-GT9,0)+IF('計算A'!CW$106=1,1-GV9,0))*150+25+'計算A'!CW$5*100000+IF(AND($E9=1,MJ9=0),50000,0))+IF($H9=1,(IF('計算A'!CV$117=1,INDEX('計算A'!CV$10:CV$54,$B9),0)+IF('計算A'!CW$117=1,INDEX('計算A'!CX$10:CX$54,$B9),0))*4000,0)-IF(AND('計算A'!CV$117=1,XT9&gt;0),2000,0)-IF(AND($L9=1,'計算A'!CW$117=1,GV9=0),2000,0))),1000000))</f>
        <v/>
      </c>
      <c r="RZ9">
        <f>IF($B9=0,1000000,IF(INDEX('計算A'!$D$60:$EQ$104,$B9,99)*GV9=1,IF(AND($E9=2,MK9=0),1000000,IF($I9&gt;0,IF(5=$J9,IF(OR(AND(99=$I9+1,OR($K9&lt;&gt;'計算A'!$A$3,'計算A'!$A$4=0)),AND(99=$I9-1,OR(3&lt;&gt;'計算A'!$A$3,'計算A'!$A$4=0))),0,IF(3=$K9,200000,ABS(3-$K9)*100)),100000+ABS(5-$J9)*1000+30)+'計算A'!CX$5*50+IF(AND($E9=1,MK9=0),25,0),IF($F9&gt;0,INDEX('計算A'!CX$110:CX$114,$F9+1)+IF(AND($E9=1,MK9=0),1000,0),MIN(TY9,20)*400+(IF('計算A'!CW$106=1,1-GU9,0)+IF('計算A'!CX$106=1,1-GW9,0))*150+35+'計算A'!CX$5*100000+IF(AND($E9=1,MK9=0),50000,0))+IF($H9=1,(IF('計算A'!CW$117=1,INDEX('計算A'!CW$10:CW$54,$B9),0)+IF('計算A'!CX$117=1,INDEX('計算A'!CY$10:CY$54,$B9),0))*4000,0)-IF(AND('計算A'!CW$117=1,XU9&gt;0),2000,0)-IF(AND($L9=1,'計算A'!CX$117=1,GW9=0),2000,0))),1000000))</f>
        <v/>
      </c>
      <c r="SA9">
        <f>IF($B9=0,1000000,IF(INDEX('計算A'!$D$60:$EQ$104,$B9,100)*GW9=1,IF(AND($E9=2,ML9=0),1000000,IF($I9&gt;0,IF(5=$J9,IF(OR(AND(100=$I9+1,OR($K9&lt;&gt;'計算A'!$A$3,'計算A'!$A$4=0)),AND(100=$I9-1,OR(4&lt;&gt;'計算A'!$A$3,'計算A'!$A$4=0))),0,IF(4=$K9,200000,ABS(4-$K9)*100)),100000+ABS(5-$J9)*1000+40)+'計算A'!CY$5*50+IF(AND($E9=1,ML9=0),25,0),IF($F9&gt;0,INDEX('計算A'!CY$110:CY$114,$F9+1)+IF(AND($E9=1,ML9=0),1000,0),MIN(TY9,20)*400+(IF('計算A'!CX$106=1,1-GV9,0)+IF('計算A'!CY$106=1,1-GX9,0))*150+45+'計算A'!CY$5*100000+IF(AND($E9=1,ML9=0),50000,0))+IF($H9=1,(IF('計算A'!CX$117=1,INDEX('計算A'!CX$10:CX$54,$B9),0)+IF('計算A'!CY$117=1,INDEX('計算A'!CZ$10:CZ$54,$B9),0))*4000,0)-IF(AND('計算A'!CX$117=1,XV9&gt;0),2000,0)-IF(AND($L9=1,'計算A'!CY$117=1,GX9=0),2000,0))),1000000))</f>
        <v/>
      </c>
      <c r="SB9">
        <f>IF($B9=0,1000000,IF(INDEX('計算A'!$D$60:$EQ$104,$B9,101)*GX9=1,IF(AND($E9=2,MM9=0),1000000,IF($I9&gt;0,IF(5=$J9,IF(OR(AND(101=$I9+1,OR($K9&lt;&gt;'計算A'!$A$3,'計算A'!$A$4=0)),AND(101=$I9-1,OR(5&lt;&gt;'計算A'!$A$3,'計算A'!$A$4=0))),0,IF(5=$K9,200000,ABS(5-$K9)*100)),100000+ABS(5-$J9)*1000+50)+'計算A'!CZ$5*50+IF(AND($E9=1,MM9=0),25,0),IF($F9&gt;0,INDEX('計算A'!CZ$110:CZ$114,$F9+1)+IF(AND($E9=1,MM9=0),1000,0),MIN(TY9,20)*400+(IF('計算A'!CY$106=1,1-GW9,0)+IF('計算A'!CZ$106=1,1-GY9,0))*150+55+'計算A'!CZ$5*100000+IF(AND($E9=1,MM9=0),50000,0))+IF($H9=1,(IF('計算A'!CY$117=1,INDEX('計算A'!CY$10:CY$54,$B9),0)+IF('計算A'!CZ$117=1,INDEX('計算A'!DA$10:DA$54,$B9),0))*4000,0)-IF(AND('計算A'!CY$117=1,XW9&gt;0),2000,0)-IF(AND($L9=1,'計算A'!CZ$117=1,GY9=0),2000,0))),1000000))</f>
        <v/>
      </c>
      <c r="SC9">
        <f>IF($B9=0,1000000,IF(INDEX('計算A'!$D$60:$EQ$104,$B9,102)*GY9=1,IF(AND($E9=2,MN9=0),1000000,IF($I9&gt;0,IF(5=$J9,IF(OR(AND(102=$I9+1,OR($K9&lt;&gt;'計算A'!$A$3,'計算A'!$A$4=0)),AND(102=$I9-1,OR(6&lt;&gt;'計算A'!$A$3,'計算A'!$A$4=0))),0,IF(6=$K9,200000,ABS(6-$K9)*100)),100000+ABS(5-$J9)*1000+60)+'計算A'!DA$5*50+IF(AND($E9=1,MN9=0),25,0),IF($F9&gt;0,INDEX('計算A'!DA$110:DA$114,$F9+1)+IF(AND($E9=1,MN9=0),1000,0),MIN(TY9,20)*400+(IF('計算A'!CZ$106=1,1-GX9,0)+IF('計算A'!DA$106=1,1-GZ9,0))*150+65+'計算A'!DA$5*100000+IF(AND($E9=1,MN9=0),50000,0))+IF($H9=1,(IF('計算A'!CZ$117=1,INDEX('計算A'!CZ$10:CZ$54,$B9),0)+IF('計算A'!DA$117=1,INDEX('計算A'!DB$10:DB$54,$B9),0))*4000,0)-IF(AND('計算A'!CZ$117=1,XX9&gt;0),2000,0)-IF(AND($L9=1,'計算A'!DA$117=1,GZ9=0),2000,0))),1000000))</f>
        <v/>
      </c>
      <c r="SD9">
        <f>IF($B9=0,1000000,IF(INDEX('計算A'!$D$60:$EQ$104,$B9,103)*GZ9=1,IF(AND($E9=2,MO9=0),1000000,IF($I9&gt;0,IF(5=$J9,IF(OR(AND(103=$I9+1,OR($K9&lt;&gt;'計算A'!$A$3,'計算A'!$A$4=0)),AND(103=$I9-1,OR(7&lt;&gt;'計算A'!$A$3,'計算A'!$A$4=0))),0,IF(7=$K9,200000,ABS(7-$K9)*100)),100000+ABS(5-$J9)*1000+70)+'計算A'!DB$5*50+IF(AND($E9=1,MO9=0),25,0),IF($F9&gt;0,INDEX('計算A'!DB$110:DB$114,$F9+1)+IF(AND($E9=1,MO9=0),1000,0),MIN(TY9,20)*400+(IF('計算A'!DA$106=1,1-GY9,0)+IF('計算A'!DB$106=1,1-HA9,0))*150+75+'計算A'!DB$5*100000+IF(AND($E9=1,MO9=0),50000,0))+IF($H9=1,(IF('計算A'!DA$117=1,INDEX('計算A'!DA$10:DA$54,$B9),0)+IF('計算A'!DB$117=1,INDEX('計算A'!DC$10:DC$54,$B9),0))*4000,0)-IF(AND('計算A'!DA$117=1,XY9&gt;0),2000,0)-IF(AND($L9=1,'計算A'!DB$117=1,HA9=0),2000,0))),1000000))</f>
        <v/>
      </c>
      <c r="SE9">
        <f>IF($B9=0,1000000,IF(INDEX('計算A'!$D$60:$EQ$104,$B9,104)*HA9=1,IF(AND($E9=2,MP9=0),1000000,IF($I9&gt;0,IF(5=$J9,IF(OR(AND(104=$I9+1,OR($K9&lt;&gt;'計算A'!$A$3,'計算A'!$A$4=0)),AND(104=$I9-1,OR(8&lt;&gt;'計算A'!$A$3,'計算A'!$A$4=0))),0,IF(8=$K9,200000,ABS(8-$K9)*100)),100000+ABS(5-$J9)*1000+80)+'計算A'!DC$5*50+IF(AND($E9=1,MP9=0),25,0),IF($F9&gt;0,INDEX('計算A'!DC$110:DC$114,$F9+1)+IF(AND($E9=1,MP9=0),1000,0),MIN(TY9,20)*400+(IF('計算A'!DB$106=1,1-GZ9,0)+IF('計算A'!DC$106=1,1-HB9,0))*150+85+'計算A'!DC$5*100000+IF(AND($E9=1,MP9=0),50000,0))+IF($H9=1,(IF('計算A'!DB$117=1,INDEX('計算A'!DB$10:DB$54,$B9),0)+IF('計算A'!DC$117=1,INDEX('計算A'!DD$10:DD$54,$B9),0))*4000,0)-IF(AND('計算A'!DB$117=1,XZ9&gt;0),2000,0)-IF(AND($L9=1,'計算A'!DC$117=1,HB9=0),2000,0))),1000000))</f>
        <v/>
      </c>
      <c r="SF9">
        <f>IF($B9=0,1000000,IF(INDEX('計算A'!$D$60:$EQ$104,$B9,105)*HB9=1,IF(AND($E9=2,MQ9=0),1000000,IF($I9&gt;0,IF(5=$J9,IF(OR(AND(105=$I9+1,OR($K9&lt;&gt;'計算A'!$A$3,'計算A'!$A$4=0)),AND(105=$I9-1,OR(9&lt;&gt;'計算A'!$A$3,'計算A'!$A$4=0))),0,IF(9=$K9,200000,ABS(9-$K9)*100)),100000+ABS(5-$J9)*1000+90)+'計算A'!DD$5*50+IF(AND($E9=1,MQ9=0),25,0),IF($F9&gt;0,INDEX('計算A'!DD$110:DD$114,$F9+1)+IF(AND($E9=1,MQ9=0),1000,0),MIN(TY9,20)*400+(IF('計算A'!DC$106=1,1-HA9,0)+IF('計算A'!DD$106=1,1-HC9,0))*150+95+'計算A'!DD$5*100000+IF(AND($E9=1,MQ9=0),50000,0))+IF($H9=1,(IF('計算A'!DC$117=1,INDEX('計算A'!DC$10:DC$54,$B9),0)+IF('計算A'!DD$117=1,INDEX('計算A'!DE$10:DE$54,$B9),0))*4000,0)-IF(AND('計算A'!DC$117=1,YA9&gt;0),2000,0)-IF(AND($L9=1,'計算A'!DD$117=1,HC9=0),2000,0))),1000000))</f>
        <v/>
      </c>
      <c r="SG9">
        <f>IF($B9=0,1000000,IF(INDEX('計算A'!$D$60:$EQ$104,$B9,106)*HC9=1,IF(AND($E9=2,MR9=0),1000000,IF($I9&gt;0,IF(5=$J9,IF(OR(AND(106=$I9+1,OR($K9&lt;&gt;'計算A'!$A$3,'計算A'!$A$4=0)),AND(106=$I9-1,OR(10&lt;&gt;'計算A'!$A$3,'計算A'!$A$4=0))),0,IF(10=$K9,200000,ABS(10-$K9)*100)),100000+ABS(5-$J9)*1000+100)+'計算A'!DE$5*50+IF(AND($E9=1,MR9=0),25,0),IF($F9&gt;0,INDEX('計算A'!DE$110:DE$114,$F9+1)+IF(AND($E9=1,MR9=0),1000,0),MIN(TY9,20)*400+(IF('計算A'!DD$106=1,1-HB9,0)+IF('計算A'!DE$106=1,1-HD9,0))*150+105+'計算A'!DE$5*100000+IF(AND($E9=1,MR9=0),50000,0))+IF($H9=1,(IF('計算A'!DD$117=1,INDEX('計算A'!DD$10:DD$54,$B9),0)+IF('計算A'!DE$117=1,INDEX('計算A'!DF$10:DF$54,$B9),0))*4000,0)-IF(AND('計算A'!DD$117=1,YB9&gt;0),2000,0)-IF(AND($L9=1,'計算A'!DE$117=1,HD9=0),2000,0))),1000000))</f>
        <v/>
      </c>
      <c r="SH9">
        <f>IF($B9=0,1000000,IF(INDEX('計算A'!$D$60:$EQ$104,$B9,107)*HD9=1,IF(AND($E9=2,MS9=0),1000000,IF($I9&gt;0,IF(5=$J9,IF(OR(AND(107=$I9+1,OR($K9&lt;&gt;'計算A'!$A$3,'計算A'!$A$4=0)),AND(107=$I9-1,OR(11&lt;&gt;'計算A'!$A$3,'計算A'!$A$4=0))),0,IF(11=$K9,200000,ABS(11-$K9)*100)),100000+ABS(5-$J9)*1000+110)+'計算A'!DF$5*50+IF(AND($E9=1,MS9=0),25,0),IF($F9&gt;0,INDEX('計算A'!DF$110:DF$114,$F9+1)+IF(AND($E9=1,MS9=0),1000,0),MIN(TY9,20)*400+(IF('計算A'!DE$106=1,1-HC9,0)+IF('計算A'!DF$106=1,1-HE9,0))*150+115+'計算A'!DF$5*100000+IF(AND($E9=1,MS9=0),50000,0))+IF($H9=1,(IF('計算A'!DE$117=1,INDEX('計算A'!DE$10:DE$54,$B9),0)+IF('計算A'!DF$117=1,INDEX('計算A'!DG$10:DG$54,$B9),0))*4000,0)-IF(AND('計算A'!DE$117=1,YC9&gt;0),2000,0)-IF(AND($L9=1,'計算A'!DF$117=1,HE9=0),2000,0))),1000000))</f>
        <v/>
      </c>
      <c r="SI9">
        <f>IF($B9=0,1000000,IF(INDEX('計算A'!$D$60:$EQ$104,$B9,108)*HE9=1,IF(AND($E9=2,MT9=0),1000000,IF($I9&gt;0,IF(5=$J9,IF(OR(AND(108=$I9+1,OR($K9&lt;&gt;'計算A'!$A$3,'計算A'!$A$4=0)),AND(108=$I9-1,OR(12&lt;&gt;'計算A'!$A$3,'計算A'!$A$4=0))),0,IF(12=$K9,200000,ABS(12-$K9)*100)),100000+ABS(5-$J9)*1000+120)+'計算A'!DG$5*50+IF(AND($E9=1,MT9=0),25,0),IF($F9&gt;0,INDEX('計算A'!DG$110:DG$114,$F9+1)+IF(AND($E9=1,MT9=0),1000,0),MIN(TY9,20)*400+(IF('計算A'!DF$106=1,1-HD9,0)+IF('計算A'!DG$106=1,1-HF9,0))*150+125+'計算A'!DG$5*100000+IF(AND($E9=1,MT9=0),50000,0))+IF($H9=1,(IF('計算A'!DF$117=1,INDEX('計算A'!DF$10:DF$54,$B9),0)+IF('計算A'!DG$117=1,INDEX('計算A'!DH$10:DH$54,$B9),0))*4000,0)-IF(AND('計算A'!DF$117=1,YD9&gt;0),2000,0)-IF(AND($L9=1,'計算A'!DG$117=1,HF9=0),2000,0))),1000000))</f>
        <v/>
      </c>
      <c r="SJ9">
        <f>IF($B9=0,1000000,IF(INDEX('計算A'!$D$60:$EQ$104,$B9,109)*HF9=1,IF(AND($E9=2,MU9=0),1000000,IF($I9&gt;0,IF(5=$J9,IF(OR(AND(109=$I9+1,OR($K9&lt;&gt;'計算A'!$A$3,'計算A'!$A$4=0)),AND(109=$I9-1,OR(13&lt;&gt;'計算A'!$A$3,'計算A'!$A$4=0))),0,IF(13=$K9,200000,ABS(13-$K9)*100)),100000+ABS(5-$J9)*1000+130)+'計算A'!DH$5*50+IF(AND($E9=1,MU9=0),25,0),IF($F9&gt;0,INDEX('計算A'!DH$110:DH$114,$F9+1)+IF(AND($E9=1,MU9=0),1000,0),MIN(TY9,20)*400+(IF('計算A'!DG$106=1,1-HE9,0)+IF('計算A'!DH$106=1,1-HG9,0))*150+135+'計算A'!DH$5*100000+IF(AND($E9=1,MU9=0),50000,0))+IF($H9=1,(IF('計算A'!DG$117=1,INDEX('計算A'!DG$10:DG$54,$B9),0)+IF('計算A'!DH$117=1,INDEX('計算A'!DI$10:DI$54,$B9),0))*4000,0)-IF(AND('計算A'!DG$117=1,YE9&gt;0),2000,0)-IF(AND($L9=1,'計算A'!DH$117=1,HG9=0),2000,0))),1000000))</f>
        <v/>
      </c>
      <c r="SK9">
        <f>IF($B9=0,1000000,IF(INDEX('計算A'!$D$60:$EQ$104,$B9,110)*HG9=1,IF(AND($E9=2,MV9=0),1000000,IF($I9&gt;0,IF(5=$J9,IF(OR(AND(110=$I9+1,OR($K9&lt;&gt;'計算A'!$A$3,'計算A'!$A$4=0)),AND(110=$I9-1,OR(14&lt;&gt;'計算A'!$A$3,'計算A'!$A$4=0))),0,IF(14=$K9,200000,ABS(14-$K9)*100)),100000+ABS(5-$J9)*1000+140)+'計算A'!DI$5*50+IF(AND($E9=1,MV9=0),25,0),IF($F9&gt;0,INDEX('計算A'!DI$110:DI$114,$F9+1)+IF(AND($E9=1,MV9=0),1000,0),MIN(TY9,20)*400+(IF('計算A'!DH$106=1,1-HF9,0)+IF('計算A'!DI$106=1,1-HH9,0))*150+145+'計算A'!DI$5*100000+IF(AND($E9=1,MV9=0),50000,0))+IF($H9=1,(IF('計算A'!DH$117=1,INDEX('計算A'!DH$10:DH$54,$B9),0)+IF('計算A'!DI$117=1,INDEX('計算A'!DJ$10:DJ$54,$B9),0))*4000,0)-IF(AND('計算A'!DH$117=1,YF9&gt;0),2000,0)-IF(AND($L9=1,'計算A'!DI$117=1,HH9=0),2000,0))),1000000))</f>
        <v/>
      </c>
      <c r="SL9">
        <f>IF($B9=0,1000000,IF(INDEX('計算A'!$D$60:$EQ$104,$B9,111)*HH9=1,IF(AND($E9=2,MW9=0),1000000,IF($I9&gt;0,IF(5=$J9,IF(OR(AND(111=$I9+1,OR($K9&lt;&gt;'計算A'!$A$3,'計算A'!$A$4=0)),AND(111=$I9-1,OR(15&lt;&gt;'計算A'!$A$3,'計算A'!$A$4=0))),0,IF(15=$K9,200000,ABS(15-$K9)*100)),100000+ABS(5-$J9)*1000+150)+'計算A'!DJ$5*50+IF(AND($E9=1,MW9=0),25,0),IF($F9&gt;0,INDEX('計算A'!DJ$110:DJ$114,$F9+1)+IF(AND($E9=1,MW9=0),1000,0),MIN(TY9,20)*400+(IF('計算A'!DI$106=1,1-HG9,0)+IF('計算A'!DJ$106=1,1-HI9,0))*150+155+'計算A'!DJ$5*100000+IF(AND($E9=1,MW9=0),50000,0))+IF($H9=1,(IF('計算A'!DI$117=1,INDEX('計算A'!DI$10:DI$54,$B9),0)+IF('計算A'!DJ$117=1,INDEX('計算A'!DK$10:DK$54,$B9),0))*4000,0)-IF(AND('計算A'!DI$117=1,YG9&gt;0),2000,0)-IF(AND($L9=1,'計算A'!DJ$117=1,HI9=0),2000,0))),1000000))</f>
        <v/>
      </c>
      <c r="SM9">
        <f>IF($B9=0,1000000,IF(INDEX('計算A'!$D$60:$EQ$104,$B9,112)*HI9=1,IF(AND($E9=2,MX9=0),1000000,IF($I9&gt;0,IF(5=$J9,IF(OR(AND(112=$I9+1,OR($K9&lt;&gt;'計算A'!$A$3,'計算A'!$A$4=0)),AND(112=$I9-1,OR(16&lt;&gt;'計算A'!$A$3,'計算A'!$A$4=0))),0,IF(16=$K9,200000,ABS(16-$K9)*100)),100000+ABS(5-$J9)*1000+160)+'計算A'!DK$5*50+IF(AND($E9=1,MX9=0),25,0),IF($F9&gt;0,INDEX('計算A'!DK$110:DK$114,$F9+1)+IF(AND($E9=1,MX9=0),1000,0),MIN(TY9,20)*400+(IF('計算A'!DJ$106=1,1-HH9,0)+IF('計算A'!DK$106=1,1-HJ9,0))*150+165+'計算A'!DK$5*100000+IF(AND($E9=1,MX9=0),50000,0))+IF($H9=1,(IF('計算A'!DJ$117=1,INDEX('計算A'!DJ$10:DJ$54,$B9),0)+IF('計算A'!DK$117=1,INDEX('計算A'!DL$10:DL$54,$B9),0))*4000,0)-IF(AND('計算A'!DJ$117=1,YH9&gt;0),2000,0)-IF(AND($L9=1,'計算A'!DK$117=1,HJ9=0),2000,0))),1000000))</f>
        <v/>
      </c>
      <c r="SN9">
        <f>IF($B9=0,1000000,IF(INDEX('計算A'!$D$60:$EQ$104,$B9,113)*HJ9=1,IF(AND($E9=2,MY9=0),1000000,IF($I9&gt;0,IF(5=$J9,IF(OR(AND(113=$I9+1,OR($K9&lt;&gt;'計算A'!$A$3,'計算A'!$A$4=0)),AND(113=$I9-1,OR(17&lt;&gt;'計算A'!$A$3,'計算A'!$A$4=0))),0,IF(17=$K9,200000,ABS(17-$K9)*100)),100000+ABS(5-$J9)*1000+170)+'計算A'!DL$5*50+IF(AND($E9=1,MY9=0),25,0),IF($F9&gt;0,INDEX('計算A'!DL$110:DL$114,$F9+1)+IF(AND($E9=1,MY9=0),1000,0),MIN(TY9,20)*400+(IF('計算A'!DK$106=1,1-HI9,0)+IF('計算A'!DL$106=1,1-HK9,0))*150+175+'計算A'!DL$5*100000+IF(AND($E9=1,MY9=0),50000,0))+IF($H9=1,(IF('計算A'!DK$117=1,INDEX('計算A'!DK$10:DK$54,$B9),0)+IF('計算A'!DL$117=1,INDEX('計算A'!DM$10:DM$54,$B9),0))*4000,0)-IF(AND('計算A'!DK$117=1,YI9&gt;0),2000,0)-IF(AND($L9=1,'計算A'!DL$117=1,HK9=0),2000,0))),1000000))</f>
        <v/>
      </c>
      <c r="SO9">
        <f>IF($B9=0,1000000,IF(INDEX('計算A'!$D$60:$EQ$104,$B9,114)*HK9=1,IF(AND($E9=2,MZ9=0),1000000,IF($I9&gt;0,IF(5=$J9,IF(OR(AND(114=$I9+1,OR($K9&lt;&gt;'計算A'!$A$3,'計算A'!$A$4=0)),AND(114=$I9-1,OR(18&lt;&gt;'計算A'!$A$3,'計算A'!$A$4=0))),0,IF(18=$K9,200000,ABS(18-$K9)*100)),100000+ABS(5-$J9)*1000+180)+'計算A'!DM$5*50+IF(AND($E9=1,MZ9=0),25,0),IF($F9&gt;0,INDEX('計算A'!DM$110:DM$114,$F9+1)+IF(AND($E9=1,MZ9=0),1000,0),MIN(TY9,20)*400+(IF('計算A'!DL$106=1,1-HJ9,0)+IF('計算A'!DM$106=1,1-HL9,0))*150+185+'計算A'!DM$5*100000+IF(AND($E9=1,MZ9=0),50000,0))+IF($H9=1,(IF('計算A'!DL$117=1,INDEX('計算A'!DL$10:DL$54,$B9),0)+IF('計算A'!DM$117=1,INDEX('計算A'!DN$10:DN$54,$B9),0))*4000,0)-IF(AND('計算A'!DL$117=1,YJ9&gt;0),2000,0)-IF(AND($L9=1,'計算A'!DM$117=1,HL9=0),2000,0))),1000000))</f>
        <v/>
      </c>
      <c r="SP9">
        <f>IF($B9=0,1000000,IF(INDEX('計算A'!$D$60:$EQ$104,$B9,115)*HL9=1,IF(AND($E9=2,NA9=0),1000000,IF($I9&gt;0,IF(5=$J9,IF(OR(AND(115=$I9+1,OR($K9&lt;&gt;'計算A'!$A$3,'計算A'!$A$4=0)),AND(115=$I9-1,OR(19&lt;&gt;'計算A'!$A$3,'計算A'!$A$4=0))),0,IF(19=$K9,200000,ABS(19-$K9)*100)),100000+ABS(5-$J9)*1000+190)+'計算A'!DN$5*50+IF(AND($E9=1,NA9=0),25,0),IF($F9&gt;0,INDEX('計算A'!DN$110:DN$114,$F9+1)+IF(AND($E9=1,NA9=0),1000,0),MIN(TY9,20)*400+(IF('計算A'!DM$106=1,1-HK9,0)+IF('計算A'!DN$106=1,1-HM9,0))*150+195+'計算A'!DN$5*100000+IF(AND($E9=1,NA9=0),50000,0))+IF($H9=1,(IF('計算A'!DM$117=1,INDEX('計算A'!DM$10:DM$54,$B9),0)+IF('計算A'!DN$117=1,INDEX('計算A'!DO$10:DO$54,$B9),0))*4000,0)-IF(AND('計算A'!DM$117=1,YK9&gt;0),2000,0)-IF(AND($L9=1,'計算A'!DN$117=1,HM9=0),2000,0))),1000000))</f>
        <v/>
      </c>
      <c r="SQ9">
        <f>IF($B9=0,1000000,IF(INDEX('計算A'!$D$60:$EQ$104,$B9,116)*HM9=1,IF(AND($E9=2,NB9=0),1000000,IF($I9&gt;0,IF(5=$J9,IF(OR(AND(116=$I9+1,OR($K9&lt;&gt;'計算A'!$A$3,'計算A'!$A$4=0)),AND(116=$I9-1,OR(20&lt;&gt;'計算A'!$A$3,'計算A'!$A$4=0))),0,IF(20=$K9,200000,ABS(20-$K9)*100)),100000+ABS(5-$J9)*1000+200)+'計算A'!DO$5*50+IF(AND($E9=1,NB9=0),25,0),IF($F9&gt;0,INDEX('計算A'!DO$110:DO$114,$F9+1)+IF(AND($E9=1,NB9=0),1000,0),MIN(TY9,20)*400+(IF('計算A'!DN$106=1,1-HL9,0)+IF('計算A'!DO$106=1,1-HN9,0))*150+205+'計算A'!DO$5*100000+IF(AND($E9=1,NB9=0),50000,0))+IF($H9=1,(IF('計算A'!DN$117=1,INDEX('計算A'!DN$10:DN$54,$B9),0)+IF('計算A'!DO$117=1,INDEX('計算A'!DP$10:DP$54,$B9),0))*4000,0)-IF(AND('計算A'!DN$117=1,YL9&gt;0),2000,0)-IF(AND($L9=1,'計算A'!DO$117=1,HN9=0),2000,0))),1000000))</f>
        <v/>
      </c>
      <c r="SR9">
        <f>IF($B9=0,1000000,IF(INDEX('計算A'!$D$60:$EQ$104,$B9,117)*HN9=1,IF(AND($E9=2,NC9=0),1000000,IF($I9&gt;0,IF(5=$J9,IF(OR(AND(117=$I9+1,OR($K9&lt;&gt;'計算A'!$A$3,'計算A'!$A$4=0)),AND(117=$I9-1,OR(21&lt;&gt;'計算A'!$A$3,'計算A'!$A$4=0))),0,IF(21=$K9,200000,ABS(21-$K9)*100)),100000+ABS(5-$J9)*1000+210)+'計算A'!DP$5*50+IF(AND($E9=1,NC9=0),25,0),IF($F9&gt;0,INDEX('計算A'!DP$110:DP$114,$F9+1)+IF(AND($E9=1,NC9=0),1000,0),MIN(TY9,20)*400+(IF('計算A'!DO$106=1,1-HM9,0)+IF('計算A'!DP$106=1,1-HO9,0))*150+215+'計算A'!DP$5*100000+IF(AND($E9=1,NC9=0),50000,0))+IF($H9=1,(IF('計算A'!DO$117=1,INDEX('計算A'!DO$10:DO$54,$B9),0)+IF('計算A'!DP$117=1,INDEX('計算A'!DQ$10:DQ$54,$B9),0))*4000,0)-IF(AND('計算A'!DO$117=1,YM9&gt;0),2000,0)-IF(AND($L9=1,'計算A'!DP$117=1,HO9=0),2000,0))),1000000))</f>
        <v/>
      </c>
      <c r="SS9">
        <f>IF($B9=0,1000000,IF(INDEX('計算A'!$D$60:$EQ$104,$B9,118)*HO9=1,IF(AND($E9=2,ND9=0),1000000,IF($I9&gt;0,IF(5=$J9,IF(OR(AND(118=$I9+1,OR($K9&lt;&gt;'計算A'!$A$3,'計算A'!$A$4=0)),AND(118=$I9-1,OR(22&lt;&gt;'計算A'!$A$3,'計算A'!$A$4=0))),0,IF(22=$K9,200000,ABS(22-$K9)*100)),100000+ABS(5-$J9)*1000+220)+'計算A'!DQ$5*50+IF(AND($E9=1,ND9=0),25,0),IF($F9&gt;0,INDEX('計算A'!DQ$110:DQ$114,$F9+1)+IF(AND($E9=1,ND9=0),1000,0),MIN(TY9,20)*400+(IF('計算A'!DP$106=1,1-HN9,0)+IF('計算A'!DQ$106=1,1-HP9,0))*150+225+'計算A'!DQ$5*100000+IF(AND($E9=1,ND9=0),50000,0))+IF($H9=1,(IF('計算A'!DP$117=1,INDEX('計算A'!DP$10:DP$54,$B9),0)+IF('計算A'!DQ$117=1,INDEX('計算A'!DR$10:DR$54,$B9),0))*4000,0)-IF(AND('計算A'!DP$117=1,YN9&gt;0),2000,0)-IF(AND($L9=1,'計算A'!DQ$117=1,HP9=0),2000,0))),1000000))</f>
        <v/>
      </c>
      <c r="ST9">
        <f>IF($B9=0,1000000,IF(INDEX('計算A'!$D$60:$EQ$104,$B9,119)*HP9=1,IF(AND($E9=2,NE9=0),1000000,IF($I9&gt;0,IF(5=$J9,IF(OR(AND(119=$I9+1,OR($K9&lt;&gt;'計算A'!$A$3,'計算A'!$A$4=0)),AND(119=$I9-1,OR(23&lt;&gt;'計算A'!$A$3,'計算A'!$A$4=0))),0,IF(23=$K9,200000,ABS(23-$K9)*100)),100000+ABS(5-$J9)*1000+230)+'計算A'!DR$5*50+IF(AND($E9=1,NE9=0),25,0),IF($F9&gt;0,INDEX('計算A'!DR$110:DR$114,$F9+1)+IF(AND($E9=1,NE9=0),1000,0),MIN(TY9,20)*400+(IF('計算A'!DQ$106=1,1-HO9,0)+IF('計算A'!DR$106=1,1-HQ9,0))*150+235+'計算A'!DR$5*100000+IF(AND($E9=1,NE9=0),50000,0))+IF($H9=1,(IF('計算A'!DQ$117=1,INDEX('計算A'!DQ$10:DQ$54,$B9),0)+IF('計算A'!DR$117=1,INDEX('計算A'!DS$10:DS$54,$B9),0))*4000,0)-IF(AND('計算A'!DQ$117=1,YO9&gt;0),2000,0)-IF(AND($L9=1,'計算A'!DR$117=1,HQ9=0),2000,0))),1000000))</f>
        <v/>
      </c>
      <c r="SU9">
        <f>IF($B9=0,1000000,IF(INDEX('計算A'!$D$60:$EQ$104,$B9,120)*HQ9=1,IF(AND($E9=2,NF9=0),1000000,IF($I9&gt;0,IF(5=$J9,IF(OR(AND(120=$I9+1,OR($K9&lt;&gt;'計算A'!$A$3,'計算A'!$A$4=0)),AND(120=$I9-1,OR(24&lt;&gt;'計算A'!$A$3,'計算A'!$A$4=0))),0,IF(24=$K9,200000,ABS(24-$K9)*100)),100000+ABS(5-$J9)*1000+240)+'計算A'!DS$5*50+IF(AND($E9=1,NF9=0),25,0),IF($F9&gt;0,INDEX('計算A'!DS$110:DS$114,$F9+1)+IF(AND($E9=1,NF9=0),1000,0),MIN(TY9,20)*400+(IF('計算A'!DR$106=1,1-HP9,0))*150+245+'計算A'!DS$5*100000+IF(AND($E9=1,NF9=0),50000,0))+IF($H9=1,(IF('計算A'!DR$117=1,INDEX('計算A'!DR$10:DR$54,$B9),0))*4000,0)-IF(AND('計算A'!DR$117=1,YP9&gt;0),2000,0))),1000000))</f>
        <v/>
      </c>
      <c r="SV9">
        <f>IF($B9=0,1000000,IF(INDEX('計算A'!$D$60:$EQ$104,$B9,121)*HR9=1,IF(AND($E9=2,NG9=0),1000000,IF($I9&gt;0,IF(6=$J9,IF(OR(AND(121=$I9+1,OR($K9&lt;&gt;'計算A'!$A$3,'計算A'!$A$4=0)),AND(121=$I9-1,OR(1&lt;&gt;'計算A'!$A$3,'計算A'!$A$4=0))),0,IF(1=$K9,200000,ABS(1-$K9)*100)),100000+ABS(6-$J9)*1000+10)+'計算A'!DT$5*50+IF(AND($E9=1,NG9=0),25,0),IF($F9&gt;0,INDEX('計算A'!DT$110:DT$114,$F9+1)+IF(AND($E9=1,NG9=0),1000,0),MIN(TZ9,20)*400+(IF('計算A'!DT$106=1,1-HS9,0))*150+16+'計算A'!DT$5*100000+IF(AND($E9=1,NG9=0),50000,0))+IF($H9=1,(IF('計算A'!DT$117=1,INDEX('計算A'!DU$10:DU$54,$B9),0))*4000,0)-IF(AND($L9=1,'計算A'!DT$117=1,HS9=0),2000,0))),1000000))</f>
        <v/>
      </c>
      <c r="SW9">
        <f>IF($B9=0,1000000,IF(INDEX('計算A'!$D$60:$EQ$104,$B9,122)*HS9=1,IF(AND($E9=2,NH9=0),1000000,IF($I9&gt;0,IF(6=$J9,IF(OR(AND(122=$I9+1,OR($K9&lt;&gt;'計算A'!$A$3,'計算A'!$A$4=0)),AND(122=$I9-1,OR(2&lt;&gt;'計算A'!$A$3,'計算A'!$A$4=0))),0,IF(2=$K9,200000,ABS(2-$K9)*100)),100000+ABS(6-$J9)*1000+20)+'計算A'!DU$5*50+IF(AND($E9=1,NH9=0),25,0),IF($F9&gt;0,INDEX('計算A'!DU$110:DU$114,$F9+1)+IF(AND($E9=1,NH9=0),1000,0),MIN(TZ9,20)*400+(IF('計算A'!DT$106=1,1-HR9,0)+IF('計算A'!DU$106=1,1-HT9,0))*150+26+'計算A'!DU$5*100000+IF(AND($E9=1,NH9=0),50000,0))+IF($H9=1,(IF('計算A'!DT$117=1,INDEX('計算A'!DT$10:DT$54,$B9),0)+IF('計算A'!DU$117=1,INDEX('計算A'!DV$10:DV$54,$B9),0))*4000,0)-IF(AND('計算A'!DT$117=1,YR9&gt;0),2000,0)-IF(AND($L9=1,'計算A'!DU$117=1,HT9=0),2000,0))),1000000))</f>
        <v/>
      </c>
      <c r="SX9">
        <f>IF($B9=0,1000000,IF(INDEX('計算A'!$D$60:$EQ$104,$B9,123)*HT9=1,IF(AND($E9=2,NI9=0),1000000,IF($I9&gt;0,IF(6=$J9,IF(OR(AND(123=$I9+1,OR($K9&lt;&gt;'計算A'!$A$3,'計算A'!$A$4=0)),AND(123=$I9-1,OR(3&lt;&gt;'計算A'!$A$3,'計算A'!$A$4=0))),0,IF(3=$K9,200000,ABS(3-$K9)*100)),100000+ABS(6-$J9)*1000+30)+'計算A'!DV$5*50+IF(AND($E9=1,NI9=0),25,0),IF($F9&gt;0,INDEX('計算A'!DV$110:DV$114,$F9+1)+IF(AND($E9=1,NI9=0),1000,0),MIN(TZ9,20)*400+(IF('計算A'!DU$106=1,1-HS9,0)+IF('計算A'!DV$106=1,1-HU9,0))*150+36+'計算A'!DV$5*100000+IF(AND($E9=1,NI9=0),50000,0))+IF($H9=1,(IF('計算A'!DU$117=1,INDEX('計算A'!DU$10:DU$54,$B9),0)+IF('計算A'!DV$117=1,INDEX('計算A'!DW$10:DW$54,$B9),0))*4000,0)-IF(AND('計算A'!DU$117=1,YS9&gt;0),2000,0)-IF(AND($L9=1,'計算A'!DV$117=1,HU9=0),2000,0))),1000000))</f>
        <v/>
      </c>
      <c r="SY9">
        <f>IF($B9=0,1000000,IF(INDEX('計算A'!$D$60:$EQ$104,$B9,124)*HU9=1,IF(AND($E9=2,NJ9=0),1000000,IF($I9&gt;0,IF(6=$J9,IF(OR(AND(124=$I9+1,OR($K9&lt;&gt;'計算A'!$A$3,'計算A'!$A$4=0)),AND(124=$I9-1,OR(4&lt;&gt;'計算A'!$A$3,'計算A'!$A$4=0))),0,IF(4=$K9,200000,ABS(4-$K9)*100)),100000+ABS(6-$J9)*1000+40)+'計算A'!DW$5*50+IF(AND($E9=1,NJ9=0),25,0),IF($F9&gt;0,INDEX('計算A'!DW$110:DW$114,$F9+1)+IF(AND($E9=1,NJ9=0),1000,0),MIN(TZ9,20)*400+(IF('計算A'!DV$106=1,1-HT9,0)+IF('計算A'!DW$106=1,1-HV9,0))*150+46+'計算A'!DW$5*100000+IF(AND($E9=1,NJ9=0),50000,0))+IF($H9=1,(IF('計算A'!DV$117=1,INDEX('計算A'!DV$10:DV$54,$B9),0)+IF('計算A'!DW$117=1,INDEX('計算A'!DX$10:DX$54,$B9),0))*4000,0)-IF(AND('計算A'!DV$117=1,YT9&gt;0),2000,0)-IF(AND($L9=1,'計算A'!DW$117=1,HV9=0),2000,0))),1000000))</f>
        <v/>
      </c>
      <c r="SZ9">
        <f>IF($B9=0,1000000,IF(INDEX('計算A'!$D$60:$EQ$104,$B9,125)*HV9=1,IF(AND($E9=2,NK9=0),1000000,IF($I9&gt;0,IF(6=$J9,IF(OR(AND(125=$I9+1,OR($K9&lt;&gt;'計算A'!$A$3,'計算A'!$A$4=0)),AND(125=$I9-1,OR(5&lt;&gt;'計算A'!$A$3,'計算A'!$A$4=0))),0,IF(5=$K9,200000,ABS(5-$K9)*100)),100000+ABS(6-$J9)*1000+50)+'計算A'!DX$5*50+IF(AND($E9=1,NK9=0),25,0),IF($F9&gt;0,INDEX('計算A'!DX$110:DX$114,$F9+1)+IF(AND($E9=1,NK9=0),1000,0),MIN(TZ9,20)*400+(IF('計算A'!DW$106=1,1-HU9,0)+IF('計算A'!DX$106=1,1-HW9,0))*150+56+'計算A'!DX$5*100000+IF(AND($E9=1,NK9=0),50000,0))+IF($H9=1,(IF('計算A'!DW$117=1,INDEX('計算A'!DW$10:DW$54,$B9),0)+IF('計算A'!DX$117=1,INDEX('計算A'!DY$10:DY$54,$B9),0))*4000,0)-IF(AND('計算A'!DW$117=1,YU9&gt;0),2000,0)-IF(AND($L9=1,'計算A'!DX$117=1,HW9=0),2000,0))),1000000))</f>
        <v/>
      </c>
      <c r="TA9">
        <f>IF($B9=0,1000000,IF(INDEX('計算A'!$D$60:$EQ$104,$B9,126)*HW9=1,IF(AND($E9=2,NL9=0),1000000,IF($I9&gt;0,IF(6=$J9,IF(OR(AND(126=$I9+1,OR($K9&lt;&gt;'計算A'!$A$3,'計算A'!$A$4=0)),AND(126=$I9-1,OR(6&lt;&gt;'計算A'!$A$3,'計算A'!$A$4=0))),0,IF(6=$K9,200000,ABS(6-$K9)*100)),100000+ABS(6-$J9)*1000+60)+'計算A'!DY$5*50+IF(AND($E9=1,NL9=0),25,0),IF($F9&gt;0,INDEX('計算A'!DY$110:DY$114,$F9+1)+IF(AND($E9=1,NL9=0),1000,0),MIN(TZ9,20)*400+(IF('計算A'!DX$106=1,1-HV9,0)+IF('計算A'!DY$106=1,1-HX9,0))*150+66+'計算A'!DY$5*100000+IF(AND($E9=1,NL9=0),50000,0))+IF($H9=1,(IF('計算A'!DX$117=1,INDEX('計算A'!DX$10:DX$54,$B9),0)+IF('計算A'!DY$117=1,INDEX('計算A'!DZ$10:DZ$54,$B9),0))*4000,0)-IF(AND('計算A'!DX$117=1,YV9&gt;0),2000,0)-IF(AND($L9=1,'計算A'!DY$117=1,HX9=0),2000,0))),1000000))</f>
        <v/>
      </c>
      <c r="TB9">
        <f>IF($B9=0,1000000,IF(INDEX('計算A'!$D$60:$EQ$104,$B9,127)*HX9=1,IF(AND($E9=2,NM9=0),1000000,IF($I9&gt;0,IF(6=$J9,IF(OR(AND(127=$I9+1,OR($K9&lt;&gt;'計算A'!$A$3,'計算A'!$A$4=0)),AND(127=$I9-1,OR(7&lt;&gt;'計算A'!$A$3,'計算A'!$A$4=0))),0,IF(7=$K9,200000,ABS(7-$K9)*100)),100000+ABS(6-$J9)*1000+70)+'計算A'!DZ$5*50+IF(AND($E9=1,NM9=0),25,0),IF($F9&gt;0,INDEX('計算A'!DZ$110:DZ$114,$F9+1)+IF(AND($E9=1,NM9=0),1000,0),MIN(TZ9,20)*400+(IF('計算A'!DY$106=1,1-HW9,0)+IF('計算A'!DZ$106=1,1-HY9,0))*150+76+'計算A'!DZ$5*100000+IF(AND($E9=1,NM9=0),50000,0))+IF($H9=1,(IF('計算A'!DY$117=1,INDEX('計算A'!DY$10:DY$54,$B9),0)+IF('計算A'!DZ$117=1,INDEX('計算A'!EA$10:EA$54,$B9),0))*4000,0)-IF(AND('計算A'!DY$117=1,YW9&gt;0),2000,0)-IF(AND($L9=1,'計算A'!DZ$117=1,HY9=0),2000,0))),1000000))</f>
        <v/>
      </c>
      <c r="TC9">
        <f>IF($B9=0,1000000,IF(INDEX('計算A'!$D$60:$EQ$104,$B9,128)*HY9=1,IF(AND($E9=2,NN9=0),1000000,IF($I9&gt;0,IF(6=$J9,IF(OR(AND(128=$I9+1,OR($K9&lt;&gt;'計算A'!$A$3,'計算A'!$A$4=0)),AND(128=$I9-1,OR(8&lt;&gt;'計算A'!$A$3,'計算A'!$A$4=0))),0,IF(8=$K9,200000,ABS(8-$K9)*100)),100000+ABS(6-$J9)*1000+80)+'計算A'!EA$5*50+IF(AND($E9=1,NN9=0),25,0),IF($F9&gt;0,INDEX('計算A'!EA$110:EA$114,$F9+1)+IF(AND($E9=1,NN9=0),1000,0),MIN(TZ9,20)*400+(IF('計算A'!DZ$106=1,1-HX9,0)+IF('計算A'!EA$106=1,1-HZ9,0))*150+86+'計算A'!EA$5*100000+IF(AND($E9=1,NN9=0),50000,0))+IF($H9=1,(IF('計算A'!DZ$117=1,INDEX('計算A'!DZ$10:DZ$54,$B9),0)+IF('計算A'!EA$117=1,INDEX('計算A'!EB$10:EB$54,$B9),0))*4000,0)-IF(AND('計算A'!DZ$117=1,YX9&gt;0),2000,0)-IF(AND($L9=1,'計算A'!EA$117=1,HZ9=0),2000,0))),1000000))</f>
        <v/>
      </c>
      <c r="TD9">
        <f>IF($B9=0,1000000,IF(INDEX('計算A'!$D$60:$EQ$104,$B9,129)*HZ9=1,IF(AND($E9=2,NO9=0),1000000,IF($I9&gt;0,IF(6=$J9,IF(OR(AND(129=$I9+1,OR($K9&lt;&gt;'計算A'!$A$3,'計算A'!$A$4=0)),AND(129=$I9-1,OR(9&lt;&gt;'計算A'!$A$3,'計算A'!$A$4=0))),0,IF(9=$K9,200000,ABS(9-$K9)*100)),100000+ABS(6-$J9)*1000+90)+'計算A'!EB$5*50+IF(AND($E9=1,NO9=0),25,0),IF($F9&gt;0,INDEX('計算A'!EB$110:EB$114,$F9+1)+IF(AND($E9=1,NO9=0),1000,0),MIN(TZ9,20)*400+(IF('計算A'!EA$106=1,1-HY9,0)+IF('計算A'!EB$106=1,1-IA9,0))*150+96+'計算A'!EB$5*100000+IF(AND($E9=1,NO9=0),50000,0))+IF($H9=1,(IF('計算A'!EA$117=1,INDEX('計算A'!EA$10:EA$54,$B9),0)+IF('計算A'!EB$117=1,INDEX('計算A'!EC$10:EC$54,$B9),0))*4000,0)-IF(AND('計算A'!EA$117=1,YY9&gt;0),2000,0)-IF(AND($L9=1,'計算A'!EB$117=1,IA9=0),2000,0))),1000000))</f>
        <v/>
      </c>
      <c r="TE9">
        <f>IF($B9=0,1000000,IF(INDEX('計算A'!$D$60:$EQ$104,$B9,130)*IA9=1,IF(AND($E9=2,NP9=0),1000000,IF($I9&gt;0,IF(6=$J9,IF(OR(AND(130=$I9+1,OR($K9&lt;&gt;'計算A'!$A$3,'計算A'!$A$4=0)),AND(130=$I9-1,OR(10&lt;&gt;'計算A'!$A$3,'計算A'!$A$4=0))),0,IF(10=$K9,200000,ABS(10-$K9)*100)),100000+ABS(6-$J9)*1000+100)+'計算A'!EC$5*50+IF(AND($E9=1,NP9=0),25,0),IF($F9&gt;0,INDEX('計算A'!EC$110:EC$114,$F9+1)+IF(AND($E9=1,NP9=0),1000,0),MIN(TZ9,20)*400+(IF('計算A'!EB$106=1,1-HZ9,0)+IF('計算A'!EC$106=1,1-IB9,0))*150+106+'計算A'!EC$5*100000+IF(AND($E9=1,NP9=0),50000,0))+IF($H9=1,(IF('計算A'!EB$117=1,INDEX('計算A'!EB$10:EB$54,$B9),0)+IF('計算A'!EC$117=1,INDEX('計算A'!ED$10:ED$54,$B9),0))*4000,0)-IF(AND('計算A'!EB$117=1,YZ9&gt;0),2000,0)-IF(AND($L9=1,'計算A'!EC$117=1,IB9=0),2000,0))),1000000))</f>
        <v/>
      </c>
      <c r="TF9">
        <f>IF($B9=0,1000000,IF(INDEX('計算A'!$D$60:$EQ$104,$B9,131)*IB9=1,IF(AND($E9=2,NQ9=0),1000000,IF($I9&gt;0,IF(6=$J9,IF(OR(AND(131=$I9+1,OR($K9&lt;&gt;'計算A'!$A$3,'計算A'!$A$4=0)),AND(131=$I9-1,OR(11&lt;&gt;'計算A'!$A$3,'計算A'!$A$4=0))),0,IF(11=$K9,200000,ABS(11-$K9)*100)),100000+ABS(6-$J9)*1000+110)+'計算A'!ED$5*50+IF(AND($E9=1,NQ9=0),25,0),IF($F9&gt;0,INDEX('計算A'!ED$110:ED$114,$F9+1)+IF(AND($E9=1,NQ9=0),1000,0),MIN(TZ9,20)*400+(IF('計算A'!EC$106=1,1-IA9,0)+IF('計算A'!ED$106=1,1-IC9,0))*150+116+'計算A'!ED$5*100000+IF(AND($E9=1,NQ9=0),50000,0))+IF($H9=1,(IF('計算A'!EC$117=1,INDEX('計算A'!EC$10:EC$54,$B9),0)+IF('計算A'!ED$117=1,INDEX('計算A'!EE$10:EE$54,$B9),0))*4000,0)-IF(AND('計算A'!EC$117=1,ZA9&gt;0),2000,0)-IF(AND($L9=1,'計算A'!ED$117=1,IC9=0),2000,0))),1000000))</f>
        <v/>
      </c>
      <c r="TG9">
        <f>IF($B9=0,1000000,IF(INDEX('計算A'!$D$60:$EQ$104,$B9,132)*IC9=1,IF(AND($E9=2,NR9=0),1000000,IF($I9&gt;0,IF(6=$J9,IF(OR(AND(132=$I9+1,OR($K9&lt;&gt;'計算A'!$A$3,'計算A'!$A$4=0)),AND(132=$I9-1,OR(12&lt;&gt;'計算A'!$A$3,'計算A'!$A$4=0))),0,IF(12=$K9,200000,ABS(12-$K9)*100)),100000+ABS(6-$J9)*1000+120)+'計算A'!EE$5*50+IF(AND($E9=1,NR9=0),25,0),IF($F9&gt;0,INDEX('計算A'!EE$110:EE$114,$F9+1)+IF(AND($E9=1,NR9=0),1000,0),MIN(TZ9,20)*400+(IF('計算A'!ED$106=1,1-IB9,0)+IF('計算A'!EE$106=1,1-ID9,0))*150+126+'計算A'!EE$5*100000+IF(AND($E9=1,NR9=0),50000,0))+IF($H9=1,(IF('計算A'!ED$117=1,INDEX('計算A'!ED$10:ED$54,$B9),0)+IF('計算A'!EE$117=1,INDEX('計算A'!EF$10:EF$54,$B9),0))*4000,0)-IF(AND('計算A'!ED$117=1,ZB9&gt;0),2000,0)-IF(AND($L9=1,'計算A'!EE$117=1,ID9=0),2000,0))),1000000))</f>
        <v/>
      </c>
      <c r="TH9">
        <f>IF($B9=0,1000000,IF(INDEX('計算A'!$D$60:$EQ$104,$B9,133)*ID9=1,IF(AND($E9=2,NS9=0),1000000,IF($I9&gt;0,IF(6=$J9,IF(OR(AND(133=$I9+1,OR($K9&lt;&gt;'計算A'!$A$3,'計算A'!$A$4=0)),AND(133=$I9-1,OR(13&lt;&gt;'計算A'!$A$3,'計算A'!$A$4=0))),0,IF(13=$K9,200000,ABS(13-$K9)*100)),100000+ABS(6-$J9)*1000+130)+'計算A'!EF$5*50+IF(AND($E9=1,NS9=0),25,0),IF($F9&gt;0,INDEX('計算A'!EF$110:EF$114,$F9+1)+IF(AND($E9=1,NS9=0),1000,0),MIN(TZ9,20)*400+(IF('計算A'!EE$106=1,1-IC9,0)+IF('計算A'!EF$106=1,1-IE9,0))*150+136+'計算A'!EF$5*100000+IF(AND($E9=1,NS9=0),50000,0))+IF($H9=1,(IF('計算A'!EE$117=1,INDEX('計算A'!EE$10:EE$54,$B9),0)+IF('計算A'!EF$117=1,INDEX('計算A'!EG$10:EG$54,$B9),0))*4000,0)-IF(AND('計算A'!EE$117=1,ZC9&gt;0),2000,0)-IF(AND($L9=1,'計算A'!EF$117=1,IE9=0),2000,0))),1000000))</f>
        <v/>
      </c>
      <c r="TI9">
        <f>IF($B9=0,1000000,IF(INDEX('計算A'!$D$60:$EQ$104,$B9,134)*IE9=1,IF(AND($E9=2,NT9=0),1000000,IF($I9&gt;0,IF(6=$J9,IF(OR(AND(134=$I9+1,OR($K9&lt;&gt;'計算A'!$A$3,'計算A'!$A$4=0)),AND(134=$I9-1,OR(14&lt;&gt;'計算A'!$A$3,'計算A'!$A$4=0))),0,IF(14=$K9,200000,ABS(14-$K9)*100)),100000+ABS(6-$J9)*1000+140)+'計算A'!EG$5*50+IF(AND($E9=1,NT9=0),25,0),IF($F9&gt;0,INDEX('計算A'!EG$110:EG$114,$F9+1)+IF(AND($E9=1,NT9=0),1000,0),MIN(TZ9,20)*400+(IF('計算A'!EF$106=1,1-ID9,0)+IF('計算A'!EG$106=1,1-IF9,0))*150+146+'計算A'!EG$5*100000+IF(AND($E9=1,NT9=0),50000,0))+IF($H9=1,(IF('計算A'!EF$117=1,INDEX('計算A'!EF$10:EF$54,$B9),0)+IF('計算A'!EG$117=1,INDEX('計算A'!EH$10:EH$54,$B9),0))*4000,0)-IF(AND('計算A'!EF$117=1,ZD9&gt;0),2000,0)-IF(AND($L9=1,'計算A'!EG$117=1,IF9=0),2000,0))),1000000))</f>
        <v/>
      </c>
      <c r="TJ9">
        <f>IF($B9=0,1000000,IF(INDEX('計算A'!$D$60:$EQ$104,$B9,135)*IF9=1,IF(AND($E9=2,NU9=0),1000000,IF($I9&gt;0,IF(6=$J9,IF(OR(AND(135=$I9+1,OR($K9&lt;&gt;'計算A'!$A$3,'計算A'!$A$4=0)),AND(135=$I9-1,OR(15&lt;&gt;'計算A'!$A$3,'計算A'!$A$4=0))),0,IF(15=$K9,200000,ABS(15-$K9)*100)),100000+ABS(6-$J9)*1000+150)+'計算A'!EH$5*50+IF(AND($E9=1,NU9=0),25,0),IF($F9&gt;0,INDEX('計算A'!EH$110:EH$114,$F9+1)+IF(AND($E9=1,NU9=0),1000,0),MIN(TZ9,20)*400+(IF('計算A'!EG$106=1,1-IE9,0)+IF('計算A'!EH$106=1,1-IG9,0))*150+156+'計算A'!EH$5*100000+IF(AND($E9=1,NU9=0),50000,0))+IF($H9=1,(IF('計算A'!EG$117=1,INDEX('計算A'!EG$10:EG$54,$B9),0)+IF('計算A'!EH$117=1,INDEX('計算A'!EI$10:EI$54,$B9),0))*4000,0)-IF(AND('計算A'!EG$117=1,ZE9&gt;0),2000,0)-IF(AND($L9=1,'計算A'!EH$117=1,IG9=0),2000,0))),1000000))</f>
        <v/>
      </c>
      <c r="TK9">
        <f>IF($B9=0,1000000,IF(INDEX('計算A'!$D$60:$EQ$104,$B9,136)*IG9=1,IF(AND($E9=2,NV9=0),1000000,IF($I9&gt;0,IF(6=$J9,IF(OR(AND(136=$I9+1,OR($K9&lt;&gt;'計算A'!$A$3,'計算A'!$A$4=0)),AND(136=$I9-1,OR(16&lt;&gt;'計算A'!$A$3,'計算A'!$A$4=0))),0,IF(16=$K9,200000,ABS(16-$K9)*100)),100000+ABS(6-$J9)*1000+160)+'計算A'!EI$5*50+IF(AND($E9=1,NV9=0),25,0),IF($F9&gt;0,INDEX('計算A'!EI$110:EI$114,$F9+1)+IF(AND($E9=1,NV9=0),1000,0),MIN(TZ9,20)*400+(IF('計算A'!EH$106=1,1-IF9,0)+IF('計算A'!EI$106=1,1-IH9,0))*150+166+'計算A'!EI$5*100000+IF(AND($E9=1,NV9=0),50000,0))+IF($H9=1,(IF('計算A'!EH$117=1,INDEX('計算A'!EH$10:EH$54,$B9),0)+IF('計算A'!EI$117=1,INDEX('計算A'!EJ$10:EJ$54,$B9),0))*4000,0)-IF(AND('計算A'!EH$117=1,ZF9&gt;0),2000,0)-IF(AND($L9=1,'計算A'!EI$117=1,IH9=0),2000,0))),1000000))</f>
        <v/>
      </c>
      <c r="TL9">
        <f>IF($B9=0,1000000,IF(INDEX('計算A'!$D$60:$EQ$104,$B9,137)*IH9=1,IF(AND($E9=2,NW9=0),1000000,IF($I9&gt;0,IF(6=$J9,IF(OR(AND(137=$I9+1,OR($K9&lt;&gt;'計算A'!$A$3,'計算A'!$A$4=0)),AND(137=$I9-1,OR(17&lt;&gt;'計算A'!$A$3,'計算A'!$A$4=0))),0,IF(17=$K9,200000,ABS(17-$K9)*100)),100000+ABS(6-$J9)*1000+170)+'計算A'!EJ$5*50+IF(AND($E9=1,NW9=0),25,0),IF($F9&gt;0,INDEX('計算A'!EJ$110:EJ$114,$F9+1)+IF(AND($E9=1,NW9=0),1000,0),MIN(TZ9,20)*400+(IF('計算A'!EI$106=1,1-IG9,0)+IF('計算A'!EJ$106=1,1-II9,0))*150+176+'計算A'!EJ$5*100000+IF(AND($E9=1,NW9=0),50000,0))+IF($H9=1,(IF('計算A'!EI$117=1,INDEX('計算A'!EI$10:EI$54,$B9),0)+IF('計算A'!EJ$117=1,INDEX('計算A'!EK$10:EK$54,$B9),0))*4000,0)-IF(AND('計算A'!EI$117=1,ZG9&gt;0),2000,0)-IF(AND($L9=1,'計算A'!EJ$117=1,II9=0),2000,0))),1000000))</f>
        <v/>
      </c>
      <c r="TM9">
        <f>IF($B9=0,1000000,IF(INDEX('計算A'!$D$60:$EQ$104,$B9,138)*II9=1,IF(AND($E9=2,NX9=0),1000000,IF($I9&gt;0,IF(6=$J9,IF(OR(AND(138=$I9+1,OR($K9&lt;&gt;'計算A'!$A$3,'計算A'!$A$4=0)),AND(138=$I9-1,OR(18&lt;&gt;'計算A'!$A$3,'計算A'!$A$4=0))),0,IF(18=$K9,200000,ABS(18-$K9)*100)),100000+ABS(6-$J9)*1000+180)+'計算A'!EK$5*50+IF(AND($E9=1,NX9=0),25,0),IF($F9&gt;0,INDEX('計算A'!EK$110:EK$114,$F9+1)+IF(AND($E9=1,NX9=0),1000,0),MIN(TZ9,20)*400+(IF('計算A'!EJ$106=1,1-IH9,0)+IF('計算A'!EK$106=1,1-IJ9,0))*150+186+'計算A'!EK$5*100000+IF(AND($E9=1,NX9=0),50000,0))+IF($H9=1,(IF('計算A'!EJ$117=1,INDEX('計算A'!EJ$10:EJ$54,$B9),0)+IF('計算A'!EK$117=1,INDEX('計算A'!EL$10:EL$54,$B9),0))*4000,0)-IF(AND('計算A'!EJ$117=1,ZH9&gt;0),2000,0)-IF(AND($L9=1,'計算A'!EK$117=1,IJ9=0),2000,0))),1000000))</f>
        <v/>
      </c>
      <c r="TN9">
        <f>IF($B9=0,1000000,IF(INDEX('計算A'!$D$60:$EQ$104,$B9,139)*IJ9=1,IF(AND($E9=2,NY9=0),1000000,IF($I9&gt;0,IF(6=$J9,IF(OR(AND(139=$I9+1,OR($K9&lt;&gt;'計算A'!$A$3,'計算A'!$A$4=0)),AND(139=$I9-1,OR(19&lt;&gt;'計算A'!$A$3,'計算A'!$A$4=0))),0,IF(19=$K9,200000,ABS(19-$K9)*100)),100000+ABS(6-$J9)*1000+190)+'計算A'!EL$5*50+IF(AND($E9=1,NY9=0),25,0),IF($F9&gt;0,INDEX('計算A'!EL$110:EL$114,$F9+1)+IF(AND($E9=1,NY9=0),1000,0),MIN(TZ9,20)*400+(IF('計算A'!EK$106=1,1-II9,0)+IF('計算A'!EL$106=1,1-IK9,0))*150+196+'計算A'!EL$5*100000+IF(AND($E9=1,NY9=0),50000,0))+IF($H9=1,(IF('計算A'!EK$117=1,INDEX('計算A'!EK$10:EK$54,$B9),0)+IF('計算A'!EL$117=1,INDEX('計算A'!EM$10:EM$54,$B9),0))*4000,0)-IF(AND('計算A'!EK$117=1,ZI9&gt;0),2000,0)-IF(AND($L9=1,'計算A'!EL$117=1,IK9=0),2000,0))),1000000))</f>
        <v/>
      </c>
      <c r="TO9">
        <f>IF($B9=0,1000000,IF(INDEX('計算A'!$D$60:$EQ$104,$B9,140)*IK9=1,IF(AND($E9=2,NZ9=0),1000000,IF($I9&gt;0,IF(6=$J9,IF(OR(AND(140=$I9+1,OR($K9&lt;&gt;'計算A'!$A$3,'計算A'!$A$4=0)),AND(140=$I9-1,OR(20&lt;&gt;'計算A'!$A$3,'計算A'!$A$4=0))),0,IF(20=$K9,200000,ABS(20-$K9)*100)),100000+ABS(6-$J9)*1000+200)+'計算A'!EM$5*50+IF(AND($E9=1,NZ9=0),25,0),IF($F9&gt;0,INDEX('計算A'!EM$110:EM$114,$F9+1)+IF(AND($E9=1,NZ9=0),1000,0),MIN(TZ9,20)*400+(IF('計算A'!EL$106=1,1-IJ9,0)+IF('計算A'!EM$106=1,1-IL9,0))*150+206+'計算A'!EM$5*100000+IF(AND($E9=1,NZ9=0),50000,0))+IF($H9=1,(IF('計算A'!EL$117=1,INDEX('計算A'!EL$10:EL$54,$B9),0)+IF('計算A'!EM$117=1,INDEX('計算A'!EN$10:EN$54,$B9),0))*4000,0)-IF(AND('計算A'!EL$117=1,ZJ9&gt;0),2000,0)-IF(AND($L9=1,'計算A'!EM$117=1,IL9=0),2000,0))),1000000))</f>
        <v/>
      </c>
      <c r="TP9">
        <f>IF($B9=0,1000000,IF(INDEX('計算A'!$D$60:$EQ$104,$B9,141)*IL9=1,IF(AND($E9=2,OA9=0),1000000,IF($I9&gt;0,IF(6=$J9,IF(OR(AND(141=$I9+1,OR($K9&lt;&gt;'計算A'!$A$3,'計算A'!$A$4=0)),AND(141=$I9-1,OR(21&lt;&gt;'計算A'!$A$3,'計算A'!$A$4=0))),0,IF(21=$K9,200000,ABS(21-$K9)*100)),100000+ABS(6-$J9)*1000+210)+'計算A'!EN$5*50+IF(AND($E9=1,OA9=0),25,0),IF($F9&gt;0,INDEX('計算A'!EN$110:EN$114,$F9+1)+IF(AND($E9=1,OA9=0),1000,0),MIN(TZ9,20)*400+(IF('計算A'!EM$106=1,1-IK9,0)+IF('計算A'!EN$106=1,1-IM9,0))*150+216+'計算A'!EN$5*100000+IF(AND($E9=1,OA9=0),50000,0))+IF($H9=1,(IF('計算A'!EM$117=1,INDEX('計算A'!EM$10:EM$54,$B9),0)+IF('計算A'!EN$117=1,INDEX('計算A'!EO$10:EO$54,$B9),0))*4000,0)-IF(AND('計算A'!EM$117=1,ZK9&gt;0),2000,0)-IF(AND($L9=1,'計算A'!EN$117=1,IM9=0),2000,0))),1000000))</f>
        <v/>
      </c>
      <c r="TQ9">
        <f>IF($B9=0,1000000,IF(INDEX('計算A'!$D$60:$EQ$104,$B9,142)*IM9=1,IF(AND($E9=2,OB9=0),1000000,IF($I9&gt;0,IF(6=$J9,IF(OR(AND(142=$I9+1,OR($K9&lt;&gt;'計算A'!$A$3,'計算A'!$A$4=0)),AND(142=$I9-1,OR(22&lt;&gt;'計算A'!$A$3,'計算A'!$A$4=0))),0,IF(22=$K9,200000,ABS(22-$K9)*100)),100000+ABS(6-$J9)*1000+220)+'計算A'!EO$5*50+IF(AND($E9=1,OB9=0),25,0),IF($F9&gt;0,INDEX('計算A'!EO$110:EO$114,$F9+1)+IF(AND($E9=1,OB9=0),1000,0),MIN(TZ9,20)*400+(IF('計算A'!EN$106=1,1-IL9,0)+IF('計算A'!EO$106=1,1-IN9,0))*150+226+'計算A'!EO$5*100000+IF(AND($E9=1,OB9=0),50000,0))+IF($H9=1,(IF('計算A'!EN$117=1,INDEX('計算A'!EN$10:EN$54,$B9),0)+IF('計算A'!EO$117=1,INDEX('計算A'!EP$10:EP$54,$B9),0))*4000,0)-IF(AND('計算A'!EN$117=1,ZL9&gt;0),2000,0)-IF(AND($L9=1,'計算A'!EO$117=1,IN9=0),2000,0))),1000000))</f>
        <v/>
      </c>
      <c r="TR9">
        <f>IF($B9=0,1000000,IF(INDEX('計算A'!$D$60:$EQ$104,$B9,143)*IN9=1,IF(AND($E9=2,OC9=0),1000000,IF($I9&gt;0,IF(6=$J9,IF(OR(AND(143=$I9+1,OR($K9&lt;&gt;'計算A'!$A$3,'計算A'!$A$4=0)),AND(143=$I9-1,OR(23&lt;&gt;'計算A'!$A$3,'計算A'!$A$4=0))),0,IF(23=$K9,200000,ABS(23-$K9)*100)),100000+ABS(6-$J9)*1000+230)+'計算A'!EP$5*50+IF(AND($E9=1,OC9=0),25,0),IF($F9&gt;0,INDEX('計算A'!EP$110:EP$114,$F9+1)+IF(AND($E9=1,OC9=0),1000,0),MIN(TZ9,20)*400+(IF('計算A'!EO$106=1,1-IM9,0)+IF('計算A'!EP$106=1,1-IO9,0))*150+236+'計算A'!EP$5*100000+IF(AND($E9=1,OC9=0),50000,0))+IF($H9=1,(IF('計算A'!EO$117=1,INDEX('計算A'!EO$10:EO$54,$B9),0)+IF('計算A'!EP$117=1,INDEX('計算A'!EQ$10:EQ$54,$B9),0))*4000,0)-IF(AND('計算A'!EO$117=1,ZM9&gt;0),2000,0)-IF(AND($L9=1,'計算A'!EP$117=1,IO9=0),2000,0))),1000000))</f>
        <v/>
      </c>
      <c r="TS9">
        <f>IF($B9=0,1000000,IF(INDEX('計算A'!$D$60:$EQ$104,$B9,144)*IO9=1,IF(AND($E9=2,OD9=0),1000000,IF($I9&gt;0,IF(6=$J9,IF(OR(AND(144=$I9+1,OR($K9&lt;&gt;'計算A'!$A$3,'計算A'!$A$4=0)),AND(144=$I9-1,OR(24&lt;&gt;'計算A'!$A$3,'計算A'!$A$4=0))),0,IF(24=$K9,200000,ABS(24-$K9)*100)),100000+ABS(6-$J9)*1000+240)+'計算A'!EQ$5*50+IF(AND($E9=1,OD9=0),25,0),IF($F9&gt;0,INDEX('計算A'!EQ$110:EQ$114,$F9+1)+IF(AND($E9=1,OD9=0),1000,0),MIN(TZ9,20)*400+(IF('計算A'!EP$106=1,1-IN9,0))*150+246+'計算A'!EQ$5*100000+IF(AND($E9=1,OD9=0),50000,0))+IF($H9=1,(IF('計算A'!EP$117=1,INDEX('計算A'!EP$10:EP$54,$B9),0))*4000,0)-IF(AND('計算A'!EP$117=1,ZN9&gt;0),2000,0))),1000000))</f>
        <v/>
      </c>
      <c r="TU9">
        <f>TU8+IF($C8&gt;0,IF(INDEX('計算A'!$D$2:$EQ$2,$C8)=1,1,0),0)</f>
        <v/>
      </c>
      <c r="TV9">
        <f>TV8+IF($C8&gt;0,IF(INDEX('計算A'!$D$2:$EQ$2,$C8)=2,1,0),0)</f>
        <v/>
      </c>
      <c r="TW9">
        <f>TW8+IF($C8&gt;0,IF(INDEX('計算A'!$D$2:$EQ$2,$C8)=3,1,0),0)</f>
        <v/>
      </c>
      <c r="TX9">
        <f>TX8+IF($C8&gt;0,IF(INDEX('計算A'!$D$2:$EQ$2,$C8)=4,1,0),0)</f>
        <v/>
      </c>
      <c r="TY9">
        <f>TY8+IF($C8&gt;0,IF(INDEX('計算A'!$D$2:$EQ$2,$C8)=5,1,0),0)</f>
        <v/>
      </c>
      <c r="TZ9">
        <f>TZ8+IF($C8&gt;0,IF(INDEX('計算A'!$D$2:$EQ$2,$C8)=6,1,0),0)</f>
        <v/>
      </c>
      <c r="UB9">
        <f>UB8+IF(AND($C8=1,$L8=1),1,0)</f>
        <v/>
      </c>
      <c r="UC9">
        <f>UC8+IF(AND($C8=2,$L8=1),1,0)</f>
        <v/>
      </c>
      <c r="UD9">
        <f>UD8+IF(AND($C8=3,$L8=1),1,0)</f>
        <v/>
      </c>
      <c r="UE9">
        <f>UE8+IF(AND($C8=4,$L8=1),1,0)</f>
        <v/>
      </c>
      <c r="UF9">
        <f>UF8+IF(AND($C8=5,$L8=1),1,0)</f>
        <v/>
      </c>
      <c r="UG9">
        <f>UG8+IF(AND($C8=6,$L8=1),1,0)</f>
        <v/>
      </c>
      <c r="UH9">
        <f>UH8+IF(AND($C8=7,$L8=1),1,0)</f>
        <v/>
      </c>
      <c r="UI9">
        <f>UI8+IF(AND($C8=8,$L8=1),1,0)</f>
        <v/>
      </c>
      <c r="UJ9">
        <f>UJ8+IF(AND($C8=9,$L8=1),1,0)</f>
        <v/>
      </c>
      <c r="UK9">
        <f>UK8+IF(AND($C8=10,$L8=1),1,0)</f>
        <v/>
      </c>
      <c r="UL9">
        <f>UL8+IF(AND($C8=11,$L8=1),1,0)</f>
        <v/>
      </c>
      <c r="UM9">
        <f>UM8+IF(AND($C8=12,$L8=1),1,0)</f>
        <v/>
      </c>
      <c r="UN9">
        <f>UN8+IF(AND($C8=13,$L8=1),1,0)</f>
        <v/>
      </c>
      <c r="UO9">
        <f>UO8+IF(AND($C8=14,$L8=1),1,0)</f>
        <v/>
      </c>
      <c r="UP9">
        <f>UP8+IF(AND($C8=15,$L8=1),1,0)</f>
        <v/>
      </c>
      <c r="UQ9">
        <f>UQ8+IF(AND($C8=16,$L8=1),1,0)</f>
        <v/>
      </c>
      <c r="UR9">
        <f>UR8+IF(AND($C8=17,$L8=1),1,0)</f>
        <v/>
      </c>
      <c r="US9">
        <f>US8+IF(AND($C8=18,$L8=1),1,0)</f>
        <v/>
      </c>
      <c r="UT9">
        <f>UT8+IF(AND($C8=19,$L8=1),1,0)</f>
        <v/>
      </c>
      <c r="UU9">
        <f>UU8+IF(AND($C8=20,$L8=1),1,0)</f>
        <v/>
      </c>
      <c r="UV9">
        <f>UV8+IF(AND($C8=21,$L8=1),1,0)</f>
        <v/>
      </c>
      <c r="UW9">
        <f>UW8+IF(AND($C8=22,$L8=1),1,0)</f>
        <v/>
      </c>
      <c r="UX9">
        <f>UX8+IF(AND($C8=23,$L8=1),1,0)</f>
        <v/>
      </c>
      <c r="UY9">
        <f>UY8+IF(AND($C8=24,$L8=1),1,0)</f>
        <v/>
      </c>
      <c r="UZ9">
        <f>UZ8+IF(AND($C8=25,$L8=1),1,0)</f>
        <v/>
      </c>
      <c r="VA9">
        <f>VA8+IF(AND($C8=26,$L8=1),1,0)</f>
        <v/>
      </c>
      <c r="VB9">
        <f>VB8+IF(AND($C8=27,$L8=1),1,0)</f>
        <v/>
      </c>
      <c r="VC9">
        <f>VC8+IF(AND($C8=28,$L8=1),1,0)</f>
        <v/>
      </c>
      <c r="VD9">
        <f>VD8+IF(AND($C8=29,$L8=1),1,0)</f>
        <v/>
      </c>
      <c r="VE9">
        <f>VE8+IF(AND($C8=30,$L8=1),1,0)</f>
        <v/>
      </c>
      <c r="VF9">
        <f>VF8+IF(AND($C8=31,$L8=1),1,0)</f>
        <v/>
      </c>
      <c r="VG9">
        <f>VG8+IF(AND($C8=32,$L8=1),1,0)</f>
        <v/>
      </c>
      <c r="VH9">
        <f>VH8+IF(AND($C8=33,$L8=1),1,0)</f>
        <v/>
      </c>
      <c r="VI9">
        <f>VI8+IF(AND($C8=34,$L8=1),1,0)</f>
        <v/>
      </c>
      <c r="VJ9">
        <f>VJ8+IF(AND($C8=35,$L8=1),1,0)</f>
        <v/>
      </c>
      <c r="VK9">
        <f>VK8+IF(AND($C8=36,$L8=1),1,0)</f>
        <v/>
      </c>
      <c r="VL9">
        <f>VL8+IF(AND($C8=37,$L8=1),1,0)</f>
        <v/>
      </c>
      <c r="VM9">
        <f>VM8+IF(AND($C8=38,$L8=1),1,0)</f>
        <v/>
      </c>
      <c r="VN9">
        <f>VN8+IF(AND($C8=39,$L8=1),1,0)</f>
        <v/>
      </c>
      <c r="VO9">
        <f>VO8+IF(AND($C8=40,$L8=1),1,0)</f>
        <v/>
      </c>
      <c r="VP9">
        <f>VP8+IF(AND($C8=41,$L8=1),1,0)</f>
        <v/>
      </c>
      <c r="VQ9">
        <f>VQ8+IF(AND($C8=42,$L8=1),1,0)</f>
        <v/>
      </c>
      <c r="VR9">
        <f>VR8+IF(AND($C8=43,$L8=1),1,0)</f>
        <v/>
      </c>
      <c r="VS9">
        <f>VS8+IF(AND($C8=44,$L8=1),1,0)</f>
        <v/>
      </c>
      <c r="VT9">
        <f>VT8+IF(AND($C8=45,$L8=1),1,0)</f>
        <v/>
      </c>
      <c r="VU9">
        <f>VU8+IF(AND($C8=46,$L8=1),1,0)</f>
        <v/>
      </c>
      <c r="VV9">
        <f>VV8+IF(AND($C8=47,$L8=1),1,0)</f>
        <v/>
      </c>
      <c r="VW9">
        <f>VW8+IF(AND($C8=48,$L8=1),1,0)</f>
        <v/>
      </c>
      <c r="VX9">
        <f>VX8+IF(AND($C8=49,$L8=1),1,0)</f>
        <v/>
      </c>
      <c r="VY9">
        <f>VY8+IF(AND($C8=50,$L8=1),1,0)</f>
        <v/>
      </c>
      <c r="VZ9">
        <f>VZ8+IF(AND($C8=51,$L8=1),1,0)</f>
        <v/>
      </c>
      <c r="WA9">
        <f>WA8+IF(AND($C8=52,$L8=1),1,0)</f>
        <v/>
      </c>
      <c r="WB9">
        <f>WB8+IF(AND($C8=53,$L8=1),1,0)</f>
        <v/>
      </c>
      <c r="WC9">
        <f>WC8+IF(AND($C8=54,$L8=1),1,0)</f>
        <v/>
      </c>
      <c r="WD9">
        <f>WD8+IF(AND($C8=55,$L8=1),1,0)</f>
        <v/>
      </c>
      <c r="WE9">
        <f>WE8+IF(AND($C8=56,$L8=1),1,0)</f>
        <v/>
      </c>
      <c r="WF9">
        <f>WF8+IF(AND($C8=57,$L8=1),1,0)</f>
        <v/>
      </c>
      <c r="WG9">
        <f>WG8+IF(AND($C8=58,$L8=1),1,0)</f>
        <v/>
      </c>
      <c r="WH9">
        <f>WH8+IF(AND($C8=59,$L8=1),1,0)</f>
        <v/>
      </c>
      <c r="WI9">
        <f>WI8+IF(AND($C8=60,$L8=1),1,0)</f>
        <v/>
      </c>
      <c r="WJ9">
        <f>WJ8+IF(AND($C8=61,$L8=1),1,0)</f>
        <v/>
      </c>
      <c r="WK9">
        <f>WK8+IF(AND($C8=62,$L8=1),1,0)</f>
        <v/>
      </c>
      <c r="WL9">
        <f>WL8+IF(AND($C8=63,$L8=1),1,0)</f>
        <v/>
      </c>
      <c r="WM9">
        <f>WM8+IF(AND($C8=64,$L8=1),1,0)</f>
        <v/>
      </c>
      <c r="WN9">
        <f>WN8+IF(AND($C8=65,$L8=1),1,0)</f>
        <v/>
      </c>
      <c r="WO9">
        <f>WO8+IF(AND($C8=66,$L8=1),1,0)</f>
        <v/>
      </c>
      <c r="WP9">
        <f>WP8+IF(AND($C8=67,$L8=1),1,0)</f>
        <v/>
      </c>
      <c r="WQ9">
        <f>WQ8+IF(AND($C8=68,$L8=1),1,0)</f>
        <v/>
      </c>
      <c r="WR9">
        <f>WR8+IF(AND($C8=69,$L8=1),1,0)</f>
        <v/>
      </c>
      <c r="WS9">
        <f>WS8+IF(AND($C8=70,$L8=1),1,0)</f>
        <v/>
      </c>
      <c r="WT9">
        <f>WT8+IF(AND($C8=71,$L8=1),1,0)</f>
        <v/>
      </c>
      <c r="WU9">
        <f>WU8+IF(AND($C8=72,$L8=1),1,0)</f>
        <v/>
      </c>
      <c r="WV9">
        <f>WV8+IF(AND($C8=73,$L8=1),1,0)</f>
        <v/>
      </c>
      <c r="WW9">
        <f>WW8+IF(AND($C8=74,$L8=1),1,0)</f>
        <v/>
      </c>
      <c r="WX9">
        <f>WX8+IF(AND($C8=75,$L8=1),1,0)</f>
        <v/>
      </c>
      <c r="WY9">
        <f>WY8+IF(AND($C8=76,$L8=1),1,0)</f>
        <v/>
      </c>
      <c r="WZ9">
        <f>WZ8+IF(AND($C8=77,$L8=1),1,0)</f>
        <v/>
      </c>
      <c r="XA9">
        <f>XA8+IF(AND($C8=78,$L8=1),1,0)</f>
        <v/>
      </c>
      <c r="XB9">
        <f>XB8+IF(AND($C8=79,$L8=1),1,0)</f>
        <v/>
      </c>
      <c r="XC9">
        <f>XC8+IF(AND($C8=80,$L8=1),1,0)</f>
        <v/>
      </c>
      <c r="XD9">
        <f>XD8+IF(AND($C8=81,$L8=1),1,0)</f>
        <v/>
      </c>
      <c r="XE9">
        <f>XE8+IF(AND($C8=82,$L8=1),1,0)</f>
        <v/>
      </c>
      <c r="XF9">
        <f>XF8+IF(AND($C8=83,$L8=1),1,0)</f>
        <v/>
      </c>
      <c r="XG9">
        <f>XG8+IF(AND($C8=84,$L8=1),1,0)</f>
        <v/>
      </c>
      <c r="XH9">
        <f>XH8+IF(AND($C8=85,$L8=1),1,0)</f>
        <v/>
      </c>
      <c r="XI9">
        <f>XI8+IF(AND($C8=86,$L8=1),1,0)</f>
        <v/>
      </c>
      <c r="XJ9">
        <f>XJ8+IF(AND($C8=87,$L8=1),1,0)</f>
        <v/>
      </c>
      <c r="XK9">
        <f>XK8+IF(AND($C8=88,$L8=1),1,0)</f>
        <v/>
      </c>
      <c r="XL9">
        <f>XL8+IF(AND($C8=89,$L8=1),1,0)</f>
        <v/>
      </c>
      <c r="XM9">
        <f>XM8+IF(AND($C8=90,$L8=1),1,0)</f>
        <v/>
      </c>
      <c r="XN9">
        <f>XN8+IF(AND($C8=91,$L8=1),1,0)</f>
        <v/>
      </c>
      <c r="XO9">
        <f>XO8+IF(AND($C8=92,$L8=1),1,0)</f>
        <v/>
      </c>
      <c r="XP9">
        <f>XP8+IF(AND($C8=93,$L8=1),1,0)</f>
        <v/>
      </c>
      <c r="XQ9">
        <f>XQ8+IF(AND($C8=94,$L8=1),1,0)</f>
        <v/>
      </c>
      <c r="XR9">
        <f>XR8+IF(AND($C8=95,$L8=1),1,0)</f>
        <v/>
      </c>
      <c r="XS9">
        <f>XS8+IF(AND($C8=96,$L8=1),1,0)</f>
        <v/>
      </c>
      <c r="XT9">
        <f>XT8+IF(AND($C8=97,$L8=1),1,0)</f>
        <v/>
      </c>
      <c r="XU9">
        <f>XU8+IF(AND($C8=98,$L8=1),1,0)</f>
        <v/>
      </c>
      <c r="XV9">
        <f>XV8+IF(AND($C8=99,$L8=1),1,0)</f>
        <v/>
      </c>
      <c r="XW9">
        <f>XW8+IF(AND($C8=100,$L8=1),1,0)</f>
        <v/>
      </c>
      <c r="XX9">
        <f>XX8+IF(AND($C8=101,$L8=1),1,0)</f>
        <v/>
      </c>
      <c r="XY9">
        <f>XY8+IF(AND($C8=102,$L8=1),1,0)</f>
        <v/>
      </c>
      <c r="XZ9">
        <f>XZ8+IF(AND($C8=103,$L8=1),1,0)</f>
        <v/>
      </c>
      <c r="YA9">
        <f>YA8+IF(AND($C8=104,$L8=1),1,0)</f>
        <v/>
      </c>
      <c r="YB9">
        <f>YB8+IF(AND($C8=105,$L8=1),1,0)</f>
        <v/>
      </c>
      <c r="YC9">
        <f>YC8+IF(AND($C8=106,$L8=1),1,0)</f>
        <v/>
      </c>
      <c r="YD9">
        <f>YD8+IF(AND($C8=107,$L8=1),1,0)</f>
        <v/>
      </c>
      <c r="YE9">
        <f>YE8+IF(AND($C8=108,$L8=1),1,0)</f>
        <v/>
      </c>
      <c r="YF9">
        <f>YF8+IF(AND($C8=109,$L8=1),1,0)</f>
        <v/>
      </c>
      <c r="YG9">
        <f>YG8+IF(AND($C8=110,$L8=1),1,0)</f>
        <v/>
      </c>
      <c r="YH9">
        <f>YH8+IF(AND($C8=111,$L8=1),1,0)</f>
        <v/>
      </c>
      <c r="YI9">
        <f>YI8+IF(AND($C8=112,$L8=1),1,0)</f>
        <v/>
      </c>
      <c r="YJ9">
        <f>YJ8+IF(AND($C8=113,$L8=1),1,0)</f>
        <v/>
      </c>
      <c r="YK9">
        <f>YK8+IF(AND($C8=114,$L8=1),1,0)</f>
        <v/>
      </c>
      <c r="YL9">
        <f>YL8+IF(AND($C8=115,$L8=1),1,0)</f>
        <v/>
      </c>
      <c r="YM9">
        <f>YM8+IF(AND($C8=116,$L8=1),1,0)</f>
        <v/>
      </c>
      <c r="YN9">
        <f>YN8+IF(AND($C8=117,$L8=1),1,0)</f>
        <v/>
      </c>
      <c r="YO9">
        <f>YO8+IF(AND($C8=118,$L8=1),1,0)</f>
        <v/>
      </c>
      <c r="YP9">
        <f>YP8+IF(AND($C8=119,$L8=1),1,0)</f>
        <v/>
      </c>
      <c r="YQ9">
        <f>YQ8+IF(AND($C8=120,$L8=1),1,0)</f>
        <v/>
      </c>
      <c r="YR9">
        <f>YR8+IF(AND($C8=121,$L8=1),1,0)</f>
        <v/>
      </c>
      <c r="YS9">
        <f>YS8+IF(AND($C8=122,$L8=1),1,0)</f>
        <v/>
      </c>
      <c r="YT9">
        <f>YT8+IF(AND($C8=123,$L8=1),1,0)</f>
        <v/>
      </c>
      <c r="YU9">
        <f>YU8+IF(AND($C8=124,$L8=1),1,0)</f>
        <v/>
      </c>
      <c r="YV9">
        <f>YV8+IF(AND($C8=125,$L8=1),1,0)</f>
        <v/>
      </c>
      <c r="YW9">
        <f>YW8+IF(AND($C8=126,$L8=1),1,0)</f>
        <v/>
      </c>
      <c r="YX9">
        <f>YX8+IF(AND($C8=127,$L8=1),1,0)</f>
        <v/>
      </c>
      <c r="YY9">
        <f>YY8+IF(AND($C8=128,$L8=1),1,0)</f>
        <v/>
      </c>
      <c r="YZ9">
        <f>YZ8+IF(AND($C8=129,$L8=1),1,0)</f>
        <v/>
      </c>
      <c r="ZA9">
        <f>ZA8+IF(AND($C8=130,$L8=1),1,0)</f>
        <v/>
      </c>
      <c r="ZB9">
        <f>ZB8+IF(AND($C8=131,$L8=1),1,0)</f>
        <v/>
      </c>
      <c r="ZC9">
        <f>ZC8+IF(AND($C8=132,$L8=1),1,0)</f>
        <v/>
      </c>
      <c r="ZD9">
        <f>ZD8+IF(AND($C8=133,$L8=1),1,0)</f>
        <v/>
      </c>
      <c r="ZE9">
        <f>ZE8+IF(AND($C8=134,$L8=1),1,0)</f>
        <v/>
      </c>
      <c r="ZF9">
        <f>ZF8+IF(AND($C8=135,$L8=1),1,0)</f>
        <v/>
      </c>
      <c r="ZG9">
        <f>ZG8+IF(AND($C8=136,$L8=1),1,0)</f>
        <v/>
      </c>
      <c r="ZH9">
        <f>ZH8+IF(AND($C8=137,$L8=1),1,0)</f>
        <v/>
      </c>
      <c r="ZI9">
        <f>ZI8+IF(AND($C8=138,$L8=1),1,0)</f>
        <v/>
      </c>
      <c r="ZJ9">
        <f>ZJ8+IF(AND($C8=139,$L8=1),1,0)</f>
        <v/>
      </c>
      <c r="ZK9">
        <f>ZK8+IF(AND($C8=140,$L8=1),1,0)</f>
        <v/>
      </c>
      <c r="ZL9">
        <f>ZL8+IF(AND($C8=141,$L8=1),1,0)</f>
        <v/>
      </c>
      <c r="ZM9">
        <f>ZM8+IF(AND($C8=142,$L8=1),1,0)</f>
        <v/>
      </c>
      <c r="ZN9">
        <f>ZN8+IF(AND($C8=143,$L8=1),1,0)</f>
        <v/>
      </c>
      <c r="ZO9">
        <f>ZO8+IF(AND($C8=144,$L8=1),1,0)</f>
        <v/>
      </c>
    </row>
    <row r="10">
      <c r="A10" t="n">
        <v>8</v>
      </c>
      <c r="B10">
        <f>IF(MIN(BH10:CZ10)&gt;=1000000,0,MATCH(MIN(BH10:CZ10),BH10:CZ10,0))</f>
        <v/>
      </c>
      <c r="C10">
        <f>IF(MIN(OF10:TS10)&gt;=1000000,0,MATCH(MIN(OF10:TS10),OF10:TS10,0))</f>
        <v/>
      </c>
      <c r="D10">
        <f>IF(C10&gt;0,INDEX('計算A'!$D$5:$EQ$5,C10),0)</f>
        <v/>
      </c>
      <c r="E10">
        <f>IF(B10=0,0,INDEX('計算A'!$IQ$10:$IQ$54,B10))</f>
        <v/>
      </c>
      <c r="F10">
        <f>IF(B10=0,0,INDEX('計算A'!$IP$10:$IP$54,B10))</f>
        <v/>
      </c>
      <c r="G10">
        <f>IF(AND(C10&gt;0,E10&gt;0),IF(AND(INDEX('計算A'!$D$106:$EQ$106,C10)=1,INDEX($IQ10:$OD10,C10)=1),C10+1,0),0)</f>
        <v/>
      </c>
      <c r="H10">
        <f>IF(B10=0,0,INDEX('計算A'!$IW$10:$IW$54,B10))</f>
        <v/>
      </c>
      <c r="I10">
        <f>IF(B10=0,0,MAX(0,INDEX('計算A'!$IT$10:$IT$54,B10)))</f>
        <v/>
      </c>
      <c r="J10">
        <f>IF(I10=0,0,INDEX('計算A'!$D$2:$EQ$2,I10))</f>
        <v/>
      </c>
      <c r="K10">
        <f>IF(I10=0,0,INDEX('計算A'!$D$3:$EQ$3,I10))</f>
        <v/>
      </c>
      <c r="L10">
        <f>IF(B10=0,0,INDEX('計算A'!$IX$10:$IX$54,B10))</f>
        <v/>
      </c>
      <c r="N10">
        <f>MAX(N9,IF($B9=1,1,0))</f>
        <v/>
      </c>
      <c r="O10">
        <f>MAX(O9,IF($B9=2,1,0))</f>
        <v/>
      </c>
      <c r="P10">
        <f>MAX(P9,IF($B9=3,1,0))</f>
        <v/>
      </c>
      <c r="Q10">
        <f>MAX(Q9,IF($B9=4,1,0))</f>
        <v/>
      </c>
      <c r="R10">
        <f>MAX(R9,IF($B9=5,1,0))</f>
        <v/>
      </c>
      <c r="S10">
        <f>MAX(S9,IF($B9=6,1,0))</f>
        <v/>
      </c>
      <c r="T10">
        <f>MAX(T9,IF($B9=7,1,0))</f>
        <v/>
      </c>
      <c r="U10">
        <f>MAX(U9,IF($B9=8,1,0))</f>
        <v/>
      </c>
      <c r="V10">
        <f>MAX(V9,IF($B9=9,1,0))</f>
        <v/>
      </c>
      <c r="W10">
        <f>MAX(W9,IF($B9=10,1,0))</f>
        <v/>
      </c>
      <c r="X10">
        <f>MAX(X9,IF($B9=11,1,0))</f>
        <v/>
      </c>
      <c r="Y10">
        <f>MAX(Y9,IF($B9=12,1,0))</f>
        <v/>
      </c>
      <c r="Z10">
        <f>MAX(Z9,IF($B9=13,1,0))</f>
        <v/>
      </c>
      <c r="AA10">
        <f>MAX(AA9,IF($B9=14,1,0))</f>
        <v/>
      </c>
      <c r="AB10">
        <f>MAX(AB9,IF($B9=15,1,0))</f>
        <v/>
      </c>
      <c r="AC10">
        <f>MAX(AC9,IF($B9=16,1,0))</f>
        <v/>
      </c>
      <c r="AD10">
        <f>MAX(AD9,IF($B9=17,1,0))</f>
        <v/>
      </c>
      <c r="AE10">
        <f>MAX(AE9,IF($B9=18,1,0))</f>
        <v/>
      </c>
      <c r="AF10">
        <f>MAX(AF9,IF($B9=19,1,0))</f>
        <v/>
      </c>
      <c r="AG10">
        <f>MAX(AG9,IF($B9=20,1,0))</f>
        <v/>
      </c>
      <c r="AH10">
        <f>MAX(AH9,IF($B9=21,1,0))</f>
        <v/>
      </c>
      <c r="AI10">
        <f>MAX(AI9,IF($B9=22,1,0))</f>
        <v/>
      </c>
      <c r="AJ10">
        <f>MAX(AJ9,IF($B9=23,1,0))</f>
        <v/>
      </c>
      <c r="AK10">
        <f>MAX(AK9,IF($B9=24,1,0))</f>
        <v/>
      </c>
      <c r="AL10">
        <f>MAX(AL9,IF($B9=25,1,0))</f>
        <v/>
      </c>
      <c r="AM10">
        <f>MAX(AM9,IF($B9=26,1,0))</f>
        <v/>
      </c>
      <c r="AN10">
        <f>MAX(AN9,IF($B9=27,1,0))</f>
        <v/>
      </c>
      <c r="AO10">
        <f>MAX(AO9,IF($B9=28,1,0))</f>
        <v/>
      </c>
      <c r="AP10">
        <f>MAX(AP9,IF($B9=29,1,0))</f>
        <v/>
      </c>
      <c r="AQ10">
        <f>MAX(AQ9,IF($B9=30,1,0))</f>
        <v/>
      </c>
      <c r="AR10">
        <f>MAX(AR9,IF($B9=31,1,0))</f>
        <v/>
      </c>
      <c r="AS10">
        <f>MAX(AS9,IF($B9=32,1,0))</f>
        <v/>
      </c>
      <c r="AT10">
        <f>MAX(AT9,IF($B9=33,1,0))</f>
        <v/>
      </c>
      <c r="AU10">
        <f>MAX(AU9,IF($B9=34,1,0))</f>
        <v/>
      </c>
      <c r="AV10">
        <f>MAX(AV9,IF($B9=35,1,0))</f>
        <v/>
      </c>
      <c r="AW10">
        <f>MAX(AW9,IF($B9=36,1,0))</f>
        <v/>
      </c>
      <c r="AX10">
        <f>MAX(AX9,IF($B9=37,1,0))</f>
        <v/>
      </c>
      <c r="AY10">
        <f>MAX(AY9,IF($B9=38,1,0))</f>
        <v/>
      </c>
      <c r="AZ10">
        <f>MAX(AZ9,IF($B9=39,1,0))</f>
        <v/>
      </c>
      <c r="BA10">
        <f>MAX(BA9,IF($B9=40,1,0))</f>
        <v/>
      </c>
      <c r="BB10">
        <f>MAX(BB9,IF($B9=41,1,0))</f>
        <v/>
      </c>
      <c r="BC10">
        <f>MAX(BC9,IF($B9=42,1,0))</f>
        <v/>
      </c>
      <c r="BD10">
        <f>MAX(BD9,IF($B9=43,1,0))</f>
        <v/>
      </c>
      <c r="BE10">
        <f>MAX(BE9,IF($B9=44,1,0))</f>
        <v/>
      </c>
      <c r="BF10">
        <f>MAX(BF9,IF($B9=45,1,0))</f>
        <v/>
      </c>
      <c r="BH10">
        <f>IF(N10=1,1000000,IF('計算A'!$IT$10&gt;0,0,500000)+IF('計算A'!$IQ$10=2,SUMPRODUCT('計算A'!$D$60:$EQ$60,$DB10:$IO10,$IQ10:$OD10),SUMPRODUCT('計算A'!$D$60:$EQ$60,$DB10:$IO10))*1000+1)</f>
        <v/>
      </c>
      <c r="BI10">
        <f>IF(O10=1,1000000,IF('計算A'!$IT$11&gt;0,0,500000)+IF('計算A'!$IQ$11=2,SUMPRODUCT('計算A'!$D$61:$EQ$61,$DB10:$IO10,$IQ10:$OD10),SUMPRODUCT('計算A'!$D$61:$EQ$61,$DB10:$IO10))*1000+2)</f>
        <v/>
      </c>
      <c r="BJ10">
        <f>IF(P10=1,1000000,IF('計算A'!$IT$12&gt;0,0,500000)+IF('計算A'!$IQ$12=2,SUMPRODUCT('計算A'!$D$62:$EQ$62,$DB10:$IO10,$IQ10:$OD10),SUMPRODUCT('計算A'!$D$62:$EQ$62,$DB10:$IO10))*1000+3)</f>
        <v/>
      </c>
      <c r="BK10">
        <f>IF(Q10=1,1000000,IF('計算A'!$IT$13&gt;0,0,500000)+IF('計算A'!$IQ$13=2,SUMPRODUCT('計算A'!$D$63:$EQ$63,$DB10:$IO10,$IQ10:$OD10),SUMPRODUCT('計算A'!$D$63:$EQ$63,$DB10:$IO10))*1000+4)</f>
        <v/>
      </c>
      <c r="BL10">
        <f>IF(R10=1,1000000,IF('計算A'!$IT$14&gt;0,0,500000)+IF('計算A'!$IQ$14=2,SUMPRODUCT('計算A'!$D$64:$EQ$64,$DB10:$IO10,$IQ10:$OD10),SUMPRODUCT('計算A'!$D$64:$EQ$64,$DB10:$IO10))*1000+5)</f>
        <v/>
      </c>
      <c r="BM10">
        <f>IF(S10=1,1000000,IF('計算A'!$IT$15&gt;0,0,500000)+IF('計算A'!$IQ$15=2,SUMPRODUCT('計算A'!$D$65:$EQ$65,$DB10:$IO10,$IQ10:$OD10),SUMPRODUCT('計算A'!$D$65:$EQ$65,$DB10:$IO10))*1000+6)</f>
        <v/>
      </c>
      <c r="BN10">
        <f>IF(T10=1,1000000,IF('計算A'!$IT$16&gt;0,0,500000)+IF('計算A'!$IQ$16=2,SUMPRODUCT('計算A'!$D$66:$EQ$66,$DB10:$IO10,$IQ10:$OD10),SUMPRODUCT('計算A'!$D$66:$EQ$66,$DB10:$IO10))*1000+7)</f>
        <v/>
      </c>
      <c r="BO10">
        <f>IF(U10=1,1000000,IF('計算A'!$IT$17&gt;0,0,500000)+IF('計算A'!$IQ$17=2,SUMPRODUCT('計算A'!$D$67:$EQ$67,$DB10:$IO10,$IQ10:$OD10),SUMPRODUCT('計算A'!$D$67:$EQ$67,$DB10:$IO10))*1000+8)</f>
        <v/>
      </c>
      <c r="BP10">
        <f>IF(V10=1,1000000,IF('計算A'!$IT$18&gt;0,0,500000)+IF('計算A'!$IQ$18=2,SUMPRODUCT('計算A'!$D$68:$EQ$68,$DB10:$IO10,$IQ10:$OD10),SUMPRODUCT('計算A'!$D$68:$EQ$68,$DB10:$IO10))*1000+9)</f>
        <v/>
      </c>
      <c r="BQ10">
        <f>IF(W10=1,1000000,IF('計算A'!$IT$19&gt;0,0,500000)+IF('計算A'!$IQ$19=2,SUMPRODUCT('計算A'!$D$69:$EQ$69,$DB10:$IO10,$IQ10:$OD10),SUMPRODUCT('計算A'!$D$69:$EQ$69,$DB10:$IO10))*1000+10)</f>
        <v/>
      </c>
      <c r="BR10">
        <f>IF(X10=1,1000000,IF('計算A'!$IT$20&gt;0,0,500000)+IF('計算A'!$IQ$20=2,SUMPRODUCT('計算A'!$D$70:$EQ$70,$DB10:$IO10,$IQ10:$OD10),SUMPRODUCT('計算A'!$D$70:$EQ$70,$DB10:$IO10))*1000+11)</f>
        <v/>
      </c>
      <c r="BS10">
        <f>IF(Y10=1,1000000,IF('計算A'!$IT$21&gt;0,0,500000)+IF('計算A'!$IQ$21=2,SUMPRODUCT('計算A'!$D$71:$EQ$71,$DB10:$IO10,$IQ10:$OD10),SUMPRODUCT('計算A'!$D$71:$EQ$71,$DB10:$IO10))*1000+12)</f>
        <v/>
      </c>
      <c r="BT10">
        <f>IF(Z10=1,1000000,IF('計算A'!$IT$22&gt;0,0,500000)+IF('計算A'!$IQ$22=2,SUMPRODUCT('計算A'!$D$72:$EQ$72,$DB10:$IO10,$IQ10:$OD10),SUMPRODUCT('計算A'!$D$72:$EQ$72,$DB10:$IO10))*1000+13)</f>
        <v/>
      </c>
      <c r="BU10">
        <f>IF(AA10=1,1000000,IF('計算A'!$IT$23&gt;0,0,500000)+IF('計算A'!$IQ$23=2,SUMPRODUCT('計算A'!$D$73:$EQ$73,$DB10:$IO10,$IQ10:$OD10),SUMPRODUCT('計算A'!$D$73:$EQ$73,$DB10:$IO10))*1000+14)</f>
        <v/>
      </c>
      <c r="BV10">
        <f>IF(AB10=1,1000000,IF('計算A'!$IT$24&gt;0,0,500000)+IF('計算A'!$IQ$24=2,SUMPRODUCT('計算A'!$D$74:$EQ$74,$DB10:$IO10,$IQ10:$OD10),SUMPRODUCT('計算A'!$D$74:$EQ$74,$DB10:$IO10))*1000+15)</f>
        <v/>
      </c>
      <c r="BW10">
        <f>IF(AC10=1,1000000,IF('計算A'!$IT$25&gt;0,0,500000)+IF('計算A'!$IQ$25=2,SUMPRODUCT('計算A'!$D$75:$EQ$75,$DB10:$IO10,$IQ10:$OD10),SUMPRODUCT('計算A'!$D$75:$EQ$75,$DB10:$IO10))*1000+16)</f>
        <v/>
      </c>
      <c r="BX10">
        <f>IF(AD10=1,1000000,IF('計算A'!$IT$26&gt;0,0,500000)+IF('計算A'!$IQ$26=2,SUMPRODUCT('計算A'!$D$76:$EQ$76,$DB10:$IO10,$IQ10:$OD10),SUMPRODUCT('計算A'!$D$76:$EQ$76,$DB10:$IO10))*1000+17)</f>
        <v/>
      </c>
      <c r="BY10">
        <f>IF(AE10=1,1000000,IF('計算A'!$IT$27&gt;0,0,500000)+IF('計算A'!$IQ$27=2,SUMPRODUCT('計算A'!$D$77:$EQ$77,$DB10:$IO10,$IQ10:$OD10),SUMPRODUCT('計算A'!$D$77:$EQ$77,$DB10:$IO10))*1000+18)</f>
        <v/>
      </c>
      <c r="BZ10">
        <f>IF(AF10=1,1000000,IF('計算A'!$IT$28&gt;0,0,500000)+IF('計算A'!$IQ$28=2,SUMPRODUCT('計算A'!$D$78:$EQ$78,$DB10:$IO10,$IQ10:$OD10),SUMPRODUCT('計算A'!$D$78:$EQ$78,$DB10:$IO10))*1000+19)</f>
        <v/>
      </c>
      <c r="CA10">
        <f>IF(AG10=1,1000000,IF('計算A'!$IT$29&gt;0,0,500000)+IF('計算A'!$IQ$29=2,SUMPRODUCT('計算A'!$D$79:$EQ$79,$DB10:$IO10,$IQ10:$OD10),SUMPRODUCT('計算A'!$D$79:$EQ$79,$DB10:$IO10))*1000+20)</f>
        <v/>
      </c>
      <c r="CB10">
        <f>IF(AH10=1,1000000,IF('計算A'!$IT$30&gt;0,0,500000)+IF('計算A'!$IQ$30=2,SUMPRODUCT('計算A'!$D$80:$EQ$80,$DB10:$IO10,$IQ10:$OD10),SUMPRODUCT('計算A'!$D$80:$EQ$80,$DB10:$IO10))*1000+21)</f>
        <v/>
      </c>
      <c r="CC10">
        <f>IF(AI10=1,1000000,IF('計算A'!$IT$31&gt;0,0,500000)+IF('計算A'!$IQ$31=2,SUMPRODUCT('計算A'!$D$81:$EQ$81,$DB10:$IO10,$IQ10:$OD10),SUMPRODUCT('計算A'!$D$81:$EQ$81,$DB10:$IO10))*1000+22)</f>
        <v/>
      </c>
      <c r="CD10">
        <f>IF(AJ10=1,1000000,IF('計算A'!$IT$32&gt;0,0,500000)+IF('計算A'!$IQ$32=2,SUMPRODUCT('計算A'!$D$82:$EQ$82,$DB10:$IO10,$IQ10:$OD10),SUMPRODUCT('計算A'!$D$82:$EQ$82,$DB10:$IO10))*1000+23)</f>
        <v/>
      </c>
      <c r="CE10">
        <f>IF(AK10=1,1000000,IF('計算A'!$IT$33&gt;0,0,500000)+IF('計算A'!$IQ$33=2,SUMPRODUCT('計算A'!$D$83:$EQ$83,$DB10:$IO10,$IQ10:$OD10),SUMPRODUCT('計算A'!$D$83:$EQ$83,$DB10:$IO10))*1000+24)</f>
        <v/>
      </c>
      <c r="CF10">
        <f>IF(AL10=1,1000000,IF('計算A'!$IT$34&gt;0,0,500000)+IF('計算A'!$IQ$34=2,SUMPRODUCT('計算A'!$D$84:$EQ$84,$DB10:$IO10,$IQ10:$OD10),SUMPRODUCT('計算A'!$D$84:$EQ$84,$DB10:$IO10))*1000+25)</f>
        <v/>
      </c>
      <c r="CG10">
        <f>IF(AM10=1,1000000,IF('計算A'!$IT$35&gt;0,0,500000)+IF('計算A'!$IQ$35=2,SUMPRODUCT('計算A'!$D$85:$EQ$85,$DB10:$IO10,$IQ10:$OD10),SUMPRODUCT('計算A'!$D$85:$EQ$85,$DB10:$IO10))*1000+26)</f>
        <v/>
      </c>
      <c r="CH10">
        <f>IF(AN10=1,1000000,IF('計算A'!$IT$36&gt;0,0,500000)+IF('計算A'!$IQ$36=2,SUMPRODUCT('計算A'!$D$86:$EQ$86,$DB10:$IO10,$IQ10:$OD10),SUMPRODUCT('計算A'!$D$86:$EQ$86,$DB10:$IO10))*1000+27)</f>
        <v/>
      </c>
      <c r="CI10">
        <f>IF(AO10=1,1000000,IF('計算A'!$IT$37&gt;0,0,500000)+IF('計算A'!$IQ$37=2,SUMPRODUCT('計算A'!$D$87:$EQ$87,$DB10:$IO10,$IQ10:$OD10),SUMPRODUCT('計算A'!$D$87:$EQ$87,$DB10:$IO10))*1000+28)</f>
        <v/>
      </c>
      <c r="CJ10">
        <f>IF(AP10=1,1000000,IF('計算A'!$IT$38&gt;0,0,500000)+IF('計算A'!$IQ$38=2,SUMPRODUCT('計算A'!$D$88:$EQ$88,$DB10:$IO10,$IQ10:$OD10),SUMPRODUCT('計算A'!$D$88:$EQ$88,$DB10:$IO10))*1000+29)</f>
        <v/>
      </c>
      <c r="CK10">
        <f>IF(AQ10=1,1000000,IF('計算A'!$IT$39&gt;0,0,500000)+IF('計算A'!$IQ$39=2,SUMPRODUCT('計算A'!$D$89:$EQ$89,$DB10:$IO10,$IQ10:$OD10),SUMPRODUCT('計算A'!$D$89:$EQ$89,$DB10:$IO10))*1000+30)</f>
        <v/>
      </c>
      <c r="CL10">
        <f>IF(AR10=1,1000000,IF('計算A'!$IT$40&gt;0,0,500000)+IF('計算A'!$IQ$40=2,SUMPRODUCT('計算A'!$D$90:$EQ$90,$DB10:$IO10,$IQ10:$OD10),SUMPRODUCT('計算A'!$D$90:$EQ$90,$DB10:$IO10))*1000+31)</f>
        <v/>
      </c>
      <c r="CM10">
        <f>IF(AS10=1,1000000,IF('計算A'!$IT$41&gt;0,0,500000)+IF('計算A'!$IQ$41=2,SUMPRODUCT('計算A'!$D$91:$EQ$91,$DB10:$IO10,$IQ10:$OD10),SUMPRODUCT('計算A'!$D$91:$EQ$91,$DB10:$IO10))*1000+32)</f>
        <v/>
      </c>
      <c r="CN10">
        <f>IF(AT10=1,1000000,IF('計算A'!$IT$42&gt;0,0,500000)+IF('計算A'!$IQ$42=2,SUMPRODUCT('計算A'!$D$92:$EQ$92,$DB10:$IO10,$IQ10:$OD10),SUMPRODUCT('計算A'!$D$92:$EQ$92,$DB10:$IO10))*1000+33)</f>
        <v/>
      </c>
      <c r="CO10">
        <f>IF(AU10=1,1000000,IF('計算A'!$IT$43&gt;0,0,500000)+IF('計算A'!$IQ$43=2,SUMPRODUCT('計算A'!$D$93:$EQ$93,$DB10:$IO10,$IQ10:$OD10),SUMPRODUCT('計算A'!$D$93:$EQ$93,$DB10:$IO10))*1000+34)</f>
        <v/>
      </c>
      <c r="CP10">
        <f>IF(AV10=1,1000000,IF('計算A'!$IT$44&gt;0,0,500000)+IF('計算A'!$IQ$44=2,SUMPRODUCT('計算A'!$D$94:$EQ$94,$DB10:$IO10,$IQ10:$OD10),SUMPRODUCT('計算A'!$D$94:$EQ$94,$DB10:$IO10))*1000+35)</f>
        <v/>
      </c>
      <c r="CQ10">
        <f>IF(AW10=1,1000000,IF('計算A'!$IT$45&gt;0,0,500000)+IF('計算A'!$IQ$45=2,SUMPRODUCT('計算A'!$D$95:$EQ$95,$DB10:$IO10,$IQ10:$OD10),SUMPRODUCT('計算A'!$D$95:$EQ$95,$DB10:$IO10))*1000+36)</f>
        <v/>
      </c>
      <c r="CR10">
        <f>IF(AX10=1,1000000,IF('計算A'!$IT$46&gt;0,0,500000)+IF('計算A'!$IQ$46=2,SUMPRODUCT('計算A'!$D$96:$EQ$96,$DB10:$IO10,$IQ10:$OD10),SUMPRODUCT('計算A'!$D$96:$EQ$96,$DB10:$IO10))*1000+37)</f>
        <v/>
      </c>
      <c r="CS10">
        <f>IF(AY10=1,1000000,IF('計算A'!$IT$47&gt;0,0,500000)+IF('計算A'!$IQ$47=2,SUMPRODUCT('計算A'!$D$97:$EQ$97,$DB10:$IO10,$IQ10:$OD10),SUMPRODUCT('計算A'!$D$97:$EQ$97,$DB10:$IO10))*1000+38)</f>
        <v/>
      </c>
      <c r="CT10">
        <f>IF(AZ10=1,1000000,IF('計算A'!$IT$48&gt;0,0,500000)+IF('計算A'!$IQ$48=2,SUMPRODUCT('計算A'!$D$98:$EQ$98,$DB10:$IO10,$IQ10:$OD10),SUMPRODUCT('計算A'!$D$98:$EQ$98,$DB10:$IO10))*1000+39)</f>
        <v/>
      </c>
      <c r="CU10">
        <f>IF(BA10=1,1000000,IF('計算A'!$IT$49&gt;0,0,500000)+IF('計算A'!$IQ$49=2,SUMPRODUCT('計算A'!$D$99:$EQ$99,$DB10:$IO10,$IQ10:$OD10),SUMPRODUCT('計算A'!$D$99:$EQ$99,$DB10:$IO10))*1000+40)</f>
        <v/>
      </c>
      <c r="CV10">
        <f>IF(BB10=1,1000000,IF('計算A'!$IT$50&gt;0,0,500000)+IF('計算A'!$IQ$50=2,SUMPRODUCT('計算A'!$D$100:$EQ$100,$DB10:$IO10,$IQ10:$OD10),SUMPRODUCT('計算A'!$D$100:$EQ$100,$DB10:$IO10))*1000+41)</f>
        <v/>
      </c>
      <c r="CW10">
        <f>IF(BC10=1,1000000,IF('計算A'!$IT$51&gt;0,0,500000)+IF('計算A'!$IQ$51=2,SUMPRODUCT('計算A'!$D$101:$EQ$101,$DB10:$IO10,$IQ10:$OD10),SUMPRODUCT('計算A'!$D$101:$EQ$101,$DB10:$IO10))*1000+42)</f>
        <v/>
      </c>
      <c r="CX10">
        <f>IF(BD10=1,1000000,IF('計算A'!$IT$52&gt;0,0,500000)+IF('計算A'!$IQ$52=2,SUMPRODUCT('計算A'!$D$102:$EQ$102,$DB10:$IO10,$IQ10:$OD10),SUMPRODUCT('計算A'!$D$102:$EQ$102,$DB10:$IO10))*1000+43)</f>
        <v/>
      </c>
      <c r="CY10">
        <f>IF(BE10=1,1000000,IF('計算A'!$IT$53&gt;0,0,500000)+IF('計算A'!$IQ$53=2,SUMPRODUCT('計算A'!$D$103:$EQ$103,$DB10:$IO10,$IQ10:$OD10),SUMPRODUCT('計算A'!$D$103:$EQ$103,$DB10:$IO10))*1000+44)</f>
        <v/>
      </c>
      <c r="CZ10">
        <f>IF(BF10=1,1000000,IF('計算A'!$IT$54&gt;0,0,500000)+IF('計算A'!$IQ$54=2,SUMPRODUCT('計算A'!$D$104:$EQ$104,$DB10:$IO10,$IQ10:$OD10),SUMPRODUCT('計算A'!$D$104:$EQ$104,$DB10:$IO10))*1000+45)</f>
        <v/>
      </c>
      <c r="DB10">
        <f>DB9*IF(OR($C9=1,$G9=1),0,1)</f>
        <v/>
      </c>
      <c r="DC10">
        <f>DC9*IF(OR($C9=2,$G9=2),0,1)</f>
        <v/>
      </c>
      <c r="DD10">
        <f>DD9*IF(OR($C9=3,$G9=3),0,1)</f>
        <v/>
      </c>
      <c r="DE10">
        <f>DE9*IF(OR($C9=4,$G9=4),0,1)</f>
        <v/>
      </c>
      <c r="DF10">
        <f>DF9*IF(OR($C9=5,$G9=5),0,1)</f>
        <v/>
      </c>
      <c r="DG10">
        <f>DG9*IF(OR($C9=6,$G9=6),0,1)</f>
        <v/>
      </c>
      <c r="DH10">
        <f>DH9*IF(OR($C9=7,$G9=7),0,1)</f>
        <v/>
      </c>
      <c r="DI10">
        <f>DI9*IF(OR($C9=8,$G9=8),0,1)</f>
        <v/>
      </c>
      <c r="DJ10">
        <f>DJ9*IF(OR($C9=9,$G9=9),0,1)</f>
        <v/>
      </c>
      <c r="DK10">
        <f>DK9*IF(OR($C9=10,$G9=10),0,1)</f>
        <v/>
      </c>
      <c r="DL10">
        <f>DL9*IF(OR($C9=11,$G9=11),0,1)</f>
        <v/>
      </c>
      <c r="DM10">
        <f>DM9*IF(OR($C9=12,$G9=12),0,1)</f>
        <v/>
      </c>
      <c r="DN10">
        <f>DN9*IF(OR($C9=13,$G9=13),0,1)</f>
        <v/>
      </c>
      <c r="DO10">
        <f>DO9*IF(OR($C9=14,$G9=14),0,1)</f>
        <v/>
      </c>
      <c r="DP10">
        <f>DP9*IF(OR($C9=15,$G9=15),0,1)</f>
        <v/>
      </c>
      <c r="DQ10">
        <f>DQ9*IF(OR($C9=16,$G9=16),0,1)</f>
        <v/>
      </c>
      <c r="DR10">
        <f>DR9*IF(OR($C9=17,$G9=17),0,1)</f>
        <v/>
      </c>
      <c r="DS10">
        <f>DS9*IF(OR($C9=18,$G9=18),0,1)</f>
        <v/>
      </c>
      <c r="DT10">
        <f>DT9*IF(OR($C9=19,$G9=19),0,1)</f>
        <v/>
      </c>
      <c r="DU10">
        <f>DU9*IF(OR($C9=20,$G9=20),0,1)</f>
        <v/>
      </c>
      <c r="DV10">
        <f>DV9*IF(OR($C9=21,$G9=21),0,1)</f>
        <v/>
      </c>
      <c r="DW10">
        <f>DW9*IF(OR($C9=22,$G9=22),0,1)</f>
        <v/>
      </c>
      <c r="DX10">
        <f>DX9*IF(OR($C9=23,$G9=23),0,1)</f>
        <v/>
      </c>
      <c r="DY10">
        <f>DY9*IF(OR($C9=24,$G9=24),0,1)</f>
        <v/>
      </c>
      <c r="DZ10">
        <f>DZ9*IF(OR($C9=25,$G9=25),0,1)</f>
        <v/>
      </c>
      <c r="EA10">
        <f>EA9*IF(OR($C9=26,$G9=26),0,1)</f>
        <v/>
      </c>
      <c r="EB10">
        <f>EB9*IF(OR($C9=27,$G9=27),0,1)</f>
        <v/>
      </c>
      <c r="EC10">
        <f>EC9*IF(OR($C9=28,$G9=28),0,1)</f>
        <v/>
      </c>
      <c r="ED10">
        <f>ED9*IF(OR($C9=29,$G9=29),0,1)</f>
        <v/>
      </c>
      <c r="EE10">
        <f>EE9*IF(OR($C9=30,$G9=30),0,1)</f>
        <v/>
      </c>
      <c r="EF10">
        <f>EF9*IF(OR($C9=31,$G9=31),0,1)</f>
        <v/>
      </c>
      <c r="EG10">
        <f>EG9*IF(OR($C9=32,$G9=32),0,1)</f>
        <v/>
      </c>
      <c r="EH10">
        <f>EH9*IF(OR($C9=33,$G9=33),0,1)</f>
        <v/>
      </c>
      <c r="EI10">
        <f>EI9*IF(OR($C9=34,$G9=34),0,1)</f>
        <v/>
      </c>
      <c r="EJ10">
        <f>EJ9*IF(OR($C9=35,$G9=35),0,1)</f>
        <v/>
      </c>
      <c r="EK10">
        <f>EK9*IF(OR($C9=36,$G9=36),0,1)</f>
        <v/>
      </c>
      <c r="EL10">
        <f>EL9*IF(OR($C9=37,$G9=37),0,1)</f>
        <v/>
      </c>
      <c r="EM10">
        <f>EM9*IF(OR($C9=38,$G9=38),0,1)</f>
        <v/>
      </c>
      <c r="EN10">
        <f>EN9*IF(OR($C9=39,$G9=39),0,1)</f>
        <v/>
      </c>
      <c r="EO10">
        <f>EO9*IF(OR($C9=40,$G9=40),0,1)</f>
        <v/>
      </c>
      <c r="EP10">
        <f>EP9*IF(OR($C9=41,$G9=41),0,1)</f>
        <v/>
      </c>
      <c r="EQ10">
        <f>EQ9*IF(OR($C9=42,$G9=42),0,1)</f>
        <v/>
      </c>
      <c r="ER10">
        <f>ER9*IF(OR($C9=43,$G9=43),0,1)</f>
        <v/>
      </c>
      <c r="ES10">
        <f>ES9*IF(OR($C9=44,$G9=44),0,1)</f>
        <v/>
      </c>
      <c r="ET10">
        <f>ET9*IF(OR($C9=45,$G9=45),0,1)</f>
        <v/>
      </c>
      <c r="EU10">
        <f>EU9*IF(OR($C9=46,$G9=46),0,1)</f>
        <v/>
      </c>
      <c r="EV10">
        <f>EV9*IF(OR($C9=47,$G9=47),0,1)</f>
        <v/>
      </c>
      <c r="EW10">
        <f>EW9*IF(OR($C9=48,$G9=48),0,1)</f>
        <v/>
      </c>
      <c r="EX10">
        <f>EX9*IF(OR($C9=49,$G9=49),0,1)</f>
        <v/>
      </c>
      <c r="EY10">
        <f>EY9*IF(OR($C9=50,$G9=50),0,1)</f>
        <v/>
      </c>
      <c r="EZ10">
        <f>EZ9*IF(OR($C9=51,$G9=51),0,1)</f>
        <v/>
      </c>
      <c r="FA10">
        <f>FA9*IF(OR($C9=52,$G9=52),0,1)</f>
        <v/>
      </c>
      <c r="FB10">
        <f>FB9*IF(OR($C9=53,$G9=53),0,1)</f>
        <v/>
      </c>
      <c r="FC10">
        <f>FC9*IF(OR($C9=54,$G9=54),0,1)</f>
        <v/>
      </c>
      <c r="FD10">
        <f>FD9*IF(OR($C9=55,$G9=55),0,1)</f>
        <v/>
      </c>
      <c r="FE10">
        <f>FE9*IF(OR($C9=56,$G9=56),0,1)</f>
        <v/>
      </c>
      <c r="FF10">
        <f>FF9*IF(OR($C9=57,$G9=57),0,1)</f>
        <v/>
      </c>
      <c r="FG10">
        <f>FG9*IF(OR($C9=58,$G9=58),0,1)</f>
        <v/>
      </c>
      <c r="FH10">
        <f>FH9*IF(OR($C9=59,$G9=59),0,1)</f>
        <v/>
      </c>
      <c r="FI10">
        <f>FI9*IF(OR($C9=60,$G9=60),0,1)</f>
        <v/>
      </c>
      <c r="FJ10">
        <f>FJ9*IF(OR($C9=61,$G9=61),0,1)</f>
        <v/>
      </c>
      <c r="FK10">
        <f>FK9*IF(OR($C9=62,$G9=62),0,1)</f>
        <v/>
      </c>
      <c r="FL10">
        <f>FL9*IF(OR($C9=63,$G9=63),0,1)</f>
        <v/>
      </c>
      <c r="FM10">
        <f>FM9*IF(OR($C9=64,$G9=64),0,1)</f>
        <v/>
      </c>
      <c r="FN10">
        <f>FN9*IF(OR($C9=65,$G9=65),0,1)</f>
        <v/>
      </c>
      <c r="FO10">
        <f>FO9*IF(OR($C9=66,$G9=66),0,1)</f>
        <v/>
      </c>
      <c r="FP10">
        <f>FP9*IF(OR($C9=67,$G9=67),0,1)</f>
        <v/>
      </c>
      <c r="FQ10">
        <f>FQ9*IF(OR($C9=68,$G9=68),0,1)</f>
        <v/>
      </c>
      <c r="FR10">
        <f>FR9*IF(OR($C9=69,$G9=69),0,1)</f>
        <v/>
      </c>
      <c r="FS10">
        <f>FS9*IF(OR($C9=70,$G9=70),0,1)</f>
        <v/>
      </c>
      <c r="FT10">
        <f>FT9*IF(OR($C9=71,$G9=71),0,1)</f>
        <v/>
      </c>
      <c r="FU10">
        <f>FU9*IF(OR($C9=72,$G9=72),0,1)</f>
        <v/>
      </c>
      <c r="FV10">
        <f>FV9*IF(OR($C9=73,$G9=73),0,1)</f>
        <v/>
      </c>
      <c r="FW10">
        <f>FW9*IF(OR($C9=74,$G9=74),0,1)</f>
        <v/>
      </c>
      <c r="FX10">
        <f>FX9*IF(OR($C9=75,$G9=75),0,1)</f>
        <v/>
      </c>
      <c r="FY10">
        <f>FY9*IF(OR($C9=76,$G9=76),0,1)</f>
        <v/>
      </c>
      <c r="FZ10">
        <f>FZ9*IF(OR($C9=77,$G9=77),0,1)</f>
        <v/>
      </c>
      <c r="GA10">
        <f>GA9*IF(OR($C9=78,$G9=78),0,1)</f>
        <v/>
      </c>
      <c r="GB10">
        <f>GB9*IF(OR($C9=79,$G9=79),0,1)</f>
        <v/>
      </c>
      <c r="GC10">
        <f>GC9*IF(OR($C9=80,$G9=80),0,1)</f>
        <v/>
      </c>
      <c r="GD10">
        <f>GD9*IF(OR($C9=81,$G9=81),0,1)</f>
        <v/>
      </c>
      <c r="GE10">
        <f>GE9*IF(OR($C9=82,$G9=82),0,1)</f>
        <v/>
      </c>
      <c r="GF10">
        <f>GF9*IF(OR($C9=83,$G9=83),0,1)</f>
        <v/>
      </c>
      <c r="GG10">
        <f>GG9*IF(OR($C9=84,$G9=84),0,1)</f>
        <v/>
      </c>
      <c r="GH10">
        <f>GH9*IF(OR($C9=85,$G9=85),0,1)</f>
        <v/>
      </c>
      <c r="GI10">
        <f>GI9*IF(OR($C9=86,$G9=86),0,1)</f>
        <v/>
      </c>
      <c r="GJ10">
        <f>GJ9*IF(OR($C9=87,$G9=87),0,1)</f>
        <v/>
      </c>
      <c r="GK10">
        <f>GK9*IF(OR($C9=88,$G9=88),0,1)</f>
        <v/>
      </c>
      <c r="GL10">
        <f>GL9*IF(OR($C9=89,$G9=89),0,1)</f>
        <v/>
      </c>
      <c r="GM10">
        <f>GM9*IF(OR($C9=90,$G9=90),0,1)</f>
        <v/>
      </c>
      <c r="GN10">
        <f>GN9*IF(OR($C9=91,$G9=91),0,1)</f>
        <v/>
      </c>
      <c r="GO10">
        <f>GO9*IF(OR($C9=92,$G9=92),0,1)</f>
        <v/>
      </c>
      <c r="GP10">
        <f>GP9*IF(OR($C9=93,$G9=93),0,1)</f>
        <v/>
      </c>
      <c r="GQ10">
        <f>GQ9*IF(OR($C9=94,$G9=94),0,1)</f>
        <v/>
      </c>
      <c r="GR10">
        <f>GR9*IF(OR($C9=95,$G9=95),0,1)</f>
        <v/>
      </c>
      <c r="GS10">
        <f>GS9*IF(OR($C9=96,$G9=96),0,1)</f>
        <v/>
      </c>
      <c r="GT10">
        <f>GT9*IF(OR($C9=97,$G9=97),0,1)</f>
        <v/>
      </c>
      <c r="GU10">
        <f>GU9*IF(OR($C9=98,$G9=98),0,1)</f>
        <v/>
      </c>
      <c r="GV10">
        <f>GV9*IF(OR($C9=99,$G9=99),0,1)</f>
        <v/>
      </c>
      <c r="GW10">
        <f>GW9*IF(OR($C9=100,$G9=100),0,1)</f>
        <v/>
      </c>
      <c r="GX10">
        <f>GX9*IF(OR($C9=101,$G9=101),0,1)</f>
        <v/>
      </c>
      <c r="GY10">
        <f>GY9*IF(OR($C9=102,$G9=102),0,1)</f>
        <v/>
      </c>
      <c r="GZ10">
        <f>GZ9*IF(OR($C9=103,$G9=103),0,1)</f>
        <v/>
      </c>
      <c r="HA10">
        <f>HA9*IF(OR($C9=104,$G9=104),0,1)</f>
        <v/>
      </c>
      <c r="HB10">
        <f>HB9*IF(OR($C9=105,$G9=105),0,1)</f>
        <v/>
      </c>
      <c r="HC10">
        <f>HC9*IF(OR($C9=106,$G9=106),0,1)</f>
        <v/>
      </c>
      <c r="HD10">
        <f>HD9*IF(OR($C9=107,$G9=107),0,1)</f>
        <v/>
      </c>
      <c r="HE10">
        <f>HE9*IF(OR($C9=108,$G9=108),0,1)</f>
        <v/>
      </c>
      <c r="HF10">
        <f>HF9*IF(OR($C9=109,$G9=109),0,1)</f>
        <v/>
      </c>
      <c r="HG10">
        <f>HG9*IF(OR($C9=110,$G9=110),0,1)</f>
        <v/>
      </c>
      <c r="HH10">
        <f>HH9*IF(OR($C9=111,$G9=111),0,1)</f>
        <v/>
      </c>
      <c r="HI10">
        <f>HI9*IF(OR($C9=112,$G9=112),0,1)</f>
        <v/>
      </c>
      <c r="HJ10">
        <f>HJ9*IF(OR($C9=113,$G9=113),0,1)</f>
        <v/>
      </c>
      <c r="HK10">
        <f>HK9*IF(OR($C9=114,$G9=114),0,1)</f>
        <v/>
      </c>
      <c r="HL10">
        <f>HL9*IF(OR($C9=115,$G9=115),0,1)</f>
        <v/>
      </c>
      <c r="HM10">
        <f>HM9*IF(OR($C9=116,$G9=116),0,1)</f>
        <v/>
      </c>
      <c r="HN10">
        <f>HN9*IF(OR($C9=117,$G9=117),0,1)</f>
        <v/>
      </c>
      <c r="HO10">
        <f>HO9*IF(OR($C9=118,$G9=118),0,1)</f>
        <v/>
      </c>
      <c r="HP10">
        <f>HP9*IF(OR($C9=119,$G9=119),0,1)</f>
        <v/>
      </c>
      <c r="HQ10">
        <f>HQ9*IF(OR($C9=120,$G9=120),0,1)</f>
        <v/>
      </c>
      <c r="HR10">
        <f>HR9*IF(OR($C9=121,$G9=121),0,1)</f>
        <v/>
      </c>
      <c r="HS10">
        <f>HS9*IF(OR($C9=122,$G9=122),0,1)</f>
        <v/>
      </c>
      <c r="HT10">
        <f>HT9*IF(OR($C9=123,$G9=123),0,1)</f>
        <v/>
      </c>
      <c r="HU10">
        <f>HU9*IF(OR($C9=124,$G9=124),0,1)</f>
        <v/>
      </c>
      <c r="HV10">
        <f>HV9*IF(OR($C9=125,$G9=125),0,1)</f>
        <v/>
      </c>
      <c r="HW10">
        <f>HW9*IF(OR($C9=126,$G9=126),0,1)</f>
        <v/>
      </c>
      <c r="HX10">
        <f>HX9*IF(OR($C9=127,$G9=127),0,1)</f>
        <v/>
      </c>
      <c r="HY10">
        <f>HY9*IF(OR($C9=128,$G9=128),0,1)</f>
        <v/>
      </c>
      <c r="HZ10">
        <f>HZ9*IF(OR($C9=129,$G9=129),0,1)</f>
        <v/>
      </c>
      <c r="IA10">
        <f>IA9*IF(OR($C9=130,$G9=130),0,1)</f>
        <v/>
      </c>
      <c r="IB10">
        <f>IB9*IF(OR($C9=131,$G9=131),0,1)</f>
        <v/>
      </c>
      <c r="IC10">
        <f>IC9*IF(OR($C9=132,$G9=132),0,1)</f>
        <v/>
      </c>
      <c r="ID10">
        <f>ID9*IF(OR($C9=133,$G9=133),0,1)</f>
        <v/>
      </c>
      <c r="IE10">
        <f>IE9*IF(OR($C9=134,$G9=134),0,1)</f>
        <v/>
      </c>
      <c r="IF10">
        <f>IF9*IF(OR($C9=135,$G9=135),0,1)</f>
        <v/>
      </c>
      <c r="IG10">
        <f>IG9*IF(OR($C9=136,$G9=136),0,1)</f>
        <v/>
      </c>
      <c r="IH10">
        <f>IH9*IF(OR($C9=137,$G9=137),0,1)</f>
        <v/>
      </c>
      <c r="II10">
        <f>II9*IF(OR($C9=138,$G9=138),0,1)</f>
        <v/>
      </c>
      <c r="IJ10">
        <f>IJ9*IF(OR($C9=139,$G9=139),0,1)</f>
        <v/>
      </c>
      <c r="IK10">
        <f>IK9*IF(OR($C9=140,$G9=140),0,1)</f>
        <v/>
      </c>
      <c r="IL10">
        <f>IL9*IF(OR($C9=141,$G9=141),0,1)</f>
        <v/>
      </c>
      <c r="IM10">
        <f>IM9*IF(OR($C9=142,$G9=142),0,1)</f>
        <v/>
      </c>
      <c r="IN10">
        <f>IN9*IF(OR($C9=143,$G9=143),0,1)</f>
        <v/>
      </c>
      <c r="IO10">
        <f>IO9*IF(OR($C9=144,$G9=144),0,1)</f>
        <v/>
      </c>
      <c r="IQ10">
        <f>IF('計算A'!D$106=1,DC10,1)</f>
        <v/>
      </c>
      <c r="IR10">
        <f>IF('計算A'!E$106=1,DD10,1)</f>
        <v/>
      </c>
      <c r="IS10">
        <f>IF('計算A'!F$106=1,DE10,1)</f>
        <v/>
      </c>
      <c r="IT10">
        <f>IF('計算A'!G$106=1,DF10,1)</f>
        <v/>
      </c>
      <c r="IU10">
        <f>IF('計算A'!H$106=1,DG10,1)</f>
        <v/>
      </c>
      <c r="IV10">
        <f>IF('計算A'!I$106=1,DH10,1)</f>
        <v/>
      </c>
      <c r="IW10">
        <f>IF('計算A'!J$106=1,DI10,1)</f>
        <v/>
      </c>
      <c r="IX10">
        <f>IF('計算A'!K$106=1,DJ10,1)</f>
        <v/>
      </c>
      <c r="IY10">
        <f>IF('計算A'!L$106=1,DK10,1)</f>
        <v/>
      </c>
      <c r="IZ10">
        <f>IF('計算A'!M$106=1,DL10,1)</f>
        <v/>
      </c>
      <c r="JA10">
        <f>IF('計算A'!N$106=1,DM10,1)</f>
        <v/>
      </c>
      <c r="JB10">
        <f>IF('計算A'!O$106=1,DN10,1)</f>
        <v/>
      </c>
      <c r="JC10">
        <f>IF('計算A'!P$106=1,DO10,1)</f>
        <v/>
      </c>
      <c r="JD10">
        <f>IF('計算A'!Q$106=1,DP10,1)</f>
        <v/>
      </c>
      <c r="JE10">
        <f>IF('計算A'!R$106=1,DQ10,1)</f>
        <v/>
      </c>
      <c r="JF10">
        <f>IF('計算A'!S$106=1,DR10,1)</f>
        <v/>
      </c>
      <c r="JG10">
        <f>IF('計算A'!T$106=1,DS10,1)</f>
        <v/>
      </c>
      <c r="JH10">
        <f>IF('計算A'!U$106=1,DT10,1)</f>
        <v/>
      </c>
      <c r="JI10">
        <f>IF('計算A'!V$106=1,DU10,1)</f>
        <v/>
      </c>
      <c r="JJ10">
        <f>IF('計算A'!W$106=1,DV10,1)</f>
        <v/>
      </c>
      <c r="JK10">
        <f>IF('計算A'!X$106=1,DW10,1)</f>
        <v/>
      </c>
      <c r="JL10">
        <f>IF('計算A'!Y$106=1,DX10,1)</f>
        <v/>
      </c>
      <c r="JM10">
        <f>IF('計算A'!Z$106=1,DY10,1)</f>
        <v/>
      </c>
      <c r="JN10">
        <f>IF('計算A'!AA$106=1,DZ10,1)</f>
        <v/>
      </c>
      <c r="JO10">
        <f>IF('計算A'!AB$106=1,EA10,1)</f>
        <v/>
      </c>
      <c r="JP10">
        <f>IF('計算A'!AC$106=1,EB10,1)</f>
        <v/>
      </c>
      <c r="JQ10">
        <f>IF('計算A'!AD$106=1,EC10,1)</f>
        <v/>
      </c>
      <c r="JR10">
        <f>IF('計算A'!AE$106=1,ED10,1)</f>
        <v/>
      </c>
      <c r="JS10">
        <f>IF('計算A'!AF$106=1,EE10,1)</f>
        <v/>
      </c>
      <c r="JT10">
        <f>IF('計算A'!AG$106=1,EF10,1)</f>
        <v/>
      </c>
      <c r="JU10">
        <f>IF('計算A'!AH$106=1,EG10,1)</f>
        <v/>
      </c>
      <c r="JV10">
        <f>IF('計算A'!AI$106=1,EH10,1)</f>
        <v/>
      </c>
      <c r="JW10">
        <f>IF('計算A'!AJ$106=1,EI10,1)</f>
        <v/>
      </c>
      <c r="JX10">
        <f>IF('計算A'!AK$106=1,EJ10,1)</f>
        <v/>
      </c>
      <c r="JY10">
        <f>IF('計算A'!AL$106=1,EK10,1)</f>
        <v/>
      </c>
      <c r="JZ10">
        <f>IF('計算A'!AM$106=1,EL10,1)</f>
        <v/>
      </c>
      <c r="KA10">
        <f>IF('計算A'!AN$106=1,EM10,1)</f>
        <v/>
      </c>
      <c r="KB10">
        <f>IF('計算A'!AO$106=1,EN10,1)</f>
        <v/>
      </c>
      <c r="KC10">
        <f>IF('計算A'!AP$106=1,EO10,1)</f>
        <v/>
      </c>
      <c r="KD10">
        <f>IF('計算A'!AQ$106=1,EP10,1)</f>
        <v/>
      </c>
      <c r="KE10">
        <f>IF('計算A'!AR$106=1,EQ10,1)</f>
        <v/>
      </c>
      <c r="KF10">
        <f>IF('計算A'!AS$106=1,ER10,1)</f>
        <v/>
      </c>
      <c r="KG10">
        <f>IF('計算A'!AT$106=1,ES10,1)</f>
        <v/>
      </c>
      <c r="KH10">
        <f>IF('計算A'!AU$106=1,ET10,1)</f>
        <v/>
      </c>
      <c r="KI10">
        <f>IF('計算A'!AV$106=1,EU10,1)</f>
        <v/>
      </c>
      <c r="KJ10">
        <f>IF('計算A'!AW$106=1,EV10,1)</f>
        <v/>
      </c>
      <c r="KK10">
        <f>IF('計算A'!AX$106=1,EW10,1)</f>
        <v/>
      </c>
      <c r="KL10">
        <f>IF('計算A'!AY$106=1,EX10,1)</f>
        <v/>
      </c>
      <c r="KM10">
        <f>IF('計算A'!AZ$106=1,EY10,1)</f>
        <v/>
      </c>
      <c r="KN10">
        <f>IF('計算A'!BA$106=1,EZ10,1)</f>
        <v/>
      </c>
      <c r="KO10">
        <f>IF('計算A'!BB$106=1,FA10,1)</f>
        <v/>
      </c>
      <c r="KP10">
        <f>IF('計算A'!BC$106=1,FB10,1)</f>
        <v/>
      </c>
      <c r="KQ10">
        <f>IF('計算A'!BD$106=1,FC10,1)</f>
        <v/>
      </c>
      <c r="KR10">
        <f>IF('計算A'!BE$106=1,FD10,1)</f>
        <v/>
      </c>
      <c r="KS10">
        <f>IF('計算A'!BF$106=1,FE10,1)</f>
        <v/>
      </c>
      <c r="KT10">
        <f>IF('計算A'!BG$106=1,FF10,1)</f>
        <v/>
      </c>
      <c r="KU10">
        <f>IF('計算A'!BH$106=1,FG10,1)</f>
        <v/>
      </c>
      <c r="KV10">
        <f>IF('計算A'!BI$106=1,FH10,1)</f>
        <v/>
      </c>
      <c r="KW10">
        <f>IF('計算A'!BJ$106=1,FI10,1)</f>
        <v/>
      </c>
      <c r="KX10">
        <f>IF('計算A'!BK$106=1,FJ10,1)</f>
        <v/>
      </c>
      <c r="KY10">
        <f>IF('計算A'!BL$106=1,FK10,1)</f>
        <v/>
      </c>
      <c r="KZ10">
        <f>IF('計算A'!BM$106=1,FL10,1)</f>
        <v/>
      </c>
      <c r="LA10">
        <f>IF('計算A'!BN$106=1,FM10,1)</f>
        <v/>
      </c>
      <c r="LB10">
        <f>IF('計算A'!BO$106=1,FN10,1)</f>
        <v/>
      </c>
      <c r="LC10">
        <f>IF('計算A'!BP$106=1,FO10,1)</f>
        <v/>
      </c>
      <c r="LD10">
        <f>IF('計算A'!BQ$106=1,FP10,1)</f>
        <v/>
      </c>
      <c r="LE10">
        <f>IF('計算A'!BR$106=1,FQ10,1)</f>
        <v/>
      </c>
      <c r="LF10">
        <f>IF('計算A'!BS$106=1,FR10,1)</f>
        <v/>
      </c>
      <c r="LG10">
        <f>IF('計算A'!BT$106=1,FS10,1)</f>
        <v/>
      </c>
      <c r="LH10">
        <f>IF('計算A'!BU$106=1,FT10,1)</f>
        <v/>
      </c>
      <c r="LI10">
        <f>IF('計算A'!BV$106=1,FU10,1)</f>
        <v/>
      </c>
      <c r="LJ10">
        <f>IF('計算A'!BW$106=1,FV10,1)</f>
        <v/>
      </c>
      <c r="LK10">
        <f>IF('計算A'!BX$106=1,FW10,1)</f>
        <v/>
      </c>
      <c r="LL10">
        <f>IF('計算A'!BY$106=1,FX10,1)</f>
        <v/>
      </c>
      <c r="LM10">
        <f>IF('計算A'!BZ$106=1,FY10,1)</f>
        <v/>
      </c>
      <c r="LN10">
        <f>IF('計算A'!CA$106=1,FZ10,1)</f>
        <v/>
      </c>
      <c r="LO10">
        <f>IF('計算A'!CB$106=1,GA10,1)</f>
        <v/>
      </c>
      <c r="LP10">
        <f>IF('計算A'!CC$106=1,GB10,1)</f>
        <v/>
      </c>
      <c r="LQ10">
        <f>IF('計算A'!CD$106=1,GC10,1)</f>
        <v/>
      </c>
      <c r="LR10">
        <f>IF('計算A'!CE$106=1,GD10,1)</f>
        <v/>
      </c>
      <c r="LS10">
        <f>IF('計算A'!CF$106=1,GE10,1)</f>
        <v/>
      </c>
      <c r="LT10">
        <f>IF('計算A'!CG$106=1,GF10,1)</f>
        <v/>
      </c>
      <c r="LU10">
        <f>IF('計算A'!CH$106=1,GG10,1)</f>
        <v/>
      </c>
      <c r="LV10">
        <f>IF('計算A'!CI$106=1,GH10,1)</f>
        <v/>
      </c>
      <c r="LW10">
        <f>IF('計算A'!CJ$106=1,GI10,1)</f>
        <v/>
      </c>
      <c r="LX10">
        <f>IF('計算A'!CK$106=1,GJ10,1)</f>
        <v/>
      </c>
      <c r="LY10">
        <f>IF('計算A'!CL$106=1,GK10,1)</f>
        <v/>
      </c>
      <c r="LZ10">
        <f>IF('計算A'!CM$106=1,GL10,1)</f>
        <v/>
      </c>
      <c r="MA10">
        <f>IF('計算A'!CN$106=1,GM10,1)</f>
        <v/>
      </c>
      <c r="MB10">
        <f>IF('計算A'!CO$106=1,GN10,1)</f>
        <v/>
      </c>
      <c r="MC10">
        <f>IF('計算A'!CP$106=1,GO10,1)</f>
        <v/>
      </c>
      <c r="MD10">
        <f>IF('計算A'!CQ$106=1,GP10,1)</f>
        <v/>
      </c>
      <c r="ME10">
        <f>IF('計算A'!CR$106=1,GQ10,1)</f>
        <v/>
      </c>
      <c r="MF10">
        <f>IF('計算A'!CS$106=1,GR10,1)</f>
        <v/>
      </c>
      <c r="MG10">
        <f>IF('計算A'!CT$106=1,GS10,1)</f>
        <v/>
      </c>
      <c r="MH10">
        <f>IF('計算A'!CU$106=1,GT10,1)</f>
        <v/>
      </c>
      <c r="MI10">
        <f>IF('計算A'!CV$106=1,GU10,1)</f>
        <v/>
      </c>
      <c r="MJ10">
        <f>IF('計算A'!CW$106=1,GV10,1)</f>
        <v/>
      </c>
      <c r="MK10">
        <f>IF('計算A'!CX$106=1,GW10,1)</f>
        <v/>
      </c>
      <c r="ML10">
        <f>IF('計算A'!CY$106=1,GX10,1)</f>
        <v/>
      </c>
      <c r="MM10">
        <f>IF('計算A'!CZ$106=1,GY10,1)</f>
        <v/>
      </c>
      <c r="MN10">
        <f>IF('計算A'!DA$106=1,GZ10,1)</f>
        <v/>
      </c>
      <c r="MO10">
        <f>IF('計算A'!DB$106=1,HA10,1)</f>
        <v/>
      </c>
      <c r="MP10">
        <f>IF('計算A'!DC$106=1,HB10,1)</f>
        <v/>
      </c>
      <c r="MQ10">
        <f>IF('計算A'!DD$106=1,HC10,1)</f>
        <v/>
      </c>
      <c r="MR10">
        <f>IF('計算A'!DE$106=1,HD10,1)</f>
        <v/>
      </c>
      <c r="MS10">
        <f>IF('計算A'!DF$106=1,HE10,1)</f>
        <v/>
      </c>
      <c r="MT10">
        <f>IF('計算A'!DG$106=1,HF10,1)</f>
        <v/>
      </c>
      <c r="MU10">
        <f>IF('計算A'!DH$106=1,HG10,1)</f>
        <v/>
      </c>
      <c r="MV10">
        <f>IF('計算A'!DI$106=1,HH10,1)</f>
        <v/>
      </c>
      <c r="MW10">
        <f>IF('計算A'!DJ$106=1,HI10,1)</f>
        <v/>
      </c>
      <c r="MX10">
        <f>IF('計算A'!DK$106=1,HJ10,1)</f>
        <v/>
      </c>
      <c r="MY10">
        <f>IF('計算A'!DL$106=1,HK10,1)</f>
        <v/>
      </c>
      <c r="MZ10">
        <f>IF('計算A'!DM$106=1,HL10,1)</f>
        <v/>
      </c>
      <c r="NA10">
        <f>IF('計算A'!DN$106=1,HM10,1)</f>
        <v/>
      </c>
      <c r="NB10">
        <f>IF('計算A'!DO$106=1,HN10,1)</f>
        <v/>
      </c>
      <c r="NC10">
        <f>IF('計算A'!DP$106=1,HO10,1)</f>
        <v/>
      </c>
      <c r="ND10">
        <f>IF('計算A'!DQ$106=1,HP10,1)</f>
        <v/>
      </c>
      <c r="NE10">
        <f>IF('計算A'!DR$106=1,HQ10,1)</f>
        <v/>
      </c>
      <c r="NF10">
        <f>IF('計算A'!DS$106=1,HR10,1)</f>
        <v/>
      </c>
      <c r="NG10">
        <f>IF('計算A'!DT$106=1,HS10,1)</f>
        <v/>
      </c>
      <c r="NH10">
        <f>IF('計算A'!DU$106=1,HT10,1)</f>
        <v/>
      </c>
      <c r="NI10">
        <f>IF('計算A'!DV$106=1,HU10,1)</f>
        <v/>
      </c>
      <c r="NJ10">
        <f>IF('計算A'!DW$106=1,HV10,1)</f>
        <v/>
      </c>
      <c r="NK10">
        <f>IF('計算A'!DX$106=1,HW10,1)</f>
        <v/>
      </c>
      <c r="NL10">
        <f>IF('計算A'!DY$106=1,HX10,1)</f>
        <v/>
      </c>
      <c r="NM10">
        <f>IF('計算A'!DZ$106=1,HY10,1)</f>
        <v/>
      </c>
      <c r="NN10">
        <f>IF('計算A'!EA$106=1,HZ10,1)</f>
        <v/>
      </c>
      <c r="NO10">
        <f>IF('計算A'!EB$106=1,IA10,1)</f>
        <v/>
      </c>
      <c r="NP10">
        <f>IF('計算A'!EC$106=1,IB10,1)</f>
        <v/>
      </c>
      <c r="NQ10">
        <f>IF('計算A'!ED$106=1,IC10,1)</f>
        <v/>
      </c>
      <c r="NR10">
        <f>IF('計算A'!EE$106=1,ID10,1)</f>
        <v/>
      </c>
      <c r="NS10">
        <f>IF('計算A'!EF$106=1,IE10,1)</f>
        <v/>
      </c>
      <c r="NT10">
        <f>IF('計算A'!EG$106=1,IF10,1)</f>
        <v/>
      </c>
      <c r="NU10">
        <f>IF('計算A'!EH$106=1,IG10,1)</f>
        <v/>
      </c>
      <c r="NV10">
        <f>IF('計算A'!EI$106=1,IH10,1)</f>
        <v/>
      </c>
      <c r="NW10">
        <f>IF('計算A'!EJ$106=1,II10,1)</f>
        <v/>
      </c>
      <c r="NX10">
        <f>IF('計算A'!EK$106=1,IJ10,1)</f>
        <v/>
      </c>
      <c r="NY10">
        <f>IF('計算A'!EL$106=1,IK10,1)</f>
        <v/>
      </c>
      <c r="NZ10">
        <f>IF('計算A'!EM$106=1,IL10,1)</f>
        <v/>
      </c>
      <c r="OA10">
        <f>IF('計算A'!EN$106=1,IM10,1)</f>
        <v/>
      </c>
      <c r="OB10">
        <f>IF('計算A'!EO$106=1,IN10,1)</f>
        <v/>
      </c>
      <c r="OC10">
        <f>IF('計算A'!EP$106=1,IO10,1)</f>
        <v/>
      </c>
      <c r="OD10" t="n">
        <v>1</v>
      </c>
      <c r="OF10">
        <f>IF($B10=0,1000000,IF(INDEX('計算A'!$D$60:$EQ$104,$B10,1)*DB10=1,IF(AND($E10=2,IQ10=0),1000000,IF($I10&gt;0,IF(1=$J10,IF(OR(AND(1=$I10+1,OR($K10&lt;&gt;'計算A'!$A$3,'計算A'!$A$4=0)),AND(1=$I10-1,OR(1&lt;&gt;'計算A'!$A$3,'計算A'!$A$4=0))),0,IF(1=$K10,200000,ABS(1-$K10)*100)),100000+ABS(1-$J10)*1000+10)+'計算A'!D$5*50+IF(AND($E10=1,IQ10=0),25,0),IF($F10&gt;0,INDEX('計算A'!D$110:D$114,$F10+1)+IF(AND($E10=1,IQ10=0),1000,0),MIN(TU10,20)*400+(IF('計算A'!D$106=1,1-DC10,0))*150+11+'計算A'!D$5*100000+IF(AND($E10=1,IQ10=0),50000,0))+IF($H10=1,(IF('計算A'!D$117=1,INDEX('計算A'!E$10:E$54,$B10),0))*4000,0)-IF(AND($L10=1,'計算A'!D$117=1,DC10=0),2000,0))),1000000))</f>
        <v/>
      </c>
      <c r="OG10">
        <f>IF($B10=0,1000000,IF(INDEX('計算A'!$D$60:$EQ$104,$B10,2)*DC10=1,IF(AND($E10=2,IR10=0),1000000,IF($I10&gt;0,IF(1=$J10,IF(OR(AND(2=$I10+1,OR($K10&lt;&gt;'計算A'!$A$3,'計算A'!$A$4=0)),AND(2=$I10-1,OR(2&lt;&gt;'計算A'!$A$3,'計算A'!$A$4=0))),0,IF(2=$K10,200000,ABS(2-$K10)*100)),100000+ABS(1-$J10)*1000+20)+'計算A'!E$5*50+IF(AND($E10=1,IR10=0),25,0),IF($F10&gt;0,INDEX('計算A'!E$110:E$114,$F10+1)+IF(AND($E10=1,IR10=0),1000,0),MIN(TU10,20)*400+(IF('計算A'!D$106=1,1-DB10,0)+IF('計算A'!E$106=1,1-DD10,0))*150+21+'計算A'!E$5*100000+IF(AND($E10=1,IR10=0),50000,0))+IF($H10=1,(IF('計算A'!D$117=1,INDEX('計算A'!D$10:D$54,$B10),0)+IF('計算A'!E$117=1,INDEX('計算A'!F$10:F$54,$B10),0))*4000,0)-IF(AND('計算A'!D$117=1,UB10&gt;0),2000,0)-IF(AND($L10=1,'計算A'!E$117=1,DD10=0),2000,0))),1000000))</f>
        <v/>
      </c>
      <c r="OH10">
        <f>IF($B10=0,1000000,IF(INDEX('計算A'!$D$60:$EQ$104,$B10,3)*DD10=1,IF(AND($E10=2,IS10=0),1000000,IF($I10&gt;0,IF(1=$J10,IF(OR(AND(3=$I10+1,OR($K10&lt;&gt;'計算A'!$A$3,'計算A'!$A$4=0)),AND(3=$I10-1,OR(3&lt;&gt;'計算A'!$A$3,'計算A'!$A$4=0))),0,IF(3=$K10,200000,ABS(3-$K10)*100)),100000+ABS(1-$J10)*1000+30)+'計算A'!F$5*50+IF(AND($E10=1,IS10=0),25,0),IF($F10&gt;0,INDEX('計算A'!F$110:F$114,$F10+1)+IF(AND($E10=1,IS10=0),1000,0),MIN(TU10,20)*400+(IF('計算A'!E$106=1,1-DC10,0)+IF('計算A'!F$106=1,1-DE10,0))*150+31+'計算A'!F$5*100000+IF(AND($E10=1,IS10=0),50000,0))+IF($H10=1,(IF('計算A'!E$117=1,INDEX('計算A'!E$10:E$54,$B10),0)+IF('計算A'!F$117=1,INDEX('計算A'!G$10:G$54,$B10),0))*4000,0)-IF(AND('計算A'!E$117=1,UC10&gt;0),2000,0)-IF(AND($L10=1,'計算A'!F$117=1,DE10=0),2000,0))),1000000))</f>
        <v/>
      </c>
      <c r="OI10">
        <f>IF($B10=0,1000000,IF(INDEX('計算A'!$D$60:$EQ$104,$B10,4)*DE10=1,IF(AND($E10=2,IT10=0),1000000,IF($I10&gt;0,IF(1=$J10,IF(OR(AND(4=$I10+1,OR($K10&lt;&gt;'計算A'!$A$3,'計算A'!$A$4=0)),AND(4=$I10-1,OR(4&lt;&gt;'計算A'!$A$3,'計算A'!$A$4=0))),0,IF(4=$K10,200000,ABS(4-$K10)*100)),100000+ABS(1-$J10)*1000+40)+'計算A'!G$5*50+IF(AND($E10=1,IT10=0),25,0),IF($F10&gt;0,INDEX('計算A'!G$110:G$114,$F10+1)+IF(AND($E10=1,IT10=0),1000,0),MIN(TU10,20)*400+(IF('計算A'!F$106=1,1-DD10,0)+IF('計算A'!G$106=1,1-DF10,0))*150+41+'計算A'!G$5*100000+IF(AND($E10=1,IT10=0),50000,0))+IF($H10=1,(IF('計算A'!F$117=1,INDEX('計算A'!F$10:F$54,$B10),0)+IF('計算A'!G$117=1,INDEX('計算A'!H$10:H$54,$B10),0))*4000,0)-IF(AND('計算A'!F$117=1,UD10&gt;0),2000,0)-IF(AND($L10=1,'計算A'!G$117=1,DF10=0),2000,0))),1000000))</f>
        <v/>
      </c>
      <c r="OJ10">
        <f>IF($B10=0,1000000,IF(INDEX('計算A'!$D$60:$EQ$104,$B10,5)*DF10=1,IF(AND($E10=2,IU10=0),1000000,IF($I10&gt;0,IF(1=$J10,IF(OR(AND(5=$I10+1,OR($K10&lt;&gt;'計算A'!$A$3,'計算A'!$A$4=0)),AND(5=$I10-1,OR(5&lt;&gt;'計算A'!$A$3,'計算A'!$A$4=0))),0,IF(5=$K10,200000,ABS(5-$K10)*100)),100000+ABS(1-$J10)*1000+50)+'計算A'!H$5*50+IF(AND($E10=1,IU10=0),25,0),IF($F10&gt;0,INDEX('計算A'!H$110:H$114,$F10+1)+IF(AND($E10=1,IU10=0),1000,0),MIN(TU10,20)*400+(IF('計算A'!G$106=1,1-DE10,0)+IF('計算A'!H$106=1,1-DG10,0))*150+51+'計算A'!H$5*100000+IF(AND($E10=1,IU10=0),50000,0))+IF($H10=1,(IF('計算A'!G$117=1,INDEX('計算A'!G$10:G$54,$B10),0)+IF('計算A'!H$117=1,INDEX('計算A'!I$10:I$54,$B10),0))*4000,0)-IF(AND('計算A'!G$117=1,UE10&gt;0),2000,0)-IF(AND($L10=1,'計算A'!H$117=1,DG10=0),2000,0))),1000000))</f>
        <v/>
      </c>
      <c r="OK10">
        <f>IF($B10=0,1000000,IF(INDEX('計算A'!$D$60:$EQ$104,$B10,6)*DG10=1,IF(AND($E10=2,IV10=0),1000000,IF($I10&gt;0,IF(1=$J10,IF(OR(AND(6=$I10+1,OR($K10&lt;&gt;'計算A'!$A$3,'計算A'!$A$4=0)),AND(6=$I10-1,OR(6&lt;&gt;'計算A'!$A$3,'計算A'!$A$4=0))),0,IF(6=$K10,200000,ABS(6-$K10)*100)),100000+ABS(1-$J10)*1000+60)+'計算A'!I$5*50+IF(AND($E10=1,IV10=0),25,0),IF($F10&gt;0,INDEX('計算A'!I$110:I$114,$F10+1)+IF(AND($E10=1,IV10=0),1000,0),MIN(TU10,20)*400+(IF('計算A'!H$106=1,1-DF10,0)+IF('計算A'!I$106=1,1-DH10,0))*150+61+'計算A'!I$5*100000+IF(AND($E10=1,IV10=0),50000,0))+IF($H10=1,(IF('計算A'!H$117=1,INDEX('計算A'!H$10:H$54,$B10),0)+IF('計算A'!I$117=1,INDEX('計算A'!J$10:J$54,$B10),0))*4000,0)-IF(AND('計算A'!H$117=1,UF10&gt;0),2000,0)-IF(AND($L10=1,'計算A'!I$117=1,DH10=0),2000,0))),1000000))</f>
        <v/>
      </c>
      <c r="OL10">
        <f>IF($B10=0,1000000,IF(INDEX('計算A'!$D$60:$EQ$104,$B10,7)*DH10=1,IF(AND($E10=2,IW10=0),1000000,IF($I10&gt;0,IF(1=$J10,IF(OR(AND(7=$I10+1,OR($K10&lt;&gt;'計算A'!$A$3,'計算A'!$A$4=0)),AND(7=$I10-1,OR(7&lt;&gt;'計算A'!$A$3,'計算A'!$A$4=0))),0,IF(7=$K10,200000,ABS(7-$K10)*100)),100000+ABS(1-$J10)*1000+70)+'計算A'!J$5*50+IF(AND($E10=1,IW10=0),25,0),IF($F10&gt;0,INDEX('計算A'!J$110:J$114,$F10+1)+IF(AND($E10=1,IW10=0),1000,0),MIN(TU10,20)*400+(IF('計算A'!I$106=1,1-DG10,0)+IF('計算A'!J$106=1,1-DI10,0))*150+71+'計算A'!J$5*100000+IF(AND($E10=1,IW10=0),50000,0))+IF($H10=1,(IF('計算A'!I$117=1,INDEX('計算A'!I$10:I$54,$B10),0)+IF('計算A'!J$117=1,INDEX('計算A'!K$10:K$54,$B10),0))*4000,0)-IF(AND('計算A'!I$117=1,UG10&gt;0),2000,0)-IF(AND($L10=1,'計算A'!J$117=1,DI10=0),2000,0))),1000000))</f>
        <v/>
      </c>
      <c r="OM10">
        <f>IF($B10=0,1000000,IF(INDEX('計算A'!$D$60:$EQ$104,$B10,8)*DI10=1,IF(AND($E10=2,IX10=0),1000000,IF($I10&gt;0,IF(1=$J10,IF(OR(AND(8=$I10+1,OR($K10&lt;&gt;'計算A'!$A$3,'計算A'!$A$4=0)),AND(8=$I10-1,OR(8&lt;&gt;'計算A'!$A$3,'計算A'!$A$4=0))),0,IF(8=$K10,200000,ABS(8-$K10)*100)),100000+ABS(1-$J10)*1000+80)+'計算A'!K$5*50+IF(AND($E10=1,IX10=0),25,0),IF($F10&gt;0,INDEX('計算A'!K$110:K$114,$F10+1)+IF(AND($E10=1,IX10=0),1000,0),MIN(TU10,20)*400+(IF('計算A'!J$106=1,1-DH10,0)+IF('計算A'!K$106=1,1-DJ10,0))*150+81+'計算A'!K$5*100000+IF(AND($E10=1,IX10=0),50000,0))+IF($H10=1,(IF('計算A'!J$117=1,INDEX('計算A'!J$10:J$54,$B10),0)+IF('計算A'!K$117=1,INDEX('計算A'!L$10:L$54,$B10),0))*4000,0)-IF(AND('計算A'!J$117=1,UH10&gt;0),2000,0)-IF(AND($L10=1,'計算A'!K$117=1,DJ10=0),2000,0))),1000000))</f>
        <v/>
      </c>
      <c r="ON10">
        <f>IF($B10=0,1000000,IF(INDEX('計算A'!$D$60:$EQ$104,$B10,9)*DJ10=1,IF(AND($E10=2,IY10=0),1000000,IF($I10&gt;0,IF(1=$J10,IF(OR(AND(9=$I10+1,OR($K10&lt;&gt;'計算A'!$A$3,'計算A'!$A$4=0)),AND(9=$I10-1,OR(9&lt;&gt;'計算A'!$A$3,'計算A'!$A$4=0))),0,IF(9=$K10,200000,ABS(9-$K10)*100)),100000+ABS(1-$J10)*1000+90)+'計算A'!L$5*50+IF(AND($E10=1,IY10=0),25,0),IF($F10&gt;0,INDEX('計算A'!L$110:L$114,$F10+1)+IF(AND($E10=1,IY10=0),1000,0),MIN(TU10,20)*400+(IF('計算A'!K$106=1,1-DI10,0)+IF('計算A'!L$106=1,1-DK10,0))*150+91+'計算A'!L$5*100000+IF(AND($E10=1,IY10=0),50000,0))+IF($H10=1,(IF('計算A'!K$117=1,INDEX('計算A'!K$10:K$54,$B10),0)+IF('計算A'!L$117=1,INDEX('計算A'!M$10:M$54,$B10),0))*4000,0)-IF(AND('計算A'!K$117=1,UI10&gt;0),2000,0)-IF(AND($L10=1,'計算A'!L$117=1,DK10=0),2000,0))),1000000))</f>
        <v/>
      </c>
      <c r="OO10">
        <f>IF($B10=0,1000000,IF(INDEX('計算A'!$D$60:$EQ$104,$B10,10)*DK10=1,IF(AND($E10=2,IZ10=0),1000000,IF($I10&gt;0,IF(1=$J10,IF(OR(AND(10=$I10+1,OR($K10&lt;&gt;'計算A'!$A$3,'計算A'!$A$4=0)),AND(10=$I10-1,OR(10&lt;&gt;'計算A'!$A$3,'計算A'!$A$4=0))),0,IF(10=$K10,200000,ABS(10-$K10)*100)),100000+ABS(1-$J10)*1000+100)+'計算A'!M$5*50+IF(AND($E10=1,IZ10=0),25,0),IF($F10&gt;0,INDEX('計算A'!M$110:M$114,$F10+1)+IF(AND($E10=1,IZ10=0),1000,0),MIN(TU10,20)*400+(IF('計算A'!L$106=1,1-DJ10,0)+IF('計算A'!M$106=1,1-DL10,0))*150+101+'計算A'!M$5*100000+IF(AND($E10=1,IZ10=0),50000,0))+IF($H10=1,(IF('計算A'!L$117=1,INDEX('計算A'!L$10:L$54,$B10),0)+IF('計算A'!M$117=1,INDEX('計算A'!N$10:N$54,$B10),0))*4000,0)-IF(AND('計算A'!L$117=1,UJ10&gt;0),2000,0)-IF(AND($L10=1,'計算A'!M$117=1,DL10=0),2000,0))),1000000))</f>
        <v/>
      </c>
      <c r="OP10">
        <f>IF($B10=0,1000000,IF(INDEX('計算A'!$D$60:$EQ$104,$B10,11)*DL10=1,IF(AND($E10=2,JA10=0),1000000,IF($I10&gt;0,IF(1=$J10,IF(OR(AND(11=$I10+1,OR($K10&lt;&gt;'計算A'!$A$3,'計算A'!$A$4=0)),AND(11=$I10-1,OR(11&lt;&gt;'計算A'!$A$3,'計算A'!$A$4=0))),0,IF(11=$K10,200000,ABS(11-$K10)*100)),100000+ABS(1-$J10)*1000+110)+'計算A'!N$5*50+IF(AND($E10=1,JA10=0),25,0),IF($F10&gt;0,INDEX('計算A'!N$110:N$114,$F10+1)+IF(AND($E10=1,JA10=0),1000,0),MIN(TU10,20)*400+(IF('計算A'!M$106=1,1-DK10,0)+IF('計算A'!N$106=1,1-DM10,0))*150+111+'計算A'!N$5*100000+IF(AND($E10=1,JA10=0),50000,0))+IF($H10=1,(IF('計算A'!M$117=1,INDEX('計算A'!M$10:M$54,$B10),0)+IF('計算A'!N$117=1,INDEX('計算A'!O$10:O$54,$B10),0))*4000,0)-IF(AND('計算A'!M$117=1,UK10&gt;0),2000,0)-IF(AND($L10=1,'計算A'!N$117=1,DM10=0),2000,0))),1000000))</f>
        <v/>
      </c>
      <c r="OQ10">
        <f>IF($B10=0,1000000,IF(INDEX('計算A'!$D$60:$EQ$104,$B10,12)*DM10=1,IF(AND($E10=2,JB10=0),1000000,IF($I10&gt;0,IF(1=$J10,IF(OR(AND(12=$I10+1,OR($K10&lt;&gt;'計算A'!$A$3,'計算A'!$A$4=0)),AND(12=$I10-1,OR(12&lt;&gt;'計算A'!$A$3,'計算A'!$A$4=0))),0,IF(12=$K10,200000,ABS(12-$K10)*100)),100000+ABS(1-$J10)*1000+120)+'計算A'!O$5*50+IF(AND($E10=1,JB10=0),25,0),IF($F10&gt;0,INDEX('計算A'!O$110:O$114,$F10+1)+IF(AND($E10=1,JB10=0),1000,0),MIN(TU10,20)*400+(IF('計算A'!N$106=1,1-DL10,0)+IF('計算A'!O$106=1,1-DN10,0))*150+121+'計算A'!O$5*100000+IF(AND($E10=1,JB10=0),50000,0))+IF($H10=1,(IF('計算A'!N$117=1,INDEX('計算A'!N$10:N$54,$B10),0)+IF('計算A'!O$117=1,INDEX('計算A'!P$10:P$54,$B10),0))*4000,0)-IF(AND('計算A'!N$117=1,UL10&gt;0),2000,0)-IF(AND($L10=1,'計算A'!O$117=1,DN10=0),2000,0))),1000000))</f>
        <v/>
      </c>
      <c r="OR10">
        <f>IF($B10=0,1000000,IF(INDEX('計算A'!$D$60:$EQ$104,$B10,13)*DN10=1,IF(AND($E10=2,JC10=0),1000000,IF($I10&gt;0,IF(1=$J10,IF(OR(AND(13=$I10+1,OR($K10&lt;&gt;'計算A'!$A$3,'計算A'!$A$4=0)),AND(13=$I10-1,OR(13&lt;&gt;'計算A'!$A$3,'計算A'!$A$4=0))),0,IF(13=$K10,200000,ABS(13-$K10)*100)),100000+ABS(1-$J10)*1000+130)+'計算A'!P$5*50+IF(AND($E10=1,JC10=0),25,0),IF($F10&gt;0,INDEX('計算A'!P$110:P$114,$F10+1)+IF(AND($E10=1,JC10=0),1000,0),MIN(TU10,20)*400+(IF('計算A'!O$106=1,1-DM10,0)+IF('計算A'!P$106=1,1-DO10,0))*150+131+'計算A'!P$5*100000+IF(AND($E10=1,JC10=0),50000,0))+IF($H10=1,(IF('計算A'!O$117=1,INDEX('計算A'!O$10:O$54,$B10),0)+IF('計算A'!P$117=1,INDEX('計算A'!Q$10:Q$54,$B10),0))*4000,0)-IF(AND('計算A'!O$117=1,UM10&gt;0),2000,0)-IF(AND($L10=1,'計算A'!P$117=1,DO10=0),2000,0))),1000000))</f>
        <v/>
      </c>
      <c r="OS10">
        <f>IF($B10=0,1000000,IF(INDEX('計算A'!$D$60:$EQ$104,$B10,14)*DO10=1,IF(AND($E10=2,JD10=0),1000000,IF($I10&gt;0,IF(1=$J10,IF(OR(AND(14=$I10+1,OR($K10&lt;&gt;'計算A'!$A$3,'計算A'!$A$4=0)),AND(14=$I10-1,OR(14&lt;&gt;'計算A'!$A$3,'計算A'!$A$4=0))),0,IF(14=$K10,200000,ABS(14-$K10)*100)),100000+ABS(1-$J10)*1000+140)+'計算A'!Q$5*50+IF(AND($E10=1,JD10=0),25,0),IF($F10&gt;0,INDEX('計算A'!Q$110:Q$114,$F10+1)+IF(AND($E10=1,JD10=0),1000,0),MIN(TU10,20)*400+(IF('計算A'!P$106=1,1-DN10,0)+IF('計算A'!Q$106=1,1-DP10,0))*150+141+'計算A'!Q$5*100000+IF(AND($E10=1,JD10=0),50000,0))+IF($H10=1,(IF('計算A'!P$117=1,INDEX('計算A'!P$10:P$54,$B10),0)+IF('計算A'!Q$117=1,INDEX('計算A'!R$10:R$54,$B10),0))*4000,0)-IF(AND('計算A'!P$117=1,UN10&gt;0),2000,0)-IF(AND($L10=1,'計算A'!Q$117=1,DP10=0),2000,0))),1000000))</f>
        <v/>
      </c>
      <c r="OT10">
        <f>IF($B10=0,1000000,IF(INDEX('計算A'!$D$60:$EQ$104,$B10,15)*DP10=1,IF(AND($E10=2,JE10=0),1000000,IF($I10&gt;0,IF(1=$J10,IF(OR(AND(15=$I10+1,OR($K10&lt;&gt;'計算A'!$A$3,'計算A'!$A$4=0)),AND(15=$I10-1,OR(15&lt;&gt;'計算A'!$A$3,'計算A'!$A$4=0))),0,IF(15=$K10,200000,ABS(15-$K10)*100)),100000+ABS(1-$J10)*1000+150)+'計算A'!R$5*50+IF(AND($E10=1,JE10=0),25,0),IF($F10&gt;0,INDEX('計算A'!R$110:R$114,$F10+1)+IF(AND($E10=1,JE10=0),1000,0),MIN(TU10,20)*400+(IF('計算A'!Q$106=1,1-DO10,0)+IF('計算A'!R$106=1,1-DQ10,0))*150+151+'計算A'!R$5*100000+IF(AND($E10=1,JE10=0),50000,0))+IF($H10=1,(IF('計算A'!Q$117=1,INDEX('計算A'!Q$10:Q$54,$B10),0)+IF('計算A'!R$117=1,INDEX('計算A'!S$10:S$54,$B10),0))*4000,0)-IF(AND('計算A'!Q$117=1,UO10&gt;0),2000,0)-IF(AND($L10=1,'計算A'!R$117=1,DQ10=0),2000,0))),1000000))</f>
        <v/>
      </c>
      <c r="OU10">
        <f>IF($B10=0,1000000,IF(INDEX('計算A'!$D$60:$EQ$104,$B10,16)*DQ10=1,IF(AND($E10=2,JF10=0),1000000,IF($I10&gt;0,IF(1=$J10,IF(OR(AND(16=$I10+1,OR($K10&lt;&gt;'計算A'!$A$3,'計算A'!$A$4=0)),AND(16=$I10-1,OR(16&lt;&gt;'計算A'!$A$3,'計算A'!$A$4=0))),0,IF(16=$K10,200000,ABS(16-$K10)*100)),100000+ABS(1-$J10)*1000+160)+'計算A'!S$5*50+IF(AND($E10=1,JF10=0),25,0),IF($F10&gt;0,INDEX('計算A'!S$110:S$114,$F10+1)+IF(AND($E10=1,JF10=0),1000,0),MIN(TU10,20)*400+(IF('計算A'!R$106=1,1-DP10,0)+IF('計算A'!S$106=1,1-DR10,0))*150+161+'計算A'!S$5*100000+IF(AND($E10=1,JF10=0),50000,0))+IF($H10=1,(IF('計算A'!R$117=1,INDEX('計算A'!R$10:R$54,$B10),0)+IF('計算A'!S$117=1,INDEX('計算A'!T$10:T$54,$B10),0))*4000,0)-IF(AND('計算A'!R$117=1,UP10&gt;0),2000,0)-IF(AND($L10=1,'計算A'!S$117=1,DR10=0),2000,0))),1000000))</f>
        <v/>
      </c>
      <c r="OV10">
        <f>IF($B10=0,1000000,IF(INDEX('計算A'!$D$60:$EQ$104,$B10,17)*DR10=1,IF(AND($E10=2,JG10=0),1000000,IF($I10&gt;0,IF(1=$J10,IF(OR(AND(17=$I10+1,OR($K10&lt;&gt;'計算A'!$A$3,'計算A'!$A$4=0)),AND(17=$I10-1,OR(17&lt;&gt;'計算A'!$A$3,'計算A'!$A$4=0))),0,IF(17=$K10,200000,ABS(17-$K10)*100)),100000+ABS(1-$J10)*1000+170)+'計算A'!T$5*50+IF(AND($E10=1,JG10=0),25,0),IF($F10&gt;0,INDEX('計算A'!T$110:T$114,$F10+1)+IF(AND($E10=1,JG10=0),1000,0),MIN(TU10,20)*400+(IF('計算A'!S$106=1,1-DQ10,0)+IF('計算A'!T$106=1,1-DS10,0))*150+171+'計算A'!T$5*100000+IF(AND($E10=1,JG10=0),50000,0))+IF($H10=1,(IF('計算A'!S$117=1,INDEX('計算A'!S$10:S$54,$B10),0)+IF('計算A'!T$117=1,INDEX('計算A'!U$10:U$54,$B10),0))*4000,0)-IF(AND('計算A'!S$117=1,UQ10&gt;0),2000,0)-IF(AND($L10=1,'計算A'!T$117=1,DS10=0),2000,0))),1000000))</f>
        <v/>
      </c>
      <c r="OW10">
        <f>IF($B10=0,1000000,IF(INDEX('計算A'!$D$60:$EQ$104,$B10,18)*DS10=1,IF(AND($E10=2,JH10=0),1000000,IF($I10&gt;0,IF(1=$J10,IF(OR(AND(18=$I10+1,OR($K10&lt;&gt;'計算A'!$A$3,'計算A'!$A$4=0)),AND(18=$I10-1,OR(18&lt;&gt;'計算A'!$A$3,'計算A'!$A$4=0))),0,IF(18=$K10,200000,ABS(18-$K10)*100)),100000+ABS(1-$J10)*1000+180)+'計算A'!U$5*50+IF(AND($E10=1,JH10=0),25,0),IF($F10&gt;0,INDEX('計算A'!U$110:U$114,$F10+1)+IF(AND($E10=1,JH10=0),1000,0),MIN(TU10,20)*400+(IF('計算A'!T$106=1,1-DR10,0)+IF('計算A'!U$106=1,1-DT10,0))*150+181+'計算A'!U$5*100000+IF(AND($E10=1,JH10=0),50000,0))+IF($H10=1,(IF('計算A'!T$117=1,INDEX('計算A'!T$10:T$54,$B10),0)+IF('計算A'!U$117=1,INDEX('計算A'!V$10:V$54,$B10),0))*4000,0)-IF(AND('計算A'!T$117=1,UR10&gt;0),2000,0)-IF(AND($L10=1,'計算A'!U$117=1,DT10=0),2000,0))),1000000))</f>
        <v/>
      </c>
      <c r="OX10">
        <f>IF($B10=0,1000000,IF(INDEX('計算A'!$D$60:$EQ$104,$B10,19)*DT10=1,IF(AND($E10=2,JI10=0),1000000,IF($I10&gt;0,IF(1=$J10,IF(OR(AND(19=$I10+1,OR($K10&lt;&gt;'計算A'!$A$3,'計算A'!$A$4=0)),AND(19=$I10-1,OR(19&lt;&gt;'計算A'!$A$3,'計算A'!$A$4=0))),0,IF(19=$K10,200000,ABS(19-$K10)*100)),100000+ABS(1-$J10)*1000+190)+'計算A'!V$5*50+IF(AND($E10=1,JI10=0),25,0),IF($F10&gt;0,INDEX('計算A'!V$110:V$114,$F10+1)+IF(AND($E10=1,JI10=0),1000,0),MIN(TU10,20)*400+(IF('計算A'!U$106=1,1-DS10,0)+IF('計算A'!V$106=1,1-DU10,0))*150+191+'計算A'!V$5*100000+IF(AND($E10=1,JI10=0),50000,0))+IF($H10=1,(IF('計算A'!U$117=1,INDEX('計算A'!U$10:U$54,$B10),0)+IF('計算A'!V$117=1,INDEX('計算A'!W$10:W$54,$B10),0))*4000,0)-IF(AND('計算A'!U$117=1,US10&gt;0),2000,0)-IF(AND($L10=1,'計算A'!V$117=1,DU10=0),2000,0))),1000000))</f>
        <v/>
      </c>
      <c r="OY10">
        <f>IF($B10=0,1000000,IF(INDEX('計算A'!$D$60:$EQ$104,$B10,20)*DU10=1,IF(AND($E10=2,JJ10=0),1000000,IF($I10&gt;0,IF(1=$J10,IF(OR(AND(20=$I10+1,OR($K10&lt;&gt;'計算A'!$A$3,'計算A'!$A$4=0)),AND(20=$I10-1,OR(20&lt;&gt;'計算A'!$A$3,'計算A'!$A$4=0))),0,IF(20=$K10,200000,ABS(20-$K10)*100)),100000+ABS(1-$J10)*1000+200)+'計算A'!W$5*50+IF(AND($E10=1,JJ10=0),25,0),IF($F10&gt;0,INDEX('計算A'!W$110:W$114,$F10+1)+IF(AND($E10=1,JJ10=0),1000,0),MIN(TU10,20)*400+(IF('計算A'!V$106=1,1-DT10,0)+IF('計算A'!W$106=1,1-DV10,0))*150+201+'計算A'!W$5*100000+IF(AND($E10=1,JJ10=0),50000,0))+IF($H10=1,(IF('計算A'!V$117=1,INDEX('計算A'!V$10:V$54,$B10),0)+IF('計算A'!W$117=1,INDEX('計算A'!X$10:X$54,$B10),0))*4000,0)-IF(AND('計算A'!V$117=1,UT10&gt;0),2000,0)-IF(AND($L10=1,'計算A'!W$117=1,DV10=0),2000,0))),1000000))</f>
        <v/>
      </c>
      <c r="OZ10">
        <f>IF($B10=0,1000000,IF(INDEX('計算A'!$D$60:$EQ$104,$B10,21)*DV10=1,IF(AND($E10=2,JK10=0),1000000,IF($I10&gt;0,IF(1=$J10,IF(OR(AND(21=$I10+1,OR($K10&lt;&gt;'計算A'!$A$3,'計算A'!$A$4=0)),AND(21=$I10-1,OR(21&lt;&gt;'計算A'!$A$3,'計算A'!$A$4=0))),0,IF(21=$K10,200000,ABS(21-$K10)*100)),100000+ABS(1-$J10)*1000+210)+'計算A'!X$5*50+IF(AND($E10=1,JK10=0),25,0),IF($F10&gt;0,INDEX('計算A'!X$110:X$114,$F10+1)+IF(AND($E10=1,JK10=0),1000,0),MIN(TU10,20)*400+(IF('計算A'!W$106=1,1-DU10,0)+IF('計算A'!X$106=1,1-DW10,0))*150+211+'計算A'!X$5*100000+IF(AND($E10=1,JK10=0),50000,0))+IF($H10=1,(IF('計算A'!W$117=1,INDEX('計算A'!W$10:W$54,$B10),0)+IF('計算A'!X$117=1,INDEX('計算A'!Y$10:Y$54,$B10),0))*4000,0)-IF(AND('計算A'!W$117=1,UU10&gt;0),2000,0)-IF(AND($L10=1,'計算A'!X$117=1,DW10=0),2000,0))),1000000))</f>
        <v/>
      </c>
      <c r="PA10">
        <f>IF($B10=0,1000000,IF(INDEX('計算A'!$D$60:$EQ$104,$B10,22)*DW10=1,IF(AND($E10=2,JL10=0),1000000,IF($I10&gt;0,IF(1=$J10,IF(OR(AND(22=$I10+1,OR($K10&lt;&gt;'計算A'!$A$3,'計算A'!$A$4=0)),AND(22=$I10-1,OR(22&lt;&gt;'計算A'!$A$3,'計算A'!$A$4=0))),0,IF(22=$K10,200000,ABS(22-$K10)*100)),100000+ABS(1-$J10)*1000+220)+'計算A'!Y$5*50+IF(AND($E10=1,JL10=0),25,0),IF($F10&gt;0,INDEX('計算A'!Y$110:Y$114,$F10+1)+IF(AND($E10=1,JL10=0),1000,0),MIN(TU10,20)*400+(IF('計算A'!X$106=1,1-DV10,0)+IF('計算A'!Y$106=1,1-DX10,0))*150+221+'計算A'!Y$5*100000+IF(AND($E10=1,JL10=0),50000,0))+IF($H10=1,(IF('計算A'!X$117=1,INDEX('計算A'!X$10:X$54,$B10),0)+IF('計算A'!Y$117=1,INDEX('計算A'!Z$10:Z$54,$B10),0))*4000,0)-IF(AND('計算A'!X$117=1,UV10&gt;0),2000,0)-IF(AND($L10=1,'計算A'!Y$117=1,DX10=0),2000,0))),1000000))</f>
        <v/>
      </c>
      <c r="PB10">
        <f>IF($B10=0,1000000,IF(INDEX('計算A'!$D$60:$EQ$104,$B10,23)*DX10=1,IF(AND($E10=2,JM10=0),1000000,IF($I10&gt;0,IF(1=$J10,IF(OR(AND(23=$I10+1,OR($K10&lt;&gt;'計算A'!$A$3,'計算A'!$A$4=0)),AND(23=$I10-1,OR(23&lt;&gt;'計算A'!$A$3,'計算A'!$A$4=0))),0,IF(23=$K10,200000,ABS(23-$K10)*100)),100000+ABS(1-$J10)*1000+230)+'計算A'!Z$5*50+IF(AND($E10=1,JM10=0),25,0),IF($F10&gt;0,INDEX('計算A'!Z$110:Z$114,$F10+1)+IF(AND($E10=1,JM10=0),1000,0),MIN(TU10,20)*400+(IF('計算A'!Y$106=1,1-DW10,0)+IF('計算A'!Z$106=1,1-DY10,0))*150+231+'計算A'!Z$5*100000+IF(AND($E10=1,JM10=0),50000,0))+IF($H10=1,(IF('計算A'!Y$117=1,INDEX('計算A'!Y$10:Y$54,$B10),0)+IF('計算A'!Z$117=1,INDEX('計算A'!AA$10:AA$54,$B10),0))*4000,0)-IF(AND('計算A'!Y$117=1,UW10&gt;0),2000,0)-IF(AND($L10=1,'計算A'!Z$117=1,DY10=0),2000,0))),1000000))</f>
        <v/>
      </c>
      <c r="PC10">
        <f>IF($B10=0,1000000,IF(INDEX('計算A'!$D$60:$EQ$104,$B10,24)*DY10=1,IF(AND($E10=2,JN10=0),1000000,IF($I10&gt;0,IF(1=$J10,IF(OR(AND(24=$I10+1,OR($K10&lt;&gt;'計算A'!$A$3,'計算A'!$A$4=0)),AND(24=$I10-1,OR(24&lt;&gt;'計算A'!$A$3,'計算A'!$A$4=0))),0,IF(24=$K10,200000,ABS(24-$K10)*100)),100000+ABS(1-$J10)*1000+240)+'計算A'!AA$5*50+IF(AND($E10=1,JN10=0),25,0),IF($F10&gt;0,INDEX('計算A'!AA$110:AA$114,$F10+1)+IF(AND($E10=1,JN10=0),1000,0),MIN(TU10,20)*400+(IF('計算A'!Z$106=1,1-DX10,0))*150+241+'計算A'!AA$5*100000+IF(AND($E10=1,JN10=0),50000,0))+IF($H10=1,(IF('計算A'!Z$117=1,INDEX('計算A'!Z$10:Z$54,$B10),0))*4000,0)-IF(AND('計算A'!Z$117=1,UX10&gt;0),2000,0))),1000000))</f>
        <v/>
      </c>
      <c r="PD10">
        <f>IF($B10=0,1000000,IF(INDEX('計算A'!$D$60:$EQ$104,$B10,25)*DZ10=1,IF(AND($E10=2,JO10=0),1000000,IF($I10&gt;0,IF(2=$J10,IF(OR(AND(25=$I10+1,OR($K10&lt;&gt;'計算A'!$A$3,'計算A'!$A$4=0)),AND(25=$I10-1,OR(1&lt;&gt;'計算A'!$A$3,'計算A'!$A$4=0))),0,IF(1=$K10,200000,ABS(1-$K10)*100)),100000+ABS(2-$J10)*1000+10)+'計算A'!AB$5*50+IF(AND($E10=1,JO10=0),25,0),IF($F10&gt;0,INDEX('計算A'!AB$110:AB$114,$F10+1)+IF(AND($E10=1,JO10=0),1000,0),MIN(TV10,20)*400+(IF('計算A'!AB$106=1,1-EA10,0))*150+12+'計算A'!AB$5*100000+IF(AND($E10=1,JO10=0),50000,0))+IF($H10=1,(IF('計算A'!AB$117=1,INDEX('計算A'!AC$10:AC$54,$B10),0))*4000,0)-IF(AND($L10=1,'計算A'!AB$117=1,EA10=0),2000,0))),1000000))</f>
        <v/>
      </c>
      <c r="PE10">
        <f>IF($B10=0,1000000,IF(INDEX('計算A'!$D$60:$EQ$104,$B10,26)*EA10=1,IF(AND($E10=2,JP10=0),1000000,IF($I10&gt;0,IF(2=$J10,IF(OR(AND(26=$I10+1,OR($K10&lt;&gt;'計算A'!$A$3,'計算A'!$A$4=0)),AND(26=$I10-1,OR(2&lt;&gt;'計算A'!$A$3,'計算A'!$A$4=0))),0,IF(2=$K10,200000,ABS(2-$K10)*100)),100000+ABS(2-$J10)*1000+20)+'計算A'!AC$5*50+IF(AND($E10=1,JP10=0),25,0),IF($F10&gt;0,INDEX('計算A'!AC$110:AC$114,$F10+1)+IF(AND($E10=1,JP10=0),1000,0),MIN(TV10,20)*400+(IF('計算A'!AB$106=1,1-DZ10,0)+IF('計算A'!AC$106=1,1-EB10,0))*150+22+'計算A'!AC$5*100000+IF(AND($E10=1,JP10=0),50000,0))+IF($H10=1,(IF('計算A'!AB$117=1,INDEX('計算A'!AB$10:AB$54,$B10),0)+IF('計算A'!AC$117=1,INDEX('計算A'!AD$10:AD$54,$B10),0))*4000,0)-IF(AND('計算A'!AB$117=1,UZ10&gt;0),2000,0)-IF(AND($L10=1,'計算A'!AC$117=1,EB10=0),2000,0))),1000000))</f>
        <v/>
      </c>
      <c r="PF10">
        <f>IF($B10=0,1000000,IF(INDEX('計算A'!$D$60:$EQ$104,$B10,27)*EB10=1,IF(AND($E10=2,JQ10=0),1000000,IF($I10&gt;0,IF(2=$J10,IF(OR(AND(27=$I10+1,OR($K10&lt;&gt;'計算A'!$A$3,'計算A'!$A$4=0)),AND(27=$I10-1,OR(3&lt;&gt;'計算A'!$A$3,'計算A'!$A$4=0))),0,IF(3=$K10,200000,ABS(3-$K10)*100)),100000+ABS(2-$J10)*1000+30)+'計算A'!AD$5*50+IF(AND($E10=1,JQ10=0),25,0),IF($F10&gt;0,INDEX('計算A'!AD$110:AD$114,$F10+1)+IF(AND($E10=1,JQ10=0),1000,0),MIN(TV10,20)*400+(IF('計算A'!AC$106=1,1-EA10,0)+IF('計算A'!AD$106=1,1-EC10,0))*150+32+'計算A'!AD$5*100000+IF(AND($E10=1,JQ10=0),50000,0))+IF($H10=1,(IF('計算A'!AC$117=1,INDEX('計算A'!AC$10:AC$54,$B10),0)+IF('計算A'!AD$117=1,INDEX('計算A'!AE$10:AE$54,$B10),0))*4000,0)-IF(AND('計算A'!AC$117=1,VA10&gt;0),2000,0)-IF(AND($L10=1,'計算A'!AD$117=1,EC10=0),2000,0))),1000000))</f>
        <v/>
      </c>
      <c r="PG10">
        <f>IF($B10=0,1000000,IF(INDEX('計算A'!$D$60:$EQ$104,$B10,28)*EC10=1,IF(AND($E10=2,JR10=0),1000000,IF($I10&gt;0,IF(2=$J10,IF(OR(AND(28=$I10+1,OR($K10&lt;&gt;'計算A'!$A$3,'計算A'!$A$4=0)),AND(28=$I10-1,OR(4&lt;&gt;'計算A'!$A$3,'計算A'!$A$4=0))),0,IF(4=$K10,200000,ABS(4-$K10)*100)),100000+ABS(2-$J10)*1000+40)+'計算A'!AE$5*50+IF(AND($E10=1,JR10=0),25,0),IF($F10&gt;0,INDEX('計算A'!AE$110:AE$114,$F10+1)+IF(AND($E10=1,JR10=0),1000,0),MIN(TV10,20)*400+(IF('計算A'!AD$106=1,1-EB10,0)+IF('計算A'!AE$106=1,1-ED10,0))*150+42+'計算A'!AE$5*100000+IF(AND($E10=1,JR10=0),50000,0))+IF($H10=1,(IF('計算A'!AD$117=1,INDEX('計算A'!AD$10:AD$54,$B10),0)+IF('計算A'!AE$117=1,INDEX('計算A'!AF$10:AF$54,$B10),0))*4000,0)-IF(AND('計算A'!AD$117=1,VB10&gt;0),2000,0)-IF(AND($L10=1,'計算A'!AE$117=1,ED10=0),2000,0))),1000000))</f>
        <v/>
      </c>
      <c r="PH10">
        <f>IF($B10=0,1000000,IF(INDEX('計算A'!$D$60:$EQ$104,$B10,29)*ED10=1,IF(AND($E10=2,JS10=0),1000000,IF($I10&gt;0,IF(2=$J10,IF(OR(AND(29=$I10+1,OR($K10&lt;&gt;'計算A'!$A$3,'計算A'!$A$4=0)),AND(29=$I10-1,OR(5&lt;&gt;'計算A'!$A$3,'計算A'!$A$4=0))),0,IF(5=$K10,200000,ABS(5-$K10)*100)),100000+ABS(2-$J10)*1000+50)+'計算A'!AF$5*50+IF(AND($E10=1,JS10=0),25,0),IF($F10&gt;0,INDEX('計算A'!AF$110:AF$114,$F10+1)+IF(AND($E10=1,JS10=0),1000,0),MIN(TV10,20)*400+(IF('計算A'!AE$106=1,1-EC10,0)+IF('計算A'!AF$106=1,1-EE10,0))*150+52+'計算A'!AF$5*100000+IF(AND($E10=1,JS10=0),50000,0))+IF($H10=1,(IF('計算A'!AE$117=1,INDEX('計算A'!AE$10:AE$54,$B10),0)+IF('計算A'!AF$117=1,INDEX('計算A'!AG$10:AG$54,$B10),0))*4000,0)-IF(AND('計算A'!AE$117=1,VC10&gt;0),2000,0)-IF(AND($L10=1,'計算A'!AF$117=1,EE10=0),2000,0))),1000000))</f>
        <v/>
      </c>
      <c r="PI10">
        <f>IF($B10=0,1000000,IF(INDEX('計算A'!$D$60:$EQ$104,$B10,30)*EE10=1,IF(AND($E10=2,JT10=0),1000000,IF($I10&gt;0,IF(2=$J10,IF(OR(AND(30=$I10+1,OR($K10&lt;&gt;'計算A'!$A$3,'計算A'!$A$4=0)),AND(30=$I10-1,OR(6&lt;&gt;'計算A'!$A$3,'計算A'!$A$4=0))),0,IF(6=$K10,200000,ABS(6-$K10)*100)),100000+ABS(2-$J10)*1000+60)+'計算A'!AG$5*50+IF(AND($E10=1,JT10=0),25,0),IF($F10&gt;0,INDEX('計算A'!AG$110:AG$114,$F10+1)+IF(AND($E10=1,JT10=0),1000,0),MIN(TV10,20)*400+(IF('計算A'!AF$106=1,1-ED10,0)+IF('計算A'!AG$106=1,1-EF10,0))*150+62+'計算A'!AG$5*100000+IF(AND($E10=1,JT10=0),50000,0))+IF($H10=1,(IF('計算A'!AF$117=1,INDEX('計算A'!AF$10:AF$54,$B10),0)+IF('計算A'!AG$117=1,INDEX('計算A'!AH$10:AH$54,$B10),0))*4000,0)-IF(AND('計算A'!AF$117=1,VD10&gt;0),2000,0)-IF(AND($L10=1,'計算A'!AG$117=1,EF10=0),2000,0))),1000000))</f>
        <v/>
      </c>
      <c r="PJ10">
        <f>IF($B10=0,1000000,IF(INDEX('計算A'!$D$60:$EQ$104,$B10,31)*EF10=1,IF(AND($E10=2,JU10=0),1000000,IF($I10&gt;0,IF(2=$J10,IF(OR(AND(31=$I10+1,OR($K10&lt;&gt;'計算A'!$A$3,'計算A'!$A$4=0)),AND(31=$I10-1,OR(7&lt;&gt;'計算A'!$A$3,'計算A'!$A$4=0))),0,IF(7=$K10,200000,ABS(7-$K10)*100)),100000+ABS(2-$J10)*1000+70)+'計算A'!AH$5*50+IF(AND($E10=1,JU10=0),25,0),IF($F10&gt;0,INDEX('計算A'!AH$110:AH$114,$F10+1)+IF(AND($E10=1,JU10=0),1000,0),MIN(TV10,20)*400+(IF('計算A'!AG$106=1,1-EE10,0)+IF('計算A'!AH$106=1,1-EG10,0))*150+72+'計算A'!AH$5*100000+IF(AND($E10=1,JU10=0),50000,0))+IF($H10=1,(IF('計算A'!AG$117=1,INDEX('計算A'!AG$10:AG$54,$B10),0)+IF('計算A'!AH$117=1,INDEX('計算A'!AI$10:AI$54,$B10),0))*4000,0)-IF(AND('計算A'!AG$117=1,VE10&gt;0),2000,0)-IF(AND($L10=1,'計算A'!AH$117=1,EG10=0),2000,0))),1000000))</f>
        <v/>
      </c>
      <c r="PK10">
        <f>IF($B10=0,1000000,IF(INDEX('計算A'!$D$60:$EQ$104,$B10,32)*EG10=1,IF(AND($E10=2,JV10=0),1000000,IF($I10&gt;0,IF(2=$J10,IF(OR(AND(32=$I10+1,OR($K10&lt;&gt;'計算A'!$A$3,'計算A'!$A$4=0)),AND(32=$I10-1,OR(8&lt;&gt;'計算A'!$A$3,'計算A'!$A$4=0))),0,IF(8=$K10,200000,ABS(8-$K10)*100)),100000+ABS(2-$J10)*1000+80)+'計算A'!AI$5*50+IF(AND($E10=1,JV10=0),25,0),IF($F10&gt;0,INDEX('計算A'!AI$110:AI$114,$F10+1)+IF(AND($E10=1,JV10=0),1000,0),MIN(TV10,20)*400+(IF('計算A'!AH$106=1,1-EF10,0)+IF('計算A'!AI$106=1,1-EH10,0))*150+82+'計算A'!AI$5*100000+IF(AND($E10=1,JV10=0),50000,0))+IF($H10=1,(IF('計算A'!AH$117=1,INDEX('計算A'!AH$10:AH$54,$B10),0)+IF('計算A'!AI$117=1,INDEX('計算A'!AJ$10:AJ$54,$B10),0))*4000,0)-IF(AND('計算A'!AH$117=1,VF10&gt;0),2000,0)-IF(AND($L10=1,'計算A'!AI$117=1,EH10=0),2000,0))),1000000))</f>
        <v/>
      </c>
      <c r="PL10">
        <f>IF($B10=0,1000000,IF(INDEX('計算A'!$D$60:$EQ$104,$B10,33)*EH10=1,IF(AND($E10=2,JW10=0),1000000,IF($I10&gt;0,IF(2=$J10,IF(OR(AND(33=$I10+1,OR($K10&lt;&gt;'計算A'!$A$3,'計算A'!$A$4=0)),AND(33=$I10-1,OR(9&lt;&gt;'計算A'!$A$3,'計算A'!$A$4=0))),0,IF(9=$K10,200000,ABS(9-$K10)*100)),100000+ABS(2-$J10)*1000+90)+'計算A'!AJ$5*50+IF(AND($E10=1,JW10=0),25,0),IF($F10&gt;0,INDEX('計算A'!AJ$110:AJ$114,$F10+1)+IF(AND($E10=1,JW10=0),1000,0),MIN(TV10,20)*400+(IF('計算A'!AI$106=1,1-EG10,0)+IF('計算A'!AJ$106=1,1-EI10,0))*150+92+'計算A'!AJ$5*100000+IF(AND($E10=1,JW10=0),50000,0))+IF($H10=1,(IF('計算A'!AI$117=1,INDEX('計算A'!AI$10:AI$54,$B10),0)+IF('計算A'!AJ$117=1,INDEX('計算A'!AK$10:AK$54,$B10),0))*4000,0)-IF(AND('計算A'!AI$117=1,VG10&gt;0),2000,0)-IF(AND($L10=1,'計算A'!AJ$117=1,EI10=0),2000,0))),1000000))</f>
        <v/>
      </c>
      <c r="PM10">
        <f>IF($B10=0,1000000,IF(INDEX('計算A'!$D$60:$EQ$104,$B10,34)*EI10=1,IF(AND($E10=2,JX10=0),1000000,IF($I10&gt;0,IF(2=$J10,IF(OR(AND(34=$I10+1,OR($K10&lt;&gt;'計算A'!$A$3,'計算A'!$A$4=0)),AND(34=$I10-1,OR(10&lt;&gt;'計算A'!$A$3,'計算A'!$A$4=0))),0,IF(10=$K10,200000,ABS(10-$K10)*100)),100000+ABS(2-$J10)*1000+100)+'計算A'!AK$5*50+IF(AND($E10=1,JX10=0),25,0),IF($F10&gt;0,INDEX('計算A'!AK$110:AK$114,$F10+1)+IF(AND($E10=1,JX10=0),1000,0),MIN(TV10,20)*400+(IF('計算A'!AJ$106=1,1-EH10,0)+IF('計算A'!AK$106=1,1-EJ10,0))*150+102+'計算A'!AK$5*100000+IF(AND($E10=1,JX10=0),50000,0))+IF($H10=1,(IF('計算A'!AJ$117=1,INDEX('計算A'!AJ$10:AJ$54,$B10),0)+IF('計算A'!AK$117=1,INDEX('計算A'!AL$10:AL$54,$B10),0))*4000,0)-IF(AND('計算A'!AJ$117=1,VH10&gt;0),2000,0)-IF(AND($L10=1,'計算A'!AK$117=1,EJ10=0),2000,0))),1000000))</f>
        <v/>
      </c>
      <c r="PN10">
        <f>IF($B10=0,1000000,IF(INDEX('計算A'!$D$60:$EQ$104,$B10,35)*EJ10=1,IF(AND($E10=2,JY10=0),1000000,IF($I10&gt;0,IF(2=$J10,IF(OR(AND(35=$I10+1,OR($K10&lt;&gt;'計算A'!$A$3,'計算A'!$A$4=0)),AND(35=$I10-1,OR(11&lt;&gt;'計算A'!$A$3,'計算A'!$A$4=0))),0,IF(11=$K10,200000,ABS(11-$K10)*100)),100000+ABS(2-$J10)*1000+110)+'計算A'!AL$5*50+IF(AND($E10=1,JY10=0),25,0),IF($F10&gt;0,INDEX('計算A'!AL$110:AL$114,$F10+1)+IF(AND($E10=1,JY10=0),1000,0),MIN(TV10,20)*400+(IF('計算A'!AK$106=1,1-EI10,0)+IF('計算A'!AL$106=1,1-EK10,0))*150+112+'計算A'!AL$5*100000+IF(AND($E10=1,JY10=0),50000,0))+IF($H10=1,(IF('計算A'!AK$117=1,INDEX('計算A'!AK$10:AK$54,$B10),0)+IF('計算A'!AL$117=1,INDEX('計算A'!AM$10:AM$54,$B10),0))*4000,0)-IF(AND('計算A'!AK$117=1,VI10&gt;0),2000,0)-IF(AND($L10=1,'計算A'!AL$117=1,EK10=0),2000,0))),1000000))</f>
        <v/>
      </c>
      <c r="PO10">
        <f>IF($B10=0,1000000,IF(INDEX('計算A'!$D$60:$EQ$104,$B10,36)*EK10=1,IF(AND($E10=2,JZ10=0),1000000,IF($I10&gt;0,IF(2=$J10,IF(OR(AND(36=$I10+1,OR($K10&lt;&gt;'計算A'!$A$3,'計算A'!$A$4=0)),AND(36=$I10-1,OR(12&lt;&gt;'計算A'!$A$3,'計算A'!$A$4=0))),0,IF(12=$K10,200000,ABS(12-$K10)*100)),100000+ABS(2-$J10)*1000+120)+'計算A'!AM$5*50+IF(AND($E10=1,JZ10=0),25,0),IF($F10&gt;0,INDEX('計算A'!AM$110:AM$114,$F10+1)+IF(AND($E10=1,JZ10=0),1000,0),MIN(TV10,20)*400+(IF('計算A'!AL$106=1,1-EJ10,0)+IF('計算A'!AM$106=1,1-EL10,0))*150+122+'計算A'!AM$5*100000+IF(AND($E10=1,JZ10=0),50000,0))+IF($H10=1,(IF('計算A'!AL$117=1,INDEX('計算A'!AL$10:AL$54,$B10),0)+IF('計算A'!AM$117=1,INDEX('計算A'!AN$10:AN$54,$B10),0))*4000,0)-IF(AND('計算A'!AL$117=1,VJ10&gt;0),2000,0)-IF(AND($L10=1,'計算A'!AM$117=1,EL10=0),2000,0))),1000000))</f>
        <v/>
      </c>
      <c r="PP10">
        <f>IF($B10=0,1000000,IF(INDEX('計算A'!$D$60:$EQ$104,$B10,37)*EL10=1,IF(AND($E10=2,KA10=0),1000000,IF($I10&gt;0,IF(2=$J10,IF(OR(AND(37=$I10+1,OR($K10&lt;&gt;'計算A'!$A$3,'計算A'!$A$4=0)),AND(37=$I10-1,OR(13&lt;&gt;'計算A'!$A$3,'計算A'!$A$4=0))),0,IF(13=$K10,200000,ABS(13-$K10)*100)),100000+ABS(2-$J10)*1000+130)+'計算A'!AN$5*50+IF(AND($E10=1,KA10=0),25,0),IF($F10&gt;0,INDEX('計算A'!AN$110:AN$114,$F10+1)+IF(AND($E10=1,KA10=0),1000,0),MIN(TV10,20)*400+(IF('計算A'!AM$106=1,1-EK10,0)+IF('計算A'!AN$106=1,1-EM10,0))*150+132+'計算A'!AN$5*100000+IF(AND($E10=1,KA10=0),50000,0))+IF($H10=1,(IF('計算A'!AM$117=1,INDEX('計算A'!AM$10:AM$54,$B10),0)+IF('計算A'!AN$117=1,INDEX('計算A'!AO$10:AO$54,$B10),0))*4000,0)-IF(AND('計算A'!AM$117=1,VK10&gt;0),2000,0)-IF(AND($L10=1,'計算A'!AN$117=1,EM10=0),2000,0))),1000000))</f>
        <v/>
      </c>
      <c r="PQ10">
        <f>IF($B10=0,1000000,IF(INDEX('計算A'!$D$60:$EQ$104,$B10,38)*EM10=1,IF(AND($E10=2,KB10=0),1000000,IF($I10&gt;0,IF(2=$J10,IF(OR(AND(38=$I10+1,OR($K10&lt;&gt;'計算A'!$A$3,'計算A'!$A$4=0)),AND(38=$I10-1,OR(14&lt;&gt;'計算A'!$A$3,'計算A'!$A$4=0))),0,IF(14=$K10,200000,ABS(14-$K10)*100)),100000+ABS(2-$J10)*1000+140)+'計算A'!AO$5*50+IF(AND($E10=1,KB10=0),25,0),IF($F10&gt;0,INDEX('計算A'!AO$110:AO$114,$F10+1)+IF(AND($E10=1,KB10=0),1000,0),MIN(TV10,20)*400+(IF('計算A'!AN$106=1,1-EL10,0)+IF('計算A'!AO$106=1,1-EN10,0))*150+142+'計算A'!AO$5*100000+IF(AND($E10=1,KB10=0),50000,0))+IF($H10=1,(IF('計算A'!AN$117=1,INDEX('計算A'!AN$10:AN$54,$B10),0)+IF('計算A'!AO$117=1,INDEX('計算A'!AP$10:AP$54,$B10),0))*4000,0)-IF(AND('計算A'!AN$117=1,VL10&gt;0),2000,0)-IF(AND($L10=1,'計算A'!AO$117=1,EN10=0),2000,0))),1000000))</f>
        <v/>
      </c>
      <c r="PR10">
        <f>IF($B10=0,1000000,IF(INDEX('計算A'!$D$60:$EQ$104,$B10,39)*EN10=1,IF(AND($E10=2,KC10=0),1000000,IF($I10&gt;0,IF(2=$J10,IF(OR(AND(39=$I10+1,OR($K10&lt;&gt;'計算A'!$A$3,'計算A'!$A$4=0)),AND(39=$I10-1,OR(15&lt;&gt;'計算A'!$A$3,'計算A'!$A$4=0))),0,IF(15=$K10,200000,ABS(15-$K10)*100)),100000+ABS(2-$J10)*1000+150)+'計算A'!AP$5*50+IF(AND($E10=1,KC10=0),25,0),IF($F10&gt;0,INDEX('計算A'!AP$110:AP$114,$F10+1)+IF(AND($E10=1,KC10=0),1000,0),MIN(TV10,20)*400+(IF('計算A'!AO$106=1,1-EM10,0)+IF('計算A'!AP$106=1,1-EO10,0))*150+152+'計算A'!AP$5*100000+IF(AND($E10=1,KC10=0),50000,0))+IF($H10=1,(IF('計算A'!AO$117=1,INDEX('計算A'!AO$10:AO$54,$B10),0)+IF('計算A'!AP$117=1,INDEX('計算A'!AQ$10:AQ$54,$B10),0))*4000,0)-IF(AND('計算A'!AO$117=1,VM10&gt;0),2000,0)-IF(AND($L10=1,'計算A'!AP$117=1,EO10=0),2000,0))),1000000))</f>
        <v/>
      </c>
      <c r="PS10">
        <f>IF($B10=0,1000000,IF(INDEX('計算A'!$D$60:$EQ$104,$B10,40)*EO10=1,IF(AND($E10=2,KD10=0),1000000,IF($I10&gt;0,IF(2=$J10,IF(OR(AND(40=$I10+1,OR($K10&lt;&gt;'計算A'!$A$3,'計算A'!$A$4=0)),AND(40=$I10-1,OR(16&lt;&gt;'計算A'!$A$3,'計算A'!$A$4=0))),0,IF(16=$K10,200000,ABS(16-$K10)*100)),100000+ABS(2-$J10)*1000+160)+'計算A'!AQ$5*50+IF(AND($E10=1,KD10=0),25,0),IF($F10&gt;0,INDEX('計算A'!AQ$110:AQ$114,$F10+1)+IF(AND($E10=1,KD10=0),1000,0),MIN(TV10,20)*400+(IF('計算A'!AP$106=1,1-EN10,0)+IF('計算A'!AQ$106=1,1-EP10,0))*150+162+'計算A'!AQ$5*100000+IF(AND($E10=1,KD10=0),50000,0))+IF($H10=1,(IF('計算A'!AP$117=1,INDEX('計算A'!AP$10:AP$54,$B10),0)+IF('計算A'!AQ$117=1,INDEX('計算A'!AR$10:AR$54,$B10),0))*4000,0)-IF(AND('計算A'!AP$117=1,VN10&gt;0),2000,0)-IF(AND($L10=1,'計算A'!AQ$117=1,EP10=0),2000,0))),1000000))</f>
        <v/>
      </c>
      <c r="PT10">
        <f>IF($B10=0,1000000,IF(INDEX('計算A'!$D$60:$EQ$104,$B10,41)*EP10=1,IF(AND($E10=2,KE10=0),1000000,IF($I10&gt;0,IF(2=$J10,IF(OR(AND(41=$I10+1,OR($K10&lt;&gt;'計算A'!$A$3,'計算A'!$A$4=0)),AND(41=$I10-1,OR(17&lt;&gt;'計算A'!$A$3,'計算A'!$A$4=0))),0,IF(17=$K10,200000,ABS(17-$K10)*100)),100000+ABS(2-$J10)*1000+170)+'計算A'!AR$5*50+IF(AND($E10=1,KE10=0),25,0),IF($F10&gt;0,INDEX('計算A'!AR$110:AR$114,$F10+1)+IF(AND($E10=1,KE10=0),1000,0),MIN(TV10,20)*400+(IF('計算A'!AQ$106=1,1-EO10,0)+IF('計算A'!AR$106=1,1-EQ10,0))*150+172+'計算A'!AR$5*100000+IF(AND($E10=1,KE10=0),50000,0))+IF($H10=1,(IF('計算A'!AQ$117=1,INDEX('計算A'!AQ$10:AQ$54,$B10),0)+IF('計算A'!AR$117=1,INDEX('計算A'!AS$10:AS$54,$B10),0))*4000,0)-IF(AND('計算A'!AQ$117=1,VO10&gt;0),2000,0)-IF(AND($L10=1,'計算A'!AR$117=1,EQ10=0),2000,0))),1000000))</f>
        <v/>
      </c>
      <c r="PU10">
        <f>IF($B10=0,1000000,IF(INDEX('計算A'!$D$60:$EQ$104,$B10,42)*EQ10=1,IF(AND($E10=2,KF10=0),1000000,IF($I10&gt;0,IF(2=$J10,IF(OR(AND(42=$I10+1,OR($K10&lt;&gt;'計算A'!$A$3,'計算A'!$A$4=0)),AND(42=$I10-1,OR(18&lt;&gt;'計算A'!$A$3,'計算A'!$A$4=0))),0,IF(18=$K10,200000,ABS(18-$K10)*100)),100000+ABS(2-$J10)*1000+180)+'計算A'!AS$5*50+IF(AND($E10=1,KF10=0),25,0),IF($F10&gt;0,INDEX('計算A'!AS$110:AS$114,$F10+1)+IF(AND($E10=1,KF10=0),1000,0),MIN(TV10,20)*400+(IF('計算A'!AR$106=1,1-EP10,0)+IF('計算A'!AS$106=1,1-ER10,0))*150+182+'計算A'!AS$5*100000+IF(AND($E10=1,KF10=0),50000,0))+IF($H10=1,(IF('計算A'!AR$117=1,INDEX('計算A'!AR$10:AR$54,$B10),0)+IF('計算A'!AS$117=1,INDEX('計算A'!AT$10:AT$54,$B10),0))*4000,0)-IF(AND('計算A'!AR$117=1,VP10&gt;0),2000,0)-IF(AND($L10=1,'計算A'!AS$117=1,ER10=0),2000,0))),1000000))</f>
        <v/>
      </c>
      <c r="PV10">
        <f>IF($B10=0,1000000,IF(INDEX('計算A'!$D$60:$EQ$104,$B10,43)*ER10=1,IF(AND($E10=2,KG10=0),1000000,IF($I10&gt;0,IF(2=$J10,IF(OR(AND(43=$I10+1,OR($K10&lt;&gt;'計算A'!$A$3,'計算A'!$A$4=0)),AND(43=$I10-1,OR(19&lt;&gt;'計算A'!$A$3,'計算A'!$A$4=0))),0,IF(19=$K10,200000,ABS(19-$K10)*100)),100000+ABS(2-$J10)*1000+190)+'計算A'!AT$5*50+IF(AND($E10=1,KG10=0),25,0),IF($F10&gt;0,INDEX('計算A'!AT$110:AT$114,$F10+1)+IF(AND($E10=1,KG10=0),1000,0),MIN(TV10,20)*400+(IF('計算A'!AS$106=1,1-EQ10,0)+IF('計算A'!AT$106=1,1-ES10,0))*150+192+'計算A'!AT$5*100000+IF(AND($E10=1,KG10=0),50000,0))+IF($H10=1,(IF('計算A'!AS$117=1,INDEX('計算A'!AS$10:AS$54,$B10),0)+IF('計算A'!AT$117=1,INDEX('計算A'!AU$10:AU$54,$B10),0))*4000,0)-IF(AND('計算A'!AS$117=1,VQ10&gt;0),2000,0)-IF(AND($L10=1,'計算A'!AT$117=1,ES10=0),2000,0))),1000000))</f>
        <v/>
      </c>
      <c r="PW10">
        <f>IF($B10=0,1000000,IF(INDEX('計算A'!$D$60:$EQ$104,$B10,44)*ES10=1,IF(AND($E10=2,KH10=0),1000000,IF($I10&gt;0,IF(2=$J10,IF(OR(AND(44=$I10+1,OR($K10&lt;&gt;'計算A'!$A$3,'計算A'!$A$4=0)),AND(44=$I10-1,OR(20&lt;&gt;'計算A'!$A$3,'計算A'!$A$4=0))),0,IF(20=$K10,200000,ABS(20-$K10)*100)),100000+ABS(2-$J10)*1000+200)+'計算A'!AU$5*50+IF(AND($E10=1,KH10=0),25,0),IF($F10&gt;0,INDEX('計算A'!AU$110:AU$114,$F10+1)+IF(AND($E10=1,KH10=0),1000,0),MIN(TV10,20)*400+(IF('計算A'!AT$106=1,1-ER10,0)+IF('計算A'!AU$106=1,1-ET10,0))*150+202+'計算A'!AU$5*100000+IF(AND($E10=1,KH10=0),50000,0))+IF($H10=1,(IF('計算A'!AT$117=1,INDEX('計算A'!AT$10:AT$54,$B10),0)+IF('計算A'!AU$117=1,INDEX('計算A'!AV$10:AV$54,$B10),0))*4000,0)-IF(AND('計算A'!AT$117=1,VR10&gt;0),2000,0)-IF(AND($L10=1,'計算A'!AU$117=1,ET10=0),2000,0))),1000000))</f>
        <v/>
      </c>
      <c r="PX10">
        <f>IF($B10=0,1000000,IF(INDEX('計算A'!$D$60:$EQ$104,$B10,45)*ET10=1,IF(AND($E10=2,KI10=0),1000000,IF($I10&gt;0,IF(2=$J10,IF(OR(AND(45=$I10+1,OR($K10&lt;&gt;'計算A'!$A$3,'計算A'!$A$4=0)),AND(45=$I10-1,OR(21&lt;&gt;'計算A'!$A$3,'計算A'!$A$4=0))),0,IF(21=$K10,200000,ABS(21-$K10)*100)),100000+ABS(2-$J10)*1000+210)+'計算A'!AV$5*50+IF(AND($E10=1,KI10=0),25,0),IF($F10&gt;0,INDEX('計算A'!AV$110:AV$114,$F10+1)+IF(AND($E10=1,KI10=0),1000,0),MIN(TV10,20)*400+(IF('計算A'!AU$106=1,1-ES10,0)+IF('計算A'!AV$106=1,1-EU10,0))*150+212+'計算A'!AV$5*100000+IF(AND($E10=1,KI10=0),50000,0))+IF($H10=1,(IF('計算A'!AU$117=1,INDEX('計算A'!AU$10:AU$54,$B10),0)+IF('計算A'!AV$117=1,INDEX('計算A'!AW$10:AW$54,$B10),0))*4000,0)-IF(AND('計算A'!AU$117=1,VS10&gt;0),2000,0)-IF(AND($L10=1,'計算A'!AV$117=1,EU10=0),2000,0))),1000000))</f>
        <v/>
      </c>
      <c r="PY10">
        <f>IF($B10=0,1000000,IF(INDEX('計算A'!$D$60:$EQ$104,$B10,46)*EU10=1,IF(AND($E10=2,KJ10=0),1000000,IF($I10&gt;0,IF(2=$J10,IF(OR(AND(46=$I10+1,OR($K10&lt;&gt;'計算A'!$A$3,'計算A'!$A$4=0)),AND(46=$I10-1,OR(22&lt;&gt;'計算A'!$A$3,'計算A'!$A$4=0))),0,IF(22=$K10,200000,ABS(22-$K10)*100)),100000+ABS(2-$J10)*1000+220)+'計算A'!AW$5*50+IF(AND($E10=1,KJ10=0),25,0),IF($F10&gt;0,INDEX('計算A'!AW$110:AW$114,$F10+1)+IF(AND($E10=1,KJ10=0),1000,0),MIN(TV10,20)*400+(IF('計算A'!AV$106=1,1-ET10,0)+IF('計算A'!AW$106=1,1-EV10,0))*150+222+'計算A'!AW$5*100000+IF(AND($E10=1,KJ10=0),50000,0))+IF($H10=1,(IF('計算A'!AV$117=1,INDEX('計算A'!AV$10:AV$54,$B10),0)+IF('計算A'!AW$117=1,INDEX('計算A'!AX$10:AX$54,$B10),0))*4000,0)-IF(AND('計算A'!AV$117=1,VT10&gt;0),2000,0)-IF(AND($L10=1,'計算A'!AW$117=1,EV10=0),2000,0))),1000000))</f>
        <v/>
      </c>
      <c r="PZ10">
        <f>IF($B10=0,1000000,IF(INDEX('計算A'!$D$60:$EQ$104,$B10,47)*EV10=1,IF(AND($E10=2,KK10=0),1000000,IF($I10&gt;0,IF(2=$J10,IF(OR(AND(47=$I10+1,OR($K10&lt;&gt;'計算A'!$A$3,'計算A'!$A$4=0)),AND(47=$I10-1,OR(23&lt;&gt;'計算A'!$A$3,'計算A'!$A$4=0))),0,IF(23=$K10,200000,ABS(23-$K10)*100)),100000+ABS(2-$J10)*1000+230)+'計算A'!AX$5*50+IF(AND($E10=1,KK10=0),25,0),IF($F10&gt;0,INDEX('計算A'!AX$110:AX$114,$F10+1)+IF(AND($E10=1,KK10=0),1000,0),MIN(TV10,20)*400+(IF('計算A'!AW$106=1,1-EU10,0)+IF('計算A'!AX$106=1,1-EW10,0))*150+232+'計算A'!AX$5*100000+IF(AND($E10=1,KK10=0),50000,0))+IF($H10=1,(IF('計算A'!AW$117=1,INDEX('計算A'!AW$10:AW$54,$B10),0)+IF('計算A'!AX$117=1,INDEX('計算A'!AY$10:AY$54,$B10),0))*4000,0)-IF(AND('計算A'!AW$117=1,VU10&gt;0),2000,0)-IF(AND($L10=1,'計算A'!AX$117=1,EW10=0),2000,0))),1000000))</f>
        <v/>
      </c>
      <c r="QA10">
        <f>IF($B10=0,1000000,IF(INDEX('計算A'!$D$60:$EQ$104,$B10,48)*EW10=1,IF(AND($E10=2,KL10=0),1000000,IF($I10&gt;0,IF(2=$J10,IF(OR(AND(48=$I10+1,OR($K10&lt;&gt;'計算A'!$A$3,'計算A'!$A$4=0)),AND(48=$I10-1,OR(24&lt;&gt;'計算A'!$A$3,'計算A'!$A$4=0))),0,IF(24=$K10,200000,ABS(24-$K10)*100)),100000+ABS(2-$J10)*1000+240)+'計算A'!AY$5*50+IF(AND($E10=1,KL10=0),25,0),IF($F10&gt;0,INDEX('計算A'!AY$110:AY$114,$F10+1)+IF(AND($E10=1,KL10=0),1000,0),MIN(TV10,20)*400+(IF('計算A'!AX$106=1,1-EV10,0))*150+242+'計算A'!AY$5*100000+IF(AND($E10=1,KL10=0),50000,0))+IF($H10=1,(IF('計算A'!AX$117=1,INDEX('計算A'!AX$10:AX$54,$B10),0))*4000,0)-IF(AND('計算A'!AX$117=1,VV10&gt;0),2000,0))),1000000))</f>
        <v/>
      </c>
      <c r="QB10">
        <f>IF($B10=0,1000000,IF(INDEX('計算A'!$D$60:$EQ$104,$B10,49)*EX10=1,IF(AND($E10=2,KM10=0),1000000,IF($I10&gt;0,IF(3=$J10,IF(OR(AND(49=$I10+1,OR($K10&lt;&gt;'計算A'!$A$3,'計算A'!$A$4=0)),AND(49=$I10-1,OR(1&lt;&gt;'計算A'!$A$3,'計算A'!$A$4=0))),0,IF(1=$K10,200000,ABS(1-$K10)*100)),100000+ABS(3-$J10)*1000+10)+'計算A'!AZ$5*50+IF(AND($E10=1,KM10=0),25,0),IF($F10&gt;0,INDEX('計算A'!AZ$110:AZ$114,$F10+1)+IF(AND($E10=1,KM10=0),1000,0),MIN(TW10,20)*400+(IF('計算A'!AZ$106=1,1-EY10,0))*150+13+'計算A'!AZ$5*100000+IF(AND($E10=1,KM10=0),50000,0))+IF($H10=1,(IF('計算A'!AZ$117=1,INDEX('計算A'!BA$10:BA$54,$B10),0))*4000,0)-IF(AND($L10=1,'計算A'!AZ$117=1,EY10=0),2000,0))),1000000))</f>
        <v/>
      </c>
      <c r="QC10">
        <f>IF($B10=0,1000000,IF(INDEX('計算A'!$D$60:$EQ$104,$B10,50)*EY10=1,IF(AND($E10=2,KN10=0),1000000,IF($I10&gt;0,IF(3=$J10,IF(OR(AND(50=$I10+1,OR($K10&lt;&gt;'計算A'!$A$3,'計算A'!$A$4=0)),AND(50=$I10-1,OR(2&lt;&gt;'計算A'!$A$3,'計算A'!$A$4=0))),0,IF(2=$K10,200000,ABS(2-$K10)*100)),100000+ABS(3-$J10)*1000+20)+'計算A'!BA$5*50+IF(AND($E10=1,KN10=0),25,0),IF($F10&gt;0,INDEX('計算A'!BA$110:BA$114,$F10+1)+IF(AND($E10=1,KN10=0),1000,0),MIN(TW10,20)*400+(IF('計算A'!AZ$106=1,1-EX10,0)+IF('計算A'!BA$106=1,1-EZ10,0))*150+23+'計算A'!BA$5*100000+IF(AND($E10=1,KN10=0),50000,0))+IF($H10=1,(IF('計算A'!AZ$117=1,INDEX('計算A'!AZ$10:AZ$54,$B10),0)+IF('計算A'!BA$117=1,INDEX('計算A'!BB$10:BB$54,$B10),0))*4000,0)-IF(AND('計算A'!AZ$117=1,VX10&gt;0),2000,0)-IF(AND($L10=1,'計算A'!BA$117=1,EZ10=0),2000,0))),1000000))</f>
        <v/>
      </c>
      <c r="QD10">
        <f>IF($B10=0,1000000,IF(INDEX('計算A'!$D$60:$EQ$104,$B10,51)*EZ10=1,IF(AND($E10=2,KO10=0),1000000,IF($I10&gt;0,IF(3=$J10,IF(OR(AND(51=$I10+1,OR($K10&lt;&gt;'計算A'!$A$3,'計算A'!$A$4=0)),AND(51=$I10-1,OR(3&lt;&gt;'計算A'!$A$3,'計算A'!$A$4=0))),0,IF(3=$K10,200000,ABS(3-$K10)*100)),100000+ABS(3-$J10)*1000+30)+'計算A'!BB$5*50+IF(AND($E10=1,KO10=0),25,0),IF($F10&gt;0,INDEX('計算A'!BB$110:BB$114,$F10+1)+IF(AND($E10=1,KO10=0),1000,0),MIN(TW10,20)*400+(IF('計算A'!BA$106=1,1-EY10,0)+IF('計算A'!BB$106=1,1-FA10,0))*150+33+'計算A'!BB$5*100000+IF(AND($E10=1,KO10=0),50000,0))+IF($H10=1,(IF('計算A'!BA$117=1,INDEX('計算A'!BA$10:BA$54,$B10),0)+IF('計算A'!BB$117=1,INDEX('計算A'!BC$10:BC$54,$B10),0))*4000,0)-IF(AND('計算A'!BA$117=1,VY10&gt;0),2000,0)-IF(AND($L10=1,'計算A'!BB$117=1,FA10=0),2000,0))),1000000))</f>
        <v/>
      </c>
      <c r="QE10">
        <f>IF($B10=0,1000000,IF(INDEX('計算A'!$D$60:$EQ$104,$B10,52)*FA10=1,IF(AND($E10=2,KP10=0),1000000,IF($I10&gt;0,IF(3=$J10,IF(OR(AND(52=$I10+1,OR($K10&lt;&gt;'計算A'!$A$3,'計算A'!$A$4=0)),AND(52=$I10-1,OR(4&lt;&gt;'計算A'!$A$3,'計算A'!$A$4=0))),0,IF(4=$K10,200000,ABS(4-$K10)*100)),100000+ABS(3-$J10)*1000+40)+'計算A'!BC$5*50+IF(AND($E10=1,KP10=0),25,0),IF($F10&gt;0,INDEX('計算A'!BC$110:BC$114,$F10+1)+IF(AND($E10=1,KP10=0),1000,0),MIN(TW10,20)*400+(IF('計算A'!BB$106=1,1-EZ10,0)+IF('計算A'!BC$106=1,1-FB10,0))*150+43+'計算A'!BC$5*100000+IF(AND($E10=1,KP10=0),50000,0))+IF($H10=1,(IF('計算A'!BB$117=1,INDEX('計算A'!BB$10:BB$54,$B10),0)+IF('計算A'!BC$117=1,INDEX('計算A'!BD$10:BD$54,$B10),0))*4000,0)-IF(AND('計算A'!BB$117=1,VZ10&gt;0),2000,0)-IF(AND($L10=1,'計算A'!BC$117=1,FB10=0),2000,0))),1000000))</f>
        <v/>
      </c>
      <c r="QF10">
        <f>IF($B10=0,1000000,IF(INDEX('計算A'!$D$60:$EQ$104,$B10,53)*FB10=1,IF(AND($E10=2,KQ10=0),1000000,IF($I10&gt;0,IF(3=$J10,IF(OR(AND(53=$I10+1,OR($K10&lt;&gt;'計算A'!$A$3,'計算A'!$A$4=0)),AND(53=$I10-1,OR(5&lt;&gt;'計算A'!$A$3,'計算A'!$A$4=0))),0,IF(5=$K10,200000,ABS(5-$K10)*100)),100000+ABS(3-$J10)*1000+50)+'計算A'!BD$5*50+IF(AND($E10=1,KQ10=0),25,0),IF($F10&gt;0,INDEX('計算A'!BD$110:BD$114,$F10+1)+IF(AND($E10=1,KQ10=0),1000,0),MIN(TW10,20)*400+(IF('計算A'!BC$106=1,1-FA10,0)+IF('計算A'!BD$106=1,1-FC10,0))*150+53+'計算A'!BD$5*100000+IF(AND($E10=1,KQ10=0),50000,0))+IF($H10=1,(IF('計算A'!BC$117=1,INDEX('計算A'!BC$10:BC$54,$B10),0)+IF('計算A'!BD$117=1,INDEX('計算A'!BE$10:BE$54,$B10),0))*4000,0)-IF(AND('計算A'!BC$117=1,WA10&gt;0),2000,0)-IF(AND($L10=1,'計算A'!BD$117=1,FC10=0),2000,0))),1000000))</f>
        <v/>
      </c>
      <c r="QG10">
        <f>IF($B10=0,1000000,IF(INDEX('計算A'!$D$60:$EQ$104,$B10,54)*FC10=1,IF(AND($E10=2,KR10=0),1000000,IF($I10&gt;0,IF(3=$J10,IF(OR(AND(54=$I10+1,OR($K10&lt;&gt;'計算A'!$A$3,'計算A'!$A$4=0)),AND(54=$I10-1,OR(6&lt;&gt;'計算A'!$A$3,'計算A'!$A$4=0))),0,IF(6=$K10,200000,ABS(6-$K10)*100)),100000+ABS(3-$J10)*1000+60)+'計算A'!BE$5*50+IF(AND($E10=1,KR10=0),25,0),IF($F10&gt;0,INDEX('計算A'!BE$110:BE$114,$F10+1)+IF(AND($E10=1,KR10=0),1000,0),MIN(TW10,20)*400+(IF('計算A'!BD$106=1,1-FB10,0)+IF('計算A'!BE$106=1,1-FD10,0))*150+63+'計算A'!BE$5*100000+IF(AND($E10=1,KR10=0),50000,0))+IF($H10=1,(IF('計算A'!BD$117=1,INDEX('計算A'!BD$10:BD$54,$B10),0)+IF('計算A'!BE$117=1,INDEX('計算A'!BF$10:BF$54,$B10),0))*4000,0)-IF(AND('計算A'!BD$117=1,WB10&gt;0),2000,0)-IF(AND($L10=1,'計算A'!BE$117=1,FD10=0),2000,0))),1000000))</f>
        <v/>
      </c>
      <c r="QH10">
        <f>IF($B10=0,1000000,IF(INDEX('計算A'!$D$60:$EQ$104,$B10,55)*FD10=1,IF(AND($E10=2,KS10=0),1000000,IF($I10&gt;0,IF(3=$J10,IF(OR(AND(55=$I10+1,OR($K10&lt;&gt;'計算A'!$A$3,'計算A'!$A$4=0)),AND(55=$I10-1,OR(7&lt;&gt;'計算A'!$A$3,'計算A'!$A$4=0))),0,IF(7=$K10,200000,ABS(7-$K10)*100)),100000+ABS(3-$J10)*1000+70)+'計算A'!BF$5*50+IF(AND($E10=1,KS10=0),25,0),IF($F10&gt;0,INDEX('計算A'!BF$110:BF$114,$F10+1)+IF(AND($E10=1,KS10=0),1000,0),MIN(TW10,20)*400+(IF('計算A'!BE$106=1,1-FC10,0)+IF('計算A'!BF$106=1,1-FE10,0))*150+73+'計算A'!BF$5*100000+IF(AND($E10=1,KS10=0),50000,0))+IF($H10=1,(IF('計算A'!BE$117=1,INDEX('計算A'!BE$10:BE$54,$B10),0)+IF('計算A'!BF$117=1,INDEX('計算A'!BG$10:BG$54,$B10),0))*4000,0)-IF(AND('計算A'!BE$117=1,WC10&gt;0),2000,0)-IF(AND($L10=1,'計算A'!BF$117=1,FE10=0),2000,0))),1000000))</f>
        <v/>
      </c>
      <c r="QI10">
        <f>IF($B10=0,1000000,IF(INDEX('計算A'!$D$60:$EQ$104,$B10,56)*FE10=1,IF(AND($E10=2,KT10=0),1000000,IF($I10&gt;0,IF(3=$J10,IF(OR(AND(56=$I10+1,OR($K10&lt;&gt;'計算A'!$A$3,'計算A'!$A$4=0)),AND(56=$I10-1,OR(8&lt;&gt;'計算A'!$A$3,'計算A'!$A$4=0))),0,IF(8=$K10,200000,ABS(8-$K10)*100)),100000+ABS(3-$J10)*1000+80)+'計算A'!BG$5*50+IF(AND($E10=1,KT10=0),25,0),IF($F10&gt;0,INDEX('計算A'!BG$110:BG$114,$F10+1)+IF(AND($E10=1,KT10=0),1000,0),MIN(TW10,20)*400+(IF('計算A'!BF$106=1,1-FD10,0)+IF('計算A'!BG$106=1,1-FF10,0))*150+83+'計算A'!BG$5*100000+IF(AND($E10=1,KT10=0),50000,0))+IF($H10=1,(IF('計算A'!BF$117=1,INDEX('計算A'!BF$10:BF$54,$B10),0)+IF('計算A'!BG$117=1,INDEX('計算A'!BH$10:BH$54,$B10),0))*4000,0)-IF(AND('計算A'!BF$117=1,WD10&gt;0),2000,0)-IF(AND($L10=1,'計算A'!BG$117=1,FF10=0),2000,0))),1000000))</f>
        <v/>
      </c>
      <c r="QJ10">
        <f>IF($B10=0,1000000,IF(INDEX('計算A'!$D$60:$EQ$104,$B10,57)*FF10=1,IF(AND($E10=2,KU10=0),1000000,IF($I10&gt;0,IF(3=$J10,IF(OR(AND(57=$I10+1,OR($K10&lt;&gt;'計算A'!$A$3,'計算A'!$A$4=0)),AND(57=$I10-1,OR(9&lt;&gt;'計算A'!$A$3,'計算A'!$A$4=0))),0,IF(9=$K10,200000,ABS(9-$K10)*100)),100000+ABS(3-$J10)*1000+90)+'計算A'!BH$5*50+IF(AND($E10=1,KU10=0),25,0),IF($F10&gt;0,INDEX('計算A'!BH$110:BH$114,$F10+1)+IF(AND($E10=1,KU10=0),1000,0),MIN(TW10,20)*400+(IF('計算A'!BG$106=1,1-FE10,0)+IF('計算A'!BH$106=1,1-FG10,0))*150+93+'計算A'!BH$5*100000+IF(AND($E10=1,KU10=0),50000,0))+IF($H10=1,(IF('計算A'!BG$117=1,INDEX('計算A'!BG$10:BG$54,$B10),0)+IF('計算A'!BH$117=1,INDEX('計算A'!BI$10:BI$54,$B10),0))*4000,0)-IF(AND('計算A'!BG$117=1,WE10&gt;0),2000,0)-IF(AND($L10=1,'計算A'!BH$117=1,FG10=0),2000,0))),1000000))</f>
        <v/>
      </c>
      <c r="QK10">
        <f>IF($B10=0,1000000,IF(INDEX('計算A'!$D$60:$EQ$104,$B10,58)*FG10=1,IF(AND($E10=2,KV10=0),1000000,IF($I10&gt;0,IF(3=$J10,IF(OR(AND(58=$I10+1,OR($K10&lt;&gt;'計算A'!$A$3,'計算A'!$A$4=0)),AND(58=$I10-1,OR(10&lt;&gt;'計算A'!$A$3,'計算A'!$A$4=0))),0,IF(10=$K10,200000,ABS(10-$K10)*100)),100000+ABS(3-$J10)*1000+100)+'計算A'!BI$5*50+IF(AND($E10=1,KV10=0),25,0),IF($F10&gt;0,INDEX('計算A'!BI$110:BI$114,$F10+1)+IF(AND($E10=1,KV10=0),1000,0),MIN(TW10,20)*400+(IF('計算A'!BH$106=1,1-FF10,0)+IF('計算A'!BI$106=1,1-FH10,0))*150+103+'計算A'!BI$5*100000+IF(AND($E10=1,KV10=0),50000,0))+IF($H10=1,(IF('計算A'!BH$117=1,INDEX('計算A'!BH$10:BH$54,$B10),0)+IF('計算A'!BI$117=1,INDEX('計算A'!BJ$10:BJ$54,$B10),0))*4000,0)-IF(AND('計算A'!BH$117=1,WF10&gt;0),2000,0)-IF(AND($L10=1,'計算A'!BI$117=1,FH10=0),2000,0))),1000000))</f>
        <v/>
      </c>
      <c r="QL10">
        <f>IF($B10=0,1000000,IF(INDEX('計算A'!$D$60:$EQ$104,$B10,59)*FH10=1,IF(AND($E10=2,KW10=0),1000000,IF($I10&gt;0,IF(3=$J10,IF(OR(AND(59=$I10+1,OR($K10&lt;&gt;'計算A'!$A$3,'計算A'!$A$4=0)),AND(59=$I10-1,OR(11&lt;&gt;'計算A'!$A$3,'計算A'!$A$4=0))),0,IF(11=$K10,200000,ABS(11-$K10)*100)),100000+ABS(3-$J10)*1000+110)+'計算A'!BJ$5*50+IF(AND($E10=1,KW10=0),25,0),IF($F10&gt;0,INDEX('計算A'!BJ$110:BJ$114,$F10+1)+IF(AND($E10=1,KW10=0),1000,0),MIN(TW10,20)*400+(IF('計算A'!BI$106=1,1-FG10,0)+IF('計算A'!BJ$106=1,1-FI10,0))*150+113+'計算A'!BJ$5*100000+IF(AND($E10=1,KW10=0),50000,0))+IF($H10=1,(IF('計算A'!BI$117=1,INDEX('計算A'!BI$10:BI$54,$B10),0)+IF('計算A'!BJ$117=1,INDEX('計算A'!BK$10:BK$54,$B10),0))*4000,0)-IF(AND('計算A'!BI$117=1,WG10&gt;0),2000,0)-IF(AND($L10=1,'計算A'!BJ$117=1,FI10=0),2000,0))),1000000))</f>
        <v/>
      </c>
      <c r="QM10">
        <f>IF($B10=0,1000000,IF(INDEX('計算A'!$D$60:$EQ$104,$B10,60)*FI10=1,IF(AND($E10=2,KX10=0),1000000,IF($I10&gt;0,IF(3=$J10,IF(OR(AND(60=$I10+1,OR($K10&lt;&gt;'計算A'!$A$3,'計算A'!$A$4=0)),AND(60=$I10-1,OR(12&lt;&gt;'計算A'!$A$3,'計算A'!$A$4=0))),0,IF(12=$K10,200000,ABS(12-$K10)*100)),100000+ABS(3-$J10)*1000+120)+'計算A'!BK$5*50+IF(AND($E10=1,KX10=0),25,0),IF($F10&gt;0,INDEX('計算A'!BK$110:BK$114,$F10+1)+IF(AND($E10=1,KX10=0),1000,0),MIN(TW10,20)*400+(IF('計算A'!BJ$106=1,1-FH10,0)+IF('計算A'!BK$106=1,1-FJ10,0))*150+123+'計算A'!BK$5*100000+IF(AND($E10=1,KX10=0),50000,0))+IF($H10=1,(IF('計算A'!BJ$117=1,INDEX('計算A'!BJ$10:BJ$54,$B10),0)+IF('計算A'!BK$117=1,INDEX('計算A'!BL$10:BL$54,$B10),0))*4000,0)-IF(AND('計算A'!BJ$117=1,WH10&gt;0),2000,0)-IF(AND($L10=1,'計算A'!BK$117=1,FJ10=0),2000,0))),1000000))</f>
        <v/>
      </c>
      <c r="QN10">
        <f>IF($B10=0,1000000,IF(INDEX('計算A'!$D$60:$EQ$104,$B10,61)*FJ10=1,IF(AND($E10=2,KY10=0),1000000,IF($I10&gt;0,IF(3=$J10,IF(OR(AND(61=$I10+1,OR($K10&lt;&gt;'計算A'!$A$3,'計算A'!$A$4=0)),AND(61=$I10-1,OR(13&lt;&gt;'計算A'!$A$3,'計算A'!$A$4=0))),0,IF(13=$K10,200000,ABS(13-$K10)*100)),100000+ABS(3-$J10)*1000+130)+'計算A'!BL$5*50+IF(AND($E10=1,KY10=0),25,0),IF($F10&gt;0,INDEX('計算A'!BL$110:BL$114,$F10+1)+IF(AND($E10=1,KY10=0),1000,0),MIN(TW10,20)*400+(IF('計算A'!BK$106=1,1-FI10,0)+IF('計算A'!BL$106=1,1-FK10,0))*150+133+'計算A'!BL$5*100000+IF(AND($E10=1,KY10=0),50000,0))+IF($H10=1,(IF('計算A'!BK$117=1,INDEX('計算A'!BK$10:BK$54,$B10),0)+IF('計算A'!BL$117=1,INDEX('計算A'!BM$10:BM$54,$B10),0))*4000,0)-IF(AND('計算A'!BK$117=1,WI10&gt;0),2000,0)-IF(AND($L10=1,'計算A'!BL$117=1,FK10=0),2000,0))),1000000))</f>
        <v/>
      </c>
      <c r="QO10">
        <f>IF($B10=0,1000000,IF(INDEX('計算A'!$D$60:$EQ$104,$B10,62)*FK10=1,IF(AND($E10=2,KZ10=0),1000000,IF($I10&gt;0,IF(3=$J10,IF(OR(AND(62=$I10+1,OR($K10&lt;&gt;'計算A'!$A$3,'計算A'!$A$4=0)),AND(62=$I10-1,OR(14&lt;&gt;'計算A'!$A$3,'計算A'!$A$4=0))),0,IF(14=$K10,200000,ABS(14-$K10)*100)),100000+ABS(3-$J10)*1000+140)+'計算A'!BM$5*50+IF(AND($E10=1,KZ10=0),25,0),IF($F10&gt;0,INDEX('計算A'!BM$110:BM$114,$F10+1)+IF(AND($E10=1,KZ10=0),1000,0),MIN(TW10,20)*400+(IF('計算A'!BL$106=1,1-FJ10,0)+IF('計算A'!BM$106=1,1-FL10,0))*150+143+'計算A'!BM$5*100000+IF(AND($E10=1,KZ10=0),50000,0))+IF($H10=1,(IF('計算A'!BL$117=1,INDEX('計算A'!BL$10:BL$54,$B10),0)+IF('計算A'!BM$117=1,INDEX('計算A'!BN$10:BN$54,$B10),0))*4000,0)-IF(AND('計算A'!BL$117=1,WJ10&gt;0),2000,0)-IF(AND($L10=1,'計算A'!BM$117=1,FL10=0),2000,0))),1000000))</f>
        <v/>
      </c>
      <c r="QP10">
        <f>IF($B10=0,1000000,IF(INDEX('計算A'!$D$60:$EQ$104,$B10,63)*FL10=1,IF(AND($E10=2,LA10=0),1000000,IF($I10&gt;0,IF(3=$J10,IF(OR(AND(63=$I10+1,OR($K10&lt;&gt;'計算A'!$A$3,'計算A'!$A$4=0)),AND(63=$I10-1,OR(15&lt;&gt;'計算A'!$A$3,'計算A'!$A$4=0))),0,IF(15=$K10,200000,ABS(15-$K10)*100)),100000+ABS(3-$J10)*1000+150)+'計算A'!BN$5*50+IF(AND($E10=1,LA10=0),25,0),IF($F10&gt;0,INDEX('計算A'!BN$110:BN$114,$F10+1)+IF(AND($E10=1,LA10=0),1000,0),MIN(TW10,20)*400+(IF('計算A'!BM$106=1,1-FK10,0)+IF('計算A'!BN$106=1,1-FM10,0))*150+153+'計算A'!BN$5*100000+IF(AND($E10=1,LA10=0),50000,0))+IF($H10=1,(IF('計算A'!BM$117=1,INDEX('計算A'!BM$10:BM$54,$B10),0)+IF('計算A'!BN$117=1,INDEX('計算A'!BO$10:BO$54,$B10),0))*4000,0)-IF(AND('計算A'!BM$117=1,WK10&gt;0),2000,0)-IF(AND($L10=1,'計算A'!BN$117=1,FM10=0),2000,0))),1000000))</f>
        <v/>
      </c>
      <c r="QQ10">
        <f>IF($B10=0,1000000,IF(INDEX('計算A'!$D$60:$EQ$104,$B10,64)*FM10=1,IF(AND($E10=2,LB10=0),1000000,IF($I10&gt;0,IF(3=$J10,IF(OR(AND(64=$I10+1,OR($K10&lt;&gt;'計算A'!$A$3,'計算A'!$A$4=0)),AND(64=$I10-1,OR(16&lt;&gt;'計算A'!$A$3,'計算A'!$A$4=0))),0,IF(16=$K10,200000,ABS(16-$K10)*100)),100000+ABS(3-$J10)*1000+160)+'計算A'!BO$5*50+IF(AND($E10=1,LB10=0),25,0),IF($F10&gt;0,INDEX('計算A'!BO$110:BO$114,$F10+1)+IF(AND($E10=1,LB10=0),1000,0),MIN(TW10,20)*400+(IF('計算A'!BN$106=1,1-FL10,0)+IF('計算A'!BO$106=1,1-FN10,0))*150+163+'計算A'!BO$5*100000+IF(AND($E10=1,LB10=0),50000,0))+IF($H10=1,(IF('計算A'!BN$117=1,INDEX('計算A'!BN$10:BN$54,$B10),0)+IF('計算A'!BO$117=1,INDEX('計算A'!BP$10:BP$54,$B10),0))*4000,0)-IF(AND('計算A'!BN$117=1,WL10&gt;0),2000,0)-IF(AND($L10=1,'計算A'!BO$117=1,FN10=0),2000,0))),1000000))</f>
        <v/>
      </c>
      <c r="QR10">
        <f>IF($B10=0,1000000,IF(INDEX('計算A'!$D$60:$EQ$104,$B10,65)*FN10=1,IF(AND($E10=2,LC10=0),1000000,IF($I10&gt;0,IF(3=$J10,IF(OR(AND(65=$I10+1,OR($K10&lt;&gt;'計算A'!$A$3,'計算A'!$A$4=0)),AND(65=$I10-1,OR(17&lt;&gt;'計算A'!$A$3,'計算A'!$A$4=0))),0,IF(17=$K10,200000,ABS(17-$K10)*100)),100000+ABS(3-$J10)*1000+170)+'計算A'!BP$5*50+IF(AND($E10=1,LC10=0),25,0),IF($F10&gt;0,INDEX('計算A'!BP$110:BP$114,$F10+1)+IF(AND($E10=1,LC10=0),1000,0),MIN(TW10,20)*400+(IF('計算A'!BO$106=1,1-FM10,0)+IF('計算A'!BP$106=1,1-FO10,0))*150+173+'計算A'!BP$5*100000+IF(AND($E10=1,LC10=0),50000,0))+IF($H10=1,(IF('計算A'!BO$117=1,INDEX('計算A'!BO$10:BO$54,$B10),0)+IF('計算A'!BP$117=1,INDEX('計算A'!BQ$10:BQ$54,$B10),0))*4000,0)-IF(AND('計算A'!BO$117=1,WM10&gt;0),2000,0)-IF(AND($L10=1,'計算A'!BP$117=1,FO10=0),2000,0))),1000000))</f>
        <v/>
      </c>
      <c r="QS10">
        <f>IF($B10=0,1000000,IF(INDEX('計算A'!$D$60:$EQ$104,$B10,66)*FO10=1,IF(AND($E10=2,LD10=0),1000000,IF($I10&gt;0,IF(3=$J10,IF(OR(AND(66=$I10+1,OR($K10&lt;&gt;'計算A'!$A$3,'計算A'!$A$4=0)),AND(66=$I10-1,OR(18&lt;&gt;'計算A'!$A$3,'計算A'!$A$4=0))),0,IF(18=$K10,200000,ABS(18-$K10)*100)),100000+ABS(3-$J10)*1000+180)+'計算A'!BQ$5*50+IF(AND($E10=1,LD10=0),25,0),IF($F10&gt;0,INDEX('計算A'!BQ$110:BQ$114,$F10+1)+IF(AND($E10=1,LD10=0),1000,0),MIN(TW10,20)*400+(IF('計算A'!BP$106=1,1-FN10,0)+IF('計算A'!BQ$106=1,1-FP10,0))*150+183+'計算A'!BQ$5*100000+IF(AND($E10=1,LD10=0),50000,0))+IF($H10=1,(IF('計算A'!BP$117=1,INDEX('計算A'!BP$10:BP$54,$B10),0)+IF('計算A'!BQ$117=1,INDEX('計算A'!BR$10:BR$54,$B10),0))*4000,0)-IF(AND('計算A'!BP$117=1,WN10&gt;0),2000,0)-IF(AND($L10=1,'計算A'!BQ$117=1,FP10=0),2000,0))),1000000))</f>
        <v/>
      </c>
      <c r="QT10">
        <f>IF($B10=0,1000000,IF(INDEX('計算A'!$D$60:$EQ$104,$B10,67)*FP10=1,IF(AND($E10=2,LE10=0),1000000,IF($I10&gt;0,IF(3=$J10,IF(OR(AND(67=$I10+1,OR($K10&lt;&gt;'計算A'!$A$3,'計算A'!$A$4=0)),AND(67=$I10-1,OR(19&lt;&gt;'計算A'!$A$3,'計算A'!$A$4=0))),0,IF(19=$K10,200000,ABS(19-$K10)*100)),100000+ABS(3-$J10)*1000+190)+'計算A'!BR$5*50+IF(AND($E10=1,LE10=0),25,0),IF($F10&gt;0,INDEX('計算A'!BR$110:BR$114,$F10+1)+IF(AND($E10=1,LE10=0),1000,0),MIN(TW10,20)*400+(IF('計算A'!BQ$106=1,1-FO10,0)+IF('計算A'!BR$106=1,1-FQ10,0))*150+193+'計算A'!BR$5*100000+IF(AND($E10=1,LE10=0),50000,0))+IF($H10=1,(IF('計算A'!BQ$117=1,INDEX('計算A'!BQ$10:BQ$54,$B10),0)+IF('計算A'!BR$117=1,INDEX('計算A'!BS$10:BS$54,$B10),0))*4000,0)-IF(AND('計算A'!BQ$117=1,WO10&gt;0),2000,0)-IF(AND($L10=1,'計算A'!BR$117=1,FQ10=0),2000,0))),1000000))</f>
        <v/>
      </c>
      <c r="QU10">
        <f>IF($B10=0,1000000,IF(INDEX('計算A'!$D$60:$EQ$104,$B10,68)*FQ10=1,IF(AND($E10=2,LF10=0),1000000,IF($I10&gt;0,IF(3=$J10,IF(OR(AND(68=$I10+1,OR($K10&lt;&gt;'計算A'!$A$3,'計算A'!$A$4=0)),AND(68=$I10-1,OR(20&lt;&gt;'計算A'!$A$3,'計算A'!$A$4=0))),0,IF(20=$K10,200000,ABS(20-$K10)*100)),100000+ABS(3-$J10)*1000+200)+'計算A'!BS$5*50+IF(AND($E10=1,LF10=0),25,0),IF($F10&gt;0,INDEX('計算A'!BS$110:BS$114,$F10+1)+IF(AND($E10=1,LF10=0),1000,0),MIN(TW10,20)*400+(IF('計算A'!BR$106=1,1-FP10,0)+IF('計算A'!BS$106=1,1-FR10,0))*150+203+'計算A'!BS$5*100000+IF(AND($E10=1,LF10=0),50000,0))+IF($H10=1,(IF('計算A'!BR$117=1,INDEX('計算A'!BR$10:BR$54,$B10),0)+IF('計算A'!BS$117=1,INDEX('計算A'!BT$10:BT$54,$B10),0))*4000,0)-IF(AND('計算A'!BR$117=1,WP10&gt;0),2000,0)-IF(AND($L10=1,'計算A'!BS$117=1,FR10=0),2000,0))),1000000))</f>
        <v/>
      </c>
      <c r="QV10">
        <f>IF($B10=0,1000000,IF(INDEX('計算A'!$D$60:$EQ$104,$B10,69)*FR10=1,IF(AND($E10=2,LG10=0),1000000,IF($I10&gt;0,IF(3=$J10,IF(OR(AND(69=$I10+1,OR($K10&lt;&gt;'計算A'!$A$3,'計算A'!$A$4=0)),AND(69=$I10-1,OR(21&lt;&gt;'計算A'!$A$3,'計算A'!$A$4=0))),0,IF(21=$K10,200000,ABS(21-$K10)*100)),100000+ABS(3-$J10)*1000+210)+'計算A'!BT$5*50+IF(AND($E10=1,LG10=0),25,0),IF($F10&gt;0,INDEX('計算A'!BT$110:BT$114,$F10+1)+IF(AND($E10=1,LG10=0),1000,0),MIN(TW10,20)*400+(IF('計算A'!BS$106=1,1-FQ10,0)+IF('計算A'!BT$106=1,1-FS10,0))*150+213+'計算A'!BT$5*100000+IF(AND($E10=1,LG10=0),50000,0))+IF($H10=1,(IF('計算A'!BS$117=1,INDEX('計算A'!BS$10:BS$54,$B10),0)+IF('計算A'!BT$117=1,INDEX('計算A'!BU$10:BU$54,$B10),0))*4000,0)-IF(AND('計算A'!BS$117=1,WQ10&gt;0),2000,0)-IF(AND($L10=1,'計算A'!BT$117=1,FS10=0),2000,0))),1000000))</f>
        <v/>
      </c>
      <c r="QW10">
        <f>IF($B10=0,1000000,IF(INDEX('計算A'!$D$60:$EQ$104,$B10,70)*FS10=1,IF(AND($E10=2,LH10=0),1000000,IF($I10&gt;0,IF(3=$J10,IF(OR(AND(70=$I10+1,OR($K10&lt;&gt;'計算A'!$A$3,'計算A'!$A$4=0)),AND(70=$I10-1,OR(22&lt;&gt;'計算A'!$A$3,'計算A'!$A$4=0))),0,IF(22=$K10,200000,ABS(22-$K10)*100)),100000+ABS(3-$J10)*1000+220)+'計算A'!BU$5*50+IF(AND($E10=1,LH10=0),25,0),IF($F10&gt;0,INDEX('計算A'!BU$110:BU$114,$F10+1)+IF(AND($E10=1,LH10=0),1000,0),MIN(TW10,20)*400+(IF('計算A'!BT$106=1,1-FR10,0)+IF('計算A'!BU$106=1,1-FT10,0))*150+223+'計算A'!BU$5*100000+IF(AND($E10=1,LH10=0),50000,0))+IF($H10=1,(IF('計算A'!BT$117=1,INDEX('計算A'!BT$10:BT$54,$B10),0)+IF('計算A'!BU$117=1,INDEX('計算A'!BV$10:BV$54,$B10),0))*4000,0)-IF(AND('計算A'!BT$117=1,WR10&gt;0),2000,0)-IF(AND($L10=1,'計算A'!BU$117=1,FT10=0),2000,0))),1000000))</f>
        <v/>
      </c>
      <c r="QX10">
        <f>IF($B10=0,1000000,IF(INDEX('計算A'!$D$60:$EQ$104,$B10,71)*FT10=1,IF(AND($E10=2,LI10=0),1000000,IF($I10&gt;0,IF(3=$J10,IF(OR(AND(71=$I10+1,OR($K10&lt;&gt;'計算A'!$A$3,'計算A'!$A$4=0)),AND(71=$I10-1,OR(23&lt;&gt;'計算A'!$A$3,'計算A'!$A$4=0))),0,IF(23=$K10,200000,ABS(23-$K10)*100)),100000+ABS(3-$J10)*1000+230)+'計算A'!BV$5*50+IF(AND($E10=1,LI10=0),25,0),IF($F10&gt;0,INDEX('計算A'!BV$110:BV$114,$F10+1)+IF(AND($E10=1,LI10=0),1000,0),MIN(TW10,20)*400+(IF('計算A'!BU$106=1,1-FS10,0)+IF('計算A'!BV$106=1,1-FU10,0))*150+233+'計算A'!BV$5*100000+IF(AND($E10=1,LI10=0),50000,0))+IF($H10=1,(IF('計算A'!BU$117=1,INDEX('計算A'!BU$10:BU$54,$B10),0)+IF('計算A'!BV$117=1,INDEX('計算A'!BW$10:BW$54,$B10),0))*4000,0)-IF(AND('計算A'!BU$117=1,WS10&gt;0),2000,0)-IF(AND($L10=1,'計算A'!BV$117=1,FU10=0),2000,0))),1000000))</f>
        <v/>
      </c>
      <c r="QY10">
        <f>IF($B10=0,1000000,IF(INDEX('計算A'!$D$60:$EQ$104,$B10,72)*FU10=1,IF(AND($E10=2,LJ10=0),1000000,IF($I10&gt;0,IF(3=$J10,IF(OR(AND(72=$I10+1,OR($K10&lt;&gt;'計算A'!$A$3,'計算A'!$A$4=0)),AND(72=$I10-1,OR(24&lt;&gt;'計算A'!$A$3,'計算A'!$A$4=0))),0,IF(24=$K10,200000,ABS(24-$K10)*100)),100000+ABS(3-$J10)*1000+240)+'計算A'!BW$5*50+IF(AND($E10=1,LJ10=0),25,0),IF($F10&gt;0,INDEX('計算A'!BW$110:BW$114,$F10+1)+IF(AND($E10=1,LJ10=0),1000,0),MIN(TW10,20)*400+(IF('計算A'!BV$106=1,1-FT10,0))*150+243+'計算A'!BW$5*100000+IF(AND($E10=1,LJ10=0),50000,0))+IF($H10=1,(IF('計算A'!BV$117=1,INDEX('計算A'!BV$10:BV$54,$B10),0))*4000,0)-IF(AND('計算A'!BV$117=1,WT10&gt;0),2000,0))),1000000))</f>
        <v/>
      </c>
      <c r="QZ10">
        <f>IF($B10=0,1000000,IF(INDEX('計算A'!$D$60:$EQ$104,$B10,73)*FV10=1,IF(AND($E10=2,LK10=0),1000000,IF($I10&gt;0,IF(4=$J10,IF(OR(AND(73=$I10+1,OR($K10&lt;&gt;'計算A'!$A$3,'計算A'!$A$4=0)),AND(73=$I10-1,OR(1&lt;&gt;'計算A'!$A$3,'計算A'!$A$4=0))),0,IF(1=$K10,200000,ABS(1-$K10)*100)),100000+ABS(4-$J10)*1000+10)+'計算A'!BX$5*50+IF(AND($E10=1,LK10=0),25,0),IF($F10&gt;0,INDEX('計算A'!BX$110:BX$114,$F10+1)+IF(AND($E10=1,LK10=0),1000,0),MIN(TX10,20)*400+(IF('計算A'!BX$106=1,1-FW10,0))*150+14+'計算A'!BX$5*100000+IF(AND($E10=1,LK10=0),50000,0))+IF($H10=1,(IF('計算A'!BX$117=1,INDEX('計算A'!BY$10:BY$54,$B10),0))*4000,0)-IF(AND($L10=1,'計算A'!BX$117=1,FW10=0),2000,0))),1000000))</f>
        <v/>
      </c>
      <c r="RA10">
        <f>IF($B10=0,1000000,IF(INDEX('計算A'!$D$60:$EQ$104,$B10,74)*FW10=1,IF(AND($E10=2,LL10=0),1000000,IF($I10&gt;0,IF(4=$J10,IF(OR(AND(74=$I10+1,OR($K10&lt;&gt;'計算A'!$A$3,'計算A'!$A$4=0)),AND(74=$I10-1,OR(2&lt;&gt;'計算A'!$A$3,'計算A'!$A$4=0))),0,IF(2=$K10,200000,ABS(2-$K10)*100)),100000+ABS(4-$J10)*1000+20)+'計算A'!BY$5*50+IF(AND($E10=1,LL10=0),25,0),IF($F10&gt;0,INDEX('計算A'!BY$110:BY$114,$F10+1)+IF(AND($E10=1,LL10=0),1000,0),MIN(TX10,20)*400+(IF('計算A'!BX$106=1,1-FV10,0)+IF('計算A'!BY$106=1,1-FX10,0))*150+24+'計算A'!BY$5*100000+IF(AND($E10=1,LL10=0),50000,0))+IF($H10=1,(IF('計算A'!BX$117=1,INDEX('計算A'!BX$10:BX$54,$B10),0)+IF('計算A'!BY$117=1,INDEX('計算A'!BZ$10:BZ$54,$B10),0))*4000,0)-IF(AND('計算A'!BX$117=1,WV10&gt;0),2000,0)-IF(AND($L10=1,'計算A'!BY$117=1,FX10=0),2000,0))),1000000))</f>
        <v/>
      </c>
      <c r="RB10">
        <f>IF($B10=0,1000000,IF(INDEX('計算A'!$D$60:$EQ$104,$B10,75)*FX10=1,IF(AND($E10=2,LM10=0),1000000,IF($I10&gt;0,IF(4=$J10,IF(OR(AND(75=$I10+1,OR($K10&lt;&gt;'計算A'!$A$3,'計算A'!$A$4=0)),AND(75=$I10-1,OR(3&lt;&gt;'計算A'!$A$3,'計算A'!$A$4=0))),0,IF(3=$K10,200000,ABS(3-$K10)*100)),100000+ABS(4-$J10)*1000+30)+'計算A'!BZ$5*50+IF(AND($E10=1,LM10=0),25,0),IF($F10&gt;0,INDEX('計算A'!BZ$110:BZ$114,$F10+1)+IF(AND($E10=1,LM10=0),1000,0),MIN(TX10,20)*400+(IF('計算A'!BY$106=1,1-FW10,0)+IF('計算A'!BZ$106=1,1-FY10,0))*150+34+'計算A'!BZ$5*100000+IF(AND($E10=1,LM10=0),50000,0))+IF($H10=1,(IF('計算A'!BY$117=1,INDEX('計算A'!BY$10:BY$54,$B10),0)+IF('計算A'!BZ$117=1,INDEX('計算A'!CA$10:CA$54,$B10),0))*4000,0)-IF(AND('計算A'!BY$117=1,WW10&gt;0),2000,0)-IF(AND($L10=1,'計算A'!BZ$117=1,FY10=0),2000,0))),1000000))</f>
        <v/>
      </c>
      <c r="RC10">
        <f>IF($B10=0,1000000,IF(INDEX('計算A'!$D$60:$EQ$104,$B10,76)*FY10=1,IF(AND($E10=2,LN10=0),1000000,IF($I10&gt;0,IF(4=$J10,IF(OR(AND(76=$I10+1,OR($K10&lt;&gt;'計算A'!$A$3,'計算A'!$A$4=0)),AND(76=$I10-1,OR(4&lt;&gt;'計算A'!$A$3,'計算A'!$A$4=0))),0,IF(4=$K10,200000,ABS(4-$K10)*100)),100000+ABS(4-$J10)*1000+40)+'計算A'!CA$5*50+IF(AND($E10=1,LN10=0),25,0),IF($F10&gt;0,INDEX('計算A'!CA$110:CA$114,$F10+1)+IF(AND($E10=1,LN10=0),1000,0),MIN(TX10,20)*400+(IF('計算A'!BZ$106=1,1-FX10,0)+IF('計算A'!CA$106=1,1-FZ10,0))*150+44+'計算A'!CA$5*100000+IF(AND($E10=1,LN10=0),50000,0))+IF($H10=1,(IF('計算A'!BZ$117=1,INDEX('計算A'!BZ$10:BZ$54,$B10),0)+IF('計算A'!CA$117=1,INDEX('計算A'!CB$10:CB$54,$B10),0))*4000,0)-IF(AND('計算A'!BZ$117=1,WX10&gt;0),2000,0)-IF(AND($L10=1,'計算A'!CA$117=1,FZ10=0),2000,0))),1000000))</f>
        <v/>
      </c>
      <c r="RD10">
        <f>IF($B10=0,1000000,IF(INDEX('計算A'!$D$60:$EQ$104,$B10,77)*FZ10=1,IF(AND($E10=2,LO10=0),1000000,IF($I10&gt;0,IF(4=$J10,IF(OR(AND(77=$I10+1,OR($K10&lt;&gt;'計算A'!$A$3,'計算A'!$A$4=0)),AND(77=$I10-1,OR(5&lt;&gt;'計算A'!$A$3,'計算A'!$A$4=0))),0,IF(5=$K10,200000,ABS(5-$K10)*100)),100000+ABS(4-$J10)*1000+50)+'計算A'!CB$5*50+IF(AND($E10=1,LO10=0),25,0),IF($F10&gt;0,INDEX('計算A'!CB$110:CB$114,$F10+1)+IF(AND($E10=1,LO10=0),1000,0),MIN(TX10,20)*400+(IF('計算A'!CA$106=1,1-FY10,0)+IF('計算A'!CB$106=1,1-GA10,0))*150+54+'計算A'!CB$5*100000+IF(AND($E10=1,LO10=0),50000,0))+IF($H10=1,(IF('計算A'!CA$117=1,INDEX('計算A'!CA$10:CA$54,$B10),0)+IF('計算A'!CB$117=1,INDEX('計算A'!CC$10:CC$54,$B10),0))*4000,0)-IF(AND('計算A'!CA$117=1,WY10&gt;0),2000,0)-IF(AND($L10=1,'計算A'!CB$117=1,GA10=0),2000,0))),1000000))</f>
        <v/>
      </c>
      <c r="RE10">
        <f>IF($B10=0,1000000,IF(INDEX('計算A'!$D$60:$EQ$104,$B10,78)*GA10=1,IF(AND($E10=2,LP10=0),1000000,IF($I10&gt;0,IF(4=$J10,IF(OR(AND(78=$I10+1,OR($K10&lt;&gt;'計算A'!$A$3,'計算A'!$A$4=0)),AND(78=$I10-1,OR(6&lt;&gt;'計算A'!$A$3,'計算A'!$A$4=0))),0,IF(6=$K10,200000,ABS(6-$K10)*100)),100000+ABS(4-$J10)*1000+60)+'計算A'!CC$5*50+IF(AND($E10=1,LP10=0),25,0),IF($F10&gt;0,INDEX('計算A'!CC$110:CC$114,$F10+1)+IF(AND($E10=1,LP10=0),1000,0),MIN(TX10,20)*400+(IF('計算A'!CB$106=1,1-FZ10,0)+IF('計算A'!CC$106=1,1-GB10,0))*150+64+'計算A'!CC$5*100000+IF(AND($E10=1,LP10=0),50000,0))+IF($H10=1,(IF('計算A'!CB$117=1,INDEX('計算A'!CB$10:CB$54,$B10),0)+IF('計算A'!CC$117=1,INDEX('計算A'!CD$10:CD$54,$B10),0))*4000,0)-IF(AND('計算A'!CB$117=1,WZ10&gt;0),2000,0)-IF(AND($L10=1,'計算A'!CC$117=1,GB10=0),2000,0))),1000000))</f>
        <v/>
      </c>
      <c r="RF10">
        <f>IF($B10=0,1000000,IF(INDEX('計算A'!$D$60:$EQ$104,$B10,79)*GB10=1,IF(AND($E10=2,LQ10=0),1000000,IF($I10&gt;0,IF(4=$J10,IF(OR(AND(79=$I10+1,OR($K10&lt;&gt;'計算A'!$A$3,'計算A'!$A$4=0)),AND(79=$I10-1,OR(7&lt;&gt;'計算A'!$A$3,'計算A'!$A$4=0))),0,IF(7=$K10,200000,ABS(7-$K10)*100)),100000+ABS(4-$J10)*1000+70)+'計算A'!CD$5*50+IF(AND($E10=1,LQ10=0),25,0),IF($F10&gt;0,INDEX('計算A'!CD$110:CD$114,$F10+1)+IF(AND($E10=1,LQ10=0),1000,0),MIN(TX10,20)*400+(IF('計算A'!CC$106=1,1-GA10,0)+IF('計算A'!CD$106=1,1-GC10,0))*150+74+'計算A'!CD$5*100000+IF(AND($E10=1,LQ10=0),50000,0))+IF($H10=1,(IF('計算A'!CC$117=1,INDEX('計算A'!CC$10:CC$54,$B10),0)+IF('計算A'!CD$117=1,INDEX('計算A'!CE$10:CE$54,$B10),0))*4000,0)-IF(AND('計算A'!CC$117=1,XA10&gt;0),2000,0)-IF(AND($L10=1,'計算A'!CD$117=1,GC10=0),2000,0))),1000000))</f>
        <v/>
      </c>
      <c r="RG10">
        <f>IF($B10=0,1000000,IF(INDEX('計算A'!$D$60:$EQ$104,$B10,80)*GC10=1,IF(AND($E10=2,LR10=0),1000000,IF($I10&gt;0,IF(4=$J10,IF(OR(AND(80=$I10+1,OR($K10&lt;&gt;'計算A'!$A$3,'計算A'!$A$4=0)),AND(80=$I10-1,OR(8&lt;&gt;'計算A'!$A$3,'計算A'!$A$4=0))),0,IF(8=$K10,200000,ABS(8-$K10)*100)),100000+ABS(4-$J10)*1000+80)+'計算A'!CE$5*50+IF(AND($E10=1,LR10=0),25,0),IF($F10&gt;0,INDEX('計算A'!CE$110:CE$114,$F10+1)+IF(AND($E10=1,LR10=0),1000,0),MIN(TX10,20)*400+(IF('計算A'!CD$106=1,1-GB10,0)+IF('計算A'!CE$106=1,1-GD10,0))*150+84+'計算A'!CE$5*100000+IF(AND($E10=1,LR10=0),50000,0))+IF($H10=1,(IF('計算A'!CD$117=1,INDEX('計算A'!CD$10:CD$54,$B10),0)+IF('計算A'!CE$117=1,INDEX('計算A'!CF$10:CF$54,$B10),0))*4000,0)-IF(AND('計算A'!CD$117=1,XB10&gt;0),2000,0)-IF(AND($L10=1,'計算A'!CE$117=1,GD10=0),2000,0))),1000000))</f>
        <v/>
      </c>
      <c r="RH10">
        <f>IF($B10=0,1000000,IF(INDEX('計算A'!$D$60:$EQ$104,$B10,81)*GD10=1,IF(AND($E10=2,LS10=0),1000000,IF($I10&gt;0,IF(4=$J10,IF(OR(AND(81=$I10+1,OR($K10&lt;&gt;'計算A'!$A$3,'計算A'!$A$4=0)),AND(81=$I10-1,OR(9&lt;&gt;'計算A'!$A$3,'計算A'!$A$4=0))),0,IF(9=$K10,200000,ABS(9-$K10)*100)),100000+ABS(4-$J10)*1000+90)+'計算A'!CF$5*50+IF(AND($E10=1,LS10=0),25,0),IF($F10&gt;0,INDEX('計算A'!CF$110:CF$114,$F10+1)+IF(AND($E10=1,LS10=0),1000,0),MIN(TX10,20)*400+(IF('計算A'!CE$106=1,1-GC10,0)+IF('計算A'!CF$106=1,1-GE10,0))*150+94+'計算A'!CF$5*100000+IF(AND($E10=1,LS10=0),50000,0))+IF($H10=1,(IF('計算A'!CE$117=1,INDEX('計算A'!CE$10:CE$54,$B10),0)+IF('計算A'!CF$117=1,INDEX('計算A'!CG$10:CG$54,$B10),0))*4000,0)-IF(AND('計算A'!CE$117=1,XC10&gt;0),2000,0)-IF(AND($L10=1,'計算A'!CF$117=1,GE10=0),2000,0))),1000000))</f>
        <v/>
      </c>
      <c r="RI10">
        <f>IF($B10=0,1000000,IF(INDEX('計算A'!$D$60:$EQ$104,$B10,82)*GE10=1,IF(AND($E10=2,LT10=0),1000000,IF($I10&gt;0,IF(4=$J10,IF(OR(AND(82=$I10+1,OR($K10&lt;&gt;'計算A'!$A$3,'計算A'!$A$4=0)),AND(82=$I10-1,OR(10&lt;&gt;'計算A'!$A$3,'計算A'!$A$4=0))),0,IF(10=$K10,200000,ABS(10-$K10)*100)),100000+ABS(4-$J10)*1000+100)+'計算A'!CG$5*50+IF(AND($E10=1,LT10=0),25,0),IF($F10&gt;0,INDEX('計算A'!CG$110:CG$114,$F10+1)+IF(AND($E10=1,LT10=0),1000,0),MIN(TX10,20)*400+(IF('計算A'!CF$106=1,1-GD10,0)+IF('計算A'!CG$106=1,1-GF10,0))*150+104+'計算A'!CG$5*100000+IF(AND($E10=1,LT10=0),50000,0))+IF($H10=1,(IF('計算A'!CF$117=1,INDEX('計算A'!CF$10:CF$54,$B10),0)+IF('計算A'!CG$117=1,INDEX('計算A'!CH$10:CH$54,$B10),0))*4000,0)-IF(AND('計算A'!CF$117=1,XD10&gt;0),2000,0)-IF(AND($L10=1,'計算A'!CG$117=1,GF10=0),2000,0))),1000000))</f>
        <v/>
      </c>
      <c r="RJ10">
        <f>IF($B10=0,1000000,IF(INDEX('計算A'!$D$60:$EQ$104,$B10,83)*GF10=1,IF(AND($E10=2,LU10=0),1000000,IF($I10&gt;0,IF(4=$J10,IF(OR(AND(83=$I10+1,OR($K10&lt;&gt;'計算A'!$A$3,'計算A'!$A$4=0)),AND(83=$I10-1,OR(11&lt;&gt;'計算A'!$A$3,'計算A'!$A$4=0))),0,IF(11=$K10,200000,ABS(11-$K10)*100)),100000+ABS(4-$J10)*1000+110)+'計算A'!CH$5*50+IF(AND($E10=1,LU10=0),25,0),IF($F10&gt;0,INDEX('計算A'!CH$110:CH$114,$F10+1)+IF(AND($E10=1,LU10=0),1000,0),MIN(TX10,20)*400+(IF('計算A'!CG$106=1,1-GE10,0)+IF('計算A'!CH$106=1,1-GG10,0))*150+114+'計算A'!CH$5*100000+IF(AND($E10=1,LU10=0),50000,0))+IF($H10=1,(IF('計算A'!CG$117=1,INDEX('計算A'!CG$10:CG$54,$B10),0)+IF('計算A'!CH$117=1,INDEX('計算A'!CI$10:CI$54,$B10),0))*4000,0)-IF(AND('計算A'!CG$117=1,XE10&gt;0),2000,0)-IF(AND($L10=1,'計算A'!CH$117=1,GG10=0),2000,0))),1000000))</f>
        <v/>
      </c>
      <c r="RK10">
        <f>IF($B10=0,1000000,IF(INDEX('計算A'!$D$60:$EQ$104,$B10,84)*GG10=1,IF(AND($E10=2,LV10=0),1000000,IF($I10&gt;0,IF(4=$J10,IF(OR(AND(84=$I10+1,OR($K10&lt;&gt;'計算A'!$A$3,'計算A'!$A$4=0)),AND(84=$I10-1,OR(12&lt;&gt;'計算A'!$A$3,'計算A'!$A$4=0))),0,IF(12=$K10,200000,ABS(12-$K10)*100)),100000+ABS(4-$J10)*1000+120)+'計算A'!CI$5*50+IF(AND($E10=1,LV10=0),25,0),IF($F10&gt;0,INDEX('計算A'!CI$110:CI$114,$F10+1)+IF(AND($E10=1,LV10=0),1000,0),MIN(TX10,20)*400+(IF('計算A'!CH$106=1,1-GF10,0)+IF('計算A'!CI$106=1,1-GH10,0))*150+124+'計算A'!CI$5*100000+IF(AND($E10=1,LV10=0),50000,0))+IF($H10=1,(IF('計算A'!CH$117=1,INDEX('計算A'!CH$10:CH$54,$B10),0)+IF('計算A'!CI$117=1,INDEX('計算A'!CJ$10:CJ$54,$B10),0))*4000,0)-IF(AND('計算A'!CH$117=1,XF10&gt;0),2000,0)-IF(AND($L10=1,'計算A'!CI$117=1,GH10=0),2000,0))),1000000))</f>
        <v/>
      </c>
      <c r="RL10">
        <f>IF($B10=0,1000000,IF(INDEX('計算A'!$D$60:$EQ$104,$B10,85)*GH10=1,IF(AND($E10=2,LW10=0),1000000,IF($I10&gt;0,IF(4=$J10,IF(OR(AND(85=$I10+1,OR($K10&lt;&gt;'計算A'!$A$3,'計算A'!$A$4=0)),AND(85=$I10-1,OR(13&lt;&gt;'計算A'!$A$3,'計算A'!$A$4=0))),0,IF(13=$K10,200000,ABS(13-$K10)*100)),100000+ABS(4-$J10)*1000+130)+'計算A'!CJ$5*50+IF(AND($E10=1,LW10=0),25,0),IF($F10&gt;0,INDEX('計算A'!CJ$110:CJ$114,$F10+1)+IF(AND($E10=1,LW10=0),1000,0),MIN(TX10,20)*400+(IF('計算A'!CI$106=1,1-GG10,0)+IF('計算A'!CJ$106=1,1-GI10,0))*150+134+'計算A'!CJ$5*100000+IF(AND($E10=1,LW10=0),50000,0))+IF($H10=1,(IF('計算A'!CI$117=1,INDEX('計算A'!CI$10:CI$54,$B10),0)+IF('計算A'!CJ$117=1,INDEX('計算A'!CK$10:CK$54,$B10),0))*4000,0)-IF(AND('計算A'!CI$117=1,XG10&gt;0),2000,0)-IF(AND($L10=1,'計算A'!CJ$117=1,GI10=0),2000,0))),1000000))</f>
        <v/>
      </c>
      <c r="RM10">
        <f>IF($B10=0,1000000,IF(INDEX('計算A'!$D$60:$EQ$104,$B10,86)*GI10=1,IF(AND($E10=2,LX10=0),1000000,IF($I10&gt;0,IF(4=$J10,IF(OR(AND(86=$I10+1,OR($K10&lt;&gt;'計算A'!$A$3,'計算A'!$A$4=0)),AND(86=$I10-1,OR(14&lt;&gt;'計算A'!$A$3,'計算A'!$A$4=0))),0,IF(14=$K10,200000,ABS(14-$K10)*100)),100000+ABS(4-$J10)*1000+140)+'計算A'!CK$5*50+IF(AND($E10=1,LX10=0),25,0),IF($F10&gt;0,INDEX('計算A'!CK$110:CK$114,$F10+1)+IF(AND($E10=1,LX10=0),1000,0),MIN(TX10,20)*400+(IF('計算A'!CJ$106=1,1-GH10,0)+IF('計算A'!CK$106=1,1-GJ10,0))*150+144+'計算A'!CK$5*100000+IF(AND($E10=1,LX10=0),50000,0))+IF($H10=1,(IF('計算A'!CJ$117=1,INDEX('計算A'!CJ$10:CJ$54,$B10),0)+IF('計算A'!CK$117=1,INDEX('計算A'!CL$10:CL$54,$B10),0))*4000,0)-IF(AND('計算A'!CJ$117=1,XH10&gt;0),2000,0)-IF(AND($L10=1,'計算A'!CK$117=1,GJ10=0),2000,0))),1000000))</f>
        <v/>
      </c>
      <c r="RN10">
        <f>IF($B10=0,1000000,IF(INDEX('計算A'!$D$60:$EQ$104,$B10,87)*GJ10=1,IF(AND($E10=2,LY10=0),1000000,IF($I10&gt;0,IF(4=$J10,IF(OR(AND(87=$I10+1,OR($K10&lt;&gt;'計算A'!$A$3,'計算A'!$A$4=0)),AND(87=$I10-1,OR(15&lt;&gt;'計算A'!$A$3,'計算A'!$A$4=0))),0,IF(15=$K10,200000,ABS(15-$K10)*100)),100000+ABS(4-$J10)*1000+150)+'計算A'!CL$5*50+IF(AND($E10=1,LY10=0),25,0),IF($F10&gt;0,INDEX('計算A'!CL$110:CL$114,$F10+1)+IF(AND($E10=1,LY10=0),1000,0),MIN(TX10,20)*400+(IF('計算A'!CK$106=1,1-GI10,0)+IF('計算A'!CL$106=1,1-GK10,0))*150+154+'計算A'!CL$5*100000+IF(AND($E10=1,LY10=0),50000,0))+IF($H10=1,(IF('計算A'!CK$117=1,INDEX('計算A'!CK$10:CK$54,$B10),0)+IF('計算A'!CL$117=1,INDEX('計算A'!CM$10:CM$54,$B10),0))*4000,0)-IF(AND('計算A'!CK$117=1,XI10&gt;0),2000,0)-IF(AND($L10=1,'計算A'!CL$117=1,GK10=0),2000,0))),1000000))</f>
        <v/>
      </c>
      <c r="RO10">
        <f>IF($B10=0,1000000,IF(INDEX('計算A'!$D$60:$EQ$104,$B10,88)*GK10=1,IF(AND($E10=2,LZ10=0),1000000,IF($I10&gt;0,IF(4=$J10,IF(OR(AND(88=$I10+1,OR($K10&lt;&gt;'計算A'!$A$3,'計算A'!$A$4=0)),AND(88=$I10-1,OR(16&lt;&gt;'計算A'!$A$3,'計算A'!$A$4=0))),0,IF(16=$K10,200000,ABS(16-$K10)*100)),100000+ABS(4-$J10)*1000+160)+'計算A'!CM$5*50+IF(AND($E10=1,LZ10=0),25,0),IF($F10&gt;0,INDEX('計算A'!CM$110:CM$114,$F10+1)+IF(AND($E10=1,LZ10=0),1000,0),MIN(TX10,20)*400+(IF('計算A'!CL$106=1,1-GJ10,0)+IF('計算A'!CM$106=1,1-GL10,0))*150+164+'計算A'!CM$5*100000+IF(AND($E10=1,LZ10=0),50000,0))+IF($H10=1,(IF('計算A'!CL$117=1,INDEX('計算A'!CL$10:CL$54,$B10),0)+IF('計算A'!CM$117=1,INDEX('計算A'!CN$10:CN$54,$B10),0))*4000,0)-IF(AND('計算A'!CL$117=1,XJ10&gt;0),2000,0)-IF(AND($L10=1,'計算A'!CM$117=1,GL10=0),2000,0))),1000000))</f>
        <v/>
      </c>
      <c r="RP10">
        <f>IF($B10=0,1000000,IF(INDEX('計算A'!$D$60:$EQ$104,$B10,89)*GL10=1,IF(AND($E10=2,MA10=0),1000000,IF($I10&gt;0,IF(4=$J10,IF(OR(AND(89=$I10+1,OR($K10&lt;&gt;'計算A'!$A$3,'計算A'!$A$4=0)),AND(89=$I10-1,OR(17&lt;&gt;'計算A'!$A$3,'計算A'!$A$4=0))),0,IF(17=$K10,200000,ABS(17-$K10)*100)),100000+ABS(4-$J10)*1000+170)+'計算A'!CN$5*50+IF(AND($E10=1,MA10=0),25,0),IF($F10&gt;0,INDEX('計算A'!CN$110:CN$114,$F10+1)+IF(AND($E10=1,MA10=0),1000,0),MIN(TX10,20)*400+(IF('計算A'!CM$106=1,1-GK10,0)+IF('計算A'!CN$106=1,1-GM10,0))*150+174+'計算A'!CN$5*100000+IF(AND($E10=1,MA10=0),50000,0))+IF($H10=1,(IF('計算A'!CM$117=1,INDEX('計算A'!CM$10:CM$54,$B10),0)+IF('計算A'!CN$117=1,INDEX('計算A'!CO$10:CO$54,$B10),0))*4000,0)-IF(AND('計算A'!CM$117=1,XK10&gt;0),2000,0)-IF(AND($L10=1,'計算A'!CN$117=1,GM10=0),2000,0))),1000000))</f>
        <v/>
      </c>
      <c r="RQ10">
        <f>IF($B10=0,1000000,IF(INDEX('計算A'!$D$60:$EQ$104,$B10,90)*GM10=1,IF(AND($E10=2,MB10=0),1000000,IF($I10&gt;0,IF(4=$J10,IF(OR(AND(90=$I10+1,OR($K10&lt;&gt;'計算A'!$A$3,'計算A'!$A$4=0)),AND(90=$I10-1,OR(18&lt;&gt;'計算A'!$A$3,'計算A'!$A$4=0))),0,IF(18=$K10,200000,ABS(18-$K10)*100)),100000+ABS(4-$J10)*1000+180)+'計算A'!CO$5*50+IF(AND($E10=1,MB10=0),25,0),IF($F10&gt;0,INDEX('計算A'!CO$110:CO$114,$F10+1)+IF(AND($E10=1,MB10=0),1000,0),MIN(TX10,20)*400+(IF('計算A'!CN$106=1,1-GL10,0)+IF('計算A'!CO$106=1,1-GN10,0))*150+184+'計算A'!CO$5*100000+IF(AND($E10=1,MB10=0),50000,0))+IF($H10=1,(IF('計算A'!CN$117=1,INDEX('計算A'!CN$10:CN$54,$B10),0)+IF('計算A'!CO$117=1,INDEX('計算A'!CP$10:CP$54,$B10),0))*4000,0)-IF(AND('計算A'!CN$117=1,XL10&gt;0),2000,0)-IF(AND($L10=1,'計算A'!CO$117=1,GN10=0),2000,0))),1000000))</f>
        <v/>
      </c>
      <c r="RR10">
        <f>IF($B10=0,1000000,IF(INDEX('計算A'!$D$60:$EQ$104,$B10,91)*GN10=1,IF(AND($E10=2,MC10=0),1000000,IF($I10&gt;0,IF(4=$J10,IF(OR(AND(91=$I10+1,OR($K10&lt;&gt;'計算A'!$A$3,'計算A'!$A$4=0)),AND(91=$I10-1,OR(19&lt;&gt;'計算A'!$A$3,'計算A'!$A$4=0))),0,IF(19=$K10,200000,ABS(19-$K10)*100)),100000+ABS(4-$J10)*1000+190)+'計算A'!CP$5*50+IF(AND($E10=1,MC10=0),25,0),IF($F10&gt;0,INDEX('計算A'!CP$110:CP$114,$F10+1)+IF(AND($E10=1,MC10=0),1000,0),MIN(TX10,20)*400+(IF('計算A'!CO$106=1,1-GM10,0)+IF('計算A'!CP$106=1,1-GO10,0))*150+194+'計算A'!CP$5*100000+IF(AND($E10=1,MC10=0),50000,0))+IF($H10=1,(IF('計算A'!CO$117=1,INDEX('計算A'!CO$10:CO$54,$B10),0)+IF('計算A'!CP$117=1,INDEX('計算A'!CQ$10:CQ$54,$B10),0))*4000,0)-IF(AND('計算A'!CO$117=1,XM10&gt;0),2000,0)-IF(AND($L10=1,'計算A'!CP$117=1,GO10=0),2000,0))),1000000))</f>
        <v/>
      </c>
      <c r="RS10">
        <f>IF($B10=0,1000000,IF(INDEX('計算A'!$D$60:$EQ$104,$B10,92)*GO10=1,IF(AND($E10=2,MD10=0),1000000,IF($I10&gt;0,IF(4=$J10,IF(OR(AND(92=$I10+1,OR($K10&lt;&gt;'計算A'!$A$3,'計算A'!$A$4=0)),AND(92=$I10-1,OR(20&lt;&gt;'計算A'!$A$3,'計算A'!$A$4=0))),0,IF(20=$K10,200000,ABS(20-$K10)*100)),100000+ABS(4-$J10)*1000+200)+'計算A'!CQ$5*50+IF(AND($E10=1,MD10=0),25,0),IF($F10&gt;0,INDEX('計算A'!CQ$110:CQ$114,$F10+1)+IF(AND($E10=1,MD10=0),1000,0),MIN(TX10,20)*400+(IF('計算A'!CP$106=1,1-GN10,0)+IF('計算A'!CQ$106=1,1-GP10,0))*150+204+'計算A'!CQ$5*100000+IF(AND($E10=1,MD10=0),50000,0))+IF($H10=1,(IF('計算A'!CP$117=1,INDEX('計算A'!CP$10:CP$54,$B10),0)+IF('計算A'!CQ$117=1,INDEX('計算A'!CR$10:CR$54,$B10),0))*4000,0)-IF(AND('計算A'!CP$117=1,XN10&gt;0),2000,0)-IF(AND($L10=1,'計算A'!CQ$117=1,GP10=0),2000,0))),1000000))</f>
        <v/>
      </c>
      <c r="RT10">
        <f>IF($B10=0,1000000,IF(INDEX('計算A'!$D$60:$EQ$104,$B10,93)*GP10=1,IF(AND($E10=2,ME10=0),1000000,IF($I10&gt;0,IF(4=$J10,IF(OR(AND(93=$I10+1,OR($K10&lt;&gt;'計算A'!$A$3,'計算A'!$A$4=0)),AND(93=$I10-1,OR(21&lt;&gt;'計算A'!$A$3,'計算A'!$A$4=0))),0,IF(21=$K10,200000,ABS(21-$K10)*100)),100000+ABS(4-$J10)*1000+210)+'計算A'!CR$5*50+IF(AND($E10=1,ME10=0),25,0),IF($F10&gt;0,INDEX('計算A'!CR$110:CR$114,$F10+1)+IF(AND($E10=1,ME10=0),1000,0),MIN(TX10,20)*400+(IF('計算A'!CQ$106=1,1-GO10,0)+IF('計算A'!CR$106=1,1-GQ10,0))*150+214+'計算A'!CR$5*100000+IF(AND($E10=1,ME10=0),50000,0))+IF($H10=1,(IF('計算A'!CQ$117=1,INDEX('計算A'!CQ$10:CQ$54,$B10),0)+IF('計算A'!CR$117=1,INDEX('計算A'!CS$10:CS$54,$B10),0))*4000,0)-IF(AND('計算A'!CQ$117=1,XO10&gt;0),2000,0)-IF(AND($L10=1,'計算A'!CR$117=1,GQ10=0),2000,0))),1000000))</f>
        <v/>
      </c>
      <c r="RU10">
        <f>IF($B10=0,1000000,IF(INDEX('計算A'!$D$60:$EQ$104,$B10,94)*GQ10=1,IF(AND($E10=2,MF10=0),1000000,IF($I10&gt;0,IF(4=$J10,IF(OR(AND(94=$I10+1,OR($K10&lt;&gt;'計算A'!$A$3,'計算A'!$A$4=0)),AND(94=$I10-1,OR(22&lt;&gt;'計算A'!$A$3,'計算A'!$A$4=0))),0,IF(22=$K10,200000,ABS(22-$K10)*100)),100000+ABS(4-$J10)*1000+220)+'計算A'!CS$5*50+IF(AND($E10=1,MF10=0),25,0),IF($F10&gt;0,INDEX('計算A'!CS$110:CS$114,$F10+1)+IF(AND($E10=1,MF10=0),1000,0),MIN(TX10,20)*400+(IF('計算A'!CR$106=1,1-GP10,0)+IF('計算A'!CS$106=1,1-GR10,0))*150+224+'計算A'!CS$5*100000+IF(AND($E10=1,MF10=0),50000,0))+IF($H10=1,(IF('計算A'!CR$117=1,INDEX('計算A'!CR$10:CR$54,$B10),0)+IF('計算A'!CS$117=1,INDEX('計算A'!CT$10:CT$54,$B10),0))*4000,0)-IF(AND('計算A'!CR$117=1,XP10&gt;0),2000,0)-IF(AND($L10=1,'計算A'!CS$117=1,GR10=0),2000,0))),1000000))</f>
        <v/>
      </c>
      <c r="RV10">
        <f>IF($B10=0,1000000,IF(INDEX('計算A'!$D$60:$EQ$104,$B10,95)*GR10=1,IF(AND($E10=2,MG10=0),1000000,IF($I10&gt;0,IF(4=$J10,IF(OR(AND(95=$I10+1,OR($K10&lt;&gt;'計算A'!$A$3,'計算A'!$A$4=0)),AND(95=$I10-1,OR(23&lt;&gt;'計算A'!$A$3,'計算A'!$A$4=0))),0,IF(23=$K10,200000,ABS(23-$K10)*100)),100000+ABS(4-$J10)*1000+230)+'計算A'!CT$5*50+IF(AND($E10=1,MG10=0),25,0),IF($F10&gt;0,INDEX('計算A'!CT$110:CT$114,$F10+1)+IF(AND($E10=1,MG10=0),1000,0),MIN(TX10,20)*400+(IF('計算A'!CS$106=1,1-GQ10,0)+IF('計算A'!CT$106=1,1-GS10,0))*150+234+'計算A'!CT$5*100000+IF(AND($E10=1,MG10=0),50000,0))+IF($H10=1,(IF('計算A'!CS$117=1,INDEX('計算A'!CS$10:CS$54,$B10),0)+IF('計算A'!CT$117=1,INDEX('計算A'!CU$10:CU$54,$B10),0))*4000,0)-IF(AND('計算A'!CS$117=1,XQ10&gt;0),2000,0)-IF(AND($L10=1,'計算A'!CT$117=1,GS10=0),2000,0))),1000000))</f>
        <v/>
      </c>
      <c r="RW10">
        <f>IF($B10=0,1000000,IF(INDEX('計算A'!$D$60:$EQ$104,$B10,96)*GS10=1,IF(AND($E10=2,MH10=0),1000000,IF($I10&gt;0,IF(4=$J10,IF(OR(AND(96=$I10+1,OR($K10&lt;&gt;'計算A'!$A$3,'計算A'!$A$4=0)),AND(96=$I10-1,OR(24&lt;&gt;'計算A'!$A$3,'計算A'!$A$4=0))),0,IF(24=$K10,200000,ABS(24-$K10)*100)),100000+ABS(4-$J10)*1000+240)+'計算A'!CU$5*50+IF(AND($E10=1,MH10=0),25,0),IF($F10&gt;0,INDEX('計算A'!CU$110:CU$114,$F10+1)+IF(AND($E10=1,MH10=0),1000,0),MIN(TX10,20)*400+(IF('計算A'!CT$106=1,1-GR10,0))*150+244+'計算A'!CU$5*100000+IF(AND($E10=1,MH10=0),50000,0))+IF($H10=1,(IF('計算A'!CT$117=1,INDEX('計算A'!CT$10:CT$54,$B10),0))*4000,0)-IF(AND('計算A'!CT$117=1,XR10&gt;0),2000,0))),1000000))</f>
        <v/>
      </c>
      <c r="RX10">
        <f>IF($B10=0,1000000,IF(INDEX('計算A'!$D$60:$EQ$104,$B10,97)*GT10=1,IF(AND($E10=2,MI10=0),1000000,IF($I10&gt;0,IF(5=$J10,IF(OR(AND(97=$I10+1,OR($K10&lt;&gt;'計算A'!$A$3,'計算A'!$A$4=0)),AND(97=$I10-1,OR(1&lt;&gt;'計算A'!$A$3,'計算A'!$A$4=0))),0,IF(1=$K10,200000,ABS(1-$K10)*100)),100000+ABS(5-$J10)*1000+10)+'計算A'!CV$5*50+IF(AND($E10=1,MI10=0),25,0),IF($F10&gt;0,INDEX('計算A'!CV$110:CV$114,$F10+1)+IF(AND($E10=1,MI10=0),1000,0),MIN(TY10,20)*400+(IF('計算A'!CV$106=1,1-GU10,0))*150+15+'計算A'!CV$5*100000+IF(AND($E10=1,MI10=0),50000,0))+IF($H10=1,(IF('計算A'!CV$117=1,INDEX('計算A'!CW$10:CW$54,$B10),0))*4000,0)-IF(AND($L10=1,'計算A'!CV$117=1,GU10=0),2000,0))),1000000))</f>
        <v/>
      </c>
      <c r="RY10">
        <f>IF($B10=0,1000000,IF(INDEX('計算A'!$D$60:$EQ$104,$B10,98)*GU10=1,IF(AND($E10=2,MJ10=0),1000000,IF($I10&gt;0,IF(5=$J10,IF(OR(AND(98=$I10+1,OR($K10&lt;&gt;'計算A'!$A$3,'計算A'!$A$4=0)),AND(98=$I10-1,OR(2&lt;&gt;'計算A'!$A$3,'計算A'!$A$4=0))),0,IF(2=$K10,200000,ABS(2-$K10)*100)),100000+ABS(5-$J10)*1000+20)+'計算A'!CW$5*50+IF(AND($E10=1,MJ10=0),25,0),IF($F10&gt;0,INDEX('計算A'!CW$110:CW$114,$F10+1)+IF(AND($E10=1,MJ10=0),1000,0),MIN(TY10,20)*400+(IF('計算A'!CV$106=1,1-GT10,0)+IF('計算A'!CW$106=1,1-GV10,0))*150+25+'計算A'!CW$5*100000+IF(AND($E10=1,MJ10=0),50000,0))+IF($H10=1,(IF('計算A'!CV$117=1,INDEX('計算A'!CV$10:CV$54,$B10),0)+IF('計算A'!CW$117=1,INDEX('計算A'!CX$10:CX$54,$B10),0))*4000,0)-IF(AND('計算A'!CV$117=1,XT10&gt;0),2000,0)-IF(AND($L10=1,'計算A'!CW$117=1,GV10=0),2000,0))),1000000))</f>
        <v/>
      </c>
      <c r="RZ10">
        <f>IF($B10=0,1000000,IF(INDEX('計算A'!$D$60:$EQ$104,$B10,99)*GV10=1,IF(AND($E10=2,MK10=0),1000000,IF($I10&gt;0,IF(5=$J10,IF(OR(AND(99=$I10+1,OR($K10&lt;&gt;'計算A'!$A$3,'計算A'!$A$4=0)),AND(99=$I10-1,OR(3&lt;&gt;'計算A'!$A$3,'計算A'!$A$4=0))),0,IF(3=$K10,200000,ABS(3-$K10)*100)),100000+ABS(5-$J10)*1000+30)+'計算A'!CX$5*50+IF(AND($E10=1,MK10=0),25,0),IF($F10&gt;0,INDEX('計算A'!CX$110:CX$114,$F10+1)+IF(AND($E10=1,MK10=0),1000,0),MIN(TY10,20)*400+(IF('計算A'!CW$106=1,1-GU10,0)+IF('計算A'!CX$106=1,1-GW10,0))*150+35+'計算A'!CX$5*100000+IF(AND($E10=1,MK10=0),50000,0))+IF($H10=1,(IF('計算A'!CW$117=1,INDEX('計算A'!CW$10:CW$54,$B10),0)+IF('計算A'!CX$117=1,INDEX('計算A'!CY$10:CY$54,$B10),0))*4000,0)-IF(AND('計算A'!CW$117=1,XU10&gt;0),2000,0)-IF(AND($L10=1,'計算A'!CX$117=1,GW10=0),2000,0))),1000000))</f>
        <v/>
      </c>
      <c r="SA10">
        <f>IF($B10=0,1000000,IF(INDEX('計算A'!$D$60:$EQ$104,$B10,100)*GW10=1,IF(AND($E10=2,ML10=0),1000000,IF($I10&gt;0,IF(5=$J10,IF(OR(AND(100=$I10+1,OR($K10&lt;&gt;'計算A'!$A$3,'計算A'!$A$4=0)),AND(100=$I10-1,OR(4&lt;&gt;'計算A'!$A$3,'計算A'!$A$4=0))),0,IF(4=$K10,200000,ABS(4-$K10)*100)),100000+ABS(5-$J10)*1000+40)+'計算A'!CY$5*50+IF(AND($E10=1,ML10=0),25,0),IF($F10&gt;0,INDEX('計算A'!CY$110:CY$114,$F10+1)+IF(AND($E10=1,ML10=0),1000,0),MIN(TY10,20)*400+(IF('計算A'!CX$106=1,1-GV10,0)+IF('計算A'!CY$106=1,1-GX10,0))*150+45+'計算A'!CY$5*100000+IF(AND($E10=1,ML10=0),50000,0))+IF($H10=1,(IF('計算A'!CX$117=1,INDEX('計算A'!CX$10:CX$54,$B10),0)+IF('計算A'!CY$117=1,INDEX('計算A'!CZ$10:CZ$54,$B10),0))*4000,0)-IF(AND('計算A'!CX$117=1,XV10&gt;0),2000,0)-IF(AND($L10=1,'計算A'!CY$117=1,GX10=0),2000,0))),1000000))</f>
        <v/>
      </c>
      <c r="SB10">
        <f>IF($B10=0,1000000,IF(INDEX('計算A'!$D$60:$EQ$104,$B10,101)*GX10=1,IF(AND($E10=2,MM10=0),1000000,IF($I10&gt;0,IF(5=$J10,IF(OR(AND(101=$I10+1,OR($K10&lt;&gt;'計算A'!$A$3,'計算A'!$A$4=0)),AND(101=$I10-1,OR(5&lt;&gt;'計算A'!$A$3,'計算A'!$A$4=0))),0,IF(5=$K10,200000,ABS(5-$K10)*100)),100000+ABS(5-$J10)*1000+50)+'計算A'!CZ$5*50+IF(AND($E10=1,MM10=0),25,0),IF($F10&gt;0,INDEX('計算A'!CZ$110:CZ$114,$F10+1)+IF(AND($E10=1,MM10=0),1000,0),MIN(TY10,20)*400+(IF('計算A'!CY$106=1,1-GW10,0)+IF('計算A'!CZ$106=1,1-GY10,0))*150+55+'計算A'!CZ$5*100000+IF(AND($E10=1,MM10=0),50000,0))+IF($H10=1,(IF('計算A'!CY$117=1,INDEX('計算A'!CY$10:CY$54,$B10),0)+IF('計算A'!CZ$117=1,INDEX('計算A'!DA$10:DA$54,$B10),0))*4000,0)-IF(AND('計算A'!CY$117=1,XW10&gt;0),2000,0)-IF(AND($L10=1,'計算A'!CZ$117=1,GY10=0),2000,0))),1000000))</f>
        <v/>
      </c>
      <c r="SC10">
        <f>IF($B10=0,1000000,IF(INDEX('計算A'!$D$60:$EQ$104,$B10,102)*GY10=1,IF(AND($E10=2,MN10=0),1000000,IF($I10&gt;0,IF(5=$J10,IF(OR(AND(102=$I10+1,OR($K10&lt;&gt;'計算A'!$A$3,'計算A'!$A$4=0)),AND(102=$I10-1,OR(6&lt;&gt;'計算A'!$A$3,'計算A'!$A$4=0))),0,IF(6=$K10,200000,ABS(6-$K10)*100)),100000+ABS(5-$J10)*1000+60)+'計算A'!DA$5*50+IF(AND($E10=1,MN10=0),25,0),IF($F10&gt;0,INDEX('計算A'!DA$110:DA$114,$F10+1)+IF(AND($E10=1,MN10=0),1000,0),MIN(TY10,20)*400+(IF('計算A'!CZ$106=1,1-GX10,0)+IF('計算A'!DA$106=1,1-GZ10,0))*150+65+'計算A'!DA$5*100000+IF(AND($E10=1,MN10=0),50000,0))+IF($H10=1,(IF('計算A'!CZ$117=1,INDEX('計算A'!CZ$10:CZ$54,$B10),0)+IF('計算A'!DA$117=1,INDEX('計算A'!DB$10:DB$54,$B10),0))*4000,0)-IF(AND('計算A'!CZ$117=1,XX10&gt;0),2000,0)-IF(AND($L10=1,'計算A'!DA$117=1,GZ10=0),2000,0))),1000000))</f>
        <v/>
      </c>
      <c r="SD10">
        <f>IF($B10=0,1000000,IF(INDEX('計算A'!$D$60:$EQ$104,$B10,103)*GZ10=1,IF(AND($E10=2,MO10=0),1000000,IF($I10&gt;0,IF(5=$J10,IF(OR(AND(103=$I10+1,OR($K10&lt;&gt;'計算A'!$A$3,'計算A'!$A$4=0)),AND(103=$I10-1,OR(7&lt;&gt;'計算A'!$A$3,'計算A'!$A$4=0))),0,IF(7=$K10,200000,ABS(7-$K10)*100)),100000+ABS(5-$J10)*1000+70)+'計算A'!DB$5*50+IF(AND($E10=1,MO10=0),25,0),IF($F10&gt;0,INDEX('計算A'!DB$110:DB$114,$F10+1)+IF(AND($E10=1,MO10=0),1000,0),MIN(TY10,20)*400+(IF('計算A'!DA$106=1,1-GY10,0)+IF('計算A'!DB$106=1,1-HA10,0))*150+75+'計算A'!DB$5*100000+IF(AND($E10=1,MO10=0),50000,0))+IF($H10=1,(IF('計算A'!DA$117=1,INDEX('計算A'!DA$10:DA$54,$B10),0)+IF('計算A'!DB$117=1,INDEX('計算A'!DC$10:DC$54,$B10),0))*4000,0)-IF(AND('計算A'!DA$117=1,XY10&gt;0),2000,0)-IF(AND($L10=1,'計算A'!DB$117=1,HA10=0),2000,0))),1000000))</f>
        <v/>
      </c>
      <c r="SE10">
        <f>IF($B10=0,1000000,IF(INDEX('計算A'!$D$60:$EQ$104,$B10,104)*HA10=1,IF(AND($E10=2,MP10=0),1000000,IF($I10&gt;0,IF(5=$J10,IF(OR(AND(104=$I10+1,OR($K10&lt;&gt;'計算A'!$A$3,'計算A'!$A$4=0)),AND(104=$I10-1,OR(8&lt;&gt;'計算A'!$A$3,'計算A'!$A$4=0))),0,IF(8=$K10,200000,ABS(8-$K10)*100)),100000+ABS(5-$J10)*1000+80)+'計算A'!DC$5*50+IF(AND($E10=1,MP10=0),25,0),IF($F10&gt;0,INDEX('計算A'!DC$110:DC$114,$F10+1)+IF(AND($E10=1,MP10=0),1000,0),MIN(TY10,20)*400+(IF('計算A'!DB$106=1,1-GZ10,0)+IF('計算A'!DC$106=1,1-HB10,0))*150+85+'計算A'!DC$5*100000+IF(AND($E10=1,MP10=0),50000,0))+IF($H10=1,(IF('計算A'!DB$117=1,INDEX('計算A'!DB$10:DB$54,$B10),0)+IF('計算A'!DC$117=1,INDEX('計算A'!DD$10:DD$54,$B10),0))*4000,0)-IF(AND('計算A'!DB$117=1,XZ10&gt;0),2000,0)-IF(AND($L10=1,'計算A'!DC$117=1,HB10=0),2000,0))),1000000))</f>
        <v/>
      </c>
      <c r="SF10">
        <f>IF($B10=0,1000000,IF(INDEX('計算A'!$D$60:$EQ$104,$B10,105)*HB10=1,IF(AND($E10=2,MQ10=0),1000000,IF($I10&gt;0,IF(5=$J10,IF(OR(AND(105=$I10+1,OR($K10&lt;&gt;'計算A'!$A$3,'計算A'!$A$4=0)),AND(105=$I10-1,OR(9&lt;&gt;'計算A'!$A$3,'計算A'!$A$4=0))),0,IF(9=$K10,200000,ABS(9-$K10)*100)),100000+ABS(5-$J10)*1000+90)+'計算A'!DD$5*50+IF(AND($E10=1,MQ10=0),25,0),IF($F10&gt;0,INDEX('計算A'!DD$110:DD$114,$F10+1)+IF(AND($E10=1,MQ10=0),1000,0),MIN(TY10,20)*400+(IF('計算A'!DC$106=1,1-HA10,0)+IF('計算A'!DD$106=1,1-HC10,0))*150+95+'計算A'!DD$5*100000+IF(AND($E10=1,MQ10=0),50000,0))+IF($H10=1,(IF('計算A'!DC$117=1,INDEX('計算A'!DC$10:DC$54,$B10),0)+IF('計算A'!DD$117=1,INDEX('計算A'!DE$10:DE$54,$B10),0))*4000,0)-IF(AND('計算A'!DC$117=1,YA10&gt;0),2000,0)-IF(AND($L10=1,'計算A'!DD$117=1,HC10=0),2000,0))),1000000))</f>
        <v/>
      </c>
      <c r="SG10">
        <f>IF($B10=0,1000000,IF(INDEX('計算A'!$D$60:$EQ$104,$B10,106)*HC10=1,IF(AND($E10=2,MR10=0),1000000,IF($I10&gt;0,IF(5=$J10,IF(OR(AND(106=$I10+1,OR($K10&lt;&gt;'計算A'!$A$3,'計算A'!$A$4=0)),AND(106=$I10-1,OR(10&lt;&gt;'計算A'!$A$3,'計算A'!$A$4=0))),0,IF(10=$K10,200000,ABS(10-$K10)*100)),100000+ABS(5-$J10)*1000+100)+'計算A'!DE$5*50+IF(AND($E10=1,MR10=0),25,0),IF($F10&gt;0,INDEX('計算A'!DE$110:DE$114,$F10+1)+IF(AND($E10=1,MR10=0),1000,0),MIN(TY10,20)*400+(IF('計算A'!DD$106=1,1-HB10,0)+IF('計算A'!DE$106=1,1-HD10,0))*150+105+'計算A'!DE$5*100000+IF(AND($E10=1,MR10=0),50000,0))+IF($H10=1,(IF('計算A'!DD$117=1,INDEX('計算A'!DD$10:DD$54,$B10),0)+IF('計算A'!DE$117=1,INDEX('計算A'!DF$10:DF$54,$B10),0))*4000,0)-IF(AND('計算A'!DD$117=1,YB10&gt;0),2000,0)-IF(AND($L10=1,'計算A'!DE$117=1,HD10=0),2000,0))),1000000))</f>
        <v/>
      </c>
      <c r="SH10">
        <f>IF($B10=0,1000000,IF(INDEX('計算A'!$D$60:$EQ$104,$B10,107)*HD10=1,IF(AND($E10=2,MS10=0),1000000,IF($I10&gt;0,IF(5=$J10,IF(OR(AND(107=$I10+1,OR($K10&lt;&gt;'計算A'!$A$3,'計算A'!$A$4=0)),AND(107=$I10-1,OR(11&lt;&gt;'計算A'!$A$3,'計算A'!$A$4=0))),0,IF(11=$K10,200000,ABS(11-$K10)*100)),100000+ABS(5-$J10)*1000+110)+'計算A'!DF$5*50+IF(AND($E10=1,MS10=0),25,0),IF($F10&gt;0,INDEX('計算A'!DF$110:DF$114,$F10+1)+IF(AND($E10=1,MS10=0),1000,0),MIN(TY10,20)*400+(IF('計算A'!DE$106=1,1-HC10,0)+IF('計算A'!DF$106=1,1-HE10,0))*150+115+'計算A'!DF$5*100000+IF(AND($E10=1,MS10=0),50000,0))+IF($H10=1,(IF('計算A'!DE$117=1,INDEX('計算A'!DE$10:DE$54,$B10),0)+IF('計算A'!DF$117=1,INDEX('計算A'!DG$10:DG$54,$B10),0))*4000,0)-IF(AND('計算A'!DE$117=1,YC10&gt;0),2000,0)-IF(AND($L10=1,'計算A'!DF$117=1,HE10=0),2000,0))),1000000))</f>
        <v/>
      </c>
      <c r="SI10">
        <f>IF($B10=0,1000000,IF(INDEX('計算A'!$D$60:$EQ$104,$B10,108)*HE10=1,IF(AND($E10=2,MT10=0),1000000,IF($I10&gt;0,IF(5=$J10,IF(OR(AND(108=$I10+1,OR($K10&lt;&gt;'計算A'!$A$3,'計算A'!$A$4=0)),AND(108=$I10-1,OR(12&lt;&gt;'計算A'!$A$3,'計算A'!$A$4=0))),0,IF(12=$K10,200000,ABS(12-$K10)*100)),100000+ABS(5-$J10)*1000+120)+'計算A'!DG$5*50+IF(AND($E10=1,MT10=0),25,0),IF($F10&gt;0,INDEX('計算A'!DG$110:DG$114,$F10+1)+IF(AND($E10=1,MT10=0),1000,0),MIN(TY10,20)*400+(IF('計算A'!DF$106=1,1-HD10,0)+IF('計算A'!DG$106=1,1-HF10,0))*150+125+'計算A'!DG$5*100000+IF(AND($E10=1,MT10=0),50000,0))+IF($H10=1,(IF('計算A'!DF$117=1,INDEX('計算A'!DF$10:DF$54,$B10),0)+IF('計算A'!DG$117=1,INDEX('計算A'!DH$10:DH$54,$B10),0))*4000,0)-IF(AND('計算A'!DF$117=1,YD10&gt;0),2000,0)-IF(AND($L10=1,'計算A'!DG$117=1,HF10=0),2000,0))),1000000))</f>
        <v/>
      </c>
      <c r="SJ10">
        <f>IF($B10=0,1000000,IF(INDEX('計算A'!$D$60:$EQ$104,$B10,109)*HF10=1,IF(AND($E10=2,MU10=0),1000000,IF($I10&gt;0,IF(5=$J10,IF(OR(AND(109=$I10+1,OR($K10&lt;&gt;'計算A'!$A$3,'計算A'!$A$4=0)),AND(109=$I10-1,OR(13&lt;&gt;'計算A'!$A$3,'計算A'!$A$4=0))),0,IF(13=$K10,200000,ABS(13-$K10)*100)),100000+ABS(5-$J10)*1000+130)+'計算A'!DH$5*50+IF(AND($E10=1,MU10=0),25,0),IF($F10&gt;0,INDEX('計算A'!DH$110:DH$114,$F10+1)+IF(AND($E10=1,MU10=0),1000,0),MIN(TY10,20)*400+(IF('計算A'!DG$106=1,1-HE10,0)+IF('計算A'!DH$106=1,1-HG10,0))*150+135+'計算A'!DH$5*100000+IF(AND($E10=1,MU10=0),50000,0))+IF($H10=1,(IF('計算A'!DG$117=1,INDEX('計算A'!DG$10:DG$54,$B10),0)+IF('計算A'!DH$117=1,INDEX('計算A'!DI$10:DI$54,$B10),0))*4000,0)-IF(AND('計算A'!DG$117=1,YE10&gt;0),2000,0)-IF(AND($L10=1,'計算A'!DH$117=1,HG10=0),2000,0))),1000000))</f>
        <v/>
      </c>
      <c r="SK10">
        <f>IF($B10=0,1000000,IF(INDEX('計算A'!$D$60:$EQ$104,$B10,110)*HG10=1,IF(AND($E10=2,MV10=0),1000000,IF($I10&gt;0,IF(5=$J10,IF(OR(AND(110=$I10+1,OR($K10&lt;&gt;'計算A'!$A$3,'計算A'!$A$4=0)),AND(110=$I10-1,OR(14&lt;&gt;'計算A'!$A$3,'計算A'!$A$4=0))),0,IF(14=$K10,200000,ABS(14-$K10)*100)),100000+ABS(5-$J10)*1000+140)+'計算A'!DI$5*50+IF(AND($E10=1,MV10=0),25,0),IF($F10&gt;0,INDEX('計算A'!DI$110:DI$114,$F10+1)+IF(AND($E10=1,MV10=0),1000,0),MIN(TY10,20)*400+(IF('計算A'!DH$106=1,1-HF10,0)+IF('計算A'!DI$106=1,1-HH10,0))*150+145+'計算A'!DI$5*100000+IF(AND($E10=1,MV10=0),50000,0))+IF($H10=1,(IF('計算A'!DH$117=1,INDEX('計算A'!DH$10:DH$54,$B10),0)+IF('計算A'!DI$117=1,INDEX('計算A'!DJ$10:DJ$54,$B10),0))*4000,0)-IF(AND('計算A'!DH$117=1,YF10&gt;0),2000,0)-IF(AND($L10=1,'計算A'!DI$117=1,HH10=0),2000,0))),1000000))</f>
        <v/>
      </c>
      <c r="SL10">
        <f>IF($B10=0,1000000,IF(INDEX('計算A'!$D$60:$EQ$104,$B10,111)*HH10=1,IF(AND($E10=2,MW10=0),1000000,IF($I10&gt;0,IF(5=$J10,IF(OR(AND(111=$I10+1,OR($K10&lt;&gt;'計算A'!$A$3,'計算A'!$A$4=0)),AND(111=$I10-1,OR(15&lt;&gt;'計算A'!$A$3,'計算A'!$A$4=0))),0,IF(15=$K10,200000,ABS(15-$K10)*100)),100000+ABS(5-$J10)*1000+150)+'計算A'!DJ$5*50+IF(AND($E10=1,MW10=0),25,0),IF($F10&gt;0,INDEX('計算A'!DJ$110:DJ$114,$F10+1)+IF(AND($E10=1,MW10=0),1000,0),MIN(TY10,20)*400+(IF('計算A'!DI$106=1,1-HG10,0)+IF('計算A'!DJ$106=1,1-HI10,0))*150+155+'計算A'!DJ$5*100000+IF(AND($E10=1,MW10=0),50000,0))+IF($H10=1,(IF('計算A'!DI$117=1,INDEX('計算A'!DI$10:DI$54,$B10),0)+IF('計算A'!DJ$117=1,INDEX('計算A'!DK$10:DK$54,$B10),0))*4000,0)-IF(AND('計算A'!DI$117=1,YG10&gt;0),2000,0)-IF(AND($L10=1,'計算A'!DJ$117=1,HI10=0),2000,0))),1000000))</f>
        <v/>
      </c>
      <c r="SM10">
        <f>IF($B10=0,1000000,IF(INDEX('計算A'!$D$60:$EQ$104,$B10,112)*HI10=1,IF(AND($E10=2,MX10=0),1000000,IF($I10&gt;0,IF(5=$J10,IF(OR(AND(112=$I10+1,OR($K10&lt;&gt;'計算A'!$A$3,'計算A'!$A$4=0)),AND(112=$I10-1,OR(16&lt;&gt;'計算A'!$A$3,'計算A'!$A$4=0))),0,IF(16=$K10,200000,ABS(16-$K10)*100)),100000+ABS(5-$J10)*1000+160)+'計算A'!DK$5*50+IF(AND($E10=1,MX10=0),25,0),IF($F10&gt;0,INDEX('計算A'!DK$110:DK$114,$F10+1)+IF(AND($E10=1,MX10=0),1000,0),MIN(TY10,20)*400+(IF('計算A'!DJ$106=1,1-HH10,0)+IF('計算A'!DK$106=1,1-HJ10,0))*150+165+'計算A'!DK$5*100000+IF(AND($E10=1,MX10=0),50000,0))+IF($H10=1,(IF('計算A'!DJ$117=1,INDEX('計算A'!DJ$10:DJ$54,$B10),0)+IF('計算A'!DK$117=1,INDEX('計算A'!DL$10:DL$54,$B10),0))*4000,0)-IF(AND('計算A'!DJ$117=1,YH10&gt;0),2000,0)-IF(AND($L10=1,'計算A'!DK$117=1,HJ10=0),2000,0))),1000000))</f>
        <v/>
      </c>
      <c r="SN10">
        <f>IF($B10=0,1000000,IF(INDEX('計算A'!$D$60:$EQ$104,$B10,113)*HJ10=1,IF(AND($E10=2,MY10=0),1000000,IF($I10&gt;0,IF(5=$J10,IF(OR(AND(113=$I10+1,OR($K10&lt;&gt;'計算A'!$A$3,'計算A'!$A$4=0)),AND(113=$I10-1,OR(17&lt;&gt;'計算A'!$A$3,'計算A'!$A$4=0))),0,IF(17=$K10,200000,ABS(17-$K10)*100)),100000+ABS(5-$J10)*1000+170)+'計算A'!DL$5*50+IF(AND($E10=1,MY10=0),25,0),IF($F10&gt;0,INDEX('計算A'!DL$110:DL$114,$F10+1)+IF(AND($E10=1,MY10=0),1000,0),MIN(TY10,20)*400+(IF('計算A'!DK$106=1,1-HI10,0)+IF('計算A'!DL$106=1,1-HK10,0))*150+175+'計算A'!DL$5*100000+IF(AND($E10=1,MY10=0),50000,0))+IF($H10=1,(IF('計算A'!DK$117=1,INDEX('計算A'!DK$10:DK$54,$B10),0)+IF('計算A'!DL$117=1,INDEX('計算A'!DM$10:DM$54,$B10),0))*4000,0)-IF(AND('計算A'!DK$117=1,YI10&gt;0),2000,0)-IF(AND($L10=1,'計算A'!DL$117=1,HK10=0),2000,0))),1000000))</f>
        <v/>
      </c>
      <c r="SO10">
        <f>IF($B10=0,1000000,IF(INDEX('計算A'!$D$60:$EQ$104,$B10,114)*HK10=1,IF(AND($E10=2,MZ10=0),1000000,IF($I10&gt;0,IF(5=$J10,IF(OR(AND(114=$I10+1,OR($K10&lt;&gt;'計算A'!$A$3,'計算A'!$A$4=0)),AND(114=$I10-1,OR(18&lt;&gt;'計算A'!$A$3,'計算A'!$A$4=0))),0,IF(18=$K10,200000,ABS(18-$K10)*100)),100000+ABS(5-$J10)*1000+180)+'計算A'!DM$5*50+IF(AND($E10=1,MZ10=0),25,0),IF($F10&gt;0,INDEX('計算A'!DM$110:DM$114,$F10+1)+IF(AND($E10=1,MZ10=0),1000,0),MIN(TY10,20)*400+(IF('計算A'!DL$106=1,1-HJ10,0)+IF('計算A'!DM$106=1,1-HL10,0))*150+185+'計算A'!DM$5*100000+IF(AND($E10=1,MZ10=0),50000,0))+IF($H10=1,(IF('計算A'!DL$117=1,INDEX('計算A'!DL$10:DL$54,$B10),0)+IF('計算A'!DM$117=1,INDEX('計算A'!DN$10:DN$54,$B10),0))*4000,0)-IF(AND('計算A'!DL$117=1,YJ10&gt;0),2000,0)-IF(AND($L10=1,'計算A'!DM$117=1,HL10=0),2000,0))),1000000))</f>
        <v/>
      </c>
      <c r="SP10">
        <f>IF($B10=0,1000000,IF(INDEX('計算A'!$D$60:$EQ$104,$B10,115)*HL10=1,IF(AND($E10=2,NA10=0),1000000,IF($I10&gt;0,IF(5=$J10,IF(OR(AND(115=$I10+1,OR($K10&lt;&gt;'計算A'!$A$3,'計算A'!$A$4=0)),AND(115=$I10-1,OR(19&lt;&gt;'計算A'!$A$3,'計算A'!$A$4=0))),0,IF(19=$K10,200000,ABS(19-$K10)*100)),100000+ABS(5-$J10)*1000+190)+'計算A'!DN$5*50+IF(AND($E10=1,NA10=0),25,0),IF($F10&gt;0,INDEX('計算A'!DN$110:DN$114,$F10+1)+IF(AND($E10=1,NA10=0),1000,0),MIN(TY10,20)*400+(IF('計算A'!DM$106=1,1-HK10,0)+IF('計算A'!DN$106=1,1-HM10,0))*150+195+'計算A'!DN$5*100000+IF(AND($E10=1,NA10=0),50000,0))+IF($H10=1,(IF('計算A'!DM$117=1,INDEX('計算A'!DM$10:DM$54,$B10),0)+IF('計算A'!DN$117=1,INDEX('計算A'!DO$10:DO$54,$B10),0))*4000,0)-IF(AND('計算A'!DM$117=1,YK10&gt;0),2000,0)-IF(AND($L10=1,'計算A'!DN$117=1,HM10=0),2000,0))),1000000))</f>
        <v/>
      </c>
      <c r="SQ10">
        <f>IF($B10=0,1000000,IF(INDEX('計算A'!$D$60:$EQ$104,$B10,116)*HM10=1,IF(AND($E10=2,NB10=0),1000000,IF($I10&gt;0,IF(5=$J10,IF(OR(AND(116=$I10+1,OR($K10&lt;&gt;'計算A'!$A$3,'計算A'!$A$4=0)),AND(116=$I10-1,OR(20&lt;&gt;'計算A'!$A$3,'計算A'!$A$4=0))),0,IF(20=$K10,200000,ABS(20-$K10)*100)),100000+ABS(5-$J10)*1000+200)+'計算A'!DO$5*50+IF(AND($E10=1,NB10=0),25,0),IF($F10&gt;0,INDEX('計算A'!DO$110:DO$114,$F10+1)+IF(AND($E10=1,NB10=0),1000,0),MIN(TY10,20)*400+(IF('計算A'!DN$106=1,1-HL10,0)+IF('計算A'!DO$106=1,1-HN10,0))*150+205+'計算A'!DO$5*100000+IF(AND($E10=1,NB10=0),50000,0))+IF($H10=1,(IF('計算A'!DN$117=1,INDEX('計算A'!DN$10:DN$54,$B10),0)+IF('計算A'!DO$117=1,INDEX('計算A'!DP$10:DP$54,$B10),0))*4000,0)-IF(AND('計算A'!DN$117=1,YL10&gt;0),2000,0)-IF(AND($L10=1,'計算A'!DO$117=1,HN10=0),2000,0))),1000000))</f>
        <v/>
      </c>
      <c r="SR10">
        <f>IF($B10=0,1000000,IF(INDEX('計算A'!$D$60:$EQ$104,$B10,117)*HN10=1,IF(AND($E10=2,NC10=0),1000000,IF($I10&gt;0,IF(5=$J10,IF(OR(AND(117=$I10+1,OR($K10&lt;&gt;'計算A'!$A$3,'計算A'!$A$4=0)),AND(117=$I10-1,OR(21&lt;&gt;'計算A'!$A$3,'計算A'!$A$4=0))),0,IF(21=$K10,200000,ABS(21-$K10)*100)),100000+ABS(5-$J10)*1000+210)+'計算A'!DP$5*50+IF(AND($E10=1,NC10=0),25,0),IF($F10&gt;0,INDEX('計算A'!DP$110:DP$114,$F10+1)+IF(AND($E10=1,NC10=0),1000,0),MIN(TY10,20)*400+(IF('計算A'!DO$106=1,1-HM10,0)+IF('計算A'!DP$106=1,1-HO10,0))*150+215+'計算A'!DP$5*100000+IF(AND($E10=1,NC10=0),50000,0))+IF($H10=1,(IF('計算A'!DO$117=1,INDEX('計算A'!DO$10:DO$54,$B10),0)+IF('計算A'!DP$117=1,INDEX('計算A'!DQ$10:DQ$54,$B10),0))*4000,0)-IF(AND('計算A'!DO$117=1,YM10&gt;0),2000,0)-IF(AND($L10=1,'計算A'!DP$117=1,HO10=0),2000,0))),1000000))</f>
        <v/>
      </c>
      <c r="SS10">
        <f>IF($B10=0,1000000,IF(INDEX('計算A'!$D$60:$EQ$104,$B10,118)*HO10=1,IF(AND($E10=2,ND10=0),1000000,IF($I10&gt;0,IF(5=$J10,IF(OR(AND(118=$I10+1,OR($K10&lt;&gt;'計算A'!$A$3,'計算A'!$A$4=0)),AND(118=$I10-1,OR(22&lt;&gt;'計算A'!$A$3,'計算A'!$A$4=0))),0,IF(22=$K10,200000,ABS(22-$K10)*100)),100000+ABS(5-$J10)*1000+220)+'計算A'!DQ$5*50+IF(AND($E10=1,ND10=0),25,0),IF($F10&gt;0,INDEX('計算A'!DQ$110:DQ$114,$F10+1)+IF(AND($E10=1,ND10=0),1000,0),MIN(TY10,20)*400+(IF('計算A'!DP$106=1,1-HN10,0)+IF('計算A'!DQ$106=1,1-HP10,0))*150+225+'計算A'!DQ$5*100000+IF(AND($E10=1,ND10=0),50000,0))+IF($H10=1,(IF('計算A'!DP$117=1,INDEX('計算A'!DP$10:DP$54,$B10),0)+IF('計算A'!DQ$117=1,INDEX('計算A'!DR$10:DR$54,$B10),0))*4000,0)-IF(AND('計算A'!DP$117=1,YN10&gt;0),2000,0)-IF(AND($L10=1,'計算A'!DQ$117=1,HP10=0),2000,0))),1000000))</f>
        <v/>
      </c>
      <c r="ST10">
        <f>IF($B10=0,1000000,IF(INDEX('計算A'!$D$60:$EQ$104,$B10,119)*HP10=1,IF(AND($E10=2,NE10=0),1000000,IF($I10&gt;0,IF(5=$J10,IF(OR(AND(119=$I10+1,OR($K10&lt;&gt;'計算A'!$A$3,'計算A'!$A$4=0)),AND(119=$I10-1,OR(23&lt;&gt;'計算A'!$A$3,'計算A'!$A$4=0))),0,IF(23=$K10,200000,ABS(23-$K10)*100)),100000+ABS(5-$J10)*1000+230)+'計算A'!DR$5*50+IF(AND($E10=1,NE10=0),25,0),IF($F10&gt;0,INDEX('計算A'!DR$110:DR$114,$F10+1)+IF(AND($E10=1,NE10=0),1000,0),MIN(TY10,20)*400+(IF('計算A'!DQ$106=1,1-HO10,0)+IF('計算A'!DR$106=1,1-HQ10,0))*150+235+'計算A'!DR$5*100000+IF(AND($E10=1,NE10=0),50000,0))+IF($H10=1,(IF('計算A'!DQ$117=1,INDEX('計算A'!DQ$10:DQ$54,$B10),0)+IF('計算A'!DR$117=1,INDEX('計算A'!DS$10:DS$54,$B10),0))*4000,0)-IF(AND('計算A'!DQ$117=1,YO10&gt;0),2000,0)-IF(AND($L10=1,'計算A'!DR$117=1,HQ10=0),2000,0))),1000000))</f>
        <v/>
      </c>
      <c r="SU10">
        <f>IF($B10=0,1000000,IF(INDEX('計算A'!$D$60:$EQ$104,$B10,120)*HQ10=1,IF(AND($E10=2,NF10=0),1000000,IF($I10&gt;0,IF(5=$J10,IF(OR(AND(120=$I10+1,OR($K10&lt;&gt;'計算A'!$A$3,'計算A'!$A$4=0)),AND(120=$I10-1,OR(24&lt;&gt;'計算A'!$A$3,'計算A'!$A$4=0))),0,IF(24=$K10,200000,ABS(24-$K10)*100)),100000+ABS(5-$J10)*1000+240)+'計算A'!DS$5*50+IF(AND($E10=1,NF10=0),25,0),IF($F10&gt;0,INDEX('計算A'!DS$110:DS$114,$F10+1)+IF(AND($E10=1,NF10=0),1000,0),MIN(TY10,20)*400+(IF('計算A'!DR$106=1,1-HP10,0))*150+245+'計算A'!DS$5*100000+IF(AND($E10=1,NF10=0),50000,0))+IF($H10=1,(IF('計算A'!DR$117=1,INDEX('計算A'!DR$10:DR$54,$B10),0))*4000,0)-IF(AND('計算A'!DR$117=1,YP10&gt;0),2000,0))),1000000))</f>
        <v/>
      </c>
      <c r="SV10">
        <f>IF($B10=0,1000000,IF(INDEX('計算A'!$D$60:$EQ$104,$B10,121)*HR10=1,IF(AND($E10=2,NG10=0),1000000,IF($I10&gt;0,IF(6=$J10,IF(OR(AND(121=$I10+1,OR($K10&lt;&gt;'計算A'!$A$3,'計算A'!$A$4=0)),AND(121=$I10-1,OR(1&lt;&gt;'計算A'!$A$3,'計算A'!$A$4=0))),0,IF(1=$K10,200000,ABS(1-$K10)*100)),100000+ABS(6-$J10)*1000+10)+'計算A'!DT$5*50+IF(AND($E10=1,NG10=0),25,0),IF($F10&gt;0,INDEX('計算A'!DT$110:DT$114,$F10+1)+IF(AND($E10=1,NG10=0),1000,0),MIN(TZ10,20)*400+(IF('計算A'!DT$106=1,1-HS10,0))*150+16+'計算A'!DT$5*100000+IF(AND($E10=1,NG10=0),50000,0))+IF($H10=1,(IF('計算A'!DT$117=1,INDEX('計算A'!DU$10:DU$54,$B10),0))*4000,0)-IF(AND($L10=1,'計算A'!DT$117=1,HS10=0),2000,0))),1000000))</f>
        <v/>
      </c>
      <c r="SW10">
        <f>IF($B10=0,1000000,IF(INDEX('計算A'!$D$60:$EQ$104,$B10,122)*HS10=1,IF(AND($E10=2,NH10=0),1000000,IF($I10&gt;0,IF(6=$J10,IF(OR(AND(122=$I10+1,OR($K10&lt;&gt;'計算A'!$A$3,'計算A'!$A$4=0)),AND(122=$I10-1,OR(2&lt;&gt;'計算A'!$A$3,'計算A'!$A$4=0))),0,IF(2=$K10,200000,ABS(2-$K10)*100)),100000+ABS(6-$J10)*1000+20)+'計算A'!DU$5*50+IF(AND($E10=1,NH10=0),25,0),IF($F10&gt;0,INDEX('計算A'!DU$110:DU$114,$F10+1)+IF(AND($E10=1,NH10=0),1000,0),MIN(TZ10,20)*400+(IF('計算A'!DT$106=1,1-HR10,0)+IF('計算A'!DU$106=1,1-HT10,0))*150+26+'計算A'!DU$5*100000+IF(AND($E10=1,NH10=0),50000,0))+IF($H10=1,(IF('計算A'!DT$117=1,INDEX('計算A'!DT$10:DT$54,$B10),0)+IF('計算A'!DU$117=1,INDEX('計算A'!DV$10:DV$54,$B10),0))*4000,0)-IF(AND('計算A'!DT$117=1,YR10&gt;0),2000,0)-IF(AND($L10=1,'計算A'!DU$117=1,HT10=0),2000,0))),1000000))</f>
        <v/>
      </c>
      <c r="SX10">
        <f>IF($B10=0,1000000,IF(INDEX('計算A'!$D$60:$EQ$104,$B10,123)*HT10=1,IF(AND($E10=2,NI10=0),1000000,IF($I10&gt;0,IF(6=$J10,IF(OR(AND(123=$I10+1,OR($K10&lt;&gt;'計算A'!$A$3,'計算A'!$A$4=0)),AND(123=$I10-1,OR(3&lt;&gt;'計算A'!$A$3,'計算A'!$A$4=0))),0,IF(3=$K10,200000,ABS(3-$K10)*100)),100000+ABS(6-$J10)*1000+30)+'計算A'!DV$5*50+IF(AND($E10=1,NI10=0),25,0),IF($F10&gt;0,INDEX('計算A'!DV$110:DV$114,$F10+1)+IF(AND($E10=1,NI10=0),1000,0),MIN(TZ10,20)*400+(IF('計算A'!DU$106=1,1-HS10,0)+IF('計算A'!DV$106=1,1-HU10,0))*150+36+'計算A'!DV$5*100000+IF(AND($E10=1,NI10=0),50000,0))+IF($H10=1,(IF('計算A'!DU$117=1,INDEX('計算A'!DU$10:DU$54,$B10),0)+IF('計算A'!DV$117=1,INDEX('計算A'!DW$10:DW$54,$B10),0))*4000,0)-IF(AND('計算A'!DU$117=1,YS10&gt;0),2000,0)-IF(AND($L10=1,'計算A'!DV$117=1,HU10=0),2000,0))),1000000))</f>
        <v/>
      </c>
      <c r="SY10">
        <f>IF($B10=0,1000000,IF(INDEX('計算A'!$D$60:$EQ$104,$B10,124)*HU10=1,IF(AND($E10=2,NJ10=0),1000000,IF($I10&gt;0,IF(6=$J10,IF(OR(AND(124=$I10+1,OR($K10&lt;&gt;'計算A'!$A$3,'計算A'!$A$4=0)),AND(124=$I10-1,OR(4&lt;&gt;'計算A'!$A$3,'計算A'!$A$4=0))),0,IF(4=$K10,200000,ABS(4-$K10)*100)),100000+ABS(6-$J10)*1000+40)+'計算A'!DW$5*50+IF(AND($E10=1,NJ10=0),25,0),IF($F10&gt;0,INDEX('計算A'!DW$110:DW$114,$F10+1)+IF(AND($E10=1,NJ10=0),1000,0),MIN(TZ10,20)*400+(IF('計算A'!DV$106=1,1-HT10,0)+IF('計算A'!DW$106=1,1-HV10,0))*150+46+'計算A'!DW$5*100000+IF(AND($E10=1,NJ10=0),50000,0))+IF($H10=1,(IF('計算A'!DV$117=1,INDEX('計算A'!DV$10:DV$54,$B10),0)+IF('計算A'!DW$117=1,INDEX('計算A'!DX$10:DX$54,$B10),0))*4000,0)-IF(AND('計算A'!DV$117=1,YT10&gt;0),2000,0)-IF(AND($L10=1,'計算A'!DW$117=1,HV10=0),2000,0))),1000000))</f>
        <v/>
      </c>
      <c r="SZ10">
        <f>IF($B10=0,1000000,IF(INDEX('計算A'!$D$60:$EQ$104,$B10,125)*HV10=1,IF(AND($E10=2,NK10=0),1000000,IF($I10&gt;0,IF(6=$J10,IF(OR(AND(125=$I10+1,OR($K10&lt;&gt;'計算A'!$A$3,'計算A'!$A$4=0)),AND(125=$I10-1,OR(5&lt;&gt;'計算A'!$A$3,'計算A'!$A$4=0))),0,IF(5=$K10,200000,ABS(5-$K10)*100)),100000+ABS(6-$J10)*1000+50)+'計算A'!DX$5*50+IF(AND($E10=1,NK10=0),25,0),IF($F10&gt;0,INDEX('計算A'!DX$110:DX$114,$F10+1)+IF(AND($E10=1,NK10=0),1000,0),MIN(TZ10,20)*400+(IF('計算A'!DW$106=1,1-HU10,0)+IF('計算A'!DX$106=1,1-HW10,0))*150+56+'計算A'!DX$5*100000+IF(AND($E10=1,NK10=0),50000,0))+IF($H10=1,(IF('計算A'!DW$117=1,INDEX('計算A'!DW$10:DW$54,$B10),0)+IF('計算A'!DX$117=1,INDEX('計算A'!DY$10:DY$54,$B10),0))*4000,0)-IF(AND('計算A'!DW$117=1,YU10&gt;0),2000,0)-IF(AND($L10=1,'計算A'!DX$117=1,HW10=0),2000,0))),1000000))</f>
        <v/>
      </c>
      <c r="TA10">
        <f>IF($B10=0,1000000,IF(INDEX('計算A'!$D$60:$EQ$104,$B10,126)*HW10=1,IF(AND($E10=2,NL10=0),1000000,IF($I10&gt;0,IF(6=$J10,IF(OR(AND(126=$I10+1,OR($K10&lt;&gt;'計算A'!$A$3,'計算A'!$A$4=0)),AND(126=$I10-1,OR(6&lt;&gt;'計算A'!$A$3,'計算A'!$A$4=0))),0,IF(6=$K10,200000,ABS(6-$K10)*100)),100000+ABS(6-$J10)*1000+60)+'計算A'!DY$5*50+IF(AND($E10=1,NL10=0),25,0),IF($F10&gt;0,INDEX('計算A'!DY$110:DY$114,$F10+1)+IF(AND($E10=1,NL10=0),1000,0),MIN(TZ10,20)*400+(IF('計算A'!DX$106=1,1-HV10,0)+IF('計算A'!DY$106=1,1-HX10,0))*150+66+'計算A'!DY$5*100000+IF(AND($E10=1,NL10=0),50000,0))+IF($H10=1,(IF('計算A'!DX$117=1,INDEX('計算A'!DX$10:DX$54,$B10),0)+IF('計算A'!DY$117=1,INDEX('計算A'!DZ$10:DZ$54,$B10),0))*4000,0)-IF(AND('計算A'!DX$117=1,YV10&gt;0),2000,0)-IF(AND($L10=1,'計算A'!DY$117=1,HX10=0),2000,0))),1000000))</f>
        <v/>
      </c>
      <c r="TB10">
        <f>IF($B10=0,1000000,IF(INDEX('計算A'!$D$60:$EQ$104,$B10,127)*HX10=1,IF(AND($E10=2,NM10=0),1000000,IF($I10&gt;0,IF(6=$J10,IF(OR(AND(127=$I10+1,OR($K10&lt;&gt;'計算A'!$A$3,'計算A'!$A$4=0)),AND(127=$I10-1,OR(7&lt;&gt;'計算A'!$A$3,'計算A'!$A$4=0))),0,IF(7=$K10,200000,ABS(7-$K10)*100)),100000+ABS(6-$J10)*1000+70)+'計算A'!DZ$5*50+IF(AND($E10=1,NM10=0),25,0),IF($F10&gt;0,INDEX('計算A'!DZ$110:DZ$114,$F10+1)+IF(AND($E10=1,NM10=0),1000,0),MIN(TZ10,20)*400+(IF('計算A'!DY$106=1,1-HW10,0)+IF('計算A'!DZ$106=1,1-HY10,0))*150+76+'計算A'!DZ$5*100000+IF(AND($E10=1,NM10=0),50000,0))+IF($H10=1,(IF('計算A'!DY$117=1,INDEX('計算A'!DY$10:DY$54,$B10),0)+IF('計算A'!DZ$117=1,INDEX('計算A'!EA$10:EA$54,$B10),0))*4000,0)-IF(AND('計算A'!DY$117=1,YW10&gt;0),2000,0)-IF(AND($L10=1,'計算A'!DZ$117=1,HY10=0),2000,0))),1000000))</f>
        <v/>
      </c>
      <c r="TC10">
        <f>IF($B10=0,1000000,IF(INDEX('計算A'!$D$60:$EQ$104,$B10,128)*HY10=1,IF(AND($E10=2,NN10=0),1000000,IF($I10&gt;0,IF(6=$J10,IF(OR(AND(128=$I10+1,OR($K10&lt;&gt;'計算A'!$A$3,'計算A'!$A$4=0)),AND(128=$I10-1,OR(8&lt;&gt;'計算A'!$A$3,'計算A'!$A$4=0))),0,IF(8=$K10,200000,ABS(8-$K10)*100)),100000+ABS(6-$J10)*1000+80)+'計算A'!EA$5*50+IF(AND($E10=1,NN10=0),25,0),IF($F10&gt;0,INDEX('計算A'!EA$110:EA$114,$F10+1)+IF(AND($E10=1,NN10=0),1000,0),MIN(TZ10,20)*400+(IF('計算A'!DZ$106=1,1-HX10,0)+IF('計算A'!EA$106=1,1-HZ10,0))*150+86+'計算A'!EA$5*100000+IF(AND($E10=1,NN10=0),50000,0))+IF($H10=1,(IF('計算A'!DZ$117=1,INDEX('計算A'!DZ$10:DZ$54,$B10),0)+IF('計算A'!EA$117=1,INDEX('計算A'!EB$10:EB$54,$B10),0))*4000,0)-IF(AND('計算A'!DZ$117=1,YX10&gt;0),2000,0)-IF(AND($L10=1,'計算A'!EA$117=1,HZ10=0),2000,0))),1000000))</f>
        <v/>
      </c>
      <c r="TD10">
        <f>IF($B10=0,1000000,IF(INDEX('計算A'!$D$60:$EQ$104,$B10,129)*HZ10=1,IF(AND($E10=2,NO10=0),1000000,IF($I10&gt;0,IF(6=$J10,IF(OR(AND(129=$I10+1,OR($K10&lt;&gt;'計算A'!$A$3,'計算A'!$A$4=0)),AND(129=$I10-1,OR(9&lt;&gt;'計算A'!$A$3,'計算A'!$A$4=0))),0,IF(9=$K10,200000,ABS(9-$K10)*100)),100000+ABS(6-$J10)*1000+90)+'計算A'!EB$5*50+IF(AND($E10=1,NO10=0),25,0),IF($F10&gt;0,INDEX('計算A'!EB$110:EB$114,$F10+1)+IF(AND($E10=1,NO10=0),1000,0),MIN(TZ10,20)*400+(IF('計算A'!EA$106=1,1-HY10,0)+IF('計算A'!EB$106=1,1-IA10,0))*150+96+'計算A'!EB$5*100000+IF(AND($E10=1,NO10=0),50000,0))+IF($H10=1,(IF('計算A'!EA$117=1,INDEX('計算A'!EA$10:EA$54,$B10),0)+IF('計算A'!EB$117=1,INDEX('計算A'!EC$10:EC$54,$B10),0))*4000,0)-IF(AND('計算A'!EA$117=1,YY10&gt;0),2000,0)-IF(AND($L10=1,'計算A'!EB$117=1,IA10=0),2000,0))),1000000))</f>
        <v/>
      </c>
      <c r="TE10">
        <f>IF($B10=0,1000000,IF(INDEX('計算A'!$D$60:$EQ$104,$B10,130)*IA10=1,IF(AND($E10=2,NP10=0),1000000,IF($I10&gt;0,IF(6=$J10,IF(OR(AND(130=$I10+1,OR($K10&lt;&gt;'計算A'!$A$3,'計算A'!$A$4=0)),AND(130=$I10-1,OR(10&lt;&gt;'計算A'!$A$3,'計算A'!$A$4=0))),0,IF(10=$K10,200000,ABS(10-$K10)*100)),100000+ABS(6-$J10)*1000+100)+'計算A'!EC$5*50+IF(AND($E10=1,NP10=0),25,0),IF($F10&gt;0,INDEX('計算A'!EC$110:EC$114,$F10+1)+IF(AND($E10=1,NP10=0),1000,0),MIN(TZ10,20)*400+(IF('計算A'!EB$106=1,1-HZ10,0)+IF('計算A'!EC$106=1,1-IB10,0))*150+106+'計算A'!EC$5*100000+IF(AND($E10=1,NP10=0),50000,0))+IF($H10=1,(IF('計算A'!EB$117=1,INDEX('計算A'!EB$10:EB$54,$B10),0)+IF('計算A'!EC$117=1,INDEX('計算A'!ED$10:ED$54,$B10),0))*4000,0)-IF(AND('計算A'!EB$117=1,YZ10&gt;0),2000,0)-IF(AND($L10=1,'計算A'!EC$117=1,IB10=0),2000,0))),1000000))</f>
        <v/>
      </c>
      <c r="TF10">
        <f>IF($B10=0,1000000,IF(INDEX('計算A'!$D$60:$EQ$104,$B10,131)*IB10=1,IF(AND($E10=2,NQ10=0),1000000,IF($I10&gt;0,IF(6=$J10,IF(OR(AND(131=$I10+1,OR($K10&lt;&gt;'計算A'!$A$3,'計算A'!$A$4=0)),AND(131=$I10-1,OR(11&lt;&gt;'計算A'!$A$3,'計算A'!$A$4=0))),0,IF(11=$K10,200000,ABS(11-$K10)*100)),100000+ABS(6-$J10)*1000+110)+'計算A'!ED$5*50+IF(AND($E10=1,NQ10=0),25,0),IF($F10&gt;0,INDEX('計算A'!ED$110:ED$114,$F10+1)+IF(AND($E10=1,NQ10=0),1000,0),MIN(TZ10,20)*400+(IF('計算A'!EC$106=1,1-IA10,0)+IF('計算A'!ED$106=1,1-IC10,0))*150+116+'計算A'!ED$5*100000+IF(AND($E10=1,NQ10=0),50000,0))+IF($H10=1,(IF('計算A'!EC$117=1,INDEX('計算A'!EC$10:EC$54,$B10),0)+IF('計算A'!ED$117=1,INDEX('計算A'!EE$10:EE$54,$B10),0))*4000,0)-IF(AND('計算A'!EC$117=1,ZA10&gt;0),2000,0)-IF(AND($L10=1,'計算A'!ED$117=1,IC10=0),2000,0))),1000000))</f>
        <v/>
      </c>
      <c r="TG10">
        <f>IF($B10=0,1000000,IF(INDEX('計算A'!$D$60:$EQ$104,$B10,132)*IC10=1,IF(AND($E10=2,NR10=0),1000000,IF($I10&gt;0,IF(6=$J10,IF(OR(AND(132=$I10+1,OR($K10&lt;&gt;'計算A'!$A$3,'計算A'!$A$4=0)),AND(132=$I10-1,OR(12&lt;&gt;'計算A'!$A$3,'計算A'!$A$4=0))),0,IF(12=$K10,200000,ABS(12-$K10)*100)),100000+ABS(6-$J10)*1000+120)+'計算A'!EE$5*50+IF(AND($E10=1,NR10=0),25,0),IF($F10&gt;0,INDEX('計算A'!EE$110:EE$114,$F10+1)+IF(AND($E10=1,NR10=0),1000,0),MIN(TZ10,20)*400+(IF('計算A'!ED$106=1,1-IB10,0)+IF('計算A'!EE$106=1,1-ID10,0))*150+126+'計算A'!EE$5*100000+IF(AND($E10=1,NR10=0),50000,0))+IF($H10=1,(IF('計算A'!ED$117=1,INDEX('計算A'!ED$10:ED$54,$B10),0)+IF('計算A'!EE$117=1,INDEX('計算A'!EF$10:EF$54,$B10),0))*4000,0)-IF(AND('計算A'!ED$117=1,ZB10&gt;0),2000,0)-IF(AND($L10=1,'計算A'!EE$117=1,ID10=0),2000,0))),1000000))</f>
        <v/>
      </c>
      <c r="TH10">
        <f>IF($B10=0,1000000,IF(INDEX('計算A'!$D$60:$EQ$104,$B10,133)*ID10=1,IF(AND($E10=2,NS10=0),1000000,IF($I10&gt;0,IF(6=$J10,IF(OR(AND(133=$I10+1,OR($K10&lt;&gt;'計算A'!$A$3,'計算A'!$A$4=0)),AND(133=$I10-1,OR(13&lt;&gt;'計算A'!$A$3,'計算A'!$A$4=0))),0,IF(13=$K10,200000,ABS(13-$K10)*100)),100000+ABS(6-$J10)*1000+130)+'計算A'!EF$5*50+IF(AND($E10=1,NS10=0),25,0),IF($F10&gt;0,INDEX('計算A'!EF$110:EF$114,$F10+1)+IF(AND($E10=1,NS10=0),1000,0),MIN(TZ10,20)*400+(IF('計算A'!EE$106=1,1-IC10,0)+IF('計算A'!EF$106=1,1-IE10,0))*150+136+'計算A'!EF$5*100000+IF(AND($E10=1,NS10=0),50000,0))+IF($H10=1,(IF('計算A'!EE$117=1,INDEX('計算A'!EE$10:EE$54,$B10),0)+IF('計算A'!EF$117=1,INDEX('計算A'!EG$10:EG$54,$B10),0))*4000,0)-IF(AND('計算A'!EE$117=1,ZC10&gt;0),2000,0)-IF(AND($L10=1,'計算A'!EF$117=1,IE10=0),2000,0))),1000000))</f>
        <v/>
      </c>
      <c r="TI10">
        <f>IF($B10=0,1000000,IF(INDEX('計算A'!$D$60:$EQ$104,$B10,134)*IE10=1,IF(AND($E10=2,NT10=0),1000000,IF($I10&gt;0,IF(6=$J10,IF(OR(AND(134=$I10+1,OR($K10&lt;&gt;'計算A'!$A$3,'計算A'!$A$4=0)),AND(134=$I10-1,OR(14&lt;&gt;'計算A'!$A$3,'計算A'!$A$4=0))),0,IF(14=$K10,200000,ABS(14-$K10)*100)),100000+ABS(6-$J10)*1000+140)+'計算A'!EG$5*50+IF(AND($E10=1,NT10=0),25,0),IF($F10&gt;0,INDEX('計算A'!EG$110:EG$114,$F10+1)+IF(AND($E10=1,NT10=0),1000,0),MIN(TZ10,20)*400+(IF('計算A'!EF$106=1,1-ID10,0)+IF('計算A'!EG$106=1,1-IF10,0))*150+146+'計算A'!EG$5*100000+IF(AND($E10=1,NT10=0),50000,0))+IF($H10=1,(IF('計算A'!EF$117=1,INDEX('計算A'!EF$10:EF$54,$B10),0)+IF('計算A'!EG$117=1,INDEX('計算A'!EH$10:EH$54,$B10),0))*4000,0)-IF(AND('計算A'!EF$117=1,ZD10&gt;0),2000,0)-IF(AND($L10=1,'計算A'!EG$117=1,IF10=0),2000,0))),1000000))</f>
        <v/>
      </c>
      <c r="TJ10">
        <f>IF($B10=0,1000000,IF(INDEX('計算A'!$D$60:$EQ$104,$B10,135)*IF10=1,IF(AND($E10=2,NU10=0),1000000,IF($I10&gt;0,IF(6=$J10,IF(OR(AND(135=$I10+1,OR($K10&lt;&gt;'計算A'!$A$3,'計算A'!$A$4=0)),AND(135=$I10-1,OR(15&lt;&gt;'計算A'!$A$3,'計算A'!$A$4=0))),0,IF(15=$K10,200000,ABS(15-$K10)*100)),100000+ABS(6-$J10)*1000+150)+'計算A'!EH$5*50+IF(AND($E10=1,NU10=0),25,0),IF($F10&gt;0,INDEX('計算A'!EH$110:EH$114,$F10+1)+IF(AND($E10=1,NU10=0),1000,0),MIN(TZ10,20)*400+(IF('計算A'!EG$106=1,1-IE10,0)+IF('計算A'!EH$106=1,1-IG10,0))*150+156+'計算A'!EH$5*100000+IF(AND($E10=1,NU10=0),50000,0))+IF($H10=1,(IF('計算A'!EG$117=1,INDEX('計算A'!EG$10:EG$54,$B10),0)+IF('計算A'!EH$117=1,INDEX('計算A'!EI$10:EI$54,$B10),0))*4000,0)-IF(AND('計算A'!EG$117=1,ZE10&gt;0),2000,0)-IF(AND($L10=1,'計算A'!EH$117=1,IG10=0),2000,0))),1000000))</f>
        <v/>
      </c>
      <c r="TK10">
        <f>IF($B10=0,1000000,IF(INDEX('計算A'!$D$60:$EQ$104,$B10,136)*IG10=1,IF(AND($E10=2,NV10=0),1000000,IF($I10&gt;0,IF(6=$J10,IF(OR(AND(136=$I10+1,OR($K10&lt;&gt;'計算A'!$A$3,'計算A'!$A$4=0)),AND(136=$I10-1,OR(16&lt;&gt;'計算A'!$A$3,'計算A'!$A$4=0))),0,IF(16=$K10,200000,ABS(16-$K10)*100)),100000+ABS(6-$J10)*1000+160)+'計算A'!EI$5*50+IF(AND($E10=1,NV10=0),25,0),IF($F10&gt;0,INDEX('計算A'!EI$110:EI$114,$F10+1)+IF(AND($E10=1,NV10=0),1000,0),MIN(TZ10,20)*400+(IF('計算A'!EH$106=1,1-IF10,0)+IF('計算A'!EI$106=1,1-IH10,0))*150+166+'計算A'!EI$5*100000+IF(AND($E10=1,NV10=0),50000,0))+IF($H10=1,(IF('計算A'!EH$117=1,INDEX('計算A'!EH$10:EH$54,$B10),0)+IF('計算A'!EI$117=1,INDEX('計算A'!EJ$10:EJ$54,$B10),0))*4000,0)-IF(AND('計算A'!EH$117=1,ZF10&gt;0),2000,0)-IF(AND($L10=1,'計算A'!EI$117=1,IH10=0),2000,0))),1000000))</f>
        <v/>
      </c>
      <c r="TL10">
        <f>IF($B10=0,1000000,IF(INDEX('計算A'!$D$60:$EQ$104,$B10,137)*IH10=1,IF(AND($E10=2,NW10=0),1000000,IF($I10&gt;0,IF(6=$J10,IF(OR(AND(137=$I10+1,OR($K10&lt;&gt;'計算A'!$A$3,'計算A'!$A$4=0)),AND(137=$I10-1,OR(17&lt;&gt;'計算A'!$A$3,'計算A'!$A$4=0))),0,IF(17=$K10,200000,ABS(17-$K10)*100)),100000+ABS(6-$J10)*1000+170)+'計算A'!EJ$5*50+IF(AND($E10=1,NW10=0),25,0),IF($F10&gt;0,INDEX('計算A'!EJ$110:EJ$114,$F10+1)+IF(AND($E10=1,NW10=0),1000,0),MIN(TZ10,20)*400+(IF('計算A'!EI$106=1,1-IG10,0)+IF('計算A'!EJ$106=1,1-II10,0))*150+176+'計算A'!EJ$5*100000+IF(AND($E10=1,NW10=0),50000,0))+IF($H10=1,(IF('計算A'!EI$117=1,INDEX('計算A'!EI$10:EI$54,$B10),0)+IF('計算A'!EJ$117=1,INDEX('計算A'!EK$10:EK$54,$B10),0))*4000,0)-IF(AND('計算A'!EI$117=1,ZG10&gt;0),2000,0)-IF(AND($L10=1,'計算A'!EJ$117=1,II10=0),2000,0))),1000000))</f>
        <v/>
      </c>
      <c r="TM10">
        <f>IF($B10=0,1000000,IF(INDEX('計算A'!$D$60:$EQ$104,$B10,138)*II10=1,IF(AND($E10=2,NX10=0),1000000,IF($I10&gt;0,IF(6=$J10,IF(OR(AND(138=$I10+1,OR($K10&lt;&gt;'計算A'!$A$3,'計算A'!$A$4=0)),AND(138=$I10-1,OR(18&lt;&gt;'計算A'!$A$3,'計算A'!$A$4=0))),0,IF(18=$K10,200000,ABS(18-$K10)*100)),100000+ABS(6-$J10)*1000+180)+'計算A'!EK$5*50+IF(AND($E10=1,NX10=0),25,0),IF($F10&gt;0,INDEX('計算A'!EK$110:EK$114,$F10+1)+IF(AND($E10=1,NX10=0),1000,0),MIN(TZ10,20)*400+(IF('計算A'!EJ$106=1,1-IH10,0)+IF('計算A'!EK$106=1,1-IJ10,0))*150+186+'計算A'!EK$5*100000+IF(AND($E10=1,NX10=0),50000,0))+IF($H10=1,(IF('計算A'!EJ$117=1,INDEX('計算A'!EJ$10:EJ$54,$B10),0)+IF('計算A'!EK$117=1,INDEX('計算A'!EL$10:EL$54,$B10),0))*4000,0)-IF(AND('計算A'!EJ$117=1,ZH10&gt;0),2000,0)-IF(AND($L10=1,'計算A'!EK$117=1,IJ10=0),2000,0))),1000000))</f>
        <v/>
      </c>
      <c r="TN10">
        <f>IF($B10=0,1000000,IF(INDEX('計算A'!$D$60:$EQ$104,$B10,139)*IJ10=1,IF(AND($E10=2,NY10=0),1000000,IF($I10&gt;0,IF(6=$J10,IF(OR(AND(139=$I10+1,OR($K10&lt;&gt;'計算A'!$A$3,'計算A'!$A$4=0)),AND(139=$I10-1,OR(19&lt;&gt;'計算A'!$A$3,'計算A'!$A$4=0))),0,IF(19=$K10,200000,ABS(19-$K10)*100)),100000+ABS(6-$J10)*1000+190)+'計算A'!EL$5*50+IF(AND($E10=1,NY10=0),25,0),IF($F10&gt;0,INDEX('計算A'!EL$110:EL$114,$F10+1)+IF(AND($E10=1,NY10=0),1000,0),MIN(TZ10,20)*400+(IF('計算A'!EK$106=1,1-II10,0)+IF('計算A'!EL$106=1,1-IK10,0))*150+196+'計算A'!EL$5*100000+IF(AND($E10=1,NY10=0),50000,0))+IF($H10=1,(IF('計算A'!EK$117=1,INDEX('計算A'!EK$10:EK$54,$B10),0)+IF('計算A'!EL$117=1,INDEX('計算A'!EM$10:EM$54,$B10),0))*4000,0)-IF(AND('計算A'!EK$117=1,ZI10&gt;0),2000,0)-IF(AND($L10=1,'計算A'!EL$117=1,IK10=0),2000,0))),1000000))</f>
        <v/>
      </c>
      <c r="TO10">
        <f>IF($B10=0,1000000,IF(INDEX('計算A'!$D$60:$EQ$104,$B10,140)*IK10=1,IF(AND($E10=2,NZ10=0),1000000,IF($I10&gt;0,IF(6=$J10,IF(OR(AND(140=$I10+1,OR($K10&lt;&gt;'計算A'!$A$3,'計算A'!$A$4=0)),AND(140=$I10-1,OR(20&lt;&gt;'計算A'!$A$3,'計算A'!$A$4=0))),0,IF(20=$K10,200000,ABS(20-$K10)*100)),100000+ABS(6-$J10)*1000+200)+'計算A'!EM$5*50+IF(AND($E10=1,NZ10=0),25,0),IF($F10&gt;0,INDEX('計算A'!EM$110:EM$114,$F10+1)+IF(AND($E10=1,NZ10=0),1000,0),MIN(TZ10,20)*400+(IF('計算A'!EL$106=1,1-IJ10,0)+IF('計算A'!EM$106=1,1-IL10,0))*150+206+'計算A'!EM$5*100000+IF(AND($E10=1,NZ10=0),50000,0))+IF($H10=1,(IF('計算A'!EL$117=1,INDEX('計算A'!EL$10:EL$54,$B10),0)+IF('計算A'!EM$117=1,INDEX('計算A'!EN$10:EN$54,$B10),0))*4000,0)-IF(AND('計算A'!EL$117=1,ZJ10&gt;0),2000,0)-IF(AND($L10=1,'計算A'!EM$117=1,IL10=0),2000,0))),1000000))</f>
        <v/>
      </c>
      <c r="TP10">
        <f>IF($B10=0,1000000,IF(INDEX('計算A'!$D$60:$EQ$104,$B10,141)*IL10=1,IF(AND($E10=2,OA10=0),1000000,IF($I10&gt;0,IF(6=$J10,IF(OR(AND(141=$I10+1,OR($K10&lt;&gt;'計算A'!$A$3,'計算A'!$A$4=0)),AND(141=$I10-1,OR(21&lt;&gt;'計算A'!$A$3,'計算A'!$A$4=0))),0,IF(21=$K10,200000,ABS(21-$K10)*100)),100000+ABS(6-$J10)*1000+210)+'計算A'!EN$5*50+IF(AND($E10=1,OA10=0),25,0),IF($F10&gt;0,INDEX('計算A'!EN$110:EN$114,$F10+1)+IF(AND($E10=1,OA10=0),1000,0),MIN(TZ10,20)*400+(IF('計算A'!EM$106=1,1-IK10,0)+IF('計算A'!EN$106=1,1-IM10,0))*150+216+'計算A'!EN$5*100000+IF(AND($E10=1,OA10=0),50000,0))+IF($H10=1,(IF('計算A'!EM$117=1,INDEX('計算A'!EM$10:EM$54,$B10),0)+IF('計算A'!EN$117=1,INDEX('計算A'!EO$10:EO$54,$B10),0))*4000,0)-IF(AND('計算A'!EM$117=1,ZK10&gt;0),2000,0)-IF(AND($L10=1,'計算A'!EN$117=1,IM10=0),2000,0))),1000000))</f>
        <v/>
      </c>
      <c r="TQ10">
        <f>IF($B10=0,1000000,IF(INDEX('計算A'!$D$60:$EQ$104,$B10,142)*IM10=1,IF(AND($E10=2,OB10=0),1000000,IF($I10&gt;0,IF(6=$J10,IF(OR(AND(142=$I10+1,OR($K10&lt;&gt;'計算A'!$A$3,'計算A'!$A$4=0)),AND(142=$I10-1,OR(22&lt;&gt;'計算A'!$A$3,'計算A'!$A$4=0))),0,IF(22=$K10,200000,ABS(22-$K10)*100)),100000+ABS(6-$J10)*1000+220)+'計算A'!EO$5*50+IF(AND($E10=1,OB10=0),25,0),IF($F10&gt;0,INDEX('計算A'!EO$110:EO$114,$F10+1)+IF(AND($E10=1,OB10=0),1000,0),MIN(TZ10,20)*400+(IF('計算A'!EN$106=1,1-IL10,0)+IF('計算A'!EO$106=1,1-IN10,0))*150+226+'計算A'!EO$5*100000+IF(AND($E10=1,OB10=0),50000,0))+IF($H10=1,(IF('計算A'!EN$117=1,INDEX('計算A'!EN$10:EN$54,$B10),0)+IF('計算A'!EO$117=1,INDEX('計算A'!EP$10:EP$54,$B10),0))*4000,0)-IF(AND('計算A'!EN$117=1,ZL10&gt;0),2000,0)-IF(AND($L10=1,'計算A'!EO$117=1,IN10=0),2000,0))),1000000))</f>
        <v/>
      </c>
      <c r="TR10">
        <f>IF($B10=0,1000000,IF(INDEX('計算A'!$D$60:$EQ$104,$B10,143)*IN10=1,IF(AND($E10=2,OC10=0),1000000,IF($I10&gt;0,IF(6=$J10,IF(OR(AND(143=$I10+1,OR($K10&lt;&gt;'計算A'!$A$3,'計算A'!$A$4=0)),AND(143=$I10-1,OR(23&lt;&gt;'計算A'!$A$3,'計算A'!$A$4=0))),0,IF(23=$K10,200000,ABS(23-$K10)*100)),100000+ABS(6-$J10)*1000+230)+'計算A'!EP$5*50+IF(AND($E10=1,OC10=0),25,0),IF($F10&gt;0,INDEX('計算A'!EP$110:EP$114,$F10+1)+IF(AND($E10=1,OC10=0),1000,0),MIN(TZ10,20)*400+(IF('計算A'!EO$106=1,1-IM10,0)+IF('計算A'!EP$106=1,1-IO10,0))*150+236+'計算A'!EP$5*100000+IF(AND($E10=1,OC10=0),50000,0))+IF($H10=1,(IF('計算A'!EO$117=1,INDEX('計算A'!EO$10:EO$54,$B10),0)+IF('計算A'!EP$117=1,INDEX('計算A'!EQ$10:EQ$54,$B10),0))*4000,0)-IF(AND('計算A'!EO$117=1,ZM10&gt;0),2000,0)-IF(AND($L10=1,'計算A'!EP$117=1,IO10=0),2000,0))),1000000))</f>
        <v/>
      </c>
      <c r="TS10">
        <f>IF($B10=0,1000000,IF(INDEX('計算A'!$D$60:$EQ$104,$B10,144)*IO10=1,IF(AND($E10=2,OD10=0),1000000,IF($I10&gt;0,IF(6=$J10,IF(OR(AND(144=$I10+1,OR($K10&lt;&gt;'計算A'!$A$3,'計算A'!$A$4=0)),AND(144=$I10-1,OR(24&lt;&gt;'計算A'!$A$3,'計算A'!$A$4=0))),0,IF(24=$K10,200000,ABS(24-$K10)*100)),100000+ABS(6-$J10)*1000+240)+'計算A'!EQ$5*50+IF(AND($E10=1,OD10=0),25,0),IF($F10&gt;0,INDEX('計算A'!EQ$110:EQ$114,$F10+1)+IF(AND($E10=1,OD10=0),1000,0),MIN(TZ10,20)*400+(IF('計算A'!EP$106=1,1-IN10,0))*150+246+'計算A'!EQ$5*100000+IF(AND($E10=1,OD10=0),50000,0))+IF($H10=1,(IF('計算A'!EP$117=1,INDEX('計算A'!EP$10:EP$54,$B10),0))*4000,0)-IF(AND('計算A'!EP$117=1,ZN10&gt;0),2000,0))),1000000))</f>
        <v/>
      </c>
      <c r="TU10">
        <f>TU9+IF($C9&gt;0,IF(INDEX('計算A'!$D$2:$EQ$2,$C9)=1,1,0),0)</f>
        <v/>
      </c>
      <c r="TV10">
        <f>TV9+IF($C9&gt;0,IF(INDEX('計算A'!$D$2:$EQ$2,$C9)=2,1,0),0)</f>
        <v/>
      </c>
      <c r="TW10">
        <f>TW9+IF($C9&gt;0,IF(INDEX('計算A'!$D$2:$EQ$2,$C9)=3,1,0),0)</f>
        <v/>
      </c>
      <c r="TX10">
        <f>TX9+IF($C9&gt;0,IF(INDEX('計算A'!$D$2:$EQ$2,$C9)=4,1,0),0)</f>
        <v/>
      </c>
      <c r="TY10">
        <f>TY9+IF($C9&gt;0,IF(INDEX('計算A'!$D$2:$EQ$2,$C9)=5,1,0),0)</f>
        <v/>
      </c>
      <c r="TZ10">
        <f>TZ9+IF($C9&gt;0,IF(INDEX('計算A'!$D$2:$EQ$2,$C9)=6,1,0),0)</f>
        <v/>
      </c>
      <c r="UB10">
        <f>UB9+IF(AND($C9=1,$L9=1),1,0)</f>
        <v/>
      </c>
      <c r="UC10">
        <f>UC9+IF(AND($C9=2,$L9=1),1,0)</f>
        <v/>
      </c>
      <c r="UD10">
        <f>UD9+IF(AND($C9=3,$L9=1),1,0)</f>
        <v/>
      </c>
      <c r="UE10">
        <f>UE9+IF(AND($C9=4,$L9=1),1,0)</f>
        <v/>
      </c>
      <c r="UF10">
        <f>UF9+IF(AND($C9=5,$L9=1),1,0)</f>
        <v/>
      </c>
      <c r="UG10">
        <f>UG9+IF(AND($C9=6,$L9=1),1,0)</f>
        <v/>
      </c>
      <c r="UH10">
        <f>UH9+IF(AND($C9=7,$L9=1),1,0)</f>
        <v/>
      </c>
      <c r="UI10">
        <f>UI9+IF(AND($C9=8,$L9=1),1,0)</f>
        <v/>
      </c>
      <c r="UJ10">
        <f>UJ9+IF(AND($C9=9,$L9=1),1,0)</f>
        <v/>
      </c>
      <c r="UK10">
        <f>UK9+IF(AND($C9=10,$L9=1),1,0)</f>
        <v/>
      </c>
      <c r="UL10">
        <f>UL9+IF(AND($C9=11,$L9=1),1,0)</f>
        <v/>
      </c>
      <c r="UM10">
        <f>UM9+IF(AND($C9=12,$L9=1),1,0)</f>
        <v/>
      </c>
      <c r="UN10">
        <f>UN9+IF(AND($C9=13,$L9=1),1,0)</f>
        <v/>
      </c>
      <c r="UO10">
        <f>UO9+IF(AND($C9=14,$L9=1),1,0)</f>
        <v/>
      </c>
      <c r="UP10">
        <f>UP9+IF(AND($C9=15,$L9=1),1,0)</f>
        <v/>
      </c>
      <c r="UQ10">
        <f>UQ9+IF(AND($C9=16,$L9=1),1,0)</f>
        <v/>
      </c>
      <c r="UR10">
        <f>UR9+IF(AND($C9=17,$L9=1),1,0)</f>
        <v/>
      </c>
      <c r="US10">
        <f>US9+IF(AND($C9=18,$L9=1),1,0)</f>
        <v/>
      </c>
      <c r="UT10">
        <f>UT9+IF(AND($C9=19,$L9=1),1,0)</f>
        <v/>
      </c>
      <c r="UU10">
        <f>UU9+IF(AND($C9=20,$L9=1),1,0)</f>
        <v/>
      </c>
      <c r="UV10">
        <f>UV9+IF(AND($C9=21,$L9=1),1,0)</f>
        <v/>
      </c>
      <c r="UW10">
        <f>UW9+IF(AND($C9=22,$L9=1),1,0)</f>
        <v/>
      </c>
      <c r="UX10">
        <f>UX9+IF(AND($C9=23,$L9=1),1,0)</f>
        <v/>
      </c>
      <c r="UY10">
        <f>UY9+IF(AND($C9=24,$L9=1),1,0)</f>
        <v/>
      </c>
      <c r="UZ10">
        <f>UZ9+IF(AND($C9=25,$L9=1),1,0)</f>
        <v/>
      </c>
      <c r="VA10">
        <f>VA9+IF(AND($C9=26,$L9=1),1,0)</f>
        <v/>
      </c>
      <c r="VB10">
        <f>VB9+IF(AND($C9=27,$L9=1),1,0)</f>
        <v/>
      </c>
      <c r="VC10">
        <f>VC9+IF(AND($C9=28,$L9=1),1,0)</f>
        <v/>
      </c>
      <c r="VD10">
        <f>VD9+IF(AND($C9=29,$L9=1),1,0)</f>
        <v/>
      </c>
      <c r="VE10">
        <f>VE9+IF(AND($C9=30,$L9=1),1,0)</f>
        <v/>
      </c>
      <c r="VF10">
        <f>VF9+IF(AND($C9=31,$L9=1),1,0)</f>
        <v/>
      </c>
      <c r="VG10">
        <f>VG9+IF(AND($C9=32,$L9=1),1,0)</f>
        <v/>
      </c>
      <c r="VH10">
        <f>VH9+IF(AND($C9=33,$L9=1),1,0)</f>
        <v/>
      </c>
      <c r="VI10">
        <f>VI9+IF(AND($C9=34,$L9=1),1,0)</f>
        <v/>
      </c>
      <c r="VJ10">
        <f>VJ9+IF(AND($C9=35,$L9=1),1,0)</f>
        <v/>
      </c>
      <c r="VK10">
        <f>VK9+IF(AND($C9=36,$L9=1),1,0)</f>
        <v/>
      </c>
      <c r="VL10">
        <f>VL9+IF(AND($C9=37,$L9=1),1,0)</f>
        <v/>
      </c>
      <c r="VM10">
        <f>VM9+IF(AND($C9=38,$L9=1),1,0)</f>
        <v/>
      </c>
      <c r="VN10">
        <f>VN9+IF(AND($C9=39,$L9=1),1,0)</f>
        <v/>
      </c>
      <c r="VO10">
        <f>VO9+IF(AND($C9=40,$L9=1),1,0)</f>
        <v/>
      </c>
      <c r="VP10">
        <f>VP9+IF(AND($C9=41,$L9=1),1,0)</f>
        <v/>
      </c>
      <c r="VQ10">
        <f>VQ9+IF(AND($C9=42,$L9=1),1,0)</f>
        <v/>
      </c>
      <c r="VR10">
        <f>VR9+IF(AND($C9=43,$L9=1),1,0)</f>
        <v/>
      </c>
      <c r="VS10">
        <f>VS9+IF(AND($C9=44,$L9=1),1,0)</f>
        <v/>
      </c>
      <c r="VT10">
        <f>VT9+IF(AND($C9=45,$L9=1),1,0)</f>
        <v/>
      </c>
      <c r="VU10">
        <f>VU9+IF(AND($C9=46,$L9=1),1,0)</f>
        <v/>
      </c>
      <c r="VV10">
        <f>VV9+IF(AND($C9=47,$L9=1),1,0)</f>
        <v/>
      </c>
      <c r="VW10">
        <f>VW9+IF(AND($C9=48,$L9=1),1,0)</f>
        <v/>
      </c>
      <c r="VX10">
        <f>VX9+IF(AND($C9=49,$L9=1),1,0)</f>
        <v/>
      </c>
      <c r="VY10">
        <f>VY9+IF(AND($C9=50,$L9=1),1,0)</f>
        <v/>
      </c>
      <c r="VZ10">
        <f>VZ9+IF(AND($C9=51,$L9=1),1,0)</f>
        <v/>
      </c>
      <c r="WA10">
        <f>WA9+IF(AND($C9=52,$L9=1),1,0)</f>
        <v/>
      </c>
      <c r="WB10">
        <f>WB9+IF(AND($C9=53,$L9=1),1,0)</f>
        <v/>
      </c>
      <c r="WC10">
        <f>WC9+IF(AND($C9=54,$L9=1),1,0)</f>
        <v/>
      </c>
      <c r="WD10">
        <f>WD9+IF(AND($C9=55,$L9=1),1,0)</f>
        <v/>
      </c>
      <c r="WE10">
        <f>WE9+IF(AND($C9=56,$L9=1),1,0)</f>
        <v/>
      </c>
      <c r="WF10">
        <f>WF9+IF(AND($C9=57,$L9=1),1,0)</f>
        <v/>
      </c>
      <c r="WG10">
        <f>WG9+IF(AND($C9=58,$L9=1),1,0)</f>
        <v/>
      </c>
      <c r="WH10">
        <f>WH9+IF(AND($C9=59,$L9=1),1,0)</f>
        <v/>
      </c>
      <c r="WI10">
        <f>WI9+IF(AND($C9=60,$L9=1),1,0)</f>
        <v/>
      </c>
      <c r="WJ10">
        <f>WJ9+IF(AND($C9=61,$L9=1),1,0)</f>
        <v/>
      </c>
      <c r="WK10">
        <f>WK9+IF(AND($C9=62,$L9=1),1,0)</f>
        <v/>
      </c>
      <c r="WL10">
        <f>WL9+IF(AND($C9=63,$L9=1),1,0)</f>
        <v/>
      </c>
      <c r="WM10">
        <f>WM9+IF(AND($C9=64,$L9=1),1,0)</f>
        <v/>
      </c>
      <c r="WN10">
        <f>WN9+IF(AND($C9=65,$L9=1),1,0)</f>
        <v/>
      </c>
      <c r="WO10">
        <f>WO9+IF(AND($C9=66,$L9=1),1,0)</f>
        <v/>
      </c>
      <c r="WP10">
        <f>WP9+IF(AND($C9=67,$L9=1),1,0)</f>
        <v/>
      </c>
      <c r="WQ10">
        <f>WQ9+IF(AND($C9=68,$L9=1),1,0)</f>
        <v/>
      </c>
      <c r="WR10">
        <f>WR9+IF(AND($C9=69,$L9=1),1,0)</f>
        <v/>
      </c>
      <c r="WS10">
        <f>WS9+IF(AND($C9=70,$L9=1),1,0)</f>
        <v/>
      </c>
      <c r="WT10">
        <f>WT9+IF(AND($C9=71,$L9=1),1,0)</f>
        <v/>
      </c>
      <c r="WU10">
        <f>WU9+IF(AND($C9=72,$L9=1),1,0)</f>
        <v/>
      </c>
      <c r="WV10">
        <f>WV9+IF(AND($C9=73,$L9=1),1,0)</f>
        <v/>
      </c>
      <c r="WW10">
        <f>WW9+IF(AND($C9=74,$L9=1),1,0)</f>
        <v/>
      </c>
      <c r="WX10">
        <f>WX9+IF(AND($C9=75,$L9=1),1,0)</f>
        <v/>
      </c>
      <c r="WY10">
        <f>WY9+IF(AND($C9=76,$L9=1),1,0)</f>
        <v/>
      </c>
      <c r="WZ10">
        <f>WZ9+IF(AND($C9=77,$L9=1),1,0)</f>
        <v/>
      </c>
      <c r="XA10">
        <f>XA9+IF(AND($C9=78,$L9=1),1,0)</f>
        <v/>
      </c>
      <c r="XB10">
        <f>XB9+IF(AND($C9=79,$L9=1),1,0)</f>
        <v/>
      </c>
      <c r="XC10">
        <f>XC9+IF(AND($C9=80,$L9=1),1,0)</f>
        <v/>
      </c>
      <c r="XD10">
        <f>XD9+IF(AND($C9=81,$L9=1),1,0)</f>
        <v/>
      </c>
      <c r="XE10">
        <f>XE9+IF(AND($C9=82,$L9=1),1,0)</f>
        <v/>
      </c>
      <c r="XF10">
        <f>XF9+IF(AND($C9=83,$L9=1),1,0)</f>
        <v/>
      </c>
      <c r="XG10">
        <f>XG9+IF(AND($C9=84,$L9=1),1,0)</f>
        <v/>
      </c>
      <c r="XH10">
        <f>XH9+IF(AND($C9=85,$L9=1),1,0)</f>
        <v/>
      </c>
      <c r="XI10">
        <f>XI9+IF(AND($C9=86,$L9=1),1,0)</f>
        <v/>
      </c>
      <c r="XJ10">
        <f>XJ9+IF(AND($C9=87,$L9=1),1,0)</f>
        <v/>
      </c>
      <c r="XK10">
        <f>XK9+IF(AND($C9=88,$L9=1),1,0)</f>
        <v/>
      </c>
      <c r="XL10">
        <f>XL9+IF(AND($C9=89,$L9=1),1,0)</f>
        <v/>
      </c>
      <c r="XM10">
        <f>XM9+IF(AND($C9=90,$L9=1),1,0)</f>
        <v/>
      </c>
      <c r="XN10">
        <f>XN9+IF(AND($C9=91,$L9=1),1,0)</f>
        <v/>
      </c>
      <c r="XO10">
        <f>XO9+IF(AND($C9=92,$L9=1),1,0)</f>
        <v/>
      </c>
      <c r="XP10">
        <f>XP9+IF(AND($C9=93,$L9=1),1,0)</f>
        <v/>
      </c>
      <c r="XQ10">
        <f>XQ9+IF(AND($C9=94,$L9=1),1,0)</f>
        <v/>
      </c>
      <c r="XR10">
        <f>XR9+IF(AND($C9=95,$L9=1),1,0)</f>
        <v/>
      </c>
      <c r="XS10">
        <f>XS9+IF(AND($C9=96,$L9=1),1,0)</f>
        <v/>
      </c>
      <c r="XT10">
        <f>XT9+IF(AND($C9=97,$L9=1),1,0)</f>
        <v/>
      </c>
      <c r="XU10">
        <f>XU9+IF(AND($C9=98,$L9=1),1,0)</f>
        <v/>
      </c>
      <c r="XV10">
        <f>XV9+IF(AND($C9=99,$L9=1),1,0)</f>
        <v/>
      </c>
      <c r="XW10">
        <f>XW9+IF(AND($C9=100,$L9=1),1,0)</f>
        <v/>
      </c>
      <c r="XX10">
        <f>XX9+IF(AND($C9=101,$L9=1),1,0)</f>
        <v/>
      </c>
      <c r="XY10">
        <f>XY9+IF(AND($C9=102,$L9=1),1,0)</f>
        <v/>
      </c>
      <c r="XZ10">
        <f>XZ9+IF(AND($C9=103,$L9=1),1,0)</f>
        <v/>
      </c>
      <c r="YA10">
        <f>YA9+IF(AND($C9=104,$L9=1),1,0)</f>
        <v/>
      </c>
      <c r="YB10">
        <f>YB9+IF(AND($C9=105,$L9=1),1,0)</f>
        <v/>
      </c>
      <c r="YC10">
        <f>YC9+IF(AND($C9=106,$L9=1),1,0)</f>
        <v/>
      </c>
      <c r="YD10">
        <f>YD9+IF(AND($C9=107,$L9=1),1,0)</f>
        <v/>
      </c>
      <c r="YE10">
        <f>YE9+IF(AND($C9=108,$L9=1),1,0)</f>
        <v/>
      </c>
      <c r="YF10">
        <f>YF9+IF(AND($C9=109,$L9=1),1,0)</f>
        <v/>
      </c>
      <c r="YG10">
        <f>YG9+IF(AND($C9=110,$L9=1),1,0)</f>
        <v/>
      </c>
      <c r="YH10">
        <f>YH9+IF(AND($C9=111,$L9=1),1,0)</f>
        <v/>
      </c>
      <c r="YI10">
        <f>YI9+IF(AND($C9=112,$L9=1),1,0)</f>
        <v/>
      </c>
      <c r="YJ10">
        <f>YJ9+IF(AND($C9=113,$L9=1),1,0)</f>
        <v/>
      </c>
      <c r="YK10">
        <f>YK9+IF(AND($C9=114,$L9=1),1,0)</f>
        <v/>
      </c>
      <c r="YL10">
        <f>YL9+IF(AND($C9=115,$L9=1),1,0)</f>
        <v/>
      </c>
      <c r="YM10">
        <f>YM9+IF(AND($C9=116,$L9=1),1,0)</f>
        <v/>
      </c>
      <c r="YN10">
        <f>YN9+IF(AND($C9=117,$L9=1),1,0)</f>
        <v/>
      </c>
      <c r="YO10">
        <f>YO9+IF(AND($C9=118,$L9=1),1,0)</f>
        <v/>
      </c>
      <c r="YP10">
        <f>YP9+IF(AND($C9=119,$L9=1),1,0)</f>
        <v/>
      </c>
      <c r="YQ10">
        <f>YQ9+IF(AND($C9=120,$L9=1),1,0)</f>
        <v/>
      </c>
      <c r="YR10">
        <f>YR9+IF(AND($C9=121,$L9=1),1,0)</f>
        <v/>
      </c>
      <c r="YS10">
        <f>YS9+IF(AND($C9=122,$L9=1),1,0)</f>
        <v/>
      </c>
      <c r="YT10">
        <f>YT9+IF(AND($C9=123,$L9=1),1,0)</f>
        <v/>
      </c>
      <c r="YU10">
        <f>YU9+IF(AND($C9=124,$L9=1),1,0)</f>
        <v/>
      </c>
      <c r="YV10">
        <f>YV9+IF(AND($C9=125,$L9=1),1,0)</f>
        <v/>
      </c>
      <c r="YW10">
        <f>YW9+IF(AND($C9=126,$L9=1),1,0)</f>
        <v/>
      </c>
      <c r="YX10">
        <f>YX9+IF(AND($C9=127,$L9=1),1,0)</f>
        <v/>
      </c>
      <c r="YY10">
        <f>YY9+IF(AND($C9=128,$L9=1),1,0)</f>
        <v/>
      </c>
      <c r="YZ10">
        <f>YZ9+IF(AND($C9=129,$L9=1),1,0)</f>
        <v/>
      </c>
      <c r="ZA10">
        <f>ZA9+IF(AND($C9=130,$L9=1),1,0)</f>
        <v/>
      </c>
      <c r="ZB10">
        <f>ZB9+IF(AND($C9=131,$L9=1),1,0)</f>
        <v/>
      </c>
      <c r="ZC10">
        <f>ZC9+IF(AND($C9=132,$L9=1),1,0)</f>
        <v/>
      </c>
      <c r="ZD10">
        <f>ZD9+IF(AND($C9=133,$L9=1),1,0)</f>
        <v/>
      </c>
      <c r="ZE10">
        <f>ZE9+IF(AND($C9=134,$L9=1),1,0)</f>
        <v/>
      </c>
      <c r="ZF10">
        <f>ZF9+IF(AND($C9=135,$L9=1),1,0)</f>
        <v/>
      </c>
      <c r="ZG10">
        <f>ZG9+IF(AND($C9=136,$L9=1),1,0)</f>
        <v/>
      </c>
      <c r="ZH10">
        <f>ZH9+IF(AND($C9=137,$L9=1),1,0)</f>
        <v/>
      </c>
      <c r="ZI10">
        <f>ZI9+IF(AND($C9=138,$L9=1),1,0)</f>
        <v/>
      </c>
      <c r="ZJ10">
        <f>ZJ9+IF(AND($C9=139,$L9=1),1,0)</f>
        <v/>
      </c>
      <c r="ZK10">
        <f>ZK9+IF(AND($C9=140,$L9=1),1,0)</f>
        <v/>
      </c>
      <c r="ZL10">
        <f>ZL9+IF(AND($C9=141,$L9=1),1,0)</f>
        <v/>
      </c>
      <c r="ZM10">
        <f>ZM9+IF(AND($C9=142,$L9=1),1,0)</f>
        <v/>
      </c>
      <c r="ZN10">
        <f>ZN9+IF(AND($C9=143,$L9=1),1,0)</f>
        <v/>
      </c>
      <c r="ZO10">
        <f>ZO9+IF(AND($C9=144,$L9=1),1,0)</f>
        <v/>
      </c>
    </row>
    <row r="11">
      <c r="A11" t="n">
        <v>9</v>
      </c>
      <c r="B11">
        <f>IF(MIN(BH11:CZ11)&gt;=1000000,0,MATCH(MIN(BH11:CZ11),BH11:CZ11,0))</f>
        <v/>
      </c>
      <c r="C11">
        <f>IF(MIN(OF11:TS11)&gt;=1000000,0,MATCH(MIN(OF11:TS11),OF11:TS11,0))</f>
        <v/>
      </c>
      <c r="D11">
        <f>IF(C11&gt;0,INDEX('計算A'!$D$5:$EQ$5,C11),0)</f>
        <v/>
      </c>
      <c r="E11">
        <f>IF(B11=0,0,INDEX('計算A'!$IQ$10:$IQ$54,B11))</f>
        <v/>
      </c>
      <c r="F11">
        <f>IF(B11=0,0,INDEX('計算A'!$IP$10:$IP$54,B11))</f>
        <v/>
      </c>
      <c r="G11">
        <f>IF(AND(C11&gt;0,E11&gt;0),IF(AND(INDEX('計算A'!$D$106:$EQ$106,C11)=1,INDEX($IQ11:$OD11,C11)=1),C11+1,0),0)</f>
        <v/>
      </c>
      <c r="H11">
        <f>IF(B11=0,0,INDEX('計算A'!$IW$10:$IW$54,B11))</f>
        <v/>
      </c>
      <c r="I11">
        <f>IF(B11=0,0,MAX(0,INDEX('計算A'!$IT$10:$IT$54,B11)))</f>
        <v/>
      </c>
      <c r="J11">
        <f>IF(I11=0,0,INDEX('計算A'!$D$2:$EQ$2,I11))</f>
        <v/>
      </c>
      <c r="K11">
        <f>IF(I11=0,0,INDEX('計算A'!$D$3:$EQ$3,I11))</f>
        <v/>
      </c>
      <c r="L11">
        <f>IF(B11=0,0,INDEX('計算A'!$IX$10:$IX$54,B11))</f>
        <v/>
      </c>
      <c r="N11">
        <f>MAX(N10,IF($B10=1,1,0))</f>
        <v/>
      </c>
      <c r="O11">
        <f>MAX(O10,IF($B10=2,1,0))</f>
        <v/>
      </c>
      <c r="P11">
        <f>MAX(P10,IF($B10=3,1,0))</f>
        <v/>
      </c>
      <c r="Q11">
        <f>MAX(Q10,IF($B10=4,1,0))</f>
        <v/>
      </c>
      <c r="R11">
        <f>MAX(R10,IF($B10=5,1,0))</f>
        <v/>
      </c>
      <c r="S11">
        <f>MAX(S10,IF($B10=6,1,0))</f>
        <v/>
      </c>
      <c r="T11">
        <f>MAX(T10,IF($B10=7,1,0))</f>
        <v/>
      </c>
      <c r="U11">
        <f>MAX(U10,IF($B10=8,1,0))</f>
        <v/>
      </c>
      <c r="V11">
        <f>MAX(V10,IF($B10=9,1,0))</f>
        <v/>
      </c>
      <c r="W11">
        <f>MAX(W10,IF($B10=10,1,0))</f>
        <v/>
      </c>
      <c r="X11">
        <f>MAX(X10,IF($B10=11,1,0))</f>
        <v/>
      </c>
      <c r="Y11">
        <f>MAX(Y10,IF($B10=12,1,0))</f>
        <v/>
      </c>
      <c r="Z11">
        <f>MAX(Z10,IF($B10=13,1,0))</f>
        <v/>
      </c>
      <c r="AA11">
        <f>MAX(AA10,IF($B10=14,1,0))</f>
        <v/>
      </c>
      <c r="AB11">
        <f>MAX(AB10,IF($B10=15,1,0))</f>
        <v/>
      </c>
      <c r="AC11">
        <f>MAX(AC10,IF($B10=16,1,0))</f>
        <v/>
      </c>
      <c r="AD11">
        <f>MAX(AD10,IF($B10=17,1,0))</f>
        <v/>
      </c>
      <c r="AE11">
        <f>MAX(AE10,IF($B10=18,1,0))</f>
        <v/>
      </c>
      <c r="AF11">
        <f>MAX(AF10,IF($B10=19,1,0))</f>
        <v/>
      </c>
      <c r="AG11">
        <f>MAX(AG10,IF($B10=20,1,0))</f>
        <v/>
      </c>
      <c r="AH11">
        <f>MAX(AH10,IF($B10=21,1,0))</f>
        <v/>
      </c>
      <c r="AI11">
        <f>MAX(AI10,IF($B10=22,1,0))</f>
        <v/>
      </c>
      <c r="AJ11">
        <f>MAX(AJ10,IF($B10=23,1,0))</f>
        <v/>
      </c>
      <c r="AK11">
        <f>MAX(AK10,IF($B10=24,1,0))</f>
        <v/>
      </c>
      <c r="AL11">
        <f>MAX(AL10,IF($B10=25,1,0))</f>
        <v/>
      </c>
      <c r="AM11">
        <f>MAX(AM10,IF($B10=26,1,0))</f>
        <v/>
      </c>
      <c r="AN11">
        <f>MAX(AN10,IF($B10=27,1,0))</f>
        <v/>
      </c>
      <c r="AO11">
        <f>MAX(AO10,IF($B10=28,1,0))</f>
        <v/>
      </c>
      <c r="AP11">
        <f>MAX(AP10,IF($B10=29,1,0))</f>
        <v/>
      </c>
      <c r="AQ11">
        <f>MAX(AQ10,IF($B10=30,1,0))</f>
        <v/>
      </c>
      <c r="AR11">
        <f>MAX(AR10,IF($B10=31,1,0))</f>
        <v/>
      </c>
      <c r="AS11">
        <f>MAX(AS10,IF($B10=32,1,0))</f>
        <v/>
      </c>
      <c r="AT11">
        <f>MAX(AT10,IF($B10=33,1,0))</f>
        <v/>
      </c>
      <c r="AU11">
        <f>MAX(AU10,IF($B10=34,1,0))</f>
        <v/>
      </c>
      <c r="AV11">
        <f>MAX(AV10,IF($B10=35,1,0))</f>
        <v/>
      </c>
      <c r="AW11">
        <f>MAX(AW10,IF($B10=36,1,0))</f>
        <v/>
      </c>
      <c r="AX11">
        <f>MAX(AX10,IF($B10=37,1,0))</f>
        <v/>
      </c>
      <c r="AY11">
        <f>MAX(AY10,IF($B10=38,1,0))</f>
        <v/>
      </c>
      <c r="AZ11">
        <f>MAX(AZ10,IF($B10=39,1,0))</f>
        <v/>
      </c>
      <c r="BA11">
        <f>MAX(BA10,IF($B10=40,1,0))</f>
        <v/>
      </c>
      <c r="BB11">
        <f>MAX(BB10,IF($B10=41,1,0))</f>
        <v/>
      </c>
      <c r="BC11">
        <f>MAX(BC10,IF($B10=42,1,0))</f>
        <v/>
      </c>
      <c r="BD11">
        <f>MAX(BD10,IF($B10=43,1,0))</f>
        <v/>
      </c>
      <c r="BE11">
        <f>MAX(BE10,IF($B10=44,1,0))</f>
        <v/>
      </c>
      <c r="BF11">
        <f>MAX(BF10,IF($B10=45,1,0))</f>
        <v/>
      </c>
      <c r="BH11">
        <f>IF(N11=1,1000000,IF('計算A'!$IT$10&gt;0,0,500000)+IF('計算A'!$IQ$10=2,SUMPRODUCT('計算A'!$D$60:$EQ$60,$DB11:$IO11,$IQ11:$OD11),SUMPRODUCT('計算A'!$D$60:$EQ$60,$DB11:$IO11))*1000+1)</f>
        <v/>
      </c>
      <c r="BI11">
        <f>IF(O11=1,1000000,IF('計算A'!$IT$11&gt;0,0,500000)+IF('計算A'!$IQ$11=2,SUMPRODUCT('計算A'!$D$61:$EQ$61,$DB11:$IO11,$IQ11:$OD11),SUMPRODUCT('計算A'!$D$61:$EQ$61,$DB11:$IO11))*1000+2)</f>
        <v/>
      </c>
      <c r="BJ11">
        <f>IF(P11=1,1000000,IF('計算A'!$IT$12&gt;0,0,500000)+IF('計算A'!$IQ$12=2,SUMPRODUCT('計算A'!$D$62:$EQ$62,$DB11:$IO11,$IQ11:$OD11),SUMPRODUCT('計算A'!$D$62:$EQ$62,$DB11:$IO11))*1000+3)</f>
        <v/>
      </c>
      <c r="BK11">
        <f>IF(Q11=1,1000000,IF('計算A'!$IT$13&gt;0,0,500000)+IF('計算A'!$IQ$13=2,SUMPRODUCT('計算A'!$D$63:$EQ$63,$DB11:$IO11,$IQ11:$OD11),SUMPRODUCT('計算A'!$D$63:$EQ$63,$DB11:$IO11))*1000+4)</f>
        <v/>
      </c>
      <c r="BL11">
        <f>IF(R11=1,1000000,IF('計算A'!$IT$14&gt;0,0,500000)+IF('計算A'!$IQ$14=2,SUMPRODUCT('計算A'!$D$64:$EQ$64,$DB11:$IO11,$IQ11:$OD11),SUMPRODUCT('計算A'!$D$64:$EQ$64,$DB11:$IO11))*1000+5)</f>
        <v/>
      </c>
      <c r="BM11">
        <f>IF(S11=1,1000000,IF('計算A'!$IT$15&gt;0,0,500000)+IF('計算A'!$IQ$15=2,SUMPRODUCT('計算A'!$D$65:$EQ$65,$DB11:$IO11,$IQ11:$OD11),SUMPRODUCT('計算A'!$D$65:$EQ$65,$DB11:$IO11))*1000+6)</f>
        <v/>
      </c>
      <c r="BN11">
        <f>IF(T11=1,1000000,IF('計算A'!$IT$16&gt;0,0,500000)+IF('計算A'!$IQ$16=2,SUMPRODUCT('計算A'!$D$66:$EQ$66,$DB11:$IO11,$IQ11:$OD11),SUMPRODUCT('計算A'!$D$66:$EQ$66,$DB11:$IO11))*1000+7)</f>
        <v/>
      </c>
      <c r="BO11">
        <f>IF(U11=1,1000000,IF('計算A'!$IT$17&gt;0,0,500000)+IF('計算A'!$IQ$17=2,SUMPRODUCT('計算A'!$D$67:$EQ$67,$DB11:$IO11,$IQ11:$OD11),SUMPRODUCT('計算A'!$D$67:$EQ$67,$DB11:$IO11))*1000+8)</f>
        <v/>
      </c>
      <c r="BP11">
        <f>IF(V11=1,1000000,IF('計算A'!$IT$18&gt;0,0,500000)+IF('計算A'!$IQ$18=2,SUMPRODUCT('計算A'!$D$68:$EQ$68,$DB11:$IO11,$IQ11:$OD11),SUMPRODUCT('計算A'!$D$68:$EQ$68,$DB11:$IO11))*1000+9)</f>
        <v/>
      </c>
      <c r="BQ11">
        <f>IF(W11=1,1000000,IF('計算A'!$IT$19&gt;0,0,500000)+IF('計算A'!$IQ$19=2,SUMPRODUCT('計算A'!$D$69:$EQ$69,$DB11:$IO11,$IQ11:$OD11),SUMPRODUCT('計算A'!$D$69:$EQ$69,$DB11:$IO11))*1000+10)</f>
        <v/>
      </c>
      <c r="BR11">
        <f>IF(X11=1,1000000,IF('計算A'!$IT$20&gt;0,0,500000)+IF('計算A'!$IQ$20=2,SUMPRODUCT('計算A'!$D$70:$EQ$70,$DB11:$IO11,$IQ11:$OD11),SUMPRODUCT('計算A'!$D$70:$EQ$70,$DB11:$IO11))*1000+11)</f>
        <v/>
      </c>
      <c r="BS11">
        <f>IF(Y11=1,1000000,IF('計算A'!$IT$21&gt;0,0,500000)+IF('計算A'!$IQ$21=2,SUMPRODUCT('計算A'!$D$71:$EQ$71,$DB11:$IO11,$IQ11:$OD11),SUMPRODUCT('計算A'!$D$71:$EQ$71,$DB11:$IO11))*1000+12)</f>
        <v/>
      </c>
      <c r="BT11">
        <f>IF(Z11=1,1000000,IF('計算A'!$IT$22&gt;0,0,500000)+IF('計算A'!$IQ$22=2,SUMPRODUCT('計算A'!$D$72:$EQ$72,$DB11:$IO11,$IQ11:$OD11),SUMPRODUCT('計算A'!$D$72:$EQ$72,$DB11:$IO11))*1000+13)</f>
        <v/>
      </c>
      <c r="BU11">
        <f>IF(AA11=1,1000000,IF('計算A'!$IT$23&gt;0,0,500000)+IF('計算A'!$IQ$23=2,SUMPRODUCT('計算A'!$D$73:$EQ$73,$DB11:$IO11,$IQ11:$OD11),SUMPRODUCT('計算A'!$D$73:$EQ$73,$DB11:$IO11))*1000+14)</f>
        <v/>
      </c>
      <c r="BV11">
        <f>IF(AB11=1,1000000,IF('計算A'!$IT$24&gt;0,0,500000)+IF('計算A'!$IQ$24=2,SUMPRODUCT('計算A'!$D$74:$EQ$74,$DB11:$IO11,$IQ11:$OD11),SUMPRODUCT('計算A'!$D$74:$EQ$74,$DB11:$IO11))*1000+15)</f>
        <v/>
      </c>
      <c r="BW11">
        <f>IF(AC11=1,1000000,IF('計算A'!$IT$25&gt;0,0,500000)+IF('計算A'!$IQ$25=2,SUMPRODUCT('計算A'!$D$75:$EQ$75,$DB11:$IO11,$IQ11:$OD11),SUMPRODUCT('計算A'!$D$75:$EQ$75,$DB11:$IO11))*1000+16)</f>
        <v/>
      </c>
      <c r="BX11">
        <f>IF(AD11=1,1000000,IF('計算A'!$IT$26&gt;0,0,500000)+IF('計算A'!$IQ$26=2,SUMPRODUCT('計算A'!$D$76:$EQ$76,$DB11:$IO11,$IQ11:$OD11),SUMPRODUCT('計算A'!$D$76:$EQ$76,$DB11:$IO11))*1000+17)</f>
        <v/>
      </c>
      <c r="BY11">
        <f>IF(AE11=1,1000000,IF('計算A'!$IT$27&gt;0,0,500000)+IF('計算A'!$IQ$27=2,SUMPRODUCT('計算A'!$D$77:$EQ$77,$DB11:$IO11,$IQ11:$OD11),SUMPRODUCT('計算A'!$D$77:$EQ$77,$DB11:$IO11))*1000+18)</f>
        <v/>
      </c>
      <c r="BZ11">
        <f>IF(AF11=1,1000000,IF('計算A'!$IT$28&gt;0,0,500000)+IF('計算A'!$IQ$28=2,SUMPRODUCT('計算A'!$D$78:$EQ$78,$DB11:$IO11,$IQ11:$OD11),SUMPRODUCT('計算A'!$D$78:$EQ$78,$DB11:$IO11))*1000+19)</f>
        <v/>
      </c>
      <c r="CA11">
        <f>IF(AG11=1,1000000,IF('計算A'!$IT$29&gt;0,0,500000)+IF('計算A'!$IQ$29=2,SUMPRODUCT('計算A'!$D$79:$EQ$79,$DB11:$IO11,$IQ11:$OD11),SUMPRODUCT('計算A'!$D$79:$EQ$79,$DB11:$IO11))*1000+20)</f>
        <v/>
      </c>
      <c r="CB11">
        <f>IF(AH11=1,1000000,IF('計算A'!$IT$30&gt;0,0,500000)+IF('計算A'!$IQ$30=2,SUMPRODUCT('計算A'!$D$80:$EQ$80,$DB11:$IO11,$IQ11:$OD11),SUMPRODUCT('計算A'!$D$80:$EQ$80,$DB11:$IO11))*1000+21)</f>
        <v/>
      </c>
      <c r="CC11">
        <f>IF(AI11=1,1000000,IF('計算A'!$IT$31&gt;0,0,500000)+IF('計算A'!$IQ$31=2,SUMPRODUCT('計算A'!$D$81:$EQ$81,$DB11:$IO11,$IQ11:$OD11),SUMPRODUCT('計算A'!$D$81:$EQ$81,$DB11:$IO11))*1000+22)</f>
        <v/>
      </c>
      <c r="CD11">
        <f>IF(AJ11=1,1000000,IF('計算A'!$IT$32&gt;0,0,500000)+IF('計算A'!$IQ$32=2,SUMPRODUCT('計算A'!$D$82:$EQ$82,$DB11:$IO11,$IQ11:$OD11),SUMPRODUCT('計算A'!$D$82:$EQ$82,$DB11:$IO11))*1000+23)</f>
        <v/>
      </c>
      <c r="CE11">
        <f>IF(AK11=1,1000000,IF('計算A'!$IT$33&gt;0,0,500000)+IF('計算A'!$IQ$33=2,SUMPRODUCT('計算A'!$D$83:$EQ$83,$DB11:$IO11,$IQ11:$OD11),SUMPRODUCT('計算A'!$D$83:$EQ$83,$DB11:$IO11))*1000+24)</f>
        <v/>
      </c>
      <c r="CF11">
        <f>IF(AL11=1,1000000,IF('計算A'!$IT$34&gt;0,0,500000)+IF('計算A'!$IQ$34=2,SUMPRODUCT('計算A'!$D$84:$EQ$84,$DB11:$IO11,$IQ11:$OD11),SUMPRODUCT('計算A'!$D$84:$EQ$84,$DB11:$IO11))*1000+25)</f>
        <v/>
      </c>
      <c r="CG11">
        <f>IF(AM11=1,1000000,IF('計算A'!$IT$35&gt;0,0,500000)+IF('計算A'!$IQ$35=2,SUMPRODUCT('計算A'!$D$85:$EQ$85,$DB11:$IO11,$IQ11:$OD11),SUMPRODUCT('計算A'!$D$85:$EQ$85,$DB11:$IO11))*1000+26)</f>
        <v/>
      </c>
      <c r="CH11">
        <f>IF(AN11=1,1000000,IF('計算A'!$IT$36&gt;0,0,500000)+IF('計算A'!$IQ$36=2,SUMPRODUCT('計算A'!$D$86:$EQ$86,$DB11:$IO11,$IQ11:$OD11),SUMPRODUCT('計算A'!$D$86:$EQ$86,$DB11:$IO11))*1000+27)</f>
        <v/>
      </c>
      <c r="CI11">
        <f>IF(AO11=1,1000000,IF('計算A'!$IT$37&gt;0,0,500000)+IF('計算A'!$IQ$37=2,SUMPRODUCT('計算A'!$D$87:$EQ$87,$DB11:$IO11,$IQ11:$OD11),SUMPRODUCT('計算A'!$D$87:$EQ$87,$DB11:$IO11))*1000+28)</f>
        <v/>
      </c>
      <c r="CJ11">
        <f>IF(AP11=1,1000000,IF('計算A'!$IT$38&gt;0,0,500000)+IF('計算A'!$IQ$38=2,SUMPRODUCT('計算A'!$D$88:$EQ$88,$DB11:$IO11,$IQ11:$OD11),SUMPRODUCT('計算A'!$D$88:$EQ$88,$DB11:$IO11))*1000+29)</f>
        <v/>
      </c>
      <c r="CK11">
        <f>IF(AQ11=1,1000000,IF('計算A'!$IT$39&gt;0,0,500000)+IF('計算A'!$IQ$39=2,SUMPRODUCT('計算A'!$D$89:$EQ$89,$DB11:$IO11,$IQ11:$OD11),SUMPRODUCT('計算A'!$D$89:$EQ$89,$DB11:$IO11))*1000+30)</f>
        <v/>
      </c>
      <c r="CL11">
        <f>IF(AR11=1,1000000,IF('計算A'!$IT$40&gt;0,0,500000)+IF('計算A'!$IQ$40=2,SUMPRODUCT('計算A'!$D$90:$EQ$90,$DB11:$IO11,$IQ11:$OD11),SUMPRODUCT('計算A'!$D$90:$EQ$90,$DB11:$IO11))*1000+31)</f>
        <v/>
      </c>
      <c r="CM11">
        <f>IF(AS11=1,1000000,IF('計算A'!$IT$41&gt;0,0,500000)+IF('計算A'!$IQ$41=2,SUMPRODUCT('計算A'!$D$91:$EQ$91,$DB11:$IO11,$IQ11:$OD11),SUMPRODUCT('計算A'!$D$91:$EQ$91,$DB11:$IO11))*1000+32)</f>
        <v/>
      </c>
      <c r="CN11">
        <f>IF(AT11=1,1000000,IF('計算A'!$IT$42&gt;0,0,500000)+IF('計算A'!$IQ$42=2,SUMPRODUCT('計算A'!$D$92:$EQ$92,$DB11:$IO11,$IQ11:$OD11),SUMPRODUCT('計算A'!$D$92:$EQ$92,$DB11:$IO11))*1000+33)</f>
        <v/>
      </c>
      <c r="CO11">
        <f>IF(AU11=1,1000000,IF('計算A'!$IT$43&gt;0,0,500000)+IF('計算A'!$IQ$43=2,SUMPRODUCT('計算A'!$D$93:$EQ$93,$DB11:$IO11,$IQ11:$OD11),SUMPRODUCT('計算A'!$D$93:$EQ$93,$DB11:$IO11))*1000+34)</f>
        <v/>
      </c>
      <c r="CP11">
        <f>IF(AV11=1,1000000,IF('計算A'!$IT$44&gt;0,0,500000)+IF('計算A'!$IQ$44=2,SUMPRODUCT('計算A'!$D$94:$EQ$94,$DB11:$IO11,$IQ11:$OD11),SUMPRODUCT('計算A'!$D$94:$EQ$94,$DB11:$IO11))*1000+35)</f>
        <v/>
      </c>
      <c r="CQ11">
        <f>IF(AW11=1,1000000,IF('計算A'!$IT$45&gt;0,0,500000)+IF('計算A'!$IQ$45=2,SUMPRODUCT('計算A'!$D$95:$EQ$95,$DB11:$IO11,$IQ11:$OD11),SUMPRODUCT('計算A'!$D$95:$EQ$95,$DB11:$IO11))*1000+36)</f>
        <v/>
      </c>
      <c r="CR11">
        <f>IF(AX11=1,1000000,IF('計算A'!$IT$46&gt;0,0,500000)+IF('計算A'!$IQ$46=2,SUMPRODUCT('計算A'!$D$96:$EQ$96,$DB11:$IO11,$IQ11:$OD11),SUMPRODUCT('計算A'!$D$96:$EQ$96,$DB11:$IO11))*1000+37)</f>
        <v/>
      </c>
      <c r="CS11">
        <f>IF(AY11=1,1000000,IF('計算A'!$IT$47&gt;0,0,500000)+IF('計算A'!$IQ$47=2,SUMPRODUCT('計算A'!$D$97:$EQ$97,$DB11:$IO11,$IQ11:$OD11),SUMPRODUCT('計算A'!$D$97:$EQ$97,$DB11:$IO11))*1000+38)</f>
        <v/>
      </c>
      <c r="CT11">
        <f>IF(AZ11=1,1000000,IF('計算A'!$IT$48&gt;0,0,500000)+IF('計算A'!$IQ$48=2,SUMPRODUCT('計算A'!$D$98:$EQ$98,$DB11:$IO11,$IQ11:$OD11),SUMPRODUCT('計算A'!$D$98:$EQ$98,$DB11:$IO11))*1000+39)</f>
        <v/>
      </c>
      <c r="CU11">
        <f>IF(BA11=1,1000000,IF('計算A'!$IT$49&gt;0,0,500000)+IF('計算A'!$IQ$49=2,SUMPRODUCT('計算A'!$D$99:$EQ$99,$DB11:$IO11,$IQ11:$OD11),SUMPRODUCT('計算A'!$D$99:$EQ$99,$DB11:$IO11))*1000+40)</f>
        <v/>
      </c>
      <c r="CV11">
        <f>IF(BB11=1,1000000,IF('計算A'!$IT$50&gt;0,0,500000)+IF('計算A'!$IQ$50=2,SUMPRODUCT('計算A'!$D$100:$EQ$100,$DB11:$IO11,$IQ11:$OD11),SUMPRODUCT('計算A'!$D$100:$EQ$100,$DB11:$IO11))*1000+41)</f>
        <v/>
      </c>
      <c r="CW11">
        <f>IF(BC11=1,1000000,IF('計算A'!$IT$51&gt;0,0,500000)+IF('計算A'!$IQ$51=2,SUMPRODUCT('計算A'!$D$101:$EQ$101,$DB11:$IO11,$IQ11:$OD11),SUMPRODUCT('計算A'!$D$101:$EQ$101,$DB11:$IO11))*1000+42)</f>
        <v/>
      </c>
      <c r="CX11">
        <f>IF(BD11=1,1000000,IF('計算A'!$IT$52&gt;0,0,500000)+IF('計算A'!$IQ$52=2,SUMPRODUCT('計算A'!$D$102:$EQ$102,$DB11:$IO11,$IQ11:$OD11),SUMPRODUCT('計算A'!$D$102:$EQ$102,$DB11:$IO11))*1000+43)</f>
        <v/>
      </c>
      <c r="CY11">
        <f>IF(BE11=1,1000000,IF('計算A'!$IT$53&gt;0,0,500000)+IF('計算A'!$IQ$53=2,SUMPRODUCT('計算A'!$D$103:$EQ$103,$DB11:$IO11,$IQ11:$OD11),SUMPRODUCT('計算A'!$D$103:$EQ$103,$DB11:$IO11))*1000+44)</f>
        <v/>
      </c>
      <c r="CZ11">
        <f>IF(BF11=1,1000000,IF('計算A'!$IT$54&gt;0,0,500000)+IF('計算A'!$IQ$54=2,SUMPRODUCT('計算A'!$D$104:$EQ$104,$DB11:$IO11,$IQ11:$OD11),SUMPRODUCT('計算A'!$D$104:$EQ$104,$DB11:$IO11))*1000+45)</f>
        <v/>
      </c>
      <c r="DB11">
        <f>DB10*IF(OR($C10=1,$G10=1),0,1)</f>
        <v/>
      </c>
      <c r="DC11">
        <f>DC10*IF(OR($C10=2,$G10=2),0,1)</f>
        <v/>
      </c>
      <c r="DD11">
        <f>DD10*IF(OR($C10=3,$G10=3),0,1)</f>
        <v/>
      </c>
      <c r="DE11">
        <f>DE10*IF(OR($C10=4,$G10=4),0,1)</f>
        <v/>
      </c>
      <c r="DF11">
        <f>DF10*IF(OR($C10=5,$G10=5),0,1)</f>
        <v/>
      </c>
      <c r="DG11">
        <f>DG10*IF(OR($C10=6,$G10=6),0,1)</f>
        <v/>
      </c>
      <c r="DH11">
        <f>DH10*IF(OR($C10=7,$G10=7),0,1)</f>
        <v/>
      </c>
      <c r="DI11">
        <f>DI10*IF(OR($C10=8,$G10=8),0,1)</f>
        <v/>
      </c>
      <c r="DJ11">
        <f>DJ10*IF(OR($C10=9,$G10=9),0,1)</f>
        <v/>
      </c>
      <c r="DK11">
        <f>DK10*IF(OR($C10=10,$G10=10),0,1)</f>
        <v/>
      </c>
      <c r="DL11">
        <f>DL10*IF(OR($C10=11,$G10=11),0,1)</f>
        <v/>
      </c>
      <c r="DM11">
        <f>DM10*IF(OR($C10=12,$G10=12),0,1)</f>
        <v/>
      </c>
      <c r="DN11">
        <f>DN10*IF(OR($C10=13,$G10=13),0,1)</f>
        <v/>
      </c>
      <c r="DO11">
        <f>DO10*IF(OR($C10=14,$G10=14),0,1)</f>
        <v/>
      </c>
      <c r="DP11">
        <f>DP10*IF(OR($C10=15,$G10=15),0,1)</f>
        <v/>
      </c>
      <c r="DQ11">
        <f>DQ10*IF(OR($C10=16,$G10=16),0,1)</f>
        <v/>
      </c>
      <c r="DR11">
        <f>DR10*IF(OR($C10=17,$G10=17),0,1)</f>
        <v/>
      </c>
      <c r="DS11">
        <f>DS10*IF(OR($C10=18,$G10=18),0,1)</f>
        <v/>
      </c>
      <c r="DT11">
        <f>DT10*IF(OR($C10=19,$G10=19),0,1)</f>
        <v/>
      </c>
      <c r="DU11">
        <f>DU10*IF(OR($C10=20,$G10=20),0,1)</f>
        <v/>
      </c>
      <c r="DV11">
        <f>DV10*IF(OR($C10=21,$G10=21),0,1)</f>
        <v/>
      </c>
      <c r="DW11">
        <f>DW10*IF(OR($C10=22,$G10=22),0,1)</f>
        <v/>
      </c>
      <c r="DX11">
        <f>DX10*IF(OR($C10=23,$G10=23),0,1)</f>
        <v/>
      </c>
      <c r="DY11">
        <f>DY10*IF(OR($C10=24,$G10=24),0,1)</f>
        <v/>
      </c>
      <c r="DZ11">
        <f>DZ10*IF(OR($C10=25,$G10=25),0,1)</f>
        <v/>
      </c>
      <c r="EA11">
        <f>EA10*IF(OR($C10=26,$G10=26),0,1)</f>
        <v/>
      </c>
      <c r="EB11">
        <f>EB10*IF(OR($C10=27,$G10=27),0,1)</f>
        <v/>
      </c>
      <c r="EC11">
        <f>EC10*IF(OR($C10=28,$G10=28),0,1)</f>
        <v/>
      </c>
      <c r="ED11">
        <f>ED10*IF(OR($C10=29,$G10=29),0,1)</f>
        <v/>
      </c>
      <c r="EE11">
        <f>EE10*IF(OR($C10=30,$G10=30),0,1)</f>
        <v/>
      </c>
      <c r="EF11">
        <f>EF10*IF(OR($C10=31,$G10=31),0,1)</f>
        <v/>
      </c>
      <c r="EG11">
        <f>EG10*IF(OR($C10=32,$G10=32),0,1)</f>
        <v/>
      </c>
      <c r="EH11">
        <f>EH10*IF(OR($C10=33,$G10=33),0,1)</f>
        <v/>
      </c>
      <c r="EI11">
        <f>EI10*IF(OR($C10=34,$G10=34),0,1)</f>
        <v/>
      </c>
      <c r="EJ11">
        <f>EJ10*IF(OR($C10=35,$G10=35),0,1)</f>
        <v/>
      </c>
      <c r="EK11">
        <f>EK10*IF(OR($C10=36,$G10=36),0,1)</f>
        <v/>
      </c>
      <c r="EL11">
        <f>EL10*IF(OR($C10=37,$G10=37),0,1)</f>
        <v/>
      </c>
      <c r="EM11">
        <f>EM10*IF(OR($C10=38,$G10=38),0,1)</f>
        <v/>
      </c>
      <c r="EN11">
        <f>EN10*IF(OR($C10=39,$G10=39),0,1)</f>
        <v/>
      </c>
      <c r="EO11">
        <f>EO10*IF(OR($C10=40,$G10=40),0,1)</f>
        <v/>
      </c>
      <c r="EP11">
        <f>EP10*IF(OR($C10=41,$G10=41),0,1)</f>
        <v/>
      </c>
      <c r="EQ11">
        <f>EQ10*IF(OR($C10=42,$G10=42),0,1)</f>
        <v/>
      </c>
      <c r="ER11">
        <f>ER10*IF(OR($C10=43,$G10=43),0,1)</f>
        <v/>
      </c>
      <c r="ES11">
        <f>ES10*IF(OR($C10=44,$G10=44),0,1)</f>
        <v/>
      </c>
      <c r="ET11">
        <f>ET10*IF(OR($C10=45,$G10=45),0,1)</f>
        <v/>
      </c>
      <c r="EU11">
        <f>EU10*IF(OR($C10=46,$G10=46),0,1)</f>
        <v/>
      </c>
      <c r="EV11">
        <f>EV10*IF(OR($C10=47,$G10=47),0,1)</f>
        <v/>
      </c>
      <c r="EW11">
        <f>EW10*IF(OR($C10=48,$G10=48),0,1)</f>
        <v/>
      </c>
      <c r="EX11">
        <f>EX10*IF(OR($C10=49,$G10=49),0,1)</f>
        <v/>
      </c>
      <c r="EY11">
        <f>EY10*IF(OR($C10=50,$G10=50),0,1)</f>
        <v/>
      </c>
      <c r="EZ11">
        <f>EZ10*IF(OR($C10=51,$G10=51),0,1)</f>
        <v/>
      </c>
      <c r="FA11">
        <f>FA10*IF(OR($C10=52,$G10=52),0,1)</f>
        <v/>
      </c>
      <c r="FB11">
        <f>FB10*IF(OR($C10=53,$G10=53),0,1)</f>
        <v/>
      </c>
      <c r="FC11">
        <f>FC10*IF(OR($C10=54,$G10=54),0,1)</f>
        <v/>
      </c>
      <c r="FD11">
        <f>FD10*IF(OR($C10=55,$G10=55),0,1)</f>
        <v/>
      </c>
      <c r="FE11">
        <f>FE10*IF(OR($C10=56,$G10=56),0,1)</f>
        <v/>
      </c>
      <c r="FF11">
        <f>FF10*IF(OR($C10=57,$G10=57),0,1)</f>
        <v/>
      </c>
      <c r="FG11">
        <f>FG10*IF(OR($C10=58,$G10=58),0,1)</f>
        <v/>
      </c>
      <c r="FH11">
        <f>FH10*IF(OR($C10=59,$G10=59),0,1)</f>
        <v/>
      </c>
      <c r="FI11">
        <f>FI10*IF(OR($C10=60,$G10=60),0,1)</f>
        <v/>
      </c>
      <c r="FJ11">
        <f>FJ10*IF(OR($C10=61,$G10=61),0,1)</f>
        <v/>
      </c>
      <c r="FK11">
        <f>FK10*IF(OR($C10=62,$G10=62),0,1)</f>
        <v/>
      </c>
      <c r="FL11">
        <f>FL10*IF(OR($C10=63,$G10=63),0,1)</f>
        <v/>
      </c>
      <c r="FM11">
        <f>FM10*IF(OR($C10=64,$G10=64),0,1)</f>
        <v/>
      </c>
      <c r="FN11">
        <f>FN10*IF(OR($C10=65,$G10=65),0,1)</f>
        <v/>
      </c>
      <c r="FO11">
        <f>FO10*IF(OR($C10=66,$G10=66),0,1)</f>
        <v/>
      </c>
      <c r="FP11">
        <f>FP10*IF(OR($C10=67,$G10=67),0,1)</f>
        <v/>
      </c>
      <c r="FQ11">
        <f>FQ10*IF(OR($C10=68,$G10=68),0,1)</f>
        <v/>
      </c>
      <c r="FR11">
        <f>FR10*IF(OR($C10=69,$G10=69),0,1)</f>
        <v/>
      </c>
      <c r="FS11">
        <f>FS10*IF(OR($C10=70,$G10=70),0,1)</f>
        <v/>
      </c>
      <c r="FT11">
        <f>FT10*IF(OR($C10=71,$G10=71),0,1)</f>
        <v/>
      </c>
      <c r="FU11">
        <f>FU10*IF(OR($C10=72,$G10=72),0,1)</f>
        <v/>
      </c>
      <c r="FV11">
        <f>FV10*IF(OR($C10=73,$G10=73),0,1)</f>
        <v/>
      </c>
      <c r="FW11">
        <f>FW10*IF(OR($C10=74,$G10=74),0,1)</f>
        <v/>
      </c>
      <c r="FX11">
        <f>FX10*IF(OR($C10=75,$G10=75),0,1)</f>
        <v/>
      </c>
      <c r="FY11">
        <f>FY10*IF(OR($C10=76,$G10=76),0,1)</f>
        <v/>
      </c>
      <c r="FZ11">
        <f>FZ10*IF(OR($C10=77,$G10=77),0,1)</f>
        <v/>
      </c>
      <c r="GA11">
        <f>GA10*IF(OR($C10=78,$G10=78),0,1)</f>
        <v/>
      </c>
      <c r="GB11">
        <f>GB10*IF(OR($C10=79,$G10=79),0,1)</f>
        <v/>
      </c>
      <c r="GC11">
        <f>GC10*IF(OR($C10=80,$G10=80),0,1)</f>
        <v/>
      </c>
      <c r="GD11">
        <f>GD10*IF(OR($C10=81,$G10=81),0,1)</f>
        <v/>
      </c>
      <c r="GE11">
        <f>GE10*IF(OR($C10=82,$G10=82),0,1)</f>
        <v/>
      </c>
      <c r="GF11">
        <f>GF10*IF(OR($C10=83,$G10=83),0,1)</f>
        <v/>
      </c>
      <c r="GG11">
        <f>GG10*IF(OR($C10=84,$G10=84),0,1)</f>
        <v/>
      </c>
      <c r="GH11">
        <f>GH10*IF(OR($C10=85,$G10=85),0,1)</f>
        <v/>
      </c>
      <c r="GI11">
        <f>GI10*IF(OR($C10=86,$G10=86),0,1)</f>
        <v/>
      </c>
      <c r="GJ11">
        <f>GJ10*IF(OR($C10=87,$G10=87),0,1)</f>
        <v/>
      </c>
      <c r="GK11">
        <f>GK10*IF(OR($C10=88,$G10=88),0,1)</f>
        <v/>
      </c>
      <c r="GL11">
        <f>GL10*IF(OR($C10=89,$G10=89),0,1)</f>
        <v/>
      </c>
      <c r="GM11">
        <f>GM10*IF(OR($C10=90,$G10=90),0,1)</f>
        <v/>
      </c>
      <c r="GN11">
        <f>GN10*IF(OR($C10=91,$G10=91),0,1)</f>
        <v/>
      </c>
      <c r="GO11">
        <f>GO10*IF(OR($C10=92,$G10=92),0,1)</f>
        <v/>
      </c>
      <c r="GP11">
        <f>GP10*IF(OR($C10=93,$G10=93),0,1)</f>
        <v/>
      </c>
      <c r="GQ11">
        <f>GQ10*IF(OR($C10=94,$G10=94),0,1)</f>
        <v/>
      </c>
      <c r="GR11">
        <f>GR10*IF(OR($C10=95,$G10=95),0,1)</f>
        <v/>
      </c>
      <c r="GS11">
        <f>GS10*IF(OR($C10=96,$G10=96),0,1)</f>
        <v/>
      </c>
      <c r="GT11">
        <f>GT10*IF(OR($C10=97,$G10=97),0,1)</f>
        <v/>
      </c>
      <c r="GU11">
        <f>GU10*IF(OR($C10=98,$G10=98),0,1)</f>
        <v/>
      </c>
      <c r="GV11">
        <f>GV10*IF(OR($C10=99,$G10=99),0,1)</f>
        <v/>
      </c>
      <c r="GW11">
        <f>GW10*IF(OR($C10=100,$G10=100),0,1)</f>
        <v/>
      </c>
      <c r="GX11">
        <f>GX10*IF(OR($C10=101,$G10=101),0,1)</f>
        <v/>
      </c>
      <c r="GY11">
        <f>GY10*IF(OR($C10=102,$G10=102),0,1)</f>
        <v/>
      </c>
      <c r="GZ11">
        <f>GZ10*IF(OR($C10=103,$G10=103),0,1)</f>
        <v/>
      </c>
      <c r="HA11">
        <f>HA10*IF(OR($C10=104,$G10=104),0,1)</f>
        <v/>
      </c>
      <c r="HB11">
        <f>HB10*IF(OR($C10=105,$G10=105),0,1)</f>
        <v/>
      </c>
      <c r="HC11">
        <f>HC10*IF(OR($C10=106,$G10=106),0,1)</f>
        <v/>
      </c>
      <c r="HD11">
        <f>HD10*IF(OR($C10=107,$G10=107),0,1)</f>
        <v/>
      </c>
      <c r="HE11">
        <f>HE10*IF(OR($C10=108,$G10=108),0,1)</f>
        <v/>
      </c>
      <c r="HF11">
        <f>HF10*IF(OR($C10=109,$G10=109),0,1)</f>
        <v/>
      </c>
      <c r="HG11">
        <f>HG10*IF(OR($C10=110,$G10=110),0,1)</f>
        <v/>
      </c>
      <c r="HH11">
        <f>HH10*IF(OR($C10=111,$G10=111),0,1)</f>
        <v/>
      </c>
      <c r="HI11">
        <f>HI10*IF(OR($C10=112,$G10=112),0,1)</f>
        <v/>
      </c>
      <c r="HJ11">
        <f>HJ10*IF(OR($C10=113,$G10=113),0,1)</f>
        <v/>
      </c>
      <c r="HK11">
        <f>HK10*IF(OR($C10=114,$G10=114),0,1)</f>
        <v/>
      </c>
      <c r="HL11">
        <f>HL10*IF(OR($C10=115,$G10=115),0,1)</f>
        <v/>
      </c>
      <c r="HM11">
        <f>HM10*IF(OR($C10=116,$G10=116),0,1)</f>
        <v/>
      </c>
      <c r="HN11">
        <f>HN10*IF(OR($C10=117,$G10=117),0,1)</f>
        <v/>
      </c>
      <c r="HO11">
        <f>HO10*IF(OR($C10=118,$G10=118),0,1)</f>
        <v/>
      </c>
      <c r="HP11">
        <f>HP10*IF(OR($C10=119,$G10=119),0,1)</f>
        <v/>
      </c>
      <c r="HQ11">
        <f>HQ10*IF(OR($C10=120,$G10=120),0,1)</f>
        <v/>
      </c>
      <c r="HR11">
        <f>HR10*IF(OR($C10=121,$G10=121),0,1)</f>
        <v/>
      </c>
      <c r="HS11">
        <f>HS10*IF(OR($C10=122,$G10=122),0,1)</f>
        <v/>
      </c>
      <c r="HT11">
        <f>HT10*IF(OR($C10=123,$G10=123),0,1)</f>
        <v/>
      </c>
      <c r="HU11">
        <f>HU10*IF(OR($C10=124,$G10=124),0,1)</f>
        <v/>
      </c>
      <c r="HV11">
        <f>HV10*IF(OR($C10=125,$G10=125),0,1)</f>
        <v/>
      </c>
      <c r="HW11">
        <f>HW10*IF(OR($C10=126,$G10=126),0,1)</f>
        <v/>
      </c>
      <c r="HX11">
        <f>HX10*IF(OR($C10=127,$G10=127),0,1)</f>
        <v/>
      </c>
      <c r="HY11">
        <f>HY10*IF(OR($C10=128,$G10=128),0,1)</f>
        <v/>
      </c>
      <c r="HZ11">
        <f>HZ10*IF(OR($C10=129,$G10=129),0,1)</f>
        <v/>
      </c>
      <c r="IA11">
        <f>IA10*IF(OR($C10=130,$G10=130),0,1)</f>
        <v/>
      </c>
      <c r="IB11">
        <f>IB10*IF(OR($C10=131,$G10=131),0,1)</f>
        <v/>
      </c>
      <c r="IC11">
        <f>IC10*IF(OR($C10=132,$G10=132),0,1)</f>
        <v/>
      </c>
      <c r="ID11">
        <f>ID10*IF(OR($C10=133,$G10=133),0,1)</f>
        <v/>
      </c>
      <c r="IE11">
        <f>IE10*IF(OR($C10=134,$G10=134),0,1)</f>
        <v/>
      </c>
      <c r="IF11">
        <f>IF10*IF(OR($C10=135,$G10=135),0,1)</f>
        <v/>
      </c>
      <c r="IG11">
        <f>IG10*IF(OR($C10=136,$G10=136),0,1)</f>
        <v/>
      </c>
      <c r="IH11">
        <f>IH10*IF(OR($C10=137,$G10=137),0,1)</f>
        <v/>
      </c>
      <c r="II11">
        <f>II10*IF(OR($C10=138,$G10=138),0,1)</f>
        <v/>
      </c>
      <c r="IJ11">
        <f>IJ10*IF(OR($C10=139,$G10=139),0,1)</f>
        <v/>
      </c>
      <c r="IK11">
        <f>IK10*IF(OR($C10=140,$G10=140),0,1)</f>
        <v/>
      </c>
      <c r="IL11">
        <f>IL10*IF(OR($C10=141,$G10=141),0,1)</f>
        <v/>
      </c>
      <c r="IM11">
        <f>IM10*IF(OR($C10=142,$G10=142),0,1)</f>
        <v/>
      </c>
      <c r="IN11">
        <f>IN10*IF(OR($C10=143,$G10=143),0,1)</f>
        <v/>
      </c>
      <c r="IO11">
        <f>IO10*IF(OR($C10=144,$G10=144),0,1)</f>
        <v/>
      </c>
      <c r="IQ11">
        <f>IF('計算A'!D$106=1,DC11,1)</f>
        <v/>
      </c>
      <c r="IR11">
        <f>IF('計算A'!E$106=1,DD11,1)</f>
        <v/>
      </c>
      <c r="IS11">
        <f>IF('計算A'!F$106=1,DE11,1)</f>
        <v/>
      </c>
      <c r="IT11">
        <f>IF('計算A'!G$106=1,DF11,1)</f>
        <v/>
      </c>
      <c r="IU11">
        <f>IF('計算A'!H$106=1,DG11,1)</f>
        <v/>
      </c>
      <c r="IV11">
        <f>IF('計算A'!I$106=1,DH11,1)</f>
        <v/>
      </c>
      <c r="IW11">
        <f>IF('計算A'!J$106=1,DI11,1)</f>
        <v/>
      </c>
      <c r="IX11">
        <f>IF('計算A'!K$106=1,DJ11,1)</f>
        <v/>
      </c>
      <c r="IY11">
        <f>IF('計算A'!L$106=1,DK11,1)</f>
        <v/>
      </c>
      <c r="IZ11">
        <f>IF('計算A'!M$106=1,DL11,1)</f>
        <v/>
      </c>
      <c r="JA11">
        <f>IF('計算A'!N$106=1,DM11,1)</f>
        <v/>
      </c>
      <c r="JB11">
        <f>IF('計算A'!O$106=1,DN11,1)</f>
        <v/>
      </c>
      <c r="JC11">
        <f>IF('計算A'!P$106=1,DO11,1)</f>
        <v/>
      </c>
      <c r="JD11">
        <f>IF('計算A'!Q$106=1,DP11,1)</f>
        <v/>
      </c>
      <c r="JE11">
        <f>IF('計算A'!R$106=1,DQ11,1)</f>
        <v/>
      </c>
      <c r="JF11">
        <f>IF('計算A'!S$106=1,DR11,1)</f>
        <v/>
      </c>
      <c r="JG11">
        <f>IF('計算A'!T$106=1,DS11,1)</f>
        <v/>
      </c>
      <c r="JH11">
        <f>IF('計算A'!U$106=1,DT11,1)</f>
        <v/>
      </c>
      <c r="JI11">
        <f>IF('計算A'!V$106=1,DU11,1)</f>
        <v/>
      </c>
      <c r="JJ11">
        <f>IF('計算A'!W$106=1,DV11,1)</f>
        <v/>
      </c>
      <c r="JK11">
        <f>IF('計算A'!X$106=1,DW11,1)</f>
        <v/>
      </c>
      <c r="JL11">
        <f>IF('計算A'!Y$106=1,DX11,1)</f>
        <v/>
      </c>
      <c r="JM11">
        <f>IF('計算A'!Z$106=1,DY11,1)</f>
        <v/>
      </c>
      <c r="JN11">
        <f>IF('計算A'!AA$106=1,DZ11,1)</f>
        <v/>
      </c>
      <c r="JO11">
        <f>IF('計算A'!AB$106=1,EA11,1)</f>
        <v/>
      </c>
      <c r="JP11">
        <f>IF('計算A'!AC$106=1,EB11,1)</f>
        <v/>
      </c>
      <c r="JQ11">
        <f>IF('計算A'!AD$106=1,EC11,1)</f>
        <v/>
      </c>
      <c r="JR11">
        <f>IF('計算A'!AE$106=1,ED11,1)</f>
        <v/>
      </c>
      <c r="JS11">
        <f>IF('計算A'!AF$106=1,EE11,1)</f>
        <v/>
      </c>
      <c r="JT11">
        <f>IF('計算A'!AG$106=1,EF11,1)</f>
        <v/>
      </c>
      <c r="JU11">
        <f>IF('計算A'!AH$106=1,EG11,1)</f>
        <v/>
      </c>
      <c r="JV11">
        <f>IF('計算A'!AI$106=1,EH11,1)</f>
        <v/>
      </c>
      <c r="JW11">
        <f>IF('計算A'!AJ$106=1,EI11,1)</f>
        <v/>
      </c>
      <c r="JX11">
        <f>IF('計算A'!AK$106=1,EJ11,1)</f>
        <v/>
      </c>
      <c r="JY11">
        <f>IF('計算A'!AL$106=1,EK11,1)</f>
        <v/>
      </c>
      <c r="JZ11">
        <f>IF('計算A'!AM$106=1,EL11,1)</f>
        <v/>
      </c>
      <c r="KA11">
        <f>IF('計算A'!AN$106=1,EM11,1)</f>
        <v/>
      </c>
      <c r="KB11">
        <f>IF('計算A'!AO$106=1,EN11,1)</f>
        <v/>
      </c>
      <c r="KC11">
        <f>IF('計算A'!AP$106=1,EO11,1)</f>
        <v/>
      </c>
      <c r="KD11">
        <f>IF('計算A'!AQ$106=1,EP11,1)</f>
        <v/>
      </c>
      <c r="KE11">
        <f>IF('計算A'!AR$106=1,EQ11,1)</f>
        <v/>
      </c>
      <c r="KF11">
        <f>IF('計算A'!AS$106=1,ER11,1)</f>
        <v/>
      </c>
      <c r="KG11">
        <f>IF('計算A'!AT$106=1,ES11,1)</f>
        <v/>
      </c>
      <c r="KH11">
        <f>IF('計算A'!AU$106=1,ET11,1)</f>
        <v/>
      </c>
      <c r="KI11">
        <f>IF('計算A'!AV$106=1,EU11,1)</f>
        <v/>
      </c>
      <c r="KJ11">
        <f>IF('計算A'!AW$106=1,EV11,1)</f>
        <v/>
      </c>
      <c r="KK11">
        <f>IF('計算A'!AX$106=1,EW11,1)</f>
        <v/>
      </c>
      <c r="KL11">
        <f>IF('計算A'!AY$106=1,EX11,1)</f>
        <v/>
      </c>
      <c r="KM11">
        <f>IF('計算A'!AZ$106=1,EY11,1)</f>
        <v/>
      </c>
      <c r="KN11">
        <f>IF('計算A'!BA$106=1,EZ11,1)</f>
        <v/>
      </c>
      <c r="KO11">
        <f>IF('計算A'!BB$106=1,FA11,1)</f>
        <v/>
      </c>
      <c r="KP11">
        <f>IF('計算A'!BC$106=1,FB11,1)</f>
        <v/>
      </c>
      <c r="KQ11">
        <f>IF('計算A'!BD$106=1,FC11,1)</f>
        <v/>
      </c>
      <c r="KR11">
        <f>IF('計算A'!BE$106=1,FD11,1)</f>
        <v/>
      </c>
      <c r="KS11">
        <f>IF('計算A'!BF$106=1,FE11,1)</f>
        <v/>
      </c>
      <c r="KT11">
        <f>IF('計算A'!BG$106=1,FF11,1)</f>
        <v/>
      </c>
      <c r="KU11">
        <f>IF('計算A'!BH$106=1,FG11,1)</f>
        <v/>
      </c>
      <c r="KV11">
        <f>IF('計算A'!BI$106=1,FH11,1)</f>
        <v/>
      </c>
      <c r="KW11">
        <f>IF('計算A'!BJ$106=1,FI11,1)</f>
        <v/>
      </c>
      <c r="KX11">
        <f>IF('計算A'!BK$106=1,FJ11,1)</f>
        <v/>
      </c>
      <c r="KY11">
        <f>IF('計算A'!BL$106=1,FK11,1)</f>
        <v/>
      </c>
      <c r="KZ11">
        <f>IF('計算A'!BM$106=1,FL11,1)</f>
        <v/>
      </c>
      <c r="LA11">
        <f>IF('計算A'!BN$106=1,FM11,1)</f>
        <v/>
      </c>
      <c r="LB11">
        <f>IF('計算A'!BO$106=1,FN11,1)</f>
        <v/>
      </c>
      <c r="LC11">
        <f>IF('計算A'!BP$106=1,FO11,1)</f>
        <v/>
      </c>
      <c r="LD11">
        <f>IF('計算A'!BQ$106=1,FP11,1)</f>
        <v/>
      </c>
      <c r="LE11">
        <f>IF('計算A'!BR$106=1,FQ11,1)</f>
        <v/>
      </c>
      <c r="LF11">
        <f>IF('計算A'!BS$106=1,FR11,1)</f>
        <v/>
      </c>
      <c r="LG11">
        <f>IF('計算A'!BT$106=1,FS11,1)</f>
        <v/>
      </c>
      <c r="LH11">
        <f>IF('計算A'!BU$106=1,FT11,1)</f>
        <v/>
      </c>
      <c r="LI11">
        <f>IF('計算A'!BV$106=1,FU11,1)</f>
        <v/>
      </c>
      <c r="LJ11">
        <f>IF('計算A'!BW$106=1,FV11,1)</f>
        <v/>
      </c>
      <c r="LK11">
        <f>IF('計算A'!BX$106=1,FW11,1)</f>
        <v/>
      </c>
      <c r="LL11">
        <f>IF('計算A'!BY$106=1,FX11,1)</f>
        <v/>
      </c>
      <c r="LM11">
        <f>IF('計算A'!BZ$106=1,FY11,1)</f>
        <v/>
      </c>
      <c r="LN11">
        <f>IF('計算A'!CA$106=1,FZ11,1)</f>
        <v/>
      </c>
      <c r="LO11">
        <f>IF('計算A'!CB$106=1,GA11,1)</f>
        <v/>
      </c>
      <c r="LP11">
        <f>IF('計算A'!CC$106=1,GB11,1)</f>
        <v/>
      </c>
      <c r="LQ11">
        <f>IF('計算A'!CD$106=1,GC11,1)</f>
        <v/>
      </c>
      <c r="LR11">
        <f>IF('計算A'!CE$106=1,GD11,1)</f>
        <v/>
      </c>
      <c r="LS11">
        <f>IF('計算A'!CF$106=1,GE11,1)</f>
        <v/>
      </c>
      <c r="LT11">
        <f>IF('計算A'!CG$106=1,GF11,1)</f>
        <v/>
      </c>
      <c r="LU11">
        <f>IF('計算A'!CH$106=1,GG11,1)</f>
        <v/>
      </c>
      <c r="LV11">
        <f>IF('計算A'!CI$106=1,GH11,1)</f>
        <v/>
      </c>
      <c r="LW11">
        <f>IF('計算A'!CJ$106=1,GI11,1)</f>
        <v/>
      </c>
      <c r="LX11">
        <f>IF('計算A'!CK$106=1,GJ11,1)</f>
        <v/>
      </c>
      <c r="LY11">
        <f>IF('計算A'!CL$106=1,GK11,1)</f>
        <v/>
      </c>
      <c r="LZ11">
        <f>IF('計算A'!CM$106=1,GL11,1)</f>
        <v/>
      </c>
      <c r="MA11">
        <f>IF('計算A'!CN$106=1,GM11,1)</f>
        <v/>
      </c>
      <c r="MB11">
        <f>IF('計算A'!CO$106=1,GN11,1)</f>
        <v/>
      </c>
      <c r="MC11">
        <f>IF('計算A'!CP$106=1,GO11,1)</f>
        <v/>
      </c>
      <c r="MD11">
        <f>IF('計算A'!CQ$106=1,GP11,1)</f>
        <v/>
      </c>
      <c r="ME11">
        <f>IF('計算A'!CR$106=1,GQ11,1)</f>
        <v/>
      </c>
      <c r="MF11">
        <f>IF('計算A'!CS$106=1,GR11,1)</f>
        <v/>
      </c>
      <c r="MG11">
        <f>IF('計算A'!CT$106=1,GS11,1)</f>
        <v/>
      </c>
      <c r="MH11">
        <f>IF('計算A'!CU$106=1,GT11,1)</f>
        <v/>
      </c>
      <c r="MI11">
        <f>IF('計算A'!CV$106=1,GU11,1)</f>
        <v/>
      </c>
      <c r="MJ11">
        <f>IF('計算A'!CW$106=1,GV11,1)</f>
        <v/>
      </c>
      <c r="MK11">
        <f>IF('計算A'!CX$106=1,GW11,1)</f>
        <v/>
      </c>
      <c r="ML11">
        <f>IF('計算A'!CY$106=1,GX11,1)</f>
        <v/>
      </c>
      <c r="MM11">
        <f>IF('計算A'!CZ$106=1,GY11,1)</f>
        <v/>
      </c>
      <c r="MN11">
        <f>IF('計算A'!DA$106=1,GZ11,1)</f>
        <v/>
      </c>
      <c r="MO11">
        <f>IF('計算A'!DB$106=1,HA11,1)</f>
        <v/>
      </c>
      <c r="MP11">
        <f>IF('計算A'!DC$106=1,HB11,1)</f>
        <v/>
      </c>
      <c r="MQ11">
        <f>IF('計算A'!DD$106=1,HC11,1)</f>
        <v/>
      </c>
      <c r="MR11">
        <f>IF('計算A'!DE$106=1,HD11,1)</f>
        <v/>
      </c>
      <c r="MS11">
        <f>IF('計算A'!DF$106=1,HE11,1)</f>
        <v/>
      </c>
      <c r="MT11">
        <f>IF('計算A'!DG$106=1,HF11,1)</f>
        <v/>
      </c>
      <c r="MU11">
        <f>IF('計算A'!DH$106=1,HG11,1)</f>
        <v/>
      </c>
      <c r="MV11">
        <f>IF('計算A'!DI$106=1,HH11,1)</f>
        <v/>
      </c>
      <c r="MW11">
        <f>IF('計算A'!DJ$106=1,HI11,1)</f>
        <v/>
      </c>
      <c r="MX11">
        <f>IF('計算A'!DK$106=1,HJ11,1)</f>
        <v/>
      </c>
      <c r="MY11">
        <f>IF('計算A'!DL$106=1,HK11,1)</f>
        <v/>
      </c>
      <c r="MZ11">
        <f>IF('計算A'!DM$106=1,HL11,1)</f>
        <v/>
      </c>
      <c r="NA11">
        <f>IF('計算A'!DN$106=1,HM11,1)</f>
        <v/>
      </c>
      <c r="NB11">
        <f>IF('計算A'!DO$106=1,HN11,1)</f>
        <v/>
      </c>
      <c r="NC11">
        <f>IF('計算A'!DP$106=1,HO11,1)</f>
        <v/>
      </c>
      <c r="ND11">
        <f>IF('計算A'!DQ$106=1,HP11,1)</f>
        <v/>
      </c>
      <c r="NE11">
        <f>IF('計算A'!DR$106=1,HQ11,1)</f>
        <v/>
      </c>
      <c r="NF11">
        <f>IF('計算A'!DS$106=1,HR11,1)</f>
        <v/>
      </c>
      <c r="NG11">
        <f>IF('計算A'!DT$106=1,HS11,1)</f>
        <v/>
      </c>
      <c r="NH11">
        <f>IF('計算A'!DU$106=1,HT11,1)</f>
        <v/>
      </c>
      <c r="NI11">
        <f>IF('計算A'!DV$106=1,HU11,1)</f>
        <v/>
      </c>
      <c r="NJ11">
        <f>IF('計算A'!DW$106=1,HV11,1)</f>
        <v/>
      </c>
      <c r="NK11">
        <f>IF('計算A'!DX$106=1,HW11,1)</f>
        <v/>
      </c>
      <c r="NL11">
        <f>IF('計算A'!DY$106=1,HX11,1)</f>
        <v/>
      </c>
      <c r="NM11">
        <f>IF('計算A'!DZ$106=1,HY11,1)</f>
        <v/>
      </c>
      <c r="NN11">
        <f>IF('計算A'!EA$106=1,HZ11,1)</f>
        <v/>
      </c>
      <c r="NO11">
        <f>IF('計算A'!EB$106=1,IA11,1)</f>
        <v/>
      </c>
      <c r="NP11">
        <f>IF('計算A'!EC$106=1,IB11,1)</f>
        <v/>
      </c>
      <c r="NQ11">
        <f>IF('計算A'!ED$106=1,IC11,1)</f>
        <v/>
      </c>
      <c r="NR11">
        <f>IF('計算A'!EE$106=1,ID11,1)</f>
        <v/>
      </c>
      <c r="NS11">
        <f>IF('計算A'!EF$106=1,IE11,1)</f>
        <v/>
      </c>
      <c r="NT11">
        <f>IF('計算A'!EG$106=1,IF11,1)</f>
        <v/>
      </c>
      <c r="NU11">
        <f>IF('計算A'!EH$106=1,IG11,1)</f>
        <v/>
      </c>
      <c r="NV11">
        <f>IF('計算A'!EI$106=1,IH11,1)</f>
        <v/>
      </c>
      <c r="NW11">
        <f>IF('計算A'!EJ$106=1,II11,1)</f>
        <v/>
      </c>
      <c r="NX11">
        <f>IF('計算A'!EK$106=1,IJ11,1)</f>
        <v/>
      </c>
      <c r="NY11">
        <f>IF('計算A'!EL$106=1,IK11,1)</f>
        <v/>
      </c>
      <c r="NZ11">
        <f>IF('計算A'!EM$106=1,IL11,1)</f>
        <v/>
      </c>
      <c r="OA11">
        <f>IF('計算A'!EN$106=1,IM11,1)</f>
        <v/>
      </c>
      <c r="OB11">
        <f>IF('計算A'!EO$106=1,IN11,1)</f>
        <v/>
      </c>
      <c r="OC11">
        <f>IF('計算A'!EP$106=1,IO11,1)</f>
        <v/>
      </c>
      <c r="OD11" t="n">
        <v>1</v>
      </c>
      <c r="OF11">
        <f>IF($B11=0,1000000,IF(INDEX('計算A'!$D$60:$EQ$104,$B11,1)*DB11=1,IF(AND($E11=2,IQ11=0),1000000,IF($I11&gt;0,IF(1=$J11,IF(OR(AND(1=$I11+1,OR($K11&lt;&gt;'計算A'!$A$3,'計算A'!$A$4=0)),AND(1=$I11-1,OR(1&lt;&gt;'計算A'!$A$3,'計算A'!$A$4=0))),0,IF(1=$K11,200000,ABS(1-$K11)*100)),100000+ABS(1-$J11)*1000+10)+'計算A'!D$5*50+IF(AND($E11=1,IQ11=0),25,0),IF($F11&gt;0,INDEX('計算A'!D$110:D$114,$F11+1)+IF(AND($E11=1,IQ11=0),1000,0),MIN(TU11,20)*400+(IF('計算A'!D$106=1,1-DC11,0))*150+11+'計算A'!D$5*100000+IF(AND($E11=1,IQ11=0),50000,0))+IF($H11=1,(IF('計算A'!D$117=1,INDEX('計算A'!E$10:E$54,$B11),0))*4000,0)-IF(AND($L11=1,'計算A'!D$117=1,DC11=0),2000,0))),1000000))</f>
        <v/>
      </c>
      <c r="OG11">
        <f>IF($B11=0,1000000,IF(INDEX('計算A'!$D$60:$EQ$104,$B11,2)*DC11=1,IF(AND($E11=2,IR11=0),1000000,IF($I11&gt;0,IF(1=$J11,IF(OR(AND(2=$I11+1,OR($K11&lt;&gt;'計算A'!$A$3,'計算A'!$A$4=0)),AND(2=$I11-1,OR(2&lt;&gt;'計算A'!$A$3,'計算A'!$A$4=0))),0,IF(2=$K11,200000,ABS(2-$K11)*100)),100000+ABS(1-$J11)*1000+20)+'計算A'!E$5*50+IF(AND($E11=1,IR11=0),25,0),IF($F11&gt;0,INDEX('計算A'!E$110:E$114,$F11+1)+IF(AND($E11=1,IR11=0),1000,0),MIN(TU11,20)*400+(IF('計算A'!D$106=1,1-DB11,0)+IF('計算A'!E$106=1,1-DD11,0))*150+21+'計算A'!E$5*100000+IF(AND($E11=1,IR11=0),50000,0))+IF($H11=1,(IF('計算A'!D$117=1,INDEX('計算A'!D$10:D$54,$B11),0)+IF('計算A'!E$117=1,INDEX('計算A'!F$10:F$54,$B11),0))*4000,0)-IF(AND('計算A'!D$117=1,UB11&gt;0),2000,0)-IF(AND($L11=1,'計算A'!E$117=1,DD11=0),2000,0))),1000000))</f>
        <v/>
      </c>
      <c r="OH11">
        <f>IF($B11=0,1000000,IF(INDEX('計算A'!$D$60:$EQ$104,$B11,3)*DD11=1,IF(AND($E11=2,IS11=0),1000000,IF($I11&gt;0,IF(1=$J11,IF(OR(AND(3=$I11+1,OR($K11&lt;&gt;'計算A'!$A$3,'計算A'!$A$4=0)),AND(3=$I11-1,OR(3&lt;&gt;'計算A'!$A$3,'計算A'!$A$4=0))),0,IF(3=$K11,200000,ABS(3-$K11)*100)),100000+ABS(1-$J11)*1000+30)+'計算A'!F$5*50+IF(AND($E11=1,IS11=0),25,0),IF($F11&gt;0,INDEX('計算A'!F$110:F$114,$F11+1)+IF(AND($E11=1,IS11=0),1000,0),MIN(TU11,20)*400+(IF('計算A'!E$106=1,1-DC11,0)+IF('計算A'!F$106=1,1-DE11,0))*150+31+'計算A'!F$5*100000+IF(AND($E11=1,IS11=0),50000,0))+IF($H11=1,(IF('計算A'!E$117=1,INDEX('計算A'!E$10:E$54,$B11),0)+IF('計算A'!F$117=1,INDEX('計算A'!G$10:G$54,$B11),0))*4000,0)-IF(AND('計算A'!E$117=1,UC11&gt;0),2000,0)-IF(AND($L11=1,'計算A'!F$117=1,DE11=0),2000,0))),1000000))</f>
        <v/>
      </c>
      <c r="OI11">
        <f>IF($B11=0,1000000,IF(INDEX('計算A'!$D$60:$EQ$104,$B11,4)*DE11=1,IF(AND($E11=2,IT11=0),1000000,IF($I11&gt;0,IF(1=$J11,IF(OR(AND(4=$I11+1,OR($K11&lt;&gt;'計算A'!$A$3,'計算A'!$A$4=0)),AND(4=$I11-1,OR(4&lt;&gt;'計算A'!$A$3,'計算A'!$A$4=0))),0,IF(4=$K11,200000,ABS(4-$K11)*100)),100000+ABS(1-$J11)*1000+40)+'計算A'!G$5*50+IF(AND($E11=1,IT11=0),25,0),IF($F11&gt;0,INDEX('計算A'!G$110:G$114,$F11+1)+IF(AND($E11=1,IT11=0),1000,0),MIN(TU11,20)*400+(IF('計算A'!F$106=1,1-DD11,0)+IF('計算A'!G$106=1,1-DF11,0))*150+41+'計算A'!G$5*100000+IF(AND($E11=1,IT11=0),50000,0))+IF($H11=1,(IF('計算A'!F$117=1,INDEX('計算A'!F$10:F$54,$B11),0)+IF('計算A'!G$117=1,INDEX('計算A'!H$10:H$54,$B11),0))*4000,0)-IF(AND('計算A'!F$117=1,UD11&gt;0),2000,0)-IF(AND($L11=1,'計算A'!G$117=1,DF11=0),2000,0))),1000000))</f>
        <v/>
      </c>
      <c r="OJ11">
        <f>IF($B11=0,1000000,IF(INDEX('計算A'!$D$60:$EQ$104,$B11,5)*DF11=1,IF(AND($E11=2,IU11=0),1000000,IF($I11&gt;0,IF(1=$J11,IF(OR(AND(5=$I11+1,OR($K11&lt;&gt;'計算A'!$A$3,'計算A'!$A$4=0)),AND(5=$I11-1,OR(5&lt;&gt;'計算A'!$A$3,'計算A'!$A$4=0))),0,IF(5=$K11,200000,ABS(5-$K11)*100)),100000+ABS(1-$J11)*1000+50)+'計算A'!H$5*50+IF(AND($E11=1,IU11=0),25,0),IF($F11&gt;0,INDEX('計算A'!H$110:H$114,$F11+1)+IF(AND($E11=1,IU11=0),1000,0),MIN(TU11,20)*400+(IF('計算A'!G$106=1,1-DE11,0)+IF('計算A'!H$106=1,1-DG11,0))*150+51+'計算A'!H$5*100000+IF(AND($E11=1,IU11=0),50000,0))+IF($H11=1,(IF('計算A'!G$117=1,INDEX('計算A'!G$10:G$54,$B11),0)+IF('計算A'!H$117=1,INDEX('計算A'!I$10:I$54,$B11),0))*4000,0)-IF(AND('計算A'!G$117=1,UE11&gt;0),2000,0)-IF(AND($L11=1,'計算A'!H$117=1,DG11=0),2000,0))),1000000))</f>
        <v/>
      </c>
      <c r="OK11">
        <f>IF($B11=0,1000000,IF(INDEX('計算A'!$D$60:$EQ$104,$B11,6)*DG11=1,IF(AND($E11=2,IV11=0),1000000,IF($I11&gt;0,IF(1=$J11,IF(OR(AND(6=$I11+1,OR($K11&lt;&gt;'計算A'!$A$3,'計算A'!$A$4=0)),AND(6=$I11-1,OR(6&lt;&gt;'計算A'!$A$3,'計算A'!$A$4=0))),0,IF(6=$K11,200000,ABS(6-$K11)*100)),100000+ABS(1-$J11)*1000+60)+'計算A'!I$5*50+IF(AND($E11=1,IV11=0),25,0),IF($F11&gt;0,INDEX('計算A'!I$110:I$114,$F11+1)+IF(AND($E11=1,IV11=0),1000,0),MIN(TU11,20)*400+(IF('計算A'!H$106=1,1-DF11,0)+IF('計算A'!I$106=1,1-DH11,0))*150+61+'計算A'!I$5*100000+IF(AND($E11=1,IV11=0),50000,0))+IF($H11=1,(IF('計算A'!H$117=1,INDEX('計算A'!H$10:H$54,$B11),0)+IF('計算A'!I$117=1,INDEX('計算A'!J$10:J$54,$B11),0))*4000,0)-IF(AND('計算A'!H$117=1,UF11&gt;0),2000,0)-IF(AND($L11=1,'計算A'!I$117=1,DH11=0),2000,0))),1000000))</f>
        <v/>
      </c>
      <c r="OL11">
        <f>IF($B11=0,1000000,IF(INDEX('計算A'!$D$60:$EQ$104,$B11,7)*DH11=1,IF(AND($E11=2,IW11=0),1000000,IF($I11&gt;0,IF(1=$J11,IF(OR(AND(7=$I11+1,OR($K11&lt;&gt;'計算A'!$A$3,'計算A'!$A$4=0)),AND(7=$I11-1,OR(7&lt;&gt;'計算A'!$A$3,'計算A'!$A$4=0))),0,IF(7=$K11,200000,ABS(7-$K11)*100)),100000+ABS(1-$J11)*1000+70)+'計算A'!J$5*50+IF(AND($E11=1,IW11=0),25,0),IF($F11&gt;0,INDEX('計算A'!J$110:J$114,$F11+1)+IF(AND($E11=1,IW11=0),1000,0),MIN(TU11,20)*400+(IF('計算A'!I$106=1,1-DG11,0)+IF('計算A'!J$106=1,1-DI11,0))*150+71+'計算A'!J$5*100000+IF(AND($E11=1,IW11=0),50000,0))+IF($H11=1,(IF('計算A'!I$117=1,INDEX('計算A'!I$10:I$54,$B11),0)+IF('計算A'!J$117=1,INDEX('計算A'!K$10:K$54,$B11),0))*4000,0)-IF(AND('計算A'!I$117=1,UG11&gt;0),2000,0)-IF(AND($L11=1,'計算A'!J$117=1,DI11=0),2000,0))),1000000))</f>
        <v/>
      </c>
      <c r="OM11">
        <f>IF($B11=0,1000000,IF(INDEX('計算A'!$D$60:$EQ$104,$B11,8)*DI11=1,IF(AND($E11=2,IX11=0),1000000,IF($I11&gt;0,IF(1=$J11,IF(OR(AND(8=$I11+1,OR($K11&lt;&gt;'計算A'!$A$3,'計算A'!$A$4=0)),AND(8=$I11-1,OR(8&lt;&gt;'計算A'!$A$3,'計算A'!$A$4=0))),0,IF(8=$K11,200000,ABS(8-$K11)*100)),100000+ABS(1-$J11)*1000+80)+'計算A'!K$5*50+IF(AND($E11=1,IX11=0),25,0),IF($F11&gt;0,INDEX('計算A'!K$110:K$114,$F11+1)+IF(AND($E11=1,IX11=0),1000,0),MIN(TU11,20)*400+(IF('計算A'!J$106=1,1-DH11,0)+IF('計算A'!K$106=1,1-DJ11,0))*150+81+'計算A'!K$5*100000+IF(AND($E11=1,IX11=0),50000,0))+IF($H11=1,(IF('計算A'!J$117=1,INDEX('計算A'!J$10:J$54,$B11),0)+IF('計算A'!K$117=1,INDEX('計算A'!L$10:L$54,$B11),0))*4000,0)-IF(AND('計算A'!J$117=1,UH11&gt;0),2000,0)-IF(AND($L11=1,'計算A'!K$117=1,DJ11=0),2000,0))),1000000))</f>
        <v/>
      </c>
      <c r="ON11">
        <f>IF($B11=0,1000000,IF(INDEX('計算A'!$D$60:$EQ$104,$B11,9)*DJ11=1,IF(AND($E11=2,IY11=0),1000000,IF($I11&gt;0,IF(1=$J11,IF(OR(AND(9=$I11+1,OR($K11&lt;&gt;'計算A'!$A$3,'計算A'!$A$4=0)),AND(9=$I11-1,OR(9&lt;&gt;'計算A'!$A$3,'計算A'!$A$4=0))),0,IF(9=$K11,200000,ABS(9-$K11)*100)),100000+ABS(1-$J11)*1000+90)+'計算A'!L$5*50+IF(AND($E11=1,IY11=0),25,0),IF($F11&gt;0,INDEX('計算A'!L$110:L$114,$F11+1)+IF(AND($E11=1,IY11=0),1000,0),MIN(TU11,20)*400+(IF('計算A'!K$106=1,1-DI11,0)+IF('計算A'!L$106=1,1-DK11,0))*150+91+'計算A'!L$5*100000+IF(AND($E11=1,IY11=0),50000,0))+IF($H11=1,(IF('計算A'!K$117=1,INDEX('計算A'!K$10:K$54,$B11),0)+IF('計算A'!L$117=1,INDEX('計算A'!M$10:M$54,$B11),0))*4000,0)-IF(AND('計算A'!K$117=1,UI11&gt;0),2000,0)-IF(AND($L11=1,'計算A'!L$117=1,DK11=0),2000,0))),1000000))</f>
        <v/>
      </c>
      <c r="OO11">
        <f>IF($B11=0,1000000,IF(INDEX('計算A'!$D$60:$EQ$104,$B11,10)*DK11=1,IF(AND($E11=2,IZ11=0),1000000,IF($I11&gt;0,IF(1=$J11,IF(OR(AND(10=$I11+1,OR($K11&lt;&gt;'計算A'!$A$3,'計算A'!$A$4=0)),AND(10=$I11-1,OR(10&lt;&gt;'計算A'!$A$3,'計算A'!$A$4=0))),0,IF(10=$K11,200000,ABS(10-$K11)*100)),100000+ABS(1-$J11)*1000+100)+'計算A'!M$5*50+IF(AND($E11=1,IZ11=0),25,0),IF($F11&gt;0,INDEX('計算A'!M$110:M$114,$F11+1)+IF(AND($E11=1,IZ11=0),1000,0),MIN(TU11,20)*400+(IF('計算A'!L$106=1,1-DJ11,0)+IF('計算A'!M$106=1,1-DL11,0))*150+101+'計算A'!M$5*100000+IF(AND($E11=1,IZ11=0),50000,0))+IF($H11=1,(IF('計算A'!L$117=1,INDEX('計算A'!L$10:L$54,$B11),0)+IF('計算A'!M$117=1,INDEX('計算A'!N$10:N$54,$B11),0))*4000,0)-IF(AND('計算A'!L$117=1,UJ11&gt;0),2000,0)-IF(AND($L11=1,'計算A'!M$117=1,DL11=0),2000,0))),1000000))</f>
        <v/>
      </c>
      <c r="OP11">
        <f>IF($B11=0,1000000,IF(INDEX('計算A'!$D$60:$EQ$104,$B11,11)*DL11=1,IF(AND($E11=2,JA11=0),1000000,IF($I11&gt;0,IF(1=$J11,IF(OR(AND(11=$I11+1,OR($K11&lt;&gt;'計算A'!$A$3,'計算A'!$A$4=0)),AND(11=$I11-1,OR(11&lt;&gt;'計算A'!$A$3,'計算A'!$A$4=0))),0,IF(11=$K11,200000,ABS(11-$K11)*100)),100000+ABS(1-$J11)*1000+110)+'計算A'!N$5*50+IF(AND($E11=1,JA11=0),25,0),IF($F11&gt;0,INDEX('計算A'!N$110:N$114,$F11+1)+IF(AND($E11=1,JA11=0),1000,0),MIN(TU11,20)*400+(IF('計算A'!M$106=1,1-DK11,0)+IF('計算A'!N$106=1,1-DM11,0))*150+111+'計算A'!N$5*100000+IF(AND($E11=1,JA11=0),50000,0))+IF($H11=1,(IF('計算A'!M$117=1,INDEX('計算A'!M$10:M$54,$B11),0)+IF('計算A'!N$117=1,INDEX('計算A'!O$10:O$54,$B11),0))*4000,0)-IF(AND('計算A'!M$117=1,UK11&gt;0),2000,0)-IF(AND($L11=1,'計算A'!N$117=1,DM11=0),2000,0))),1000000))</f>
        <v/>
      </c>
      <c r="OQ11">
        <f>IF($B11=0,1000000,IF(INDEX('計算A'!$D$60:$EQ$104,$B11,12)*DM11=1,IF(AND($E11=2,JB11=0),1000000,IF($I11&gt;0,IF(1=$J11,IF(OR(AND(12=$I11+1,OR($K11&lt;&gt;'計算A'!$A$3,'計算A'!$A$4=0)),AND(12=$I11-1,OR(12&lt;&gt;'計算A'!$A$3,'計算A'!$A$4=0))),0,IF(12=$K11,200000,ABS(12-$K11)*100)),100000+ABS(1-$J11)*1000+120)+'計算A'!O$5*50+IF(AND($E11=1,JB11=0),25,0),IF($F11&gt;0,INDEX('計算A'!O$110:O$114,$F11+1)+IF(AND($E11=1,JB11=0),1000,0),MIN(TU11,20)*400+(IF('計算A'!N$106=1,1-DL11,0)+IF('計算A'!O$106=1,1-DN11,0))*150+121+'計算A'!O$5*100000+IF(AND($E11=1,JB11=0),50000,0))+IF($H11=1,(IF('計算A'!N$117=1,INDEX('計算A'!N$10:N$54,$B11),0)+IF('計算A'!O$117=1,INDEX('計算A'!P$10:P$54,$B11),0))*4000,0)-IF(AND('計算A'!N$117=1,UL11&gt;0),2000,0)-IF(AND($L11=1,'計算A'!O$117=1,DN11=0),2000,0))),1000000))</f>
        <v/>
      </c>
      <c r="OR11">
        <f>IF($B11=0,1000000,IF(INDEX('計算A'!$D$60:$EQ$104,$B11,13)*DN11=1,IF(AND($E11=2,JC11=0),1000000,IF($I11&gt;0,IF(1=$J11,IF(OR(AND(13=$I11+1,OR($K11&lt;&gt;'計算A'!$A$3,'計算A'!$A$4=0)),AND(13=$I11-1,OR(13&lt;&gt;'計算A'!$A$3,'計算A'!$A$4=0))),0,IF(13=$K11,200000,ABS(13-$K11)*100)),100000+ABS(1-$J11)*1000+130)+'計算A'!P$5*50+IF(AND($E11=1,JC11=0),25,0),IF($F11&gt;0,INDEX('計算A'!P$110:P$114,$F11+1)+IF(AND($E11=1,JC11=0),1000,0),MIN(TU11,20)*400+(IF('計算A'!O$106=1,1-DM11,0)+IF('計算A'!P$106=1,1-DO11,0))*150+131+'計算A'!P$5*100000+IF(AND($E11=1,JC11=0),50000,0))+IF($H11=1,(IF('計算A'!O$117=1,INDEX('計算A'!O$10:O$54,$B11),0)+IF('計算A'!P$117=1,INDEX('計算A'!Q$10:Q$54,$B11),0))*4000,0)-IF(AND('計算A'!O$117=1,UM11&gt;0),2000,0)-IF(AND($L11=1,'計算A'!P$117=1,DO11=0),2000,0))),1000000))</f>
        <v/>
      </c>
      <c r="OS11">
        <f>IF($B11=0,1000000,IF(INDEX('計算A'!$D$60:$EQ$104,$B11,14)*DO11=1,IF(AND($E11=2,JD11=0),1000000,IF($I11&gt;0,IF(1=$J11,IF(OR(AND(14=$I11+1,OR($K11&lt;&gt;'計算A'!$A$3,'計算A'!$A$4=0)),AND(14=$I11-1,OR(14&lt;&gt;'計算A'!$A$3,'計算A'!$A$4=0))),0,IF(14=$K11,200000,ABS(14-$K11)*100)),100000+ABS(1-$J11)*1000+140)+'計算A'!Q$5*50+IF(AND($E11=1,JD11=0),25,0),IF($F11&gt;0,INDEX('計算A'!Q$110:Q$114,$F11+1)+IF(AND($E11=1,JD11=0),1000,0),MIN(TU11,20)*400+(IF('計算A'!P$106=1,1-DN11,0)+IF('計算A'!Q$106=1,1-DP11,0))*150+141+'計算A'!Q$5*100000+IF(AND($E11=1,JD11=0),50000,0))+IF($H11=1,(IF('計算A'!P$117=1,INDEX('計算A'!P$10:P$54,$B11),0)+IF('計算A'!Q$117=1,INDEX('計算A'!R$10:R$54,$B11),0))*4000,0)-IF(AND('計算A'!P$117=1,UN11&gt;0),2000,0)-IF(AND($L11=1,'計算A'!Q$117=1,DP11=0),2000,0))),1000000))</f>
        <v/>
      </c>
      <c r="OT11">
        <f>IF($B11=0,1000000,IF(INDEX('計算A'!$D$60:$EQ$104,$B11,15)*DP11=1,IF(AND($E11=2,JE11=0),1000000,IF($I11&gt;0,IF(1=$J11,IF(OR(AND(15=$I11+1,OR($K11&lt;&gt;'計算A'!$A$3,'計算A'!$A$4=0)),AND(15=$I11-1,OR(15&lt;&gt;'計算A'!$A$3,'計算A'!$A$4=0))),0,IF(15=$K11,200000,ABS(15-$K11)*100)),100000+ABS(1-$J11)*1000+150)+'計算A'!R$5*50+IF(AND($E11=1,JE11=0),25,0),IF($F11&gt;0,INDEX('計算A'!R$110:R$114,$F11+1)+IF(AND($E11=1,JE11=0),1000,0),MIN(TU11,20)*400+(IF('計算A'!Q$106=1,1-DO11,0)+IF('計算A'!R$106=1,1-DQ11,0))*150+151+'計算A'!R$5*100000+IF(AND($E11=1,JE11=0),50000,0))+IF($H11=1,(IF('計算A'!Q$117=1,INDEX('計算A'!Q$10:Q$54,$B11),0)+IF('計算A'!R$117=1,INDEX('計算A'!S$10:S$54,$B11),0))*4000,0)-IF(AND('計算A'!Q$117=1,UO11&gt;0),2000,0)-IF(AND($L11=1,'計算A'!R$117=1,DQ11=0),2000,0))),1000000))</f>
        <v/>
      </c>
      <c r="OU11">
        <f>IF($B11=0,1000000,IF(INDEX('計算A'!$D$60:$EQ$104,$B11,16)*DQ11=1,IF(AND($E11=2,JF11=0),1000000,IF($I11&gt;0,IF(1=$J11,IF(OR(AND(16=$I11+1,OR($K11&lt;&gt;'計算A'!$A$3,'計算A'!$A$4=0)),AND(16=$I11-1,OR(16&lt;&gt;'計算A'!$A$3,'計算A'!$A$4=0))),0,IF(16=$K11,200000,ABS(16-$K11)*100)),100000+ABS(1-$J11)*1000+160)+'計算A'!S$5*50+IF(AND($E11=1,JF11=0),25,0),IF($F11&gt;0,INDEX('計算A'!S$110:S$114,$F11+1)+IF(AND($E11=1,JF11=0),1000,0),MIN(TU11,20)*400+(IF('計算A'!R$106=1,1-DP11,0)+IF('計算A'!S$106=1,1-DR11,0))*150+161+'計算A'!S$5*100000+IF(AND($E11=1,JF11=0),50000,0))+IF($H11=1,(IF('計算A'!R$117=1,INDEX('計算A'!R$10:R$54,$B11),0)+IF('計算A'!S$117=1,INDEX('計算A'!T$10:T$54,$B11),0))*4000,0)-IF(AND('計算A'!R$117=1,UP11&gt;0),2000,0)-IF(AND($L11=1,'計算A'!S$117=1,DR11=0),2000,0))),1000000))</f>
        <v/>
      </c>
      <c r="OV11">
        <f>IF($B11=0,1000000,IF(INDEX('計算A'!$D$60:$EQ$104,$B11,17)*DR11=1,IF(AND($E11=2,JG11=0),1000000,IF($I11&gt;0,IF(1=$J11,IF(OR(AND(17=$I11+1,OR($K11&lt;&gt;'計算A'!$A$3,'計算A'!$A$4=0)),AND(17=$I11-1,OR(17&lt;&gt;'計算A'!$A$3,'計算A'!$A$4=0))),0,IF(17=$K11,200000,ABS(17-$K11)*100)),100000+ABS(1-$J11)*1000+170)+'計算A'!T$5*50+IF(AND($E11=1,JG11=0),25,0),IF($F11&gt;0,INDEX('計算A'!T$110:T$114,$F11+1)+IF(AND($E11=1,JG11=0),1000,0),MIN(TU11,20)*400+(IF('計算A'!S$106=1,1-DQ11,0)+IF('計算A'!T$106=1,1-DS11,0))*150+171+'計算A'!T$5*100000+IF(AND($E11=1,JG11=0),50000,0))+IF($H11=1,(IF('計算A'!S$117=1,INDEX('計算A'!S$10:S$54,$B11),0)+IF('計算A'!T$117=1,INDEX('計算A'!U$10:U$54,$B11),0))*4000,0)-IF(AND('計算A'!S$117=1,UQ11&gt;0),2000,0)-IF(AND($L11=1,'計算A'!T$117=1,DS11=0),2000,0))),1000000))</f>
        <v/>
      </c>
      <c r="OW11">
        <f>IF($B11=0,1000000,IF(INDEX('計算A'!$D$60:$EQ$104,$B11,18)*DS11=1,IF(AND($E11=2,JH11=0),1000000,IF($I11&gt;0,IF(1=$J11,IF(OR(AND(18=$I11+1,OR($K11&lt;&gt;'計算A'!$A$3,'計算A'!$A$4=0)),AND(18=$I11-1,OR(18&lt;&gt;'計算A'!$A$3,'計算A'!$A$4=0))),0,IF(18=$K11,200000,ABS(18-$K11)*100)),100000+ABS(1-$J11)*1000+180)+'計算A'!U$5*50+IF(AND($E11=1,JH11=0),25,0),IF($F11&gt;0,INDEX('計算A'!U$110:U$114,$F11+1)+IF(AND($E11=1,JH11=0),1000,0),MIN(TU11,20)*400+(IF('計算A'!T$106=1,1-DR11,0)+IF('計算A'!U$106=1,1-DT11,0))*150+181+'計算A'!U$5*100000+IF(AND($E11=1,JH11=0),50000,0))+IF($H11=1,(IF('計算A'!T$117=1,INDEX('計算A'!T$10:T$54,$B11),0)+IF('計算A'!U$117=1,INDEX('計算A'!V$10:V$54,$B11),0))*4000,0)-IF(AND('計算A'!T$117=1,UR11&gt;0),2000,0)-IF(AND($L11=1,'計算A'!U$117=1,DT11=0),2000,0))),1000000))</f>
        <v/>
      </c>
      <c r="OX11">
        <f>IF($B11=0,1000000,IF(INDEX('計算A'!$D$60:$EQ$104,$B11,19)*DT11=1,IF(AND($E11=2,JI11=0),1000000,IF($I11&gt;0,IF(1=$J11,IF(OR(AND(19=$I11+1,OR($K11&lt;&gt;'計算A'!$A$3,'計算A'!$A$4=0)),AND(19=$I11-1,OR(19&lt;&gt;'計算A'!$A$3,'計算A'!$A$4=0))),0,IF(19=$K11,200000,ABS(19-$K11)*100)),100000+ABS(1-$J11)*1000+190)+'計算A'!V$5*50+IF(AND($E11=1,JI11=0),25,0),IF($F11&gt;0,INDEX('計算A'!V$110:V$114,$F11+1)+IF(AND($E11=1,JI11=0),1000,0),MIN(TU11,20)*400+(IF('計算A'!U$106=1,1-DS11,0)+IF('計算A'!V$106=1,1-DU11,0))*150+191+'計算A'!V$5*100000+IF(AND($E11=1,JI11=0),50000,0))+IF($H11=1,(IF('計算A'!U$117=1,INDEX('計算A'!U$10:U$54,$B11),0)+IF('計算A'!V$117=1,INDEX('計算A'!W$10:W$54,$B11),0))*4000,0)-IF(AND('計算A'!U$117=1,US11&gt;0),2000,0)-IF(AND($L11=1,'計算A'!V$117=1,DU11=0),2000,0))),1000000))</f>
        <v/>
      </c>
      <c r="OY11">
        <f>IF($B11=0,1000000,IF(INDEX('計算A'!$D$60:$EQ$104,$B11,20)*DU11=1,IF(AND($E11=2,JJ11=0),1000000,IF($I11&gt;0,IF(1=$J11,IF(OR(AND(20=$I11+1,OR($K11&lt;&gt;'計算A'!$A$3,'計算A'!$A$4=0)),AND(20=$I11-1,OR(20&lt;&gt;'計算A'!$A$3,'計算A'!$A$4=0))),0,IF(20=$K11,200000,ABS(20-$K11)*100)),100000+ABS(1-$J11)*1000+200)+'計算A'!W$5*50+IF(AND($E11=1,JJ11=0),25,0),IF($F11&gt;0,INDEX('計算A'!W$110:W$114,$F11+1)+IF(AND($E11=1,JJ11=0),1000,0),MIN(TU11,20)*400+(IF('計算A'!V$106=1,1-DT11,0)+IF('計算A'!W$106=1,1-DV11,0))*150+201+'計算A'!W$5*100000+IF(AND($E11=1,JJ11=0),50000,0))+IF($H11=1,(IF('計算A'!V$117=1,INDEX('計算A'!V$10:V$54,$B11),0)+IF('計算A'!W$117=1,INDEX('計算A'!X$10:X$54,$B11),0))*4000,0)-IF(AND('計算A'!V$117=1,UT11&gt;0),2000,0)-IF(AND($L11=1,'計算A'!W$117=1,DV11=0),2000,0))),1000000))</f>
        <v/>
      </c>
      <c r="OZ11">
        <f>IF($B11=0,1000000,IF(INDEX('計算A'!$D$60:$EQ$104,$B11,21)*DV11=1,IF(AND($E11=2,JK11=0),1000000,IF($I11&gt;0,IF(1=$J11,IF(OR(AND(21=$I11+1,OR($K11&lt;&gt;'計算A'!$A$3,'計算A'!$A$4=0)),AND(21=$I11-1,OR(21&lt;&gt;'計算A'!$A$3,'計算A'!$A$4=0))),0,IF(21=$K11,200000,ABS(21-$K11)*100)),100000+ABS(1-$J11)*1000+210)+'計算A'!X$5*50+IF(AND($E11=1,JK11=0),25,0),IF($F11&gt;0,INDEX('計算A'!X$110:X$114,$F11+1)+IF(AND($E11=1,JK11=0),1000,0),MIN(TU11,20)*400+(IF('計算A'!W$106=1,1-DU11,0)+IF('計算A'!X$106=1,1-DW11,0))*150+211+'計算A'!X$5*100000+IF(AND($E11=1,JK11=0),50000,0))+IF($H11=1,(IF('計算A'!W$117=1,INDEX('計算A'!W$10:W$54,$B11),0)+IF('計算A'!X$117=1,INDEX('計算A'!Y$10:Y$54,$B11),0))*4000,0)-IF(AND('計算A'!W$117=1,UU11&gt;0),2000,0)-IF(AND($L11=1,'計算A'!X$117=1,DW11=0),2000,0))),1000000))</f>
        <v/>
      </c>
      <c r="PA11">
        <f>IF($B11=0,1000000,IF(INDEX('計算A'!$D$60:$EQ$104,$B11,22)*DW11=1,IF(AND($E11=2,JL11=0),1000000,IF($I11&gt;0,IF(1=$J11,IF(OR(AND(22=$I11+1,OR($K11&lt;&gt;'計算A'!$A$3,'計算A'!$A$4=0)),AND(22=$I11-1,OR(22&lt;&gt;'計算A'!$A$3,'計算A'!$A$4=0))),0,IF(22=$K11,200000,ABS(22-$K11)*100)),100000+ABS(1-$J11)*1000+220)+'計算A'!Y$5*50+IF(AND($E11=1,JL11=0),25,0),IF($F11&gt;0,INDEX('計算A'!Y$110:Y$114,$F11+1)+IF(AND($E11=1,JL11=0),1000,0),MIN(TU11,20)*400+(IF('計算A'!X$106=1,1-DV11,0)+IF('計算A'!Y$106=1,1-DX11,0))*150+221+'計算A'!Y$5*100000+IF(AND($E11=1,JL11=0),50000,0))+IF($H11=1,(IF('計算A'!X$117=1,INDEX('計算A'!X$10:X$54,$B11),0)+IF('計算A'!Y$117=1,INDEX('計算A'!Z$10:Z$54,$B11),0))*4000,0)-IF(AND('計算A'!X$117=1,UV11&gt;0),2000,0)-IF(AND($L11=1,'計算A'!Y$117=1,DX11=0),2000,0))),1000000))</f>
        <v/>
      </c>
      <c r="PB11">
        <f>IF($B11=0,1000000,IF(INDEX('計算A'!$D$60:$EQ$104,$B11,23)*DX11=1,IF(AND($E11=2,JM11=0),1000000,IF($I11&gt;0,IF(1=$J11,IF(OR(AND(23=$I11+1,OR($K11&lt;&gt;'計算A'!$A$3,'計算A'!$A$4=0)),AND(23=$I11-1,OR(23&lt;&gt;'計算A'!$A$3,'計算A'!$A$4=0))),0,IF(23=$K11,200000,ABS(23-$K11)*100)),100000+ABS(1-$J11)*1000+230)+'計算A'!Z$5*50+IF(AND($E11=1,JM11=0),25,0),IF($F11&gt;0,INDEX('計算A'!Z$110:Z$114,$F11+1)+IF(AND($E11=1,JM11=0),1000,0),MIN(TU11,20)*400+(IF('計算A'!Y$106=1,1-DW11,0)+IF('計算A'!Z$106=1,1-DY11,0))*150+231+'計算A'!Z$5*100000+IF(AND($E11=1,JM11=0),50000,0))+IF($H11=1,(IF('計算A'!Y$117=1,INDEX('計算A'!Y$10:Y$54,$B11),0)+IF('計算A'!Z$117=1,INDEX('計算A'!AA$10:AA$54,$B11),0))*4000,0)-IF(AND('計算A'!Y$117=1,UW11&gt;0),2000,0)-IF(AND($L11=1,'計算A'!Z$117=1,DY11=0),2000,0))),1000000))</f>
        <v/>
      </c>
      <c r="PC11">
        <f>IF($B11=0,1000000,IF(INDEX('計算A'!$D$60:$EQ$104,$B11,24)*DY11=1,IF(AND($E11=2,JN11=0),1000000,IF($I11&gt;0,IF(1=$J11,IF(OR(AND(24=$I11+1,OR($K11&lt;&gt;'計算A'!$A$3,'計算A'!$A$4=0)),AND(24=$I11-1,OR(24&lt;&gt;'計算A'!$A$3,'計算A'!$A$4=0))),0,IF(24=$K11,200000,ABS(24-$K11)*100)),100000+ABS(1-$J11)*1000+240)+'計算A'!AA$5*50+IF(AND($E11=1,JN11=0),25,0),IF($F11&gt;0,INDEX('計算A'!AA$110:AA$114,$F11+1)+IF(AND($E11=1,JN11=0),1000,0),MIN(TU11,20)*400+(IF('計算A'!Z$106=1,1-DX11,0))*150+241+'計算A'!AA$5*100000+IF(AND($E11=1,JN11=0),50000,0))+IF($H11=1,(IF('計算A'!Z$117=1,INDEX('計算A'!Z$10:Z$54,$B11),0))*4000,0)-IF(AND('計算A'!Z$117=1,UX11&gt;0),2000,0))),1000000))</f>
        <v/>
      </c>
      <c r="PD11">
        <f>IF($B11=0,1000000,IF(INDEX('計算A'!$D$60:$EQ$104,$B11,25)*DZ11=1,IF(AND($E11=2,JO11=0),1000000,IF($I11&gt;0,IF(2=$J11,IF(OR(AND(25=$I11+1,OR($K11&lt;&gt;'計算A'!$A$3,'計算A'!$A$4=0)),AND(25=$I11-1,OR(1&lt;&gt;'計算A'!$A$3,'計算A'!$A$4=0))),0,IF(1=$K11,200000,ABS(1-$K11)*100)),100000+ABS(2-$J11)*1000+10)+'計算A'!AB$5*50+IF(AND($E11=1,JO11=0),25,0),IF($F11&gt;0,INDEX('計算A'!AB$110:AB$114,$F11+1)+IF(AND($E11=1,JO11=0),1000,0),MIN(TV11,20)*400+(IF('計算A'!AB$106=1,1-EA11,0))*150+12+'計算A'!AB$5*100000+IF(AND($E11=1,JO11=0),50000,0))+IF($H11=1,(IF('計算A'!AB$117=1,INDEX('計算A'!AC$10:AC$54,$B11),0))*4000,0)-IF(AND($L11=1,'計算A'!AB$117=1,EA11=0),2000,0))),1000000))</f>
        <v/>
      </c>
      <c r="PE11">
        <f>IF($B11=0,1000000,IF(INDEX('計算A'!$D$60:$EQ$104,$B11,26)*EA11=1,IF(AND($E11=2,JP11=0),1000000,IF($I11&gt;0,IF(2=$J11,IF(OR(AND(26=$I11+1,OR($K11&lt;&gt;'計算A'!$A$3,'計算A'!$A$4=0)),AND(26=$I11-1,OR(2&lt;&gt;'計算A'!$A$3,'計算A'!$A$4=0))),0,IF(2=$K11,200000,ABS(2-$K11)*100)),100000+ABS(2-$J11)*1000+20)+'計算A'!AC$5*50+IF(AND($E11=1,JP11=0),25,0),IF($F11&gt;0,INDEX('計算A'!AC$110:AC$114,$F11+1)+IF(AND($E11=1,JP11=0),1000,0),MIN(TV11,20)*400+(IF('計算A'!AB$106=1,1-DZ11,0)+IF('計算A'!AC$106=1,1-EB11,0))*150+22+'計算A'!AC$5*100000+IF(AND($E11=1,JP11=0),50000,0))+IF($H11=1,(IF('計算A'!AB$117=1,INDEX('計算A'!AB$10:AB$54,$B11),0)+IF('計算A'!AC$117=1,INDEX('計算A'!AD$10:AD$54,$B11),0))*4000,0)-IF(AND('計算A'!AB$117=1,UZ11&gt;0),2000,0)-IF(AND($L11=1,'計算A'!AC$117=1,EB11=0),2000,0))),1000000))</f>
        <v/>
      </c>
      <c r="PF11">
        <f>IF($B11=0,1000000,IF(INDEX('計算A'!$D$60:$EQ$104,$B11,27)*EB11=1,IF(AND($E11=2,JQ11=0),1000000,IF($I11&gt;0,IF(2=$J11,IF(OR(AND(27=$I11+1,OR($K11&lt;&gt;'計算A'!$A$3,'計算A'!$A$4=0)),AND(27=$I11-1,OR(3&lt;&gt;'計算A'!$A$3,'計算A'!$A$4=0))),0,IF(3=$K11,200000,ABS(3-$K11)*100)),100000+ABS(2-$J11)*1000+30)+'計算A'!AD$5*50+IF(AND($E11=1,JQ11=0),25,0),IF($F11&gt;0,INDEX('計算A'!AD$110:AD$114,$F11+1)+IF(AND($E11=1,JQ11=0),1000,0),MIN(TV11,20)*400+(IF('計算A'!AC$106=1,1-EA11,0)+IF('計算A'!AD$106=1,1-EC11,0))*150+32+'計算A'!AD$5*100000+IF(AND($E11=1,JQ11=0),50000,0))+IF($H11=1,(IF('計算A'!AC$117=1,INDEX('計算A'!AC$10:AC$54,$B11),0)+IF('計算A'!AD$117=1,INDEX('計算A'!AE$10:AE$54,$B11),0))*4000,0)-IF(AND('計算A'!AC$117=1,VA11&gt;0),2000,0)-IF(AND($L11=1,'計算A'!AD$117=1,EC11=0),2000,0))),1000000))</f>
        <v/>
      </c>
      <c r="PG11">
        <f>IF($B11=0,1000000,IF(INDEX('計算A'!$D$60:$EQ$104,$B11,28)*EC11=1,IF(AND($E11=2,JR11=0),1000000,IF($I11&gt;0,IF(2=$J11,IF(OR(AND(28=$I11+1,OR($K11&lt;&gt;'計算A'!$A$3,'計算A'!$A$4=0)),AND(28=$I11-1,OR(4&lt;&gt;'計算A'!$A$3,'計算A'!$A$4=0))),0,IF(4=$K11,200000,ABS(4-$K11)*100)),100000+ABS(2-$J11)*1000+40)+'計算A'!AE$5*50+IF(AND($E11=1,JR11=0),25,0),IF($F11&gt;0,INDEX('計算A'!AE$110:AE$114,$F11+1)+IF(AND($E11=1,JR11=0),1000,0),MIN(TV11,20)*400+(IF('計算A'!AD$106=1,1-EB11,0)+IF('計算A'!AE$106=1,1-ED11,0))*150+42+'計算A'!AE$5*100000+IF(AND($E11=1,JR11=0),50000,0))+IF($H11=1,(IF('計算A'!AD$117=1,INDEX('計算A'!AD$10:AD$54,$B11),0)+IF('計算A'!AE$117=1,INDEX('計算A'!AF$10:AF$54,$B11),0))*4000,0)-IF(AND('計算A'!AD$117=1,VB11&gt;0),2000,0)-IF(AND($L11=1,'計算A'!AE$117=1,ED11=0),2000,0))),1000000))</f>
        <v/>
      </c>
      <c r="PH11">
        <f>IF($B11=0,1000000,IF(INDEX('計算A'!$D$60:$EQ$104,$B11,29)*ED11=1,IF(AND($E11=2,JS11=0),1000000,IF($I11&gt;0,IF(2=$J11,IF(OR(AND(29=$I11+1,OR($K11&lt;&gt;'計算A'!$A$3,'計算A'!$A$4=0)),AND(29=$I11-1,OR(5&lt;&gt;'計算A'!$A$3,'計算A'!$A$4=0))),0,IF(5=$K11,200000,ABS(5-$K11)*100)),100000+ABS(2-$J11)*1000+50)+'計算A'!AF$5*50+IF(AND($E11=1,JS11=0),25,0),IF($F11&gt;0,INDEX('計算A'!AF$110:AF$114,$F11+1)+IF(AND($E11=1,JS11=0),1000,0),MIN(TV11,20)*400+(IF('計算A'!AE$106=1,1-EC11,0)+IF('計算A'!AF$106=1,1-EE11,0))*150+52+'計算A'!AF$5*100000+IF(AND($E11=1,JS11=0),50000,0))+IF($H11=1,(IF('計算A'!AE$117=1,INDEX('計算A'!AE$10:AE$54,$B11),0)+IF('計算A'!AF$117=1,INDEX('計算A'!AG$10:AG$54,$B11),0))*4000,0)-IF(AND('計算A'!AE$117=1,VC11&gt;0),2000,0)-IF(AND($L11=1,'計算A'!AF$117=1,EE11=0),2000,0))),1000000))</f>
        <v/>
      </c>
      <c r="PI11">
        <f>IF($B11=0,1000000,IF(INDEX('計算A'!$D$60:$EQ$104,$B11,30)*EE11=1,IF(AND($E11=2,JT11=0),1000000,IF($I11&gt;0,IF(2=$J11,IF(OR(AND(30=$I11+1,OR($K11&lt;&gt;'計算A'!$A$3,'計算A'!$A$4=0)),AND(30=$I11-1,OR(6&lt;&gt;'計算A'!$A$3,'計算A'!$A$4=0))),0,IF(6=$K11,200000,ABS(6-$K11)*100)),100000+ABS(2-$J11)*1000+60)+'計算A'!AG$5*50+IF(AND($E11=1,JT11=0),25,0),IF($F11&gt;0,INDEX('計算A'!AG$110:AG$114,$F11+1)+IF(AND($E11=1,JT11=0),1000,0),MIN(TV11,20)*400+(IF('計算A'!AF$106=1,1-ED11,0)+IF('計算A'!AG$106=1,1-EF11,0))*150+62+'計算A'!AG$5*100000+IF(AND($E11=1,JT11=0),50000,0))+IF($H11=1,(IF('計算A'!AF$117=1,INDEX('計算A'!AF$10:AF$54,$B11),0)+IF('計算A'!AG$117=1,INDEX('計算A'!AH$10:AH$54,$B11),0))*4000,0)-IF(AND('計算A'!AF$117=1,VD11&gt;0),2000,0)-IF(AND($L11=1,'計算A'!AG$117=1,EF11=0),2000,0))),1000000))</f>
        <v/>
      </c>
      <c r="PJ11">
        <f>IF($B11=0,1000000,IF(INDEX('計算A'!$D$60:$EQ$104,$B11,31)*EF11=1,IF(AND($E11=2,JU11=0),1000000,IF($I11&gt;0,IF(2=$J11,IF(OR(AND(31=$I11+1,OR($K11&lt;&gt;'計算A'!$A$3,'計算A'!$A$4=0)),AND(31=$I11-1,OR(7&lt;&gt;'計算A'!$A$3,'計算A'!$A$4=0))),0,IF(7=$K11,200000,ABS(7-$K11)*100)),100000+ABS(2-$J11)*1000+70)+'計算A'!AH$5*50+IF(AND($E11=1,JU11=0),25,0),IF($F11&gt;0,INDEX('計算A'!AH$110:AH$114,$F11+1)+IF(AND($E11=1,JU11=0),1000,0),MIN(TV11,20)*400+(IF('計算A'!AG$106=1,1-EE11,0)+IF('計算A'!AH$106=1,1-EG11,0))*150+72+'計算A'!AH$5*100000+IF(AND($E11=1,JU11=0),50000,0))+IF($H11=1,(IF('計算A'!AG$117=1,INDEX('計算A'!AG$10:AG$54,$B11),0)+IF('計算A'!AH$117=1,INDEX('計算A'!AI$10:AI$54,$B11),0))*4000,0)-IF(AND('計算A'!AG$117=1,VE11&gt;0),2000,0)-IF(AND($L11=1,'計算A'!AH$117=1,EG11=0),2000,0))),1000000))</f>
        <v/>
      </c>
      <c r="PK11">
        <f>IF($B11=0,1000000,IF(INDEX('計算A'!$D$60:$EQ$104,$B11,32)*EG11=1,IF(AND($E11=2,JV11=0),1000000,IF($I11&gt;0,IF(2=$J11,IF(OR(AND(32=$I11+1,OR($K11&lt;&gt;'計算A'!$A$3,'計算A'!$A$4=0)),AND(32=$I11-1,OR(8&lt;&gt;'計算A'!$A$3,'計算A'!$A$4=0))),0,IF(8=$K11,200000,ABS(8-$K11)*100)),100000+ABS(2-$J11)*1000+80)+'計算A'!AI$5*50+IF(AND($E11=1,JV11=0),25,0),IF($F11&gt;0,INDEX('計算A'!AI$110:AI$114,$F11+1)+IF(AND($E11=1,JV11=0),1000,0),MIN(TV11,20)*400+(IF('計算A'!AH$106=1,1-EF11,0)+IF('計算A'!AI$106=1,1-EH11,0))*150+82+'計算A'!AI$5*100000+IF(AND($E11=1,JV11=0),50000,0))+IF($H11=1,(IF('計算A'!AH$117=1,INDEX('計算A'!AH$10:AH$54,$B11),0)+IF('計算A'!AI$117=1,INDEX('計算A'!AJ$10:AJ$54,$B11),0))*4000,0)-IF(AND('計算A'!AH$117=1,VF11&gt;0),2000,0)-IF(AND($L11=1,'計算A'!AI$117=1,EH11=0),2000,0))),1000000))</f>
        <v/>
      </c>
      <c r="PL11">
        <f>IF($B11=0,1000000,IF(INDEX('計算A'!$D$60:$EQ$104,$B11,33)*EH11=1,IF(AND($E11=2,JW11=0),1000000,IF($I11&gt;0,IF(2=$J11,IF(OR(AND(33=$I11+1,OR($K11&lt;&gt;'計算A'!$A$3,'計算A'!$A$4=0)),AND(33=$I11-1,OR(9&lt;&gt;'計算A'!$A$3,'計算A'!$A$4=0))),0,IF(9=$K11,200000,ABS(9-$K11)*100)),100000+ABS(2-$J11)*1000+90)+'計算A'!AJ$5*50+IF(AND($E11=1,JW11=0),25,0),IF($F11&gt;0,INDEX('計算A'!AJ$110:AJ$114,$F11+1)+IF(AND($E11=1,JW11=0),1000,0),MIN(TV11,20)*400+(IF('計算A'!AI$106=1,1-EG11,0)+IF('計算A'!AJ$106=1,1-EI11,0))*150+92+'計算A'!AJ$5*100000+IF(AND($E11=1,JW11=0),50000,0))+IF($H11=1,(IF('計算A'!AI$117=1,INDEX('計算A'!AI$10:AI$54,$B11),0)+IF('計算A'!AJ$117=1,INDEX('計算A'!AK$10:AK$54,$B11),0))*4000,0)-IF(AND('計算A'!AI$117=1,VG11&gt;0),2000,0)-IF(AND($L11=1,'計算A'!AJ$117=1,EI11=0),2000,0))),1000000))</f>
        <v/>
      </c>
      <c r="PM11">
        <f>IF($B11=0,1000000,IF(INDEX('計算A'!$D$60:$EQ$104,$B11,34)*EI11=1,IF(AND($E11=2,JX11=0),1000000,IF($I11&gt;0,IF(2=$J11,IF(OR(AND(34=$I11+1,OR($K11&lt;&gt;'計算A'!$A$3,'計算A'!$A$4=0)),AND(34=$I11-1,OR(10&lt;&gt;'計算A'!$A$3,'計算A'!$A$4=0))),0,IF(10=$K11,200000,ABS(10-$K11)*100)),100000+ABS(2-$J11)*1000+100)+'計算A'!AK$5*50+IF(AND($E11=1,JX11=0),25,0),IF($F11&gt;0,INDEX('計算A'!AK$110:AK$114,$F11+1)+IF(AND($E11=1,JX11=0),1000,0),MIN(TV11,20)*400+(IF('計算A'!AJ$106=1,1-EH11,0)+IF('計算A'!AK$106=1,1-EJ11,0))*150+102+'計算A'!AK$5*100000+IF(AND($E11=1,JX11=0),50000,0))+IF($H11=1,(IF('計算A'!AJ$117=1,INDEX('計算A'!AJ$10:AJ$54,$B11),0)+IF('計算A'!AK$117=1,INDEX('計算A'!AL$10:AL$54,$B11),0))*4000,0)-IF(AND('計算A'!AJ$117=1,VH11&gt;0),2000,0)-IF(AND($L11=1,'計算A'!AK$117=1,EJ11=0),2000,0))),1000000))</f>
        <v/>
      </c>
      <c r="PN11">
        <f>IF($B11=0,1000000,IF(INDEX('計算A'!$D$60:$EQ$104,$B11,35)*EJ11=1,IF(AND($E11=2,JY11=0),1000000,IF($I11&gt;0,IF(2=$J11,IF(OR(AND(35=$I11+1,OR($K11&lt;&gt;'計算A'!$A$3,'計算A'!$A$4=0)),AND(35=$I11-1,OR(11&lt;&gt;'計算A'!$A$3,'計算A'!$A$4=0))),0,IF(11=$K11,200000,ABS(11-$K11)*100)),100000+ABS(2-$J11)*1000+110)+'計算A'!AL$5*50+IF(AND($E11=1,JY11=0),25,0),IF($F11&gt;0,INDEX('計算A'!AL$110:AL$114,$F11+1)+IF(AND($E11=1,JY11=0),1000,0),MIN(TV11,20)*400+(IF('計算A'!AK$106=1,1-EI11,0)+IF('計算A'!AL$106=1,1-EK11,0))*150+112+'計算A'!AL$5*100000+IF(AND($E11=1,JY11=0),50000,0))+IF($H11=1,(IF('計算A'!AK$117=1,INDEX('計算A'!AK$10:AK$54,$B11),0)+IF('計算A'!AL$117=1,INDEX('計算A'!AM$10:AM$54,$B11),0))*4000,0)-IF(AND('計算A'!AK$117=1,VI11&gt;0),2000,0)-IF(AND($L11=1,'計算A'!AL$117=1,EK11=0),2000,0))),1000000))</f>
        <v/>
      </c>
      <c r="PO11">
        <f>IF($B11=0,1000000,IF(INDEX('計算A'!$D$60:$EQ$104,$B11,36)*EK11=1,IF(AND($E11=2,JZ11=0),1000000,IF($I11&gt;0,IF(2=$J11,IF(OR(AND(36=$I11+1,OR($K11&lt;&gt;'計算A'!$A$3,'計算A'!$A$4=0)),AND(36=$I11-1,OR(12&lt;&gt;'計算A'!$A$3,'計算A'!$A$4=0))),0,IF(12=$K11,200000,ABS(12-$K11)*100)),100000+ABS(2-$J11)*1000+120)+'計算A'!AM$5*50+IF(AND($E11=1,JZ11=0),25,0),IF($F11&gt;0,INDEX('計算A'!AM$110:AM$114,$F11+1)+IF(AND($E11=1,JZ11=0),1000,0),MIN(TV11,20)*400+(IF('計算A'!AL$106=1,1-EJ11,0)+IF('計算A'!AM$106=1,1-EL11,0))*150+122+'計算A'!AM$5*100000+IF(AND($E11=1,JZ11=0),50000,0))+IF($H11=1,(IF('計算A'!AL$117=1,INDEX('計算A'!AL$10:AL$54,$B11),0)+IF('計算A'!AM$117=1,INDEX('計算A'!AN$10:AN$54,$B11),0))*4000,0)-IF(AND('計算A'!AL$117=1,VJ11&gt;0),2000,0)-IF(AND($L11=1,'計算A'!AM$117=1,EL11=0),2000,0))),1000000))</f>
        <v/>
      </c>
      <c r="PP11">
        <f>IF($B11=0,1000000,IF(INDEX('計算A'!$D$60:$EQ$104,$B11,37)*EL11=1,IF(AND($E11=2,KA11=0),1000000,IF($I11&gt;0,IF(2=$J11,IF(OR(AND(37=$I11+1,OR($K11&lt;&gt;'計算A'!$A$3,'計算A'!$A$4=0)),AND(37=$I11-1,OR(13&lt;&gt;'計算A'!$A$3,'計算A'!$A$4=0))),0,IF(13=$K11,200000,ABS(13-$K11)*100)),100000+ABS(2-$J11)*1000+130)+'計算A'!AN$5*50+IF(AND($E11=1,KA11=0),25,0),IF($F11&gt;0,INDEX('計算A'!AN$110:AN$114,$F11+1)+IF(AND($E11=1,KA11=0),1000,0),MIN(TV11,20)*400+(IF('計算A'!AM$106=1,1-EK11,0)+IF('計算A'!AN$106=1,1-EM11,0))*150+132+'計算A'!AN$5*100000+IF(AND($E11=1,KA11=0),50000,0))+IF($H11=1,(IF('計算A'!AM$117=1,INDEX('計算A'!AM$10:AM$54,$B11),0)+IF('計算A'!AN$117=1,INDEX('計算A'!AO$10:AO$54,$B11),0))*4000,0)-IF(AND('計算A'!AM$117=1,VK11&gt;0),2000,0)-IF(AND($L11=1,'計算A'!AN$117=1,EM11=0),2000,0))),1000000))</f>
        <v/>
      </c>
      <c r="PQ11">
        <f>IF($B11=0,1000000,IF(INDEX('計算A'!$D$60:$EQ$104,$B11,38)*EM11=1,IF(AND($E11=2,KB11=0),1000000,IF($I11&gt;0,IF(2=$J11,IF(OR(AND(38=$I11+1,OR($K11&lt;&gt;'計算A'!$A$3,'計算A'!$A$4=0)),AND(38=$I11-1,OR(14&lt;&gt;'計算A'!$A$3,'計算A'!$A$4=0))),0,IF(14=$K11,200000,ABS(14-$K11)*100)),100000+ABS(2-$J11)*1000+140)+'計算A'!AO$5*50+IF(AND($E11=1,KB11=0),25,0),IF($F11&gt;0,INDEX('計算A'!AO$110:AO$114,$F11+1)+IF(AND($E11=1,KB11=0),1000,0),MIN(TV11,20)*400+(IF('計算A'!AN$106=1,1-EL11,0)+IF('計算A'!AO$106=1,1-EN11,0))*150+142+'計算A'!AO$5*100000+IF(AND($E11=1,KB11=0),50000,0))+IF($H11=1,(IF('計算A'!AN$117=1,INDEX('計算A'!AN$10:AN$54,$B11),0)+IF('計算A'!AO$117=1,INDEX('計算A'!AP$10:AP$54,$B11),0))*4000,0)-IF(AND('計算A'!AN$117=1,VL11&gt;0),2000,0)-IF(AND($L11=1,'計算A'!AO$117=1,EN11=0),2000,0))),1000000))</f>
        <v/>
      </c>
      <c r="PR11">
        <f>IF($B11=0,1000000,IF(INDEX('計算A'!$D$60:$EQ$104,$B11,39)*EN11=1,IF(AND($E11=2,KC11=0),1000000,IF($I11&gt;0,IF(2=$J11,IF(OR(AND(39=$I11+1,OR($K11&lt;&gt;'計算A'!$A$3,'計算A'!$A$4=0)),AND(39=$I11-1,OR(15&lt;&gt;'計算A'!$A$3,'計算A'!$A$4=0))),0,IF(15=$K11,200000,ABS(15-$K11)*100)),100000+ABS(2-$J11)*1000+150)+'計算A'!AP$5*50+IF(AND($E11=1,KC11=0),25,0),IF($F11&gt;0,INDEX('計算A'!AP$110:AP$114,$F11+1)+IF(AND($E11=1,KC11=0),1000,0),MIN(TV11,20)*400+(IF('計算A'!AO$106=1,1-EM11,0)+IF('計算A'!AP$106=1,1-EO11,0))*150+152+'計算A'!AP$5*100000+IF(AND($E11=1,KC11=0),50000,0))+IF($H11=1,(IF('計算A'!AO$117=1,INDEX('計算A'!AO$10:AO$54,$B11),0)+IF('計算A'!AP$117=1,INDEX('計算A'!AQ$10:AQ$54,$B11),0))*4000,0)-IF(AND('計算A'!AO$117=1,VM11&gt;0),2000,0)-IF(AND($L11=1,'計算A'!AP$117=1,EO11=0),2000,0))),1000000))</f>
        <v/>
      </c>
      <c r="PS11">
        <f>IF($B11=0,1000000,IF(INDEX('計算A'!$D$60:$EQ$104,$B11,40)*EO11=1,IF(AND($E11=2,KD11=0),1000000,IF($I11&gt;0,IF(2=$J11,IF(OR(AND(40=$I11+1,OR($K11&lt;&gt;'計算A'!$A$3,'計算A'!$A$4=0)),AND(40=$I11-1,OR(16&lt;&gt;'計算A'!$A$3,'計算A'!$A$4=0))),0,IF(16=$K11,200000,ABS(16-$K11)*100)),100000+ABS(2-$J11)*1000+160)+'計算A'!AQ$5*50+IF(AND($E11=1,KD11=0),25,0),IF($F11&gt;0,INDEX('計算A'!AQ$110:AQ$114,$F11+1)+IF(AND($E11=1,KD11=0),1000,0),MIN(TV11,20)*400+(IF('計算A'!AP$106=1,1-EN11,0)+IF('計算A'!AQ$106=1,1-EP11,0))*150+162+'計算A'!AQ$5*100000+IF(AND($E11=1,KD11=0),50000,0))+IF($H11=1,(IF('計算A'!AP$117=1,INDEX('計算A'!AP$10:AP$54,$B11),0)+IF('計算A'!AQ$117=1,INDEX('計算A'!AR$10:AR$54,$B11),0))*4000,0)-IF(AND('計算A'!AP$117=1,VN11&gt;0),2000,0)-IF(AND($L11=1,'計算A'!AQ$117=1,EP11=0),2000,0))),1000000))</f>
        <v/>
      </c>
      <c r="PT11">
        <f>IF($B11=0,1000000,IF(INDEX('計算A'!$D$60:$EQ$104,$B11,41)*EP11=1,IF(AND($E11=2,KE11=0),1000000,IF($I11&gt;0,IF(2=$J11,IF(OR(AND(41=$I11+1,OR($K11&lt;&gt;'計算A'!$A$3,'計算A'!$A$4=0)),AND(41=$I11-1,OR(17&lt;&gt;'計算A'!$A$3,'計算A'!$A$4=0))),0,IF(17=$K11,200000,ABS(17-$K11)*100)),100000+ABS(2-$J11)*1000+170)+'計算A'!AR$5*50+IF(AND($E11=1,KE11=0),25,0),IF($F11&gt;0,INDEX('計算A'!AR$110:AR$114,$F11+1)+IF(AND($E11=1,KE11=0),1000,0),MIN(TV11,20)*400+(IF('計算A'!AQ$106=1,1-EO11,0)+IF('計算A'!AR$106=1,1-EQ11,0))*150+172+'計算A'!AR$5*100000+IF(AND($E11=1,KE11=0),50000,0))+IF($H11=1,(IF('計算A'!AQ$117=1,INDEX('計算A'!AQ$10:AQ$54,$B11),0)+IF('計算A'!AR$117=1,INDEX('計算A'!AS$10:AS$54,$B11),0))*4000,0)-IF(AND('計算A'!AQ$117=1,VO11&gt;0),2000,0)-IF(AND($L11=1,'計算A'!AR$117=1,EQ11=0),2000,0))),1000000))</f>
        <v/>
      </c>
      <c r="PU11">
        <f>IF($B11=0,1000000,IF(INDEX('計算A'!$D$60:$EQ$104,$B11,42)*EQ11=1,IF(AND($E11=2,KF11=0),1000000,IF($I11&gt;0,IF(2=$J11,IF(OR(AND(42=$I11+1,OR($K11&lt;&gt;'計算A'!$A$3,'計算A'!$A$4=0)),AND(42=$I11-1,OR(18&lt;&gt;'計算A'!$A$3,'計算A'!$A$4=0))),0,IF(18=$K11,200000,ABS(18-$K11)*100)),100000+ABS(2-$J11)*1000+180)+'計算A'!AS$5*50+IF(AND($E11=1,KF11=0),25,0),IF($F11&gt;0,INDEX('計算A'!AS$110:AS$114,$F11+1)+IF(AND($E11=1,KF11=0),1000,0),MIN(TV11,20)*400+(IF('計算A'!AR$106=1,1-EP11,0)+IF('計算A'!AS$106=1,1-ER11,0))*150+182+'計算A'!AS$5*100000+IF(AND($E11=1,KF11=0),50000,0))+IF($H11=1,(IF('計算A'!AR$117=1,INDEX('計算A'!AR$10:AR$54,$B11),0)+IF('計算A'!AS$117=1,INDEX('計算A'!AT$10:AT$54,$B11),0))*4000,0)-IF(AND('計算A'!AR$117=1,VP11&gt;0),2000,0)-IF(AND($L11=1,'計算A'!AS$117=1,ER11=0),2000,0))),1000000))</f>
        <v/>
      </c>
      <c r="PV11">
        <f>IF($B11=0,1000000,IF(INDEX('計算A'!$D$60:$EQ$104,$B11,43)*ER11=1,IF(AND($E11=2,KG11=0),1000000,IF($I11&gt;0,IF(2=$J11,IF(OR(AND(43=$I11+1,OR($K11&lt;&gt;'計算A'!$A$3,'計算A'!$A$4=0)),AND(43=$I11-1,OR(19&lt;&gt;'計算A'!$A$3,'計算A'!$A$4=0))),0,IF(19=$K11,200000,ABS(19-$K11)*100)),100000+ABS(2-$J11)*1000+190)+'計算A'!AT$5*50+IF(AND($E11=1,KG11=0),25,0),IF($F11&gt;0,INDEX('計算A'!AT$110:AT$114,$F11+1)+IF(AND($E11=1,KG11=0),1000,0),MIN(TV11,20)*400+(IF('計算A'!AS$106=1,1-EQ11,0)+IF('計算A'!AT$106=1,1-ES11,0))*150+192+'計算A'!AT$5*100000+IF(AND($E11=1,KG11=0),50000,0))+IF($H11=1,(IF('計算A'!AS$117=1,INDEX('計算A'!AS$10:AS$54,$B11),0)+IF('計算A'!AT$117=1,INDEX('計算A'!AU$10:AU$54,$B11),0))*4000,0)-IF(AND('計算A'!AS$117=1,VQ11&gt;0),2000,0)-IF(AND($L11=1,'計算A'!AT$117=1,ES11=0),2000,0))),1000000))</f>
        <v/>
      </c>
      <c r="PW11">
        <f>IF($B11=0,1000000,IF(INDEX('計算A'!$D$60:$EQ$104,$B11,44)*ES11=1,IF(AND($E11=2,KH11=0),1000000,IF($I11&gt;0,IF(2=$J11,IF(OR(AND(44=$I11+1,OR($K11&lt;&gt;'計算A'!$A$3,'計算A'!$A$4=0)),AND(44=$I11-1,OR(20&lt;&gt;'計算A'!$A$3,'計算A'!$A$4=0))),0,IF(20=$K11,200000,ABS(20-$K11)*100)),100000+ABS(2-$J11)*1000+200)+'計算A'!AU$5*50+IF(AND($E11=1,KH11=0),25,0),IF($F11&gt;0,INDEX('計算A'!AU$110:AU$114,$F11+1)+IF(AND($E11=1,KH11=0),1000,0),MIN(TV11,20)*400+(IF('計算A'!AT$106=1,1-ER11,0)+IF('計算A'!AU$106=1,1-ET11,0))*150+202+'計算A'!AU$5*100000+IF(AND($E11=1,KH11=0),50000,0))+IF($H11=1,(IF('計算A'!AT$117=1,INDEX('計算A'!AT$10:AT$54,$B11),0)+IF('計算A'!AU$117=1,INDEX('計算A'!AV$10:AV$54,$B11),0))*4000,0)-IF(AND('計算A'!AT$117=1,VR11&gt;0),2000,0)-IF(AND($L11=1,'計算A'!AU$117=1,ET11=0),2000,0))),1000000))</f>
        <v/>
      </c>
      <c r="PX11">
        <f>IF($B11=0,1000000,IF(INDEX('計算A'!$D$60:$EQ$104,$B11,45)*ET11=1,IF(AND($E11=2,KI11=0),1000000,IF($I11&gt;0,IF(2=$J11,IF(OR(AND(45=$I11+1,OR($K11&lt;&gt;'計算A'!$A$3,'計算A'!$A$4=0)),AND(45=$I11-1,OR(21&lt;&gt;'計算A'!$A$3,'計算A'!$A$4=0))),0,IF(21=$K11,200000,ABS(21-$K11)*100)),100000+ABS(2-$J11)*1000+210)+'計算A'!AV$5*50+IF(AND($E11=1,KI11=0),25,0),IF($F11&gt;0,INDEX('計算A'!AV$110:AV$114,$F11+1)+IF(AND($E11=1,KI11=0),1000,0),MIN(TV11,20)*400+(IF('計算A'!AU$106=1,1-ES11,0)+IF('計算A'!AV$106=1,1-EU11,0))*150+212+'計算A'!AV$5*100000+IF(AND($E11=1,KI11=0),50000,0))+IF($H11=1,(IF('計算A'!AU$117=1,INDEX('計算A'!AU$10:AU$54,$B11),0)+IF('計算A'!AV$117=1,INDEX('計算A'!AW$10:AW$54,$B11),0))*4000,0)-IF(AND('計算A'!AU$117=1,VS11&gt;0),2000,0)-IF(AND($L11=1,'計算A'!AV$117=1,EU11=0),2000,0))),1000000))</f>
        <v/>
      </c>
      <c r="PY11">
        <f>IF($B11=0,1000000,IF(INDEX('計算A'!$D$60:$EQ$104,$B11,46)*EU11=1,IF(AND($E11=2,KJ11=0),1000000,IF($I11&gt;0,IF(2=$J11,IF(OR(AND(46=$I11+1,OR($K11&lt;&gt;'計算A'!$A$3,'計算A'!$A$4=0)),AND(46=$I11-1,OR(22&lt;&gt;'計算A'!$A$3,'計算A'!$A$4=0))),0,IF(22=$K11,200000,ABS(22-$K11)*100)),100000+ABS(2-$J11)*1000+220)+'計算A'!AW$5*50+IF(AND($E11=1,KJ11=0),25,0),IF($F11&gt;0,INDEX('計算A'!AW$110:AW$114,$F11+1)+IF(AND($E11=1,KJ11=0),1000,0),MIN(TV11,20)*400+(IF('計算A'!AV$106=1,1-ET11,0)+IF('計算A'!AW$106=1,1-EV11,0))*150+222+'計算A'!AW$5*100000+IF(AND($E11=1,KJ11=0),50000,0))+IF($H11=1,(IF('計算A'!AV$117=1,INDEX('計算A'!AV$10:AV$54,$B11),0)+IF('計算A'!AW$117=1,INDEX('計算A'!AX$10:AX$54,$B11),0))*4000,0)-IF(AND('計算A'!AV$117=1,VT11&gt;0),2000,0)-IF(AND($L11=1,'計算A'!AW$117=1,EV11=0),2000,0))),1000000))</f>
        <v/>
      </c>
      <c r="PZ11">
        <f>IF($B11=0,1000000,IF(INDEX('計算A'!$D$60:$EQ$104,$B11,47)*EV11=1,IF(AND($E11=2,KK11=0),1000000,IF($I11&gt;0,IF(2=$J11,IF(OR(AND(47=$I11+1,OR($K11&lt;&gt;'計算A'!$A$3,'計算A'!$A$4=0)),AND(47=$I11-1,OR(23&lt;&gt;'計算A'!$A$3,'計算A'!$A$4=0))),0,IF(23=$K11,200000,ABS(23-$K11)*100)),100000+ABS(2-$J11)*1000+230)+'計算A'!AX$5*50+IF(AND($E11=1,KK11=0),25,0),IF($F11&gt;0,INDEX('計算A'!AX$110:AX$114,$F11+1)+IF(AND($E11=1,KK11=0),1000,0),MIN(TV11,20)*400+(IF('計算A'!AW$106=1,1-EU11,0)+IF('計算A'!AX$106=1,1-EW11,0))*150+232+'計算A'!AX$5*100000+IF(AND($E11=1,KK11=0),50000,0))+IF($H11=1,(IF('計算A'!AW$117=1,INDEX('計算A'!AW$10:AW$54,$B11),0)+IF('計算A'!AX$117=1,INDEX('計算A'!AY$10:AY$54,$B11),0))*4000,0)-IF(AND('計算A'!AW$117=1,VU11&gt;0),2000,0)-IF(AND($L11=1,'計算A'!AX$117=1,EW11=0),2000,0))),1000000))</f>
        <v/>
      </c>
      <c r="QA11">
        <f>IF($B11=0,1000000,IF(INDEX('計算A'!$D$60:$EQ$104,$B11,48)*EW11=1,IF(AND($E11=2,KL11=0),1000000,IF($I11&gt;0,IF(2=$J11,IF(OR(AND(48=$I11+1,OR($K11&lt;&gt;'計算A'!$A$3,'計算A'!$A$4=0)),AND(48=$I11-1,OR(24&lt;&gt;'計算A'!$A$3,'計算A'!$A$4=0))),0,IF(24=$K11,200000,ABS(24-$K11)*100)),100000+ABS(2-$J11)*1000+240)+'計算A'!AY$5*50+IF(AND($E11=1,KL11=0),25,0),IF($F11&gt;0,INDEX('計算A'!AY$110:AY$114,$F11+1)+IF(AND($E11=1,KL11=0),1000,0),MIN(TV11,20)*400+(IF('計算A'!AX$106=1,1-EV11,0))*150+242+'計算A'!AY$5*100000+IF(AND($E11=1,KL11=0),50000,0))+IF($H11=1,(IF('計算A'!AX$117=1,INDEX('計算A'!AX$10:AX$54,$B11),0))*4000,0)-IF(AND('計算A'!AX$117=1,VV11&gt;0),2000,0))),1000000))</f>
        <v/>
      </c>
      <c r="QB11">
        <f>IF($B11=0,1000000,IF(INDEX('計算A'!$D$60:$EQ$104,$B11,49)*EX11=1,IF(AND($E11=2,KM11=0),1000000,IF($I11&gt;0,IF(3=$J11,IF(OR(AND(49=$I11+1,OR($K11&lt;&gt;'計算A'!$A$3,'計算A'!$A$4=0)),AND(49=$I11-1,OR(1&lt;&gt;'計算A'!$A$3,'計算A'!$A$4=0))),0,IF(1=$K11,200000,ABS(1-$K11)*100)),100000+ABS(3-$J11)*1000+10)+'計算A'!AZ$5*50+IF(AND($E11=1,KM11=0),25,0),IF($F11&gt;0,INDEX('計算A'!AZ$110:AZ$114,$F11+1)+IF(AND($E11=1,KM11=0),1000,0),MIN(TW11,20)*400+(IF('計算A'!AZ$106=1,1-EY11,0))*150+13+'計算A'!AZ$5*100000+IF(AND($E11=1,KM11=0),50000,0))+IF($H11=1,(IF('計算A'!AZ$117=1,INDEX('計算A'!BA$10:BA$54,$B11),0))*4000,0)-IF(AND($L11=1,'計算A'!AZ$117=1,EY11=0),2000,0))),1000000))</f>
        <v/>
      </c>
      <c r="QC11">
        <f>IF($B11=0,1000000,IF(INDEX('計算A'!$D$60:$EQ$104,$B11,50)*EY11=1,IF(AND($E11=2,KN11=0),1000000,IF($I11&gt;0,IF(3=$J11,IF(OR(AND(50=$I11+1,OR($K11&lt;&gt;'計算A'!$A$3,'計算A'!$A$4=0)),AND(50=$I11-1,OR(2&lt;&gt;'計算A'!$A$3,'計算A'!$A$4=0))),0,IF(2=$K11,200000,ABS(2-$K11)*100)),100000+ABS(3-$J11)*1000+20)+'計算A'!BA$5*50+IF(AND($E11=1,KN11=0),25,0),IF($F11&gt;0,INDEX('計算A'!BA$110:BA$114,$F11+1)+IF(AND($E11=1,KN11=0),1000,0),MIN(TW11,20)*400+(IF('計算A'!AZ$106=1,1-EX11,0)+IF('計算A'!BA$106=1,1-EZ11,0))*150+23+'計算A'!BA$5*100000+IF(AND($E11=1,KN11=0),50000,0))+IF($H11=1,(IF('計算A'!AZ$117=1,INDEX('計算A'!AZ$10:AZ$54,$B11),0)+IF('計算A'!BA$117=1,INDEX('計算A'!BB$10:BB$54,$B11),0))*4000,0)-IF(AND('計算A'!AZ$117=1,VX11&gt;0),2000,0)-IF(AND($L11=1,'計算A'!BA$117=1,EZ11=0),2000,0))),1000000))</f>
        <v/>
      </c>
      <c r="QD11">
        <f>IF($B11=0,1000000,IF(INDEX('計算A'!$D$60:$EQ$104,$B11,51)*EZ11=1,IF(AND($E11=2,KO11=0),1000000,IF($I11&gt;0,IF(3=$J11,IF(OR(AND(51=$I11+1,OR($K11&lt;&gt;'計算A'!$A$3,'計算A'!$A$4=0)),AND(51=$I11-1,OR(3&lt;&gt;'計算A'!$A$3,'計算A'!$A$4=0))),0,IF(3=$K11,200000,ABS(3-$K11)*100)),100000+ABS(3-$J11)*1000+30)+'計算A'!BB$5*50+IF(AND($E11=1,KO11=0),25,0),IF($F11&gt;0,INDEX('計算A'!BB$110:BB$114,$F11+1)+IF(AND($E11=1,KO11=0),1000,0),MIN(TW11,20)*400+(IF('計算A'!BA$106=1,1-EY11,0)+IF('計算A'!BB$106=1,1-FA11,0))*150+33+'計算A'!BB$5*100000+IF(AND($E11=1,KO11=0),50000,0))+IF($H11=1,(IF('計算A'!BA$117=1,INDEX('計算A'!BA$10:BA$54,$B11),0)+IF('計算A'!BB$117=1,INDEX('計算A'!BC$10:BC$54,$B11),0))*4000,0)-IF(AND('計算A'!BA$117=1,VY11&gt;0),2000,0)-IF(AND($L11=1,'計算A'!BB$117=1,FA11=0),2000,0))),1000000))</f>
        <v/>
      </c>
      <c r="QE11">
        <f>IF($B11=0,1000000,IF(INDEX('計算A'!$D$60:$EQ$104,$B11,52)*FA11=1,IF(AND($E11=2,KP11=0),1000000,IF($I11&gt;0,IF(3=$J11,IF(OR(AND(52=$I11+1,OR($K11&lt;&gt;'計算A'!$A$3,'計算A'!$A$4=0)),AND(52=$I11-1,OR(4&lt;&gt;'計算A'!$A$3,'計算A'!$A$4=0))),0,IF(4=$K11,200000,ABS(4-$K11)*100)),100000+ABS(3-$J11)*1000+40)+'計算A'!BC$5*50+IF(AND($E11=1,KP11=0),25,0),IF($F11&gt;0,INDEX('計算A'!BC$110:BC$114,$F11+1)+IF(AND($E11=1,KP11=0),1000,0),MIN(TW11,20)*400+(IF('計算A'!BB$106=1,1-EZ11,0)+IF('計算A'!BC$106=1,1-FB11,0))*150+43+'計算A'!BC$5*100000+IF(AND($E11=1,KP11=0),50000,0))+IF($H11=1,(IF('計算A'!BB$117=1,INDEX('計算A'!BB$10:BB$54,$B11),0)+IF('計算A'!BC$117=1,INDEX('計算A'!BD$10:BD$54,$B11),0))*4000,0)-IF(AND('計算A'!BB$117=1,VZ11&gt;0),2000,0)-IF(AND($L11=1,'計算A'!BC$117=1,FB11=0),2000,0))),1000000))</f>
        <v/>
      </c>
      <c r="QF11">
        <f>IF($B11=0,1000000,IF(INDEX('計算A'!$D$60:$EQ$104,$B11,53)*FB11=1,IF(AND($E11=2,KQ11=0),1000000,IF($I11&gt;0,IF(3=$J11,IF(OR(AND(53=$I11+1,OR($K11&lt;&gt;'計算A'!$A$3,'計算A'!$A$4=0)),AND(53=$I11-1,OR(5&lt;&gt;'計算A'!$A$3,'計算A'!$A$4=0))),0,IF(5=$K11,200000,ABS(5-$K11)*100)),100000+ABS(3-$J11)*1000+50)+'計算A'!BD$5*50+IF(AND($E11=1,KQ11=0),25,0),IF($F11&gt;0,INDEX('計算A'!BD$110:BD$114,$F11+1)+IF(AND($E11=1,KQ11=0),1000,0),MIN(TW11,20)*400+(IF('計算A'!BC$106=1,1-FA11,0)+IF('計算A'!BD$106=1,1-FC11,0))*150+53+'計算A'!BD$5*100000+IF(AND($E11=1,KQ11=0),50000,0))+IF($H11=1,(IF('計算A'!BC$117=1,INDEX('計算A'!BC$10:BC$54,$B11),0)+IF('計算A'!BD$117=1,INDEX('計算A'!BE$10:BE$54,$B11),0))*4000,0)-IF(AND('計算A'!BC$117=1,WA11&gt;0),2000,0)-IF(AND($L11=1,'計算A'!BD$117=1,FC11=0),2000,0))),1000000))</f>
        <v/>
      </c>
      <c r="QG11">
        <f>IF($B11=0,1000000,IF(INDEX('計算A'!$D$60:$EQ$104,$B11,54)*FC11=1,IF(AND($E11=2,KR11=0),1000000,IF($I11&gt;0,IF(3=$J11,IF(OR(AND(54=$I11+1,OR($K11&lt;&gt;'計算A'!$A$3,'計算A'!$A$4=0)),AND(54=$I11-1,OR(6&lt;&gt;'計算A'!$A$3,'計算A'!$A$4=0))),0,IF(6=$K11,200000,ABS(6-$K11)*100)),100000+ABS(3-$J11)*1000+60)+'計算A'!BE$5*50+IF(AND($E11=1,KR11=0),25,0),IF($F11&gt;0,INDEX('計算A'!BE$110:BE$114,$F11+1)+IF(AND($E11=1,KR11=0),1000,0),MIN(TW11,20)*400+(IF('計算A'!BD$106=1,1-FB11,0)+IF('計算A'!BE$106=1,1-FD11,0))*150+63+'計算A'!BE$5*100000+IF(AND($E11=1,KR11=0),50000,0))+IF($H11=1,(IF('計算A'!BD$117=1,INDEX('計算A'!BD$10:BD$54,$B11),0)+IF('計算A'!BE$117=1,INDEX('計算A'!BF$10:BF$54,$B11),0))*4000,0)-IF(AND('計算A'!BD$117=1,WB11&gt;0),2000,0)-IF(AND($L11=1,'計算A'!BE$117=1,FD11=0),2000,0))),1000000))</f>
        <v/>
      </c>
      <c r="QH11">
        <f>IF($B11=0,1000000,IF(INDEX('計算A'!$D$60:$EQ$104,$B11,55)*FD11=1,IF(AND($E11=2,KS11=0),1000000,IF($I11&gt;0,IF(3=$J11,IF(OR(AND(55=$I11+1,OR($K11&lt;&gt;'計算A'!$A$3,'計算A'!$A$4=0)),AND(55=$I11-1,OR(7&lt;&gt;'計算A'!$A$3,'計算A'!$A$4=0))),0,IF(7=$K11,200000,ABS(7-$K11)*100)),100000+ABS(3-$J11)*1000+70)+'計算A'!BF$5*50+IF(AND($E11=1,KS11=0),25,0),IF($F11&gt;0,INDEX('計算A'!BF$110:BF$114,$F11+1)+IF(AND($E11=1,KS11=0),1000,0),MIN(TW11,20)*400+(IF('計算A'!BE$106=1,1-FC11,0)+IF('計算A'!BF$106=1,1-FE11,0))*150+73+'計算A'!BF$5*100000+IF(AND($E11=1,KS11=0),50000,0))+IF($H11=1,(IF('計算A'!BE$117=1,INDEX('計算A'!BE$10:BE$54,$B11),0)+IF('計算A'!BF$117=1,INDEX('計算A'!BG$10:BG$54,$B11),0))*4000,0)-IF(AND('計算A'!BE$117=1,WC11&gt;0),2000,0)-IF(AND($L11=1,'計算A'!BF$117=1,FE11=0),2000,0))),1000000))</f>
        <v/>
      </c>
      <c r="QI11">
        <f>IF($B11=0,1000000,IF(INDEX('計算A'!$D$60:$EQ$104,$B11,56)*FE11=1,IF(AND($E11=2,KT11=0),1000000,IF($I11&gt;0,IF(3=$J11,IF(OR(AND(56=$I11+1,OR($K11&lt;&gt;'計算A'!$A$3,'計算A'!$A$4=0)),AND(56=$I11-1,OR(8&lt;&gt;'計算A'!$A$3,'計算A'!$A$4=0))),0,IF(8=$K11,200000,ABS(8-$K11)*100)),100000+ABS(3-$J11)*1000+80)+'計算A'!BG$5*50+IF(AND($E11=1,KT11=0),25,0),IF($F11&gt;0,INDEX('計算A'!BG$110:BG$114,$F11+1)+IF(AND($E11=1,KT11=0),1000,0),MIN(TW11,20)*400+(IF('計算A'!BF$106=1,1-FD11,0)+IF('計算A'!BG$106=1,1-FF11,0))*150+83+'計算A'!BG$5*100000+IF(AND($E11=1,KT11=0),50000,0))+IF($H11=1,(IF('計算A'!BF$117=1,INDEX('計算A'!BF$10:BF$54,$B11),0)+IF('計算A'!BG$117=1,INDEX('計算A'!BH$10:BH$54,$B11),0))*4000,0)-IF(AND('計算A'!BF$117=1,WD11&gt;0),2000,0)-IF(AND($L11=1,'計算A'!BG$117=1,FF11=0),2000,0))),1000000))</f>
        <v/>
      </c>
      <c r="QJ11">
        <f>IF($B11=0,1000000,IF(INDEX('計算A'!$D$60:$EQ$104,$B11,57)*FF11=1,IF(AND($E11=2,KU11=0),1000000,IF($I11&gt;0,IF(3=$J11,IF(OR(AND(57=$I11+1,OR($K11&lt;&gt;'計算A'!$A$3,'計算A'!$A$4=0)),AND(57=$I11-1,OR(9&lt;&gt;'計算A'!$A$3,'計算A'!$A$4=0))),0,IF(9=$K11,200000,ABS(9-$K11)*100)),100000+ABS(3-$J11)*1000+90)+'計算A'!BH$5*50+IF(AND($E11=1,KU11=0),25,0),IF($F11&gt;0,INDEX('計算A'!BH$110:BH$114,$F11+1)+IF(AND($E11=1,KU11=0),1000,0),MIN(TW11,20)*400+(IF('計算A'!BG$106=1,1-FE11,0)+IF('計算A'!BH$106=1,1-FG11,0))*150+93+'計算A'!BH$5*100000+IF(AND($E11=1,KU11=0),50000,0))+IF($H11=1,(IF('計算A'!BG$117=1,INDEX('計算A'!BG$10:BG$54,$B11),0)+IF('計算A'!BH$117=1,INDEX('計算A'!BI$10:BI$54,$B11),0))*4000,0)-IF(AND('計算A'!BG$117=1,WE11&gt;0),2000,0)-IF(AND($L11=1,'計算A'!BH$117=1,FG11=0),2000,0))),1000000))</f>
        <v/>
      </c>
      <c r="QK11">
        <f>IF($B11=0,1000000,IF(INDEX('計算A'!$D$60:$EQ$104,$B11,58)*FG11=1,IF(AND($E11=2,KV11=0),1000000,IF($I11&gt;0,IF(3=$J11,IF(OR(AND(58=$I11+1,OR($K11&lt;&gt;'計算A'!$A$3,'計算A'!$A$4=0)),AND(58=$I11-1,OR(10&lt;&gt;'計算A'!$A$3,'計算A'!$A$4=0))),0,IF(10=$K11,200000,ABS(10-$K11)*100)),100000+ABS(3-$J11)*1000+100)+'計算A'!BI$5*50+IF(AND($E11=1,KV11=0),25,0),IF($F11&gt;0,INDEX('計算A'!BI$110:BI$114,$F11+1)+IF(AND($E11=1,KV11=0),1000,0),MIN(TW11,20)*400+(IF('計算A'!BH$106=1,1-FF11,0)+IF('計算A'!BI$106=1,1-FH11,0))*150+103+'計算A'!BI$5*100000+IF(AND($E11=1,KV11=0),50000,0))+IF($H11=1,(IF('計算A'!BH$117=1,INDEX('計算A'!BH$10:BH$54,$B11),0)+IF('計算A'!BI$117=1,INDEX('計算A'!BJ$10:BJ$54,$B11),0))*4000,0)-IF(AND('計算A'!BH$117=1,WF11&gt;0),2000,0)-IF(AND($L11=1,'計算A'!BI$117=1,FH11=0),2000,0))),1000000))</f>
        <v/>
      </c>
      <c r="QL11">
        <f>IF($B11=0,1000000,IF(INDEX('計算A'!$D$60:$EQ$104,$B11,59)*FH11=1,IF(AND($E11=2,KW11=0),1000000,IF($I11&gt;0,IF(3=$J11,IF(OR(AND(59=$I11+1,OR($K11&lt;&gt;'計算A'!$A$3,'計算A'!$A$4=0)),AND(59=$I11-1,OR(11&lt;&gt;'計算A'!$A$3,'計算A'!$A$4=0))),0,IF(11=$K11,200000,ABS(11-$K11)*100)),100000+ABS(3-$J11)*1000+110)+'計算A'!BJ$5*50+IF(AND($E11=1,KW11=0),25,0),IF($F11&gt;0,INDEX('計算A'!BJ$110:BJ$114,$F11+1)+IF(AND($E11=1,KW11=0),1000,0),MIN(TW11,20)*400+(IF('計算A'!BI$106=1,1-FG11,0)+IF('計算A'!BJ$106=1,1-FI11,0))*150+113+'計算A'!BJ$5*100000+IF(AND($E11=1,KW11=0),50000,0))+IF($H11=1,(IF('計算A'!BI$117=1,INDEX('計算A'!BI$10:BI$54,$B11),0)+IF('計算A'!BJ$117=1,INDEX('計算A'!BK$10:BK$54,$B11),0))*4000,0)-IF(AND('計算A'!BI$117=1,WG11&gt;0),2000,0)-IF(AND($L11=1,'計算A'!BJ$117=1,FI11=0),2000,0))),1000000))</f>
        <v/>
      </c>
      <c r="QM11">
        <f>IF($B11=0,1000000,IF(INDEX('計算A'!$D$60:$EQ$104,$B11,60)*FI11=1,IF(AND($E11=2,KX11=0),1000000,IF($I11&gt;0,IF(3=$J11,IF(OR(AND(60=$I11+1,OR($K11&lt;&gt;'計算A'!$A$3,'計算A'!$A$4=0)),AND(60=$I11-1,OR(12&lt;&gt;'計算A'!$A$3,'計算A'!$A$4=0))),0,IF(12=$K11,200000,ABS(12-$K11)*100)),100000+ABS(3-$J11)*1000+120)+'計算A'!BK$5*50+IF(AND($E11=1,KX11=0),25,0),IF($F11&gt;0,INDEX('計算A'!BK$110:BK$114,$F11+1)+IF(AND($E11=1,KX11=0),1000,0),MIN(TW11,20)*400+(IF('計算A'!BJ$106=1,1-FH11,0)+IF('計算A'!BK$106=1,1-FJ11,0))*150+123+'計算A'!BK$5*100000+IF(AND($E11=1,KX11=0),50000,0))+IF($H11=1,(IF('計算A'!BJ$117=1,INDEX('計算A'!BJ$10:BJ$54,$B11),0)+IF('計算A'!BK$117=1,INDEX('計算A'!BL$10:BL$54,$B11),0))*4000,0)-IF(AND('計算A'!BJ$117=1,WH11&gt;0),2000,0)-IF(AND($L11=1,'計算A'!BK$117=1,FJ11=0),2000,0))),1000000))</f>
        <v/>
      </c>
      <c r="QN11">
        <f>IF($B11=0,1000000,IF(INDEX('計算A'!$D$60:$EQ$104,$B11,61)*FJ11=1,IF(AND($E11=2,KY11=0),1000000,IF($I11&gt;0,IF(3=$J11,IF(OR(AND(61=$I11+1,OR($K11&lt;&gt;'計算A'!$A$3,'計算A'!$A$4=0)),AND(61=$I11-1,OR(13&lt;&gt;'計算A'!$A$3,'計算A'!$A$4=0))),0,IF(13=$K11,200000,ABS(13-$K11)*100)),100000+ABS(3-$J11)*1000+130)+'計算A'!BL$5*50+IF(AND($E11=1,KY11=0),25,0),IF($F11&gt;0,INDEX('計算A'!BL$110:BL$114,$F11+1)+IF(AND($E11=1,KY11=0),1000,0),MIN(TW11,20)*400+(IF('計算A'!BK$106=1,1-FI11,0)+IF('計算A'!BL$106=1,1-FK11,0))*150+133+'計算A'!BL$5*100000+IF(AND($E11=1,KY11=0),50000,0))+IF($H11=1,(IF('計算A'!BK$117=1,INDEX('計算A'!BK$10:BK$54,$B11),0)+IF('計算A'!BL$117=1,INDEX('計算A'!BM$10:BM$54,$B11),0))*4000,0)-IF(AND('計算A'!BK$117=1,WI11&gt;0),2000,0)-IF(AND($L11=1,'計算A'!BL$117=1,FK11=0),2000,0))),1000000))</f>
        <v/>
      </c>
      <c r="QO11">
        <f>IF($B11=0,1000000,IF(INDEX('計算A'!$D$60:$EQ$104,$B11,62)*FK11=1,IF(AND($E11=2,KZ11=0),1000000,IF($I11&gt;0,IF(3=$J11,IF(OR(AND(62=$I11+1,OR($K11&lt;&gt;'計算A'!$A$3,'計算A'!$A$4=0)),AND(62=$I11-1,OR(14&lt;&gt;'計算A'!$A$3,'計算A'!$A$4=0))),0,IF(14=$K11,200000,ABS(14-$K11)*100)),100000+ABS(3-$J11)*1000+140)+'計算A'!BM$5*50+IF(AND($E11=1,KZ11=0),25,0),IF($F11&gt;0,INDEX('計算A'!BM$110:BM$114,$F11+1)+IF(AND($E11=1,KZ11=0),1000,0),MIN(TW11,20)*400+(IF('計算A'!BL$106=1,1-FJ11,0)+IF('計算A'!BM$106=1,1-FL11,0))*150+143+'計算A'!BM$5*100000+IF(AND($E11=1,KZ11=0),50000,0))+IF($H11=1,(IF('計算A'!BL$117=1,INDEX('計算A'!BL$10:BL$54,$B11),0)+IF('計算A'!BM$117=1,INDEX('計算A'!BN$10:BN$54,$B11),0))*4000,0)-IF(AND('計算A'!BL$117=1,WJ11&gt;0),2000,0)-IF(AND($L11=1,'計算A'!BM$117=1,FL11=0),2000,0))),1000000))</f>
        <v/>
      </c>
      <c r="QP11">
        <f>IF($B11=0,1000000,IF(INDEX('計算A'!$D$60:$EQ$104,$B11,63)*FL11=1,IF(AND($E11=2,LA11=0),1000000,IF($I11&gt;0,IF(3=$J11,IF(OR(AND(63=$I11+1,OR($K11&lt;&gt;'計算A'!$A$3,'計算A'!$A$4=0)),AND(63=$I11-1,OR(15&lt;&gt;'計算A'!$A$3,'計算A'!$A$4=0))),0,IF(15=$K11,200000,ABS(15-$K11)*100)),100000+ABS(3-$J11)*1000+150)+'計算A'!BN$5*50+IF(AND($E11=1,LA11=0),25,0),IF($F11&gt;0,INDEX('計算A'!BN$110:BN$114,$F11+1)+IF(AND($E11=1,LA11=0),1000,0),MIN(TW11,20)*400+(IF('計算A'!BM$106=1,1-FK11,0)+IF('計算A'!BN$106=1,1-FM11,0))*150+153+'計算A'!BN$5*100000+IF(AND($E11=1,LA11=0),50000,0))+IF($H11=1,(IF('計算A'!BM$117=1,INDEX('計算A'!BM$10:BM$54,$B11),0)+IF('計算A'!BN$117=1,INDEX('計算A'!BO$10:BO$54,$B11),0))*4000,0)-IF(AND('計算A'!BM$117=1,WK11&gt;0),2000,0)-IF(AND($L11=1,'計算A'!BN$117=1,FM11=0),2000,0))),1000000))</f>
        <v/>
      </c>
      <c r="QQ11">
        <f>IF($B11=0,1000000,IF(INDEX('計算A'!$D$60:$EQ$104,$B11,64)*FM11=1,IF(AND($E11=2,LB11=0),1000000,IF($I11&gt;0,IF(3=$J11,IF(OR(AND(64=$I11+1,OR($K11&lt;&gt;'計算A'!$A$3,'計算A'!$A$4=0)),AND(64=$I11-1,OR(16&lt;&gt;'計算A'!$A$3,'計算A'!$A$4=0))),0,IF(16=$K11,200000,ABS(16-$K11)*100)),100000+ABS(3-$J11)*1000+160)+'計算A'!BO$5*50+IF(AND($E11=1,LB11=0),25,0),IF($F11&gt;0,INDEX('計算A'!BO$110:BO$114,$F11+1)+IF(AND($E11=1,LB11=0),1000,0),MIN(TW11,20)*400+(IF('計算A'!BN$106=1,1-FL11,0)+IF('計算A'!BO$106=1,1-FN11,0))*150+163+'計算A'!BO$5*100000+IF(AND($E11=1,LB11=0),50000,0))+IF($H11=1,(IF('計算A'!BN$117=1,INDEX('計算A'!BN$10:BN$54,$B11),0)+IF('計算A'!BO$117=1,INDEX('計算A'!BP$10:BP$54,$B11),0))*4000,0)-IF(AND('計算A'!BN$117=1,WL11&gt;0),2000,0)-IF(AND($L11=1,'計算A'!BO$117=1,FN11=0),2000,0))),1000000))</f>
        <v/>
      </c>
      <c r="QR11">
        <f>IF($B11=0,1000000,IF(INDEX('計算A'!$D$60:$EQ$104,$B11,65)*FN11=1,IF(AND($E11=2,LC11=0),1000000,IF($I11&gt;0,IF(3=$J11,IF(OR(AND(65=$I11+1,OR($K11&lt;&gt;'計算A'!$A$3,'計算A'!$A$4=0)),AND(65=$I11-1,OR(17&lt;&gt;'計算A'!$A$3,'計算A'!$A$4=0))),0,IF(17=$K11,200000,ABS(17-$K11)*100)),100000+ABS(3-$J11)*1000+170)+'計算A'!BP$5*50+IF(AND($E11=1,LC11=0),25,0),IF($F11&gt;0,INDEX('計算A'!BP$110:BP$114,$F11+1)+IF(AND($E11=1,LC11=0),1000,0),MIN(TW11,20)*400+(IF('計算A'!BO$106=1,1-FM11,0)+IF('計算A'!BP$106=1,1-FO11,0))*150+173+'計算A'!BP$5*100000+IF(AND($E11=1,LC11=0),50000,0))+IF($H11=1,(IF('計算A'!BO$117=1,INDEX('計算A'!BO$10:BO$54,$B11),0)+IF('計算A'!BP$117=1,INDEX('計算A'!BQ$10:BQ$54,$B11),0))*4000,0)-IF(AND('計算A'!BO$117=1,WM11&gt;0),2000,0)-IF(AND($L11=1,'計算A'!BP$117=1,FO11=0),2000,0))),1000000))</f>
        <v/>
      </c>
      <c r="QS11">
        <f>IF($B11=0,1000000,IF(INDEX('計算A'!$D$60:$EQ$104,$B11,66)*FO11=1,IF(AND($E11=2,LD11=0),1000000,IF($I11&gt;0,IF(3=$J11,IF(OR(AND(66=$I11+1,OR($K11&lt;&gt;'計算A'!$A$3,'計算A'!$A$4=0)),AND(66=$I11-1,OR(18&lt;&gt;'計算A'!$A$3,'計算A'!$A$4=0))),0,IF(18=$K11,200000,ABS(18-$K11)*100)),100000+ABS(3-$J11)*1000+180)+'計算A'!BQ$5*50+IF(AND($E11=1,LD11=0),25,0),IF($F11&gt;0,INDEX('計算A'!BQ$110:BQ$114,$F11+1)+IF(AND($E11=1,LD11=0),1000,0),MIN(TW11,20)*400+(IF('計算A'!BP$106=1,1-FN11,0)+IF('計算A'!BQ$106=1,1-FP11,0))*150+183+'計算A'!BQ$5*100000+IF(AND($E11=1,LD11=0),50000,0))+IF($H11=1,(IF('計算A'!BP$117=1,INDEX('計算A'!BP$10:BP$54,$B11),0)+IF('計算A'!BQ$117=1,INDEX('計算A'!BR$10:BR$54,$B11),0))*4000,0)-IF(AND('計算A'!BP$117=1,WN11&gt;0),2000,0)-IF(AND($L11=1,'計算A'!BQ$117=1,FP11=0),2000,0))),1000000))</f>
        <v/>
      </c>
      <c r="QT11">
        <f>IF($B11=0,1000000,IF(INDEX('計算A'!$D$60:$EQ$104,$B11,67)*FP11=1,IF(AND($E11=2,LE11=0),1000000,IF($I11&gt;0,IF(3=$J11,IF(OR(AND(67=$I11+1,OR($K11&lt;&gt;'計算A'!$A$3,'計算A'!$A$4=0)),AND(67=$I11-1,OR(19&lt;&gt;'計算A'!$A$3,'計算A'!$A$4=0))),0,IF(19=$K11,200000,ABS(19-$K11)*100)),100000+ABS(3-$J11)*1000+190)+'計算A'!BR$5*50+IF(AND($E11=1,LE11=0),25,0),IF($F11&gt;0,INDEX('計算A'!BR$110:BR$114,$F11+1)+IF(AND($E11=1,LE11=0),1000,0),MIN(TW11,20)*400+(IF('計算A'!BQ$106=1,1-FO11,0)+IF('計算A'!BR$106=1,1-FQ11,0))*150+193+'計算A'!BR$5*100000+IF(AND($E11=1,LE11=0),50000,0))+IF($H11=1,(IF('計算A'!BQ$117=1,INDEX('計算A'!BQ$10:BQ$54,$B11),0)+IF('計算A'!BR$117=1,INDEX('計算A'!BS$10:BS$54,$B11),0))*4000,0)-IF(AND('計算A'!BQ$117=1,WO11&gt;0),2000,0)-IF(AND($L11=1,'計算A'!BR$117=1,FQ11=0),2000,0))),1000000))</f>
        <v/>
      </c>
      <c r="QU11">
        <f>IF($B11=0,1000000,IF(INDEX('計算A'!$D$60:$EQ$104,$B11,68)*FQ11=1,IF(AND($E11=2,LF11=0),1000000,IF($I11&gt;0,IF(3=$J11,IF(OR(AND(68=$I11+1,OR($K11&lt;&gt;'計算A'!$A$3,'計算A'!$A$4=0)),AND(68=$I11-1,OR(20&lt;&gt;'計算A'!$A$3,'計算A'!$A$4=0))),0,IF(20=$K11,200000,ABS(20-$K11)*100)),100000+ABS(3-$J11)*1000+200)+'計算A'!BS$5*50+IF(AND($E11=1,LF11=0),25,0),IF($F11&gt;0,INDEX('計算A'!BS$110:BS$114,$F11+1)+IF(AND($E11=1,LF11=0),1000,0),MIN(TW11,20)*400+(IF('計算A'!BR$106=1,1-FP11,0)+IF('計算A'!BS$106=1,1-FR11,0))*150+203+'計算A'!BS$5*100000+IF(AND($E11=1,LF11=0),50000,0))+IF($H11=1,(IF('計算A'!BR$117=1,INDEX('計算A'!BR$10:BR$54,$B11),0)+IF('計算A'!BS$117=1,INDEX('計算A'!BT$10:BT$54,$B11),0))*4000,0)-IF(AND('計算A'!BR$117=1,WP11&gt;0),2000,0)-IF(AND($L11=1,'計算A'!BS$117=1,FR11=0),2000,0))),1000000))</f>
        <v/>
      </c>
      <c r="QV11">
        <f>IF($B11=0,1000000,IF(INDEX('計算A'!$D$60:$EQ$104,$B11,69)*FR11=1,IF(AND($E11=2,LG11=0),1000000,IF($I11&gt;0,IF(3=$J11,IF(OR(AND(69=$I11+1,OR($K11&lt;&gt;'計算A'!$A$3,'計算A'!$A$4=0)),AND(69=$I11-1,OR(21&lt;&gt;'計算A'!$A$3,'計算A'!$A$4=0))),0,IF(21=$K11,200000,ABS(21-$K11)*100)),100000+ABS(3-$J11)*1000+210)+'計算A'!BT$5*50+IF(AND($E11=1,LG11=0),25,0),IF($F11&gt;0,INDEX('計算A'!BT$110:BT$114,$F11+1)+IF(AND($E11=1,LG11=0),1000,0),MIN(TW11,20)*400+(IF('計算A'!BS$106=1,1-FQ11,0)+IF('計算A'!BT$106=1,1-FS11,0))*150+213+'計算A'!BT$5*100000+IF(AND($E11=1,LG11=0),50000,0))+IF($H11=1,(IF('計算A'!BS$117=1,INDEX('計算A'!BS$10:BS$54,$B11),0)+IF('計算A'!BT$117=1,INDEX('計算A'!BU$10:BU$54,$B11),0))*4000,0)-IF(AND('計算A'!BS$117=1,WQ11&gt;0),2000,0)-IF(AND($L11=1,'計算A'!BT$117=1,FS11=0),2000,0))),1000000))</f>
        <v/>
      </c>
      <c r="QW11">
        <f>IF($B11=0,1000000,IF(INDEX('計算A'!$D$60:$EQ$104,$B11,70)*FS11=1,IF(AND($E11=2,LH11=0),1000000,IF($I11&gt;0,IF(3=$J11,IF(OR(AND(70=$I11+1,OR($K11&lt;&gt;'計算A'!$A$3,'計算A'!$A$4=0)),AND(70=$I11-1,OR(22&lt;&gt;'計算A'!$A$3,'計算A'!$A$4=0))),0,IF(22=$K11,200000,ABS(22-$K11)*100)),100000+ABS(3-$J11)*1000+220)+'計算A'!BU$5*50+IF(AND($E11=1,LH11=0),25,0),IF($F11&gt;0,INDEX('計算A'!BU$110:BU$114,$F11+1)+IF(AND($E11=1,LH11=0),1000,0),MIN(TW11,20)*400+(IF('計算A'!BT$106=1,1-FR11,0)+IF('計算A'!BU$106=1,1-FT11,0))*150+223+'計算A'!BU$5*100000+IF(AND($E11=1,LH11=0),50000,0))+IF($H11=1,(IF('計算A'!BT$117=1,INDEX('計算A'!BT$10:BT$54,$B11),0)+IF('計算A'!BU$117=1,INDEX('計算A'!BV$10:BV$54,$B11),0))*4000,0)-IF(AND('計算A'!BT$117=1,WR11&gt;0),2000,0)-IF(AND($L11=1,'計算A'!BU$117=1,FT11=0),2000,0))),1000000))</f>
        <v/>
      </c>
      <c r="QX11">
        <f>IF($B11=0,1000000,IF(INDEX('計算A'!$D$60:$EQ$104,$B11,71)*FT11=1,IF(AND($E11=2,LI11=0),1000000,IF($I11&gt;0,IF(3=$J11,IF(OR(AND(71=$I11+1,OR($K11&lt;&gt;'計算A'!$A$3,'計算A'!$A$4=0)),AND(71=$I11-1,OR(23&lt;&gt;'計算A'!$A$3,'計算A'!$A$4=0))),0,IF(23=$K11,200000,ABS(23-$K11)*100)),100000+ABS(3-$J11)*1000+230)+'計算A'!BV$5*50+IF(AND($E11=1,LI11=0),25,0),IF($F11&gt;0,INDEX('計算A'!BV$110:BV$114,$F11+1)+IF(AND($E11=1,LI11=0),1000,0),MIN(TW11,20)*400+(IF('計算A'!BU$106=1,1-FS11,0)+IF('計算A'!BV$106=1,1-FU11,0))*150+233+'計算A'!BV$5*100000+IF(AND($E11=1,LI11=0),50000,0))+IF($H11=1,(IF('計算A'!BU$117=1,INDEX('計算A'!BU$10:BU$54,$B11),0)+IF('計算A'!BV$117=1,INDEX('計算A'!BW$10:BW$54,$B11),0))*4000,0)-IF(AND('計算A'!BU$117=1,WS11&gt;0),2000,0)-IF(AND($L11=1,'計算A'!BV$117=1,FU11=0),2000,0))),1000000))</f>
        <v/>
      </c>
      <c r="QY11">
        <f>IF($B11=0,1000000,IF(INDEX('計算A'!$D$60:$EQ$104,$B11,72)*FU11=1,IF(AND($E11=2,LJ11=0),1000000,IF($I11&gt;0,IF(3=$J11,IF(OR(AND(72=$I11+1,OR($K11&lt;&gt;'計算A'!$A$3,'計算A'!$A$4=0)),AND(72=$I11-1,OR(24&lt;&gt;'計算A'!$A$3,'計算A'!$A$4=0))),0,IF(24=$K11,200000,ABS(24-$K11)*100)),100000+ABS(3-$J11)*1000+240)+'計算A'!BW$5*50+IF(AND($E11=1,LJ11=0),25,0),IF($F11&gt;0,INDEX('計算A'!BW$110:BW$114,$F11+1)+IF(AND($E11=1,LJ11=0),1000,0),MIN(TW11,20)*400+(IF('計算A'!BV$106=1,1-FT11,0))*150+243+'計算A'!BW$5*100000+IF(AND($E11=1,LJ11=0),50000,0))+IF($H11=1,(IF('計算A'!BV$117=1,INDEX('計算A'!BV$10:BV$54,$B11),0))*4000,0)-IF(AND('計算A'!BV$117=1,WT11&gt;0),2000,0))),1000000))</f>
        <v/>
      </c>
      <c r="QZ11">
        <f>IF($B11=0,1000000,IF(INDEX('計算A'!$D$60:$EQ$104,$B11,73)*FV11=1,IF(AND($E11=2,LK11=0),1000000,IF($I11&gt;0,IF(4=$J11,IF(OR(AND(73=$I11+1,OR($K11&lt;&gt;'計算A'!$A$3,'計算A'!$A$4=0)),AND(73=$I11-1,OR(1&lt;&gt;'計算A'!$A$3,'計算A'!$A$4=0))),0,IF(1=$K11,200000,ABS(1-$K11)*100)),100000+ABS(4-$J11)*1000+10)+'計算A'!BX$5*50+IF(AND($E11=1,LK11=0),25,0),IF($F11&gt;0,INDEX('計算A'!BX$110:BX$114,$F11+1)+IF(AND($E11=1,LK11=0),1000,0),MIN(TX11,20)*400+(IF('計算A'!BX$106=1,1-FW11,0))*150+14+'計算A'!BX$5*100000+IF(AND($E11=1,LK11=0),50000,0))+IF($H11=1,(IF('計算A'!BX$117=1,INDEX('計算A'!BY$10:BY$54,$B11),0))*4000,0)-IF(AND($L11=1,'計算A'!BX$117=1,FW11=0),2000,0))),1000000))</f>
        <v/>
      </c>
      <c r="RA11">
        <f>IF($B11=0,1000000,IF(INDEX('計算A'!$D$60:$EQ$104,$B11,74)*FW11=1,IF(AND($E11=2,LL11=0),1000000,IF($I11&gt;0,IF(4=$J11,IF(OR(AND(74=$I11+1,OR($K11&lt;&gt;'計算A'!$A$3,'計算A'!$A$4=0)),AND(74=$I11-1,OR(2&lt;&gt;'計算A'!$A$3,'計算A'!$A$4=0))),0,IF(2=$K11,200000,ABS(2-$K11)*100)),100000+ABS(4-$J11)*1000+20)+'計算A'!BY$5*50+IF(AND($E11=1,LL11=0),25,0),IF($F11&gt;0,INDEX('計算A'!BY$110:BY$114,$F11+1)+IF(AND($E11=1,LL11=0),1000,0),MIN(TX11,20)*400+(IF('計算A'!BX$106=1,1-FV11,0)+IF('計算A'!BY$106=1,1-FX11,0))*150+24+'計算A'!BY$5*100000+IF(AND($E11=1,LL11=0),50000,0))+IF($H11=1,(IF('計算A'!BX$117=1,INDEX('計算A'!BX$10:BX$54,$B11),0)+IF('計算A'!BY$117=1,INDEX('計算A'!BZ$10:BZ$54,$B11),0))*4000,0)-IF(AND('計算A'!BX$117=1,WV11&gt;0),2000,0)-IF(AND($L11=1,'計算A'!BY$117=1,FX11=0),2000,0))),1000000))</f>
        <v/>
      </c>
      <c r="RB11">
        <f>IF($B11=0,1000000,IF(INDEX('計算A'!$D$60:$EQ$104,$B11,75)*FX11=1,IF(AND($E11=2,LM11=0),1000000,IF($I11&gt;0,IF(4=$J11,IF(OR(AND(75=$I11+1,OR($K11&lt;&gt;'計算A'!$A$3,'計算A'!$A$4=0)),AND(75=$I11-1,OR(3&lt;&gt;'計算A'!$A$3,'計算A'!$A$4=0))),0,IF(3=$K11,200000,ABS(3-$K11)*100)),100000+ABS(4-$J11)*1000+30)+'計算A'!BZ$5*50+IF(AND($E11=1,LM11=0),25,0),IF($F11&gt;0,INDEX('計算A'!BZ$110:BZ$114,$F11+1)+IF(AND($E11=1,LM11=0),1000,0),MIN(TX11,20)*400+(IF('計算A'!BY$106=1,1-FW11,0)+IF('計算A'!BZ$106=1,1-FY11,0))*150+34+'計算A'!BZ$5*100000+IF(AND($E11=1,LM11=0),50000,0))+IF($H11=1,(IF('計算A'!BY$117=1,INDEX('計算A'!BY$10:BY$54,$B11),0)+IF('計算A'!BZ$117=1,INDEX('計算A'!CA$10:CA$54,$B11),0))*4000,0)-IF(AND('計算A'!BY$117=1,WW11&gt;0),2000,0)-IF(AND($L11=1,'計算A'!BZ$117=1,FY11=0),2000,0))),1000000))</f>
        <v/>
      </c>
      <c r="RC11">
        <f>IF($B11=0,1000000,IF(INDEX('計算A'!$D$60:$EQ$104,$B11,76)*FY11=1,IF(AND($E11=2,LN11=0),1000000,IF($I11&gt;0,IF(4=$J11,IF(OR(AND(76=$I11+1,OR($K11&lt;&gt;'計算A'!$A$3,'計算A'!$A$4=0)),AND(76=$I11-1,OR(4&lt;&gt;'計算A'!$A$3,'計算A'!$A$4=0))),0,IF(4=$K11,200000,ABS(4-$K11)*100)),100000+ABS(4-$J11)*1000+40)+'計算A'!CA$5*50+IF(AND($E11=1,LN11=0),25,0),IF($F11&gt;0,INDEX('計算A'!CA$110:CA$114,$F11+1)+IF(AND($E11=1,LN11=0),1000,0),MIN(TX11,20)*400+(IF('計算A'!BZ$106=1,1-FX11,0)+IF('計算A'!CA$106=1,1-FZ11,0))*150+44+'計算A'!CA$5*100000+IF(AND($E11=1,LN11=0),50000,0))+IF($H11=1,(IF('計算A'!BZ$117=1,INDEX('計算A'!BZ$10:BZ$54,$B11),0)+IF('計算A'!CA$117=1,INDEX('計算A'!CB$10:CB$54,$B11),0))*4000,0)-IF(AND('計算A'!BZ$117=1,WX11&gt;0),2000,0)-IF(AND($L11=1,'計算A'!CA$117=1,FZ11=0),2000,0))),1000000))</f>
        <v/>
      </c>
      <c r="RD11">
        <f>IF($B11=0,1000000,IF(INDEX('計算A'!$D$60:$EQ$104,$B11,77)*FZ11=1,IF(AND($E11=2,LO11=0),1000000,IF($I11&gt;0,IF(4=$J11,IF(OR(AND(77=$I11+1,OR($K11&lt;&gt;'計算A'!$A$3,'計算A'!$A$4=0)),AND(77=$I11-1,OR(5&lt;&gt;'計算A'!$A$3,'計算A'!$A$4=0))),0,IF(5=$K11,200000,ABS(5-$K11)*100)),100000+ABS(4-$J11)*1000+50)+'計算A'!CB$5*50+IF(AND($E11=1,LO11=0),25,0),IF($F11&gt;0,INDEX('計算A'!CB$110:CB$114,$F11+1)+IF(AND($E11=1,LO11=0),1000,0),MIN(TX11,20)*400+(IF('計算A'!CA$106=1,1-FY11,0)+IF('計算A'!CB$106=1,1-GA11,0))*150+54+'計算A'!CB$5*100000+IF(AND($E11=1,LO11=0),50000,0))+IF($H11=1,(IF('計算A'!CA$117=1,INDEX('計算A'!CA$10:CA$54,$B11),0)+IF('計算A'!CB$117=1,INDEX('計算A'!CC$10:CC$54,$B11),0))*4000,0)-IF(AND('計算A'!CA$117=1,WY11&gt;0),2000,0)-IF(AND($L11=1,'計算A'!CB$117=1,GA11=0),2000,0))),1000000))</f>
        <v/>
      </c>
      <c r="RE11">
        <f>IF($B11=0,1000000,IF(INDEX('計算A'!$D$60:$EQ$104,$B11,78)*GA11=1,IF(AND($E11=2,LP11=0),1000000,IF($I11&gt;0,IF(4=$J11,IF(OR(AND(78=$I11+1,OR($K11&lt;&gt;'計算A'!$A$3,'計算A'!$A$4=0)),AND(78=$I11-1,OR(6&lt;&gt;'計算A'!$A$3,'計算A'!$A$4=0))),0,IF(6=$K11,200000,ABS(6-$K11)*100)),100000+ABS(4-$J11)*1000+60)+'計算A'!CC$5*50+IF(AND($E11=1,LP11=0),25,0),IF($F11&gt;0,INDEX('計算A'!CC$110:CC$114,$F11+1)+IF(AND($E11=1,LP11=0),1000,0),MIN(TX11,20)*400+(IF('計算A'!CB$106=1,1-FZ11,0)+IF('計算A'!CC$106=1,1-GB11,0))*150+64+'計算A'!CC$5*100000+IF(AND($E11=1,LP11=0),50000,0))+IF($H11=1,(IF('計算A'!CB$117=1,INDEX('計算A'!CB$10:CB$54,$B11),0)+IF('計算A'!CC$117=1,INDEX('計算A'!CD$10:CD$54,$B11),0))*4000,0)-IF(AND('計算A'!CB$117=1,WZ11&gt;0),2000,0)-IF(AND($L11=1,'計算A'!CC$117=1,GB11=0),2000,0))),1000000))</f>
        <v/>
      </c>
      <c r="RF11">
        <f>IF($B11=0,1000000,IF(INDEX('計算A'!$D$60:$EQ$104,$B11,79)*GB11=1,IF(AND($E11=2,LQ11=0),1000000,IF($I11&gt;0,IF(4=$J11,IF(OR(AND(79=$I11+1,OR($K11&lt;&gt;'計算A'!$A$3,'計算A'!$A$4=0)),AND(79=$I11-1,OR(7&lt;&gt;'計算A'!$A$3,'計算A'!$A$4=0))),0,IF(7=$K11,200000,ABS(7-$K11)*100)),100000+ABS(4-$J11)*1000+70)+'計算A'!CD$5*50+IF(AND($E11=1,LQ11=0),25,0),IF($F11&gt;0,INDEX('計算A'!CD$110:CD$114,$F11+1)+IF(AND($E11=1,LQ11=0),1000,0),MIN(TX11,20)*400+(IF('計算A'!CC$106=1,1-GA11,0)+IF('計算A'!CD$106=1,1-GC11,0))*150+74+'計算A'!CD$5*100000+IF(AND($E11=1,LQ11=0),50000,0))+IF($H11=1,(IF('計算A'!CC$117=1,INDEX('計算A'!CC$10:CC$54,$B11),0)+IF('計算A'!CD$117=1,INDEX('計算A'!CE$10:CE$54,$B11),0))*4000,0)-IF(AND('計算A'!CC$117=1,XA11&gt;0),2000,0)-IF(AND($L11=1,'計算A'!CD$117=1,GC11=0),2000,0))),1000000))</f>
        <v/>
      </c>
      <c r="RG11">
        <f>IF($B11=0,1000000,IF(INDEX('計算A'!$D$60:$EQ$104,$B11,80)*GC11=1,IF(AND($E11=2,LR11=0),1000000,IF($I11&gt;0,IF(4=$J11,IF(OR(AND(80=$I11+1,OR($K11&lt;&gt;'計算A'!$A$3,'計算A'!$A$4=0)),AND(80=$I11-1,OR(8&lt;&gt;'計算A'!$A$3,'計算A'!$A$4=0))),0,IF(8=$K11,200000,ABS(8-$K11)*100)),100000+ABS(4-$J11)*1000+80)+'計算A'!CE$5*50+IF(AND($E11=1,LR11=0),25,0),IF($F11&gt;0,INDEX('計算A'!CE$110:CE$114,$F11+1)+IF(AND($E11=1,LR11=0),1000,0),MIN(TX11,20)*400+(IF('計算A'!CD$106=1,1-GB11,0)+IF('計算A'!CE$106=1,1-GD11,0))*150+84+'計算A'!CE$5*100000+IF(AND($E11=1,LR11=0),50000,0))+IF($H11=1,(IF('計算A'!CD$117=1,INDEX('計算A'!CD$10:CD$54,$B11),0)+IF('計算A'!CE$117=1,INDEX('計算A'!CF$10:CF$54,$B11),0))*4000,0)-IF(AND('計算A'!CD$117=1,XB11&gt;0),2000,0)-IF(AND($L11=1,'計算A'!CE$117=1,GD11=0),2000,0))),1000000))</f>
        <v/>
      </c>
      <c r="RH11">
        <f>IF($B11=0,1000000,IF(INDEX('計算A'!$D$60:$EQ$104,$B11,81)*GD11=1,IF(AND($E11=2,LS11=0),1000000,IF($I11&gt;0,IF(4=$J11,IF(OR(AND(81=$I11+1,OR($K11&lt;&gt;'計算A'!$A$3,'計算A'!$A$4=0)),AND(81=$I11-1,OR(9&lt;&gt;'計算A'!$A$3,'計算A'!$A$4=0))),0,IF(9=$K11,200000,ABS(9-$K11)*100)),100000+ABS(4-$J11)*1000+90)+'計算A'!CF$5*50+IF(AND($E11=1,LS11=0),25,0),IF($F11&gt;0,INDEX('計算A'!CF$110:CF$114,$F11+1)+IF(AND($E11=1,LS11=0),1000,0),MIN(TX11,20)*400+(IF('計算A'!CE$106=1,1-GC11,0)+IF('計算A'!CF$106=1,1-GE11,0))*150+94+'計算A'!CF$5*100000+IF(AND($E11=1,LS11=0),50000,0))+IF($H11=1,(IF('計算A'!CE$117=1,INDEX('計算A'!CE$10:CE$54,$B11),0)+IF('計算A'!CF$117=1,INDEX('計算A'!CG$10:CG$54,$B11),0))*4000,0)-IF(AND('計算A'!CE$117=1,XC11&gt;0),2000,0)-IF(AND($L11=1,'計算A'!CF$117=1,GE11=0),2000,0))),1000000))</f>
        <v/>
      </c>
      <c r="RI11">
        <f>IF($B11=0,1000000,IF(INDEX('計算A'!$D$60:$EQ$104,$B11,82)*GE11=1,IF(AND($E11=2,LT11=0),1000000,IF($I11&gt;0,IF(4=$J11,IF(OR(AND(82=$I11+1,OR($K11&lt;&gt;'計算A'!$A$3,'計算A'!$A$4=0)),AND(82=$I11-1,OR(10&lt;&gt;'計算A'!$A$3,'計算A'!$A$4=0))),0,IF(10=$K11,200000,ABS(10-$K11)*100)),100000+ABS(4-$J11)*1000+100)+'計算A'!CG$5*50+IF(AND($E11=1,LT11=0),25,0),IF($F11&gt;0,INDEX('計算A'!CG$110:CG$114,$F11+1)+IF(AND($E11=1,LT11=0),1000,0),MIN(TX11,20)*400+(IF('計算A'!CF$106=1,1-GD11,0)+IF('計算A'!CG$106=1,1-GF11,0))*150+104+'計算A'!CG$5*100000+IF(AND($E11=1,LT11=0),50000,0))+IF($H11=1,(IF('計算A'!CF$117=1,INDEX('計算A'!CF$10:CF$54,$B11),0)+IF('計算A'!CG$117=1,INDEX('計算A'!CH$10:CH$54,$B11),0))*4000,0)-IF(AND('計算A'!CF$117=1,XD11&gt;0),2000,0)-IF(AND($L11=1,'計算A'!CG$117=1,GF11=0),2000,0))),1000000))</f>
        <v/>
      </c>
      <c r="RJ11">
        <f>IF($B11=0,1000000,IF(INDEX('計算A'!$D$60:$EQ$104,$B11,83)*GF11=1,IF(AND($E11=2,LU11=0),1000000,IF($I11&gt;0,IF(4=$J11,IF(OR(AND(83=$I11+1,OR($K11&lt;&gt;'計算A'!$A$3,'計算A'!$A$4=0)),AND(83=$I11-1,OR(11&lt;&gt;'計算A'!$A$3,'計算A'!$A$4=0))),0,IF(11=$K11,200000,ABS(11-$K11)*100)),100000+ABS(4-$J11)*1000+110)+'計算A'!CH$5*50+IF(AND($E11=1,LU11=0),25,0),IF($F11&gt;0,INDEX('計算A'!CH$110:CH$114,$F11+1)+IF(AND($E11=1,LU11=0),1000,0),MIN(TX11,20)*400+(IF('計算A'!CG$106=1,1-GE11,0)+IF('計算A'!CH$106=1,1-GG11,0))*150+114+'計算A'!CH$5*100000+IF(AND($E11=1,LU11=0),50000,0))+IF($H11=1,(IF('計算A'!CG$117=1,INDEX('計算A'!CG$10:CG$54,$B11),0)+IF('計算A'!CH$117=1,INDEX('計算A'!CI$10:CI$54,$B11),0))*4000,0)-IF(AND('計算A'!CG$117=1,XE11&gt;0),2000,0)-IF(AND($L11=1,'計算A'!CH$117=1,GG11=0),2000,0))),1000000))</f>
        <v/>
      </c>
      <c r="RK11">
        <f>IF($B11=0,1000000,IF(INDEX('計算A'!$D$60:$EQ$104,$B11,84)*GG11=1,IF(AND($E11=2,LV11=0),1000000,IF($I11&gt;0,IF(4=$J11,IF(OR(AND(84=$I11+1,OR($K11&lt;&gt;'計算A'!$A$3,'計算A'!$A$4=0)),AND(84=$I11-1,OR(12&lt;&gt;'計算A'!$A$3,'計算A'!$A$4=0))),0,IF(12=$K11,200000,ABS(12-$K11)*100)),100000+ABS(4-$J11)*1000+120)+'計算A'!CI$5*50+IF(AND($E11=1,LV11=0),25,0),IF($F11&gt;0,INDEX('計算A'!CI$110:CI$114,$F11+1)+IF(AND($E11=1,LV11=0),1000,0),MIN(TX11,20)*400+(IF('計算A'!CH$106=1,1-GF11,0)+IF('計算A'!CI$106=1,1-GH11,0))*150+124+'計算A'!CI$5*100000+IF(AND($E11=1,LV11=0),50000,0))+IF($H11=1,(IF('計算A'!CH$117=1,INDEX('計算A'!CH$10:CH$54,$B11),0)+IF('計算A'!CI$117=1,INDEX('計算A'!CJ$10:CJ$54,$B11),0))*4000,0)-IF(AND('計算A'!CH$117=1,XF11&gt;0),2000,0)-IF(AND($L11=1,'計算A'!CI$117=1,GH11=0),2000,0))),1000000))</f>
        <v/>
      </c>
      <c r="RL11">
        <f>IF($B11=0,1000000,IF(INDEX('計算A'!$D$60:$EQ$104,$B11,85)*GH11=1,IF(AND($E11=2,LW11=0),1000000,IF($I11&gt;0,IF(4=$J11,IF(OR(AND(85=$I11+1,OR($K11&lt;&gt;'計算A'!$A$3,'計算A'!$A$4=0)),AND(85=$I11-1,OR(13&lt;&gt;'計算A'!$A$3,'計算A'!$A$4=0))),0,IF(13=$K11,200000,ABS(13-$K11)*100)),100000+ABS(4-$J11)*1000+130)+'計算A'!CJ$5*50+IF(AND($E11=1,LW11=0),25,0),IF($F11&gt;0,INDEX('計算A'!CJ$110:CJ$114,$F11+1)+IF(AND($E11=1,LW11=0),1000,0),MIN(TX11,20)*400+(IF('計算A'!CI$106=1,1-GG11,0)+IF('計算A'!CJ$106=1,1-GI11,0))*150+134+'計算A'!CJ$5*100000+IF(AND($E11=1,LW11=0),50000,0))+IF($H11=1,(IF('計算A'!CI$117=1,INDEX('計算A'!CI$10:CI$54,$B11),0)+IF('計算A'!CJ$117=1,INDEX('計算A'!CK$10:CK$54,$B11),0))*4000,0)-IF(AND('計算A'!CI$117=1,XG11&gt;0),2000,0)-IF(AND($L11=1,'計算A'!CJ$117=1,GI11=0),2000,0))),1000000))</f>
        <v/>
      </c>
      <c r="RM11">
        <f>IF($B11=0,1000000,IF(INDEX('計算A'!$D$60:$EQ$104,$B11,86)*GI11=1,IF(AND($E11=2,LX11=0),1000000,IF($I11&gt;0,IF(4=$J11,IF(OR(AND(86=$I11+1,OR($K11&lt;&gt;'計算A'!$A$3,'計算A'!$A$4=0)),AND(86=$I11-1,OR(14&lt;&gt;'計算A'!$A$3,'計算A'!$A$4=0))),0,IF(14=$K11,200000,ABS(14-$K11)*100)),100000+ABS(4-$J11)*1000+140)+'計算A'!CK$5*50+IF(AND($E11=1,LX11=0),25,0),IF($F11&gt;0,INDEX('計算A'!CK$110:CK$114,$F11+1)+IF(AND($E11=1,LX11=0),1000,0),MIN(TX11,20)*400+(IF('計算A'!CJ$106=1,1-GH11,0)+IF('計算A'!CK$106=1,1-GJ11,0))*150+144+'計算A'!CK$5*100000+IF(AND($E11=1,LX11=0),50000,0))+IF($H11=1,(IF('計算A'!CJ$117=1,INDEX('計算A'!CJ$10:CJ$54,$B11),0)+IF('計算A'!CK$117=1,INDEX('計算A'!CL$10:CL$54,$B11),0))*4000,0)-IF(AND('計算A'!CJ$117=1,XH11&gt;0),2000,0)-IF(AND($L11=1,'計算A'!CK$117=1,GJ11=0),2000,0))),1000000))</f>
        <v/>
      </c>
      <c r="RN11">
        <f>IF($B11=0,1000000,IF(INDEX('計算A'!$D$60:$EQ$104,$B11,87)*GJ11=1,IF(AND($E11=2,LY11=0),1000000,IF($I11&gt;0,IF(4=$J11,IF(OR(AND(87=$I11+1,OR($K11&lt;&gt;'計算A'!$A$3,'計算A'!$A$4=0)),AND(87=$I11-1,OR(15&lt;&gt;'計算A'!$A$3,'計算A'!$A$4=0))),0,IF(15=$K11,200000,ABS(15-$K11)*100)),100000+ABS(4-$J11)*1000+150)+'計算A'!CL$5*50+IF(AND($E11=1,LY11=0),25,0),IF($F11&gt;0,INDEX('計算A'!CL$110:CL$114,$F11+1)+IF(AND($E11=1,LY11=0),1000,0),MIN(TX11,20)*400+(IF('計算A'!CK$106=1,1-GI11,0)+IF('計算A'!CL$106=1,1-GK11,0))*150+154+'計算A'!CL$5*100000+IF(AND($E11=1,LY11=0),50000,0))+IF($H11=1,(IF('計算A'!CK$117=1,INDEX('計算A'!CK$10:CK$54,$B11),0)+IF('計算A'!CL$117=1,INDEX('計算A'!CM$10:CM$54,$B11),0))*4000,0)-IF(AND('計算A'!CK$117=1,XI11&gt;0),2000,0)-IF(AND($L11=1,'計算A'!CL$117=1,GK11=0),2000,0))),1000000))</f>
        <v/>
      </c>
      <c r="RO11">
        <f>IF($B11=0,1000000,IF(INDEX('計算A'!$D$60:$EQ$104,$B11,88)*GK11=1,IF(AND($E11=2,LZ11=0),1000000,IF($I11&gt;0,IF(4=$J11,IF(OR(AND(88=$I11+1,OR($K11&lt;&gt;'計算A'!$A$3,'計算A'!$A$4=0)),AND(88=$I11-1,OR(16&lt;&gt;'計算A'!$A$3,'計算A'!$A$4=0))),0,IF(16=$K11,200000,ABS(16-$K11)*100)),100000+ABS(4-$J11)*1000+160)+'計算A'!CM$5*50+IF(AND($E11=1,LZ11=0),25,0),IF($F11&gt;0,INDEX('計算A'!CM$110:CM$114,$F11+1)+IF(AND($E11=1,LZ11=0),1000,0),MIN(TX11,20)*400+(IF('計算A'!CL$106=1,1-GJ11,0)+IF('計算A'!CM$106=1,1-GL11,0))*150+164+'計算A'!CM$5*100000+IF(AND($E11=1,LZ11=0),50000,0))+IF($H11=1,(IF('計算A'!CL$117=1,INDEX('計算A'!CL$10:CL$54,$B11),0)+IF('計算A'!CM$117=1,INDEX('計算A'!CN$10:CN$54,$B11),0))*4000,0)-IF(AND('計算A'!CL$117=1,XJ11&gt;0),2000,0)-IF(AND($L11=1,'計算A'!CM$117=1,GL11=0),2000,0))),1000000))</f>
        <v/>
      </c>
      <c r="RP11">
        <f>IF($B11=0,1000000,IF(INDEX('計算A'!$D$60:$EQ$104,$B11,89)*GL11=1,IF(AND($E11=2,MA11=0),1000000,IF($I11&gt;0,IF(4=$J11,IF(OR(AND(89=$I11+1,OR($K11&lt;&gt;'計算A'!$A$3,'計算A'!$A$4=0)),AND(89=$I11-1,OR(17&lt;&gt;'計算A'!$A$3,'計算A'!$A$4=0))),0,IF(17=$K11,200000,ABS(17-$K11)*100)),100000+ABS(4-$J11)*1000+170)+'計算A'!CN$5*50+IF(AND($E11=1,MA11=0),25,0),IF($F11&gt;0,INDEX('計算A'!CN$110:CN$114,$F11+1)+IF(AND($E11=1,MA11=0),1000,0),MIN(TX11,20)*400+(IF('計算A'!CM$106=1,1-GK11,0)+IF('計算A'!CN$106=1,1-GM11,0))*150+174+'計算A'!CN$5*100000+IF(AND($E11=1,MA11=0),50000,0))+IF($H11=1,(IF('計算A'!CM$117=1,INDEX('計算A'!CM$10:CM$54,$B11),0)+IF('計算A'!CN$117=1,INDEX('計算A'!CO$10:CO$54,$B11),0))*4000,0)-IF(AND('計算A'!CM$117=1,XK11&gt;0),2000,0)-IF(AND($L11=1,'計算A'!CN$117=1,GM11=0),2000,0))),1000000))</f>
        <v/>
      </c>
      <c r="RQ11">
        <f>IF($B11=0,1000000,IF(INDEX('計算A'!$D$60:$EQ$104,$B11,90)*GM11=1,IF(AND($E11=2,MB11=0),1000000,IF($I11&gt;0,IF(4=$J11,IF(OR(AND(90=$I11+1,OR($K11&lt;&gt;'計算A'!$A$3,'計算A'!$A$4=0)),AND(90=$I11-1,OR(18&lt;&gt;'計算A'!$A$3,'計算A'!$A$4=0))),0,IF(18=$K11,200000,ABS(18-$K11)*100)),100000+ABS(4-$J11)*1000+180)+'計算A'!CO$5*50+IF(AND($E11=1,MB11=0),25,0),IF($F11&gt;0,INDEX('計算A'!CO$110:CO$114,$F11+1)+IF(AND($E11=1,MB11=0),1000,0),MIN(TX11,20)*400+(IF('計算A'!CN$106=1,1-GL11,0)+IF('計算A'!CO$106=1,1-GN11,0))*150+184+'計算A'!CO$5*100000+IF(AND($E11=1,MB11=0),50000,0))+IF($H11=1,(IF('計算A'!CN$117=1,INDEX('計算A'!CN$10:CN$54,$B11),0)+IF('計算A'!CO$117=1,INDEX('計算A'!CP$10:CP$54,$B11),0))*4000,0)-IF(AND('計算A'!CN$117=1,XL11&gt;0),2000,0)-IF(AND($L11=1,'計算A'!CO$117=1,GN11=0),2000,0))),1000000))</f>
        <v/>
      </c>
      <c r="RR11">
        <f>IF($B11=0,1000000,IF(INDEX('計算A'!$D$60:$EQ$104,$B11,91)*GN11=1,IF(AND($E11=2,MC11=0),1000000,IF($I11&gt;0,IF(4=$J11,IF(OR(AND(91=$I11+1,OR($K11&lt;&gt;'計算A'!$A$3,'計算A'!$A$4=0)),AND(91=$I11-1,OR(19&lt;&gt;'計算A'!$A$3,'計算A'!$A$4=0))),0,IF(19=$K11,200000,ABS(19-$K11)*100)),100000+ABS(4-$J11)*1000+190)+'計算A'!CP$5*50+IF(AND($E11=1,MC11=0),25,0),IF($F11&gt;0,INDEX('計算A'!CP$110:CP$114,$F11+1)+IF(AND($E11=1,MC11=0),1000,0),MIN(TX11,20)*400+(IF('計算A'!CO$106=1,1-GM11,0)+IF('計算A'!CP$106=1,1-GO11,0))*150+194+'計算A'!CP$5*100000+IF(AND($E11=1,MC11=0),50000,0))+IF($H11=1,(IF('計算A'!CO$117=1,INDEX('計算A'!CO$10:CO$54,$B11),0)+IF('計算A'!CP$117=1,INDEX('計算A'!CQ$10:CQ$54,$B11),0))*4000,0)-IF(AND('計算A'!CO$117=1,XM11&gt;0),2000,0)-IF(AND($L11=1,'計算A'!CP$117=1,GO11=0),2000,0))),1000000))</f>
        <v/>
      </c>
      <c r="RS11">
        <f>IF($B11=0,1000000,IF(INDEX('計算A'!$D$60:$EQ$104,$B11,92)*GO11=1,IF(AND($E11=2,MD11=0),1000000,IF($I11&gt;0,IF(4=$J11,IF(OR(AND(92=$I11+1,OR($K11&lt;&gt;'計算A'!$A$3,'計算A'!$A$4=0)),AND(92=$I11-1,OR(20&lt;&gt;'計算A'!$A$3,'計算A'!$A$4=0))),0,IF(20=$K11,200000,ABS(20-$K11)*100)),100000+ABS(4-$J11)*1000+200)+'計算A'!CQ$5*50+IF(AND($E11=1,MD11=0),25,0),IF($F11&gt;0,INDEX('計算A'!CQ$110:CQ$114,$F11+1)+IF(AND($E11=1,MD11=0),1000,0),MIN(TX11,20)*400+(IF('計算A'!CP$106=1,1-GN11,0)+IF('計算A'!CQ$106=1,1-GP11,0))*150+204+'計算A'!CQ$5*100000+IF(AND($E11=1,MD11=0),50000,0))+IF($H11=1,(IF('計算A'!CP$117=1,INDEX('計算A'!CP$10:CP$54,$B11),0)+IF('計算A'!CQ$117=1,INDEX('計算A'!CR$10:CR$54,$B11),0))*4000,0)-IF(AND('計算A'!CP$117=1,XN11&gt;0),2000,0)-IF(AND($L11=1,'計算A'!CQ$117=1,GP11=0),2000,0))),1000000))</f>
        <v/>
      </c>
      <c r="RT11">
        <f>IF($B11=0,1000000,IF(INDEX('計算A'!$D$60:$EQ$104,$B11,93)*GP11=1,IF(AND($E11=2,ME11=0),1000000,IF($I11&gt;0,IF(4=$J11,IF(OR(AND(93=$I11+1,OR($K11&lt;&gt;'計算A'!$A$3,'計算A'!$A$4=0)),AND(93=$I11-1,OR(21&lt;&gt;'計算A'!$A$3,'計算A'!$A$4=0))),0,IF(21=$K11,200000,ABS(21-$K11)*100)),100000+ABS(4-$J11)*1000+210)+'計算A'!CR$5*50+IF(AND($E11=1,ME11=0),25,0),IF($F11&gt;0,INDEX('計算A'!CR$110:CR$114,$F11+1)+IF(AND($E11=1,ME11=0),1000,0),MIN(TX11,20)*400+(IF('計算A'!CQ$106=1,1-GO11,0)+IF('計算A'!CR$106=1,1-GQ11,0))*150+214+'計算A'!CR$5*100000+IF(AND($E11=1,ME11=0),50000,0))+IF($H11=1,(IF('計算A'!CQ$117=1,INDEX('計算A'!CQ$10:CQ$54,$B11),0)+IF('計算A'!CR$117=1,INDEX('計算A'!CS$10:CS$54,$B11),0))*4000,0)-IF(AND('計算A'!CQ$117=1,XO11&gt;0),2000,0)-IF(AND($L11=1,'計算A'!CR$117=1,GQ11=0),2000,0))),1000000))</f>
        <v/>
      </c>
      <c r="RU11">
        <f>IF($B11=0,1000000,IF(INDEX('計算A'!$D$60:$EQ$104,$B11,94)*GQ11=1,IF(AND($E11=2,MF11=0),1000000,IF($I11&gt;0,IF(4=$J11,IF(OR(AND(94=$I11+1,OR($K11&lt;&gt;'計算A'!$A$3,'計算A'!$A$4=0)),AND(94=$I11-1,OR(22&lt;&gt;'計算A'!$A$3,'計算A'!$A$4=0))),0,IF(22=$K11,200000,ABS(22-$K11)*100)),100000+ABS(4-$J11)*1000+220)+'計算A'!CS$5*50+IF(AND($E11=1,MF11=0),25,0),IF($F11&gt;0,INDEX('計算A'!CS$110:CS$114,$F11+1)+IF(AND($E11=1,MF11=0),1000,0),MIN(TX11,20)*400+(IF('計算A'!CR$106=1,1-GP11,0)+IF('計算A'!CS$106=1,1-GR11,0))*150+224+'計算A'!CS$5*100000+IF(AND($E11=1,MF11=0),50000,0))+IF($H11=1,(IF('計算A'!CR$117=1,INDEX('計算A'!CR$10:CR$54,$B11),0)+IF('計算A'!CS$117=1,INDEX('計算A'!CT$10:CT$54,$B11),0))*4000,0)-IF(AND('計算A'!CR$117=1,XP11&gt;0),2000,0)-IF(AND($L11=1,'計算A'!CS$117=1,GR11=0),2000,0))),1000000))</f>
        <v/>
      </c>
      <c r="RV11">
        <f>IF($B11=0,1000000,IF(INDEX('計算A'!$D$60:$EQ$104,$B11,95)*GR11=1,IF(AND($E11=2,MG11=0),1000000,IF($I11&gt;0,IF(4=$J11,IF(OR(AND(95=$I11+1,OR($K11&lt;&gt;'計算A'!$A$3,'計算A'!$A$4=0)),AND(95=$I11-1,OR(23&lt;&gt;'計算A'!$A$3,'計算A'!$A$4=0))),0,IF(23=$K11,200000,ABS(23-$K11)*100)),100000+ABS(4-$J11)*1000+230)+'計算A'!CT$5*50+IF(AND($E11=1,MG11=0),25,0),IF($F11&gt;0,INDEX('計算A'!CT$110:CT$114,$F11+1)+IF(AND($E11=1,MG11=0),1000,0),MIN(TX11,20)*400+(IF('計算A'!CS$106=1,1-GQ11,0)+IF('計算A'!CT$106=1,1-GS11,0))*150+234+'計算A'!CT$5*100000+IF(AND($E11=1,MG11=0),50000,0))+IF($H11=1,(IF('計算A'!CS$117=1,INDEX('計算A'!CS$10:CS$54,$B11),0)+IF('計算A'!CT$117=1,INDEX('計算A'!CU$10:CU$54,$B11),0))*4000,0)-IF(AND('計算A'!CS$117=1,XQ11&gt;0),2000,0)-IF(AND($L11=1,'計算A'!CT$117=1,GS11=0),2000,0))),1000000))</f>
        <v/>
      </c>
      <c r="RW11">
        <f>IF($B11=0,1000000,IF(INDEX('計算A'!$D$60:$EQ$104,$B11,96)*GS11=1,IF(AND($E11=2,MH11=0),1000000,IF($I11&gt;0,IF(4=$J11,IF(OR(AND(96=$I11+1,OR($K11&lt;&gt;'計算A'!$A$3,'計算A'!$A$4=0)),AND(96=$I11-1,OR(24&lt;&gt;'計算A'!$A$3,'計算A'!$A$4=0))),0,IF(24=$K11,200000,ABS(24-$K11)*100)),100000+ABS(4-$J11)*1000+240)+'計算A'!CU$5*50+IF(AND($E11=1,MH11=0),25,0),IF($F11&gt;0,INDEX('計算A'!CU$110:CU$114,$F11+1)+IF(AND($E11=1,MH11=0),1000,0),MIN(TX11,20)*400+(IF('計算A'!CT$106=1,1-GR11,0))*150+244+'計算A'!CU$5*100000+IF(AND($E11=1,MH11=0),50000,0))+IF($H11=1,(IF('計算A'!CT$117=1,INDEX('計算A'!CT$10:CT$54,$B11),0))*4000,0)-IF(AND('計算A'!CT$117=1,XR11&gt;0),2000,0))),1000000))</f>
        <v/>
      </c>
      <c r="RX11">
        <f>IF($B11=0,1000000,IF(INDEX('計算A'!$D$60:$EQ$104,$B11,97)*GT11=1,IF(AND($E11=2,MI11=0),1000000,IF($I11&gt;0,IF(5=$J11,IF(OR(AND(97=$I11+1,OR($K11&lt;&gt;'計算A'!$A$3,'計算A'!$A$4=0)),AND(97=$I11-1,OR(1&lt;&gt;'計算A'!$A$3,'計算A'!$A$4=0))),0,IF(1=$K11,200000,ABS(1-$K11)*100)),100000+ABS(5-$J11)*1000+10)+'計算A'!CV$5*50+IF(AND($E11=1,MI11=0),25,0),IF($F11&gt;0,INDEX('計算A'!CV$110:CV$114,$F11+1)+IF(AND($E11=1,MI11=0),1000,0),MIN(TY11,20)*400+(IF('計算A'!CV$106=1,1-GU11,0))*150+15+'計算A'!CV$5*100000+IF(AND($E11=1,MI11=0),50000,0))+IF($H11=1,(IF('計算A'!CV$117=1,INDEX('計算A'!CW$10:CW$54,$B11),0))*4000,0)-IF(AND($L11=1,'計算A'!CV$117=1,GU11=0),2000,0))),1000000))</f>
        <v/>
      </c>
      <c r="RY11">
        <f>IF($B11=0,1000000,IF(INDEX('計算A'!$D$60:$EQ$104,$B11,98)*GU11=1,IF(AND($E11=2,MJ11=0),1000000,IF($I11&gt;0,IF(5=$J11,IF(OR(AND(98=$I11+1,OR($K11&lt;&gt;'計算A'!$A$3,'計算A'!$A$4=0)),AND(98=$I11-1,OR(2&lt;&gt;'計算A'!$A$3,'計算A'!$A$4=0))),0,IF(2=$K11,200000,ABS(2-$K11)*100)),100000+ABS(5-$J11)*1000+20)+'計算A'!CW$5*50+IF(AND($E11=1,MJ11=0),25,0),IF($F11&gt;0,INDEX('計算A'!CW$110:CW$114,$F11+1)+IF(AND($E11=1,MJ11=0),1000,0),MIN(TY11,20)*400+(IF('計算A'!CV$106=1,1-GT11,0)+IF('計算A'!CW$106=1,1-GV11,0))*150+25+'計算A'!CW$5*100000+IF(AND($E11=1,MJ11=0),50000,0))+IF($H11=1,(IF('計算A'!CV$117=1,INDEX('計算A'!CV$10:CV$54,$B11),0)+IF('計算A'!CW$117=1,INDEX('計算A'!CX$10:CX$54,$B11),0))*4000,0)-IF(AND('計算A'!CV$117=1,XT11&gt;0),2000,0)-IF(AND($L11=1,'計算A'!CW$117=1,GV11=0),2000,0))),1000000))</f>
        <v/>
      </c>
      <c r="RZ11">
        <f>IF($B11=0,1000000,IF(INDEX('計算A'!$D$60:$EQ$104,$B11,99)*GV11=1,IF(AND($E11=2,MK11=0),1000000,IF($I11&gt;0,IF(5=$J11,IF(OR(AND(99=$I11+1,OR($K11&lt;&gt;'計算A'!$A$3,'計算A'!$A$4=0)),AND(99=$I11-1,OR(3&lt;&gt;'計算A'!$A$3,'計算A'!$A$4=0))),0,IF(3=$K11,200000,ABS(3-$K11)*100)),100000+ABS(5-$J11)*1000+30)+'計算A'!CX$5*50+IF(AND($E11=1,MK11=0),25,0),IF($F11&gt;0,INDEX('計算A'!CX$110:CX$114,$F11+1)+IF(AND($E11=1,MK11=0),1000,0),MIN(TY11,20)*400+(IF('計算A'!CW$106=1,1-GU11,0)+IF('計算A'!CX$106=1,1-GW11,0))*150+35+'計算A'!CX$5*100000+IF(AND($E11=1,MK11=0),50000,0))+IF($H11=1,(IF('計算A'!CW$117=1,INDEX('計算A'!CW$10:CW$54,$B11),0)+IF('計算A'!CX$117=1,INDEX('計算A'!CY$10:CY$54,$B11),0))*4000,0)-IF(AND('計算A'!CW$117=1,XU11&gt;0),2000,0)-IF(AND($L11=1,'計算A'!CX$117=1,GW11=0),2000,0))),1000000))</f>
        <v/>
      </c>
      <c r="SA11">
        <f>IF($B11=0,1000000,IF(INDEX('計算A'!$D$60:$EQ$104,$B11,100)*GW11=1,IF(AND($E11=2,ML11=0),1000000,IF($I11&gt;0,IF(5=$J11,IF(OR(AND(100=$I11+1,OR($K11&lt;&gt;'計算A'!$A$3,'計算A'!$A$4=0)),AND(100=$I11-1,OR(4&lt;&gt;'計算A'!$A$3,'計算A'!$A$4=0))),0,IF(4=$K11,200000,ABS(4-$K11)*100)),100000+ABS(5-$J11)*1000+40)+'計算A'!CY$5*50+IF(AND($E11=1,ML11=0),25,0),IF($F11&gt;0,INDEX('計算A'!CY$110:CY$114,$F11+1)+IF(AND($E11=1,ML11=0),1000,0),MIN(TY11,20)*400+(IF('計算A'!CX$106=1,1-GV11,0)+IF('計算A'!CY$106=1,1-GX11,0))*150+45+'計算A'!CY$5*100000+IF(AND($E11=1,ML11=0),50000,0))+IF($H11=1,(IF('計算A'!CX$117=1,INDEX('計算A'!CX$10:CX$54,$B11),0)+IF('計算A'!CY$117=1,INDEX('計算A'!CZ$10:CZ$54,$B11),0))*4000,0)-IF(AND('計算A'!CX$117=1,XV11&gt;0),2000,0)-IF(AND($L11=1,'計算A'!CY$117=1,GX11=0),2000,0))),1000000))</f>
        <v/>
      </c>
      <c r="SB11">
        <f>IF($B11=0,1000000,IF(INDEX('計算A'!$D$60:$EQ$104,$B11,101)*GX11=1,IF(AND($E11=2,MM11=0),1000000,IF($I11&gt;0,IF(5=$J11,IF(OR(AND(101=$I11+1,OR($K11&lt;&gt;'計算A'!$A$3,'計算A'!$A$4=0)),AND(101=$I11-1,OR(5&lt;&gt;'計算A'!$A$3,'計算A'!$A$4=0))),0,IF(5=$K11,200000,ABS(5-$K11)*100)),100000+ABS(5-$J11)*1000+50)+'計算A'!CZ$5*50+IF(AND($E11=1,MM11=0),25,0),IF($F11&gt;0,INDEX('計算A'!CZ$110:CZ$114,$F11+1)+IF(AND($E11=1,MM11=0),1000,0),MIN(TY11,20)*400+(IF('計算A'!CY$106=1,1-GW11,0)+IF('計算A'!CZ$106=1,1-GY11,0))*150+55+'計算A'!CZ$5*100000+IF(AND($E11=1,MM11=0),50000,0))+IF($H11=1,(IF('計算A'!CY$117=1,INDEX('計算A'!CY$10:CY$54,$B11),0)+IF('計算A'!CZ$117=1,INDEX('計算A'!DA$10:DA$54,$B11),0))*4000,0)-IF(AND('計算A'!CY$117=1,XW11&gt;0),2000,0)-IF(AND($L11=1,'計算A'!CZ$117=1,GY11=0),2000,0))),1000000))</f>
        <v/>
      </c>
      <c r="SC11">
        <f>IF($B11=0,1000000,IF(INDEX('計算A'!$D$60:$EQ$104,$B11,102)*GY11=1,IF(AND($E11=2,MN11=0),1000000,IF($I11&gt;0,IF(5=$J11,IF(OR(AND(102=$I11+1,OR($K11&lt;&gt;'計算A'!$A$3,'計算A'!$A$4=0)),AND(102=$I11-1,OR(6&lt;&gt;'計算A'!$A$3,'計算A'!$A$4=0))),0,IF(6=$K11,200000,ABS(6-$K11)*100)),100000+ABS(5-$J11)*1000+60)+'計算A'!DA$5*50+IF(AND($E11=1,MN11=0),25,0),IF($F11&gt;0,INDEX('計算A'!DA$110:DA$114,$F11+1)+IF(AND($E11=1,MN11=0),1000,0),MIN(TY11,20)*400+(IF('計算A'!CZ$106=1,1-GX11,0)+IF('計算A'!DA$106=1,1-GZ11,0))*150+65+'計算A'!DA$5*100000+IF(AND($E11=1,MN11=0),50000,0))+IF($H11=1,(IF('計算A'!CZ$117=1,INDEX('計算A'!CZ$10:CZ$54,$B11),0)+IF('計算A'!DA$117=1,INDEX('計算A'!DB$10:DB$54,$B11),0))*4000,0)-IF(AND('計算A'!CZ$117=1,XX11&gt;0),2000,0)-IF(AND($L11=1,'計算A'!DA$117=1,GZ11=0),2000,0))),1000000))</f>
        <v/>
      </c>
      <c r="SD11">
        <f>IF($B11=0,1000000,IF(INDEX('計算A'!$D$60:$EQ$104,$B11,103)*GZ11=1,IF(AND($E11=2,MO11=0),1000000,IF($I11&gt;0,IF(5=$J11,IF(OR(AND(103=$I11+1,OR($K11&lt;&gt;'計算A'!$A$3,'計算A'!$A$4=0)),AND(103=$I11-1,OR(7&lt;&gt;'計算A'!$A$3,'計算A'!$A$4=0))),0,IF(7=$K11,200000,ABS(7-$K11)*100)),100000+ABS(5-$J11)*1000+70)+'計算A'!DB$5*50+IF(AND($E11=1,MO11=0),25,0),IF($F11&gt;0,INDEX('計算A'!DB$110:DB$114,$F11+1)+IF(AND($E11=1,MO11=0),1000,0),MIN(TY11,20)*400+(IF('計算A'!DA$106=1,1-GY11,0)+IF('計算A'!DB$106=1,1-HA11,0))*150+75+'計算A'!DB$5*100000+IF(AND($E11=1,MO11=0),50000,0))+IF($H11=1,(IF('計算A'!DA$117=1,INDEX('計算A'!DA$10:DA$54,$B11),0)+IF('計算A'!DB$117=1,INDEX('計算A'!DC$10:DC$54,$B11),0))*4000,0)-IF(AND('計算A'!DA$117=1,XY11&gt;0),2000,0)-IF(AND($L11=1,'計算A'!DB$117=1,HA11=0),2000,0))),1000000))</f>
        <v/>
      </c>
      <c r="SE11">
        <f>IF($B11=0,1000000,IF(INDEX('計算A'!$D$60:$EQ$104,$B11,104)*HA11=1,IF(AND($E11=2,MP11=0),1000000,IF($I11&gt;0,IF(5=$J11,IF(OR(AND(104=$I11+1,OR($K11&lt;&gt;'計算A'!$A$3,'計算A'!$A$4=0)),AND(104=$I11-1,OR(8&lt;&gt;'計算A'!$A$3,'計算A'!$A$4=0))),0,IF(8=$K11,200000,ABS(8-$K11)*100)),100000+ABS(5-$J11)*1000+80)+'計算A'!DC$5*50+IF(AND($E11=1,MP11=0),25,0),IF($F11&gt;0,INDEX('計算A'!DC$110:DC$114,$F11+1)+IF(AND($E11=1,MP11=0),1000,0),MIN(TY11,20)*400+(IF('計算A'!DB$106=1,1-GZ11,0)+IF('計算A'!DC$106=1,1-HB11,0))*150+85+'計算A'!DC$5*100000+IF(AND($E11=1,MP11=0),50000,0))+IF($H11=1,(IF('計算A'!DB$117=1,INDEX('計算A'!DB$10:DB$54,$B11),0)+IF('計算A'!DC$117=1,INDEX('計算A'!DD$10:DD$54,$B11),0))*4000,0)-IF(AND('計算A'!DB$117=1,XZ11&gt;0),2000,0)-IF(AND($L11=1,'計算A'!DC$117=1,HB11=0),2000,0))),1000000))</f>
        <v/>
      </c>
      <c r="SF11">
        <f>IF($B11=0,1000000,IF(INDEX('計算A'!$D$60:$EQ$104,$B11,105)*HB11=1,IF(AND($E11=2,MQ11=0),1000000,IF($I11&gt;0,IF(5=$J11,IF(OR(AND(105=$I11+1,OR($K11&lt;&gt;'計算A'!$A$3,'計算A'!$A$4=0)),AND(105=$I11-1,OR(9&lt;&gt;'計算A'!$A$3,'計算A'!$A$4=0))),0,IF(9=$K11,200000,ABS(9-$K11)*100)),100000+ABS(5-$J11)*1000+90)+'計算A'!DD$5*50+IF(AND($E11=1,MQ11=0),25,0),IF($F11&gt;0,INDEX('計算A'!DD$110:DD$114,$F11+1)+IF(AND($E11=1,MQ11=0),1000,0),MIN(TY11,20)*400+(IF('計算A'!DC$106=1,1-HA11,0)+IF('計算A'!DD$106=1,1-HC11,0))*150+95+'計算A'!DD$5*100000+IF(AND($E11=1,MQ11=0),50000,0))+IF($H11=1,(IF('計算A'!DC$117=1,INDEX('計算A'!DC$10:DC$54,$B11),0)+IF('計算A'!DD$117=1,INDEX('計算A'!DE$10:DE$54,$B11),0))*4000,0)-IF(AND('計算A'!DC$117=1,YA11&gt;0),2000,0)-IF(AND($L11=1,'計算A'!DD$117=1,HC11=0),2000,0))),1000000))</f>
        <v/>
      </c>
      <c r="SG11">
        <f>IF($B11=0,1000000,IF(INDEX('計算A'!$D$60:$EQ$104,$B11,106)*HC11=1,IF(AND($E11=2,MR11=0),1000000,IF($I11&gt;0,IF(5=$J11,IF(OR(AND(106=$I11+1,OR($K11&lt;&gt;'計算A'!$A$3,'計算A'!$A$4=0)),AND(106=$I11-1,OR(10&lt;&gt;'計算A'!$A$3,'計算A'!$A$4=0))),0,IF(10=$K11,200000,ABS(10-$K11)*100)),100000+ABS(5-$J11)*1000+100)+'計算A'!DE$5*50+IF(AND($E11=1,MR11=0),25,0),IF($F11&gt;0,INDEX('計算A'!DE$110:DE$114,$F11+1)+IF(AND($E11=1,MR11=0),1000,0),MIN(TY11,20)*400+(IF('計算A'!DD$106=1,1-HB11,0)+IF('計算A'!DE$106=1,1-HD11,0))*150+105+'計算A'!DE$5*100000+IF(AND($E11=1,MR11=0),50000,0))+IF($H11=1,(IF('計算A'!DD$117=1,INDEX('計算A'!DD$10:DD$54,$B11),0)+IF('計算A'!DE$117=1,INDEX('計算A'!DF$10:DF$54,$B11),0))*4000,0)-IF(AND('計算A'!DD$117=1,YB11&gt;0),2000,0)-IF(AND($L11=1,'計算A'!DE$117=1,HD11=0),2000,0))),1000000))</f>
        <v/>
      </c>
      <c r="SH11">
        <f>IF($B11=0,1000000,IF(INDEX('計算A'!$D$60:$EQ$104,$B11,107)*HD11=1,IF(AND($E11=2,MS11=0),1000000,IF($I11&gt;0,IF(5=$J11,IF(OR(AND(107=$I11+1,OR($K11&lt;&gt;'計算A'!$A$3,'計算A'!$A$4=0)),AND(107=$I11-1,OR(11&lt;&gt;'計算A'!$A$3,'計算A'!$A$4=0))),0,IF(11=$K11,200000,ABS(11-$K11)*100)),100000+ABS(5-$J11)*1000+110)+'計算A'!DF$5*50+IF(AND($E11=1,MS11=0),25,0),IF($F11&gt;0,INDEX('計算A'!DF$110:DF$114,$F11+1)+IF(AND($E11=1,MS11=0),1000,0),MIN(TY11,20)*400+(IF('計算A'!DE$106=1,1-HC11,0)+IF('計算A'!DF$106=1,1-HE11,0))*150+115+'計算A'!DF$5*100000+IF(AND($E11=1,MS11=0),50000,0))+IF($H11=1,(IF('計算A'!DE$117=1,INDEX('計算A'!DE$10:DE$54,$B11),0)+IF('計算A'!DF$117=1,INDEX('計算A'!DG$10:DG$54,$B11),0))*4000,0)-IF(AND('計算A'!DE$117=1,YC11&gt;0),2000,0)-IF(AND($L11=1,'計算A'!DF$117=1,HE11=0),2000,0))),1000000))</f>
        <v/>
      </c>
      <c r="SI11">
        <f>IF($B11=0,1000000,IF(INDEX('計算A'!$D$60:$EQ$104,$B11,108)*HE11=1,IF(AND($E11=2,MT11=0),1000000,IF($I11&gt;0,IF(5=$J11,IF(OR(AND(108=$I11+1,OR($K11&lt;&gt;'計算A'!$A$3,'計算A'!$A$4=0)),AND(108=$I11-1,OR(12&lt;&gt;'計算A'!$A$3,'計算A'!$A$4=0))),0,IF(12=$K11,200000,ABS(12-$K11)*100)),100000+ABS(5-$J11)*1000+120)+'計算A'!DG$5*50+IF(AND($E11=1,MT11=0),25,0),IF($F11&gt;0,INDEX('計算A'!DG$110:DG$114,$F11+1)+IF(AND($E11=1,MT11=0),1000,0),MIN(TY11,20)*400+(IF('計算A'!DF$106=1,1-HD11,0)+IF('計算A'!DG$106=1,1-HF11,0))*150+125+'計算A'!DG$5*100000+IF(AND($E11=1,MT11=0),50000,0))+IF($H11=1,(IF('計算A'!DF$117=1,INDEX('計算A'!DF$10:DF$54,$B11),0)+IF('計算A'!DG$117=1,INDEX('計算A'!DH$10:DH$54,$B11),0))*4000,0)-IF(AND('計算A'!DF$117=1,YD11&gt;0),2000,0)-IF(AND($L11=1,'計算A'!DG$117=1,HF11=0),2000,0))),1000000))</f>
        <v/>
      </c>
      <c r="SJ11">
        <f>IF($B11=0,1000000,IF(INDEX('計算A'!$D$60:$EQ$104,$B11,109)*HF11=1,IF(AND($E11=2,MU11=0),1000000,IF($I11&gt;0,IF(5=$J11,IF(OR(AND(109=$I11+1,OR($K11&lt;&gt;'計算A'!$A$3,'計算A'!$A$4=0)),AND(109=$I11-1,OR(13&lt;&gt;'計算A'!$A$3,'計算A'!$A$4=0))),0,IF(13=$K11,200000,ABS(13-$K11)*100)),100000+ABS(5-$J11)*1000+130)+'計算A'!DH$5*50+IF(AND($E11=1,MU11=0),25,0),IF($F11&gt;0,INDEX('計算A'!DH$110:DH$114,$F11+1)+IF(AND($E11=1,MU11=0),1000,0),MIN(TY11,20)*400+(IF('計算A'!DG$106=1,1-HE11,0)+IF('計算A'!DH$106=1,1-HG11,0))*150+135+'計算A'!DH$5*100000+IF(AND($E11=1,MU11=0),50000,0))+IF($H11=1,(IF('計算A'!DG$117=1,INDEX('計算A'!DG$10:DG$54,$B11),0)+IF('計算A'!DH$117=1,INDEX('計算A'!DI$10:DI$54,$B11),0))*4000,0)-IF(AND('計算A'!DG$117=1,YE11&gt;0),2000,0)-IF(AND($L11=1,'計算A'!DH$117=1,HG11=0),2000,0))),1000000))</f>
        <v/>
      </c>
      <c r="SK11">
        <f>IF($B11=0,1000000,IF(INDEX('計算A'!$D$60:$EQ$104,$B11,110)*HG11=1,IF(AND($E11=2,MV11=0),1000000,IF($I11&gt;0,IF(5=$J11,IF(OR(AND(110=$I11+1,OR($K11&lt;&gt;'計算A'!$A$3,'計算A'!$A$4=0)),AND(110=$I11-1,OR(14&lt;&gt;'計算A'!$A$3,'計算A'!$A$4=0))),0,IF(14=$K11,200000,ABS(14-$K11)*100)),100000+ABS(5-$J11)*1000+140)+'計算A'!DI$5*50+IF(AND($E11=1,MV11=0),25,0),IF($F11&gt;0,INDEX('計算A'!DI$110:DI$114,$F11+1)+IF(AND($E11=1,MV11=0),1000,0),MIN(TY11,20)*400+(IF('計算A'!DH$106=1,1-HF11,0)+IF('計算A'!DI$106=1,1-HH11,0))*150+145+'計算A'!DI$5*100000+IF(AND($E11=1,MV11=0),50000,0))+IF($H11=1,(IF('計算A'!DH$117=1,INDEX('計算A'!DH$10:DH$54,$B11),0)+IF('計算A'!DI$117=1,INDEX('計算A'!DJ$10:DJ$54,$B11),0))*4000,0)-IF(AND('計算A'!DH$117=1,YF11&gt;0),2000,0)-IF(AND($L11=1,'計算A'!DI$117=1,HH11=0),2000,0))),1000000))</f>
        <v/>
      </c>
      <c r="SL11">
        <f>IF($B11=0,1000000,IF(INDEX('計算A'!$D$60:$EQ$104,$B11,111)*HH11=1,IF(AND($E11=2,MW11=0),1000000,IF($I11&gt;0,IF(5=$J11,IF(OR(AND(111=$I11+1,OR($K11&lt;&gt;'計算A'!$A$3,'計算A'!$A$4=0)),AND(111=$I11-1,OR(15&lt;&gt;'計算A'!$A$3,'計算A'!$A$4=0))),0,IF(15=$K11,200000,ABS(15-$K11)*100)),100000+ABS(5-$J11)*1000+150)+'計算A'!DJ$5*50+IF(AND($E11=1,MW11=0),25,0),IF($F11&gt;0,INDEX('計算A'!DJ$110:DJ$114,$F11+1)+IF(AND($E11=1,MW11=0),1000,0),MIN(TY11,20)*400+(IF('計算A'!DI$106=1,1-HG11,0)+IF('計算A'!DJ$106=1,1-HI11,0))*150+155+'計算A'!DJ$5*100000+IF(AND($E11=1,MW11=0),50000,0))+IF($H11=1,(IF('計算A'!DI$117=1,INDEX('計算A'!DI$10:DI$54,$B11),0)+IF('計算A'!DJ$117=1,INDEX('計算A'!DK$10:DK$54,$B11),0))*4000,0)-IF(AND('計算A'!DI$117=1,YG11&gt;0),2000,0)-IF(AND($L11=1,'計算A'!DJ$117=1,HI11=0),2000,0))),1000000))</f>
        <v/>
      </c>
      <c r="SM11">
        <f>IF($B11=0,1000000,IF(INDEX('計算A'!$D$60:$EQ$104,$B11,112)*HI11=1,IF(AND($E11=2,MX11=0),1000000,IF($I11&gt;0,IF(5=$J11,IF(OR(AND(112=$I11+1,OR($K11&lt;&gt;'計算A'!$A$3,'計算A'!$A$4=0)),AND(112=$I11-1,OR(16&lt;&gt;'計算A'!$A$3,'計算A'!$A$4=0))),0,IF(16=$K11,200000,ABS(16-$K11)*100)),100000+ABS(5-$J11)*1000+160)+'計算A'!DK$5*50+IF(AND($E11=1,MX11=0),25,0),IF($F11&gt;0,INDEX('計算A'!DK$110:DK$114,$F11+1)+IF(AND($E11=1,MX11=0),1000,0),MIN(TY11,20)*400+(IF('計算A'!DJ$106=1,1-HH11,0)+IF('計算A'!DK$106=1,1-HJ11,0))*150+165+'計算A'!DK$5*100000+IF(AND($E11=1,MX11=0),50000,0))+IF($H11=1,(IF('計算A'!DJ$117=1,INDEX('計算A'!DJ$10:DJ$54,$B11),0)+IF('計算A'!DK$117=1,INDEX('計算A'!DL$10:DL$54,$B11),0))*4000,0)-IF(AND('計算A'!DJ$117=1,YH11&gt;0),2000,0)-IF(AND($L11=1,'計算A'!DK$117=1,HJ11=0),2000,0))),1000000))</f>
        <v/>
      </c>
      <c r="SN11">
        <f>IF($B11=0,1000000,IF(INDEX('計算A'!$D$60:$EQ$104,$B11,113)*HJ11=1,IF(AND($E11=2,MY11=0),1000000,IF($I11&gt;0,IF(5=$J11,IF(OR(AND(113=$I11+1,OR($K11&lt;&gt;'計算A'!$A$3,'計算A'!$A$4=0)),AND(113=$I11-1,OR(17&lt;&gt;'計算A'!$A$3,'計算A'!$A$4=0))),0,IF(17=$K11,200000,ABS(17-$K11)*100)),100000+ABS(5-$J11)*1000+170)+'計算A'!DL$5*50+IF(AND($E11=1,MY11=0),25,0),IF($F11&gt;0,INDEX('計算A'!DL$110:DL$114,$F11+1)+IF(AND($E11=1,MY11=0),1000,0),MIN(TY11,20)*400+(IF('計算A'!DK$106=1,1-HI11,0)+IF('計算A'!DL$106=1,1-HK11,0))*150+175+'計算A'!DL$5*100000+IF(AND($E11=1,MY11=0),50000,0))+IF($H11=1,(IF('計算A'!DK$117=1,INDEX('計算A'!DK$10:DK$54,$B11),0)+IF('計算A'!DL$117=1,INDEX('計算A'!DM$10:DM$54,$B11),0))*4000,0)-IF(AND('計算A'!DK$117=1,YI11&gt;0),2000,0)-IF(AND($L11=1,'計算A'!DL$117=1,HK11=0),2000,0))),1000000))</f>
        <v/>
      </c>
      <c r="SO11">
        <f>IF($B11=0,1000000,IF(INDEX('計算A'!$D$60:$EQ$104,$B11,114)*HK11=1,IF(AND($E11=2,MZ11=0),1000000,IF($I11&gt;0,IF(5=$J11,IF(OR(AND(114=$I11+1,OR($K11&lt;&gt;'計算A'!$A$3,'計算A'!$A$4=0)),AND(114=$I11-1,OR(18&lt;&gt;'計算A'!$A$3,'計算A'!$A$4=0))),0,IF(18=$K11,200000,ABS(18-$K11)*100)),100000+ABS(5-$J11)*1000+180)+'計算A'!DM$5*50+IF(AND($E11=1,MZ11=0),25,0),IF($F11&gt;0,INDEX('計算A'!DM$110:DM$114,$F11+1)+IF(AND($E11=1,MZ11=0),1000,0),MIN(TY11,20)*400+(IF('計算A'!DL$106=1,1-HJ11,0)+IF('計算A'!DM$106=1,1-HL11,0))*150+185+'計算A'!DM$5*100000+IF(AND($E11=1,MZ11=0),50000,0))+IF($H11=1,(IF('計算A'!DL$117=1,INDEX('計算A'!DL$10:DL$54,$B11),0)+IF('計算A'!DM$117=1,INDEX('計算A'!DN$10:DN$54,$B11),0))*4000,0)-IF(AND('計算A'!DL$117=1,YJ11&gt;0),2000,0)-IF(AND($L11=1,'計算A'!DM$117=1,HL11=0),2000,0))),1000000))</f>
        <v/>
      </c>
      <c r="SP11">
        <f>IF($B11=0,1000000,IF(INDEX('計算A'!$D$60:$EQ$104,$B11,115)*HL11=1,IF(AND($E11=2,NA11=0),1000000,IF($I11&gt;0,IF(5=$J11,IF(OR(AND(115=$I11+1,OR($K11&lt;&gt;'計算A'!$A$3,'計算A'!$A$4=0)),AND(115=$I11-1,OR(19&lt;&gt;'計算A'!$A$3,'計算A'!$A$4=0))),0,IF(19=$K11,200000,ABS(19-$K11)*100)),100000+ABS(5-$J11)*1000+190)+'計算A'!DN$5*50+IF(AND($E11=1,NA11=0),25,0),IF($F11&gt;0,INDEX('計算A'!DN$110:DN$114,$F11+1)+IF(AND($E11=1,NA11=0),1000,0),MIN(TY11,20)*400+(IF('計算A'!DM$106=1,1-HK11,0)+IF('計算A'!DN$106=1,1-HM11,0))*150+195+'計算A'!DN$5*100000+IF(AND($E11=1,NA11=0),50000,0))+IF($H11=1,(IF('計算A'!DM$117=1,INDEX('計算A'!DM$10:DM$54,$B11),0)+IF('計算A'!DN$117=1,INDEX('計算A'!DO$10:DO$54,$B11),0))*4000,0)-IF(AND('計算A'!DM$117=1,YK11&gt;0),2000,0)-IF(AND($L11=1,'計算A'!DN$117=1,HM11=0),2000,0))),1000000))</f>
        <v/>
      </c>
      <c r="SQ11">
        <f>IF($B11=0,1000000,IF(INDEX('計算A'!$D$60:$EQ$104,$B11,116)*HM11=1,IF(AND($E11=2,NB11=0),1000000,IF($I11&gt;0,IF(5=$J11,IF(OR(AND(116=$I11+1,OR($K11&lt;&gt;'計算A'!$A$3,'計算A'!$A$4=0)),AND(116=$I11-1,OR(20&lt;&gt;'計算A'!$A$3,'計算A'!$A$4=0))),0,IF(20=$K11,200000,ABS(20-$K11)*100)),100000+ABS(5-$J11)*1000+200)+'計算A'!DO$5*50+IF(AND($E11=1,NB11=0),25,0),IF($F11&gt;0,INDEX('計算A'!DO$110:DO$114,$F11+1)+IF(AND($E11=1,NB11=0),1000,0),MIN(TY11,20)*400+(IF('計算A'!DN$106=1,1-HL11,0)+IF('計算A'!DO$106=1,1-HN11,0))*150+205+'計算A'!DO$5*100000+IF(AND($E11=1,NB11=0),50000,0))+IF($H11=1,(IF('計算A'!DN$117=1,INDEX('計算A'!DN$10:DN$54,$B11),0)+IF('計算A'!DO$117=1,INDEX('計算A'!DP$10:DP$54,$B11),0))*4000,0)-IF(AND('計算A'!DN$117=1,YL11&gt;0),2000,0)-IF(AND($L11=1,'計算A'!DO$117=1,HN11=0),2000,0))),1000000))</f>
        <v/>
      </c>
      <c r="SR11">
        <f>IF($B11=0,1000000,IF(INDEX('計算A'!$D$60:$EQ$104,$B11,117)*HN11=1,IF(AND($E11=2,NC11=0),1000000,IF($I11&gt;0,IF(5=$J11,IF(OR(AND(117=$I11+1,OR($K11&lt;&gt;'計算A'!$A$3,'計算A'!$A$4=0)),AND(117=$I11-1,OR(21&lt;&gt;'計算A'!$A$3,'計算A'!$A$4=0))),0,IF(21=$K11,200000,ABS(21-$K11)*100)),100000+ABS(5-$J11)*1000+210)+'計算A'!DP$5*50+IF(AND($E11=1,NC11=0),25,0),IF($F11&gt;0,INDEX('計算A'!DP$110:DP$114,$F11+1)+IF(AND($E11=1,NC11=0),1000,0),MIN(TY11,20)*400+(IF('計算A'!DO$106=1,1-HM11,0)+IF('計算A'!DP$106=1,1-HO11,0))*150+215+'計算A'!DP$5*100000+IF(AND($E11=1,NC11=0),50000,0))+IF($H11=1,(IF('計算A'!DO$117=1,INDEX('計算A'!DO$10:DO$54,$B11),0)+IF('計算A'!DP$117=1,INDEX('計算A'!DQ$10:DQ$54,$B11),0))*4000,0)-IF(AND('計算A'!DO$117=1,YM11&gt;0),2000,0)-IF(AND($L11=1,'計算A'!DP$117=1,HO11=0),2000,0))),1000000))</f>
        <v/>
      </c>
      <c r="SS11">
        <f>IF($B11=0,1000000,IF(INDEX('計算A'!$D$60:$EQ$104,$B11,118)*HO11=1,IF(AND($E11=2,ND11=0),1000000,IF($I11&gt;0,IF(5=$J11,IF(OR(AND(118=$I11+1,OR($K11&lt;&gt;'計算A'!$A$3,'計算A'!$A$4=0)),AND(118=$I11-1,OR(22&lt;&gt;'計算A'!$A$3,'計算A'!$A$4=0))),0,IF(22=$K11,200000,ABS(22-$K11)*100)),100000+ABS(5-$J11)*1000+220)+'計算A'!DQ$5*50+IF(AND($E11=1,ND11=0),25,0),IF($F11&gt;0,INDEX('計算A'!DQ$110:DQ$114,$F11+1)+IF(AND($E11=1,ND11=0),1000,0),MIN(TY11,20)*400+(IF('計算A'!DP$106=1,1-HN11,0)+IF('計算A'!DQ$106=1,1-HP11,0))*150+225+'計算A'!DQ$5*100000+IF(AND($E11=1,ND11=0),50000,0))+IF($H11=1,(IF('計算A'!DP$117=1,INDEX('計算A'!DP$10:DP$54,$B11),0)+IF('計算A'!DQ$117=1,INDEX('計算A'!DR$10:DR$54,$B11),0))*4000,0)-IF(AND('計算A'!DP$117=1,YN11&gt;0),2000,0)-IF(AND($L11=1,'計算A'!DQ$117=1,HP11=0),2000,0))),1000000))</f>
        <v/>
      </c>
      <c r="ST11">
        <f>IF($B11=0,1000000,IF(INDEX('計算A'!$D$60:$EQ$104,$B11,119)*HP11=1,IF(AND($E11=2,NE11=0),1000000,IF($I11&gt;0,IF(5=$J11,IF(OR(AND(119=$I11+1,OR($K11&lt;&gt;'計算A'!$A$3,'計算A'!$A$4=0)),AND(119=$I11-1,OR(23&lt;&gt;'計算A'!$A$3,'計算A'!$A$4=0))),0,IF(23=$K11,200000,ABS(23-$K11)*100)),100000+ABS(5-$J11)*1000+230)+'計算A'!DR$5*50+IF(AND($E11=1,NE11=0),25,0),IF($F11&gt;0,INDEX('計算A'!DR$110:DR$114,$F11+1)+IF(AND($E11=1,NE11=0),1000,0),MIN(TY11,20)*400+(IF('計算A'!DQ$106=1,1-HO11,0)+IF('計算A'!DR$106=1,1-HQ11,0))*150+235+'計算A'!DR$5*100000+IF(AND($E11=1,NE11=0),50000,0))+IF($H11=1,(IF('計算A'!DQ$117=1,INDEX('計算A'!DQ$10:DQ$54,$B11),0)+IF('計算A'!DR$117=1,INDEX('計算A'!DS$10:DS$54,$B11),0))*4000,0)-IF(AND('計算A'!DQ$117=1,YO11&gt;0),2000,0)-IF(AND($L11=1,'計算A'!DR$117=1,HQ11=0),2000,0))),1000000))</f>
        <v/>
      </c>
      <c r="SU11">
        <f>IF($B11=0,1000000,IF(INDEX('計算A'!$D$60:$EQ$104,$B11,120)*HQ11=1,IF(AND($E11=2,NF11=0),1000000,IF($I11&gt;0,IF(5=$J11,IF(OR(AND(120=$I11+1,OR($K11&lt;&gt;'計算A'!$A$3,'計算A'!$A$4=0)),AND(120=$I11-1,OR(24&lt;&gt;'計算A'!$A$3,'計算A'!$A$4=0))),0,IF(24=$K11,200000,ABS(24-$K11)*100)),100000+ABS(5-$J11)*1000+240)+'計算A'!DS$5*50+IF(AND($E11=1,NF11=0),25,0),IF($F11&gt;0,INDEX('計算A'!DS$110:DS$114,$F11+1)+IF(AND($E11=1,NF11=0),1000,0),MIN(TY11,20)*400+(IF('計算A'!DR$106=1,1-HP11,0))*150+245+'計算A'!DS$5*100000+IF(AND($E11=1,NF11=0),50000,0))+IF($H11=1,(IF('計算A'!DR$117=1,INDEX('計算A'!DR$10:DR$54,$B11),0))*4000,0)-IF(AND('計算A'!DR$117=1,YP11&gt;0),2000,0))),1000000))</f>
        <v/>
      </c>
      <c r="SV11">
        <f>IF($B11=0,1000000,IF(INDEX('計算A'!$D$60:$EQ$104,$B11,121)*HR11=1,IF(AND($E11=2,NG11=0),1000000,IF($I11&gt;0,IF(6=$J11,IF(OR(AND(121=$I11+1,OR($K11&lt;&gt;'計算A'!$A$3,'計算A'!$A$4=0)),AND(121=$I11-1,OR(1&lt;&gt;'計算A'!$A$3,'計算A'!$A$4=0))),0,IF(1=$K11,200000,ABS(1-$K11)*100)),100000+ABS(6-$J11)*1000+10)+'計算A'!DT$5*50+IF(AND($E11=1,NG11=0),25,0),IF($F11&gt;0,INDEX('計算A'!DT$110:DT$114,$F11+1)+IF(AND($E11=1,NG11=0),1000,0),MIN(TZ11,20)*400+(IF('計算A'!DT$106=1,1-HS11,0))*150+16+'計算A'!DT$5*100000+IF(AND($E11=1,NG11=0),50000,0))+IF($H11=1,(IF('計算A'!DT$117=1,INDEX('計算A'!DU$10:DU$54,$B11),0))*4000,0)-IF(AND($L11=1,'計算A'!DT$117=1,HS11=0),2000,0))),1000000))</f>
        <v/>
      </c>
      <c r="SW11">
        <f>IF($B11=0,1000000,IF(INDEX('計算A'!$D$60:$EQ$104,$B11,122)*HS11=1,IF(AND($E11=2,NH11=0),1000000,IF($I11&gt;0,IF(6=$J11,IF(OR(AND(122=$I11+1,OR($K11&lt;&gt;'計算A'!$A$3,'計算A'!$A$4=0)),AND(122=$I11-1,OR(2&lt;&gt;'計算A'!$A$3,'計算A'!$A$4=0))),0,IF(2=$K11,200000,ABS(2-$K11)*100)),100000+ABS(6-$J11)*1000+20)+'計算A'!DU$5*50+IF(AND($E11=1,NH11=0),25,0),IF($F11&gt;0,INDEX('計算A'!DU$110:DU$114,$F11+1)+IF(AND($E11=1,NH11=0),1000,0),MIN(TZ11,20)*400+(IF('計算A'!DT$106=1,1-HR11,0)+IF('計算A'!DU$106=1,1-HT11,0))*150+26+'計算A'!DU$5*100000+IF(AND($E11=1,NH11=0),50000,0))+IF($H11=1,(IF('計算A'!DT$117=1,INDEX('計算A'!DT$10:DT$54,$B11),0)+IF('計算A'!DU$117=1,INDEX('計算A'!DV$10:DV$54,$B11),0))*4000,0)-IF(AND('計算A'!DT$117=1,YR11&gt;0),2000,0)-IF(AND($L11=1,'計算A'!DU$117=1,HT11=0),2000,0))),1000000))</f>
        <v/>
      </c>
      <c r="SX11">
        <f>IF($B11=0,1000000,IF(INDEX('計算A'!$D$60:$EQ$104,$B11,123)*HT11=1,IF(AND($E11=2,NI11=0),1000000,IF($I11&gt;0,IF(6=$J11,IF(OR(AND(123=$I11+1,OR($K11&lt;&gt;'計算A'!$A$3,'計算A'!$A$4=0)),AND(123=$I11-1,OR(3&lt;&gt;'計算A'!$A$3,'計算A'!$A$4=0))),0,IF(3=$K11,200000,ABS(3-$K11)*100)),100000+ABS(6-$J11)*1000+30)+'計算A'!DV$5*50+IF(AND($E11=1,NI11=0),25,0),IF($F11&gt;0,INDEX('計算A'!DV$110:DV$114,$F11+1)+IF(AND($E11=1,NI11=0),1000,0),MIN(TZ11,20)*400+(IF('計算A'!DU$106=1,1-HS11,0)+IF('計算A'!DV$106=1,1-HU11,0))*150+36+'計算A'!DV$5*100000+IF(AND($E11=1,NI11=0),50000,0))+IF($H11=1,(IF('計算A'!DU$117=1,INDEX('計算A'!DU$10:DU$54,$B11),0)+IF('計算A'!DV$117=1,INDEX('計算A'!DW$10:DW$54,$B11),0))*4000,0)-IF(AND('計算A'!DU$117=1,YS11&gt;0),2000,0)-IF(AND($L11=1,'計算A'!DV$117=1,HU11=0),2000,0))),1000000))</f>
        <v/>
      </c>
      <c r="SY11">
        <f>IF($B11=0,1000000,IF(INDEX('計算A'!$D$60:$EQ$104,$B11,124)*HU11=1,IF(AND($E11=2,NJ11=0),1000000,IF($I11&gt;0,IF(6=$J11,IF(OR(AND(124=$I11+1,OR($K11&lt;&gt;'計算A'!$A$3,'計算A'!$A$4=0)),AND(124=$I11-1,OR(4&lt;&gt;'計算A'!$A$3,'計算A'!$A$4=0))),0,IF(4=$K11,200000,ABS(4-$K11)*100)),100000+ABS(6-$J11)*1000+40)+'計算A'!DW$5*50+IF(AND($E11=1,NJ11=0),25,0),IF($F11&gt;0,INDEX('計算A'!DW$110:DW$114,$F11+1)+IF(AND($E11=1,NJ11=0),1000,0),MIN(TZ11,20)*400+(IF('計算A'!DV$106=1,1-HT11,0)+IF('計算A'!DW$106=1,1-HV11,0))*150+46+'計算A'!DW$5*100000+IF(AND($E11=1,NJ11=0),50000,0))+IF($H11=1,(IF('計算A'!DV$117=1,INDEX('計算A'!DV$10:DV$54,$B11),0)+IF('計算A'!DW$117=1,INDEX('計算A'!DX$10:DX$54,$B11),0))*4000,0)-IF(AND('計算A'!DV$117=1,YT11&gt;0),2000,0)-IF(AND($L11=1,'計算A'!DW$117=1,HV11=0),2000,0))),1000000))</f>
        <v/>
      </c>
      <c r="SZ11">
        <f>IF($B11=0,1000000,IF(INDEX('計算A'!$D$60:$EQ$104,$B11,125)*HV11=1,IF(AND($E11=2,NK11=0),1000000,IF($I11&gt;0,IF(6=$J11,IF(OR(AND(125=$I11+1,OR($K11&lt;&gt;'計算A'!$A$3,'計算A'!$A$4=0)),AND(125=$I11-1,OR(5&lt;&gt;'計算A'!$A$3,'計算A'!$A$4=0))),0,IF(5=$K11,200000,ABS(5-$K11)*100)),100000+ABS(6-$J11)*1000+50)+'計算A'!DX$5*50+IF(AND($E11=1,NK11=0),25,0),IF($F11&gt;0,INDEX('計算A'!DX$110:DX$114,$F11+1)+IF(AND($E11=1,NK11=0),1000,0),MIN(TZ11,20)*400+(IF('計算A'!DW$106=1,1-HU11,0)+IF('計算A'!DX$106=1,1-HW11,0))*150+56+'計算A'!DX$5*100000+IF(AND($E11=1,NK11=0),50000,0))+IF($H11=1,(IF('計算A'!DW$117=1,INDEX('計算A'!DW$10:DW$54,$B11),0)+IF('計算A'!DX$117=1,INDEX('計算A'!DY$10:DY$54,$B11),0))*4000,0)-IF(AND('計算A'!DW$117=1,YU11&gt;0),2000,0)-IF(AND($L11=1,'計算A'!DX$117=1,HW11=0),2000,0))),1000000))</f>
        <v/>
      </c>
      <c r="TA11">
        <f>IF($B11=0,1000000,IF(INDEX('計算A'!$D$60:$EQ$104,$B11,126)*HW11=1,IF(AND($E11=2,NL11=0),1000000,IF($I11&gt;0,IF(6=$J11,IF(OR(AND(126=$I11+1,OR($K11&lt;&gt;'計算A'!$A$3,'計算A'!$A$4=0)),AND(126=$I11-1,OR(6&lt;&gt;'計算A'!$A$3,'計算A'!$A$4=0))),0,IF(6=$K11,200000,ABS(6-$K11)*100)),100000+ABS(6-$J11)*1000+60)+'計算A'!DY$5*50+IF(AND($E11=1,NL11=0),25,0),IF($F11&gt;0,INDEX('計算A'!DY$110:DY$114,$F11+1)+IF(AND($E11=1,NL11=0),1000,0),MIN(TZ11,20)*400+(IF('計算A'!DX$106=1,1-HV11,0)+IF('計算A'!DY$106=1,1-HX11,0))*150+66+'計算A'!DY$5*100000+IF(AND($E11=1,NL11=0),50000,0))+IF($H11=1,(IF('計算A'!DX$117=1,INDEX('計算A'!DX$10:DX$54,$B11),0)+IF('計算A'!DY$117=1,INDEX('計算A'!DZ$10:DZ$54,$B11),0))*4000,0)-IF(AND('計算A'!DX$117=1,YV11&gt;0),2000,0)-IF(AND($L11=1,'計算A'!DY$117=1,HX11=0),2000,0))),1000000))</f>
        <v/>
      </c>
      <c r="TB11">
        <f>IF($B11=0,1000000,IF(INDEX('計算A'!$D$60:$EQ$104,$B11,127)*HX11=1,IF(AND($E11=2,NM11=0),1000000,IF($I11&gt;0,IF(6=$J11,IF(OR(AND(127=$I11+1,OR($K11&lt;&gt;'計算A'!$A$3,'計算A'!$A$4=0)),AND(127=$I11-1,OR(7&lt;&gt;'計算A'!$A$3,'計算A'!$A$4=0))),0,IF(7=$K11,200000,ABS(7-$K11)*100)),100000+ABS(6-$J11)*1000+70)+'計算A'!DZ$5*50+IF(AND($E11=1,NM11=0),25,0),IF($F11&gt;0,INDEX('計算A'!DZ$110:DZ$114,$F11+1)+IF(AND($E11=1,NM11=0),1000,0),MIN(TZ11,20)*400+(IF('計算A'!DY$106=1,1-HW11,0)+IF('計算A'!DZ$106=1,1-HY11,0))*150+76+'計算A'!DZ$5*100000+IF(AND($E11=1,NM11=0),50000,0))+IF($H11=1,(IF('計算A'!DY$117=1,INDEX('計算A'!DY$10:DY$54,$B11),0)+IF('計算A'!DZ$117=1,INDEX('計算A'!EA$10:EA$54,$B11),0))*4000,0)-IF(AND('計算A'!DY$117=1,YW11&gt;0),2000,0)-IF(AND($L11=1,'計算A'!DZ$117=1,HY11=0),2000,0))),1000000))</f>
        <v/>
      </c>
      <c r="TC11">
        <f>IF($B11=0,1000000,IF(INDEX('計算A'!$D$60:$EQ$104,$B11,128)*HY11=1,IF(AND($E11=2,NN11=0),1000000,IF($I11&gt;0,IF(6=$J11,IF(OR(AND(128=$I11+1,OR($K11&lt;&gt;'計算A'!$A$3,'計算A'!$A$4=0)),AND(128=$I11-1,OR(8&lt;&gt;'計算A'!$A$3,'計算A'!$A$4=0))),0,IF(8=$K11,200000,ABS(8-$K11)*100)),100000+ABS(6-$J11)*1000+80)+'計算A'!EA$5*50+IF(AND($E11=1,NN11=0),25,0),IF($F11&gt;0,INDEX('計算A'!EA$110:EA$114,$F11+1)+IF(AND($E11=1,NN11=0),1000,0),MIN(TZ11,20)*400+(IF('計算A'!DZ$106=1,1-HX11,0)+IF('計算A'!EA$106=1,1-HZ11,0))*150+86+'計算A'!EA$5*100000+IF(AND($E11=1,NN11=0),50000,0))+IF($H11=1,(IF('計算A'!DZ$117=1,INDEX('計算A'!DZ$10:DZ$54,$B11),0)+IF('計算A'!EA$117=1,INDEX('計算A'!EB$10:EB$54,$B11),0))*4000,0)-IF(AND('計算A'!DZ$117=1,YX11&gt;0),2000,0)-IF(AND($L11=1,'計算A'!EA$117=1,HZ11=0),2000,0))),1000000))</f>
        <v/>
      </c>
      <c r="TD11">
        <f>IF($B11=0,1000000,IF(INDEX('計算A'!$D$60:$EQ$104,$B11,129)*HZ11=1,IF(AND($E11=2,NO11=0),1000000,IF($I11&gt;0,IF(6=$J11,IF(OR(AND(129=$I11+1,OR($K11&lt;&gt;'計算A'!$A$3,'計算A'!$A$4=0)),AND(129=$I11-1,OR(9&lt;&gt;'計算A'!$A$3,'計算A'!$A$4=0))),0,IF(9=$K11,200000,ABS(9-$K11)*100)),100000+ABS(6-$J11)*1000+90)+'計算A'!EB$5*50+IF(AND($E11=1,NO11=0),25,0),IF($F11&gt;0,INDEX('計算A'!EB$110:EB$114,$F11+1)+IF(AND($E11=1,NO11=0),1000,0),MIN(TZ11,20)*400+(IF('計算A'!EA$106=1,1-HY11,0)+IF('計算A'!EB$106=1,1-IA11,0))*150+96+'計算A'!EB$5*100000+IF(AND($E11=1,NO11=0),50000,0))+IF($H11=1,(IF('計算A'!EA$117=1,INDEX('計算A'!EA$10:EA$54,$B11),0)+IF('計算A'!EB$117=1,INDEX('計算A'!EC$10:EC$54,$B11),0))*4000,0)-IF(AND('計算A'!EA$117=1,YY11&gt;0),2000,0)-IF(AND($L11=1,'計算A'!EB$117=1,IA11=0),2000,0))),1000000))</f>
        <v/>
      </c>
      <c r="TE11">
        <f>IF($B11=0,1000000,IF(INDEX('計算A'!$D$60:$EQ$104,$B11,130)*IA11=1,IF(AND($E11=2,NP11=0),1000000,IF($I11&gt;0,IF(6=$J11,IF(OR(AND(130=$I11+1,OR($K11&lt;&gt;'計算A'!$A$3,'計算A'!$A$4=0)),AND(130=$I11-1,OR(10&lt;&gt;'計算A'!$A$3,'計算A'!$A$4=0))),0,IF(10=$K11,200000,ABS(10-$K11)*100)),100000+ABS(6-$J11)*1000+100)+'計算A'!EC$5*50+IF(AND($E11=1,NP11=0),25,0),IF($F11&gt;0,INDEX('計算A'!EC$110:EC$114,$F11+1)+IF(AND($E11=1,NP11=0),1000,0),MIN(TZ11,20)*400+(IF('計算A'!EB$106=1,1-HZ11,0)+IF('計算A'!EC$106=1,1-IB11,0))*150+106+'計算A'!EC$5*100000+IF(AND($E11=1,NP11=0),50000,0))+IF($H11=1,(IF('計算A'!EB$117=1,INDEX('計算A'!EB$10:EB$54,$B11),0)+IF('計算A'!EC$117=1,INDEX('計算A'!ED$10:ED$54,$B11),0))*4000,0)-IF(AND('計算A'!EB$117=1,YZ11&gt;0),2000,0)-IF(AND($L11=1,'計算A'!EC$117=1,IB11=0),2000,0))),1000000))</f>
        <v/>
      </c>
      <c r="TF11">
        <f>IF($B11=0,1000000,IF(INDEX('計算A'!$D$60:$EQ$104,$B11,131)*IB11=1,IF(AND($E11=2,NQ11=0),1000000,IF($I11&gt;0,IF(6=$J11,IF(OR(AND(131=$I11+1,OR($K11&lt;&gt;'計算A'!$A$3,'計算A'!$A$4=0)),AND(131=$I11-1,OR(11&lt;&gt;'計算A'!$A$3,'計算A'!$A$4=0))),0,IF(11=$K11,200000,ABS(11-$K11)*100)),100000+ABS(6-$J11)*1000+110)+'計算A'!ED$5*50+IF(AND($E11=1,NQ11=0),25,0),IF($F11&gt;0,INDEX('計算A'!ED$110:ED$114,$F11+1)+IF(AND($E11=1,NQ11=0),1000,0),MIN(TZ11,20)*400+(IF('計算A'!EC$106=1,1-IA11,0)+IF('計算A'!ED$106=1,1-IC11,0))*150+116+'計算A'!ED$5*100000+IF(AND($E11=1,NQ11=0),50000,0))+IF($H11=1,(IF('計算A'!EC$117=1,INDEX('計算A'!EC$10:EC$54,$B11),0)+IF('計算A'!ED$117=1,INDEX('計算A'!EE$10:EE$54,$B11),0))*4000,0)-IF(AND('計算A'!EC$117=1,ZA11&gt;0),2000,0)-IF(AND($L11=1,'計算A'!ED$117=1,IC11=0),2000,0))),1000000))</f>
        <v/>
      </c>
      <c r="TG11">
        <f>IF($B11=0,1000000,IF(INDEX('計算A'!$D$60:$EQ$104,$B11,132)*IC11=1,IF(AND($E11=2,NR11=0),1000000,IF($I11&gt;0,IF(6=$J11,IF(OR(AND(132=$I11+1,OR($K11&lt;&gt;'計算A'!$A$3,'計算A'!$A$4=0)),AND(132=$I11-1,OR(12&lt;&gt;'計算A'!$A$3,'計算A'!$A$4=0))),0,IF(12=$K11,200000,ABS(12-$K11)*100)),100000+ABS(6-$J11)*1000+120)+'計算A'!EE$5*50+IF(AND($E11=1,NR11=0),25,0),IF($F11&gt;0,INDEX('計算A'!EE$110:EE$114,$F11+1)+IF(AND($E11=1,NR11=0),1000,0),MIN(TZ11,20)*400+(IF('計算A'!ED$106=1,1-IB11,0)+IF('計算A'!EE$106=1,1-ID11,0))*150+126+'計算A'!EE$5*100000+IF(AND($E11=1,NR11=0),50000,0))+IF($H11=1,(IF('計算A'!ED$117=1,INDEX('計算A'!ED$10:ED$54,$B11),0)+IF('計算A'!EE$117=1,INDEX('計算A'!EF$10:EF$54,$B11),0))*4000,0)-IF(AND('計算A'!ED$117=1,ZB11&gt;0),2000,0)-IF(AND($L11=1,'計算A'!EE$117=1,ID11=0),2000,0))),1000000))</f>
        <v/>
      </c>
      <c r="TH11">
        <f>IF($B11=0,1000000,IF(INDEX('計算A'!$D$60:$EQ$104,$B11,133)*ID11=1,IF(AND($E11=2,NS11=0),1000000,IF($I11&gt;0,IF(6=$J11,IF(OR(AND(133=$I11+1,OR($K11&lt;&gt;'計算A'!$A$3,'計算A'!$A$4=0)),AND(133=$I11-1,OR(13&lt;&gt;'計算A'!$A$3,'計算A'!$A$4=0))),0,IF(13=$K11,200000,ABS(13-$K11)*100)),100000+ABS(6-$J11)*1000+130)+'計算A'!EF$5*50+IF(AND($E11=1,NS11=0),25,0),IF($F11&gt;0,INDEX('計算A'!EF$110:EF$114,$F11+1)+IF(AND($E11=1,NS11=0),1000,0),MIN(TZ11,20)*400+(IF('計算A'!EE$106=1,1-IC11,0)+IF('計算A'!EF$106=1,1-IE11,0))*150+136+'計算A'!EF$5*100000+IF(AND($E11=1,NS11=0),50000,0))+IF($H11=1,(IF('計算A'!EE$117=1,INDEX('計算A'!EE$10:EE$54,$B11),0)+IF('計算A'!EF$117=1,INDEX('計算A'!EG$10:EG$54,$B11),0))*4000,0)-IF(AND('計算A'!EE$117=1,ZC11&gt;0),2000,0)-IF(AND($L11=1,'計算A'!EF$117=1,IE11=0),2000,0))),1000000))</f>
        <v/>
      </c>
      <c r="TI11">
        <f>IF($B11=0,1000000,IF(INDEX('計算A'!$D$60:$EQ$104,$B11,134)*IE11=1,IF(AND($E11=2,NT11=0),1000000,IF($I11&gt;0,IF(6=$J11,IF(OR(AND(134=$I11+1,OR($K11&lt;&gt;'計算A'!$A$3,'計算A'!$A$4=0)),AND(134=$I11-1,OR(14&lt;&gt;'計算A'!$A$3,'計算A'!$A$4=0))),0,IF(14=$K11,200000,ABS(14-$K11)*100)),100000+ABS(6-$J11)*1000+140)+'計算A'!EG$5*50+IF(AND($E11=1,NT11=0),25,0),IF($F11&gt;0,INDEX('計算A'!EG$110:EG$114,$F11+1)+IF(AND($E11=1,NT11=0),1000,0),MIN(TZ11,20)*400+(IF('計算A'!EF$106=1,1-ID11,0)+IF('計算A'!EG$106=1,1-IF11,0))*150+146+'計算A'!EG$5*100000+IF(AND($E11=1,NT11=0),50000,0))+IF($H11=1,(IF('計算A'!EF$117=1,INDEX('計算A'!EF$10:EF$54,$B11),0)+IF('計算A'!EG$117=1,INDEX('計算A'!EH$10:EH$54,$B11),0))*4000,0)-IF(AND('計算A'!EF$117=1,ZD11&gt;0),2000,0)-IF(AND($L11=1,'計算A'!EG$117=1,IF11=0),2000,0))),1000000))</f>
        <v/>
      </c>
      <c r="TJ11">
        <f>IF($B11=0,1000000,IF(INDEX('計算A'!$D$60:$EQ$104,$B11,135)*IF11=1,IF(AND($E11=2,NU11=0),1000000,IF($I11&gt;0,IF(6=$J11,IF(OR(AND(135=$I11+1,OR($K11&lt;&gt;'計算A'!$A$3,'計算A'!$A$4=0)),AND(135=$I11-1,OR(15&lt;&gt;'計算A'!$A$3,'計算A'!$A$4=0))),0,IF(15=$K11,200000,ABS(15-$K11)*100)),100000+ABS(6-$J11)*1000+150)+'計算A'!EH$5*50+IF(AND($E11=1,NU11=0),25,0),IF($F11&gt;0,INDEX('計算A'!EH$110:EH$114,$F11+1)+IF(AND($E11=1,NU11=0),1000,0),MIN(TZ11,20)*400+(IF('計算A'!EG$106=1,1-IE11,0)+IF('計算A'!EH$106=1,1-IG11,0))*150+156+'計算A'!EH$5*100000+IF(AND($E11=1,NU11=0),50000,0))+IF($H11=1,(IF('計算A'!EG$117=1,INDEX('計算A'!EG$10:EG$54,$B11),0)+IF('計算A'!EH$117=1,INDEX('計算A'!EI$10:EI$54,$B11),0))*4000,0)-IF(AND('計算A'!EG$117=1,ZE11&gt;0),2000,0)-IF(AND($L11=1,'計算A'!EH$117=1,IG11=0),2000,0))),1000000))</f>
        <v/>
      </c>
      <c r="TK11">
        <f>IF($B11=0,1000000,IF(INDEX('計算A'!$D$60:$EQ$104,$B11,136)*IG11=1,IF(AND($E11=2,NV11=0),1000000,IF($I11&gt;0,IF(6=$J11,IF(OR(AND(136=$I11+1,OR($K11&lt;&gt;'計算A'!$A$3,'計算A'!$A$4=0)),AND(136=$I11-1,OR(16&lt;&gt;'計算A'!$A$3,'計算A'!$A$4=0))),0,IF(16=$K11,200000,ABS(16-$K11)*100)),100000+ABS(6-$J11)*1000+160)+'計算A'!EI$5*50+IF(AND($E11=1,NV11=0),25,0),IF($F11&gt;0,INDEX('計算A'!EI$110:EI$114,$F11+1)+IF(AND($E11=1,NV11=0),1000,0),MIN(TZ11,20)*400+(IF('計算A'!EH$106=1,1-IF11,0)+IF('計算A'!EI$106=1,1-IH11,0))*150+166+'計算A'!EI$5*100000+IF(AND($E11=1,NV11=0),50000,0))+IF($H11=1,(IF('計算A'!EH$117=1,INDEX('計算A'!EH$10:EH$54,$B11),0)+IF('計算A'!EI$117=1,INDEX('計算A'!EJ$10:EJ$54,$B11),0))*4000,0)-IF(AND('計算A'!EH$117=1,ZF11&gt;0),2000,0)-IF(AND($L11=1,'計算A'!EI$117=1,IH11=0),2000,0))),1000000))</f>
        <v/>
      </c>
      <c r="TL11">
        <f>IF($B11=0,1000000,IF(INDEX('計算A'!$D$60:$EQ$104,$B11,137)*IH11=1,IF(AND($E11=2,NW11=0),1000000,IF($I11&gt;0,IF(6=$J11,IF(OR(AND(137=$I11+1,OR($K11&lt;&gt;'計算A'!$A$3,'計算A'!$A$4=0)),AND(137=$I11-1,OR(17&lt;&gt;'計算A'!$A$3,'計算A'!$A$4=0))),0,IF(17=$K11,200000,ABS(17-$K11)*100)),100000+ABS(6-$J11)*1000+170)+'計算A'!EJ$5*50+IF(AND($E11=1,NW11=0),25,0),IF($F11&gt;0,INDEX('計算A'!EJ$110:EJ$114,$F11+1)+IF(AND($E11=1,NW11=0),1000,0),MIN(TZ11,20)*400+(IF('計算A'!EI$106=1,1-IG11,0)+IF('計算A'!EJ$106=1,1-II11,0))*150+176+'計算A'!EJ$5*100000+IF(AND($E11=1,NW11=0),50000,0))+IF($H11=1,(IF('計算A'!EI$117=1,INDEX('計算A'!EI$10:EI$54,$B11),0)+IF('計算A'!EJ$117=1,INDEX('計算A'!EK$10:EK$54,$B11),0))*4000,0)-IF(AND('計算A'!EI$117=1,ZG11&gt;0),2000,0)-IF(AND($L11=1,'計算A'!EJ$117=1,II11=0),2000,0))),1000000))</f>
        <v/>
      </c>
      <c r="TM11">
        <f>IF($B11=0,1000000,IF(INDEX('計算A'!$D$60:$EQ$104,$B11,138)*II11=1,IF(AND($E11=2,NX11=0),1000000,IF($I11&gt;0,IF(6=$J11,IF(OR(AND(138=$I11+1,OR($K11&lt;&gt;'計算A'!$A$3,'計算A'!$A$4=0)),AND(138=$I11-1,OR(18&lt;&gt;'計算A'!$A$3,'計算A'!$A$4=0))),0,IF(18=$K11,200000,ABS(18-$K11)*100)),100000+ABS(6-$J11)*1000+180)+'計算A'!EK$5*50+IF(AND($E11=1,NX11=0),25,0),IF($F11&gt;0,INDEX('計算A'!EK$110:EK$114,$F11+1)+IF(AND($E11=1,NX11=0),1000,0),MIN(TZ11,20)*400+(IF('計算A'!EJ$106=1,1-IH11,0)+IF('計算A'!EK$106=1,1-IJ11,0))*150+186+'計算A'!EK$5*100000+IF(AND($E11=1,NX11=0),50000,0))+IF($H11=1,(IF('計算A'!EJ$117=1,INDEX('計算A'!EJ$10:EJ$54,$B11),0)+IF('計算A'!EK$117=1,INDEX('計算A'!EL$10:EL$54,$B11),0))*4000,0)-IF(AND('計算A'!EJ$117=1,ZH11&gt;0),2000,0)-IF(AND($L11=1,'計算A'!EK$117=1,IJ11=0),2000,0))),1000000))</f>
        <v/>
      </c>
      <c r="TN11">
        <f>IF($B11=0,1000000,IF(INDEX('計算A'!$D$60:$EQ$104,$B11,139)*IJ11=1,IF(AND($E11=2,NY11=0),1000000,IF($I11&gt;0,IF(6=$J11,IF(OR(AND(139=$I11+1,OR($K11&lt;&gt;'計算A'!$A$3,'計算A'!$A$4=0)),AND(139=$I11-1,OR(19&lt;&gt;'計算A'!$A$3,'計算A'!$A$4=0))),0,IF(19=$K11,200000,ABS(19-$K11)*100)),100000+ABS(6-$J11)*1000+190)+'計算A'!EL$5*50+IF(AND($E11=1,NY11=0),25,0),IF($F11&gt;0,INDEX('計算A'!EL$110:EL$114,$F11+1)+IF(AND($E11=1,NY11=0),1000,0),MIN(TZ11,20)*400+(IF('計算A'!EK$106=1,1-II11,0)+IF('計算A'!EL$106=1,1-IK11,0))*150+196+'計算A'!EL$5*100000+IF(AND($E11=1,NY11=0),50000,0))+IF($H11=1,(IF('計算A'!EK$117=1,INDEX('計算A'!EK$10:EK$54,$B11),0)+IF('計算A'!EL$117=1,INDEX('計算A'!EM$10:EM$54,$B11),0))*4000,0)-IF(AND('計算A'!EK$117=1,ZI11&gt;0),2000,0)-IF(AND($L11=1,'計算A'!EL$117=1,IK11=0),2000,0))),1000000))</f>
        <v/>
      </c>
      <c r="TO11">
        <f>IF($B11=0,1000000,IF(INDEX('計算A'!$D$60:$EQ$104,$B11,140)*IK11=1,IF(AND($E11=2,NZ11=0),1000000,IF($I11&gt;0,IF(6=$J11,IF(OR(AND(140=$I11+1,OR($K11&lt;&gt;'計算A'!$A$3,'計算A'!$A$4=0)),AND(140=$I11-1,OR(20&lt;&gt;'計算A'!$A$3,'計算A'!$A$4=0))),0,IF(20=$K11,200000,ABS(20-$K11)*100)),100000+ABS(6-$J11)*1000+200)+'計算A'!EM$5*50+IF(AND($E11=1,NZ11=0),25,0),IF($F11&gt;0,INDEX('計算A'!EM$110:EM$114,$F11+1)+IF(AND($E11=1,NZ11=0),1000,0),MIN(TZ11,20)*400+(IF('計算A'!EL$106=1,1-IJ11,0)+IF('計算A'!EM$106=1,1-IL11,0))*150+206+'計算A'!EM$5*100000+IF(AND($E11=1,NZ11=0),50000,0))+IF($H11=1,(IF('計算A'!EL$117=1,INDEX('計算A'!EL$10:EL$54,$B11),0)+IF('計算A'!EM$117=1,INDEX('計算A'!EN$10:EN$54,$B11),0))*4000,0)-IF(AND('計算A'!EL$117=1,ZJ11&gt;0),2000,0)-IF(AND($L11=1,'計算A'!EM$117=1,IL11=0),2000,0))),1000000))</f>
        <v/>
      </c>
      <c r="TP11">
        <f>IF($B11=0,1000000,IF(INDEX('計算A'!$D$60:$EQ$104,$B11,141)*IL11=1,IF(AND($E11=2,OA11=0),1000000,IF($I11&gt;0,IF(6=$J11,IF(OR(AND(141=$I11+1,OR($K11&lt;&gt;'計算A'!$A$3,'計算A'!$A$4=0)),AND(141=$I11-1,OR(21&lt;&gt;'計算A'!$A$3,'計算A'!$A$4=0))),0,IF(21=$K11,200000,ABS(21-$K11)*100)),100000+ABS(6-$J11)*1000+210)+'計算A'!EN$5*50+IF(AND($E11=1,OA11=0),25,0),IF($F11&gt;0,INDEX('計算A'!EN$110:EN$114,$F11+1)+IF(AND($E11=1,OA11=0),1000,0),MIN(TZ11,20)*400+(IF('計算A'!EM$106=1,1-IK11,0)+IF('計算A'!EN$106=1,1-IM11,0))*150+216+'計算A'!EN$5*100000+IF(AND($E11=1,OA11=0),50000,0))+IF($H11=1,(IF('計算A'!EM$117=1,INDEX('計算A'!EM$10:EM$54,$B11),0)+IF('計算A'!EN$117=1,INDEX('計算A'!EO$10:EO$54,$B11),0))*4000,0)-IF(AND('計算A'!EM$117=1,ZK11&gt;0),2000,0)-IF(AND($L11=1,'計算A'!EN$117=1,IM11=0),2000,0))),1000000))</f>
        <v/>
      </c>
      <c r="TQ11">
        <f>IF($B11=0,1000000,IF(INDEX('計算A'!$D$60:$EQ$104,$B11,142)*IM11=1,IF(AND($E11=2,OB11=0),1000000,IF($I11&gt;0,IF(6=$J11,IF(OR(AND(142=$I11+1,OR($K11&lt;&gt;'計算A'!$A$3,'計算A'!$A$4=0)),AND(142=$I11-1,OR(22&lt;&gt;'計算A'!$A$3,'計算A'!$A$4=0))),0,IF(22=$K11,200000,ABS(22-$K11)*100)),100000+ABS(6-$J11)*1000+220)+'計算A'!EO$5*50+IF(AND($E11=1,OB11=0),25,0),IF($F11&gt;0,INDEX('計算A'!EO$110:EO$114,$F11+1)+IF(AND($E11=1,OB11=0),1000,0),MIN(TZ11,20)*400+(IF('計算A'!EN$106=1,1-IL11,0)+IF('計算A'!EO$106=1,1-IN11,0))*150+226+'計算A'!EO$5*100000+IF(AND($E11=1,OB11=0),50000,0))+IF($H11=1,(IF('計算A'!EN$117=1,INDEX('計算A'!EN$10:EN$54,$B11),0)+IF('計算A'!EO$117=1,INDEX('計算A'!EP$10:EP$54,$B11),0))*4000,0)-IF(AND('計算A'!EN$117=1,ZL11&gt;0),2000,0)-IF(AND($L11=1,'計算A'!EO$117=1,IN11=0),2000,0))),1000000))</f>
        <v/>
      </c>
      <c r="TR11">
        <f>IF($B11=0,1000000,IF(INDEX('計算A'!$D$60:$EQ$104,$B11,143)*IN11=1,IF(AND($E11=2,OC11=0),1000000,IF($I11&gt;0,IF(6=$J11,IF(OR(AND(143=$I11+1,OR($K11&lt;&gt;'計算A'!$A$3,'計算A'!$A$4=0)),AND(143=$I11-1,OR(23&lt;&gt;'計算A'!$A$3,'計算A'!$A$4=0))),0,IF(23=$K11,200000,ABS(23-$K11)*100)),100000+ABS(6-$J11)*1000+230)+'計算A'!EP$5*50+IF(AND($E11=1,OC11=0),25,0),IF($F11&gt;0,INDEX('計算A'!EP$110:EP$114,$F11+1)+IF(AND($E11=1,OC11=0),1000,0),MIN(TZ11,20)*400+(IF('計算A'!EO$106=1,1-IM11,0)+IF('計算A'!EP$106=1,1-IO11,0))*150+236+'計算A'!EP$5*100000+IF(AND($E11=1,OC11=0),50000,0))+IF($H11=1,(IF('計算A'!EO$117=1,INDEX('計算A'!EO$10:EO$54,$B11),0)+IF('計算A'!EP$117=1,INDEX('計算A'!EQ$10:EQ$54,$B11),0))*4000,0)-IF(AND('計算A'!EO$117=1,ZM11&gt;0),2000,0)-IF(AND($L11=1,'計算A'!EP$117=1,IO11=0),2000,0))),1000000))</f>
        <v/>
      </c>
      <c r="TS11">
        <f>IF($B11=0,1000000,IF(INDEX('計算A'!$D$60:$EQ$104,$B11,144)*IO11=1,IF(AND($E11=2,OD11=0),1000000,IF($I11&gt;0,IF(6=$J11,IF(OR(AND(144=$I11+1,OR($K11&lt;&gt;'計算A'!$A$3,'計算A'!$A$4=0)),AND(144=$I11-1,OR(24&lt;&gt;'計算A'!$A$3,'計算A'!$A$4=0))),0,IF(24=$K11,200000,ABS(24-$K11)*100)),100000+ABS(6-$J11)*1000+240)+'計算A'!EQ$5*50+IF(AND($E11=1,OD11=0),25,0),IF($F11&gt;0,INDEX('計算A'!EQ$110:EQ$114,$F11+1)+IF(AND($E11=1,OD11=0),1000,0),MIN(TZ11,20)*400+(IF('計算A'!EP$106=1,1-IN11,0))*150+246+'計算A'!EQ$5*100000+IF(AND($E11=1,OD11=0),50000,0))+IF($H11=1,(IF('計算A'!EP$117=1,INDEX('計算A'!EP$10:EP$54,$B11),0))*4000,0)-IF(AND('計算A'!EP$117=1,ZN11&gt;0),2000,0))),1000000))</f>
        <v/>
      </c>
      <c r="TU11">
        <f>TU10+IF($C10&gt;0,IF(INDEX('計算A'!$D$2:$EQ$2,$C10)=1,1,0),0)</f>
        <v/>
      </c>
      <c r="TV11">
        <f>TV10+IF($C10&gt;0,IF(INDEX('計算A'!$D$2:$EQ$2,$C10)=2,1,0),0)</f>
        <v/>
      </c>
      <c r="TW11">
        <f>TW10+IF($C10&gt;0,IF(INDEX('計算A'!$D$2:$EQ$2,$C10)=3,1,0),0)</f>
        <v/>
      </c>
      <c r="TX11">
        <f>TX10+IF($C10&gt;0,IF(INDEX('計算A'!$D$2:$EQ$2,$C10)=4,1,0),0)</f>
        <v/>
      </c>
      <c r="TY11">
        <f>TY10+IF($C10&gt;0,IF(INDEX('計算A'!$D$2:$EQ$2,$C10)=5,1,0),0)</f>
        <v/>
      </c>
      <c r="TZ11">
        <f>TZ10+IF($C10&gt;0,IF(INDEX('計算A'!$D$2:$EQ$2,$C10)=6,1,0),0)</f>
        <v/>
      </c>
      <c r="UB11">
        <f>UB10+IF(AND($C10=1,$L10=1),1,0)</f>
        <v/>
      </c>
      <c r="UC11">
        <f>UC10+IF(AND($C10=2,$L10=1),1,0)</f>
        <v/>
      </c>
      <c r="UD11">
        <f>UD10+IF(AND($C10=3,$L10=1),1,0)</f>
        <v/>
      </c>
      <c r="UE11">
        <f>UE10+IF(AND($C10=4,$L10=1),1,0)</f>
        <v/>
      </c>
      <c r="UF11">
        <f>UF10+IF(AND($C10=5,$L10=1),1,0)</f>
        <v/>
      </c>
      <c r="UG11">
        <f>UG10+IF(AND($C10=6,$L10=1),1,0)</f>
        <v/>
      </c>
      <c r="UH11">
        <f>UH10+IF(AND($C10=7,$L10=1),1,0)</f>
        <v/>
      </c>
      <c r="UI11">
        <f>UI10+IF(AND($C10=8,$L10=1),1,0)</f>
        <v/>
      </c>
      <c r="UJ11">
        <f>UJ10+IF(AND($C10=9,$L10=1),1,0)</f>
        <v/>
      </c>
      <c r="UK11">
        <f>UK10+IF(AND($C10=10,$L10=1),1,0)</f>
        <v/>
      </c>
      <c r="UL11">
        <f>UL10+IF(AND($C10=11,$L10=1),1,0)</f>
        <v/>
      </c>
      <c r="UM11">
        <f>UM10+IF(AND($C10=12,$L10=1),1,0)</f>
        <v/>
      </c>
      <c r="UN11">
        <f>UN10+IF(AND($C10=13,$L10=1),1,0)</f>
        <v/>
      </c>
      <c r="UO11">
        <f>UO10+IF(AND($C10=14,$L10=1),1,0)</f>
        <v/>
      </c>
      <c r="UP11">
        <f>UP10+IF(AND($C10=15,$L10=1),1,0)</f>
        <v/>
      </c>
      <c r="UQ11">
        <f>UQ10+IF(AND($C10=16,$L10=1),1,0)</f>
        <v/>
      </c>
      <c r="UR11">
        <f>UR10+IF(AND($C10=17,$L10=1),1,0)</f>
        <v/>
      </c>
      <c r="US11">
        <f>US10+IF(AND($C10=18,$L10=1),1,0)</f>
        <v/>
      </c>
      <c r="UT11">
        <f>UT10+IF(AND($C10=19,$L10=1),1,0)</f>
        <v/>
      </c>
      <c r="UU11">
        <f>UU10+IF(AND($C10=20,$L10=1),1,0)</f>
        <v/>
      </c>
      <c r="UV11">
        <f>UV10+IF(AND($C10=21,$L10=1),1,0)</f>
        <v/>
      </c>
      <c r="UW11">
        <f>UW10+IF(AND($C10=22,$L10=1),1,0)</f>
        <v/>
      </c>
      <c r="UX11">
        <f>UX10+IF(AND($C10=23,$L10=1),1,0)</f>
        <v/>
      </c>
      <c r="UY11">
        <f>UY10+IF(AND($C10=24,$L10=1),1,0)</f>
        <v/>
      </c>
      <c r="UZ11">
        <f>UZ10+IF(AND($C10=25,$L10=1),1,0)</f>
        <v/>
      </c>
      <c r="VA11">
        <f>VA10+IF(AND($C10=26,$L10=1),1,0)</f>
        <v/>
      </c>
      <c r="VB11">
        <f>VB10+IF(AND($C10=27,$L10=1),1,0)</f>
        <v/>
      </c>
      <c r="VC11">
        <f>VC10+IF(AND($C10=28,$L10=1),1,0)</f>
        <v/>
      </c>
      <c r="VD11">
        <f>VD10+IF(AND($C10=29,$L10=1),1,0)</f>
        <v/>
      </c>
      <c r="VE11">
        <f>VE10+IF(AND($C10=30,$L10=1),1,0)</f>
        <v/>
      </c>
      <c r="VF11">
        <f>VF10+IF(AND($C10=31,$L10=1),1,0)</f>
        <v/>
      </c>
      <c r="VG11">
        <f>VG10+IF(AND($C10=32,$L10=1),1,0)</f>
        <v/>
      </c>
      <c r="VH11">
        <f>VH10+IF(AND($C10=33,$L10=1),1,0)</f>
        <v/>
      </c>
      <c r="VI11">
        <f>VI10+IF(AND($C10=34,$L10=1),1,0)</f>
        <v/>
      </c>
      <c r="VJ11">
        <f>VJ10+IF(AND($C10=35,$L10=1),1,0)</f>
        <v/>
      </c>
      <c r="VK11">
        <f>VK10+IF(AND($C10=36,$L10=1),1,0)</f>
        <v/>
      </c>
      <c r="VL11">
        <f>VL10+IF(AND($C10=37,$L10=1),1,0)</f>
        <v/>
      </c>
      <c r="VM11">
        <f>VM10+IF(AND($C10=38,$L10=1),1,0)</f>
        <v/>
      </c>
      <c r="VN11">
        <f>VN10+IF(AND($C10=39,$L10=1),1,0)</f>
        <v/>
      </c>
      <c r="VO11">
        <f>VO10+IF(AND($C10=40,$L10=1),1,0)</f>
        <v/>
      </c>
      <c r="VP11">
        <f>VP10+IF(AND($C10=41,$L10=1),1,0)</f>
        <v/>
      </c>
      <c r="VQ11">
        <f>VQ10+IF(AND($C10=42,$L10=1),1,0)</f>
        <v/>
      </c>
      <c r="VR11">
        <f>VR10+IF(AND($C10=43,$L10=1),1,0)</f>
        <v/>
      </c>
      <c r="VS11">
        <f>VS10+IF(AND($C10=44,$L10=1),1,0)</f>
        <v/>
      </c>
      <c r="VT11">
        <f>VT10+IF(AND($C10=45,$L10=1),1,0)</f>
        <v/>
      </c>
      <c r="VU11">
        <f>VU10+IF(AND($C10=46,$L10=1),1,0)</f>
        <v/>
      </c>
      <c r="VV11">
        <f>VV10+IF(AND($C10=47,$L10=1),1,0)</f>
        <v/>
      </c>
      <c r="VW11">
        <f>VW10+IF(AND($C10=48,$L10=1),1,0)</f>
        <v/>
      </c>
      <c r="VX11">
        <f>VX10+IF(AND($C10=49,$L10=1),1,0)</f>
        <v/>
      </c>
      <c r="VY11">
        <f>VY10+IF(AND($C10=50,$L10=1),1,0)</f>
        <v/>
      </c>
      <c r="VZ11">
        <f>VZ10+IF(AND($C10=51,$L10=1),1,0)</f>
        <v/>
      </c>
      <c r="WA11">
        <f>WA10+IF(AND($C10=52,$L10=1),1,0)</f>
        <v/>
      </c>
      <c r="WB11">
        <f>WB10+IF(AND($C10=53,$L10=1),1,0)</f>
        <v/>
      </c>
      <c r="WC11">
        <f>WC10+IF(AND($C10=54,$L10=1),1,0)</f>
        <v/>
      </c>
      <c r="WD11">
        <f>WD10+IF(AND($C10=55,$L10=1),1,0)</f>
        <v/>
      </c>
      <c r="WE11">
        <f>WE10+IF(AND($C10=56,$L10=1),1,0)</f>
        <v/>
      </c>
      <c r="WF11">
        <f>WF10+IF(AND($C10=57,$L10=1),1,0)</f>
        <v/>
      </c>
      <c r="WG11">
        <f>WG10+IF(AND($C10=58,$L10=1),1,0)</f>
        <v/>
      </c>
      <c r="WH11">
        <f>WH10+IF(AND($C10=59,$L10=1),1,0)</f>
        <v/>
      </c>
      <c r="WI11">
        <f>WI10+IF(AND($C10=60,$L10=1),1,0)</f>
        <v/>
      </c>
      <c r="WJ11">
        <f>WJ10+IF(AND($C10=61,$L10=1),1,0)</f>
        <v/>
      </c>
      <c r="WK11">
        <f>WK10+IF(AND($C10=62,$L10=1),1,0)</f>
        <v/>
      </c>
      <c r="WL11">
        <f>WL10+IF(AND($C10=63,$L10=1),1,0)</f>
        <v/>
      </c>
      <c r="WM11">
        <f>WM10+IF(AND($C10=64,$L10=1),1,0)</f>
        <v/>
      </c>
      <c r="WN11">
        <f>WN10+IF(AND($C10=65,$L10=1),1,0)</f>
        <v/>
      </c>
      <c r="WO11">
        <f>WO10+IF(AND($C10=66,$L10=1),1,0)</f>
        <v/>
      </c>
      <c r="WP11">
        <f>WP10+IF(AND($C10=67,$L10=1),1,0)</f>
        <v/>
      </c>
      <c r="WQ11">
        <f>WQ10+IF(AND($C10=68,$L10=1),1,0)</f>
        <v/>
      </c>
      <c r="WR11">
        <f>WR10+IF(AND($C10=69,$L10=1),1,0)</f>
        <v/>
      </c>
      <c r="WS11">
        <f>WS10+IF(AND($C10=70,$L10=1),1,0)</f>
        <v/>
      </c>
      <c r="WT11">
        <f>WT10+IF(AND($C10=71,$L10=1),1,0)</f>
        <v/>
      </c>
      <c r="WU11">
        <f>WU10+IF(AND($C10=72,$L10=1),1,0)</f>
        <v/>
      </c>
      <c r="WV11">
        <f>WV10+IF(AND($C10=73,$L10=1),1,0)</f>
        <v/>
      </c>
      <c r="WW11">
        <f>WW10+IF(AND($C10=74,$L10=1),1,0)</f>
        <v/>
      </c>
      <c r="WX11">
        <f>WX10+IF(AND($C10=75,$L10=1),1,0)</f>
        <v/>
      </c>
      <c r="WY11">
        <f>WY10+IF(AND($C10=76,$L10=1),1,0)</f>
        <v/>
      </c>
      <c r="WZ11">
        <f>WZ10+IF(AND($C10=77,$L10=1),1,0)</f>
        <v/>
      </c>
      <c r="XA11">
        <f>XA10+IF(AND($C10=78,$L10=1),1,0)</f>
        <v/>
      </c>
      <c r="XB11">
        <f>XB10+IF(AND($C10=79,$L10=1),1,0)</f>
        <v/>
      </c>
      <c r="XC11">
        <f>XC10+IF(AND($C10=80,$L10=1),1,0)</f>
        <v/>
      </c>
      <c r="XD11">
        <f>XD10+IF(AND($C10=81,$L10=1),1,0)</f>
        <v/>
      </c>
      <c r="XE11">
        <f>XE10+IF(AND($C10=82,$L10=1),1,0)</f>
        <v/>
      </c>
      <c r="XF11">
        <f>XF10+IF(AND($C10=83,$L10=1),1,0)</f>
        <v/>
      </c>
      <c r="XG11">
        <f>XG10+IF(AND($C10=84,$L10=1),1,0)</f>
        <v/>
      </c>
      <c r="XH11">
        <f>XH10+IF(AND($C10=85,$L10=1),1,0)</f>
        <v/>
      </c>
      <c r="XI11">
        <f>XI10+IF(AND($C10=86,$L10=1),1,0)</f>
        <v/>
      </c>
      <c r="XJ11">
        <f>XJ10+IF(AND($C10=87,$L10=1),1,0)</f>
        <v/>
      </c>
      <c r="XK11">
        <f>XK10+IF(AND($C10=88,$L10=1),1,0)</f>
        <v/>
      </c>
      <c r="XL11">
        <f>XL10+IF(AND($C10=89,$L10=1),1,0)</f>
        <v/>
      </c>
      <c r="XM11">
        <f>XM10+IF(AND($C10=90,$L10=1),1,0)</f>
        <v/>
      </c>
      <c r="XN11">
        <f>XN10+IF(AND($C10=91,$L10=1),1,0)</f>
        <v/>
      </c>
      <c r="XO11">
        <f>XO10+IF(AND($C10=92,$L10=1),1,0)</f>
        <v/>
      </c>
      <c r="XP11">
        <f>XP10+IF(AND($C10=93,$L10=1),1,0)</f>
        <v/>
      </c>
      <c r="XQ11">
        <f>XQ10+IF(AND($C10=94,$L10=1),1,0)</f>
        <v/>
      </c>
      <c r="XR11">
        <f>XR10+IF(AND($C10=95,$L10=1),1,0)</f>
        <v/>
      </c>
      <c r="XS11">
        <f>XS10+IF(AND($C10=96,$L10=1),1,0)</f>
        <v/>
      </c>
      <c r="XT11">
        <f>XT10+IF(AND($C10=97,$L10=1),1,0)</f>
        <v/>
      </c>
      <c r="XU11">
        <f>XU10+IF(AND($C10=98,$L10=1),1,0)</f>
        <v/>
      </c>
      <c r="XV11">
        <f>XV10+IF(AND($C10=99,$L10=1),1,0)</f>
        <v/>
      </c>
      <c r="XW11">
        <f>XW10+IF(AND($C10=100,$L10=1),1,0)</f>
        <v/>
      </c>
      <c r="XX11">
        <f>XX10+IF(AND($C10=101,$L10=1),1,0)</f>
        <v/>
      </c>
      <c r="XY11">
        <f>XY10+IF(AND($C10=102,$L10=1),1,0)</f>
        <v/>
      </c>
      <c r="XZ11">
        <f>XZ10+IF(AND($C10=103,$L10=1),1,0)</f>
        <v/>
      </c>
      <c r="YA11">
        <f>YA10+IF(AND($C10=104,$L10=1),1,0)</f>
        <v/>
      </c>
      <c r="YB11">
        <f>YB10+IF(AND($C10=105,$L10=1),1,0)</f>
        <v/>
      </c>
      <c r="YC11">
        <f>YC10+IF(AND($C10=106,$L10=1),1,0)</f>
        <v/>
      </c>
      <c r="YD11">
        <f>YD10+IF(AND($C10=107,$L10=1),1,0)</f>
        <v/>
      </c>
      <c r="YE11">
        <f>YE10+IF(AND($C10=108,$L10=1),1,0)</f>
        <v/>
      </c>
      <c r="YF11">
        <f>YF10+IF(AND($C10=109,$L10=1),1,0)</f>
        <v/>
      </c>
      <c r="YG11">
        <f>YG10+IF(AND($C10=110,$L10=1),1,0)</f>
        <v/>
      </c>
      <c r="YH11">
        <f>YH10+IF(AND($C10=111,$L10=1),1,0)</f>
        <v/>
      </c>
      <c r="YI11">
        <f>YI10+IF(AND($C10=112,$L10=1),1,0)</f>
        <v/>
      </c>
      <c r="YJ11">
        <f>YJ10+IF(AND($C10=113,$L10=1),1,0)</f>
        <v/>
      </c>
      <c r="YK11">
        <f>YK10+IF(AND($C10=114,$L10=1),1,0)</f>
        <v/>
      </c>
      <c r="YL11">
        <f>YL10+IF(AND($C10=115,$L10=1),1,0)</f>
        <v/>
      </c>
      <c r="YM11">
        <f>YM10+IF(AND($C10=116,$L10=1),1,0)</f>
        <v/>
      </c>
      <c r="YN11">
        <f>YN10+IF(AND($C10=117,$L10=1),1,0)</f>
        <v/>
      </c>
      <c r="YO11">
        <f>YO10+IF(AND($C10=118,$L10=1),1,0)</f>
        <v/>
      </c>
      <c r="YP11">
        <f>YP10+IF(AND($C10=119,$L10=1),1,0)</f>
        <v/>
      </c>
      <c r="YQ11">
        <f>YQ10+IF(AND($C10=120,$L10=1),1,0)</f>
        <v/>
      </c>
      <c r="YR11">
        <f>YR10+IF(AND($C10=121,$L10=1),1,0)</f>
        <v/>
      </c>
      <c r="YS11">
        <f>YS10+IF(AND($C10=122,$L10=1),1,0)</f>
        <v/>
      </c>
      <c r="YT11">
        <f>YT10+IF(AND($C10=123,$L10=1),1,0)</f>
        <v/>
      </c>
      <c r="YU11">
        <f>YU10+IF(AND($C10=124,$L10=1),1,0)</f>
        <v/>
      </c>
      <c r="YV11">
        <f>YV10+IF(AND($C10=125,$L10=1),1,0)</f>
        <v/>
      </c>
      <c r="YW11">
        <f>YW10+IF(AND($C10=126,$L10=1),1,0)</f>
        <v/>
      </c>
      <c r="YX11">
        <f>YX10+IF(AND($C10=127,$L10=1),1,0)</f>
        <v/>
      </c>
      <c r="YY11">
        <f>YY10+IF(AND($C10=128,$L10=1),1,0)</f>
        <v/>
      </c>
      <c r="YZ11">
        <f>YZ10+IF(AND($C10=129,$L10=1),1,0)</f>
        <v/>
      </c>
      <c r="ZA11">
        <f>ZA10+IF(AND($C10=130,$L10=1),1,0)</f>
        <v/>
      </c>
      <c r="ZB11">
        <f>ZB10+IF(AND($C10=131,$L10=1),1,0)</f>
        <v/>
      </c>
      <c r="ZC11">
        <f>ZC10+IF(AND($C10=132,$L10=1),1,0)</f>
        <v/>
      </c>
      <c r="ZD11">
        <f>ZD10+IF(AND($C10=133,$L10=1),1,0)</f>
        <v/>
      </c>
      <c r="ZE11">
        <f>ZE10+IF(AND($C10=134,$L10=1),1,0)</f>
        <v/>
      </c>
      <c r="ZF11">
        <f>ZF10+IF(AND($C10=135,$L10=1),1,0)</f>
        <v/>
      </c>
      <c r="ZG11">
        <f>ZG10+IF(AND($C10=136,$L10=1),1,0)</f>
        <v/>
      </c>
      <c r="ZH11">
        <f>ZH10+IF(AND($C10=137,$L10=1),1,0)</f>
        <v/>
      </c>
      <c r="ZI11">
        <f>ZI10+IF(AND($C10=138,$L10=1),1,0)</f>
        <v/>
      </c>
      <c r="ZJ11">
        <f>ZJ10+IF(AND($C10=139,$L10=1),1,0)</f>
        <v/>
      </c>
      <c r="ZK11">
        <f>ZK10+IF(AND($C10=140,$L10=1),1,0)</f>
        <v/>
      </c>
      <c r="ZL11">
        <f>ZL10+IF(AND($C10=141,$L10=1),1,0)</f>
        <v/>
      </c>
      <c r="ZM11">
        <f>ZM10+IF(AND($C10=142,$L10=1),1,0)</f>
        <v/>
      </c>
      <c r="ZN11">
        <f>ZN10+IF(AND($C10=143,$L10=1),1,0)</f>
        <v/>
      </c>
      <c r="ZO11">
        <f>ZO10+IF(AND($C10=144,$L10=1),1,0)</f>
        <v/>
      </c>
    </row>
    <row r="12">
      <c r="A12" t="n">
        <v>10</v>
      </c>
      <c r="B12">
        <f>IF(MIN(BH12:CZ12)&gt;=1000000,0,MATCH(MIN(BH12:CZ12),BH12:CZ12,0))</f>
        <v/>
      </c>
      <c r="C12">
        <f>IF(MIN(OF12:TS12)&gt;=1000000,0,MATCH(MIN(OF12:TS12),OF12:TS12,0))</f>
        <v/>
      </c>
      <c r="D12">
        <f>IF(C12&gt;0,INDEX('計算A'!$D$5:$EQ$5,C12),0)</f>
        <v/>
      </c>
      <c r="E12">
        <f>IF(B12=0,0,INDEX('計算A'!$IQ$10:$IQ$54,B12))</f>
        <v/>
      </c>
      <c r="F12">
        <f>IF(B12=0,0,INDEX('計算A'!$IP$10:$IP$54,B12))</f>
        <v/>
      </c>
      <c r="G12">
        <f>IF(AND(C12&gt;0,E12&gt;0),IF(AND(INDEX('計算A'!$D$106:$EQ$106,C12)=1,INDEX($IQ12:$OD12,C12)=1),C12+1,0),0)</f>
        <v/>
      </c>
      <c r="H12">
        <f>IF(B12=0,0,INDEX('計算A'!$IW$10:$IW$54,B12))</f>
        <v/>
      </c>
      <c r="I12">
        <f>IF(B12=0,0,MAX(0,INDEX('計算A'!$IT$10:$IT$54,B12)))</f>
        <v/>
      </c>
      <c r="J12">
        <f>IF(I12=0,0,INDEX('計算A'!$D$2:$EQ$2,I12))</f>
        <v/>
      </c>
      <c r="K12">
        <f>IF(I12=0,0,INDEX('計算A'!$D$3:$EQ$3,I12))</f>
        <v/>
      </c>
      <c r="L12">
        <f>IF(B12=0,0,INDEX('計算A'!$IX$10:$IX$54,B12))</f>
        <v/>
      </c>
      <c r="N12">
        <f>MAX(N11,IF($B11=1,1,0))</f>
        <v/>
      </c>
      <c r="O12">
        <f>MAX(O11,IF($B11=2,1,0))</f>
        <v/>
      </c>
      <c r="P12">
        <f>MAX(P11,IF($B11=3,1,0))</f>
        <v/>
      </c>
      <c r="Q12">
        <f>MAX(Q11,IF($B11=4,1,0))</f>
        <v/>
      </c>
      <c r="R12">
        <f>MAX(R11,IF($B11=5,1,0))</f>
        <v/>
      </c>
      <c r="S12">
        <f>MAX(S11,IF($B11=6,1,0))</f>
        <v/>
      </c>
      <c r="T12">
        <f>MAX(T11,IF($B11=7,1,0))</f>
        <v/>
      </c>
      <c r="U12">
        <f>MAX(U11,IF($B11=8,1,0))</f>
        <v/>
      </c>
      <c r="V12">
        <f>MAX(V11,IF($B11=9,1,0))</f>
        <v/>
      </c>
      <c r="W12">
        <f>MAX(W11,IF($B11=10,1,0))</f>
        <v/>
      </c>
      <c r="X12">
        <f>MAX(X11,IF($B11=11,1,0))</f>
        <v/>
      </c>
      <c r="Y12">
        <f>MAX(Y11,IF($B11=12,1,0))</f>
        <v/>
      </c>
      <c r="Z12">
        <f>MAX(Z11,IF($B11=13,1,0))</f>
        <v/>
      </c>
      <c r="AA12">
        <f>MAX(AA11,IF($B11=14,1,0))</f>
        <v/>
      </c>
      <c r="AB12">
        <f>MAX(AB11,IF($B11=15,1,0))</f>
        <v/>
      </c>
      <c r="AC12">
        <f>MAX(AC11,IF($B11=16,1,0))</f>
        <v/>
      </c>
      <c r="AD12">
        <f>MAX(AD11,IF($B11=17,1,0))</f>
        <v/>
      </c>
      <c r="AE12">
        <f>MAX(AE11,IF($B11=18,1,0))</f>
        <v/>
      </c>
      <c r="AF12">
        <f>MAX(AF11,IF($B11=19,1,0))</f>
        <v/>
      </c>
      <c r="AG12">
        <f>MAX(AG11,IF($B11=20,1,0))</f>
        <v/>
      </c>
      <c r="AH12">
        <f>MAX(AH11,IF($B11=21,1,0))</f>
        <v/>
      </c>
      <c r="AI12">
        <f>MAX(AI11,IF($B11=22,1,0))</f>
        <v/>
      </c>
      <c r="AJ12">
        <f>MAX(AJ11,IF($B11=23,1,0))</f>
        <v/>
      </c>
      <c r="AK12">
        <f>MAX(AK11,IF($B11=24,1,0))</f>
        <v/>
      </c>
      <c r="AL12">
        <f>MAX(AL11,IF($B11=25,1,0))</f>
        <v/>
      </c>
      <c r="AM12">
        <f>MAX(AM11,IF($B11=26,1,0))</f>
        <v/>
      </c>
      <c r="AN12">
        <f>MAX(AN11,IF($B11=27,1,0))</f>
        <v/>
      </c>
      <c r="AO12">
        <f>MAX(AO11,IF($B11=28,1,0))</f>
        <v/>
      </c>
      <c r="AP12">
        <f>MAX(AP11,IF($B11=29,1,0))</f>
        <v/>
      </c>
      <c r="AQ12">
        <f>MAX(AQ11,IF($B11=30,1,0))</f>
        <v/>
      </c>
      <c r="AR12">
        <f>MAX(AR11,IF($B11=31,1,0))</f>
        <v/>
      </c>
      <c r="AS12">
        <f>MAX(AS11,IF($B11=32,1,0))</f>
        <v/>
      </c>
      <c r="AT12">
        <f>MAX(AT11,IF($B11=33,1,0))</f>
        <v/>
      </c>
      <c r="AU12">
        <f>MAX(AU11,IF($B11=34,1,0))</f>
        <v/>
      </c>
      <c r="AV12">
        <f>MAX(AV11,IF($B11=35,1,0))</f>
        <v/>
      </c>
      <c r="AW12">
        <f>MAX(AW11,IF($B11=36,1,0))</f>
        <v/>
      </c>
      <c r="AX12">
        <f>MAX(AX11,IF($B11=37,1,0))</f>
        <v/>
      </c>
      <c r="AY12">
        <f>MAX(AY11,IF($B11=38,1,0))</f>
        <v/>
      </c>
      <c r="AZ12">
        <f>MAX(AZ11,IF($B11=39,1,0))</f>
        <v/>
      </c>
      <c r="BA12">
        <f>MAX(BA11,IF($B11=40,1,0))</f>
        <v/>
      </c>
      <c r="BB12">
        <f>MAX(BB11,IF($B11=41,1,0))</f>
        <v/>
      </c>
      <c r="BC12">
        <f>MAX(BC11,IF($B11=42,1,0))</f>
        <v/>
      </c>
      <c r="BD12">
        <f>MAX(BD11,IF($B11=43,1,0))</f>
        <v/>
      </c>
      <c r="BE12">
        <f>MAX(BE11,IF($B11=44,1,0))</f>
        <v/>
      </c>
      <c r="BF12">
        <f>MAX(BF11,IF($B11=45,1,0))</f>
        <v/>
      </c>
      <c r="BH12">
        <f>IF(N12=1,1000000,IF('計算A'!$IT$10&gt;0,0,500000)+IF('計算A'!$IQ$10=2,SUMPRODUCT('計算A'!$D$60:$EQ$60,$DB12:$IO12,$IQ12:$OD12),SUMPRODUCT('計算A'!$D$60:$EQ$60,$DB12:$IO12))*1000+1)</f>
        <v/>
      </c>
      <c r="BI12">
        <f>IF(O12=1,1000000,IF('計算A'!$IT$11&gt;0,0,500000)+IF('計算A'!$IQ$11=2,SUMPRODUCT('計算A'!$D$61:$EQ$61,$DB12:$IO12,$IQ12:$OD12),SUMPRODUCT('計算A'!$D$61:$EQ$61,$DB12:$IO12))*1000+2)</f>
        <v/>
      </c>
      <c r="BJ12">
        <f>IF(P12=1,1000000,IF('計算A'!$IT$12&gt;0,0,500000)+IF('計算A'!$IQ$12=2,SUMPRODUCT('計算A'!$D$62:$EQ$62,$DB12:$IO12,$IQ12:$OD12),SUMPRODUCT('計算A'!$D$62:$EQ$62,$DB12:$IO12))*1000+3)</f>
        <v/>
      </c>
      <c r="BK12">
        <f>IF(Q12=1,1000000,IF('計算A'!$IT$13&gt;0,0,500000)+IF('計算A'!$IQ$13=2,SUMPRODUCT('計算A'!$D$63:$EQ$63,$DB12:$IO12,$IQ12:$OD12),SUMPRODUCT('計算A'!$D$63:$EQ$63,$DB12:$IO12))*1000+4)</f>
        <v/>
      </c>
      <c r="BL12">
        <f>IF(R12=1,1000000,IF('計算A'!$IT$14&gt;0,0,500000)+IF('計算A'!$IQ$14=2,SUMPRODUCT('計算A'!$D$64:$EQ$64,$DB12:$IO12,$IQ12:$OD12),SUMPRODUCT('計算A'!$D$64:$EQ$64,$DB12:$IO12))*1000+5)</f>
        <v/>
      </c>
      <c r="BM12">
        <f>IF(S12=1,1000000,IF('計算A'!$IT$15&gt;0,0,500000)+IF('計算A'!$IQ$15=2,SUMPRODUCT('計算A'!$D$65:$EQ$65,$DB12:$IO12,$IQ12:$OD12),SUMPRODUCT('計算A'!$D$65:$EQ$65,$DB12:$IO12))*1000+6)</f>
        <v/>
      </c>
      <c r="BN12">
        <f>IF(T12=1,1000000,IF('計算A'!$IT$16&gt;0,0,500000)+IF('計算A'!$IQ$16=2,SUMPRODUCT('計算A'!$D$66:$EQ$66,$DB12:$IO12,$IQ12:$OD12),SUMPRODUCT('計算A'!$D$66:$EQ$66,$DB12:$IO12))*1000+7)</f>
        <v/>
      </c>
      <c r="BO12">
        <f>IF(U12=1,1000000,IF('計算A'!$IT$17&gt;0,0,500000)+IF('計算A'!$IQ$17=2,SUMPRODUCT('計算A'!$D$67:$EQ$67,$DB12:$IO12,$IQ12:$OD12),SUMPRODUCT('計算A'!$D$67:$EQ$67,$DB12:$IO12))*1000+8)</f>
        <v/>
      </c>
      <c r="BP12">
        <f>IF(V12=1,1000000,IF('計算A'!$IT$18&gt;0,0,500000)+IF('計算A'!$IQ$18=2,SUMPRODUCT('計算A'!$D$68:$EQ$68,$DB12:$IO12,$IQ12:$OD12),SUMPRODUCT('計算A'!$D$68:$EQ$68,$DB12:$IO12))*1000+9)</f>
        <v/>
      </c>
      <c r="BQ12">
        <f>IF(W12=1,1000000,IF('計算A'!$IT$19&gt;0,0,500000)+IF('計算A'!$IQ$19=2,SUMPRODUCT('計算A'!$D$69:$EQ$69,$DB12:$IO12,$IQ12:$OD12),SUMPRODUCT('計算A'!$D$69:$EQ$69,$DB12:$IO12))*1000+10)</f>
        <v/>
      </c>
      <c r="BR12">
        <f>IF(X12=1,1000000,IF('計算A'!$IT$20&gt;0,0,500000)+IF('計算A'!$IQ$20=2,SUMPRODUCT('計算A'!$D$70:$EQ$70,$DB12:$IO12,$IQ12:$OD12),SUMPRODUCT('計算A'!$D$70:$EQ$70,$DB12:$IO12))*1000+11)</f>
        <v/>
      </c>
      <c r="BS12">
        <f>IF(Y12=1,1000000,IF('計算A'!$IT$21&gt;0,0,500000)+IF('計算A'!$IQ$21=2,SUMPRODUCT('計算A'!$D$71:$EQ$71,$DB12:$IO12,$IQ12:$OD12),SUMPRODUCT('計算A'!$D$71:$EQ$71,$DB12:$IO12))*1000+12)</f>
        <v/>
      </c>
      <c r="BT12">
        <f>IF(Z12=1,1000000,IF('計算A'!$IT$22&gt;0,0,500000)+IF('計算A'!$IQ$22=2,SUMPRODUCT('計算A'!$D$72:$EQ$72,$DB12:$IO12,$IQ12:$OD12),SUMPRODUCT('計算A'!$D$72:$EQ$72,$DB12:$IO12))*1000+13)</f>
        <v/>
      </c>
      <c r="BU12">
        <f>IF(AA12=1,1000000,IF('計算A'!$IT$23&gt;0,0,500000)+IF('計算A'!$IQ$23=2,SUMPRODUCT('計算A'!$D$73:$EQ$73,$DB12:$IO12,$IQ12:$OD12),SUMPRODUCT('計算A'!$D$73:$EQ$73,$DB12:$IO12))*1000+14)</f>
        <v/>
      </c>
      <c r="BV12">
        <f>IF(AB12=1,1000000,IF('計算A'!$IT$24&gt;0,0,500000)+IF('計算A'!$IQ$24=2,SUMPRODUCT('計算A'!$D$74:$EQ$74,$DB12:$IO12,$IQ12:$OD12),SUMPRODUCT('計算A'!$D$74:$EQ$74,$DB12:$IO12))*1000+15)</f>
        <v/>
      </c>
      <c r="BW12">
        <f>IF(AC12=1,1000000,IF('計算A'!$IT$25&gt;0,0,500000)+IF('計算A'!$IQ$25=2,SUMPRODUCT('計算A'!$D$75:$EQ$75,$DB12:$IO12,$IQ12:$OD12),SUMPRODUCT('計算A'!$D$75:$EQ$75,$DB12:$IO12))*1000+16)</f>
        <v/>
      </c>
      <c r="BX12">
        <f>IF(AD12=1,1000000,IF('計算A'!$IT$26&gt;0,0,500000)+IF('計算A'!$IQ$26=2,SUMPRODUCT('計算A'!$D$76:$EQ$76,$DB12:$IO12,$IQ12:$OD12),SUMPRODUCT('計算A'!$D$76:$EQ$76,$DB12:$IO12))*1000+17)</f>
        <v/>
      </c>
      <c r="BY12">
        <f>IF(AE12=1,1000000,IF('計算A'!$IT$27&gt;0,0,500000)+IF('計算A'!$IQ$27=2,SUMPRODUCT('計算A'!$D$77:$EQ$77,$DB12:$IO12,$IQ12:$OD12),SUMPRODUCT('計算A'!$D$77:$EQ$77,$DB12:$IO12))*1000+18)</f>
        <v/>
      </c>
      <c r="BZ12">
        <f>IF(AF12=1,1000000,IF('計算A'!$IT$28&gt;0,0,500000)+IF('計算A'!$IQ$28=2,SUMPRODUCT('計算A'!$D$78:$EQ$78,$DB12:$IO12,$IQ12:$OD12),SUMPRODUCT('計算A'!$D$78:$EQ$78,$DB12:$IO12))*1000+19)</f>
        <v/>
      </c>
      <c r="CA12">
        <f>IF(AG12=1,1000000,IF('計算A'!$IT$29&gt;0,0,500000)+IF('計算A'!$IQ$29=2,SUMPRODUCT('計算A'!$D$79:$EQ$79,$DB12:$IO12,$IQ12:$OD12),SUMPRODUCT('計算A'!$D$79:$EQ$79,$DB12:$IO12))*1000+20)</f>
        <v/>
      </c>
      <c r="CB12">
        <f>IF(AH12=1,1000000,IF('計算A'!$IT$30&gt;0,0,500000)+IF('計算A'!$IQ$30=2,SUMPRODUCT('計算A'!$D$80:$EQ$80,$DB12:$IO12,$IQ12:$OD12),SUMPRODUCT('計算A'!$D$80:$EQ$80,$DB12:$IO12))*1000+21)</f>
        <v/>
      </c>
      <c r="CC12">
        <f>IF(AI12=1,1000000,IF('計算A'!$IT$31&gt;0,0,500000)+IF('計算A'!$IQ$31=2,SUMPRODUCT('計算A'!$D$81:$EQ$81,$DB12:$IO12,$IQ12:$OD12),SUMPRODUCT('計算A'!$D$81:$EQ$81,$DB12:$IO12))*1000+22)</f>
        <v/>
      </c>
      <c r="CD12">
        <f>IF(AJ12=1,1000000,IF('計算A'!$IT$32&gt;0,0,500000)+IF('計算A'!$IQ$32=2,SUMPRODUCT('計算A'!$D$82:$EQ$82,$DB12:$IO12,$IQ12:$OD12),SUMPRODUCT('計算A'!$D$82:$EQ$82,$DB12:$IO12))*1000+23)</f>
        <v/>
      </c>
      <c r="CE12">
        <f>IF(AK12=1,1000000,IF('計算A'!$IT$33&gt;0,0,500000)+IF('計算A'!$IQ$33=2,SUMPRODUCT('計算A'!$D$83:$EQ$83,$DB12:$IO12,$IQ12:$OD12),SUMPRODUCT('計算A'!$D$83:$EQ$83,$DB12:$IO12))*1000+24)</f>
        <v/>
      </c>
      <c r="CF12">
        <f>IF(AL12=1,1000000,IF('計算A'!$IT$34&gt;0,0,500000)+IF('計算A'!$IQ$34=2,SUMPRODUCT('計算A'!$D$84:$EQ$84,$DB12:$IO12,$IQ12:$OD12),SUMPRODUCT('計算A'!$D$84:$EQ$84,$DB12:$IO12))*1000+25)</f>
        <v/>
      </c>
      <c r="CG12">
        <f>IF(AM12=1,1000000,IF('計算A'!$IT$35&gt;0,0,500000)+IF('計算A'!$IQ$35=2,SUMPRODUCT('計算A'!$D$85:$EQ$85,$DB12:$IO12,$IQ12:$OD12),SUMPRODUCT('計算A'!$D$85:$EQ$85,$DB12:$IO12))*1000+26)</f>
        <v/>
      </c>
      <c r="CH12">
        <f>IF(AN12=1,1000000,IF('計算A'!$IT$36&gt;0,0,500000)+IF('計算A'!$IQ$36=2,SUMPRODUCT('計算A'!$D$86:$EQ$86,$DB12:$IO12,$IQ12:$OD12),SUMPRODUCT('計算A'!$D$86:$EQ$86,$DB12:$IO12))*1000+27)</f>
        <v/>
      </c>
      <c r="CI12">
        <f>IF(AO12=1,1000000,IF('計算A'!$IT$37&gt;0,0,500000)+IF('計算A'!$IQ$37=2,SUMPRODUCT('計算A'!$D$87:$EQ$87,$DB12:$IO12,$IQ12:$OD12),SUMPRODUCT('計算A'!$D$87:$EQ$87,$DB12:$IO12))*1000+28)</f>
        <v/>
      </c>
      <c r="CJ12">
        <f>IF(AP12=1,1000000,IF('計算A'!$IT$38&gt;0,0,500000)+IF('計算A'!$IQ$38=2,SUMPRODUCT('計算A'!$D$88:$EQ$88,$DB12:$IO12,$IQ12:$OD12),SUMPRODUCT('計算A'!$D$88:$EQ$88,$DB12:$IO12))*1000+29)</f>
        <v/>
      </c>
      <c r="CK12">
        <f>IF(AQ12=1,1000000,IF('計算A'!$IT$39&gt;0,0,500000)+IF('計算A'!$IQ$39=2,SUMPRODUCT('計算A'!$D$89:$EQ$89,$DB12:$IO12,$IQ12:$OD12),SUMPRODUCT('計算A'!$D$89:$EQ$89,$DB12:$IO12))*1000+30)</f>
        <v/>
      </c>
      <c r="CL12">
        <f>IF(AR12=1,1000000,IF('計算A'!$IT$40&gt;0,0,500000)+IF('計算A'!$IQ$40=2,SUMPRODUCT('計算A'!$D$90:$EQ$90,$DB12:$IO12,$IQ12:$OD12),SUMPRODUCT('計算A'!$D$90:$EQ$90,$DB12:$IO12))*1000+31)</f>
        <v/>
      </c>
      <c r="CM12">
        <f>IF(AS12=1,1000000,IF('計算A'!$IT$41&gt;0,0,500000)+IF('計算A'!$IQ$41=2,SUMPRODUCT('計算A'!$D$91:$EQ$91,$DB12:$IO12,$IQ12:$OD12),SUMPRODUCT('計算A'!$D$91:$EQ$91,$DB12:$IO12))*1000+32)</f>
        <v/>
      </c>
      <c r="CN12">
        <f>IF(AT12=1,1000000,IF('計算A'!$IT$42&gt;0,0,500000)+IF('計算A'!$IQ$42=2,SUMPRODUCT('計算A'!$D$92:$EQ$92,$DB12:$IO12,$IQ12:$OD12),SUMPRODUCT('計算A'!$D$92:$EQ$92,$DB12:$IO12))*1000+33)</f>
        <v/>
      </c>
      <c r="CO12">
        <f>IF(AU12=1,1000000,IF('計算A'!$IT$43&gt;0,0,500000)+IF('計算A'!$IQ$43=2,SUMPRODUCT('計算A'!$D$93:$EQ$93,$DB12:$IO12,$IQ12:$OD12),SUMPRODUCT('計算A'!$D$93:$EQ$93,$DB12:$IO12))*1000+34)</f>
        <v/>
      </c>
      <c r="CP12">
        <f>IF(AV12=1,1000000,IF('計算A'!$IT$44&gt;0,0,500000)+IF('計算A'!$IQ$44=2,SUMPRODUCT('計算A'!$D$94:$EQ$94,$DB12:$IO12,$IQ12:$OD12),SUMPRODUCT('計算A'!$D$94:$EQ$94,$DB12:$IO12))*1000+35)</f>
        <v/>
      </c>
      <c r="CQ12">
        <f>IF(AW12=1,1000000,IF('計算A'!$IT$45&gt;0,0,500000)+IF('計算A'!$IQ$45=2,SUMPRODUCT('計算A'!$D$95:$EQ$95,$DB12:$IO12,$IQ12:$OD12),SUMPRODUCT('計算A'!$D$95:$EQ$95,$DB12:$IO12))*1000+36)</f>
        <v/>
      </c>
      <c r="CR12">
        <f>IF(AX12=1,1000000,IF('計算A'!$IT$46&gt;0,0,500000)+IF('計算A'!$IQ$46=2,SUMPRODUCT('計算A'!$D$96:$EQ$96,$DB12:$IO12,$IQ12:$OD12),SUMPRODUCT('計算A'!$D$96:$EQ$96,$DB12:$IO12))*1000+37)</f>
        <v/>
      </c>
      <c r="CS12">
        <f>IF(AY12=1,1000000,IF('計算A'!$IT$47&gt;0,0,500000)+IF('計算A'!$IQ$47=2,SUMPRODUCT('計算A'!$D$97:$EQ$97,$DB12:$IO12,$IQ12:$OD12),SUMPRODUCT('計算A'!$D$97:$EQ$97,$DB12:$IO12))*1000+38)</f>
        <v/>
      </c>
      <c r="CT12">
        <f>IF(AZ12=1,1000000,IF('計算A'!$IT$48&gt;0,0,500000)+IF('計算A'!$IQ$48=2,SUMPRODUCT('計算A'!$D$98:$EQ$98,$DB12:$IO12,$IQ12:$OD12),SUMPRODUCT('計算A'!$D$98:$EQ$98,$DB12:$IO12))*1000+39)</f>
        <v/>
      </c>
      <c r="CU12">
        <f>IF(BA12=1,1000000,IF('計算A'!$IT$49&gt;0,0,500000)+IF('計算A'!$IQ$49=2,SUMPRODUCT('計算A'!$D$99:$EQ$99,$DB12:$IO12,$IQ12:$OD12),SUMPRODUCT('計算A'!$D$99:$EQ$99,$DB12:$IO12))*1000+40)</f>
        <v/>
      </c>
      <c r="CV12">
        <f>IF(BB12=1,1000000,IF('計算A'!$IT$50&gt;0,0,500000)+IF('計算A'!$IQ$50=2,SUMPRODUCT('計算A'!$D$100:$EQ$100,$DB12:$IO12,$IQ12:$OD12),SUMPRODUCT('計算A'!$D$100:$EQ$100,$DB12:$IO12))*1000+41)</f>
        <v/>
      </c>
      <c r="CW12">
        <f>IF(BC12=1,1000000,IF('計算A'!$IT$51&gt;0,0,500000)+IF('計算A'!$IQ$51=2,SUMPRODUCT('計算A'!$D$101:$EQ$101,$DB12:$IO12,$IQ12:$OD12),SUMPRODUCT('計算A'!$D$101:$EQ$101,$DB12:$IO12))*1000+42)</f>
        <v/>
      </c>
      <c r="CX12">
        <f>IF(BD12=1,1000000,IF('計算A'!$IT$52&gt;0,0,500000)+IF('計算A'!$IQ$52=2,SUMPRODUCT('計算A'!$D$102:$EQ$102,$DB12:$IO12,$IQ12:$OD12),SUMPRODUCT('計算A'!$D$102:$EQ$102,$DB12:$IO12))*1000+43)</f>
        <v/>
      </c>
      <c r="CY12">
        <f>IF(BE12=1,1000000,IF('計算A'!$IT$53&gt;0,0,500000)+IF('計算A'!$IQ$53=2,SUMPRODUCT('計算A'!$D$103:$EQ$103,$DB12:$IO12,$IQ12:$OD12),SUMPRODUCT('計算A'!$D$103:$EQ$103,$DB12:$IO12))*1000+44)</f>
        <v/>
      </c>
      <c r="CZ12">
        <f>IF(BF12=1,1000000,IF('計算A'!$IT$54&gt;0,0,500000)+IF('計算A'!$IQ$54=2,SUMPRODUCT('計算A'!$D$104:$EQ$104,$DB12:$IO12,$IQ12:$OD12),SUMPRODUCT('計算A'!$D$104:$EQ$104,$DB12:$IO12))*1000+45)</f>
        <v/>
      </c>
      <c r="DB12">
        <f>DB11*IF(OR($C11=1,$G11=1),0,1)</f>
        <v/>
      </c>
      <c r="DC12">
        <f>DC11*IF(OR($C11=2,$G11=2),0,1)</f>
        <v/>
      </c>
      <c r="DD12">
        <f>DD11*IF(OR($C11=3,$G11=3),0,1)</f>
        <v/>
      </c>
      <c r="DE12">
        <f>DE11*IF(OR($C11=4,$G11=4),0,1)</f>
        <v/>
      </c>
      <c r="DF12">
        <f>DF11*IF(OR($C11=5,$G11=5),0,1)</f>
        <v/>
      </c>
      <c r="DG12">
        <f>DG11*IF(OR($C11=6,$G11=6),0,1)</f>
        <v/>
      </c>
      <c r="DH12">
        <f>DH11*IF(OR($C11=7,$G11=7),0,1)</f>
        <v/>
      </c>
      <c r="DI12">
        <f>DI11*IF(OR($C11=8,$G11=8),0,1)</f>
        <v/>
      </c>
      <c r="DJ12">
        <f>DJ11*IF(OR($C11=9,$G11=9),0,1)</f>
        <v/>
      </c>
      <c r="DK12">
        <f>DK11*IF(OR($C11=10,$G11=10),0,1)</f>
        <v/>
      </c>
      <c r="DL12">
        <f>DL11*IF(OR($C11=11,$G11=11),0,1)</f>
        <v/>
      </c>
      <c r="DM12">
        <f>DM11*IF(OR($C11=12,$G11=12),0,1)</f>
        <v/>
      </c>
      <c r="DN12">
        <f>DN11*IF(OR($C11=13,$G11=13),0,1)</f>
        <v/>
      </c>
      <c r="DO12">
        <f>DO11*IF(OR($C11=14,$G11=14),0,1)</f>
        <v/>
      </c>
      <c r="DP12">
        <f>DP11*IF(OR($C11=15,$G11=15),0,1)</f>
        <v/>
      </c>
      <c r="DQ12">
        <f>DQ11*IF(OR($C11=16,$G11=16),0,1)</f>
        <v/>
      </c>
      <c r="DR12">
        <f>DR11*IF(OR($C11=17,$G11=17),0,1)</f>
        <v/>
      </c>
      <c r="DS12">
        <f>DS11*IF(OR($C11=18,$G11=18),0,1)</f>
        <v/>
      </c>
      <c r="DT12">
        <f>DT11*IF(OR($C11=19,$G11=19),0,1)</f>
        <v/>
      </c>
      <c r="DU12">
        <f>DU11*IF(OR($C11=20,$G11=20),0,1)</f>
        <v/>
      </c>
      <c r="DV12">
        <f>DV11*IF(OR($C11=21,$G11=21),0,1)</f>
        <v/>
      </c>
      <c r="DW12">
        <f>DW11*IF(OR($C11=22,$G11=22),0,1)</f>
        <v/>
      </c>
      <c r="DX12">
        <f>DX11*IF(OR($C11=23,$G11=23),0,1)</f>
        <v/>
      </c>
      <c r="DY12">
        <f>DY11*IF(OR($C11=24,$G11=24),0,1)</f>
        <v/>
      </c>
      <c r="DZ12">
        <f>DZ11*IF(OR($C11=25,$G11=25),0,1)</f>
        <v/>
      </c>
      <c r="EA12">
        <f>EA11*IF(OR($C11=26,$G11=26),0,1)</f>
        <v/>
      </c>
      <c r="EB12">
        <f>EB11*IF(OR($C11=27,$G11=27),0,1)</f>
        <v/>
      </c>
      <c r="EC12">
        <f>EC11*IF(OR($C11=28,$G11=28),0,1)</f>
        <v/>
      </c>
      <c r="ED12">
        <f>ED11*IF(OR($C11=29,$G11=29),0,1)</f>
        <v/>
      </c>
      <c r="EE12">
        <f>EE11*IF(OR($C11=30,$G11=30),0,1)</f>
        <v/>
      </c>
      <c r="EF12">
        <f>EF11*IF(OR($C11=31,$G11=31),0,1)</f>
        <v/>
      </c>
      <c r="EG12">
        <f>EG11*IF(OR($C11=32,$G11=32),0,1)</f>
        <v/>
      </c>
      <c r="EH12">
        <f>EH11*IF(OR($C11=33,$G11=33),0,1)</f>
        <v/>
      </c>
      <c r="EI12">
        <f>EI11*IF(OR($C11=34,$G11=34),0,1)</f>
        <v/>
      </c>
      <c r="EJ12">
        <f>EJ11*IF(OR($C11=35,$G11=35),0,1)</f>
        <v/>
      </c>
      <c r="EK12">
        <f>EK11*IF(OR($C11=36,$G11=36),0,1)</f>
        <v/>
      </c>
      <c r="EL12">
        <f>EL11*IF(OR($C11=37,$G11=37),0,1)</f>
        <v/>
      </c>
      <c r="EM12">
        <f>EM11*IF(OR($C11=38,$G11=38),0,1)</f>
        <v/>
      </c>
      <c r="EN12">
        <f>EN11*IF(OR($C11=39,$G11=39),0,1)</f>
        <v/>
      </c>
      <c r="EO12">
        <f>EO11*IF(OR($C11=40,$G11=40),0,1)</f>
        <v/>
      </c>
      <c r="EP12">
        <f>EP11*IF(OR($C11=41,$G11=41),0,1)</f>
        <v/>
      </c>
      <c r="EQ12">
        <f>EQ11*IF(OR($C11=42,$G11=42),0,1)</f>
        <v/>
      </c>
      <c r="ER12">
        <f>ER11*IF(OR($C11=43,$G11=43),0,1)</f>
        <v/>
      </c>
      <c r="ES12">
        <f>ES11*IF(OR($C11=44,$G11=44),0,1)</f>
        <v/>
      </c>
      <c r="ET12">
        <f>ET11*IF(OR($C11=45,$G11=45),0,1)</f>
        <v/>
      </c>
      <c r="EU12">
        <f>EU11*IF(OR($C11=46,$G11=46),0,1)</f>
        <v/>
      </c>
      <c r="EV12">
        <f>EV11*IF(OR($C11=47,$G11=47),0,1)</f>
        <v/>
      </c>
      <c r="EW12">
        <f>EW11*IF(OR($C11=48,$G11=48),0,1)</f>
        <v/>
      </c>
      <c r="EX12">
        <f>EX11*IF(OR($C11=49,$G11=49),0,1)</f>
        <v/>
      </c>
      <c r="EY12">
        <f>EY11*IF(OR($C11=50,$G11=50),0,1)</f>
        <v/>
      </c>
      <c r="EZ12">
        <f>EZ11*IF(OR($C11=51,$G11=51),0,1)</f>
        <v/>
      </c>
      <c r="FA12">
        <f>FA11*IF(OR($C11=52,$G11=52),0,1)</f>
        <v/>
      </c>
      <c r="FB12">
        <f>FB11*IF(OR($C11=53,$G11=53),0,1)</f>
        <v/>
      </c>
      <c r="FC12">
        <f>FC11*IF(OR($C11=54,$G11=54),0,1)</f>
        <v/>
      </c>
      <c r="FD12">
        <f>FD11*IF(OR($C11=55,$G11=55),0,1)</f>
        <v/>
      </c>
      <c r="FE12">
        <f>FE11*IF(OR($C11=56,$G11=56),0,1)</f>
        <v/>
      </c>
      <c r="FF12">
        <f>FF11*IF(OR($C11=57,$G11=57),0,1)</f>
        <v/>
      </c>
      <c r="FG12">
        <f>FG11*IF(OR($C11=58,$G11=58),0,1)</f>
        <v/>
      </c>
      <c r="FH12">
        <f>FH11*IF(OR($C11=59,$G11=59),0,1)</f>
        <v/>
      </c>
      <c r="FI12">
        <f>FI11*IF(OR($C11=60,$G11=60),0,1)</f>
        <v/>
      </c>
      <c r="FJ12">
        <f>FJ11*IF(OR($C11=61,$G11=61),0,1)</f>
        <v/>
      </c>
      <c r="FK12">
        <f>FK11*IF(OR($C11=62,$G11=62),0,1)</f>
        <v/>
      </c>
      <c r="FL12">
        <f>FL11*IF(OR($C11=63,$G11=63),0,1)</f>
        <v/>
      </c>
      <c r="FM12">
        <f>FM11*IF(OR($C11=64,$G11=64),0,1)</f>
        <v/>
      </c>
      <c r="FN12">
        <f>FN11*IF(OR($C11=65,$G11=65),0,1)</f>
        <v/>
      </c>
      <c r="FO12">
        <f>FO11*IF(OR($C11=66,$G11=66),0,1)</f>
        <v/>
      </c>
      <c r="FP12">
        <f>FP11*IF(OR($C11=67,$G11=67),0,1)</f>
        <v/>
      </c>
      <c r="FQ12">
        <f>FQ11*IF(OR($C11=68,$G11=68),0,1)</f>
        <v/>
      </c>
      <c r="FR12">
        <f>FR11*IF(OR($C11=69,$G11=69),0,1)</f>
        <v/>
      </c>
      <c r="FS12">
        <f>FS11*IF(OR($C11=70,$G11=70),0,1)</f>
        <v/>
      </c>
      <c r="FT12">
        <f>FT11*IF(OR($C11=71,$G11=71),0,1)</f>
        <v/>
      </c>
      <c r="FU12">
        <f>FU11*IF(OR($C11=72,$G11=72),0,1)</f>
        <v/>
      </c>
      <c r="FV12">
        <f>FV11*IF(OR($C11=73,$G11=73),0,1)</f>
        <v/>
      </c>
      <c r="FW12">
        <f>FW11*IF(OR($C11=74,$G11=74),0,1)</f>
        <v/>
      </c>
      <c r="FX12">
        <f>FX11*IF(OR($C11=75,$G11=75),0,1)</f>
        <v/>
      </c>
      <c r="FY12">
        <f>FY11*IF(OR($C11=76,$G11=76),0,1)</f>
        <v/>
      </c>
      <c r="FZ12">
        <f>FZ11*IF(OR($C11=77,$G11=77),0,1)</f>
        <v/>
      </c>
      <c r="GA12">
        <f>GA11*IF(OR($C11=78,$G11=78),0,1)</f>
        <v/>
      </c>
      <c r="GB12">
        <f>GB11*IF(OR($C11=79,$G11=79),0,1)</f>
        <v/>
      </c>
      <c r="GC12">
        <f>GC11*IF(OR($C11=80,$G11=80),0,1)</f>
        <v/>
      </c>
      <c r="GD12">
        <f>GD11*IF(OR($C11=81,$G11=81),0,1)</f>
        <v/>
      </c>
      <c r="GE12">
        <f>GE11*IF(OR($C11=82,$G11=82),0,1)</f>
        <v/>
      </c>
      <c r="GF12">
        <f>GF11*IF(OR($C11=83,$G11=83),0,1)</f>
        <v/>
      </c>
      <c r="GG12">
        <f>GG11*IF(OR($C11=84,$G11=84),0,1)</f>
        <v/>
      </c>
      <c r="GH12">
        <f>GH11*IF(OR($C11=85,$G11=85),0,1)</f>
        <v/>
      </c>
      <c r="GI12">
        <f>GI11*IF(OR($C11=86,$G11=86),0,1)</f>
        <v/>
      </c>
      <c r="GJ12">
        <f>GJ11*IF(OR($C11=87,$G11=87),0,1)</f>
        <v/>
      </c>
      <c r="GK12">
        <f>GK11*IF(OR($C11=88,$G11=88),0,1)</f>
        <v/>
      </c>
      <c r="GL12">
        <f>GL11*IF(OR($C11=89,$G11=89),0,1)</f>
        <v/>
      </c>
      <c r="GM12">
        <f>GM11*IF(OR($C11=90,$G11=90),0,1)</f>
        <v/>
      </c>
      <c r="GN12">
        <f>GN11*IF(OR($C11=91,$G11=91),0,1)</f>
        <v/>
      </c>
      <c r="GO12">
        <f>GO11*IF(OR($C11=92,$G11=92),0,1)</f>
        <v/>
      </c>
      <c r="GP12">
        <f>GP11*IF(OR($C11=93,$G11=93),0,1)</f>
        <v/>
      </c>
      <c r="GQ12">
        <f>GQ11*IF(OR($C11=94,$G11=94),0,1)</f>
        <v/>
      </c>
      <c r="GR12">
        <f>GR11*IF(OR($C11=95,$G11=95),0,1)</f>
        <v/>
      </c>
      <c r="GS12">
        <f>GS11*IF(OR($C11=96,$G11=96),0,1)</f>
        <v/>
      </c>
      <c r="GT12">
        <f>GT11*IF(OR($C11=97,$G11=97),0,1)</f>
        <v/>
      </c>
      <c r="GU12">
        <f>GU11*IF(OR($C11=98,$G11=98),0,1)</f>
        <v/>
      </c>
      <c r="GV12">
        <f>GV11*IF(OR($C11=99,$G11=99),0,1)</f>
        <v/>
      </c>
      <c r="GW12">
        <f>GW11*IF(OR($C11=100,$G11=100),0,1)</f>
        <v/>
      </c>
      <c r="GX12">
        <f>GX11*IF(OR($C11=101,$G11=101),0,1)</f>
        <v/>
      </c>
      <c r="GY12">
        <f>GY11*IF(OR($C11=102,$G11=102),0,1)</f>
        <v/>
      </c>
      <c r="GZ12">
        <f>GZ11*IF(OR($C11=103,$G11=103),0,1)</f>
        <v/>
      </c>
      <c r="HA12">
        <f>HA11*IF(OR($C11=104,$G11=104),0,1)</f>
        <v/>
      </c>
      <c r="HB12">
        <f>HB11*IF(OR($C11=105,$G11=105),0,1)</f>
        <v/>
      </c>
      <c r="HC12">
        <f>HC11*IF(OR($C11=106,$G11=106),0,1)</f>
        <v/>
      </c>
      <c r="HD12">
        <f>HD11*IF(OR($C11=107,$G11=107),0,1)</f>
        <v/>
      </c>
      <c r="HE12">
        <f>HE11*IF(OR($C11=108,$G11=108),0,1)</f>
        <v/>
      </c>
      <c r="HF12">
        <f>HF11*IF(OR($C11=109,$G11=109),0,1)</f>
        <v/>
      </c>
      <c r="HG12">
        <f>HG11*IF(OR($C11=110,$G11=110),0,1)</f>
        <v/>
      </c>
      <c r="HH12">
        <f>HH11*IF(OR($C11=111,$G11=111),0,1)</f>
        <v/>
      </c>
      <c r="HI12">
        <f>HI11*IF(OR($C11=112,$G11=112),0,1)</f>
        <v/>
      </c>
      <c r="HJ12">
        <f>HJ11*IF(OR($C11=113,$G11=113),0,1)</f>
        <v/>
      </c>
      <c r="HK12">
        <f>HK11*IF(OR($C11=114,$G11=114),0,1)</f>
        <v/>
      </c>
      <c r="HL12">
        <f>HL11*IF(OR($C11=115,$G11=115),0,1)</f>
        <v/>
      </c>
      <c r="HM12">
        <f>HM11*IF(OR($C11=116,$G11=116),0,1)</f>
        <v/>
      </c>
      <c r="HN12">
        <f>HN11*IF(OR($C11=117,$G11=117),0,1)</f>
        <v/>
      </c>
      <c r="HO12">
        <f>HO11*IF(OR($C11=118,$G11=118),0,1)</f>
        <v/>
      </c>
      <c r="HP12">
        <f>HP11*IF(OR($C11=119,$G11=119),0,1)</f>
        <v/>
      </c>
      <c r="HQ12">
        <f>HQ11*IF(OR($C11=120,$G11=120),0,1)</f>
        <v/>
      </c>
      <c r="HR12">
        <f>HR11*IF(OR($C11=121,$G11=121),0,1)</f>
        <v/>
      </c>
      <c r="HS12">
        <f>HS11*IF(OR($C11=122,$G11=122),0,1)</f>
        <v/>
      </c>
      <c r="HT12">
        <f>HT11*IF(OR($C11=123,$G11=123),0,1)</f>
        <v/>
      </c>
      <c r="HU12">
        <f>HU11*IF(OR($C11=124,$G11=124),0,1)</f>
        <v/>
      </c>
      <c r="HV12">
        <f>HV11*IF(OR($C11=125,$G11=125),0,1)</f>
        <v/>
      </c>
      <c r="HW12">
        <f>HW11*IF(OR($C11=126,$G11=126),0,1)</f>
        <v/>
      </c>
      <c r="HX12">
        <f>HX11*IF(OR($C11=127,$G11=127),0,1)</f>
        <v/>
      </c>
      <c r="HY12">
        <f>HY11*IF(OR($C11=128,$G11=128),0,1)</f>
        <v/>
      </c>
      <c r="HZ12">
        <f>HZ11*IF(OR($C11=129,$G11=129),0,1)</f>
        <v/>
      </c>
      <c r="IA12">
        <f>IA11*IF(OR($C11=130,$G11=130),0,1)</f>
        <v/>
      </c>
      <c r="IB12">
        <f>IB11*IF(OR($C11=131,$G11=131),0,1)</f>
        <v/>
      </c>
      <c r="IC12">
        <f>IC11*IF(OR($C11=132,$G11=132),0,1)</f>
        <v/>
      </c>
      <c r="ID12">
        <f>ID11*IF(OR($C11=133,$G11=133),0,1)</f>
        <v/>
      </c>
      <c r="IE12">
        <f>IE11*IF(OR($C11=134,$G11=134),0,1)</f>
        <v/>
      </c>
      <c r="IF12">
        <f>IF11*IF(OR($C11=135,$G11=135),0,1)</f>
        <v/>
      </c>
      <c r="IG12">
        <f>IG11*IF(OR($C11=136,$G11=136),0,1)</f>
        <v/>
      </c>
      <c r="IH12">
        <f>IH11*IF(OR($C11=137,$G11=137),0,1)</f>
        <v/>
      </c>
      <c r="II12">
        <f>II11*IF(OR($C11=138,$G11=138),0,1)</f>
        <v/>
      </c>
      <c r="IJ12">
        <f>IJ11*IF(OR($C11=139,$G11=139),0,1)</f>
        <v/>
      </c>
      <c r="IK12">
        <f>IK11*IF(OR($C11=140,$G11=140),0,1)</f>
        <v/>
      </c>
      <c r="IL12">
        <f>IL11*IF(OR($C11=141,$G11=141),0,1)</f>
        <v/>
      </c>
      <c r="IM12">
        <f>IM11*IF(OR($C11=142,$G11=142),0,1)</f>
        <v/>
      </c>
      <c r="IN12">
        <f>IN11*IF(OR($C11=143,$G11=143),0,1)</f>
        <v/>
      </c>
      <c r="IO12">
        <f>IO11*IF(OR($C11=144,$G11=144),0,1)</f>
        <v/>
      </c>
      <c r="IQ12">
        <f>IF('計算A'!D$106=1,DC12,1)</f>
        <v/>
      </c>
      <c r="IR12">
        <f>IF('計算A'!E$106=1,DD12,1)</f>
        <v/>
      </c>
      <c r="IS12">
        <f>IF('計算A'!F$106=1,DE12,1)</f>
        <v/>
      </c>
      <c r="IT12">
        <f>IF('計算A'!G$106=1,DF12,1)</f>
        <v/>
      </c>
      <c r="IU12">
        <f>IF('計算A'!H$106=1,DG12,1)</f>
        <v/>
      </c>
      <c r="IV12">
        <f>IF('計算A'!I$106=1,DH12,1)</f>
        <v/>
      </c>
      <c r="IW12">
        <f>IF('計算A'!J$106=1,DI12,1)</f>
        <v/>
      </c>
      <c r="IX12">
        <f>IF('計算A'!K$106=1,DJ12,1)</f>
        <v/>
      </c>
      <c r="IY12">
        <f>IF('計算A'!L$106=1,DK12,1)</f>
        <v/>
      </c>
      <c r="IZ12">
        <f>IF('計算A'!M$106=1,DL12,1)</f>
        <v/>
      </c>
      <c r="JA12">
        <f>IF('計算A'!N$106=1,DM12,1)</f>
        <v/>
      </c>
      <c r="JB12">
        <f>IF('計算A'!O$106=1,DN12,1)</f>
        <v/>
      </c>
      <c r="JC12">
        <f>IF('計算A'!P$106=1,DO12,1)</f>
        <v/>
      </c>
      <c r="JD12">
        <f>IF('計算A'!Q$106=1,DP12,1)</f>
        <v/>
      </c>
      <c r="JE12">
        <f>IF('計算A'!R$106=1,DQ12,1)</f>
        <v/>
      </c>
      <c r="JF12">
        <f>IF('計算A'!S$106=1,DR12,1)</f>
        <v/>
      </c>
      <c r="JG12">
        <f>IF('計算A'!T$106=1,DS12,1)</f>
        <v/>
      </c>
      <c r="JH12">
        <f>IF('計算A'!U$106=1,DT12,1)</f>
        <v/>
      </c>
      <c r="JI12">
        <f>IF('計算A'!V$106=1,DU12,1)</f>
        <v/>
      </c>
      <c r="JJ12">
        <f>IF('計算A'!W$106=1,DV12,1)</f>
        <v/>
      </c>
      <c r="JK12">
        <f>IF('計算A'!X$106=1,DW12,1)</f>
        <v/>
      </c>
      <c r="JL12">
        <f>IF('計算A'!Y$106=1,DX12,1)</f>
        <v/>
      </c>
      <c r="JM12">
        <f>IF('計算A'!Z$106=1,DY12,1)</f>
        <v/>
      </c>
      <c r="JN12">
        <f>IF('計算A'!AA$106=1,DZ12,1)</f>
        <v/>
      </c>
      <c r="JO12">
        <f>IF('計算A'!AB$106=1,EA12,1)</f>
        <v/>
      </c>
      <c r="JP12">
        <f>IF('計算A'!AC$106=1,EB12,1)</f>
        <v/>
      </c>
      <c r="JQ12">
        <f>IF('計算A'!AD$106=1,EC12,1)</f>
        <v/>
      </c>
      <c r="JR12">
        <f>IF('計算A'!AE$106=1,ED12,1)</f>
        <v/>
      </c>
      <c r="JS12">
        <f>IF('計算A'!AF$106=1,EE12,1)</f>
        <v/>
      </c>
      <c r="JT12">
        <f>IF('計算A'!AG$106=1,EF12,1)</f>
        <v/>
      </c>
      <c r="JU12">
        <f>IF('計算A'!AH$106=1,EG12,1)</f>
        <v/>
      </c>
      <c r="JV12">
        <f>IF('計算A'!AI$106=1,EH12,1)</f>
        <v/>
      </c>
      <c r="JW12">
        <f>IF('計算A'!AJ$106=1,EI12,1)</f>
        <v/>
      </c>
      <c r="JX12">
        <f>IF('計算A'!AK$106=1,EJ12,1)</f>
        <v/>
      </c>
      <c r="JY12">
        <f>IF('計算A'!AL$106=1,EK12,1)</f>
        <v/>
      </c>
      <c r="JZ12">
        <f>IF('計算A'!AM$106=1,EL12,1)</f>
        <v/>
      </c>
      <c r="KA12">
        <f>IF('計算A'!AN$106=1,EM12,1)</f>
        <v/>
      </c>
      <c r="KB12">
        <f>IF('計算A'!AO$106=1,EN12,1)</f>
        <v/>
      </c>
      <c r="KC12">
        <f>IF('計算A'!AP$106=1,EO12,1)</f>
        <v/>
      </c>
      <c r="KD12">
        <f>IF('計算A'!AQ$106=1,EP12,1)</f>
        <v/>
      </c>
      <c r="KE12">
        <f>IF('計算A'!AR$106=1,EQ12,1)</f>
        <v/>
      </c>
      <c r="KF12">
        <f>IF('計算A'!AS$106=1,ER12,1)</f>
        <v/>
      </c>
      <c r="KG12">
        <f>IF('計算A'!AT$106=1,ES12,1)</f>
        <v/>
      </c>
      <c r="KH12">
        <f>IF('計算A'!AU$106=1,ET12,1)</f>
        <v/>
      </c>
      <c r="KI12">
        <f>IF('計算A'!AV$106=1,EU12,1)</f>
        <v/>
      </c>
      <c r="KJ12">
        <f>IF('計算A'!AW$106=1,EV12,1)</f>
        <v/>
      </c>
      <c r="KK12">
        <f>IF('計算A'!AX$106=1,EW12,1)</f>
        <v/>
      </c>
      <c r="KL12">
        <f>IF('計算A'!AY$106=1,EX12,1)</f>
        <v/>
      </c>
      <c r="KM12">
        <f>IF('計算A'!AZ$106=1,EY12,1)</f>
        <v/>
      </c>
      <c r="KN12">
        <f>IF('計算A'!BA$106=1,EZ12,1)</f>
        <v/>
      </c>
      <c r="KO12">
        <f>IF('計算A'!BB$106=1,FA12,1)</f>
        <v/>
      </c>
      <c r="KP12">
        <f>IF('計算A'!BC$106=1,FB12,1)</f>
        <v/>
      </c>
      <c r="KQ12">
        <f>IF('計算A'!BD$106=1,FC12,1)</f>
        <v/>
      </c>
      <c r="KR12">
        <f>IF('計算A'!BE$106=1,FD12,1)</f>
        <v/>
      </c>
      <c r="KS12">
        <f>IF('計算A'!BF$106=1,FE12,1)</f>
        <v/>
      </c>
      <c r="KT12">
        <f>IF('計算A'!BG$106=1,FF12,1)</f>
        <v/>
      </c>
      <c r="KU12">
        <f>IF('計算A'!BH$106=1,FG12,1)</f>
        <v/>
      </c>
      <c r="KV12">
        <f>IF('計算A'!BI$106=1,FH12,1)</f>
        <v/>
      </c>
      <c r="KW12">
        <f>IF('計算A'!BJ$106=1,FI12,1)</f>
        <v/>
      </c>
      <c r="KX12">
        <f>IF('計算A'!BK$106=1,FJ12,1)</f>
        <v/>
      </c>
      <c r="KY12">
        <f>IF('計算A'!BL$106=1,FK12,1)</f>
        <v/>
      </c>
      <c r="KZ12">
        <f>IF('計算A'!BM$106=1,FL12,1)</f>
        <v/>
      </c>
      <c r="LA12">
        <f>IF('計算A'!BN$106=1,FM12,1)</f>
        <v/>
      </c>
      <c r="LB12">
        <f>IF('計算A'!BO$106=1,FN12,1)</f>
        <v/>
      </c>
      <c r="LC12">
        <f>IF('計算A'!BP$106=1,FO12,1)</f>
        <v/>
      </c>
      <c r="LD12">
        <f>IF('計算A'!BQ$106=1,FP12,1)</f>
        <v/>
      </c>
      <c r="LE12">
        <f>IF('計算A'!BR$106=1,FQ12,1)</f>
        <v/>
      </c>
      <c r="LF12">
        <f>IF('計算A'!BS$106=1,FR12,1)</f>
        <v/>
      </c>
      <c r="LG12">
        <f>IF('計算A'!BT$106=1,FS12,1)</f>
        <v/>
      </c>
      <c r="LH12">
        <f>IF('計算A'!BU$106=1,FT12,1)</f>
        <v/>
      </c>
      <c r="LI12">
        <f>IF('計算A'!BV$106=1,FU12,1)</f>
        <v/>
      </c>
      <c r="LJ12">
        <f>IF('計算A'!BW$106=1,FV12,1)</f>
        <v/>
      </c>
      <c r="LK12">
        <f>IF('計算A'!BX$106=1,FW12,1)</f>
        <v/>
      </c>
      <c r="LL12">
        <f>IF('計算A'!BY$106=1,FX12,1)</f>
        <v/>
      </c>
      <c r="LM12">
        <f>IF('計算A'!BZ$106=1,FY12,1)</f>
        <v/>
      </c>
      <c r="LN12">
        <f>IF('計算A'!CA$106=1,FZ12,1)</f>
        <v/>
      </c>
      <c r="LO12">
        <f>IF('計算A'!CB$106=1,GA12,1)</f>
        <v/>
      </c>
      <c r="LP12">
        <f>IF('計算A'!CC$106=1,GB12,1)</f>
        <v/>
      </c>
      <c r="LQ12">
        <f>IF('計算A'!CD$106=1,GC12,1)</f>
        <v/>
      </c>
      <c r="LR12">
        <f>IF('計算A'!CE$106=1,GD12,1)</f>
        <v/>
      </c>
      <c r="LS12">
        <f>IF('計算A'!CF$106=1,GE12,1)</f>
        <v/>
      </c>
      <c r="LT12">
        <f>IF('計算A'!CG$106=1,GF12,1)</f>
        <v/>
      </c>
      <c r="LU12">
        <f>IF('計算A'!CH$106=1,GG12,1)</f>
        <v/>
      </c>
      <c r="LV12">
        <f>IF('計算A'!CI$106=1,GH12,1)</f>
        <v/>
      </c>
      <c r="LW12">
        <f>IF('計算A'!CJ$106=1,GI12,1)</f>
        <v/>
      </c>
      <c r="LX12">
        <f>IF('計算A'!CK$106=1,GJ12,1)</f>
        <v/>
      </c>
      <c r="LY12">
        <f>IF('計算A'!CL$106=1,GK12,1)</f>
        <v/>
      </c>
      <c r="LZ12">
        <f>IF('計算A'!CM$106=1,GL12,1)</f>
        <v/>
      </c>
      <c r="MA12">
        <f>IF('計算A'!CN$106=1,GM12,1)</f>
        <v/>
      </c>
      <c r="MB12">
        <f>IF('計算A'!CO$106=1,GN12,1)</f>
        <v/>
      </c>
      <c r="MC12">
        <f>IF('計算A'!CP$106=1,GO12,1)</f>
        <v/>
      </c>
      <c r="MD12">
        <f>IF('計算A'!CQ$106=1,GP12,1)</f>
        <v/>
      </c>
      <c r="ME12">
        <f>IF('計算A'!CR$106=1,GQ12,1)</f>
        <v/>
      </c>
      <c r="MF12">
        <f>IF('計算A'!CS$106=1,GR12,1)</f>
        <v/>
      </c>
      <c r="MG12">
        <f>IF('計算A'!CT$106=1,GS12,1)</f>
        <v/>
      </c>
      <c r="MH12">
        <f>IF('計算A'!CU$106=1,GT12,1)</f>
        <v/>
      </c>
      <c r="MI12">
        <f>IF('計算A'!CV$106=1,GU12,1)</f>
        <v/>
      </c>
      <c r="MJ12">
        <f>IF('計算A'!CW$106=1,GV12,1)</f>
        <v/>
      </c>
      <c r="MK12">
        <f>IF('計算A'!CX$106=1,GW12,1)</f>
        <v/>
      </c>
      <c r="ML12">
        <f>IF('計算A'!CY$106=1,GX12,1)</f>
        <v/>
      </c>
      <c r="MM12">
        <f>IF('計算A'!CZ$106=1,GY12,1)</f>
        <v/>
      </c>
      <c r="MN12">
        <f>IF('計算A'!DA$106=1,GZ12,1)</f>
        <v/>
      </c>
      <c r="MO12">
        <f>IF('計算A'!DB$106=1,HA12,1)</f>
        <v/>
      </c>
      <c r="MP12">
        <f>IF('計算A'!DC$106=1,HB12,1)</f>
        <v/>
      </c>
      <c r="MQ12">
        <f>IF('計算A'!DD$106=1,HC12,1)</f>
        <v/>
      </c>
      <c r="MR12">
        <f>IF('計算A'!DE$106=1,HD12,1)</f>
        <v/>
      </c>
      <c r="MS12">
        <f>IF('計算A'!DF$106=1,HE12,1)</f>
        <v/>
      </c>
      <c r="MT12">
        <f>IF('計算A'!DG$106=1,HF12,1)</f>
        <v/>
      </c>
      <c r="MU12">
        <f>IF('計算A'!DH$106=1,HG12,1)</f>
        <v/>
      </c>
      <c r="MV12">
        <f>IF('計算A'!DI$106=1,HH12,1)</f>
        <v/>
      </c>
      <c r="MW12">
        <f>IF('計算A'!DJ$106=1,HI12,1)</f>
        <v/>
      </c>
      <c r="MX12">
        <f>IF('計算A'!DK$106=1,HJ12,1)</f>
        <v/>
      </c>
      <c r="MY12">
        <f>IF('計算A'!DL$106=1,HK12,1)</f>
        <v/>
      </c>
      <c r="MZ12">
        <f>IF('計算A'!DM$106=1,HL12,1)</f>
        <v/>
      </c>
      <c r="NA12">
        <f>IF('計算A'!DN$106=1,HM12,1)</f>
        <v/>
      </c>
      <c r="NB12">
        <f>IF('計算A'!DO$106=1,HN12,1)</f>
        <v/>
      </c>
      <c r="NC12">
        <f>IF('計算A'!DP$106=1,HO12,1)</f>
        <v/>
      </c>
      <c r="ND12">
        <f>IF('計算A'!DQ$106=1,HP12,1)</f>
        <v/>
      </c>
      <c r="NE12">
        <f>IF('計算A'!DR$106=1,HQ12,1)</f>
        <v/>
      </c>
      <c r="NF12">
        <f>IF('計算A'!DS$106=1,HR12,1)</f>
        <v/>
      </c>
      <c r="NG12">
        <f>IF('計算A'!DT$106=1,HS12,1)</f>
        <v/>
      </c>
      <c r="NH12">
        <f>IF('計算A'!DU$106=1,HT12,1)</f>
        <v/>
      </c>
      <c r="NI12">
        <f>IF('計算A'!DV$106=1,HU12,1)</f>
        <v/>
      </c>
      <c r="NJ12">
        <f>IF('計算A'!DW$106=1,HV12,1)</f>
        <v/>
      </c>
      <c r="NK12">
        <f>IF('計算A'!DX$106=1,HW12,1)</f>
        <v/>
      </c>
      <c r="NL12">
        <f>IF('計算A'!DY$106=1,HX12,1)</f>
        <v/>
      </c>
      <c r="NM12">
        <f>IF('計算A'!DZ$106=1,HY12,1)</f>
        <v/>
      </c>
      <c r="NN12">
        <f>IF('計算A'!EA$106=1,HZ12,1)</f>
        <v/>
      </c>
      <c r="NO12">
        <f>IF('計算A'!EB$106=1,IA12,1)</f>
        <v/>
      </c>
      <c r="NP12">
        <f>IF('計算A'!EC$106=1,IB12,1)</f>
        <v/>
      </c>
      <c r="NQ12">
        <f>IF('計算A'!ED$106=1,IC12,1)</f>
        <v/>
      </c>
      <c r="NR12">
        <f>IF('計算A'!EE$106=1,ID12,1)</f>
        <v/>
      </c>
      <c r="NS12">
        <f>IF('計算A'!EF$106=1,IE12,1)</f>
        <v/>
      </c>
      <c r="NT12">
        <f>IF('計算A'!EG$106=1,IF12,1)</f>
        <v/>
      </c>
      <c r="NU12">
        <f>IF('計算A'!EH$106=1,IG12,1)</f>
        <v/>
      </c>
      <c r="NV12">
        <f>IF('計算A'!EI$106=1,IH12,1)</f>
        <v/>
      </c>
      <c r="NW12">
        <f>IF('計算A'!EJ$106=1,II12,1)</f>
        <v/>
      </c>
      <c r="NX12">
        <f>IF('計算A'!EK$106=1,IJ12,1)</f>
        <v/>
      </c>
      <c r="NY12">
        <f>IF('計算A'!EL$106=1,IK12,1)</f>
        <v/>
      </c>
      <c r="NZ12">
        <f>IF('計算A'!EM$106=1,IL12,1)</f>
        <v/>
      </c>
      <c r="OA12">
        <f>IF('計算A'!EN$106=1,IM12,1)</f>
        <v/>
      </c>
      <c r="OB12">
        <f>IF('計算A'!EO$106=1,IN12,1)</f>
        <v/>
      </c>
      <c r="OC12">
        <f>IF('計算A'!EP$106=1,IO12,1)</f>
        <v/>
      </c>
      <c r="OD12" t="n">
        <v>1</v>
      </c>
      <c r="OF12">
        <f>IF($B12=0,1000000,IF(INDEX('計算A'!$D$60:$EQ$104,$B12,1)*DB12=1,IF(AND($E12=2,IQ12=0),1000000,IF($I12&gt;0,IF(1=$J12,IF(OR(AND(1=$I12+1,OR($K12&lt;&gt;'計算A'!$A$3,'計算A'!$A$4=0)),AND(1=$I12-1,OR(1&lt;&gt;'計算A'!$A$3,'計算A'!$A$4=0))),0,IF(1=$K12,200000,ABS(1-$K12)*100)),100000+ABS(1-$J12)*1000+10)+'計算A'!D$5*50+IF(AND($E12=1,IQ12=0),25,0),IF($F12&gt;0,INDEX('計算A'!D$110:D$114,$F12+1)+IF(AND($E12=1,IQ12=0),1000,0),MIN(TU12,20)*400+(IF('計算A'!D$106=1,1-DC12,0))*150+11+'計算A'!D$5*100000+IF(AND($E12=1,IQ12=0),50000,0))+IF($H12=1,(IF('計算A'!D$117=1,INDEX('計算A'!E$10:E$54,$B12),0))*4000,0)-IF(AND($L12=1,'計算A'!D$117=1,DC12=0),2000,0))),1000000))</f>
        <v/>
      </c>
      <c r="OG12">
        <f>IF($B12=0,1000000,IF(INDEX('計算A'!$D$60:$EQ$104,$B12,2)*DC12=1,IF(AND($E12=2,IR12=0),1000000,IF($I12&gt;0,IF(1=$J12,IF(OR(AND(2=$I12+1,OR($K12&lt;&gt;'計算A'!$A$3,'計算A'!$A$4=0)),AND(2=$I12-1,OR(2&lt;&gt;'計算A'!$A$3,'計算A'!$A$4=0))),0,IF(2=$K12,200000,ABS(2-$K12)*100)),100000+ABS(1-$J12)*1000+20)+'計算A'!E$5*50+IF(AND($E12=1,IR12=0),25,0),IF($F12&gt;0,INDEX('計算A'!E$110:E$114,$F12+1)+IF(AND($E12=1,IR12=0),1000,0),MIN(TU12,20)*400+(IF('計算A'!D$106=1,1-DB12,0)+IF('計算A'!E$106=1,1-DD12,0))*150+21+'計算A'!E$5*100000+IF(AND($E12=1,IR12=0),50000,0))+IF($H12=1,(IF('計算A'!D$117=1,INDEX('計算A'!D$10:D$54,$B12),0)+IF('計算A'!E$117=1,INDEX('計算A'!F$10:F$54,$B12),0))*4000,0)-IF(AND('計算A'!D$117=1,UB12&gt;0),2000,0)-IF(AND($L12=1,'計算A'!E$117=1,DD12=0),2000,0))),1000000))</f>
        <v/>
      </c>
      <c r="OH12">
        <f>IF($B12=0,1000000,IF(INDEX('計算A'!$D$60:$EQ$104,$B12,3)*DD12=1,IF(AND($E12=2,IS12=0),1000000,IF($I12&gt;0,IF(1=$J12,IF(OR(AND(3=$I12+1,OR($K12&lt;&gt;'計算A'!$A$3,'計算A'!$A$4=0)),AND(3=$I12-1,OR(3&lt;&gt;'計算A'!$A$3,'計算A'!$A$4=0))),0,IF(3=$K12,200000,ABS(3-$K12)*100)),100000+ABS(1-$J12)*1000+30)+'計算A'!F$5*50+IF(AND($E12=1,IS12=0),25,0),IF($F12&gt;0,INDEX('計算A'!F$110:F$114,$F12+1)+IF(AND($E12=1,IS12=0),1000,0),MIN(TU12,20)*400+(IF('計算A'!E$106=1,1-DC12,0)+IF('計算A'!F$106=1,1-DE12,0))*150+31+'計算A'!F$5*100000+IF(AND($E12=1,IS12=0),50000,0))+IF($H12=1,(IF('計算A'!E$117=1,INDEX('計算A'!E$10:E$54,$B12),0)+IF('計算A'!F$117=1,INDEX('計算A'!G$10:G$54,$B12),0))*4000,0)-IF(AND('計算A'!E$117=1,UC12&gt;0),2000,0)-IF(AND($L12=1,'計算A'!F$117=1,DE12=0),2000,0))),1000000))</f>
        <v/>
      </c>
      <c r="OI12">
        <f>IF($B12=0,1000000,IF(INDEX('計算A'!$D$60:$EQ$104,$B12,4)*DE12=1,IF(AND($E12=2,IT12=0),1000000,IF($I12&gt;0,IF(1=$J12,IF(OR(AND(4=$I12+1,OR($K12&lt;&gt;'計算A'!$A$3,'計算A'!$A$4=0)),AND(4=$I12-1,OR(4&lt;&gt;'計算A'!$A$3,'計算A'!$A$4=0))),0,IF(4=$K12,200000,ABS(4-$K12)*100)),100000+ABS(1-$J12)*1000+40)+'計算A'!G$5*50+IF(AND($E12=1,IT12=0),25,0),IF($F12&gt;0,INDEX('計算A'!G$110:G$114,$F12+1)+IF(AND($E12=1,IT12=0),1000,0),MIN(TU12,20)*400+(IF('計算A'!F$106=1,1-DD12,0)+IF('計算A'!G$106=1,1-DF12,0))*150+41+'計算A'!G$5*100000+IF(AND($E12=1,IT12=0),50000,0))+IF($H12=1,(IF('計算A'!F$117=1,INDEX('計算A'!F$10:F$54,$B12),0)+IF('計算A'!G$117=1,INDEX('計算A'!H$10:H$54,$B12),0))*4000,0)-IF(AND('計算A'!F$117=1,UD12&gt;0),2000,0)-IF(AND($L12=1,'計算A'!G$117=1,DF12=0),2000,0))),1000000))</f>
        <v/>
      </c>
      <c r="OJ12">
        <f>IF($B12=0,1000000,IF(INDEX('計算A'!$D$60:$EQ$104,$B12,5)*DF12=1,IF(AND($E12=2,IU12=0),1000000,IF($I12&gt;0,IF(1=$J12,IF(OR(AND(5=$I12+1,OR($K12&lt;&gt;'計算A'!$A$3,'計算A'!$A$4=0)),AND(5=$I12-1,OR(5&lt;&gt;'計算A'!$A$3,'計算A'!$A$4=0))),0,IF(5=$K12,200000,ABS(5-$K12)*100)),100000+ABS(1-$J12)*1000+50)+'計算A'!H$5*50+IF(AND($E12=1,IU12=0),25,0),IF($F12&gt;0,INDEX('計算A'!H$110:H$114,$F12+1)+IF(AND($E12=1,IU12=0),1000,0),MIN(TU12,20)*400+(IF('計算A'!G$106=1,1-DE12,0)+IF('計算A'!H$106=1,1-DG12,0))*150+51+'計算A'!H$5*100000+IF(AND($E12=1,IU12=0),50000,0))+IF($H12=1,(IF('計算A'!G$117=1,INDEX('計算A'!G$10:G$54,$B12),0)+IF('計算A'!H$117=1,INDEX('計算A'!I$10:I$54,$B12),0))*4000,0)-IF(AND('計算A'!G$117=1,UE12&gt;0),2000,0)-IF(AND($L12=1,'計算A'!H$117=1,DG12=0),2000,0))),1000000))</f>
        <v/>
      </c>
      <c r="OK12">
        <f>IF($B12=0,1000000,IF(INDEX('計算A'!$D$60:$EQ$104,$B12,6)*DG12=1,IF(AND($E12=2,IV12=0),1000000,IF($I12&gt;0,IF(1=$J12,IF(OR(AND(6=$I12+1,OR($K12&lt;&gt;'計算A'!$A$3,'計算A'!$A$4=0)),AND(6=$I12-1,OR(6&lt;&gt;'計算A'!$A$3,'計算A'!$A$4=0))),0,IF(6=$K12,200000,ABS(6-$K12)*100)),100000+ABS(1-$J12)*1000+60)+'計算A'!I$5*50+IF(AND($E12=1,IV12=0),25,0),IF($F12&gt;0,INDEX('計算A'!I$110:I$114,$F12+1)+IF(AND($E12=1,IV12=0),1000,0),MIN(TU12,20)*400+(IF('計算A'!H$106=1,1-DF12,0)+IF('計算A'!I$106=1,1-DH12,0))*150+61+'計算A'!I$5*100000+IF(AND($E12=1,IV12=0),50000,0))+IF($H12=1,(IF('計算A'!H$117=1,INDEX('計算A'!H$10:H$54,$B12),0)+IF('計算A'!I$117=1,INDEX('計算A'!J$10:J$54,$B12),0))*4000,0)-IF(AND('計算A'!H$117=1,UF12&gt;0),2000,0)-IF(AND($L12=1,'計算A'!I$117=1,DH12=0),2000,0))),1000000))</f>
        <v/>
      </c>
      <c r="OL12">
        <f>IF($B12=0,1000000,IF(INDEX('計算A'!$D$60:$EQ$104,$B12,7)*DH12=1,IF(AND($E12=2,IW12=0),1000000,IF($I12&gt;0,IF(1=$J12,IF(OR(AND(7=$I12+1,OR($K12&lt;&gt;'計算A'!$A$3,'計算A'!$A$4=0)),AND(7=$I12-1,OR(7&lt;&gt;'計算A'!$A$3,'計算A'!$A$4=0))),0,IF(7=$K12,200000,ABS(7-$K12)*100)),100000+ABS(1-$J12)*1000+70)+'計算A'!J$5*50+IF(AND($E12=1,IW12=0),25,0),IF($F12&gt;0,INDEX('計算A'!J$110:J$114,$F12+1)+IF(AND($E12=1,IW12=0),1000,0),MIN(TU12,20)*400+(IF('計算A'!I$106=1,1-DG12,0)+IF('計算A'!J$106=1,1-DI12,0))*150+71+'計算A'!J$5*100000+IF(AND($E12=1,IW12=0),50000,0))+IF($H12=1,(IF('計算A'!I$117=1,INDEX('計算A'!I$10:I$54,$B12),0)+IF('計算A'!J$117=1,INDEX('計算A'!K$10:K$54,$B12),0))*4000,0)-IF(AND('計算A'!I$117=1,UG12&gt;0),2000,0)-IF(AND($L12=1,'計算A'!J$117=1,DI12=0),2000,0))),1000000))</f>
        <v/>
      </c>
      <c r="OM12">
        <f>IF($B12=0,1000000,IF(INDEX('計算A'!$D$60:$EQ$104,$B12,8)*DI12=1,IF(AND($E12=2,IX12=0),1000000,IF($I12&gt;0,IF(1=$J12,IF(OR(AND(8=$I12+1,OR($K12&lt;&gt;'計算A'!$A$3,'計算A'!$A$4=0)),AND(8=$I12-1,OR(8&lt;&gt;'計算A'!$A$3,'計算A'!$A$4=0))),0,IF(8=$K12,200000,ABS(8-$K12)*100)),100000+ABS(1-$J12)*1000+80)+'計算A'!K$5*50+IF(AND($E12=1,IX12=0),25,0),IF($F12&gt;0,INDEX('計算A'!K$110:K$114,$F12+1)+IF(AND($E12=1,IX12=0),1000,0),MIN(TU12,20)*400+(IF('計算A'!J$106=1,1-DH12,0)+IF('計算A'!K$106=1,1-DJ12,0))*150+81+'計算A'!K$5*100000+IF(AND($E12=1,IX12=0),50000,0))+IF($H12=1,(IF('計算A'!J$117=1,INDEX('計算A'!J$10:J$54,$B12),0)+IF('計算A'!K$117=1,INDEX('計算A'!L$10:L$54,$B12),0))*4000,0)-IF(AND('計算A'!J$117=1,UH12&gt;0),2000,0)-IF(AND($L12=1,'計算A'!K$117=1,DJ12=0),2000,0))),1000000))</f>
        <v/>
      </c>
      <c r="ON12">
        <f>IF($B12=0,1000000,IF(INDEX('計算A'!$D$60:$EQ$104,$B12,9)*DJ12=1,IF(AND($E12=2,IY12=0),1000000,IF($I12&gt;0,IF(1=$J12,IF(OR(AND(9=$I12+1,OR($K12&lt;&gt;'計算A'!$A$3,'計算A'!$A$4=0)),AND(9=$I12-1,OR(9&lt;&gt;'計算A'!$A$3,'計算A'!$A$4=0))),0,IF(9=$K12,200000,ABS(9-$K12)*100)),100000+ABS(1-$J12)*1000+90)+'計算A'!L$5*50+IF(AND($E12=1,IY12=0),25,0),IF($F12&gt;0,INDEX('計算A'!L$110:L$114,$F12+1)+IF(AND($E12=1,IY12=0),1000,0),MIN(TU12,20)*400+(IF('計算A'!K$106=1,1-DI12,0)+IF('計算A'!L$106=1,1-DK12,0))*150+91+'計算A'!L$5*100000+IF(AND($E12=1,IY12=0),50000,0))+IF($H12=1,(IF('計算A'!K$117=1,INDEX('計算A'!K$10:K$54,$B12),0)+IF('計算A'!L$117=1,INDEX('計算A'!M$10:M$54,$B12),0))*4000,0)-IF(AND('計算A'!K$117=1,UI12&gt;0),2000,0)-IF(AND($L12=1,'計算A'!L$117=1,DK12=0),2000,0))),1000000))</f>
        <v/>
      </c>
      <c r="OO12">
        <f>IF($B12=0,1000000,IF(INDEX('計算A'!$D$60:$EQ$104,$B12,10)*DK12=1,IF(AND($E12=2,IZ12=0),1000000,IF($I12&gt;0,IF(1=$J12,IF(OR(AND(10=$I12+1,OR($K12&lt;&gt;'計算A'!$A$3,'計算A'!$A$4=0)),AND(10=$I12-1,OR(10&lt;&gt;'計算A'!$A$3,'計算A'!$A$4=0))),0,IF(10=$K12,200000,ABS(10-$K12)*100)),100000+ABS(1-$J12)*1000+100)+'計算A'!M$5*50+IF(AND($E12=1,IZ12=0),25,0),IF($F12&gt;0,INDEX('計算A'!M$110:M$114,$F12+1)+IF(AND($E12=1,IZ12=0),1000,0),MIN(TU12,20)*400+(IF('計算A'!L$106=1,1-DJ12,0)+IF('計算A'!M$106=1,1-DL12,0))*150+101+'計算A'!M$5*100000+IF(AND($E12=1,IZ12=0),50000,0))+IF($H12=1,(IF('計算A'!L$117=1,INDEX('計算A'!L$10:L$54,$B12),0)+IF('計算A'!M$117=1,INDEX('計算A'!N$10:N$54,$B12),0))*4000,0)-IF(AND('計算A'!L$117=1,UJ12&gt;0),2000,0)-IF(AND($L12=1,'計算A'!M$117=1,DL12=0),2000,0))),1000000))</f>
        <v/>
      </c>
      <c r="OP12">
        <f>IF($B12=0,1000000,IF(INDEX('計算A'!$D$60:$EQ$104,$B12,11)*DL12=1,IF(AND($E12=2,JA12=0),1000000,IF($I12&gt;0,IF(1=$J12,IF(OR(AND(11=$I12+1,OR($K12&lt;&gt;'計算A'!$A$3,'計算A'!$A$4=0)),AND(11=$I12-1,OR(11&lt;&gt;'計算A'!$A$3,'計算A'!$A$4=0))),0,IF(11=$K12,200000,ABS(11-$K12)*100)),100000+ABS(1-$J12)*1000+110)+'計算A'!N$5*50+IF(AND($E12=1,JA12=0),25,0),IF($F12&gt;0,INDEX('計算A'!N$110:N$114,$F12+1)+IF(AND($E12=1,JA12=0),1000,0),MIN(TU12,20)*400+(IF('計算A'!M$106=1,1-DK12,0)+IF('計算A'!N$106=1,1-DM12,0))*150+111+'計算A'!N$5*100000+IF(AND($E12=1,JA12=0),50000,0))+IF($H12=1,(IF('計算A'!M$117=1,INDEX('計算A'!M$10:M$54,$B12),0)+IF('計算A'!N$117=1,INDEX('計算A'!O$10:O$54,$B12),0))*4000,0)-IF(AND('計算A'!M$117=1,UK12&gt;0),2000,0)-IF(AND($L12=1,'計算A'!N$117=1,DM12=0),2000,0))),1000000))</f>
        <v/>
      </c>
      <c r="OQ12">
        <f>IF($B12=0,1000000,IF(INDEX('計算A'!$D$60:$EQ$104,$B12,12)*DM12=1,IF(AND($E12=2,JB12=0),1000000,IF($I12&gt;0,IF(1=$J12,IF(OR(AND(12=$I12+1,OR($K12&lt;&gt;'計算A'!$A$3,'計算A'!$A$4=0)),AND(12=$I12-1,OR(12&lt;&gt;'計算A'!$A$3,'計算A'!$A$4=0))),0,IF(12=$K12,200000,ABS(12-$K12)*100)),100000+ABS(1-$J12)*1000+120)+'計算A'!O$5*50+IF(AND($E12=1,JB12=0),25,0),IF($F12&gt;0,INDEX('計算A'!O$110:O$114,$F12+1)+IF(AND($E12=1,JB12=0),1000,0),MIN(TU12,20)*400+(IF('計算A'!N$106=1,1-DL12,0)+IF('計算A'!O$106=1,1-DN12,0))*150+121+'計算A'!O$5*100000+IF(AND($E12=1,JB12=0),50000,0))+IF($H12=1,(IF('計算A'!N$117=1,INDEX('計算A'!N$10:N$54,$B12),0)+IF('計算A'!O$117=1,INDEX('計算A'!P$10:P$54,$B12),0))*4000,0)-IF(AND('計算A'!N$117=1,UL12&gt;0),2000,0)-IF(AND($L12=1,'計算A'!O$117=1,DN12=0),2000,0))),1000000))</f>
        <v/>
      </c>
      <c r="OR12">
        <f>IF($B12=0,1000000,IF(INDEX('計算A'!$D$60:$EQ$104,$B12,13)*DN12=1,IF(AND($E12=2,JC12=0),1000000,IF($I12&gt;0,IF(1=$J12,IF(OR(AND(13=$I12+1,OR($K12&lt;&gt;'計算A'!$A$3,'計算A'!$A$4=0)),AND(13=$I12-1,OR(13&lt;&gt;'計算A'!$A$3,'計算A'!$A$4=0))),0,IF(13=$K12,200000,ABS(13-$K12)*100)),100000+ABS(1-$J12)*1000+130)+'計算A'!P$5*50+IF(AND($E12=1,JC12=0),25,0),IF($F12&gt;0,INDEX('計算A'!P$110:P$114,$F12+1)+IF(AND($E12=1,JC12=0),1000,0),MIN(TU12,20)*400+(IF('計算A'!O$106=1,1-DM12,0)+IF('計算A'!P$106=1,1-DO12,0))*150+131+'計算A'!P$5*100000+IF(AND($E12=1,JC12=0),50000,0))+IF($H12=1,(IF('計算A'!O$117=1,INDEX('計算A'!O$10:O$54,$B12),0)+IF('計算A'!P$117=1,INDEX('計算A'!Q$10:Q$54,$B12),0))*4000,0)-IF(AND('計算A'!O$117=1,UM12&gt;0),2000,0)-IF(AND($L12=1,'計算A'!P$117=1,DO12=0),2000,0))),1000000))</f>
        <v/>
      </c>
      <c r="OS12">
        <f>IF($B12=0,1000000,IF(INDEX('計算A'!$D$60:$EQ$104,$B12,14)*DO12=1,IF(AND($E12=2,JD12=0),1000000,IF($I12&gt;0,IF(1=$J12,IF(OR(AND(14=$I12+1,OR($K12&lt;&gt;'計算A'!$A$3,'計算A'!$A$4=0)),AND(14=$I12-1,OR(14&lt;&gt;'計算A'!$A$3,'計算A'!$A$4=0))),0,IF(14=$K12,200000,ABS(14-$K12)*100)),100000+ABS(1-$J12)*1000+140)+'計算A'!Q$5*50+IF(AND($E12=1,JD12=0),25,0),IF($F12&gt;0,INDEX('計算A'!Q$110:Q$114,$F12+1)+IF(AND($E12=1,JD12=0),1000,0),MIN(TU12,20)*400+(IF('計算A'!P$106=1,1-DN12,0)+IF('計算A'!Q$106=1,1-DP12,0))*150+141+'計算A'!Q$5*100000+IF(AND($E12=1,JD12=0),50000,0))+IF($H12=1,(IF('計算A'!P$117=1,INDEX('計算A'!P$10:P$54,$B12),0)+IF('計算A'!Q$117=1,INDEX('計算A'!R$10:R$54,$B12),0))*4000,0)-IF(AND('計算A'!P$117=1,UN12&gt;0),2000,0)-IF(AND($L12=1,'計算A'!Q$117=1,DP12=0),2000,0))),1000000))</f>
        <v/>
      </c>
      <c r="OT12">
        <f>IF($B12=0,1000000,IF(INDEX('計算A'!$D$60:$EQ$104,$B12,15)*DP12=1,IF(AND($E12=2,JE12=0),1000000,IF($I12&gt;0,IF(1=$J12,IF(OR(AND(15=$I12+1,OR($K12&lt;&gt;'計算A'!$A$3,'計算A'!$A$4=0)),AND(15=$I12-1,OR(15&lt;&gt;'計算A'!$A$3,'計算A'!$A$4=0))),0,IF(15=$K12,200000,ABS(15-$K12)*100)),100000+ABS(1-$J12)*1000+150)+'計算A'!R$5*50+IF(AND($E12=1,JE12=0),25,0),IF($F12&gt;0,INDEX('計算A'!R$110:R$114,$F12+1)+IF(AND($E12=1,JE12=0),1000,0),MIN(TU12,20)*400+(IF('計算A'!Q$106=1,1-DO12,0)+IF('計算A'!R$106=1,1-DQ12,0))*150+151+'計算A'!R$5*100000+IF(AND($E12=1,JE12=0),50000,0))+IF($H12=1,(IF('計算A'!Q$117=1,INDEX('計算A'!Q$10:Q$54,$B12),0)+IF('計算A'!R$117=1,INDEX('計算A'!S$10:S$54,$B12),0))*4000,0)-IF(AND('計算A'!Q$117=1,UO12&gt;0),2000,0)-IF(AND($L12=1,'計算A'!R$117=1,DQ12=0),2000,0))),1000000))</f>
        <v/>
      </c>
      <c r="OU12">
        <f>IF($B12=0,1000000,IF(INDEX('計算A'!$D$60:$EQ$104,$B12,16)*DQ12=1,IF(AND($E12=2,JF12=0),1000000,IF($I12&gt;0,IF(1=$J12,IF(OR(AND(16=$I12+1,OR($K12&lt;&gt;'計算A'!$A$3,'計算A'!$A$4=0)),AND(16=$I12-1,OR(16&lt;&gt;'計算A'!$A$3,'計算A'!$A$4=0))),0,IF(16=$K12,200000,ABS(16-$K12)*100)),100000+ABS(1-$J12)*1000+160)+'計算A'!S$5*50+IF(AND($E12=1,JF12=0),25,0),IF($F12&gt;0,INDEX('計算A'!S$110:S$114,$F12+1)+IF(AND($E12=1,JF12=0),1000,0),MIN(TU12,20)*400+(IF('計算A'!R$106=1,1-DP12,0)+IF('計算A'!S$106=1,1-DR12,0))*150+161+'計算A'!S$5*100000+IF(AND($E12=1,JF12=0),50000,0))+IF($H12=1,(IF('計算A'!R$117=1,INDEX('計算A'!R$10:R$54,$B12),0)+IF('計算A'!S$117=1,INDEX('計算A'!T$10:T$54,$B12),0))*4000,0)-IF(AND('計算A'!R$117=1,UP12&gt;0),2000,0)-IF(AND($L12=1,'計算A'!S$117=1,DR12=0),2000,0))),1000000))</f>
        <v/>
      </c>
      <c r="OV12">
        <f>IF($B12=0,1000000,IF(INDEX('計算A'!$D$60:$EQ$104,$B12,17)*DR12=1,IF(AND($E12=2,JG12=0),1000000,IF($I12&gt;0,IF(1=$J12,IF(OR(AND(17=$I12+1,OR($K12&lt;&gt;'計算A'!$A$3,'計算A'!$A$4=0)),AND(17=$I12-1,OR(17&lt;&gt;'計算A'!$A$3,'計算A'!$A$4=0))),0,IF(17=$K12,200000,ABS(17-$K12)*100)),100000+ABS(1-$J12)*1000+170)+'計算A'!T$5*50+IF(AND($E12=1,JG12=0),25,0),IF($F12&gt;0,INDEX('計算A'!T$110:T$114,$F12+1)+IF(AND($E12=1,JG12=0),1000,0),MIN(TU12,20)*400+(IF('計算A'!S$106=1,1-DQ12,0)+IF('計算A'!T$106=1,1-DS12,0))*150+171+'計算A'!T$5*100000+IF(AND($E12=1,JG12=0),50000,0))+IF($H12=1,(IF('計算A'!S$117=1,INDEX('計算A'!S$10:S$54,$B12),0)+IF('計算A'!T$117=1,INDEX('計算A'!U$10:U$54,$B12),0))*4000,0)-IF(AND('計算A'!S$117=1,UQ12&gt;0),2000,0)-IF(AND($L12=1,'計算A'!T$117=1,DS12=0),2000,0))),1000000))</f>
        <v/>
      </c>
      <c r="OW12">
        <f>IF($B12=0,1000000,IF(INDEX('計算A'!$D$60:$EQ$104,$B12,18)*DS12=1,IF(AND($E12=2,JH12=0),1000000,IF($I12&gt;0,IF(1=$J12,IF(OR(AND(18=$I12+1,OR($K12&lt;&gt;'計算A'!$A$3,'計算A'!$A$4=0)),AND(18=$I12-1,OR(18&lt;&gt;'計算A'!$A$3,'計算A'!$A$4=0))),0,IF(18=$K12,200000,ABS(18-$K12)*100)),100000+ABS(1-$J12)*1000+180)+'計算A'!U$5*50+IF(AND($E12=1,JH12=0),25,0),IF($F12&gt;0,INDEX('計算A'!U$110:U$114,$F12+1)+IF(AND($E12=1,JH12=0),1000,0),MIN(TU12,20)*400+(IF('計算A'!T$106=1,1-DR12,0)+IF('計算A'!U$106=1,1-DT12,0))*150+181+'計算A'!U$5*100000+IF(AND($E12=1,JH12=0),50000,0))+IF($H12=1,(IF('計算A'!T$117=1,INDEX('計算A'!T$10:T$54,$B12),0)+IF('計算A'!U$117=1,INDEX('計算A'!V$10:V$54,$B12),0))*4000,0)-IF(AND('計算A'!T$117=1,UR12&gt;0),2000,0)-IF(AND($L12=1,'計算A'!U$117=1,DT12=0),2000,0))),1000000))</f>
        <v/>
      </c>
      <c r="OX12">
        <f>IF($B12=0,1000000,IF(INDEX('計算A'!$D$60:$EQ$104,$B12,19)*DT12=1,IF(AND($E12=2,JI12=0),1000000,IF($I12&gt;0,IF(1=$J12,IF(OR(AND(19=$I12+1,OR($K12&lt;&gt;'計算A'!$A$3,'計算A'!$A$4=0)),AND(19=$I12-1,OR(19&lt;&gt;'計算A'!$A$3,'計算A'!$A$4=0))),0,IF(19=$K12,200000,ABS(19-$K12)*100)),100000+ABS(1-$J12)*1000+190)+'計算A'!V$5*50+IF(AND($E12=1,JI12=0),25,0),IF($F12&gt;0,INDEX('計算A'!V$110:V$114,$F12+1)+IF(AND($E12=1,JI12=0),1000,0),MIN(TU12,20)*400+(IF('計算A'!U$106=1,1-DS12,0)+IF('計算A'!V$106=1,1-DU12,0))*150+191+'計算A'!V$5*100000+IF(AND($E12=1,JI12=0),50000,0))+IF($H12=1,(IF('計算A'!U$117=1,INDEX('計算A'!U$10:U$54,$B12),0)+IF('計算A'!V$117=1,INDEX('計算A'!W$10:W$54,$B12),0))*4000,0)-IF(AND('計算A'!U$117=1,US12&gt;0),2000,0)-IF(AND($L12=1,'計算A'!V$117=1,DU12=0),2000,0))),1000000))</f>
        <v/>
      </c>
      <c r="OY12">
        <f>IF($B12=0,1000000,IF(INDEX('計算A'!$D$60:$EQ$104,$B12,20)*DU12=1,IF(AND($E12=2,JJ12=0),1000000,IF($I12&gt;0,IF(1=$J12,IF(OR(AND(20=$I12+1,OR($K12&lt;&gt;'計算A'!$A$3,'計算A'!$A$4=0)),AND(20=$I12-1,OR(20&lt;&gt;'計算A'!$A$3,'計算A'!$A$4=0))),0,IF(20=$K12,200000,ABS(20-$K12)*100)),100000+ABS(1-$J12)*1000+200)+'計算A'!W$5*50+IF(AND($E12=1,JJ12=0),25,0),IF($F12&gt;0,INDEX('計算A'!W$110:W$114,$F12+1)+IF(AND($E12=1,JJ12=0),1000,0),MIN(TU12,20)*400+(IF('計算A'!V$106=1,1-DT12,0)+IF('計算A'!W$106=1,1-DV12,0))*150+201+'計算A'!W$5*100000+IF(AND($E12=1,JJ12=0),50000,0))+IF($H12=1,(IF('計算A'!V$117=1,INDEX('計算A'!V$10:V$54,$B12),0)+IF('計算A'!W$117=1,INDEX('計算A'!X$10:X$54,$B12),0))*4000,0)-IF(AND('計算A'!V$117=1,UT12&gt;0),2000,0)-IF(AND($L12=1,'計算A'!W$117=1,DV12=0),2000,0))),1000000))</f>
        <v/>
      </c>
      <c r="OZ12">
        <f>IF($B12=0,1000000,IF(INDEX('計算A'!$D$60:$EQ$104,$B12,21)*DV12=1,IF(AND($E12=2,JK12=0),1000000,IF($I12&gt;0,IF(1=$J12,IF(OR(AND(21=$I12+1,OR($K12&lt;&gt;'計算A'!$A$3,'計算A'!$A$4=0)),AND(21=$I12-1,OR(21&lt;&gt;'計算A'!$A$3,'計算A'!$A$4=0))),0,IF(21=$K12,200000,ABS(21-$K12)*100)),100000+ABS(1-$J12)*1000+210)+'計算A'!X$5*50+IF(AND($E12=1,JK12=0),25,0),IF($F12&gt;0,INDEX('計算A'!X$110:X$114,$F12+1)+IF(AND($E12=1,JK12=0),1000,0),MIN(TU12,20)*400+(IF('計算A'!W$106=1,1-DU12,0)+IF('計算A'!X$106=1,1-DW12,0))*150+211+'計算A'!X$5*100000+IF(AND($E12=1,JK12=0),50000,0))+IF($H12=1,(IF('計算A'!W$117=1,INDEX('計算A'!W$10:W$54,$B12),0)+IF('計算A'!X$117=1,INDEX('計算A'!Y$10:Y$54,$B12),0))*4000,0)-IF(AND('計算A'!W$117=1,UU12&gt;0),2000,0)-IF(AND($L12=1,'計算A'!X$117=1,DW12=0),2000,0))),1000000))</f>
        <v/>
      </c>
      <c r="PA12">
        <f>IF($B12=0,1000000,IF(INDEX('計算A'!$D$60:$EQ$104,$B12,22)*DW12=1,IF(AND($E12=2,JL12=0),1000000,IF($I12&gt;0,IF(1=$J12,IF(OR(AND(22=$I12+1,OR($K12&lt;&gt;'計算A'!$A$3,'計算A'!$A$4=0)),AND(22=$I12-1,OR(22&lt;&gt;'計算A'!$A$3,'計算A'!$A$4=0))),0,IF(22=$K12,200000,ABS(22-$K12)*100)),100000+ABS(1-$J12)*1000+220)+'計算A'!Y$5*50+IF(AND($E12=1,JL12=0),25,0),IF($F12&gt;0,INDEX('計算A'!Y$110:Y$114,$F12+1)+IF(AND($E12=1,JL12=0),1000,0),MIN(TU12,20)*400+(IF('計算A'!X$106=1,1-DV12,0)+IF('計算A'!Y$106=1,1-DX12,0))*150+221+'計算A'!Y$5*100000+IF(AND($E12=1,JL12=0),50000,0))+IF($H12=1,(IF('計算A'!X$117=1,INDEX('計算A'!X$10:X$54,$B12),0)+IF('計算A'!Y$117=1,INDEX('計算A'!Z$10:Z$54,$B12),0))*4000,0)-IF(AND('計算A'!X$117=1,UV12&gt;0),2000,0)-IF(AND($L12=1,'計算A'!Y$117=1,DX12=0),2000,0))),1000000))</f>
        <v/>
      </c>
      <c r="PB12">
        <f>IF($B12=0,1000000,IF(INDEX('計算A'!$D$60:$EQ$104,$B12,23)*DX12=1,IF(AND($E12=2,JM12=0),1000000,IF($I12&gt;0,IF(1=$J12,IF(OR(AND(23=$I12+1,OR($K12&lt;&gt;'計算A'!$A$3,'計算A'!$A$4=0)),AND(23=$I12-1,OR(23&lt;&gt;'計算A'!$A$3,'計算A'!$A$4=0))),0,IF(23=$K12,200000,ABS(23-$K12)*100)),100000+ABS(1-$J12)*1000+230)+'計算A'!Z$5*50+IF(AND($E12=1,JM12=0),25,0),IF($F12&gt;0,INDEX('計算A'!Z$110:Z$114,$F12+1)+IF(AND($E12=1,JM12=0),1000,0),MIN(TU12,20)*400+(IF('計算A'!Y$106=1,1-DW12,0)+IF('計算A'!Z$106=1,1-DY12,0))*150+231+'計算A'!Z$5*100000+IF(AND($E12=1,JM12=0),50000,0))+IF($H12=1,(IF('計算A'!Y$117=1,INDEX('計算A'!Y$10:Y$54,$B12),0)+IF('計算A'!Z$117=1,INDEX('計算A'!AA$10:AA$54,$B12),0))*4000,0)-IF(AND('計算A'!Y$117=1,UW12&gt;0),2000,0)-IF(AND($L12=1,'計算A'!Z$117=1,DY12=0),2000,0))),1000000))</f>
        <v/>
      </c>
      <c r="PC12">
        <f>IF($B12=0,1000000,IF(INDEX('計算A'!$D$60:$EQ$104,$B12,24)*DY12=1,IF(AND($E12=2,JN12=0),1000000,IF($I12&gt;0,IF(1=$J12,IF(OR(AND(24=$I12+1,OR($K12&lt;&gt;'計算A'!$A$3,'計算A'!$A$4=0)),AND(24=$I12-1,OR(24&lt;&gt;'計算A'!$A$3,'計算A'!$A$4=0))),0,IF(24=$K12,200000,ABS(24-$K12)*100)),100000+ABS(1-$J12)*1000+240)+'計算A'!AA$5*50+IF(AND($E12=1,JN12=0),25,0),IF($F12&gt;0,INDEX('計算A'!AA$110:AA$114,$F12+1)+IF(AND($E12=1,JN12=0),1000,0),MIN(TU12,20)*400+(IF('計算A'!Z$106=1,1-DX12,0))*150+241+'計算A'!AA$5*100000+IF(AND($E12=1,JN12=0),50000,0))+IF($H12=1,(IF('計算A'!Z$117=1,INDEX('計算A'!Z$10:Z$54,$B12),0))*4000,0)-IF(AND('計算A'!Z$117=1,UX12&gt;0),2000,0))),1000000))</f>
        <v/>
      </c>
      <c r="PD12">
        <f>IF($B12=0,1000000,IF(INDEX('計算A'!$D$60:$EQ$104,$B12,25)*DZ12=1,IF(AND($E12=2,JO12=0),1000000,IF($I12&gt;0,IF(2=$J12,IF(OR(AND(25=$I12+1,OR($K12&lt;&gt;'計算A'!$A$3,'計算A'!$A$4=0)),AND(25=$I12-1,OR(1&lt;&gt;'計算A'!$A$3,'計算A'!$A$4=0))),0,IF(1=$K12,200000,ABS(1-$K12)*100)),100000+ABS(2-$J12)*1000+10)+'計算A'!AB$5*50+IF(AND($E12=1,JO12=0),25,0),IF($F12&gt;0,INDEX('計算A'!AB$110:AB$114,$F12+1)+IF(AND($E12=1,JO12=0),1000,0),MIN(TV12,20)*400+(IF('計算A'!AB$106=1,1-EA12,0))*150+12+'計算A'!AB$5*100000+IF(AND($E12=1,JO12=0),50000,0))+IF($H12=1,(IF('計算A'!AB$117=1,INDEX('計算A'!AC$10:AC$54,$B12),0))*4000,0)-IF(AND($L12=1,'計算A'!AB$117=1,EA12=0),2000,0))),1000000))</f>
        <v/>
      </c>
      <c r="PE12">
        <f>IF($B12=0,1000000,IF(INDEX('計算A'!$D$60:$EQ$104,$B12,26)*EA12=1,IF(AND($E12=2,JP12=0),1000000,IF($I12&gt;0,IF(2=$J12,IF(OR(AND(26=$I12+1,OR($K12&lt;&gt;'計算A'!$A$3,'計算A'!$A$4=0)),AND(26=$I12-1,OR(2&lt;&gt;'計算A'!$A$3,'計算A'!$A$4=0))),0,IF(2=$K12,200000,ABS(2-$K12)*100)),100000+ABS(2-$J12)*1000+20)+'計算A'!AC$5*50+IF(AND($E12=1,JP12=0),25,0),IF($F12&gt;0,INDEX('計算A'!AC$110:AC$114,$F12+1)+IF(AND($E12=1,JP12=0),1000,0),MIN(TV12,20)*400+(IF('計算A'!AB$106=1,1-DZ12,0)+IF('計算A'!AC$106=1,1-EB12,0))*150+22+'計算A'!AC$5*100000+IF(AND($E12=1,JP12=0),50000,0))+IF($H12=1,(IF('計算A'!AB$117=1,INDEX('計算A'!AB$10:AB$54,$B12),0)+IF('計算A'!AC$117=1,INDEX('計算A'!AD$10:AD$54,$B12),0))*4000,0)-IF(AND('計算A'!AB$117=1,UZ12&gt;0),2000,0)-IF(AND($L12=1,'計算A'!AC$117=1,EB12=0),2000,0))),1000000))</f>
        <v/>
      </c>
      <c r="PF12">
        <f>IF($B12=0,1000000,IF(INDEX('計算A'!$D$60:$EQ$104,$B12,27)*EB12=1,IF(AND($E12=2,JQ12=0),1000000,IF($I12&gt;0,IF(2=$J12,IF(OR(AND(27=$I12+1,OR($K12&lt;&gt;'計算A'!$A$3,'計算A'!$A$4=0)),AND(27=$I12-1,OR(3&lt;&gt;'計算A'!$A$3,'計算A'!$A$4=0))),0,IF(3=$K12,200000,ABS(3-$K12)*100)),100000+ABS(2-$J12)*1000+30)+'計算A'!AD$5*50+IF(AND($E12=1,JQ12=0),25,0),IF($F12&gt;0,INDEX('計算A'!AD$110:AD$114,$F12+1)+IF(AND($E12=1,JQ12=0),1000,0),MIN(TV12,20)*400+(IF('計算A'!AC$106=1,1-EA12,0)+IF('計算A'!AD$106=1,1-EC12,0))*150+32+'計算A'!AD$5*100000+IF(AND($E12=1,JQ12=0),50000,0))+IF($H12=1,(IF('計算A'!AC$117=1,INDEX('計算A'!AC$10:AC$54,$B12),0)+IF('計算A'!AD$117=1,INDEX('計算A'!AE$10:AE$54,$B12),0))*4000,0)-IF(AND('計算A'!AC$117=1,VA12&gt;0),2000,0)-IF(AND($L12=1,'計算A'!AD$117=1,EC12=0),2000,0))),1000000))</f>
        <v/>
      </c>
      <c r="PG12">
        <f>IF($B12=0,1000000,IF(INDEX('計算A'!$D$60:$EQ$104,$B12,28)*EC12=1,IF(AND($E12=2,JR12=0),1000000,IF($I12&gt;0,IF(2=$J12,IF(OR(AND(28=$I12+1,OR($K12&lt;&gt;'計算A'!$A$3,'計算A'!$A$4=0)),AND(28=$I12-1,OR(4&lt;&gt;'計算A'!$A$3,'計算A'!$A$4=0))),0,IF(4=$K12,200000,ABS(4-$K12)*100)),100000+ABS(2-$J12)*1000+40)+'計算A'!AE$5*50+IF(AND($E12=1,JR12=0),25,0),IF($F12&gt;0,INDEX('計算A'!AE$110:AE$114,$F12+1)+IF(AND($E12=1,JR12=0),1000,0),MIN(TV12,20)*400+(IF('計算A'!AD$106=1,1-EB12,0)+IF('計算A'!AE$106=1,1-ED12,0))*150+42+'計算A'!AE$5*100000+IF(AND($E12=1,JR12=0),50000,0))+IF($H12=1,(IF('計算A'!AD$117=1,INDEX('計算A'!AD$10:AD$54,$B12),0)+IF('計算A'!AE$117=1,INDEX('計算A'!AF$10:AF$54,$B12),0))*4000,0)-IF(AND('計算A'!AD$117=1,VB12&gt;0),2000,0)-IF(AND($L12=1,'計算A'!AE$117=1,ED12=0),2000,0))),1000000))</f>
        <v/>
      </c>
      <c r="PH12">
        <f>IF($B12=0,1000000,IF(INDEX('計算A'!$D$60:$EQ$104,$B12,29)*ED12=1,IF(AND($E12=2,JS12=0),1000000,IF($I12&gt;0,IF(2=$J12,IF(OR(AND(29=$I12+1,OR($K12&lt;&gt;'計算A'!$A$3,'計算A'!$A$4=0)),AND(29=$I12-1,OR(5&lt;&gt;'計算A'!$A$3,'計算A'!$A$4=0))),0,IF(5=$K12,200000,ABS(5-$K12)*100)),100000+ABS(2-$J12)*1000+50)+'計算A'!AF$5*50+IF(AND($E12=1,JS12=0),25,0),IF($F12&gt;0,INDEX('計算A'!AF$110:AF$114,$F12+1)+IF(AND($E12=1,JS12=0),1000,0),MIN(TV12,20)*400+(IF('計算A'!AE$106=1,1-EC12,0)+IF('計算A'!AF$106=1,1-EE12,0))*150+52+'計算A'!AF$5*100000+IF(AND($E12=1,JS12=0),50000,0))+IF($H12=1,(IF('計算A'!AE$117=1,INDEX('計算A'!AE$10:AE$54,$B12),0)+IF('計算A'!AF$117=1,INDEX('計算A'!AG$10:AG$54,$B12),0))*4000,0)-IF(AND('計算A'!AE$117=1,VC12&gt;0),2000,0)-IF(AND($L12=1,'計算A'!AF$117=1,EE12=0),2000,0))),1000000))</f>
        <v/>
      </c>
      <c r="PI12">
        <f>IF($B12=0,1000000,IF(INDEX('計算A'!$D$60:$EQ$104,$B12,30)*EE12=1,IF(AND($E12=2,JT12=0),1000000,IF($I12&gt;0,IF(2=$J12,IF(OR(AND(30=$I12+1,OR($K12&lt;&gt;'計算A'!$A$3,'計算A'!$A$4=0)),AND(30=$I12-1,OR(6&lt;&gt;'計算A'!$A$3,'計算A'!$A$4=0))),0,IF(6=$K12,200000,ABS(6-$K12)*100)),100000+ABS(2-$J12)*1000+60)+'計算A'!AG$5*50+IF(AND($E12=1,JT12=0),25,0),IF($F12&gt;0,INDEX('計算A'!AG$110:AG$114,$F12+1)+IF(AND($E12=1,JT12=0),1000,0),MIN(TV12,20)*400+(IF('計算A'!AF$106=1,1-ED12,0)+IF('計算A'!AG$106=1,1-EF12,0))*150+62+'計算A'!AG$5*100000+IF(AND($E12=1,JT12=0),50000,0))+IF($H12=1,(IF('計算A'!AF$117=1,INDEX('計算A'!AF$10:AF$54,$B12),0)+IF('計算A'!AG$117=1,INDEX('計算A'!AH$10:AH$54,$B12),0))*4000,0)-IF(AND('計算A'!AF$117=1,VD12&gt;0),2000,0)-IF(AND($L12=1,'計算A'!AG$117=1,EF12=0),2000,0))),1000000))</f>
        <v/>
      </c>
      <c r="PJ12">
        <f>IF($B12=0,1000000,IF(INDEX('計算A'!$D$60:$EQ$104,$B12,31)*EF12=1,IF(AND($E12=2,JU12=0),1000000,IF($I12&gt;0,IF(2=$J12,IF(OR(AND(31=$I12+1,OR($K12&lt;&gt;'計算A'!$A$3,'計算A'!$A$4=0)),AND(31=$I12-1,OR(7&lt;&gt;'計算A'!$A$3,'計算A'!$A$4=0))),0,IF(7=$K12,200000,ABS(7-$K12)*100)),100000+ABS(2-$J12)*1000+70)+'計算A'!AH$5*50+IF(AND($E12=1,JU12=0),25,0),IF($F12&gt;0,INDEX('計算A'!AH$110:AH$114,$F12+1)+IF(AND($E12=1,JU12=0),1000,0),MIN(TV12,20)*400+(IF('計算A'!AG$106=1,1-EE12,0)+IF('計算A'!AH$106=1,1-EG12,0))*150+72+'計算A'!AH$5*100000+IF(AND($E12=1,JU12=0),50000,0))+IF($H12=1,(IF('計算A'!AG$117=1,INDEX('計算A'!AG$10:AG$54,$B12),0)+IF('計算A'!AH$117=1,INDEX('計算A'!AI$10:AI$54,$B12),0))*4000,0)-IF(AND('計算A'!AG$117=1,VE12&gt;0),2000,0)-IF(AND($L12=1,'計算A'!AH$117=1,EG12=0),2000,0))),1000000))</f>
        <v/>
      </c>
      <c r="PK12">
        <f>IF($B12=0,1000000,IF(INDEX('計算A'!$D$60:$EQ$104,$B12,32)*EG12=1,IF(AND($E12=2,JV12=0),1000000,IF($I12&gt;0,IF(2=$J12,IF(OR(AND(32=$I12+1,OR($K12&lt;&gt;'計算A'!$A$3,'計算A'!$A$4=0)),AND(32=$I12-1,OR(8&lt;&gt;'計算A'!$A$3,'計算A'!$A$4=0))),0,IF(8=$K12,200000,ABS(8-$K12)*100)),100000+ABS(2-$J12)*1000+80)+'計算A'!AI$5*50+IF(AND($E12=1,JV12=0),25,0),IF($F12&gt;0,INDEX('計算A'!AI$110:AI$114,$F12+1)+IF(AND($E12=1,JV12=0),1000,0),MIN(TV12,20)*400+(IF('計算A'!AH$106=1,1-EF12,0)+IF('計算A'!AI$106=1,1-EH12,0))*150+82+'計算A'!AI$5*100000+IF(AND($E12=1,JV12=0),50000,0))+IF($H12=1,(IF('計算A'!AH$117=1,INDEX('計算A'!AH$10:AH$54,$B12),0)+IF('計算A'!AI$117=1,INDEX('計算A'!AJ$10:AJ$54,$B12),0))*4000,0)-IF(AND('計算A'!AH$117=1,VF12&gt;0),2000,0)-IF(AND($L12=1,'計算A'!AI$117=1,EH12=0),2000,0))),1000000))</f>
        <v/>
      </c>
      <c r="PL12">
        <f>IF($B12=0,1000000,IF(INDEX('計算A'!$D$60:$EQ$104,$B12,33)*EH12=1,IF(AND($E12=2,JW12=0),1000000,IF($I12&gt;0,IF(2=$J12,IF(OR(AND(33=$I12+1,OR($K12&lt;&gt;'計算A'!$A$3,'計算A'!$A$4=0)),AND(33=$I12-1,OR(9&lt;&gt;'計算A'!$A$3,'計算A'!$A$4=0))),0,IF(9=$K12,200000,ABS(9-$K12)*100)),100000+ABS(2-$J12)*1000+90)+'計算A'!AJ$5*50+IF(AND($E12=1,JW12=0),25,0),IF($F12&gt;0,INDEX('計算A'!AJ$110:AJ$114,$F12+1)+IF(AND($E12=1,JW12=0),1000,0),MIN(TV12,20)*400+(IF('計算A'!AI$106=1,1-EG12,0)+IF('計算A'!AJ$106=1,1-EI12,0))*150+92+'計算A'!AJ$5*100000+IF(AND($E12=1,JW12=0),50000,0))+IF($H12=1,(IF('計算A'!AI$117=1,INDEX('計算A'!AI$10:AI$54,$B12),0)+IF('計算A'!AJ$117=1,INDEX('計算A'!AK$10:AK$54,$B12),0))*4000,0)-IF(AND('計算A'!AI$117=1,VG12&gt;0),2000,0)-IF(AND($L12=1,'計算A'!AJ$117=1,EI12=0),2000,0))),1000000))</f>
        <v/>
      </c>
      <c r="PM12">
        <f>IF($B12=0,1000000,IF(INDEX('計算A'!$D$60:$EQ$104,$B12,34)*EI12=1,IF(AND($E12=2,JX12=0),1000000,IF($I12&gt;0,IF(2=$J12,IF(OR(AND(34=$I12+1,OR($K12&lt;&gt;'計算A'!$A$3,'計算A'!$A$4=0)),AND(34=$I12-1,OR(10&lt;&gt;'計算A'!$A$3,'計算A'!$A$4=0))),0,IF(10=$K12,200000,ABS(10-$K12)*100)),100000+ABS(2-$J12)*1000+100)+'計算A'!AK$5*50+IF(AND($E12=1,JX12=0),25,0),IF($F12&gt;0,INDEX('計算A'!AK$110:AK$114,$F12+1)+IF(AND($E12=1,JX12=0),1000,0),MIN(TV12,20)*400+(IF('計算A'!AJ$106=1,1-EH12,0)+IF('計算A'!AK$106=1,1-EJ12,0))*150+102+'計算A'!AK$5*100000+IF(AND($E12=1,JX12=0),50000,0))+IF($H12=1,(IF('計算A'!AJ$117=1,INDEX('計算A'!AJ$10:AJ$54,$B12),0)+IF('計算A'!AK$117=1,INDEX('計算A'!AL$10:AL$54,$B12),0))*4000,0)-IF(AND('計算A'!AJ$117=1,VH12&gt;0),2000,0)-IF(AND($L12=1,'計算A'!AK$117=1,EJ12=0),2000,0))),1000000))</f>
        <v/>
      </c>
      <c r="PN12">
        <f>IF($B12=0,1000000,IF(INDEX('計算A'!$D$60:$EQ$104,$B12,35)*EJ12=1,IF(AND($E12=2,JY12=0),1000000,IF($I12&gt;0,IF(2=$J12,IF(OR(AND(35=$I12+1,OR($K12&lt;&gt;'計算A'!$A$3,'計算A'!$A$4=0)),AND(35=$I12-1,OR(11&lt;&gt;'計算A'!$A$3,'計算A'!$A$4=0))),0,IF(11=$K12,200000,ABS(11-$K12)*100)),100000+ABS(2-$J12)*1000+110)+'計算A'!AL$5*50+IF(AND($E12=1,JY12=0),25,0),IF($F12&gt;0,INDEX('計算A'!AL$110:AL$114,$F12+1)+IF(AND($E12=1,JY12=0),1000,0),MIN(TV12,20)*400+(IF('計算A'!AK$106=1,1-EI12,0)+IF('計算A'!AL$106=1,1-EK12,0))*150+112+'計算A'!AL$5*100000+IF(AND($E12=1,JY12=0),50000,0))+IF($H12=1,(IF('計算A'!AK$117=1,INDEX('計算A'!AK$10:AK$54,$B12),0)+IF('計算A'!AL$117=1,INDEX('計算A'!AM$10:AM$54,$B12),0))*4000,0)-IF(AND('計算A'!AK$117=1,VI12&gt;0),2000,0)-IF(AND($L12=1,'計算A'!AL$117=1,EK12=0),2000,0))),1000000))</f>
        <v/>
      </c>
      <c r="PO12">
        <f>IF($B12=0,1000000,IF(INDEX('計算A'!$D$60:$EQ$104,$B12,36)*EK12=1,IF(AND($E12=2,JZ12=0),1000000,IF($I12&gt;0,IF(2=$J12,IF(OR(AND(36=$I12+1,OR($K12&lt;&gt;'計算A'!$A$3,'計算A'!$A$4=0)),AND(36=$I12-1,OR(12&lt;&gt;'計算A'!$A$3,'計算A'!$A$4=0))),0,IF(12=$K12,200000,ABS(12-$K12)*100)),100000+ABS(2-$J12)*1000+120)+'計算A'!AM$5*50+IF(AND($E12=1,JZ12=0),25,0),IF($F12&gt;0,INDEX('計算A'!AM$110:AM$114,$F12+1)+IF(AND($E12=1,JZ12=0),1000,0),MIN(TV12,20)*400+(IF('計算A'!AL$106=1,1-EJ12,0)+IF('計算A'!AM$106=1,1-EL12,0))*150+122+'計算A'!AM$5*100000+IF(AND($E12=1,JZ12=0),50000,0))+IF($H12=1,(IF('計算A'!AL$117=1,INDEX('計算A'!AL$10:AL$54,$B12),0)+IF('計算A'!AM$117=1,INDEX('計算A'!AN$10:AN$54,$B12),0))*4000,0)-IF(AND('計算A'!AL$117=1,VJ12&gt;0),2000,0)-IF(AND($L12=1,'計算A'!AM$117=1,EL12=0),2000,0))),1000000))</f>
        <v/>
      </c>
      <c r="PP12">
        <f>IF($B12=0,1000000,IF(INDEX('計算A'!$D$60:$EQ$104,$B12,37)*EL12=1,IF(AND($E12=2,KA12=0),1000000,IF($I12&gt;0,IF(2=$J12,IF(OR(AND(37=$I12+1,OR($K12&lt;&gt;'計算A'!$A$3,'計算A'!$A$4=0)),AND(37=$I12-1,OR(13&lt;&gt;'計算A'!$A$3,'計算A'!$A$4=0))),0,IF(13=$K12,200000,ABS(13-$K12)*100)),100000+ABS(2-$J12)*1000+130)+'計算A'!AN$5*50+IF(AND($E12=1,KA12=0),25,0),IF($F12&gt;0,INDEX('計算A'!AN$110:AN$114,$F12+1)+IF(AND($E12=1,KA12=0),1000,0),MIN(TV12,20)*400+(IF('計算A'!AM$106=1,1-EK12,0)+IF('計算A'!AN$106=1,1-EM12,0))*150+132+'計算A'!AN$5*100000+IF(AND($E12=1,KA12=0),50000,0))+IF($H12=1,(IF('計算A'!AM$117=1,INDEX('計算A'!AM$10:AM$54,$B12),0)+IF('計算A'!AN$117=1,INDEX('計算A'!AO$10:AO$54,$B12),0))*4000,0)-IF(AND('計算A'!AM$117=1,VK12&gt;0),2000,0)-IF(AND($L12=1,'計算A'!AN$117=1,EM12=0),2000,0))),1000000))</f>
        <v/>
      </c>
      <c r="PQ12">
        <f>IF($B12=0,1000000,IF(INDEX('計算A'!$D$60:$EQ$104,$B12,38)*EM12=1,IF(AND($E12=2,KB12=0),1000000,IF($I12&gt;0,IF(2=$J12,IF(OR(AND(38=$I12+1,OR($K12&lt;&gt;'計算A'!$A$3,'計算A'!$A$4=0)),AND(38=$I12-1,OR(14&lt;&gt;'計算A'!$A$3,'計算A'!$A$4=0))),0,IF(14=$K12,200000,ABS(14-$K12)*100)),100000+ABS(2-$J12)*1000+140)+'計算A'!AO$5*50+IF(AND($E12=1,KB12=0),25,0),IF($F12&gt;0,INDEX('計算A'!AO$110:AO$114,$F12+1)+IF(AND($E12=1,KB12=0),1000,0),MIN(TV12,20)*400+(IF('計算A'!AN$106=1,1-EL12,0)+IF('計算A'!AO$106=1,1-EN12,0))*150+142+'計算A'!AO$5*100000+IF(AND($E12=1,KB12=0),50000,0))+IF($H12=1,(IF('計算A'!AN$117=1,INDEX('計算A'!AN$10:AN$54,$B12),0)+IF('計算A'!AO$117=1,INDEX('計算A'!AP$10:AP$54,$B12),0))*4000,0)-IF(AND('計算A'!AN$117=1,VL12&gt;0),2000,0)-IF(AND($L12=1,'計算A'!AO$117=1,EN12=0),2000,0))),1000000))</f>
        <v/>
      </c>
      <c r="PR12">
        <f>IF($B12=0,1000000,IF(INDEX('計算A'!$D$60:$EQ$104,$B12,39)*EN12=1,IF(AND($E12=2,KC12=0),1000000,IF($I12&gt;0,IF(2=$J12,IF(OR(AND(39=$I12+1,OR($K12&lt;&gt;'計算A'!$A$3,'計算A'!$A$4=0)),AND(39=$I12-1,OR(15&lt;&gt;'計算A'!$A$3,'計算A'!$A$4=0))),0,IF(15=$K12,200000,ABS(15-$K12)*100)),100000+ABS(2-$J12)*1000+150)+'計算A'!AP$5*50+IF(AND($E12=1,KC12=0),25,0),IF($F12&gt;0,INDEX('計算A'!AP$110:AP$114,$F12+1)+IF(AND($E12=1,KC12=0),1000,0),MIN(TV12,20)*400+(IF('計算A'!AO$106=1,1-EM12,0)+IF('計算A'!AP$106=1,1-EO12,0))*150+152+'計算A'!AP$5*100000+IF(AND($E12=1,KC12=0),50000,0))+IF($H12=1,(IF('計算A'!AO$117=1,INDEX('計算A'!AO$10:AO$54,$B12),0)+IF('計算A'!AP$117=1,INDEX('計算A'!AQ$10:AQ$54,$B12),0))*4000,0)-IF(AND('計算A'!AO$117=1,VM12&gt;0),2000,0)-IF(AND($L12=1,'計算A'!AP$117=1,EO12=0),2000,0))),1000000))</f>
        <v/>
      </c>
      <c r="PS12">
        <f>IF($B12=0,1000000,IF(INDEX('計算A'!$D$60:$EQ$104,$B12,40)*EO12=1,IF(AND($E12=2,KD12=0),1000000,IF($I12&gt;0,IF(2=$J12,IF(OR(AND(40=$I12+1,OR($K12&lt;&gt;'計算A'!$A$3,'計算A'!$A$4=0)),AND(40=$I12-1,OR(16&lt;&gt;'計算A'!$A$3,'計算A'!$A$4=0))),0,IF(16=$K12,200000,ABS(16-$K12)*100)),100000+ABS(2-$J12)*1000+160)+'計算A'!AQ$5*50+IF(AND($E12=1,KD12=0),25,0),IF($F12&gt;0,INDEX('計算A'!AQ$110:AQ$114,$F12+1)+IF(AND($E12=1,KD12=0),1000,0),MIN(TV12,20)*400+(IF('計算A'!AP$106=1,1-EN12,0)+IF('計算A'!AQ$106=1,1-EP12,0))*150+162+'計算A'!AQ$5*100000+IF(AND($E12=1,KD12=0),50000,0))+IF($H12=1,(IF('計算A'!AP$117=1,INDEX('計算A'!AP$10:AP$54,$B12),0)+IF('計算A'!AQ$117=1,INDEX('計算A'!AR$10:AR$54,$B12),0))*4000,0)-IF(AND('計算A'!AP$117=1,VN12&gt;0),2000,0)-IF(AND($L12=1,'計算A'!AQ$117=1,EP12=0),2000,0))),1000000))</f>
        <v/>
      </c>
      <c r="PT12">
        <f>IF($B12=0,1000000,IF(INDEX('計算A'!$D$60:$EQ$104,$B12,41)*EP12=1,IF(AND($E12=2,KE12=0),1000000,IF($I12&gt;0,IF(2=$J12,IF(OR(AND(41=$I12+1,OR($K12&lt;&gt;'計算A'!$A$3,'計算A'!$A$4=0)),AND(41=$I12-1,OR(17&lt;&gt;'計算A'!$A$3,'計算A'!$A$4=0))),0,IF(17=$K12,200000,ABS(17-$K12)*100)),100000+ABS(2-$J12)*1000+170)+'計算A'!AR$5*50+IF(AND($E12=1,KE12=0),25,0),IF($F12&gt;0,INDEX('計算A'!AR$110:AR$114,$F12+1)+IF(AND($E12=1,KE12=0),1000,0),MIN(TV12,20)*400+(IF('計算A'!AQ$106=1,1-EO12,0)+IF('計算A'!AR$106=1,1-EQ12,0))*150+172+'計算A'!AR$5*100000+IF(AND($E12=1,KE12=0),50000,0))+IF($H12=1,(IF('計算A'!AQ$117=1,INDEX('計算A'!AQ$10:AQ$54,$B12),0)+IF('計算A'!AR$117=1,INDEX('計算A'!AS$10:AS$54,$B12),0))*4000,0)-IF(AND('計算A'!AQ$117=1,VO12&gt;0),2000,0)-IF(AND($L12=1,'計算A'!AR$117=1,EQ12=0),2000,0))),1000000))</f>
        <v/>
      </c>
      <c r="PU12">
        <f>IF($B12=0,1000000,IF(INDEX('計算A'!$D$60:$EQ$104,$B12,42)*EQ12=1,IF(AND($E12=2,KF12=0),1000000,IF($I12&gt;0,IF(2=$J12,IF(OR(AND(42=$I12+1,OR($K12&lt;&gt;'計算A'!$A$3,'計算A'!$A$4=0)),AND(42=$I12-1,OR(18&lt;&gt;'計算A'!$A$3,'計算A'!$A$4=0))),0,IF(18=$K12,200000,ABS(18-$K12)*100)),100000+ABS(2-$J12)*1000+180)+'計算A'!AS$5*50+IF(AND($E12=1,KF12=0),25,0),IF($F12&gt;0,INDEX('計算A'!AS$110:AS$114,$F12+1)+IF(AND($E12=1,KF12=0),1000,0),MIN(TV12,20)*400+(IF('計算A'!AR$106=1,1-EP12,0)+IF('計算A'!AS$106=1,1-ER12,0))*150+182+'計算A'!AS$5*100000+IF(AND($E12=1,KF12=0),50000,0))+IF($H12=1,(IF('計算A'!AR$117=1,INDEX('計算A'!AR$10:AR$54,$B12),0)+IF('計算A'!AS$117=1,INDEX('計算A'!AT$10:AT$54,$B12),0))*4000,0)-IF(AND('計算A'!AR$117=1,VP12&gt;0),2000,0)-IF(AND($L12=1,'計算A'!AS$117=1,ER12=0),2000,0))),1000000))</f>
        <v/>
      </c>
      <c r="PV12">
        <f>IF($B12=0,1000000,IF(INDEX('計算A'!$D$60:$EQ$104,$B12,43)*ER12=1,IF(AND($E12=2,KG12=0),1000000,IF($I12&gt;0,IF(2=$J12,IF(OR(AND(43=$I12+1,OR($K12&lt;&gt;'計算A'!$A$3,'計算A'!$A$4=0)),AND(43=$I12-1,OR(19&lt;&gt;'計算A'!$A$3,'計算A'!$A$4=0))),0,IF(19=$K12,200000,ABS(19-$K12)*100)),100000+ABS(2-$J12)*1000+190)+'計算A'!AT$5*50+IF(AND($E12=1,KG12=0),25,0),IF($F12&gt;0,INDEX('計算A'!AT$110:AT$114,$F12+1)+IF(AND($E12=1,KG12=0),1000,0),MIN(TV12,20)*400+(IF('計算A'!AS$106=1,1-EQ12,0)+IF('計算A'!AT$106=1,1-ES12,0))*150+192+'計算A'!AT$5*100000+IF(AND($E12=1,KG12=0),50000,0))+IF($H12=1,(IF('計算A'!AS$117=1,INDEX('計算A'!AS$10:AS$54,$B12),0)+IF('計算A'!AT$117=1,INDEX('計算A'!AU$10:AU$54,$B12),0))*4000,0)-IF(AND('計算A'!AS$117=1,VQ12&gt;0),2000,0)-IF(AND($L12=1,'計算A'!AT$117=1,ES12=0),2000,0))),1000000))</f>
        <v/>
      </c>
      <c r="PW12">
        <f>IF($B12=0,1000000,IF(INDEX('計算A'!$D$60:$EQ$104,$B12,44)*ES12=1,IF(AND($E12=2,KH12=0),1000000,IF($I12&gt;0,IF(2=$J12,IF(OR(AND(44=$I12+1,OR($K12&lt;&gt;'計算A'!$A$3,'計算A'!$A$4=0)),AND(44=$I12-1,OR(20&lt;&gt;'計算A'!$A$3,'計算A'!$A$4=0))),0,IF(20=$K12,200000,ABS(20-$K12)*100)),100000+ABS(2-$J12)*1000+200)+'計算A'!AU$5*50+IF(AND($E12=1,KH12=0),25,0),IF($F12&gt;0,INDEX('計算A'!AU$110:AU$114,$F12+1)+IF(AND($E12=1,KH12=0),1000,0),MIN(TV12,20)*400+(IF('計算A'!AT$106=1,1-ER12,0)+IF('計算A'!AU$106=1,1-ET12,0))*150+202+'計算A'!AU$5*100000+IF(AND($E12=1,KH12=0),50000,0))+IF($H12=1,(IF('計算A'!AT$117=1,INDEX('計算A'!AT$10:AT$54,$B12),0)+IF('計算A'!AU$117=1,INDEX('計算A'!AV$10:AV$54,$B12),0))*4000,0)-IF(AND('計算A'!AT$117=1,VR12&gt;0),2000,0)-IF(AND($L12=1,'計算A'!AU$117=1,ET12=0),2000,0))),1000000))</f>
        <v/>
      </c>
      <c r="PX12">
        <f>IF($B12=0,1000000,IF(INDEX('計算A'!$D$60:$EQ$104,$B12,45)*ET12=1,IF(AND($E12=2,KI12=0),1000000,IF($I12&gt;0,IF(2=$J12,IF(OR(AND(45=$I12+1,OR($K12&lt;&gt;'計算A'!$A$3,'計算A'!$A$4=0)),AND(45=$I12-1,OR(21&lt;&gt;'計算A'!$A$3,'計算A'!$A$4=0))),0,IF(21=$K12,200000,ABS(21-$K12)*100)),100000+ABS(2-$J12)*1000+210)+'計算A'!AV$5*50+IF(AND($E12=1,KI12=0),25,0),IF($F12&gt;0,INDEX('計算A'!AV$110:AV$114,$F12+1)+IF(AND($E12=1,KI12=0),1000,0),MIN(TV12,20)*400+(IF('計算A'!AU$106=1,1-ES12,0)+IF('計算A'!AV$106=1,1-EU12,0))*150+212+'計算A'!AV$5*100000+IF(AND($E12=1,KI12=0),50000,0))+IF($H12=1,(IF('計算A'!AU$117=1,INDEX('計算A'!AU$10:AU$54,$B12),0)+IF('計算A'!AV$117=1,INDEX('計算A'!AW$10:AW$54,$B12),0))*4000,0)-IF(AND('計算A'!AU$117=1,VS12&gt;0),2000,0)-IF(AND($L12=1,'計算A'!AV$117=1,EU12=0),2000,0))),1000000))</f>
        <v/>
      </c>
      <c r="PY12">
        <f>IF($B12=0,1000000,IF(INDEX('計算A'!$D$60:$EQ$104,$B12,46)*EU12=1,IF(AND($E12=2,KJ12=0),1000000,IF($I12&gt;0,IF(2=$J12,IF(OR(AND(46=$I12+1,OR($K12&lt;&gt;'計算A'!$A$3,'計算A'!$A$4=0)),AND(46=$I12-1,OR(22&lt;&gt;'計算A'!$A$3,'計算A'!$A$4=0))),0,IF(22=$K12,200000,ABS(22-$K12)*100)),100000+ABS(2-$J12)*1000+220)+'計算A'!AW$5*50+IF(AND($E12=1,KJ12=0),25,0),IF($F12&gt;0,INDEX('計算A'!AW$110:AW$114,$F12+1)+IF(AND($E12=1,KJ12=0),1000,0),MIN(TV12,20)*400+(IF('計算A'!AV$106=1,1-ET12,0)+IF('計算A'!AW$106=1,1-EV12,0))*150+222+'計算A'!AW$5*100000+IF(AND($E12=1,KJ12=0),50000,0))+IF($H12=1,(IF('計算A'!AV$117=1,INDEX('計算A'!AV$10:AV$54,$B12),0)+IF('計算A'!AW$117=1,INDEX('計算A'!AX$10:AX$54,$B12),0))*4000,0)-IF(AND('計算A'!AV$117=1,VT12&gt;0),2000,0)-IF(AND($L12=1,'計算A'!AW$117=1,EV12=0),2000,0))),1000000))</f>
        <v/>
      </c>
      <c r="PZ12">
        <f>IF($B12=0,1000000,IF(INDEX('計算A'!$D$60:$EQ$104,$B12,47)*EV12=1,IF(AND($E12=2,KK12=0),1000000,IF($I12&gt;0,IF(2=$J12,IF(OR(AND(47=$I12+1,OR($K12&lt;&gt;'計算A'!$A$3,'計算A'!$A$4=0)),AND(47=$I12-1,OR(23&lt;&gt;'計算A'!$A$3,'計算A'!$A$4=0))),0,IF(23=$K12,200000,ABS(23-$K12)*100)),100000+ABS(2-$J12)*1000+230)+'計算A'!AX$5*50+IF(AND($E12=1,KK12=0),25,0),IF($F12&gt;0,INDEX('計算A'!AX$110:AX$114,$F12+1)+IF(AND($E12=1,KK12=0),1000,0),MIN(TV12,20)*400+(IF('計算A'!AW$106=1,1-EU12,0)+IF('計算A'!AX$106=1,1-EW12,0))*150+232+'計算A'!AX$5*100000+IF(AND($E12=1,KK12=0),50000,0))+IF($H12=1,(IF('計算A'!AW$117=1,INDEX('計算A'!AW$10:AW$54,$B12),0)+IF('計算A'!AX$117=1,INDEX('計算A'!AY$10:AY$54,$B12),0))*4000,0)-IF(AND('計算A'!AW$117=1,VU12&gt;0),2000,0)-IF(AND($L12=1,'計算A'!AX$117=1,EW12=0),2000,0))),1000000))</f>
        <v/>
      </c>
      <c r="QA12">
        <f>IF($B12=0,1000000,IF(INDEX('計算A'!$D$60:$EQ$104,$B12,48)*EW12=1,IF(AND($E12=2,KL12=0),1000000,IF($I12&gt;0,IF(2=$J12,IF(OR(AND(48=$I12+1,OR($K12&lt;&gt;'計算A'!$A$3,'計算A'!$A$4=0)),AND(48=$I12-1,OR(24&lt;&gt;'計算A'!$A$3,'計算A'!$A$4=0))),0,IF(24=$K12,200000,ABS(24-$K12)*100)),100000+ABS(2-$J12)*1000+240)+'計算A'!AY$5*50+IF(AND($E12=1,KL12=0),25,0),IF($F12&gt;0,INDEX('計算A'!AY$110:AY$114,$F12+1)+IF(AND($E12=1,KL12=0),1000,0),MIN(TV12,20)*400+(IF('計算A'!AX$106=1,1-EV12,0))*150+242+'計算A'!AY$5*100000+IF(AND($E12=1,KL12=0),50000,0))+IF($H12=1,(IF('計算A'!AX$117=1,INDEX('計算A'!AX$10:AX$54,$B12),0))*4000,0)-IF(AND('計算A'!AX$117=1,VV12&gt;0),2000,0))),1000000))</f>
        <v/>
      </c>
      <c r="QB12">
        <f>IF($B12=0,1000000,IF(INDEX('計算A'!$D$60:$EQ$104,$B12,49)*EX12=1,IF(AND($E12=2,KM12=0),1000000,IF($I12&gt;0,IF(3=$J12,IF(OR(AND(49=$I12+1,OR($K12&lt;&gt;'計算A'!$A$3,'計算A'!$A$4=0)),AND(49=$I12-1,OR(1&lt;&gt;'計算A'!$A$3,'計算A'!$A$4=0))),0,IF(1=$K12,200000,ABS(1-$K12)*100)),100000+ABS(3-$J12)*1000+10)+'計算A'!AZ$5*50+IF(AND($E12=1,KM12=0),25,0),IF($F12&gt;0,INDEX('計算A'!AZ$110:AZ$114,$F12+1)+IF(AND($E12=1,KM12=0),1000,0),MIN(TW12,20)*400+(IF('計算A'!AZ$106=1,1-EY12,0))*150+13+'計算A'!AZ$5*100000+IF(AND($E12=1,KM12=0),50000,0))+IF($H12=1,(IF('計算A'!AZ$117=1,INDEX('計算A'!BA$10:BA$54,$B12),0))*4000,0)-IF(AND($L12=1,'計算A'!AZ$117=1,EY12=0),2000,0))),1000000))</f>
        <v/>
      </c>
      <c r="QC12">
        <f>IF($B12=0,1000000,IF(INDEX('計算A'!$D$60:$EQ$104,$B12,50)*EY12=1,IF(AND($E12=2,KN12=0),1000000,IF($I12&gt;0,IF(3=$J12,IF(OR(AND(50=$I12+1,OR($K12&lt;&gt;'計算A'!$A$3,'計算A'!$A$4=0)),AND(50=$I12-1,OR(2&lt;&gt;'計算A'!$A$3,'計算A'!$A$4=0))),0,IF(2=$K12,200000,ABS(2-$K12)*100)),100000+ABS(3-$J12)*1000+20)+'計算A'!BA$5*50+IF(AND($E12=1,KN12=0),25,0),IF($F12&gt;0,INDEX('計算A'!BA$110:BA$114,$F12+1)+IF(AND($E12=1,KN12=0),1000,0),MIN(TW12,20)*400+(IF('計算A'!AZ$106=1,1-EX12,0)+IF('計算A'!BA$106=1,1-EZ12,0))*150+23+'計算A'!BA$5*100000+IF(AND($E12=1,KN12=0),50000,0))+IF($H12=1,(IF('計算A'!AZ$117=1,INDEX('計算A'!AZ$10:AZ$54,$B12),0)+IF('計算A'!BA$117=1,INDEX('計算A'!BB$10:BB$54,$B12),0))*4000,0)-IF(AND('計算A'!AZ$117=1,VX12&gt;0),2000,0)-IF(AND($L12=1,'計算A'!BA$117=1,EZ12=0),2000,0))),1000000))</f>
        <v/>
      </c>
      <c r="QD12">
        <f>IF($B12=0,1000000,IF(INDEX('計算A'!$D$60:$EQ$104,$B12,51)*EZ12=1,IF(AND($E12=2,KO12=0),1000000,IF($I12&gt;0,IF(3=$J12,IF(OR(AND(51=$I12+1,OR($K12&lt;&gt;'計算A'!$A$3,'計算A'!$A$4=0)),AND(51=$I12-1,OR(3&lt;&gt;'計算A'!$A$3,'計算A'!$A$4=0))),0,IF(3=$K12,200000,ABS(3-$K12)*100)),100000+ABS(3-$J12)*1000+30)+'計算A'!BB$5*50+IF(AND($E12=1,KO12=0),25,0),IF($F12&gt;0,INDEX('計算A'!BB$110:BB$114,$F12+1)+IF(AND($E12=1,KO12=0),1000,0),MIN(TW12,20)*400+(IF('計算A'!BA$106=1,1-EY12,0)+IF('計算A'!BB$106=1,1-FA12,0))*150+33+'計算A'!BB$5*100000+IF(AND($E12=1,KO12=0),50000,0))+IF($H12=1,(IF('計算A'!BA$117=1,INDEX('計算A'!BA$10:BA$54,$B12),0)+IF('計算A'!BB$117=1,INDEX('計算A'!BC$10:BC$54,$B12),0))*4000,0)-IF(AND('計算A'!BA$117=1,VY12&gt;0),2000,0)-IF(AND($L12=1,'計算A'!BB$117=1,FA12=0),2000,0))),1000000))</f>
        <v/>
      </c>
      <c r="QE12">
        <f>IF($B12=0,1000000,IF(INDEX('計算A'!$D$60:$EQ$104,$B12,52)*FA12=1,IF(AND($E12=2,KP12=0),1000000,IF($I12&gt;0,IF(3=$J12,IF(OR(AND(52=$I12+1,OR($K12&lt;&gt;'計算A'!$A$3,'計算A'!$A$4=0)),AND(52=$I12-1,OR(4&lt;&gt;'計算A'!$A$3,'計算A'!$A$4=0))),0,IF(4=$K12,200000,ABS(4-$K12)*100)),100000+ABS(3-$J12)*1000+40)+'計算A'!BC$5*50+IF(AND($E12=1,KP12=0),25,0),IF($F12&gt;0,INDEX('計算A'!BC$110:BC$114,$F12+1)+IF(AND($E12=1,KP12=0),1000,0),MIN(TW12,20)*400+(IF('計算A'!BB$106=1,1-EZ12,0)+IF('計算A'!BC$106=1,1-FB12,0))*150+43+'計算A'!BC$5*100000+IF(AND($E12=1,KP12=0),50000,0))+IF($H12=1,(IF('計算A'!BB$117=1,INDEX('計算A'!BB$10:BB$54,$B12),0)+IF('計算A'!BC$117=1,INDEX('計算A'!BD$10:BD$54,$B12),0))*4000,0)-IF(AND('計算A'!BB$117=1,VZ12&gt;0),2000,0)-IF(AND($L12=1,'計算A'!BC$117=1,FB12=0),2000,0))),1000000))</f>
        <v/>
      </c>
      <c r="QF12">
        <f>IF($B12=0,1000000,IF(INDEX('計算A'!$D$60:$EQ$104,$B12,53)*FB12=1,IF(AND($E12=2,KQ12=0),1000000,IF($I12&gt;0,IF(3=$J12,IF(OR(AND(53=$I12+1,OR($K12&lt;&gt;'計算A'!$A$3,'計算A'!$A$4=0)),AND(53=$I12-1,OR(5&lt;&gt;'計算A'!$A$3,'計算A'!$A$4=0))),0,IF(5=$K12,200000,ABS(5-$K12)*100)),100000+ABS(3-$J12)*1000+50)+'計算A'!BD$5*50+IF(AND($E12=1,KQ12=0),25,0),IF($F12&gt;0,INDEX('計算A'!BD$110:BD$114,$F12+1)+IF(AND($E12=1,KQ12=0),1000,0),MIN(TW12,20)*400+(IF('計算A'!BC$106=1,1-FA12,0)+IF('計算A'!BD$106=1,1-FC12,0))*150+53+'計算A'!BD$5*100000+IF(AND($E12=1,KQ12=0),50000,0))+IF($H12=1,(IF('計算A'!BC$117=1,INDEX('計算A'!BC$10:BC$54,$B12),0)+IF('計算A'!BD$117=1,INDEX('計算A'!BE$10:BE$54,$B12),0))*4000,0)-IF(AND('計算A'!BC$117=1,WA12&gt;0),2000,0)-IF(AND($L12=1,'計算A'!BD$117=1,FC12=0),2000,0))),1000000))</f>
        <v/>
      </c>
      <c r="QG12">
        <f>IF($B12=0,1000000,IF(INDEX('計算A'!$D$60:$EQ$104,$B12,54)*FC12=1,IF(AND($E12=2,KR12=0),1000000,IF($I12&gt;0,IF(3=$J12,IF(OR(AND(54=$I12+1,OR($K12&lt;&gt;'計算A'!$A$3,'計算A'!$A$4=0)),AND(54=$I12-1,OR(6&lt;&gt;'計算A'!$A$3,'計算A'!$A$4=0))),0,IF(6=$K12,200000,ABS(6-$K12)*100)),100000+ABS(3-$J12)*1000+60)+'計算A'!BE$5*50+IF(AND($E12=1,KR12=0),25,0),IF($F12&gt;0,INDEX('計算A'!BE$110:BE$114,$F12+1)+IF(AND($E12=1,KR12=0),1000,0),MIN(TW12,20)*400+(IF('計算A'!BD$106=1,1-FB12,0)+IF('計算A'!BE$106=1,1-FD12,0))*150+63+'計算A'!BE$5*100000+IF(AND($E12=1,KR12=0),50000,0))+IF($H12=1,(IF('計算A'!BD$117=1,INDEX('計算A'!BD$10:BD$54,$B12),0)+IF('計算A'!BE$117=1,INDEX('計算A'!BF$10:BF$54,$B12),0))*4000,0)-IF(AND('計算A'!BD$117=1,WB12&gt;0),2000,0)-IF(AND($L12=1,'計算A'!BE$117=1,FD12=0),2000,0))),1000000))</f>
        <v/>
      </c>
      <c r="QH12">
        <f>IF($B12=0,1000000,IF(INDEX('計算A'!$D$60:$EQ$104,$B12,55)*FD12=1,IF(AND($E12=2,KS12=0),1000000,IF($I12&gt;0,IF(3=$J12,IF(OR(AND(55=$I12+1,OR($K12&lt;&gt;'計算A'!$A$3,'計算A'!$A$4=0)),AND(55=$I12-1,OR(7&lt;&gt;'計算A'!$A$3,'計算A'!$A$4=0))),0,IF(7=$K12,200000,ABS(7-$K12)*100)),100000+ABS(3-$J12)*1000+70)+'計算A'!BF$5*50+IF(AND($E12=1,KS12=0),25,0),IF($F12&gt;0,INDEX('計算A'!BF$110:BF$114,$F12+1)+IF(AND($E12=1,KS12=0),1000,0),MIN(TW12,20)*400+(IF('計算A'!BE$106=1,1-FC12,0)+IF('計算A'!BF$106=1,1-FE12,0))*150+73+'計算A'!BF$5*100000+IF(AND($E12=1,KS12=0),50000,0))+IF($H12=1,(IF('計算A'!BE$117=1,INDEX('計算A'!BE$10:BE$54,$B12),0)+IF('計算A'!BF$117=1,INDEX('計算A'!BG$10:BG$54,$B12),0))*4000,0)-IF(AND('計算A'!BE$117=1,WC12&gt;0),2000,0)-IF(AND($L12=1,'計算A'!BF$117=1,FE12=0),2000,0))),1000000))</f>
        <v/>
      </c>
      <c r="QI12">
        <f>IF($B12=0,1000000,IF(INDEX('計算A'!$D$60:$EQ$104,$B12,56)*FE12=1,IF(AND($E12=2,KT12=0),1000000,IF($I12&gt;0,IF(3=$J12,IF(OR(AND(56=$I12+1,OR($K12&lt;&gt;'計算A'!$A$3,'計算A'!$A$4=0)),AND(56=$I12-1,OR(8&lt;&gt;'計算A'!$A$3,'計算A'!$A$4=0))),0,IF(8=$K12,200000,ABS(8-$K12)*100)),100000+ABS(3-$J12)*1000+80)+'計算A'!BG$5*50+IF(AND($E12=1,KT12=0),25,0),IF($F12&gt;0,INDEX('計算A'!BG$110:BG$114,$F12+1)+IF(AND($E12=1,KT12=0),1000,0),MIN(TW12,20)*400+(IF('計算A'!BF$106=1,1-FD12,0)+IF('計算A'!BG$106=1,1-FF12,0))*150+83+'計算A'!BG$5*100000+IF(AND($E12=1,KT12=0),50000,0))+IF($H12=1,(IF('計算A'!BF$117=1,INDEX('計算A'!BF$10:BF$54,$B12),0)+IF('計算A'!BG$117=1,INDEX('計算A'!BH$10:BH$54,$B12),0))*4000,0)-IF(AND('計算A'!BF$117=1,WD12&gt;0),2000,0)-IF(AND($L12=1,'計算A'!BG$117=1,FF12=0),2000,0))),1000000))</f>
        <v/>
      </c>
      <c r="QJ12">
        <f>IF($B12=0,1000000,IF(INDEX('計算A'!$D$60:$EQ$104,$B12,57)*FF12=1,IF(AND($E12=2,KU12=0),1000000,IF($I12&gt;0,IF(3=$J12,IF(OR(AND(57=$I12+1,OR($K12&lt;&gt;'計算A'!$A$3,'計算A'!$A$4=0)),AND(57=$I12-1,OR(9&lt;&gt;'計算A'!$A$3,'計算A'!$A$4=0))),0,IF(9=$K12,200000,ABS(9-$K12)*100)),100000+ABS(3-$J12)*1000+90)+'計算A'!BH$5*50+IF(AND($E12=1,KU12=0),25,0),IF($F12&gt;0,INDEX('計算A'!BH$110:BH$114,$F12+1)+IF(AND($E12=1,KU12=0),1000,0),MIN(TW12,20)*400+(IF('計算A'!BG$106=1,1-FE12,0)+IF('計算A'!BH$106=1,1-FG12,0))*150+93+'計算A'!BH$5*100000+IF(AND($E12=1,KU12=0),50000,0))+IF($H12=1,(IF('計算A'!BG$117=1,INDEX('計算A'!BG$10:BG$54,$B12),0)+IF('計算A'!BH$117=1,INDEX('計算A'!BI$10:BI$54,$B12),0))*4000,0)-IF(AND('計算A'!BG$117=1,WE12&gt;0),2000,0)-IF(AND($L12=1,'計算A'!BH$117=1,FG12=0),2000,0))),1000000))</f>
        <v/>
      </c>
      <c r="QK12">
        <f>IF($B12=0,1000000,IF(INDEX('計算A'!$D$60:$EQ$104,$B12,58)*FG12=1,IF(AND($E12=2,KV12=0),1000000,IF($I12&gt;0,IF(3=$J12,IF(OR(AND(58=$I12+1,OR($K12&lt;&gt;'計算A'!$A$3,'計算A'!$A$4=0)),AND(58=$I12-1,OR(10&lt;&gt;'計算A'!$A$3,'計算A'!$A$4=0))),0,IF(10=$K12,200000,ABS(10-$K12)*100)),100000+ABS(3-$J12)*1000+100)+'計算A'!BI$5*50+IF(AND($E12=1,KV12=0),25,0),IF($F12&gt;0,INDEX('計算A'!BI$110:BI$114,$F12+1)+IF(AND($E12=1,KV12=0),1000,0),MIN(TW12,20)*400+(IF('計算A'!BH$106=1,1-FF12,0)+IF('計算A'!BI$106=1,1-FH12,0))*150+103+'計算A'!BI$5*100000+IF(AND($E12=1,KV12=0),50000,0))+IF($H12=1,(IF('計算A'!BH$117=1,INDEX('計算A'!BH$10:BH$54,$B12),0)+IF('計算A'!BI$117=1,INDEX('計算A'!BJ$10:BJ$54,$B12),0))*4000,0)-IF(AND('計算A'!BH$117=1,WF12&gt;0),2000,0)-IF(AND($L12=1,'計算A'!BI$117=1,FH12=0),2000,0))),1000000))</f>
        <v/>
      </c>
      <c r="QL12">
        <f>IF($B12=0,1000000,IF(INDEX('計算A'!$D$60:$EQ$104,$B12,59)*FH12=1,IF(AND($E12=2,KW12=0),1000000,IF($I12&gt;0,IF(3=$J12,IF(OR(AND(59=$I12+1,OR($K12&lt;&gt;'計算A'!$A$3,'計算A'!$A$4=0)),AND(59=$I12-1,OR(11&lt;&gt;'計算A'!$A$3,'計算A'!$A$4=0))),0,IF(11=$K12,200000,ABS(11-$K12)*100)),100000+ABS(3-$J12)*1000+110)+'計算A'!BJ$5*50+IF(AND($E12=1,KW12=0),25,0),IF($F12&gt;0,INDEX('計算A'!BJ$110:BJ$114,$F12+1)+IF(AND($E12=1,KW12=0),1000,0),MIN(TW12,20)*400+(IF('計算A'!BI$106=1,1-FG12,0)+IF('計算A'!BJ$106=1,1-FI12,0))*150+113+'計算A'!BJ$5*100000+IF(AND($E12=1,KW12=0),50000,0))+IF($H12=1,(IF('計算A'!BI$117=1,INDEX('計算A'!BI$10:BI$54,$B12),0)+IF('計算A'!BJ$117=1,INDEX('計算A'!BK$10:BK$54,$B12),0))*4000,0)-IF(AND('計算A'!BI$117=1,WG12&gt;0),2000,0)-IF(AND($L12=1,'計算A'!BJ$117=1,FI12=0),2000,0))),1000000))</f>
        <v/>
      </c>
      <c r="QM12">
        <f>IF($B12=0,1000000,IF(INDEX('計算A'!$D$60:$EQ$104,$B12,60)*FI12=1,IF(AND($E12=2,KX12=0),1000000,IF($I12&gt;0,IF(3=$J12,IF(OR(AND(60=$I12+1,OR($K12&lt;&gt;'計算A'!$A$3,'計算A'!$A$4=0)),AND(60=$I12-1,OR(12&lt;&gt;'計算A'!$A$3,'計算A'!$A$4=0))),0,IF(12=$K12,200000,ABS(12-$K12)*100)),100000+ABS(3-$J12)*1000+120)+'計算A'!BK$5*50+IF(AND($E12=1,KX12=0),25,0),IF($F12&gt;0,INDEX('計算A'!BK$110:BK$114,$F12+1)+IF(AND($E12=1,KX12=0),1000,0),MIN(TW12,20)*400+(IF('計算A'!BJ$106=1,1-FH12,0)+IF('計算A'!BK$106=1,1-FJ12,0))*150+123+'計算A'!BK$5*100000+IF(AND($E12=1,KX12=0),50000,0))+IF($H12=1,(IF('計算A'!BJ$117=1,INDEX('計算A'!BJ$10:BJ$54,$B12),0)+IF('計算A'!BK$117=1,INDEX('計算A'!BL$10:BL$54,$B12),0))*4000,0)-IF(AND('計算A'!BJ$117=1,WH12&gt;0),2000,0)-IF(AND($L12=1,'計算A'!BK$117=1,FJ12=0),2000,0))),1000000))</f>
        <v/>
      </c>
      <c r="QN12">
        <f>IF($B12=0,1000000,IF(INDEX('計算A'!$D$60:$EQ$104,$B12,61)*FJ12=1,IF(AND($E12=2,KY12=0),1000000,IF($I12&gt;0,IF(3=$J12,IF(OR(AND(61=$I12+1,OR($K12&lt;&gt;'計算A'!$A$3,'計算A'!$A$4=0)),AND(61=$I12-1,OR(13&lt;&gt;'計算A'!$A$3,'計算A'!$A$4=0))),0,IF(13=$K12,200000,ABS(13-$K12)*100)),100000+ABS(3-$J12)*1000+130)+'計算A'!BL$5*50+IF(AND($E12=1,KY12=0),25,0),IF($F12&gt;0,INDEX('計算A'!BL$110:BL$114,$F12+1)+IF(AND($E12=1,KY12=0),1000,0),MIN(TW12,20)*400+(IF('計算A'!BK$106=1,1-FI12,0)+IF('計算A'!BL$106=1,1-FK12,0))*150+133+'計算A'!BL$5*100000+IF(AND($E12=1,KY12=0),50000,0))+IF($H12=1,(IF('計算A'!BK$117=1,INDEX('計算A'!BK$10:BK$54,$B12),0)+IF('計算A'!BL$117=1,INDEX('計算A'!BM$10:BM$54,$B12),0))*4000,0)-IF(AND('計算A'!BK$117=1,WI12&gt;0),2000,0)-IF(AND($L12=1,'計算A'!BL$117=1,FK12=0),2000,0))),1000000))</f>
        <v/>
      </c>
      <c r="QO12">
        <f>IF($B12=0,1000000,IF(INDEX('計算A'!$D$60:$EQ$104,$B12,62)*FK12=1,IF(AND($E12=2,KZ12=0),1000000,IF($I12&gt;0,IF(3=$J12,IF(OR(AND(62=$I12+1,OR($K12&lt;&gt;'計算A'!$A$3,'計算A'!$A$4=0)),AND(62=$I12-1,OR(14&lt;&gt;'計算A'!$A$3,'計算A'!$A$4=0))),0,IF(14=$K12,200000,ABS(14-$K12)*100)),100000+ABS(3-$J12)*1000+140)+'計算A'!BM$5*50+IF(AND($E12=1,KZ12=0),25,0),IF($F12&gt;0,INDEX('計算A'!BM$110:BM$114,$F12+1)+IF(AND($E12=1,KZ12=0),1000,0),MIN(TW12,20)*400+(IF('計算A'!BL$106=1,1-FJ12,0)+IF('計算A'!BM$106=1,1-FL12,0))*150+143+'計算A'!BM$5*100000+IF(AND($E12=1,KZ12=0),50000,0))+IF($H12=1,(IF('計算A'!BL$117=1,INDEX('計算A'!BL$10:BL$54,$B12),0)+IF('計算A'!BM$117=1,INDEX('計算A'!BN$10:BN$54,$B12),0))*4000,0)-IF(AND('計算A'!BL$117=1,WJ12&gt;0),2000,0)-IF(AND($L12=1,'計算A'!BM$117=1,FL12=0),2000,0))),1000000))</f>
        <v/>
      </c>
      <c r="QP12">
        <f>IF($B12=0,1000000,IF(INDEX('計算A'!$D$60:$EQ$104,$B12,63)*FL12=1,IF(AND($E12=2,LA12=0),1000000,IF($I12&gt;0,IF(3=$J12,IF(OR(AND(63=$I12+1,OR($K12&lt;&gt;'計算A'!$A$3,'計算A'!$A$4=0)),AND(63=$I12-1,OR(15&lt;&gt;'計算A'!$A$3,'計算A'!$A$4=0))),0,IF(15=$K12,200000,ABS(15-$K12)*100)),100000+ABS(3-$J12)*1000+150)+'計算A'!BN$5*50+IF(AND($E12=1,LA12=0),25,0),IF($F12&gt;0,INDEX('計算A'!BN$110:BN$114,$F12+1)+IF(AND($E12=1,LA12=0),1000,0),MIN(TW12,20)*400+(IF('計算A'!BM$106=1,1-FK12,0)+IF('計算A'!BN$106=1,1-FM12,0))*150+153+'計算A'!BN$5*100000+IF(AND($E12=1,LA12=0),50000,0))+IF($H12=1,(IF('計算A'!BM$117=1,INDEX('計算A'!BM$10:BM$54,$B12),0)+IF('計算A'!BN$117=1,INDEX('計算A'!BO$10:BO$54,$B12),0))*4000,0)-IF(AND('計算A'!BM$117=1,WK12&gt;0),2000,0)-IF(AND($L12=1,'計算A'!BN$117=1,FM12=0),2000,0))),1000000))</f>
        <v/>
      </c>
      <c r="QQ12">
        <f>IF($B12=0,1000000,IF(INDEX('計算A'!$D$60:$EQ$104,$B12,64)*FM12=1,IF(AND($E12=2,LB12=0),1000000,IF($I12&gt;0,IF(3=$J12,IF(OR(AND(64=$I12+1,OR($K12&lt;&gt;'計算A'!$A$3,'計算A'!$A$4=0)),AND(64=$I12-1,OR(16&lt;&gt;'計算A'!$A$3,'計算A'!$A$4=0))),0,IF(16=$K12,200000,ABS(16-$K12)*100)),100000+ABS(3-$J12)*1000+160)+'計算A'!BO$5*50+IF(AND($E12=1,LB12=0),25,0),IF($F12&gt;0,INDEX('計算A'!BO$110:BO$114,$F12+1)+IF(AND($E12=1,LB12=0),1000,0),MIN(TW12,20)*400+(IF('計算A'!BN$106=1,1-FL12,0)+IF('計算A'!BO$106=1,1-FN12,0))*150+163+'計算A'!BO$5*100000+IF(AND($E12=1,LB12=0),50000,0))+IF($H12=1,(IF('計算A'!BN$117=1,INDEX('計算A'!BN$10:BN$54,$B12),0)+IF('計算A'!BO$117=1,INDEX('計算A'!BP$10:BP$54,$B12),0))*4000,0)-IF(AND('計算A'!BN$117=1,WL12&gt;0),2000,0)-IF(AND($L12=1,'計算A'!BO$117=1,FN12=0),2000,0))),1000000))</f>
        <v/>
      </c>
      <c r="QR12">
        <f>IF($B12=0,1000000,IF(INDEX('計算A'!$D$60:$EQ$104,$B12,65)*FN12=1,IF(AND($E12=2,LC12=0),1000000,IF($I12&gt;0,IF(3=$J12,IF(OR(AND(65=$I12+1,OR($K12&lt;&gt;'計算A'!$A$3,'計算A'!$A$4=0)),AND(65=$I12-1,OR(17&lt;&gt;'計算A'!$A$3,'計算A'!$A$4=0))),0,IF(17=$K12,200000,ABS(17-$K12)*100)),100000+ABS(3-$J12)*1000+170)+'計算A'!BP$5*50+IF(AND($E12=1,LC12=0),25,0),IF($F12&gt;0,INDEX('計算A'!BP$110:BP$114,$F12+1)+IF(AND($E12=1,LC12=0),1000,0),MIN(TW12,20)*400+(IF('計算A'!BO$106=1,1-FM12,0)+IF('計算A'!BP$106=1,1-FO12,0))*150+173+'計算A'!BP$5*100000+IF(AND($E12=1,LC12=0),50000,0))+IF($H12=1,(IF('計算A'!BO$117=1,INDEX('計算A'!BO$10:BO$54,$B12),0)+IF('計算A'!BP$117=1,INDEX('計算A'!BQ$10:BQ$54,$B12),0))*4000,0)-IF(AND('計算A'!BO$117=1,WM12&gt;0),2000,0)-IF(AND($L12=1,'計算A'!BP$117=1,FO12=0),2000,0))),1000000))</f>
        <v/>
      </c>
      <c r="QS12">
        <f>IF($B12=0,1000000,IF(INDEX('計算A'!$D$60:$EQ$104,$B12,66)*FO12=1,IF(AND($E12=2,LD12=0),1000000,IF($I12&gt;0,IF(3=$J12,IF(OR(AND(66=$I12+1,OR($K12&lt;&gt;'計算A'!$A$3,'計算A'!$A$4=0)),AND(66=$I12-1,OR(18&lt;&gt;'計算A'!$A$3,'計算A'!$A$4=0))),0,IF(18=$K12,200000,ABS(18-$K12)*100)),100000+ABS(3-$J12)*1000+180)+'計算A'!BQ$5*50+IF(AND($E12=1,LD12=0),25,0),IF($F12&gt;0,INDEX('計算A'!BQ$110:BQ$114,$F12+1)+IF(AND($E12=1,LD12=0),1000,0),MIN(TW12,20)*400+(IF('計算A'!BP$106=1,1-FN12,0)+IF('計算A'!BQ$106=1,1-FP12,0))*150+183+'計算A'!BQ$5*100000+IF(AND($E12=1,LD12=0),50000,0))+IF($H12=1,(IF('計算A'!BP$117=1,INDEX('計算A'!BP$10:BP$54,$B12),0)+IF('計算A'!BQ$117=1,INDEX('計算A'!BR$10:BR$54,$B12),0))*4000,0)-IF(AND('計算A'!BP$117=1,WN12&gt;0),2000,0)-IF(AND($L12=1,'計算A'!BQ$117=1,FP12=0),2000,0))),1000000))</f>
        <v/>
      </c>
      <c r="QT12">
        <f>IF($B12=0,1000000,IF(INDEX('計算A'!$D$60:$EQ$104,$B12,67)*FP12=1,IF(AND($E12=2,LE12=0),1000000,IF($I12&gt;0,IF(3=$J12,IF(OR(AND(67=$I12+1,OR($K12&lt;&gt;'計算A'!$A$3,'計算A'!$A$4=0)),AND(67=$I12-1,OR(19&lt;&gt;'計算A'!$A$3,'計算A'!$A$4=0))),0,IF(19=$K12,200000,ABS(19-$K12)*100)),100000+ABS(3-$J12)*1000+190)+'計算A'!BR$5*50+IF(AND($E12=1,LE12=0),25,0),IF($F12&gt;0,INDEX('計算A'!BR$110:BR$114,$F12+1)+IF(AND($E12=1,LE12=0),1000,0),MIN(TW12,20)*400+(IF('計算A'!BQ$106=1,1-FO12,0)+IF('計算A'!BR$106=1,1-FQ12,0))*150+193+'計算A'!BR$5*100000+IF(AND($E12=1,LE12=0),50000,0))+IF($H12=1,(IF('計算A'!BQ$117=1,INDEX('計算A'!BQ$10:BQ$54,$B12),0)+IF('計算A'!BR$117=1,INDEX('計算A'!BS$10:BS$54,$B12),0))*4000,0)-IF(AND('計算A'!BQ$117=1,WO12&gt;0),2000,0)-IF(AND($L12=1,'計算A'!BR$117=1,FQ12=0),2000,0))),1000000))</f>
        <v/>
      </c>
      <c r="QU12">
        <f>IF($B12=0,1000000,IF(INDEX('計算A'!$D$60:$EQ$104,$B12,68)*FQ12=1,IF(AND($E12=2,LF12=0),1000000,IF($I12&gt;0,IF(3=$J12,IF(OR(AND(68=$I12+1,OR($K12&lt;&gt;'計算A'!$A$3,'計算A'!$A$4=0)),AND(68=$I12-1,OR(20&lt;&gt;'計算A'!$A$3,'計算A'!$A$4=0))),0,IF(20=$K12,200000,ABS(20-$K12)*100)),100000+ABS(3-$J12)*1000+200)+'計算A'!BS$5*50+IF(AND($E12=1,LF12=0),25,0),IF($F12&gt;0,INDEX('計算A'!BS$110:BS$114,$F12+1)+IF(AND($E12=1,LF12=0),1000,0),MIN(TW12,20)*400+(IF('計算A'!BR$106=1,1-FP12,0)+IF('計算A'!BS$106=1,1-FR12,0))*150+203+'計算A'!BS$5*100000+IF(AND($E12=1,LF12=0),50000,0))+IF($H12=1,(IF('計算A'!BR$117=1,INDEX('計算A'!BR$10:BR$54,$B12),0)+IF('計算A'!BS$117=1,INDEX('計算A'!BT$10:BT$54,$B12),0))*4000,0)-IF(AND('計算A'!BR$117=1,WP12&gt;0),2000,0)-IF(AND($L12=1,'計算A'!BS$117=1,FR12=0),2000,0))),1000000))</f>
        <v/>
      </c>
      <c r="QV12">
        <f>IF($B12=0,1000000,IF(INDEX('計算A'!$D$60:$EQ$104,$B12,69)*FR12=1,IF(AND($E12=2,LG12=0),1000000,IF($I12&gt;0,IF(3=$J12,IF(OR(AND(69=$I12+1,OR($K12&lt;&gt;'計算A'!$A$3,'計算A'!$A$4=0)),AND(69=$I12-1,OR(21&lt;&gt;'計算A'!$A$3,'計算A'!$A$4=0))),0,IF(21=$K12,200000,ABS(21-$K12)*100)),100000+ABS(3-$J12)*1000+210)+'計算A'!BT$5*50+IF(AND($E12=1,LG12=0),25,0),IF($F12&gt;0,INDEX('計算A'!BT$110:BT$114,$F12+1)+IF(AND($E12=1,LG12=0),1000,0),MIN(TW12,20)*400+(IF('計算A'!BS$106=1,1-FQ12,0)+IF('計算A'!BT$106=1,1-FS12,0))*150+213+'計算A'!BT$5*100000+IF(AND($E12=1,LG12=0),50000,0))+IF($H12=1,(IF('計算A'!BS$117=1,INDEX('計算A'!BS$10:BS$54,$B12),0)+IF('計算A'!BT$117=1,INDEX('計算A'!BU$10:BU$54,$B12),0))*4000,0)-IF(AND('計算A'!BS$117=1,WQ12&gt;0),2000,0)-IF(AND($L12=1,'計算A'!BT$117=1,FS12=0),2000,0))),1000000))</f>
        <v/>
      </c>
      <c r="QW12">
        <f>IF($B12=0,1000000,IF(INDEX('計算A'!$D$60:$EQ$104,$B12,70)*FS12=1,IF(AND($E12=2,LH12=0),1000000,IF($I12&gt;0,IF(3=$J12,IF(OR(AND(70=$I12+1,OR($K12&lt;&gt;'計算A'!$A$3,'計算A'!$A$4=0)),AND(70=$I12-1,OR(22&lt;&gt;'計算A'!$A$3,'計算A'!$A$4=0))),0,IF(22=$K12,200000,ABS(22-$K12)*100)),100000+ABS(3-$J12)*1000+220)+'計算A'!BU$5*50+IF(AND($E12=1,LH12=0),25,0),IF($F12&gt;0,INDEX('計算A'!BU$110:BU$114,$F12+1)+IF(AND($E12=1,LH12=0),1000,0),MIN(TW12,20)*400+(IF('計算A'!BT$106=1,1-FR12,0)+IF('計算A'!BU$106=1,1-FT12,0))*150+223+'計算A'!BU$5*100000+IF(AND($E12=1,LH12=0),50000,0))+IF($H12=1,(IF('計算A'!BT$117=1,INDEX('計算A'!BT$10:BT$54,$B12),0)+IF('計算A'!BU$117=1,INDEX('計算A'!BV$10:BV$54,$B12),0))*4000,0)-IF(AND('計算A'!BT$117=1,WR12&gt;0),2000,0)-IF(AND($L12=1,'計算A'!BU$117=1,FT12=0),2000,0))),1000000))</f>
        <v/>
      </c>
      <c r="QX12">
        <f>IF($B12=0,1000000,IF(INDEX('計算A'!$D$60:$EQ$104,$B12,71)*FT12=1,IF(AND($E12=2,LI12=0),1000000,IF($I12&gt;0,IF(3=$J12,IF(OR(AND(71=$I12+1,OR($K12&lt;&gt;'計算A'!$A$3,'計算A'!$A$4=0)),AND(71=$I12-1,OR(23&lt;&gt;'計算A'!$A$3,'計算A'!$A$4=0))),0,IF(23=$K12,200000,ABS(23-$K12)*100)),100000+ABS(3-$J12)*1000+230)+'計算A'!BV$5*50+IF(AND($E12=1,LI12=0),25,0),IF($F12&gt;0,INDEX('計算A'!BV$110:BV$114,$F12+1)+IF(AND($E12=1,LI12=0),1000,0),MIN(TW12,20)*400+(IF('計算A'!BU$106=1,1-FS12,0)+IF('計算A'!BV$106=1,1-FU12,0))*150+233+'計算A'!BV$5*100000+IF(AND($E12=1,LI12=0),50000,0))+IF($H12=1,(IF('計算A'!BU$117=1,INDEX('計算A'!BU$10:BU$54,$B12),0)+IF('計算A'!BV$117=1,INDEX('計算A'!BW$10:BW$54,$B12),0))*4000,0)-IF(AND('計算A'!BU$117=1,WS12&gt;0),2000,0)-IF(AND($L12=1,'計算A'!BV$117=1,FU12=0),2000,0))),1000000))</f>
        <v/>
      </c>
      <c r="QY12">
        <f>IF($B12=0,1000000,IF(INDEX('計算A'!$D$60:$EQ$104,$B12,72)*FU12=1,IF(AND($E12=2,LJ12=0),1000000,IF($I12&gt;0,IF(3=$J12,IF(OR(AND(72=$I12+1,OR($K12&lt;&gt;'計算A'!$A$3,'計算A'!$A$4=0)),AND(72=$I12-1,OR(24&lt;&gt;'計算A'!$A$3,'計算A'!$A$4=0))),0,IF(24=$K12,200000,ABS(24-$K12)*100)),100000+ABS(3-$J12)*1000+240)+'計算A'!BW$5*50+IF(AND($E12=1,LJ12=0),25,0),IF($F12&gt;0,INDEX('計算A'!BW$110:BW$114,$F12+1)+IF(AND($E12=1,LJ12=0),1000,0),MIN(TW12,20)*400+(IF('計算A'!BV$106=1,1-FT12,0))*150+243+'計算A'!BW$5*100000+IF(AND($E12=1,LJ12=0),50000,0))+IF($H12=1,(IF('計算A'!BV$117=1,INDEX('計算A'!BV$10:BV$54,$B12),0))*4000,0)-IF(AND('計算A'!BV$117=1,WT12&gt;0),2000,0))),1000000))</f>
        <v/>
      </c>
      <c r="QZ12">
        <f>IF($B12=0,1000000,IF(INDEX('計算A'!$D$60:$EQ$104,$B12,73)*FV12=1,IF(AND($E12=2,LK12=0),1000000,IF($I12&gt;0,IF(4=$J12,IF(OR(AND(73=$I12+1,OR($K12&lt;&gt;'計算A'!$A$3,'計算A'!$A$4=0)),AND(73=$I12-1,OR(1&lt;&gt;'計算A'!$A$3,'計算A'!$A$4=0))),0,IF(1=$K12,200000,ABS(1-$K12)*100)),100000+ABS(4-$J12)*1000+10)+'計算A'!BX$5*50+IF(AND($E12=1,LK12=0),25,0),IF($F12&gt;0,INDEX('計算A'!BX$110:BX$114,$F12+1)+IF(AND($E12=1,LK12=0),1000,0),MIN(TX12,20)*400+(IF('計算A'!BX$106=1,1-FW12,0))*150+14+'計算A'!BX$5*100000+IF(AND($E12=1,LK12=0),50000,0))+IF($H12=1,(IF('計算A'!BX$117=1,INDEX('計算A'!BY$10:BY$54,$B12),0))*4000,0)-IF(AND($L12=1,'計算A'!BX$117=1,FW12=0),2000,0))),1000000))</f>
        <v/>
      </c>
      <c r="RA12">
        <f>IF($B12=0,1000000,IF(INDEX('計算A'!$D$60:$EQ$104,$B12,74)*FW12=1,IF(AND($E12=2,LL12=0),1000000,IF($I12&gt;0,IF(4=$J12,IF(OR(AND(74=$I12+1,OR($K12&lt;&gt;'計算A'!$A$3,'計算A'!$A$4=0)),AND(74=$I12-1,OR(2&lt;&gt;'計算A'!$A$3,'計算A'!$A$4=0))),0,IF(2=$K12,200000,ABS(2-$K12)*100)),100000+ABS(4-$J12)*1000+20)+'計算A'!BY$5*50+IF(AND($E12=1,LL12=0),25,0),IF($F12&gt;0,INDEX('計算A'!BY$110:BY$114,$F12+1)+IF(AND($E12=1,LL12=0),1000,0),MIN(TX12,20)*400+(IF('計算A'!BX$106=1,1-FV12,0)+IF('計算A'!BY$106=1,1-FX12,0))*150+24+'計算A'!BY$5*100000+IF(AND($E12=1,LL12=0),50000,0))+IF($H12=1,(IF('計算A'!BX$117=1,INDEX('計算A'!BX$10:BX$54,$B12),0)+IF('計算A'!BY$117=1,INDEX('計算A'!BZ$10:BZ$54,$B12),0))*4000,0)-IF(AND('計算A'!BX$117=1,WV12&gt;0),2000,0)-IF(AND($L12=1,'計算A'!BY$117=1,FX12=0),2000,0))),1000000))</f>
        <v/>
      </c>
      <c r="RB12">
        <f>IF($B12=0,1000000,IF(INDEX('計算A'!$D$60:$EQ$104,$B12,75)*FX12=1,IF(AND($E12=2,LM12=0),1000000,IF($I12&gt;0,IF(4=$J12,IF(OR(AND(75=$I12+1,OR($K12&lt;&gt;'計算A'!$A$3,'計算A'!$A$4=0)),AND(75=$I12-1,OR(3&lt;&gt;'計算A'!$A$3,'計算A'!$A$4=0))),0,IF(3=$K12,200000,ABS(3-$K12)*100)),100000+ABS(4-$J12)*1000+30)+'計算A'!BZ$5*50+IF(AND($E12=1,LM12=0),25,0),IF($F12&gt;0,INDEX('計算A'!BZ$110:BZ$114,$F12+1)+IF(AND($E12=1,LM12=0),1000,0),MIN(TX12,20)*400+(IF('計算A'!BY$106=1,1-FW12,0)+IF('計算A'!BZ$106=1,1-FY12,0))*150+34+'計算A'!BZ$5*100000+IF(AND($E12=1,LM12=0),50000,0))+IF($H12=1,(IF('計算A'!BY$117=1,INDEX('計算A'!BY$10:BY$54,$B12),0)+IF('計算A'!BZ$117=1,INDEX('計算A'!CA$10:CA$54,$B12),0))*4000,0)-IF(AND('計算A'!BY$117=1,WW12&gt;0),2000,0)-IF(AND($L12=1,'計算A'!BZ$117=1,FY12=0),2000,0))),1000000))</f>
        <v/>
      </c>
      <c r="RC12">
        <f>IF($B12=0,1000000,IF(INDEX('計算A'!$D$60:$EQ$104,$B12,76)*FY12=1,IF(AND($E12=2,LN12=0),1000000,IF($I12&gt;0,IF(4=$J12,IF(OR(AND(76=$I12+1,OR($K12&lt;&gt;'計算A'!$A$3,'計算A'!$A$4=0)),AND(76=$I12-1,OR(4&lt;&gt;'計算A'!$A$3,'計算A'!$A$4=0))),0,IF(4=$K12,200000,ABS(4-$K12)*100)),100000+ABS(4-$J12)*1000+40)+'計算A'!CA$5*50+IF(AND($E12=1,LN12=0),25,0),IF($F12&gt;0,INDEX('計算A'!CA$110:CA$114,$F12+1)+IF(AND($E12=1,LN12=0),1000,0),MIN(TX12,20)*400+(IF('計算A'!BZ$106=1,1-FX12,0)+IF('計算A'!CA$106=1,1-FZ12,0))*150+44+'計算A'!CA$5*100000+IF(AND($E12=1,LN12=0),50000,0))+IF($H12=1,(IF('計算A'!BZ$117=1,INDEX('計算A'!BZ$10:BZ$54,$B12),0)+IF('計算A'!CA$117=1,INDEX('計算A'!CB$10:CB$54,$B12),0))*4000,0)-IF(AND('計算A'!BZ$117=1,WX12&gt;0),2000,0)-IF(AND($L12=1,'計算A'!CA$117=1,FZ12=0),2000,0))),1000000))</f>
        <v/>
      </c>
      <c r="RD12">
        <f>IF($B12=0,1000000,IF(INDEX('計算A'!$D$60:$EQ$104,$B12,77)*FZ12=1,IF(AND($E12=2,LO12=0),1000000,IF($I12&gt;0,IF(4=$J12,IF(OR(AND(77=$I12+1,OR($K12&lt;&gt;'計算A'!$A$3,'計算A'!$A$4=0)),AND(77=$I12-1,OR(5&lt;&gt;'計算A'!$A$3,'計算A'!$A$4=0))),0,IF(5=$K12,200000,ABS(5-$K12)*100)),100000+ABS(4-$J12)*1000+50)+'計算A'!CB$5*50+IF(AND($E12=1,LO12=0),25,0),IF($F12&gt;0,INDEX('計算A'!CB$110:CB$114,$F12+1)+IF(AND($E12=1,LO12=0),1000,0),MIN(TX12,20)*400+(IF('計算A'!CA$106=1,1-FY12,0)+IF('計算A'!CB$106=1,1-GA12,0))*150+54+'計算A'!CB$5*100000+IF(AND($E12=1,LO12=0),50000,0))+IF($H12=1,(IF('計算A'!CA$117=1,INDEX('計算A'!CA$10:CA$54,$B12),0)+IF('計算A'!CB$117=1,INDEX('計算A'!CC$10:CC$54,$B12),0))*4000,0)-IF(AND('計算A'!CA$117=1,WY12&gt;0),2000,0)-IF(AND($L12=1,'計算A'!CB$117=1,GA12=0),2000,0))),1000000))</f>
        <v/>
      </c>
      <c r="RE12">
        <f>IF($B12=0,1000000,IF(INDEX('計算A'!$D$60:$EQ$104,$B12,78)*GA12=1,IF(AND($E12=2,LP12=0),1000000,IF($I12&gt;0,IF(4=$J12,IF(OR(AND(78=$I12+1,OR($K12&lt;&gt;'計算A'!$A$3,'計算A'!$A$4=0)),AND(78=$I12-1,OR(6&lt;&gt;'計算A'!$A$3,'計算A'!$A$4=0))),0,IF(6=$K12,200000,ABS(6-$K12)*100)),100000+ABS(4-$J12)*1000+60)+'計算A'!CC$5*50+IF(AND($E12=1,LP12=0),25,0),IF($F12&gt;0,INDEX('計算A'!CC$110:CC$114,$F12+1)+IF(AND($E12=1,LP12=0),1000,0),MIN(TX12,20)*400+(IF('計算A'!CB$106=1,1-FZ12,0)+IF('計算A'!CC$106=1,1-GB12,0))*150+64+'計算A'!CC$5*100000+IF(AND($E12=1,LP12=0),50000,0))+IF($H12=1,(IF('計算A'!CB$117=1,INDEX('計算A'!CB$10:CB$54,$B12),0)+IF('計算A'!CC$117=1,INDEX('計算A'!CD$10:CD$54,$B12),0))*4000,0)-IF(AND('計算A'!CB$117=1,WZ12&gt;0),2000,0)-IF(AND($L12=1,'計算A'!CC$117=1,GB12=0),2000,0))),1000000))</f>
        <v/>
      </c>
      <c r="RF12">
        <f>IF($B12=0,1000000,IF(INDEX('計算A'!$D$60:$EQ$104,$B12,79)*GB12=1,IF(AND($E12=2,LQ12=0),1000000,IF($I12&gt;0,IF(4=$J12,IF(OR(AND(79=$I12+1,OR($K12&lt;&gt;'計算A'!$A$3,'計算A'!$A$4=0)),AND(79=$I12-1,OR(7&lt;&gt;'計算A'!$A$3,'計算A'!$A$4=0))),0,IF(7=$K12,200000,ABS(7-$K12)*100)),100000+ABS(4-$J12)*1000+70)+'計算A'!CD$5*50+IF(AND($E12=1,LQ12=0),25,0),IF($F12&gt;0,INDEX('計算A'!CD$110:CD$114,$F12+1)+IF(AND($E12=1,LQ12=0),1000,0),MIN(TX12,20)*400+(IF('計算A'!CC$106=1,1-GA12,0)+IF('計算A'!CD$106=1,1-GC12,0))*150+74+'計算A'!CD$5*100000+IF(AND($E12=1,LQ12=0),50000,0))+IF($H12=1,(IF('計算A'!CC$117=1,INDEX('計算A'!CC$10:CC$54,$B12),0)+IF('計算A'!CD$117=1,INDEX('計算A'!CE$10:CE$54,$B12),0))*4000,0)-IF(AND('計算A'!CC$117=1,XA12&gt;0),2000,0)-IF(AND($L12=1,'計算A'!CD$117=1,GC12=0),2000,0))),1000000))</f>
        <v/>
      </c>
      <c r="RG12">
        <f>IF($B12=0,1000000,IF(INDEX('計算A'!$D$60:$EQ$104,$B12,80)*GC12=1,IF(AND($E12=2,LR12=0),1000000,IF($I12&gt;0,IF(4=$J12,IF(OR(AND(80=$I12+1,OR($K12&lt;&gt;'計算A'!$A$3,'計算A'!$A$4=0)),AND(80=$I12-1,OR(8&lt;&gt;'計算A'!$A$3,'計算A'!$A$4=0))),0,IF(8=$K12,200000,ABS(8-$K12)*100)),100000+ABS(4-$J12)*1000+80)+'計算A'!CE$5*50+IF(AND($E12=1,LR12=0),25,0),IF($F12&gt;0,INDEX('計算A'!CE$110:CE$114,$F12+1)+IF(AND($E12=1,LR12=0),1000,0),MIN(TX12,20)*400+(IF('計算A'!CD$106=1,1-GB12,0)+IF('計算A'!CE$106=1,1-GD12,0))*150+84+'計算A'!CE$5*100000+IF(AND($E12=1,LR12=0),50000,0))+IF($H12=1,(IF('計算A'!CD$117=1,INDEX('計算A'!CD$10:CD$54,$B12),0)+IF('計算A'!CE$117=1,INDEX('計算A'!CF$10:CF$54,$B12),0))*4000,0)-IF(AND('計算A'!CD$117=1,XB12&gt;0),2000,0)-IF(AND($L12=1,'計算A'!CE$117=1,GD12=0),2000,0))),1000000))</f>
        <v/>
      </c>
      <c r="RH12">
        <f>IF($B12=0,1000000,IF(INDEX('計算A'!$D$60:$EQ$104,$B12,81)*GD12=1,IF(AND($E12=2,LS12=0),1000000,IF($I12&gt;0,IF(4=$J12,IF(OR(AND(81=$I12+1,OR($K12&lt;&gt;'計算A'!$A$3,'計算A'!$A$4=0)),AND(81=$I12-1,OR(9&lt;&gt;'計算A'!$A$3,'計算A'!$A$4=0))),0,IF(9=$K12,200000,ABS(9-$K12)*100)),100000+ABS(4-$J12)*1000+90)+'計算A'!CF$5*50+IF(AND($E12=1,LS12=0),25,0),IF($F12&gt;0,INDEX('計算A'!CF$110:CF$114,$F12+1)+IF(AND($E12=1,LS12=0),1000,0),MIN(TX12,20)*400+(IF('計算A'!CE$106=1,1-GC12,0)+IF('計算A'!CF$106=1,1-GE12,0))*150+94+'計算A'!CF$5*100000+IF(AND($E12=1,LS12=0),50000,0))+IF($H12=1,(IF('計算A'!CE$117=1,INDEX('計算A'!CE$10:CE$54,$B12),0)+IF('計算A'!CF$117=1,INDEX('計算A'!CG$10:CG$54,$B12),0))*4000,0)-IF(AND('計算A'!CE$117=1,XC12&gt;0),2000,0)-IF(AND($L12=1,'計算A'!CF$117=1,GE12=0),2000,0))),1000000))</f>
        <v/>
      </c>
      <c r="RI12">
        <f>IF($B12=0,1000000,IF(INDEX('計算A'!$D$60:$EQ$104,$B12,82)*GE12=1,IF(AND($E12=2,LT12=0),1000000,IF($I12&gt;0,IF(4=$J12,IF(OR(AND(82=$I12+1,OR($K12&lt;&gt;'計算A'!$A$3,'計算A'!$A$4=0)),AND(82=$I12-1,OR(10&lt;&gt;'計算A'!$A$3,'計算A'!$A$4=0))),0,IF(10=$K12,200000,ABS(10-$K12)*100)),100000+ABS(4-$J12)*1000+100)+'計算A'!CG$5*50+IF(AND($E12=1,LT12=0),25,0),IF($F12&gt;0,INDEX('計算A'!CG$110:CG$114,$F12+1)+IF(AND($E12=1,LT12=0),1000,0),MIN(TX12,20)*400+(IF('計算A'!CF$106=1,1-GD12,0)+IF('計算A'!CG$106=1,1-GF12,0))*150+104+'計算A'!CG$5*100000+IF(AND($E12=1,LT12=0),50000,0))+IF($H12=1,(IF('計算A'!CF$117=1,INDEX('計算A'!CF$10:CF$54,$B12),0)+IF('計算A'!CG$117=1,INDEX('計算A'!CH$10:CH$54,$B12),0))*4000,0)-IF(AND('計算A'!CF$117=1,XD12&gt;0),2000,0)-IF(AND($L12=1,'計算A'!CG$117=1,GF12=0),2000,0))),1000000))</f>
        <v/>
      </c>
      <c r="RJ12">
        <f>IF($B12=0,1000000,IF(INDEX('計算A'!$D$60:$EQ$104,$B12,83)*GF12=1,IF(AND($E12=2,LU12=0),1000000,IF($I12&gt;0,IF(4=$J12,IF(OR(AND(83=$I12+1,OR($K12&lt;&gt;'計算A'!$A$3,'計算A'!$A$4=0)),AND(83=$I12-1,OR(11&lt;&gt;'計算A'!$A$3,'計算A'!$A$4=0))),0,IF(11=$K12,200000,ABS(11-$K12)*100)),100000+ABS(4-$J12)*1000+110)+'計算A'!CH$5*50+IF(AND($E12=1,LU12=0),25,0),IF($F12&gt;0,INDEX('計算A'!CH$110:CH$114,$F12+1)+IF(AND($E12=1,LU12=0),1000,0),MIN(TX12,20)*400+(IF('計算A'!CG$106=1,1-GE12,0)+IF('計算A'!CH$106=1,1-GG12,0))*150+114+'計算A'!CH$5*100000+IF(AND($E12=1,LU12=0),50000,0))+IF($H12=1,(IF('計算A'!CG$117=1,INDEX('計算A'!CG$10:CG$54,$B12),0)+IF('計算A'!CH$117=1,INDEX('計算A'!CI$10:CI$54,$B12),0))*4000,0)-IF(AND('計算A'!CG$117=1,XE12&gt;0),2000,0)-IF(AND($L12=1,'計算A'!CH$117=1,GG12=0),2000,0))),1000000))</f>
        <v/>
      </c>
      <c r="RK12">
        <f>IF($B12=0,1000000,IF(INDEX('計算A'!$D$60:$EQ$104,$B12,84)*GG12=1,IF(AND($E12=2,LV12=0),1000000,IF($I12&gt;0,IF(4=$J12,IF(OR(AND(84=$I12+1,OR($K12&lt;&gt;'計算A'!$A$3,'計算A'!$A$4=0)),AND(84=$I12-1,OR(12&lt;&gt;'計算A'!$A$3,'計算A'!$A$4=0))),0,IF(12=$K12,200000,ABS(12-$K12)*100)),100000+ABS(4-$J12)*1000+120)+'計算A'!CI$5*50+IF(AND($E12=1,LV12=0),25,0),IF($F12&gt;0,INDEX('計算A'!CI$110:CI$114,$F12+1)+IF(AND($E12=1,LV12=0),1000,0),MIN(TX12,20)*400+(IF('計算A'!CH$106=1,1-GF12,0)+IF('計算A'!CI$106=1,1-GH12,0))*150+124+'計算A'!CI$5*100000+IF(AND($E12=1,LV12=0),50000,0))+IF($H12=1,(IF('計算A'!CH$117=1,INDEX('計算A'!CH$10:CH$54,$B12),0)+IF('計算A'!CI$117=1,INDEX('計算A'!CJ$10:CJ$54,$B12),0))*4000,0)-IF(AND('計算A'!CH$117=1,XF12&gt;0),2000,0)-IF(AND($L12=1,'計算A'!CI$117=1,GH12=0),2000,0))),1000000))</f>
        <v/>
      </c>
      <c r="RL12">
        <f>IF($B12=0,1000000,IF(INDEX('計算A'!$D$60:$EQ$104,$B12,85)*GH12=1,IF(AND($E12=2,LW12=0),1000000,IF($I12&gt;0,IF(4=$J12,IF(OR(AND(85=$I12+1,OR($K12&lt;&gt;'計算A'!$A$3,'計算A'!$A$4=0)),AND(85=$I12-1,OR(13&lt;&gt;'計算A'!$A$3,'計算A'!$A$4=0))),0,IF(13=$K12,200000,ABS(13-$K12)*100)),100000+ABS(4-$J12)*1000+130)+'計算A'!CJ$5*50+IF(AND($E12=1,LW12=0),25,0),IF($F12&gt;0,INDEX('計算A'!CJ$110:CJ$114,$F12+1)+IF(AND($E12=1,LW12=0),1000,0),MIN(TX12,20)*400+(IF('計算A'!CI$106=1,1-GG12,0)+IF('計算A'!CJ$106=1,1-GI12,0))*150+134+'計算A'!CJ$5*100000+IF(AND($E12=1,LW12=0),50000,0))+IF($H12=1,(IF('計算A'!CI$117=1,INDEX('計算A'!CI$10:CI$54,$B12),0)+IF('計算A'!CJ$117=1,INDEX('計算A'!CK$10:CK$54,$B12),0))*4000,0)-IF(AND('計算A'!CI$117=1,XG12&gt;0),2000,0)-IF(AND($L12=1,'計算A'!CJ$117=1,GI12=0),2000,0))),1000000))</f>
        <v/>
      </c>
      <c r="RM12">
        <f>IF($B12=0,1000000,IF(INDEX('計算A'!$D$60:$EQ$104,$B12,86)*GI12=1,IF(AND($E12=2,LX12=0),1000000,IF($I12&gt;0,IF(4=$J12,IF(OR(AND(86=$I12+1,OR($K12&lt;&gt;'計算A'!$A$3,'計算A'!$A$4=0)),AND(86=$I12-1,OR(14&lt;&gt;'計算A'!$A$3,'計算A'!$A$4=0))),0,IF(14=$K12,200000,ABS(14-$K12)*100)),100000+ABS(4-$J12)*1000+140)+'計算A'!CK$5*50+IF(AND($E12=1,LX12=0),25,0),IF($F12&gt;0,INDEX('計算A'!CK$110:CK$114,$F12+1)+IF(AND($E12=1,LX12=0),1000,0),MIN(TX12,20)*400+(IF('計算A'!CJ$106=1,1-GH12,0)+IF('計算A'!CK$106=1,1-GJ12,0))*150+144+'計算A'!CK$5*100000+IF(AND($E12=1,LX12=0),50000,0))+IF($H12=1,(IF('計算A'!CJ$117=1,INDEX('計算A'!CJ$10:CJ$54,$B12),0)+IF('計算A'!CK$117=1,INDEX('計算A'!CL$10:CL$54,$B12),0))*4000,0)-IF(AND('計算A'!CJ$117=1,XH12&gt;0),2000,0)-IF(AND($L12=1,'計算A'!CK$117=1,GJ12=0),2000,0))),1000000))</f>
        <v/>
      </c>
      <c r="RN12">
        <f>IF($B12=0,1000000,IF(INDEX('計算A'!$D$60:$EQ$104,$B12,87)*GJ12=1,IF(AND($E12=2,LY12=0),1000000,IF($I12&gt;0,IF(4=$J12,IF(OR(AND(87=$I12+1,OR($K12&lt;&gt;'計算A'!$A$3,'計算A'!$A$4=0)),AND(87=$I12-1,OR(15&lt;&gt;'計算A'!$A$3,'計算A'!$A$4=0))),0,IF(15=$K12,200000,ABS(15-$K12)*100)),100000+ABS(4-$J12)*1000+150)+'計算A'!CL$5*50+IF(AND($E12=1,LY12=0),25,0),IF($F12&gt;0,INDEX('計算A'!CL$110:CL$114,$F12+1)+IF(AND($E12=1,LY12=0),1000,0),MIN(TX12,20)*400+(IF('計算A'!CK$106=1,1-GI12,0)+IF('計算A'!CL$106=1,1-GK12,0))*150+154+'計算A'!CL$5*100000+IF(AND($E12=1,LY12=0),50000,0))+IF($H12=1,(IF('計算A'!CK$117=1,INDEX('計算A'!CK$10:CK$54,$B12),0)+IF('計算A'!CL$117=1,INDEX('計算A'!CM$10:CM$54,$B12),0))*4000,0)-IF(AND('計算A'!CK$117=1,XI12&gt;0),2000,0)-IF(AND($L12=1,'計算A'!CL$117=1,GK12=0),2000,0))),1000000))</f>
        <v/>
      </c>
      <c r="RO12">
        <f>IF($B12=0,1000000,IF(INDEX('計算A'!$D$60:$EQ$104,$B12,88)*GK12=1,IF(AND($E12=2,LZ12=0),1000000,IF($I12&gt;0,IF(4=$J12,IF(OR(AND(88=$I12+1,OR($K12&lt;&gt;'計算A'!$A$3,'計算A'!$A$4=0)),AND(88=$I12-1,OR(16&lt;&gt;'計算A'!$A$3,'計算A'!$A$4=0))),0,IF(16=$K12,200000,ABS(16-$K12)*100)),100000+ABS(4-$J12)*1000+160)+'計算A'!CM$5*50+IF(AND($E12=1,LZ12=0),25,0),IF($F12&gt;0,INDEX('計算A'!CM$110:CM$114,$F12+1)+IF(AND($E12=1,LZ12=0),1000,0),MIN(TX12,20)*400+(IF('計算A'!CL$106=1,1-GJ12,0)+IF('計算A'!CM$106=1,1-GL12,0))*150+164+'計算A'!CM$5*100000+IF(AND($E12=1,LZ12=0),50000,0))+IF($H12=1,(IF('計算A'!CL$117=1,INDEX('計算A'!CL$10:CL$54,$B12),0)+IF('計算A'!CM$117=1,INDEX('計算A'!CN$10:CN$54,$B12),0))*4000,0)-IF(AND('計算A'!CL$117=1,XJ12&gt;0),2000,0)-IF(AND($L12=1,'計算A'!CM$117=1,GL12=0),2000,0))),1000000))</f>
        <v/>
      </c>
      <c r="RP12">
        <f>IF($B12=0,1000000,IF(INDEX('計算A'!$D$60:$EQ$104,$B12,89)*GL12=1,IF(AND($E12=2,MA12=0),1000000,IF($I12&gt;0,IF(4=$J12,IF(OR(AND(89=$I12+1,OR($K12&lt;&gt;'計算A'!$A$3,'計算A'!$A$4=0)),AND(89=$I12-1,OR(17&lt;&gt;'計算A'!$A$3,'計算A'!$A$4=0))),0,IF(17=$K12,200000,ABS(17-$K12)*100)),100000+ABS(4-$J12)*1000+170)+'計算A'!CN$5*50+IF(AND($E12=1,MA12=0),25,0),IF($F12&gt;0,INDEX('計算A'!CN$110:CN$114,$F12+1)+IF(AND($E12=1,MA12=0),1000,0),MIN(TX12,20)*400+(IF('計算A'!CM$106=1,1-GK12,0)+IF('計算A'!CN$106=1,1-GM12,0))*150+174+'計算A'!CN$5*100000+IF(AND($E12=1,MA12=0),50000,0))+IF($H12=1,(IF('計算A'!CM$117=1,INDEX('計算A'!CM$10:CM$54,$B12),0)+IF('計算A'!CN$117=1,INDEX('計算A'!CO$10:CO$54,$B12),0))*4000,0)-IF(AND('計算A'!CM$117=1,XK12&gt;0),2000,0)-IF(AND($L12=1,'計算A'!CN$117=1,GM12=0),2000,0))),1000000))</f>
        <v/>
      </c>
      <c r="RQ12">
        <f>IF($B12=0,1000000,IF(INDEX('計算A'!$D$60:$EQ$104,$B12,90)*GM12=1,IF(AND($E12=2,MB12=0),1000000,IF($I12&gt;0,IF(4=$J12,IF(OR(AND(90=$I12+1,OR($K12&lt;&gt;'計算A'!$A$3,'計算A'!$A$4=0)),AND(90=$I12-1,OR(18&lt;&gt;'計算A'!$A$3,'計算A'!$A$4=0))),0,IF(18=$K12,200000,ABS(18-$K12)*100)),100000+ABS(4-$J12)*1000+180)+'計算A'!CO$5*50+IF(AND($E12=1,MB12=0),25,0),IF($F12&gt;0,INDEX('計算A'!CO$110:CO$114,$F12+1)+IF(AND($E12=1,MB12=0),1000,0),MIN(TX12,20)*400+(IF('計算A'!CN$106=1,1-GL12,0)+IF('計算A'!CO$106=1,1-GN12,0))*150+184+'計算A'!CO$5*100000+IF(AND($E12=1,MB12=0),50000,0))+IF($H12=1,(IF('計算A'!CN$117=1,INDEX('計算A'!CN$10:CN$54,$B12),0)+IF('計算A'!CO$117=1,INDEX('計算A'!CP$10:CP$54,$B12),0))*4000,0)-IF(AND('計算A'!CN$117=1,XL12&gt;0),2000,0)-IF(AND($L12=1,'計算A'!CO$117=1,GN12=0),2000,0))),1000000))</f>
        <v/>
      </c>
      <c r="RR12">
        <f>IF($B12=0,1000000,IF(INDEX('計算A'!$D$60:$EQ$104,$B12,91)*GN12=1,IF(AND($E12=2,MC12=0),1000000,IF($I12&gt;0,IF(4=$J12,IF(OR(AND(91=$I12+1,OR($K12&lt;&gt;'計算A'!$A$3,'計算A'!$A$4=0)),AND(91=$I12-1,OR(19&lt;&gt;'計算A'!$A$3,'計算A'!$A$4=0))),0,IF(19=$K12,200000,ABS(19-$K12)*100)),100000+ABS(4-$J12)*1000+190)+'計算A'!CP$5*50+IF(AND($E12=1,MC12=0),25,0),IF($F12&gt;0,INDEX('計算A'!CP$110:CP$114,$F12+1)+IF(AND($E12=1,MC12=0),1000,0),MIN(TX12,20)*400+(IF('計算A'!CO$106=1,1-GM12,0)+IF('計算A'!CP$106=1,1-GO12,0))*150+194+'計算A'!CP$5*100000+IF(AND($E12=1,MC12=0),50000,0))+IF($H12=1,(IF('計算A'!CO$117=1,INDEX('計算A'!CO$10:CO$54,$B12),0)+IF('計算A'!CP$117=1,INDEX('計算A'!CQ$10:CQ$54,$B12),0))*4000,0)-IF(AND('計算A'!CO$117=1,XM12&gt;0),2000,0)-IF(AND($L12=1,'計算A'!CP$117=1,GO12=0),2000,0))),1000000))</f>
        <v/>
      </c>
      <c r="RS12">
        <f>IF($B12=0,1000000,IF(INDEX('計算A'!$D$60:$EQ$104,$B12,92)*GO12=1,IF(AND($E12=2,MD12=0),1000000,IF($I12&gt;0,IF(4=$J12,IF(OR(AND(92=$I12+1,OR($K12&lt;&gt;'計算A'!$A$3,'計算A'!$A$4=0)),AND(92=$I12-1,OR(20&lt;&gt;'計算A'!$A$3,'計算A'!$A$4=0))),0,IF(20=$K12,200000,ABS(20-$K12)*100)),100000+ABS(4-$J12)*1000+200)+'計算A'!CQ$5*50+IF(AND($E12=1,MD12=0),25,0),IF($F12&gt;0,INDEX('計算A'!CQ$110:CQ$114,$F12+1)+IF(AND($E12=1,MD12=0),1000,0),MIN(TX12,20)*400+(IF('計算A'!CP$106=1,1-GN12,0)+IF('計算A'!CQ$106=1,1-GP12,0))*150+204+'計算A'!CQ$5*100000+IF(AND($E12=1,MD12=0),50000,0))+IF($H12=1,(IF('計算A'!CP$117=1,INDEX('計算A'!CP$10:CP$54,$B12),0)+IF('計算A'!CQ$117=1,INDEX('計算A'!CR$10:CR$54,$B12),0))*4000,0)-IF(AND('計算A'!CP$117=1,XN12&gt;0),2000,0)-IF(AND($L12=1,'計算A'!CQ$117=1,GP12=0),2000,0))),1000000))</f>
        <v/>
      </c>
      <c r="RT12">
        <f>IF($B12=0,1000000,IF(INDEX('計算A'!$D$60:$EQ$104,$B12,93)*GP12=1,IF(AND($E12=2,ME12=0),1000000,IF($I12&gt;0,IF(4=$J12,IF(OR(AND(93=$I12+1,OR($K12&lt;&gt;'計算A'!$A$3,'計算A'!$A$4=0)),AND(93=$I12-1,OR(21&lt;&gt;'計算A'!$A$3,'計算A'!$A$4=0))),0,IF(21=$K12,200000,ABS(21-$K12)*100)),100000+ABS(4-$J12)*1000+210)+'計算A'!CR$5*50+IF(AND($E12=1,ME12=0),25,0),IF($F12&gt;0,INDEX('計算A'!CR$110:CR$114,$F12+1)+IF(AND($E12=1,ME12=0),1000,0),MIN(TX12,20)*400+(IF('計算A'!CQ$106=1,1-GO12,0)+IF('計算A'!CR$106=1,1-GQ12,0))*150+214+'計算A'!CR$5*100000+IF(AND($E12=1,ME12=0),50000,0))+IF($H12=1,(IF('計算A'!CQ$117=1,INDEX('計算A'!CQ$10:CQ$54,$B12),0)+IF('計算A'!CR$117=1,INDEX('計算A'!CS$10:CS$54,$B12),0))*4000,0)-IF(AND('計算A'!CQ$117=1,XO12&gt;0),2000,0)-IF(AND($L12=1,'計算A'!CR$117=1,GQ12=0),2000,0))),1000000))</f>
        <v/>
      </c>
      <c r="RU12">
        <f>IF($B12=0,1000000,IF(INDEX('計算A'!$D$60:$EQ$104,$B12,94)*GQ12=1,IF(AND($E12=2,MF12=0),1000000,IF($I12&gt;0,IF(4=$J12,IF(OR(AND(94=$I12+1,OR($K12&lt;&gt;'計算A'!$A$3,'計算A'!$A$4=0)),AND(94=$I12-1,OR(22&lt;&gt;'計算A'!$A$3,'計算A'!$A$4=0))),0,IF(22=$K12,200000,ABS(22-$K12)*100)),100000+ABS(4-$J12)*1000+220)+'計算A'!CS$5*50+IF(AND($E12=1,MF12=0),25,0),IF($F12&gt;0,INDEX('計算A'!CS$110:CS$114,$F12+1)+IF(AND($E12=1,MF12=0),1000,0),MIN(TX12,20)*400+(IF('計算A'!CR$106=1,1-GP12,0)+IF('計算A'!CS$106=1,1-GR12,0))*150+224+'計算A'!CS$5*100000+IF(AND($E12=1,MF12=0),50000,0))+IF($H12=1,(IF('計算A'!CR$117=1,INDEX('計算A'!CR$10:CR$54,$B12),0)+IF('計算A'!CS$117=1,INDEX('計算A'!CT$10:CT$54,$B12),0))*4000,0)-IF(AND('計算A'!CR$117=1,XP12&gt;0),2000,0)-IF(AND($L12=1,'計算A'!CS$117=1,GR12=0),2000,0))),1000000))</f>
        <v/>
      </c>
      <c r="RV12">
        <f>IF($B12=0,1000000,IF(INDEX('計算A'!$D$60:$EQ$104,$B12,95)*GR12=1,IF(AND($E12=2,MG12=0),1000000,IF($I12&gt;0,IF(4=$J12,IF(OR(AND(95=$I12+1,OR($K12&lt;&gt;'計算A'!$A$3,'計算A'!$A$4=0)),AND(95=$I12-1,OR(23&lt;&gt;'計算A'!$A$3,'計算A'!$A$4=0))),0,IF(23=$K12,200000,ABS(23-$K12)*100)),100000+ABS(4-$J12)*1000+230)+'計算A'!CT$5*50+IF(AND($E12=1,MG12=0),25,0),IF($F12&gt;0,INDEX('計算A'!CT$110:CT$114,$F12+1)+IF(AND($E12=1,MG12=0),1000,0),MIN(TX12,20)*400+(IF('計算A'!CS$106=1,1-GQ12,0)+IF('計算A'!CT$106=1,1-GS12,0))*150+234+'計算A'!CT$5*100000+IF(AND($E12=1,MG12=0),50000,0))+IF($H12=1,(IF('計算A'!CS$117=1,INDEX('計算A'!CS$10:CS$54,$B12),0)+IF('計算A'!CT$117=1,INDEX('計算A'!CU$10:CU$54,$B12),0))*4000,0)-IF(AND('計算A'!CS$117=1,XQ12&gt;0),2000,0)-IF(AND($L12=1,'計算A'!CT$117=1,GS12=0),2000,0))),1000000))</f>
        <v/>
      </c>
      <c r="RW12">
        <f>IF($B12=0,1000000,IF(INDEX('計算A'!$D$60:$EQ$104,$B12,96)*GS12=1,IF(AND($E12=2,MH12=0),1000000,IF($I12&gt;0,IF(4=$J12,IF(OR(AND(96=$I12+1,OR($K12&lt;&gt;'計算A'!$A$3,'計算A'!$A$4=0)),AND(96=$I12-1,OR(24&lt;&gt;'計算A'!$A$3,'計算A'!$A$4=0))),0,IF(24=$K12,200000,ABS(24-$K12)*100)),100000+ABS(4-$J12)*1000+240)+'計算A'!CU$5*50+IF(AND($E12=1,MH12=0),25,0),IF($F12&gt;0,INDEX('計算A'!CU$110:CU$114,$F12+1)+IF(AND($E12=1,MH12=0),1000,0),MIN(TX12,20)*400+(IF('計算A'!CT$106=1,1-GR12,0))*150+244+'計算A'!CU$5*100000+IF(AND($E12=1,MH12=0),50000,0))+IF($H12=1,(IF('計算A'!CT$117=1,INDEX('計算A'!CT$10:CT$54,$B12),0))*4000,0)-IF(AND('計算A'!CT$117=1,XR12&gt;0),2000,0))),1000000))</f>
        <v/>
      </c>
      <c r="RX12">
        <f>IF($B12=0,1000000,IF(INDEX('計算A'!$D$60:$EQ$104,$B12,97)*GT12=1,IF(AND($E12=2,MI12=0),1000000,IF($I12&gt;0,IF(5=$J12,IF(OR(AND(97=$I12+1,OR($K12&lt;&gt;'計算A'!$A$3,'計算A'!$A$4=0)),AND(97=$I12-1,OR(1&lt;&gt;'計算A'!$A$3,'計算A'!$A$4=0))),0,IF(1=$K12,200000,ABS(1-$K12)*100)),100000+ABS(5-$J12)*1000+10)+'計算A'!CV$5*50+IF(AND($E12=1,MI12=0),25,0),IF($F12&gt;0,INDEX('計算A'!CV$110:CV$114,$F12+1)+IF(AND($E12=1,MI12=0),1000,0),MIN(TY12,20)*400+(IF('計算A'!CV$106=1,1-GU12,0))*150+15+'計算A'!CV$5*100000+IF(AND($E12=1,MI12=0),50000,0))+IF($H12=1,(IF('計算A'!CV$117=1,INDEX('計算A'!CW$10:CW$54,$B12),0))*4000,0)-IF(AND($L12=1,'計算A'!CV$117=1,GU12=0),2000,0))),1000000))</f>
        <v/>
      </c>
      <c r="RY12">
        <f>IF($B12=0,1000000,IF(INDEX('計算A'!$D$60:$EQ$104,$B12,98)*GU12=1,IF(AND($E12=2,MJ12=0),1000000,IF($I12&gt;0,IF(5=$J12,IF(OR(AND(98=$I12+1,OR($K12&lt;&gt;'計算A'!$A$3,'計算A'!$A$4=0)),AND(98=$I12-1,OR(2&lt;&gt;'計算A'!$A$3,'計算A'!$A$4=0))),0,IF(2=$K12,200000,ABS(2-$K12)*100)),100000+ABS(5-$J12)*1000+20)+'計算A'!CW$5*50+IF(AND($E12=1,MJ12=0),25,0),IF($F12&gt;0,INDEX('計算A'!CW$110:CW$114,$F12+1)+IF(AND($E12=1,MJ12=0),1000,0),MIN(TY12,20)*400+(IF('計算A'!CV$106=1,1-GT12,0)+IF('計算A'!CW$106=1,1-GV12,0))*150+25+'計算A'!CW$5*100000+IF(AND($E12=1,MJ12=0),50000,0))+IF($H12=1,(IF('計算A'!CV$117=1,INDEX('計算A'!CV$10:CV$54,$B12),0)+IF('計算A'!CW$117=1,INDEX('計算A'!CX$10:CX$54,$B12),0))*4000,0)-IF(AND('計算A'!CV$117=1,XT12&gt;0),2000,0)-IF(AND($L12=1,'計算A'!CW$117=1,GV12=0),2000,0))),1000000))</f>
        <v/>
      </c>
      <c r="RZ12">
        <f>IF($B12=0,1000000,IF(INDEX('計算A'!$D$60:$EQ$104,$B12,99)*GV12=1,IF(AND($E12=2,MK12=0),1000000,IF($I12&gt;0,IF(5=$J12,IF(OR(AND(99=$I12+1,OR($K12&lt;&gt;'計算A'!$A$3,'計算A'!$A$4=0)),AND(99=$I12-1,OR(3&lt;&gt;'計算A'!$A$3,'計算A'!$A$4=0))),0,IF(3=$K12,200000,ABS(3-$K12)*100)),100000+ABS(5-$J12)*1000+30)+'計算A'!CX$5*50+IF(AND($E12=1,MK12=0),25,0),IF($F12&gt;0,INDEX('計算A'!CX$110:CX$114,$F12+1)+IF(AND($E12=1,MK12=0),1000,0),MIN(TY12,20)*400+(IF('計算A'!CW$106=1,1-GU12,0)+IF('計算A'!CX$106=1,1-GW12,0))*150+35+'計算A'!CX$5*100000+IF(AND($E12=1,MK12=0),50000,0))+IF($H12=1,(IF('計算A'!CW$117=1,INDEX('計算A'!CW$10:CW$54,$B12),0)+IF('計算A'!CX$117=1,INDEX('計算A'!CY$10:CY$54,$B12),0))*4000,0)-IF(AND('計算A'!CW$117=1,XU12&gt;0),2000,0)-IF(AND($L12=1,'計算A'!CX$117=1,GW12=0),2000,0))),1000000))</f>
        <v/>
      </c>
      <c r="SA12">
        <f>IF($B12=0,1000000,IF(INDEX('計算A'!$D$60:$EQ$104,$B12,100)*GW12=1,IF(AND($E12=2,ML12=0),1000000,IF($I12&gt;0,IF(5=$J12,IF(OR(AND(100=$I12+1,OR($K12&lt;&gt;'計算A'!$A$3,'計算A'!$A$4=0)),AND(100=$I12-1,OR(4&lt;&gt;'計算A'!$A$3,'計算A'!$A$4=0))),0,IF(4=$K12,200000,ABS(4-$K12)*100)),100000+ABS(5-$J12)*1000+40)+'計算A'!CY$5*50+IF(AND($E12=1,ML12=0),25,0),IF($F12&gt;0,INDEX('計算A'!CY$110:CY$114,$F12+1)+IF(AND($E12=1,ML12=0),1000,0),MIN(TY12,20)*400+(IF('計算A'!CX$106=1,1-GV12,0)+IF('計算A'!CY$106=1,1-GX12,0))*150+45+'計算A'!CY$5*100000+IF(AND($E12=1,ML12=0),50000,0))+IF($H12=1,(IF('計算A'!CX$117=1,INDEX('計算A'!CX$10:CX$54,$B12),0)+IF('計算A'!CY$117=1,INDEX('計算A'!CZ$10:CZ$54,$B12),0))*4000,0)-IF(AND('計算A'!CX$117=1,XV12&gt;0),2000,0)-IF(AND($L12=1,'計算A'!CY$117=1,GX12=0),2000,0))),1000000))</f>
        <v/>
      </c>
      <c r="SB12">
        <f>IF($B12=0,1000000,IF(INDEX('計算A'!$D$60:$EQ$104,$B12,101)*GX12=1,IF(AND($E12=2,MM12=0),1000000,IF($I12&gt;0,IF(5=$J12,IF(OR(AND(101=$I12+1,OR($K12&lt;&gt;'計算A'!$A$3,'計算A'!$A$4=0)),AND(101=$I12-1,OR(5&lt;&gt;'計算A'!$A$3,'計算A'!$A$4=0))),0,IF(5=$K12,200000,ABS(5-$K12)*100)),100000+ABS(5-$J12)*1000+50)+'計算A'!CZ$5*50+IF(AND($E12=1,MM12=0),25,0),IF($F12&gt;0,INDEX('計算A'!CZ$110:CZ$114,$F12+1)+IF(AND($E12=1,MM12=0),1000,0),MIN(TY12,20)*400+(IF('計算A'!CY$106=1,1-GW12,0)+IF('計算A'!CZ$106=1,1-GY12,0))*150+55+'計算A'!CZ$5*100000+IF(AND($E12=1,MM12=0),50000,0))+IF($H12=1,(IF('計算A'!CY$117=1,INDEX('計算A'!CY$10:CY$54,$B12),0)+IF('計算A'!CZ$117=1,INDEX('計算A'!DA$10:DA$54,$B12),0))*4000,0)-IF(AND('計算A'!CY$117=1,XW12&gt;0),2000,0)-IF(AND($L12=1,'計算A'!CZ$117=1,GY12=0),2000,0))),1000000))</f>
        <v/>
      </c>
      <c r="SC12">
        <f>IF($B12=0,1000000,IF(INDEX('計算A'!$D$60:$EQ$104,$B12,102)*GY12=1,IF(AND($E12=2,MN12=0),1000000,IF($I12&gt;0,IF(5=$J12,IF(OR(AND(102=$I12+1,OR($K12&lt;&gt;'計算A'!$A$3,'計算A'!$A$4=0)),AND(102=$I12-1,OR(6&lt;&gt;'計算A'!$A$3,'計算A'!$A$4=0))),0,IF(6=$K12,200000,ABS(6-$K12)*100)),100000+ABS(5-$J12)*1000+60)+'計算A'!DA$5*50+IF(AND($E12=1,MN12=0),25,0),IF($F12&gt;0,INDEX('計算A'!DA$110:DA$114,$F12+1)+IF(AND($E12=1,MN12=0),1000,0),MIN(TY12,20)*400+(IF('計算A'!CZ$106=1,1-GX12,0)+IF('計算A'!DA$106=1,1-GZ12,0))*150+65+'計算A'!DA$5*100000+IF(AND($E12=1,MN12=0),50000,0))+IF($H12=1,(IF('計算A'!CZ$117=1,INDEX('計算A'!CZ$10:CZ$54,$B12),0)+IF('計算A'!DA$117=1,INDEX('計算A'!DB$10:DB$54,$B12),0))*4000,0)-IF(AND('計算A'!CZ$117=1,XX12&gt;0),2000,0)-IF(AND($L12=1,'計算A'!DA$117=1,GZ12=0),2000,0))),1000000))</f>
        <v/>
      </c>
      <c r="SD12">
        <f>IF($B12=0,1000000,IF(INDEX('計算A'!$D$60:$EQ$104,$B12,103)*GZ12=1,IF(AND($E12=2,MO12=0),1000000,IF($I12&gt;0,IF(5=$J12,IF(OR(AND(103=$I12+1,OR($K12&lt;&gt;'計算A'!$A$3,'計算A'!$A$4=0)),AND(103=$I12-1,OR(7&lt;&gt;'計算A'!$A$3,'計算A'!$A$4=0))),0,IF(7=$K12,200000,ABS(7-$K12)*100)),100000+ABS(5-$J12)*1000+70)+'計算A'!DB$5*50+IF(AND($E12=1,MO12=0),25,0),IF($F12&gt;0,INDEX('計算A'!DB$110:DB$114,$F12+1)+IF(AND($E12=1,MO12=0),1000,0),MIN(TY12,20)*400+(IF('計算A'!DA$106=1,1-GY12,0)+IF('計算A'!DB$106=1,1-HA12,0))*150+75+'計算A'!DB$5*100000+IF(AND($E12=1,MO12=0),50000,0))+IF($H12=1,(IF('計算A'!DA$117=1,INDEX('計算A'!DA$10:DA$54,$B12),0)+IF('計算A'!DB$117=1,INDEX('計算A'!DC$10:DC$54,$B12),0))*4000,0)-IF(AND('計算A'!DA$117=1,XY12&gt;0),2000,0)-IF(AND($L12=1,'計算A'!DB$117=1,HA12=0),2000,0))),1000000))</f>
        <v/>
      </c>
      <c r="SE12">
        <f>IF($B12=0,1000000,IF(INDEX('計算A'!$D$60:$EQ$104,$B12,104)*HA12=1,IF(AND($E12=2,MP12=0),1000000,IF($I12&gt;0,IF(5=$J12,IF(OR(AND(104=$I12+1,OR($K12&lt;&gt;'計算A'!$A$3,'計算A'!$A$4=0)),AND(104=$I12-1,OR(8&lt;&gt;'計算A'!$A$3,'計算A'!$A$4=0))),0,IF(8=$K12,200000,ABS(8-$K12)*100)),100000+ABS(5-$J12)*1000+80)+'計算A'!DC$5*50+IF(AND($E12=1,MP12=0),25,0),IF($F12&gt;0,INDEX('計算A'!DC$110:DC$114,$F12+1)+IF(AND($E12=1,MP12=0),1000,0),MIN(TY12,20)*400+(IF('計算A'!DB$106=1,1-GZ12,0)+IF('計算A'!DC$106=1,1-HB12,0))*150+85+'計算A'!DC$5*100000+IF(AND($E12=1,MP12=0),50000,0))+IF($H12=1,(IF('計算A'!DB$117=1,INDEX('計算A'!DB$10:DB$54,$B12),0)+IF('計算A'!DC$117=1,INDEX('計算A'!DD$10:DD$54,$B12),0))*4000,0)-IF(AND('計算A'!DB$117=1,XZ12&gt;0),2000,0)-IF(AND($L12=1,'計算A'!DC$117=1,HB12=0),2000,0))),1000000))</f>
        <v/>
      </c>
      <c r="SF12">
        <f>IF($B12=0,1000000,IF(INDEX('計算A'!$D$60:$EQ$104,$B12,105)*HB12=1,IF(AND($E12=2,MQ12=0),1000000,IF($I12&gt;0,IF(5=$J12,IF(OR(AND(105=$I12+1,OR($K12&lt;&gt;'計算A'!$A$3,'計算A'!$A$4=0)),AND(105=$I12-1,OR(9&lt;&gt;'計算A'!$A$3,'計算A'!$A$4=0))),0,IF(9=$K12,200000,ABS(9-$K12)*100)),100000+ABS(5-$J12)*1000+90)+'計算A'!DD$5*50+IF(AND($E12=1,MQ12=0),25,0),IF($F12&gt;0,INDEX('計算A'!DD$110:DD$114,$F12+1)+IF(AND($E12=1,MQ12=0),1000,0),MIN(TY12,20)*400+(IF('計算A'!DC$106=1,1-HA12,0)+IF('計算A'!DD$106=1,1-HC12,0))*150+95+'計算A'!DD$5*100000+IF(AND($E12=1,MQ12=0),50000,0))+IF($H12=1,(IF('計算A'!DC$117=1,INDEX('計算A'!DC$10:DC$54,$B12),0)+IF('計算A'!DD$117=1,INDEX('計算A'!DE$10:DE$54,$B12),0))*4000,0)-IF(AND('計算A'!DC$117=1,YA12&gt;0),2000,0)-IF(AND($L12=1,'計算A'!DD$117=1,HC12=0),2000,0))),1000000))</f>
        <v/>
      </c>
      <c r="SG12">
        <f>IF($B12=0,1000000,IF(INDEX('計算A'!$D$60:$EQ$104,$B12,106)*HC12=1,IF(AND($E12=2,MR12=0),1000000,IF($I12&gt;0,IF(5=$J12,IF(OR(AND(106=$I12+1,OR($K12&lt;&gt;'計算A'!$A$3,'計算A'!$A$4=0)),AND(106=$I12-1,OR(10&lt;&gt;'計算A'!$A$3,'計算A'!$A$4=0))),0,IF(10=$K12,200000,ABS(10-$K12)*100)),100000+ABS(5-$J12)*1000+100)+'計算A'!DE$5*50+IF(AND($E12=1,MR12=0),25,0),IF($F12&gt;0,INDEX('計算A'!DE$110:DE$114,$F12+1)+IF(AND($E12=1,MR12=0),1000,0),MIN(TY12,20)*400+(IF('計算A'!DD$106=1,1-HB12,0)+IF('計算A'!DE$106=1,1-HD12,0))*150+105+'計算A'!DE$5*100000+IF(AND($E12=1,MR12=0),50000,0))+IF($H12=1,(IF('計算A'!DD$117=1,INDEX('計算A'!DD$10:DD$54,$B12),0)+IF('計算A'!DE$117=1,INDEX('計算A'!DF$10:DF$54,$B12),0))*4000,0)-IF(AND('計算A'!DD$117=1,YB12&gt;0),2000,0)-IF(AND($L12=1,'計算A'!DE$117=1,HD12=0),2000,0))),1000000))</f>
        <v/>
      </c>
      <c r="SH12">
        <f>IF($B12=0,1000000,IF(INDEX('計算A'!$D$60:$EQ$104,$B12,107)*HD12=1,IF(AND($E12=2,MS12=0),1000000,IF($I12&gt;0,IF(5=$J12,IF(OR(AND(107=$I12+1,OR($K12&lt;&gt;'計算A'!$A$3,'計算A'!$A$4=0)),AND(107=$I12-1,OR(11&lt;&gt;'計算A'!$A$3,'計算A'!$A$4=0))),0,IF(11=$K12,200000,ABS(11-$K12)*100)),100000+ABS(5-$J12)*1000+110)+'計算A'!DF$5*50+IF(AND($E12=1,MS12=0),25,0),IF($F12&gt;0,INDEX('計算A'!DF$110:DF$114,$F12+1)+IF(AND($E12=1,MS12=0),1000,0),MIN(TY12,20)*400+(IF('計算A'!DE$106=1,1-HC12,0)+IF('計算A'!DF$106=1,1-HE12,0))*150+115+'計算A'!DF$5*100000+IF(AND($E12=1,MS12=0),50000,0))+IF($H12=1,(IF('計算A'!DE$117=1,INDEX('計算A'!DE$10:DE$54,$B12),0)+IF('計算A'!DF$117=1,INDEX('計算A'!DG$10:DG$54,$B12),0))*4000,0)-IF(AND('計算A'!DE$117=1,YC12&gt;0),2000,0)-IF(AND($L12=1,'計算A'!DF$117=1,HE12=0),2000,0))),1000000))</f>
        <v/>
      </c>
      <c r="SI12">
        <f>IF($B12=0,1000000,IF(INDEX('計算A'!$D$60:$EQ$104,$B12,108)*HE12=1,IF(AND($E12=2,MT12=0),1000000,IF($I12&gt;0,IF(5=$J12,IF(OR(AND(108=$I12+1,OR($K12&lt;&gt;'計算A'!$A$3,'計算A'!$A$4=0)),AND(108=$I12-1,OR(12&lt;&gt;'計算A'!$A$3,'計算A'!$A$4=0))),0,IF(12=$K12,200000,ABS(12-$K12)*100)),100000+ABS(5-$J12)*1000+120)+'計算A'!DG$5*50+IF(AND($E12=1,MT12=0),25,0),IF($F12&gt;0,INDEX('計算A'!DG$110:DG$114,$F12+1)+IF(AND($E12=1,MT12=0),1000,0),MIN(TY12,20)*400+(IF('計算A'!DF$106=1,1-HD12,0)+IF('計算A'!DG$106=1,1-HF12,0))*150+125+'計算A'!DG$5*100000+IF(AND($E12=1,MT12=0),50000,0))+IF($H12=1,(IF('計算A'!DF$117=1,INDEX('計算A'!DF$10:DF$54,$B12),0)+IF('計算A'!DG$117=1,INDEX('計算A'!DH$10:DH$54,$B12),0))*4000,0)-IF(AND('計算A'!DF$117=1,YD12&gt;0),2000,0)-IF(AND($L12=1,'計算A'!DG$117=1,HF12=0),2000,0))),1000000))</f>
        <v/>
      </c>
      <c r="SJ12">
        <f>IF($B12=0,1000000,IF(INDEX('計算A'!$D$60:$EQ$104,$B12,109)*HF12=1,IF(AND($E12=2,MU12=0),1000000,IF($I12&gt;0,IF(5=$J12,IF(OR(AND(109=$I12+1,OR($K12&lt;&gt;'計算A'!$A$3,'計算A'!$A$4=0)),AND(109=$I12-1,OR(13&lt;&gt;'計算A'!$A$3,'計算A'!$A$4=0))),0,IF(13=$K12,200000,ABS(13-$K12)*100)),100000+ABS(5-$J12)*1000+130)+'計算A'!DH$5*50+IF(AND($E12=1,MU12=0),25,0),IF($F12&gt;0,INDEX('計算A'!DH$110:DH$114,$F12+1)+IF(AND($E12=1,MU12=0),1000,0),MIN(TY12,20)*400+(IF('計算A'!DG$106=1,1-HE12,0)+IF('計算A'!DH$106=1,1-HG12,0))*150+135+'計算A'!DH$5*100000+IF(AND($E12=1,MU12=0),50000,0))+IF($H12=1,(IF('計算A'!DG$117=1,INDEX('計算A'!DG$10:DG$54,$B12),0)+IF('計算A'!DH$117=1,INDEX('計算A'!DI$10:DI$54,$B12),0))*4000,0)-IF(AND('計算A'!DG$117=1,YE12&gt;0),2000,0)-IF(AND($L12=1,'計算A'!DH$117=1,HG12=0),2000,0))),1000000))</f>
        <v/>
      </c>
      <c r="SK12">
        <f>IF($B12=0,1000000,IF(INDEX('計算A'!$D$60:$EQ$104,$B12,110)*HG12=1,IF(AND($E12=2,MV12=0),1000000,IF($I12&gt;0,IF(5=$J12,IF(OR(AND(110=$I12+1,OR($K12&lt;&gt;'計算A'!$A$3,'計算A'!$A$4=0)),AND(110=$I12-1,OR(14&lt;&gt;'計算A'!$A$3,'計算A'!$A$4=0))),0,IF(14=$K12,200000,ABS(14-$K12)*100)),100000+ABS(5-$J12)*1000+140)+'計算A'!DI$5*50+IF(AND($E12=1,MV12=0),25,0),IF($F12&gt;0,INDEX('計算A'!DI$110:DI$114,$F12+1)+IF(AND($E12=1,MV12=0),1000,0),MIN(TY12,20)*400+(IF('計算A'!DH$106=1,1-HF12,0)+IF('計算A'!DI$106=1,1-HH12,0))*150+145+'計算A'!DI$5*100000+IF(AND($E12=1,MV12=0),50000,0))+IF($H12=1,(IF('計算A'!DH$117=1,INDEX('計算A'!DH$10:DH$54,$B12),0)+IF('計算A'!DI$117=1,INDEX('計算A'!DJ$10:DJ$54,$B12),0))*4000,0)-IF(AND('計算A'!DH$117=1,YF12&gt;0),2000,0)-IF(AND($L12=1,'計算A'!DI$117=1,HH12=0),2000,0))),1000000))</f>
        <v/>
      </c>
      <c r="SL12">
        <f>IF($B12=0,1000000,IF(INDEX('計算A'!$D$60:$EQ$104,$B12,111)*HH12=1,IF(AND($E12=2,MW12=0),1000000,IF($I12&gt;0,IF(5=$J12,IF(OR(AND(111=$I12+1,OR($K12&lt;&gt;'計算A'!$A$3,'計算A'!$A$4=0)),AND(111=$I12-1,OR(15&lt;&gt;'計算A'!$A$3,'計算A'!$A$4=0))),0,IF(15=$K12,200000,ABS(15-$K12)*100)),100000+ABS(5-$J12)*1000+150)+'計算A'!DJ$5*50+IF(AND($E12=1,MW12=0),25,0),IF($F12&gt;0,INDEX('計算A'!DJ$110:DJ$114,$F12+1)+IF(AND($E12=1,MW12=0),1000,0),MIN(TY12,20)*400+(IF('計算A'!DI$106=1,1-HG12,0)+IF('計算A'!DJ$106=1,1-HI12,0))*150+155+'計算A'!DJ$5*100000+IF(AND($E12=1,MW12=0),50000,0))+IF($H12=1,(IF('計算A'!DI$117=1,INDEX('計算A'!DI$10:DI$54,$B12),0)+IF('計算A'!DJ$117=1,INDEX('計算A'!DK$10:DK$54,$B12),0))*4000,0)-IF(AND('計算A'!DI$117=1,YG12&gt;0),2000,0)-IF(AND($L12=1,'計算A'!DJ$117=1,HI12=0),2000,0))),1000000))</f>
        <v/>
      </c>
      <c r="SM12">
        <f>IF($B12=0,1000000,IF(INDEX('計算A'!$D$60:$EQ$104,$B12,112)*HI12=1,IF(AND($E12=2,MX12=0),1000000,IF($I12&gt;0,IF(5=$J12,IF(OR(AND(112=$I12+1,OR($K12&lt;&gt;'計算A'!$A$3,'計算A'!$A$4=0)),AND(112=$I12-1,OR(16&lt;&gt;'計算A'!$A$3,'計算A'!$A$4=0))),0,IF(16=$K12,200000,ABS(16-$K12)*100)),100000+ABS(5-$J12)*1000+160)+'計算A'!DK$5*50+IF(AND($E12=1,MX12=0),25,0),IF($F12&gt;0,INDEX('計算A'!DK$110:DK$114,$F12+1)+IF(AND($E12=1,MX12=0),1000,0),MIN(TY12,20)*400+(IF('計算A'!DJ$106=1,1-HH12,0)+IF('計算A'!DK$106=1,1-HJ12,0))*150+165+'計算A'!DK$5*100000+IF(AND($E12=1,MX12=0),50000,0))+IF($H12=1,(IF('計算A'!DJ$117=1,INDEX('計算A'!DJ$10:DJ$54,$B12),0)+IF('計算A'!DK$117=1,INDEX('計算A'!DL$10:DL$54,$B12),0))*4000,0)-IF(AND('計算A'!DJ$117=1,YH12&gt;0),2000,0)-IF(AND($L12=1,'計算A'!DK$117=1,HJ12=0),2000,0))),1000000))</f>
        <v/>
      </c>
      <c r="SN12">
        <f>IF($B12=0,1000000,IF(INDEX('計算A'!$D$60:$EQ$104,$B12,113)*HJ12=1,IF(AND($E12=2,MY12=0),1000000,IF($I12&gt;0,IF(5=$J12,IF(OR(AND(113=$I12+1,OR($K12&lt;&gt;'計算A'!$A$3,'計算A'!$A$4=0)),AND(113=$I12-1,OR(17&lt;&gt;'計算A'!$A$3,'計算A'!$A$4=0))),0,IF(17=$K12,200000,ABS(17-$K12)*100)),100000+ABS(5-$J12)*1000+170)+'計算A'!DL$5*50+IF(AND($E12=1,MY12=0),25,0),IF($F12&gt;0,INDEX('計算A'!DL$110:DL$114,$F12+1)+IF(AND($E12=1,MY12=0),1000,0),MIN(TY12,20)*400+(IF('計算A'!DK$106=1,1-HI12,0)+IF('計算A'!DL$106=1,1-HK12,0))*150+175+'計算A'!DL$5*100000+IF(AND($E12=1,MY12=0),50000,0))+IF($H12=1,(IF('計算A'!DK$117=1,INDEX('計算A'!DK$10:DK$54,$B12),0)+IF('計算A'!DL$117=1,INDEX('計算A'!DM$10:DM$54,$B12),0))*4000,0)-IF(AND('計算A'!DK$117=1,YI12&gt;0),2000,0)-IF(AND($L12=1,'計算A'!DL$117=1,HK12=0),2000,0))),1000000))</f>
        <v/>
      </c>
      <c r="SO12">
        <f>IF($B12=0,1000000,IF(INDEX('計算A'!$D$60:$EQ$104,$B12,114)*HK12=1,IF(AND($E12=2,MZ12=0),1000000,IF($I12&gt;0,IF(5=$J12,IF(OR(AND(114=$I12+1,OR($K12&lt;&gt;'計算A'!$A$3,'計算A'!$A$4=0)),AND(114=$I12-1,OR(18&lt;&gt;'計算A'!$A$3,'計算A'!$A$4=0))),0,IF(18=$K12,200000,ABS(18-$K12)*100)),100000+ABS(5-$J12)*1000+180)+'計算A'!DM$5*50+IF(AND($E12=1,MZ12=0),25,0),IF($F12&gt;0,INDEX('計算A'!DM$110:DM$114,$F12+1)+IF(AND($E12=1,MZ12=0),1000,0),MIN(TY12,20)*400+(IF('計算A'!DL$106=1,1-HJ12,0)+IF('計算A'!DM$106=1,1-HL12,0))*150+185+'計算A'!DM$5*100000+IF(AND($E12=1,MZ12=0),50000,0))+IF($H12=1,(IF('計算A'!DL$117=1,INDEX('計算A'!DL$10:DL$54,$B12),0)+IF('計算A'!DM$117=1,INDEX('計算A'!DN$10:DN$54,$B12),0))*4000,0)-IF(AND('計算A'!DL$117=1,YJ12&gt;0),2000,0)-IF(AND($L12=1,'計算A'!DM$117=1,HL12=0),2000,0))),1000000))</f>
        <v/>
      </c>
      <c r="SP12">
        <f>IF($B12=0,1000000,IF(INDEX('計算A'!$D$60:$EQ$104,$B12,115)*HL12=1,IF(AND($E12=2,NA12=0),1000000,IF($I12&gt;0,IF(5=$J12,IF(OR(AND(115=$I12+1,OR($K12&lt;&gt;'計算A'!$A$3,'計算A'!$A$4=0)),AND(115=$I12-1,OR(19&lt;&gt;'計算A'!$A$3,'計算A'!$A$4=0))),0,IF(19=$K12,200000,ABS(19-$K12)*100)),100000+ABS(5-$J12)*1000+190)+'計算A'!DN$5*50+IF(AND($E12=1,NA12=0),25,0),IF($F12&gt;0,INDEX('計算A'!DN$110:DN$114,$F12+1)+IF(AND($E12=1,NA12=0),1000,0),MIN(TY12,20)*400+(IF('計算A'!DM$106=1,1-HK12,0)+IF('計算A'!DN$106=1,1-HM12,0))*150+195+'計算A'!DN$5*100000+IF(AND($E12=1,NA12=0),50000,0))+IF($H12=1,(IF('計算A'!DM$117=1,INDEX('計算A'!DM$10:DM$54,$B12),0)+IF('計算A'!DN$117=1,INDEX('計算A'!DO$10:DO$54,$B12),0))*4000,0)-IF(AND('計算A'!DM$117=1,YK12&gt;0),2000,0)-IF(AND($L12=1,'計算A'!DN$117=1,HM12=0),2000,0))),1000000))</f>
        <v/>
      </c>
      <c r="SQ12">
        <f>IF($B12=0,1000000,IF(INDEX('計算A'!$D$60:$EQ$104,$B12,116)*HM12=1,IF(AND($E12=2,NB12=0),1000000,IF($I12&gt;0,IF(5=$J12,IF(OR(AND(116=$I12+1,OR($K12&lt;&gt;'計算A'!$A$3,'計算A'!$A$4=0)),AND(116=$I12-1,OR(20&lt;&gt;'計算A'!$A$3,'計算A'!$A$4=0))),0,IF(20=$K12,200000,ABS(20-$K12)*100)),100000+ABS(5-$J12)*1000+200)+'計算A'!DO$5*50+IF(AND($E12=1,NB12=0),25,0),IF($F12&gt;0,INDEX('計算A'!DO$110:DO$114,$F12+1)+IF(AND($E12=1,NB12=0),1000,0),MIN(TY12,20)*400+(IF('計算A'!DN$106=1,1-HL12,0)+IF('計算A'!DO$106=1,1-HN12,0))*150+205+'計算A'!DO$5*100000+IF(AND($E12=1,NB12=0),50000,0))+IF($H12=1,(IF('計算A'!DN$117=1,INDEX('計算A'!DN$10:DN$54,$B12),0)+IF('計算A'!DO$117=1,INDEX('計算A'!DP$10:DP$54,$B12),0))*4000,0)-IF(AND('計算A'!DN$117=1,YL12&gt;0),2000,0)-IF(AND($L12=1,'計算A'!DO$117=1,HN12=0),2000,0))),1000000))</f>
        <v/>
      </c>
      <c r="SR12">
        <f>IF($B12=0,1000000,IF(INDEX('計算A'!$D$60:$EQ$104,$B12,117)*HN12=1,IF(AND($E12=2,NC12=0),1000000,IF($I12&gt;0,IF(5=$J12,IF(OR(AND(117=$I12+1,OR($K12&lt;&gt;'計算A'!$A$3,'計算A'!$A$4=0)),AND(117=$I12-1,OR(21&lt;&gt;'計算A'!$A$3,'計算A'!$A$4=0))),0,IF(21=$K12,200000,ABS(21-$K12)*100)),100000+ABS(5-$J12)*1000+210)+'計算A'!DP$5*50+IF(AND($E12=1,NC12=0),25,0),IF($F12&gt;0,INDEX('計算A'!DP$110:DP$114,$F12+1)+IF(AND($E12=1,NC12=0),1000,0),MIN(TY12,20)*400+(IF('計算A'!DO$106=1,1-HM12,0)+IF('計算A'!DP$106=1,1-HO12,0))*150+215+'計算A'!DP$5*100000+IF(AND($E12=1,NC12=0),50000,0))+IF($H12=1,(IF('計算A'!DO$117=1,INDEX('計算A'!DO$10:DO$54,$B12),0)+IF('計算A'!DP$117=1,INDEX('計算A'!DQ$10:DQ$54,$B12),0))*4000,0)-IF(AND('計算A'!DO$117=1,YM12&gt;0),2000,0)-IF(AND($L12=1,'計算A'!DP$117=1,HO12=0),2000,0))),1000000))</f>
        <v/>
      </c>
      <c r="SS12">
        <f>IF($B12=0,1000000,IF(INDEX('計算A'!$D$60:$EQ$104,$B12,118)*HO12=1,IF(AND($E12=2,ND12=0),1000000,IF($I12&gt;0,IF(5=$J12,IF(OR(AND(118=$I12+1,OR($K12&lt;&gt;'計算A'!$A$3,'計算A'!$A$4=0)),AND(118=$I12-1,OR(22&lt;&gt;'計算A'!$A$3,'計算A'!$A$4=0))),0,IF(22=$K12,200000,ABS(22-$K12)*100)),100000+ABS(5-$J12)*1000+220)+'計算A'!DQ$5*50+IF(AND($E12=1,ND12=0),25,0),IF($F12&gt;0,INDEX('計算A'!DQ$110:DQ$114,$F12+1)+IF(AND($E12=1,ND12=0),1000,0),MIN(TY12,20)*400+(IF('計算A'!DP$106=1,1-HN12,0)+IF('計算A'!DQ$106=1,1-HP12,0))*150+225+'計算A'!DQ$5*100000+IF(AND($E12=1,ND12=0),50000,0))+IF($H12=1,(IF('計算A'!DP$117=1,INDEX('計算A'!DP$10:DP$54,$B12),0)+IF('計算A'!DQ$117=1,INDEX('計算A'!DR$10:DR$54,$B12),0))*4000,0)-IF(AND('計算A'!DP$117=1,YN12&gt;0),2000,0)-IF(AND($L12=1,'計算A'!DQ$117=1,HP12=0),2000,0))),1000000))</f>
        <v/>
      </c>
      <c r="ST12">
        <f>IF($B12=0,1000000,IF(INDEX('計算A'!$D$60:$EQ$104,$B12,119)*HP12=1,IF(AND($E12=2,NE12=0),1000000,IF($I12&gt;0,IF(5=$J12,IF(OR(AND(119=$I12+1,OR($K12&lt;&gt;'計算A'!$A$3,'計算A'!$A$4=0)),AND(119=$I12-1,OR(23&lt;&gt;'計算A'!$A$3,'計算A'!$A$4=0))),0,IF(23=$K12,200000,ABS(23-$K12)*100)),100000+ABS(5-$J12)*1000+230)+'計算A'!DR$5*50+IF(AND($E12=1,NE12=0),25,0),IF($F12&gt;0,INDEX('計算A'!DR$110:DR$114,$F12+1)+IF(AND($E12=1,NE12=0),1000,0),MIN(TY12,20)*400+(IF('計算A'!DQ$106=1,1-HO12,0)+IF('計算A'!DR$106=1,1-HQ12,0))*150+235+'計算A'!DR$5*100000+IF(AND($E12=1,NE12=0),50000,0))+IF($H12=1,(IF('計算A'!DQ$117=1,INDEX('計算A'!DQ$10:DQ$54,$B12),0)+IF('計算A'!DR$117=1,INDEX('計算A'!DS$10:DS$54,$B12),0))*4000,0)-IF(AND('計算A'!DQ$117=1,YO12&gt;0),2000,0)-IF(AND($L12=1,'計算A'!DR$117=1,HQ12=0),2000,0))),1000000))</f>
        <v/>
      </c>
      <c r="SU12">
        <f>IF($B12=0,1000000,IF(INDEX('計算A'!$D$60:$EQ$104,$B12,120)*HQ12=1,IF(AND($E12=2,NF12=0),1000000,IF($I12&gt;0,IF(5=$J12,IF(OR(AND(120=$I12+1,OR($K12&lt;&gt;'計算A'!$A$3,'計算A'!$A$4=0)),AND(120=$I12-1,OR(24&lt;&gt;'計算A'!$A$3,'計算A'!$A$4=0))),0,IF(24=$K12,200000,ABS(24-$K12)*100)),100000+ABS(5-$J12)*1000+240)+'計算A'!DS$5*50+IF(AND($E12=1,NF12=0),25,0),IF($F12&gt;0,INDEX('計算A'!DS$110:DS$114,$F12+1)+IF(AND($E12=1,NF12=0),1000,0),MIN(TY12,20)*400+(IF('計算A'!DR$106=1,1-HP12,0))*150+245+'計算A'!DS$5*100000+IF(AND($E12=1,NF12=0),50000,0))+IF($H12=1,(IF('計算A'!DR$117=1,INDEX('計算A'!DR$10:DR$54,$B12),0))*4000,0)-IF(AND('計算A'!DR$117=1,YP12&gt;0),2000,0))),1000000))</f>
        <v/>
      </c>
      <c r="SV12">
        <f>IF($B12=0,1000000,IF(INDEX('計算A'!$D$60:$EQ$104,$B12,121)*HR12=1,IF(AND($E12=2,NG12=0),1000000,IF($I12&gt;0,IF(6=$J12,IF(OR(AND(121=$I12+1,OR($K12&lt;&gt;'計算A'!$A$3,'計算A'!$A$4=0)),AND(121=$I12-1,OR(1&lt;&gt;'計算A'!$A$3,'計算A'!$A$4=0))),0,IF(1=$K12,200000,ABS(1-$K12)*100)),100000+ABS(6-$J12)*1000+10)+'計算A'!DT$5*50+IF(AND($E12=1,NG12=0),25,0),IF($F12&gt;0,INDEX('計算A'!DT$110:DT$114,$F12+1)+IF(AND($E12=1,NG12=0),1000,0),MIN(TZ12,20)*400+(IF('計算A'!DT$106=1,1-HS12,0))*150+16+'計算A'!DT$5*100000+IF(AND($E12=1,NG12=0),50000,0))+IF($H12=1,(IF('計算A'!DT$117=1,INDEX('計算A'!DU$10:DU$54,$B12),0))*4000,0)-IF(AND($L12=1,'計算A'!DT$117=1,HS12=0),2000,0))),1000000))</f>
        <v/>
      </c>
      <c r="SW12">
        <f>IF($B12=0,1000000,IF(INDEX('計算A'!$D$60:$EQ$104,$B12,122)*HS12=1,IF(AND($E12=2,NH12=0),1000000,IF($I12&gt;0,IF(6=$J12,IF(OR(AND(122=$I12+1,OR($K12&lt;&gt;'計算A'!$A$3,'計算A'!$A$4=0)),AND(122=$I12-1,OR(2&lt;&gt;'計算A'!$A$3,'計算A'!$A$4=0))),0,IF(2=$K12,200000,ABS(2-$K12)*100)),100000+ABS(6-$J12)*1000+20)+'計算A'!DU$5*50+IF(AND($E12=1,NH12=0),25,0),IF($F12&gt;0,INDEX('計算A'!DU$110:DU$114,$F12+1)+IF(AND($E12=1,NH12=0),1000,0),MIN(TZ12,20)*400+(IF('計算A'!DT$106=1,1-HR12,0)+IF('計算A'!DU$106=1,1-HT12,0))*150+26+'計算A'!DU$5*100000+IF(AND($E12=1,NH12=0),50000,0))+IF($H12=1,(IF('計算A'!DT$117=1,INDEX('計算A'!DT$10:DT$54,$B12),0)+IF('計算A'!DU$117=1,INDEX('計算A'!DV$10:DV$54,$B12),0))*4000,0)-IF(AND('計算A'!DT$117=1,YR12&gt;0),2000,0)-IF(AND($L12=1,'計算A'!DU$117=1,HT12=0),2000,0))),1000000))</f>
        <v/>
      </c>
      <c r="SX12">
        <f>IF($B12=0,1000000,IF(INDEX('計算A'!$D$60:$EQ$104,$B12,123)*HT12=1,IF(AND($E12=2,NI12=0),1000000,IF($I12&gt;0,IF(6=$J12,IF(OR(AND(123=$I12+1,OR($K12&lt;&gt;'計算A'!$A$3,'計算A'!$A$4=0)),AND(123=$I12-1,OR(3&lt;&gt;'計算A'!$A$3,'計算A'!$A$4=0))),0,IF(3=$K12,200000,ABS(3-$K12)*100)),100000+ABS(6-$J12)*1000+30)+'計算A'!DV$5*50+IF(AND($E12=1,NI12=0),25,0),IF($F12&gt;0,INDEX('計算A'!DV$110:DV$114,$F12+1)+IF(AND($E12=1,NI12=0),1000,0),MIN(TZ12,20)*400+(IF('計算A'!DU$106=1,1-HS12,0)+IF('計算A'!DV$106=1,1-HU12,0))*150+36+'計算A'!DV$5*100000+IF(AND($E12=1,NI12=0),50000,0))+IF($H12=1,(IF('計算A'!DU$117=1,INDEX('計算A'!DU$10:DU$54,$B12),0)+IF('計算A'!DV$117=1,INDEX('計算A'!DW$10:DW$54,$B12),0))*4000,0)-IF(AND('計算A'!DU$117=1,YS12&gt;0),2000,0)-IF(AND($L12=1,'計算A'!DV$117=1,HU12=0),2000,0))),1000000))</f>
        <v/>
      </c>
      <c r="SY12">
        <f>IF($B12=0,1000000,IF(INDEX('計算A'!$D$60:$EQ$104,$B12,124)*HU12=1,IF(AND($E12=2,NJ12=0),1000000,IF($I12&gt;0,IF(6=$J12,IF(OR(AND(124=$I12+1,OR($K12&lt;&gt;'計算A'!$A$3,'計算A'!$A$4=0)),AND(124=$I12-1,OR(4&lt;&gt;'計算A'!$A$3,'計算A'!$A$4=0))),0,IF(4=$K12,200000,ABS(4-$K12)*100)),100000+ABS(6-$J12)*1000+40)+'計算A'!DW$5*50+IF(AND($E12=1,NJ12=0),25,0),IF($F12&gt;0,INDEX('計算A'!DW$110:DW$114,$F12+1)+IF(AND($E12=1,NJ12=0),1000,0),MIN(TZ12,20)*400+(IF('計算A'!DV$106=1,1-HT12,0)+IF('計算A'!DW$106=1,1-HV12,0))*150+46+'計算A'!DW$5*100000+IF(AND($E12=1,NJ12=0),50000,0))+IF($H12=1,(IF('計算A'!DV$117=1,INDEX('計算A'!DV$10:DV$54,$B12),0)+IF('計算A'!DW$117=1,INDEX('計算A'!DX$10:DX$54,$B12),0))*4000,0)-IF(AND('計算A'!DV$117=1,YT12&gt;0),2000,0)-IF(AND($L12=1,'計算A'!DW$117=1,HV12=0),2000,0))),1000000))</f>
        <v/>
      </c>
      <c r="SZ12">
        <f>IF($B12=0,1000000,IF(INDEX('計算A'!$D$60:$EQ$104,$B12,125)*HV12=1,IF(AND($E12=2,NK12=0),1000000,IF($I12&gt;0,IF(6=$J12,IF(OR(AND(125=$I12+1,OR($K12&lt;&gt;'計算A'!$A$3,'計算A'!$A$4=0)),AND(125=$I12-1,OR(5&lt;&gt;'計算A'!$A$3,'計算A'!$A$4=0))),0,IF(5=$K12,200000,ABS(5-$K12)*100)),100000+ABS(6-$J12)*1000+50)+'計算A'!DX$5*50+IF(AND($E12=1,NK12=0),25,0),IF($F12&gt;0,INDEX('計算A'!DX$110:DX$114,$F12+1)+IF(AND($E12=1,NK12=0),1000,0),MIN(TZ12,20)*400+(IF('計算A'!DW$106=1,1-HU12,0)+IF('計算A'!DX$106=1,1-HW12,0))*150+56+'計算A'!DX$5*100000+IF(AND($E12=1,NK12=0),50000,0))+IF($H12=1,(IF('計算A'!DW$117=1,INDEX('計算A'!DW$10:DW$54,$B12),0)+IF('計算A'!DX$117=1,INDEX('計算A'!DY$10:DY$54,$B12),0))*4000,0)-IF(AND('計算A'!DW$117=1,YU12&gt;0),2000,0)-IF(AND($L12=1,'計算A'!DX$117=1,HW12=0),2000,0))),1000000))</f>
        <v/>
      </c>
      <c r="TA12">
        <f>IF($B12=0,1000000,IF(INDEX('計算A'!$D$60:$EQ$104,$B12,126)*HW12=1,IF(AND($E12=2,NL12=0),1000000,IF($I12&gt;0,IF(6=$J12,IF(OR(AND(126=$I12+1,OR($K12&lt;&gt;'計算A'!$A$3,'計算A'!$A$4=0)),AND(126=$I12-1,OR(6&lt;&gt;'計算A'!$A$3,'計算A'!$A$4=0))),0,IF(6=$K12,200000,ABS(6-$K12)*100)),100000+ABS(6-$J12)*1000+60)+'計算A'!DY$5*50+IF(AND($E12=1,NL12=0),25,0),IF($F12&gt;0,INDEX('計算A'!DY$110:DY$114,$F12+1)+IF(AND($E12=1,NL12=0),1000,0),MIN(TZ12,20)*400+(IF('計算A'!DX$106=1,1-HV12,0)+IF('計算A'!DY$106=1,1-HX12,0))*150+66+'計算A'!DY$5*100000+IF(AND($E12=1,NL12=0),50000,0))+IF($H12=1,(IF('計算A'!DX$117=1,INDEX('計算A'!DX$10:DX$54,$B12),0)+IF('計算A'!DY$117=1,INDEX('計算A'!DZ$10:DZ$54,$B12),0))*4000,0)-IF(AND('計算A'!DX$117=1,YV12&gt;0),2000,0)-IF(AND($L12=1,'計算A'!DY$117=1,HX12=0),2000,0))),1000000))</f>
        <v/>
      </c>
      <c r="TB12">
        <f>IF($B12=0,1000000,IF(INDEX('計算A'!$D$60:$EQ$104,$B12,127)*HX12=1,IF(AND($E12=2,NM12=0),1000000,IF($I12&gt;0,IF(6=$J12,IF(OR(AND(127=$I12+1,OR($K12&lt;&gt;'計算A'!$A$3,'計算A'!$A$4=0)),AND(127=$I12-1,OR(7&lt;&gt;'計算A'!$A$3,'計算A'!$A$4=0))),0,IF(7=$K12,200000,ABS(7-$K12)*100)),100000+ABS(6-$J12)*1000+70)+'計算A'!DZ$5*50+IF(AND($E12=1,NM12=0),25,0),IF($F12&gt;0,INDEX('計算A'!DZ$110:DZ$114,$F12+1)+IF(AND($E12=1,NM12=0),1000,0),MIN(TZ12,20)*400+(IF('計算A'!DY$106=1,1-HW12,0)+IF('計算A'!DZ$106=1,1-HY12,0))*150+76+'計算A'!DZ$5*100000+IF(AND($E12=1,NM12=0),50000,0))+IF($H12=1,(IF('計算A'!DY$117=1,INDEX('計算A'!DY$10:DY$54,$B12),0)+IF('計算A'!DZ$117=1,INDEX('計算A'!EA$10:EA$54,$B12),0))*4000,0)-IF(AND('計算A'!DY$117=1,YW12&gt;0),2000,0)-IF(AND($L12=1,'計算A'!DZ$117=1,HY12=0),2000,0))),1000000))</f>
        <v/>
      </c>
      <c r="TC12">
        <f>IF($B12=0,1000000,IF(INDEX('計算A'!$D$60:$EQ$104,$B12,128)*HY12=1,IF(AND($E12=2,NN12=0),1000000,IF($I12&gt;0,IF(6=$J12,IF(OR(AND(128=$I12+1,OR($K12&lt;&gt;'計算A'!$A$3,'計算A'!$A$4=0)),AND(128=$I12-1,OR(8&lt;&gt;'計算A'!$A$3,'計算A'!$A$4=0))),0,IF(8=$K12,200000,ABS(8-$K12)*100)),100000+ABS(6-$J12)*1000+80)+'計算A'!EA$5*50+IF(AND($E12=1,NN12=0),25,0),IF($F12&gt;0,INDEX('計算A'!EA$110:EA$114,$F12+1)+IF(AND($E12=1,NN12=0),1000,0),MIN(TZ12,20)*400+(IF('計算A'!DZ$106=1,1-HX12,0)+IF('計算A'!EA$106=1,1-HZ12,0))*150+86+'計算A'!EA$5*100000+IF(AND($E12=1,NN12=0),50000,0))+IF($H12=1,(IF('計算A'!DZ$117=1,INDEX('計算A'!DZ$10:DZ$54,$B12),0)+IF('計算A'!EA$117=1,INDEX('計算A'!EB$10:EB$54,$B12),0))*4000,0)-IF(AND('計算A'!DZ$117=1,YX12&gt;0),2000,0)-IF(AND($L12=1,'計算A'!EA$117=1,HZ12=0),2000,0))),1000000))</f>
        <v/>
      </c>
      <c r="TD12">
        <f>IF($B12=0,1000000,IF(INDEX('計算A'!$D$60:$EQ$104,$B12,129)*HZ12=1,IF(AND($E12=2,NO12=0),1000000,IF($I12&gt;0,IF(6=$J12,IF(OR(AND(129=$I12+1,OR($K12&lt;&gt;'計算A'!$A$3,'計算A'!$A$4=0)),AND(129=$I12-1,OR(9&lt;&gt;'計算A'!$A$3,'計算A'!$A$4=0))),0,IF(9=$K12,200000,ABS(9-$K12)*100)),100000+ABS(6-$J12)*1000+90)+'計算A'!EB$5*50+IF(AND($E12=1,NO12=0),25,0),IF($F12&gt;0,INDEX('計算A'!EB$110:EB$114,$F12+1)+IF(AND($E12=1,NO12=0),1000,0),MIN(TZ12,20)*400+(IF('計算A'!EA$106=1,1-HY12,0)+IF('計算A'!EB$106=1,1-IA12,0))*150+96+'計算A'!EB$5*100000+IF(AND($E12=1,NO12=0),50000,0))+IF($H12=1,(IF('計算A'!EA$117=1,INDEX('計算A'!EA$10:EA$54,$B12),0)+IF('計算A'!EB$117=1,INDEX('計算A'!EC$10:EC$54,$B12),0))*4000,0)-IF(AND('計算A'!EA$117=1,YY12&gt;0),2000,0)-IF(AND($L12=1,'計算A'!EB$117=1,IA12=0),2000,0))),1000000))</f>
        <v/>
      </c>
      <c r="TE12">
        <f>IF($B12=0,1000000,IF(INDEX('計算A'!$D$60:$EQ$104,$B12,130)*IA12=1,IF(AND($E12=2,NP12=0),1000000,IF($I12&gt;0,IF(6=$J12,IF(OR(AND(130=$I12+1,OR($K12&lt;&gt;'計算A'!$A$3,'計算A'!$A$4=0)),AND(130=$I12-1,OR(10&lt;&gt;'計算A'!$A$3,'計算A'!$A$4=0))),0,IF(10=$K12,200000,ABS(10-$K12)*100)),100000+ABS(6-$J12)*1000+100)+'計算A'!EC$5*50+IF(AND($E12=1,NP12=0),25,0),IF($F12&gt;0,INDEX('計算A'!EC$110:EC$114,$F12+1)+IF(AND($E12=1,NP12=0),1000,0),MIN(TZ12,20)*400+(IF('計算A'!EB$106=1,1-HZ12,0)+IF('計算A'!EC$106=1,1-IB12,0))*150+106+'計算A'!EC$5*100000+IF(AND($E12=1,NP12=0),50000,0))+IF($H12=1,(IF('計算A'!EB$117=1,INDEX('計算A'!EB$10:EB$54,$B12),0)+IF('計算A'!EC$117=1,INDEX('計算A'!ED$10:ED$54,$B12),0))*4000,0)-IF(AND('計算A'!EB$117=1,YZ12&gt;0),2000,0)-IF(AND($L12=1,'計算A'!EC$117=1,IB12=0),2000,0))),1000000))</f>
        <v/>
      </c>
      <c r="TF12">
        <f>IF($B12=0,1000000,IF(INDEX('計算A'!$D$60:$EQ$104,$B12,131)*IB12=1,IF(AND($E12=2,NQ12=0),1000000,IF($I12&gt;0,IF(6=$J12,IF(OR(AND(131=$I12+1,OR($K12&lt;&gt;'計算A'!$A$3,'計算A'!$A$4=0)),AND(131=$I12-1,OR(11&lt;&gt;'計算A'!$A$3,'計算A'!$A$4=0))),0,IF(11=$K12,200000,ABS(11-$K12)*100)),100000+ABS(6-$J12)*1000+110)+'計算A'!ED$5*50+IF(AND($E12=1,NQ12=0),25,0),IF($F12&gt;0,INDEX('計算A'!ED$110:ED$114,$F12+1)+IF(AND($E12=1,NQ12=0),1000,0),MIN(TZ12,20)*400+(IF('計算A'!EC$106=1,1-IA12,0)+IF('計算A'!ED$106=1,1-IC12,0))*150+116+'計算A'!ED$5*100000+IF(AND($E12=1,NQ12=0),50000,0))+IF($H12=1,(IF('計算A'!EC$117=1,INDEX('計算A'!EC$10:EC$54,$B12),0)+IF('計算A'!ED$117=1,INDEX('計算A'!EE$10:EE$54,$B12),0))*4000,0)-IF(AND('計算A'!EC$117=1,ZA12&gt;0),2000,0)-IF(AND($L12=1,'計算A'!ED$117=1,IC12=0),2000,0))),1000000))</f>
        <v/>
      </c>
      <c r="TG12">
        <f>IF($B12=0,1000000,IF(INDEX('計算A'!$D$60:$EQ$104,$B12,132)*IC12=1,IF(AND($E12=2,NR12=0),1000000,IF($I12&gt;0,IF(6=$J12,IF(OR(AND(132=$I12+1,OR($K12&lt;&gt;'計算A'!$A$3,'計算A'!$A$4=0)),AND(132=$I12-1,OR(12&lt;&gt;'計算A'!$A$3,'計算A'!$A$4=0))),0,IF(12=$K12,200000,ABS(12-$K12)*100)),100000+ABS(6-$J12)*1000+120)+'計算A'!EE$5*50+IF(AND($E12=1,NR12=0),25,0),IF($F12&gt;0,INDEX('計算A'!EE$110:EE$114,$F12+1)+IF(AND($E12=1,NR12=0),1000,0),MIN(TZ12,20)*400+(IF('計算A'!ED$106=1,1-IB12,0)+IF('計算A'!EE$106=1,1-ID12,0))*150+126+'計算A'!EE$5*100000+IF(AND($E12=1,NR12=0),50000,0))+IF($H12=1,(IF('計算A'!ED$117=1,INDEX('計算A'!ED$10:ED$54,$B12),0)+IF('計算A'!EE$117=1,INDEX('計算A'!EF$10:EF$54,$B12),0))*4000,0)-IF(AND('計算A'!ED$117=1,ZB12&gt;0),2000,0)-IF(AND($L12=1,'計算A'!EE$117=1,ID12=0),2000,0))),1000000))</f>
        <v/>
      </c>
      <c r="TH12">
        <f>IF($B12=0,1000000,IF(INDEX('計算A'!$D$60:$EQ$104,$B12,133)*ID12=1,IF(AND($E12=2,NS12=0),1000000,IF($I12&gt;0,IF(6=$J12,IF(OR(AND(133=$I12+1,OR($K12&lt;&gt;'計算A'!$A$3,'計算A'!$A$4=0)),AND(133=$I12-1,OR(13&lt;&gt;'計算A'!$A$3,'計算A'!$A$4=0))),0,IF(13=$K12,200000,ABS(13-$K12)*100)),100000+ABS(6-$J12)*1000+130)+'計算A'!EF$5*50+IF(AND($E12=1,NS12=0),25,0),IF($F12&gt;0,INDEX('計算A'!EF$110:EF$114,$F12+1)+IF(AND($E12=1,NS12=0),1000,0),MIN(TZ12,20)*400+(IF('計算A'!EE$106=1,1-IC12,0)+IF('計算A'!EF$106=1,1-IE12,0))*150+136+'計算A'!EF$5*100000+IF(AND($E12=1,NS12=0),50000,0))+IF($H12=1,(IF('計算A'!EE$117=1,INDEX('計算A'!EE$10:EE$54,$B12),0)+IF('計算A'!EF$117=1,INDEX('計算A'!EG$10:EG$54,$B12),0))*4000,0)-IF(AND('計算A'!EE$117=1,ZC12&gt;0),2000,0)-IF(AND($L12=1,'計算A'!EF$117=1,IE12=0),2000,0))),1000000))</f>
        <v/>
      </c>
      <c r="TI12">
        <f>IF($B12=0,1000000,IF(INDEX('計算A'!$D$60:$EQ$104,$B12,134)*IE12=1,IF(AND($E12=2,NT12=0),1000000,IF($I12&gt;0,IF(6=$J12,IF(OR(AND(134=$I12+1,OR($K12&lt;&gt;'計算A'!$A$3,'計算A'!$A$4=0)),AND(134=$I12-1,OR(14&lt;&gt;'計算A'!$A$3,'計算A'!$A$4=0))),0,IF(14=$K12,200000,ABS(14-$K12)*100)),100000+ABS(6-$J12)*1000+140)+'計算A'!EG$5*50+IF(AND($E12=1,NT12=0),25,0),IF($F12&gt;0,INDEX('計算A'!EG$110:EG$114,$F12+1)+IF(AND($E12=1,NT12=0),1000,0),MIN(TZ12,20)*400+(IF('計算A'!EF$106=1,1-ID12,0)+IF('計算A'!EG$106=1,1-IF12,0))*150+146+'計算A'!EG$5*100000+IF(AND($E12=1,NT12=0),50000,0))+IF($H12=1,(IF('計算A'!EF$117=1,INDEX('計算A'!EF$10:EF$54,$B12),0)+IF('計算A'!EG$117=1,INDEX('計算A'!EH$10:EH$54,$B12),0))*4000,0)-IF(AND('計算A'!EF$117=1,ZD12&gt;0),2000,0)-IF(AND($L12=1,'計算A'!EG$117=1,IF12=0),2000,0))),1000000))</f>
        <v/>
      </c>
      <c r="TJ12">
        <f>IF($B12=0,1000000,IF(INDEX('計算A'!$D$60:$EQ$104,$B12,135)*IF12=1,IF(AND($E12=2,NU12=0),1000000,IF($I12&gt;0,IF(6=$J12,IF(OR(AND(135=$I12+1,OR($K12&lt;&gt;'計算A'!$A$3,'計算A'!$A$4=0)),AND(135=$I12-1,OR(15&lt;&gt;'計算A'!$A$3,'計算A'!$A$4=0))),0,IF(15=$K12,200000,ABS(15-$K12)*100)),100000+ABS(6-$J12)*1000+150)+'計算A'!EH$5*50+IF(AND($E12=1,NU12=0),25,0),IF($F12&gt;0,INDEX('計算A'!EH$110:EH$114,$F12+1)+IF(AND($E12=1,NU12=0),1000,0),MIN(TZ12,20)*400+(IF('計算A'!EG$106=1,1-IE12,0)+IF('計算A'!EH$106=1,1-IG12,0))*150+156+'計算A'!EH$5*100000+IF(AND($E12=1,NU12=0),50000,0))+IF($H12=1,(IF('計算A'!EG$117=1,INDEX('計算A'!EG$10:EG$54,$B12),0)+IF('計算A'!EH$117=1,INDEX('計算A'!EI$10:EI$54,$B12),0))*4000,0)-IF(AND('計算A'!EG$117=1,ZE12&gt;0),2000,0)-IF(AND($L12=1,'計算A'!EH$117=1,IG12=0),2000,0))),1000000))</f>
        <v/>
      </c>
      <c r="TK12">
        <f>IF($B12=0,1000000,IF(INDEX('計算A'!$D$60:$EQ$104,$B12,136)*IG12=1,IF(AND($E12=2,NV12=0),1000000,IF($I12&gt;0,IF(6=$J12,IF(OR(AND(136=$I12+1,OR($K12&lt;&gt;'計算A'!$A$3,'計算A'!$A$4=0)),AND(136=$I12-1,OR(16&lt;&gt;'計算A'!$A$3,'計算A'!$A$4=0))),0,IF(16=$K12,200000,ABS(16-$K12)*100)),100000+ABS(6-$J12)*1000+160)+'計算A'!EI$5*50+IF(AND($E12=1,NV12=0),25,0),IF($F12&gt;0,INDEX('計算A'!EI$110:EI$114,$F12+1)+IF(AND($E12=1,NV12=0),1000,0),MIN(TZ12,20)*400+(IF('計算A'!EH$106=1,1-IF12,0)+IF('計算A'!EI$106=1,1-IH12,0))*150+166+'計算A'!EI$5*100000+IF(AND($E12=1,NV12=0),50000,0))+IF($H12=1,(IF('計算A'!EH$117=1,INDEX('計算A'!EH$10:EH$54,$B12),0)+IF('計算A'!EI$117=1,INDEX('計算A'!EJ$10:EJ$54,$B12),0))*4000,0)-IF(AND('計算A'!EH$117=1,ZF12&gt;0),2000,0)-IF(AND($L12=1,'計算A'!EI$117=1,IH12=0),2000,0))),1000000))</f>
        <v/>
      </c>
      <c r="TL12">
        <f>IF($B12=0,1000000,IF(INDEX('計算A'!$D$60:$EQ$104,$B12,137)*IH12=1,IF(AND($E12=2,NW12=0),1000000,IF($I12&gt;0,IF(6=$J12,IF(OR(AND(137=$I12+1,OR($K12&lt;&gt;'計算A'!$A$3,'計算A'!$A$4=0)),AND(137=$I12-1,OR(17&lt;&gt;'計算A'!$A$3,'計算A'!$A$4=0))),0,IF(17=$K12,200000,ABS(17-$K12)*100)),100000+ABS(6-$J12)*1000+170)+'計算A'!EJ$5*50+IF(AND($E12=1,NW12=0),25,0),IF($F12&gt;0,INDEX('計算A'!EJ$110:EJ$114,$F12+1)+IF(AND($E12=1,NW12=0),1000,0),MIN(TZ12,20)*400+(IF('計算A'!EI$106=1,1-IG12,0)+IF('計算A'!EJ$106=1,1-II12,0))*150+176+'計算A'!EJ$5*100000+IF(AND($E12=1,NW12=0),50000,0))+IF($H12=1,(IF('計算A'!EI$117=1,INDEX('計算A'!EI$10:EI$54,$B12),0)+IF('計算A'!EJ$117=1,INDEX('計算A'!EK$10:EK$54,$B12),0))*4000,0)-IF(AND('計算A'!EI$117=1,ZG12&gt;0),2000,0)-IF(AND($L12=1,'計算A'!EJ$117=1,II12=0),2000,0))),1000000))</f>
        <v/>
      </c>
      <c r="TM12">
        <f>IF($B12=0,1000000,IF(INDEX('計算A'!$D$60:$EQ$104,$B12,138)*II12=1,IF(AND($E12=2,NX12=0),1000000,IF($I12&gt;0,IF(6=$J12,IF(OR(AND(138=$I12+1,OR($K12&lt;&gt;'計算A'!$A$3,'計算A'!$A$4=0)),AND(138=$I12-1,OR(18&lt;&gt;'計算A'!$A$3,'計算A'!$A$4=0))),0,IF(18=$K12,200000,ABS(18-$K12)*100)),100000+ABS(6-$J12)*1000+180)+'計算A'!EK$5*50+IF(AND($E12=1,NX12=0),25,0),IF($F12&gt;0,INDEX('計算A'!EK$110:EK$114,$F12+1)+IF(AND($E12=1,NX12=0),1000,0),MIN(TZ12,20)*400+(IF('計算A'!EJ$106=1,1-IH12,0)+IF('計算A'!EK$106=1,1-IJ12,0))*150+186+'計算A'!EK$5*100000+IF(AND($E12=1,NX12=0),50000,0))+IF($H12=1,(IF('計算A'!EJ$117=1,INDEX('計算A'!EJ$10:EJ$54,$B12),0)+IF('計算A'!EK$117=1,INDEX('計算A'!EL$10:EL$54,$B12),0))*4000,0)-IF(AND('計算A'!EJ$117=1,ZH12&gt;0),2000,0)-IF(AND($L12=1,'計算A'!EK$117=1,IJ12=0),2000,0))),1000000))</f>
        <v/>
      </c>
      <c r="TN12">
        <f>IF($B12=0,1000000,IF(INDEX('計算A'!$D$60:$EQ$104,$B12,139)*IJ12=1,IF(AND($E12=2,NY12=0),1000000,IF($I12&gt;0,IF(6=$J12,IF(OR(AND(139=$I12+1,OR($K12&lt;&gt;'計算A'!$A$3,'計算A'!$A$4=0)),AND(139=$I12-1,OR(19&lt;&gt;'計算A'!$A$3,'計算A'!$A$4=0))),0,IF(19=$K12,200000,ABS(19-$K12)*100)),100000+ABS(6-$J12)*1000+190)+'計算A'!EL$5*50+IF(AND($E12=1,NY12=0),25,0),IF($F12&gt;0,INDEX('計算A'!EL$110:EL$114,$F12+1)+IF(AND($E12=1,NY12=0),1000,0),MIN(TZ12,20)*400+(IF('計算A'!EK$106=1,1-II12,0)+IF('計算A'!EL$106=1,1-IK12,0))*150+196+'計算A'!EL$5*100000+IF(AND($E12=1,NY12=0),50000,0))+IF($H12=1,(IF('計算A'!EK$117=1,INDEX('計算A'!EK$10:EK$54,$B12),0)+IF('計算A'!EL$117=1,INDEX('計算A'!EM$10:EM$54,$B12),0))*4000,0)-IF(AND('計算A'!EK$117=1,ZI12&gt;0),2000,0)-IF(AND($L12=1,'計算A'!EL$117=1,IK12=0),2000,0))),1000000))</f>
        <v/>
      </c>
      <c r="TO12">
        <f>IF($B12=0,1000000,IF(INDEX('計算A'!$D$60:$EQ$104,$B12,140)*IK12=1,IF(AND($E12=2,NZ12=0),1000000,IF($I12&gt;0,IF(6=$J12,IF(OR(AND(140=$I12+1,OR($K12&lt;&gt;'計算A'!$A$3,'計算A'!$A$4=0)),AND(140=$I12-1,OR(20&lt;&gt;'計算A'!$A$3,'計算A'!$A$4=0))),0,IF(20=$K12,200000,ABS(20-$K12)*100)),100000+ABS(6-$J12)*1000+200)+'計算A'!EM$5*50+IF(AND($E12=1,NZ12=0),25,0),IF($F12&gt;0,INDEX('計算A'!EM$110:EM$114,$F12+1)+IF(AND($E12=1,NZ12=0),1000,0),MIN(TZ12,20)*400+(IF('計算A'!EL$106=1,1-IJ12,0)+IF('計算A'!EM$106=1,1-IL12,0))*150+206+'計算A'!EM$5*100000+IF(AND($E12=1,NZ12=0),50000,0))+IF($H12=1,(IF('計算A'!EL$117=1,INDEX('計算A'!EL$10:EL$54,$B12),0)+IF('計算A'!EM$117=1,INDEX('計算A'!EN$10:EN$54,$B12),0))*4000,0)-IF(AND('計算A'!EL$117=1,ZJ12&gt;0),2000,0)-IF(AND($L12=1,'計算A'!EM$117=1,IL12=0),2000,0))),1000000))</f>
        <v/>
      </c>
      <c r="TP12">
        <f>IF($B12=0,1000000,IF(INDEX('計算A'!$D$60:$EQ$104,$B12,141)*IL12=1,IF(AND($E12=2,OA12=0),1000000,IF($I12&gt;0,IF(6=$J12,IF(OR(AND(141=$I12+1,OR($K12&lt;&gt;'計算A'!$A$3,'計算A'!$A$4=0)),AND(141=$I12-1,OR(21&lt;&gt;'計算A'!$A$3,'計算A'!$A$4=0))),0,IF(21=$K12,200000,ABS(21-$K12)*100)),100000+ABS(6-$J12)*1000+210)+'計算A'!EN$5*50+IF(AND($E12=1,OA12=0),25,0),IF($F12&gt;0,INDEX('計算A'!EN$110:EN$114,$F12+1)+IF(AND($E12=1,OA12=0),1000,0),MIN(TZ12,20)*400+(IF('計算A'!EM$106=1,1-IK12,0)+IF('計算A'!EN$106=1,1-IM12,0))*150+216+'計算A'!EN$5*100000+IF(AND($E12=1,OA12=0),50000,0))+IF($H12=1,(IF('計算A'!EM$117=1,INDEX('計算A'!EM$10:EM$54,$B12),0)+IF('計算A'!EN$117=1,INDEX('計算A'!EO$10:EO$54,$B12),0))*4000,0)-IF(AND('計算A'!EM$117=1,ZK12&gt;0),2000,0)-IF(AND($L12=1,'計算A'!EN$117=1,IM12=0),2000,0))),1000000))</f>
        <v/>
      </c>
      <c r="TQ12">
        <f>IF($B12=0,1000000,IF(INDEX('計算A'!$D$60:$EQ$104,$B12,142)*IM12=1,IF(AND($E12=2,OB12=0),1000000,IF($I12&gt;0,IF(6=$J12,IF(OR(AND(142=$I12+1,OR($K12&lt;&gt;'計算A'!$A$3,'計算A'!$A$4=0)),AND(142=$I12-1,OR(22&lt;&gt;'計算A'!$A$3,'計算A'!$A$4=0))),0,IF(22=$K12,200000,ABS(22-$K12)*100)),100000+ABS(6-$J12)*1000+220)+'計算A'!EO$5*50+IF(AND($E12=1,OB12=0),25,0),IF($F12&gt;0,INDEX('計算A'!EO$110:EO$114,$F12+1)+IF(AND($E12=1,OB12=0),1000,0),MIN(TZ12,20)*400+(IF('計算A'!EN$106=1,1-IL12,0)+IF('計算A'!EO$106=1,1-IN12,0))*150+226+'計算A'!EO$5*100000+IF(AND($E12=1,OB12=0),50000,0))+IF($H12=1,(IF('計算A'!EN$117=1,INDEX('計算A'!EN$10:EN$54,$B12),0)+IF('計算A'!EO$117=1,INDEX('計算A'!EP$10:EP$54,$B12),0))*4000,0)-IF(AND('計算A'!EN$117=1,ZL12&gt;0),2000,0)-IF(AND($L12=1,'計算A'!EO$117=1,IN12=0),2000,0))),1000000))</f>
        <v/>
      </c>
      <c r="TR12">
        <f>IF($B12=0,1000000,IF(INDEX('計算A'!$D$60:$EQ$104,$B12,143)*IN12=1,IF(AND($E12=2,OC12=0),1000000,IF($I12&gt;0,IF(6=$J12,IF(OR(AND(143=$I12+1,OR($K12&lt;&gt;'計算A'!$A$3,'計算A'!$A$4=0)),AND(143=$I12-1,OR(23&lt;&gt;'計算A'!$A$3,'計算A'!$A$4=0))),0,IF(23=$K12,200000,ABS(23-$K12)*100)),100000+ABS(6-$J12)*1000+230)+'計算A'!EP$5*50+IF(AND($E12=1,OC12=0),25,0),IF($F12&gt;0,INDEX('計算A'!EP$110:EP$114,$F12+1)+IF(AND($E12=1,OC12=0),1000,0),MIN(TZ12,20)*400+(IF('計算A'!EO$106=1,1-IM12,0)+IF('計算A'!EP$106=1,1-IO12,0))*150+236+'計算A'!EP$5*100000+IF(AND($E12=1,OC12=0),50000,0))+IF($H12=1,(IF('計算A'!EO$117=1,INDEX('計算A'!EO$10:EO$54,$B12),0)+IF('計算A'!EP$117=1,INDEX('計算A'!EQ$10:EQ$54,$B12),0))*4000,0)-IF(AND('計算A'!EO$117=1,ZM12&gt;0),2000,0)-IF(AND($L12=1,'計算A'!EP$117=1,IO12=0),2000,0))),1000000))</f>
        <v/>
      </c>
      <c r="TS12">
        <f>IF($B12=0,1000000,IF(INDEX('計算A'!$D$60:$EQ$104,$B12,144)*IO12=1,IF(AND($E12=2,OD12=0),1000000,IF($I12&gt;0,IF(6=$J12,IF(OR(AND(144=$I12+1,OR($K12&lt;&gt;'計算A'!$A$3,'計算A'!$A$4=0)),AND(144=$I12-1,OR(24&lt;&gt;'計算A'!$A$3,'計算A'!$A$4=0))),0,IF(24=$K12,200000,ABS(24-$K12)*100)),100000+ABS(6-$J12)*1000+240)+'計算A'!EQ$5*50+IF(AND($E12=1,OD12=0),25,0),IF($F12&gt;0,INDEX('計算A'!EQ$110:EQ$114,$F12+1)+IF(AND($E12=1,OD12=0),1000,0),MIN(TZ12,20)*400+(IF('計算A'!EP$106=1,1-IN12,0))*150+246+'計算A'!EQ$5*100000+IF(AND($E12=1,OD12=0),50000,0))+IF($H12=1,(IF('計算A'!EP$117=1,INDEX('計算A'!EP$10:EP$54,$B12),0))*4000,0)-IF(AND('計算A'!EP$117=1,ZN12&gt;0),2000,0))),1000000))</f>
        <v/>
      </c>
      <c r="TU12">
        <f>TU11+IF($C11&gt;0,IF(INDEX('計算A'!$D$2:$EQ$2,$C11)=1,1,0),0)</f>
        <v/>
      </c>
      <c r="TV12">
        <f>TV11+IF($C11&gt;0,IF(INDEX('計算A'!$D$2:$EQ$2,$C11)=2,1,0),0)</f>
        <v/>
      </c>
      <c r="TW12">
        <f>TW11+IF($C11&gt;0,IF(INDEX('計算A'!$D$2:$EQ$2,$C11)=3,1,0),0)</f>
        <v/>
      </c>
      <c r="TX12">
        <f>TX11+IF($C11&gt;0,IF(INDEX('計算A'!$D$2:$EQ$2,$C11)=4,1,0),0)</f>
        <v/>
      </c>
      <c r="TY12">
        <f>TY11+IF($C11&gt;0,IF(INDEX('計算A'!$D$2:$EQ$2,$C11)=5,1,0),0)</f>
        <v/>
      </c>
      <c r="TZ12">
        <f>TZ11+IF($C11&gt;0,IF(INDEX('計算A'!$D$2:$EQ$2,$C11)=6,1,0),0)</f>
        <v/>
      </c>
      <c r="UB12">
        <f>UB11+IF(AND($C11=1,$L11=1),1,0)</f>
        <v/>
      </c>
      <c r="UC12">
        <f>UC11+IF(AND($C11=2,$L11=1),1,0)</f>
        <v/>
      </c>
      <c r="UD12">
        <f>UD11+IF(AND($C11=3,$L11=1),1,0)</f>
        <v/>
      </c>
      <c r="UE12">
        <f>UE11+IF(AND($C11=4,$L11=1),1,0)</f>
        <v/>
      </c>
      <c r="UF12">
        <f>UF11+IF(AND($C11=5,$L11=1),1,0)</f>
        <v/>
      </c>
      <c r="UG12">
        <f>UG11+IF(AND($C11=6,$L11=1),1,0)</f>
        <v/>
      </c>
      <c r="UH12">
        <f>UH11+IF(AND($C11=7,$L11=1),1,0)</f>
        <v/>
      </c>
      <c r="UI12">
        <f>UI11+IF(AND($C11=8,$L11=1),1,0)</f>
        <v/>
      </c>
      <c r="UJ12">
        <f>UJ11+IF(AND($C11=9,$L11=1),1,0)</f>
        <v/>
      </c>
      <c r="UK12">
        <f>UK11+IF(AND($C11=10,$L11=1),1,0)</f>
        <v/>
      </c>
      <c r="UL12">
        <f>UL11+IF(AND($C11=11,$L11=1),1,0)</f>
        <v/>
      </c>
      <c r="UM12">
        <f>UM11+IF(AND($C11=12,$L11=1),1,0)</f>
        <v/>
      </c>
      <c r="UN12">
        <f>UN11+IF(AND($C11=13,$L11=1),1,0)</f>
        <v/>
      </c>
      <c r="UO12">
        <f>UO11+IF(AND($C11=14,$L11=1),1,0)</f>
        <v/>
      </c>
      <c r="UP12">
        <f>UP11+IF(AND($C11=15,$L11=1),1,0)</f>
        <v/>
      </c>
      <c r="UQ12">
        <f>UQ11+IF(AND($C11=16,$L11=1),1,0)</f>
        <v/>
      </c>
      <c r="UR12">
        <f>UR11+IF(AND($C11=17,$L11=1),1,0)</f>
        <v/>
      </c>
      <c r="US12">
        <f>US11+IF(AND($C11=18,$L11=1),1,0)</f>
        <v/>
      </c>
      <c r="UT12">
        <f>UT11+IF(AND($C11=19,$L11=1),1,0)</f>
        <v/>
      </c>
      <c r="UU12">
        <f>UU11+IF(AND($C11=20,$L11=1),1,0)</f>
        <v/>
      </c>
      <c r="UV12">
        <f>UV11+IF(AND($C11=21,$L11=1),1,0)</f>
        <v/>
      </c>
      <c r="UW12">
        <f>UW11+IF(AND($C11=22,$L11=1),1,0)</f>
        <v/>
      </c>
      <c r="UX12">
        <f>UX11+IF(AND($C11=23,$L11=1),1,0)</f>
        <v/>
      </c>
      <c r="UY12">
        <f>UY11+IF(AND($C11=24,$L11=1),1,0)</f>
        <v/>
      </c>
      <c r="UZ12">
        <f>UZ11+IF(AND($C11=25,$L11=1),1,0)</f>
        <v/>
      </c>
      <c r="VA12">
        <f>VA11+IF(AND($C11=26,$L11=1),1,0)</f>
        <v/>
      </c>
      <c r="VB12">
        <f>VB11+IF(AND($C11=27,$L11=1),1,0)</f>
        <v/>
      </c>
      <c r="VC12">
        <f>VC11+IF(AND($C11=28,$L11=1),1,0)</f>
        <v/>
      </c>
      <c r="VD12">
        <f>VD11+IF(AND($C11=29,$L11=1),1,0)</f>
        <v/>
      </c>
      <c r="VE12">
        <f>VE11+IF(AND($C11=30,$L11=1),1,0)</f>
        <v/>
      </c>
      <c r="VF12">
        <f>VF11+IF(AND($C11=31,$L11=1),1,0)</f>
        <v/>
      </c>
      <c r="VG12">
        <f>VG11+IF(AND($C11=32,$L11=1),1,0)</f>
        <v/>
      </c>
      <c r="VH12">
        <f>VH11+IF(AND($C11=33,$L11=1),1,0)</f>
        <v/>
      </c>
      <c r="VI12">
        <f>VI11+IF(AND($C11=34,$L11=1),1,0)</f>
        <v/>
      </c>
      <c r="VJ12">
        <f>VJ11+IF(AND($C11=35,$L11=1),1,0)</f>
        <v/>
      </c>
      <c r="VK12">
        <f>VK11+IF(AND($C11=36,$L11=1),1,0)</f>
        <v/>
      </c>
      <c r="VL12">
        <f>VL11+IF(AND($C11=37,$L11=1),1,0)</f>
        <v/>
      </c>
      <c r="VM12">
        <f>VM11+IF(AND($C11=38,$L11=1),1,0)</f>
        <v/>
      </c>
      <c r="VN12">
        <f>VN11+IF(AND($C11=39,$L11=1),1,0)</f>
        <v/>
      </c>
      <c r="VO12">
        <f>VO11+IF(AND($C11=40,$L11=1),1,0)</f>
        <v/>
      </c>
      <c r="VP12">
        <f>VP11+IF(AND($C11=41,$L11=1),1,0)</f>
        <v/>
      </c>
      <c r="VQ12">
        <f>VQ11+IF(AND($C11=42,$L11=1),1,0)</f>
        <v/>
      </c>
      <c r="VR12">
        <f>VR11+IF(AND($C11=43,$L11=1),1,0)</f>
        <v/>
      </c>
      <c r="VS12">
        <f>VS11+IF(AND($C11=44,$L11=1),1,0)</f>
        <v/>
      </c>
      <c r="VT12">
        <f>VT11+IF(AND($C11=45,$L11=1),1,0)</f>
        <v/>
      </c>
      <c r="VU12">
        <f>VU11+IF(AND($C11=46,$L11=1),1,0)</f>
        <v/>
      </c>
      <c r="VV12">
        <f>VV11+IF(AND($C11=47,$L11=1),1,0)</f>
        <v/>
      </c>
      <c r="VW12">
        <f>VW11+IF(AND($C11=48,$L11=1),1,0)</f>
        <v/>
      </c>
      <c r="VX12">
        <f>VX11+IF(AND($C11=49,$L11=1),1,0)</f>
        <v/>
      </c>
      <c r="VY12">
        <f>VY11+IF(AND($C11=50,$L11=1),1,0)</f>
        <v/>
      </c>
      <c r="VZ12">
        <f>VZ11+IF(AND($C11=51,$L11=1),1,0)</f>
        <v/>
      </c>
      <c r="WA12">
        <f>WA11+IF(AND($C11=52,$L11=1),1,0)</f>
        <v/>
      </c>
      <c r="WB12">
        <f>WB11+IF(AND($C11=53,$L11=1),1,0)</f>
        <v/>
      </c>
      <c r="WC12">
        <f>WC11+IF(AND($C11=54,$L11=1),1,0)</f>
        <v/>
      </c>
      <c r="WD12">
        <f>WD11+IF(AND($C11=55,$L11=1),1,0)</f>
        <v/>
      </c>
      <c r="WE12">
        <f>WE11+IF(AND($C11=56,$L11=1),1,0)</f>
        <v/>
      </c>
      <c r="WF12">
        <f>WF11+IF(AND($C11=57,$L11=1),1,0)</f>
        <v/>
      </c>
      <c r="WG12">
        <f>WG11+IF(AND($C11=58,$L11=1),1,0)</f>
        <v/>
      </c>
      <c r="WH12">
        <f>WH11+IF(AND($C11=59,$L11=1),1,0)</f>
        <v/>
      </c>
      <c r="WI12">
        <f>WI11+IF(AND($C11=60,$L11=1),1,0)</f>
        <v/>
      </c>
      <c r="WJ12">
        <f>WJ11+IF(AND($C11=61,$L11=1),1,0)</f>
        <v/>
      </c>
      <c r="WK12">
        <f>WK11+IF(AND($C11=62,$L11=1),1,0)</f>
        <v/>
      </c>
      <c r="WL12">
        <f>WL11+IF(AND($C11=63,$L11=1),1,0)</f>
        <v/>
      </c>
      <c r="WM12">
        <f>WM11+IF(AND($C11=64,$L11=1),1,0)</f>
        <v/>
      </c>
      <c r="WN12">
        <f>WN11+IF(AND($C11=65,$L11=1),1,0)</f>
        <v/>
      </c>
      <c r="WO12">
        <f>WO11+IF(AND($C11=66,$L11=1),1,0)</f>
        <v/>
      </c>
      <c r="WP12">
        <f>WP11+IF(AND($C11=67,$L11=1),1,0)</f>
        <v/>
      </c>
      <c r="WQ12">
        <f>WQ11+IF(AND($C11=68,$L11=1),1,0)</f>
        <v/>
      </c>
      <c r="WR12">
        <f>WR11+IF(AND($C11=69,$L11=1),1,0)</f>
        <v/>
      </c>
      <c r="WS12">
        <f>WS11+IF(AND($C11=70,$L11=1),1,0)</f>
        <v/>
      </c>
      <c r="WT12">
        <f>WT11+IF(AND($C11=71,$L11=1),1,0)</f>
        <v/>
      </c>
      <c r="WU12">
        <f>WU11+IF(AND($C11=72,$L11=1),1,0)</f>
        <v/>
      </c>
      <c r="WV12">
        <f>WV11+IF(AND($C11=73,$L11=1),1,0)</f>
        <v/>
      </c>
      <c r="WW12">
        <f>WW11+IF(AND($C11=74,$L11=1),1,0)</f>
        <v/>
      </c>
      <c r="WX12">
        <f>WX11+IF(AND($C11=75,$L11=1),1,0)</f>
        <v/>
      </c>
      <c r="WY12">
        <f>WY11+IF(AND($C11=76,$L11=1),1,0)</f>
        <v/>
      </c>
      <c r="WZ12">
        <f>WZ11+IF(AND($C11=77,$L11=1),1,0)</f>
        <v/>
      </c>
      <c r="XA12">
        <f>XA11+IF(AND($C11=78,$L11=1),1,0)</f>
        <v/>
      </c>
      <c r="XB12">
        <f>XB11+IF(AND($C11=79,$L11=1),1,0)</f>
        <v/>
      </c>
      <c r="XC12">
        <f>XC11+IF(AND($C11=80,$L11=1),1,0)</f>
        <v/>
      </c>
      <c r="XD12">
        <f>XD11+IF(AND($C11=81,$L11=1),1,0)</f>
        <v/>
      </c>
      <c r="XE12">
        <f>XE11+IF(AND($C11=82,$L11=1),1,0)</f>
        <v/>
      </c>
      <c r="XF12">
        <f>XF11+IF(AND($C11=83,$L11=1),1,0)</f>
        <v/>
      </c>
      <c r="XG12">
        <f>XG11+IF(AND($C11=84,$L11=1),1,0)</f>
        <v/>
      </c>
      <c r="XH12">
        <f>XH11+IF(AND($C11=85,$L11=1),1,0)</f>
        <v/>
      </c>
      <c r="XI12">
        <f>XI11+IF(AND($C11=86,$L11=1),1,0)</f>
        <v/>
      </c>
      <c r="XJ12">
        <f>XJ11+IF(AND($C11=87,$L11=1),1,0)</f>
        <v/>
      </c>
      <c r="XK12">
        <f>XK11+IF(AND($C11=88,$L11=1),1,0)</f>
        <v/>
      </c>
      <c r="XL12">
        <f>XL11+IF(AND($C11=89,$L11=1),1,0)</f>
        <v/>
      </c>
      <c r="XM12">
        <f>XM11+IF(AND($C11=90,$L11=1),1,0)</f>
        <v/>
      </c>
      <c r="XN12">
        <f>XN11+IF(AND($C11=91,$L11=1),1,0)</f>
        <v/>
      </c>
      <c r="XO12">
        <f>XO11+IF(AND($C11=92,$L11=1),1,0)</f>
        <v/>
      </c>
      <c r="XP12">
        <f>XP11+IF(AND($C11=93,$L11=1),1,0)</f>
        <v/>
      </c>
      <c r="XQ12">
        <f>XQ11+IF(AND($C11=94,$L11=1),1,0)</f>
        <v/>
      </c>
      <c r="XR12">
        <f>XR11+IF(AND($C11=95,$L11=1),1,0)</f>
        <v/>
      </c>
      <c r="XS12">
        <f>XS11+IF(AND($C11=96,$L11=1),1,0)</f>
        <v/>
      </c>
      <c r="XT12">
        <f>XT11+IF(AND($C11=97,$L11=1),1,0)</f>
        <v/>
      </c>
      <c r="XU12">
        <f>XU11+IF(AND($C11=98,$L11=1),1,0)</f>
        <v/>
      </c>
      <c r="XV12">
        <f>XV11+IF(AND($C11=99,$L11=1),1,0)</f>
        <v/>
      </c>
      <c r="XW12">
        <f>XW11+IF(AND($C11=100,$L11=1),1,0)</f>
        <v/>
      </c>
      <c r="XX12">
        <f>XX11+IF(AND($C11=101,$L11=1),1,0)</f>
        <v/>
      </c>
      <c r="XY12">
        <f>XY11+IF(AND($C11=102,$L11=1),1,0)</f>
        <v/>
      </c>
      <c r="XZ12">
        <f>XZ11+IF(AND($C11=103,$L11=1),1,0)</f>
        <v/>
      </c>
      <c r="YA12">
        <f>YA11+IF(AND($C11=104,$L11=1),1,0)</f>
        <v/>
      </c>
      <c r="YB12">
        <f>YB11+IF(AND($C11=105,$L11=1),1,0)</f>
        <v/>
      </c>
      <c r="YC12">
        <f>YC11+IF(AND($C11=106,$L11=1),1,0)</f>
        <v/>
      </c>
      <c r="YD12">
        <f>YD11+IF(AND($C11=107,$L11=1),1,0)</f>
        <v/>
      </c>
      <c r="YE12">
        <f>YE11+IF(AND($C11=108,$L11=1),1,0)</f>
        <v/>
      </c>
      <c r="YF12">
        <f>YF11+IF(AND($C11=109,$L11=1),1,0)</f>
        <v/>
      </c>
      <c r="YG12">
        <f>YG11+IF(AND($C11=110,$L11=1),1,0)</f>
        <v/>
      </c>
      <c r="YH12">
        <f>YH11+IF(AND($C11=111,$L11=1),1,0)</f>
        <v/>
      </c>
      <c r="YI12">
        <f>YI11+IF(AND($C11=112,$L11=1),1,0)</f>
        <v/>
      </c>
      <c r="YJ12">
        <f>YJ11+IF(AND($C11=113,$L11=1),1,0)</f>
        <v/>
      </c>
      <c r="YK12">
        <f>YK11+IF(AND($C11=114,$L11=1),1,0)</f>
        <v/>
      </c>
      <c r="YL12">
        <f>YL11+IF(AND($C11=115,$L11=1),1,0)</f>
        <v/>
      </c>
      <c r="YM12">
        <f>YM11+IF(AND($C11=116,$L11=1),1,0)</f>
        <v/>
      </c>
      <c r="YN12">
        <f>YN11+IF(AND($C11=117,$L11=1),1,0)</f>
        <v/>
      </c>
      <c r="YO12">
        <f>YO11+IF(AND($C11=118,$L11=1),1,0)</f>
        <v/>
      </c>
      <c r="YP12">
        <f>YP11+IF(AND($C11=119,$L11=1),1,0)</f>
        <v/>
      </c>
      <c r="YQ12">
        <f>YQ11+IF(AND($C11=120,$L11=1),1,0)</f>
        <v/>
      </c>
      <c r="YR12">
        <f>YR11+IF(AND($C11=121,$L11=1),1,0)</f>
        <v/>
      </c>
      <c r="YS12">
        <f>YS11+IF(AND($C11=122,$L11=1),1,0)</f>
        <v/>
      </c>
      <c r="YT12">
        <f>YT11+IF(AND($C11=123,$L11=1),1,0)</f>
        <v/>
      </c>
      <c r="YU12">
        <f>YU11+IF(AND($C11=124,$L11=1),1,0)</f>
        <v/>
      </c>
      <c r="YV12">
        <f>YV11+IF(AND($C11=125,$L11=1),1,0)</f>
        <v/>
      </c>
      <c r="YW12">
        <f>YW11+IF(AND($C11=126,$L11=1),1,0)</f>
        <v/>
      </c>
      <c r="YX12">
        <f>YX11+IF(AND($C11=127,$L11=1),1,0)</f>
        <v/>
      </c>
      <c r="YY12">
        <f>YY11+IF(AND($C11=128,$L11=1),1,0)</f>
        <v/>
      </c>
      <c r="YZ12">
        <f>YZ11+IF(AND($C11=129,$L11=1),1,0)</f>
        <v/>
      </c>
      <c r="ZA12">
        <f>ZA11+IF(AND($C11=130,$L11=1),1,0)</f>
        <v/>
      </c>
      <c r="ZB12">
        <f>ZB11+IF(AND($C11=131,$L11=1),1,0)</f>
        <v/>
      </c>
      <c r="ZC12">
        <f>ZC11+IF(AND($C11=132,$L11=1),1,0)</f>
        <v/>
      </c>
      <c r="ZD12">
        <f>ZD11+IF(AND($C11=133,$L11=1),1,0)</f>
        <v/>
      </c>
      <c r="ZE12">
        <f>ZE11+IF(AND($C11=134,$L11=1),1,0)</f>
        <v/>
      </c>
      <c r="ZF12">
        <f>ZF11+IF(AND($C11=135,$L11=1),1,0)</f>
        <v/>
      </c>
      <c r="ZG12">
        <f>ZG11+IF(AND($C11=136,$L11=1),1,0)</f>
        <v/>
      </c>
      <c r="ZH12">
        <f>ZH11+IF(AND($C11=137,$L11=1),1,0)</f>
        <v/>
      </c>
      <c r="ZI12">
        <f>ZI11+IF(AND($C11=138,$L11=1),1,0)</f>
        <v/>
      </c>
      <c r="ZJ12">
        <f>ZJ11+IF(AND($C11=139,$L11=1),1,0)</f>
        <v/>
      </c>
      <c r="ZK12">
        <f>ZK11+IF(AND($C11=140,$L11=1),1,0)</f>
        <v/>
      </c>
      <c r="ZL12">
        <f>ZL11+IF(AND($C11=141,$L11=1),1,0)</f>
        <v/>
      </c>
      <c r="ZM12">
        <f>ZM11+IF(AND($C11=142,$L11=1),1,0)</f>
        <v/>
      </c>
      <c r="ZN12">
        <f>ZN11+IF(AND($C11=143,$L11=1),1,0)</f>
        <v/>
      </c>
      <c r="ZO12">
        <f>ZO11+IF(AND($C11=144,$L11=1),1,0)</f>
        <v/>
      </c>
    </row>
    <row r="13">
      <c r="A13" t="n">
        <v>11</v>
      </c>
      <c r="B13">
        <f>IF(MIN(BH13:CZ13)&gt;=1000000,0,MATCH(MIN(BH13:CZ13),BH13:CZ13,0))</f>
        <v/>
      </c>
      <c r="C13">
        <f>IF(MIN(OF13:TS13)&gt;=1000000,0,MATCH(MIN(OF13:TS13),OF13:TS13,0))</f>
        <v/>
      </c>
      <c r="D13">
        <f>IF(C13&gt;0,INDEX('計算A'!$D$5:$EQ$5,C13),0)</f>
        <v/>
      </c>
      <c r="E13">
        <f>IF(B13=0,0,INDEX('計算A'!$IQ$10:$IQ$54,B13))</f>
        <v/>
      </c>
      <c r="F13">
        <f>IF(B13=0,0,INDEX('計算A'!$IP$10:$IP$54,B13))</f>
        <v/>
      </c>
      <c r="G13">
        <f>IF(AND(C13&gt;0,E13&gt;0),IF(AND(INDEX('計算A'!$D$106:$EQ$106,C13)=1,INDEX($IQ13:$OD13,C13)=1),C13+1,0),0)</f>
        <v/>
      </c>
      <c r="H13">
        <f>IF(B13=0,0,INDEX('計算A'!$IW$10:$IW$54,B13))</f>
        <v/>
      </c>
      <c r="I13">
        <f>IF(B13=0,0,MAX(0,INDEX('計算A'!$IT$10:$IT$54,B13)))</f>
        <v/>
      </c>
      <c r="J13">
        <f>IF(I13=0,0,INDEX('計算A'!$D$2:$EQ$2,I13))</f>
        <v/>
      </c>
      <c r="K13">
        <f>IF(I13=0,0,INDEX('計算A'!$D$3:$EQ$3,I13))</f>
        <v/>
      </c>
      <c r="L13">
        <f>IF(B13=0,0,INDEX('計算A'!$IX$10:$IX$54,B13))</f>
        <v/>
      </c>
      <c r="N13">
        <f>MAX(N12,IF($B12=1,1,0))</f>
        <v/>
      </c>
      <c r="O13">
        <f>MAX(O12,IF($B12=2,1,0))</f>
        <v/>
      </c>
      <c r="P13">
        <f>MAX(P12,IF($B12=3,1,0))</f>
        <v/>
      </c>
      <c r="Q13">
        <f>MAX(Q12,IF($B12=4,1,0))</f>
        <v/>
      </c>
      <c r="R13">
        <f>MAX(R12,IF($B12=5,1,0))</f>
        <v/>
      </c>
      <c r="S13">
        <f>MAX(S12,IF($B12=6,1,0))</f>
        <v/>
      </c>
      <c r="T13">
        <f>MAX(T12,IF($B12=7,1,0))</f>
        <v/>
      </c>
      <c r="U13">
        <f>MAX(U12,IF($B12=8,1,0))</f>
        <v/>
      </c>
      <c r="V13">
        <f>MAX(V12,IF($B12=9,1,0))</f>
        <v/>
      </c>
      <c r="W13">
        <f>MAX(W12,IF($B12=10,1,0))</f>
        <v/>
      </c>
      <c r="X13">
        <f>MAX(X12,IF($B12=11,1,0))</f>
        <v/>
      </c>
      <c r="Y13">
        <f>MAX(Y12,IF($B12=12,1,0))</f>
        <v/>
      </c>
      <c r="Z13">
        <f>MAX(Z12,IF($B12=13,1,0))</f>
        <v/>
      </c>
      <c r="AA13">
        <f>MAX(AA12,IF($B12=14,1,0))</f>
        <v/>
      </c>
      <c r="AB13">
        <f>MAX(AB12,IF($B12=15,1,0))</f>
        <v/>
      </c>
      <c r="AC13">
        <f>MAX(AC12,IF($B12=16,1,0))</f>
        <v/>
      </c>
      <c r="AD13">
        <f>MAX(AD12,IF($B12=17,1,0))</f>
        <v/>
      </c>
      <c r="AE13">
        <f>MAX(AE12,IF($B12=18,1,0))</f>
        <v/>
      </c>
      <c r="AF13">
        <f>MAX(AF12,IF($B12=19,1,0))</f>
        <v/>
      </c>
      <c r="AG13">
        <f>MAX(AG12,IF($B12=20,1,0))</f>
        <v/>
      </c>
      <c r="AH13">
        <f>MAX(AH12,IF($B12=21,1,0))</f>
        <v/>
      </c>
      <c r="AI13">
        <f>MAX(AI12,IF($B12=22,1,0))</f>
        <v/>
      </c>
      <c r="AJ13">
        <f>MAX(AJ12,IF($B12=23,1,0))</f>
        <v/>
      </c>
      <c r="AK13">
        <f>MAX(AK12,IF($B12=24,1,0))</f>
        <v/>
      </c>
      <c r="AL13">
        <f>MAX(AL12,IF($B12=25,1,0))</f>
        <v/>
      </c>
      <c r="AM13">
        <f>MAX(AM12,IF($B12=26,1,0))</f>
        <v/>
      </c>
      <c r="AN13">
        <f>MAX(AN12,IF($B12=27,1,0))</f>
        <v/>
      </c>
      <c r="AO13">
        <f>MAX(AO12,IF($B12=28,1,0))</f>
        <v/>
      </c>
      <c r="AP13">
        <f>MAX(AP12,IF($B12=29,1,0))</f>
        <v/>
      </c>
      <c r="AQ13">
        <f>MAX(AQ12,IF($B12=30,1,0))</f>
        <v/>
      </c>
      <c r="AR13">
        <f>MAX(AR12,IF($B12=31,1,0))</f>
        <v/>
      </c>
      <c r="AS13">
        <f>MAX(AS12,IF($B12=32,1,0))</f>
        <v/>
      </c>
      <c r="AT13">
        <f>MAX(AT12,IF($B12=33,1,0))</f>
        <v/>
      </c>
      <c r="AU13">
        <f>MAX(AU12,IF($B12=34,1,0))</f>
        <v/>
      </c>
      <c r="AV13">
        <f>MAX(AV12,IF($B12=35,1,0))</f>
        <v/>
      </c>
      <c r="AW13">
        <f>MAX(AW12,IF($B12=36,1,0))</f>
        <v/>
      </c>
      <c r="AX13">
        <f>MAX(AX12,IF($B12=37,1,0))</f>
        <v/>
      </c>
      <c r="AY13">
        <f>MAX(AY12,IF($B12=38,1,0))</f>
        <v/>
      </c>
      <c r="AZ13">
        <f>MAX(AZ12,IF($B12=39,1,0))</f>
        <v/>
      </c>
      <c r="BA13">
        <f>MAX(BA12,IF($B12=40,1,0))</f>
        <v/>
      </c>
      <c r="BB13">
        <f>MAX(BB12,IF($B12=41,1,0))</f>
        <v/>
      </c>
      <c r="BC13">
        <f>MAX(BC12,IF($B12=42,1,0))</f>
        <v/>
      </c>
      <c r="BD13">
        <f>MAX(BD12,IF($B12=43,1,0))</f>
        <v/>
      </c>
      <c r="BE13">
        <f>MAX(BE12,IF($B12=44,1,0))</f>
        <v/>
      </c>
      <c r="BF13">
        <f>MAX(BF12,IF($B12=45,1,0))</f>
        <v/>
      </c>
      <c r="BH13">
        <f>IF(N13=1,1000000,IF('計算A'!$IT$10&gt;0,0,500000)+IF('計算A'!$IQ$10=2,SUMPRODUCT('計算A'!$D$60:$EQ$60,$DB13:$IO13,$IQ13:$OD13),SUMPRODUCT('計算A'!$D$60:$EQ$60,$DB13:$IO13))*1000+1)</f>
        <v/>
      </c>
      <c r="BI13">
        <f>IF(O13=1,1000000,IF('計算A'!$IT$11&gt;0,0,500000)+IF('計算A'!$IQ$11=2,SUMPRODUCT('計算A'!$D$61:$EQ$61,$DB13:$IO13,$IQ13:$OD13),SUMPRODUCT('計算A'!$D$61:$EQ$61,$DB13:$IO13))*1000+2)</f>
        <v/>
      </c>
      <c r="BJ13">
        <f>IF(P13=1,1000000,IF('計算A'!$IT$12&gt;0,0,500000)+IF('計算A'!$IQ$12=2,SUMPRODUCT('計算A'!$D$62:$EQ$62,$DB13:$IO13,$IQ13:$OD13),SUMPRODUCT('計算A'!$D$62:$EQ$62,$DB13:$IO13))*1000+3)</f>
        <v/>
      </c>
      <c r="BK13">
        <f>IF(Q13=1,1000000,IF('計算A'!$IT$13&gt;0,0,500000)+IF('計算A'!$IQ$13=2,SUMPRODUCT('計算A'!$D$63:$EQ$63,$DB13:$IO13,$IQ13:$OD13),SUMPRODUCT('計算A'!$D$63:$EQ$63,$DB13:$IO13))*1000+4)</f>
        <v/>
      </c>
      <c r="BL13">
        <f>IF(R13=1,1000000,IF('計算A'!$IT$14&gt;0,0,500000)+IF('計算A'!$IQ$14=2,SUMPRODUCT('計算A'!$D$64:$EQ$64,$DB13:$IO13,$IQ13:$OD13),SUMPRODUCT('計算A'!$D$64:$EQ$64,$DB13:$IO13))*1000+5)</f>
        <v/>
      </c>
      <c r="BM13">
        <f>IF(S13=1,1000000,IF('計算A'!$IT$15&gt;0,0,500000)+IF('計算A'!$IQ$15=2,SUMPRODUCT('計算A'!$D$65:$EQ$65,$DB13:$IO13,$IQ13:$OD13),SUMPRODUCT('計算A'!$D$65:$EQ$65,$DB13:$IO13))*1000+6)</f>
        <v/>
      </c>
      <c r="BN13">
        <f>IF(T13=1,1000000,IF('計算A'!$IT$16&gt;0,0,500000)+IF('計算A'!$IQ$16=2,SUMPRODUCT('計算A'!$D$66:$EQ$66,$DB13:$IO13,$IQ13:$OD13),SUMPRODUCT('計算A'!$D$66:$EQ$66,$DB13:$IO13))*1000+7)</f>
        <v/>
      </c>
      <c r="BO13">
        <f>IF(U13=1,1000000,IF('計算A'!$IT$17&gt;0,0,500000)+IF('計算A'!$IQ$17=2,SUMPRODUCT('計算A'!$D$67:$EQ$67,$DB13:$IO13,$IQ13:$OD13),SUMPRODUCT('計算A'!$D$67:$EQ$67,$DB13:$IO13))*1000+8)</f>
        <v/>
      </c>
      <c r="BP13">
        <f>IF(V13=1,1000000,IF('計算A'!$IT$18&gt;0,0,500000)+IF('計算A'!$IQ$18=2,SUMPRODUCT('計算A'!$D$68:$EQ$68,$DB13:$IO13,$IQ13:$OD13),SUMPRODUCT('計算A'!$D$68:$EQ$68,$DB13:$IO13))*1000+9)</f>
        <v/>
      </c>
      <c r="BQ13">
        <f>IF(W13=1,1000000,IF('計算A'!$IT$19&gt;0,0,500000)+IF('計算A'!$IQ$19=2,SUMPRODUCT('計算A'!$D$69:$EQ$69,$DB13:$IO13,$IQ13:$OD13),SUMPRODUCT('計算A'!$D$69:$EQ$69,$DB13:$IO13))*1000+10)</f>
        <v/>
      </c>
      <c r="BR13">
        <f>IF(X13=1,1000000,IF('計算A'!$IT$20&gt;0,0,500000)+IF('計算A'!$IQ$20=2,SUMPRODUCT('計算A'!$D$70:$EQ$70,$DB13:$IO13,$IQ13:$OD13),SUMPRODUCT('計算A'!$D$70:$EQ$70,$DB13:$IO13))*1000+11)</f>
        <v/>
      </c>
      <c r="BS13">
        <f>IF(Y13=1,1000000,IF('計算A'!$IT$21&gt;0,0,500000)+IF('計算A'!$IQ$21=2,SUMPRODUCT('計算A'!$D$71:$EQ$71,$DB13:$IO13,$IQ13:$OD13),SUMPRODUCT('計算A'!$D$71:$EQ$71,$DB13:$IO13))*1000+12)</f>
        <v/>
      </c>
      <c r="BT13">
        <f>IF(Z13=1,1000000,IF('計算A'!$IT$22&gt;0,0,500000)+IF('計算A'!$IQ$22=2,SUMPRODUCT('計算A'!$D$72:$EQ$72,$DB13:$IO13,$IQ13:$OD13),SUMPRODUCT('計算A'!$D$72:$EQ$72,$DB13:$IO13))*1000+13)</f>
        <v/>
      </c>
      <c r="BU13">
        <f>IF(AA13=1,1000000,IF('計算A'!$IT$23&gt;0,0,500000)+IF('計算A'!$IQ$23=2,SUMPRODUCT('計算A'!$D$73:$EQ$73,$DB13:$IO13,$IQ13:$OD13),SUMPRODUCT('計算A'!$D$73:$EQ$73,$DB13:$IO13))*1000+14)</f>
        <v/>
      </c>
      <c r="BV13">
        <f>IF(AB13=1,1000000,IF('計算A'!$IT$24&gt;0,0,500000)+IF('計算A'!$IQ$24=2,SUMPRODUCT('計算A'!$D$74:$EQ$74,$DB13:$IO13,$IQ13:$OD13),SUMPRODUCT('計算A'!$D$74:$EQ$74,$DB13:$IO13))*1000+15)</f>
        <v/>
      </c>
      <c r="BW13">
        <f>IF(AC13=1,1000000,IF('計算A'!$IT$25&gt;0,0,500000)+IF('計算A'!$IQ$25=2,SUMPRODUCT('計算A'!$D$75:$EQ$75,$DB13:$IO13,$IQ13:$OD13),SUMPRODUCT('計算A'!$D$75:$EQ$75,$DB13:$IO13))*1000+16)</f>
        <v/>
      </c>
      <c r="BX13">
        <f>IF(AD13=1,1000000,IF('計算A'!$IT$26&gt;0,0,500000)+IF('計算A'!$IQ$26=2,SUMPRODUCT('計算A'!$D$76:$EQ$76,$DB13:$IO13,$IQ13:$OD13),SUMPRODUCT('計算A'!$D$76:$EQ$76,$DB13:$IO13))*1000+17)</f>
        <v/>
      </c>
      <c r="BY13">
        <f>IF(AE13=1,1000000,IF('計算A'!$IT$27&gt;0,0,500000)+IF('計算A'!$IQ$27=2,SUMPRODUCT('計算A'!$D$77:$EQ$77,$DB13:$IO13,$IQ13:$OD13),SUMPRODUCT('計算A'!$D$77:$EQ$77,$DB13:$IO13))*1000+18)</f>
        <v/>
      </c>
      <c r="BZ13">
        <f>IF(AF13=1,1000000,IF('計算A'!$IT$28&gt;0,0,500000)+IF('計算A'!$IQ$28=2,SUMPRODUCT('計算A'!$D$78:$EQ$78,$DB13:$IO13,$IQ13:$OD13),SUMPRODUCT('計算A'!$D$78:$EQ$78,$DB13:$IO13))*1000+19)</f>
        <v/>
      </c>
      <c r="CA13">
        <f>IF(AG13=1,1000000,IF('計算A'!$IT$29&gt;0,0,500000)+IF('計算A'!$IQ$29=2,SUMPRODUCT('計算A'!$D$79:$EQ$79,$DB13:$IO13,$IQ13:$OD13),SUMPRODUCT('計算A'!$D$79:$EQ$79,$DB13:$IO13))*1000+20)</f>
        <v/>
      </c>
      <c r="CB13">
        <f>IF(AH13=1,1000000,IF('計算A'!$IT$30&gt;0,0,500000)+IF('計算A'!$IQ$30=2,SUMPRODUCT('計算A'!$D$80:$EQ$80,$DB13:$IO13,$IQ13:$OD13),SUMPRODUCT('計算A'!$D$80:$EQ$80,$DB13:$IO13))*1000+21)</f>
        <v/>
      </c>
      <c r="CC13">
        <f>IF(AI13=1,1000000,IF('計算A'!$IT$31&gt;0,0,500000)+IF('計算A'!$IQ$31=2,SUMPRODUCT('計算A'!$D$81:$EQ$81,$DB13:$IO13,$IQ13:$OD13),SUMPRODUCT('計算A'!$D$81:$EQ$81,$DB13:$IO13))*1000+22)</f>
        <v/>
      </c>
      <c r="CD13">
        <f>IF(AJ13=1,1000000,IF('計算A'!$IT$32&gt;0,0,500000)+IF('計算A'!$IQ$32=2,SUMPRODUCT('計算A'!$D$82:$EQ$82,$DB13:$IO13,$IQ13:$OD13),SUMPRODUCT('計算A'!$D$82:$EQ$82,$DB13:$IO13))*1000+23)</f>
        <v/>
      </c>
      <c r="CE13">
        <f>IF(AK13=1,1000000,IF('計算A'!$IT$33&gt;0,0,500000)+IF('計算A'!$IQ$33=2,SUMPRODUCT('計算A'!$D$83:$EQ$83,$DB13:$IO13,$IQ13:$OD13),SUMPRODUCT('計算A'!$D$83:$EQ$83,$DB13:$IO13))*1000+24)</f>
        <v/>
      </c>
      <c r="CF13">
        <f>IF(AL13=1,1000000,IF('計算A'!$IT$34&gt;0,0,500000)+IF('計算A'!$IQ$34=2,SUMPRODUCT('計算A'!$D$84:$EQ$84,$DB13:$IO13,$IQ13:$OD13),SUMPRODUCT('計算A'!$D$84:$EQ$84,$DB13:$IO13))*1000+25)</f>
        <v/>
      </c>
      <c r="CG13">
        <f>IF(AM13=1,1000000,IF('計算A'!$IT$35&gt;0,0,500000)+IF('計算A'!$IQ$35=2,SUMPRODUCT('計算A'!$D$85:$EQ$85,$DB13:$IO13,$IQ13:$OD13),SUMPRODUCT('計算A'!$D$85:$EQ$85,$DB13:$IO13))*1000+26)</f>
        <v/>
      </c>
      <c r="CH13">
        <f>IF(AN13=1,1000000,IF('計算A'!$IT$36&gt;0,0,500000)+IF('計算A'!$IQ$36=2,SUMPRODUCT('計算A'!$D$86:$EQ$86,$DB13:$IO13,$IQ13:$OD13),SUMPRODUCT('計算A'!$D$86:$EQ$86,$DB13:$IO13))*1000+27)</f>
        <v/>
      </c>
      <c r="CI13">
        <f>IF(AO13=1,1000000,IF('計算A'!$IT$37&gt;0,0,500000)+IF('計算A'!$IQ$37=2,SUMPRODUCT('計算A'!$D$87:$EQ$87,$DB13:$IO13,$IQ13:$OD13),SUMPRODUCT('計算A'!$D$87:$EQ$87,$DB13:$IO13))*1000+28)</f>
        <v/>
      </c>
      <c r="CJ13">
        <f>IF(AP13=1,1000000,IF('計算A'!$IT$38&gt;0,0,500000)+IF('計算A'!$IQ$38=2,SUMPRODUCT('計算A'!$D$88:$EQ$88,$DB13:$IO13,$IQ13:$OD13),SUMPRODUCT('計算A'!$D$88:$EQ$88,$DB13:$IO13))*1000+29)</f>
        <v/>
      </c>
      <c r="CK13">
        <f>IF(AQ13=1,1000000,IF('計算A'!$IT$39&gt;0,0,500000)+IF('計算A'!$IQ$39=2,SUMPRODUCT('計算A'!$D$89:$EQ$89,$DB13:$IO13,$IQ13:$OD13),SUMPRODUCT('計算A'!$D$89:$EQ$89,$DB13:$IO13))*1000+30)</f>
        <v/>
      </c>
      <c r="CL13">
        <f>IF(AR13=1,1000000,IF('計算A'!$IT$40&gt;0,0,500000)+IF('計算A'!$IQ$40=2,SUMPRODUCT('計算A'!$D$90:$EQ$90,$DB13:$IO13,$IQ13:$OD13),SUMPRODUCT('計算A'!$D$90:$EQ$90,$DB13:$IO13))*1000+31)</f>
        <v/>
      </c>
      <c r="CM13">
        <f>IF(AS13=1,1000000,IF('計算A'!$IT$41&gt;0,0,500000)+IF('計算A'!$IQ$41=2,SUMPRODUCT('計算A'!$D$91:$EQ$91,$DB13:$IO13,$IQ13:$OD13),SUMPRODUCT('計算A'!$D$91:$EQ$91,$DB13:$IO13))*1000+32)</f>
        <v/>
      </c>
      <c r="CN13">
        <f>IF(AT13=1,1000000,IF('計算A'!$IT$42&gt;0,0,500000)+IF('計算A'!$IQ$42=2,SUMPRODUCT('計算A'!$D$92:$EQ$92,$DB13:$IO13,$IQ13:$OD13),SUMPRODUCT('計算A'!$D$92:$EQ$92,$DB13:$IO13))*1000+33)</f>
        <v/>
      </c>
      <c r="CO13">
        <f>IF(AU13=1,1000000,IF('計算A'!$IT$43&gt;0,0,500000)+IF('計算A'!$IQ$43=2,SUMPRODUCT('計算A'!$D$93:$EQ$93,$DB13:$IO13,$IQ13:$OD13),SUMPRODUCT('計算A'!$D$93:$EQ$93,$DB13:$IO13))*1000+34)</f>
        <v/>
      </c>
      <c r="CP13">
        <f>IF(AV13=1,1000000,IF('計算A'!$IT$44&gt;0,0,500000)+IF('計算A'!$IQ$44=2,SUMPRODUCT('計算A'!$D$94:$EQ$94,$DB13:$IO13,$IQ13:$OD13),SUMPRODUCT('計算A'!$D$94:$EQ$94,$DB13:$IO13))*1000+35)</f>
        <v/>
      </c>
      <c r="CQ13">
        <f>IF(AW13=1,1000000,IF('計算A'!$IT$45&gt;0,0,500000)+IF('計算A'!$IQ$45=2,SUMPRODUCT('計算A'!$D$95:$EQ$95,$DB13:$IO13,$IQ13:$OD13),SUMPRODUCT('計算A'!$D$95:$EQ$95,$DB13:$IO13))*1000+36)</f>
        <v/>
      </c>
      <c r="CR13">
        <f>IF(AX13=1,1000000,IF('計算A'!$IT$46&gt;0,0,500000)+IF('計算A'!$IQ$46=2,SUMPRODUCT('計算A'!$D$96:$EQ$96,$DB13:$IO13,$IQ13:$OD13),SUMPRODUCT('計算A'!$D$96:$EQ$96,$DB13:$IO13))*1000+37)</f>
        <v/>
      </c>
      <c r="CS13">
        <f>IF(AY13=1,1000000,IF('計算A'!$IT$47&gt;0,0,500000)+IF('計算A'!$IQ$47=2,SUMPRODUCT('計算A'!$D$97:$EQ$97,$DB13:$IO13,$IQ13:$OD13),SUMPRODUCT('計算A'!$D$97:$EQ$97,$DB13:$IO13))*1000+38)</f>
        <v/>
      </c>
      <c r="CT13">
        <f>IF(AZ13=1,1000000,IF('計算A'!$IT$48&gt;0,0,500000)+IF('計算A'!$IQ$48=2,SUMPRODUCT('計算A'!$D$98:$EQ$98,$DB13:$IO13,$IQ13:$OD13),SUMPRODUCT('計算A'!$D$98:$EQ$98,$DB13:$IO13))*1000+39)</f>
        <v/>
      </c>
      <c r="CU13">
        <f>IF(BA13=1,1000000,IF('計算A'!$IT$49&gt;0,0,500000)+IF('計算A'!$IQ$49=2,SUMPRODUCT('計算A'!$D$99:$EQ$99,$DB13:$IO13,$IQ13:$OD13),SUMPRODUCT('計算A'!$D$99:$EQ$99,$DB13:$IO13))*1000+40)</f>
        <v/>
      </c>
      <c r="CV13">
        <f>IF(BB13=1,1000000,IF('計算A'!$IT$50&gt;0,0,500000)+IF('計算A'!$IQ$50=2,SUMPRODUCT('計算A'!$D$100:$EQ$100,$DB13:$IO13,$IQ13:$OD13),SUMPRODUCT('計算A'!$D$100:$EQ$100,$DB13:$IO13))*1000+41)</f>
        <v/>
      </c>
      <c r="CW13">
        <f>IF(BC13=1,1000000,IF('計算A'!$IT$51&gt;0,0,500000)+IF('計算A'!$IQ$51=2,SUMPRODUCT('計算A'!$D$101:$EQ$101,$DB13:$IO13,$IQ13:$OD13),SUMPRODUCT('計算A'!$D$101:$EQ$101,$DB13:$IO13))*1000+42)</f>
        <v/>
      </c>
      <c r="CX13">
        <f>IF(BD13=1,1000000,IF('計算A'!$IT$52&gt;0,0,500000)+IF('計算A'!$IQ$52=2,SUMPRODUCT('計算A'!$D$102:$EQ$102,$DB13:$IO13,$IQ13:$OD13),SUMPRODUCT('計算A'!$D$102:$EQ$102,$DB13:$IO13))*1000+43)</f>
        <v/>
      </c>
      <c r="CY13">
        <f>IF(BE13=1,1000000,IF('計算A'!$IT$53&gt;0,0,500000)+IF('計算A'!$IQ$53=2,SUMPRODUCT('計算A'!$D$103:$EQ$103,$DB13:$IO13,$IQ13:$OD13),SUMPRODUCT('計算A'!$D$103:$EQ$103,$DB13:$IO13))*1000+44)</f>
        <v/>
      </c>
      <c r="CZ13">
        <f>IF(BF13=1,1000000,IF('計算A'!$IT$54&gt;0,0,500000)+IF('計算A'!$IQ$54=2,SUMPRODUCT('計算A'!$D$104:$EQ$104,$DB13:$IO13,$IQ13:$OD13),SUMPRODUCT('計算A'!$D$104:$EQ$104,$DB13:$IO13))*1000+45)</f>
        <v/>
      </c>
      <c r="DB13">
        <f>DB12*IF(OR($C12=1,$G12=1),0,1)</f>
        <v/>
      </c>
      <c r="DC13">
        <f>DC12*IF(OR($C12=2,$G12=2),0,1)</f>
        <v/>
      </c>
      <c r="DD13">
        <f>DD12*IF(OR($C12=3,$G12=3),0,1)</f>
        <v/>
      </c>
      <c r="DE13">
        <f>DE12*IF(OR($C12=4,$G12=4),0,1)</f>
        <v/>
      </c>
      <c r="DF13">
        <f>DF12*IF(OR($C12=5,$G12=5),0,1)</f>
        <v/>
      </c>
      <c r="DG13">
        <f>DG12*IF(OR($C12=6,$G12=6),0,1)</f>
        <v/>
      </c>
      <c r="DH13">
        <f>DH12*IF(OR($C12=7,$G12=7),0,1)</f>
        <v/>
      </c>
      <c r="DI13">
        <f>DI12*IF(OR($C12=8,$G12=8),0,1)</f>
        <v/>
      </c>
      <c r="DJ13">
        <f>DJ12*IF(OR($C12=9,$G12=9),0,1)</f>
        <v/>
      </c>
      <c r="DK13">
        <f>DK12*IF(OR($C12=10,$G12=10),0,1)</f>
        <v/>
      </c>
      <c r="DL13">
        <f>DL12*IF(OR($C12=11,$G12=11),0,1)</f>
        <v/>
      </c>
      <c r="DM13">
        <f>DM12*IF(OR($C12=12,$G12=12),0,1)</f>
        <v/>
      </c>
      <c r="DN13">
        <f>DN12*IF(OR($C12=13,$G12=13),0,1)</f>
        <v/>
      </c>
      <c r="DO13">
        <f>DO12*IF(OR($C12=14,$G12=14),0,1)</f>
        <v/>
      </c>
      <c r="DP13">
        <f>DP12*IF(OR($C12=15,$G12=15),0,1)</f>
        <v/>
      </c>
      <c r="DQ13">
        <f>DQ12*IF(OR($C12=16,$G12=16),0,1)</f>
        <v/>
      </c>
      <c r="DR13">
        <f>DR12*IF(OR($C12=17,$G12=17),0,1)</f>
        <v/>
      </c>
      <c r="DS13">
        <f>DS12*IF(OR($C12=18,$G12=18),0,1)</f>
        <v/>
      </c>
      <c r="DT13">
        <f>DT12*IF(OR($C12=19,$G12=19),0,1)</f>
        <v/>
      </c>
      <c r="DU13">
        <f>DU12*IF(OR($C12=20,$G12=20),0,1)</f>
        <v/>
      </c>
      <c r="DV13">
        <f>DV12*IF(OR($C12=21,$G12=21),0,1)</f>
        <v/>
      </c>
      <c r="DW13">
        <f>DW12*IF(OR($C12=22,$G12=22),0,1)</f>
        <v/>
      </c>
      <c r="DX13">
        <f>DX12*IF(OR($C12=23,$G12=23),0,1)</f>
        <v/>
      </c>
      <c r="DY13">
        <f>DY12*IF(OR($C12=24,$G12=24),0,1)</f>
        <v/>
      </c>
      <c r="DZ13">
        <f>DZ12*IF(OR($C12=25,$G12=25),0,1)</f>
        <v/>
      </c>
      <c r="EA13">
        <f>EA12*IF(OR($C12=26,$G12=26),0,1)</f>
        <v/>
      </c>
      <c r="EB13">
        <f>EB12*IF(OR($C12=27,$G12=27),0,1)</f>
        <v/>
      </c>
      <c r="EC13">
        <f>EC12*IF(OR($C12=28,$G12=28),0,1)</f>
        <v/>
      </c>
      <c r="ED13">
        <f>ED12*IF(OR($C12=29,$G12=29),0,1)</f>
        <v/>
      </c>
      <c r="EE13">
        <f>EE12*IF(OR($C12=30,$G12=30),0,1)</f>
        <v/>
      </c>
      <c r="EF13">
        <f>EF12*IF(OR($C12=31,$G12=31),0,1)</f>
        <v/>
      </c>
      <c r="EG13">
        <f>EG12*IF(OR($C12=32,$G12=32),0,1)</f>
        <v/>
      </c>
      <c r="EH13">
        <f>EH12*IF(OR($C12=33,$G12=33),0,1)</f>
        <v/>
      </c>
      <c r="EI13">
        <f>EI12*IF(OR($C12=34,$G12=34),0,1)</f>
        <v/>
      </c>
      <c r="EJ13">
        <f>EJ12*IF(OR($C12=35,$G12=35),0,1)</f>
        <v/>
      </c>
      <c r="EK13">
        <f>EK12*IF(OR($C12=36,$G12=36),0,1)</f>
        <v/>
      </c>
      <c r="EL13">
        <f>EL12*IF(OR($C12=37,$G12=37),0,1)</f>
        <v/>
      </c>
      <c r="EM13">
        <f>EM12*IF(OR($C12=38,$G12=38),0,1)</f>
        <v/>
      </c>
      <c r="EN13">
        <f>EN12*IF(OR($C12=39,$G12=39),0,1)</f>
        <v/>
      </c>
      <c r="EO13">
        <f>EO12*IF(OR($C12=40,$G12=40),0,1)</f>
        <v/>
      </c>
      <c r="EP13">
        <f>EP12*IF(OR($C12=41,$G12=41),0,1)</f>
        <v/>
      </c>
      <c r="EQ13">
        <f>EQ12*IF(OR($C12=42,$G12=42),0,1)</f>
        <v/>
      </c>
      <c r="ER13">
        <f>ER12*IF(OR($C12=43,$G12=43),0,1)</f>
        <v/>
      </c>
      <c r="ES13">
        <f>ES12*IF(OR($C12=44,$G12=44),0,1)</f>
        <v/>
      </c>
      <c r="ET13">
        <f>ET12*IF(OR($C12=45,$G12=45),0,1)</f>
        <v/>
      </c>
      <c r="EU13">
        <f>EU12*IF(OR($C12=46,$G12=46),0,1)</f>
        <v/>
      </c>
      <c r="EV13">
        <f>EV12*IF(OR($C12=47,$G12=47),0,1)</f>
        <v/>
      </c>
      <c r="EW13">
        <f>EW12*IF(OR($C12=48,$G12=48),0,1)</f>
        <v/>
      </c>
      <c r="EX13">
        <f>EX12*IF(OR($C12=49,$G12=49),0,1)</f>
        <v/>
      </c>
      <c r="EY13">
        <f>EY12*IF(OR($C12=50,$G12=50),0,1)</f>
        <v/>
      </c>
      <c r="EZ13">
        <f>EZ12*IF(OR($C12=51,$G12=51),0,1)</f>
        <v/>
      </c>
      <c r="FA13">
        <f>FA12*IF(OR($C12=52,$G12=52),0,1)</f>
        <v/>
      </c>
      <c r="FB13">
        <f>FB12*IF(OR($C12=53,$G12=53),0,1)</f>
        <v/>
      </c>
      <c r="FC13">
        <f>FC12*IF(OR($C12=54,$G12=54),0,1)</f>
        <v/>
      </c>
      <c r="FD13">
        <f>FD12*IF(OR($C12=55,$G12=55),0,1)</f>
        <v/>
      </c>
      <c r="FE13">
        <f>FE12*IF(OR($C12=56,$G12=56),0,1)</f>
        <v/>
      </c>
      <c r="FF13">
        <f>FF12*IF(OR($C12=57,$G12=57),0,1)</f>
        <v/>
      </c>
      <c r="FG13">
        <f>FG12*IF(OR($C12=58,$G12=58),0,1)</f>
        <v/>
      </c>
      <c r="FH13">
        <f>FH12*IF(OR($C12=59,$G12=59),0,1)</f>
        <v/>
      </c>
      <c r="FI13">
        <f>FI12*IF(OR($C12=60,$G12=60),0,1)</f>
        <v/>
      </c>
      <c r="FJ13">
        <f>FJ12*IF(OR($C12=61,$G12=61),0,1)</f>
        <v/>
      </c>
      <c r="FK13">
        <f>FK12*IF(OR($C12=62,$G12=62),0,1)</f>
        <v/>
      </c>
      <c r="FL13">
        <f>FL12*IF(OR($C12=63,$G12=63),0,1)</f>
        <v/>
      </c>
      <c r="FM13">
        <f>FM12*IF(OR($C12=64,$G12=64),0,1)</f>
        <v/>
      </c>
      <c r="FN13">
        <f>FN12*IF(OR($C12=65,$G12=65),0,1)</f>
        <v/>
      </c>
      <c r="FO13">
        <f>FO12*IF(OR($C12=66,$G12=66),0,1)</f>
        <v/>
      </c>
      <c r="FP13">
        <f>FP12*IF(OR($C12=67,$G12=67),0,1)</f>
        <v/>
      </c>
      <c r="FQ13">
        <f>FQ12*IF(OR($C12=68,$G12=68),0,1)</f>
        <v/>
      </c>
      <c r="FR13">
        <f>FR12*IF(OR($C12=69,$G12=69),0,1)</f>
        <v/>
      </c>
      <c r="FS13">
        <f>FS12*IF(OR($C12=70,$G12=70),0,1)</f>
        <v/>
      </c>
      <c r="FT13">
        <f>FT12*IF(OR($C12=71,$G12=71),0,1)</f>
        <v/>
      </c>
      <c r="FU13">
        <f>FU12*IF(OR($C12=72,$G12=72),0,1)</f>
        <v/>
      </c>
      <c r="FV13">
        <f>FV12*IF(OR($C12=73,$G12=73),0,1)</f>
        <v/>
      </c>
      <c r="FW13">
        <f>FW12*IF(OR($C12=74,$G12=74),0,1)</f>
        <v/>
      </c>
      <c r="FX13">
        <f>FX12*IF(OR($C12=75,$G12=75),0,1)</f>
        <v/>
      </c>
      <c r="FY13">
        <f>FY12*IF(OR($C12=76,$G12=76),0,1)</f>
        <v/>
      </c>
      <c r="FZ13">
        <f>FZ12*IF(OR($C12=77,$G12=77),0,1)</f>
        <v/>
      </c>
      <c r="GA13">
        <f>GA12*IF(OR($C12=78,$G12=78),0,1)</f>
        <v/>
      </c>
      <c r="GB13">
        <f>GB12*IF(OR($C12=79,$G12=79),0,1)</f>
        <v/>
      </c>
      <c r="GC13">
        <f>GC12*IF(OR($C12=80,$G12=80),0,1)</f>
        <v/>
      </c>
      <c r="GD13">
        <f>GD12*IF(OR($C12=81,$G12=81),0,1)</f>
        <v/>
      </c>
      <c r="GE13">
        <f>GE12*IF(OR($C12=82,$G12=82),0,1)</f>
        <v/>
      </c>
      <c r="GF13">
        <f>GF12*IF(OR($C12=83,$G12=83),0,1)</f>
        <v/>
      </c>
      <c r="GG13">
        <f>GG12*IF(OR($C12=84,$G12=84),0,1)</f>
        <v/>
      </c>
      <c r="GH13">
        <f>GH12*IF(OR($C12=85,$G12=85),0,1)</f>
        <v/>
      </c>
      <c r="GI13">
        <f>GI12*IF(OR($C12=86,$G12=86),0,1)</f>
        <v/>
      </c>
      <c r="GJ13">
        <f>GJ12*IF(OR($C12=87,$G12=87),0,1)</f>
        <v/>
      </c>
      <c r="GK13">
        <f>GK12*IF(OR($C12=88,$G12=88),0,1)</f>
        <v/>
      </c>
      <c r="GL13">
        <f>GL12*IF(OR($C12=89,$G12=89),0,1)</f>
        <v/>
      </c>
      <c r="GM13">
        <f>GM12*IF(OR($C12=90,$G12=90),0,1)</f>
        <v/>
      </c>
      <c r="GN13">
        <f>GN12*IF(OR($C12=91,$G12=91),0,1)</f>
        <v/>
      </c>
      <c r="GO13">
        <f>GO12*IF(OR($C12=92,$G12=92),0,1)</f>
        <v/>
      </c>
      <c r="GP13">
        <f>GP12*IF(OR($C12=93,$G12=93),0,1)</f>
        <v/>
      </c>
      <c r="GQ13">
        <f>GQ12*IF(OR($C12=94,$G12=94),0,1)</f>
        <v/>
      </c>
      <c r="GR13">
        <f>GR12*IF(OR($C12=95,$G12=95),0,1)</f>
        <v/>
      </c>
      <c r="GS13">
        <f>GS12*IF(OR($C12=96,$G12=96),0,1)</f>
        <v/>
      </c>
      <c r="GT13">
        <f>GT12*IF(OR($C12=97,$G12=97),0,1)</f>
        <v/>
      </c>
      <c r="GU13">
        <f>GU12*IF(OR($C12=98,$G12=98),0,1)</f>
        <v/>
      </c>
      <c r="GV13">
        <f>GV12*IF(OR($C12=99,$G12=99),0,1)</f>
        <v/>
      </c>
      <c r="GW13">
        <f>GW12*IF(OR($C12=100,$G12=100),0,1)</f>
        <v/>
      </c>
      <c r="GX13">
        <f>GX12*IF(OR($C12=101,$G12=101),0,1)</f>
        <v/>
      </c>
      <c r="GY13">
        <f>GY12*IF(OR($C12=102,$G12=102),0,1)</f>
        <v/>
      </c>
      <c r="GZ13">
        <f>GZ12*IF(OR($C12=103,$G12=103),0,1)</f>
        <v/>
      </c>
      <c r="HA13">
        <f>HA12*IF(OR($C12=104,$G12=104),0,1)</f>
        <v/>
      </c>
      <c r="HB13">
        <f>HB12*IF(OR($C12=105,$G12=105),0,1)</f>
        <v/>
      </c>
      <c r="HC13">
        <f>HC12*IF(OR($C12=106,$G12=106),0,1)</f>
        <v/>
      </c>
      <c r="HD13">
        <f>HD12*IF(OR($C12=107,$G12=107),0,1)</f>
        <v/>
      </c>
      <c r="HE13">
        <f>HE12*IF(OR($C12=108,$G12=108),0,1)</f>
        <v/>
      </c>
      <c r="HF13">
        <f>HF12*IF(OR($C12=109,$G12=109),0,1)</f>
        <v/>
      </c>
      <c r="HG13">
        <f>HG12*IF(OR($C12=110,$G12=110),0,1)</f>
        <v/>
      </c>
      <c r="HH13">
        <f>HH12*IF(OR($C12=111,$G12=111),0,1)</f>
        <v/>
      </c>
      <c r="HI13">
        <f>HI12*IF(OR($C12=112,$G12=112),0,1)</f>
        <v/>
      </c>
      <c r="HJ13">
        <f>HJ12*IF(OR($C12=113,$G12=113),0,1)</f>
        <v/>
      </c>
      <c r="HK13">
        <f>HK12*IF(OR($C12=114,$G12=114),0,1)</f>
        <v/>
      </c>
      <c r="HL13">
        <f>HL12*IF(OR($C12=115,$G12=115),0,1)</f>
        <v/>
      </c>
      <c r="HM13">
        <f>HM12*IF(OR($C12=116,$G12=116),0,1)</f>
        <v/>
      </c>
      <c r="HN13">
        <f>HN12*IF(OR($C12=117,$G12=117),0,1)</f>
        <v/>
      </c>
      <c r="HO13">
        <f>HO12*IF(OR($C12=118,$G12=118),0,1)</f>
        <v/>
      </c>
      <c r="HP13">
        <f>HP12*IF(OR($C12=119,$G12=119),0,1)</f>
        <v/>
      </c>
      <c r="HQ13">
        <f>HQ12*IF(OR($C12=120,$G12=120),0,1)</f>
        <v/>
      </c>
      <c r="HR13">
        <f>HR12*IF(OR($C12=121,$G12=121),0,1)</f>
        <v/>
      </c>
      <c r="HS13">
        <f>HS12*IF(OR($C12=122,$G12=122),0,1)</f>
        <v/>
      </c>
      <c r="HT13">
        <f>HT12*IF(OR($C12=123,$G12=123),0,1)</f>
        <v/>
      </c>
      <c r="HU13">
        <f>HU12*IF(OR($C12=124,$G12=124),0,1)</f>
        <v/>
      </c>
      <c r="HV13">
        <f>HV12*IF(OR($C12=125,$G12=125),0,1)</f>
        <v/>
      </c>
      <c r="HW13">
        <f>HW12*IF(OR($C12=126,$G12=126),0,1)</f>
        <v/>
      </c>
      <c r="HX13">
        <f>HX12*IF(OR($C12=127,$G12=127),0,1)</f>
        <v/>
      </c>
      <c r="HY13">
        <f>HY12*IF(OR($C12=128,$G12=128),0,1)</f>
        <v/>
      </c>
      <c r="HZ13">
        <f>HZ12*IF(OR($C12=129,$G12=129),0,1)</f>
        <v/>
      </c>
      <c r="IA13">
        <f>IA12*IF(OR($C12=130,$G12=130),0,1)</f>
        <v/>
      </c>
      <c r="IB13">
        <f>IB12*IF(OR($C12=131,$G12=131),0,1)</f>
        <v/>
      </c>
      <c r="IC13">
        <f>IC12*IF(OR($C12=132,$G12=132),0,1)</f>
        <v/>
      </c>
      <c r="ID13">
        <f>ID12*IF(OR($C12=133,$G12=133),0,1)</f>
        <v/>
      </c>
      <c r="IE13">
        <f>IE12*IF(OR($C12=134,$G12=134),0,1)</f>
        <v/>
      </c>
      <c r="IF13">
        <f>IF12*IF(OR($C12=135,$G12=135),0,1)</f>
        <v/>
      </c>
      <c r="IG13">
        <f>IG12*IF(OR($C12=136,$G12=136),0,1)</f>
        <v/>
      </c>
      <c r="IH13">
        <f>IH12*IF(OR($C12=137,$G12=137),0,1)</f>
        <v/>
      </c>
      <c r="II13">
        <f>II12*IF(OR($C12=138,$G12=138),0,1)</f>
        <v/>
      </c>
      <c r="IJ13">
        <f>IJ12*IF(OR($C12=139,$G12=139),0,1)</f>
        <v/>
      </c>
      <c r="IK13">
        <f>IK12*IF(OR($C12=140,$G12=140),0,1)</f>
        <v/>
      </c>
      <c r="IL13">
        <f>IL12*IF(OR($C12=141,$G12=141),0,1)</f>
        <v/>
      </c>
      <c r="IM13">
        <f>IM12*IF(OR($C12=142,$G12=142),0,1)</f>
        <v/>
      </c>
      <c r="IN13">
        <f>IN12*IF(OR($C12=143,$G12=143),0,1)</f>
        <v/>
      </c>
      <c r="IO13">
        <f>IO12*IF(OR($C12=144,$G12=144),0,1)</f>
        <v/>
      </c>
      <c r="IQ13">
        <f>IF('計算A'!D$106=1,DC13,1)</f>
        <v/>
      </c>
      <c r="IR13">
        <f>IF('計算A'!E$106=1,DD13,1)</f>
        <v/>
      </c>
      <c r="IS13">
        <f>IF('計算A'!F$106=1,DE13,1)</f>
        <v/>
      </c>
      <c r="IT13">
        <f>IF('計算A'!G$106=1,DF13,1)</f>
        <v/>
      </c>
      <c r="IU13">
        <f>IF('計算A'!H$106=1,DG13,1)</f>
        <v/>
      </c>
      <c r="IV13">
        <f>IF('計算A'!I$106=1,DH13,1)</f>
        <v/>
      </c>
      <c r="IW13">
        <f>IF('計算A'!J$106=1,DI13,1)</f>
        <v/>
      </c>
      <c r="IX13">
        <f>IF('計算A'!K$106=1,DJ13,1)</f>
        <v/>
      </c>
      <c r="IY13">
        <f>IF('計算A'!L$106=1,DK13,1)</f>
        <v/>
      </c>
      <c r="IZ13">
        <f>IF('計算A'!M$106=1,DL13,1)</f>
        <v/>
      </c>
      <c r="JA13">
        <f>IF('計算A'!N$106=1,DM13,1)</f>
        <v/>
      </c>
      <c r="JB13">
        <f>IF('計算A'!O$106=1,DN13,1)</f>
        <v/>
      </c>
      <c r="JC13">
        <f>IF('計算A'!P$106=1,DO13,1)</f>
        <v/>
      </c>
      <c r="JD13">
        <f>IF('計算A'!Q$106=1,DP13,1)</f>
        <v/>
      </c>
      <c r="JE13">
        <f>IF('計算A'!R$106=1,DQ13,1)</f>
        <v/>
      </c>
      <c r="JF13">
        <f>IF('計算A'!S$106=1,DR13,1)</f>
        <v/>
      </c>
      <c r="JG13">
        <f>IF('計算A'!T$106=1,DS13,1)</f>
        <v/>
      </c>
      <c r="JH13">
        <f>IF('計算A'!U$106=1,DT13,1)</f>
        <v/>
      </c>
      <c r="JI13">
        <f>IF('計算A'!V$106=1,DU13,1)</f>
        <v/>
      </c>
      <c r="JJ13">
        <f>IF('計算A'!W$106=1,DV13,1)</f>
        <v/>
      </c>
      <c r="JK13">
        <f>IF('計算A'!X$106=1,DW13,1)</f>
        <v/>
      </c>
      <c r="JL13">
        <f>IF('計算A'!Y$106=1,DX13,1)</f>
        <v/>
      </c>
      <c r="JM13">
        <f>IF('計算A'!Z$106=1,DY13,1)</f>
        <v/>
      </c>
      <c r="JN13">
        <f>IF('計算A'!AA$106=1,DZ13,1)</f>
        <v/>
      </c>
      <c r="JO13">
        <f>IF('計算A'!AB$106=1,EA13,1)</f>
        <v/>
      </c>
      <c r="JP13">
        <f>IF('計算A'!AC$106=1,EB13,1)</f>
        <v/>
      </c>
      <c r="JQ13">
        <f>IF('計算A'!AD$106=1,EC13,1)</f>
        <v/>
      </c>
      <c r="JR13">
        <f>IF('計算A'!AE$106=1,ED13,1)</f>
        <v/>
      </c>
      <c r="JS13">
        <f>IF('計算A'!AF$106=1,EE13,1)</f>
        <v/>
      </c>
      <c r="JT13">
        <f>IF('計算A'!AG$106=1,EF13,1)</f>
        <v/>
      </c>
      <c r="JU13">
        <f>IF('計算A'!AH$106=1,EG13,1)</f>
        <v/>
      </c>
      <c r="JV13">
        <f>IF('計算A'!AI$106=1,EH13,1)</f>
        <v/>
      </c>
      <c r="JW13">
        <f>IF('計算A'!AJ$106=1,EI13,1)</f>
        <v/>
      </c>
      <c r="JX13">
        <f>IF('計算A'!AK$106=1,EJ13,1)</f>
        <v/>
      </c>
      <c r="JY13">
        <f>IF('計算A'!AL$106=1,EK13,1)</f>
        <v/>
      </c>
      <c r="JZ13">
        <f>IF('計算A'!AM$106=1,EL13,1)</f>
        <v/>
      </c>
      <c r="KA13">
        <f>IF('計算A'!AN$106=1,EM13,1)</f>
        <v/>
      </c>
      <c r="KB13">
        <f>IF('計算A'!AO$106=1,EN13,1)</f>
        <v/>
      </c>
      <c r="KC13">
        <f>IF('計算A'!AP$106=1,EO13,1)</f>
        <v/>
      </c>
      <c r="KD13">
        <f>IF('計算A'!AQ$106=1,EP13,1)</f>
        <v/>
      </c>
      <c r="KE13">
        <f>IF('計算A'!AR$106=1,EQ13,1)</f>
        <v/>
      </c>
      <c r="KF13">
        <f>IF('計算A'!AS$106=1,ER13,1)</f>
        <v/>
      </c>
      <c r="KG13">
        <f>IF('計算A'!AT$106=1,ES13,1)</f>
        <v/>
      </c>
      <c r="KH13">
        <f>IF('計算A'!AU$106=1,ET13,1)</f>
        <v/>
      </c>
      <c r="KI13">
        <f>IF('計算A'!AV$106=1,EU13,1)</f>
        <v/>
      </c>
      <c r="KJ13">
        <f>IF('計算A'!AW$106=1,EV13,1)</f>
        <v/>
      </c>
      <c r="KK13">
        <f>IF('計算A'!AX$106=1,EW13,1)</f>
        <v/>
      </c>
      <c r="KL13">
        <f>IF('計算A'!AY$106=1,EX13,1)</f>
        <v/>
      </c>
      <c r="KM13">
        <f>IF('計算A'!AZ$106=1,EY13,1)</f>
        <v/>
      </c>
      <c r="KN13">
        <f>IF('計算A'!BA$106=1,EZ13,1)</f>
        <v/>
      </c>
      <c r="KO13">
        <f>IF('計算A'!BB$106=1,FA13,1)</f>
        <v/>
      </c>
      <c r="KP13">
        <f>IF('計算A'!BC$106=1,FB13,1)</f>
        <v/>
      </c>
      <c r="KQ13">
        <f>IF('計算A'!BD$106=1,FC13,1)</f>
        <v/>
      </c>
      <c r="KR13">
        <f>IF('計算A'!BE$106=1,FD13,1)</f>
        <v/>
      </c>
      <c r="KS13">
        <f>IF('計算A'!BF$106=1,FE13,1)</f>
        <v/>
      </c>
      <c r="KT13">
        <f>IF('計算A'!BG$106=1,FF13,1)</f>
        <v/>
      </c>
      <c r="KU13">
        <f>IF('計算A'!BH$106=1,FG13,1)</f>
        <v/>
      </c>
      <c r="KV13">
        <f>IF('計算A'!BI$106=1,FH13,1)</f>
        <v/>
      </c>
      <c r="KW13">
        <f>IF('計算A'!BJ$106=1,FI13,1)</f>
        <v/>
      </c>
      <c r="KX13">
        <f>IF('計算A'!BK$106=1,FJ13,1)</f>
        <v/>
      </c>
      <c r="KY13">
        <f>IF('計算A'!BL$106=1,FK13,1)</f>
        <v/>
      </c>
      <c r="KZ13">
        <f>IF('計算A'!BM$106=1,FL13,1)</f>
        <v/>
      </c>
      <c r="LA13">
        <f>IF('計算A'!BN$106=1,FM13,1)</f>
        <v/>
      </c>
      <c r="LB13">
        <f>IF('計算A'!BO$106=1,FN13,1)</f>
        <v/>
      </c>
      <c r="LC13">
        <f>IF('計算A'!BP$106=1,FO13,1)</f>
        <v/>
      </c>
      <c r="LD13">
        <f>IF('計算A'!BQ$106=1,FP13,1)</f>
        <v/>
      </c>
      <c r="LE13">
        <f>IF('計算A'!BR$106=1,FQ13,1)</f>
        <v/>
      </c>
      <c r="LF13">
        <f>IF('計算A'!BS$106=1,FR13,1)</f>
        <v/>
      </c>
      <c r="LG13">
        <f>IF('計算A'!BT$106=1,FS13,1)</f>
        <v/>
      </c>
      <c r="LH13">
        <f>IF('計算A'!BU$106=1,FT13,1)</f>
        <v/>
      </c>
      <c r="LI13">
        <f>IF('計算A'!BV$106=1,FU13,1)</f>
        <v/>
      </c>
      <c r="LJ13">
        <f>IF('計算A'!BW$106=1,FV13,1)</f>
        <v/>
      </c>
      <c r="LK13">
        <f>IF('計算A'!BX$106=1,FW13,1)</f>
        <v/>
      </c>
      <c r="LL13">
        <f>IF('計算A'!BY$106=1,FX13,1)</f>
        <v/>
      </c>
      <c r="LM13">
        <f>IF('計算A'!BZ$106=1,FY13,1)</f>
        <v/>
      </c>
      <c r="LN13">
        <f>IF('計算A'!CA$106=1,FZ13,1)</f>
        <v/>
      </c>
      <c r="LO13">
        <f>IF('計算A'!CB$106=1,GA13,1)</f>
        <v/>
      </c>
      <c r="LP13">
        <f>IF('計算A'!CC$106=1,GB13,1)</f>
        <v/>
      </c>
      <c r="LQ13">
        <f>IF('計算A'!CD$106=1,GC13,1)</f>
        <v/>
      </c>
      <c r="LR13">
        <f>IF('計算A'!CE$106=1,GD13,1)</f>
        <v/>
      </c>
      <c r="LS13">
        <f>IF('計算A'!CF$106=1,GE13,1)</f>
        <v/>
      </c>
      <c r="LT13">
        <f>IF('計算A'!CG$106=1,GF13,1)</f>
        <v/>
      </c>
      <c r="LU13">
        <f>IF('計算A'!CH$106=1,GG13,1)</f>
        <v/>
      </c>
      <c r="LV13">
        <f>IF('計算A'!CI$106=1,GH13,1)</f>
        <v/>
      </c>
      <c r="LW13">
        <f>IF('計算A'!CJ$106=1,GI13,1)</f>
        <v/>
      </c>
      <c r="LX13">
        <f>IF('計算A'!CK$106=1,GJ13,1)</f>
        <v/>
      </c>
      <c r="LY13">
        <f>IF('計算A'!CL$106=1,GK13,1)</f>
        <v/>
      </c>
      <c r="LZ13">
        <f>IF('計算A'!CM$106=1,GL13,1)</f>
        <v/>
      </c>
      <c r="MA13">
        <f>IF('計算A'!CN$106=1,GM13,1)</f>
        <v/>
      </c>
      <c r="MB13">
        <f>IF('計算A'!CO$106=1,GN13,1)</f>
        <v/>
      </c>
      <c r="MC13">
        <f>IF('計算A'!CP$106=1,GO13,1)</f>
        <v/>
      </c>
      <c r="MD13">
        <f>IF('計算A'!CQ$106=1,GP13,1)</f>
        <v/>
      </c>
      <c r="ME13">
        <f>IF('計算A'!CR$106=1,GQ13,1)</f>
        <v/>
      </c>
      <c r="MF13">
        <f>IF('計算A'!CS$106=1,GR13,1)</f>
        <v/>
      </c>
      <c r="MG13">
        <f>IF('計算A'!CT$106=1,GS13,1)</f>
        <v/>
      </c>
      <c r="MH13">
        <f>IF('計算A'!CU$106=1,GT13,1)</f>
        <v/>
      </c>
      <c r="MI13">
        <f>IF('計算A'!CV$106=1,GU13,1)</f>
        <v/>
      </c>
      <c r="MJ13">
        <f>IF('計算A'!CW$106=1,GV13,1)</f>
        <v/>
      </c>
      <c r="MK13">
        <f>IF('計算A'!CX$106=1,GW13,1)</f>
        <v/>
      </c>
      <c r="ML13">
        <f>IF('計算A'!CY$106=1,GX13,1)</f>
        <v/>
      </c>
      <c r="MM13">
        <f>IF('計算A'!CZ$106=1,GY13,1)</f>
        <v/>
      </c>
      <c r="MN13">
        <f>IF('計算A'!DA$106=1,GZ13,1)</f>
        <v/>
      </c>
      <c r="MO13">
        <f>IF('計算A'!DB$106=1,HA13,1)</f>
        <v/>
      </c>
      <c r="MP13">
        <f>IF('計算A'!DC$106=1,HB13,1)</f>
        <v/>
      </c>
      <c r="MQ13">
        <f>IF('計算A'!DD$106=1,HC13,1)</f>
        <v/>
      </c>
      <c r="MR13">
        <f>IF('計算A'!DE$106=1,HD13,1)</f>
        <v/>
      </c>
      <c r="MS13">
        <f>IF('計算A'!DF$106=1,HE13,1)</f>
        <v/>
      </c>
      <c r="MT13">
        <f>IF('計算A'!DG$106=1,HF13,1)</f>
        <v/>
      </c>
      <c r="MU13">
        <f>IF('計算A'!DH$106=1,HG13,1)</f>
        <v/>
      </c>
      <c r="MV13">
        <f>IF('計算A'!DI$106=1,HH13,1)</f>
        <v/>
      </c>
      <c r="MW13">
        <f>IF('計算A'!DJ$106=1,HI13,1)</f>
        <v/>
      </c>
      <c r="MX13">
        <f>IF('計算A'!DK$106=1,HJ13,1)</f>
        <v/>
      </c>
      <c r="MY13">
        <f>IF('計算A'!DL$106=1,HK13,1)</f>
        <v/>
      </c>
      <c r="MZ13">
        <f>IF('計算A'!DM$106=1,HL13,1)</f>
        <v/>
      </c>
      <c r="NA13">
        <f>IF('計算A'!DN$106=1,HM13,1)</f>
        <v/>
      </c>
      <c r="NB13">
        <f>IF('計算A'!DO$106=1,HN13,1)</f>
        <v/>
      </c>
      <c r="NC13">
        <f>IF('計算A'!DP$106=1,HO13,1)</f>
        <v/>
      </c>
      <c r="ND13">
        <f>IF('計算A'!DQ$106=1,HP13,1)</f>
        <v/>
      </c>
      <c r="NE13">
        <f>IF('計算A'!DR$106=1,HQ13,1)</f>
        <v/>
      </c>
      <c r="NF13">
        <f>IF('計算A'!DS$106=1,HR13,1)</f>
        <v/>
      </c>
      <c r="NG13">
        <f>IF('計算A'!DT$106=1,HS13,1)</f>
        <v/>
      </c>
      <c r="NH13">
        <f>IF('計算A'!DU$106=1,HT13,1)</f>
        <v/>
      </c>
      <c r="NI13">
        <f>IF('計算A'!DV$106=1,HU13,1)</f>
        <v/>
      </c>
      <c r="NJ13">
        <f>IF('計算A'!DW$106=1,HV13,1)</f>
        <v/>
      </c>
      <c r="NK13">
        <f>IF('計算A'!DX$106=1,HW13,1)</f>
        <v/>
      </c>
      <c r="NL13">
        <f>IF('計算A'!DY$106=1,HX13,1)</f>
        <v/>
      </c>
      <c r="NM13">
        <f>IF('計算A'!DZ$106=1,HY13,1)</f>
        <v/>
      </c>
      <c r="NN13">
        <f>IF('計算A'!EA$106=1,HZ13,1)</f>
        <v/>
      </c>
      <c r="NO13">
        <f>IF('計算A'!EB$106=1,IA13,1)</f>
        <v/>
      </c>
      <c r="NP13">
        <f>IF('計算A'!EC$106=1,IB13,1)</f>
        <v/>
      </c>
      <c r="NQ13">
        <f>IF('計算A'!ED$106=1,IC13,1)</f>
        <v/>
      </c>
      <c r="NR13">
        <f>IF('計算A'!EE$106=1,ID13,1)</f>
        <v/>
      </c>
      <c r="NS13">
        <f>IF('計算A'!EF$106=1,IE13,1)</f>
        <v/>
      </c>
      <c r="NT13">
        <f>IF('計算A'!EG$106=1,IF13,1)</f>
        <v/>
      </c>
      <c r="NU13">
        <f>IF('計算A'!EH$106=1,IG13,1)</f>
        <v/>
      </c>
      <c r="NV13">
        <f>IF('計算A'!EI$106=1,IH13,1)</f>
        <v/>
      </c>
      <c r="NW13">
        <f>IF('計算A'!EJ$106=1,II13,1)</f>
        <v/>
      </c>
      <c r="NX13">
        <f>IF('計算A'!EK$106=1,IJ13,1)</f>
        <v/>
      </c>
      <c r="NY13">
        <f>IF('計算A'!EL$106=1,IK13,1)</f>
        <v/>
      </c>
      <c r="NZ13">
        <f>IF('計算A'!EM$106=1,IL13,1)</f>
        <v/>
      </c>
      <c r="OA13">
        <f>IF('計算A'!EN$106=1,IM13,1)</f>
        <v/>
      </c>
      <c r="OB13">
        <f>IF('計算A'!EO$106=1,IN13,1)</f>
        <v/>
      </c>
      <c r="OC13">
        <f>IF('計算A'!EP$106=1,IO13,1)</f>
        <v/>
      </c>
      <c r="OD13" t="n">
        <v>1</v>
      </c>
      <c r="OF13">
        <f>IF($B13=0,1000000,IF(INDEX('計算A'!$D$60:$EQ$104,$B13,1)*DB13=1,IF(AND($E13=2,IQ13=0),1000000,IF($I13&gt;0,IF(1=$J13,IF(OR(AND(1=$I13+1,OR($K13&lt;&gt;'計算A'!$A$3,'計算A'!$A$4=0)),AND(1=$I13-1,OR(1&lt;&gt;'計算A'!$A$3,'計算A'!$A$4=0))),0,IF(1=$K13,200000,ABS(1-$K13)*100)),100000+ABS(1-$J13)*1000+10)+'計算A'!D$5*50+IF(AND($E13=1,IQ13=0),25,0),IF($F13&gt;0,INDEX('計算A'!D$110:D$114,$F13+1)+IF(AND($E13=1,IQ13=0),1000,0),MIN(TU13,20)*400+(IF('計算A'!D$106=1,1-DC13,0))*150+11+'計算A'!D$5*100000+IF(AND($E13=1,IQ13=0),50000,0))+IF($H13=1,(IF('計算A'!D$117=1,INDEX('計算A'!E$10:E$54,$B13),0))*4000,0)-IF(AND($L13=1,'計算A'!D$117=1,DC13=0),2000,0))),1000000))</f>
        <v/>
      </c>
      <c r="OG13">
        <f>IF($B13=0,1000000,IF(INDEX('計算A'!$D$60:$EQ$104,$B13,2)*DC13=1,IF(AND($E13=2,IR13=0),1000000,IF($I13&gt;0,IF(1=$J13,IF(OR(AND(2=$I13+1,OR($K13&lt;&gt;'計算A'!$A$3,'計算A'!$A$4=0)),AND(2=$I13-1,OR(2&lt;&gt;'計算A'!$A$3,'計算A'!$A$4=0))),0,IF(2=$K13,200000,ABS(2-$K13)*100)),100000+ABS(1-$J13)*1000+20)+'計算A'!E$5*50+IF(AND($E13=1,IR13=0),25,0),IF($F13&gt;0,INDEX('計算A'!E$110:E$114,$F13+1)+IF(AND($E13=1,IR13=0),1000,0),MIN(TU13,20)*400+(IF('計算A'!D$106=1,1-DB13,0)+IF('計算A'!E$106=1,1-DD13,0))*150+21+'計算A'!E$5*100000+IF(AND($E13=1,IR13=0),50000,0))+IF($H13=1,(IF('計算A'!D$117=1,INDEX('計算A'!D$10:D$54,$B13),0)+IF('計算A'!E$117=1,INDEX('計算A'!F$10:F$54,$B13),0))*4000,0)-IF(AND('計算A'!D$117=1,UB13&gt;0),2000,0)-IF(AND($L13=1,'計算A'!E$117=1,DD13=0),2000,0))),1000000))</f>
        <v/>
      </c>
      <c r="OH13">
        <f>IF($B13=0,1000000,IF(INDEX('計算A'!$D$60:$EQ$104,$B13,3)*DD13=1,IF(AND($E13=2,IS13=0),1000000,IF($I13&gt;0,IF(1=$J13,IF(OR(AND(3=$I13+1,OR($K13&lt;&gt;'計算A'!$A$3,'計算A'!$A$4=0)),AND(3=$I13-1,OR(3&lt;&gt;'計算A'!$A$3,'計算A'!$A$4=0))),0,IF(3=$K13,200000,ABS(3-$K13)*100)),100000+ABS(1-$J13)*1000+30)+'計算A'!F$5*50+IF(AND($E13=1,IS13=0),25,0),IF($F13&gt;0,INDEX('計算A'!F$110:F$114,$F13+1)+IF(AND($E13=1,IS13=0),1000,0),MIN(TU13,20)*400+(IF('計算A'!E$106=1,1-DC13,0)+IF('計算A'!F$106=1,1-DE13,0))*150+31+'計算A'!F$5*100000+IF(AND($E13=1,IS13=0),50000,0))+IF($H13=1,(IF('計算A'!E$117=1,INDEX('計算A'!E$10:E$54,$B13),0)+IF('計算A'!F$117=1,INDEX('計算A'!G$10:G$54,$B13),0))*4000,0)-IF(AND('計算A'!E$117=1,UC13&gt;0),2000,0)-IF(AND($L13=1,'計算A'!F$117=1,DE13=0),2000,0))),1000000))</f>
        <v/>
      </c>
      <c r="OI13">
        <f>IF($B13=0,1000000,IF(INDEX('計算A'!$D$60:$EQ$104,$B13,4)*DE13=1,IF(AND($E13=2,IT13=0),1000000,IF($I13&gt;0,IF(1=$J13,IF(OR(AND(4=$I13+1,OR($K13&lt;&gt;'計算A'!$A$3,'計算A'!$A$4=0)),AND(4=$I13-1,OR(4&lt;&gt;'計算A'!$A$3,'計算A'!$A$4=0))),0,IF(4=$K13,200000,ABS(4-$K13)*100)),100000+ABS(1-$J13)*1000+40)+'計算A'!G$5*50+IF(AND($E13=1,IT13=0),25,0),IF($F13&gt;0,INDEX('計算A'!G$110:G$114,$F13+1)+IF(AND($E13=1,IT13=0),1000,0),MIN(TU13,20)*400+(IF('計算A'!F$106=1,1-DD13,0)+IF('計算A'!G$106=1,1-DF13,0))*150+41+'計算A'!G$5*100000+IF(AND($E13=1,IT13=0),50000,0))+IF($H13=1,(IF('計算A'!F$117=1,INDEX('計算A'!F$10:F$54,$B13),0)+IF('計算A'!G$117=1,INDEX('計算A'!H$10:H$54,$B13),0))*4000,0)-IF(AND('計算A'!F$117=1,UD13&gt;0),2000,0)-IF(AND($L13=1,'計算A'!G$117=1,DF13=0),2000,0))),1000000))</f>
        <v/>
      </c>
      <c r="OJ13">
        <f>IF($B13=0,1000000,IF(INDEX('計算A'!$D$60:$EQ$104,$B13,5)*DF13=1,IF(AND($E13=2,IU13=0),1000000,IF($I13&gt;0,IF(1=$J13,IF(OR(AND(5=$I13+1,OR($K13&lt;&gt;'計算A'!$A$3,'計算A'!$A$4=0)),AND(5=$I13-1,OR(5&lt;&gt;'計算A'!$A$3,'計算A'!$A$4=0))),0,IF(5=$K13,200000,ABS(5-$K13)*100)),100000+ABS(1-$J13)*1000+50)+'計算A'!H$5*50+IF(AND($E13=1,IU13=0),25,0),IF($F13&gt;0,INDEX('計算A'!H$110:H$114,$F13+1)+IF(AND($E13=1,IU13=0),1000,0),MIN(TU13,20)*400+(IF('計算A'!G$106=1,1-DE13,0)+IF('計算A'!H$106=1,1-DG13,0))*150+51+'計算A'!H$5*100000+IF(AND($E13=1,IU13=0),50000,0))+IF($H13=1,(IF('計算A'!G$117=1,INDEX('計算A'!G$10:G$54,$B13),0)+IF('計算A'!H$117=1,INDEX('計算A'!I$10:I$54,$B13),0))*4000,0)-IF(AND('計算A'!G$117=1,UE13&gt;0),2000,0)-IF(AND($L13=1,'計算A'!H$117=1,DG13=0),2000,0))),1000000))</f>
        <v/>
      </c>
      <c r="OK13">
        <f>IF($B13=0,1000000,IF(INDEX('計算A'!$D$60:$EQ$104,$B13,6)*DG13=1,IF(AND($E13=2,IV13=0),1000000,IF($I13&gt;0,IF(1=$J13,IF(OR(AND(6=$I13+1,OR($K13&lt;&gt;'計算A'!$A$3,'計算A'!$A$4=0)),AND(6=$I13-1,OR(6&lt;&gt;'計算A'!$A$3,'計算A'!$A$4=0))),0,IF(6=$K13,200000,ABS(6-$K13)*100)),100000+ABS(1-$J13)*1000+60)+'計算A'!I$5*50+IF(AND($E13=1,IV13=0),25,0),IF($F13&gt;0,INDEX('計算A'!I$110:I$114,$F13+1)+IF(AND($E13=1,IV13=0),1000,0),MIN(TU13,20)*400+(IF('計算A'!H$106=1,1-DF13,0)+IF('計算A'!I$106=1,1-DH13,0))*150+61+'計算A'!I$5*100000+IF(AND($E13=1,IV13=0),50000,0))+IF($H13=1,(IF('計算A'!H$117=1,INDEX('計算A'!H$10:H$54,$B13),0)+IF('計算A'!I$117=1,INDEX('計算A'!J$10:J$54,$B13),0))*4000,0)-IF(AND('計算A'!H$117=1,UF13&gt;0),2000,0)-IF(AND($L13=1,'計算A'!I$117=1,DH13=0),2000,0))),1000000))</f>
        <v/>
      </c>
      <c r="OL13">
        <f>IF($B13=0,1000000,IF(INDEX('計算A'!$D$60:$EQ$104,$B13,7)*DH13=1,IF(AND($E13=2,IW13=0),1000000,IF($I13&gt;0,IF(1=$J13,IF(OR(AND(7=$I13+1,OR($K13&lt;&gt;'計算A'!$A$3,'計算A'!$A$4=0)),AND(7=$I13-1,OR(7&lt;&gt;'計算A'!$A$3,'計算A'!$A$4=0))),0,IF(7=$K13,200000,ABS(7-$K13)*100)),100000+ABS(1-$J13)*1000+70)+'計算A'!J$5*50+IF(AND($E13=1,IW13=0),25,0),IF($F13&gt;0,INDEX('計算A'!J$110:J$114,$F13+1)+IF(AND($E13=1,IW13=0),1000,0),MIN(TU13,20)*400+(IF('計算A'!I$106=1,1-DG13,0)+IF('計算A'!J$106=1,1-DI13,0))*150+71+'計算A'!J$5*100000+IF(AND($E13=1,IW13=0),50000,0))+IF($H13=1,(IF('計算A'!I$117=1,INDEX('計算A'!I$10:I$54,$B13),0)+IF('計算A'!J$117=1,INDEX('計算A'!K$10:K$54,$B13),0))*4000,0)-IF(AND('計算A'!I$117=1,UG13&gt;0),2000,0)-IF(AND($L13=1,'計算A'!J$117=1,DI13=0),2000,0))),1000000))</f>
        <v/>
      </c>
      <c r="OM13">
        <f>IF($B13=0,1000000,IF(INDEX('計算A'!$D$60:$EQ$104,$B13,8)*DI13=1,IF(AND($E13=2,IX13=0),1000000,IF($I13&gt;0,IF(1=$J13,IF(OR(AND(8=$I13+1,OR($K13&lt;&gt;'計算A'!$A$3,'計算A'!$A$4=0)),AND(8=$I13-1,OR(8&lt;&gt;'計算A'!$A$3,'計算A'!$A$4=0))),0,IF(8=$K13,200000,ABS(8-$K13)*100)),100000+ABS(1-$J13)*1000+80)+'計算A'!K$5*50+IF(AND($E13=1,IX13=0),25,0),IF($F13&gt;0,INDEX('計算A'!K$110:K$114,$F13+1)+IF(AND($E13=1,IX13=0),1000,0),MIN(TU13,20)*400+(IF('計算A'!J$106=1,1-DH13,0)+IF('計算A'!K$106=1,1-DJ13,0))*150+81+'計算A'!K$5*100000+IF(AND($E13=1,IX13=0),50000,0))+IF($H13=1,(IF('計算A'!J$117=1,INDEX('計算A'!J$10:J$54,$B13),0)+IF('計算A'!K$117=1,INDEX('計算A'!L$10:L$54,$B13),0))*4000,0)-IF(AND('計算A'!J$117=1,UH13&gt;0),2000,0)-IF(AND($L13=1,'計算A'!K$117=1,DJ13=0),2000,0))),1000000))</f>
        <v/>
      </c>
      <c r="ON13">
        <f>IF($B13=0,1000000,IF(INDEX('計算A'!$D$60:$EQ$104,$B13,9)*DJ13=1,IF(AND($E13=2,IY13=0),1000000,IF($I13&gt;0,IF(1=$J13,IF(OR(AND(9=$I13+1,OR($K13&lt;&gt;'計算A'!$A$3,'計算A'!$A$4=0)),AND(9=$I13-1,OR(9&lt;&gt;'計算A'!$A$3,'計算A'!$A$4=0))),0,IF(9=$K13,200000,ABS(9-$K13)*100)),100000+ABS(1-$J13)*1000+90)+'計算A'!L$5*50+IF(AND($E13=1,IY13=0),25,0),IF($F13&gt;0,INDEX('計算A'!L$110:L$114,$F13+1)+IF(AND($E13=1,IY13=0),1000,0),MIN(TU13,20)*400+(IF('計算A'!K$106=1,1-DI13,0)+IF('計算A'!L$106=1,1-DK13,0))*150+91+'計算A'!L$5*100000+IF(AND($E13=1,IY13=0),50000,0))+IF($H13=1,(IF('計算A'!K$117=1,INDEX('計算A'!K$10:K$54,$B13),0)+IF('計算A'!L$117=1,INDEX('計算A'!M$10:M$54,$B13),0))*4000,0)-IF(AND('計算A'!K$117=1,UI13&gt;0),2000,0)-IF(AND($L13=1,'計算A'!L$117=1,DK13=0),2000,0))),1000000))</f>
        <v/>
      </c>
      <c r="OO13">
        <f>IF($B13=0,1000000,IF(INDEX('計算A'!$D$60:$EQ$104,$B13,10)*DK13=1,IF(AND($E13=2,IZ13=0),1000000,IF($I13&gt;0,IF(1=$J13,IF(OR(AND(10=$I13+1,OR($K13&lt;&gt;'計算A'!$A$3,'計算A'!$A$4=0)),AND(10=$I13-1,OR(10&lt;&gt;'計算A'!$A$3,'計算A'!$A$4=0))),0,IF(10=$K13,200000,ABS(10-$K13)*100)),100000+ABS(1-$J13)*1000+100)+'計算A'!M$5*50+IF(AND($E13=1,IZ13=0),25,0),IF($F13&gt;0,INDEX('計算A'!M$110:M$114,$F13+1)+IF(AND($E13=1,IZ13=0),1000,0),MIN(TU13,20)*400+(IF('計算A'!L$106=1,1-DJ13,0)+IF('計算A'!M$106=1,1-DL13,0))*150+101+'計算A'!M$5*100000+IF(AND($E13=1,IZ13=0),50000,0))+IF($H13=1,(IF('計算A'!L$117=1,INDEX('計算A'!L$10:L$54,$B13),0)+IF('計算A'!M$117=1,INDEX('計算A'!N$10:N$54,$B13),0))*4000,0)-IF(AND('計算A'!L$117=1,UJ13&gt;0),2000,0)-IF(AND($L13=1,'計算A'!M$117=1,DL13=0),2000,0))),1000000))</f>
        <v/>
      </c>
      <c r="OP13">
        <f>IF($B13=0,1000000,IF(INDEX('計算A'!$D$60:$EQ$104,$B13,11)*DL13=1,IF(AND($E13=2,JA13=0),1000000,IF($I13&gt;0,IF(1=$J13,IF(OR(AND(11=$I13+1,OR($K13&lt;&gt;'計算A'!$A$3,'計算A'!$A$4=0)),AND(11=$I13-1,OR(11&lt;&gt;'計算A'!$A$3,'計算A'!$A$4=0))),0,IF(11=$K13,200000,ABS(11-$K13)*100)),100000+ABS(1-$J13)*1000+110)+'計算A'!N$5*50+IF(AND($E13=1,JA13=0),25,0),IF($F13&gt;0,INDEX('計算A'!N$110:N$114,$F13+1)+IF(AND($E13=1,JA13=0),1000,0),MIN(TU13,20)*400+(IF('計算A'!M$106=1,1-DK13,0)+IF('計算A'!N$106=1,1-DM13,0))*150+111+'計算A'!N$5*100000+IF(AND($E13=1,JA13=0),50000,0))+IF($H13=1,(IF('計算A'!M$117=1,INDEX('計算A'!M$10:M$54,$B13),0)+IF('計算A'!N$117=1,INDEX('計算A'!O$10:O$54,$B13),0))*4000,0)-IF(AND('計算A'!M$117=1,UK13&gt;0),2000,0)-IF(AND($L13=1,'計算A'!N$117=1,DM13=0),2000,0))),1000000))</f>
        <v/>
      </c>
      <c r="OQ13">
        <f>IF($B13=0,1000000,IF(INDEX('計算A'!$D$60:$EQ$104,$B13,12)*DM13=1,IF(AND($E13=2,JB13=0),1000000,IF($I13&gt;0,IF(1=$J13,IF(OR(AND(12=$I13+1,OR($K13&lt;&gt;'計算A'!$A$3,'計算A'!$A$4=0)),AND(12=$I13-1,OR(12&lt;&gt;'計算A'!$A$3,'計算A'!$A$4=0))),0,IF(12=$K13,200000,ABS(12-$K13)*100)),100000+ABS(1-$J13)*1000+120)+'計算A'!O$5*50+IF(AND($E13=1,JB13=0),25,0),IF($F13&gt;0,INDEX('計算A'!O$110:O$114,$F13+1)+IF(AND($E13=1,JB13=0),1000,0),MIN(TU13,20)*400+(IF('計算A'!N$106=1,1-DL13,0)+IF('計算A'!O$106=1,1-DN13,0))*150+121+'計算A'!O$5*100000+IF(AND($E13=1,JB13=0),50000,0))+IF($H13=1,(IF('計算A'!N$117=1,INDEX('計算A'!N$10:N$54,$B13),0)+IF('計算A'!O$117=1,INDEX('計算A'!P$10:P$54,$B13),0))*4000,0)-IF(AND('計算A'!N$117=1,UL13&gt;0),2000,0)-IF(AND($L13=1,'計算A'!O$117=1,DN13=0),2000,0))),1000000))</f>
        <v/>
      </c>
      <c r="OR13">
        <f>IF($B13=0,1000000,IF(INDEX('計算A'!$D$60:$EQ$104,$B13,13)*DN13=1,IF(AND($E13=2,JC13=0),1000000,IF($I13&gt;0,IF(1=$J13,IF(OR(AND(13=$I13+1,OR($K13&lt;&gt;'計算A'!$A$3,'計算A'!$A$4=0)),AND(13=$I13-1,OR(13&lt;&gt;'計算A'!$A$3,'計算A'!$A$4=0))),0,IF(13=$K13,200000,ABS(13-$K13)*100)),100000+ABS(1-$J13)*1000+130)+'計算A'!P$5*50+IF(AND($E13=1,JC13=0),25,0),IF($F13&gt;0,INDEX('計算A'!P$110:P$114,$F13+1)+IF(AND($E13=1,JC13=0),1000,0),MIN(TU13,20)*400+(IF('計算A'!O$106=1,1-DM13,0)+IF('計算A'!P$106=1,1-DO13,0))*150+131+'計算A'!P$5*100000+IF(AND($E13=1,JC13=0),50000,0))+IF($H13=1,(IF('計算A'!O$117=1,INDEX('計算A'!O$10:O$54,$B13),0)+IF('計算A'!P$117=1,INDEX('計算A'!Q$10:Q$54,$B13),0))*4000,0)-IF(AND('計算A'!O$117=1,UM13&gt;0),2000,0)-IF(AND($L13=1,'計算A'!P$117=1,DO13=0),2000,0))),1000000))</f>
        <v/>
      </c>
      <c r="OS13">
        <f>IF($B13=0,1000000,IF(INDEX('計算A'!$D$60:$EQ$104,$B13,14)*DO13=1,IF(AND($E13=2,JD13=0),1000000,IF($I13&gt;0,IF(1=$J13,IF(OR(AND(14=$I13+1,OR($K13&lt;&gt;'計算A'!$A$3,'計算A'!$A$4=0)),AND(14=$I13-1,OR(14&lt;&gt;'計算A'!$A$3,'計算A'!$A$4=0))),0,IF(14=$K13,200000,ABS(14-$K13)*100)),100000+ABS(1-$J13)*1000+140)+'計算A'!Q$5*50+IF(AND($E13=1,JD13=0),25,0),IF($F13&gt;0,INDEX('計算A'!Q$110:Q$114,$F13+1)+IF(AND($E13=1,JD13=0),1000,0),MIN(TU13,20)*400+(IF('計算A'!P$106=1,1-DN13,0)+IF('計算A'!Q$106=1,1-DP13,0))*150+141+'計算A'!Q$5*100000+IF(AND($E13=1,JD13=0),50000,0))+IF($H13=1,(IF('計算A'!P$117=1,INDEX('計算A'!P$10:P$54,$B13),0)+IF('計算A'!Q$117=1,INDEX('計算A'!R$10:R$54,$B13),0))*4000,0)-IF(AND('計算A'!P$117=1,UN13&gt;0),2000,0)-IF(AND($L13=1,'計算A'!Q$117=1,DP13=0),2000,0))),1000000))</f>
        <v/>
      </c>
      <c r="OT13">
        <f>IF($B13=0,1000000,IF(INDEX('計算A'!$D$60:$EQ$104,$B13,15)*DP13=1,IF(AND($E13=2,JE13=0),1000000,IF($I13&gt;0,IF(1=$J13,IF(OR(AND(15=$I13+1,OR($K13&lt;&gt;'計算A'!$A$3,'計算A'!$A$4=0)),AND(15=$I13-1,OR(15&lt;&gt;'計算A'!$A$3,'計算A'!$A$4=0))),0,IF(15=$K13,200000,ABS(15-$K13)*100)),100000+ABS(1-$J13)*1000+150)+'計算A'!R$5*50+IF(AND($E13=1,JE13=0),25,0),IF($F13&gt;0,INDEX('計算A'!R$110:R$114,$F13+1)+IF(AND($E13=1,JE13=0),1000,0),MIN(TU13,20)*400+(IF('計算A'!Q$106=1,1-DO13,0)+IF('計算A'!R$106=1,1-DQ13,0))*150+151+'計算A'!R$5*100000+IF(AND($E13=1,JE13=0),50000,0))+IF($H13=1,(IF('計算A'!Q$117=1,INDEX('計算A'!Q$10:Q$54,$B13),0)+IF('計算A'!R$117=1,INDEX('計算A'!S$10:S$54,$B13),0))*4000,0)-IF(AND('計算A'!Q$117=1,UO13&gt;0),2000,0)-IF(AND($L13=1,'計算A'!R$117=1,DQ13=0),2000,0))),1000000))</f>
        <v/>
      </c>
      <c r="OU13">
        <f>IF($B13=0,1000000,IF(INDEX('計算A'!$D$60:$EQ$104,$B13,16)*DQ13=1,IF(AND($E13=2,JF13=0),1000000,IF($I13&gt;0,IF(1=$J13,IF(OR(AND(16=$I13+1,OR($K13&lt;&gt;'計算A'!$A$3,'計算A'!$A$4=0)),AND(16=$I13-1,OR(16&lt;&gt;'計算A'!$A$3,'計算A'!$A$4=0))),0,IF(16=$K13,200000,ABS(16-$K13)*100)),100000+ABS(1-$J13)*1000+160)+'計算A'!S$5*50+IF(AND($E13=1,JF13=0),25,0),IF($F13&gt;0,INDEX('計算A'!S$110:S$114,$F13+1)+IF(AND($E13=1,JF13=0),1000,0),MIN(TU13,20)*400+(IF('計算A'!R$106=1,1-DP13,0)+IF('計算A'!S$106=1,1-DR13,0))*150+161+'計算A'!S$5*100000+IF(AND($E13=1,JF13=0),50000,0))+IF($H13=1,(IF('計算A'!R$117=1,INDEX('計算A'!R$10:R$54,$B13),0)+IF('計算A'!S$117=1,INDEX('計算A'!T$10:T$54,$B13),0))*4000,0)-IF(AND('計算A'!R$117=1,UP13&gt;0),2000,0)-IF(AND($L13=1,'計算A'!S$117=1,DR13=0),2000,0))),1000000))</f>
        <v/>
      </c>
      <c r="OV13">
        <f>IF($B13=0,1000000,IF(INDEX('計算A'!$D$60:$EQ$104,$B13,17)*DR13=1,IF(AND($E13=2,JG13=0),1000000,IF($I13&gt;0,IF(1=$J13,IF(OR(AND(17=$I13+1,OR($K13&lt;&gt;'計算A'!$A$3,'計算A'!$A$4=0)),AND(17=$I13-1,OR(17&lt;&gt;'計算A'!$A$3,'計算A'!$A$4=0))),0,IF(17=$K13,200000,ABS(17-$K13)*100)),100000+ABS(1-$J13)*1000+170)+'計算A'!T$5*50+IF(AND($E13=1,JG13=0),25,0),IF($F13&gt;0,INDEX('計算A'!T$110:T$114,$F13+1)+IF(AND($E13=1,JG13=0),1000,0),MIN(TU13,20)*400+(IF('計算A'!S$106=1,1-DQ13,0)+IF('計算A'!T$106=1,1-DS13,0))*150+171+'計算A'!T$5*100000+IF(AND($E13=1,JG13=0),50000,0))+IF($H13=1,(IF('計算A'!S$117=1,INDEX('計算A'!S$10:S$54,$B13),0)+IF('計算A'!T$117=1,INDEX('計算A'!U$10:U$54,$B13),0))*4000,0)-IF(AND('計算A'!S$117=1,UQ13&gt;0),2000,0)-IF(AND($L13=1,'計算A'!T$117=1,DS13=0),2000,0))),1000000))</f>
        <v/>
      </c>
      <c r="OW13">
        <f>IF($B13=0,1000000,IF(INDEX('計算A'!$D$60:$EQ$104,$B13,18)*DS13=1,IF(AND($E13=2,JH13=0),1000000,IF($I13&gt;0,IF(1=$J13,IF(OR(AND(18=$I13+1,OR($K13&lt;&gt;'計算A'!$A$3,'計算A'!$A$4=0)),AND(18=$I13-1,OR(18&lt;&gt;'計算A'!$A$3,'計算A'!$A$4=0))),0,IF(18=$K13,200000,ABS(18-$K13)*100)),100000+ABS(1-$J13)*1000+180)+'計算A'!U$5*50+IF(AND($E13=1,JH13=0),25,0),IF($F13&gt;0,INDEX('計算A'!U$110:U$114,$F13+1)+IF(AND($E13=1,JH13=0),1000,0),MIN(TU13,20)*400+(IF('計算A'!T$106=1,1-DR13,0)+IF('計算A'!U$106=1,1-DT13,0))*150+181+'計算A'!U$5*100000+IF(AND($E13=1,JH13=0),50000,0))+IF($H13=1,(IF('計算A'!T$117=1,INDEX('計算A'!T$10:T$54,$B13),0)+IF('計算A'!U$117=1,INDEX('計算A'!V$10:V$54,$B13),0))*4000,0)-IF(AND('計算A'!T$117=1,UR13&gt;0),2000,0)-IF(AND($L13=1,'計算A'!U$117=1,DT13=0),2000,0))),1000000))</f>
        <v/>
      </c>
      <c r="OX13">
        <f>IF($B13=0,1000000,IF(INDEX('計算A'!$D$60:$EQ$104,$B13,19)*DT13=1,IF(AND($E13=2,JI13=0),1000000,IF($I13&gt;0,IF(1=$J13,IF(OR(AND(19=$I13+1,OR($K13&lt;&gt;'計算A'!$A$3,'計算A'!$A$4=0)),AND(19=$I13-1,OR(19&lt;&gt;'計算A'!$A$3,'計算A'!$A$4=0))),0,IF(19=$K13,200000,ABS(19-$K13)*100)),100000+ABS(1-$J13)*1000+190)+'計算A'!V$5*50+IF(AND($E13=1,JI13=0),25,0),IF($F13&gt;0,INDEX('計算A'!V$110:V$114,$F13+1)+IF(AND($E13=1,JI13=0),1000,0),MIN(TU13,20)*400+(IF('計算A'!U$106=1,1-DS13,0)+IF('計算A'!V$106=1,1-DU13,0))*150+191+'計算A'!V$5*100000+IF(AND($E13=1,JI13=0),50000,0))+IF($H13=1,(IF('計算A'!U$117=1,INDEX('計算A'!U$10:U$54,$B13),0)+IF('計算A'!V$117=1,INDEX('計算A'!W$10:W$54,$B13),0))*4000,0)-IF(AND('計算A'!U$117=1,US13&gt;0),2000,0)-IF(AND($L13=1,'計算A'!V$117=1,DU13=0),2000,0))),1000000))</f>
        <v/>
      </c>
      <c r="OY13">
        <f>IF($B13=0,1000000,IF(INDEX('計算A'!$D$60:$EQ$104,$B13,20)*DU13=1,IF(AND($E13=2,JJ13=0),1000000,IF($I13&gt;0,IF(1=$J13,IF(OR(AND(20=$I13+1,OR($K13&lt;&gt;'計算A'!$A$3,'計算A'!$A$4=0)),AND(20=$I13-1,OR(20&lt;&gt;'計算A'!$A$3,'計算A'!$A$4=0))),0,IF(20=$K13,200000,ABS(20-$K13)*100)),100000+ABS(1-$J13)*1000+200)+'計算A'!W$5*50+IF(AND($E13=1,JJ13=0),25,0),IF($F13&gt;0,INDEX('計算A'!W$110:W$114,$F13+1)+IF(AND($E13=1,JJ13=0),1000,0),MIN(TU13,20)*400+(IF('計算A'!V$106=1,1-DT13,0)+IF('計算A'!W$106=1,1-DV13,0))*150+201+'計算A'!W$5*100000+IF(AND($E13=1,JJ13=0),50000,0))+IF($H13=1,(IF('計算A'!V$117=1,INDEX('計算A'!V$10:V$54,$B13),0)+IF('計算A'!W$117=1,INDEX('計算A'!X$10:X$54,$B13),0))*4000,0)-IF(AND('計算A'!V$117=1,UT13&gt;0),2000,0)-IF(AND($L13=1,'計算A'!W$117=1,DV13=0),2000,0))),1000000))</f>
        <v/>
      </c>
      <c r="OZ13">
        <f>IF($B13=0,1000000,IF(INDEX('計算A'!$D$60:$EQ$104,$B13,21)*DV13=1,IF(AND($E13=2,JK13=0),1000000,IF($I13&gt;0,IF(1=$J13,IF(OR(AND(21=$I13+1,OR($K13&lt;&gt;'計算A'!$A$3,'計算A'!$A$4=0)),AND(21=$I13-1,OR(21&lt;&gt;'計算A'!$A$3,'計算A'!$A$4=0))),0,IF(21=$K13,200000,ABS(21-$K13)*100)),100000+ABS(1-$J13)*1000+210)+'計算A'!X$5*50+IF(AND($E13=1,JK13=0),25,0),IF($F13&gt;0,INDEX('計算A'!X$110:X$114,$F13+1)+IF(AND($E13=1,JK13=0),1000,0),MIN(TU13,20)*400+(IF('計算A'!W$106=1,1-DU13,0)+IF('計算A'!X$106=1,1-DW13,0))*150+211+'計算A'!X$5*100000+IF(AND($E13=1,JK13=0),50000,0))+IF($H13=1,(IF('計算A'!W$117=1,INDEX('計算A'!W$10:W$54,$B13),0)+IF('計算A'!X$117=1,INDEX('計算A'!Y$10:Y$54,$B13),0))*4000,0)-IF(AND('計算A'!W$117=1,UU13&gt;0),2000,0)-IF(AND($L13=1,'計算A'!X$117=1,DW13=0),2000,0))),1000000))</f>
        <v/>
      </c>
      <c r="PA13">
        <f>IF($B13=0,1000000,IF(INDEX('計算A'!$D$60:$EQ$104,$B13,22)*DW13=1,IF(AND($E13=2,JL13=0),1000000,IF($I13&gt;0,IF(1=$J13,IF(OR(AND(22=$I13+1,OR($K13&lt;&gt;'計算A'!$A$3,'計算A'!$A$4=0)),AND(22=$I13-1,OR(22&lt;&gt;'計算A'!$A$3,'計算A'!$A$4=0))),0,IF(22=$K13,200000,ABS(22-$K13)*100)),100000+ABS(1-$J13)*1000+220)+'計算A'!Y$5*50+IF(AND($E13=1,JL13=0),25,0),IF($F13&gt;0,INDEX('計算A'!Y$110:Y$114,$F13+1)+IF(AND($E13=1,JL13=0),1000,0),MIN(TU13,20)*400+(IF('計算A'!X$106=1,1-DV13,0)+IF('計算A'!Y$106=1,1-DX13,0))*150+221+'計算A'!Y$5*100000+IF(AND($E13=1,JL13=0),50000,0))+IF($H13=1,(IF('計算A'!X$117=1,INDEX('計算A'!X$10:X$54,$B13),0)+IF('計算A'!Y$117=1,INDEX('計算A'!Z$10:Z$54,$B13),0))*4000,0)-IF(AND('計算A'!X$117=1,UV13&gt;0),2000,0)-IF(AND($L13=1,'計算A'!Y$117=1,DX13=0),2000,0))),1000000))</f>
        <v/>
      </c>
      <c r="PB13">
        <f>IF($B13=0,1000000,IF(INDEX('計算A'!$D$60:$EQ$104,$B13,23)*DX13=1,IF(AND($E13=2,JM13=0),1000000,IF($I13&gt;0,IF(1=$J13,IF(OR(AND(23=$I13+1,OR($K13&lt;&gt;'計算A'!$A$3,'計算A'!$A$4=0)),AND(23=$I13-1,OR(23&lt;&gt;'計算A'!$A$3,'計算A'!$A$4=0))),0,IF(23=$K13,200000,ABS(23-$K13)*100)),100000+ABS(1-$J13)*1000+230)+'計算A'!Z$5*50+IF(AND($E13=1,JM13=0),25,0),IF($F13&gt;0,INDEX('計算A'!Z$110:Z$114,$F13+1)+IF(AND($E13=1,JM13=0),1000,0),MIN(TU13,20)*400+(IF('計算A'!Y$106=1,1-DW13,0)+IF('計算A'!Z$106=1,1-DY13,0))*150+231+'計算A'!Z$5*100000+IF(AND($E13=1,JM13=0),50000,0))+IF($H13=1,(IF('計算A'!Y$117=1,INDEX('計算A'!Y$10:Y$54,$B13),0)+IF('計算A'!Z$117=1,INDEX('計算A'!AA$10:AA$54,$B13),0))*4000,0)-IF(AND('計算A'!Y$117=1,UW13&gt;0),2000,0)-IF(AND($L13=1,'計算A'!Z$117=1,DY13=0),2000,0))),1000000))</f>
        <v/>
      </c>
      <c r="PC13">
        <f>IF($B13=0,1000000,IF(INDEX('計算A'!$D$60:$EQ$104,$B13,24)*DY13=1,IF(AND($E13=2,JN13=0),1000000,IF($I13&gt;0,IF(1=$J13,IF(OR(AND(24=$I13+1,OR($K13&lt;&gt;'計算A'!$A$3,'計算A'!$A$4=0)),AND(24=$I13-1,OR(24&lt;&gt;'計算A'!$A$3,'計算A'!$A$4=0))),0,IF(24=$K13,200000,ABS(24-$K13)*100)),100000+ABS(1-$J13)*1000+240)+'計算A'!AA$5*50+IF(AND($E13=1,JN13=0),25,0),IF($F13&gt;0,INDEX('計算A'!AA$110:AA$114,$F13+1)+IF(AND($E13=1,JN13=0),1000,0),MIN(TU13,20)*400+(IF('計算A'!Z$106=1,1-DX13,0))*150+241+'計算A'!AA$5*100000+IF(AND($E13=1,JN13=0),50000,0))+IF($H13=1,(IF('計算A'!Z$117=1,INDEX('計算A'!Z$10:Z$54,$B13),0))*4000,0)-IF(AND('計算A'!Z$117=1,UX13&gt;0),2000,0))),1000000))</f>
        <v/>
      </c>
      <c r="PD13">
        <f>IF($B13=0,1000000,IF(INDEX('計算A'!$D$60:$EQ$104,$B13,25)*DZ13=1,IF(AND($E13=2,JO13=0),1000000,IF($I13&gt;0,IF(2=$J13,IF(OR(AND(25=$I13+1,OR($K13&lt;&gt;'計算A'!$A$3,'計算A'!$A$4=0)),AND(25=$I13-1,OR(1&lt;&gt;'計算A'!$A$3,'計算A'!$A$4=0))),0,IF(1=$K13,200000,ABS(1-$K13)*100)),100000+ABS(2-$J13)*1000+10)+'計算A'!AB$5*50+IF(AND($E13=1,JO13=0),25,0),IF($F13&gt;0,INDEX('計算A'!AB$110:AB$114,$F13+1)+IF(AND($E13=1,JO13=0),1000,0),MIN(TV13,20)*400+(IF('計算A'!AB$106=1,1-EA13,0))*150+12+'計算A'!AB$5*100000+IF(AND($E13=1,JO13=0),50000,0))+IF($H13=1,(IF('計算A'!AB$117=1,INDEX('計算A'!AC$10:AC$54,$B13),0))*4000,0)-IF(AND($L13=1,'計算A'!AB$117=1,EA13=0),2000,0))),1000000))</f>
        <v/>
      </c>
      <c r="PE13">
        <f>IF($B13=0,1000000,IF(INDEX('計算A'!$D$60:$EQ$104,$B13,26)*EA13=1,IF(AND($E13=2,JP13=0),1000000,IF($I13&gt;0,IF(2=$J13,IF(OR(AND(26=$I13+1,OR($K13&lt;&gt;'計算A'!$A$3,'計算A'!$A$4=0)),AND(26=$I13-1,OR(2&lt;&gt;'計算A'!$A$3,'計算A'!$A$4=0))),0,IF(2=$K13,200000,ABS(2-$K13)*100)),100000+ABS(2-$J13)*1000+20)+'計算A'!AC$5*50+IF(AND($E13=1,JP13=0),25,0),IF($F13&gt;0,INDEX('計算A'!AC$110:AC$114,$F13+1)+IF(AND($E13=1,JP13=0),1000,0),MIN(TV13,20)*400+(IF('計算A'!AB$106=1,1-DZ13,0)+IF('計算A'!AC$106=1,1-EB13,0))*150+22+'計算A'!AC$5*100000+IF(AND($E13=1,JP13=0),50000,0))+IF($H13=1,(IF('計算A'!AB$117=1,INDEX('計算A'!AB$10:AB$54,$B13),0)+IF('計算A'!AC$117=1,INDEX('計算A'!AD$10:AD$54,$B13),0))*4000,0)-IF(AND('計算A'!AB$117=1,UZ13&gt;0),2000,0)-IF(AND($L13=1,'計算A'!AC$117=1,EB13=0),2000,0))),1000000))</f>
        <v/>
      </c>
      <c r="PF13">
        <f>IF($B13=0,1000000,IF(INDEX('計算A'!$D$60:$EQ$104,$B13,27)*EB13=1,IF(AND($E13=2,JQ13=0),1000000,IF($I13&gt;0,IF(2=$J13,IF(OR(AND(27=$I13+1,OR($K13&lt;&gt;'計算A'!$A$3,'計算A'!$A$4=0)),AND(27=$I13-1,OR(3&lt;&gt;'計算A'!$A$3,'計算A'!$A$4=0))),0,IF(3=$K13,200000,ABS(3-$K13)*100)),100000+ABS(2-$J13)*1000+30)+'計算A'!AD$5*50+IF(AND($E13=1,JQ13=0),25,0),IF($F13&gt;0,INDEX('計算A'!AD$110:AD$114,$F13+1)+IF(AND($E13=1,JQ13=0),1000,0),MIN(TV13,20)*400+(IF('計算A'!AC$106=1,1-EA13,0)+IF('計算A'!AD$106=1,1-EC13,0))*150+32+'計算A'!AD$5*100000+IF(AND($E13=1,JQ13=0),50000,0))+IF($H13=1,(IF('計算A'!AC$117=1,INDEX('計算A'!AC$10:AC$54,$B13),0)+IF('計算A'!AD$117=1,INDEX('計算A'!AE$10:AE$54,$B13),0))*4000,0)-IF(AND('計算A'!AC$117=1,VA13&gt;0),2000,0)-IF(AND($L13=1,'計算A'!AD$117=1,EC13=0),2000,0))),1000000))</f>
        <v/>
      </c>
      <c r="PG13">
        <f>IF($B13=0,1000000,IF(INDEX('計算A'!$D$60:$EQ$104,$B13,28)*EC13=1,IF(AND($E13=2,JR13=0),1000000,IF($I13&gt;0,IF(2=$J13,IF(OR(AND(28=$I13+1,OR($K13&lt;&gt;'計算A'!$A$3,'計算A'!$A$4=0)),AND(28=$I13-1,OR(4&lt;&gt;'計算A'!$A$3,'計算A'!$A$4=0))),0,IF(4=$K13,200000,ABS(4-$K13)*100)),100000+ABS(2-$J13)*1000+40)+'計算A'!AE$5*50+IF(AND($E13=1,JR13=0),25,0),IF($F13&gt;0,INDEX('計算A'!AE$110:AE$114,$F13+1)+IF(AND($E13=1,JR13=0),1000,0),MIN(TV13,20)*400+(IF('計算A'!AD$106=1,1-EB13,0)+IF('計算A'!AE$106=1,1-ED13,0))*150+42+'計算A'!AE$5*100000+IF(AND($E13=1,JR13=0),50000,0))+IF($H13=1,(IF('計算A'!AD$117=1,INDEX('計算A'!AD$10:AD$54,$B13),0)+IF('計算A'!AE$117=1,INDEX('計算A'!AF$10:AF$54,$B13),0))*4000,0)-IF(AND('計算A'!AD$117=1,VB13&gt;0),2000,0)-IF(AND($L13=1,'計算A'!AE$117=1,ED13=0),2000,0))),1000000))</f>
        <v/>
      </c>
      <c r="PH13">
        <f>IF($B13=0,1000000,IF(INDEX('計算A'!$D$60:$EQ$104,$B13,29)*ED13=1,IF(AND($E13=2,JS13=0),1000000,IF($I13&gt;0,IF(2=$J13,IF(OR(AND(29=$I13+1,OR($K13&lt;&gt;'計算A'!$A$3,'計算A'!$A$4=0)),AND(29=$I13-1,OR(5&lt;&gt;'計算A'!$A$3,'計算A'!$A$4=0))),0,IF(5=$K13,200000,ABS(5-$K13)*100)),100000+ABS(2-$J13)*1000+50)+'計算A'!AF$5*50+IF(AND($E13=1,JS13=0),25,0),IF($F13&gt;0,INDEX('計算A'!AF$110:AF$114,$F13+1)+IF(AND($E13=1,JS13=0),1000,0),MIN(TV13,20)*400+(IF('計算A'!AE$106=1,1-EC13,0)+IF('計算A'!AF$106=1,1-EE13,0))*150+52+'計算A'!AF$5*100000+IF(AND($E13=1,JS13=0),50000,0))+IF($H13=1,(IF('計算A'!AE$117=1,INDEX('計算A'!AE$10:AE$54,$B13),0)+IF('計算A'!AF$117=1,INDEX('計算A'!AG$10:AG$54,$B13),0))*4000,0)-IF(AND('計算A'!AE$117=1,VC13&gt;0),2000,0)-IF(AND($L13=1,'計算A'!AF$117=1,EE13=0),2000,0))),1000000))</f>
        <v/>
      </c>
      <c r="PI13">
        <f>IF($B13=0,1000000,IF(INDEX('計算A'!$D$60:$EQ$104,$B13,30)*EE13=1,IF(AND($E13=2,JT13=0),1000000,IF($I13&gt;0,IF(2=$J13,IF(OR(AND(30=$I13+1,OR($K13&lt;&gt;'計算A'!$A$3,'計算A'!$A$4=0)),AND(30=$I13-1,OR(6&lt;&gt;'計算A'!$A$3,'計算A'!$A$4=0))),0,IF(6=$K13,200000,ABS(6-$K13)*100)),100000+ABS(2-$J13)*1000+60)+'計算A'!AG$5*50+IF(AND($E13=1,JT13=0),25,0),IF($F13&gt;0,INDEX('計算A'!AG$110:AG$114,$F13+1)+IF(AND($E13=1,JT13=0),1000,0),MIN(TV13,20)*400+(IF('計算A'!AF$106=1,1-ED13,0)+IF('計算A'!AG$106=1,1-EF13,0))*150+62+'計算A'!AG$5*100000+IF(AND($E13=1,JT13=0),50000,0))+IF($H13=1,(IF('計算A'!AF$117=1,INDEX('計算A'!AF$10:AF$54,$B13),0)+IF('計算A'!AG$117=1,INDEX('計算A'!AH$10:AH$54,$B13),0))*4000,0)-IF(AND('計算A'!AF$117=1,VD13&gt;0),2000,0)-IF(AND($L13=1,'計算A'!AG$117=1,EF13=0),2000,0))),1000000))</f>
        <v/>
      </c>
      <c r="PJ13">
        <f>IF($B13=0,1000000,IF(INDEX('計算A'!$D$60:$EQ$104,$B13,31)*EF13=1,IF(AND($E13=2,JU13=0),1000000,IF($I13&gt;0,IF(2=$J13,IF(OR(AND(31=$I13+1,OR($K13&lt;&gt;'計算A'!$A$3,'計算A'!$A$4=0)),AND(31=$I13-1,OR(7&lt;&gt;'計算A'!$A$3,'計算A'!$A$4=0))),0,IF(7=$K13,200000,ABS(7-$K13)*100)),100000+ABS(2-$J13)*1000+70)+'計算A'!AH$5*50+IF(AND($E13=1,JU13=0),25,0),IF($F13&gt;0,INDEX('計算A'!AH$110:AH$114,$F13+1)+IF(AND($E13=1,JU13=0),1000,0),MIN(TV13,20)*400+(IF('計算A'!AG$106=1,1-EE13,0)+IF('計算A'!AH$106=1,1-EG13,0))*150+72+'計算A'!AH$5*100000+IF(AND($E13=1,JU13=0),50000,0))+IF($H13=1,(IF('計算A'!AG$117=1,INDEX('計算A'!AG$10:AG$54,$B13),0)+IF('計算A'!AH$117=1,INDEX('計算A'!AI$10:AI$54,$B13),0))*4000,0)-IF(AND('計算A'!AG$117=1,VE13&gt;0),2000,0)-IF(AND($L13=1,'計算A'!AH$117=1,EG13=0),2000,0))),1000000))</f>
        <v/>
      </c>
      <c r="PK13">
        <f>IF($B13=0,1000000,IF(INDEX('計算A'!$D$60:$EQ$104,$B13,32)*EG13=1,IF(AND($E13=2,JV13=0),1000000,IF($I13&gt;0,IF(2=$J13,IF(OR(AND(32=$I13+1,OR($K13&lt;&gt;'計算A'!$A$3,'計算A'!$A$4=0)),AND(32=$I13-1,OR(8&lt;&gt;'計算A'!$A$3,'計算A'!$A$4=0))),0,IF(8=$K13,200000,ABS(8-$K13)*100)),100000+ABS(2-$J13)*1000+80)+'計算A'!AI$5*50+IF(AND($E13=1,JV13=0),25,0),IF($F13&gt;0,INDEX('計算A'!AI$110:AI$114,$F13+1)+IF(AND($E13=1,JV13=0),1000,0),MIN(TV13,20)*400+(IF('計算A'!AH$106=1,1-EF13,0)+IF('計算A'!AI$106=1,1-EH13,0))*150+82+'計算A'!AI$5*100000+IF(AND($E13=1,JV13=0),50000,0))+IF($H13=1,(IF('計算A'!AH$117=1,INDEX('計算A'!AH$10:AH$54,$B13),0)+IF('計算A'!AI$117=1,INDEX('計算A'!AJ$10:AJ$54,$B13),0))*4000,0)-IF(AND('計算A'!AH$117=1,VF13&gt;0),2000,0)-IF(AND($L13=1,'計算A'!AI$117=1,EH13=0),2000,0))),1000000))</f>
        <v/>
      </c>
      <c r="PL13">
        <f>IF($B13=0,1000000,IF(INDEX('計算A'!$D$60:$EQ$104,$B13,33)*EH13=1,IF(AND($E13=2,JW13=0),1000000,IF($I13&gt;0,IF(2=$J13,IF(OR(AND(33=$I13+1,OR($K13&lt;&gt;'計算A'!$A$3,'計算A'!$A$4=0)),AND(33=$I13-1,OR(9&lt;&gt;'計算A'!$A$3,'計算A'!$A$4=0))),0,IF(9=$K13,200000,ABS(9-$K13)*100)),100000+ABS(2-$J13)*1000+90)+'計算A'!AJ$5*50+IF(AND($E13=1,JW13=0),25,0),IF($F13&gt;0,INDEX('計算A'!AJ$110:AJ$114,$F13+1)+IF(AND($E13=1,JW13=0),1000,0),MIN(TV13,20)*400+(IF('計算A'!AI$106=1,1-EG13,0)+IF('計算A'!AJ$106=1,1-EI13,0))*150+92+'計算A'!AJ$5*100000+IF(AND($E13=1,JW13=0),50000,0))+IF($H13=1,(IF('計算A'!AI$117=1,INDEX('計算A'!AI$10:AI$54,$B13),0)+IF('計算A'!AJ$117=1,INDEX('計算A'!AK$10:AK$54,$B13),0))*4000,0)-IF(AND('計算A'!AI$117=1,VG13&gt;0),2000,0)-IF(AND($L13=1,'計算A'!AJ$117=1,EI13=0),2000,0))),1000000))</f>
        <v/>
      </c>
      <c r="PM13">
        <f>IF($B13=0,1000000,IF(INDEX('計算A'!$D$60:$EQ$104,$B13,34)*EI13=1,IF(AND($E13=2,JX13=0),1000000,IF($I13&gt;0,IF(2=$J13,IF(OR(AND(34=$I13+1,OR($K13&lt;&gt;'計算A'!$A$3,'計算A'!$A$4=0)),AND(34=$I13-1,OR(10&lt;&gt;'計算A'!$A$3,'計算A'!$A$4=0))),0,IF(10=$K13,200000,ABS(10-$K13)*100)),100000+ABS(2-$J13)*1000+100)+'計算A'!AK$5*50+IF(AND($E13=1,JX13=0),25,0),IF($F13&gt;0,INDEX('計算A'!AK$110:AK$114,$F13+1)+IF(AND($E13=1,JX13=0),1000,0),MIN(TV13,20)*400+(IF('計算A'!AJ$106=1,1-EH13,0)+IF('計算A'!AK$106=1,1-EJ13,0))*150+102+'計算A'!AK$5*100000+IF(AND($E13=1,JX13=0),50000,0))+IF($H13=1,(IF('計算A'!AJ$117=1,INDEX('計算A'!AJ$10:AJ$54,$B13),0)+IF('計算A'!AK$117=1,INDEX('計算A'!AL$10:AL$54,$B13),0))*4000,0)-IF(AND('計算A'!AJ$117=1,VH13&gt;0),2000,0)-IF(AND($L13=1,'計算A'!AK$117=1,EJ13=0),2000,0))),1000000))</f>
        <v/>
      </c>
      <c r="PN13">
        <f>IF($B13=0,1000000,IF(INDEX('計算A'!$D$60:$EQ$104,$B13,35)*EJ13=1,IF(AND($E13=2,JY13=0),1000000,IF($I13&gt;0,IF(2=$J13,IF(OR(AND(35=$I13+1,OR($K13&lt;&gt;'計算A'!$A$3,'計算A'!$A$4=0)),AND(35=$I13-1,OR(11&lt;&gt;'計算A'!$A$3,'計算A'!$A$4=0))),0,IF(11=$K13,200000,ABS(11-$K13)*100)),100000+ABS(2-$J13)*1000+110)+'計算A'!AL$5*50+IF(AND($E13=1,JY13=0),25,0),IF($F13&gt;0,INDEX('計算A'!AL$110:AL$114,$F13+1)+IF(AND($E13=1,JY13=0),1000,0),MIN(TV13,20)*400+(IF('計算A'!AK$106=1,1-EI13,0)+IF('計算A'!AL$106=1,1-EK13,0))*150+112+'計算A'!AL$5*100000+IF(AND($E13=1,JY13=0),50000,0))+IF($H13=1,(IF('計算A'!AK$117=1,INDEX('計算A'!AK$10:AK$54,$B13),0)+IF('計算A'!AL$117=1,INDEX('計算A'!AM$10:AM$54,$B13),0))*4000,0)-IF(AND('計算A'!AK$117=1,VI13&gt;0),2000,0)-IF(AND($L13=1,'計算A'!AL$117=1,EK13=0),2000,0))),1000000))</f>
        <v/>
      </c>
      <c r="PO13">
        <f>IF($B13=0,1000000,IF(INDEX('計算A'!$D$60:$EQ$104,$B13,36)*EK13=1,IF(AND($E13=2,JZ13=0),1000000,IF($I13&gt;0,IF(2=$J13,IF(OR(AND(36=$I13+1,OR($K13&lt;&gt;'計算A'!$A$3,'計算A'!$A$4=0)),AND(36=$I13-1,OR(12&lt;&gt;'計算A'!$A$3,'計算A'!$A$4=0))),0,IF(12=$K13,200000,ABS(12-$K13)*100)),100000+ABS(2-$J13)*1000+120)+'計算A'!AM$5*50+IF(AND($E13=1,JZ13=0),25,0),IF($F13&gt;0,INDEX('計算A'!AM$110:AM$114,$F13+1)+IF(AND($E13=1,JZ13=0),1000,0),MIN(TV13,20)*400+(IF('計算A'!AL$106=1,1-EJ13,0)+IF('計算A'!AM$106=1,1-EL13,0))*150+122+'計算A'!AM$5*100000+IF(AND($E13=1,JZ13=0),50000,0))+IF($H13=1,(IF('計算A'!AL$117=1,INDEX('計算A'!AL$10:AL$54,$B13),0)+IF('計算A'!AM$117=1,INDEX('計算A'!AN$10:AN$54,$B13),0))*4000,0)-IF(AND('計算A'!AL$117=1,VJ13&gt;0),2000,0)-IF(AND($L13=1,'計算A'!AM$117=1,EL13=0),2000,0))),1000000))</f>
        <v/>
      </c>
      <c r="PP13">
        <f>IF($B13=0,1000000,IF(INDEX('計算A'!$D$60:$EQ$104,$B13,37)*EL13=1,IF(AND($E13=2,KA13=0),1000000,IF($I13&gt;0,IF(2=$J13,IF(OR(AND(37=$I13+1,OR($K13&lt;&gt;'計算A'!$A$3,'計算A'!$A$4=0)),AND(37=$I13-1,OR(13&lt;&gt;'計算A'!$A$3,'計算A'!$A$4=0))),0,IF(13=$K13,200000,ABS(13-$K13)*100)),100000+ABS(2-$J13)*1000+130)+'計算A'!AN$5*50+IF(AND($E13=1,KA13=0),25,0),IF($F13&gt;0,INDEX('計算A'!AN$110:AN$114,$F13+1)+IF(AND($E13=1,KA13=0),1000,0),MIN(TV13,20)*400+(IF('計算A'!AM$106=1,1-EK13,0)+IF('計算A'!AN$106=1,1-EM13,0))*150+132+'計算A'!AN$5*100000+IF(AND($E13=1,KA13=0),50000,0))+IF($H13=1,(IF('計算A'!AM$117=1,INDEX('計算A'!AM$10:AM$54,$B13),0)+IF('計算A'!AN$117=1,INDEX('計算A'!AO$10:AO$54,$B13),0))*4000,0)-IF(AND('計算A'!AM$117=1,VK13&gt;0),2000,0)-IF(AND($L13=1,'計算A'!AN$117=1,EM13=0),2000,0))),1000000))</f>
        <v/>
      </c>
      <c r="PQ13">
        <f>IF($B13=0,1000000,IF(INDEX('計算A'!$D$60:$EQ$104,$B13,38)*EM13=1,IF(AND($E13=2,KB13=0),1000000,IF($I13&gt;0,IF(2=$J13,IF(OR(AND(38=$I13+1,OR($K13&lt;&gt;'計算A'!$A$3,'計算A'!$A$4=0)),AND(38=$I13-1,OR(14&lt;&gt;'計算A'!$A$3,'計算A'!$A$4=0))),0,IF(14=$K13,200000,ABS(14-$K13)*100)),100000+ABS(2-$J13)*1000+140)+'計算A'!AO$5*50+IF(AND($E13=1,KB13=0),25,0),IF($F13&gt;0,INDEX('計算A'!AO$110:AO$114,$F13+1)+IF(AND($E13=1,KB13=0),1000,0),MIN(TV13,20)*400+(IF('計算A'!AN$106=1,1-EL13,0)+IF('計算A'!AO$106=1,1-EN13,0))*150+142+'計算A'!AO$5*100000+IF(AND($E13=1,KB13=0),50000,0))+IF($H13=1,(IF('計算A'!AN$117=1,INDEX('計算A'!AN$10:AN$54,$B13),0)+IF('計算A'!AO$117=1,INDEX('計算A'!AP$10:AP$54,$B13),0))*4000,0)-IF(AND('計算A'!AN$117=1,VL13&gt;0),2000,0)-IF(AND($L13=1,'計算A'!AO$117=1,EN13=0),2000,0))),1000000))</f>
        <v/>
      </c>
      <c r="PR13">
        <f>IF($B13=0,1000000,IF(INDEX('計算A'!$D$60:$EQ$104,$B13,39)*EN13=1,IF(AND($E13=2,KC13=0),1000000,IF($I13&gt;0,IF(2=$J13,IF(OR(AND(39=$I13+1,OR($K13&lt;&gt;'計算A'!$A$3,'計算A'!$A$4=0)),AND(39=$I13-1,OR(15&lt;&gt;'計算A'!$A$3,'計算A'!$A$4=0))),0,IF(15=$K13,200000,ABS(15-$K13)*100)),100000+ABS(2-$J13)*1000+150)+'計算A'!AP$5*50+IF(AND($E13=1,KC13=0),25,0),IF($F13&gt;0,INDEX('計算A'!AP$110:AP$114,$F13+1)+IF(AND($E13=1,KC13=0),1000,0),MIN(TV13,20)*400+(IF('計算A'!AO$106=1,1-EM13,0)+IF('計算A'!AP$106=1,1-EO13,0))*150+152+'計算A'!AP$5*100000+IF(AND($E13=1,KC13=0),50000,0))+IF($H13=1,(IF('計算A'!AO$117=1,INDEX('計算A'!AO$10:AO$54,$B13),0)+IF('計算A'!AP$117=1,INDEX('計算A'!AQ$10:AQ$54,$B13),0))*4000,0)-IF(AND('計算A'!AO$117=1,VM13&gt;0),2000,0)-IF(AND($L13=1,'計算A'!AP$117=1,EO13=0),2000,0))),1000000))</f>
        <v/>
      </c>
      <c r="PS13">
        <f>IF($B13=0,1000000,IF(INDEX('計算A'!$D$60:$EQ$104,$B13,40)*EO13=1,IF(AND($E13=2,KD13=0),1000000,IF($I13&gt;0,IF(2=$J13,IF(OR(AND(40=$I13+1,OR($K13&lt;&gt;'計算A'!$A$3,'計算A'!$A$4=0)),AND(40=$I13-1,OR(16&lt;&gt;'計算A'!$A$3,'計算A'!$A$4=0))),0,IF(16=$K13,200000,ABS(16-$K13)*100)),100000+ABS(2-$J13)*1000+160)+'計算A'!AQ$5*50+IF(AND($E13=1,KD13=0),25,0),IF($F13&gt;0,INDEX('計算A'!AQ$110:AQ$114,$F13+1)+IF(AND($E13=1,KD13=0),1000,0),MIN(TV13,20)*400+(IF('計算A'!AP$106=1,1-EN13,0)+IF('計算A'!AQ$106=1,1-EP13,0))*150+162+'計算A'!AQ$5*100000+IF(AND($E13=1,KD13=0),50000,0))+IF($H13=1,(IF('計算A'!AP$117=1,INDEX('計算A'!AP$10:AP$54,$B13),0)+IF('計算A'!AQ$117=1,INDEX('計算A'!AR$10:AR$54,$B13),0))*4000,0)-IF(AND('計算A'!AP$117=1,VN13&gt;0),2000,0)-IF(AND($L13=1,'計算A'!AQ$117=1,EP13=0),2000,0))),1000000))</f>
        <v/>
      </c>
      <c r="PT13">
        <f>IF($B13=0,1000000,IF(INDEX('計算A'!$D$60:$EQ$104,$B13,41)*EP13=1,IF(AND($E13=2,KE13=0),1000000,IF($I13&gt;0,IF(2=$J13,IF(OR(AND(41=$I13+1,OR($K13&lt;&gt;'計算A'!$A$3,'計算A'!$A$4=0)),AND(41=$I13-1,OR(17&lt;&gt;'計算A'!$A$3,'計算A'!$A$4=0))),0,IF(17=$K13,200000,ABS(17-$K13)*100)),100000+ABS(2-$J13)*1000+170)+'計算A'!AR$5*50+IF(AND($E13=1,KE13=0),25,0),IF($F13&gt;0,INDEX('計算A'!AR$110:AR$114,$F13+1)+IF(AND($E13=1,KE13=0),1000,0),MIN(TV13,20)*400+(IF('計算A'!AQ$106=1,1-EO13,0)+IF('計算A'!AR$106=1,1-EQ13,0))*150+172+'計算A'!AR$5*100000+IF(AND($E13=1,KE13=0),50000,0))+IF($H13=1,(IF('計算A'!AQ$117=1,INDEX('計算A'!AQ$10:AQ$54,$B13),0)+IF('計算A'!AR$117=1,INDEX('計算A'!AS$10:AS$54,$B13),0))*4000,0)-IF(AND('計算A'!AQ$117=1,VO13&gt;0),2000,0)-IF(AND($L13=1,'計算A'!AR$117=1,EQ13=0),2000,0))),1000000))</f>
        <v/>
      </c>
      <c r="PU13">
        <f>IF($B13=0,1000000,IF(INDEX('計算A'!$D$60:$EQ$104,$B13,42)*EQ13=1,IF(AND($E13=2,KF13=0),1000000,IF($I13&gt;0,IF(2=$J13,IF(OR(AND(42=$I13+1,OR($K13&lt;&gt;'計算A'!$A$3,'計算A'!$A$4=0)),AND(42=$I13-1,OR(18&lt;&gt;'計算A'!$A$3,'計算A'!$A$4=0))),0,IF(18=$K13,200000,ABS(18-$K13)*100)),100000+ABS(2-$J13)*1000+180)+'計算A'!AS$5*50+IF(AND($E13=1,KF13=0),25,0),IF($F13&gt;0,INDEX('計算A'!AS$110:AS$114,$F13+1)+IF(AND($E13=1,KF13=0),1000,0),MIN(TV13,20)*400+(IF('計算A'!AR$106=1,1-EP13,0)+IF('計算A'!AS$106=1,1-ER13,0))*150+182+'計算A'!AS$5*100000+IF(AND($E13=1,KF13=0),50000,0))+IF($H13=1,(IF('計算A'!AR$117=1,INDEX('計算A'!AR$10:AR$54,$B13),0)+IF('計算A'!AS$117=1,INDEX('計算A'!AT$10:AT$54,$B13),0))*4000,0)-IF(AND('計算A'!AR$117=1,VP13&gt;0),2000,0)-IF(AND($L13=1,'計算A'!AS$117=1,ER13=0),2000,0))),1000000))</f>
        <v/>
      </c>
      <c r="PV13">
        <f>IF($B13=0,1000000,IF(INDEX('計算A'!$D$60:$EQ$104,$B13,43)*ER13=1,IF(AND($E13=2,KG13=0),1000000,IF($I13&gt;0,IF(2=$J13,IF(OR(AND(43=$I13+1,OR($K13&lt;&gt;'計算A'!$A$3,'計算A'!$A$4=0)),AND(43=$I13-1,OR(19&lt;&gt;'計算A'!$A$3,'計算A'!$A$4=0))),0,IF(19=$K13,200000,ABS(19-$K13)*100)),100000+ABS(2-$J13)*1000+190)+'計算A'!AT$5*50+IF(AND($E13=1,KG13=0),25,0),IF($F13&gt;0,INDEX('計算A'!AT$110:AT$114,$F13+1)+IF(AND($E13=1,KG13=0),1000,0),MIN(TV13,20)*400+(IF('計算A'!AS$106=1,1-EQ13,0)+IF('計算A'!AT$106=1,1-ES13,0))*150+192+'計算A'!AT$5*100000+IF(AND($E13=1,KG13=0),50000,0))+IF($H13=1,(IF('計算A'!AS$117=1,INDEX('計算A'!AS$10:AS$54,$B13),0)+IF('計算A'!AT$117=1,INDEX('計算A'!AU$10:AU$54,$B13),0))*4000,0)-IF(AND('計算A'!AS$117=1,VQ13&gt;0),2000,0)-IF(AND($L13=1,'計算A'!AT$117=1,ES13=0),2000,0))),1000000))</f>
        <v/>
      </c>
      <c r="PW13">
        <f>IF($B13=0,1000000,IF(INDEX('計算A'!$D$60:$EQ$104,$B13,44)*ES13=1,IF(AND($E13=2,KH13=0),1000000,IF($I13&gt;0,IF(2=$J13,IF(OR(AND(44=$I13+1,OR($K13&lt;&gt;'計算A'!$A$3,'計算A'!$A$4=0)),AND(44=$I13-1,OR(20&lt;&gt;'計算A'!$A$3,'計算A'!$A$4=0))),0,IF(20=$K13,200000,ABS(20-$K13)*100)),100000+ABS(2-$J13)*1000+200)+'計算A'!AU$5*50+IF(AND($E13=1,KH13=0),25,0),IF($F13&gt;0,INDEX('計算A'!AU$110:AU$114,$F13+1)+IF(AND($E13=1,KH13=0),1000,0),MIN(TV13,20)*400+(IF('計算A'!AT$106=1,1-ER13,0)+IF('計算A'!AU$106=1,1-ET13,0))*150+202+'計算A'!AU$5*100000+IF(AND($E13=1,KH13=0),50000,0))+IF($H13=1,(IF('計算A'!AT$117=1,INDEX('計算A'!AT$10:AT$54,$B13),0)+IF('計算A'!AU$117=1,INDEX('計算A'!AV$10:AV$54,$B13),0))*4000,0)-IF(AND('計算A'!AT$117=1,VR13&gt;0),2000,0)-IF(AND($L13=1,'計算A'!AU$117=1,ET13=0),2000,0))),1000000))</f>
        <v/>
      </c>
      <c r="PX13">
        <f>IF($B13=0,1000000,IF(INDEX('計算A'!$D$60:$EQ$104,$B13,45)*ET13=1,IF(AND($E13=2,KI13=0),1000000,IF($I13&gt;0,IF(2=$J13,IF(OR(AND(45=$I13+1,OR($K13&lt;&gt;'計算A'!$A$3,'計算A'!$A$4=0)),AND(45=$I13-1,OR(21&lt;&gt;'計算A'!$A$3,'計算A'!$A$4=0))),0,IF(21=$K13,200000,ABS(21-$K13)*100)),100000+ABS(2-$J13)*1000+210)+'計算A'!AV$5*50+IF(AND($E13=1,KI13=0),25,0),IF($F13&gt;0,INDEX('計算A'!AV$110:AV$114,$F13+1)+IF(AND($E13=1,KI13=0),1000,0),MIN(TV13,20)*400+(IF('計算A'!AU$106=1,1-ES13,0)+IF('計算A'!AV$106=1,1-EU13,0))*150+212+'計算A'!AV$5*100000+IF(AND($E13=1,KI13=0),50000,0))+IF($H13=1,(IF('計算A'!AU$117=1,INDEX('計算A'!AU$10:AU$54,$B13),0)+IF('計算A'!AV$117=1,INDEX('計算A'!AW$10:AW$54,$B13),0))*4000,0)-IF(AND('計算A'!AU$117=1,VS13&gt;0),2000,0)-IF(AND($L13=1,'計算A'!AV$117=1,EU13=0),2000,0))),1000000))</f>
        <v/>
      </c>
      <c r="PY13">
        <f>IF($B13=0,1000000,IF(INDEX('計算A'!$D$60:$EQ$104,$B13,46)*EU13=1,IF(AND($E13=2,KJ13=0),1000000,IF($I13&gt;0,IF(2=$J13,IF(OR(AND(46=$I13+1,OR($K13&lt;&gt;'計算A'!$A$3,'計算A'!$A$4=0)),AND(46=$I13-1,OR(22&lt;&gt;'計算A'!$A$3,'計算A'!$A$4=0))),0,IF(22=$K13,200000,ABS(22-$K13)*100)),100000+ABS(2-$J13)*1000+220)+'計算A'!AW$5*50+IF(AND($E13=1,KJ13=0),25,0),IF($F13&gt;0,INDEX('計算A'!AW$110:AW$114,$F13+1)+IF(AND($E13=1,KJ13=0),1000,0),MIN(TV13,20)*400+(IF('計算A'!AV$106=1,1-ET13,0)+IF('計算A'!AW$106=1,1-EV13,0))*150+222+'計算A'!AW$5*100000+IF(AND($E13=1,KJ13=0),50000,0))+IF($H13=1,(IF('計算A'!AV$117=1,INDEX('計算A'!AV$10:AV$54,$B13),0)+IF('計算A'!AW$117=1,INDEX('計算A'!AX$10:AX$54,$B13),0))*4000,0)-IF(AND('計算A'!AV$117=1,VT13&gt;0),2000,0)-IF(AND($L13=1,'計算A'!AW$117=1,EV13=0),2000,0))),1000000))</f>
        <v/>
      </c>
      <c r="PZ13">
        <f>IF($B13=0,1000000,IF(INDEX('計算A'!$D$60:$EQ$104,$B13,47)*EV13=1,IF(AND($E13=2,KK13=0),1000000,IF($I13&gt;0,IF(2=$J13,IF(OR(AND(47=$I13+1,OR($K13&lt;&gt;'計算A'!$A$3,'計算A'!$A$4=0)),AND(47=$I13-1,OR(23&lt;&gt;'計算A'!$A$3,'計算A'!$A$4=0))),0,IF(23=$K13,200000,ABS(23-$K13)*100)),100000+ABS(2-$J13)*1000+230)+'計算A'!AX$5*50+IF(AND($E13=1,KK13=0),25,0),IF($F13&gt;0,INDEX('計算A'!AX$110:AX$114,$F13+1)+IF(AND($E13=1,KK13=0),1000,0),MIN(TV13,20)*400+(IF('計算A'!AW$106=1,1-EU13,0)+IF('計算A'!AX$106=1,1-EW13,0))*150+232+'計算A'!AX$5*100000+IF(AND($E13=1,KK13=0),50000,0))+IF($H13=1,(IF('計算A'!AW$117=1,INDEX('計算A'!AW$10:AW$54,$B13),0)+IF('計算A'!AX$117=1,INDEX('計算A'!AY$10:AY$54,$B13),0))*4000,0)-IF(AND('計算A'!AW$117=1,VU13&gt;0),2000,0)-IF(AND($L13=1,'計算A'!AX$117=1,EW13=0),2000,0))),1000000))</f>
        <v/>
      </c>
      <c r="QA13">
        <f>IF($B13=0,1000000,IF(INDEX('計算A'!$D$60:$EQ$104,$B13,48)*EW13=1,IF(AND($E13=2,KL13=0),1000000,IF($I13&gt;0,IF(2=$J13,IF(OR(AND(48=$I13+1,OR($K13&lt;&gt;'計算A'!$A$3,'計算A'!$A$4=0)),AND(48=$I13-1,OR(24&lt;&gt;'計算A'!$A$3,'計算A'!$A$4=0))),0,IF(24=$K13,200000,ABS(24-$K13)*100)),100000+ABS(2-$J13)*1000+240)+'計算A'!AY$5*50+IF(AND($E13=1,KL13=0),25,0),IF($F13&gt;0,INDEX('計算A'!AY$110:AY$114,$F13+1)+IF(AND($E13=1,KL13=0),1000,0),MIN(TV13,20)*400+(IF('計算A'!AX$106=1,1-EV13,0))*150+242+'計算A'!AY$5*100000+IF(AND($E13=1,KL13=0),50000,0))+IF($H13=1,(IF('計算A'!AX$117=1,INDEX('計算A'!AX$10:AX$54,$B13),0))*4000,0)-IF(AND('計算A'!AX$117=1,VV13&gt;0),2000,0))),1000000))</f>
        <v/>
      </c>
      <c r="QB13">
        <f>IF($B13=0,1000000,IF(INDEX('計算A'!$D$60:$EQ$104,$B13,49)*EX13=1,IF(AND($E13=2,KM13=0),1000000,IF($I13&gt;0,IF(3=$J13,IF(OR(AND(49=$I13+1,OR($K13&lt;&gt;'計算A'!$A$3,'計算A'!$A$4=0)),AND(49=$I13-1,OR(1&lt;&gt;'計算A'!$A$3,'計算A'!$A$4=0))),0,IF(1=$K13,200000,ABS(1-$K13)*100)),100000+ABS(3-$J13)*1000+10)+'計算A'!AZ$5*50+IF(AND($E13=1,KM13=0),25,0),IF($F13&gt;0,INDEX('計算A'!AZ$110:AZ$114,$F13+1)+IF(AND($E13=1,KM13=0),1000,0),MIN(TW13,20)*400+(IF('計算A'!AZ$106=1,1-EY13,0))*150+13+'計算A'!AZ$5*100000+IF(AND($E13=1,KM13=0),50000,0))+IF($H13=1,(IF('計算A'!AZ$117=1,INDEX('計算A'!BA$10:BA$54,$B13),0))*4000,0)-IF(AND($L13=1,'計算A'!AZ$117=1,EY13=0),2000,0))),1000000))</f>
        <v/>
      </c>
      <c r="QC13">
        <f>IF($B13=0,1000000,IF(INDEX('計算A'!$D$60:$EQ$104,$B13,50)*EY13=1,IF(AND($E13=2,KN13=0),1000000,IF($I13&gt;0,IF(3=$J13,IF(OR(AND(50=$I13+1,OR($K13&lt;&gt;'計算A'!$A$3,'計算A'!$A$4=0)),AND(50=$I13-1,OR(2&lt;&gt;'計算A'!$A$3,'計算A'!$A$4=0))),0,IF(2=$K13,200000,ABS(2-$K13)*100)),100000+ABS(3-$J13)*1000+20)+'計算A'!BA$5*50+IF(AND($E13=1,KN13=0),25,0),IF($F13&gt;0,INDEX('計算A'!BA$110:BA$114,$F13+1)+IF(AND($E13=1,KN13=0),1000,0),MIN(TW13,20)*400+(IF('計算A'!AZ$106=1,1-EX13,0)+IF('計算A'!BA$106=1,1-EZ13,0))*150+23+'計算A'!BA$5*100000+IF(AND($E13=1,KN13=0),50000,0))+IF($H13=1,(IF('計算A'!AZ$117=1,INDEX('計算A'!AZ$10:AZ$54,$B13),0)+IF('計算A'!BA$117=1,INDEX('計算A'!BB$10:BB$54,$B13),0))*4000,0)-IF(AND('計算A'!AZ$117=1,VX13&gt;0),2000,0)-IF(AND($L13=1,'計算A'!BA$117=1,EZ13=0),2000,0))),1000000))</f>
        <v/>
      </c>
      <c r="QD13">
        <f>IF($B13=0,1000000,IF(INDEX('計算A'!$D$60:$EQ$104,$B13,51)*EZ13=1,IF(AND($E13=2,KO13=0),1000000,IF($I13&gt;0,IF(3=$J13,IF(OR(AND(51=$I13+1,OR($K13&lt;&gt;'計算A'!$A$3,'計算A'!$A$4=0)),AND(51=$I13-1,OR(3&lt;&gt;'計算A'!$A$3,'計算A'!$A$4=0))),0,IF(3=$K13,200000,ABS(3-$K13)*100)),100000+ABS(3-$J13)*1000+30)+'計算A'!BB$5*50+IF(AND($E13=1,KO13=0),25,0),IF($F13&gt;0,INDEX('計算A'!BB$110:BB$114,$F13+1)+IF(AND($E13=1,KO13=0),1000,0),MIN(TW13,20)*400+(IF('計算A'!BA$106=1,1-EY13,0)+IF('計算A'!BB$106=1,1-FA13,0))*150+33+'計算A'!BB$5*100000+IF(AND($E13=1,KO13=0),50000,0))+IF($H13=1,(IF('計算A'!BA$117=1,INDEX('計算A'!BA$10:BA$54,$B13),0)+IF('計算A'!BB$117=1,INDEX('計算A'!BC$10:BC$54,$B13),0))*4000,0)-IF(AND('計算A'!BA$117=1,VY13&gt;0),2000,0)-IF(AND($L13=1,'計算A'!BB$117=1,FA13=0),2000,0))),1000000))</f>
        <v/>
      </c>
      <c r="QE13">
        <f>IF($B13=0,1000000,IF(INDEX('計算A'!$D$60:$EQ$104,$B13,52)*FA13=1,IF(AND($E13=2,KP13=0),1000000,IF($I13&gt;0,IF(3=$J13,IF(OR(AND(52=$I13+1,OR($K13&lt;&gt;'計算A'!$A$3,'計算A'!$A$4=0)),AND(52=$I13-1,OR(4&lt;&gt;'計算A'!$A$3,'計算A'!$A$4=0))),0,IF(4=$K13,200000,ABS(4-$K13)*100)),100000+ABS(3-$J13)*1000+40)+'計算A'!BC$5*50+IF(AND($E13=1,KP13=0),25,0),IF($F13&gt;0,INDEX('計算A'!BC$110:BC$114,$F13+1)+IF(AND($E13=1,KP13=0),1000,0),MIN(TW13,20)*400+(IF('計算A'!BB$106=1,1-EZ13,0)+IF('計算A'!BC$106=1,1-FB13,0))*150+43+'計算A'!BC$5*100000+IF(AND($E13=1,KP13=0),50000,0))+IF($H13=1,(IF('計算A'!BB$117=1,INDEX('計算A'!BB$10:BB$54,$B13),0)+IF('計算A'!BC$117=1,INDEX('計算A'!BD$10:BD$54,$B13),0))*4000,0)-IF(AND('計算A'!BB$117=1,VZ13&gt;0),2000,0)-IF(AND($L13=1,'計算A'!BC$117=1,FB13=0),2000,0))),1000000))</f>
        <v/>
      </c>
      <c r="QF13">
        <f>IF($B13=0,1000000,IF(INDEX('計算A'!$D$60:$EQ$104,$B13,53)*FB13=1,IF(AND($E13=2,KQ13=0),1000000,IF($I13&gt;0,IF(3=$J13,IF(OR(AND(53=$I13+1,OR($K13&lt;&gt;'計算A'!$A$3,'計算A'!$A$4=0)),AND(53=$I13-1,OR(5&lt;&gt;'計算A'!$A$3,'計算A'!$A$4=0))),0,IF(5=$K13,200000,ABS(5-$K13)*100)),100000+ABS(3-$J13)*1000+50)+'計算A'!BD$5*50+IF(AND($E13=1,KQ13=0),25,0),IF($F13&gt;0,INDEX('計算A'!BD$110:BD$114,$F13+1)+IF(AND($E13=1,KQ13=0),1000,0),MIN(TW13,20)*400+(IF('計算A'!BC$106=1,1-FA13,0)+IF('計算A'!BD$106=1,1-FC13,0))*150+53+'計算A'!BD$5*100000+IF(AND($E13=1,KQ13=0),50000,0))+IF($H13=1,(IF('計算A'!BC$117=1,INDEX('計算A'!BC$10:BC$54,$B13),0)+IF('計算A'!BD$117=1,INDEX('計算A'!BE$10:BE$54,$B13),0))*4000,0)-IF(AND('計算A'!BC$117=1,WA13&gt;0),2000,0)-IF(AND($L13=1,'計算A'!BD$117=1,FC13=0),2000,0))),1000000))</f>
        <v/>
      </c>
      <c r="QG13">
        <f>IF($B13=0,1000000,IF(INDEX('計算A'!$D$60:$EQ$104,$B13,54)*FC13=1,IF(AND($E13=2,KR13=0),1000000,IF($I13&gt;0,IF(3=$J13,IF(OR(AND(54=$I13+1,OR($K13&lt;&gt;'計算A'!$A$3,'計算A'!$A$4=0)),AND(54=$I13-1,OR(6&lt;&gt;'計算A'!$A$3,'計算A'!$A$4=0))),0,IF(6=$K13,200000,ABS(6-$K13)*100)),100000+ABS(3-$J13)*1000+60)+'計算A'!BE$5*50+IF(AND($E13=1,KR13=0),25,0),IF($F13&gt;0,INDEX('計算A'!BE$110:BE$114,$F13+1)+IF(AND($E13=1,KR13=0),1000,0),MIN(TW13,20)*400+(IF('計算A'!BD$106=1,1-FB13,0)+IF('計算A'!BE$106=1,1-FD13,0))*150+63+'計算A'!BE$5*100000+IF(AND($E13=1,KR13=0),50000,0))+IF($H13=1,(IF('計算A'!BD$117=1,INDEX('計算A'!BD$10:BD$54,$B13),0)+IF('計算A'!BE$117=1,INDEX('計算A'!BF$10:BF$54,$B13),0))*4000,0)-IF(AND('計算A'!BD$117=1,WB13&gt;0),2000,0)-IF(AND($L13=1,'計算A'!BE$117=1,FD13=0),2000,0))),1000000))</f>
        <v/>
      </c>
      <c r="QH13">
        <f>IF($B13=0,1000000,IF(INDEX('計算A'!$D$60:$EQ$104,$B13,55)*FD13=1,IF(AND($E13=2,KS13=0),1000000,IF($I13&gt;0,IF(3=$J13,IF(OR(AND(55=$I13+1,OR($K13&lt;&gt;'計算A'!$A$3,'計算A'!$A$4=0)),AND(55=$I13-1,OR(7&lt;&gt;'計算A'!$A$3,'計算A'!$A$4=0))),0,IF(7=$K13,200000,ABS(7-$K13)*100)),100000+ABS(3-$J13)*1000+70)+'計算A'!BF$5*50+IF(AND($E13=1,KS13=0),25,0),IF($F13&gt;0,INDEX('計算A'!BF$110:BF$114,$F13+1)+IF(AND($E13=1,KS13=0),1000,0),MIN(TW13,20)*400+(IF('計算A'!BE$106=1,1-FC13,0)+IF('計算A'!BF$106=1,1-FE13,0))*150+73+'計算A'!BF$5*100000+IF(AND($E13=1,KS13=0),50000,0))+IF($H13=1,(IF('計算A'!BE$117=1,INDEX('計算A'!BE$10:BE$54,$B13),0)+IF('計算A'!BF$117=1,INDEX('計算A'!BG$10:BG$54,$B13),0))*4000,0)-IF(AND('計算A'!BE$117=1,WC13&gt;0),2000,0)-IF(AND($L13=1,'計算A'!BF$117=1,FE13=0),2000,0))),1000000))</f>
        <v/>
      </c>
      <c r="QI13">
        <f>IF($B13=0,1000000,IF(INDEX('計算A'!$D$60:$EQ$104,$B13,56)*FE13=1,IF(AND($E13=2,KT13=0),1000000,IF($I13&gt;0,IF(3=$J13,IF(OR(AND(56=$I13+1,OR($K13&lt;&gt;'計算A'!$A$3,'計算A'!$A$4=0)),AND(56=$I13-1,OR(8&lt;&gt;'計算A'!$A$3,'計算A'!$A$4=0))),0,IF(8=$K13,200000,ABS(8-$K13)*100)),100000+ABS(3-$J13)*1000+80)+'計算A'!BG$5*50+IF(AND($E13=1,KT13=0),25,0),IF($F13&gt;0,INDEX('計算A'!BG$110:BG$114,$F13+1)+IF(AND($E13=1,KT13=0),1000,0),MIN(TW13,20)*400+(IF('計算A'!BF$106=1,1-FD13,0)+IF('計算A'!BG$106=1,1-FF13,0))*150+83+'計算A'!BG$5*100000+IF(AND($E13=1,KT13=0),50000,0))+IF($H13=1,(IF('計算A'!BF$117=1,INDEX('計算A'!BF$10:BF$54,$B13),0)+IF('計算A'!BG$117=1,INDEX('計算A'!BH$10:BH$54,$B13),0))*4000,0)-IF(AND('計算A'!BF$117=1,WD13&gt;0),2000,0)-IF(AND($L13=1,'計算A'!BG$117=1,FF13=0),2000,0))),1000000))</f>
        <v/>
      </c>
      <c r="QJ13">
        <f>IF($B13=0,1000000,IF(INDEX('計算A'!$D$60:$EQ$104,$B13,57)*FF13=1,IF(AND($E13=2,KU13=0),1000000,IF($I13&gt;0,IF(3=$J13,IF(OR(AND(57=$I13+1,OR($K13&lt;&gt;'計算A'!$A$3,'計算A'!$A$4=0)),AND(57=$I13-1,OR(9&lt;&gt;'計算A'!$A$3,'計算A'!$A$4=0))),0,IF(9=$K13,200000,ABS(9-$K13)*100)),100000+ABS(3-$J13)*1000+90)+'計算A'!BH$5*50+IF(AND($E13=1,KU13=0),25,0),IF($F13&gt;0,INDEX('計算A'!BH$110:BH$114,$F13+1)+IF(AND($E13=1,KU13=0),1000,0),MIN(TW13,20)*400+(IF('計算A'!BG$106=1,1-FE13,0)+IF('計算A'!BH$106=1,1-FG13,0))*150+93+'計算A'!BH$5*100000+IF(AND($E13=1,KU13=0),50000,0))+IF($H13=1,(IF('計算A'!BG$117=1,INDEX('計算A'!BG$10:BG$54,$B13),0)+IF('計算A'!BH$117=1,INDEX('計算A'!BI$10:BI$54,$B13),0))*4000,0)-IF(AND('計算A'!BG$117=1,WE13&gt;0),2000,0)-IF(AND($L13=1,'計算A'!BH$117=1,FG13=0),2000,0))),1000000))</f>
        <v/>
      </c>
      <c r="QK13">
        <f>IF($B13=0,1000000,IF(INDEX('計算A'!$D$60:$EQ$104,$B13,58)*FG13=1,IF(AND($E13=2,KV13=0),1000000,IF($I13&gt;0,IF(3=$J13,IF(OR(AND(58=$I13+1,OR($K13&lt;&gt;'計算A'!$A$3,'計算A'!$A$4=0)),AND(58=$I13-1,OR(10&lt;&gt;'計算A'!$A$3,'計算A'!$A$4=0))),0,IF(10=$K13,200000,ABS(10-$K13)*100)),100000+ABS(3-$J13)*1000+100)+'計算A'!BI$5*50+IF(AND($E13=1,KV13=0),25,0),IF($F13&gt;0,INDEX('計算A'!BI$110:BI$114,$F13+1)+IF(AND($E13=1,KV13=0),1000,0),MIN(TW13,20)*400+(IF('計算A'!BH$106=1,1-FF13,0)+IF('計算A'!BI$106=1,1-FH13,0))*150+103+'計算A'!BI$5*100000+IF(AND($E13=1,KV13=0),50000,0))+IF($H13=1,(IF('計算A'!BH$117=1,INDEX('計算A'!BH$10:BH$54,$B13),0)+IF('計算A'!BI$117=1,INDEX('計算A'!BJ$10:BJ$54,$B13),0))*4000,0)-IF(AND('計算A'!BH$117=1,WF13&gt;0),2000,0)-IF(AND($L13=1,'計算A'!BI$117=1,FH13=0),2000,0))),1000000))</f>
        <v/>
      </c>
      <c r="QL13">
        <f>IF($B13=0,1000000,IF(INDEX('計算A'!$D$60:$EQ$104,$B13,59)*FH13=1,IF(AND($E13=2,KW13=0),1000000,IF($I13&gt;0,IF(3=$J13,IF(OR(AND(59=$I13+1,OR($K13&lt;&gt;'計算A'!$A$3,'計算A'!$A$4=0)),AND(59=$I13-1,OR(11&lt;&gt;'計算A'!$A$3,'計算A'!$A$4=0))),0,IF(11=$K13,200000,ABS(11-$K13)*100)),100000+ABS(3-$J13)*1000+110)+'計算A'!BJ$5*50+IF(AND($E13=1,KW13=0),25,0),IF($F13&gt;0,INDEX('計算A'!BJ$110:BJ$114,$F13+1)+IF(AND($E13=1,KW13=0),1000,0),MIN(TW13,20)*400+(IF('計算A'!BI$106=1,1-FG13,0)+IF('計算A'!BJ$106=1,1-FI13,0))*150+113+'計算A'!BJ$5*100000+IF(AND($E13=1,KW13=0),50000,0))+IF($H13=1,(IF('計算A'!BI$117=1,INDEX('計算A'!BI$10:BI$54,$B13),0)+IF('計算A'!BJ$117=1,INDEX('計算A'!BK$10:BK$54,$B13),0))*4000,0)-IF(AND('計算A'!BI$117=1,WG13&gt;0),2000,0)-IF(AND($L13=1,'計算A'!BJ$117=1,FI13=0),2000,0))),1000000))</f>
        <v/>
      </c>
      <c r="QM13">
        <f>IF($B13=0,1000000,IF(INDEX('計算A'!$D$60:$EQ$104,$B13,60)*FI13=1,IF(AND($E13=2,KX13=0),1000000,IF($I13&gt;0,IF(3=$J13,IF(OR(AND(60=$I13+1,OR($K13&lt;&gt;'計算A'!$A$3,'計算A'!$A$4=0)),AND(60=$I13-1,OR(12&lt;&gt;'計算A'!$A$3,'計算A'!$A$4=0))),0,IF(12=$K13,200000,ABS(12-$K13)*100)),100000+ABS(3-$J13)*1000+120)+'計算A'!BK$5*50+IF(AND($E13=1,KX13=0),25,0),IF($F13&gt;0,INDEX('計算A'!BK$110:BK$114,$F13+1)+IF(AND($E13=1,KX13=0),1000,0),MIN(TW13,20)*400+(IF('計算A'!BJ$106=1,1-FH13,0)+IF('計算A'!BK$106=1,1-FJ13,0))*150+123+'計算A'!BK$5*100000+IF(AND($E13=1,KX13=0),50000,0))+IF($H13=1,(IF('計算A'!BJ$117=1,INDEX('計算A'!BJ$10:BJ$54,$B13),0)+IF('計算A'!BK$117=1,INDEX('計算A'!BL$10:BL$54,$B13),0))*4000,0)-IF(AND('計算A'!BJ$117=1,WH13&gt;0),2000,0)-IF(AND($L13=1,'計算A'!BK$117=1,FJ13=0),2000,0))),1000000))</f>
        <v/>
      </c>
      <c r="QN13">
        <f>IF($B13=0,1000000,IF(INDEX('計算A'!$D$60:$EQ$104,$B13,61)*FJ13=1,IF(AND($E13=2,KY13=0),1000000,IF($I13&gt;0,IF(3=$J13,IF(OR(AND(61=$I13+1,OR($K13&lt;&gt;'計算A'!$A$3,'計算A'!$A$4=0)),AND(61=$I13-1,OR(13&lt;&gt;'計算A'!$A$3,'計算A'!$A$4=0))),0,IF(13=$K13,200000,ABS(13-$K13)*100)),100000+ABS(3-$J13)*1000+130)+'計算A'!BL$5*50+IF(AND($E13=1,KY13=0),25,0),IF($F13&gt;0,INDEX('計算A'!BL$110:BL$114,$F13+1)+IF(AND($E13=1,KY13=0),1000,0),MIN(TW13,20)*400+(IF('計算A'!BK$106=1,1-FI13,0)+IF('計算A'!BL$106=1,1-FK13,0))*150+133+'計算A'!BL$5*100000+IF(AND($E13=1,KY13=0),50000,0))+IF($H13=1,(IF('計算A'!BK$117=1,INDEX('計算A'!BK$10:BK$54,$B13),0)+IF('計算A'!BL$117=1,INDEX('計算A'!BM$10:BM$54,$B13),0))*4000,0)-IF(AND('計算A'!BK$117=1,WI13&gt;0),2000,0)-IF(AND($L13=1,'計算A'!BL$117=1,FK13=0),2000,0))),1000000))</f>
        <v/>
      </c>
      <c r="QO13">
        <f>IF($B13=0,1000000,IF(INDEX('計算A'!$D$60:$EQ$104,$B13,62)*FK13=1,IF(AND($E13=2,KZ13=0),1000000,IF($I13&gt;0,IF(3=$J13,IF(OR(AND(62=$I13+1,OR($K13&lt;&gt;'計算A'!$A$3,'計算A'!$A$4=0)),AND(62=$I13-1,OR(14&lt;&gt;'計算A'!$A$3,'計算A'!$A$4=0))),0,IF(14=$K13,200000,ABS(14-$K13)*100)),100000+ABS(3-$J13)*1000+140)+'計算A'!BM$5*50+IF(AND($E13=1,KZ13=0),25,0),IF($F13&gt;0,INDEX('計算A'!BM$110:BM$114,$F13+1)+IF(AND($E13=1,KZ13=0),1000,0),MIN(TW13,20)*400+(IF('計算A'!BL$106=1,1-FJ13,0)+IF('計算A'!BM$106=1,1-FL13,0))*150+143+'計算A'!BM$5*100000+IF(AND($E13=1,KZ13=0),50000,0))+IF($H13=1,(IF('計算A'!BL$117=1,INDEX('計算A'!BL$10:BL$54,$B13),0)+IF('計算A'!BM$117=1,INDEX('計算A'!BN$10:BN$54,$B13),0))*4000,0)-IF(AND('計算A'!BL$117=1,WJ13&gt;0),2000,0)-IF(AND($L13=1,'計算A'!BM$117=1,FL13=0),2000,0))),1000000))</f>
        <v/>
      </c>
      <c r="QP13">
        <f>IF($B13=0,1000000,IF(INDEX('計算A'!$D$60:$EQ$104,$B13,63)*FL13=1,IF(AND($E13=2,LA13=0),1000000,IF($I13&gt;0,IF(3=$J13,IF(OR(AND(63=$I13+1,OR($K13&lt;&gt;'計算A'!$A$3,'計算A'!$A$4=0)),AND(63=$I13-1,OR(15&lt;&gt;'計算A'!$A$3,'計算A'!$A$4=0))),0,IF(15=$K13,200000,ABS(15-$K13)*100)),100000+ABS(3-$J13)*1000+150)+'計算A'!BN$5*50+IF(AND($E13=1,LA13=0),25,0),IF($F13&gt;0,INDEX('計算A'!BN$110:BN$114,$F13+1)+IF(AND($E13=1,LA13=0),1000,0),MIN(TW13,20)*400+(IF('計算A'!BM$106=1,1-FK13,0)+IF('計算A'!BN$106=1,1-FM13,0))*150+153+'計算A'!BN$5*100000+IF(AND($E13=1,LA13=0),50000,0))+IF($H13=1,(IF('計算A'!BM$117=1,INDEX('計算A'!BM$10:BM$54,$B13),0)+IF('計算A'!BN$117=1,INDEX('計算A'!BO$10:BO$54,$B13),0))*4000,0)-IF(AND('計算A'!BM$117=1,WK13&gt;0),2000,0)-IF(AND($L13=1,'計算A'!BN$117=1,FM13=0),2000,0))),1000000))</f>
        <v/>
      </c>
      <c r="QQ13">
        <f>IF($B13=0,1000000,IF(INDEX('計算A'!$D$60:$EQ$104,$B13,64)*FM13=1,IF(AND($E13=2,LB13=0),1000000,IF($I13&gt;0,IF(3=$J13,IF(OR(AND(64=$I13+1,OR($K13&lt;&gt;'計算A'!$A$3,'計算A'!$A$4=0)),AND(64=$I13-1,OR(16&lt;&gt;'計算A'!$A$3,'計算A'!$A$4=0))),0,IF(16=$K13,200000,ABS(16-$K13)*100)),100000+ABS(3-$J13)*1000+160)+'計算A'!BO$5*50+IF(AND($E13=1,LB13=0),25,0),IF($F13&gt;0,INDEX('計算A'!BO$110:BO$114,$F13+1)+IF(AND($E13=1,LB13=0),1000,0),MIN(TW13,20)*400+(IF('計算A'!BN$106=1,1-FL13,0)+IF('計算A'!BO$106=1,1-FN13,0))*150+163+'計算A'!BO$5*100000+IF(AND($E13=1,LB13=0),50000,0))+IF($H13=1,(IF('計算A'!BN$117=1,INDEX('計算A'!BN$10:BN$54,$B13),0)+IF('計算A'!BO$117=1,INDEX('計算A'!BP$10:BP$54,$B13),0))*4000,0)-IF(AND('計算A'!BN$117=1,WL13&gt;0),2000,0)-IF(AND($L13=1,'計算A'!BO$117=1,FN13=0),2000,0))),1000000))</f>
        <v/>
      </c>
      <c r="QR13">
        <f>IF($B13=0,1000000,IF(INDEX('計算A'!$D$60:$EQ$104,$B13,65)*FN13=1,IF(AND($E13=2,LC13=0),1000000,IF($I13&gt;0,IF(3=$J13,IF(OR(AND(65=$I13+1,OR($K13&lt;&gt;'計算A'!$A$3,'計算A'!$A$4=0)),AND(65=$I13-1,OR(17&lt;&gt;'計算A'!$A$3,'計算A'!$A$4=0))),0,IF(17=$K13,200000,ABS(17-$K13)*100)),100000+ABS(3-$J13)*1000+170)+'計算A'!BP$5*50+IF(AND($E13=1,LC13=0),25,0),IF($F13&gt;0,INDEX('計算A'!BP$110:BP$114,$F13+1)+IF(AND($E13=1,LC13=0),1000,0),MIN(TW13,20)*400+(IF('計算A'!BO$106=1,1-FM13,0)+IF('計算A'!BP$106=1,1-FO13,0))*150+173+'計算A'!BP$5*100000+IF(AND($E13=1,LC13=0),50000,0))+IF($H13=1,(IF('計算A'!BO$117=1,INDEX('計算A'!BO$10:BO$54,$B13),0)+IF('計算A'!BP$117=1,INDEX('計算A'!BQ$10:BQ$54,$B13),0))*4000,0)-IF(AND('計算A'!BO$117=1,WM13&gt;0),2000,0)-IF(AND($L13=1,'計算A'!BP$117=1,FO13=0),2000,0))),1000000))</f>
        <v/>
      </c>
      <c r="QS13">
        <f>IF($B13=0,1000000,IF(INDEX('計算A'!$D$60:$EQ$104,$B13,66)*FO13=1,IF(AND($E13=2,LD13=0),1000000,IF($I13&gt;0,IF(3=$J13,IF(OR(AND(66=$I13+1,OR($K13&lt;&gt;'計算A'!$A$3,'計算A'!$A$4=0)),AND(66=$I13-1,OR(18&lt;&gt;'計算A'!$A$3,'計算A'!$A$4=0))),0,IF(18=$K13,200000,ABS(18-$K13)*100)),100000+ABS(3-$J13)*1000+180)+'計算A'!BQ$5*50+IF(AND($E13=1,LD13=0),25,0),IF($F13&gt;0,INDEX('計算A'!BQ$110:BQ$114,$F13+1)+IF(AND($E13=1,LD13=0),1000,0),MIN(TW13,20)*400+(IF('計算A'!BP$106=1,1-FN13,0)+IF('計算A'!BQ$106=1,1-FP13,0))*150+183+'計算A'!BQ$5*100000+IF(AND($E13=1,LD13=0),50000,0))+IF($H13=1,(IF('計算A'!BP$117=1,INDEX('計算A'!BP$10:BP$54,$B13),0)+IF('計算A'!BQ$117=1,INDEX('計算A'!BR$10:BR$54,$B13),0))*4000,0)-IF(AND('計算A'!BP$117=1,WN13&gt;0),2000,0)-IF(AND($L13=1,'計算A'!BQ$117=1,FP13=0),2000,0))),1000000))</f>
        <v/>
      </c>
      <c r="QT13">
        <f>IF($B13=0,1000000,IF(INDEX('計算A'!$D$60:$EQ$104,$B13,67)*FP13=1,IF(AND($E13=2,LE13=0),1000000,IF($I13&gt;0,IF(3=$J13,IF(OR(AND(67=$I13+1,OR($K13&lt;&gt;'計算A'!$A$3,'計算A'!$A$4=0)),AND(67=$I13-1,OR(19&lt;&gt;'計算A'!$A$3,'計算A'!$A$4=0))),0,IF(19=$K13,200000,ABS(19-$K13)*100)),100000+ABS(3-$J13)*1000+190)+'計算A'!BR$5*50+IF(AND($E13=1,LE13=0),25,0),IF($F13&gt;0,INDEX('計算A'!BR$110:BR$114,$F13+1)+IF(AND($E13=1,LE13=0),1000,0),MIN(TW13,20)*400+(IF('計算A'!BQ$106=1,1-FO13,0)+IF('計算A'!BR$106=1,1-FQ13,0))*150+193+'計算A'!BR$5*100000+IF(AND($E13=1,LE13=0),50000,0))+IF($H13=1,(IF('計算A'!BQ$117=1,INDEX('計算A'!BQ$10:BQ$54,$B13),0)+IF('計算A'!BR$117=1,INDEX('計算A'!BS$10:BS$54,$B13),0))*4000,0)-IF(AND('計算A'!BQ$117=1,WO13&gt;0),2000,0)-IF(AND($L13=1,'計算A'!BR$117=1,FQ13=0),2000,0))),1000000))</f>
        <v/>
      </c>
      <c r="QU13">
        <f>IF($B13=0,1000000,IF(INDEX('計算A'!$D$60:$EQ$104,$B13,68)*FQ13=1,IF(AND($E13=2,LF13=0),1000000,IF($I13&gt;0,IF(3=$J13,IF(OR(AND(68=$I13+1,OR($K13&lt;&gt;'計算A'!$A$3,'計算A'!$A$4=0)),AND(68=$I13-1,OR(20&lt;&gt;'計算A'!$A$3,'計算A'!$A$4=0))),0,IF(20=$K13,200000,ABS(20-$K13)*100)),100000+ABS(3-$J13)*1000+200)+'計算A'!BS$5*50+IF(AND($E13=1,LF13=0),25,0),IF($F13&gt;0,INDEX('計算A'!BS$110:BS$114,$F13+1)+IF(AND($E13=1,LF13=0),1000,0),MIN(TW13,20)*400+(IF('計算A'!BR$106=1,1-FP13,0)+IF('計算A'!BS$106=1,1-FR13,0))*150+203+'計算A'!BS$5*100000+IF(AND($E13=1,LF13=0),50000,0))+IF($H13=1,(IF('計算A'!BR$117=1,INDEX('計算A'!BR$10:BR$54,$B13),0)+IF('計算A'!BS$117=1,INDEX('計算A'!BT$10:BT$54,$B13),0))*4000,0)-IF(AND('計算A'!BR$117=1,WP13&gt;0),2000,0)-IF(AND($L13=1,'計算A'!BS$117=1,FR13=0),2000,0))),1000000))</f>
        <v/>
      </c>
      <c r="QV13">
        <f>IF($B13=0,1000000,IF(INDEX('計算A'!$D$60:$EQ$104,$B13,69)*FR13=1,IF(AND($E13=2,LG13=0),1000000,IF($I13&gt;0,IF(3=$J13,IF(OR(AND(69=$I13+1,OR($K13&lt;&gt;'計算A'!$A$3,'計算A'!$A$4=0)),AND(69=$I13-1,OR(21&lt;&gt;'計算A'!$A$3,'計算A'!$A$4=0))),0,IF(21=$K13,200000,ABS(21-$K13)*100)),100000+ABS(3-$J13)*1000+210)+'計算A'!BT$5*50+IF(AND($E13=1,LG13=0),25,0),IF($F13&gt;0,INDEX('計算A'!BT$110:BT$114,$F13+1)+IF(AND($E13=1,LG13=0),1000,0),MIN(TW13,20)*400+(IF('計算A'!BS$106=1,1-FQ13,0)+IF('計算A'!BT$106=1,1-FS13,0))*150+213+'計算A'!BT$5*100000+IF(AND($E13=1,LG13=0),50000,0))+IF($H13=1,(IF('計算A'!BS$117=1,INDEX('計算A'!BS$10:BS$54,$B13),0)+IF('計算A'!BT$117=1,INDEX('計算A'!BU$10:BU$54,$B13),0))*4000,0)-IF(AND('計算A'!BS$117=1,WQ13&gt;0),2000,0)-IF(AND($L13=1,'計算A'!BT$117=1,FS13=0),2000,0))),1000000))</f>
        <v/>
      </c>
      <c r="QW13">
        <f>IF($B13=0,1000000,IF(INDEX('計算A'!$D$60:$EQ$104,$B13,70)*FS13=1,IF(AND($E13=2,LH13=0),1000000,IF($I13&gt;0,IF(3=$J13,IF(OR(AND(70=$I13+1,OR($K13&lt;&gt;'計算A'!$A$3,'計算A'!$A$4=0)),AND(70=$I13-1,OR(22&lt;&gt;'計算A'!$A$3,'計算A'!$A$4=0))),0,IF(22=$K13,200000,ABS(22-$K13)*100)),100000+ABS(3-$J13)*1000+220)+'計算A'!BU$5*50+IF(AND($E13=1,LH13=0),25,0),IF($F13&gt;0,INDEX('計算A'!BU$110:BU$114,$F13+1)+IF(AND($E13=1,LH13=0),1000,0),MIN(TW13,20)*400+(IF('計算A'!BT$106=1,1-FR13,0)+IF('計算A'!BU$106=1,1-FT13,0))*150+223+'計算A'!BU$5*100000+IF(AND($E13=1,LH13=0),50000,0))+IF($H13=1,(IF('計算A'!BT$117=1,INDEX('計算A'!BT$10:BT$54,$B13),0)+IF('計算A'!BU$117=1,INDEX('計算A'!BV$10:BV$54,$B13),0))*4000,0)-IF(AND('計算A'!BT$117=1,WR13&gt;0),2000,0)-IF(AND($L13=1,'計算A'!BU$117=1,FT13=0),2000,0))),1000000))</f>
        <v/>
      </c>
      <c r="QX13">
        <f>IF($B13=0,1000000,IF(INDEX('計算A'!$D$60:$EQ$104,$B13,71)*FT13=1,IF(AND($E13=2,LI13=0),1000000,IF($I13&gt;0,IF(3=$J13,IF(OR(AND(71=$I13+1,OR($K13&lt;&gt;'計算A'!$A$3,'計算A'!$A$4=0)),AND(71=$I13-1,OR(23&lt;&gt;'計算A'!$A$3,'計算A'!$A$4=0))),0,IF(23=$K13,200000,ABS(23-$K13)*100)),100000+ABS(3-$J13)*1000+230)+'計算A'!BV$5*50+IF(AND($E13=1,LI13=0),25,0),IF($F13&gt;0,INDEX('計算A'!BV$110:BV$114,$F13+1)+IF(AND($E13=1,LI13=0),1000,0),MIN(TW13,20)*400+(IF('計算A'!BU$106=1,1-FS13,0)+IF('計算A'!BV$106=1,1-FU13,0))*150+233+'計算A'!BV$5*100000+IF(AND($E13=1,LI13=0),50000,0))+IF($H13=1,(IF('計算A'!BU$117=1,INDEX('計算A'!BU$10:BU$54,$B13),0)+IF('計算A'!BV$117=1,INDEX('計算A'!BW$10:BW$54,$B13),0))*4000,0)-IF(AND('計算A'!BU$117=1,WS13&gt;0),2000,0)-IF(AND($L13=1,'計算A'!BV$117=1,FU13=0),2000,0))),1000000))</f>
        <v/>
      </c>
      <c r="QY13">
        <f>IF($B13=0,1000000,IF(INDEX('計算A'!$D$60:$EQ$104,$B13,72)*FU13=1,IF(AND($E13=2,LJ13=0),1000000,IF($I13&gt;0,IF(3=$J13,IF(OR(AND(72=$I13+1,OR($K13&lt;&gt;'計算A'!$A$3,'計算A'!$A$4=0)),AND(72=$I13-1,OR(24&lt;&gt;'計算A'!$A$3,'計算A'!$A$4=0))),0,IF(24=$K13,200000,ABS(24-$K13)*100)),100000+ABS(3-$J13)*1000+240)+'計算A'!BW$5*50+IF(AND($E13=1,LJ13=0),25,0),IF($F13&gt;0,INDEX('計算A'!BW$110:BW$114,$F13+1)+IF(AND($E13=1,LJ13=0),1000,0),MIN(TW13,20)*400+(IF('計算A'!BV$106=1,1-FT13,0))*150+243+'計算A'!BW$5*100000+IF(AND($E13=1,LJ13=0),50000,0))+IF($H13=1,(IF('計算A'!BV$117=1,INDEX('計算A'!BV$10:BV$54,$B13),0))*4000,0)-IF(AND('計算A'!BV$117=1,WT13&gt;0),2000,0))),1000000))</f>
        <v/>
      </c>
      <c r="QZ13">
        <f>IF($B13=0,1000000,IF(INDEX('計算A'!$D$60:$EQ$104,$B13,73)*FV13=1,IF(AND($E13=2,LK13=0),1000000,IF($I13&gt;0,IF(4=$J13,IF(OR(AND(73=$I13+1,OR($K13&lt;&gt;'計算A'!$A$3,'計算A'!$A$4=0)),AND(73=$I13-1,OR(1&lt;&gt;'計算A'!$A$3,'計算A'!$A$4=0))),0,IF(1=$K13,200000,ABS(1-$K13)*100)),100000+ABS(4-$J13)*1000+10)+'計算A'!BX$5*50+IF(AND($E13=1,LK13=0),25,0),IF($F13&gt;0,INDEX('計算A'!BX$110:BX$114,$F13+1)+IF(AND($E13=1,LK13=0),1000,0),MIN(TX13,20)*400+(IF('計算A'!BX$106=1,1-FW13,0))*150+14+'計算A'!BX$5*100000+IF(AND($E13=1,LK13=0),50000,0))+IF($H13=1,(IF('計算A'!BX$117=1,INDEX('計算A'!BY$10:BY$54,$B13),0))*4000,0)-IF(AND($L13=1,'計算A'!BX$117=1,FW13=0),2000,0))),1000000))</f>
        <v/>
      </c>
      <c r="RA13">
        <f>IF($B13=0,1000000,IF(INDEX('計算A'!$D$60:$EQ$104,$B13,74)*FW13=1,IF(AND($E13=2,LL13=0),1000000,IF($I13&gt;0,IF(4=$J13,IF(OR(AND(74=$I13+1,OR($K13&lt;&gt;'計算A'!$A$3,'計算A'!$A$4=0)),AND(74=$I13-1,OR(2&lt;&gt;'計算A'!$A$3,'計算A'!$A$4=0))),0,IF(2=$K13,200000,ABS(2-$K13)*100)),100000+ABS(4-$J13)*1000+20)+'計算A'!BY$5*50+IF(AND($E13=1,LL13=0),25,0),IF($F13&gt;0,INDEX('計算A'!BY$110:BY$114,$F13+1)+IF(AND($E13=1,LL13=0),1000,0),MIN(TX13,20)*400+(IF('計算A'!BX$106=1,1-FV13,0)+IF('計算A'!BY$106=1,1-FX13,0))*150+24+'計算A'!BY$5*100000+IF(AND($E13=1,LL13=0),50000,0))+IF($H13=1,(IF('計算A'!BX$117=1,INDEX('計算A'!BX$10:BX$54,$B13),0)+IF('計算A'!BY$117=1,INDEX('計算A'!BZ$10:BZ$54,$B13),0))*4000,0)-IF(AND('計算A'!BX$117=1,WV13&gt;0),2000,0)-IF(AND($L13=1,'計算A'!BY$117=1,FX13=0),2000,0))),1000000))</f>
        <v/>
      </c>
      <c r="RB13">
        <f>IF($B13=0,1000000,IF(INDEX('計算A'!$D$60:$EQ$104,$B13,75)*FX13=1,IF(AND($E13=2,LM13=0),1000000,IF($I13&gt;0,IF(4=$J13,IF(OR(AND(75=$I13+1,OR($K13&lt;&gt;'計算A'!$A$3,'計算A'!$A$4=0)),AND(75=$I13-1,OR(3&lt;&gt;'計算A'!$A$3,'計算A'!$A$4=0))),0,IF(3=$K13,200000,ABS(3-$K13)*100)),100000+ABS(4-$J13)*1000+30)+'計算A'!BZ$5*50+IF(AND($E13=1,LM13=0),25,0),IF($F13&gt;0,INDEX('計算A'!BZ$110:BZ$114,$F13+1)+IF(AND($E13=1,LM13=0),1000,0),MIN(TX13,20)*400+(IF('計算A'!BY$106=1,1-FW13,0)+IF('計算A'!BZ$106=1,1-FY13,0))*150+34+'計算A'!BZ$5*100000+IF(AND($E13=1,LM13=0),50000,0))+IF($H13=1,(IF('計算A'!BY$117=1,INDEX('計算A'!BY$10:BY$54,$B13),0)+IF('計算A'!BZ$117=1,INDEX('計算A'!CA$10:CA$54,$B13),0))*4000,0)-IF(AND('計算A'!BY$117=1,WW13&gt;0),2000,0)-IF(AND($L13=1,'計算A'!BZ$117=1,FY13=0),2000,0))),1000000))</f>
        <v/>
      </c>
      <c r="RC13">
        <f>IF($B13=0,1000000,IF(INDEX('計算A'!$D$60:$EQ$104,$B13,76)*FY13=1,IF(AND($E13=2,LN13=0),1000000,IF($I13&gt;0,IF(4=$J13,IF(OR(AND(76=$I13+1,OR($K13&lt;&gt;'計算A'!$A$3,'計算A'!$A$4=0)),AND(76=$I13-1,OR(4&lt;&gt;'計算A'!$A$3,'計算A'!$A$4=0))),0,IF(4=$K13,200000,ABS(4-$K13)*100)),100000+ABS(4-$J13)*1000+40)+'計算A'!CA$5*50+IF(AND($E13=1,LN13=0),25,0),IF($F13&gt;0,INDEX('計算A'!CA$110:CA$114,$F13+1)+IF(AND($E13=1,LN13=0),1000,0),MIN(TX13,20)*400+(IF('計算A'!BZ$106=1,1-FX13,0)+IF('計算A'!CA$106=1,1-FZ13,0))*150+44+'計算A'!CA$5*100000+IF(AND($E13=1,LN13=0),50000,0))+IF($H13=1,(IF('計算A'!BZ$117=1,INDEX('計算A'!BZ$10:BZ$54,$B13),0)+IF('計算A'!CA$117=1,INDEX('計算A'!CB$10:CB$54,$B13),0))*4000,0)-IF(AND('計算A'!BZ$117=1,WX13&gt;0),2000,0)-IF(AND($L13=1,'計算A'!CA$117=1,FZ13=0),2000,0))),1000000))</f>
        <v/>
      </c>
      <c r="RD13">
        <f>IF($B13=0,1000000,IF(INDEX('計算A'!$D$60:$EQ$104,$B13,77)*FZ13=1,IF(AND($E13=2,LO13=0),1000000,IF($I13&gt;0,IF(4=$J13,IF(OR(AND(77=$I13+1,OR($K13&lt;&gt;'計算A'!$A$3,'計算A'!$A$4=0)),AND(77=$I13-1,OR(5&lt;&gt;'計算A'!$A$3,'計算A'!$A$4=0))),0,IF(5=$K13,200000,ABS(5-$K13)*100)),100000+ABS(4-$J13)*1000+50)+'計算A'!CB$5*50+IF(AND($E13=1,LO13=0),25,0),IF($F13&gt;0,INDEX('計算A'!CB$110:CB$114,$F13+1)+IF(AND($E13=1,LO13=0),1000,0),MIN(TX13,20)*400+(IF('計算A'!CA$106=1,1-FY13,0)+IF('計算A'!CB$106=1,1-GA13,0))*150+54+'計算A'!CB$5*100000+IF(AND($E13=1,LO13=0),50000,0))+IF($H13=1,(IF('計算A'!CA$117=1,INDEX('計算A'!CA$10:CA$54,$B13),0)+IF('計算A'!CB$117=1,INDEX('計算A'!CC$10:CC$54,$B13),0))*4000,0)-IF(AND('計算A'!CA$117=1,WY13&gt;0),2000,0)-IF(AND($L13=1,'計算A'!CB$117=1,GA13=0),2000,0))),1000000))</f>
        <v/>
      </c>
      <c r="RE13">
        <f>IF($B13=0,1000000,IF(INDEX('計算A'!$D$60:$EQ$104,$B13,78)*GA13=1,IF(AND($E13=2,LP13=0),1000000,IF($I13&gt;0,IF(4=$J13,IF(OR(AND(78=$I13+1,OR($K13&lt;&gt;'計算A'!$A$3,'計算A'!$A$4=0)),AND(78=$I13-1,OR(6&lt;&gt;'計算A'!$A$3,'計算A'!$A$4=0))),0,IF(6=$K13,200000,ABS(6-$K13)*100)),100000+ABS(4-$J13)*1000+60)+'計算A'!CC$5*50+IF(AND($E13=1,LP13=0),25,0),IF($F13&gt;0,INDEX('計算A'!CC$110:CC$114,$F13+1)+IF(AND($E13=1,LP13=0),1000,0),MIN(TX13,20)*400+(IF('計算A'!CB$106=1,1-FZ13,0)+IF('計算A'!CC$106=1,1-GB13,0))*150+64+'計算A'!CC$5*100000+IF(AND($E13=1,LP13=0),50000,0))+IF($H13=1,(IF('計算A'!CB$117=1,INDEX('計算A'!CB$10:CB$54,$B13),0)+IF('計算A'!CC$117=1,INDEX('計算A'!CD$10:CD$54,$B13),0))*4000,0)-IF(AND('計算A'!CB$117=1,WZ13&gt;0),2000,0)-IF(AND($L13=1,'計算A'!CC$117=1,GB13=0),2000,0))),1000000))</f>
        <v/>
      </c>
      <c r="RF13">
        <f>IF($B13=0,1000000,IF(INDEX('計算A'!$D$60:$EQ$104,$B13,79)*GB13=1,IF(AND($E13=2,LQ13=0),1000000,IF($I13&gt;0,IF(4=$J13,IF(OR(AND(79=$I13+1,OR($K13&lt;&gt;'計算A'!$A$3,'計算A'!$A$4=0)),AND(79=$I13-1,OR(7&lt;&gt;'計算A'!$A$3,'計算A'!$A$4=0))),0,IF(7=$K13,200000,ABS(7-$K13)*100)),100000+ABS(4-$J13)*1000+70)+'計算A'!CD$5*50+IF(AND($E13=1,LQ13=0),25,0),IF($F13&gt;0,INDEX('計算A'!CD$110:CD$114,$F13+1)+IF(AND($E13=1,LQ13=0),1000,0),MIN(TX13,20)*400+(IF('計算A'!CC$106=1,1-GA13,0)+IF('計算A'!CD$106=1,1-GC13,0))*150+74+'計算A'!CD$5*100000+IF(AND($E13=1,LQ13=0),50000,0))+IF($H13=1,(IF('計算A'!CC$117=1,INDEX('計算A'!CC$10:CC$54,$B13),0)+IF('計算A'!CD$117=1,INDEX('計算A'!CE$10:CE$54,$B13),0))*4000,0)-IF(AND('計算A'!CC$117=1,XA13&gt;0),2000,0)-IF(AND($L13=1,'計算A'!CD$117=1,GC13=0),2000,0))),1000000))</f>
        <v/>
      </c>
      <c r="RG13">
        <f>IF($B13=0,1000000,IF(INDEX('計算A'!$D$60:$EQ$104,$B13,80)*GC13=1,IF(AND($E13=2,LR13=0),1000000,IF($I13&gt;0,IF(4=$J13,IF(OR(AND(80=$I13+1,OR($K13&lt;&gt;'計算A'!$A$3,'計算A'!$A$4=0)),AND(80=$I13-1,OR(8&lt;&gt;'計算A'!$A$3,'計算A'!$A$4=0))),0,IF(8=$K13,200000,ABS(8-$K13)*100)),100000+ABS(4-$J13)*1000+80)+'計算A'!CE$5*50+IF(AND($E13=1,LR13=0),25,0),IF($F13&gt;0,INDEX('計算A'!CE$110:CE$114,$F13+1)+IF(AND($E13=1,LR13=0),1000,0),MIN(TX13,20)*400+(IF('計算A'!CD$106=1,1-GB13,0)+IF('計算A'!CE$106=1,1-GD13,0))*150+84+'計算A'!CE$5*100000+IF(AND($E13=1,LR13=0),50000,0))+IF($H13=1,(IF('計算A'!CD$117=1,INDEX('計算A'!CD$10:CD$54,$B13),0)+IF('計算A'!CE$117=1,INDEX('計算A'!CF$10:CF$54,$B13),0))*4000,0)-IF(AND('計算A'!CD$117=1,XB13&gt;0),2000,0)-IF(AND($L13=1,'計算A'!CE$117=1,GD13=0),2000,0))),1000000))</f>
        <v/>
      </c>
      <c r="RH13">
        <f>IF($B13=0,1000000,IF(INDEX('計算A'!$D$60:$EQ$104,$B13,81)*GD13=1,IF(AND($E13=2,LS13=0),1000000,IF($I13&gt;0,IF(4=$J13,IF(OR(AND(81=$I13+1,OR($K13&lt;&gt;'計算A'!$A$3,'計算A'!$A$4=0)),AND(81=$I13-1,OR(9&lt;&gt;'計算A'!$A$3,'計算A'!$A$4=0))),0,IF(9=$K13,200000,ABS(9-$K13)*100)),100000+ABS(4-$J13)*1000+90)+'計算A'!CF$5*50+IF(AND($E13=1,LS13=0),25,0),IF($F13&gt;0,INDEX('計算A'!CF$110:CF$114,$F13+1)+IF(AND($E13=1,LS13=0),1000,0),MIN(TX13,20)*400+(IF('計算A'!CE$106=1,1-GC13,0)+IF('計算A'!CF$106=1,1-GE13,0))*150+94+'計算A'!CF$5*100000+IF(AND($E13=1,LS13=0),50000,0))+IF($H13=1,(IF('計算A'!CE$117=1,INDEX('計算A'!CE$10:CE$54,$B13),0)+IF('計算A'!CF$117=1,INDEX('計算A'!CG$10:CG$54,$B13),0))*4000,0)-IF(AND('計算A'!CE$117=1,XC13&gt;0),2000,0)-IF(AND($L13=1,'計算A'!CF$117=1,GE13=0),2000,0))),1000000))</f>
        <v/>
      </c>
      <c r="RI13">
        <f>IF($B13=0,1000000,IF(INDEX('計算A'!$D$60:$EQ$104,$B13,82)*GE13=1,IF(AND($E13=2,LT13=0),1000000,IF($I13&gt;0,IF(4=$J13,IF(OR(AND(82=$I13+1,OR($K13&lt;&gt;'計算A'!$A$3,'計算A'!$A$4=0)),AND(82=$I13-1,OR(10&lt;&gt;'計算A'!$A$3,'計算A'!$A$4=0))),0,IF(10=$K13,200000,ABS(10-$K13)*100)),100000+ABS(4-$J13)*1000+100)+'計算A'!CG$5*50+IF(AND($E13=1,LT13=0),25,0),IF($F13&gt;0,INDEX('計算A'!CG$110:CG$114,$F13+1)+IF(AND($E13=1,LT13=0),1000,0),MIN(TX13,20)*400+(IF('計算A'!CF$106=1,1-GD13,0)+IF('計算A'!CG$106=1,1-GF13,0))*150+104+'計算A'!CG$5*100000+IF(AND($E13=1,LT13=0),50000,0))+IF($H13=1,(IF('計算A'!CF$117=1,INDEX('計算A'!CF$10:CF$54,$B13),0)+IF('計算A'!CG$117=1,INDEX('計算A'!CH$10:CH$54,$B13),0))*4000,0)-IF(AND('計算A'!CF$117=1,XD13&gt;0),2000,0)-IF(AND($L13=1,'計算A'!CG$117=1,GF13=0),2000,0))),1000000))</f>
        <v/>
      </c>
      <c r="RJ13">
        <f>IF($B13=0,1000000,IF(INDEX('計算A'!$D$60:$EQ$104,$B13,83)*GF13=1,IF(AND($E13=2,LU13=0),1000000,IF($I13&gt;0,IF(4=$J13,IF(OR(AND(83=$I13+1,OR($K13&lt;&gt;'計算A'!$A$3,'計算A'!$A$4=0)),AND(83=$I13-1,OR(11&lt;&gt;'計算A'!$A$3,'計算A'!$A$4=0))),0,IF(11=$K13,200000,ABS(11-$K13)*100)),100000+ABS(4-$J13)*1000+110)+'計算A'!CH$5*50+IF(AND($E13=1,LU13=0),25,0),IF($F13&gt;0,INDEX('計算A'!CH$110:CH$114,$F13+1)+IF(AND($E13=1,LU13=0),1000,0),MIN(TX13,20)*400+(IF('計算A'!CG$106=1,1-GE13,0)+IF('計算A'!CH$106=1,1-GG13,0))*150+114+'計算A'!CH$5*100000+IF(AND($E13=1,LU13=0),50000,0))+IF($H13=1,(IF('計算A'!CG$117=1,INDEX('計算A'!CG$10:CG$54,$B13),0)+IF('計算A'!CH$117=1,INDEX('計算A'!CI$10:CI$54,$B13),0))*4000,0)-IF(AND('計算A'!CG$117=1,XE13&gt;0),2000,0)-IF(AND($L13=1,'計算A'!CH$117=1,GG13=0),2000,0))),1000000))</f>
        <v/>
      </c>
      <c r="RK13">
        <f>IF($B13=0,1000000,IF(INDEX('計算A'!$D$60:$EQ$104,$B13,84)*GG13=1,IF(AND($E13=2,LV13=0),1000000,IF($I13&gt;0,IF(4=$J13,IF(OR(AND(84=$I13+1,OR($K13&lt;&gt;'計算A'!$A$3,'計算A'!$A$4=0)),AND(84=$I13-1,OR(12&lt;&gt;'計算A'!$A$3,'計算A'!$A$4=0))),0,IF(12=$K13,200000,ABS(12-$K13)*100)),100000+ABS(4-$J13)*1000+120)+'計算A'!CI$5*50+IF(AND($E13=1,LV13=0),25,0),IF($F13&gt;0,INDEX('計算A'!CI$110:CI$114,$F13+1)+IF(AND($E13=1,LV13=0),1000,0),MIN(TX13,20)*400+(IF('計算A'!CH$106=1,1-GF13,0)+IF('計算A'!CI$106=1,1-GH13,0))*150+124+'計算A'!CI$5*100000+IF(AND($E13=1,LV13=0),50000,0))+IF($H13=1,(IF('計算A'!CH$117=1,INDEX('計算A'!CH$10:CH$54,$B13),0)+IF('計算A'!CI$117=1,INDEX('計算A'!CJ$10:CJ$54,$B13),0))*4000,0)-IF(AND('計算A'!CH$117=1,XF13&gt;0),2000,0)-IF(AND($L13=1,'計算A'!CI$117=1,GH13=0),2000,0))),1000000))</f>
        <v/>
      </c>
      <c r="RL13">
        <f>IF($B13=0,1000000,IF(INDEX('計算A'!$D$60:$EQ$104,$B13,85)*GH13=1,IF(AND($E13=2,LW13=0),1000000,IF($I13&gt;0,IF(4=$J13,IF(OR(AND(85=$I13+1,OR($K13&lt;&gt;'計算A'!$A$3,'計算A'!$A$4=0)),AND(85=$I13-1,OR(13&lt;&gt;'計算A'!$A$3,'計算A'!$A$4=0))),0,IF(13=$K13,200000,ABS(13-$K13)*100)),100000+ABS(4-$J13)*1000+130)+'計算A'!CJ$5*50+IF(AND($E13=1,LW13=0),25,0),IF($F13&gt;0,INDEX('計算A'!CJ$110:CJ$114,$F13+1)+IF(AND($E13=1,LW13=0),1000,0),MIN(TX13,20)*400+(IF('計算A'!CI$106=1,1-GG13,0)+IF('計算A'!CJ$106=1,1-GI13,0))*150+134+'計算A'!CJ$5*100000+IF(AND($E13=1,LW13=0),50000,0))+IF($H13=1,(IF('計算A'!CI$117=1,INDEX('計算A'!CI$10:CI$54,$B13),0)+IF('計算A'!CJ$117=1,INDEX('計算A'!CK$10:CK$54,$B13),0))*4000,0)-IF(AND('計算A'!CI$117=1,XG13&gt;0),2000,0)-IF(AND($L13=1,'計算A'!CJ$117=1,GI13=0),2000,0))),1000000))</f>
        <v/>
      </c>
      <c r="RM13">
        <f>IF($B13=0,1000000,IF(INDEX('計算A'!$D$60:$EQ$104,$B13,86)*GI13=1,IF(AND($E13=2,LX13=0),1000000,IF($I13&gt;0,IF(4=$J13,IF(OR(AND(86=$I13+1,OR($K13&lt;&gt;'計算A'!$A$3,'計算A'!$A$4=0)),AND(86=$I13-1,OR(14&lt;&gt;'計算A'!$A$3,'計算A'!$A$4=0))),0,IF(14=$K13,200000,ABS(14-$K13)*100)),100000+ABS(4-$J13)*1000+140)+'計算A'!CK$5*50+IF(AND($E13=1,LX13=0),25,0),IF($F13&gt;0,INDEX('計算A'!CK$110:CK$114,$F13+1)+IF(AND($E13=1,LX13=0),1000,0),MIN(TX13,20)*400+(IF('計算A'!CJ$106=1,1-GH13,0)+IF('計算A'!CK$106=1,1-GJ13,0))*150+144+'計算A'!CK$5*100000+IF(AND($E13=1,LX13=0),50000,0))+IF($H13=1,(IF('計算A'!CJ$117=1,INDEX('計算A'!CJ$10:CJ$54,$B13),0)+IF('計算A'!CK$117=1,INDEX('計算A'!CL$10:CL$54,$B13),0))*4000,0)-IF(AND('計算A'!CJ$117=1,XH13&gt;0),2000,0)-IF(AND($L13=1,'計算A'!CK$117=1,GJ13=0),2000,0))),1000000))</f>
        <v/>
      </c>
      <c r="RN13">
        <f>IF($B13=0,1000000,IF(INDEX('計算A'!$D$60:$EQ$104,$B13,87)*GJ13=1,IF(AND($E13=2,LY13=0),1000000,IF($I13&gt;0,IF(4=$J13,IF(OR(AND(87=$I13+1,OR($K13&lt;&gt;'計算A'!$A$3,'計算A'!$A$4=0)),AND(87=$I13-1,OR(15&lt;&gt;'計算A'!$A$3,'計算A'!$A$4=0))),0,IF(15=$K13,200000,ABS(15-$K13)*100)),100000+ABS(4-$J13)*1000+150)+'計算A'!CL$5*50+IF(AND($E13=1,LY13=0),25,0),IF($F13&gt;0,INDEX('計算A'!CL$110:CL$114,$F13+1)+IF(AND($E13=1,LY13=0),1000,0),MIN(TX13,20)*400+(IF('計算A'!CK$106=1,1-GI13,0)+IF('計算A'!CL$106=1,1-GK13,0))*150+154+'計算A'!CL$5*100000+IF(AND($E13=1,LY13=0),50000,0))+IF($H13=1,(IF('計算A'!CK$117=1,INDEX('計算A'!CK$10:CK$54,$B13),0)+IF('計算A'!CL$117=1,INDEX('計算A'!CM$10:CM$54,$B13),0))*4000,0)-IF(AND('計算A'!CK$117=1,XI13&gt;0),2000,0)-IF(AND($L13=1,'計算A'!CL$117=1,GK13=0),2000,0))),1000000))</f>
        <v/>
      </c>
      <c r="RO13">
        <f>IF($B13=0,1000000,IF(INDEX('計算A'!$D$60:$EQ$104,$B13,88)*GK13=1,IF(AND($E13=2,LZ13=0),1000000,IF($I13&gt;0,IF(4=$J13,IF(OR(AND(88=$I13+1,OR($K13&lt;&gt;'計算A'!$A$3,'計算A'!$A$4=0)),AND(88=$I13-1,OR(16&lt;&gt;'計算A'!$A$3,'計算A'!$A$4=0))),0,IF(16=$K13,200000,ABS(16-$K13)*100)),100000+ABS(4-$J13)*1000+160)+'計算A'!CM$5*50+IF(AND($E13=1,LZ13=0),25,0),IF($F13&gt;0,INDEX('計算A'!CM$110:CM$114,$F13+1)+IF(AND($E13=1,LZ13=0),1000,0),MIN(TX13,20)*400+(IF('計算A'!CL$106=1,1-GJ13,0)+IF('計算A'!CM$106=1,1-GL13,0))*150+164+'計算A'!CM$5*100000+IF(AND($E13=1,LZ13=0),50000,0))+IF($H13=1,(IF('計算A'!CL$117=1,INDEX('計算A'!CL$10:CL$54,$B13),0)+IF('計算A'!CM$117=1,INDEX('計算A'!CN$10:CN$54,$B13),0))*4000,0)-IF(AND('計算A'!CL$117=1,XJ13&gt;0),2000,0)-IF(AND($L13=1,'計算A'!CM$117=1,GL13=0),2000,0))),1000000))</f>
        <v/>
      </c>
      <c r="RP13">
        <f>IF($B13=0,1000000,IF(INDEX('計算A'!$D$60:$EQ$104,$B13,89)*GL13=1,IF(AND($E13=2,MA13=0),1000000,IF($I13&gt;0,IF(4=$J13,IF(OR(AND(89=$I13+1,OR($K13&lt;&gt;'計算A'!$A$3,'計算A'!$A$4=0)),AND(89=$I13-1,OR(17&lt;&gt;'計算A'!$A$3,'計算A'!$A$4=0))),0,IF(17=$K13,200000,ABS(17-$K13)*100)),100000+ABS(4-$J13)*1000+170)+'計算A'!CN$5*50+IF(AND($E13=1,MA13=0),25,0),IF($F13&gt;0,INDEX('計算A'!CN$110:CN$114,$F13+1)+IF(AND($E13=1,MA13=0),1000,0),MIN(TX13,20)*400+(IF('計算A'!CM$106=1,1-GK13,0)+IF('計算A'!CN$106=1,1-GM13,0))*150+174+'計算A'!CN$5*100000+IF(AND($E13=1,MA13=0),50000,0))+IF($H13=1,(IF('計算A'!CM$117=1,INDEX('計算A'!CM$10:CM$54,$B13),0)+IF('計算A'!CN$117=1,INDEX('計算A'!CO$10:CO$54,$B13),0))*4000,0)-IF(AND('計算A'!CM$117=1,XK13&gt;0),2000,0)-IF(AND($L13=1,'計算A'!CN$117=1,GM13=0),2000,0))),1000000))</f>
        <v/>
      </c>
      <c r="RQ13">
        <f>IF($B13=0,1000000,IF(INDEX('計算A'!$D$60:$EQ$104,$B13,90)*GM13=1,IF(AND($E13=2,MB13=0),1000000,IF($I13&gt;0,IF(4=$J13,IF(OR(AND(90=$I13+1,OR($K13&lt;&gt;'計算A'!$A$3,'計算A'!$A$4=0)),AND(90=$I13-1,OR(18&lt;&gt;'計算A'!$A$3,'計算A'!$A$4=0))),0,IF(18=$K13,200000,ABS(18-$K13)*100)),100000+ABS(4-$J13)*1000+180)+'計算A'!CO$5*50+IF(AND($E13=1,MB13=0),25,0),IF($F13&gt;0,INDEX('計算A'!CO$110:CO$114,$F13+1)+IF(AND($E13=1,MB13=0),1000,0),MIN(TX13,20)*400+(IF('計算A'!CN$106=1,1-GL13,0)+IF('計算A'!CO$106=1,1-GN13,0))*150+184+'計算A'!CO$5*100000+IF(AND($E13=1,MB13=0),50000,0))+IF($H13=1,(IF('計算A'!CN$117=1,INDEX('計算A'!CN$10:CN$54,$B13),0)+IF('計算A'!CO$117=1,INDEX('計算A'!CP$10:CP$54,$B13),0))*4000,0)-IF(AND('計算A'!CN$117=1,XL13&gt;0),2000,0)-IF(AND($L13=1,'計算A'!CO$117=1,GN13=0),2000,0))),1000000))</f>
        <v/>
      </c>
      <c r="RR13">
        <f>IF($B13=0,1000000,IF(INDEX('計算A'!$D$60:$EQ$104,$B13,91)*GN13=1,IF(AND($E13=2,MC13=0),1000000,IF($I13&gt;0,IF(4=$J13,IF(OR(AND(91=$I13+1,OR($K13&lt;&gt;'計算A'!$A$3,'計算A'!$A$4=0)),AND(91=$I13-1,OR(19&lt;&gt;'計算A'!$A$3,'計算A'!$A$4=0))),0,IF(19=$K13,200000,ABS(19-$K13)*100)),100000+ABS(4-$J13)*1000+190)+'計算A'!CP$5*50+IF(AND($E13=1,MC13=0),25,0),IF($F13&gt;0,INDEX('計算A'!CP$110:CP$114,$F13+1)+IF(AND($E13=1,MC13=0),1000,0),MIN(TX13,20)*400+(IF('計算A'!CO$106=1,1-GM13,0)+IF('計算A'!CP$106=1,1-GO13,0))*150+194+'計算A'!CP$5*100000+IF(AND($E13=1,MC13=0),50000,0))+IF($H13=1,(IF('計算A'!CO$117=1,INDEX('計算A'!CO$10:CO$54,$B13),0)+IF('計算A'!CP$117=1,INDEX('計算A'!CQ$10:CQ$54,$B13),0))*4000,0)-IF(AND('計算A'!CO$117=1,XM13&gt;0),2000,0)-IF(AND($L13=1,'計算A'!CP$117=1,GO13=0),2000,0))),1000000))</f>
        <v/>
      </c>
      <c r="RS13">
        <f>IF($B13=0,1000000,IF(INDEX('計算A'!$D$60:$EQ$104,$B13,92)*GO13=1,IF(AND($E13=2,MD13=0),1000000,IF($I13&gt;0,IF(4=$J13,IF(OR(AND(92=$I13+1,OR($K13&lt;&gt;'計算A'!$A$3,'計算A'!$A$4=0)),AND(92=$I13-1,OR(20&lt;&gt;'計算A'!$A$3,'計算A'!$A$4=0))),0,IF(20=$K13,200000,ABS(20-$K13)*100)),100000+ABS(4-$J13)*1000+200)+'計算A'!CQ$5*50+IF(AND($E13=1,MD13=0),25,0),IF($F13&gt;0,INDEX('計算A'!CQ$110:CQ$114,$F13+1)+IF(AND($E13=1,MD13=0),1000,0),MIN(TX13,20)*400+(IF('計算A'!CP$106=1,1-GN13,0)+IF('計算A'!CQ$106=1,1-GP13,0))*150+204+'計算A'!CQ$5*100000+IF(AND($E13=1,MD13=0),50000,0))+IF($H13=1,(IF('計算A'!CP$117=1,INDEX('計算A'!CP$10:CP$54,$B13),0)+IF('計算A'!CQ$117=1,INDEX('計算A'!CR$10:CR$54,$B13),0))*4000,0)-IF(AND('計算A'!CP$117=1,XN13&gt;0),2000,0)-IF(AND($L13=1,'計算A'!CQ$117=1,GP13=0),2000,0))),1000000))</f>
        <v/>
      </c>
      <c r="RT13">
        <f>IF($B13=0,1000000,IF(INDEX('計算A'!$D$60:$EQ$104,$B13,93)*GP13=1,IF(AND($E13=2,ME13=0),1000000,IF($I13&gt;0,IF(4=$J13,IF(OR(AND(93=$I13+1,OR($K13&lt;&gt;'計算A'!$A$3,'計算A'!$A$4=0)),AND(93=$I13-1,OR(21&lt;&gt;'計算A'!$A$3,'計算A'!$A$4=0))),0,IF(21=$K13,200000,ABS(21-$K13)*100)),100000+ABS(4-$J13)*1000+210)+'計算A'!CR$5*50+IF(AND($E13=1,ME13=0),25,0),IF($F13&gt;0,INDEX('計算A'!CR$110:CR$114,$F13+1)+IF(AND($E13=1,ME13=0),1000,0),MIN(TX13,20)*400+(IF('計算A'!CQ$106=1,1-GO13,0)+IF('計算A'!CR$106=1,1-GQ13,0))*150+214+'計算A'!CR$5*100000+IF(AND($E13=1,ME13=0),50000,0))+IF($H13=1,(IF('計算A'!CQ$117=1,INDEX('計算A'!CQ$10:CQ$54,$B13),0)+IF('計算A'!CR$117=1,INDEX('計算A'!CS$10:CS$54,$B13),0))*4000,0)-IF(AND('計算A'!CQ$117=1,XO13&gt;0),2000,0)-IF(AND($L13=1,'計算A'!CR$117=1,GQ13=0),2000,0))),1000000))</f>
        <v/>
      </c>
      <c r="RU13">
        <f>IF($B13=0,1000000,IF(INDEX('計算A'!$D$60:$EQ$104,$B13,94)*GQ13=1,IF(AND($E13=2,MF13=0),1000000,IF($I13&gt;0,IF(4=$J13,IF(OR(AND(94=$I13+1,OR($K13&lt;&gt;'計算A'!$A$3,'計算A'!$A$4=0)),AND(94=$I13-1,OR(22&lt;&gt;'計算A'!$A$3,'計算A'!$A$4=0))),0,IF(22=$K13,200000,ABS(22-$K13)*100)),100000+ABS(4-$J13)*1000+220)+'計算A'!CS$5*50+IF(AND($E13=1,MF13=0),25,0),IF($F13&gt;0,INDEX('計算A'!CS$110:CS$114,$F13+1)+IF(AND($E13=1,MF13=0),1000,0),MIN(TX13,20)*400+(IF('計算A'!CR$106=1,1-GP13,0)+IF('計算A'!CS$106=1,1-GR13,0))*150+224+'計算A'!CS$5*100000+IF(AND($E13=1,MF13=0),50000,0))+IF($H13=1,(IF('計算A'!CR$117=1,INDEX('計算A'!CR$10:CR$54,$B13),0)+IF('計算A'!CS$117=1,INDEX('計算A'!CT$10:CT$54,$B13),0))*4000,0)-IF(AND('計算A'!CR$117=1,XP13&gt;0),2000,0)-IF(AND($L13=1,'計算A'!CS$117=1,GR13=0),2000,0))),1000000))</f>
        <v/>
      </c>
      <c r="RV13">
        <f>IF($B13=0,1000000,IF(INDEX('計算A'!$D$60:$EQ$104,$B13,95)*GR13=1,IF(AND($E13=2,MG13=0),1000000,IF($I13&gt;0,IF(4=$J13,IF(OR(AND(95=$I13+1,OR($K13&lt;&gt;'計算A'!$A$3,'計算A'!$A$4=0)),AND(95=$I13-1,OR(23&lt;&gt;'計算A'!$A$3,'計算A'!$A$4=0))),0,IF(23=$K13,200000,ABS(23-$K13)*100)),100000+ABS(4-$J13)*1000+230)+'計算A'!CT$5*50+IF(AND($E13=1,MG13=0),25,0),IF($F13&gt;0,INDEX('計算A'!CT$110:CT$114,$F13+1)+IF(AND($E13=1,MG13=0),1000,0),MIN(TX13,20)*400+(IF('計算A'!CS$106=1,1-GQ13,0)+IF('計算A'!CT$106=1,1-GS13,0))*150+234+'計算A'!CT$5*100000+IF(AND($E13=1,MG13=0),50000,0))+IF($H13=1,(IF('計算A'!CS$117=1,INDEX('計算A'!CS$10:CS$54,$B13),0)+IF('計算A'!CT$117=1,INDEX('計算A'!CU$10:CU$54,$B13),0))*4000,0)-IF(AND('計算A'!CS$117=1,XQ13&gt;0),2000,0)-IF(AND($L13=1,'計算A'!CT$117=1,GS13=0),2000,0))),1000000))</f>
        <v/>
      </c>
      <c r="RW13">
        <f>IF($B13=0,1000000,IF(INDEX('計算A'!$D$60:$EQ$104,$B13,96)*GS13=1,IF(AND($E13=2,MH13=0),1000000,IF($I13&gt;0,IF(4=$J13,IF(OR(AND(96=$I13+1,OR($K13&lt;&gt;'計算A'!$A$3,'計算A'!$A$4=0)),AND(96=$I13-1,OR(24&lt;&gt;'計算A'!$A$3,'計算A'!$A$4=0))),0,IF(24=$K13,200000,ABS(24-$K13)*100)),100000+ABS(4-$J13)*1000+240)+'計算A'!CU$5*50+IF(AND($E13=1,MH13=0),25,0),IF($F13&gt;0,INDEX('計算A'!CU$110:CU$114,$F13+1)+IF(AND($E13=1,MH13=0),1000,0),MIN(TX13,20)*400+(IF('計算A'!CT$106=1,1-GR13,0))*150+244+'計算A'!CU$5*100000+IF(AND($E13=1,MH13=0),50000,0))+IF($H13=1,(IF('計算A'!CT$117=1,INDEX('計算A'!CT$10:CT$54,$B13),0))*4000,0)-IF(AND('計算A'!CT$117=1,XR13&gt;0),2000,0))),1000000))</f>
        <v/>
      </c>
      <c r="RX13">
        <f>IF($B13=0,1000000,IF(INDEX('計算A'!$D$60:$EQ$104,$B13,97)*GT13=1,IF(AND($E13=2,MI13=0),1000000,IF($I13&gt;0,IF(5=$J13,IF(OR(AND(97=$I13+1,OR($K13&lt;&gt;'計算A'!$A$3,'計算A'!$A$4=0)),AND(97=$I13-1,OR(1&lt;&gt;'計算A'!$A$3,'計算A'!$A$4=0))),0,IF(1=$K13,200000,ABS(1-$K13)*100)),100000+ABS(5-$J13)*1000+10)+'計算A'!CV$5*50+IF(AND($E13=1,MI13=0),25,0),IF($F13&gt;0,INDEX('計算A'!CV$110:CV$114,$F13+1)+IF(AND($E13=1,MI13=0),1000,0),MIN(TY13,20)*400+(IF('計算A'!CV$106=1,1-GU13,0))*150+15+'計算A'!CV$5*100000+IF(AND($E13=1,MI13=0),50000,0))+IF($H13=1,(IF('計算A'!CV$117=1,INDEX('計算A'!CW$10:CW$54,$B13),0))*4000,0)-IF(AND($L13=1,'計算A'!CV$117=1,GU13=0),2000,0))),1000000))</f>
        <v/>
      </c>
      <c r="RY13">
        <f>IF($B13=0,1000000,IF(INDEX('計算A'!$D$60:$EQ$104,$B13,98)*GU13=1,IF(AND($E13=2,MJ13=0),1000000,IF($I13&gt;0,IF(5=$J13,IF(OR(AND(98=$I13+1,OR($K13&lt;&gt;'計算A'!$A$3,'計算A'!$A$4=0)),AND(98=$I13-1,OR(2&lt;&gt;'計算A'!$A$3,'計算A'!$A$4=0))),0,IF(2=$K13,200000,ABS(2-$K13)*100)),100000+ABS(5-$J13)*1000+20)+'計算A'!CW$5*50+IF(AND($E13=1,MJ13=0),25,0),IF($F13&gt;0,INDEX('計算A'!CW$110:CW$114,$F13+1)+IF(AND($E13=1,MJ13=0),1000,0),MIN(TY13,20)*400+(IF('計算A'!CV$106=1,1-GT13,0)+IF('計算A'!CW$106=1,1-GV13,0))*150+25+'計算A'!CW$5*100000+IF(AND($E13=1,MJ13=0),50000,0))+IF($H13=1,(IF('計算A'!CV$117=1,INDEX('計算A'!CV$10:CV$54,$B13),0)+IF('計算A'!CW$117=1,INDEX('計算A'!CX$10:CX$54,$B13),0))*4000,0)-IF(AND('計算A'!CV$117=1,XT13&gt;0),2000,0)-IF(AND($L13=1,'計算A'!CW$117=1,GV13=0),2000,0))),1000000))</f>
        <v/>
      </c>
      <c r="RZ13">
        <f>IF($B13=0,1000000,IF(INDEX('計算A'!$D$60:$EQ$104,$B13,99)*GV13=1,IF(AND($E13=2,MK13=0),1000000,IF($I13&gt;0,IF(5=$J13,IF(OR(AND(99=$I13+1,OR($K13&lt;&gt;'計算A'!$A$3,'計算A'!$A$4=0)),AND(99=$I13-1,OR(3&lt;&gt;'計算A'!$A$3,'計算A'!$A$4=0))),0,IF(3=$K13,200000,ABS(3-$K13)*100)),100000+ABS(5-$J13)*1000+30)+'計算A'!CX$5*50+IF(AND($E13=1,MK13=0),25,0),IF($F13&gt;0,INDEX('計算A'!CX$110:CX$114,$F13+1)+IF(AND($E13=1,MK13=0),1000,0),MIN(TY13,20)*400+(IF('計算A'!CW$106=1,1-GU13,0)+IF('計算A'!CX$106=1,1-GW13,0))*150+35+'計算A'!CX$5*100000+IF(AND($E13=1,MK13=0),50000,0))+IF($H13=1,(IF('計算A'!CW$117=1,INDEX('計算A'!CW$10:CW$54,$B13),0)+IF('計算A'!CX$117=1,INDEX('計算A'!CY$10:CY$54,$B13),0))*4000,0)-IF(AND('計算A'!CW$117=1,XU13&gt;0),2000,0)-IF(AND($L13=1,'計算A'!CX$117=1,GW13=0),2000,0))),1000000))</f>
        <v/>
      </c>
      <c r="SA13">
        <f>IF($B13=0,1000000,IF(INDEX('計算A'!$D$60:$EQ$104,$B13,100)*GW13=1,IF(AND($E13=2,ML13=0),1000000,IF($I13&gt;0,IF(5=$J13,IF(OR(AND(100=$I13+1,OR($K13&lt;&gt;'計算A'!$A$3,'計算A'!$A$4=0)),AND(100=$I13-1,OR(4&lt;&gt;'計算A'!$A$3,'計算A'!$A$4=0))),0,IF(4=$K13,200000,ABS(4-$K13)*100)),100000+ABS(5-$J13)*1000+40)+'計算A'!CY$5*50+IF(AND($E13=1,ML13=0),25,0),IF($F13&gt;0,INDEX('計算A'!CY$110:CY$114,$F13+1)+IF(AND($E13=1,ML13=0),1000,0),MIN(TY13,20)*400+(IF('計算A'!CX$106=1,1-GV13,0)+IF('計算A'!CY$106=1,1-GX13,0))*150+45+'計算A'!CY$5*100000+IF(AND($E13=1,ML13=0),50000,0))+IF($H13=1,(IF('計算A'!CX$117=1,INDEX('計算A'!CX$10:CX$54,$B13),0)+IF('計算A'!CY$117=1,INDEX('計算A'!CZ$10:CZ$54,$B13),0))*4000,0)-IF(AND('計算A'!CX$117=1,XV13&gt;0),2000,0)-IF(AND($L13=1,'計算A'!CY$117=1,GX13=0),2000,0))),1000000))</f>
        <v/>
      </c>
      <c r="SB13">
        <f>IF($B13=0,1000000,IF(INDEX('計算A'!$D$60:$EQ$104,$B13,101)*GX13=1,IF(AND($E13=2,MM13=0),1000000,IF($I13&gt;0,IF(5=$J13,IF(OR(AND(101=$I13+1,OR($K13&lt;&gt;'計算A'!$A$3,'計算A'!$A$4=0)),AND(101=$I13-1,OR(5&lt;&gt;'計算A'!$A$3,'計算A'!$A$4=0))),0,IF(5=$K13,200000,ABS(5-$K13)*100)),100000+ABS(5-$J13)*1000+50)+'計算A'!CZ$5*50+IF(AND($E13=1,MM13=0),25,0),IF($F13&gt;0,INDEX('計算A'!CZ$110:CZ$114,$F13+1)+IF(AND($E13=1,MM13=0),1000,0),MIN(TY13,20)*400+(IF('計算A'!CY$106=1,1-GW13,0)+IF('計算A'!CZ$106=1,1-GY13,0))*150+55+'計算A'!CZ$5*100000+IF(AND($E13=1,MM13=0),50000,0))+IF($H13=1,(IF('計算A'!CY$117=1,INDEX('計算A'!CY$10:CY$54,$B13),0)+IF('計算A'!CZ$117=1,INDEX('計算A'!DA$10:DA$54,$B13),0))*4000,0)-IF(AND('計算A'!CY$117=1,XW13&gt;0),2000,0)-IF(AND($L13=1,'計算A'!CZ$117=1,GY13=0),2000,0))),1000000))</f>
        <v/>
      </c>
      <c r="SC13">
        <f>IF($B13=0,1000000,IF(INDEX('計算A'!$D$60:$EQ$104,$B13,102)*GY13=1,IF(AND($E13=2,MN13=0),1000000,IF($I13&gt;0,IF(5=$J13,IF(OR(AND(102=$I13+1,OR($K13&lt;&gt;'計算A'!$A$3,'計算A'!$A$4=0)),AND(102=$I13-1,OR(6&lt;&gt;'計算A'!$A$3,'計算A'!$A$4=0))),0,IF(6=$K13,200000,ABS(6-$K13)*100)),100000+ABS(5-$J13)*1000+60)+'計算A'!DA$5*50+IF(AND($E13=1,MN13=0),25,0),IF($F13&gt;0,INDEX('計算A'!DA$110:DA$114,$F13+1)+IF(AND($E13=1,MN13=0),1000,0),MIN(TY13,20)*400+(IF('計算A'!CZ$106=1,1-GX13,0)+IF('計算A'!DA$106=1,1-GZ13,0))*150+65+'計算A'!DA$5*100000+IF(AND($E13=1,MN13=0),50000,0))+IF($H13=1,(IF('計算A'!CZ$117=1,INDEX('計算A'!CZ$10:CZ$54,$B13),0)+IF('計算A'!DA$117=1,INDEX('計算A'!DB$10:DB$54,$B13),0))*4000,0)-IF(AND('計算A'!CZ$117=1,XX13&gt;0),2000,0)-IF(AND($L13=1,'計算A'!DA$117=1,GZ13=0),2000,0))),1000000))</f>
        <v/>
      </c>
      <c r="SD13">
        <f>IF($B13=0,1000000,IF(INDEX('計算A'!$D$60:$EQ$104,$B13,103)*GZ13=1,IF(AND($E13=2,MO13=0),1000000,IF($I13&gt;0,IF(5=$J13,IF(OR(AND(103=$I13+1,OR($K13&lt;&gt;'計算A'!$A$3,'計算A'!$A$4=0)),AND(103=$I13-1,OR(7&lt;&gt;'計算A'!$A$3,'計算A'!$A$4=0))),0,IF(7=$K13,200000,ABS(7-$K13)*100)),100000+ABS(5-$J13)*1000+70)+'計算A'!DB$5*50+IF(AND($E13=1,MO13=0),25,0),IF($F13&gt;0,INDEX('計算A'!DB$110:DB$114,$F13+1)+IF(AND($E13=1,MO13=0),1000,0),MIN(TY13,20)*400+(IF('計算A'!DA$106=1,1-GY13,0)+IF('計算A'!DB$106=1,1-HA13,0))*150+75+'計算A'!DB$5*100000+IF(AND($E13=1,MO13=0),50000,0))+IF($H13=1,(IF('計算A'!DA$117=1,INDEX('計算A'!DA$10:DA$54,$B13),0)+IF('計算A'!DB$117=1,INDEX('計算A'!DC$10:DC$54,$B13),0))*4000,0)-IF(AND('計算A'!DA$117=1,XY13&gt;0),2000,0)-IF(AND($L13=1,'計算A'!DB$117=1,HA13=0),2000,0))),1000000))</f>
        <v/>
      </c>
      <c r="SE13">
        <f>IF($B13=0,1000000,IF(INDEX('計算A'!$D$60:$EQ$104,$B13,104)*HA13=1,IF(AND($E13=2,MP13=0),1000000,IF($I13&gt;0,IF(5=$J13,IF(OR(AND(104=$I13+1,OR($K13&lt;&gt;'計算A'!$A$3,'計算A'!$A$4=0)),AND(104=$I13-1,OR(8&lt;&gt;'計算A'!$A$3,'計算A'!$A$4=0))),0,IF(8=$K13,200000,ABS(8-$K13)*100)),100000+ABS(5-$J13)*1000+80)+'計算A'!DC$5*50+IF(AND($E13=1,MP13=0),25,0),IF($F13&gt;0,INDEX('計算A'!DC$110:DC$114,$F13+1)+IF(AND($E13=1,MP13=0),1000,0),MIN(TY13,20)*400+(IF('計算A'!DB$106=1,1-GZ13,0)+IF('計算A'!DC$106=1,1-HB13,0))*150+85+'計算A'!DC$5*100000+IF(AND($E13=1,MP13=0),50000,0))+IF($H13=1,(IF('計算A'!DB$117=1,INDEX('計算A'!DB$10:DB$54,$B13),0)+IF('計算A'!DC$117=1,INDEX('計算A'!DD$10:DD$54,$B13),0))*4000,0)-IF(AND('計算A'!DB$117=1,XZ13&gt;0),2000,0)-IF(AND($L13=1,'計算A'!DC$117=1,HB13=0),2000,0))),1000000))</f>
        <v/>
      </c>
      <c r="SF13">
        <f>IF($B13=0,1000000,IF(INDEX('計算A'!$D$60:$EQ$104,$B13,105)*HB13=1,IF(AND($E13=2,MQ13=0),1000000,IF($I13&gt;0,IF(5=$J13,IF(OR(AND(105=$I13+1,OR($K13&lt;&gt;'計算A'!$A$3,'計算A'!$A$4=0)),AND(105=$I13-1,OR(9&lt;&gt;'計算A'!$A$3,'計算A'!$A$4=0))),0,IF(9=$K13,200000,ABS(9-$K13)*100)),100000+ABS(5-$J13)*1000+90)+'計算A'!DD$5*50+IF(AND($E13=1,MQ13=0),25,0),IF($F13&gt;0,INDEX('計算A'!DD$110:DD$114,$F13+1)+IF(AND($E13=1,MQ13=0),1000,0),MIN(TY13,20)*400+(IF('計算A'!DC$106=1,1-HA13,0)+IF('計算A'!DD$106=1,1-HC13,0))*150+95+'計算A'!DD$5*100000+IF(AND($E13=1,MQ13=0),50000,0))+IF($H13=1,(IF('計算A'!DC$117=1,INDEX('計算A'!DC$10:DC$54,$B13),0)+IF('計算A'!DD$117=1,INDEX('計算A'!DE$10:DE$54,$B13),0))*4000,0)-IF(AND('計算A'!DC$117=1,YA13&gt;0),2000,0)-IF(AND($L13=1,'計算A'!DD$117=1,HC13=0),2000,0))),1000000))</f>
        <v/>
      </c>
      <c r="SG13">
        <f>IF($B13=0,1000000,IF(INDEX('計算A'!$D$60:$EQ$104,$B13,106)*HC13=1,IF(AND($E13=2,MR13=0),1000000,IF($I13&gt;0,IF(5=$J13,IF(OR(AND(106=$I13+1,OR($K13&lt;&gt;'計算A'!$A$3,'計算A'!$A$4=0)),AND(106=$I13-1,OR(10&lt;&gt;'計算A'!$A$3,'計算A'!$A$4=0))),0,IF(10=$K13,200000,ABS(10-$K13)*100)),100000+ABS(5-$J13)*1000+100)+'計算A'!DE$5*50+IF(AND($E13=1,MR13=0),25,0),IF($F13&gt;0,INDEX('計算A'!DE$110:DE$114,$F13+1)+IF(AND($E13=1,MR13=0),1000,0),MIN(TY13,20)*400+(IF('計算A'!DD$106=1,1-HB13,0)+IF('計算A'!DE$106=1,1-HD13,0))*150+105+'計算A'!DE$5*100000+IF(AND($E13=1,MR13=0),50000,0))+IF($H13=1,(IF('計算A'!DD$117=1,INDEX('計算A'!DD$10:DD$54,$B13),0)+IF('計算A'!DE$117=1,INDEX('計算A'!DF$10:DF$54,$B13),0))*4000,0)-IF(AND('計算A'!DD$117=1,YB13&gt;0),2000,0)-IF(AND($L13=1,'計算A'!DE$117=1,HD13=0),2000,0))),1000000))</f>
        <v/>
      </c>
      <c r="SH13">
        <f>IF($B13=0,1000000,IF(INDEX('計算A'!$D$60:$EQ$104,$B13,107)*HD13=1,IF(AND($E13=2,MS13=0),1000000,IF($I13&gt;0,IF(5=$J13,IF(OR(AND(107=$I13+1,OR($K13&lt;&gt;'計算A'!$A$3,'計算A'!$A$4=0)),AND(107=$I13-1,OR(11&lt;&gt;'計算A'!$A$3,'計算A'!$A$4=0))),0,IF(11=$K13,200000,ABS(11-$K13)*100)),100000+ABS(5-$J13)*1000+110)+'計算A'!DF$5*50+IF(AND($E13=1,MS13=0),25,0),IF($F13&gt;0,INDEX('計算A'!DF$110:DF$114,$F13+1)+IF(AND($E13=1,MS13=0),1000,0),MIN(TY13,20)*400+(IF('計算A'!DE$106=1,1-HC13,0)+IF('計算A'!DF$106=1,1-HE13,0))*150+115+'計算A'!DF$5*100000+IF(AND($E13=1,MS13=0),50000,0))+IF($H13=1,(IF('計算A'!DE$117=1,INDEX('計算A'!DE$10:DE$54,$B13),0)+IF('計算A'!DF$117=1,INDEX('計算A'!DG$10:DG$54,$B13),0))*4000,0)-IF(AND('計算A'!DE$117=1,YC13&gt;0),2000,0)-IF(AND($L13=1,'計算A'!DF$117=1,HE13=0),2000,0))),1000000))</f>
        <v/>
      </c>
      <c r="SI13">
        <f>IF($B13=0,1000000,IF(INDEX('計算A'!$D$60:$EQ$104,$B13,108)*HE13=1,IF(AND($E13=2,MT13=0),1000000,IF($I13&gt;0,IF(5=$J13,IF(OR(AND(108=$I13+1,OR($K13&lt;&gt;'計算A'!$A$3,'計算A'!$A$4=0)),AND(108=$I13-1,OR(12&lt;&gt;'計算A'!$A$3,'計算A'!$A$4=0))),0,IF(12=$K13,200000,ABS(12-$K13)*100)),100000+ABS(5-$J13)*1000+120)+'計算A'!DG$5*50+IF(AND($E13=1,MT13=0),25,0),IF($F13&gt;0,INDEX('計算A'!DG$110:DG$114,$F13+1)+IF(AND($E13=1,MT13=0),1000,0),MIN(TY13,20)*400+(IF('計算A'!DF$106=1,1-HD13,0)+IF('計算A'!DG$106=1,1-HF13,0))*150+125+'計算A'!DG$5*100000+IF(AND($E13=1,MT13=0),50000,0))+IF($H13=1,(IF('計算A'!DF$117=1,INDEX('計算A'!DF$10:DF$54,$B13),0)+IF('計算A'!DG$117=1,INDEX('計算A'!DH$10:DH$54,$B13),0))*4000,0)-IF(AND('計算A'!DF$117=1,YD13&gt;0),2000,0)-IF(AND($L13=1,'計算A'!DG$117=1,HF13=0),2000,0))),1000000))</f>
        <v/>
      </c>
      <c r="SJ13">
        <f>IF($B13=0,1000000,IF(INDEX('計算A'!$D$60:$EQ$104,$B13,109)*HF13=1,IF(AND($E13=2,MU13=0),1000000,IF($I13&gt;0,IF(5=$J13,IF(OR(AND(109=$I13+1,OR($K13&lt;&gt;'計算A'!$A$3,'計算A'!$A$4=0)),AND(109=$I13-1,OR(13&lt;&gt;'計算A'!$A$3,'計算A'!$A$4=0))),0,IF(13=$K13,200000,ABS(13-$K13)*100)),100000+ABS(5-$J13)*1000+130)+'計算A'!DH$5*50+IF(AND($E13=1,MU13=0),25,0),IF($F13&gt;0,INDEX('計算A'!DH$110:DH$114,$F13+1)+IF(AND($E13=1,MU13=0),1000,0),MIN(TY13,20)*400+(IF('計算A'!DG$106=1,1-HE13,0)+IF('計算A'!DH$106=1,1-HG13,0))*150+135+'計算A'!DH$5*100000+IF(AND($E13=1,MU13=0),50000,0))+IF($H13=1,(IF('計算A'!DG$117=1,INDEX('計算A'!DG$10:DG$54,$B13),0)+IF('計算A'!DH$117=1,INDEX('計算A'!DI$10:DI$54,$B13),0))*4000,0)-IF(AND('計算A'!DG$117=1,YE13&gt;0),2000,0)-IF(AND($L13=1,'計算A'!DH$117=1,HG13=0),2000,0))),1000000))</f>
        <v/>
      </c>
      <c r="SK13">
        <f>IF($B13=0,1000000,IF(INDEX('計算A'!$D$60:$EQ$104,$B13,110)*HG13=1,IF(AND($E13=2,MV13=0),1000000,IF($I13&gt;0,IF(5=$J13,IF(OR(AND(110=$I13+1,OR($K13&lt;&gt;'計算A'!$A$3,'計算A'!$A$4=0)),AND(110=$I13-1,OR(14&lt;&gt;'計算A'!$A$3,'計算A'!$A$4=0))),0,IF(14=$K13,200000,ABS(14-$K13)*100)),100000+ABS(5-$J13)*1000+140)+'計算A'!DI$5*50+IF(AND($E13=1,MV13=0),25,0),IF($F13&gt;0,INDEX('計算A'!DI$110:DI$114,$F13+1)+IF(AND($E13=1,MV13=0),1000,0),MIN(TY13,20)*400+(IF('計算A'!DH$106=1,1-HF13,0)+IF('計算A'!DI$106=1,1-HH13,0))*150+145+'計算A'!DI$5*100000+IF(AND($E13=1,MV13=0),50000,0))+IF($H13=1,(IF('計算A'!DH$117=1,INDEX('計算A'!DH$10:DH$54,$B13),0)+IF('計算A'!DI$117=1,INDEX('計算A'!DJ$10:DJ$54,$B13),0))*4000,0)-IF(AND('計算A'!DH$117=1,YF13&gt;0),2000,0)-IF(AND($L13=1,'計算A'!DI$117=1,HH13=0),2000,0))),1000000))</f>
        <v/>
      </c>
      <c r="SL13">
        <f>IF($B13=0,1000000,IF(INDEX('計算A'!$D$60:$EQ$104,$B13,111)*HH13=1,IF(AND($E13=2,MW13=0),1000000,IF($I13&gt;0,IF(5=$J13,IF(OR(AND(111=$I13+1,OR($K13&lt;&gt;'計算A'!$A$3,'計算A'!$A$4=0)),AND(111=$I13-1,OR(15&lt;&gt;'計算A'!$A$3,'計算A'!$A$4=0))),0,IF(15=$K13,200000,ABS(15-$K13)*100)),100000+ABS(5-$J13)*1000+150)+'計算A'!DJ$5*50+IF(AND($E13=1,MW13=0),25,0),IF($F13&gt;0,INDEX('計算A'!DJ$110:DJ$114,$F13+1)+IF(AND($E13=1,MW13=0),1000,0),MIN(TY13,20)*400+(IF('計算A'!DI$106=1,1-HG13,0)+IF('計算A'!DJ$106=1,1-HI13,0))*150+155+'計算A'!DJ$5*100000+IF(AND($E13=1,MW13=0),50000,0))+IF($H13=1,(IF('計算A'!DI$117=1,INDEX('計算A'!DI$10:DI$54,$B13),0)+IF('計算A'!DJ$117=1,INDEX('計算A'!DK$10:DK$54,$B13),0))*4000,0)-IF(AND('計算A'!DI$117=1,YG13&gt;0),2000,0)-IF(AND($L13=1,'計算A'!DJ$117=1,HI13=0),2000,0))),1000000))</f>
        <v/>
      </c>
      <c r="SM13">
        <f>IF($B13=0,1000000,IF(INDEX('計算A'!$D$60:$EQ$104,$B13,112)*HI13=1,IF(AND($E13=2,MX13=0),1000000,IF($I13&gt;0,IF(5=$J13,IF(OR(AND(112=$I13+1,OR($K13&lt;&gt;'計算A'!$A$3,'計算A'!$A$4=0)),AND(112=$I13-1,OR(16&lt;&gt;'計算A'!$A$3,'計算A'!$A$4=0))),0,IF(16=$K13,200000,ABS(16-$K13)*100)),100000+ABS(5-$J13)*1000+160)+'計算A'!DK$5*50+IF(AND($E13=1,MX13=0),25,0),IF($F13&gt;0,INDEX('計算A'!DK$110:DK$114,$F13+1)+IF(AND($E13=1,MX13=0),1000,0),MIN(TY13,20)*400+(IF('計算A'!DJ$106=1,1-HH13,0)+IF('計算A'!DK$106=1,1-HJ13,0))*150+165+'計算A'!DK$5*100000+IF(AND($E13=1,MX13=0),50000,0))+IF($H13=1,(IF('計算A'!DJ$117=1,INDEX('計算A'!DJ$10:DJ$54,$B13),0)+IF('計算A'!DK$117=1,INDEX('計算A'!DL$10:DL$54,$B13),0))*4000,0)-IF(AND('計算A'!DJ$117=1,YH13&gt;0),2000,0)-IF(AND($L13=1,'計算A'!DK$117=1,HJ13=0),2000,0))),1000000))</f>
        <v/>
      </c>
      <c r="SN13">
        <f>IF($B13=0,1000000,IF(INDEX('計算A'!$D$60:$EQ$104,$B13,113)*HJ13=1,IF(AND($E13=2,MY13=0),1000000,IF($I13&gt;0,IF(5=$J13,IF(OR(AND(113=$I13+1,OR($K13&lt;&gt;'計算A'!$A$3,'計算A'!$A$4=0)),AND(113=$I13-1,OR(17&lt;&gt;'計算A'!$A$3,'計算A'!$A$4=0))),0,IF(17=$K13,200000,ABS(17-$K13)*100)),100000+ABS(5-$J13)*1000+170)+'計算A'!DL$5*50+IF(AND($E13=1,MY13=0),25,0),IF($F13&gt;0,INDEX('計算A'!DL$110:DL$114,$F13+1)+IF(AND($E13=1,MY13=0),1000,0),MIN(TY13,20)*400+(IF('計算A'!DK$106=1,1-HI13,0)+IF('計算A'!DL$106=1,1-HK13,0))*150+175+'計算A'!DL$5*100000+IF(AND($E13=1,MY13=0),50000,0))+IF($H13=1,(IF('計算A'!DK$117=1,INDEX('計算A'!DK$10:DK$54,$B13),0)+IF('計算A'!DL$117=1,INDEX('計算A'!DM$10:DM$54,$B13),0))*4000,0)-IF(AND('計算A'!DK$117=1,YI13&gt;0),2000,0)-IF(AND($L13=1,'計算A'!DL$117=1,HK13=0),2000,0))),1000000))</f>
        <v/>
      </c>
      <c r="SO13">
        <f>IF($B13=0,1000000,IF(INDEX('計算A'!$D$60:$EQ$104,$B13,114)*HK13=1,IF(AND($E13=2,MZ13=0),1000000,IF($I13&gt;0,IF(5=$J13,IF(OR(AND(114=$I13+1,OR($K13&lt;&gt;'計算A'!$A$3,'計算A'!$A$4=0)),AND(114=$I13-1,OR(18&lt;&gt;'計算A'!$A$3,'計算A'!$A$4=0))),0,IF(18=$K13,200000,ABS(18-$K13)*100)),100000+ABS(5-$J13)*1000+180)+'計算A'!DM$5*50+IF(AND($E13=1,MZ13=0),25,0),IF($F13&gt;0,INDEX('計算A'!DM$110:DM$114,$F13+1)+IF(AND($E13=1,MZ13=0),1000,0),MIN(TY13,20)*400+(IF('計算A'!DL$106=1,1-HJ13,0)+IF('計算A'!DM$106=1,1-HL13,0))*150+185+'計算A'!DM$5*100000+IF(AND($E13=1,MZ13=0),50000,0))+IF($H13=1,(IF('計算A'!DL$117=1,INDEX('計算A'!DL$10:DL$54,$B13),0)+IF('計算A'!DM$117=1,INDEX('計算A'!DN$10:DN$54,$B13),0))*4000,0)-IF(AND('計算A'!DL$117=1,YJ13&gt;0),2000,0)-IF(AND($L13=1,'計算A'!DM$117=1,HL13=0),2000,0))),1000000))</f>
        <v/>
      </c>
      <c r="SP13">
        <f>IF($B13=0,1000000,IF(INDEX('計算A'!$D$60:$EQ$104,$B13,115)*HL13=1,IF(AND($E13=2,NA13=0),1000000,IF($I13&gt;0,IF(5=$J13,IF(OR(AND(115=$I13+1,OR($K13&lt;&gt;'計算A'!$A$3,'計算A'!$A$4=0)),AND(115=$I13-1,OR(19&lt;&gt;'計算A'!$A$3,'計算A'!$A$4=0))),0,IF(19=$K13,200000,ABS(19-$K13)*100)),100000+ABS(5-$J13)*1000+190)+'計算A'!DN$5*50+IF(AND($E13=1,NA13=0),25,0),IF($F13&gt;0,INDEX('計算A'!DN$110:DN$114,$F13+1)+IF(AND($E13=1,NA13=0),1000,0),MIN(TY13,20)*400+(IF('計算A'!DM$106=1,1-HK13,0)+IF('計算A'!DN$106=1,1-HM13,0))*150+195+'計算A'!DN$5*100000+IF(AND($E13=1,NA13=0),50000,0))+IF($H13=1,(IF('計算A'!DM$117=1,INDEX('計算A'!DM$10:DM$54,$B13),0)+IF('計算A'!DN$117=1,INDEX('計算A'!DO$10:DO$54,$B13),0))*4000,0)-IF(AND('計算A'!DM$117=1,YK13&gt;0),2000,0)-IF(AND($L13=1,'計算A'!DN$117=1,HM13=0),2000,0))),1000000))</f>
        <v/>
      </c>
      <c r="SQ13">
        <f>IF($B13=0,1000000,IF(INDEX('計算A'!$D$60:$EQ$104,$B13,116)*HM13=1,IF(AND($E13=2,NB13=0),1000000,IF($I13&gt;0,IF(5=$J13,IF(OR(AND(116=$I13+1,OR($K13&lt;&gt;'計算A'!$A$3,'計算A'!$A$4=0)),AND(116=$I13-1,OR(20&lt;&gt;'計算A'!$A$3,'計算A'!$A$4=0))),0,IF(20=$K13,200000,ABS(20-$K13)*100)),100000+ABS(5-$J13)*1000+200)+'計算A'!DO$5*50+IF(AND($E13=1,NB13=0),25,0),IF($F13&gt;0,INDEX('計算A'!DO$110:DO$114,$F13+1)+IF(AND($E13=1,NB13=0),1000,0),MIN(TY13,20)*400+(IF('計算A'!DN$106=1,1-HL13,0)+IF('計算A'!DO$106=1,1-HN13,0))*150+205+'計算A'!DO$5*100000+IF(AND($E13=1,NB13=0),50000,0))+IF($H13=1,(IF('計算A'!DN$117=1,INDEX('計算A'!DN$10:DN$54,$B13),0)+IF('計算A'!DO$117=1,INDEX('計算A'!DP$10:DP$54,$B13),0))*4000,0)-IF(AND('計算A'!DN$117=1,YL13&gt;0),2000,0)-IF(AND($L13=1,'計算A'!DO$117=1,HN13=0),2000,0))),1000000))</f>
        <v/>
      </c>
      <c r="SR13">
        <f>IF($B13=0,1000000,IF(INDEX('計算A'!$D$60:$EQ$104,$B13,117)*HN13=1,IF(AND($E13=2,NC13=0),1000000,IF($I13&gt;0,IF(5=$J13,IF(OR(AND(117=$I13+1,OR($K13&lt;&gt;'計算A'!$A$3,'計算A'!$A$4=0)),AND(117=$I13-1,OR(21&lt;&gt;'計算A'!$A$3,'計算A'!$A$4=0))),0,IF(21=$K13,200000,ABS(21-$K13)*100)),100000+ABS(5-$J13)*1000+210)+'計算A'!DP$5*50+IF(AND($E13=1,NC13=0),25,0),IF($F13&gt;0,INDEX('計算A'!DP$110:DP$114,$F13+1)+IF(AND($E13=1,NC13=0),1000,0),MIN(TY13,20)*400+(IF('計算A'!DO$106=1,1-HM13,0)+IF('計算A'!DP$106=1,1-HO13,0))*150+215+'計算A'!DP$5*100000+IF(AND($E13=1,NC13=0),50000,0))+IF($H13=1,(IF('計算A'!DO$117=1,INDEX('計算A'!DO$10:DO$54,$B13),0)+IF('計算A'!DP$117=1,INDEX('計算A'!DQ$10:DQ$54,$B13),0))*4000,0)-IF(AND('計算A'!DO$117=1,YM13&gt;0),2000,0)-IF(AND($L13=1,'計算A'!DP$117=1,HO13=0),2000,0))),1000000))</f>
        <v/>
      </c>
      <c r="SS13">
        <f>IF($B13=0,1000000,IF(INDEX('計算A'!$D$60:$EQ$104,$B13,118)*HO13=1,IF(AND($E13=2,ND13=0),1000000,IF($I13&gt;0,IF(5=$J13,IF(OR(AND(118=$I13+1,OR($K13&lt;&gt;'計算A'!$A$3,'計算A'!$A$4=0)),AND(118=$I13-1,OR(22&lt;&gt;'計算A'!$A$3,'計算A'!$A$4=0))),0,IF(22=$K13,200000,ABS(22-$K13)*100)),100000+ABS(5-$J13)*1000+220)+'計算A'!DQ$5*50+IF(AND($E13=1,ND13=0),25,0),IF($F13&gt;0,INDEX('計算A'!DQ$110:DQ$114,$F13+1)+IF(AND($E13=1,ND13=0),1000,0),MIN(TY13,20)*400+(IF('計算A'!DP$106=1,1-HN13,0)+IF('計算A'!DQ$106=1,1-HP13,0))*150+225+'計算A'!DQ$5*100000+IF(AND($E13=1,ND13=0),50000,0))+IF($H13=1,(IF('計算A'!DP$117=1,INDEX('計算A'!DP$10:DP$54,$B13),0)+IF('計算A'!DQ$117=1,INDEX('計算A'!DR$10:DR$54,$B13),0))*4000,0)-IF(AND('計算A'!DP$117=1,YN13&gt;0),2000,0)-IF(AND($L13=1,'計算A'!DQ$117=1,HP13=0),2000,0))),1000000))</f>
        <v/>
      </c>
      <c r="ST13">
        <f>IF($B13=0,1000000,IF(INDEX('計算A'!$D$60:$EQ$104,$B13,119)*HP13=1,IF(AND($E13=2,NE13=0),1000000,IF($I13&gt;0,IF(5=$J13,IF(OR(AND(119=$I13+1,OR($K13&lt;&gt;'計算A'!$A$3,'計算A'!$A$4=0)),AND(119=$I13-1,OR(23&lt;&gt;'計算A'!$A$3,'計算A'!$A$4=0))),0,IF(23=$K13,200000,ABS(23-$K13)*100)),100000+ABS(5-$J13)*1000+230)+'計算A'!DR$5*50+IF(AND($E13=1,NE13=0),25,0),IF($F13&gt;0,INDEX('計算A'!DR$110:DR$114,$F13+1)+IF(AND($E13=1,NE13=0),1000,0),MIN(TY13,20)*400+(IF('計算A'!DQ$106=1,1-HO13,0)+IF('計算A'!DR$106=1,1-HQ13,0))*150+235+'計算A'!DR$5*100000+IF(AND($E13=1,NE13=0),50000,0))+IF($H13=1,(IF('計算A'!DQ$117=1,INDEX('計算A'!DQ$10:DQ$54,$B13),0)+IF('計算A'!DR$117=1,INDEX('計算A'!DS$10:DS$54,$B13),0))*4000,0)-IF(AND('計算A'!DQ$117=1,YO13&gt;0),2000,0)-IF(AND($L13=1,'計算A'!DR$117=1,HQ13=0),2000,0))),1000000))</f>
        <v/>
      </c>
      <c r="SU13">
        <f>IF($B13=0,1000000,IF(INDEX('計算A'!$D$60:$EQ$104,$B13,120)*HQ13=1,IF(AND($E13=2,NF13=0),1000000,IF($I13&gt;0,IF(5=$J13,IF(OR(AND(120=$I13+1,OR($K13&lt;&gt;'計算A'!$A$3,'計算A'!$A$4=0)),AND(120=$I13-1,OR(24&lt;&gt;'計算A'!$A$3,'計算A'!$A$4=0))),0,IF(24=$K13,200000,ABS(24-$K13)*100)),100000+ABS(5-$J13)*1000+240)+'計算A'!DS$5*50+IF(AND($E13=1,NF13=0),25,0),IF($F13&gt;0,INDEX('計算A'!DS$110:DS$114,$F13+1)+IF(AND($E13=1,NF13=0),1000,0),MIN(TY13,20)*400+(IF('計算A'!DR$106=1,1-HP13,0))*150+245+'計算A'!DS$5*100000+IF(AND($E13=1,NF13=0),50000,0))+IF($H13=1,(IF('計算A'!DR$117=1,INDEX('計算A'!DR$10:DR$54,$B13),0))*4000,0)-IF(AND('計算A'!DR$117=1,YP13&gt;0),2000,0))),1000000))</f>
        <v/>
      </c>
      <c r="SV13">
        <f>IF($B13=0,1000000,IF(INDEX('計算A'!$D$60:$EQ$104,$B13,121)*HR13=1,IF(AND($E13=2,NG13=0),1000000,IF($I13&gt;0,IF(6=$J13,IF(OR(AND(121=$I13+1,OR($K13&lt;&gt;'計算A'!$A$3,'計算A'!$A$4=0)),AND(121=$I13-1,OR(1&lt;&gt;'計算A'!$A$3,'計算A'!$A$4=0))),0,IF(1=$K13,200000,ABS(1-$K13)*100)),100000+ABS(6-$J13)*1000+10)+'計算A'!DT$5*50+IF(AND($E13=1,NG13=0),25,0),IF($F13&gt;0,INDEX('計算A'!DT$110:DT$114,$F13+1)+IF(AND($E13=1,NG13=0),1000,0),MIN(TZ13,20)*400+(IF('計算A'!DT$106=1,1-HS13,0))*150+16+'計算A'!DT$5*100000+IF(AND($E13=1,NG13=0),50000,0))+IF($H13=1,(IF('計算A'!DT$117=1,INDEX('計算A'!DU$10:DU$54,$B13),0))*4000,0)-IF(AND($L13=1,'計算A'!DT$117=1,HS13=0),2000,0))),1000000))</f>
        <v/>
      </c>
      <c r="SW13">
        <f>IF($B13=0,1000000,IF(INDEX('計算A'!$D$60:$EQ$104,$B13,122)*HS13=1,IF(AND($E13=2,NH13=0),1000000,IF($I13&gt;0,IF(6=$J13,IF(OR(AND(122=$I13+1,OR($K13&lt;&gt;'計算A'!$A$3,'計算A'!$A$4=0)),AND(122=$I13-1,OR(2&lt;&gt;'計算A'!$A$3,'計算A'!$A$4=0))),0,IF(2=$K13,200000,ABS(2-$K13)*100)),100000+ABS(6-$J13)*1000+20)+'計算A'!DU$5*50+IF(AND($E13=1,NH13=0),25,0),IF($F13&gt;0,INDEX('計算A'!DU$110:DU$114,$F13+1)+IF(AND($E13=1,NH13=0),1000,0),MIN(TZ13,20)*400+(IF('計算A'!DT$106=1,1-HR13,0)+IF('計算A'!DU$106=1,1-HT13,0))*150+26+'計算A'!DU$5*100000+IF(AND($E13=1,NH13=0),50000,0))+IF($H13=1,(IF('計算A'!DT$117=1,INDEX('計算A'!DT$10:DT$54,$B13),0)+IF('計算A'!DU$117=1,INDEX('計算A'!DV$10:DV$54,$B13),0))*4000,0)-IF(AND('計算A'!DT$117=1,YR13&gt;0),2000,0)-IF(AND($L13=1,'計算A'!DU$117=1,HT13=0),2000,0))),1000000))</f>
        <v/>
      </c>
      <c r="SX13">
        <f>IF($B13=0,1000000,IF(INDEX('計算A'!$D$60:$EQ$104,$B13,123)*HT13=1,IF(AND($E13=2,NI13=0),1000000,IF($I13&gt;0,IF(6=$J13,IF(OR(AND(123=$I13+1,OR($K13&lt;&gt;'計算A'!$A$3,'計算A'!$A$4=0)),AND(123=$I13-1,OR(3&lt;&gt;'計算A'!$A$3,'計算A'!$A$4=0))),0,IF(3=$K13,200000,ABS(3-$K13)*100)),100000+ABS(6-$J13)*1000+30)+'計算A'!DV$5*50+IF(AND($E13=1,NI13=0),25,0),IF($F13&gt;0,INDEX('計算A'!DV$110:DV$114,$F13+1)+IF(AND($E13=1,NI13=0),1000,0),MIN(TZ13,20)*400+(IF('計算A'!DU$106=1,1-HS13,0)+IF('計算A'!DV$106=1,1-HU13,0))*150+36+'計算A'!DV$5*100000+IF(AND($E13=1,NI13=0),50000,0))+IF($H13=1,(IF('計算A'!DU$117=1,INDEX('計算A'!DU$10:DU$54,$B13),0)+IF('計算A'!DV$117=1,INDEX('計算A'!DW$10:DW$54,$B13),0))*4000,0)-IF(AND('計算A'!DU$117=1,YS13&gt;0),2000,0)-IF(AND($L13=1,'計算A'!DV$117=1,HU13=0),2000,0))),1000000))</f>
        <v/>
      </c>
      <c r="SY13">
        <f>IF($B13=0,1000000,IF(INDEX('計算A'!$D$60:$EQ$104,$B13,124)*HU13=1,IF(AND($E13=2,NJ13=0),1000000,IF($I13&gt;0,IF(6=$J13,IF(OR(AND(124=$I13+1,OR($K13&lt;&gt;'計算A'!$A$3,'計算A'!$A$4=0)),AND(124=$I13-1,OR(4&lt;&gt;'計算A'!$A$3,'計算A'!$A$4=0))),0,IF(4=$K13,200000,ABS(4-$K13)*100)),100000+ABS(6-$J13)*1000+40)+'計算A'!DW$5*50+IF(AND($E13=1,NJ13=0),25,0),IF($F13&gt;0,INDEX('計算A'!DW$110:DW$114,$F13+1)+IF(AND($E13=1,NJ13=0),1000,0),MIN(TZ13,20)*400+(IF('計算A'!DV$106=1,1-HT13,0)+IF('計算A'!DW$106=1,1-HV13,0))*150+46+'計算A'!DW$5*100000+IF(AND($E13=1,NJ13=0),50000,0))+IF($H13=1,(IF('計算A'!DV$117=1,INDEX('計算A'!DV$10:DV$54,$B13),0)+IF('計算A'!DW$117=1,INDEX('計算A'!DX$10:DX$54,$B13),0))*4000,0)-IF(AND('計算A'!DV$117=1,YT13&gt;0),2000,0)-IF(AND($L13=1,'計算A'!DW$117=1,HV13=0),2000,0))),1000000))</f>
        <v/>
      </c>
      <c r="SZ13">
        <f>IF($B13=0,1000000,IF(INDEX('計算A'!$D$60:$EQ$104,$B13,125)*HV13=1,IF(AND($E13=2,NK13=0),1000000,IF($I13&gt;0,IF(6=$J13,IF(OR(AND(125=$I13+1,OR($K13&lt;&gt;'計算A'!$A$3,'計算A'!$A$4=0)),AND(125=$I13-1,OR(5&lt;&gt;'計算A'!$A$3,'計算A'!$A$4=0))),0,IF(5=$K13,200000,ABS(5-$K13)*100)),100000+ABS(6-$J13)*1000+50)+'計算A'!DX$5*50+IF(AND($E13=1,NK13=0),25,0),IF($F13&gt;0,INDEX('計算A'!DX$110:DX$114,$F13+1)+IF(AND($E13=1,NK13=0),1000,0),MIN(TZ13,20)*400+(IF('計算A'!DW$106=1,1-HU13,0)+IF('計算A'!DX$106=1,1-HW13,0))*150+56+'計算A'!DX$5*100000+IF(AND($E13=1,NK13=0),50000,0))+IF($H13=1,(IF('計算A'!DW$117=1,INDEX('計算A'!DW$10:DW$54,$B13),0)+IF('計算A'!DX$117=1,INDEX('計算A'!DY$10:DY$54,$B13),0))*4000,0)-IF(AND('計算A'!DW$117=1,YU13&gt;0),2000,0)-IF(AND($L13=1,'計算A'!DX$117=1,HW13=0),2000,0))),1000000))</f>
        <v/>
      </c>
      <c r="TA13">
        <f>IF($B13=0,1000000,IF(INDEX('計算A'!$D$60:$EQ$104,$B13,126)*HW13=1,IF(AND($E13=2,NL13=0),1000000,IF($I13&gt;0,IF(6=$J13,IF(OR(AND(126=$I13+1,OR($K13&lt;&gt;'計算A'!$A$3,'計算A'!$A$4=0)),AND(126=$I13-1,OR(6&lt;&gt;'計算A'!$A$3,'計算A'!$A$4=0))),0,IF(6=$K13,200000,ABS(6-$K13)*100)),100000+ABS(6-$J13)*1000+60)+'計算A'!DY$5*50+IF(AND($E13=1,NL13=0),25,0),IF($F13&gt;0,INDEX('計算A'!DY$110:DY$114,$F13+1)+IF(AND($E13=1,NL13=0),1000,0),MIN(TZ13,20)*400+(IF('計算A'!DX$106=1,1-HV13,0)+IF('計算A'!DY$106=1,1-HX13,0))*150+66+'計算A'!DY$5*100000+IF(AND($E13=1,NL13=0),50000,0))+IF($H13=1,(IF('計算A'!DX$117=1,INDEX('計算A'!DX$10:DX$54,$B13),0)+IF('計算A'!DY$117=1,INDEX('計算A'!DZ$10:DZ$54,$B13),0))*4000,0)-IF(AND('計算A'!DX$117=1,YV13&gt;0),2000,0)-IF(AND($L13=1,'計算A'!DY$117=1,HX13=0),2000,0))),1000000))</f>
        <v/>
      </c>
      <c r="TB13">
        <f>IF($B13=0,1000000,IF(INDEX('計算A'!$D$60:$EQ$104,$B13,127)*HX13=1,IF(AND($E13=2,NM13=0),1000000,IF($I13&gt;0,IF(6=$J13,IF(OR(AND(127=$I13+1,OR($K13&lt;&gt;'計算A'!$A$3,'計算A'!$A$4=0)),AND(127=$I13-1,OR(7&lt;&gt;'計算A'!$A$3,'計算A'!$A$4=0))),0,IF(7=$K13,200000,ABS(7-$K13)*100)),100000+ABS(6-$J13)*1000+70)+'計算A'!DZ$5*50+IF(AND($E13=1,NM13=0),25,0),IF($F13&gt;0,INDEX('計算A'!DZ$110:DZ$114,$F13+1)+IF(AND($E13=1,NM13=0),1000,0),MIN(TZ13,20)*400+(IF('計算A'!DY$106=1,1-HW13,0)+IF('計算A'!DZ$106=1,1-HY13,0))*150+76+'計算A'!DZ$5*100000+IF(AND($E13=1,NM13=0),50000,0))+IF($H13=1,(IF('計算A'!DY$117=1,INDEX('計算A'!DY$10:DY$54,$B13),0)+IF('計算A'!DZ$117=1,INDEX('計算A'!EA$10:EA$54,$B13),0))*4000,0)-IF(AND('計算A'!DY$117=1,YW13&gt;0),2000,0)-IF(AND($L13=1,'計算A'!DZ$117=1,HY13=0),2000,0))),1000000))</f>
        <v/>
      </c>
      <c r="TC13">
        <f>IF($B13=0,1000000,IF(INDEX('計算A'!$D$60:$EQ$104,$B13,128)*HY13=1,IF(AND($E13=2,NN13=0),1000000,IF($I13&gt;0,IF(6=$J13,IF(OR(AND(128=$I13+1,OR($K13&lt;&gt;'計算A'!$A$3,'計算A'!$A$4=0)),AND(128=$I13-1,OR(8&lt;&gt;'計算A'!$A$3,'計算A'!$A$4=0))),0,IF(8=$K13,200000,ABS(8-$K13)*100)),100000+ABS(6-$J13)*1000+80)+'計算A'!EA$5*50+IF(AND($E13=1,NN13=0),25,0),IF($F13&gt;0,INDEX('計算A'!EA$110:EA$114,$F13+1)+IF(AND($E13=1,NN13=0),1000,0),MIN(TZ13,20)*400+(IF('計算A'!DZ$106=1,1-HX13,0)+IF('計算A'!EA$106=1,1-HZ13,0))*150+86+'計算A'!EA$5*100000+IF(AND($E13=1,NN13=0),50000,0))+IF($H13=1,(IF('計算A'!DZ$117=1,INDEX('計算A'!DZ$10:DZ$54,$B13),0)+IF('計算A'!EA$117=1,INDEX('計算A'!EB$10:EB$54,$B13),0))*4000,0)-IF(AND('計算A'!DZ$117=1,YX13&gt;0),2000,0)-IF(AND($L13=1,'計算A'!EA$117=1,HZ13=0),2000,0))),1000000))</f>
        <v/>
      </c>
      <c r="TD13">
        <f>IF($B13=0,1000000,IF(INDEX('計算A'!$D$60:$EQ$104,$B13,129)*HZ13=1,IF(AND($E13=2,NO13=0),1000000,IF($I13&gt;0,IF(6=$J13,IF(OR(AND(129=$I13+1,OR($K13&lt;&gt;'計算A'!$A$3,'計算A'!$A$4=0)),AND(129=$I13-1,OR(9&lt;&gt;'計算A'!$A$3,'計算A'!$A$4=0))),0,IF(9=$K13,200000,ABS(9-$K13)*100)),100000+ABS(6-$J13)*1000+90)+'計算A'!EB$5*50+IF(AND($E13=1,NO13=0),25,0),IF($F13&gt;0,INDEX('計算A'!EB$110:EB$114,$F13+1)+IF(AND($E13=1,NO13=0),1000,0),MIN(TZ13,20)*400+(IF('計算A'!EA$106=1,1-HY13,0)+IF('計算A'!EB$106=1,1-IA13,0))*150+96+'計算A'!EB$5*100000+IF(AND($E13=1,NO13=0),50000,0))+IF($H13=1,(IF('計算A'!EA$117=1,INDEX('計算A'!EA$10:EA$54,$B13),0)+IF('計算A'!EB$117=1,INDEX('計算A'!EC$10:EC$54,$B13),0))*4000,0)-IF(AND('計算A'!EA$117=1,YY13&gt;0),2000,0)-IF(AND($L13=1,'計算A'!EB$117=1,IA13=0),2000,0))),1000000))</f>
        <v/>
      </c>
      <c r="TE13">
        <f>IF($B13=0,1000000,IF(INDEX('計算A'!$D$60:$EQ$104,$B13,130)*IA13=1,IF(AND($E13=2,NP13=0),1000000,IF($I13&gt;0,IF(6=$J13,IF(OR(AND(130=$I13+1,OR($K13&lt;&gt;'計算A'!$A$3,'計算A'!$A$4=0)),AND(130=$I13-1,OR(10&lt;&gt;'計算A'!$A$3,'計算A'!$A$4=0))),0,IF(10=$K13,200000,ABS(10-$K13)*100)),100000+ABS(6-$J13)*1000+100)+'計算A'!EC$5*50+IF(AND($E13=1,NP13=0),25,0),IF($F13&gt;0,INDEX('計算A'!EC$110:EC$114,$F13+1)+IF(AND($E13=1,NP13=0),1000,0),MIN(TZ13,20)*400+(IF('計算A'!EB$106=1,1-HZ13,0)+IF('計算A'!EC$106=1,1-IB13,0))*150+106+'計算A'!EC$5*100000+IF(AND($E13=1,NP13=0),50000,0))+IF($H13=1,(IF('計算A'!EB$117=1,INDEX('計算A'!EB$10:EB$54,$B13),0)+IF('計算A'!EC$117=1,INDEX('計算A'!ED$10:ED$54,$B13),0))*4000,0)-IF(AND('計算A'!EB$117=1,YZ13&gt;0),2000,0)-IF(AND($L13=1,'計算A'!EC$117=1,IB13=0),2000,0))),1000000))</f>
        <v/>
      </c>
      <c r="TF13">
        <f>IF($B13=0,1000000,IF(INDEX('計算A'!$D$60:$EQ$104,$B13,131)*IB13=1,IF(AND($E13=2,NQ13=0),1000000,IF($I13&gt;0,IF(6=$J13,IF(OR(AND(131=$I13+1,OR($K13&lt;&gt;'計算A'!$A$3,'計算A'!$A$4=0)),AND(131=$I13-1,OR(11&lt;&gt;'計算A'!$A$3,'計算A'!$A$4=0))),0,IF(11=$K13,200000,ABS(11-$K13)*100)),100000+ABS(6-$J13)*1000+110)+'計算A'!ED$5*50+IF(AND($E13=1,NQ13=0),25,0),IF($F13&gt;0,INDEX('計算A'!ED$110:ED$114,$F13+1)+IF(AND($E13=1,NQ13=0),1000,0),MIN(TZ13,20)*400+(IF('計算A'!EC$106=1,1-IA13,0)+IF('計算A'!ED$106=1,1-IC13,0))*150+116+'計算A'!ED$5*100000+IF(AND($E13=1,NQ13=0),50000,0))+IF($H13=1,(IF('計算A'!EC$117=1,INDEX('計算A'!EC$10:EC$54,$B13),0)+IF('計算A'!ED$117=1,INDEX('計算A'!EE$10:EE$54,$B13),0))*4000,0)-IF(AND('計算A'!EC$117=1,ZA13&gt;0),2000,0)-IF(AND($L13=1,'計算A'!ED$117=1,IC13=0),2000,0))),1000000))</f>
        <v/>
      </c>
      <c r="TG13">
        <f>IF($B13=0,1000000,IF(INDEX('計算A'!$D$60:$EQ$104,$B13,132)*IC13=1,IF(AND($E13=2,NR13=0),1000000,IF($I13&gt;0,IF(6=$J13,IF(OR(AND(132=$I13+1,OR($K13&lt;&gt;'計算A'!$A$3,'計算A'!$A$4=0)),AND(132=$I13-1,OR(12&lt;&gt;'計算A'!$A$3,'計算A'!$A$4=0))),0,IF(12=$K13,200000,ABS(12-$K13)*100)),100000+ABS(6-$J13)*1000+120)+'計算A'!EE$5*50+IF(AND($E13=1,NR13=0),25,0),IF($F13&gt;0,INDEX('計算A'!EE$110:EE$114,$F13+1)+IF(AND($E13=1,NR13=0),1000,0),MIN(TZ13,20)*400+(IF('計算A'!ED$106=1,1-IB13,0)+IF('計算A'!EE$106=1,1-ID13,0))*150+126+'計算A'!EE$5*100000+IF(AND($E13=1,NR13=0),50000,0))+IF($H13=1,(IF('計算A'!ED$117=1,INDEX('計算A'!ED$10:ED$54,$B13),0)+IF('計算A'!EE$117=1,INDEX('計算A'!EF$10:EF$54,$B13),0))*4000,0)-IF(AND('計算A'!ED$117=1,ZB13&gt;0),2000,0)-IF(AND($L13=1,'計算A'!EE$117=1,ID13=0),2000,0))),1000000))</f>
        <v/>
      </c>
      <c r="TH13">
        <f>IF($B13=0,1000000,IF(INDEX('計算A'!$D$60:$EQ$104,$B13,133)*ID13=1,IF(AND($E13=2,NS13=0),1000000,IF($I13&gt;0,IF(6=$J13,IF(OR(AND(133=$I13+1,OR($K13&lt;&gt;'計算A'!$A$3,'計算A'!$A$4=0)),AND(133=$I13-1,OR(13&lt;&gt;'計算A'!$A$3,'計算A'!$A$4=0))),0,IF(13=$K13,200000,ABS(13-$K13)*100)),100000+ABS(6-$J13)*1000+130)+'計算A'!EF$5*50+IF(AND($E13=1,NS13=0),25,0),IF($F13&gt;0,INDEX('計算A'!EF$110:EF$114,$F13+1)+IF(AND($E13=1,NS13=0),1000,0),MIN(TZ13,20)*400+(IF('計算A'!EE$106=1,1-IC13,0)+IF('計算A'!EF$106=1,1-IE13,0))*150+136+'計算A'!EF$5*100000+IF(AND($E13=1,NS13=0),50000,0))+IF($H13=1,(IF('計算A'!EE$117=1,INDEX('計算A'!EE$10:EE$54,$B13),0)+IF('計算A'!EF$117=1,INDEX('計算A'!EG$10:EG$54,$B13),0))*4000,0)-IF(AND('計算A'!EE$117=1,ZC13&gt;0),2000,0)-IF(AND($L13=1,'計算A'!EF$117=1,IE13=0),2000,0))),1000000))</f>
        <v/>
      </c>
      <c r="TI13">
        <f>IF($B13=0,1000000,IF(INDEX('計算A'!$D$60:$EQ$104,$B13,134)*IE13=1,IF(AND($E13=2,NT13=0),1000000,IF($I13&gt;0,IF(6=$J13,IF(OR(AND(134=$I13+1,OR($K13&lt;&gt;'計算A'!$A$3,'計算A'!$A$4=0)),AND(134=$I13-1,OR(14&lt;&gt;'計算A'!$A$3,'計算A'!$A$4=0))),0,IF(14=$K13,200000,ABS(14-$K13)*100)),100000+ABS(6-$J13)*1000+140)+'計算A'!EG$5*50+IF(AND($E13=1,NT13=0),25,0),IF($F13&gt;0,INDEX('計算A'!EG$110:EG$114,$F13+1)+IF(AND($E13=1,NT13=0),1000,0),MIN(TZ13,20)*400+(IF('計算A'!EF$106=1,1-ID13,0)+IF('計算A'!EG$106=1,1-IF13,0))*150+146+'計算A'!EG$5*100000+IF(AND($E13=1,NT13=0),50000,0))+IF($H13=1,(IF('計算A'!EF$117=1,INDEX('計算A'!EF$10:EF$54,$B13),0)+IF('計算A'!EG$117=1,INDEX('計算A'!EH$10:EH$54,$B13),0))*4000,0)-IF(AND('計算A'!EF$117=1,ZD13&gt;0),2000,0)-IF(AND($L13=1,'計算A'!EG$117=1,IF13=0),2000,0))),1000000))</f>
        <v/>
      </c>
      <c r="TJ13">
        <f>IF($B13=0,1000000,IF(INDEX('計算A'!$D$60:$EQ$104,$B13,135)*IF13=1,IF(AND($E13=2,NU13=0),1000000,IF($I13&gt;0,IF(6=$J13,IF(OR(AND(135=$I13+1,OR($K13&lt;&gt;'計算A'!$A$3,'計算A'!$A$4=0)),AND(135=$I13-1,OR(15&lt;&gt;'計算A'!$A$3,'計算A'!$A$4=0))),0,IF(15=$K13,200000,ABS(15-$K13)*100)),100000+ABS(6-$J13)*1000+150)+'計算A'!EH$5*50+IF(AND($E13=1,NU13=0),25,0),IF($F13&gt;0,INDEX('計算A'!EH$110:EH$114,$F13+1)+IF(AND($E13=1,NU13=0),1000,0),MIN(TZ13,20)*400+(IF('計算A'!EG$106=1,1-IE13,0)+IF('計算A'!EH$106=1,1-IG13,0))*150+156+'計算A'!EH$5*100000+IF(AND($E13=1,NU13=0),50000,0))+IF($H13=1,(IF('計算A'!EG$117=1,INDEX('計算A'!EG$10:EG$54,$B13),0)+IF('計算A'!EH$117=1,INDEX('計算A'!EI$10:EI$54,$B13),0))*4000,0)-IF(AND('計算A'!EG$117=1,ZE13&gt;0),2000,0)-IF(AND($L13=1,'計算A'!EH$117=1,IG13=0),2000,0))),1000000))</f>
        <v/>
      </c>
      <c r="TK13">
        <f>IF($B13=0,1000000,IF(INDEX('計算A'!$D$60:$EQ$104,$B13,136)*IG13=1,IF(AND($E13=2,NV13=0),1000000,IF($I13&gt;0,IF(6=$J13,IF(OR(AND(136=$I13+1,OR($K13&lt;&gt;'計算A'!$A$3,'計算A'!$A$4=0)),AND(136=$I13-1,OR(16&lt;&gt;'計算A'!$A$3,'計算A'!$A$4=0))),0,IF(16=$K13,200000,ABS(16-$K13)*100)),100000+ABS(6-$J13)*1000+160)+'計算A'!EI$5*50+IF(AND($E13=1,NV13=0),25,0),IF($F13&gt;0,INDEX('計算A'!EI$110:EI$114,$F13+1)+IF(AND($E13=1,NV13=0),1000,0),MIN(TZ13,20)*400+(IF('計算A'!EH$106=1,1-IF13,0)+IF('計算A'!EI$106=1,1-IH13,0))*150+166+'計算A'!EI$5*100000+IF(AND($E13=1,NV13=0),50000,0))+IF($H13=1,(IF('計算A'!EH$117=1,INDEX('計算A'!EH$10:EH$54,$B13),0)+IF('計算A'!EI$117=1,INDEX('計算A'!EJ$10:EJ$54,$B13),0))*4000,0)-IF(AND('計算A'!EH$117=1,ZF13&gt;0),2000,0)-IF(AND($L13=1,'計算A'!EI$117=1,IH13=0),2000,0))),1000000))</f>
        <v/>
      </c>
      <c r="TL13">
        <f>IF($B13=0,1000000,IF(INDEX('計算A'!$D$60:$EQ$104,$B13,137)*IH13=1,IF(AND($E13=2,NW13=0),1000000,IF($I13&gt;0,IF(6=$J13,IF(OR(AND(137=$I13+1,OR($K13&lt;&gt;'計算A'!$A$3,'計算A'!$A$4=0)),AND(137=$I13-1,OR(17&lt;&gt;'計算A'!$A$3,'計算A'!$A$4=0))),0,IF(17=$K13,200000,ABS(17-$K13)*100)),100000+ABS(6-$J13)*1000+170)+'計算A'!EJ$5*50+IF(AND($E13=1,NW13=0),25,0),IF($F13&gt;0,INDEX('計算A'!EJ$110:EJ$114,$F13+1)+IF(AND($E13=1,NW13=0),1000,0),MIN(TZ13,20)*400+(IF('計算A'!EI$106=1,1-IG13,0)+IF('計算A'!EJ$106=1,1-II13,0))*150+176+'計算A'!EJ$5*100000+IF(AND($E13=1,NW13=0),50000,0))+IF($H13=1,(IF('計算A'!EI$117=1,INDEX('計算A'!EI$10:EI$54,$B13),0)+IF('計算A'!EJ$117=1,INDEX('計算A'!EK$10:EK$54,$B13),0))*4000,0)-IF(AND('計算A'!EI$117=1,ZG13&gt;0),2000,0)-IF(AND($L13=1,'計算A'!EJ$117=1,II13=0),2000,0))),1000000))</f>
        <v/>
      </c>
      <c r="TM13">
        <f>IF($B13=0,1000000,IF(INDEX('計算A'!$D$60:$EQ$104,$B13,138)*II13=1,IF(AND($E13=2,NX13=0),1000000,IF($I13&gt;0,IF(6=$J13,IF(OR(AND(138=$I13+1,OR($K13&lt;&gt;'計算A'!$A$3,'計算A'!$A$4=0)),AND(138=$I13-1,OR(18&lt;&gt;'計算A'!$A$3,'計算A'!$A$4=0))),0,IF(18=$K13,200000,ABS(18-$K13)*100)),100000+ABS(6-$J13)*1000+180)+'計算A'!EK$5*50+IF(AND($E13=1,NX13=0),25,0),IF($F13&gt;0,INDEX('計算A'!EK$110:EK$114,$F13+1)+IF(AND($E13=1,NX13=0),1000,0),MIN(TZ13,20)*400+(IF('計算A'!EJ$106=1,1-IH13,0)+IF('計算A'!EK$106=1,1-IJ13,0))*150+186+'計算A'!EK$5*100000+IF(AND($E13=1,NX13=0),50000,0))+IF($H13=1,(IF('計算A'!EJ$117=1,INDEX('計算A'!EJ$10:EJ$54,$B13),0)+IF('計算A'!EK$117=1,INDEX('計算A'!EL$10:EL$54,$B13),0))*4000,0)-IF(AND('計算A'!EJ$117=1,ZH13&gt;0),2000,0)-IF(AND($L13=1,'計算A'!EK$117=1,IJ13=0),2000,0))),1000000))</f>
        <v/>
      </c>
      <c r="TN13">
        <f>IF($B13=0,1000000,IF(INDEX('計算A'!$D$60:$EQ$104,$B13,139)*IJ13=1,IF(AND($E13=2,NY13=0),1000000,IF($I13&gt;0,IF(6=$J13,IF(OR(AND(139=$I13+1,OR($K13&lt;&gt;'計算A'!$A$3,'計算A'!$A$4=0)),AND(139=$I13-1,OR(19&lt;&gt;'計算A'!$A$3,'計算A'!$A$4=0))),0,IF(19=$K13,200000,ABS(19-$K13)*100)),100000+ABS(6-$J13)*1000+190)+'計算A'!EL$5*50+IF(AND($E13=1,NY13=0),25,0),IF($F13&gt;0,INDEX('計算A'!EL$110:EL$114,$F13+1)+IF(AND($E13=1,NY13=0),1000,0),MIN(TZ13,20)*400+(IF('計算A'!EK$106=1,1-II13,0)+IF('計算A'!EL$106=1,1-IK13,0))*150+196+'計算A'!EL$5*100000+IF(AND($E13=1,NY13=0),50000,0))+IF($H13=1,(IF('計算A'!EK$117=1,INDEX('計算A'!EK$10:EK$54,$B13),0)+IF('計算A'!EL$117=1,INDEX('計算A'!EM$10:EM$54,$B13),0))*4000,0)-IF(AND('計算A'!EK$117=1,ZI13&gt;0),2000,0)-IF(AND($L13=1,'計算A'!EL$117=1,IK13=0),2000,0))),1000000))</f>
        <v/>
      </c>
      <c r="TO13">
        <f>IF($B13=0,1000000,IF(INDEX('計算A'!$D$60:$EQ$104,$B13,140)*IK13=1,IF(AND($E13=2,NZ13=0),1000000,IF($I13&gt;0,IF(6=$J13,IF(OR(AND(140=$I13+1,OR($K13&lt;&gt;'計算A'!$A$3,'計算A'!$A$4=0)),AND(140=$I13-1,OR(20&lt;&gt;'計算A'!$A$3,'計算A'!$A$4=0))),0,IF(20=$K13,200000,ABS(20-$K13)*100)),100000+ABS(6-$J13)*1000+200)+'計算A'!EM$5*50+IF(AND($E13=1,NZ13=0),25,0),IF($F13&gt;0,INDEX('計算A'!EM$110:EM$114,$F13+1)+IF(AND($E13=1,NZ13=0),1000,0),MIN(TZ13,20)*400+(IF('計算A'!EL$106=1,1-IJ13,0)+IF('計算A'!EM$106=1,1-IL13,0))*150+206+'計算A'!EM$5*100000+IF(AND($E13=1,NZ13=0),50000,0))+IF($H13=1,(IF('計算A'!EL$117=1,INDEX('計算A'!EL$10:EL$54,$B13),0)+IF('計算A'!EM$117=1,INDEX('計算A'!EN$10:EN$54,$B13),0))*4000,0)-IF(AND('計算A'!EL$117=1,ZJ13&gt;0),2000,0)-IF(AND($L13=1,'計算A'!EM$117=1,IL13=0),2000,0))),1000000))</f>
        <v/>
      </c>
      <c r="TP13">
        <f>IF($B13=0,1000000,IF(INDEX('計算A'!$D$60:$EQ$104,$B13,141)*IL13=1,IF(AND($E13=2,OA13=0),1000000,IF($I13&gt;0,IF(6=$J13,IF(OR(AND(141=$I13+1,OR($K13&lt;&gt;'計算A'!$A$3,'計算A'!$A$4=0)),AND(141=$I13-1,OR(21&lt;&gt;'計算A'!$A$3,'計算A'!$A$4=0))),0,IF(21=$K13,200000,ABS(21-$K13)*100)),100000+ABS(6-$J13)*1000+210)+'計算A'!EN$5*50+IF(AND($E13=1,OA13=0),25,0),IF($F13&gt;0,INDEX('計算A'!EN$110:EN$114,$F13+1)+IF(AND($E13=1,OA13=0),1000,0),MIN(TZ13,20)*400+(IF('計算A'!EM$106=1,1-IK13,0)+IF('計算A'!EN$106=1,1-IM13,0))*150+216+'計算A'!EN$5*100000+IF(AND($E13=1,OA13=0),50000,0))+IF($H13=1,(IF('計算A'!EM$117=1,INDEX('計算A'!EM$10:EM$54,$B13),0)+IF('計算A'!EN$117=1,INDEX('計算A'!EO$10:EO$54,$B13),0))*4000,0)-IF(AND('計算A'!EM$117=1,ZK13&gt;0),2000,0)-IF(AND($L13=1,'計算A'!EN$117=1,IM13=0),2000,0))),1000000))</f>
        <v/>
      </c>
      <c r="TQ13">
        <f>IF($B13=0,1000000,IF(INDEX('計算A'!$D$60:$EQ$104,$B13,142)*IM13=1,IF(AND($E13=2,OB13=0),1000000,IF($I13&gt;0,IF(6=$J13,IF(OR(AND(142=$I13+1,OR($K13&lt;&gt;'計算A'!$A$3,'計算A'!$A$4=0)),AND(142=$I13-1,OR(22&lt;&gt;'計算A'!$A$3,'計算A'!$A$4=0))),0,IF(22=$K13,200000,ABS(22-$K13)*100)),100000+ABS(6-$J13)*1000+220)+'計算A'!EO$5*50+IF(AND($E13=1,OB13=0),25,0),IF($F13&gt;0,INDEX('計算A'!EO$110:EO$114,$F13+1)+IF(AND($E13=1,OB13=0),1000,0),MIN(TZ13,20)*400+(IF('計算A'!EN$106=1,1-IL13,0)+IF('計算A'!EO$106=1,1-IN13,0))*150+226+'計算A'!EO$5*100000+IF(AND($E13=1,OB13=0),50000,0))+IF($H13=1,(IF('計算A'!EN$117=1,INDEX('計算A'!EN$10:EN$54,$B13),0)+IF('計算A'!EO$117=1,INDEX('計算A'!EP$10:EP$54,$B13),0))*4000,0)-IF(AND('計算A'!EN$117=1,ZL13&gt;0),2000,0)-IF(AND($L13=1,'計算A'!EO$117=1,IN13=0),2000,0))),1000000))</f>
        <v/>
      </c>
      <c r="TR13">
        <f>IF($B13=0,1000000,IF(INDEX('計算A'!$D$60:$EQ$104,$B13,143)*IN13=1,IF(AND($E13=2,OC13=0),1000000,IF($I13&gt;0,IF(6=$J13,IF(OR(AND(143=$I13+1,OR($K13&lt;&gt;'計算A'!$A$3,'計算A'!$A$4=0)),AND(143=$I13-1,OR(23&lt;&gt;'計算A'!$A$3,'計算A'!$A$4=0))),0,IF(23=$K13,200000,ABS(23-$K13)*100)),100000+ABS(6-$J13)*1000+230)+'計算A'!EP$5*50+IF(AND($E13=1,OC13=0),25,0),IF($F13&gt;0,INDEX('計算A'!EP$110:EP$114,$F13+1)+IF(AND($E13=1,OC13=0),1000,0),MIN(TZ13,20)*400+(IF('計算A'!EO$106=1,1-IM13,0)+IF('計算A'!EP$106=1,1-IO13,0))*150+236+'計算A'!EP$5*100000+IF(AND($E13=1,OC13=0),50000,0))+IF($H13=1,(IF('計算A'!EO$117=1,INDEX('計算A'!EO$10:EO$54,$B13),0)+IF('計算A'!EP$117=1,INDEX('計算A'!EQ$10:EQ$54,$B13),0))*4000,0)-IF(AND('計算A'!EO$117=1,ZM13&gt;0),2000,0)-IF(AND($L13=1,'計算A'!EP$117=1,IO13=0),2000,0))),1000000))</f>
        <v/>
      </c>
      <c r="TS13">
        <f>IF($B13=0,1000000,IF(INDEX('計算A'!$D$60:$EQ$104,$B13,144)*IO13=1,IF(AND($E13=2,OD13=0),1000000,IF($I13&gt;0,IF(6=$J13,IF(OR(AND(144=$I13+1,OR($K13&lt;&gt;'計算A'!$A$3,'計算A'!$A$4=0)),AND(144=$I13-1,OR(24&lt;&gt;'計算A'!$A$3,'計算A'!$A$4=0))),0,IF(24=$K13,200000,ABS(24-$K13)*100)),100000+ABS(6-$J13)*1000+240)+'計算A'!EQ$5*50+IF(AND($E13=1,OD13=0),25,0),IF($F13&gt;0,INDEX('計算A'!EQ$110:EQ$114,$F13+1)+IF(AND($E13=1,OD13=0),1000,0),MIN(TZ13,20)*400+(IF('計算A'!EP$106=1,1-IN13,0))*150+246+'計算A'!EQ$5*100000+IF(AND($E13=1,OD13=0),50000,0))+IF($H13=1,(IF('計算A'!EP$117=1,INDEX('計算A'!EP$10:EP$54,$B13),0))*4000,0)-IF(AND('計算A'!EP$117=1,ZN13&gt;0),2000,0))),1000000))</f>
        <v/>
      </c>
      <c r="TU13">
        <f>TU12+IF($C12&gt;0,IF(INDEX('計算A'!$D$2:$EQ$2,$C12)=1,1,0),0)</f>
        <v/>
      </c>
      <c r="TV13">
        <f>TV12+IF($C12&gt;0,IF(INDEX('計算A'!$D$2:$EQ$2,$C12)=2,1,0),0)</f>
        <v/>
      </c>
      <c r="TW13">
        <f>TW12+IF($C12&gt;0,IF(INDEX('計算A'!$D$2:$EQ$2,$C12)=3,1,0),0)</f>
        <v/>
      </c>
      <c r="TX13">
        <f>TX12+IF($C12&gt;0,IF(INDEX('計算A'!$D$2:$EQ$2,$C12)=4,1,0),0)</f>
        <v/>
      </c>
      <c r="TY13">
        <f>TY12+IF($C12&gt;0,IF(INDEX('計算A'!$D$2:$EQ$2,$C12)=5,1,0),0)</f>
        <v/>
      </c>
      <c r="TZ13">
        <f>TZ12+IF($C12&gt;0,IF(INDEX('計算A'!$D$2:$EQ$2,$C12)=6,1,0),0)</f>
        <v/>
      </c>
      <c r="UB13">
        <f>UB12+IF(AND($C12=1,$L12=1),1,0)</f>
        <v/>
      </c>
      <c r="UC13">
        <f>UC12+IF(AND($C12=2,$L12=1),1,0)</f>
        <v/>
      </c>
      <c r="UD13">
        <f>UD12+IF(AND($C12=3,$L12=1),1,0)</f>
        <v/>
      </c>
      <c r="UE13">
        <f>UE12+IF(AND($C12=4,$L12=1),1,0)</f>
        <v/>
      </c>
      <c r="UF13">
        <f>UF12+IF(AND($C12=5,$L12=1),1,0)</f>
        <v/>
      </c>
      <c r="UG13">
        <f>UG12+IF(AND($C12=6,$L12=1),1,0)</f>
        <v/>
      </c>
      <c r="UH13">
        <f>UH12+IF(AND($C12=7,$L12=1),1,0)</f>
        <v/>
      </c>
      <c r="UI13">
        <f>UI12+IF(AND($C12=8,$L12=1),1,0)</f>
        <v/>
      </c>
      <c r="UJ13">
        <f>UJ12+IF(AND($C12=9,$L12=1),1,0)</f>
        <v/>
      </c>
      <c r="UK13">
        <f>UK12+IF(AND($C12=10,$L12=1),1,0)</f>
        <v/>
      </c>
      <c r="UL13">
        <f>UL12+IF(AND($C12=11,$L12=1),1,0)</f>
        <v/>
      </c>
      <c r="UM13">
        <f>UM12+IF(AND($C12=12,$L12=1),1,0)</f>
        <v/>
      </c>
      <c r="UN13">
        <f>UN12+IF(AND($C12=13,$L12=1),1,0)</f>
        <v/>
      </c>
      <c r="UO13">
        <f>UO12+IF(AND($C12=14,$L12=1),1,0)</f>
        <v/>
      </c>
      <c r="UP13">
        <f>UP12+IF(AND($C12=15,$L12=1),1,0)</f>
        <v/>
      </c>
      <c r="UQ13">
        <f>UQ12+IF(AND($C12=16,$L12=1),1,0)</f>
        <v/>
      </c>
      <c r="UR13">
        <f>UR12+IF(AND($C12=17,$L12=1),1,0)</f>
        <v/>
      </c>
      <c r="US13">
        <f>US12+IF(AND($C12=18,$L12=1),1,0)</f>
        <v/>
      </c>
      <c r="UT13">
        <f>UT12+IF(AND($C12=19,$L12=1),1,0)</f>
        <v/>
      </c>
      <c r="UU13">
        <f>UU12+IF(AND($C12=20,$L12=1),1,0)</f>
        <v/>
      </c>
      <c r="UV13">
        <f>UV12+IF(AND($C12=21,$L12=1),1,0)</f>
        <v/>
      </c>
      <c r="UW13">
        <f>UW12+IF(AND($C12=22,$L12=1),1,0)</f>
        <v/>
      </c>
      <c r="UX13">
        <f>UX12+IF(AND($C12=23,$L12=1),1,0)</f>
        <v/>
      </c>
      <c r="UY13">
        <f>UY12+IF(AND($C12=24,$L12=1),1,0)</f>
        <v/>
      </c>
      <c r="UZ13">
        <f>UZ12+IF(AND($C12=25,$L12=1),1,0)</f>
        <v/>
      </c>
      <c r="VA13">
        <f>VA12+IF(AND($C12=26,$L12=1),1,0)</f>
        <v/>
      </c>
      <c r="VB13">
        <f>VB12+IF(AND($C12=27,$L12=1),1,0)</f>
        <v/>
      </c>
      <c r="VC13">
        <f>VC12+IF(AND($C12=28,$L12=1),1,0)</f>
        <v/>
      </c>
      <c r="VD13">
        <f>VD12+IF(AND($C12=29,$L12=1),1,0)</f>
        <v/>
      </c>
      <c r="VE13">
        <f>VE12+IF(AND($C12=30,$L12=1),1,0)</f>
        <v/>
      </c>
      <c r="VF13">
        <f>VF12+IF(AND($C12=31,$L12=1),1,0)</f>
        <v/>
      </c>
      <c r="VG13">
        <f>VG12+IF(AND($C12=32,$L12=1),1,0)</f>
        <v/>
      </c>
      <c r="VH13">
        <f>VH12+IF(AND($C12=33,$L12=1),1,0)</f>
        <v/>
      </c>
      <c r="VI13">
        <f>VI12+IF(AND($C12=34,$L12=1),1,0)</f>
        <v/>
      </c>
      <c r="VJ13">
        <f>VJ12+IF(AND($C12=35,$L12=1),1,0)</f>
        <v/>
      </c>
      <c r="VK13">
        <f>VK12+IF(AND($C12=36,$L12=1),1,0)</f>
        <v/>
      </c>
      <c r="VL13">
        <f>VL12+IF(AND($C12=37,$L12=1),1,0)</f>
        <v/>
      </c>
      <c r="VM13">
        <f>VM12+IF(AND($C12=38,$L12=1),1,0)</f>
        <v/>
      </c>
      <c r="VN13">
        <f>VN12+IF(AND($C12=39,$L12=1),1,0)</f>
        <v/>
      </c>
      <c r="VO13">
        <f>VO12+IF(AND($C12=40,$L12=1),1,0)</f>
        <v/>
      </c>
      <c r="VP13">
        <f>VP12+IF(AND($C12=41,$L12=1),1,0)</f>
        <v/>
      </c>
      <c r="VQ13">
        <f>VQ12+IF(AND($C12=42,$L12=1),1,0)</f>
        <v/>
      </c>
      <c r="VR13">
        <f>VR12+IF(AND($C12=43,$L12=1),1,0)</f>
        <v/>
      </c>
      <c r="VS13">
        <f>VS12+IF(AND($C12=44,$L12=1),1,0)</f>
        <v/>
      </c>
      <c r="VT13">
        <f>VT12+IF(AND($C12=45,$L12=1),1,0)</f>
        <v/>
      </c>
      <c r="VU13">
        <f>VU12+IF(AND($C12=46,$L12=1),1,0)</f>
        <v/>
      </c>
      <c r="VV13">
        <f>VV12+IF(AND($C12=47,$L12=1),1,0)</f>
        <v/>
      </c>
      <c r="VW13">
        <f>VW12+IF(AND($C12=48,$L12=1),1,0)</f>
        <v/>
      </c>
      <c r="VX13">
        <f>VX12+IF(AND($C12=49,$L12=1),1,0)</f>
        <v/>
      </c>
      <c r="VY13">
        <f>VY12+IF(AND($C12=50,$L12=1),1,0)</f>
        <v/>
      </c>
      <c r="VZ13">
        <f>VZ12+IF(AND($C12=51,$L12=1),1,0)</f>
        <v/>
      </c>
      <c r="WA13">
        <f>WA12+IF(AND($C12=52,$L12=1),1,0)</f>
        <v/>
      </c>
      <c r="WB13">
        <f>WB12+IF(AND($C12=53,$L12=1),1,0)</f>
        <v/>
      </c>
      <c r="WC13">
        <f>WC12+IF(AND($C12=54,$L12=1),1,0)</f>
        <v/>
      </c>
      <c r="WD13">
        <f>WD12+IF(AND($C12=55,$L12=1),1,0)</f>
        <v/>
      </c>
      <c r="WE13">
        <f>WE12+IF(AND($C12=56,$L12=1),1,0)</f>
        <v/>
      </c>
      <c r="WF13">
        <f>WF12+IF(AND($C12=57,$L12=1),1,0)</f>
        <v/>
      </c>
      <c r="WG13">
        <f>WG12+IF(AND($C12=58,$L12=1),1,0)</f>
        <v/>
      </c>
      <c r="WH13">
        <f>WH12+IF(AND($C12=59,$L12=1),1,0)</f>
        <v/>
      </c>
      <c r="WI13">
        <f>WI12+IF(AND($C12=60,$L12=1),1,0)</f>
        <v/>
      </c>
      <c r="WJ13">
        <f>WJ12+IF(AND($C12=61,$L12=1),1,0)</f>
        <v/>
      </c>
      <c r="WK13">
        <f>WK12+IF(AND($C12=62,$L12=1),1,0)</f>
        <v/>
      </c>
      <c r="WL13">
        <f>WL12+IF(AND($C12=63,$L12=1),1,0)</f>
        <v/>
      </c>
      <c r="WM13">
        <f>WM12+IF(AND($C12=64,$L12=1),1,0)</f>
        <v/>
      </c>
      <c r="WN13">
        <f>WN12+IF(AND($C12=65,$L12=1),1,0)</f>
        <v/>
      </c>
      <c r="WO13">
        <f>WO12+IF(AND($C12=66,$L12=1),1,0)</f>
        <v/>
      </c>
      <c r="WP13">
        <f>WP12+IF(AND($C12=67,$L12=1),1,0)</f>
        <v/>
      </c>
      <c r="WQ13">
        <f>WQ12+IF(AND($C12=68,$L12=1),1,0)</f>
        <v/>
      </c>
      <c r="WR13">
        <f>WR12+IF(AND($C12=69,$L12=1),1,0)</f>
        <v/>
      </c>
      <c r="WS13">
        <f>WS12+IF(AND($C12=70,$L12=1),1,0)</f>
        <v/>
      </c>
      <c r="WT13">
        <f>WT12+IF(AND($C12=71,$L12=1),1,0)</f>
        <v/>
      </c>
      <c r="WU13">
        <f>WU12+IF(AND($C12=72,$L12=1),1,0)</f>
        <v/>
      </c>
      <c r="WV13">
        <f>WV12+IF(AND($C12=73,$L12=1),1,0)</f>
        <v/>
      </c>
      <c r="WW13">
        <f>WW12+IF(AND($C12=74,$L12=1),1,0)</f>
        <v/>
      </c>
      <c r="WX13">
        <f>WX12+IF(AND($C12=75,$L12=1),1,0)</f>
        <v/>
      </c>
      <c r="WY13">
        <f>WY12+IF(AND($C12=76,$L12=1),1,0)</f>
        <v/>
      </c>
      <c r="WZ13">
        <f>WZ12+IF(AND($C12=77,$L12=1),1,0)</f>
        <v/>
      </c>
      <c r="XA13">
        <f>XA12+IF(AND($C12=78,$L12=1),1,0)</f>
        <v/>
      </c>
      <c r="XB13">
        <f>XB12+IF(AND($C12=79,$L12=1),1,0)</f>
        <v/>
      </c>
      <c r="XC13">
        <f>XC12+IF(AND($C12=80,$L12=1),1,0)</f>
        <v/>
      </c>
      <c r="XD13">
        <f>XD12+IF(AND($C12=81,$L12=1),1,0)</f>
        <v/>
      </c>
      <c r="XE13">
        <f>XE12+IF(AND($C12=82,$L12=1),1,0)</f>
        <v/>
      </c>
      <c r="XF13">
        <f>XF12+IF(AND($C12=83,$L12=1),1,0)</f>
        <v/>
      </c>
      <c r="XG13">
        <f>XG12+IF(AND($C12=84,$L12=1),1,0)</f>
        <v/>
      </c>
      <c r="XH13">
        <f>XH12+IF(AND($C12=85,$L12=1),1,0)</f>
        <v/>
      </c>
      <c r="XI13">
        <f>XI12+IF(AND($C12=86,$L12=1),1,0)</f>
        <v/>
      </c>
      <c r="XJ13">
        <f>XJ12+IF(AND($C12=87,$L12=1),1,0)</f>
        <v/>
      </c>
      <c r="XK13">
        <f>XK12+IF(AND($C12=88,$L12=1),1,0)</f>
        <v/>
      </c>
      <c r="XL13">
        <f>XL12+IF(AND($C12=89,$L12=1),1,0)</f>
        <v/>
      </c>
      <c r="XM13">
        <f>XM12+IF(AND($C12=90,$L12=1),1,0)</f>
        <v/>
      </c>
      <c r="XN13">
        <f>XN12+IF(AND($C12=91,$L12=1),1,0)</f>
        <v/>
      </c>
      <c r="XO13">
        <f>XO12+IF(AND($C12=92,$L12=1),1,0)</f>
        <v/>
      </c>
      <c r="XP13">
        <f>XP12+IF(AND($C12=93,$L12=1),1,0)</f>
        <v/>
      </c>
      <c r="XQ13">
        <f>XQ12+IF(AND($C12=94,$L12=1),1,0)</f>
        <v/>
      </c>
      <c r="XR13">
        <f>XR12+IF(AND($C12=95,$L12=1),1,0)</f>
        <v/>
      </c>
      <c r="XS13">
        <f>XS12+IF(AND($C12=96,$L12=1),1,0)</f>
        <v/>
      </c>
      <c r="XT13">
        <f>XT12+IF(AND($C12=97,$L12=1),1,0)</f>
        <v/>
      </c>
      <c r="XU13">
        <f>XU12+IF(AND($C12=98,$L12=1),1,0)</f>
        <v/>
      </c>
      <c r="XV13">
        <f>XV12+IF(AND($C12=99,$L12=1),1,0)</f>
        <v/>
      </c>
      <c r="XW13">
        <f>XW12+IF(AND($C12=100,$L12=1),1,0)</f>
        <v/>
      </c>
      <c r="XX13">
        <f>XX12+IF(AND($C12=101,$L12=1),1,0)</f>
        <v/>
      </c>
      <c r="XY13">
        <f>XY12+IF(AND($C12=102,$L12=1),1,0)</f>
        <v/>
      </c>
      <c r="XZ13">
        <f>XZ12+IF(AND($C12=103,$L12=1),1,0)</f>
        <v/>
      </c>
      <c r="YA13">
        <f>YA12+IF(AND($C12=104,$L12=1),1,0)</f>
        <v/>
      </c>
      <c r="YB13">
        <f>YB12+IF(AND($C12=105,$L12=1),1,0)</f>
        <v/>
      </c>
      <c r="YC13">
        <f>YC12+IF(AND($C12=106,$L12=1),1,0)</f>
        <v/>
      </c>
      <c r="YD13">
        <f>YD12+IF(AND($C12=107,$L12=1),1,0)</f>
        <v/>
      </c>
      <c r="YE13">
        <f>YE12+IF(AND($C12=108,$L12=1),1,0)</f>
        <v/>
      </c>
      <c r="YF13">
        <f>YF12+IF(AND($C12=109,$L12=1),1,0)</f>
        <v/>
      </c>
      <c r="YG13">
        <f>YG12+IF(AND($C12=110,$L12=1),1,0)</f>
        <v/>
      </c>
      <c r="YH13">
        <f>YH12+IF(AND($C12=111,$L12=1),1,0)</f>
        <v/>
      </c>
      <c r="YI13">
        <f>YI12+IF(AND($C12=112,$L12=1),1,0)</f>
        <v/>
      </c>
      <c r="YJ13">
        <f>YJ12+IF(AND($C12=113,$L12=1),1,0)</f>
        <v/>
      </c>
      <c r="YK13">
        <f>YK12+IF(AND($C12=114,$L12=1),1,0)</f>
        <v/>
      </c>
      <c r="YL13">
        <f>YL12+IF(AND($C12=115,$L12=1),1,0)</f>
        <v/>
      </c>
      <c r="YM13">
        <f>YM12+IF(AND($C12=116,$L12=1),1,0)</f>
        <v/>
      </c>
      <c r="YN13">
        <f>YN12+IF(AND($C12=117,$L12=1),1,0)</f>
        <v/>
      </c>
      <c r="YO13">
        <f>YO12+IF(AND($C12=118,$L12=1),1,0)</f>
        <v/>
      </c>
      <c r="YP13">
        <f>YP12+IF(AND($C12=119,$L12=1),1,0)</f>
        <v/>
      </c>
      <c r="YQ13">
        <f>YQ12+IF(AND($C12=120,$L12=1),1,0)</f>
        <v/>
      </c>
      <c r="YR13">
        <f>YR12+IF(AND($C12=121,$L12=1),1,0)</f>
        <v/>
      </c>
      <c r="YS13">
        <f>YS12+IF(AND($C12=122,$L12=1),1,0)</f>
        <v/>
      </c>
      <c r="YT13">
        <f>YT12+IF(AND($C12=123,$L12=1),1,0)</f>
        <v/>
      </c>
      <c r="YU13">
        <f>YU12+IF(AND($C12=124,$L12=1),1,0)</f>
        <v/>
      </c>
      <c r="YV13">
        <f>YV12+IF(AND($C12=125,$L12=1),1,0)</f>
        <v/>
      </c>
      <c r="YW13">
        <f>YW12+IF(AND($C12=126,$L12=1),1,0)</f>
        <v/>
      </c>
      <c r="YX13">
        <f>YX12+IF(AND($C12=127,$L12=1),1,0)</f>
        <v/>
      </c>
      <c r="YY13">
        <f>YY12+IF(AND($C12=128,$L12=1),1,0)</f>
        <v/>
      </c>
      <c r="YZ13">
        <f>YZ12+IF(AND($C12=129,$L12=1),1,0)</f>
        <v/>
      </c>
      <c r="ZA13">
        <f>ZA12+IF(AND($C12=130,$L12=1),1,0)</f>
        <v/>
      </c>
      <c r="ZB13">
        <f>ZB12+IF(AND($C12=131,$L12=1),1,0)</f>
        <v/>
      </c>
      <c r="ZC13">
        <f>ZC12+IF(AND($C12=132,$L12=1),1,0)</f>
        <v/>
      </c>
      <c r="ZD13">
        <f>ZD12+IF(AND($C12=133,$L12=1),1,0)</f>
        <v/>
      </c>
      <c r="ZE13">
        <f>ZE12+IF(AND($C12=134,$L12=1),1,0)</f>
        <v/>
      </c>
      <c r="ZF13">
        <f>ZF12+IF(AND($C12=135,$L12=1),1,0)</f>
        <v/>
      </c>
      <c r="ZG13">
        <f>ZG12+IF(AND($C12=136,$L12=1),1,0)</f>
        <v/>
      </c>
      <c r="ZH13">
        <f>ZH12+IF(AND($C12=137,$L12=1),1,0)</f>
        <v/>
      </c>
      <c r="ZI13">
        <f>ZI12+IF(AND($C12=138,$L12=1),1,0)</f>
        <v/>
      </c>
      <c r="ZJ13">
        <f>ZJ12+IF(AND($C12=139,$L12=1),1,0)</f>
        <v/>
      </c>
      <c r="ZK13">
        <f>ZK12+IF(AND($C12=140,$L12=1),1,0)</f>
        <v/>
      </c>
      <c r="ZL13">
        <f>ZL12+IF(AND($C12=141,$L12=1),1,0)</f>
        <v/>
      </c>
      <c r="ZM13">
        <f>ZM12+IF(AND($C12=142,$L12=1),1,0)</f>
        <v/>
      </c>
      <c r="ZN13">
        <f>ZN12+IF(AND($C12=143,$L12=1),1,0)</f>
        <v/>
      </c>
      <c r="ZO13">
        <f>ZO12+IF(AND($C12=144,$L12=1),1,0)</f>
        <v/>
      </c>
    </row>
    <row r="14">
      <c r="A14" t="n">
        <v>12</v>
      </c>
      <c r="B14">
        <f>IF(MIN(BH14:CZ14)&gt;=1000000,0,MATCH(MIN(BH14:CZ14),BH14:CZ14,0))</f>
        <v/>
      </c>
      <c r="C14">
        <f>IF(MIN(OF14:TS14)&gt;=1000000,0,MATCH(MIN(OF14:TS14),OF14:TS14,0))</f>
        <v/>
      </c>
      <c r="D14">
        <f>IF(C14&gt;0,INDEX('計算A'!$D$5:$EQ$5,C14),0)</f>
        <v/>
      </c>
      <c r="E14">
        <f>IF(B14=0,0,INDEX('計算A'!$IQ$10:$IQ$54,B14))</f>
        <v/>
      </c>
      <c r="F14">
        <f>IF(B14=0,0,INDEX('計算A'!$IP$10:$IP$54,B14))</f>
        <v/>
      </c>
      <c r="G14">
        <f>IF(AND(C14&gt;0,E14&gt;0),IF(AND(INDEX('計算A'!$D$106:$EQ$106,C14)=1,INDEX($IQ14:$OD14,C14)=1),C14+1,0),0)</f>
        <v/>
      </c>
      <c r="H14">
        <f>IF(B14=0,0,INDEX('計算A'!$IW$10:$IW$54,B14))</f>
        <v/>
      </c>
      <c r="I14">
        <f>IF(B14=0,0,MAX(0,INDEX('計算A'!$IT$10:$IT$54,B14)))</f>
        <v/>
      </c>
      <c r="J14">
        <f>IF(I14=0,0,INDEX('計算A'!$D$2:$EQ$2,I14))</f>
        <v/>
      </c>
      <c r="K14">
        <f>IF(I14=0,0,INDEX('計算A'!$D$3:$EQ$3,I14))</f>
        <v/>
      </c>
      <c r="L14">
        <f>IF(B14=0,0,INDEX('計算A'!$IX$10:$IX$54,B14))</f>
        <v/>
      </c>
      <c r="N14">
        <f>MAX(N13,IF($B13=1,1,0))</f>
        <v/>
      </c>
      <c r="O14">
        <f>MAX(O13,IF($B13=2,1,0))</f>
        <v/>
      </c>
      <c r="P14">
        <f>MAX(P13,IF($B13=3,1,0))</f>
        <v/>
      </c>
      <c r="Q14">
        <f>MAX(Q13,IF($B13=4,1,0))</f>
        <v/>
      </c>
      <c r="R14">
        <f>MAX(R13,IF($B13=5,1,0))</f>
        <v/>
      </c>
      <c r="S14">
        <f>MAX(S13,IF($B13=6,1,0))</f>
        <v/>
      </c>
      <c r="T14">
        <f>MAX(T13,IF($B13=7,1,0))</f>
        <v/>
      </c>
      <c r="U14">
        <f>MAX(U13,IF($B13=8,1,0))</f>
        <v/>
      </c>
      <c r="V14">
        <f>MAX(V13,IF($B13=9,1,0))</f>
        <v/>
      </c>
      <c r="W14">
        <f>MAX(W13,IF($B13=10,1,0))</f>
        <v/>
      </c>
      <c r="X14">
        <f>MAX(X13,IF($B13=11,1,0))</f>
        <v/>
      </c>
      <c r="Y14">
        <f>MAX(Y13,IF($B13=12,1,0))</f>
        <v/>
      </c>
      <c r="Z14">
        <f>MAX(Z13,IF($B13=13,1,0))</f>
        <v/>
      </c>
      <c r="AA14">
        <f>MAX(AA13,IF($B13=14,1,0))</f>
        <v/>
      </c>
      <c r="AB14">
        <f>MAX(AB13,IF($B13=15,1,0))</f>
        <v/>
      </c>
      <c r="AC14">
        <f>MAX(AC13,IF($B13=16,1,0))</f>
        <v/>
      </c>
      <c r="AD14">
        <f>MAX(AD13,IF($B13=17,1,0))</f>
        <v/>
      </c>
      <c r="AE14">
        <f>MAX(AE13,IF($B13=18,1,0))</f>
        <v/>
      </c>
      <c r="AF14">
        <f>MAX(AF13,IF($B13=19,1,0))</f>
        <v/>
      </c>
      <c r="AG14">
        <f>MAX(AG13,IF($B13=20,1,0))</f>
        <v/>
      </c>
      <c r="AH14">
        <f>MAX(AH13,IF($B13=21,1,0))</f>
        <v/>
      </c>
      <c r="AI14">
        <f>MAX(AI13,IF($B13=22,1,0))</f>
        <v/>
      </c>
      <c r="AJ14">
        <f>MAX(AJ13,IF($B13=23,1,0))</f>
        <v/>
      </c>
      <c r="AK14">
        <f>MAX(AK13,IF($B13=24,1,0))</f>
        <v/>
      </c>
      <c r="AL14">
        <f>MAX(AL13,IF($B13=25,1,0))</f>
        <v/>
      </c>
      <c r="AM14">
        <f>MAX(AM13,IF($B13=26,1,0))</f>
        <v/>
      </c>
      <c r="AN14">
        <f>MAX(AN13,IF($B13=27,1,0))</f>
        <v/>
      </c>
      <c r="AO14">
        <f>MAX(AO13,IF($B13=28,1,0))</f>
        <v/>
      </c>
      <c r="AP14">
        <f>MAX(AP13,IF($B13=29,1,0))</f>
        <v/>
      </c>
      <c r="AQ14">
        <f>MAX(AQ13,IF($B13=30,1,0))</f>
        <v/>
      </c>
      <c r="AR14">
        <f>MAX(AR13,IF($B13=31,1,0))</f>
        <v/>
      </c>
      <c r="AS14">
        <f>MAX(AS13,IF($B13=32,1,0))</f>
        <v/>
      </c>
      <c r="AT14">
        <f>MAX(AT13,IF($B13=33,1,0))</f>
        <v/>
      </c>
      <c r="AU14">
        <f>MAX(AU13,IF($B13=34,1,0))</f>
        <v/>
      </c>
      <c r="AV14">
        <f>MAX(AV13,IF($B13=35,1,0))</f>
        <v/>
      </c>
      <c r="AW14">
        <f>MAX(AW13,IF($B13=36,1,0))</f>
        <v/>
      </c>
      <c r="AX14">
        <f>MAX(AX13,IF($B13=37,1,0))</f>
        <v/>
      </c>
      <c r="AY14">
        <f>MAX(AY13,IF($B13=38,1,0))</f>
        <v/>
      </c>
      <c r="AZ14">
        <f>MAX(AZ13,IF($B13=39,1,0))</f>
        <v/>
      </c>
      <c r="BA14">
        <f>MAX(BA13,IF($B13=40,1,0))</f>
        <v/>
      </c>
      <c r="BB14">
        <f>MAX(BB13,IF($B13=41,1,0))</f>
        <v/>
      </c>
      <c r="BC14">
        <f>MAX(BC13,IF($B13=42,1,0))</f>
        <v/>
      </c>
      <c r="BD14">
        <f>MAX(BD13,IF($B13=43,1,0))</f>
        <v/>
      </c>
      <c r="BE14">
        <f>MAX(BE13,IF($B13=44,1,0))</f>
        <v/>
      </c>
      <c r="BF14">
        <f>MAX(BF13,IF($B13=45,1,0))</f>
        <v/>
      </c>
      <c r="BH14">
        <f>IF(N14=1,1000000,IF('計算A'!$IT$10&gt;0,0,500000)+IF('計算A'!$IQ$10=2,SUMPRODUCT('計算A'!$D$60:$EQ$60,$DB14:$IO14,$IQ14:$OD14),SUMPRODUCT('計算A'!$D$60:$EQ$60,$DB14:$IO14))*1000+1)</f>
        <v/>
      </c>
      <c r="BI14">
        <f>IF(O14=1,1000000,IF('計算A'!$IT$11&gt;0,0,500000)+IF('計算A'!$IQ$11=2,SUMPRODUCT('計算A'!$D$61:$EQ$61,$DB14:$IO14,$IQ14:$OD14),SUMPRODUCT('計算A'!$D$61:$EQ$61,$DB14:$IO14))*1000+2)</f>
        <v/>
      </c>
      <c r="BJ14">
        <f>IF(P14=1,1000000,IF('計算A'!$IT$12&gt;0,0,500000)+IF('計算A'!$IQ$12=2,SUMPRODUCT('計算A'!$D$62:$EQ$62,$DB14:$IO14,$IQ14:$OD14),SUMPRODUCT('計算A'!$D$62:$EQ$62,$DB14:$IO14))*1000+3)</f>
        <v/>
      </c>
      <c r="BK14">
        <f>IF(Q14=1,1000000,IF('計算A'!$IT$13&gt;0,0,500000)+IF('計算A'!$IQ$13=2,SUMPRODUCT('計算A'!$D$63:$EQ$63,$DB14:$IO14,$IQ14:$OD14),SUMPRODUCT('計算A'!$D$63:$EQ$63,$DB14:$IO14))*1000+4)</f>
        <v/>
      </c>
      <c r="BL14">
        <f>IF(R14=1,1000000,IF('計算A'!$IT$14&gt;0,0,500000)+IF('計算A'!$IQ$14=2,SUMPRODUCT('計算A'!$D$64:$EQ$64,$DB14:$IO14,$IQ14:$OD14),SUMPRODUCT('計算A'!$D$64:$EQ$64,$DB14:$IO14))*1000+5)</f>
        <v/>
      </c>
      <c r="BM14">
        <f>IF(S14=1,1000000,IF('計算A'!$IT$15&gt;0,0,500000)+IF('計算A'!$IQ$15=2,SUMPRODUCT('計算A'!$D$65:$EQ$65,$DB14:$IO14,$IQ14:$OD14),SUMPRODUCT('計算A'!$D$65:$EQ$65,$DB14:$IO14))*1000+6)</f>
        <v/>
      </c>
      <c r="BN14">
        <f>IF(T14=1,1000000,IF('計算A'!$IT$16&gt;0,0,500000)+IF('計算A'!$IQ$16=2,SUMPRODUCT('計算A'!$D$66:$EQ$66,$DB14:$IO14,$IQ14:$OD14),SUMPRODUCT('計算A'!$D$66:$EQ$66,$DB14:$IO14))*1000+7)</f>
        <v/>
      </c>
      <c r="BO14">
        <f>IF(U14=1,1000000,IF('計算A'!$IT$17&gt;0,0,500000)+IF('計算A'!$IQ$17=2,SUMPRODUCT('計算A'!$D$67:$EQ$67,$DB14:$IO14,$IQ14:$OD14),SUMPRODUCT('計算A'!$D$67:$EQ$67,$DB14:$IO14))*1000+8)</f>
        <v/>
      </c>
      <c r="BP14">
        <f>IF(V14=1,1000000,IF('計算A'!$IT$18&gt;0,0,500000)+IF('計算A'!$IQ$18=2,SUMPRODUCT('計算A'!$D$68:$EQ$68,$DB14:$IO14,$IQ14:$OD14),SUMPRODUCT('計算A'!$D$68:$EQ$68,$DB14:$IO14))*1000+9)</f>
        <v/>
      </c>
      <c r="BQ14">
        <f>IF(W14=1,1000000,IF('計算A'!$IT$19&gt;0,0,500000)+IF('計算A'!$IQ$19=2,SUMPRODUCT('計算A'!$D$69:$EQ$69,$DB14:$IO14,$IQ14:$OD14),SUMPRODUCT('計算A'!$D$69:$EQ$69,$DB14:$IO14))*1000+10)</f>
        <v/>
      </c>
      <c r="BR14">
        <f>IF(X14=1,1000000,IF('計算A'!$IT$20&gt;0,0,500000)+IF('計算A'!$IQ$20=2,SUMPRODUCT('計算A'!$D$70:$EQ$70,$DB14:$IO14,$IQ14:$OD14),SUMPRODUCT('計算A'!$D$70:$EQ$70,$DB14:$IO14))*1000+11)</f>
        <v/>
      </c>
      <c r="BS14">
        <f>IF(Y14=1,1000000,IF('計算A'!$IT$21&gt;0,0,500000)+IF('計算A'!$IQ$21=2,SUMPRODUCT('計算A'!$D$71:$EQ$71,$DB14:$IO14,$IQ14:$OD14),SUMPRODUCT('計算A'!$D$71:$EQ$71,$DB14:$IO14))*1000+12)</f>
        <v/>
      </c>
      <c r="BT14">
        <f>IF(Z14=1,1000000,IF('計算A'!$IT$22&gt;0,0,500000)+IF('計算A'!$IQ$22=2,SUMPRODUCT('計算A'!$D$72:$EQ$72,$DB14:$IO14,$IQ14:$OD14),SUMPRODUCT('計算A'!$D$72:$EQ$72,$DB14:$IO14))*1000+13)</f>
        <v/>
      </c>
      <c r="BU14">
        <f>IF(AA14=1,1000000,IF('計算A'!$IT$23&gt;0,0,500000)+IF('計算A'!$IQ$23=2,SUMPRODUCT('計算A'!$D$73:$EQ$73,$DB14:$IO14,$IQ14:$OD14),SUMPRODUCT('計算A'!$D$73:$EQ$73,$DB14:$IO14))*1000+14)</f>
        <v/>
      </c>
      <c r="BV14">
        <f>IF(AB14=1,1000000,IF('計算A'!$IT$24&gt;0,0,500000)+IF('計算A'!$IQ$24=2,SUMPRODUCT('計算A'!$D$74:$EQ$74,$DB14:$IO14,$IQ14:$OD14),SUMPRODUCT('計算A'!$D$74:$EQ$74,$DB14:$IO14))*1000+15)</f>
        <v/>
      </c>
      <c r="BW14">
        <f>IF(AC14=1,1000000,IF('計算A'!$IT$25&gt;0,0,500000)+IF('計算A'!$IQ$25=2,SUMPRODUCT('計算A'!$D$75:$EQ$75,$DB14:$IO14,$IQ14:$OD14),SUMPRODUCT('計算A'!$D$75:$EQ$75,$DB14:$IO14))*1000+16)</f>
        <v/>
      </c>
      <c r="BX14">
        <f>IF(AD14=1,1000000,IF('計算A'!$IT$26&gt;0,0,500000)+IF('計算A'!$IQ$26=2,SUMPRODUCT('計算A'!$D$76:$EQ$76,$DB14:$IO14,$IQ14:$OD14),SUMPRODUCT('計算A'!$D$76:$EQ$76,$DB14:$IO14))*1000+17)</f>
        <v/>
      </c>
      <c r="BY14">
        <f>IF(AE14=1,1000000,IF('計算A'!$IT$27&gt;0,0,500000)+IF('計算A'!$IQ$27=2,SUMPRODUCT('計算A'!$D$77:$EQ$77,$DB14:$IO14,$IQ14:$OD14),SUMPRODUCT('計算A'!$D$77:$EQ$77,$DB14:$IO14))*1000+18)</f>
        <v/>
      </c>
      <c r="BZ14">
        <f>IF(AF14=1,1000000,IF('計算A'!$IT$28&gt;0,0,500000)+IF('計算A'!$IQ$28=2,SUMPRODUCT('計算A'!$D$78:$EQ$78,$DB14:$IO14,$IQ14:$OD14),SUMPRODUCT('計算A'!$D$78:$EQ$78,$DB14:$IO14))*1000+19)</f>
        <v/>
      </c>
      <c r="CA14">
        <f>IF(AG14=1,1000000,IF('計算A'!$IT$29&gt;0,0,500000)+IF('計算A'!$IQ$29=2,SUMPRODUCT('計算A'!$D$79:$EQ$79,$DB14:$IO14,$IQ14:$OD14),SUMPRODUCT('計算A'!$D$79:$EQ$79,$DB14:$IO14))*1000+20)</f>
        <v/>
      </c>
      <c r="CB14">
        <f>IF(AH14=1,1000000,IF('計算A'!$IT$30&gt;0,0,500000)+IF('計算A'!$IQ$30=2,SUMPRODUCT('計算A'!$D$80:$EQ$80,$DB14:$IO14,$IQ14:$OD14),SUMPRODUCT('計算A'!$D$80:$EQ$80,$DB14:$IO14))*1000+21)</f>
        <v/>
      </c>
      <c r="CC14">
        <f>IF(AI14=1,1000000,IF('計算A'!$IT$31&gt;0,0,500000)+IF('計算A'!$IQ$31=2,SUMPRODUCT('計算A'!$D$81:$EQ$81,$DB14:$IO14,$IQ14:$OD14),SUMPRODUCT('計算A'!$D$81:$EQ$81,$DB14:$IO14))*1000+22)</f>
        <v/>
      </c>
      <c r="CD14">
        <f>IF(AJ14=1,1000000,IF('計算A'!$IT$32&gt;0,0,500000)+IF('計算A'!$IQ$32=2,SUMPRODUCT('計算A'!$D$82:$EQ$82,$DB14:$IO14,$IQ14:$OD14),SUMPRODUCT('計算A'!$D$82:$EQ$82,$DB14:$IO14))*1000+23)</f>
        <v/>
      </c>
      <c r="CE14">
        <f>IF(AK14=1,1000000,IF('計算A'!$IT$33&gt;0,0,500000)+IF('計算A'!$IQ$33=2,SUMPRODUCT('計算A'!$D$83:$EQ$83,$DB14:$IO14,$IQ14:$OD14),SUMPRODUCT('計算A'!$D$83:$EQ$83,$DB14:$IO14))*1000+24)</f>
        <v/>
      </c>
      <c r="CF14">
        <f>IF(AL14=1,1000000,IF('計算A'!$IT$34&gt;0,0,500000)+IF('計算A'!$IQ$34=2,SUMPRODUCT('計算A'!$D$84:$EQ$84,$DB14:$IO14,$IQ14:$OD14),SUMPRODUCT('計算A'!$D$84:$EQ$84,$DB14:$IO14))*1000+25)</f>
        <v/>
      </c>
      <c r="CG14">
        <f>IF(AM14=1,1000000,IF('計算A'!$IT$35&gt;0,0,500000)+IF('計算A'!$IQ$35=2,SUMPRODUCT('計算A'!$D$85:$EQ$85,$DB14:$IO14,$IQ14:$OD14),SUMPRODUCT('計算A'!$D$85:$EQ$85,$DB14:$IO14))*1000+26)</f>
        <v/>
      </c>
      <c r="CH14">
        <f>IF(AN14=1,1000000,IF('計算A'!$IT$36&gt;0,0,500000)+IF('計算A'!$IQ$36=2,SUMPRODUCT('計算A'!$D$86:$EQ$86,$DB14:$IO14,$IQ14:$OD14),SUMPRODUCT('計算A'!$D$86:$EQ$86,$DB14:$IO14))*1000+27)</f>
        <v/>
      </c>
      <c r="CI14">
        <f>IF(AO14=1,1000000,IF('計算A'!$IT$37&gt;0,0,500000)+IF('計算A'!$IQ$37=2,SUMPRODUCT('計算A'!$D$87:$EQ$87,$DB14:$IO14,$IQ14:$OD14),SUMPRODUCT('計算A'!$D$87:$EQ$87,$DB14:$IO14))*1000+28)</f>
        <v/>
      </c>
      <c r="CJ14">
        <f>IF(AP14=1,1000000,IF('計算A'!$IT$38&gt;0,0,500000)+IF('計算A'!$IQ$38=2,SUMPRODUCT('計算A'!$D$88:$EQ$88,$DB14:$IO14,$IQ14:$OD14),SUMPRODUCT('計算A'!$D$88:$EQ$88,$DB14:$IO14))*1000+29)</f>
        <v/>
      </c>
      <c r="CK14">
        <f>IF(AQ14=1,1000000,IF('計算A'!$IT$39&gt;0,0,500000)+IF('計算A'!$IQ$39=2,SUMPRODUCT('計算A'!$D$89:$EQ$89,$DB14:$IO14,$IQ14:$OD14),SUMPRODUCT('計算A'!$D$89:$EQ$89,$DB14:$IO14))*1000+30)</f>
        <v/>
      </c>
      <c r="CL14">
        <f>IF(AR14=1,1000000,IF('計算A'!$IT$40&gt;0,0,500000)+IF('計算A'!$IQ$40=2,SUMPRODUCT('計算A'!$D$90:$EQ$90,$DB14:$IO14,$IQ14:$OD14),SUMPRODUCT('計算A'!$D$90:$EQ$90,$DB14:$IO14))*1000+31)</f>
        <v/>
      </c>
      <c r="CM14">
        <f>IF(AS14=1,1000000,IF('計算A'!$IT$41&gt;0,0,500000)+IF('計算A'!$IQ$41=2,SUMPRODUCT('計算A'!$D$91:$EQ$91,$DB14:$IO14,$IQ14:$OD14),SUMPRODUCT('計算A'!$D$91:$EQ$91,$DB14:$IO14))*1000+32)</f>
        <v/>
      </c>
      <c r="CN14">
        <f>IF(AT14=1,1000000,IF('計算A'!$IT$42&gt;0,0,500000)+IF('計算A'!$IQ$42=2,SUMPRODUCT('計算A'!$D$92:$EQ$92,$DB14:$IO14,$IQ14:$OD14),SUMPRODUCT('計算A'!$D$92:$EQ$92,$DB14:$IO14))*1000+33)</f>
        <v/>
      </c>
      <c r="CO14">
        <f>IF(AU14=1,1000000,IF('計算A'!$IT$43&gt;0,0,500000)+IF('計算A'!$IQ$43=2,SUMPRODUCT('計算A'!$D$93:$EQ$93,$DB14:$IO14,$IQ14:$OD14),SUMPRODUCT('計算A'!$D$93:$EQ$93,$DB14:$IO14))*1000+34)</f>
        <v/>
      </c>
      <c r="CP14">
        <f>IF(AV14=1,1000000,IF('計算A'!$IT$44&gt;0,0,500000)+IF('計算A'!$IQ$44=2,SUMPRODUCT('計算A'!$D$94:$EQ$94,$DB14:$IO14,$IQ14:$OD14),SUMPRODUCT('計算A'!$D$94:$EQ$94,$DB14:$IO14))*1000+35)</f>
        <v/>
      </c>
      <c r="CQ14">
        <f>IF(AW14=1,1000000,IF('計算A'!$IT$45&gt;0,0,500000)+IF('計算A'!$IQ$45=2,SUMPRODUCT('計算A'!$D$95:$EQ$95,$DB14:$IO14,$IQ14:$OD14),SUMPRODUCT('計算A'!$D$95:$EQ$95,$DB14:$IO14))*1000+36)</f>
        <v/>
      </c>
      <c r="CR14">
        <f>IF(AX14=1,1000000,IF('計算A'!$IT$46&gt;0,0,500000)+IF('計算A'!$IQ$46=2,SUMPRODUCT('計算A'!$D$96:$EQ$96,$DB14:$IO14,$IQ14:$OD14),SUMPRODUCT('計算A'!$D$96:$EQ$96,$DB14:$IO14))*1000+37)</f>
        <v/>
      </c>
      <c r="CS14">
        <f>IF(AY14=1,1000000,IF('計算A'!$IT$47&gt;0,0,500000)+IF('計算A'!$IQ$47=2,SUMPRODUCT('計算A'!$D$97:$EQ$97,$DB14:$IO14,$IQ14:$OD14),SUMPRODUCT('計算A'!$D$97:$EQ$97,$DB14:$IO14))*1000+38)</f>
        <v/>
      </c>
      <c r="CT14">
        <f>IF(AZ14=1,1000000,IF('計算A'!$IT$48&gt;0,0,500000)+IF('計算A'!$IQ$48=2,SUMPRODUCT('計算A'!$D$98:$EQ$98,$DB14:$IO14,$IQ14:$OD14),SUMPRODUCT('計算A'!$D$98:$EQ$98,$DB14:$IO14))*1000+39)</f>
        <v/>
      </c>
      <c r="CU14">
        <f>IF(BA14=1,1000000,IF('計算A'!$IT$49&gt;0,0,500000)+IF('計算A'!$IQ$49=2,SUMPRODUCT('計算A'!$D$99:$EQ$99,$DB14:$IO14,$IQ14:$OD14),SUMPRODUCT('計算A'!$D$99:$EQ$99,$DB14:$IO14))*1000+40)</f>
        <v/>
      </c>
      <c r="CV14">
        <f>IF(BB14=1,1000000,IF('計算A'!$IT$50&gt;0,0,500000)+IF('計算A'!$IQ$50=2,SUMPRODUCT('計算A'!$D$100:$EQ$100,$DB14:$IO14,$IQ14:$OD14),SUMPRODUCT('計算A'!$D$100:$EQ$100,$DB14:$IO14))*1000+41)</f>
        <v/>
      </c>
      <c r="CW14">
        <f>IF(BC14=1,1000000,IF('計算A'!$IT$51&gt;0,0,500000)+IF('計算A'!$IQ$51=2,SUMPRODUCT('計算A'!$D$101:$EQ$101,$DB14:$IO14,$IQ14:$OD14),SUMPRODUCT('計算A'!$D$101:$EQ$101,$DB14:$IO14))*1000+42)</f>
        <v/>
      </c>
      <c r="CX14">
        <f>IF(BD14=1,1000000,IF('計算A'!$IT$52&gt;0,0,500000)+IF('計算A'!$IQ$52=2,SUMPRODUCT('計算A'!$D$102:$EQ$102,$DB14:$IO14,$IQ14:$OD14),SUMPRODUCT('計算A'!$D$102:$EQ$102,$DB14:$IO14))*1000+43)</f>
        <v/>
      </c>
      <c r="CY14">
        <f>IF(BE14=1,1000000,IF('計算A'!$IT$53&gt;0,0,500000)+IF('計算A'!$IQ$53=2,SUMPRODUCT('計算A'!$D$103:$EQ$103,$DB14:$IO14,$IQ14:$OD14),SUMPRODUCT('計算A'!$D$103:$EQ$103,$DB14:$IO14))*1000+44)</f>
        <v/>
      </c>
      <c r="CZ14">
        <f>IF(BF14=1,1000000,IF('計算A'!$IT$54&gt;0,0,500000)+IF('計算A'!$IQ$54=2,SUMPRODUCT('計算A'!$D$104:$EQ$104,$DB14:$IO14,$IQ14:$OD14),SUMPRODUCT('計算A'!$D$104:$EQ$104,$DB14:$IO14))*1000+45)</f>
        <v/>
      </c>
      <c r="DB14">
        <f>DB13*IF(OR($C13=1,$G13=1),0,1)</f>
        <v/>
      </c>
      <c r="DC14">
        <f>DC13*IF(OR($C13=2,$G13=2),0,1)</f>
        <v/>
      </c>
      <c r="DD14">
        <f>DD13*IF(OR($C13=3,$G13=3),0,1)</f>
        <v/>
      </c>
      <c r="DE14">
        <f>DE13*IF(OR($C13=4,$G13=4),0,1)</f>
        <v/>
      </c>
      <c r="DF14">
        <f>DF13*IF(OR($C13=5,$G13=5),0,1)</f>
        <v/>
      </c>
      <c r="DG14">
        <f>DG13*IF(OR($C13=6,$G13=6),0,1)</f>
        <v/>
      </c>
      <c r="DH14">
        <f>DH13*IF(OR($C13=7,$G13=7),0,1)</f>
        <v/>
      </c>
      <c r="DI14">
        <f>DI13*IF(OR($C13=8,$G13=8),0,1)</f>
        <v/>
      </c>
      <c r="DJ14">
        <f>DJ13*IF(OR($C13=9,$G13=9),0,1)</f>
        <v/>
      </c>
      <c r="DK14">
        <f>DK13*IF(OR($C13=10,$G13=10),0,1)</f>
        <v/>
      </c>
      <c r="DL14">
        <f>DL13*IF(OR($C13=11,$G13=11),0,1)</f>
        <v/>
      </c>
      <c r="DM14">
        <f>DM13*IF(OR($C13=12,$G13=12),0,1)</f>
        <v/>
      </c>
      <c r="DN14">
        <f>DN13*IF(OR($C13=13,$G13=13),0,1)</f>
        <v/>
      </c>
      <c r="DO14">
        <f>DO13*IF(OR($C13=14,$G13=14),0,1)</f>
        <v/>
      </c>
      <c r="DP14">
        <f>DP13*IF(OR($C13=15,$G13=15),0,1)</f>
        <v/>
      </c>
      <c r="DQ14">
        <f>DQ13*IF(OR($C13=16,$G13=16),0,1)</f>
        <v/>
      </c>
      <c r="DR14">
        <f>DR13*IF(OR($C13=17,$G13=17),0,1)</f>
        <v/>
      </c>
      <c r="DS14">
        <f>DS13*IF(OR($C13=18,$G13=18),0,1)</f>
        <v/>
      </c>
      <c r="DT14">
        <f>DT13*IF(OR($C13=19,$G13=19),0,1)</f>
        <v/>
      </c>
      <c r="DU14">
        <f>DU13*IF(OR($C13=20,$G13=20),0,1)</f>
        <v/>
      </c>
      <c r="DV14">
        <f>DV13*IF(OR($C13=21,$G13=21),0,1)</f>
        <v/>
      </c>
      <c r="DW14">
        <f>DW13*IF(OR($C13=22,$G13=22),0,1)</f>
        <v/>
      </c>
      <c r="DX14">
        <f>DX13*IF(OR($C13=23,$G13=23),0,1)</f>
        <v/>
      </c>
      <c r="DY14">
        <f>DY13*IF(OR($C13=24,$G13=24),0,1)</f>
        <v/>
      </c>
      <c r="DZ14">
        <f>DZ13*IF(OR($C13=25,$G13=25),0,1)</f>
        <v/>
      </c>
      <c r="EA14">
        <f>EA13*IF(OR($C13=26,$G13=26),0,1)</f>
        <v/>
      </c>
      <c r="EB14">
        <f>EB13*IF(OR($C13=27,$G13=27),0,1)</f>
        <v/>
      </c>
      <c r="EC14">
        <f>EC13*IF(OR($C13=28,$G13=28),0,1)</f>
        <v/>
      </c>
      <c r="ED14">
        <f>ED13*IF(OR($C13=29,$G13=29),0,1)</f>
        <v/>
      </c>
      <c r="EE14">
        <f>EE13*IF(OR($C13=30,$G13=30),0,1)</f>
        <v/>
      </c>
      <c r="EF14">
        <f>EF13*IF(OR($C13=31,$G13=31),0,1)</f>
        <v/>
      </c>
      <c r="EG14">
        <f>EG13*IF(OR($C13=32,$G13=32),0,1)</f>
        <v/>
      </c>
      <c r="EH14">
        <f>EH13*IF(OR($C13=33,$G13=33),0,1)</f>
        <v/>
      </c>
      <c r="EI14">
        <f>EI13*IF(OR($C13=34,$G13=34),0,1)</f>
        <v/>
      </c>
      <c r="EJ14">
        <f>EJ13*IF(OR($C13=35,$G13=35),0,1)</f>
        <v/>
      </c>
      <c r="EK14">
        <f>EK13*IF(OR($C13=36,$G13=36),0,1)</f>
        <v/>
      </c>
      <c r="EL14">
        <f>EL13*IF(OR($C13=37,$G13=37),0,1)</f>
        <v/>
      </c>
      <c r="EM14">
        <f>EM13*IF(OR($C13=38,$G13=38),0,1)</f>
        <v/>
      </c>
      <c r="EN14">
        <f>EN13*IF(OR($C13=39,$G13=39),0,1)</f>
        <v/>
      </c>
      <c r="EO14">
        <f>EO13*IF(OR($C13=40,$G13=40),0,1)</f>
        <v/>
      </c>
      <c r="EP14">
        <f>EP13*IF(OR($C13=41,$G13=41),0,1)</f>
        <v/>
      </c>
      <c r="EQ14">
        <f>EQ13*IF(OR($C13=42,$G13=42),0,1)</f>
        <v/>
      </c>
      <c r="ER14">
        <f>ER13*IF(OR($C13=43,$G13=43),0,1)</f>
        <v/>
      </c>
      <c r="ES14">
        <f>ES13*IF(OR($C13=44,$G13=44),0,1)</f>
        <v/>
      </c>
      <c r="ET14">
        <f>ET13*IF(OR($C13=45,$G13=45),0,1)</f>
        <v/>
      </c>
      <c r="EU14">
        <f>EU13*IF(OR($C13=46,$G13=46),0,1)</f>
        <v/>
      </c>
      <c r="EV14">
        <f>EV13*IF(OR($C13=47,$G13=47),0,1)</f>
        <v/>
      </c>
      <c r="EW14">
        <f>EW13*IF(OR($C13=48,$G13=48),0,1)</f>
        <v/>
      </c>
      <c r="EX14">
        <f>EX13*IF(OR($C13=49,$G13=49),0,1)</f>
        <v/>
      </c>
      <c r="EY14">
        <f>EY13*IF(OR($C13=50,$G13=50),0,1)</f>
        <v/>
      </c>
      <c r="EZ14">
        <f>EZ13*IF(OR($C13=51,$G13=51),0,1)</f>
        <v/>
      </c>
      <c r="FA14">
        <f>FA13*IF(OR($C13=52,$G13=52),0,1)</f>
        <v/>
      </c>
      <c r="FB14">
        <f>FB13*IF(OR($C13=53,$G13=53),0,1)</f>
        <v/>
      </c>
      <c r="FC14">
        <f>FC13*IF(OR($C13=54,$G13=54),0,1)</f>
        <v/>
      </c>
      <c r="FD14">
        <f>FD13*IF(OR($C13=55,$G13=55),0,1)</f>
        <v/>
      </c>
      <c r="FE14">
        <f>FE13*IF(OR($C13=56,$G13=56),0,1)</f>
        <v/>
      </c>
      <c r="FF14">
        <f>FF13*IF(OR($C13=57,$G13=57),0,1)</f>
        <v/>
      </c>
      <c r="FG14">
        <f>FG13*IF(OR($C13=58,$G13=58),0,1)</f>
        <v/>
      </c>
      <c r="FH14">
        <f>FH13*IF(OR($C13=59,$G13=59),0,1)</f>
        <v/>
      </c>
      <c r="FI14">
        <f>FI13*IF(OR($C13=60,$G13=60),0,1)</f>
        <v/>
      </c>
      <c r="FJ14">
        <f>FJ13*IF(OR($C13=61,$G13=61),0,1)</f>
        <v/>
      </c>
      <c r="FK14">
        <f>FK13*IF(OR($C13=62,$G13=62),0,1)</f>
        <v/>
      </c>
      <c r="FL14">
        <f>FL13*IF(OR($C13=63,$G13=63),0,1)</f>
        <v/>
      </c>
      <c r="FM14">
        <f>FM13*IF(OR($C13=64,$G13=64),0,1)</f>
        <v/>
      </c>
      <c r="FN14">
        <f>FN13*IF(OR($C13=65,$G13=65),0,1)</f>
        <v/>
      </c>
      <c r="FO14">
        <f>FO13*IF(OR($C13=66,$G13=66),0,1)</f>
        <v/>
      </c>
      <c r="FP14">
        <f>FP13*IF(OR($C13=67,$G13=67),0,1)</f>
        <v/>
      </c>
      <c r="FQ14">
        <f>FQ13*IF(OR($C13=68,$G13=68),0,1)</f>
        <v/>
      </c>
      <c r="FR14">
        <f>FR13*IF(OR($C13=69,$G13=69),0,1)</f>
        <v/>
      </c>
      <c r="FS14">
        <f>FS13*IF(OR($C13=70,$G13=70),0,1)</f>
        <v/>
      </c>
      <c r="FT14">
        <f>FT13*IF(OR($C13=71,$G13=71),0,1)</f>
        <v/>
      </c>
      <c r="FU14">
        <f>FU13*IF(OR($C13=72,$G13=72),0,1)</f>
        <v/>
      </c>
      <c r="FV14">
        <f>FV13*IF(OR($C13=73,$G13=73),0,1)</f>
        <v/>
      </c>
      <c r="FW14">
        <f>FW13*IF(OR($C13=74,$G13=74),0,1)</f>
        <v/>
      </c>
      <c r="FX14">
        <f>FX13*IF(OR($C13=75,$G13=75),0,1)</f>
        <v/>
      </c>
      <c r="FY14">
        <f>FY13*IF(OR($C13=76,$G13=76),0,1)</f>
        <v/>
      </c>
      <c r="FZ14">
        <f>FZ13*IF(OR($C13=77,$G13=77),0,1)</f>
        <v/>
      </c>
      <c r="GA14">
        <f>GA13*IF(OR($C13=78,$G13=78),0,1)</f>
        <v/>
      </c>
      <c r="GB14">
        <f>GB13*IF(OR($C13=79,$G13=79),0,1)</f>
        <v/>
      </c>
      <c r="GC14">
        <f>GC13*IF(OR($C13=80,$G13=80),0,1)</f>
        <v/>
      </c>
      <c r="GD14">
        <f>GD13*IF(OR($C13=81,$G13=81),0,1)</f>
        <v/>
      </c>
      <c r="GE14">
        <f>GE13*IF(OR($C13=82,$G13=82),0,1)</f>
        <v/>
      </c>
      <c r="GF14">
        <f>GF13*IF(OR($C13=83,$G13=83),0,1)</f>
        <v/>
      </c>
      <c r="GG14">
        <f>GG13*IF(OR($C13=84,$G13=84),0,1)</f>
        <v/>
      </c>
      <c r="GH14">
        <f>GH13*IF(OR($C13=85,$G13=85),0,1)</f>
        <v/>
      </c>
      <c r="GI14">
        <f>GI13*IF(OR($C13=86,$G13=86),0,1)</f>
        <v/>
      </c>
      <c r="GJ14">
        <f>GJ13*IF(OR($C13=87,$G13=87),0,1)</f>
        <v/>
      </c>
      <c r="GK14">
        <f>GK13*IF(OR($C13=88,$G13=88),0,1)</f>
        <v/>
      </c>
      <c r="GL14">
        <f>GL13*IF(OR($C13=89,$G13=89),0,1)</f>
        <v/>
      </c>
      <c r="GM14">
        <f>GM13*IF(OR($C13=90,$G13=90),0,1)</f>
        <v/>
      </c>
      <c r="GN14">
        <f>GN13*IF(OR($C13=91,$G13=91),0,1)</f>
        <v/>
      </c>
      <c r="GO14">
        <f>GO13*IF(OR($C13=92,$G13=92),0,1)</f>
        <v/>
      </c>
      <c r="GP14">
        <f>GP13*IF(OR($C13=93,$G13=93),0,1)</f>
        <v/>
      </c>
      <c r="GQ14">
        <f>GQ13*IF(OR($C13=94,$G13=94),0,1)</f>
        <v/>
      </c>
      <c r="GR14">
        <f>GR13*IF(OR($C13=95,$G13=95),0,1)</f>
        <v/>
      </c>
      <c r="GS14">
        <f>GS13*IF(OR($C13=96,$G13=96),0,1)</f>
        <v/>
      </c>
      <c r="GT14">
        <f>GT13*IF(OR($C13=97,$G13=97),0,1)</f>
        <v/>
      </c>
      <c r="GU14">
        <f>GU13*IF(OR($C13=98,$G13=98),0,1)</f>
        <v/>
      </c>
      <c r="GV14">
        <f>GV13*IF(OR($C13=99,$G13=99),0,1)</f>
        <v/>
      </c>
      <c r="GW14">
        <f>GW13*IF(OR($C13=100,$G13=100),0,1)</f>
        <v/>
      </c>
      <c r="GX14">
        <f>GX13*IF(OR($C13=101,$G13=101),0,1)</f>
        <v/>
      </c>
      <c r="GY14">
        <f>GY13*IF(OR($C13=102,$G13=102),0,1)</f>
        <v/>
      </c>
      <c r="GZ14">
        <f>GZ13*IF(OR($C13=103,$G13=103),0,1)</f>
        <v/>
      </c>
      <c r="HA14">
        <f>HA13*IF(OR($C13=104,$G13=104),0,1)</f>
        <v/>
      </c>
      <c r="HB14">
        <f>HB13*IF(OR($C13=105,$G13=105),0,1)</f>
        <v/>
      </c>
      <c r="HC14">
        <f>HC13*IF(OR($C13=106,$G13=106),0,1)</f>
        <v/>
      </c>
      <c r="HD14">
        <f>HD13*IF(OR($C13=107,$G13=107),0,1)</f>
        <v/>
      </c>
      <c r="HE14">
        <f>HE13*IF(OR($C13=108,$G13=108),0,1)</f>
        <v/>
      </c>
      <c r="HF14">
        <f>HF13*IF(OR($C13=109,$G13=109),0,1)</f>
        <v/>
      </c>
      <c r="HG14">
        <f>HG13*IF(OR($C13=110,$G13=110),0,1)</f>
        <v/>
      </c>
      <c r="HH14">
        <f>HH13*IF(OR($C13=111,$G13=111),0,1)</f>
        <v/>
      </c>
      <c r="HI14">
        <f>HI13*IF(OR($C13=112,$G13=112),0,1)</f>
        <v/>
      </c>
      <c r="HJ14">
        <f>HJ13*IF(OR($C13=113,$G13=113),0,1)</f>
        <v/>
      </c>
      <c r="HK14">
        <f>HK13*IF(OR($C13=114,$G13=114),0,1)</f>
        <v/>
      </c>
      <c r="HL14">
        <f>HL13*IF(OR($C13=115,$G13=115),0,1)</f>
        <v/>
      </c>
      <c r="HM14">
        <f>HM13*IF(OR($C13=116,$G13=116),0,1)</f>
        <v/>
      </c>
      <c r="HN14">
        <f>HN13*IF(OR($C13=117,$G13=117),0,1)</f>
        <v/>
      </c>
      <c r="HO14">
        <f>HO13*IF(OR($C13=118,$G13=118),0,1)</f>
        <v/>
      </c>
      <c r="HP14">
        <f>HP13*IF(OR($C13=119,$G13=119),0,1)</f>
        <v/>
      </c>
      <c r="HQ14">
        <f>HQ13*IF(OR($C13=120,$G13=120),0,1)</f>
        <v/>
      </c>
      <c r="HR14">
        <f>HR13*IF(OR($C13=121,$G13=121),0,1)</f>
        <v/>
      </c>
      <c r="HS14">
        <f>HS13*IF(OR($C13=122,$G13=122),0,1)</f>
        <v/>
      </c>
      <c r="HT14">
        <f>HT13*IF(OR($C13=123,$G13=123),0,1)</f>
        <v/>
      </c>
      <c r="HU14">
        <f>HU13*IF(OR($C13=124,$G13=124),0,1)</f>
        <v/>
      </c>
      <c r="HV14">
        <f>HV13*IF(OR($C13=125,$G13=125),0,1)</f>
        <v/>
      </c>
      <c r="HW14">
        <f>HW13*IF(OR($C13=126,$G13=126),0,1)</f>
        <v/>
      </c>
      <c r="HX14">
        <f>HX13*IF(OR($C13=127,$G13=127),0,1)</f>
        <v/>
      </c>
      <c r="HY14">
        <f>HY13*IF(OR($C13=128,$G13=128),0,1)</f>
        <v/>
      </c>
      <c r="HZ14">
        <f>HZ13*IF(OR($C13=129,$G13=129),0,1)</f>
        <v/>
      </c>
      <c r="IA14">
        <f>IA13*IF(OR($C13=130,$G13=130),0,1)</f>
        <v/>
      </c>
      <c r="IB14">
        <f>IB13*IF(OR($C13=131,$G13=131),0,1)</f>
        <v/>
      </c>
      <c r="IC14">
        <f>IC13*IF(OR($C13=132,$G13=132),0,1)</f>
        <v/>
      </c>
      <c r="ID14">
        <f>ID13*IF(OR($C13=133,$G13=133),0,1)</f>
        <v/>
      </c>
      <c r="IE14">
        <f>IE13*IF(OR($C13=134,$G13=134),0,1)</f>
        <v/>
      </c>
      <c r="IF14">
        <f>IF13*IF(OR($C13=135,$G13=135),0,1)</f>
        <v/>
      </c>
      <c r="IG14">
        <f>IG13*IF(OR($C13=136,$G13=136),0,1)</f>
        <v/>
      </c>
      <c r="IH14">
        <f>IH13*IF(OR($C13=137,$G13=137),0,1)</f>
        <v/>
      </c>
      <c r="II14">
        <f>II13*IF(OR($C13=138,$G13=138),0,1)</f>
        <v/>
      </c>
      <c r="IJ14">
        <f>IJ13*IF(OR($C13=139,$G13=139),0,1)</f>
        <v/>
      </c>
      <c r="IK14">
        <f>IK13*IF(OR($C13=140,$G13=140),0,1)</f>
        <v/>
      </c>
      <c r="IL14">
        <f>IL13*IF(OR($C13=141,$G13=141),0,1)</f>
        <v/>
      </c>
      <c r="IM14">
        <f>IM13*IF(OR($C13=142,$G13=142),0,1)</f>
        <v/>
      </c>
      <c r="IN14">
        <f>IN13*IF(OR($C13=143,$G13=143),0,1)</f>
        <v/>
      </c>
      <c r="IO14">
        <f>IO13*IF(OR($C13=144,$G13=144),0,1)</f>
        <v/>
      </c>
      <c r="IQ14">
        <f>IF('計算A'!D$106=1,DC14,1)</f>
        <v/>
      </c>
      <c r="IR14">
        <f>IF('計算A'!E$106=1,DD14,1)</f>
        <v/>
      </c>
      <c r="IS14">
        <f>IF('計算A'!F$106=1,DE14,1)</f>
        <v/>
      </c>
      <c r="IT14">
        <f>IF('計算A'!G$106=1,DF14,1)</f>
        <v/>
      </c>
      <c r="IU14">
        <f>IF('計算A'!H$106=1,DG14,1)</f>
        <v/>
      </c>
      <c r="IV14">
        <f>IF('計算A'!I$106=1,DH14,1)</f>
        <v/>
      </c>
      <c r="IW14">
        <f>IF('計算A'!J$106=1,DI14,1)</f>
        <v/>
      </c>
      <c r="IX14">
        <f>IF('計算A'!K$106=1,DJ14,1)</f>
        <v/>
      </c>
      <c r="IY14">
        <f>IF('計算A'!L$106=1,DK14,1)</f>
        <v/>
      </c>
      <c r="IZ14">
        <f>IF('計算A'!M$106=1,DL14,1)</f>
        <v/>
      </c>
      <c r="JA14">
        <f>IF('計算A'!N$106=1,DM14,1)</f>
        <v/>
      </c>
      <c r="JB14">
        <f>IF('計算A'!O$106=1,DN14,1)</f>
        <v/>
      </c>
      <c r="JC14">
        <f>IF('計算A'!P$106=1,DO14,1)</f>
        <v/>
      </c>
      <c r="JD14">
        <f>IF('計算A'!Q$106=1,DP14,1)</f>
        <v/>
      </c>
      <c r="JE14">
        <f>IF('計算A'!R$106=1,DQ14,1)</f>
        <v/>
      </c>
      <c r="JF14">
        <f>IF('計算A'!S$106=1,DR14,1)</f>
        <v/>
      </c>
      <c r="JG14">
        <f>IF('計算A'!T$106=1,DS14,1)</f>
        <v/>
      </c>
      <c r="JH14">
        <f>IF('計算A'!U$106=1,DT14,1)</f>
        <v/>
      </c>
      <c r="JI14">
        <f>IF('計算A'!V$106=1,DU14,1)</f>
        <v/>
      </c>
      <c r="JJ14">
        <f>IF('計算A'!W$106=1,DV14,1)</f>
        <v/>
      </c>
      <c r="JK14">
        <f>IF('計算A'!X$106=1,DW14,1)</f>
        <v/>
      </c>
      <c r="JL14">
        <f>IF('計算A'!Y$106=1,DX14,1)</f>
        <v/>
      </c>
      <c r="JM14">
        <f>IF('計算A'!Z$106=1,DY14,1)</f>
        <v/>
      </c>
      <c r="JN14">
        <f>IF('計算A'!AA$106=1,DZ14,1)</f>
        <v/>
      </c>
      <c r="JO14">
        <f>IF('計算A'!AB$106=1,EA14,1)</f>
        <v/>
      </c>
      <c r="JP14">
        <f>IF('計算A'!AC$106=1,EB14,1)</f>
        <v/>
      </c>
      <c r="JQ14">
        <f>IF('計算A'!AD$106=1,EC14,1)</f>
        <v/>
      </c>
      <c r="JR14">
        <f>IF('計算A'!AE$106=1,ED14,1)</f>
        <v/>
      </c>
      <c r="JS14">
        <f>IF('計算A'!AF$106=1,EE14,1)</f>
        <v/>
      </c>
      <c r="JT14">
        <f>IF('計算A'!AG$106=1,EF14,1)</f>
        <v/>
      </c>
      <c r="JU14">
        <f>IF('計算A'!AH$106=1,EG14,1)</f>
        <v/>
      </c>
      <c r="JV14">
        <f>IF('計算A'!AI$106=1,EH14,1)</f>
        <v/>
      </c>
      <c r="JW14">
        <f>IF('計算A'!AJ$106=1,EI14,1)</f>
        <v/>
      </c>
      <c r="JX14">
        <f>IF('計算A'!AK$106=1,EJ14,1)</f>
        <v/>
      </c>
      <c r="JY14">
        <f>IF('計算A'!AL$106=1,EK14,1)</f>
        <v/>
      </c>
      <c r="JZ14">
        <f>IF('計算A'!AM$106=1,EL14,1)</f>
        <v/>
      </c>
      <c r="KA14">
        <f>IF('計算A'!AN$106=1,EM14,1)</f>
        <v/>
      </c>
      <c r="KB14">
        <f>IF('計算A'!AO$106=1,EN14,1)</f>
        <v/>
      </c>
      <c r="KC14">
        <f>IF('計算A'!AP$106=1,EO14,1)</f>
        <v/>
      </c>
      <c r="KD14">
        <f>IF('計算A'!AQ$106=1,EP14,1)</f>
        <v/>
      </c>
      <c r="KE14">
        <f>IF('計算A'!AR$106=1,EQ14,1)</f>
        <v/>
      </c>
      <c r="KF14">
        <f>IF('計算A'!AS$106=1,ER14,1)</f>
        <v/>
      </c>
      <c r="KG14">
        <f>IF('計算A'!AT$106=1,ES14,1)</f>
        <v/>
      </c>
      <c r="KH14">
        <f>IF('計算A'!AU$106=1,ET14,1)</f>
        <v/>
      </c>
      <c r="KI14">
        <f>IF('計算A'!AV$106=1,EU14,1)</f>
        <v/>
      </c>
      <c r="KJ14">
        <f>IF('計算A'!AW$106=1,EV14,1)</f>
        <v/>
      </c>
      <c r="KK14">
        <f>IF('計算A'!AX$106=1,EW14,1)</f>
        <v/>
      </c>
      <c r="KL14">
        <f>IF('計算A'!AY$106=1,EX14,1)</f>
        <v/>
      </c>
      <c r="KM14">
        <f>IF('計算A'!AZ$106=1,EY14,1)</f>
        <v/>
      </c>
      <c r="KN14">
        <f>IF('計算A'!BA$106=1,EZ14,1)</f>
        <v/>
      </c>
      <c r="KO14">
        <f>IF('計算A'!BB$106=1,FA14,1)</f>
        <v/>
      </c>
      <c r="KP14">
        <f>IF('計算A'!BC$106=1,FB14,1)</f>
        <v/>
      </c>
      <c r="KQ14">
        <f>IF('計算A'!BD$106=1,FC14,1)</f>
        <v/>
      </c>
      <c r="KR14">
        <f>IF('計算A'!BE$106=1,FD14,1)</f>
        <v/>
      </c>
      <c r="KS14">
        <f>IF('計算A'!BF$106=1,FE14,1)</f>
        <v/>
      </c>
      <c r="KT14">
        <f>IF('計算A'!BG$106=1,FF14,1)</f>
        <v/>
      </c>
      <c r="KU14">
        <f>IF('計算A'!BH$106=1,FG14,1)</f>
        <v/>
      </c>
      <c r="KV14">
        <f>IF('計算A'!BI$106=1,FH14,1)</f>
        <v/>
      </c>
      <c r="KW14">
        <f>IF('計算A'!BJ$106=1,FI14,1)</f>
        <v/>
      </c>
      <c r="KX14">
        <f>IF('計算A'!BK$106=1,FJ14,1)</f>
        <v/>
      </c>
      <c r="KY14">
        <f>IF('計算A'!BL$106=1,FK14,1)</f>
        <v/>
      </c>
      <c r="KZ14">
        <f>IF('計算A'!BM$106=1,FL14,1)</f>
        <v/>
      </c>
      <c r="LA14">
        <f>IF('計算A'!BN$106=1,FM14,1)</f>
        <v/>
      </c>
      <c r="LB14">
        <f>IF('計算A'!BO$106=1,FN14,1)</f>
        <v/>
      </c>
      <c r="LC14">
        <f>IF('計算A'!BP$106=1,FO14,1)</f>
        <v/>
      </c>
      <c r="LD14">
        <f>IF('計算A'!BQ$106=1,FP14,1)</f>
        <v/>
      </c>
      <c r="LE14">
        <f>IF('計算A'!BR$106=1,FQ14,1)</f>
        <v/>
      </c>
      <c r="LF14">
        <f>IF('計算A'!BS$106=1,FR14,1)</f>
        <v/>
      </c>
      <c r="LG14">
        <f>IF('計算A'!BT$106=1,FS14,1)</f>
        <v/>
      </c>
      <c r="LH14">
        <f>IF('計算A'!BU$106=1,FT14,1)</f>
        <v/>
      </c>
      <c r="LI14">
        <f>IF('計算A'!BV$106=1,FU14,1)</f>
        <v/>
      </c>
      <c r="LJ14">
        <f>IF('計算A'!BW$106=1,FV14,1)</f>
        <v/>
      </c>
      <c r="LK14">
        <f>IF('計算A'!BX$106=1,FW14,1)</f>
        <v/>
      </c>
      <c r="LL14">
        <f>IF('計算A'!BY$106=1,FX14,1)</f>
        <v/>
      </c>
      <c r="LM14">
        <f>IF('計算A'!BZ$106=1,FY14,1)</f>
        <v/>
      </c>
      <c r="LN14">
        <f>IF('計算A'!CA$106=1,FZ14,1)</f>
        <v/>
      </c>
      <c r="LO14">
        <f>IF('計算A'!CB$106=1,GA14,1)</f>
        <v/>
      </c>
      <c r="LP14">
        <f>IF('計算A'!CC$106=1,GB14,1)</f>
        <v/>
      </c>
      <c r="LQ14">
        <f>IF('計算A'!CD$106=1,GC14,1)</f>
        <v/>
      </c>
      <c r="LR14">
        <f>IF('計算A'!CE$106=1,GD14,1)</f>
        <v/>
      </c>
      <c r="LS14">
        <f>IF('計算A'!CF$106=1,GE14,1)</f>
        <v/>
      </c>
      <c r="LT14">
        <f>IF('計算A'!CG$106=1,GF14,1)</f>
        <v/>
      </c>
      <c r="LU14">
        <f>IF('計算A'!CH$106=1,GG14,1)</f>
        <v/>
      </c>
      <c r="LV14">
        <f>IF('計算A'!CI$106=1,GH14,1)</f>
        <v/>
      </c>
      <c r="LW14">
        <f>IF('計算A'!CJ$106=1,GI14,1)</f>
        <v/>
      </c>
      <c r="LX14">
        <f>IF('計算A'!CK$106=1,GJ14,1)</f>
        <v/>
      </c>
      <c r="LY14">
        <f>IF('計算A'!CL$106=1,GK14,1)</f>
        <v/>
      </c>
      <c r="LZ14">
        <f>IF('計算A'!CM$106=1,GL14,1)</f>
        <v/>
      </c>
      <c r="MA14">
        <f>IF('計算A'!CN$106=1,GM14,1)</f>
        <v/>
      </c>
      <c r="MB14">
        <f>IF('計算A'!CO$106=1,GN14,1)</f>
        <v/>
      </c>
      <c r="MC14">
        <f>IF('計算A'!CP$106=1,GO14,1)</f>
        <v/>
      </c>
      <c r="MD14">
        <f>IF('計算A'!CQ$106=1,GP14,1)</f>
        <v/>
      </c>
      <c r="ME14">
        <f>IF('計算A'!CR$106=1,GQ14,1)</f>
        <v/>
      </c>
      <c r="MF14">
        <f>IF('計算A'!CS$106=1,GR14,1)</f>
        <v/>
      </c>
      <c r="MG14">
        <f>IF('計算A'!CT$106=1,GS14,1)</f>
        <v/>
      </c>
      <c r="MH14">
        <f>IF('計算A'!CU$106=1,GT14,1)</f>
        <v/>
      </c>
      <c r="MI14">
        <f>IF('計算A'!CV$106=1,GU14,1)</f>
        <v/>
      </c>
      <c r="MJ14">
        <f>IF('計算A'!CW$106=1,GV14,1)</f>
        <v/>
      </c>
      <c r="MK14">
        <f>IF('計算A'!CX$106=1,GW14,1)</f>
        <v/>
      </c>
      <c r="ML14">
        <f>IF('計算A'!CY$106=1,GX14,1)</f>
        <v/>
      </c>
      <c r="MM14">
        <f>IF('計算A'!CZ$106=1,GY14,1)</f>
        <v/>
      </c>
      <c r="MN14">
        <f>IF('計算A'!DA$106=1,GZ14,1)</f>
        <v/>
      </c>
      <c r="MO14">
        <f>IF('計算A'!DB$106=1,HA14,1)</f>
        <v/>
      </c>
      <c r="MP14">
        <f>IF('計算A'!DC$106=1,HB14,1)</f>
        <v/>
      </c>
      <c r="MQ14">
        <f>IF('計算A'!DD$106=1,HC14,1)</f>
        <v/>
      </c>
      <c r="MR14">
        <f>IF('計算A'!DE$106=1,HD14,1)</f>
        <v/>
      </c>
      <c r="MS14">
        <f>IF('計算A'!DF$106=1,HE14,1)</f>
        <v/>
      </c>
      <c r="MT14">
        <f>IF('計算A'!DG$106=1,HF14,1)</f>
        <v/>
      </c>
      <c r="MU14">
        <f>IF('計算A'!DH$106=1,HG14,1)</f>
        <v/>
      </c>
      <c r="MV14">
        <f>IF('計算A'!DI$106=1,HH14,1)</f>
        <v/>
      </c>
      <c r="MW14">
        <f>IF('計算A'!DJ$106=1,HI14,1)</f>
        <v/>
      </c>
      <c r="MX14">
        <f>IF('計算A'!DK$106=1,HJ14,1)</f>
        <v/>
      </c>
      <c r="MY14">
        <f>IF('計算A'!DL$106=1,HK14,1)</f>
        <v/>
      </c>
      <c r="MZ14">
        <f>IF('計算A'!DM$106=1,HL14,1)</f>
        <v/>
      </c>
      <c r="NA14">
        <f>IF('計算A'!DN$106=1,HM14,1)</f>
        <v/>
      </c>
      <c r="NB14">
        <f>IF('計算A'!DO$106=1,HN14,1)</f>
        <v/>
      </c>
      <c r="NC14">
        <f>IF('計算A'!DP$106=1,HO14,1)</f>
        <v/>
      </c>
      <c r="ND14">
        <f>IF('計算A'!DQ$106=1,HP14,1)</f>
        <v/>
      </c>
      <c r="NE14">
        <f>IF('計算A'!DR$106=1,HQ14,1)</f>
        <v/>
      </c>
      <c r="NF14">
        <f>IF('計算A'!DS$106=1,HR14,1)</f>
        <v/>
      </c>
      <c r="NG14">
        <f>IF('計算A'!DT$106=1,HS14,1)</f>
        <v/>
      </c>
      <c r="NH14">
        <f>IF('計算A'!DU$106=1,HT14,1)</f>
        <v/>
      </c>
      <c r="NI14">
        <f>IF('計算A'!DV$106=1,HU14,1)</f>
        <v/>
      </c>
      <c r="NJ14">
        <f>IF('計算A'!DW$106=1,HV14,1)</f>
        <v/>
      </c>
      <c r="NK14">
        <f>IF('計算A'!DX$106=1,HW14,1)</f>
        <v/>
      </c>
      <c r="NL14">
        <f>IF('計算A'!DY$106=1,HX14,1)</f>
        <v/>
      </c>
      <c r="NM14">
        <f>IF('計算A'!DZ$106=1,HY14,1)</f>
        <v/>
      </c>
      <c r="NN14">
        <f>IF('計算A'!EA$106=1,HZ14,1)</f>
        <v/>
      </c>
      <c r="NO14">
        <f>IF('計算A'!EB$106=1,IA14,1)</f>
        <v/>
      </c>
      <c r="NP14">
        <f>IF('計算A'!EC$106=1,IB14,1)</f>
        <v/>
      </c>
      <c r="NQ14">
        <f>IF('計算A'!ED$106=1,IC14,1)</f>
        <v/>
      </c>
      <c r="NR14">
        <f>IF('計算A'!EE$106=1,ID14,1)</f>
        <v/>
      </c>
      <c r="NS14">
        <f>IF('計算A'!EF$106=1,IE14,1)</f>
        <v/>
      </c>
      <c r="NT14">
        <f>IF('計算A'!EG$106=1,IF14,1)</f>
        <v/>
      </c>
      <c r="NU14">
        <f>IF('計算A'!EH$106=1,IG14,1)</f>
        <v/>
      </c>
      <c r="NV14">
        <f>IF('計算A'!EI$106=1,IH14,1)</f>
        <v/>
      </c>
      <c r="NW14">
        <f>IF('計算A'!EJ$106=1,II14,1)</f>
        <v/>
      </c>
      <c r="NX14">
        <f>IF('計算A'!EK$106=1,IJ14,1)</f>
        <v/>
      </c>
      <c r="NY14">
        <f>IF('計算A'!EL$106=1,IK14,1)</f>
        <v/>
      </c>
      <c r="NZ14">
        <f>IF('計算A'!EM$106=1,IL14,1)</f>
        <v/>
      </c>
      <c r="OA14">
        <f>IF('計算A'!EN$106=1,IM14,1)</f>
        <v/>
      </c>
      <c r="OB14">
        <f>IF('計算A'!EO$106=1,IN14,1)</f>
        <v/>
      </c>
      <c r="OC14">
        <f>IF('計算A'!EP$106=1,IO14,1)</f>
        <v/>
      </c>
      <c r="OD14" t="n">
        <v>1</v>
      </c>
      <c r="OF14">
        <f>IF($B14=0,1000000,IF(INDEX('計算A'!$D$60:$EQ$104,$B14,1)*DB14=1,IF(AND($E14=2,IQ14=0),1000000,IF($I14&gt;0,IF(1=$J14,IF(OR(AND(1=$I14+1,OR($K14&lt;&gt;'計算A'!$A$3,'計算A'!$A$4=0)),AND(1=$I14-1,OR(1&lt;&gt;'計算A'!$A$3,'計算A'!$A$4=0))),0,IF(1=$K14,200000,ABS(1-$K14)*100)),100000+ABS(1-$J14)*1000+10)+'計算A'!D$5*50+IF(AND($E14=1,IQ14=0),25,0),IF($F14&gt;0,INDEX('計算A'!D$110:D$114,$F14+1)+IF(AND($E14=1,IQ14=0),1000,0),MIN(TU14,20)*400+(IF('計算A'!D$106=1,1-DC14,0))*150+11+'計算A'!D$5*100000+IF(AND($E14=1,IQ14=0),50000,0))+IF($H14=1,(IF('計算A'!D$117=1,INDEX('計算A'!E$10:E$54,$B14),0))*4000,0)-IF(AND($L14=1,'計算A'!D$117=1,DC14=0),2000,0))),1000000))</f>
        <v/>
      </c>
      <c r="OG14">
        <f>IF($B14=0,1000000,IF(INDEX('計算A'!$D$60:$EQ$104,$B14,2)*DC14=1,IF(AND($E14=2,IR14=0),1000000,IF($I14&gt;0,IF(1=$J14,IF(OR(AND(2=$I14+1,OR($K14&lt;&gt;'計算A'!$A$3,'計算A'!$A$4=0)),AND(2=$I14-1,OR(2&lt;&gt;'計算A'!$A$3,'計算A'!$A$4=0))),0,IF(2=$K14,200000,ABS(2-$K14)*100)),100000+ABS(1-$J14)*1000+20)+'計算A'!E$5*50+IF(AND($E14=1,IR14=0),25,0),IF($F14&gt;0,INDEX('計算A'!E$110:E$114,$F14+1)+IF(AND($E14=1,IR14=0),1000,0),MIN(TU14,20)*400+(IF('計算A'!D$106=1,1-DB14,0)+IF('計算A'!E$106=1,1-DD14,0))*150+21+'計算A'!E$5*100000+IF(AND($E14=1,IR14=0),50000,0))+IF($H14=1,(IF('計算A'!D$117=1,INDEX('計算A'!D$10:D$54,$B14),0)+IF('計算A'!E$117=1,INDEX('計算A'!F$10:F$54,$B14),0))*4000,0)-IF(AND('計算A'!D$117=1,UB14&gt;0),2000,0)-IF(AND($L14=1,'計算A'!E$117=1,DD14=0),2000,0))),1000000))</f>
        <v/>
      </c>
      <c r="OH14">
        <f>IF($B14=0,1000000,IF(INDEX('計算A'!$D$60:$EQ$104,$B14,3)*DD14=1,IF(AND($E14=2,IS14=0),1000000,IF($I14&gt;0,IF(1=$J14,IF(OR(AND(3=$I14+1,OR($K14&lt;&gt;'計算A'!$A$3,'計算A'!$A$4=0)),AND(3=$I14-1,OR(3&lt;&gt;'計算A'!$A$3,'計算A'!$A$4=0))),0,IF(3=$K14,200000,ABS(3-$K14)*100)),100000+ABS(1-$J14)*1000+30)+'計算A'!F$5*50+IF(AND($E14=1,IS14=0),25,0),IF($F14&gt;0,INDEX('計算A'!F$110:F$114,$F14+1)+IF(AND($E14=1,IS14=0),1000,0),MIN(TU14,20)*400+(IF('計算A'!E$106=1,1-DC14,0)+IF('計算A'!F$106=1,1-DE14,0))*150+31+'計算A'!F$5*100000+IF(AND($E14=1,IS14=0),50000,0))+IF($H14=1,(IF('計算A'!E$117=1,INDEX('計算A'!E$10:E$54,$B14),0)+IF('計算A'!F$117=1,INDEX('計算A'!G$10:G$54,$B14),0))*4000,0)-IF(AND('計算A'!E$117=1,UC14&gt;0),2000,0)-IF(AND($L14=1,'計算A'!F$117=1,DE14=0),2000,0))),1000000))</f>
        <v/>
      </c>
      <c r="OI14">
        <f>IF($B14=0,1000000,IF(INDEX('計算A'!$D$60:$EQ$104,$B14,4)*DE14=1,IF(AND($E14=2,IT14=0),1000000,IF($I14&gt;0,IF(1=$J14,IF(OR(AND(4=$I14+1,OR($K14&lt;&gt;'計算A'!$A$3,'計算A'!$A$4=0)),AND(4=$I14-1,OR(4&lt;&gt;'計算A'!$A$3,'計算A'!$A$4=0))),0,IF(4=$K14,200000,ABS(4-$K14)*100)),100000+ABS(1-$J14)*1000+40)+'計算A'!G$5*50+IF(AND($E14=1,IT14=0),25,0),IF($F14&gt;0,INDEX('計算A'!G$110:G$114,$F14+1)+IF(AND($E14=1,IT14=0),1000,0),MIN(TU14,20)*400+(IF('計算A'!F$106=1,1-DD14,0)+IF('計算A'!G$106=1,1-DF14,0))*150+41+'計算A'!G$5*100000+IF(AND($E14=1,IT14=0),50000,0))+IF($H14=1,(IF('計算A'!F$117=1,INDEX('計算A'!F$10:F$54,$B14),0)+IF('計算A'!G$117=1,INDEX('計算A'!H$10:H$54,$B14),0))*4000,0)-IF(AND('計算A'!F$117=1,UD14&gt;0),2000,0)-IF(AND($L14=1,'計算A'!G$117=1,DF14=0),2000,0))),1000000))</f>
        <v/>
      </c>
      <c r="OJ14">
        <f>IF($B14=0,1000000,IF(INDEX('計算A'!$D$60:$EQ$104,$B14,5)*DF14=1,IF(AND($E14=2,IU14=0),1000000,IF($I14&gt;0,IF(1=$J14,IF(OR(AND(5=$I14+1,OR($K14&lt;&gt;'計算A'!$A$3,'計算A'!$A$4=0)),AND(5=$I14-1,OR(5&lt;&gt;'計算A'!$A$3,'計算A'!$A$4=0))),0,IF(5=$K14,200000,ABS(5-$K14)*100)),100000+ABS(1-$J14)*1000+50)+'計算A'!H$5*50+IF(AND($E14=1,IU14=0),25,0),IF($F14&gt;0,INDEX('計算A'!H$110:H$114,$F14+1)+IF(AND($E14=1,IU14=0),1000,0),MIN(TU14,20)*400+(IF('計算A'!G$106=1,1-DE14,0)+IF('計算A'!H$106=1,1-DG14,0))*150+51+'計算A'!H$5*100000+IF(AND($E14=1,IU14=0),50000,0))+IF($H14=1,(IF('計算A'!G$117=1,INDEX('計算A'!G$10:G$54,$B14),0)+IF('計算A'!H$117=1,INDEX('計算A'!I$10:I$54,$B14),0))*4000,0)-IF(AND('計算A'!G$117=1,UE14&gt;0),2000,0)-IF(AND($L14=1,'計算A'!H$117=1,DG14=0),2000,0))),1000000))</f>
        <v/>
      </c>
      <c r="OK14">
        <f>IF($B14=0,1000000,IF(INDEX('計算A'!$D$60:$EQ$104,$B14,6)*DG14=1,IF(AND($E14=2,IV14=0),1000000,IF($I14&gt;0,IF(1=$J14,IF(OR(AND(6=$I14+1,OR($K14&lt;&gt;'計算A'!$A$3,'計算A'!$A$4=0)),AND(6=$I14-1,OR(6&lt;&gt;'計算A'!$A$3,'計算A'!$A$4=0))),0,IF(6=$K14,200000,ABS(6-$K14)*100)),100000+ABS(1-$J14)*1000+60)+'計算A'!I$5*50+IF(AND($E14=1,IV14=0),25,0),IF($F14&gt;0,INDEX('計算A'!I$110:I$114,$F14+1)+IF(AND($E14=1,IV14=0),1000,0),MIN(TU14,20)*400+(IF('計算A'!H$106=1,1-DF14,0)+IF('計算A'!I$106=1,1-DH14,0))*150+61+'計算A'!I$5*100000+IF(AND($E14=1,IV14=0),50000,0))+IF($H14=1,(IF('計算A'!H$117=1,INDEX('計算A'!H$10:H$54,$B14),0)+IF('計算A'!I$117=1,INDEX('計算A'!J$10:J$54,$B14),0))*4000,0)-IF(AND('計算A'!H$117=1,UF14&gt;0),2000,0)-IF(AND($L14=1,'計算A'!I$117=1,DH14=0),2000,0))),1000000))</f>
        <v/>
      </c>
      <c r="OL14">
        <f>IF($B14=0,1000000,IF(INDEX('計算A'!$D$60:$EQ$104,$B14,7)*DH14=1,IF(AND($E14=2,IW14=0),1000000,IF($I14&gt;0,IF(1=$J14,IF(OR(AND(7=$I14+1,OR($K14&lt;&gt;'計算A'!$A$3,'計算A'!$A$4=0)),AND(7=$I14-1,OR(7&lt;&gt;'計算A'!$A$3,'計算A'!$A$4=0))),0,IF(7=$K14,200000,ABS(7-$K14)*100)),100000+ABS(1-$J14)*1000+70)+'計算A'!J$5*50+IF(AND($E14=1,IW14=0),25,0),IF($F14&gt;0,INDEX('計算A'!J$110:J$114,$F14+1)+IF(AND($E14=1,IW14=0),1000,0),MIN(TU14,20)*400+(IF('計算A'!I$106=1,1-DG14,0)+IF('計算A'!J$106=1,1-DI14,0))*150+71+'計算A'!J$5*100000+IF(AND($E14=1,IW14=0),50000,0))+IF($H14=1,(IF('計算A'!I$117=1,INDEX('計算A'!I$10:I$54,$B14),0)+IF('計算A'!J$117=1,INDEX('計算A'!K$10:K$54,$B14),0))*4000,0)-IF(AND('計算A'!I$117=1,UG14&gt;0),2000,0)-IF(AND($L14=1,'計算A'!J$117=1,DI14=0),2000,0))),1000000))</f>
        <v/>
      </c>
      <c r="OM14">
        <f>IF($B14=0,1000000,IF(INDEX('計算A'!$D$60:$EQ$104,$B14,8)*DI14=1,IF(AND($E14=2,IX14=0),1000000,IF($I14&gt;0,IF(1=$J14,IF(OR(AND(8=$I14+1,OR($K14&lt;&gt;'計算A'!$A$3,'計算A'!$A$4=0)),AND(8=$I14-1,OR(8&lt;&gt;'計算A'!$A$3,'計算A'!$A$4=0))),0,IF(8=$K14,200000,ABS(8-$K14)*100)),100000+ABS(1-$J14)*1000+80)+'計算A'!K$5*50+IF(AND($E14=1,IX14=0),25,0),IF($F14&gt;0,INDEX('計算A'!K$110:K$114,$F14+1)+IF(AND($E14=1,IX14=0),1000,0),MIN(TU14,20)*400+(IF('計算A'!J$106=1,1-DH14,0)+IF('計算A'!K$106=1,1-DJ14,0))*150+81+'計算A'!K$5*100000+IF(AND($E14=1,IX14=0),50000,0))+IF($H14=1,(IF('計算A'!J$117=1,INDEX('計算A'!J$10:J$54,$B14),0)+IF('計算A'!K$117=1,INDEX('計算A'!L$10:L$54,$B14),0))*4000,0)-IF(AND('計算A'!J$117=1,UH14&gt;0),2000,0)-IF(AND($L14=1,'計算A'!K$117=1,DJ14=0),2000,0))),1000000))</f>
        <v/>
      </c>
      <c r="ON14">
        <f>IF($B14=0,1000000,IF(INDEX('計算A'!$D$60:$EQ$104,$B14,9)*DJ14=1,IF(AND($E14=2,IY14=0),1000000,IF($I14&gt;0,IF(1=$J14,IF(OR(AND(9=$I14+1,OR($K14&lt;&gt;'計算A'!$A$3,'計算A'!$A$4=0)),AND(9=$I14-1,OR(9&lt;&gt;'計算A'!$A$3,'計算A'!$A$4=0))),0,IF(9=$K14,200000,ABS(9-$K14)*100)),100000+ABS(1-$J14)*1000+90)+'計算A'!L$5*50+IF(AND($E14=1,IY14=0),25,0),IF($F14&gt;0,INDEX('計算A'!L$110:L$114,$F14+1)+IF(AND($E14=1,IY14=0),1000,0),MIN(TU14,20)*400+(IF('計算A'!K$106=1,1-DI14,0)+IF('計算A'!L$106=1,1-DK14,0))*150+91+'計算A'!L$5*100000+IF(AND($E14=1,IY14=0),50000,0))+IF($H14=1,(IF('計算A'!K$117=1,INDEX('計算A'!K$10:K$54,$B14),0)+IF('計算A'!L$117=1,INDEX('計算A'!M$10:M$54,$B14),0))*4000,0)-IF(AND('計算A'!K$117=1,UI14&gt;0),2000,0)-IF(AND($L14=1,'計算A'!L$117=1,DK14=0),2000,0))),1000000))</f>
        <v/>
      </c>
      <c r="OO14">
        <f>IF($B14=0,1000000,IF(INDEX('計算A'!$D$60:$EQ$104,$B14,10)*DK14=1,IF(AND($E14=2,IZ14=0),1000000,IF($I14&gt;0,IF(1=$J14,IF(OR(AND(10=$I14+1,OR($K14&lt;&gt;'計算A'!$A$3,'計算A'!$A$4=0)),AND(10=$I14-1,OR(10&lt;&gt;'計算A'!$A$3,'計算A'!$A$4=0))),0,IF(10=$K14,200000,ABS(10-$K14)*100)),100000+ABS(1-$J14)*1000+100)+'計算A'!M$5*50+IF(AND($E14=1,IZ14=0),25,0),IF($F14&gt;0,INDEX('計算A'!M$110:M$114,$F14+1)+IF(AND($E14=1,IZ14=0),1000,0),MIN(TU14,20)*400+(IF('計算A'!L$106=1,1-DJ14,0)+IF('計算A'!M$106=1,1-DL14,0))*150+101+'計算A'!M$5*100000+IF(AND($E14=1,IZ14=0),50000,0))+IF($H14=1,(IF('計算A'!L$117=1,INDEX('計算A'!L$10:L$54,$B14),0)+IF('計算A'!M$117=1,INDEX('計算A'!N$10:N$54,$B14),0))*4000,0)-IF(AND('計算A'!L$117=1,UJ14&gt;0),2000,0)-IF(AND($L14=1,'計算A'!M$117=1,DL14=0),2000,0))),1000000))</f>
        <v/>
      </c>
      <c r="OP14">
        <f>IF($B14=0,1000000,IF(INDEX('計算A'!$D$60:$EQ$104,$B14,11)*DL14=1,IF(AND($E14=2,JA14=0),1000000,IF($I14&gt;0,IF(1=$J14,IF(OR(AND(11=$I14+1,OR($K14&lt;&gt;'計算A'!$A$3,'計算A'!$A$4=0)),AND(11=$I14-1,OR(11&lt;&gt;'計算A'!$A$3,'計算A'!$A$4=0))),0,IF(11=$K14,200000,ABS(11-$K14)*100)),100000+ABS(1-$J14)*1000+110)+'計算A'!N$5*50+IF(AND($E14=1,JA14=0),25,0),IF($F14&gt;0,INDEX('計算A'!N$110:N$114,$F14+1)+IF(AND($E14=1,JA14=0),1000,0),MIN(TU14,20)*400+(IF('計算A'!M$106=1,1-DK14,0)+IF('計算A'!N$106=1,1-DM14,0))*150+111+'計算A'!N$5*100000+IF(AND($E14=1,JA14=0),50000,0))+IF($H14=1,(IF('計算A'!M$117=1,INDEX('計算A'!M$10:M$54,$B14),0)+IF('計算A'!N$117=1,INDEX('計算A'!O$10:O$54,$B14),0))*4000,0)-IF(AND('計算A'!M$117=1,UK14&gt;0),2000,0)-IF(AND($L14=1,'計算A'!N$117=1,DM14=0),2000,0))),1000000))</f>
        <v/>
      </c>
      <c r="OQ14">
        <f>IF($B14=0,1000000,IF(INDEX('計算A'!$D$60:$EQ$104,$B14,12)*DM14=1,IF(AND($E14=2,JB14=0),1000000,IF($I14&gt;0,IF(1=$J14,IF(OR(AND(12=$I14+1,OR($K14&lt;&gt;'計算A'!$A$3,'計算A'!$A$4=0)),AND(12=$I14-1,OR(12&lt;&gt;'計算A'!$A$3,'計算A'!$A$4=0))),0,IF(12=$K14,200000,ABS(12-$K14)*100)),100000+ABS(1-$J14)*1000+120)+'計算A'!O$5*50+IF(AND($E14=1,JB14=0),25,0),IF($F14&gt;0,INDEX('計算A'!O$110:O$114,$F14+1)+IF(AND($E14=1,JB14=0),1000,0),MIN(TU14,20)*400+(IF('計算A'!N$106=1,1-DL14,0)+IF('計算A'!O$106=1,1-DN14,0))*150+121+'計算A'!O$5*100000+IF(AND($E14=1,JB14=0),50000,0))+IF($H14=1,(IF('計算A'!N$117=1,INDEX('計算A'!N$10:N$54,$B14),0)+IF('計算A'!O$117=1,INDEX('計算A'!P$10:P$54,$B14),0))*4000,0)-IF(AND('計算A'!N$117=1,UL14&gt;0),2000,0)-IF(AND($L14=1,'計算A'!O$117=1,DN14=0),2000,0))),1000000))</f>
        <v/>
      </c>
      <c r="OR14">
        <f>IF($B14=0,1000000,IF(INDEX('計算A'!$D$60:$EQ$104,$B14,13)*DN14=1,IF(AND($E14=2,JC14=0),1000000,IF($I14&gt;0,IF(1=$J14,IF(OR(AND(13=$I14+1,OR($K14&lt;&gt;'計算A'!$A$3,'計算A'!$A$4=0)),AND(13=$I14-1,OR(13&lt;&gt;'計算A'!$A$3,'計算A'!$A$4=0))),0,IF(13=$K14,200000,ABS(13-$K14)*100)),100000+ABS(1-$J14)*1000+130)+'計算A'!P$5*50+IF(AND($E14=1,JC14=0),25,0),IF($F14&gt;0,INDEX('計算A'!P$110:P$114,$F14+1)+IF(AND($E14=1,JC14=0),1000,0),MIN(TU14,20)*400+(IF('計算A'!O$106=1,1-DM14,0)+IF('計算A'!P$106=1,1-DO14,0))*150+131+'計算A'!P$5*100000+IF(AND($E14=1,JC14=0),50000,0))+IF($H14=1,(IF('計算A'!O$117=1,INDEX('計算A'!O$10:O$54,$B14),0)+IF('計算A'!P$117=1,INDEX('計算A'!Q$10:Q$54,$B14),0))*4000,0)-IF(AND('計算A'!O$117=1,UM14&gt;0),2000,0)-IF(AND($L14=1,'計算A'!P$117=1,DO14=0),2000,0))),1000000))</f>
        <v/>
      </c>
      <c r="OS14">
        <f>IF($B14=0,1000000,IF(INDEX('計算A'!$D$60:$EQ$104,$B14,14)*DO14=1,IF(AND($E14=2,JD14=0),1000000,IF($I14&gt;0,IF(1=$J14,IF(OR(AND(14=$I14+1,OR($K14&lt;&gt;'計算A'!$A$3,'計算A'!$A$4=0)),AND(14=$I14-1,OR(14&lt;&gt;'計算A'!$A$3,'計算A'!$A$4=0))),0,IF(14=$K14,200000,ABS(14-$K14)*100)),100000+ABS(1-$J14)*1000+140)+'計算A'!Q$5*50+IF(AND($E14=1,JD14=0),25,0),IF($F14&gt;0,INDEX('計算A'!Q$110:Q$114,$F14+1)+IF(AND($E14=1,JD14=0),1000,0),MIN(TU14,20)*400+(IF('計算A'!P$106=1,1-DN14,0)+IF('計算A'!Q$106=1,1-DP14,0))*150+141+'計算A'!Q$5*100000+IF(AND($E14=1,JD14=0),50000,0))+IF($H14=1,(IF('計算A'!P$117=1,INDEX('計算A'!P$10:P$54,$B14),0)+IF('計算A'!Q$117=1,INDEX('計算A'!R$10:R$54,$B14),0))*4000,0)-IF(AND('計算A'!P$117=1,UN14&gt;0),2000,0)-IF(AND($L14=1,'計算A'!Q$117=1,DP14=0),2000,0))),1000000))</f>
        <v/>
      </c>
      <c r="OT14">
        <f>IF($B14=0,1000000,IF(INDEX('計算A'!$D$60:$EQ$104,$B14,15)*DP14=1,IF(AND($E14=2,JE14=0),1000000,IF($I14&gt;0,IF(1=$J14,IF(OR(AND(15=$I14+1,OR($K14&lt;&gt;'計算A'!$A$3,'計算A'!$A$4=0)),AND(15=$I14-1,OR(15&lt;&gt;'計算A'!$A$3,'計算A'!$A$4=0))),0,IF(15=$K14,200000,ABS(15-$K14)*100)),100000+ABS(1-$J14)*1000+150)+'計算A'!R$5*50+IF(AND($E14=1,JE14=0),25,0),IF($F14&gt;0,INDEX('計算A'!R$110:R$114,$F14+1)+IF(AND($E14=1,JE14=0),1000,0),MIN(TU14,20)*400+(IF('計算A'!Q$106=1,1-DO14,0)+IF('計算A'!R$106=1,1-DQ14,0))*150+151+'計算A'!R$5*100000+IF(AND($E14=1,JE14=0),50000,0))+IF($H14=1,(IF('計算A'!Q$117=1,INDEX('計算A'!Q$10:Q$54,$B14),0)+IF('計算A'!R$117=1,INDEX('計算A'!S$10:S$54,$B14),0))*4000,0)-IF(AND('計算A'!Q$117=1,UO14&gt;0),2000,0)-IF(AND($L14=1,'計算A'!R$117=1,DQ14=0),2000,0))),1000000))</f>
        <v/>
      </c>
      <c r="OU14">
        <f>IF($B14=0,1000000,IF(INDEX('計算A'!$D$60:$EQ$104,$B14,16)*DQ14=1,IF(AND($E14=2,JF14=0),1000000,IF($I14&gt;0,IF(1=$J14,IF(OR(AND(16=$I14+1,OR($K14&lt;&gt;'計算A'!$A$3,'計算A'!$A$4=0)),AND(16=$I14-1,OR(16&lt;&gt;'計算A'!$A$3,'計算A'!$A$4=0))),0,IF(16=$K14,200000,ABS(16-$K14)*100)),100000+ABS(1-$J14)*1000+160)+'計算A'!S$5*50+IF(AND($E14=1,JF14=0),25,0),IF($F14&gt;0,INDEX('計算A'!S$110:S$114,$F14+1)+IF(AND($E14=1,JF14=0),1000,0),MIN(TU14,20)*400+(IF('計算A'!R$106=1,1-DP14,0)+IF('計算A'!S$106=1,1-DR14,0))*150+161+'計算A'!S$5*100000+IF(AND($E14=1,JF14=0),50000,0))+IF($H14=1,(IF('計算A'!R$117=1,INDEX('計算A'!R$10:R$54,$B14),0)+IF('計算A'!S$117=1,INDEX('計算A'!T$10:T$54,$B14),0))*4000,0)-IF(AND('計算A'!R$117=1,UP14&gt;0),2000,0)-IF(AND($L14=1,'計算A'!S$117=1,DR14=0),2000,0))),1000000))</f>
        <v/>
      </c>
      <c r="OV14">
        <f>IF($B14=0,1000000,IF(INDEX('計算A'!$D$60:$EQ$104,$B14,17)*DR14=1,IF(AND($E14=2,JG14=0),1000000,IF($I14&gt;0,IF(1=$J14,IF(OR(AND(17=$I14+1,OR($K14&lt;&gt;'計算A'!$A$3,'計算A'!$A$4=0)),AND(17=$I14-1,OR(17&lt;&gt;'計算A'!$A$3,'計算A'!$A$4=0))),0,IF(17=$K14,200000,ABS(17-$K14)*100)),100000+ABS(1-$J14)*1000+170)+'計算A'!T$5*50+IF(AND($E14=1,JG14=0),25,0),IF($F14&gt;0,INDEX('計算A'!T$110:T$114,$F14+1)+IF(AND($E14=1,JG14=0),1000,0),MIN(TU14,20)*400+(IF('計算A'!S$106=1,1-DQ14,0)+IF('計算A'!T$106=1,1-DS14,0))*150+171+'計算A'!T$5*100000+IF(AND($E14=1,JG14=0),50000,0))+IF($H14=1,(IF('計算A'!S$117=1,INDEX('計算A'!S$10:S$54,$B14),0)+IF('計算A'!T$117=1,INDEX('計算A'!U$10:U$54,$B14),0))*4000,0)-IF(AND('計算A'!S$117=1,UQ14&gt;0),2000,0)-IF(AND($L14=1,'計算A'!T$117=1,DS14=0),2000,0))),1000000))</f>
        <v/>
      </c>
      <c r="OW14">
        <f>IF($B14=0,1000000,IF(INDEX('計算A'!$D$60:$EQ$104,$B14,18)*DS14=1,IF(AND($E14=2,JH14=0),1000000,IF($I14&gt;0,IF(1=$J14,IF(OR(AND(18=$I14+1,OR($K14&lt;&gt;'計算A'!$A$3,'計算A'!$A$4=0)),AND(18=$I14-1,OR(18&lt;&gt;'計算A'!$A$3,'計算A'!$A$4=0))),0,IF(18=$K14,200000,ABS(18-$K14)*100)),100000+ABS(1-$J14)*1000+180)+'計算A'!U$5*50+IF(AND($E14=1,JH14=0),25,0),IF($F14&gt;0,INDEX('計算A'!U$110:U$114,$F14+1)+IF(AND($E14=1,JH14=0),1000,0),MIN(TU14,20)*400+(IF('計算A'!T$106=1,1-DR14,0)+IF('計算A'!U$106=1,1-DT14,0))*150+181+'計算A'!U$5*100000+IF(AND($E14=1,JH14=0),50000,0))+IF($H14=1,(IF('計算A'!T$117=1,INDEX('計算A'!T$10:T$54,$B14),0)+IF('計算A'!U$117=1,INDEX('計算A'!V$10:V$54,$B14),0))*4000,0)-IF(AND('計算A'!T$117=1,UR14&gt;0),2000,0)-IF(AND($L14=1,'計算A'!U$117=1,DT14=0),2000,0))),1000000))</f>
        <v/>
      </c>
      <c r="OX14">
        <f>IF($B14=0,1000000,IF(INDEX('計算A'!$D$60:$EQ$104,$B14,19)*DT14=1,IF(AND($E14=2,JI14=0),1000000,IF($I14&gt;0,IF(1=$J14,IF(OR(AND(19=$I14+1,OR($K14&lt;&gt;'計算A'!$A$3,'計算A'!$A$4=0)),AND(19=$I14-1,OR(19&lt;&gt;'計算A'!$A$3,'計算A'!$A$4=0))),0,IF(19=$K14,200000,ABS(19-$K14)*100)),100000+ABS(1-$J14)*1000+190)+'計算A'!V$5*50+IF(AND($E14=1,JI14=0),25,0),IF($F14&gt;0,INDEX('計算A'!V$110:V$114,$F14+1)+IF(AND($E14=1,JI14=0),1000,0),MIN(TU14,20)*400+(IF('計算A'!U$106=1,1-DS14,0)+IF('計算A'!V$106=1,1-DU14,0))*150+191+'計算A'!V$5*100000+IF(AND($E14=1,JI14=0),50000,0))+IF($H14=1,(IF('計算A'!U$117=1,INDEX('計算A'!U$10:U$54,$B14),0)+IF('計算A'!V$117=1,INDEX('計算A'!W$10:W$54,$B14),0))*4000,0)-IF(AND('計算A'!U$117=1,US14&gt;0),2000,0)-IF(AND($L14=1,'計算A'!V$117=1,DU14=0),2000,0))),1000000))</f>
        <v/>
      </c>
      <c r="OY14">
        <f>IF($B14=0,1000000,IF(INDEX('計算A'!$D$60:$EQ$104,$B14,20)*DU14=1,IF(AND($E14=2,JJ14=0),1000000,IF($I14&gt;0,IF(1=$J14,IF(OR(AND(20=$I14+1,OR($K14&lt;&gt;'計算A'!$A$3,'計算A'!$A$4=0)),AND(20=$I14-1,OR(20&lt;&gt;'計算A'!$A$3,'計算A'!$A$4=0))),0,IF(20=$K14,200000,ABS(20-$K14)*100)),100000+ABS(1-$J14)*1000+200)+'計算A'!W$5*50+IF(AND($E14=1,JJ14=0),25,0),IF($F14&gt;0,INDEX('計算A'!W$110:W$114,$F14+1)+IF(AND($E14=1,JJ14=0),1000,0),MIN(TU14,20)*400+(IF('計算A'!V$106=1,1-DT14,0)+IF('計算A'!W$106=1,1-DV14,0))*150+201+'計算A'!W$5*100000+IF(AND($E14=1,JJ14=0),50000,0))+IF($H14=1,(IF('計算A'!V$117=1,INDEX('計算A'!V$10:V$54,$B14),0)+IF('計算A'!W$117=1,INDEX('計算A'!X$10:X$54,$B14),0))*4000,0)-IF(AND('計算A'!V$117=1,UT14&gt;0),2000,0)-IF(AND($L14=1,'計算A'!W$117=1,DV14=0),2000,0))),1000000))</f>
        <v/>
      </c>
      <c r="OZ14">
        <f>IF($B14=0,1000000,IF(INDEX('計算A'!$D$60:$EQ$104,$B14,21)*DV14=1,IF(AND($E14=2,JK14=0),1000000,IF($I14&gt;0,IF(1=$J14,IF(OR(AND(21=$I14+1,OR($K14&lt;&gt;'計算A'!$A$3,'計算A'!$A$4=0)),AND(21=$I14-1,OR(21&lt;&gt;'計算A'!$A$3,'計算A'!$A$4=0))),0,IF(21=$K14,200000,ABS(21-$K14)*100)),100000+ABS(1-$J14)*1000+210)+'計算A'!X$5*50+IF(AND($E14=1,JK14=0),25,0),IF($F14&gt;0,INDEX('計算A'!X$110:X$114,$F14+1)+IF(AND($E14=1,JK14=0),1000,0),MIN(TU14,20)*400+(IF('計算A'!W$106=1,1-DU14,0)+IF('計算A'!X$106=1,1-DW14,0))*150+211+'計算A'!X$5*100000+IF(AND($E14=1,JK14=0),50000,0))+IF($H14=1,(IF('計算A'!W$117=1,INDEX('計算A'!W$10:W$54,$B14),0)+IF('計算A'!X$117=1,INDEX('計算A'!Y$10:Y$54,$B14),0))*4000,0)-IF(AND('計算A'!W$117=1,UU14&gt;0),2000,0)-IF(AND($L14=1,'計算A'!X$117=1,DW14=0),2000,0))),1000000))</f>
        <v/>
      </c>
      <c r="PA14">
        <f>IF($B14=0,1000000,IF(INDEX('計算A'!$D$60:$EQ$104,$B14,22)*DW14=1,IF(AND($E14=2,JL14=0),1000000,IF($I14&gt;0,IF(1=$J14,IF(OR(AND(22=$I14+1,OR($K14&lt;&gt;'計算A'!$A$3,'計算A'!$A$4=0)),AND(22=$I14-1,OR(22&lt;&gt;'計算A'!$A$3,'計算A'!$A$4=0))),0,IF(22=$K14,200000,ABS(22-$K14)*100)),100000+ABS(1-$J14)*1000+220)+'計算A'!Y$5*50+IF(AND($E14=1,JL14=0),25,0),IF($F14&gt;0,INDEX('計算A'!Y$110:Y$114,$F14+1)+IF(AND($E14=1,JL14=0),1000,0),MIN(TU14,20)*400+(IF('計算A'!X$106=1,1-DV14,0)+IF('計算A'!Y$106=1,1-DX14,0))*150+221+'計算A'!Y$5*100000+IF(AND($E14=1,JL14=0),50000,0))+IF($H14=1,(IF('計算A'!X$117=1,INDEX('計算A'!X$10:X$54,$B14),0)+IF('計算A'!Y$117=1,INDEX('計算A'!Z$10:Z$54,$B14),0))*4000,0)-IF(AND('計算A'!X$117=1,UV14&gt;0),2000,0)-IF(AND($L14=1,'計算A'!Y$117=1,DX14=0),2000,0))),1000000))</f>
        <v/>
      </c>
      <c r="PB14">
        <f>IF($B14=0,1000000,IF(INDEX('計算A'!$D$60:$EQ$104,$B14,23)*DX14=1,IF(AND($E14=2,JM14=0),1000000,IF($I14&gt;0,IF(1=$J14,IF(OR(AND(23=$I14+1,OR($K14&lt;&gt;'計算A'!$A$3,'計算A'!$A$4=0)),AND(23=$I14-1,OR(23&lt;&gt;'計算A'!$A$3,'計算A'!$A$4=0))),0,IF(23=$K14,200000,ABS(23-$K14)*100)),100000+ABS(1-$J14)*1000+230)+'計算A'!Z$5*50+IF(AND($E14=1,JM14=0),25,0),IF($F14&gt;0,INDEX('計算A'!Z$110:Z$114,$F14+1)+IF(AND($E14=1,JM14=0),1000,0),MIN(TU14,20)*400+(IF('計算A'!Y$106=1,1-DW14,0)+IF('計算A'!Z$106=1,1-DY14,0))*150+231+'計算A'!Z$5*100000+IF(AND($E14=1,JM14=0),50000,0))+IF($H14=1,(IF('計算A'!Y$117=1,INDEX('計算A'!Y$10:Y$54,$B14),0)+IF('計算A'!Z$117=1,INDEX('計算A'!AA$10:AA$54,$B14),0))*4000,0)-IF(AND('計算A'!Y$117=1,UW14&gt;0),2000,0)-IF(AND($L14=1,'計算A'!Z$117=1,DY14=0),2000,0))),1000000))</f>
        <v/>
      </c>
      <c r="PC14">
        <f>IF($B14=0,1000000,IF(INDEX('計算A'!$D$60:$EQ$104,$B14,24)*DY14=1,IF(AND($E14=2,JN14=0),1000000,IF($I14&gt;0,IF(1=$J14,IF(OR(AND(24=$I14+1,OR($K14&lt;&gt;'計算A'!$A$3,'計算A'!$A$4=0)),AND(24=$I14-1,OR(24&lt;&gt;'計算A'!$A$3,'計算A'!$A$4=0))),0,IF(24=$K14,200000,ABS(24-$K14)*100)),100000+ABS(1-$J14)*1000+240)+'計算A'!AA$5*50+IF(AND($E14=1,JN14=0),25,0),IF($F14&gt;0,INDEX('計算A'!AA$110:AA$114,$F14+1)+IF(AND($E14=1,JN14=0),1000,0),MIN(TU14,20)*400+(IF('計算A'!Z$106=1,1-DX14,0))*150+241+'計算A'!AA$5*100000+IF(AND($E14=1,JN14=0),50000,0))+IF($H14=1,(IF('計算A'!Z$117=1,INDEX('計算A'!Z$10:Z$54,$B14),0))*4000,0)-IF(AND('計算A'!Z$117=1,UX14&gt;0),2000,0))),1000000))</f>
        <v/>
      </c>
      <c r="PD14">
        <f>IF($B14=0,1000000,IF(INDEX('計算A'!$D$60:$EQ$104,$B14,25)*DZ14=1,IF(AND($E14=2,JO14=0),1000000,IF($I14&gt;0,IF(2=$J14,IF(OR(AND(25=$I14+1,OR($K14&lt;&gt;'計算A'!$A$3,'計算A'!$A$4=0)),AND(25=$I14-1,OR(1&lt;&gt;'計算A'!$A$3,'計算A'!$A$4=0))),0,IF(1=$K14,200000,ABS(1-$K14)*100)),100000+ABS(2-$J14)*1000+10)+'計算A'!AB$5*50+IF(AND($E14=1,JO14=0),25,0),IF($F14&gt;0,INDEX('計算A'!AB$110:AB$114,$F14+1)+IF(AND($E14=1,JO14=0),1000,0),MIN(TV14,20)*400+(IF('計算A'!AB$106=1,1-EA14,0))*150+12+'計算A'!AB$5*100000+IF(AND($E14=1,JO14=0),50000,0))+IF($H14=1,(IF('計算A'!AB$117=1,INDEX('計算A'!AC$10:AC$54,$B14),0))*4000,0)-IF(AND($L14=1,'計算A'!AB$117=1,EA14=0),2000,0))),1000000))</f>
        <v/>
      </c>
      <c r="PE14">
        <f>IF($B14=0,1000000,IF(INDEX('計算A'!$D$60:$EQ$104,$B14,26)*EA14=1,IF(AND($E14=2,JP14=0),1000000,IF($I14&gt;0,IF(2=$J14,IF(OR(AND(26=$I14+1,OR($K14&lt;&gt;'計算A'!$A$3,'計算A'!$A$4=0)),AND(26=$I14-1,OR(2&lt;&gt;'計算A'!$A$3,'計算A'!$A$4=0))),0,IF(2=$K14,200000,ABS(2-$K14)*100)),100000+ABS(2-$J14)*1000+20)+'計算A'!AC$5*50+IF(AND($E14=1,JP14=0),25,0),IF($F14&gt;0,INDEX('計算A'!AC$110:AC$114,$F14+1)+IF(AND($E14=1,JP14=0),1000,0),MIN(TV14,20)*400+(IF('計算A'!AB$106=1,1-DZ14,0)+IF('計算A'!AC$106=1,1-EB14,0))*150+22+'計算A'!AC$5*100000+IF(AND($E14=1,JP14=0),50000,0))+IF($H14=1,(IF('計算A'!AB$117=1,INDEX('計算A'!AB$10:AB$54,$B14),0)+IF('計算A'!AC$117=1,INDEX('計算A'!AD$10:AD$54,$B14),0))*4000,0)-IF(AND('計算A'!AB$117=1,UZ14&gt;0),2000,0)-IF(AND($L14=1,'計算A'!AC$117=1,EB14=0),2000,0))),1000000))</f>
        <v/>
      </c>
      <c r="PF14">
        <f>IF($B14=0,1000000,IF(INDEX('計算A'!$D$60:$EQ$104,$B14,27)*EB14=1,IF(AND($E14=2,JQ14=0),1000000,IF($I14&gt;0,IF(2=$J14,IF(OR(AND(27=$I14+1,OR($K14&lt;&gt;'計算A'!$A$3,'計算A'!$A$4=0)),AND(27=$I14-1,OR(3&lt;&gt;'計算A'!$A$3,'計算A'!$A$4=0))),0,IF(3=$K14,200000,ABS(3-$K14)*100)),100000+ABS(2-$J14)*1000+30)+'計算A'!AD$5*50+IF(AND($E14=1,JQ14=0),25,0),IF($F14&gt;0,INDEX('計算A'!AD$110:AD$114,$F14+1)+IF(AND($E14=1,JQ14=0),1000,0),MIN(TV14,20)*400+(IF('計算A'!AC$106=1,1-EA14,0)+IF('計算A'!AD$106=1,1-EC14,0))*150+32+'計算A'!AD$5*100000+IF(AND($E14=1,JQ14=0),50000,0))+IF($H14=1,(IF('計算A'!AC$117=1,INDEX('計算A'!AC$10:AC$54,$B14),0)+IF('計算A'!AD$117=1,INDEX('計算A'!AE$10:AE$54,$B14),0))*4000,0)-IF(AND('計算A'!AC$117=1,VA14&gt;0),2000,0)-IF(AND($L14=1,'計算A'!AD$117=1,EC14=0),2000,0))),1000000))</f>
        <v/>
      </c>
      <c r="PG14">
        <f>IF($B14=0,1000000,IF(INDEX('計算A'!$D$60:$EQ$104,$B14,28)*EC14=1,IF(AND($E14=2,JR14=0),1000000,IF($I14&gt;0,IF(2=$J14,IF(OR(AND(28=$I14+1,OR($K14&lt;&gt;'計算A'!$A$3,'計算A'!$A$4=0)),AND(28=$I14-1,OR(4&lt;&gt;'計算A'!$A$3,'計算A'!$A$4=0))),0,IF(4=$K14,200000,ABS(4-$K14)*100)),100000+ABS(2-$J14)*1000+40)+'計算A'!AE$5*50+IF(AND($E14=1,JR14=0),25,0),IF($F14&gt;0,INDEX('計算A'!AE$110:AE$114,$F14+1)+IF(AND($E14=1,JR14=0),1000,0),MIN(TV14,20)*400+(IF('計算A'!AD$106=1,1-EB14,0)+IF('計算A'!AE$106=1,1-ED14,0))*150+42+'計算A'!AE$5*100000+IF(AND($E14=1,JR14=0),50000,0))+IF($H14=1,(IF('計算A'!AD$117=1,INDEX('計算A'!AD$10:AD$54,$B14),0)+IF('計算A'!AE$117=1,INDEX('計算A'!AF$10:AF$54,$B14),0))*4000,0)-IF(AND('計算A'!AD$117=1,VB14&gt;0),2000,0)-IF(AND($L14=1,'計算A'!AE$117=1,ED14=0),2000,0))),1000000))</f>
        <v/>
      </c>
      <c r="PH14">
        <f>IF($B14=0,1000000,IF(INDEX('計算A'!$D$60:$EQ$104,$B14,29)*ED14=1,IF(AND($E14=2,JS14=0),1000000,IF($I14&gt;0,IF(2=$J14,IF(OR(AND(29=$I14+1,OR($K14&lt;&gt;'計算A'!$A$3,'計算A'!$A$4=0)),AND(29=$I14-1,OR(5&lt;&gt;'計算A'!$A$3,'計算A'!$A$4=0))),0,IF(5=$K14,200000,ABS(5-$K14)*100)),100000+ABS(2-$J14)*1000+50)+'計算A'!AF$5*50+IF(AND($E14=1,JS14=0),25,0),IF($F14&gt;0,INDEX('計算A'!AF$110:AF$114,$F14+1)+IF(AND($E14=1,JS14=0),1000,0),MIN(TV14,20)*400+(IF('計算A'!AE$106=1,1-EC14,0)+IF('計算A'!AF$106=1,1-EE14,0))*150+52+'計算A'!AF$5*100000+IF(AND($E14=1,JS14=0),50000,0))+IF($H14=1,(IF('計算A'!AE$117=1,INDEX('計算A'!AE$10:AE$54,$B14),0)+IF('計算A'!AF$117=1,INDEX('計算A'!AG$10:AG$54,$B14),0))*4000,0)-IF(AND('計算A'!AE$117=1,VC14&gt;0),2000,0)-IF(AND($L14=1,'計算A'!AF$117=1,EE14=0),2000,0))),1000000))</f>
        <v/>
      </c>
      <c r="PI14">
        <f>IF($B14=0,1000000,IF(INDEX('計算A'!$D$60:$EQ$104,$B14,30)*EE14=1,IF(AND($E14=2,JT14=0),1000000,IF($I14&gt;0,IF(2=$J14,IF(OR(AND(30=$I14+1,OR($K14&lt;&gt;'計算A'!$A$3,'計算A'!$A$4=0)),AND(30=$I14-1,OR(6&lt;&gt;'計算A'!$A$3,'計算A'!$A$4=0))),0,IF(6=$K14,200000,ABS(6-$K14)*100)),100000+ABS(2-$J14)*1000+60)+'計算A'!AG$5*50+IF(AND($E14=1,JT14=0),25,0),IF($F14&gt;0,INDEX('計算A'!AG$110:AG$114,$F14+1)+IF(AND($E14=1,JT14=0),1000,0),MIN(TV14,20)*400+(IF('計算A'!AF$106=1,1-ED14,0)+IF('計算A'!AG$106=1,1-EF14,0))*150+62+'計算A'!AG$5*100000+IF(AND($E14=1,JT14=0),50000,0))+IF($H14=1,(IF('計算A'!AF$117=1,INDEX('計算A'!AF$10:AF$54,$B14),0)+IF('計算A'!AG$117=1,INDEX('計算A'!AH$10:AH$54,$B14),0))*4000,0)-IF(AND('計算A'!AF$117=1,VD14&gt;0),2000,0)-IF(AND($L14=1,'計算A'!AG$117=1,EF14=0),2000,0))),1000000))</f>
        <v/>
      </c>
      <c r="PJ14">
        <f>IF($B14=0,1000000,IF(INDEX('計算A'!$D$60:$EQ$104,$B14,31)*EF14=1,IF(AND($E14=2,JU14=0),1000000,IF($I14&gt;0,IF(2=$J14,IF(OR(AND(31=$I14+1,OR($K14&lt;&gt;'計算A'!$A$3,'計算A'!$A$4=0)),AND(31=$I14-1,OR(7&lt;&gt;'計算A'!$A$3,'計算A'!$A$4=0))),0,IF(7=$K14,200000,ABS(7-$K14)*100)),100000+ABS(2-$J14)*1000+70)+'計算A'!AH$5*50+IF(AND($E14=1,JU14=0),25,0),IF($F14&gt;0,INDEX('計算A'!AH$110:AH$114,$F14+1)+IF(AND($E14=1,JU14=0),1000,0),MIN(TV14,20)*400+(IF('計算A'!AG$106=1,1-EE14,0)+IF('計算A'!AH$106=1,1-EG14,0))*150+72+'計算A'!AH$5*100000+IF(AND($E14=1,JU14=0),50000,0))+IF($H14=1,(IF('計算A'!AG$117=1,INDEX('計算A'!AG$10:AG$54,$B14),0)+IF('計算A'!AH$117=1,INDEX('計算A'!AI$10:AI$54,$B14),0))*4000,0)-IF(AND('計算A'!AG$117=1,VE14&gt;0),2000,0)-IF(AND($L14=1,'計算A'!AH$117=1,EG14=0),2000,0))),1000000))</f>
        <v/>
      </c>
      <c r="PK14">
        <f>IF($B14=0,1000000,IF(INDEX('計算A'!$D$60:$EQ$104,$B14,32)*EG14=1,IF(AND($E14=2,JV14=0),1000000,IF($I14&gt;0,IF(2=$J14,IF(OR(AND(32=$I14+1,OR($K14&lt;&gt;'計算A'!$A$3,'計算A'!$A$4=0)),AND(32=$I14-1,OR(8&lt;&gt;'計算A'!$A$3,'計算A'!$A$4=0))),0,IF(8=$K14,200000,ABS(8-$K14)*100)),100000+ABS(2-$J14)*1000+80)+'計算A'!AI$5*50+IF(AND($E14=1,JV14=0),25,0),IF($F14&gt;0,INDEX('計算A'!AI$110:AI$114,$F14+1)+IF(AND($E14=1,JV14=0),1000,0),MIN(TV14,20)*400+(IF('計算A'!AH$106=1,1-EF14,0)+IF('計算A'!AI$106=1,1-EH14,0))*150+82+'計算A'!AI$5*100000+IF(AND($E14=1,JV14=0),50000,0))+IF($H14=1,(IF('計算A'!AH$117=1,INDEX('計算A'!AH$10:AH$54,$B14),0)+IF('計算A'!AI$117=1,INDEX('計算A'!AJ$10:AJ$54,$B14),0))*4000,0)-IF(AND('計算A'!AH$117=1,VF14&gt;0),2000,0)-IF(AND($L14=1,'計算A'!AI$117=1,EH14=0),2000,0))),1000000))</f>
        <v/>
      </c>
      <c r="PL14">
        <f>IF($B14=0,1000000,IF(INDEX('計算A'!$D$60:$EQ$104,$B14,33)*EH14=1,IF(AND($E14=2,JW14=0),1000000,IF($I14&gt;0,IF(2=$J14,IF(OR(AND(33=$I14+1,OR($K14&lt;&gt;'計算A'!$A$3,'計算A'!$A$4=0)),AND(33=$I14-1,OR(9&lt;&gt;'計算A'!$A$3,'計算A'!$A$4=0))),0,IF(9=$K14,200000,ABS(9-$K14)*100)),100000+ABS(2-$J14)*1000+90)+'計算A'!AJ$5*50+IF(AND($E14=1,JW14=0),25,0),IF($F14&gt;0,INDEX('計算A'!AJ$110:AJ$114,$F14+1)+IF(AND($E14=1,JW14=0),1000,0),MIN(TV14,20)*400+(IF('計算A'!AI$106=1,1-EG14,0)+IF('計算A'!AJ$106=1,1-EI14,0))*150+92+'計算A'!AJ$5*100000+IF(AND($E14=1,JW14=0),50000,0))+IF($H14=1,(IF('計算A'!AI$117=1,INDEX('計算A'!AI$10:AI$54,$B14),0)+IF('計算A'!AJ$117=1,INDEX('計算A'!AK$10:AK$54,$B14),0))*4000,0)-IF(AND('計算A'!AI$117=1,VG14&gt;0),2000,0)-IF(AND($L14=1,'計算A'!AJ$117=1,EI14=0),2000,0))),1000000))</f>
        <v/>
      </c>
      <c r="PM14">
        <f>IF($B14=0,1000000,IF(INDEX('計算A'!$D$60:$EQ$104,$B14,34)*EI14=1,IF(AND($E14=2,JX14=0),1000000,IF($I14&gt;0,IF(2=$J14,IF(OR(AND(34=$I14+1,OR($K14&lt;&gt;'計算A'!$A$3,'計算A'!$A$4=0)),AND(34=$I14-1,OR(10&lt;&gt;'計算A'!$A$3,'計算A'!$A$4=0))),0,IF(10=$K14,200000,ABS(10-$K14)*100)),100000+ABS(2-$J14)*1000+100)+'計算A'!AK$5*50+IF(AND($E14=1,JX14=0),25,0),IF($F14&gt;0,INDEX('計算A'!AK$110:AK$114,$F14+1)+IF(AND($E14=1,JX14=0),1000,0),MIN(TV14,20)*400+(IF('計算A'!AJ$106=1,1-EH14,0)+IF('計算A'!AK$106=1,1-EJ14,0))*150+102+'計算A'!AK$5*100000+IF(AND($E14=1,JX14=0),50000,0))+IF($H14=1,(IF('計算A'!AJ$117=1,INDEX('計算A'!AJ$10:AJ$54,$B14),0)+IF('計算A'!AK$117=1,INDEX('計算A'!AL$10:AL$54,$B14),0))*4000,0)-IF(AND('計算A'!AJ$117=1,VH14&gt;0),2000,0)-IF(AND($L14=1,'計算A'!AK$117=1,EJ14=0),2000,0))),1000000))</f>
        <v/>
      </c>
      <c r="PN14">
        <f>IF($B14=0,1000000,IF(INDEX('計算A'!$D$60:$EQ$104,$B14,35)*EJ14=1,IF(AND($E14=2,JY14=0),1000000,IF($I14&gt;0,IF(2=$J14,IF(OR(AND(35=$I14+1,OR($K14&lt;&gt;'計算A'!$A$3,'計算A'!$A$4=0)),AND(35=$I14-1,OR(11&lt;&gt;'計算A'!$A$3,'計算A'!$A$4=0))),0,IF(11=$K14,200000,ABS(11-$K14)*100)),100000+ABS(2-$J14)*1000+110)+'計算A'!AL$5*50+IF(AND($E14=1,JY14=0),25,0),IF($F14&gt;0,INDEX('計算A'!AL$110:AL$114,$F14+1)+IF(AND($E14=1,JY14=0),1000,0),MIN(TV14,20)*400+(IF('計算A'!AK$106=1,1-EI14,0)+IF('計算A'!AL$106=1,1-EK14,0))*150+112+'計算A'!AL$5*100000+IF(AND($E14=1,JY14=0),50000,0))+IF($H14=1,(IF('計算A'!AK$117=1,INDEX('計算A'!AK$10:AK$54,$B14),0)+IF('計算A'!AL$117=1,INDEX('計算A'!AM$10:AM$54,$B14),0))*4000,0)-IF(AND('計算A'!AK$117=1,VI14&gt;0),2000,0)-IF(AND($L14=1,'計算A'!AL$117=1,EK14=0),2000,0))),1000000))</f>
        <v/>
      </c>
      <c r="PO14">
        <f>IF($B14=0,1000000,IF(INDEX('計算A'!$D$60:$EQ$104,$B14,36)*EK14=1,IF(AND($E14=2,JZ14=0),1000000,IF($I14&gt;0,IF(2=$J14,IF(OR(AND(36=$I14+1,OR($K14&lt;&gt;'計算A'!$A$3,'計算A'!$A$4=0)),AND(36=$I14-1,OR(12&lt;&gt;'計算A'!$A$3,'計算A'!$A$4=0))),0,IF(12=$K14,200000,ABS(12-$K14)*100)),100000+ABS(2-$J14)*1000+120)+'計算A'!AM$5*50+IF(AND($E14=1,JZ14=0),25,0),IF($F14&gt;0,INDEX('計算A'!AM$110:AM$114,$F14+1)+IF(AND($E14=1,JZ14=0),1000,0),MIN(TV14,20)*400+(IF('計算A'!AL$106=1,1-EJ14,0)+IF('計算A'!AM$106=1,1-EL14,0))*150+122+'計算A'!AM$5*100000+IF(AND($E14=1,JZ14=0),50000,0))+IF($H14=1,(IF('計算A'!AL$117=1,INDEX('計算A'!AL$10:AL$54,$B14),0)+IF('計算A'!AM$117=1,INDEX('計算A'!AN$10:AN$54,$B14),0))*4000,0)-IF(AND('計算A'!AL$117=1,VJ14&gt;0),2000,0)-IF(AND($L14=1,'計算A'!AM$117=1,EL14=0),2000,0))),1000000))</f>
        <v/>
      </c>
      <c r="PP14">
        <f>IF($B14=0,1000000,IF(INDEX('計算A'!$D$60:$EQ$104,$B14,37)*EL14=1,IF(AND($E14=2,KA14=0),1000000,IF($I14&gt;0,IF(2=$J14,IF(OR(AND(37=$I14+1,OR($K14&lt;&gt;'計算A'!$A$3,'計算A'!$A$4=0)),AND(37=$I14-1,OR(13&lt;&gt;'計算A'!$A$3,'計算A'!$A$4=0))),0,IF(13=$K14,200000,ABS(13-$K14)*100)),100000+ABS(2-$J14)*1000+130)+'計算A'!AN$5*50+IF(AND($E14=1,KA14=0),25,0),IF($F14&gt;0,INDEX('計算A'!AN$110:AN$114,$F14+1)+IF(AND($E14=1,KA14=0),1000,0),MIN(TV14,20)*400+(IF('計算A'!AM$106=1,1-EK14,0)+IF('計算A'!AN$106=1,1-EM14,0))*150+132+'計算A'!AN$5*100000+IF(AND($E14=1,KA14=0),50000,0))+IF($H14=1,(IF('計算A'!AM$117=1,INDEX('計算A'!AM$10:AM$54,$B14),0)+IF('計算A'!AN$117=1,INDEX('計算A'!AO$10:AO$54,$B14),0))*4000,0)-IF(AND('計算A'!AM$117=1,VK14&gt;0),2000,0)-IF(AND($L14=1,'計算A'!AN$117=1,EM14=0),2000,0))),1000000))</f>
        <v/>
      </c>
      <c r="PQ14">
        <f>IF($B14=0,1000000,IF(INDEX('計算A'!$D$60:$EQ$104,$B14,38)*EM14=1,IF(AND($E14=2,KB14=0),1000000,IF($I14&gt;0,IF(2=$J14,IF(OR(AND(38=$I14+1,OR($K14&lt;&gt;'計算A'!$A$3,'計算A'!$A$4=0)),AND(38=$I14-1,OR(14&lt;&gt;'計算A'!$A$3,'計算A'!$A$4=0))),0,IF(14=$K14,200000,ABS(14-$K14)*100)),100000+ABS(2-$J14)*1000+140)+'計算A'!AO$5*50+IF(AND($E14=1,KB14=0),25,0),IF($F14&gt;0,INDEX('計算A'!AO$110:AO$114,$F14+1)+IF(AND($E14=1,KB14=0),1000,0),MIN(TV14,20)*400+(IF('計算A'!AN$106=1,1-EL14,0)+IF('計算A'!AO$106=1,1-EN14,0))*150+142+'計算A'!AO$5*100000+IF(AND($E14=1,KB14=0),50000,0))+IF($H14=1,(IF('計算A'!AN$117=1,INDEX('計算A'!AN$10:AN$54,$B14),0)+IF('計算A'!AO$117=1,INDEX('計算A'!AP$10:AP$54,$B14),0))*4000,0)-IF(AND('計算A'!AN$117=1,VL14&gt;0),2000,0)-IF(AND($L14=1,'計算A'!AO$117=1,EN14=0),2000,0))),1000000))</f>
        <v/>
      </c>
      <c r="PR14">
        <f>IF($B14=0,1000000,IF(INDEX('計算A'!$D$60:$EQ$104,$B14,39)*EN14=1,IF(AND($E14=2,KC14=0),1000000,IF($I14&gt;0,IF(2=$J14,IF(OR(AND(39=$I14+1,OR($K14&lt;&gt;'計算A'!$A$3,'計算A'!$A$4=0)),AND(39=$I14-1,OR(15&lt;&gt;'計算A'!$A$3,'計算A'!$A$4=0))),0,IF(15=$K14,200000,ABS(15-$K14)*100)),100000+ABS(2-$J14)*1000+150)+'計算A'!AP$5*50+IF(AND($E14=1,KC14=0),25,0),IF($F14&gt;0,INDEX('計算A'!AP$110:AP$114,$F14+1)+IF(AND($E14=1,KC14=0),1000,0),MIN(TV14,20)*400+(IF('計算A'!AO$106=1,1-EM14,0)+IF('計算A'!AP$106=1,1-EO14,0))*150+152+'計算A'!AP$5*100000+IF(AND($E14=1,KC14=0),50000,0))+IF($H14=1,(IF('計算A'!AO$117=1,INDEX('計算A'!AO$10:AO$54,$B14),0)+IF('計算A'!AP$117=1,INDEX('計算A'!AQ$10:AQ$54,$B14),0))*4000,0)-IF(AND('計算A'!AO$117=1,VM14&gt;0),2000,0)-IF(AND($L14=1,'計算A'!AP$117=1,EO14=0),2000,0))),1000000))</f>
        <v/>
      </c>
      <c r="PS14">
        <f>IF($B14=0,1000000,IF(INDEX('計算A'!$D$60:$EQ$104,$B14,40)*EO14=1,IF(AND($E14=2,KD14=0),1000000,IF($I14&gt;0,IF(2=$J14,IF(OR(AND(40=$I14+1,OR($K14&lt;&gt;'計算A'!$A$3,'計算A'!$A$4=0)),AND(40=$I14-1,OR(16&lt;&gt;'計算A'!$A$3,'計算A'!$A$4=0))),0,IF(16=$K14,200000,ABS(16-$K14)*100)),100000+ABS(2-$J14)*1000+160)+'計算A'!AQ$5*50+IF(AND($E14=1,KD14=0),25,0),IF($F14&gt;0,INDEX('計算A'!AQ$110:AQ$114,$F14+1)+IF(AND($E14=1,KD14=0),1000,0),MIN(TV14,20)*400+(IF('計算A'!AP$106=1,1-EN14,0)+IF('計算A'!AQ$106=1,1-EP14,0))*150+162+'計算A'!AQ$5*100000+IF(AND($E14=1,KD14=0),50000,0))+IF($H14=1,(IF('計算A'!AP$117=1,INDEX('計算A'!AP$10:AP$54,$B14),0)+IF('計算A'!AQ$117=1,INDEX('計算A'!AR$10:AR$54,$B14),0))*4000,0)-IF(AND('計算A'!AP$117=1,VN14&gt;0),2000,0)-IF(AND($L14=1,'計算A'!AQ$117=1,EP14=0),2000,0))),1000000))</f>
        <v/>
      </c>
      <c r="PT14">
        <f>IF($B14=0,1000000,IF(INDEX('計算A'!$D$60:$EQ$104,$B14,41)*EP14=1,IF(AND($E14=2,KE14=0),1000000,IF($I14&gt;0,IF(2=$J14,IF(OR(AND(41=$I14+1,OR($K14&lt;&gt;'計算A'!$A$3,'計算A'!$A$4=0)),AND(41=$I14-1,OR(17&lt;&gt;'計算A'!$A$3,'計算A'!$A$4=0))),0,IF(17=$K14,200000,ABS(17-$K14)*100)),100000+ABS(2-$J14)*1000+170)+'計算A'!AR$5*50+IF(AND($E14=1,KE14=0),25,0),IF($F14&gt;0,INDEX('計算A'!AR$110:AR$114,$F14+1)+IF(AND($E14=1,KE14=0),1000,0),MIN(TV14,20)*400+(IF('計算A'!AQ$106=1,1-EO14,0)+IF('計算A'!AR$106=1,1-EQ14,0))*150+172+'計算A'!AR$5*100000+IF(AND($E14=1,KE14=0),50000,0))+IF($H14=1,(IF('計算A'!AQ$117=1,INDEX('計算A'!AQ$10:AQ$54,$B14),0)+IF('計算A'!AR$117=1,INDEX('計算A'!AS$10:AS$54,$B14),0))*4000,0)-IF(AND('計算A'!AQ$117=1,VO14&gt;0),2000,0)-IF(AND($L14=1,'計算A'!AR$117=1,EQ14=0),2000,0))),1000000))</f>
        <v/>
      </c>
      <c r="PU14">
        <f>IF($B14=0,1000000,IF(INDEX('計算A'!$D$60:$EQ$104,$B14,42)*EQ14=1,IF(AND($E14=2,KF14=0),1000000,IF($I14&gt;0,IF(2=$J14,IF(OR(AND(42=$I14+1,OR($K14&lt;&gt;'計算A'!$A$3,'計算A'!$A$4=0)),AND(42=$I14-1,OR(18&lt;&gt;'計算A'!$A$3,'計算A'!$A$4=0))),0,IF(18=$K14,200000,ABS(18-$K14)*100)),100000+ABS(2-$J14)*1000+180)+'計算A'!AS$5*50+IF(AND($E14=1,KF14=0),25,0),IF($F14&gt;0,INDEX('計算A'!AS$110:AS$114,$F14+1)+IF(AND($E14=1,KF14=0),1000,0),MIN(TV14,20)*400+(IF('計算A'!AR$106=1,1-EP14,0)+IF('計算A'!AS$106=1,1-ER14,0))*150+182+'計算A'!AS$5*100000+IF(AND($E14=1,KF14=0),50000,0))+IF($H14=1,(IF('計算A'!AR$117=1,INDEX('計算A'!AR$10:AR$54,$B14),0)+IF('計算A'!AS$117=1,INDEX('計算A'!AT$10:AT$54,$B14),0))*4000,0)-IF(AND('計算A'!AR$117=1,VP14&gt;0),2000,0)-IF(AND($L14=1,'計算A'!AS$117=1,ER14=0),2000,0))),1000000))</f>
        <v/>
      </c>
      <c r="PV14">
        <f>IF($B14=0,1000000,IF(INDEX('計算A'!$D$60:$EQ$104,$B14,43)*ER14=1,IF(AND($E14=2,KG14=0),1000000,IF($I14&gt;0,IF(2=$J14,IF(OR(AND(43=$I14+1,OR($K14&lt;&gt;'計算A'!$A$3,'計算A'!$A$4=0)),AND(43=$I14-1,OR(19&lt;&gt;'計算A'!$A$3,'計算A'!$A$4=0))),0,IF(19=$K14,200000,ABS(19-$K14)*100)),100000+ABS(2-$J14)*1000+190)+'計算A'!AT$5*50+IF(AND($E14=1,KG14=0),25,0),IF($F14&gt;0,INDEX('計算A'!AT$110:AT$114,$F14+1)+IF(AND($E14=1,KG14=0),1000,0),MIN(TV14,20)*400+(IF('計算A'!AS$106=1,1-EQ14,0)+IF('計算A'!AT$106=1,1-ES14,0))*150+192+'計算A'!AT$5*100000+IF(AND($E14=1,KG14=0),50000,0))+IF($H14=1,(IF('計算A'!AS$117=1,INDEX('計算A'!AS$10:AS$54,$B14),0)+IF('計算A'!AT$117=1,INDEX('計算A'!AU$10:AU$54,$B14),0))*4000,0)-IF(AND('計算A'!AS$117=1,VQ14&gt;0),2000,0)-IF(AND($L14=1,'計算A'!AT$117=1,ES14=0),2000,0))),1000000))</f>
        <v/>
      </c>
      <c r="PW14">
        <f>IF($B14=0,1000000,IF(INDEX('計算A'!$D$60:$EQ$104,$B14,44)*ES14=1,IF(AND($E14=2,KH14=0),1000000,IF($I14&gt;0,IF(2=$J14,IF(OR(AND(44=$I14+1,OR($K14&lt;&gt;'計算A'!$A$3,'計算A'!$A$4=0)),AND(44=$I14-1,OR(20&lt;&gt;'計算A'!$A$3,'計算A'!$A$4=0))),0,IF(20=$K14,200000,ABS(20-$K14)*100)),100000+ABS(2-$J14)*1000+200)+'計算A'!AU$5*50+IF(AND($E14=1,KH14=0),25,0),IF($F14&gt;0,INDEX('計算A'!AU$110:AU$114,$F14+1)+IF(AND($E14=1,KH14=0),1000,0),MIN(TV14,20)*400+(IF('計算A'!AT$106=1,1-ER14,0)+IF('計算A'!AU$106=1,1-ET14,0))*150+202+'計算A'!AU$5*100000+IF(AND($E14=1,KH14=0),50000,0))+IF($H14=1,(IF('計算A'!AT$117=1,INDEX('計算A'!AT$10:AT$54,$B14),0)+IF('計算A'!AU$117=1,INDEX('計算A'!AV$10:AV$54,$B14),0))*4000,0)-IF(AND('計算A'!AT$117=1,VR14&gt;0),2000,0)-IF(AND($L14=1,'計算A'!AU$117=1,ET14=0),2000,0))),1000000))</f>
        <v/>
      </c>
      <c r="PX14">
        <f>IF($B14=0,1000000,IF(INDEX('計算A'!$D$60:$EQ$104,$B14,45)*ET14=1,IF(AND($E14=2,KI14=0),1000000,IF($I14&gt;0,IF(2=$J14,IF(OR(AND(45=$I14+1,OR($K14&lt;&gt;'計算A'!$A$3,'計算A'!$A$4=0)),AND(45=$I14-1,OR(21&lt;&gt;'計算A'!$A$3,'計算A'!$A$4=0))),0,IF(21=$K14,200000,ABS(21-$K14)*100)),100000+ABS(2-$J14)*1000+210)+'計算A'!AV$5*50+IF(AND($E14=1,KI14=0),25,0),IF($F14&gt;0,INDEX('計算A'!AV$110:AV$114,$F14+1)+IF(AND($E14=1,KI14=0),1000,0),MIN(TV14,20)*400+(IF('計算A'!AU$106=1,1-ES14,0)+IF('計算A'!AV$106=1,1-EU14,0))*150+212+'計算A'!AV$5*100000+IF(AND($E14=1,KI14=0),50000,0))+IF($H14=1,(IF('計算A'!AU$117=1,INDEX('計算A'!AU$10:AU$54,$B14),0)+IF('計算A'!AV$117=1,INDEX('計算A'!AW$10:AW$54,$B14),0))*4000,0)-IF(AND('計算A'!AU$117=1,VS14&gt;0),2000,0)-IF(AND($L14=1,'計算A'!AV$117=1,EU14=0),2000,0))),1000000))</f>
        <v/>
      </c>
      <c r="PY14">
        <f>IF($B14=0,1000000,IF(INDEX('計算A'!$D$60:$EQ$104,$B14,46)*EU14=1,IF(AND($E14=2,KJ14=0),1000000,IF($I14&gt;0,IF(2=$J14,IF(OR(AND(46=$I14+1,OR($K14&lt;&gt;'計算A'!$A$3,'計算A'!$A$4=0)),AND(46=$I14-1,OR(22&lt;&gt;'計算A'!$A$3,'計算A'!$A$4=0))),0,IF(22=$K14,200000,ABS(22-$K14)*100)),100000+ABS(2-$J14)*1000+220)+'計算A'!AW$5*50+IF(AND($E14=1,KJ14=0),25,0),IF($F14&gt;0,INDEX('計算A'!AW$110:AW$114,$F14+1)+IF(AND($E14=1,KJ14=0),1000,0),MIN(TV14,20)*400+(IF('計算A'!AV$106=1,1-ET14,0)+IF('計算A'!AW$106=1,1-EV14,0))*150+222+'計算A'!AW$5*100000+IF(AND($E14=1,KJ14=0),50000,0))+IF($H14=1,(IF('計算A'!AV$117=1,INDEX('計算A'!AV$10:AV$54,$B14),0)+IF('計算A'!AW$117=1,INDEX('計算A'!AX$10:AX$54,$B14),0))*4000,0)-IF(AND('計算A'!AV$117=1,VT14&gt;0),2000,0)-IF(AND($L14=1,'計算A'!AW$117=1,EV14=0),2000,0))),1000000))</f>
        <v/>
      </c>
      <c r="PZ14">
        <f>IF($B14=0,1000000,IF(INDEX('計算A'!$D$60:$EQ$104,$B14,47)*EV14=1,IF(AND($E14=2,KK14=0),1000000,IF($I14&gt;0,IF(2=$J14,IF(OR(AND(47=$I14+1,OR($K14&lt;&gt;'計算A'!$A$3,'計算A'!$A$4=0)),AND(47=$I14-1,OR(23&lt;&gt;'計算A'!$A$3,'計算A'!$A$4=0))),0,IF(23=$K14,200000,ABS(23-$K14)*100)),100000+ABS(2-$J14)*1000+230)+'計算A'!AX$5*50+IF(AND($E14=1,KK14=0),25,0),IF($F14&gt;0,INDEX('計算A'!AX$110:AX$114,$F14+1)+IF(AND($E14=1,KK14=0),1000,0),MIN(TV14,20)*400+(IF('計算A'!AW$106=1,1-EU14,0)+IF('計算A'!AX$106=1,1-EW14,0))*150+232+'計算A'!AX$5*100000+IF(AND($E14=1,KK14=0),50000,0))+IF($H14=1,(IF('計算A'!AW$117=1,INDEX('計算A'!AW$10:AW$54,$B14),0)+IF('計算A'!AX$117=1,INDEX('計算A'!AY$10:AY$54,$B14),0))*4000,0)-IF(AND('計算A'!AW$117=1,VU14&gt;0),2000,0)-IF(AND($L14=1,'計算A'!AX$117=1,EW14=0),2000,0))),1000000))</f>
        <v/>
      </c>
      <c r="QA14">
        <f>IF($B14=0,1000000,IF(INDEX('計算A'!$D$60:$EQ$104,$B14,48)*EW14=1,IF(AND($E14=2,KL14=0),1000000,IF($I14&gt;0,IF(2=$J14,IF(OR(AND(48=$I14+1,OR($K14&lt;&gt;'計算A'!$A$3,'計算A'!$A$4=0)),AND(48=$I14-1,OR(24&lt;&gt;'計算A'!$A$3,'計算A'!$A$4=0))),0,IF(24=$K14,200000,ABS(24-$K14)*100)),100000+ABS(2-$J14)*1000+240)+'計算A'!AY$5*50+IF(AND($E14=1,KL14=0),25,0),IF($F14&gt;0,INDEX('計算A'!AY$110:AY$114,$F14+1)+IF(AND($E14=1,KL14=0),1000,0),MIN(TV14,20)*400+(IF('計算A'!AX$106=1,1-EV14,0))*150+242+'計算A'!AY$5*100000+IF(AND($E14=1,KL14=0),50000,0))+IF($H14=1,(IF('計算A'!AX$117=1,INDEX('計算A'!AX$10:AX$54,$B14),0))*4000,0)-IF(AND('計算A'!AX$117=1,VV14&gt;0),2000,0))),1000000))</f>
        <v/>
      </c>
      <c r="QB14">
        <f>IF($B14=0,1000000,IF(INDEX('計算A'!$D$60:$EQ$104,$B14,49)*EX14=1,IF(AND($E14=2,KM14=0),1000000,IF($I14&gt;0,IF(3=$J14,IF(OR(AND(49=$I14+1,OR($K14&lt;&gt;'計算A'!$A$3,'計算A'!$A$4=0)),AND(49=$I14-1,OR(1&lt;&gt;'計算A'!$A$3,'計算A'!$A$4=0))),0,IF(1=$K14,200000,ABS(1-$K14)*100)),100000+ABS(3-$J14)*1000+10)+'計算A'!AZ$5*50+IF(AND($E14=1,KM14=0),25,0),IF($F14&gt;0,INDEX('計算A'!AZ$110:AZ$114,$F14+1)+IF(AND($E14=1,KM14=0),1000,0),MIN(TW14,20)*400+(IF('計算A'!AZ$106=1,1-EY14,0))*150+13+'計算A'!AZ$5*100000+IF(AND($E14=1,KM14=0),50000,0))+IF($H14=1,(IF('計算A'!AZ$117=1,INDEX('計算A'!BA$10:BA$54,$B14),0))*4000,0)-IF(AND($L14=1,'計算A'!AZ$117=1,EY14=0),2000,0))),1000000))</f>
        <v/>
      </c>
      <c r="QC14">
        <f>IF($B14=0,1000000,IF(INDEX('計算A'!$D$60:$EQ$104,$B14,50)*EY14=1,IF(AND($E14=2,KN14=0),1000000,IF($I14&gt;0,IF(3=$J14,IF(OR(AND(50=$I14+1,OR($K14&lt;&gt;'計算A'!$A$3,'計算A'!$A$4=0)),AND(50=$I14-1,OR(2&lt;&gt;'計算A'!$A$3,'計算A'!$A$4=0))),0,IF(2=$K14,200000,ABS(2-$K14)*100)),100000+ABS(3-$J14)*1000+20)+'計算A'!BA$5*50+IF(AND($E14=1,KN14=0),25,0),IF($F14&gt;0,INDEX('計算A'!BA$110:BA$114,$F14+1)+IF(AND($E14=1,KN14=0),1000,0),MIN(TW14,20)*400+(IF('計算A'!AZ$106=1,1-EX14,0)+IF('計算A'!BA$106=1,1-EZ14,0))*150+23+'計算A'!BA$5*100000+IF(AND($E14=1,KN14=0),50000,0))+IF($H14=1,(IF('計算A'!AZ$117=1,INDEX('計算A'!AZ$10:AZ$54,$B14),0)+IF('計算A'!BA$117=1,INDEX('計算A'!BB$10:BB$54,$B14),0))*4000,0)-IF(AND('計算A'!AZ$117=1,VX14&gt;0),2000,0)-IF(AND($L14=1,'計算A'!BA$117=1,EZ14=0),2000,0))),1000000))</f>
        <v/>
      </c>
      <c r="QD14">
        <f>IF($B14=0,1000000,IF(INDEX('計算A'!$D$60:$EQ$104,$B14,51)*EZ14=1,IF(AND($E14=2,KO14=0),1000000,IF($I14&gt;0,IF(3=$J14,IF(OR(AND(51=$I14+1,OR($K14&lt;&gt;'計算A'!$A$3,'計算A'!$A$4=0)),AND(51=$I14-1,OR(3&lt;&gt;'計算A'!$A$3,'計算A'!$A$4=0))),0,IF(3=$K14,200000,ABS(3-$K14)*100)),100000+ABS(3-$J14)*1000+30)+'計算A'!BB$5*50+IF(AND($E14=1,KO14=0),25,0),IF($F14&gt;0,INDEX('計算A'!BB$110:BB$114,$F14+1)+IF(AND($E14=1,KO14=0),1000,0),MIN(TW14,20)*400+(IF('計算A'!BA$106=1,1-EY14,0)+IF('計算A'!BB$106=1,1-FA14,0))*150+33+'計算A'!BB$5*100000+IF(AND($E14=1,KO14=0),50000,0))+IF($H14=1,(IF('計算A'!BA$117=1,INDEX('計算A'!BA$10:BA$54,$B14),0)+IF('計算A'!BB$117=1,INDEX('計算A'!BC$10:BC$54,$B14),0))*4000,0)-IF(AND('計算A'!BA$117=1,VY14&gt;0),2000,0)-IF(AND($L14=1,'計算A'!BB$117=1,FA14=0),2000,0))),1000000))</f>
        <v/>
      </c>
      <c r="QE14">
        <f>IF($B14=0,1000000,IF(INDEX('計算A'!$D$60:$EQ$104,$B14,52)*FA14=1,IF(AND($E14=2,KP14=0),1000000,IF($I14&gt;0,IF(3=$J14,IF(OR(AND(52=$I14+1,OR($K14&lt;&gt;'計算A'!$A$3,'計算A'!$A$4=0)),AND(52=$I14-1,OR(4&lt;&gt;'計算A'!$A$3,'計算A'!$A$4=0))),0,IF(4=$K14,200000,ABS(4-$K14)*100)),100000+ABS(3-$J14)*1000+40)+'計算A'!BC$5*50+IF(AND($E14=1,KP14=0),25,0),IF($F14&gt;0,INDEX('計算A'!BC$110:BC$114,$F14+1)+IF(AND($E14=1,KP14=0),1000,0),MIN(TW14,20)*400+(IF('計算A'!BB$106=1,1-EZ14,0)+IF('計算A'!BC$106=1,1-FB14,0))*150+43+'計算A'!BC$5*100000+IF(AND($E14=1,KP14=0),50000,0))+IF($H14=1,(IF('計算A'!BB$117=1,INDEX('計算A'!BB$10:BB$54,$B14),0)+IF('計算A'!BC$117=1,INDEX('計算A'!BD$10:BD$54,$B14),0))*4000,0)-IF(AND('計算A'!BB$117=1,VZ14&gt;0),2000,0)-IF(AND($L14=1,'計算A'!BC$117=1,FB14=0),2000,0))),1000000))</f>
        <v/>
      </c>
      <c r="QF14">
        <f>IF($B14=0,1000000,IF(INDEX('計算A'!$D$60:$EQ$104,$B14,53)*FB14=1,IF(AND($E14=2,KQ14=0),1000000,IF($I14&gt;0,IF(3=$J14,IF(OR(AND(53=$I14+1,OR($K14&lt;&gt;'計算A'!$A$3,'計算A'!$A$4=0)),AND(53=$I14-1,OR(5&lt;&gt;'計算A'!$A$3,'計算A'!$A$4=0))),0,IF(5=$K14,200000,ABS(5-$K14)*100)),100000+ABS(3-$J14)*1000+50)+'計算A'!BD$5*50+IF(AND($E14=1,KQ14=0),25,0),IF($F14&gt;0,INDEX('計算A'!BD$110:BD$114,$F14+1)+IF(AND($E14=1,KQ14=0),1000,0),MIN(TW14,20)*400+(IF('計算A'!BC$106=1,1-FA14,0)+IF('計算A'!BD$106=1,1-FC14,0))*150+53+'計算A'!BD$5*100000+IF(AND($E14=1,KQ14=0),50000,0))+IF($H14=1,(IF('計算A'!BC$117=1,INDEX('計算A'!BC$10:BC$54,$B14),0)+IF('計算A'!BD$117=1,INDEX('計算A'!BE$10:BE$54,$B14),0))*4000,0)-IF(AND('計算A'!BC$117=1,WA14&gt;0),2000,0)-IF(AND($L14=1,'計算A'!BD$117=1,FC14=0),2000,0))),1000000))</f>
        <v/>
      </c>
      <c r="QG14">
        <f>IF($B14=0,1000000,IF(INDEX('計算A'!$D$60:$EQ$104,$B14,54)*FC14=1,IF(AND($E14=2,KR14=0),1000000,IF($I14&gt;0,IF(3=$J14,IF(OR(AND(54=$I14+1,OR($K14&lt;&gt;'計算A'!$A$3,'計算A'!$A$4=0)),AND(54=$I14-1,OR(6&lt;&gt;'計算A'!$A$3,'計算A'!$A$4=0))),0,IF(6=$K14,200000,ABS(6-$K14)*100)),100000+ABS(3-$J14)*1000+60)+'計算A'!BE$5*50+IF(AND($E14=1,KR14=0),25,0),IF($F14&gt;0,INDEX('計算A'!BE$110:BE$114,$F14+1)+IF(AND($E14=1,KR14=0),1000,0),MIN(TW14,20)*400+(IF('計算A'!BD$106=1,1-FB14,0)+IF('計算A'!BE$106=1,1-FD14,0))*150+63+'計算A'!BE$5*100000+IF(AND($E14=1,KR14=0),50000,0))+IF($H14=1,(IF('計算A'!BD$117=1,INDEX('計算A'!BD$10:BD$54,$B14),0)+IF('計算A'!BE$117=1,INDEX('計算A'!BF$10:BF$54,$B14),0))*4000,0)-IF(AND('計算A'!BD$117=1,WB14&gt;0),2000,0)-IF(AND($L14=1,'計算A'!BE$117=1,FD14=0),2000,0))),1000000))</f>
        <v/>
      </c>
      <c r="QH14">
        <f>IF($B14=0,1000000,IF(INDEX('計算A'!$D$60:$EQ$104,$B14,55)*FD14=1,IF(AND($E14=2,KS14=0),1000000,IF($I14&gt;0,IF(3=$J14,IF(OR(AND(55=$I14+1,OR($K14&lt;&gt;'計算A'!$A$3,'計算A'!$A$4=0)),AND(55=$I14-1,OR(7&lt;&gt;'計算A'!$A$3,'計算A'!$A$4=0))),0,IF(7=$K14,200000,ABS(7-$K14)*100)),100000+ABS(3-$J14)*1000+70)+'計算A'!BF$5*50+IF(AND($E14=1,KS14=0),25,0),IF($F14&gt;0,INDEX('計算A'!BF$110:BF$114,$F14+1)+IF(AND($E14=1,KS14=0),1000,0),MIN(TW14,20)*400+(IF('計算A'!BE$106=1,1-FC14,0)+IF('計算A'!BF$106=1,1-FE14,0))*150+73+'計算A'!BF$5*100000+IF(AND($E14=1,KS14=0),50000,0))+IF($H14=1,(IF('計算A'!BE$117=1,INDEX('計算A'!BE$10:BE$54,$B14),0)+IF('計算A'!BF$117=1,INDEX('計算A'!BG$10:BG$54,$B14),0))*4000,0)-IF(AND('計算A'!BE$117=1,WC14&gt;0),2000,0)-IF(AND($L14=1,'計算A'!BF$117=1,FE14=0),2000,0))),1000000))</f>
        <v/>
      </c>
      <c r="QI14">
        <f>IF($B14=0,1000000,IF(INDEX('計算A'!$D$60:$EQ$104,$B14,56)*FE14=1,IF(AND($E14=2,KT14=0),1000000,IF($I14&gt;0,IF(3=$J14,IF(OR(AND(56=$I14+1,OR($K14&lt;&gt;'計算A'!$A$3,'計算A'!$A$4=0)),AND(56=$I14-1,OR(8&lt;&gt;'計算A'!$A$3,'計算A'!$A$4=0))),0,IF(8=$K14,200000,ABS(8-$K14)*100)),100000+ABS(3-$J14)*1000+80)+'計算A'!BG$5*50+IF(AND($E14=1,KT14=0),25,0),IF($F14&gt;0,INDEX('計算A'!BG$110:BG$114,$F14+1)+IF(AND($E14=1,KT14=0),1000,0),MIN(TW14,20)*400+(IF('計算A'!BF$106=1,1-FD14,0)+IF('計算A'!BG$106=1,1-FF14,0))*150+83+'計算A'!BG$5*100000+IF(AND($E14=1,KT14=0),50000,0))+IF($H14=1,(IF('計算A'!BF$117=1,INDEX('計算A'!BF$10:BF$54,$B14),0)+IF('計算A'!BG$117=1,INDEX('計算A'!BH$10:BH$54,$B14),0))*4000,0)-IF(AND('計算A'!BF$117=1,WD14&gt;0),2000,0)-IF(AND($L14=1,'計算A'!BG$117=1,FF14=0),2000,0))),1000000))</f>
        <v/>
      </c>
      <c r="QJ14">
        <f>IF($B14=0,1000000,IF(INDEX('計算A'!$D$60:$EQ$104,$B14,57)*FF14=1,IF(AND($E14=2,KU14=0),1000000,IF($I14&gt;0,IF(3=$J14,IF(OR(AND(57=$I14+1,OR($K14&lt;&gt;'計算A'!$A$3,'計算A'!$A$4=0)),AND(57=$I14-1,OR(9&lt;&gt;'計算A'!$A$3,'計算A'!$A$4=0))),0,IF(9=$K14,200000,ABS(9-$K14)*100)),100000+ABS(3-$J14)*1000+90)+'計算A'!BH$5*50+IF(AND($E14=1,KU14=0),25,0),IF($F14&gt;0,INDEX('計算A'!BH$110:BH$114,$F14+1)+IF(AND($E14=1,KU14=0),1000,0),MIN(TW14,20)*400+(IF('計算A'!BG$106=1,1-FE14,0)+IF('計算A'!BH$106=1,1-FG14,0))*150+93+'計算A'!BH$5*100000+IF(AND($E14=1,KU14=0),50000,0))+IF($H14=1,(IF('計算A'!BG$117=1,INDEX('計算A'!BG$10:BG$54,$B14),0)+IF('計算A'!BH$117=1,INDEX('計算A'!BI$10:BI$54,$B14),0))*4000,0)-IF(AND('計算A'!BG$117=1,WE14&gt;0),2000,0)-IF(AND($L14=1,'計算A'!BH$117=1,FG14=0),2000,0))),1000000))</f>
        <v/>
      </c>
      <c r="QK14">
        <f>IF($B14=0,1000000,IF(INDEX('計算A'!$D$60:$EQ$104,$B14,58)*FG14=1,IF(AND($E14=2,KV14=0),1000000,IF($I14&gt;0,IF(3=$J14,IF(OR(AND(58=$I14+1,OR($K14&lt;&gt;'計算A'!$A$3,'計算A'!$A$4=0)),AND(58=$I14-1,OR(10&lt;&gt;'計算A'!$A$3,'計算A'!$A$4=0))),0,IF(10=$K14,200000,ABS(10-$K14)*100)),100000+ABS(3-$J14)*1000+100)+'計算A'!BI$5*50+IF(AND($E14=1,KV14=0),25,0),IF($F14&gt;0,INDEX('計算A'!BI$110:BI$114,$F14+1)+IF(AND($E14=1,KV14=0),1000,0),MIN(TW14,20)*400+(IF('計算A'!BH$106=1,1-FF14,0)+IF('計算A'!BI$106=1,1-FH14,0))*150+103+'計算A'!BI$5*100000+IF(AND($E14=1,KV14=0),50000,0))+IF($H14=1,(IF('計算A'!BH$117=1,INDEX('計算A'!BH$10:BH$54,$B14),0)+IF('計算A'!BI$117=1,INDEX('計算A'!BJ$10:BJ$54,$B14),0))*4000,0)-IF(AND('計算A'!BH$117=1,WF14&gt;0),2000,0)-IF(AND($L14=1,'計算A'!BI$117=1,FH14=0),2000,0))),1000000))</f>
        <v/>
      </c>
      <c r="QL14">
        <f>IF($B14=0,1000000,IF(INDEX('計算A'!$D$60:$EQ$104,$B14,59)*FH14=1,IF(AND($E14=2,KW14=0),1000000,IF($I14&gt;0,IF(3=$J14,IF(OR(AND(59=$I14+1,OR($K14&lt;&gt;'計算A'!$A$3,'計算A'!$A$4=0)),AND(59=$I14-1,OR(11&lt;&gt;'計算A'!$A$3,'計算A'!$A$4=0))),0,IF(11=$K14,200000,ABS(11-$K14)*100)),100000+ABS(3-$J14)*1000+110)+'計算A'!BJ$5*50+IF(AND($E14=1,KW14=0),25,0),IF($F14&gt;0,INDEX('計算A'!BJ$110:BJ$114,$F14+1)+IF(AND($E14=1,KW14=0),1000,0),MIN(TW14,20)*400+(IF('計算A'!BI$106=1,1-FG14,0)+IF('計算A'!BJ$106=1,1-FI14,0))*150+113+'計算A'!BJ$5*100000+IF(AND($E14=1,KW14=0),50000,0))+IF($H14=1,(IF('計算A'!BI$117=1,INDEX('計算A'!BI$10:BI$54,$B14),0)+IF('計算A'!BJ$117=1,INDEX('計算A'!BK$10:BK$54,$B14),0))*4000,0)-IF(AND('計算A'!BI$117=1,WG14&gt;0),2000,0)-IF(AND($L14=1,'計算A'!BJ$117=1,FI14=0),2000,0))),1000000))</f>
        <v/>
      </c>
      <c r="QM14">
        <f>IF($B14=0,1000000,IF(INDEX('計算A'!$D$60:$EQ$104,$B14,60)*FI14=1,IF(AND($E14=2,KX14=0),1000000,IF($I14&gt;0,IF(3=$J14,IF(OR(AND(60=$I14+1,OR($K14&lt;&gt;'計算A'!$A$3,'計算A'!$A$4=0)),AND(60=$I14-1,OR(12&lt;&gt;'計算A'!$A$3,'計算A'!$A$4=0))),0,IF(12=$K14,200000,ABS(12-$K14)*100)),100000+ABS(3-$J14)*1000+120)+'計算A'!BK$5*50+IF(AND($E14=1,KX14=0),25,0),IF($F14&gt;0,INDEX('計算A'!BK$110:BK$114,$F14+1)+IF(AND($E14=1,KX14=0),1000,0),MIN(TW14,20)*400+(IF('計算A'!BJ$106=1,1-FH14,0)+IF('計算A'!BK$106=1,1-FJ14,0))*150+123+'計算A'!BK$5*100000+IF(AND($E14=1,KX14=0),50000,0))+IF($H14=1,(IF('計算A'!BJ$117=1,INDEX('計算A'!BJ$10:BJ$54,$B14),0)+IF('計算A'!BK$117=1,INDEX('計算A'!BL$10:BL$54,$B14),0))*4000,0)-IF(AND('計算A'!BJ$117=1,WH14&gt;0),2000,0)-IF(AND($L14=1,'計算A'!BK$117=1,FJ14=0),2000,0))),1000000))</f>
        <v/>
      </c>
      <c r="QN14">
        <f>IF($B14=0,1000000,IF(INDEX('計算A'!$D$60:$EQ$104,$B14,61)*FJ14=1,IF(AND($E14=2,KY14=0),1000000,IF($I14&gt;0,IF(3=$J14,IF(OR(AND(61=$I14+1,OR($K14&lt;&gt;'計算A'!$A$3,'計算A'!$A$4=0)),AND(61=$I14-1,OR(13&lt;&gt;'計算A'!$A$3,'計算A'!$A$4=0))),0,IF(13=$K14,200000,ABS(13-$K14)*100)),100000+ABS(3-$J14)*1000+130)+'計算A'!BL$5*50+IF(AND($E14=1,KY14=0),25,0),IF($F14&gt;0,INDEX('計算A'!BL$110:BL$114,$F14+1)+IF(AND($E14=1,KY14=0),1000,0),MIN(TW14,20)*400+(IF('計算A'!BK$106=1,1-FI14,0)+IF('計算A'!BL$106=1,1-FK14,0))*150+133+'計算A'!BL$5*100000+IF(AND($E14=1,KY14=0),50000,0))+IF($H14=1,(IF('計算A'!BK$117=1,INDEX('計算A'!BK$10:BK$54,$B14),0)+IF('計算A'!BL$117=1,INDEX('計算A'!BM$10:BM$54,$B14),0))*4000,0)-IF(AND('計算A'!BK$117=1,WI14&gt;0),2000,0)-IF(AND($L14=1,'計算A'!BL$117=1,FK14=0),2000,0))),1000000))</f>
        <v/>
      </c>
      <c r="QO14">
        <f>IF($B14=0,1000000,IF(INDEX('計算A'!$D$60:$EQ$104,$B14,62)*FK14=1,IF(AND($E14=2,KZ14=0),1000000,IF($I14&gt;0,IF(3=$J14,IF(OR(AND(62=$I14+1,OR($K14&lt;&gt;'計算A'!$A$3,'計算A'!$A$4=0)),AND(62=$I14-1,OR(14&lt;&gt;'計算A'!$A$3,'計算A'!$A$4=0))),0,IF(14=$K14,200000,ABS(14-$K14)*100)),100000+ABS(3-$J14)*1000+140)+'計算A'!BM$5*50+IF(AND($E14=1,KZ14=0),25,0),IF($F14&gt;0,INDEX('計算A'!BM$110:BM$114,$F14+1)+IF(AND($E14=1,KZ14=0),1000,0),MIN(TW14,20)*400+(IF('計算A'!BL$106=1,1-FJ14,0)+IF('計算A'!BM$106=1,1-FL14,0))*150+143+'計算A'!BM$5*100000+IF(AND($E14=1,KZ14=0),50000,0))+IF($H14=1,(IF('計算A'!BL$117=1,INDEX('計算A'!BL$10:BL$54,$B14),0)+IF('計算A'!BM$117=1,INDEX('計算A'!BN$10:BN$54,$B14),0))*4000,0)-IF(AND('計算A'!BL$117=1,WJ14&gt;0),2000,0)-IF(AND($L14=1,'計算A'!BM$117=1,FL14=0),2000,0))),1000000))</f>
        <v/>
      </c>
      <c r="QP14">
        <f>IF($B14=0,1000000,IF(INDEX('計算A'!$D$60:$EQ$104,$B14,63)*FL14=1,IF(AND($E14=2,LA14=0),1000000,IF($I14&gt;0,IF(3=$J14,IF(OR(AND(63=$I14+1,OR($K14&lt;&gt;'計算A'!$A$3,'計算A'!$A$4=0)),AND(63=$I14-1,OR(15&lt;&gt;'計算A'!$A$3,'計算A'!$A$4=0))),0,IF(15=$K14,200000,ABS(15-$K14)*100)),100000+ABS(3-$J14)*1000+150)+'計算A'!BN$5*50+IF(AND($E14=1,LA14=0),25,0),IF($F14&gt;0,INDEX('計算A'!BN$110:BN$114,$F14+1)+IF(AND($E14=1,LA14=0),1000,0),MIN(TW14,20)*400+(IF('計算A'!BM$106=1,1-FK14,0)+IF('計算A'!BN$106=1,1-FM14,0))*150+153+'計算A'!BN$5*100000+IF(AND($E14=1,LA14=0),50000,0))+IF($H14=1,(IF('計算A'!BM$117=1,INDEX('計算A'!BM$10:BM$54,$B14),0)+IF('計算A'!BN$117=1,INDEX('計算A'!BO$10:BO$54,$B14),0))*4000,0)-IF(AND('計算A'!BM$117=1,WK14&gt;0),2000,0)-IF(AND($L14=1,'計算A'!BN$117=1,FM14=0),2000,0))),1000000))</f>
        <v/>
      </c>
      <c r="QQ14">
        <f>IF($B14=0,1000000,IF(INDEX('計算A'!$D$60:$EQ$104,$B14,64)*FM14=1,IF(AND($E14=2,LB14=0),1000000,IF($I14&gt;0,IF(3=$J14,IF(OR(AND(64=$I14+1,OR($K14&lt;&gt;'計算A'!$A$3,'計算A'!$A$4=0)),AND(64=$I14-1,OR(16&lt;&gt;'計算A'!$A$3,'計算A'!$A$4=0))),0,IF(16=$K14,200000,ABS(16-$K14)*100)),100000+ABS(3-$J14)*1000+160)+'計算A'!BO$5*50+IF(AND($E14=1,LB14=0),25,0),IF($F14&gt;0,INDEX('計算A'!BO$110:BO$114,$F14+1)+IF(AND($E14=1,LB14=0),1000,0),MIN(TW14,20)*400+(IF('計算A'!BN$106=1,1-FL14,0)+IF('計算A'!BO$106=1,1-FN14,0))*150+163+'計算A'!BO$5*100000+IF(AND($E14=1,LB14=0),50000,0))+IF($H14=1,(IF('計算A'!BN$117=1,INDEX('計算A'!BN$10:BN$54,$B14),0)+IF('計算A'!BO$117=1,INDEX('計算A'!BP$10:BP$54,$B14),0))*4000,0)-IF(AND('計算A'!BN$117=1,WL14&gt;0),2000,0)-IF(AND($L14=1,'計算A'!BO$117=1,FN14=0),2000,0))),1000000))</f>
        <v/>
      </c>
      <c r="QR14">
        <f>IF($B14=0,1000000,IF(INDEX('計算A'!$D$60:$EQ$104,$B14,65)*FN14=1,IF(AND($E14=2,LC14=0),1000000,IF($I14&gt;0,IF(3=$J14,IF(OR(AND(65=$I14+1,OR($K14&lt;&gt;'計算A'!$A$3,'計算A'!$A$4=0)),AND(65=$I14-1,OR(17&lt;&gt;'計算A'!$A$3,'計算A'!$A$4=0))),0,IF(17=$K14,200000,ABS(17-$K14)*100)),100000+ABS(3-$J14)*1000+170)+'計算A'!BP$5*50+IF(AND($E14=1,LC14=0),25,0),IF($F14&gt;0,INDEX('計算A'!BP$110:BP$114,$F14+1)+IF(AND($E14=1,LC14=0),1000,0),MIN(TW14,20)*400+(IF('計算A'!BO$106=1,1-FM14,0)+IF('計算A'!BP$106=1,1-FO14,0))*150+173+'計算A'!BP$5*100000+IF(AND($E14=1,LC14=0),50000,0))+IF($H14=1,(IF('計算A'!BO$117=1,INDEX('計算A'!BO$10:BO$54,$B14),0)+IF('計算A'!BP$117=1,INDEX('計算A'!BQ$10:BQ$54,$B14),0))*4000,0)-IF(AND('計算A'!BO$117=1,WM14&gt;0),2000,0)-IF(AND($L14=1,'計算A'!BP$117=1,FO14=0),2000,0))),1000000))</f>
        <v/>
      </c>
      <c r="QS14">
        <f>IF($B14=0,1000000,IF(INDEX('計算A'!$D$60:$EQ$104,$B14,66)*FO14=1,IF(AND($E14=2,LD14=0),1000000,IF($I14&gt;0,IF(3=$J14,IF(OR(AND(66=$I14+1,OR($K14&lt;&gt;'計算A'!$A$3,'計算A'!$A$4=0)),AND(66=$I14-1,OR(18&lt;&gt;'計算A'!$A$3,'計算A'!$A$4=0))),0,IF(18=$K14,200000,ABS(18-$K14)*100)),100000+ABS(3-$J14)*1000+180)+'計算A'!BQ$5*50+IF(AND($E14=1,LD14=0),25,0),IF($F14&gt;0,INDEX('計算A'!BQ$110:BQ$114,$F14+1)+IF(AND($E14=1,LD14=0),1000,0),MIN(TW14,20)*400+(IF('計算A'!BP$106=1,1-FN14,0)+IF('計算A'!BQ$106=1,1-FP14,0))*150+183+'計算A'!BQ$5*100000+IF(AND($E14=1,LD14=0),50000,0))+IF($H14=1,(IF('計算A'!BP$117=1,INDEX('計算A'!BP$10:BP$54,$B14),0)+IF('計算A'!BQ$117=1,INDEX('計算A'!BR$10:BR$54,$B14),0))*4000,0)-IF(AND('計算A'!BP$117=1,WN14&gt;0),2000,0)-IF(AND($L14=1,'計算A'!BQ$117=1,FP14=0),2000,0))),1000000))</f>
        <v/>
      </c>
      <c r="QT14">
        <f>IF($B14=0,1000000,IF(INDEX('計算A'!$D$60:$EQ$104,$B14,67)*FP14=1,IF(AND($E14=2,LE14=0),1000000,IF($I14&gt;0,IF(3=$J14,IF(OR(AND(67=$I14+1,OR($K14&lt;&gt;'計算A'!$A$3,'計算A'!$A$4=0)),AND(67=$I14-1,OR(19&lt;&gt;'計算A'!$A$3,'計算A'!$A$4=0))),0,IF(19=$K14,200000,ABS(19-$K14)*100)),100000+ABS(3-$J14)*1000+190)+'計算A'!BR$5*50+IF(AND($E14=1,LE14=0),25,0),IF($F14&gt;0,INDEX('計算A'!BR$110:BR$114,$F14+1)+IF(AND($E14=1,LE14=0),1000,0),MIN(TW14,20)*400+(IF('計算A'!BQ$106=1,1-FO14,0)+IF('計算A'!BR$106=1,1-FQ14,0))*150+193+'計算A'!BR$5*100000+IF(AND($E14=1,LE14=0),50000,0))+IF($H14=1,(IF('計算A'!BQ$117=1,INDEX('計算A'!BQ$10:BQ$54,$B14),0)+IF('計算A'!BR$117=1,INDEX('計算A'!BS$10:BS$54,$B14),0))*4000,0)-IF(AND('計算A'!BQ$117=1,WO14&gt;0),2000,0)-IF(AND($L14=1,'計算A'!BR$117=1,FQ14=0),2000,0))),1000000))</f>
        <v/>
      </c>
      <c r="QU14">
        <f>IF($B14=0,1000000,IF(INDEX('計算A'!$D$60:$EQ$104,$B14,68)*FQ14=1,IF(AND($E14=2,LF14=0),1000000,IF($I14&gt;0,IF(3=$J14,IF(OR(AND(68=$I14+1,OR($K14&lt;&gt;'計算A'!$A$3,'計算A'!$A$4=0)),AND(68=$I14-1,OR(20&lt;&gt;'計算A'!$A$3,'計算A'!$A$4=0))),0,IF(20=$K14,200000,ABS(20-$K14)*100)),100000+ABS(3-$J14)*1000+200)+'計算A'!BS$5*50+IF(AND($E14=1,LF14=0),25,0),IF($F14&gt;0,INDEX('計算A'!BS$110:BS$114,$F14+1)+IF(AND($E14=1,LF14=0),1000,0),MIN(TW14,20)*400+(IF('計算A'!BR$106=1,1-FP14,0)+IF('計算A'!BS$106=1,1-FR14,0))*150+203+'計算A'!BS$5*100000+IF(AND($E14=1,LF14=0),50000,0))+IF($H14=1,(IF('計算A'!BR$117=1,INDEX('計算A'!BR$10:BR$54,$B14),0)+IF('計算A'!BS$117=1,INDEX('計算A'!BT$10:BT$54,$B14),0))*4000,0)-IF(AND('計算A'!BR$117=1,WP14&gt;0),2000,0)-IF(AND($L14=1,'計算A'!BS$117=1,FR14=0),2000,0))),1000000))</f>
        <v/>
      </c>
      <c r="QV14">
        <f>IF($B14=0,1000000,IF(INDEX('計算A'!$D$60:$EQ$104,$B14,69)*FR14=1,IF(AND($E14=2,LG14=0),1000000,IF($I14&gt;0,IF(3=$J14,IF(OR(AND(69=$I14+1,OR($K14&lt;&gt;'計算A'!$A$3,'計算A'!$A$4=0)),AND(69=$I14-1,OR(21&lt;&gt;'計算A'!$A$3,'計算A'!$A$4=0))),0,IF(21=$K14,200000,ABS(21-$K14)*100)),100000+ABS(3-$J14)*1000+210)+'計算A'!BT$5*50+IF(AND($E14=1,LG14=0),25,0),IF($F14&gt;0,INDEX('計算A'!BT$110:BT$114,$F14+1)+IF(AND($E14=1,LG14=0),1000,0),MIN(TW14,20)*400+(IF('計算A'!BS$106=1,1-FQ14,0)+IF('計算A'!BT$106=1,1-FS14,0))*150+213+'計算A'!BT$5*100000+IF(AND($E14=1,LG14=0),50000,0))+IF($H14=1,(IF('計算A'!BS$117=1,INDEX('計算A'!BS$10:BS$54,$B14),0)+IF('計算A'!BT$117=1,INDEX('計算A'!BU$10:BU$54,$B14),0))*4000,0)-IF(AND('計算A'!BS$117=1,WQ14&gt;0),2000,0)-IF(AND($L14=1,'計算A'!BT$117=1,FS14=0),2000,0))),1000000))</f>
        <v/>
      </c>
      <c r="QW14">
        <f>IF($B14=0,1000000,IF(INDEX('計算A'!$D$60:$EQ$104,$B14,70)*FS14=1,IF(AND($E14=2,LH14=0),1000000,IF($I14&gt;0,IF(3=$J14,IF(OR(AND(70=$I14+1,OR($K14&lt;&gt;'計算A'!$A$3,'計算A'!$A$4=0)),AND(70=$I14-1,OR(22&lt;&gt;'計算A'!$A$3,'計算A'!$A$4=0))),0,IF(22=$K14,200000,ABS(22-$K14)*100)),100000+ABS(3-$J14)*1000+220)+'計算A'!BU$5*50+IF(AND($E14=1,LH14=0),25,0),IF($F14&gt;0,INDEX('計算A'!BU$110:BU$114,$F14+1)+IF(AND($E14=1,LH14=0),1000,0),MIN(TW14,20)*400+(IF('計算A'!BT$106=1,1-FR14,0)+IF('計算A'!BU$106=1,1-FT14,0))*150+223+'計算A'!BU$5*100000+IF(AND($E14=1,LH14=0),50000,0))+IF($H14=1,(IF('計算A'!BT$117=1,INDEX('計算A'!BT$10:BT$54,$B14),0)+IF('計算A'!BU$117=1,INDEX('計算A'!BV$10:BV$54,$B14),0))*4000,0)-IF(AND('計算A'!BT$117=1,WR14&gt;0),2000,0)-IF(AND($L14=1,'計算A'!BU$117=1,FT14=0),2000,0))),1000000))</f>
        <v/>
      </c>
      <c r="QX14">
        <f>IF($B14=0,1000000,IF(INDEX('計算A'!$D$60:$EQ$104,$B14,71)*FT14=1,IF(AND($E14=2,LI14=0),1000000,IF($I14&gt;0,IF(3=$J14,IF(OR(AND(71=$I14+1,OR($K14&lt;&gt;'計算A'!$A$3,'計算A'!$A$4=0)),AND(71=$I14-1,OR(23&lt;&gt;'計算A'!$A$3,'計算A'!$A$4=0))),0,IF(23=$K14,200000,ABS(23-$K14)*100)),100000+ABS(3-$J14)*1000+230)+'計算A'!BV$5*50+IF(AND($E14=1,LI14=0),25,0),IF($F14&gt;0,INDEX('計算A'!BV$110:BV$114,$F14+1)+IF(AND($E14=1,LI14=0),1000,0),MIN(TW14,20)*400+(IF('計算A'!BU$106=1,1-FS14,0)+IF('計算A'!BV$106=1,1-FU14,0))*150+233+'計算A'!BV$5*100000+IF(AND($E14=1,LI14=0),50000,0))+IF($H14=1,(IF('計算A'!BU$117=1,INDEX('計算A'!BU$10:BU$54,$B14),0)+IF('計算A'!BV$117=1,INDEX('計算A'!BW$10:BW$54,$B14),0))*4000,0)-IF(AND('計算A'!BU$117=1,WS14&gt;0),2000,0)-IF(AND($L14=1,'計算A'!BV$117=1,FU14=0),2000,0))),1000000))</f>
        <v/>
      </c>
      <c r="QY14">
        <f>IF($B14=0,1000000,IF(INDEX('計算A'!$D$60:$EQ$104,$B14,72)*FU14=1,IF(AND($E14=2,LJ14=0),1000000,IF($I14&gt;0,IF(3=$J14,IF(OR(AND(72=$I14+1,OR($K14&lt;&gt;'計算A'!$A$3,'計算A'!$A$4=0)),AND(72=$I14-1,OR(24&lt;&gt;'計算A'!$A$3,'計算A'!$A$4=0))),0,IF(24=$K14,200000,ABS(24-$K14)*100)),100000+ABS(3-$J14)*1000+240)+'計算A'!BW$5*50+IF(AND($E14=1,LJ14=0),25,0),IF($F14&gt;0,INDEX('計算A'!BW$110:BW$114,$F14+1)+IF(AND($E14=1,LJ14=0),1000,0),MIN(TW14,20)*400+(IF('計算A'!BV$106=1,1-FT14,0))*150+243+'計算A'!BW$5*100000+IF(AND($E14=1,LJ14=0),50000,0))+IF($H14=1,(IF('計算A'!BV$117=1,INDEX('計算A'!BV$10:BV$54,$B14),0))*4000,0)-IF(AND('計算A'!BV$117=1,WT14&gt;0),2000,0))),1000000))</f>
        <v/>
      </c>
      <c r="QZ14">
        <f>IF($B14=0,1000000,IF(INDEX('計算A'!$D$60:$EQ$104,$B14,73)*FV14=1,IF(AND($E14=2,LK14=0),1000000,IF($I14&gt;0,IF(4=$J14,IF(OR(AND(73=$I14+1,OR($K14&lt;&gt;'計算A'!$A$3,'計算A'!$A$4=0)),AND(73=$I14-1,OR(1&lt;&gt;'計算A'!$A$3,'計算A'!$A$4=0))),0,IF(1=$K14,200000,ABS(1-$K14)*100)),100000+ABS(4-$J14)*1000+10)+'計算A'!BX$5*50+IF(AND($E14=1,LK14=0),25,0),IF($F14&gt;0,INDEX('計算A'!BX$110:BX$114,$F14+1)+IF(AND($E14=1,LK14=0),1000,0),MIN(TX14,20)*400+(IF('計算A'!BX$106=1,1-FW14,0))*150+14+'計算A'!BX$5*100000+IF(AND($E14=1,LK14=0),50000,0))+IF($H14=1,(IF('計算A'!BX$117=1,INDEX('計算A'!BY$10:BY$54,$B14),0))*4000,0)-IF(AND($L14=1,'計算A'!BX$117=1,FW14=0),2000,0))),1000000))</f>
        <v/>
      </c>
      <c r="RA14">
        <f>IF($B14=0,1000000,IF(INDEX('計算A'!$D$60:$EQ$104,$B14,74)*FW14=1,IF(AND($E14=2,LL14=0),1000000,IF($I14&gt;0,IF(4=$J14,IF(OR(AND(74=$I14+1,OR($K14&lt;&gt;'計算A'!$A$3,'計算A'!$A$4=0)),AND(74=$I14-1,OR(2&lt;&gt;'計算A'!$A$3,'計算A'!$A$4=0))),0,IF(2=$K14,200000,ABS(2-$K14)*100)),100000+ABS(4-$J14)*1000+20)+'計算A'!BY$5*50+IF(AND($E14=1,LL14=0),25,0),IF($F14&gt;0,INDEX('計算A'!BY$110:BY$114,$F14+1)+IF(AND($E14=1,LL14=0),1000,0),MIN(TX14,20)*400+(IF('計算A'!BX$106=1,1-FV14,0)+IF('計算A'!BY$106=1,1-FX14,0))*150+24+'計算A'!BY$5*100000+IF(AND($E14=1,LL14=0),50000,0))+IF($H14=1,(IF('計算A'!BX$117=1,INDEX('計算A'!BX$10:BX$54,$B14),0)+IF('計算A'!BY$117=1,INDEX('計算A'!BZ$10:BZ$54,$B14),0))*4000,0)-IF(AND('計算A'!BX$117=1,WV14&gt;0),2000,0)-IF(AND($L14=1,'計算A'!BY$117=1,FX14=0),2000,0))),1000000))</f>
        <v/>
      </c>
      <c r="RB14">
        <f>IF($B14=0,1000000,IF(INDEX('計算A'!$D$60:$EQ$104,$B14,75)*FX14=1,IF(AND($E14=2,LM14=0),1000000,IF($I14&gt;0,IF(4=$J14,IF(OR(AND(75=$I14+1,OR($K14&lt;&gt;'計算A'!$A$3,'計算A'!$A$4=0)),AND(75=$I14-1,OR(3&lt;&gt;'計算A'!$A$3,'計算A'!$A$4=0))),0,IF(3=$K14,200000,ABS(3-$K14)*100)),100000+ABS(4-$J14)*1000+30)+'計算A'!BZ$5*50+IF(AND($E14=1,LM14=0),25,0),IF($F14&gt;0,INDEX('計算A'!BZ$110:BZ$114,$F14+1)+IF(AND($E14=1,LM14=0),1000,0),MIN(TX14,20)*400+(IF('計算A'!BY$106=1,1-FW14,0)+IF('計算A'!BZ$106=1,1-FY14,0))*150+34+'計算A'!BZ$5*100000+IF(AND($E14=1,LM14=0),50000,0))+IF($H14=1,(IF('計算A'!BY$117=1,INDEX('計算A'!BY$10:BY$54,$B14),0)+IF('計算A'!BZ$117=1,INDEX('計算A'!CA$10:CA$54,$B14),0))*4000,0)-IF(AND('計算A'!BY$117=1,WW14&gt;0),2000,0)-IF(AND($L14=1,'計算A'!BZ$117=1,FY14=0),2000,0))),1000000))</f>
        <v/>
      </c>
      <c r="RC14">
        <f>IF($B14=0,1000000,IF(INDEX('計算A'!$D$60:$EQ$104,$B14,76)*FY14=1,IF(AND($E14=2,LN14=0),1000000,IF($I14&gt;0,IF(4=$J14,IF(OR(AND(76=$I14+1,OR($K14&lt;&gt;'計算A'!$A$3,'計算A'!$A$4=0)),AND(76=$I14-1,OR(4&lt;&gt;'計算A'!$A$3,'計算A'!$A$4=0))),0,IF(4=$K14,200000,ABS(4-$K14)*100)),100000+ABS(4-$J14)*1000+40)+'計算A'!CA$5*50+IF(AND($E14=1,LN14=0),25,0),IF($F14&gt;0,INDEX('計算A'!CA$110:CA$114,$F14+1)+IF(AND($E14=1,LN14=0),1000,0),MIN(TX14,20)*400+(IF('計算A'!BZ$106=1,1-FX14,0)+IF('計算A'!CA$106=1,1-FZ14,0))*150+44+'計算A'!CA$5*100000+IF(AND($E14=1,LN14=0),50000,0))+IF($H14=1,(IF('計算A'!BZ$117=1,INDEX('計算A'!BZ$10:BZ$54,$B14),0)+IF('計算A'!CA$117=1,INDEX('計算A'!CB$10:CB$54,$B14),0))*4000,0)-IF(AND('計算A'!BZ$117=1,WX14&gt;0),2000,0)-IF(AND($L14=1,'計算A'!CA$117=1,FZ14=0),2000,0))),1000000))</f>
        <v/>
      </c>
      <c r="RD14">
        <f>IF($B14=0,1000000,IF(INDEX('計算A'!$D$60:$EQ$104,$B14,77)*FZ14=1,IF(AND($E14=2,LO14=0),1000000,IF($I14&gt;0,IF(4=$J14,IF(OR(AND(77=$I14+1,OR($K14&lt;&gt;'計算A'!$A$3,'計算A'!$A$4=0)),AND(77=$I14-1,OR(5&lt;&gt;'計算A'!$A$3,'計算A'!$A$4=0))),0,IF(5=$K14,200000,ABS(5-$K14)*100)),100000+ABS(4-$J14)*1000+50)+'計算A'!CB$5*50+IF(AND($E14=1,LO14=0),25,0),IF($F14&gt;0,INDEX('計算A'!CB$110:CB$114,$F14+1)+IF(AND($E14=1,LO14=0),1000,0),MIN(TX14,20)*400+(IF('計算A'!CA$106=1,1-FY14,0)+IF('計算A'!CB$106=1,1-GA14,0))*150+54+'計算A'!CB$5*100000+IF(AND($E14=1,LO14=0),50000,0))+IF($H14=1,(IF('計算A'!CA$117=1,INDEX('計算A'!CA$10:CA$54,$B14),0)+IF('計算A'!CB$117=1,INDEX('計算A'!CC$10:CC$54,$B14),0))*4000,0)-IF(AND('計算A'!CA$117=1,WY14&gt;0),2000,0)-IF(AND($L14=1,'計算A'!CB$117=1,GA14=0),2000,0))),1000000))</f>
        <v/>
      </c>
      <c r="RE14">
        <f>IF($B14=0,1000000,IF(INDEX('計算A'!$D$60:$EQ$104,$B14,78)*GA14=1,IF(AND($E14=2,LP14=0),1000000,IF($I14&gt;0,IF(4=$J14,IF(OR(AND(78=$I14+1,OR($K14&lt;&gt;'計算A'!$A$3,'計算A'!$A$4=0)),AND(78=$I14-1,OR(6&lt;&gt;'計算A'!$A$3,'計算A'!$A$4=0))),0,IF(6=$K14,200000,ABS(6-$K14)*100)),100000+ABS(4-$J14)*1000+60)+'計算A'!CC$5*50+IF(AND($E14=1,LP14=0),25,0),IF($F14&gt;0,INDEX('計算A'!CC$110:CC$114,$F14+1)+IF(AND($E14=1,LP14=0),1000,0),MIN(TX14,20)*400+(IF('計算A'!CB$106=1,1-FZ14,0)+IF('計算A'!CC$106=1,1-GB14,0))*150+64+'計算A'!CC$5*100000+IF(AND($E14=1,LP14=0),50000,0))+IF($H14=1,(IF('計算A'!CB$117=1,INDEX('計算A'!CB$10:CB$54,$B14),0)+IF('計算A'!CC$117=1,INDEX('計算A'!CD$10:CD$54,$B14),0))*4000,0)-IF(AND('計算A'!CB$117=1,WZ14&gt;0),2000,0)-IF(AND($L14=1,'計算A'!CC$117=1,GB14=0),2000,0))),1000000))</f>
        <v/>
      </c>
      <c r="RF14">
        <f>IF($B14=0,1000000,IF(INDEX('計算A'!$D$60:$EQ$104,$B14,79)*GB14=1,IF(AND($E14=2,LQ14=0),1000000,IF($I14&gt;0,IF(4=$J14,IF(OR(AND(79=$I14+1,OR($K14&lt;&gt;'計算A'!$A$3,'計算A'!$A$4=0)),AND(79=$I14-1,OR(7&lt;&gt;'計算A'!$A$3,'計算A'!$A$4=0))),0,IF(7=$K14,200000,ABS(7-$K14)*100)),100000+ABS(4-$J14)*1000+70)+'計算A'!CD$5*50+IF(AND($E14=1,LQ14=0),25,0),IF($F14&gt;0,INDEX('計算A'!CD$110:CD$114,$F14+1)+IF(AND($E14=1,LQ14=0),1000,0),MIN(TX14,20)*400+(IF('計算A'!CC$106=1,1-GA14,0)+IF('計算A'!CD$106=1,1-GC14,0))*150+74+'計算A'!CD$5*100000+IF(AND($E14=1,LQ14=0),50000,0))+IF($H14=1,(IF('計算A'!CC$117=1,INDEX('計算A'!CC$10:CC$54,$B14),0)+IF('計算A'!CD$117=1,INDEX('計算A'!CE$10:CE$54,$B14),0))*4000,0)-IF(AND('計算A'!CC$117=1,XA14&gt;0),2000,0)-IF(AND($L14=1,'計算A'!CD$117=1,GC14=0),2000,0))),1000000))</f>
        <v/>
      </c>
      <c r="RG14">
        <f>IF($B14=0,1000000,IF(INDEX('計算A'!$D$60:$EQ$104,$B14,80)*GC14=1,IF(AND($E14=2,LR14=0),1000000,IF($I14&gt;0,IF(4=$J14,IF(OR(AND(80=$I14+1,OR($K14&lt;&gt;'計算A'!$A$3,'計算A'!$A$4=0)),AND(80=$I14-1,OR(8&lt;&gt;'計算A'!$A$3,'計算A'!$A$4=0))),0,IF(8=$K14,200000,ABS(8-$K14)*100)),100000+ABS(4-$J14)*1000+80)+'計算A'!CE$5*50+IF(AND($E14=1,LR14=0),25,0),IF($F14&gt;0,INDEX('計算A'!CE$110:CE$114,$F14+1)+IF(AND($E14=1,LR14=0),1000,0),MIN(TX14,20)*400+(IF('計算A'!CD$106=1,1-GB14,0)+IF('計算A'!CE$106=1,1-GD14,0))*150+84+'計算A'!CE$5*100000+IF(AND($E14=1,LR14=0),50000,0))+IF($H14=1,(IF('計算A'!CD$117=1,INDEX('計算A'!CD$10:CD$54,$B14),0)+IF('計算A'!CE$117=1,INDEX('計算A'!CF$10:CF$54,$B14),0))*4000,0)-IF(AND('計算A'!CD$117=1,XB14&gt;0),2000,0)-IF(AND($L14=1,'計算A'!CE$117=1,GD14=0),2000,0))),1000000))</f>
        <v/>
      </c>
      <c r="RH14">
        <f>IF($B14=0,1000000,IF(INDEX('計算A'!$D$60:$EQ$104,$B14,81)*GD14=1,IF(AND($E14=2,LS14=0),1000000,IF($I14&gt;0,IF(4=$J14,IF(OR(AND(81=$I14+1,OR($K14&lt;&gt;'計算A'!$A$3,'計算A'!$A$4=0)),AND(81=$I14-1,OR(9&lt;&gt;'計算A'!$A$3,'計算A'!$A$4=0))),0,IF(9=$K14,200000,ABS(9-$K14)*100)),100000+ABS(4-$J14)*1000+90)+'計算A'!CF$5*50+IF(AND($E14=1,LS14=0),25,0),IF($F14&gt;0,INDEX('計算A'!CF$110:CF$114,$F14+1)+IF(AND($E14=1,LS14=0),1000,0),MIN(TX14,20)*400+(IF('計算A'!CE$106=1,1-GC14,0)+IF('計算A'!CF$106=1,1-GE14,0))*150+94+'計算A'!CF$5*100000+IF(AND($E14=1,LS14=0),50000,0))+IF($H14=1,(IF('計算A'!CE$117=1,INDEX('計算A'!CE$10:CE$54,$B14),0)+IF('計算A'!CF$117=1,INDEX('計算A'!CG$10:CG$54,$B14),0))*4000,0)-IF(AND('計算A'!CE$117=1,XC14&gt;0),2000,0)-IF(AND($L14=1,'計算A'!CF$117=1,GE14=0),2000,0))),1000000))</f>
        <v/>
      </c>
      <c r="RI14">
        <f>IF($B14=0,1000000,IF(INDEX('計算A'!$D$60:$EQ$104,$B14,82)*GE14=1,IF(AND($E14=2,LT14=0),1000000,IF($I14&gt;0,IF(4=$J14,IF(OR(AND(82=$I14+1,OR($K14&lt;&gt;'計算A'!$A$3,'計算A'!$A$4=0)),AND(82=$I14-1,OR(10&lt;&gt;'計算A'!$A$3,'計算A'!$A$4=0))),0,IF(10=$K14,200000,ABS(10-$K14)*100)),100000+ABS(4-$J14)*1000+100)+'計算A'!CG$5*50+IF(AND($E14=1,LT14=0),25,0),IF($F14&gt;0,INDEX('計算A'!CG$110:CG$114,$F14+1)+IF(AND($E14=1,LT14=0),1000,0),MIN(TX14,20)*400+(IF('計算A'!CF$106=1,1-GD14,0)+IF('計算A'!CG$106=1,1-GF14,0))*150+104+'計算A'!CG$5*100000+IF(AND($E14=1,LT14=0),50000,0))+IF($H14=1,(IF('計算A'!CF$117=1,INDEX('計算A'!CF$10:CF$54,$B14),0)+IF('計算A'!CG$117=1,INDEX('計算A'!CH$10:CH$54,$B14),0))*4000,0)-IF(AND('計算A'!CF$117=1,XD14&gt;0),2000,0)-IF(AND($L14=1,'計算A'!CG$117=1,GF14=0),2000,0))),1000000))</f>
        <v/>
      </c>
      <c r="RJ14">
        <f>IF($B14=0,1000000,IF(INDEX('計算A'!$D$60:$EQ$104,$B14,83)*GF14=1,IF(AND($E14=2,LU14=0),1000000,IF($I14&gt;0,IF(4=$J14,IF(OR(AND(83=$I14+1,OR($K14&lt;&gt;'計算A'!$A$3,'計算A'!$A$4=0)),AND(83=$I14-1,OR(11&lt;&gt;'計算A'!$A$3,'計算A'!$A$4=0))),0,IF(11=$K14,200000,ABS(11-$K14)*100)),100000+ABS(4-$J14)*1000+110)+'計算A'!CH$5*50+IF(AND($E14=1,LU14=0),25,0),IF($F14&gt;0,INDEX('計算A'!CH$110:CH$114,$F14+1)+IF(AND($E14=1,LU14=0),1000,0),MIN(TX14,20)*400+(IF('計算A'!CG$106=1,1-GE14,0)+IF('計算A'!CH$106=1,1-GG14,0))*150+114+'計算A'!CH$5*100000+IF(AND($E14=1,LU14=0),50000,0))+IF($H14=1,(IF('計算A'!CG$117=1,INDEX('計算A'!CG$10:CG$54,$B14),0)+IF('計算A'!CH$117=1,INDEX('計算A'!CI$10:CI$54,$B14),0))*4000,0)-IF(AND('計算A'!CG$117=1,XE14&gt;0),2000,0)-IF(AND($L14=1,'計算A'!CH$117=1,GG14=0),2000,0))),1000000))</f>
        <v/>
      </c>
      <c r="RK14">
        <f>IF($B14=0,1000000,IF(INDEX('計算A'!$D$60:$EQ$104,$B14,84)*GG14=1,IF(AND($E14=2,LV14=0),1000000,IF($I14&gt;0,IF(4=$J14,IF(OR(AND(84=$I14+1,OR($K14&lt;&gt;'計算A'!$A$3,'計算A'!$A$4=0)),AND(84=$I14-1,OR(12&lt;&gt;'計算A'!$A$3,'計算A'!$A$4=0))),0,IF(12=$K14,200000,ABS(12-$K14)*100)),100000+ABS(4-$J14)*1000+120)+'計算A'!CI$5*50+IF(AND($E14=1,LV14=0),25,0),IF($F14&gt;0,INDEX('計算A'!CI$110:CI$114,$F14+1)+IF(AND($E14=1,LV14=0),1000,0),MIN(TX14,20)*400+(IF('計算A'!CH$106=1,1-GF14,0)+IF('計算A'!CI$106=1,1-GH14,0))*150+124+'計算A'!CI$5*100000+IF(AND($E14=1,LV14=0),50000,0))+IF($H14=1,(IF('計算A'!CH$117=1,INDEX('計算A'!CH$10:CH$54,$B14),0)+IF('計算A'!CI$117=1,INDEX('計算A'!CJ$10:CJ$54,$B14),0))*4000,0)-IF(AND('計算A'!CH$117=1,XF14&gt;0),2000,0)-IF(AND($L14=1,'計算A'!CI$117=1,GH14=0),2000,0))),1000000))</f>
        <v/>
      </c>
      <c r="RL14">
        <f>IF($B14=0,1000000,IF(INDEX('計算A'!$D$60:$EQ$104,$B14,85)*GH14=1,IF(AND($E14=2,LW14=0),1000000,IF($I14&gt;0,IF(4=$J14,IF(OR(AND(85=$I14+1,OR($K14&lt;&gt;'計算A'!$A$3,'計算A'!$A$4=0)),AND(85=$I14-1,OR(13&lt;&gt;'計算A'!$A$3,'計算A'!$A$4=0))),0,IF(13=$K14,200000,ABS(13-$K14)*100)),100000+ABS(4-$J14)*1000+130)+'計算A'!CJ$5*50+IF(AND($E14=1,LW14=0),25,0),IF($F14&gt;0,INDEX('計算A'!CJ$110:CJ$114,$F14+1)+IF(AND($E14=1,LW14=0),1000,0),MIN(TX14,20)*400+(IF('計算A'!CI$106=1,1-GG14,0)+IF('計算A'!CJ$106=1,1-GI14,0))*150+134+'計算A'!CJ$5*100000+IF(AND($E14=1,LW14=0),50000,0))+IF($H14=1,(IF('計算A'!CI$117=1,INDEX('計算A'!CI$10:CI$54,$B14),0)+IF('計算A'!CJ$117=1,INDEX('計算A'!CK$10:CK$54,$B14),0))*4000,0)-IF(AND('計算A'!CI$117=1,XG14&gt;0),2000,0)-IF(AND($L14=1,'計算A'!CJ$117=1,GI14=0),2000,0))),1000000))</f>
        <v/>
      </c>
      <c r="RM14">
        <f>IF($B14=0,1000000,IF(INDEX('計算A'!$D$60:$EQ$104,$B14,86)*GI14=1,IF(AND($E14=2,LX14=0),1000000,IF($I14&gt;0,IF(4=$J14,IF(OR(AND(86=$I14+1,OR($K14&lt;&gt;'計算A'!$A$3,'計算A'!$A$4=0)),AND(86=$I14-1,OR(14&lt;&gt;'計算A'!$A$3,'計算A'!$A$4=0))),0,IF(14=$K14,200000,ABS(14-$K14)*100)),100000+ABS(4-$J14)*1000+140)+'計算A'!CK$5*50+IF(AND($E14=1,LX14=0),25,0),IF($F14&gt;0,INDEX('計算A'!CK$110:CK$114,$F14+1)+IF(AND($E14=1,LX14=0),1000,0),MIN(TX14,20)*400+(IF('計算A'!CJ$106=1,1-GH14,0)+IF('計算A'!CK$106=1,1-GJ14,0))*150+144+'計算A'!CK$5*100000+IF(AND($E14=1,LX14=0),50000,0))+IF($H14=1,(IF('計算A'!CJ$117=1,INDEX('計算A'!CJ$10:CJ$54,$B14),0)+IF('計算A'!CK$117=1,INDEX('計算A'!CL$10:CL$54,$B14),0))*4000,0)-IF(AND('計算A'!CJ$117=1,XH14&gt;0),2000,0)-IF(AND($L14=1,'計算A'!CK$117=1,GJ14=0),2000,0))),1000000))</f>
        <v/>
      </c>
      <c r="RN14">
        <f>IF($B14=0,1000000,IF(INDEX('計算A'!$D$60:$EQ$104,$B14,87)*GJ14=1,IF(AND($E14=2,LY14=0),1000000,IF($I14&gt;0,IF(4=$J14,IF(OR(AND(87=$I14+1,OR($K14&lt;&gt;'計算A'!$A$3,'計算A'!$A$4=0)),AND(87=$I14-1,OR(15&lt;&gt;'計算A'!$A$3,'計算A'!$A$4=0))),0,IF(15=$K14,200000,ABS(15-$K14)*100)),100000+ABS(4-$J14)*1000+150)+'計算A'!CL$5*50+IF(AND($E14=1,LY14=0),25,0),IF($F14&gt;0,INDEX('計算A'!CL$110:CL$114,$F14+1)+IF(AND($E14=1,LY14=0),1000,0),MIN(TX14,20)*400+(IF('計算A'!CK$106=1,1-GI14,0)+IF('計算A'!CL$106=1,1-GK14,0))*150+154+'計算A'!CL$5*100000+IF(AND($E14=1,LY14=0),50000,0))+IF($H14=1,(IF('計算A'!CK$117=1,INDEX('計算A'!CK$10:CK$54,$B14),0)+IF('計算A'!CL$117=1,INDEX('計算A'!CM$10:CM$54,$B14),0))*4000,0)-IF(AND('計算A'!CK$117=1,XI14&gt;0),2000,0)-IF(AND($L14=1,'計算A'!CL$117=1,GK14=0),2000,0))),1000000))</f>
        <v/>
      </c>
      <c r="RO14">
        <f>IF($B14=0,1000000,IF(INDEX('計算A'!$D$60:$EQ$104,$B14,88)*GK14=1,IF(AND($E14=2,LZ14=0),1000000,IF($I14&gt;0,IF(4=$J14,IF(OR(AND(88=$I14+1,OR($K14&lt;&gt;'計算A'!$A$3,'計算A'!$A$4=0)),AND(88=$I14-1,OR(16&lt;&gt;'計算A'!$A$3,'計算A'!$A$4=0))),0,IF(16=$K14,200000,ABS(16-$K14)*100)),100000+ABS(4-$J14)*1000+160)+'計算A'!CM$5*50+IF(AND($E14=1,LZ14=0),25,0),IF($F14&gt;0,INDEX('計算A'!CM$110:CM$114,$F14+1)+IF(AND($E14=1,LZ14=0),1000,0),MIN(TX14,20)*400+(IF('計算A'!CL$106=1,1-GJ14,0)+IF('計算A'!CM$106=1,1-GL14,0))*150+164+'計算A'!CM$5*100000+IF(AND($E14=1,LZ14=0),50000,0))+IF($H14=1,(IF('計算A'!CL$117=1,INDEX('計算A'!CL$10:CL$54,$B14),0)+IF('計算A'!CM$117=1,INDEX('計算A'!CN$10:CN$54,$B14),0))*4000,0)-IF(AND('計算A'!CL$117=1,XJ14&gt;0),2000,0)-IF(AND($L14=1,'計算A'!CM$117=1,GL14=0),2000,0))),1000000))</f>
        <v/>
      </c>
      <c r="RP14">
        <f>IF($B14=0,1000000,IF(INDEX('計算A'!$D$60:$EQ$104,$B14,89)*GL14=1,IF(AND($E14=2,MA14=0),1000000,IF($I14&gt;0,IF(4=$J14,IF(OR(AND(89=$I14+1,OR($K14&lt;&gt;'計算A'!$A$3,'計算A'!$A$4=0)),AND(89=$I14-1,OR(17&lt;&gt;'計算A'!$A$3,'計算A'!$A$4=0))),0,IF(17=$K14,200000,ABS(17-$K14)*100)),100000+ABS(4-$J14)*1000+170)+'計算A'!CN$5*50+IF(AND($E14=1,MA14=0),25,0),IF($F14&gt;0,INDEX('計算A'!CN$110:CN$114,$F14+1)+IF(AND($E14=1,MA14=0),1000,0),MIN(TX14,20)*400+(IF('計算A'!CM$106=1,1-GK14,0)+IF('計算A'!CN$106=1,1-GM14,0))*150+174+'計算A'!CN$5*100000+IF(AND($E14=1,MA14=0),50000,0))+IF($H14=1,(IF('計算A'!CM$117=1,INDEX('計算A'!CM$10:CM$54,$B14),0)+IF('計算A'!CN$117=1,INDEX('計算A'!CO$10:CO$54,$B14),0))*4000,0)-IF(AND('計算A'!CM$117=1,XK14&gt;0),2000,0)-IF(AND($L14=1,'計算A'!CN$117=1,GM14=0),2000,0))),1000000))</f>
        <v/>
      </c>
      <c r="RQ14">
        <f>IF($B14=0,1000000,IF(INDEX('計算A'!$D$60:$EQ$104,$B14,90)*GM14=1,IF(AND($E14=2,MB14=0),1000000,IF($I14&gt;0,IF(4=$J14,IF(OR(AND(90=$I14+1,OR($K14&lt;&gt;'計算A'!$A$3,'計算A'!$A$4=0)),AND(90=$I14-1,OR(18&lt;&gt;'計算A'!$A$3,'計算A'!$A$4=0))),0,IF(18=$K14,200000,ABS(18-$K14)*100)),100000+ABS(4-$J14)*1000+180)+'計算A'!CO$5*50+IF(AND($E14=1,MB14=0),25,0),IF($F14&gt;0,INDEX('計算A'!CO$110:CO$114,$F14+1)+IF(AND($E14=1,MB14=0),1000,0),MIN(TX14,20)*400+(IF('計算A'!CN$106=1,1-GL14,0)+IF('計算A'!CO$106=1,1-GN14,0))*150+184+'計算A'!CO$5*100000+IF(AND($E14=1,MB14=0),50000,0))+IF($H14=1,(IF('計算A'!CN$117=1,INDEX('計算A'!CN$10:CN$54,$B14),0)+IF('計算A'!CO$117=1,INDEX('計算A'!CP$10:CP$54,$B14),0))*4000,0)-IF(AND('計算A'!CN$117=1,XL14&gt;0),2000,0)-IF(AND($L14=1,'計算A'!CO$117=1,GN14=0),2000,0))),1000000))</f>
        <v/>
      </c>
      <c r="RR14">
        <f>IF($B14=0,1000000,IF(INDEX('計算A'!$D$60:$EQ$104,$B14,91)*GN14=1,IF(AND($E14=2,MC14=0),1000000,IF($I14&gt;0,IF(4=$J14,IF(OR(AND(91=$I14+1,OR($K14&lt;&gt;'計算A'!$A$3,'計算A'!$A$4=0)),AND(91=$I14-1,OR(19&lt;&gt;'計算A'!$A$3,'計算A'!$A$4=0))),0,IF(19=$K14,200000,ABS(19-$K14)*100)),100000+ABS(4-$J14)*1000+190)+'計算A'!CP$5*50+IF(AND($E14=1,MC14=0),25,0),IF($F14&gt;0,INDEX('計算A'!CP$110:CP$114,$F14+1)+IF(AND($E14=1,MC14=0),1000,0),MIN(TX14,20)*400+(IF('計算A'!CO$106=1,1-GM14,0)+IF('計算A'!CP$106=1,1-GO14,0))*150+194+'計算A'!CP$5*100000+IF(AND($E14=1,MC14=0),50000,0))+IF($H14=1,(IF('計算A'!CO$117=1,INDEX('計算A'!CO$10:CO$54,$B14),0)+IF('計算A'!CP$117=1,INDEX('計算A'!CQ$10:CQ$54,$B14),0))*4000,0)-IF(AND('計算A'!CO$117=1,XM14&gt;0),2000,0)-IF(AND($L14=1,'計算A'!CP$117=1,GO14=0),2000,0))),1000000))</f>
        <v/>
      </c>
      <c r="RS14">
        <f>IF($B14=0,1000000,IF(INDEX('計算A'!$D$60:$EQ$104,$B14,92)*GO14=1,IF(AND($E14=2,MD14=0),1000000,IF($I14&gt;0,IF(4=$J14,IF(OR(AND(92=$I14+1,OR($K14&lt;&gt;'計算A'!$A$3,'計算A'!$A$4=0)),AND(92=$I14-1,OR(20&lt;&gt;'計算A'!$A$3,'計算A'!$A$4=0))),0,IF(20=$K14,200000,ABS(20-$K14)*100)),100000+ABS(4-$J14)*1000+200)+'計算A'!CQ$5*50+IF(AND($E14=1,MD14=0),25,0),IF($F14&gt;0,INDEX('計算A'!CQ$110:CQ$114,$F14+1)+IF(AND($E14=1,MD14=0),1000,0),MIN(TX14,20)*400+(IF('計算A'!CP$106=1,1-GN14,0)+IF('計算A'!CQ$106=1,1-GP14,0))*150+204+'計算A'!CQ$5*100000+IF(AND($E14=1,MD14=0),50000,0))+IF($H14=1,(IF('計算A'!CP$117=1,INDEX('計算A'!CP$10:CP$54,$B14),0)+IF('計算A'!CQ$117=1,INDEX('計算A'!CR$10:CR$54,$B14),0))*4000,0)-IF(AND('計算A'!CP$117=1,XN14&gt;0),2000,0)-IF(AND($L14=1,'計算A'!CQ$117=1,GP14=0),2000,0))),1000000))</f>
        <v/>
      </c>
      <c r="RT14">
        <f>IF($B14=0,1000000,IF(INDEX('計算A'!$D$60:$EQ$104,$B14,93)*GP14=1,IF(AND($E14=2,ME14=0),1000000,IF($I14&gt;0,IF(4=$J14,IF(OR(AND(93=$I14+1,OR($K14&lt;&gt;'計算A'!$A$3,'計算A'!$A$4=0)),AND(93=$I14-1,OR(21&lt;&gt;'計算A'!$A$3,'計算A'!$A$4=0))),0,IF(21=$K14,200000,ABS(21-$K14)*100)),100000+ABS(4-$J14)*1000+210)+'計算A'!CR$5*50+IF(AND($E14=1,ME14=0),25,0),IF($F14&gt;0,INDEX('計算A'!CR$110:CR$114,$F14+1)+IF(AND($E14=1,ME14=0),1000,0),MIN(TX14,20)*400+(IF('計算A'!CQ$106=1,1-GO14,0)+IF('計算A'!CR$106=1,1-GQ14,0))*150+214+'計算A'!CR$5*100000+IF(AND($E14=1,ME14=0),50000,0))+IF($H14=1,(IF('計算A'!CQ$117=1,INDEX('計算A'!CQ$10:CQ$54,$B14),0)+IF('計算A'!CR$117=1,INDEX('計算A'!CS$10:CS$54,$B14),0))*4000,0)-IF(AND('計算A'!CQ$117=1,XO14&gt;0),2000,0)-IF(AND($L14=1,'計算A'!CR$117=1,GQ14=0),2000,0))),1000000))</f>
        <v/>
      </c>
      <c r="RU14">
        <f>IF($B14=0,1000000,IF(INDEX('計算A'!$D$60:$EQ$104,$B14,94)*GQ14=1,IF(AND($E14=2,MF14=0),1000000,IF($I14&gt;0,IF(4=$J14,IF(OR(AND(94=$I14+1,OR($K14&lt;&gt;'計算A'!$A$3,'計算A'!$A$4=0)),AND(94=$I14-1,OR(22&lt;&gt;'計算A'!$A$3,'計算A'!$A$4=0))),0,IF(22=$K14,200000,ABS(22-$K14)*100)),100000+ABS(4-$J14)*1000+220)+'計算A'!CS$5*50+IF(AND($E14=1,MF14=0),25,0),IF($F14&gt;0,INDEX('計算A'!CS$110:CS$114,$F14+1)+IF(AND($E14=1,MF14=0),1000,0),MIN(TX14,20)*400+(IF('計算A'!CR$106=1,1-GP14,0)+IF('計算A'!CS$106=1,1-GR14,0))*150+224+'計算A'!CS$5*100000+IF(AND($E14=1,MF14=0),50000,0))+IF($H14=1,(IF('計算A'!CR$117=1,INDEX('計算A'!CR$10:CR$54,$B14),0)+IF('計算A'!CS$117=1,INDEX('計算A'!CT$10:CT$54,$B14),0))*4000,0)-IF(AND('計算A'!CR$117=1,XP14&gt;0),2000,0)-IF(AND($L14=1,'計算A'!CS$117=1,GR14=0),2000,0))),1000000))</f>
        <v/>
      </c>
      <c r="RV14">
        <f>IF($B14=0,1000000,IF(INDEX('計算A'!$D$60:$EQ$104,$B14,95)*GR14=1,IF(AND($E14=2,MG14=0),1000000,IF($I14&gt;0,IF(4=$J14,IF(OR(AND(95=$I14+1,OR($K14&lt;&gt;'計算A'!$A$3,'計算A'!$A$4=0)),AND(95=$I14-1,OR(23&lt;&gt;'計算A'!$A$3,'計算A'!$A$4=0))),0,IF(23=$K14,200000,ABS(23-$K14)*100)),100000+ABS(4-$J14)*1000+230)+'計算A'!CT$5*50+IF(AND($E14=1,MG14=0),25,0),IF($F14&gt;0,INDEX('計算A'!CT$110:CT$114,$F14+1)+IF(AND($E14=1,MG14=0),1000,0),MIN(TX14,20)*400+(IF('計算A'!CS$106=1,1-GQ14,0)+IF('計算A'!CT$106=1,1-GS14,0))*150+234+'計算A'!CT$5*100000+IF(AND($E14=1,MG14=0),50000,0))+IF($H14=1,(IF('計算A'!CS$117=1,INDEX('計算A'!CS$10:CS$54,$B14),0)+IF('計算A'!CT$117=1,INDEX('計算A'!CU$10:CU$54,$B14),0))*4000,0)-IF(AND('計算A'!CS$117=1,XQ14&gt;0),2000,0)-IF(AND($L14=1,'計算A'!CT$117=1,GS14=0),2000,0))),1000000))</f>
        <v/>
      </c>
      <c r="RW14">
        <f>IF($B14=0,1000000,IF(INDEX('計算A'!$D$60:$EQ$104,$B14,96)*GS14=1,IF(AND($E14=2,MH14=0),1000000,IF($I14&gt;0,IF(4=$J14,IF(OR(AND(96=$I14+1,OR($K14&lt;&gt;'計算A'!$A$3,'計算A'!$A$4=0)),AND(96=$I14-1,OR(24&lt;&gt;'計算A'!$A$3,'計算A'!$A$4=0))),0,IF(24=$K14,200000,ABS(24-$K14)*100)),100000+ABS(4-$J14)*1000+240)+'計算A'!CU$5*50+IF(AND($E14=1,MH14=0),25,0),IF($F14&gt;0,INDEX('計算A'!CU$110:CU$114,$F14+1)+IF(AND($E14=1,MH14=0),1000,0),MIN(TX14,20)*400+(IF('計算A'!CT$106=1,1-GR14,0))*150+244+'計算A'!CU$5*100000+IF(AND($E14=1,MH14=0),50000,0))+IF($H14=1,(IF('計算A'!CT$117=1,INDEX('計算A'!CT$10:CT$54,$B14),0))*4000,0)-IF(AND('計算A'!CT$117=1,XR14&gt;0),2000,0))),1000000))</f>
        <v/>
      </c>
      <c r="RX14">
        <f>IF($B14=0,1000000,IF(INDEX('計算A'!$D$60:$EQ$104,$B14,97)*GT14=1,IF(AND($E14=2,MI14=0),1000000,IF($I14&gt;0,IF(5=$J14,IF(OR(AND(97=$I14+1,OR($K14&lt;&gt;'計算A'!$A$3,'計算A'!$A$4=0)),AND(97=$I14-1,OR(1&lt;&gt;'計算A'!$A$3,'計算A'!$A$4=0))),0,IF(1=$K14,200000,ABS(1-$K14)*100)),100000+ABS(5-$J14)*1000+10)+'計算A'!CV$5*50+IF(AND($E14=1,MI14=0),25,0),IF($F14&gt;0,INDEX('計算A'!CV$110:CV$114,$F14+1)+IF(AND($E14=1,MI14=0),1000,0),MIN(TY14,20)*400+(IF('計算A'!CV$106=1,1-GU14,0))*150+15+'計算A'!CV$5*100000+IF(AND($E14=1,MI14=0),50000,0))+IF($H14=1,(IF('計算A'!CV$117=1,INDEX('計算A'!CW$10:CW$54,$B14),0))*4000,0)-IF(AND($L14=1,'計算A'!CV$117=1,GU14=0),2000,0))),1000000))</f>
        <v/>
      </c>
      <c r="RY14">
        <f>IF($B14=0,1000000,IF(INDEX('計算A'!$D$60:$EQ$104,$B14,98)*GU14=1,IF(AND($E14=2,MJ14=0),1000000,IF($I14&gt;0,IF(5=$J14,IF(OR(AND(98=$I14+1,OR($K14&lt;&gt;'計算A'!$A$3,'計算A'!$A$4=0)),AND(98=$I14-1,OR(2&lt;&gt;'計算A'!$A$3,'計算A'!$A$4=0))),0,IF(2=$K14,200000,ABS(2-$K14)*100)),100000+ABS(5-$J14)*1000+20)+'計算A'!CW$5*50+IF(AND($E14=1,MJ14=0),25,0),IF($F14&gt;0,INDEX('計算A'!CW$110:CW$114,$F14+1)+IF(AND($E14=1,MJ14=0),1000,0),MIN(TY14,20)*400+(IF('計算A'!CV$106=1,1-GT14,0)+IF('計算A'!CW$106=1,1-GV14,0))*150+25+'計算A'!CW$5*100000+IF(AND($E14=1,MJ14=0),50000,0))+IF($H14=1,(IF('計算A'!CV$117=1,INDEX('計算A'!CV$10:CV$54,$B14),0)+IF('計算A'!CW$117=1,INDEX('計算A'!CX$10:CX$54,$B14),0))*4000,0)-IF(AND('計算A'!CV$117=1,XT14&gt;0),2000,0)-IF(AND($L14=1,'計算A'!CW$117=1,GV14=0),2000,0))),1000000))</f>
        <v/>
      </c>
      <c r="RZ14">
        <f>IF($B14=0,1000000,IF(INDEX('計算A'!$D$60:$EQ$104,$B14,99)*GV14=1,IF(AND($E14=2,MK14=0),1000000,IF($I14&gt;0,IF(5=$J14,IF(OR(AND(99=$I14+1,OR($K14&lt;&gt;'計算A'!$A$3,'計算A'!$A$4=0)),AND(99=$I14-1,OR(3&lt;&gt;'計算A'!$A$3,'計算A'!$A$4=0))),0,IF(3=$K14,200000,ABS(3-$K14)*100)),100000+ABS(5-$J14)*1000+30)+'計算A'!CX$5*50+IF(AND($E14=1,MK14=0),25,0),IF($F14&gt;0,INDEX('計算A'!CX$110:CX$114,$F14+1)+IF(AND($E14=1,MK14=0),1000,0),MIN(TY14,20)*400+(IF('計算A'!CW$106=1,1-GU14,0)+IF('計算A'!CX$106=1,1-GW14,0))*150+35+'計算A'!CX$5*100000+IF(AND($E14=1,MK14=0),50000,0))+IF($H14=1,(IF('計算A'!CW$117=1,INDEX('計算A'!CW$10:CW$54,$B14),0)+IF('計算A'!CX$117=1,INDEX('計算A'!CY$10:CY$54,$B14),0))*4000,0)-IF(AND('計算A'!CW$117=1,XU14&gt;0),2000,0)-IF(AND($L14=1,'計算A'!CX$117=1,GW14=0),2000,0))),1000000))</f>
        <v/>
      </c>
      <c r="SA14">
        <f>IF($B14=0,1000000,IF(INDEX('計算A'!$D$60:$EQ$104,$B14,100)*GW14=1,IF(AND($E14=2,ML14=0),1000000,IF($I14&gt;0,IF(5=$J14,IF(OR(AND(100=$I14+1,OR($K14&lt;&gt;'計算A'!$A$3,'計算A'!$A$4=0)),AND(100=$I14-1,OR(4&lt;&gt;'計算A'!$A$3,'計算A'!$A$4=0))),0,IF(4=$K14,200000,ABS(4-$K14)*100)),100000+ABS(5-$J14)*1000+40)+'計算A'!CY$5*50+IF(AND($E14=1,ML14=0),25,0),IF($F14&gt;0,INDEX('計算A'!CY$110:CY$114,$F14+1)+IF(AND($E14=1,ML14=0),1000,0),MIN(TY14,20)*400+(IF('計算A'!CX$106=1,1-GV14,0)+IF('計算A'!CY$106=1,1-GX14,0))*150+45+'計算A'!CY$5*100000+IF(AND($E14=1,ML14=0),50000,0))+IF($H14=1,(IF('計算A'!CX$117=1,INDEX('計算A'!CX$10:CX$54,$B14),0)+IF('計算A'!CY$117=1,INDEX('計算A'!CZ$10:CZ$54,$B14),0))*4000,0)-IF(AND('計算A'!CX$117=1,XV14&gt;0),2000,0)-IF(AND($L14=1,'計算A'!CY$117=1,GX14=0),2000,0))),1000000))</f>
        <v/>
      </c>
      <c r="SB14">
        <f>IF($B14=0,1000000,IF(INDEX('計算A'!$D$60:$EQ$104,$B14,101)*GX14=1,IF(AND($E14=2,MM14=0),1000000,IF($I14&gt;0,IF(5=$J14,IF(OR(AND(101=$I14+1,OR($K14&lt;&gt;'計算A'!$A$3,'計算A'!$A$4=0)),AND(101=$I14-1,OR(5&lt;&gt;'計算A'!$A$3,'計算A'!$A$4=0))),0,IF(5=$K14,200000,ABS(5-$K14)*100)),100000+ABS(5-$J14)*1000+50)+'計算A'!CZ$5*50+IF(AND($E14=1,MM14=0),25,0),IF($F14&gt;0,INDEX('計算A'!CZ$110:CZ$114,$F14+1)+IF(AND($E14=1,MM14=0),1000,0),MIN(TY14,20)*400+(IF('計算A'!CY$106=1,1-GW14,0)+IF('計算A'!CZ$106=1,1-GY14,0))*150+55+'計算A'!CZ$5*100000+IF(AND($E14=1,MM14=0),50000,0))+IF($H14=1,(IF('計算A'!CY$117=1,INDEX('計算A'!CY$10:CY$54,$B14),0)+IF('計算A'!CZ$117=1,INDEX('計算A'!DA$10:DA$54,$B14),0))*4000,0)-IF(AND('計算A'!CY$117=1,XW14&gt;0),2000,0)-IF(AND($L14=1,'計算A'!CZ$117=1,GY14=0),2000,0))),1000000))</f>
        <v/>
      </c>
      <c r="SC14">
        <f>IF($B14=0,1000000,IF(INDEX('計算A'!$D$60:$EQ$104,$B14,102)*GY14=1,IF(AND($E14=2,MN14=0),1000000,IF($I14&gt;0,IF(5=$J14,IF(OR(AND(102=$I14+1,OR($K14&lt;&gt;'計算A'!$A$3,'計算A'!$A$4=0)),AND(102=$I14-1,OR(6&lt;&gt;'計算A'!$A$3,'計算A'!$A$4=0))),0,IF(6=$K14,200000,ABS(6-$K14)*100)),100000+ABS(5-$J14)*1000+60)+'計算A'!DA$5*50+IF(AND($E14=1,MN14=0),25,0),IF($F14&gt;0,INDEX('計算A'!DA$110:DA$114,$F14+1)+IF(AND($E14=1,MN14=0),1000,0),MIN(TY14,20)*400+(IF('計算A'!CZ$106=1,1-GX14,0)+IF('計算A'!DA$106=1,1-GZ14,0))*150+65+'計算A'!DA$5*100000+IF(AND($E14=1,MN14=0),50000,0))+IF($H14=1,(IF('計算A'!CZ$117=1,INDEX('計算A'!CZ$10:CZ$54,$B14),0)+IF('計算A'!DA$117=1,INDEX('計算A'!DB$10:DB$54,$B14),0))*4000,0)-IF(AND('計算A'!CZ$117=1,XX14&gt;0),2000,0)-IF(AND($L14=1,'計算A'!DA$117=1,GZ14=0),2000,0))),1000000))</f>
        <v/>
      </c>
      <c r="SD14">
        <f>IF($B14=0,1000000,IF(INDEX('計算A'!$D$60:$EQ$104,$B14,103)*GZ14=1,IF(AND($E14=2,MO14=0),1000000,IF($I14&gt;0,IF(5=$J14,IF(OR(AND(103=$I14+1,OR($K14&lt;&gt;'計算A'!$A$3,'計算A'!$A$4=0)),AND(103=$I14-1,OR(7&lt;&gt;'計算A'!$A$3,'計算A'!$A$4=0))),0,IF(7=$K14,200000,ABS(7-$K14)*100)),100000+ABS(5-$J14)*1000+70)+'計算A'!DB$5*50+IF(AND($E14=1,MO14=0),25,0),IF($F14&gt;0,INDEX('計算A'!DB$110:DB$114,$F14+1)+IF(AND($E14=1,MO14=0),1000,0),MIN(TY14,20)*400+(IF('計算A'!DA$106=1,1-GY14,0)+IF('計算A'!DB$106=1,1-HA14,0))*150+75+'計算A'!DB$5*100000+IF(AND($E14=1,MO14=0),50000,0))+IF($H14=1,(IF('計算A'!DA$117=1,INDEX('計算A'!DA$10:DA$54,$B14),0)+IF('計算A'!DB$117=1,INDEX('計算A'!DC$10:DC$54,$B14),0))*4000,0)-IF(AND('計算A'!DA$117=1,XY14&gt;0),2000,0)-IF(AND($L14=1,'計算A'!DB$117=1,HA14=0),2000,0))),1000000))</f>
        <v/>
      </c>
      <c r="SE14">
        <f>IF($B14=0,1000000,IF(INDEX('計算A'!$D$60:$EQ$104,$B14,104)*HA14=1,IF(AND($E14=2,MP14=0),1000000,IF($I14&gt;0,IF(5=$J14,IF(OR(AND(104=$I14+1,OR($K14&lt;&gt;'計算A'!$A$3,'計算A'!$A$4=0)),AND(104=$I14-1,OR(8&lt;&gt;'計算A'!$A$3,'計算A'!$A$4=0))),0,IF(8=$K14,200000,ABS(8-$K14)*100)),100000+ABS(5-$J14)*1000+80)+'計算A'!DC$5*50+IF(AND($E14=1,MP14=0),25,0),IF($F14&gt;0,INDEX('計算A'!DC$110:DC$114,$F14+1)+IF(AND($E14=1,MP14=0),1000,0),MIN(TY14,20)*400+(IF('計算A'!DB$106=1,1-GZ14,0)+IF('計算A'!DC$106=1,1-HB14,0))*150+85+'計算A'!DC$5*100000+IF(AND($E14=1,MP14=0),50000,0))+IF($H14=1,(IF('計算A'!DB$117=1,INDEX('計算A'!DB$10:DB$54,$B14),0)+IF('計算A'!DC$117=1,INDEX('計算A'!DD$10:DD$54,$B14),0))*4000,0)-IF(AND('計算A'!DB$117=1,XZ14&gt;0),2000,0)-IF(AND($L14=1,'計算A'!DC$117=1,HB14=0),2000,0))),1000000))</f>
        <v/>
      </c>
      <c r="SF14">
        <f>IF($B14=0,1000000,IF(INDEX('計算A'!$D$60:$EQ$104,$B14,105)*HB14=1,IF(AND($E14=2,MQ14=0),1000000,IF($I14&gt;0,IF(5=$J14,IF(OR(AND(105=$I14+1,OR($K14&lt;&gt;'計算A'!$A$3,'計算A'!$A$4=0)),AND(105=$I14-1,OR(9&lt;&gt;'計算A'!$A$3,'計算A'!$A$4=0))),0,IF(9=$K14,200000,ABS(9-$K14)*100)),100000+ABS(5-$J14)*1000+90)+'計算A'!DD$5*50+IF(AND($E14=1,MQ14=0),25,0),IF($F14&gt;0,INDEX('計算A'!DD$110:DD$114,$F14+1)+IF(AND($E14=1,MQ14=0),1000,0),MIN(TY14,20)*400+(IF('計算A'!DC$106=1,1-HA14,0)+IF('計算A'!DD$106=1,1-HC14,0))*150+95+'計算A'!DD$5*100000+IF(AND($E14=1,MQ14=0),50000,0))+IF($H14=1,(IF('計算A'!DC$117=1,INDEX('計算A'!DC$10:DC$54,$B14),0)+IF('計算A'!DD$117=1,INDEX('計算A'!DE$10:DE$54,$B14),0))*4000,0)-IF(AND('計算A'!DC$117=1,YA14&gt;0),2000,0)-IF(AND($L14=1,'計算A'!DD$117=1,HC14=0),2000,0))),1000000))</f>
        <v/>
      </c>
      <c r="SG14">
        <f>IF($B14=0,1000000,IF(INDEX('計算A'!$D$60:$EQ$104,$B14,106)*HC14=1,IF(AND($E14=2,MR14=0),1000000,IF($I14&gt;0,IF(5=$J14,IF(OR(AND(106=$I14+1,OR($K14&lt;&gt;'計算A'!$A$3,'計算A'!$A$4=0)),AND(106=$I14-1,OR(10&lt;&gt;'計算A'!$A$3,'計算A'!$A$4=0))),0,IF(10=$K14,200000,ABS(10-$K14)*100)),100000+ABS(5-$J14)*1000+100)+'計算A'!DE$5*50+IF(AND($E14=1,MR14=0),25,0),IF($F14&gt;0,INDEX('計算A'!DE$110:DE$114,$F14+1)+IF(AND($E14=1,MR14=0),1000,0),MIN(TY14,20)*400+(IF('計算A'!DD$106=1,1-HB14,0)+IF('計算A'!DE$106=1,1-HD14,0))*150+105+'計算A'!DE$5*100000+IF(AND($E14=1,MR14=0),50000,0))+IF($H14=1,(IF('計算A'!DD$117=1,INDEX('計算A'!DD$10:DD$54,$B14),0)+IF('計算A'!DE$117=1,INDEX('計算A'!DF$10:DF$54,$B14),0))*4000,0)-IF(AND('計算A'!DD$117=1,YB14&gt;0),2000,0)-IF(AND($L14=1,'計算A'!DE$117=1,HD14=0),2000,0))),1000000))</f>
        <v/>
      </c>
      <c r="SH14">
        <f>IF($B14=0,1000000,IF(INDEX('計算A'!$D$60:$EQ$104,$B14,107)*HD14=1,IF(AND($E14=2,MS14=0),1000000,IF($I14&gt;0,IF(5=$J14,IF(OR(AND(107=$I14+1,OR($K14&lt;&gt;'計算A'!$A$3,'計算A'!$A$4=0)),AND(107=$I14-1,OR(11&lt;&gt;'計算A'!$A$3,'計算A'!$A$4=0))),0,IF(11=$K14,200000,ABS(11-$K14)*100)),100000+ABS(5-$J14)*1000+110)+'計算A'!DF$5*50+IF(AND($E14=1,MS14=0),25,0),IF($F14&gt;0,INDEX('計算A'!DF$110:DF$114,$F14+1)+IF(AND($E14=1,MS14=0),1000,0),MIN(TY14,20)*400+(IF('計算A'!DE$106=1,1-HC14,0)+IF('計算A'!DF$106=1,1-HE14,0))*150+115+'計算A'!DF$5*100000+IF(AND($E14=1,MS14=0),50000,0))+IF($H14=1,(IF('計算A'!DE$117=1,INDEX('計算A'!DE$10:DE$54,$B14),0)+IF('計算A'!DF$117=1,INDEX('計算A'!DG$10:DG$54,$B14),0))*4000,0)-IF(AND('計算A'!DE$117=1,YC14&gt;0),2000,0)-IF(AND($L14=1,'計算A'!DF$117=1,HE14=0),2000,0))),1000000))</f>
        <v/>
      </c>
      <c r="SI14">
        <f>IF($B14=0,1000000,IF(INDEX('計算A'!$D$60:$EQ$104,$B14,108)*HE14=1,IF(AND($E14=2,MT14=0),1000000,IF($I14&gt;0,IF(5=$J14,IF(OR(AND(108=$I14+1,OR($K14&lt;&gt;'計算A'!$A$3,'計算A'!$A$4=0)),AND(108=$I14-1,OR(12&lt;&gt;'計算A'!$A$3,'計算A'!$A$4=0))),0,IF(12=$K14,200000,ABS(12-$K14)*100)),100000+ABS(5-$J14)*1000+120)+'計算A'!DG$5*50+IF(AND($E14=1,MT14=0),25,0),IF($F14&gt;0,INDEX('計算A'!DG$110:DG$114,$F14+1)+IF(AND($E14=1,MT14=0),1000,0),MIN(TY14,20)*400+(IF('計算A'!DF$106=1,1-HD14,0)+IF('計算A'!DG$106=1,1-HF14,0))*150+125+'計算A'!DG$5*100000+IF(AND($E14=1,MT14=0),50000,0))+IF($H14=1,(IF('計算A'!DF$117=1,INDEX('計算A'!DF$10:DF$54,$B14),0)+IF('計算A'!DG$117=1,INDEX('計算A'!DH$10:DH$54,$B14),0))*4000,0)-IF(AND('計算A'!DF$117=1,YD14&gt;0),2000,0)-IF(AND($L14=1,'計算A'!DG$117=1,HF14=0),2000,0))),1000000))</f>
        <v/>
      </c>
      <c r="SJ14">
        <f>IF($B14=0,1000000,IF(INDEX('計算A'!$D$60:$EQ$104,$B14,109)*HF14=1,IF(AND($E14=2,MU14=0),1000000,IF($I14&gt;0,IF(5=$J14,IF(OR(AND(109=$I14+1,OR($K14&lt;&gt;'計算A'!$A$3,'計算A'!$A$4=0)),AND(109=$I14-1,OR(13&lt;&gt;'計算A'!$A$3,'計算A'!$A$4=0))),0,IF(13=$K14,200000,ABS(13-$K14)*100)),100000+ABS(5-$J14)*1000+130)+'計算A'!DH$5*50+IF(AND($E14=1,MU14=0),25,0),IF($F14&gt;0,INDEX('計算A'!DH$110:DH$114,$F14+1)+IF(AND($E14=1,MU14=0),1000,0),MIN(TY14,20)*400+(IF('計算A'!DG$106=1,1-HE14,0)+IF('計算A'!DH$106=1,1-HG14,0))*150+135+'計算A'!DH$5*100000+IF(AND($E14=1,MU14=0),50000,0))+IF($H14=1,(IF('計算A'!DG$117=1,INDEX('計算A'!DG$10:DG$54,$B14),0)+IF('計算A'!DH$117=1,INDEX('計算A'!DI$10:DI$54,$B14),0))*4000,0)-IF(AND('計算A'!DG$117=1,YE14&gt;0),2000,0)-IF(AND($L14=1,'計算A'!DH$117=1,HG14=0),2000,0))),1000000))</f>
        <v/>
      </c>
      <c r="SK14">
        <f>IF($B14=0,1000000,IF(INDEX('計算A'!$D$60:$EQ$104,$B14,110)*HG14=1,IF(AND($E14=2,MV14=0),1000000,IF($I14&gt;0,IF(5=$J14,IF(OR(AND(110=$I14+1,OR($K14&lt;&gt;'計算A'!$A$3,'計算A'!$A$4=0)),AND(110=$I14-1,OR(14&lt;&gt;'計算A'!$A$3,'計算A'!$A$4=0))),0,IF(14=$K14,200000,ABS(14-$K14)*100)),100000+ABS(5-$J14)*1000+140)+'計算A'!DI$5*50+IF(AND($E14=1,MV14=0),25,0),IF($F14&gt;0,INDEX('計算A'!DI$110:DI$114,$F14+1)+IF(AND($E14=1,MV14=0),1000,0),MIN(TY14,20)*400+(IF('計算A'!DH$106=1,1-HF14,0)+IF('計算A'!DI$106=1,1-HH14,0))*150+145+'計算A'!DI$5*100000+IF(AND($E14=1,MV14=0),50000,0))+IF($H14=1,(IF('計算A'!DH$117=1,INDEX('計算A'!DH$10:DH$54,$B14),0)+IF('計算A'!DI$117=1,INDEX('計算A'!DJ$10:DJ$54,$B14),0))*4000,0)-IF(AND('計算A'!DH$117=1,YF14&gt;0),2000,0)-IF(AND($L14=1,'計算A'!DI$117=1,HH14=0),2000,0))),1000000))</f>
        <v/>
      </c>
      <c r="SL14">
        <f>IF($B14=0,1000000,IF(INDEX('計算A'!$D$60:$EQ$104,$B14,111)*HH14=1,IF(AND($E14=2,MW14=0),1000000,IF($I14&gt;0,IF(5=$J14,IF(OR(AND(111=$I14+1,OR($K14&lt;&gt;'計算A'!$A$3,'計算A'!$A$4=0)),AND(111=$I14-1,OR(15&lt;&gt;'計算A'!$A$3,'計算A'!$A$4=0))),0,IF(15=$K14,200000,ABS(15-$K14)*100)),100000+ABS(5-$J14)*1000+150)+'計算A'!DJ$5*50+IF(AND($E14=1,MW14=0),25,0),IF($F14&gt;0,INDEX('計算A'!DJ$110:DJ$114,$F14+1)+IF(AND($E14=1,MW14=0),1000,0),MIN(TY14,20)*400+(IF('計算A'!DI$106=1,1-HG14,0)+IF('計算A'!DJ$106=1,1-HI14,0))*150+155+'計算A'!DJ$5*100000+IF(AND($E14=1,MW14=0),50000,0))+IF($H14=1,(IF('計算A'!DI$117=1,INDEX('計算A'!DI$10:DI$54,$B14),0)+IF('計算A'!DJ$117=1,INDEX('計算A'!DK$10:DK$54,$B14),0))*4000,0)-IF(AND('計算A'!DI$117=1,YG14&gt;0),2000,0)-IF(AND($L14=1,'計算A'!DJ$117=1,HI14=0),2000,0))),1000000))</f>
        <v/>
      </c>
      <c r="SM14">
        <f>IF($B14=0,1000000,IF(INDEX('計算A'!$D$60:$EQ$104,$B14,112)*HI14=1,IF(AND($E14=2,MX14=0),1000000,IF($I14&gt;0,IF(5=$J14,IF(OR(AND(112=$I14+1,OR($K14&lt;&gt;'計算A'!$A$3,'計算A'!$A$4=0)),AND(112=$I14-1,OR(16&lt;&gt;'計算A'!$A$3,'計算A'!$A$4=0))),0,IF(16=$K14,200000,ABS(16-$K14)*100)),100000+ABS(5-$J14)*1000+160)+'計算A'!DK$5*50+IF(AND($E14=1,MX14=0),25,0),IF($F14&gt;0,INDEX('計算A'!DK$110:DK$114,$F14+1)+IF(AND($E14=1,MX14=0),1000,0),MIN(TY14,20)*400+(IF('計算A'!DJ$106=1,1-HH14,0)+IF('計算A'!DK$106=1,1-HJ14,0))*150+165+'計算A'!DK$5*100000+IF(AND($E14=1,MX14=0),50000,0))+IF($H14=1,(IF('計算A'!DJ$117=1,INDEX('計算A'!DJ$10:DJ$54,$B14),0)+IF('計算A'!DK$117=1,INDEX('計算A'!DL$10:DL$54,$B14),0))*4000,0)-IF(AND('計算A'!DJ$117=1,YH14&gt;0),2000,0)-IF(AND($L14=1,'計算A'!DK$117=1,HJ14=0),2000,0))),1000000))</f>
        <v/>
      </c>
      <c r="SN14">
        <f>IF($B14=0,1000000,IF(INDEX('計算A'!$D$60:$EQ$104,$B14,113)*HJ14=1,IF(AND($E14=2,MY14=0),1000000,IF($I14&gt;0,IF(5=$J14,IF(OR(AND(113=$I14+1,OR($K14&lt;&gt;'計算A'!$A$3,'計算A'!$A$4=0)),AND(113=$I14-1,OR(17&lt;&gt;'計算A'!$A$3,'計算A'!$A$4=0))),0,IF(17=$K14,200000,ABS(17-$K14)*100)),100000+ABS(5-$J14)*1000+170)+'計算A'!DL$5*50+IF(AND($E14=1,MY14=0),25,0),IF($F14&gt;0,INDEX('計算A'!DL$110:DL$114,$F14+1)+IF(AND($E14=1,MY14=0),1000,0),MIN(TY14,20)*400+(IF('計算A'!DK$106=1,1-HI14,0)+IF('計算A'!DL$106=1,1-HK14,0))*150+175+'計算A'!DL$5*100000+IF(AND($E14=1,MY14=0),50000,0))+IF($H14=1,(IF('計算A'!DK$117=1,INDEX('計算A'!DK$10:DK$54,$B14),0)+IF('計算A'!DL$117=1,INDEX('計算A'!DM$10:DM$54,$B14),0))*4000,0)-IF(AND('計算A'!DK$117=1,YI14&gt;0),2000,0)-IF(AND($L14=1,'計算A'!DL$117=1,HK14=0),2000,0))),1000000))</f>
        <v/>
      </c>
      <c r="SO14">
        <f>IF($B14=0,1000000,IF(INDEX('計算A'!$D$60:$EQ$104,$B14,114)*HK14=1,IF(AND($E14=2,MZ14=0),1000000,IF($I14&gt;0,IF(5=$J14,IF(OR(AND(114=$I14+1,OR($K14&lt;&gt;'計算A'!$A$3,'計算A'!$A$4=0)),AND(114=$I14-1,OR(18&lt;&gt;'計算A'!$A$3,'計算A'!$A$4=0))),0,IF(18=$K14,200000,ABS(18-$K14)*100)),100000+ABS(5-$J14)*1000+180)+'計算A'!DM$5*50+IF(AND($E14=1,MZ14=0),25,0),IF($F14&gt;0,INDEX('計算A'!DM$110:DM$114,$F14+1)+IF(AND($E14=1,MZ14=0),1000,0),MIN(TY14,20)*400+(IF('計算A'!DL$106=1,1-HJ14,0)+IF('計算A'!DM$106=1,1-HL14,0))*150+185+'計算A'!DM$5*100000+IF(AND($E14=1,MZ14=0),50000,0))+IF($H14=1,(IF('計算A'!DL$117=1,INDEX('計算A'!DL$10:DL$54,$B14),0)+IF('計算A'!DM$117=1,INDEX('計算A'!DN$10:DN$54,$B14),0))*4000,0)-IF(AND('計算A'!DL$117=1,YJ14&gt;0),2000,0)-IF(AND($L14=1,'計算A'!DM$117=1,HL14=0),2000,0))),1000000))</f>
        <v/>
      </c>
      <c r="SP14">
        <f>IF($B14=0,1000000,IF(INDEX('計算A'!$D$60:$EQ$104,$B14,115)*HL14=1,IF(AND($E14=2,NA14=0),1000000,IF($I14&gt;0,IF(5=$J14,IF(OR(AND(115=$I14+1,OR($K14&lt;&gt;'計算A'!$A$3,'計算A'!$A$4=0)),AND(115=$I14-1,OR(19&lt;&gt;'計算A'!$A$3,'計算A'!$A$4=0))),0,IF(19=$K14,200000,ABS(19-$K14)*100)),100000+ABS(5-$J14)*1000+190)+'計算A'!DN$5*50+IF(AND($E14=1,NA14=0),25,0),IF($F14&gt;0,INDEX('計算A'!DN$110:DN$114,$F14+1)+IF(AND($E14=1,NA14=0),1000,0),MIN(TY14,20)*400+(IF('計算A'!DM$106=1,1-HK14,0)+IF('計算A'!DN$106=1,1-HM14,0))*150+195+'計算A'!DN$5*100000+IF(AND($E14=1,NA14=0),50000,0))+IF($H14=1,(IF('計算A'!DM$117=1,INDEX('計算A'!DM$10:DM$54,$B14),0)+IF('計算A'!DN$117=1,INDEX('計算A'!DO$10:DO$54,$B14),0))*4000,0)-IF(AND('計算A'!DM$117=1,YK14&gt;0),2000,0)-IF(AND($L14=1,'計算A'!DN$117=1,HM14=0),2000,0))),1000000))</f>
        <v/>
      </c>
      <c r="SQ14">
        <f>IF($B14=0,1000000,IF(INDEX('計算A'!$D$60:$EQ$104,$B14,116)*HM14=1,IF(AND($E14=2,NB14=0),1000000,IF($I14&gt;0,IF(5=$J14,IF(OR(AND(116=$I14+1,OR($K14&lt;&gt;'計算A'!$A$3,'計算A'!$A$4=0)),AND(116=$I14-1,OR(20&lt;&gt;'計算A'!$A$3,'計算A'!$A$4=0))),0,IF(20=$K14,200000,ABS(20-$K14)*100)),100000+ABS(5-$J14)*1000+200)+'計算A'!DO$5*50+IF(AND($E14=1,NB14=0),25,0),IF($F14&gt;0,INDEX('計算A'!DO$110:DO$114,$F14+1)+IF(AND($E14=1,NB14=0),1000,0),MIN(TY14,20)*400+(IF('計算A'!DN$106=1,1-HL14,0)+IF('計算A'!DO$106=1,1-HN14,0))*150+205+'計算A'!DO$5*100000+IF(AND($E14=1,NB14=0),50000,0))+IF($H14=1,(IF('計算A'!DN$117=1,INDEX('計算A'!DN$10:DN$54,$B14),0)+IF('計算A'!DO$117=1,INDEX('計算A'!DP$10:DP$54,$B14),0))*4000,0)-IF(AND('計算A'!DN$117=1,YL14&gt;0),2000,0)-IF(AND($L14=1,'計算A'!DO$117=1,HN14=0),2000,0))),1000000))</f>
        <v/>
      </c>
      <c r="SR14">
        <f>IF($B14=0,1000000,IF(INDEX('計算A'!$D$60:$EQ$104,$B14,117)*HN14=1,IF(AND($E14=2,NC14=0),1000000,IF($I14&gt;0,IF(5=$J14,IF(OR(AND(117=$I14+1,OR($K14&lt;&gt;'計算A'!$A$3,'計算A'!$A$4=0)),AND(117=$I14-1,OR(21&lt;&gt;'計算A'!$A$3,'計算A'!$A$4=0))),0,IF(21=$K14,200000,ABS(21-$K14)*100)),100000+ABS(5-$J14)*1000+210)+'計算A'!DP$5*50+IF(AND($E14=1,NC14=0),25,0),IF($F14&gt;0,INDEX('計算A'!DP$110:DP$114,$F14+1)+IF(AND($E14=1,NC14=0),1000,0),MIN(TY14,20)*400+(IF('計算A'!DO$106=1,1-HM14,0)+IF('計算A'!DP$106=1,1-HO14,0))*150+215+'計算A'!DP$5*100000+IF(AND($E14=1,NC14=0),50000,0))+IF($H14=1,(IF('計算A'!DO$117=1,INDEX('計算A'!DO$10:DO$54,$B14),0)+IF('計算A'!DP$117=1,INDEX('計算A'!DQ$10:DQ$54,$B14),0))*4000,0)-IF(AND('計算A'!DO$117=1,YM14&gt;0),2000,0)-IF(AND($L14=1,'計算A'!DP$117=1,HO14=0),2000,0))),1000000))</f>
        <v/>
      </c>
      <c r="SS14">
        <f>IF($B14=0,1000000,IF(INDEX('計算A'!$D$60:$EQ$104,$B14,118)*HO14=1,IF(AND($E14=2,ND14=0),1000000,IF($I14&gt;0,IF(5=$J14,IF(OR(AND(118=$I14+1,OR($K14&lt;&gt;'計算A'!$A$3,'計算A'!$A$4=0)),AND(118=$I14-1,OR(22&lt;&gt;'計算A'!$A$3,'計算A'!$A$4=0))),0,IF(22=$K14,200000,ABS(22-$K14)*100)),100000+ABS(5-$J14)*1000+220)+'計算A'!DQ$5*50+IF(AND($E14=1,ND14=0),25,0),IF($F14&gt;0,INDEX('計算A'!DQ$110:DQ$114,$F14+1)+IF(AND($E14=1,ND14=0),1000,0),MIN(TY14,20)*400+(IF('計算A'!DP$106=1,1-HN14,0)+IF('計算A'!DQ$106=1,1-HP14,0))*150+225+'計算A'!DQ$5*100000+IF(AND($E14=1,ND14=0),50000,0))+IF($H14=1,(IF('計算A'!DP$117=1,INDEX('計算A'!DP$10:DP$54,$B14),0)+IF('計算A'!DQ$117=1,INDEX('計算A'!DR$10:DR$54,$B14),0))*4000,0)-IF(AND('計算A'!DP$117=1,YN14&gt;0),2000,0)-IF(AND($L14=1,'計算A'!DQ$117=1,HP14=0),2000,0))),1000000))</f>
        <v/>
      </c>
      <c r="ST14">
        <f>IF($B14=0,1000000,IF(INDEX('計算A'!$D$60:$EQ$104,$B14,119)*HP14=1,IF(AND($E14=2,NE14=0),1000000,IF($I14&gt;0,IF(5=$J14,IF(OR(AND(119=$I14+1,OR($K14&lt;&gt;'計算A'!$A$3,'計算A'!$A$4=0)),AND(119=$I14-1,OR(23&lt;&gt;'計算A'!$A$3,'計算A'!$A$4=0))),0,IF(23=$K14,200000,ABS(23-$K14)*100)),100000+ABS(5-$J14)*1000+230)+'計算A'!DR$5*50+IF(AND($E14=1,NE14=0),25,0),IF($F14&gt;0,INDEX('計算A'!DR$110:DR$114,$F14+1)+IF(AND($E14=1,NE14=0),1000,0),MIN(TY14,20)*400+(IF('計算A'!DQ$106=1,1-HO14,0)+IF('計算A'!DR$106=1,1-HQ14,0))*150+235+'計算A'!DR$5*100000+IF(AND($E14=1,NE14=0),50000,0))+IF($H14=1,(IF('計算A'!DQ$117=1,INDEX('計算A'!DQ$10:DQ$54,$B14),0)+IF('計算A'!DR$117=1,INDEX('計算A'!DS$10:DS$54,$B14),0))*4000,0)-IF(AND('計算A'!DQ$117=1,YO14&gt;0),2000,0)-IF(AND($L14=1,'計算A'!DR$117=1,HQ14=0),2000,0))),1000000))</f>
        <v/>
      </c>
      <c r="SU14">
        <f>IF($B14=0,1000000,IF(INDEX('計算A'!$D$60:$EQ$104,$B14,120)*HQ14=1,IF(AND($E14=2,NF14=0),1000000,IF($I14&gt;0,IF(5=$J14,IF(OR(AND(120=$I14+1,OR($K14&lt;&gt;'計算A'!$A$3,'計算A'!$A$4=0)),AND(120=$I14-1,OR(24&lt;&gt;'計算A'!$A$3,'計算A'!$A$4=0))),0,IF(24=$K14,200000,ABS(24-$K14)*100)),100000+ABS(5-$J14)*1000+240)+'計算A'!DS$5*50+IF(AND($E14=1,NF14=0),25,0),IF($F14&gt;0,INDEX('計算A'!DS$110:DS$114,$F14+1)+IF(AND($E14=1,NF14=0),1000,0),MIN(TY14,20)*400+(IF('計算A'!DR$106=1,1-HP14,0))*150+245+'計算A'!DS$5*100000+IF(AND($E14=1,NF14=0),50000,0))+IF($H14=1,(IF('計算A'!DR$117=1,INDEX('計算A'!DR$10:DR$54,$B14),0))*4000,0)-IF(AND('計算A'!DR$117=1,YP14&gt;0),2000,0))),1000000))</f>
        <v/>
      </c>
      <c r="SV14">
        <f>IF($B14=0,1000000,IF(INDEX('計算A'!$D$60:$EQ$104,$B14,121)*HR14=1,IF(AND($E14=2,NG14=0),1000000,IF($I14&gt;0,IF(6=$J14,IF(OR(AND(121=$I14+1,OR($K14&lt;&gt;'計算A'!$A$3,'計算A'!$A$4=0)),AND(121=$I14-1,OR(1&lt;&gt;'計算A'!$A$3,'計算A'!$A$4=0))),0,IF(1=$K14,200000,ABS(1-$K14)*100)),100000+ABS(6-$J14)*1000+10)+'計算A'!DT$5*50+IF(AND($E14=1,NG14=0),25,0),IF($F14&gt;0,INDEX('計算A'!DT$110:DT$114,$F14+1)+IF(AND($E14=1,NG14=0),1000,0),MIN(TZ14,20)*400+(IF('計算A'!DT$106=1,1-HS14,0))*150+16+'計算A'!DT$5*100000+IF(AND($E14=1,NG14=0),50000,0))+IF($H14=1,(IF('計算A'!DT$117=1,INDEX('計算A'!DU$10:DU$54,$B14),0))*4000,0)-IF(AND($L14=1,'計算A'!DT$117=1,HS14=0),2000,0))),1000000))</f>
        <v/>
      </c>
      <c r="SW14">
        <f>IF($B14=0,1000000,IF(INDEX('計算A'!$D$60:$EQ$104,$B14,122)*HS14=1,IF(AND($E14=2,NH14=0),1000000,IF($I14&gt;0,IF(6=$J14,IF(OR(AND(122=$I14+1,OR($K14&lt;&gt;'計算A'!$A$3,'計算A'!$A$4=0)),AND(122=$I14-1,OR(2&lt;&gt;'計算A'!$A$3,'計算A'!$A$4=0))),0,IF(2=$K14,200000,ABS(2-$K14)*100)),100000+ABS(6-$J14)*1000+20)+'計算A'!DU$5*50+IF(AND($E14=1,NH14=0),25,0),IF($F14&gt;0,INDEX('計算A'!DU$110:DU$114,$F14+1)+IF(AND($E14=1,NH14=0),1000,0),MIN(TZ14,20)*400+(IF('計算A'!DT$106=1,1-HR14,0)+IF('計算A'!DU$106=1,1-HT14,0))*150+26+'計算A'!DU$5*100000+IF(AND($E14=1,NH14=0),50000,0))+IF($H14=1,(IF('計算A'!DT$117=1,INDEX('計算A'!DT$10:DT$54,$B14),0)+IF('計算A'!DU$117=1,INDEX('計算A'!DV$10:DV$54,$B14),0))*4000,0)-IF(AND('計算A'!DT$117=1,YR14&gt;0),2000,0)-IF(AND($L14=1,'計算A'!DU$117=1,HT14=0),2000,0))),1000000))</f>
        <v/>
      </c>
      <c r="SX14">
        <f>IF($B14=0,1000000,IF(INDEX('計算A'!$D$60:$EQ$104,$B14,123)*HT14=1,IF(AND($E14=2,NI14=0),1000000,IF($I14&gt;0,IF(6=$J14,IF(OR(AND(123=$I14+1,OR($K14&lt;&gt;'計算A'!$A$3,'計算A'!$A$4=0)),AND(123=$I14-1,OR(3&lt;&gt;'計算A'!$A$3,'計算A'!$A$4=0))),0,IF(3=$K14,200000,ABS(3-$K14)*100)),100000+ABS(6-$J14)*1000+30)+'計算A'!DV$5*50+IF(AND($E14=1,NI14=0),25,0),IF($F14&gt;0,INDEX('計算A'!DV$110:DV$114,$F14+1)+IF(AND($E14=1,NI14=0),1000,0),MIN(TZ14,20)*400+(IF('計算A'!DU$106=1,1-HS14,0)+IF('計算A'!DV$106=1,1-HU14,0))*150+36+'計算A'!DV$5*100000+IF(AND($E14=1,NI14=0),50000,0))+IF($H14=1,(IF('計算A'!DU$117=1,INDEX('計算A'!DU$10:DU$54,$B14),0)+IF('計算A'!DV$117=1,INDEX('計算A'!DW$10:DW$54,$B14),0))*4000,0)-IF(AND('計算A'!DU$117=1,YS14&gt;0),2000,0)-IF(AND($L14=1,'計算A'!DV$117=1,HU14=0),2000,0))),1000000))</f>
        <v/>
      </c>
      <c r="SY14">
        <f>IF($B14=0,1000000,IF(INDEX('計算A'!$D$60:$EQ$104,$B14,124)*HU14=1,IF(AND($E14=2,NJ14=0),1000000,IF($I14&gt;0,IF(6=$J14,IF(OR(AND(124=$I14+1,OR($K14&lt;&gt;'計算A'!$A$3,'計算A'!$A$4=0)),AND(124=$I14-1,OR(4&lt;&gt;'計算A'!$A$3,'計算A'!$A$4=0))),0,IF(4=$K14,200000,ABS(4-$K14)*100)),100000+ABS(6-$J14)*1000+40)+'計算A'!DW$5*50+IF(AND($E14=1,NJ14=0),25,0),IF($F14&gt;0,INDEX('計算A'!DW$110:DW$114,$F14+1)+IF(AND($E14=1,NJ14=0),1000,0),MIN(TZ14,20)*400+(IF('計算A'!DV$106=1,1-HT14,0)+IF('計算A'!DW$106=1,1-HV14,0))*150+46+'計算A'!DW$5*100000+IF(AND($E14=1,NJ14=0),50000,0))+IF($H14=1,(IF('計算A'!DV$117=1,INDEX('計算A'!DV$10:DV$54,$B14),0)+IF('計算A'!DW$117=1,INDEX('計算A'!DX$10:DX$54,$B14),0))*4000,0)-IF(AND('計算A'!DV$117=1,YT14&gt;0),2000,0)-IF(AND($L14=1,'計算A'!DW$117=1,HV14=0),2000,0))),1000000))</f>
        <v/>
      </c>
      <c r="SZ14">
        <f>IF($B14=0,1000000,IF(INDEX('計算A'!$D$60:$EQ$104,$B14,125)*HV14=1,IF(AND($E14=2,NK14=0),1000000,IF($I14&gt;0,IF(6=$J14,IF(OR(AND(125=$I14+1,OR($K14&lt;&gt;'計算A'!$A$3,'計算A'!$A$4=0)),AND(125=$I14-1,OR(5&lt;&gt;'計算A'!$A$3,'計算A'!$A$4=0))),0,IF(5=$K14,200000,ABS(5-$K14)*100)),100000+ABS(6-$J14)*1000+50)+'計算A'!DX$5*50+IF(AND($E14=1,NK14=0),25,0),IF($F14&gt;0,INDEX('計算A'!DX$110:DX$114,$F14+1)+IF(AND($E14=1,NK14=0),1000,0),MIN(TZ14,20)*400+(IF('計算A'!DW$106=1,1-HU14,0)+IF('計算A'!DX$106=1,1-HW14,0))*150+56+'計算A'!DX$5*100000+IF(AND($E14=1,NK14=0),50000,0))+IF($H14=1,(IF('計算A'!DW$117=1,INDEX('計算A'!DW$10:DW$54,$B14),0)+IF('計算A'!DX$117=1,INDEX('計算A'!DY$10:DY$54,$B14),0))*4000,0)-IF(AND('計算A'!DW$117=1,YU14&gt;0),2000,0)-IF(AND($L14=1,'計算A'!DX$117=1,HW14=0),2000,0))),1000000))</f>
        <v/>
      </c>
      <c r="TA14">
        <f>IF($B14=0,1000000,IF(INDEX('計算A'!$D$60:$EQ$104,$B14,126)*HW14=1,IF(AND($E14=2,NL14=0),1000000,IF($I14&gt;0,IF(6=$J14,IF(OR(AND(126=$I14+1,OR($K14&lt;&gt;'計算A'!$A$3,'計算A'!$A$4=0)),AND(126=$I14-1,OR(6&lt;&gt;'計算A'!$A$3,'計算A'!$A$4=0))),0,IF(6=$K14,200000,ABS(6-$K14)*100)),100000+ABS(6-$J14)*1000+60)+'計算A'!DY$5*50+IF(AND($E14=1,NL14=0),25,0),IF($F14&gt;0,INDEX('計算A'!DY$110:DY$114,$F14+1)+IF(AND($E14=1,NL14=0),1000,0),MIN(TZ14,20)*400+(IF('計算A'!DX$106=1,1-HV14,0)+IF('計算A'!DY$106=1,1-HX14,0))*150+66+'計算A'!DY$5*100000+IF(AND($E14=1,NL14=0),50000,0))+IF($H14=1,(IF('計算A'!DX$117=1,INDEX('計算A'!DX$10:DX$54,$B14),0)+IF('計算A'!DY$117=1,INDEX('計算A'!DZ$10:DZ$54,$B14),0))*4000,0)-IF(AND('計算A'!DX$117=1,YV14&gt;0),2000,0)-IF(AND($L14=1,'計算A'!DY$117=1,HX14=0),2000,0))),1000000))</f>
        <v/>
      </c>
      <c r="TB14">
        <f>IF($B14=0,1000000,IF(INDEX('計算A'!$D$60:$EQ$104,$B14,127)*HX14=1,IF(AND($E14=2,NM14=0),1000000,IF($I14&gt;0,IF(6=$J14,IF(OR(AND(127=$I14+1,OR($K14&lt;&gt;'計算A'!$A$3,'計算A'!$A$4=0)),AND(127=$I14-1,OR(7&lt;&gt;'計算A'!$A$3,'計算A'!$A$4=0))),0,IF(7=$K14,200000,ABS(7-$K14)*100)),100000+ABS(6-$J14)*1000+70)+'計算A'!DZ$5*50+IF(AND($E14=1,NM14=0),25,0),IF($F14&gt;0,INDEX('計算A'!DZ$110:DZ$114,$F14+1)+IF(AND($E14=1,NM14=0),1000,0),MIN(TZ14,20)*400+(IF('計算A'!DY$106=1,1-HW14,0)+IF('計算A'!DZ$106=1,1-HY14,0))*150+76+'計算A'!DZ$5*100000+IF(AND($E14=1,NM14=0),50000,0))+IF($H14=1,(IF('計算A'!DY$117=1,INDEX('計算A'!DY$10:DY$54,$B14),0)+IF('計算A'!DZ$117=1,INDEX('計算A'!EA$10:EA$54,$B14),0))*4000,0)-IF(AND('計算A'!DY$117=1,YW14&gt;0),2000,0)-IF(AND($L14=1,'計算A'!DZ$117=1,HY14=0),2000,0))),1000000))</f>
        <v/>
      </c>
      <c r="TC14">
        <f>IF($B14=0,1000000,IF(INDEX('計算A'!$D$60:$EQ$104,$B14,128)*HY14=1,IF(AND($E14=2,NN14=0),1000000,IF($I14&gt;0,IF(6=$J14,IF(OR(AND(128=$I14+1,OR($K14&lt;&gt;'計算A'!$A$3,'計算A'!$A$4=0)),AND(128=$I14-1,OR(8&lt;&gt;'計算A'!$A$3,'計算A'!$A$4=0))),0,IF(8=$K14,200000,ABS(8-$K14)*100)),100000+ABS(6-$J14)*1000+80)+'計算A'!EA$5*50+IF(AND($E14=1,NN14=0),25,0),IF($F14&gt;0,INDEX('計算A'!EA$110:EA$114,$F14+1)+IF(AND($E14=1,NN14=0),1000,0),MIN(TZ14,20)*400+(IF('計算A'!DZ$106=1,1-HX14,0)+IF('計算A'!EA$106=1,1-HZ14,0))*150+86+'計算A'!EA$5*100000+IF(AND($E14=1,NN14=0),50000,0))+IF($H14=1,(IF('計算A'!DZ$117=1,INDEX('計算A'!DZ$10:DZ$54,$B14),0)+IF('計算A'!EA$117=1,INDEX('計算A'!EB$10:EB$54,$B14),0))*4000,0)-IF(AND('計算A'!DZ$117=1,YX14&gt;0),2000,0)-IF(AND($L14=1,'計算A'!EA$117=1,HZ14=0),2000,0))),1000000))</f>
        <v/>
      </c>
      <c r="TD14">
        <f>IF($B14=0,1000000,IF(INDEX('計算A'!$D$60:$EQ$104,$B14,129)*HZ14=1,IF(AND($E14=2,NO14=0),1000000,IF($I14&gt;0,IF(6=$J14,IF(OR(AND(129=$I14+1,OR($K14&lt;&gt;'計算A'!$A$3,'計算A'!$A$4=0)),AND(129=$I14-1,OR(9&lt;&gt;'計算A'!$A$3,'計算A'!$A$4=0))),0,IF(9=$K14,200000,ABS(9-$K14)*100)),100000+ABS(6-$J14)*1000+90)+'計算A'!EB$5*50+IF(AND($E14=1,NO14=0),25,0),IF($F14&gt;0,INDEX('計算A'!EB$110:EB$114,$F14+1)+IF(AND($E14=1,NO14=0),1000,0),MIN(TZ14,20)*400+(IF('計算A'!EA$106=1,1-HY14,0)+IF('計算A'!EB$106=1,1-IA14,0))*150+96+'計算A'!EB$5*100000+IF(AND($E14=1,NO14=0),50000,0))+IF($H14=1,(IF('計算A'!EA$117=1,INDEX('計算A'!EA$10:EA$54,$B14),0)+IF('計算A'!EB$117=1,INDEX('計算A'!EC$10:EC$54,$B14),0))*4000,0)-IF(AND('計算A'!EA$117=1,YY14&gt;0),2000,0)-IF(AND($L14=1,'計算A'!EB$117=1,IA14=0),2000,0))),1000000))</f>
        <v/>
      </c>
      <c r="TE14">
        <f>IF($B14=0,1000000,IF(INDEX('計算A'!$D$60:$EQ$104,$B14,130)*IA14=1,IF(AND($E14=2,NP14=0),1000000,IF($I14&gt;0,IF(6=$J14,IF(OR(AND(130=$I14+1,OR($K14&lt;&gt;'計算A'!$A$3,'計算A'!$A$4=0)),AND(130=$I14-1,OR(10&lt;&gt;'計算A'!$A$3,'計算A'!$A$4=0))),0,IF(10=$K14,200000,ABS(10-$K14)*100)),100000+ABS(6-$J14)*1000+100)+'計算A'!EC$5*50+IF(AND($E14=1,NP14=0),25,0),IF($F14&gt;0,INDEX('計算A'!EC$110:EC$114,$F14+1)+IF(AND($E14=1,NP14=0),1000,0),MIN(TZ14,20)*400+(IF('計算A'!EB$106=1,1-HZ14,0)+IF('計算A'!EC$106=1,1-IB14,0))*150+106+'計算A'!EC$5*100000+IF(AND($E14=1,NP14=0),50000,0))+IF($H14=1,(IF('計算A'!EB$117=1,INDEX('計算A'!EB$10:EB$54,$B14),0)+IF('計算A'!EC$117=1,INDEX('計算A'!ED$10:ED$54,$B14),0))*4000,0)-IF(AND('計算A'!EB$117=1,YZ14&gt;0),2000,0)-IF(AND($L14=1,'計算A'!EC$117=1,IB14=0),2000,0))),1000000))</f>
        <v/>
      </c>
      <c r="TF14">
        <f>IF($B14=0,1000000,IF(INDEX('計算A'!$D$60:$EQ$104,$B14,131)*IB14=1,IF(AND($E14=2,NQ14=0),1000000,IF($I14&gt;0,IF(6=$J14,IF(OR(AND(131=$I14+1,OR($K14&lt;&gt;'計算A'!$A$3,'計算A'!$A$4=0)),AND(131=$I14-1,OR(11&lt;&gt;'計算A'!$A$3,'計算A'!$A$4=0))),0,IF(11=$K14,200000,ABS(11-$K14)*100)),100000+ABS(6-$J14)*1000+110)+'計算A'!ED$5*50+IF(AND($E14=1,NQ14=0),25,0),IF($F14&gt;0,INDEX('計算A'!ED$110:ED$114,$F14+1)+IF(AND($E14=1,NQ14=0),1000,0),MIN(TZ14,20)*400+(IF('計算A'!EC$106=1,1-IA14,0)+IF('計算A'!ED$106=1,1-IC14,0))*150+116+'計算A'!ED$5*100000+IF(AND($E14=1,NQ14=0),50000,0))+IF($H14=1,(IF('計算A'!EC$117=1,INDEX('計算A'!EC$10:EC$54,$B14),0)+IF('計算A'!ED$117=1,INDEX('計算A'!EE$10:EE$54,$B14),0))*4000,0)-IF(AND('計算A'!EC$117=1,ZA14&gt;0),2000,0)-IF(AND($L14=1,'計算A'!ED$117=1,IC14=0),2000,0))),1000000))</f>
        <v/>
      </c>
      <c r="TG14">
        <f>IF($B14=0,1000000,IF(INDEX('計算A'!$D$60:$EQ$104,$B14,132)*IC14=1,IF(AND($E14=2,NR14=0),1000000,IF($I14&gt;0,IF(6=$J14,IF(OR(AND(132=$I14+1,OR($K14&lt;&gt;'計算A'!$A$3,'計算A'!$A$4=0)),AND(132=$I14-1,OR(12&lt;&gt;'計算A'!$A$3,'計算A'!$A$4=0))),0,IF(12=$K14,200000,ABS(12-$K14)*100)),100000+ABS(6-$J14)*1000+120)+'計算A'!EE$5*50+IF(AND($E14=1,NR14=0),25,0),IF($F14&gt;0,INDEX('計算A'!EE$110:EE$114,$F14+1)+IF(AND($E14=1,NR14=0),1000,0),MIN(TZ14,20)*400+(IF('計算A'!ED$106=1,1-IB14,0)+IF('計算A'!EE$106=1,1-ID14,0))*150+126+'計算A'!EE$5*100000+IF(AND($E14=1,NR14=0),50000,0))+IF($H14=1,(IF('計算A'!ED$117=1,INDEX('計算A'!ED$10:ED$54,$B14),0)+IF('計算A'!EE$117=1,INDEX('計算A'!EF$10:EF$54,$B14),0))*4000,0)-IF(AND('計算A'!ED$117=1,ZB14&gt;0),2000,0)-IF(AND($L14=1,'計算A'!EE$117=1,ID14=0),2000,0))),1000000))</f>
        <v/>
      </c>
      <c r="TH14">
        <f>IF($B14=0,1000000,IF(INDEX('計算A'!$D$60:$EQ$104,$B14,133)*ID14=1,IF(AND($E14=2,NS14=0),1000000,IF($I14&gt;0,IF(6=$J14,IF(OR(AND(133=$I14+1,OR($K14&lt;&gt;'計算A'!$A$3,'計算A'!$A$4=0)),AND(133=$I14-1,OR(13&lt;&gt;'計算A'!$A$3,'計算A'!$A$4=0))),0,IF(13=$K14,200000,ABS(13-$K14)*100)),100000+ABS(6-$J14)*1000+130)+'計算A'!EF$5*50+IF(AND($E14=1,NS14=0),25,0),IF($F14&gt;0,INDEX('計算A'!EF$110:EF$114,$F14+1)+IF(AND($E14=1,NS14=0),1000,0),MIN(TZ14,20)*400+(IF('計算A'!EE$106=1,1-IC14,0)+IF('計算A'!EF$106=1,1-IE14,0))*150+136+'計算A'!EF$5*100000+IF(AND($E14=1,NS14=0),50000,0))+IF($H14=1,(IF('計算A'!EE$117=1,INDEX('計算A'!EE$10:EE$54,$B14),0)+IF('計算A'!EF$117=1,INDEX('計算A'!EG$10:EG$54,$B14),0))*4000,0)-IF(AND('計算A'!EE$117=1,ZC14&gt;0),2000,0)-IF(AND($L14=1,'計算A'!EF$117=1,IE14=0),2000,0))),1000000))</f>
        <v/>
      </c>
      <c r="TI14">
        <f>IF($B14=0,1000000,IF(INDEX('計算A'!$D$60:$EQ$104,$B14,134)*IE14=1,IF(AND($E14=2,NT14=0),1000000,IF($I14&gt;0,IF(6=$J14,IF(OR(AND(134=$I14+1,OR($K14&lt;&gt;'計算A'!$A$3,'計算A'!$A$4=0)),AND(134=$I14-1,OR(14&lt;&gt;'計算A'!$A$3,'計算A'!$A$4=0))),0,IF(14=$K14,200000,ABS(14-$K14)*100)),100000+ABS(6-$J14)*1000+140)+'計算A'!EG$5*50+IF(AND($E14=1,NT14=0),25,0),IF($F14&gt;0,INDEX('計算A'!EG$110:EG$114,$F14+1)+IF(AND($E14=1,NT14=0),1000,0),MIN(TZ14,20)*400+(IF('計算A'!EF$106=1,1-ID14,0)+IF('計算A'!EG$106=1,1-IF14,0))*150+146+'計算A'!EG$5*100000+IF(AND($E14=1,NT14=0),50000,0))+IF($H14=1,(IF('計算A'!EF$117=1,INDEX('計算A'!EF$10:EF$54,$B14),0)+IF('計算A'!EG$117=1,INDEX('計算A'!EH$10:EH$54,$B14),0))*4000,0)-IF(AND('計算A'!EF$117=1,ZD14&gt;0),2000,0)-IF(AND($L14=1,'計算A'!EG$117=1,IF14=0),2000,0))),1000000))</f>
        <v/>
      </c>
      <c r="TJ14">
        <f>IF($B14=0,1000000,IF(INDEX('計算A'!$D$60:$EQ$104,$B14,135)*IF14=1,IF(AND($E14=2,NU14=0),1000000,IF($I14&gt;0,IF(6=$J14,IF(OR(AND(135=$I14+1,OR($K14&lt;&gt;'計算A'!$A$3,'計算A'!$A$4=0)),AND(135=$I14-1,OR(15&lt;&gt;'計算A'!$A$3,'計算A'!$A$4=0))),0,IF(15=$K14,200000,ABS(15-$K14)*100)),100000+ABS(6-$J14)*1000+150)+'計算A'!EH$5*50+IF(AND($E14=1,NU14=0),25,0),IF($F14&gt;0,INDEX('計算A'!EH$110:EH$114,$F14+1)+IF(AND($E14=1,NU14=0),1000,0),MIN(TZ14,20)*400+(IF('計算A'!EG$106=1,1-IE14,0)+IF('計算A'!EH$106=1,1-IG14,0))*150+156+'計算A'!EH$5*100000+IF(AND($E14=1,NU14=0),50000,0))+IF($H14=1,(IF('計算A'!EG$117=1,INDEX('計算A'!EG$10:EG$54,$B14),0)+IF('計算A'!EH$117=1,INDEX('計算A'!EI$10:EI$54,$B14),0))*4000,0)-IF(AND('計算A'!EG$117=1,ZE14&gt;0),2000,0)-IF(AND($L14=1,'計算A'!EH$117=1,IG14=0),2000,0))),1000000))</f>
        <v/>
      </c>
      <c r="TK14">
        <f>IF($B14=0,1000000,IF(INDEX('計算A'!$D$60:$EQ$104,$B14,136)*IG14=1,IF(AND($E14=2,NV14=0),1000000,IF($I14&gt;0,IF(6=$J14,IF(OR(AND(136=$I14+1,OR($K14&lt;&gt;'計算A'!$A$3,'計算A'!$A$4=0)),AND(136=$I14-1,OR(16&lt;&gt;'計算A'!$A$3,'計算A'!$A$4=0))),0,IF(16=$K14,200000,ABS(16-$K14)*100)),100000+ABS(6-$J14)*1000+160)+'計算A'!EI$5*50+IF(AND($E14=1,NV14=0),25,0),IF($F14&gt;0,INDEX('計算A'!EI$110:EI$114,$F14+1)+IF(AND($E14=1,NV14=0),1000,0),MIN(TZ14,20)*400+(IF('計算A'!EH$106=1,1-IF14,0)+IF('計算A'!EI$106=1,1-IH14,0))*150+166+'計算A'!EI$5*100000+IF(AND($E14=1,NV14=0),50000,0))+IF($H14=1,(IF('計算A'!EH$117=1,INDEX('計算A'!EH$10:EH$54,$B14),0)+IF('計算A'!EI$117=1,INDEX('計算A'!EJ$10:EJ$54,$B14),0))*4000,0)-IF(AND('計算A'!EH$117=1,ZF14&gt;0),2000,0)-IF(AND($L14=1,'計算A'!EI$117=1,IH14=0),2000,0))),1000000))</f>
        <v/>
      </c>
      <c r="TL14">
        <f>IF($B14=0,1000000,IF(INDEX('計算A'!$D$60:$EQ$104,$B14,137)*IH14=1,IF(AND($E14=2,NW14=0),1000000,IF($I14&gt;0,IF(6=$J14,IF(OR(AND(137=$I14+1,OR($K14&lt;&gt;'計算A'!$A$3,'計算A'!$A$4=0)),AND(137=$I14-1,OR(17&lt;&gt;'計算A'!$A$3,'計算A'!$A$4=0))),0,IF(17=$K14,200000,ABS(17-$K14)*100)),100000+ABS(6-$J14)*1000+170)+'計算A'!EJ$5*50+IF(AND($E14=1,NW14=0),25,0),IF($F14&gt;0,INDEX('計算A'!EJ$110:EJ$114,$F14+1)+IF(AND($E14=1,NW14=0),1000,0),MIN(TZ14,20)*400+(IF('計算A'!EI$106=1,1-IG14,0)+IF('計算A'!EJ$106=1,1-II14,0))*150+176+'計算A'!EJ$5*100000+IF(AND($E14=1,NW14=0),50000,0))+IF($H14=1,(IF('計算A'!EI$117=1,INDEX('計算A'!EI$10:EI$54,$B14),0)+IF('計算A'!EJ$117=1,INDEX('計算A'!EK$10:EK$54,$B14),0))*4000,0)-IF(AND('計算A'!EI$117=1,ZG14&gt;0),2000,0)-IF(AND($L14=1,'計算A'!EJ$117=1,II14=0),2000,0))),1000000))</f>
        <v/>
      </c>
      <c r="TM14">
        <f>IF($B14=0,1000000,IF(INDEX('計算A'!$D$60:$EQ$104,$B14,138)*II14=1,IF(AND($E14=2,NX14=0),1000000,IF($I14&gt;0,IF(6=$J14,IF(OR(AND(138=$I14+1,OR($K14&lt;&gt;'計算A'!$A$3,'計算A'!$A$4=0)),AND(138=$I14-1,OR(18&lt;&gt;'計算A'!$A$3,'計算A'!$A$4=0))),0,IF(18=$K14,200000,ABS(18-$K14)*100)),100000+ABS(6-$J14)*1000+180)+'計算A'!EK$5*50+IF(AND($E14=1,NX14=0),25,0),IF($F14&gt;0,INDEX('計算A'!EK$110:EK$114,$F14+1)+IF(AND($E14=1,NX14=0),1000,0),MIN(TZ14,20)*400+(IF('計算A'!EJ$106=1,1-IH14,0)+IF('計算A'!EK$106=1,1-IJ14,0))*150+186+'計算A'!EK$5*100000+IF(AND($E14=1,NX14=0),50000,0))+IF($H14=1,(IF('計算A'!EJ$117=1,INDEX('計算A'!EJ$10:EJ$54,$B14),0)+IF('計算A'!EK$117=1,INDEX('計算A'!EL$10:EL$54,$B14),0))*4000,0)-IF(AND('計算A'!EJ$117=1,ZH14&gt;0),2000,0)-IF(AND($L14=1,'計算A'!EK$117=1,IJ14=0),2000,0))),1000000))</f>
        <v/>
      </c>
      <c r="TN14">
        <f>IF($B14=0,1000000,IF(INDEX('計算A'!$D$60:$EQ$104,$B14,139)*IJ14=1,IF(AND($E14=2,NY14=0),1000000,IF($I14&gt;0,IF(6=$J14,IF(OR(AND(139=$I14+1,OR($K14&lt;&gt;'計算A'!$A$3,'計算A'!$A$4=0)),AND(139=$I14-1,OR(19&lt;&gt;'計算A'!$A$3,'計算A'!$A$4=0))),0,IF(19=$K14,200000,ABS(19-$K14)*100)),100000+ABS(6-$J14)*1000+190)+'計算A'!EL$5*50+IF(AND($E14=1,NY14=0),25,0),IF($F14&gt;0,INDEX('計算A'!EL$110:EL$114,$F14+1)+IF(AND($E14=1,NY14=0),1000,0),MIN(TZ14,20)*400+(IF('計算A'!EK$106=1,1-II14,0)+IF('計算A'!EL$106=1,1-IK14,0))*150+196+'計算A'!EL$5*100000+IF(AND($E14=1,NY14=0),50000,0))+IF($H14=1,(IF('計算A'!EK$117=1,INDEX('計算A'!EK$10:EK$54,$B14),0)+IF('計算A'!EL$117=1,INDEX('計算A'!EM$10:EM$54,$B14),0))*4000,0)-IF(AND('計算A'!EK$117=1,ZI14&gt;0),2000,0)-IF(AND($L14=1,'計算A'!EL$117=1,IK14=0),2000,0))),1000000))</f>
        <v/>
      </c>
      <c r="TO14">
        <f>IF($B14=0,1000000,IF(INDEX('計算A'!$D$60:$EQ$104,$B14,140)*IK14=1,IF(AND($E14=2,NZ14=0),1000000,IF($I14&gt;0,IF(6=$J14,IF(OR(AND(140=$I14+1,OR($K14&lt;&gt;'計算A'!$A$3,'計算A'!$A$4=0)),AND(140=$I14-1,OR(20&lt;&gt;'計算A'!$A$3,'計算A'!$A$4=0))),0,IF(20=$K14,200000,ABS(20-$K14)*100)),100000+ABS(6-$J14)*1000+200)+'計算A'!EM$5*50+IF(AND($E14=1,NZ14=0),25,0),IF($F14&gt;0,INDEX('計算A'!EM$110:EM$114,$F14+1)+IF(AND($E14=1,NZ14=0),1000,0),MIN(TZ14,20)*400+(IF('計算A'!EL$106=1,1-IJ14,0)+IF('計算A'!EM$106=1,1-IL14,0))*150+206+'計算A'!EM$5*100000+IF(AND($E14=1,NZ14=0),50000,0))+IF($H14=1,(IF('計算A'!EL$117=1,INDEX('計算A'!EL$10:EL$54,$B14),0)+IF('計算A'!EM$117=1,INDEX('計算A'!EN$10:EN$54,$B14),0))*4000,0)-IF(AND('計算A'!EL$117=1,ZJ14&gt;0),2000,0)-IF(AND($L14=1,'計算A'!EM$117=1,IL14=0),2000,0))),1000000))</f>
        <v/>
      </c>
      <c r="TP14">
        <f>IF($B14=0,1000000,IF(INDEX('計算A'!$D$60:$EQ$104,$B14,141)*IL14=1,IF(AND($E14=2,OA14=0),1000000,IF($I14&gt;0,IF(6=$J14,IF(OR(AND(141=$I14+1,OR($K14&lt;&gt;'計算A'!$A$3,'計算A'!$A$4=0)),AND(141=$I14-1,OR(21&lt;&gt;'計算A'!$A$3,'計算A'!$A$4=0))),0,IF(21=$K14,200000,ABS(21-$K14)*100)),100000+ABS(6-$J14)*1000+210)+'計算A'!EN$5*50+IF(AND($E14=1,OA14=0),25,0),IF($F14&gt;0,INDEX('計算A'!EN$110:EN$114,$F14+1)+IF(AND($E14=1,OA14=0),1000,0),MIN(TZ14,20)*400+(IF('計算A'!EM$106=1,1-IK14,0)+IF('計算A'!EN$106=1,1-IM14,0))*150+216+'計算A'!EN$5*100000+IF(AND($E14=1,OA14=0),50000,0))+IF($H14=1,(IF('計算A'!EM$117=1,INDEX('計算A'!EM$10:EM$54,$B14),0)+IF('計算A'!EN$117=1,INDEX('計算A'!EO$10:EO$54,$B14),0))*4000,0)-IF(AND('計算A'!EM$117=1,ZK14&gt;0),2000,0)-IF(AND($L14=1,'計算A'!EN$117=1,IM14=0),2000,0))),1000000))</f>
        <v/>
      </c>
      <c r="TQ14">
        <f>IF($B14=0,1000000,IF(INDEX('計算A'!$D$60:$EQ$104,$B14,142)*IM14=1,IF(AND($E14=2,OB14=0),1000000,IF($I14&gt;0,IF(6=$J14,IF(OR(AND(142=$I14+1,OR($K14&lt;&gt;'計算A'!$A$3,'計算A'!$A$4=0)),AND(142=$I14-1,OR(22&lt;&gt;'計算A'!$A$3,'計算A'!$A$4=0))),0,IF(22=$K14,200000,ABS(22-$K14)*100)),100000+ABS(6-$J14)*1000+220)+'計算A'!EO$5*50+IF(AND($E14=1,OB14=0),25,0),IF($F14&gt;0,INDEX('計算A'!EO$110:EO$114,$F14+1)+IF(AND($E14=1,OB14=0),1000,0),MIN(TZ14,20)*400+(IF('計算A'!EN$106=1,1-IL14,0)+IF('計算A'!EO$106=1,1-IN14,0))*150+226+'計算A'!EO$5*100000+IF(AND($E14=1,OB14=0),50000,0))+IF($H14=1,(IF('計算A'!EN$117=1,INDEX('計算A'!EN$10:EN$54,$B14),0)+IF('計算A'!EO$117=1,INDEX('計算A'!EP$10:EP$54,$B14),0))*4000,0)-IF(AND('計算A'!EN$117=1,ZL14&gt;0),2000,0)-IF(AND($L14=1,'計算A'!EO$117=1,IN14=0),2000,0))),1000000))</f>
        <v/>
      </c>
      <c r="TR14">
        <f>IF($B14=0,1000000,IF(INDEX('計算A'!$D$60:$EQ$104,$B14,143)*IN14=1,IF(AND($E14=2,OC14=0),1000000,IF($I14&gt;0,IF(6=$J14,IF(OR(AND(143=$I14+1,OR($K14&lt;&gt;'計算A'!$A$3,'計算A'!$A$4=0)),AND(143=$I14-1,OR(23&lt;&gt;'計算A'!$A$3,'計算A'!$A$4=0))),0,IF(23=$K14,200000,ABS(23-$K14)*100)),100000+ABS(6-$J14)*1000+230)+'計算A'!EP$5*50+IF(AND($E14=1,OC14=0),25,0),IF($F14&gt;0,INDEX('計算A'!EP$110:EP$114,$F14+1)+IF(AND($E14=1,OC14=0),1000,0),MIN(TZ14,20)*400+(IF('計算A'!EO$106=1,1-IM14,0)+IF('計算A'!EP$106=1,1-IO14,0))*150+236+'計算A'!EP$5*100000+IF(AND($E14=1,OC14=0),50000,0))+IF($H14=1,(IF('計算A'!EO$117=1,INDEX('計算A'!EO$10:EO$54,$B14),0)+IF('計算A'!EP$117=1,INDEX('計算A'!EQ$10:EQ$54,$B14),0))*4000,0)-IF(AND('計算A'!EO$117=1,ZM14&gt;0),2000,0)-IF(AND($L14=1,'計算A'!EP$117=1,IO14=0),2000,0))),1000000))</f>
        <v/>
      </c>
      <c r="TS14">
        <f>IF($B14=0,1000000,IF(INDEX('計算A'!$D$60:$EQ$104,$B14,144)*IO14=1,IF(AND($E14=2,OD14=0),1000000,IF($I14&gt;0,IF(6=$J14,IF(OR(AND(144=$I14+1,OR($K14&lt;&gt;'計算A'!$A$3,'計算A'!$A$4=0)),AND(144=$I14-1,OR(24&lt;&gt;'計算A'!$A$3,'計算A'!$A$4=0))),0,IF(24=$K14,200000,ABS(24-$K14)*100)),100000+ABS(6-$J14)*1000+240)+'計算A'!EQ$5*50+IF(AND($E14=1,OD14=0),25,0),IF($F14&gt;0,INDEX('計算A'!EQ$110:EQ$114,$F14+1)+IF(AND($E14=1,OD14=0),1000,0),MIN(TZ14,20)*400+(IF('計算A'!EP$106=1,1-IN14,0))*150+246+'計算A'!EQ$5*100000+IF(AND($E14=1,OD14=0),50000,0))+IF($H14=1,(IF('計算A'!EP$117=1,INDEX('計算A'!EP$10:EP$54,$B14),0))*4000,0)-IF(AND('計算A'!EP$117=1,ZN14&gt;0),2000,0))),1000000))</f>
        <v/>
      </c>
      <c r="TU14">
        <f>TU13+IF($C13&gt;0,IF(INDEX('計算A'!$D$2:$EQ$2,$C13)=1,1,0),0)</f>
        <v/>
      </c>
      <c r="TV14">
        <f>TV13+IF($C13&gt;0,IF(INDEX('計算A'!$D$2:$EQ$2,$C13)=2,1,0),0)</f>
        <v/>
      </c>
      <c r="TW14">
        <f>TW13+IF($C13&gt;0,IF(INDEX('計算A'!$D$2:$EQ$2,$C13)=3,1,0),0)</f>
        <v/>
      </c>
      <c r="TX14">
        <f>TX13+IF($C13&gt;0,IF(INDEX('計算A'!$D$2:$EQ$2,$C13)=4,1,0),0)</f>
        <v/>
      </c>
      <c r="TY14">
        <f>TY13+IF($C13&gt;0,IF(INDEX('計算A'!$D$2:$EQ$2,$C13)=5,1,0),0)</f>
        <v/>
      </c>
      <c r="TZ14">
        <f>TZ13+IF($C13&gt;0,IF(INDEX('計算A'!$D$2:$EQ$2,$C13)=6,1,0),0)</f>
        <v/>
      </c>
      <c r="UB14">
        <f>UB13+IF(AND($C13=1,$L13=1),1,0)</f>
        <v/>
      </c>
      <c r="UC14">
        <f>UC13+IF(AND($C13=2,$L13=1),1,0)</f>
        <v/>
      </c>
      <c r="UD14">
        <f>UD13+IF(AND($C13=3,$L13=1),1,0)</f>
        <v/>
      </c>
      <c r="UE14">
        <f>UE13+IF(AND($C13=4,$L13=1),1,0)</f>
        <v/>
      </c>
      <c r="UF14">
        <f>UF13+IF(AND($C13=5,$L13=1),1,0)</f>
        <v/>
      </c>
      <c r="UG14">
        <f>UG13+IF(AND($C13=6,$L13=1),1,0)</f>
        <v/>
      </c>
      <c r="UH14">
        <f>UH13+IF(AND($C13=7,$L13=1),1,0)</f>
        <v/>
      </c>
      <c r="UI14">
        <f>UI13+IF(AND($C13=8,$L13=1),1,0)</f>
        <v/>
      </c>
      <c r="UJ14">
        <f>UJ13+IF(AND($C13=9,$L13=1),1,0)</f>
        <v/>
      </c>
      <c r="UK14">
        <f>UK13+IF(AND($C13=10,$L13=1),1,0)</f>
        <v/>
      </c>
      <c r="UL14">
        <f>UL13+IF(AND($C13=11,$L13=1),1,0)</f>
        <v/>
      </c>
      <c r="UM14">
        <f>UM13+IF(AND($C13=12,$L13=1),1,0)</f>
        <v/>
      </c>
      <c r="UN14">
        <f>UN13+IF(AND($C13=13,$L13=1),1,0)</f>
        <v/>
      </c>
      <c r="UO14">
        <f>UO13+IF(AND($C13=14,$L13=1),1,0)</f>
        <v/>
      </c>
      <c r="UP14">
        <f>UP13+IF(AND($C13=15,$L13=1),1,0)</f>
        <v/>
      </c>
      <c r="UQ14">
        <f>UQ13+IF(AND($C13=16,$L13=1),1,0)</f>
        <v/>
      </c>
      <c r="UR14">
        <f>UR13+IF(AND($C13=17,$L13=1),1,0)</f>
        <v/>
      </c>
      <c r="US14">
        <f>US13+IF(AND($C13=18,$L13=1),1,0)</f>
        <v/>
      </c>
      <c r="UT14">
        <f>UT13+IF(AND($C13=19,$L13=1),1,0)</f>
        <v/>
      </c>
      <c r="UU14">
        <f>UU13+IF(AND($C13=20,$L13=1),1,0)</f>
        <v/>
      </c>
      <c r="UV14">
        <f>UV13+IF(AND($C13=21,$L13=1),1,0)</f>
        <v/>
      </c>
      <c r="UW14">
        <f>UW13+IF(AND($C13=22,$L13=1),1,0)</f>
        <v/>
      </c>
      <c r="UX14">
        <f>UX13+IF(AND($C13=23,$L13=1),1,0)</f>
        <v/>
      </c>
      <c r="UY14">
        <f>UY13+IF(AND($C13=24,$L13=1),1,0)</f>
        <v/>
      </c>
      <c r="UZ14">
        <f>UZ13+IF(AND($C13=25,$L13=1),1,0)</f>
        <v/>
      </c>
      <c r="VA14">
        <f>VA13+IF(AND($C13=26,$L13=1),1,0)</f>
        <v/>
      </c>
      <c r="VB14">
        <f>VB13+IF(AND($C13=27,$L13=1),1,0)</f>
        <v/>
      </c>
      <c r="VC14">
        <f>VC13+IF(AND($C13=28,$L13=1),1,0)</f>
        <v/>
      </c>
      <c r="VD14">
        <f>VD13+IF(AND($C13=29,$L13=1),1,0)</f>
        <v/>
      </c>
      <c r="VE14">
        <f>VE13+IF(AND($C13=30,$L13=1),1,0)</f>
        <v/>
      </c>
      <c r="VF14">
        <f>VF13+IF(AND($C13=31,$L13=1),1,0)</f>
        <v/>
      </c>
      <c r="VG14">
        <f>VG13+IF(AND($C13=32,$L13=1),1,0)</f>
        <v/>
      </c>
      <c r="VH14">
        <f>VH13+IF(AND($C13=33,$L13=1),1,0)</f>
        <v/>
      </c>
      <c r="VI14">
        <f>VI13+IF(AND($C13=34,$L13=1),1,0)</f>
        <v/>
      </c>
      <c r="VJ14">
        <f>VJ13+IF(AND($C13=35,$L13=1),1,0)</f>
        <v/>
      </c>
      <c r="VK14">
        <f>VK13+IF(AND($C13=36,$L13=1),1,0)</f>
        <v/>
      </c>
      <c r="VL14">
        <f>VL13+IF(AND($C13=37,$L13=1),1,0)</f>
        <v/>
      </c>
      <c r="VM14">
        <f>VM13+IF(AND($C13=38,$L13=1),1,0)</f>
        <v/>
      </c>
      <c r="VN14">
        <f>VN13+IF(AND($C13=39,$L13=1),1,0)</f>
        <v/>
      </c>
      <c r="VO14">
        <f>VO13+IF(AND($C13=40,$L13=1),1,0)</f>
        <v/>
      </c>
      <c r="VP14">
        <f>VP13+IF(AND($C13=41,$L13=1),1,0)</f>
        <v/>
      </c>
      <c r="VQ14">
        <f>VQ13+IF(AND($C13=42,$L13=1),1,0)</f>
        <v/>
      </c>
      <c r="VR14">
        <f>VR13+IF(AND($C13=43,$L13=1),1,0)</f>
        <v/>
      </c>
      <c r="VS14">
        <f>VS13+IF(AND($C13=44,$L13=1),1,0)</f>
        <v/>
      </c>
      <c r="VT14">
        <f>VT13+IF(AND($C13=45,$L13=1),1,0)</f>
        <v/>
      </c>
      <c r="VU14">
        <f>VU13+IF(AND($C13=46,$L13=1),1,0)</f>
        <v/>
      </c>
      <c r="VV14">
        <f>VV13+IF(AND($C13=47,$L13=1),1,0)</f>
        <v/>
      </c>
      <c r="VW14">
        <f>VW13+IF(AND($C13=48,$L13=1),1,0)</f>
        <v/>
      </c>
      <c r="VX14">
        <f>VX13+IF(AND($C13=49,$L13=1),1,0)</f>
        <v/>
      </c>
      <c r="VY14">
        <f>VY13+IF(AND($C13=50,$L13=1),1,0)</f>
        <v/>
      </c>
      <c r="VZ14">
        <f>VZ13+IF(AND($C13=51,$L13=1),1,0)</f>
        <v/>
      </c>
      <c r="WA14">
        <f>WA13+IF(AND($C13=52,$L13=1),1,0)</f>
        <v/>
      </c>
      <c r="WB14">
        <f>WB13+IF(AND($C13=53,$L13=1),1,0)</f>
        <v/>
      </c>
      <c r="WC14">
        <f>WC13+IF(AND($C13=54,$L13=1),1,0)</f>
        <v/>
      </c>
      <c r="WD14">
        <f>WD13+IF(AND($C13=55,$L13=1),1,0)</f>
        <v/>
      </c>
      <c r="WE14">
        <f>WE13+IF(AND($C13=56,$L13=1),1,0)</f>
        <v/>
      </c>
      <c r="WF14">
        <f>WF13+IF(AND($C13=57,$L13=1),1,0)</f>
        <v/>
      </c>
      <c r="WG14">
        <f>WG13+IF(AND($C13=58,$L13=1),1,0)</f>
        <v/>
      </c>
      <c r="WH14">
        <f>WH13+IF(AND($C13=59,$L13=1),1,0)</f>
        <v/>
      </c>
      <c r="WI14">
        <f>WI13+IF(AND($C13=60,$L13=1),1,0)</f>
        <v/>
      </c>
      <c r="WJ14">
        <f>WJ13+IF(AND($C13=61,$L13=1),1,0)</f>
        <v/>
      </c>
      <c r="WK14">
        <f>WK13+IF(AND($C13=62,$L13=1),1,0)</f>
        <v/>
      </c>
      <c r="WL14">
        <f>WL13+IF(AND($C13=63,$L13=1),1,0)</f>
        <v/>
      </c>
      <c r="WM14">
        <f>WM13+IF(AND($C13=64,$L13=1),1,0)</f>
        <v/>
      </c>
      <c r="WN14">
        <f>WN13+IF(AND($C13=65,$L13=1),1,0)</f>
        <v/>
      </c>
      <c r="WO14">
        <f>WO13+IF(AND($C13=66,$L13=1),1,0)</f>
        <v/>
      </c>
      <c r="WP14">
        <f>WP13+IF(AND($C13=67,$L13=1),1,0)</f>
        <v/>
      </c>
      <c r="WQ14">
        <f>WQ13+IF(AND($C13=68,$L13=1),1,0)</f>
        <v/>
      </c>
      <c r="WR14">
        <f>WR13+IF(AND($C13=69,$L13=1),1,0)</f>
        <v/>
      </c>
      <c r="WS14">
        <f>WS13+IF(AND($C13=70,$L13=1),1,0)</f>
        <v/>
      </c>
      <c r="WT14">
        <f>WT13+IF(AND($C13=71,$L13=1),1,0)</f>
        <v/>
      </c>
      <c r="WU14">
        <f>WU13+IF(AND($C13=72,$L13=1),1,0)</f>
        <v/>
      </c>
      <c r="WV14">
        <f>WV13+IF(AND($C13=73,$L13=1),1,0)</f>
        <v/>
      </c>
      <c r="WW14">
        <f>WW13+IF(AND($C13=74,$L13=1),1,0)</f>
        <v/>
      </c>
      <c r="WX14">
        <f>WX13+IF(AND($C13=75,$L13=1),1,0)</f>
        <v/>
      </c>
      <c r="WY14">
        <f>WY13+IF(AND($C13=76,$L13=1),1,0)</f>
        <v/>
      </c>
      <c r="WZ14">
        <f>WZ13+IF(AND($C13=77,$L13=1),1,0)</f>
        <v/>
      </c>
      <c r="XA14">
        <f>XA13+IF(AND($C13=78,$L13=1),1,0)</f>
        <v/>
      </c>
      <c r="XB14">
        <f>XB13+IF(AND($C13=79,$L13=1),1,0)</f>
        <v/>
      </c>
      <c r="XC14">
        <f>XC13+IF(AND($C13=80,$L13=1),1,0)</f>
        <v/>
      </c>
      <c r="XD14">
        <f>XD13+IF(AND($C13=81,$L13=1),1,0)</f>
        <v/>
      </c>
      <c r="XE14">
        <f>XE13+IF(AND($C13=82,$L13=1),1,0)</f>
        <v/>
      </c>
      <c r="XF14">
        <f>XF13+IF(AND($C13=83,$L13=1),1,0)</f>
        <v/>
      </c>
      <c r="XG14">
        <f>XG13+IF(AND($C13=84,$L13=1),1,0)</f>
        <v/>
      </c>
      <c r="XH14">
        <f>XH13+IF(AND($C13=85,$L13=1),1,0)</f>
        <v/>
      </c>
      <c r="XI14">
        <f>XI13+IF(AND($C13=86,$L13=1),1,0)</f>
        <v/>
      </c>
      <c r="XJ14">
        <f>XJ13+IF(AND($C13=87,$L13=1),1,0)</f>
        <v/>
      </c>
      <c r="XK14">
        <f>XK13+IF(AND($C13=88,$L13=1),1,0)</f>
        <v/>
      </c>
      <c r="XL14">
        <f>XL13+IF(AND($C13=89,$L13=1),1,0)</f>
        <v/>
      </c>
      <c r="XM14">
        <f>XM13+IF(AND($C13=90,$L13=1),1,0)</f>
        <v/>
      </c>
      <c r="XN14">
        <f>XN13+IF(AND($C13=91,$L13=1),1,0)</f>
        <v/>
      </c>
      <c r="XO14">
        <f>XO13+IF(AND($C13=92,$L13=1),1,0)</f>
        <v/>
      </c>
      <c r="XP14">
        <f>XP13+IF(AND($C13=93,$L13=1),1,0)</f>
        <v/>
      </c>
      <c r="XQ14">
        <f>XQ13+IF(AND($C13=94,$L13=1),1,0)</f>
        <v/>
      </c>
      <c r="XR14">
        <f>XR13+IF(AND($C13=95,$L13=1),1,0)</f>
        <v/>
      </c>
      <c r="XS14">
        <f>XS13+IF(AND($C13=96,$L13=1),1,0)</f>
        <v/>
      </c>
      <c r="XT14">
        <f>XT13+IF(AND($C13=97,$L13=1),1,0)</f>
        <v/>
      </c>
      <c r="XU14">
        <f>XU13+IF(AND($C13=98,$L13=1),1,0)</f>
        <v/>
      </c>
      <c r="XV14">
        <f>XV13+IF(AND($C13=99,$L13=1),1,0)</f>
        <v/>
      </c>
      <c r="XW14">
        <f>XW13+IF(AND($C13=100,$L13=1),1,0)</f>
        <v/>
      </c>
      <c r="XX14">
        <f>XX13+IF(AND($C13=101,$L13=1),1,0)</f>
        <v/>
      </c>
      <c r="XY14">
        <f>XY13+IF(AND($C13=102,$L13=1),1,0)</f>
        <v/>
      </c>
      <c r="XZ14">
        <f>XZ13+IF(AND($C13=103,$L13=1),1,0)</f>
        <v/>
      </c>
      <c r="YA14">
        <f>YA13+IF(AND($C13=104,$L13=1),1,0)</f>
        <v/>
      </c>
      <c r="YB14">
        <f>YB13+IF(AND($C13=105,$L13=1),1,0)</f>
        <v/>
      </c>
      <c r="YC14">
        <f>YC13+IF(AND($C13=106,$L13=1),1,0)</f>
        <v/>
      </c>
      <c r="YD14">
        <f>YD13+IF(AND($C13=107,$L13=1),1,0)</f>
        <v/>
      </c>
      <c r="YE14">
        <f>YE13+IF(AND($C13=108,$L13=1),1,0)</f>
        <v/>
      </c>
      <c r="YF14">
        <f>YF13+IF(AND($C13=109,$L13=1),1,0)</f>
        <v/>
      </c>
      <c r="YG14">
        <f>YG13+IF(AND($C13=110,$L13=1),1,0)</f>
        <v/>
      </c>
      <c r="YH14">
        <f>YH13+IF(AND($C13=111,$L13=1),1,0)</f>
        <v/>
      </c>
      <c r="YI14">
        <f>YI13+IF(AND($C13=112,$L13=1),1,0)</f>
        <v/>
      </c>
      <c r="YJ14">
        <f>YJ13+IF(AND($C13=113,$L13=1),1,0)</f>
        <v/>
      </c>
      <c r="YK14">
        <f>YK13+IF(AND($C13=114,$L13=1),1,0)</f>
        <v/>
      </c>
      <c r="YL14">
        <f>YL13+IF(AND($C13=115,$L13=1),1,0)</f>
        <v/>
      </c>
      <c r="YM14">
        <f>YM13+IF(AND($C13=116,$L13=1),1,0)</f>
        <v/>
      </c>
      <c r="YN14">
        <f>YN13+IF(AND($C13=117,$L13=1),1,0)</f>
        <v/>
      </c>
      <c r="YO14">
        <f>YO13+IF(AND($C13=118,$L13=1),1,0)</f>
        <v/>
      </c>
      <c r="YP14">
        <f>YP13+IF(AND($C13=119,$L13=1),1,0)</f>
        <v/>
      </c>
      <c r="YQ14">
        <f>YQ13+IF(AND($C13=120,$L13=1),1,0)</f>
        <v/>
      </c>
      <c r="YR14">
        <f>YR13+IF(AND($C13=121,$L13=1),1,0)</f>
        <v/>
      </c>
      <c r="YS14">
        <f>YS13+IF(AND($C13=122,$L13=1),1,0)</f>
        <v/>
      </c>
      <c r="YT14">
        <f>YT13+IF(AND($C13=123,$L13=1),1,0)</f>
        <v/>
      </c>
      <c r="YU14">
        <f>YU13+IF(AND($C13=124,$L13=1),1,0)</f>
        <v/>
      </c>
      <c r="YV14">
        <f>YV13+IF(AND($C13=125,$L13=1),1,0)</f>
        <v/>
      </c>
      <c r="YW14">
        <f>YW13+IF(AND($C13=126,$L13=1),1,0)</f>
        <v/>
      </c>
      <c r="YX14">
        <f>YX13+IF(AND($C13=127,$L13=1),1,0)</f>
        <v/>
      </c>
      <c r="YY14">
        <f>YY13+IF(AND($C13=128,$L13=1),1,0)</f>
        <v/>
      </c>
      <c r="YZ14">
        <f>YZ13+IF(AND($C13=129,$L13=1),1,0)</f>
        <v/>
      </c>
      <c r="ZA14">
        <f>ZA13+IF(AND($C13=130,$L13=1),1,0)</f>
        <v/>
      </c>
      <c r="ZB14">
        <f>ZB13+IF(AND($C13=131,$L13=1),1,0)</f>
        <v/>
      </c>
      <c r="ZC14">
        <f>ZC13+IF(AND($C13=132,$L13=1),1,0)</f>
        <v/>
      </c>
      <c r="ZD14">
        <f>ZD13+IF(AND($C13=133,$L13=1),1,0)</f>
        <v/>
      </c>
      <c r="ZE14">
        <f>ZE13+IF(AND($C13=134,$L13=1),1,0)</f>
        <v/>
      </c>
      <c r="ZF14">
        <f>ZF13+IF(AND($C13=135,$L13=1),1,0)</f>
        <v/>
      </c>
      <c r="ZG14">
        <f>ZG13+IF(AND($C13=136,$L13=1),1,0)</f>
        <v/>
      </c>
      <c r="ZH14">
        <f>ZH13+IF(AND($C13=137,$L13=1),1,0)</f>
        <v/>
      </c>
      <c r="ZI14">
        <f>ZI13+IF(AND($C13=138,$L13=1),1,0)</f>
        <v/>
      </c>
      <c r="ZJ14">
        <f>ZJ13+IF(AND($C13=139,$L13=1),1,0)</f>
        <v/>
      </c>
      <c r="ZK14">
        <f>ZK13+IF(AND($C13=140,$L13=1),1,0)</f>
        <v/>
      </c>
      <c r="ZL14">
        <f>ZL13+IF(AND($C13=141,$L13=1),1,0)</f>
        <v/>
      </c>
      <c r="ZM14">
        <f>ZM13+IF(AND($C13=142,$L13=1),1,0)</f>
        <v/>
      </c>
      <c r="ZN14">
        <f>ZN13+IF(AND($C13=143,$L13=1),1,0)</f>
        <v/>
      </c>
      <c r="ZO14">
        <f>ZO13+IF(AND($C13=144,$L13=1),1,0)</f>
        <v/>
      </c>
    </row>
    <row r="15">
      <c r="A15" t="n">
        <v>13</v>
      </c>
      <c r="B15">
        <f>IF(MIN(BH15:CZ15)&gt;=1000000,0,MATCH(MIN(BH15:CZ15),BH15:CZ15,0))</f>
        <v/>
      </c>
      <c r="C15">
        <f>IF(MIN(OF15:TS15)&gt;=1000000,0,MATCH(MIN(OF15:TS15),OF15:TS15,0))</f>
        <v/>
      </c>
      <c r="D15">
        <f>IF(C15&gt;0,INDEX('計算A'!$D$5:$EQ$5,C15),0)</f>
        <v/>
      </c>
      <c r="E15">
        <f>IF(B15=0,0,INDEX('計算A'!$IQ$10:$IQ$54,B15))</f>
        <v/>
      </c>
      <c r="F15">
        <f>IF(B15=0,0,INDEX('計算A'!$IP$10:$IP$54,B15))</f>
        <v/>
      </c>
      <c r="G15">
        <f>IF(AND(C15&gt;0,E15&gt;0),IF(AND(INDEX('計算A'!$D$106:$EQ$106,C15)=1,INDEX($IQ15:$OD15,C15)=1),C15+1,0),0)</f>
        <v/>
      </c>
      <c r="H15">
        <f>IF(B15=0,0,INDEX('計算A'!$IW$10:$IW$54,B15))</f>
        <v/>
      </c>
      <c r="I15">
        <f>IF(B15=0,0,MAX(0,INDEX('計算A'!$IT$10:$IT$54,B15)))</f>
        <v/>
      </c>
      <c r="J15">
        <f>IF(I15=0,0,INDEX('計算A'!$D$2:$EQ$2,I15))</f>
        <v/>
      </c>
      <c r="K15">
        <f>IF(I15=0,0,INDEX('計算A'!$D$3:$EQ$3,I15))</f>
        <v/>
      </c>
      <c r="L15">
        <f>IF(B15=0,0,INDEX('計算A'!$IX$10:$IX$54,B15))</f>
        <v/>
      </c>
      <c r="N15">
        <f>MAX(N14,IF($B14=1,1,0))</f>
        <v/>
      </c>
      <c r="O15">
        <f>MAX(O14,IF($B14=2,1,0))</f>
        <v/>
      </c>
      <c r="P15">
        <f>MAX(P14,IF($B14=3,1,0))</f>
        <v/>
      </c>
      <c r="Q15">
        <f>MAX(Q14,IF($B14=4,1,0))</f>
        <v/>
      </c>
      <c r="R15">
        <f>MAX(R14,IF($B14=5,1,0))</f>
        <v/>
      </c>
      <c r="S15">
        <f>MAX(S14,IF($B14=6,1,0))</f>
        <v/>
      </c>
      <c r="T15">
        <f>MAX(T14,IF($B14=7,1,0))</f>
        <v/>
      </c>
      <c r="U15">
        <f>MAX(U14,IF($B14=8,1,0))</f>
        <v/>
      </c>
      <c r="V15">
        <f>MAX(V14,IF($B14=9,1,0))</f>
        <v/>
      </c>
      <c r="W15">
        <f>MAX(W14,IF($B14=10,1,0))</f>
        <v/>
      </c>
      <c r="X15">
        <f>MAX(X14,IF($B14=11,1,0))</f>
        <v/>
      </c>
      <c r="Y15">
        <f>MAX(Y14,IF($B14=12,1,0))</f>
        <v/>
      </c>
      <c r="Z15">
        <f>MAX(Z14,IF($B14=13,1,0))</f>
        <v/>
      </c>
      <c r="AA15">
        <f>MAX(AA14,IF($B14=14,1,0))</f>
        <v/>
      </c>
      <c r="AB15">
        <f>MAX(AB14,IF($B14=15,1,0))</f>
        <v/>
      </c>
      <c r="AC15">
        <f>MAX(AC14,IF($B14=16,1,0))</f>
        <v/>
      </c>
      <c r="AD15">
        <f>MAX(AD14,IF($B14=17,1,0))</f>
        <v/>
      </c>
      <c r="AE15">
        <f>MAX(AE14,IF($B14=18,1,0))</f>
        <v/>
      </c>
      <c r="AF15">
        <f>MAX(AF14,IF($B14=19,1,0))</f>
        <v/>
      </c>
      <c r="AG15">
        <f>MAX(AG14,IF($B14=20,1,0))</f>
        <v/>
      </c>
      <c r="AH15">
        <f>MAX(AH14,IF($B14=21,1,0))</f>
        <v/>
      </c>
      <c r="AI15">
        <f>MAX(AI14,IF($B14=22,1,0))</f>
        <v/>
      </c>
      <c r="AJ15">
        <f>MAX(AJ14,IF($B14=23,1,0))</f>
        <v/>
      </c>
      <c r="AK15">
        <f>MAX(AK14,IF($B14=24,1,0))</f>
        <v/>
      </c>
      <c r="AL15">
        <f>MAX(AL14,IF($B14=25,1,0))</f>
        <v/>
      </c>
      <c r="AM15">
        <f>MAX(AM14,IF($B14=26,1,0))</f>
        <v/>
      </c>
      <c r="AN15">
        <f>MAX(AN14,IF($B14=27,1,0))</f>
        <v/>
      </c>
      <c r="AO15">
        <f>MAX(AO14,IF($B14=28,1,0))</f>
        <v/>
      </c>
      <c r="AP15">
        <f>MAX(AP14,IF($B14=29,1,0))</f>
        <v/>
      </c>
      <c r="AQ15">
        <f>MAX(AQ14,IF($B14=30,1,0))</f>
        <v/>
      </c>
      <c r="AR15">
        <f>MAX(AR14,IF($B14=31,1,0))</f>
        <v/>
      </c>
      <c r="AS15">
        <f>MAX(AS14,IF($B14=32,1,0))</f>
        <v/>
      </c>
      <c r="AT15">
        <f>MAX(AT14,IF($B14=33,1,0))</f>
        <v/>
      </c>
      <c r="AU15">
        <f>MAX(AU14,IF($B14=34,1,0))</f>
        <v/>
      </c>
      <c r="AV15">
        <f>MAX(AV14,IF($B14=35,1,0))</f>
        <v/>
      </c>
      <c r="AW15">
        <f>MAX(AW14,IF($B14=36,1,0))</f>
        <v/>
      </c>
      <c r="AX15">
        <f>MAX(AX14,IF($B14=37,1,0))</f>
        <v/>
      </c>
      <c r="AY15">
        <f>MAX(AY14,IF($B14=38,1,0))</f>
        <v/>
      </c>
      <c r="AZ15">
        <f>MAX(AZ14,IF($B14=39,1,0))</f>
        <v/>
      </c>
      <c r="BA15">
        <f>MAX(BA14,IF($B14=40,1,0))</f>
        <v/>
      </c>
      <c r="BB15">
        <f>MAX(BB14,IF($B14=41,1,0))</f>
        <v/>
      </c>
      <c r="BC15">
        <f>MAX(BC14,IF($B14=42,1,0))</f>
        <v/>
      </c>
      <c r="BD15">
        <f>MAX(BD14,IF($B14=43,1,0))</f>
        <v/>
      </c>
      <c r="BE15">
        <f>MAX(BE14,IF($B14=44,1,0))</f>
        <v/>
      </c>
      <c r="BF15">
        <f>MAX(BF14,IF($B14=45,1,0))</f>
        <v/>
      </c>
      <c r="BH15">
        <f>IF(N15=1,1000000,IF('計算A'!$IT$10&gt;0,0,500000)+IF('計算A'!$IQ$10=2,SUMPRODUCT('計算A'!$D$60:$EQ$60,$DB15:$IO15,$IQ15:$OD15),SUMPRODUCT('計算A'!$D$60:$EQ$60,$DB15:$IO15))*1000+1)</f>
        <v/>
      </c>
      <c r="BI15">
        <f>IF(O15=1,1000000,IF('計算A'!$IT$11&gt;0,0,500000)+IF('計算A'!$IQ$11=2,SUMPRODUCT('計算A'!$D$61:$EQ$61,$DB15:$IO15,$IQ15:$OD15),SUMPRODUCT('計算A'!$D$61:$EQ$61,$DB15:$IO15))*1000+2)</f>
        <v/>
      </c>
      <c r="BJ15">
        <f>IF(P15=1,1000000,IF('計算A'!$IT$12&gt;0,0,500000)+IF('計算A'!$IQ$12=2,SUMPRODUCT('計算A'!$D$62:$EQ$62,$DB15:$IO15,$IQ15:$OD15),SUMPRODUCT('計算A'!$D$62:$EQ$62,$DB15:$IO15))*1000+3)</f>
        <v/>
      </c>
      <c r="BK15">
        <f>IF(Q15=1,1000000,IF('計算A'!$IT$13&gt;0,0,500000)+IF('計算A'!$IQ$13=2,SUMPRODUCT('計算A'!$D$63:$EQ$63,$DB15:$IO15,$IQ15:$OD15),SUMPRODUCT('計算A'!$D$63:$EQ$63,$DB15:$IO15))*1000+4)</f>
        <v/>
      </c>
      <c r="BL15">
        <f>IF(R15=1,1000000,IF('計算A'!$IT$14&gt;0,0,500000)+IF('計算A'!$IQ$14=2,SUMPRODUCT('計算A'!$D$64:$EQ$64,$DB15:$IO15,$IQ15:$OD15),SUMPRODUCT('計算A'!$D$64:$EQ$64,$DB15:$IO15))*1000+5)</f>
        <v/>
      </c>
      <c r="BM15">
        <f>IF(S15=1,1000000,IF('計算A'!$IT$15&gt;0,0,500000)+IF('計算A'!$IQ$15=2,SUMPRODUCT('計算A'!$D$65:$EQ$65,$DB15:$IO15,$IQ15:$OD15),SUMPRODUCT('計算A'!$D$65:$EQ$65,$DB15:$IO15))*1000+6)</f>
        <v/>
      </c>
      <c r="BN15">
        <f>IF(T15=1,1000000,IF('計算A'!$IT$16&gt;0,0,500000)+IF('計算A'!$IQ$16=2,SUMPRODUCT('計算A'!$D$66:$EQ$66,$DB15:$IO15,$IQ15:$OD15),SUMPRODUCT('計算A'!$D$66:$EQ$66,$DB15:$IO15))*1000+7)</f>
        <v/>
      </c>
      <c r="BO15">
        <f>IF(U15=1,1000000,IF('計算A'!$IT$17&gt;0,0,500000)+IF('計算A'!$IQ$17=2,SUMPRODUCT('計算A'!$D$67:$EQ$67,$DB15:$IO15,$IQ15:$OD15),SUMPRODUCT('計算A'!$D$67:$EQ$67,$DB15:$IO15))*1000+8)</f>
        <v/>
      </c>
      <c r="BP15">
        <f>IF(V15=1,1000000,IF('計算A'!$IT$18&gt;0,0,500000)+IF('計算A'!$IQ$18=2,SUMPRODUCT('計算A'!$D$68:$EQ$68,$DB15:$IO15,$IQ15:$OD15),SUMPRODUCT('計算A'!$D$68:$EQ$68,$DB15:$IO15))*1000+9)</f>
        <v/>
      </c>
      <c r="BQ15">
        <f>IF(W15=1,1000000,IF('計算A'!$IT$19&gt;0,0,500000)+IF('計算A'!$IQ$19=2,SUMPRODUCT('計算A'!$D$69:$EQ$69,$DB15:$IO15,$IQ15:$OD15),SUMPRODUCT('計算A'!$D$69:$EQ$69,$DB15:$IO15))*1000+10)</f>
        <v/>
      </c>
      <c r="BR15">
        <f>IF(X15=1,1000000,IF('計算A'!$IT$20&gt;0,0,500000)+IF('計算A'!$IQ$20=2,SUMPRODUCT('計算A'!$D$70:$EQ$70,$DB15:$IO15,$IQ15:$OD15),SUMPRODUCT('計算A'!$D$70:$EQ$70,$DB15:$IO15))*1000+11)</f>
        <v/>
      </c>
      <c r="BS15">
        <f>IF(Y15=1,1000000,IF('計算A'!$IT$21&gt;0,0,500000)+IF('計算A'!$IQ$21=2,SUMPRODUCT('計算A'!$D$71:$EQ$71,$DB15:$IO15,$IQ15:$OD15),SUMPRODUCT('計算A'!$D$71:$EQ$71,$DB15:$IO15))*1000+12)</f>
        <v/>
      </c>
      <c r="BT15">
        <f>IF(Z15=1,1000000,IF('計算A'!$IT$22&gt;0,0,500000)+IF('計算A'!$IQ$22=2,SUMPRODUCT('計算A'!$D$72:$EQ$72,$DB15:$IO15,$IQ15:$OD15),SUMPRODUCT('計算A'!$D$72:$EQ$72,$DB15:$IO15))*1000+13)</f>
        <v/>
      </c>
      <c r="BU15">
        <f>IF(AA15=1,1000000,IF('計算A'!$IT$23&gt;0,0,500000)+IF('計算A'!$IQ$23=2,SUMPRODUCT('計算A'!$D$73:$EQ$73,$DB15:$IO15,$IQ15:$OD15),SUMPRODUCT('計算A'!$D$73:$EQ$73,$DB15:$IO15))*1000+14)</f>
        <v/>
      </c>
      <c r="BV15">
        <f>IF(AB15=1,1000000,IF('計算A'!$IT$24&gt;0,0,500000)+IF('計算A'!$IQ$24=2,SUMPRODUCT('計算A'!$D$74:$EQ$74,$DB15:$IO15,$IQ15:$OD15),SUMPRODUCT('計算A'!$D$74:$EQ$74,$DB15:$IO15))*1000+15)</f>
        <v/>
      </c>
      <c r="BW15">
        <f>IF(AC15=1,1000000,IF('計算A'!$IT$25&gt;0,0,500000)+IF('計算A'!$IQ$25=2,SUMPRODUCT('計算A'!$D$75:$EQ$75,$DB15:$IO15,$IQ15:$OD15),SUMPRODUCT('計算A'!$D$75:$EQ$75,$DB15:$IO15))*1000+16)</f>
        <v/>
      </c>
      <c r="BX15">
        <f>IF(AD15=1,1000000,IF('計算A'!$IT$26&gt;0,0,500000)+IF('計算A'!$IQ$26=2,SUMPRODUCT('計算A'!$D$76:$EQ$76,$DB15:$IO15,$IQ15:$OD15),SUMPRODUCT('計算A'!$D$76:$EQ$76,$DB15:$IO15))*1000+17)</f>
        <v/>
      </c>
      <c r="BY15">
        <f>IF(AE15=1,1000000,IF('計算A'!$IT$27&gt;0,0,500000)+IF('計算A'!$IQ$27=2,SUMPRODUCT('計算A'!$D$77:$EQ$77,$DB15:$IO15,$IQ15:$OD15),SUMPRODUCT('計算A'!$D$77:$EQ$77,$DB15:$IO15))*1000+18)</f>
        <v/>
      </c>
      <c r="BZ15">
        <f>IF(AF15=1,1000000,IF('計算A'!$IT$28&gt;0,0,500000)+IF('計算A'!$IQ$28=2,SUMPRODUCT('計算A'!$D$78:$EQ$78,$DB15:$IO15,$IQ15:$OD15),SUMPRODUCT('計算A'!$D$78:$EQ$78,$DB15:$IO15))*1000+19)</f>
        <v/>
      </c>
      <c r="CA15">
        <f>IF(AG15=1,1000000,IF('計算A'!$IT$29&gt;0,0,500000)+IF('計算A'!$IQ$29=2,SUMPRODUCT('計算A'!$D$79:$EQ$79,$DB15:$IO15,$IQ15:$OD15),SUMPRODUCT('計算A'!$D$79:$EQ$79,$DB15:$IO15))*1000+20)</f>
        <v/>
      </c>
      <c r="CB15">
        <f>IF(AH15=1,1000000,IF('計算A'!$IT$30&gt;0,0,500000)+IF('計算A'!$IQ$30=2,SUMPRODUCT('計算A'!$D$80:$EQ$80,$DB15:$IO15,$IQ15:$OD15),SUMPRODUCT('計算A'!$D$80:$EQ$80,$DB15:$IO15))*1000+21)</f>
        <v/>
      </c>
      <c r="CC15">
        <f>IF(AI15=1,1000000,IF('計算A'!$IT$31&gt;0,0,500000)+IF('計算A'!$IQ$31=2,SUMPRODUCT('計算A'!$D$81:$EQ$81,$DB15:$IO15,$IQ15:$OD15),SUMPRODUCT('計算A'!$D$81:$EQ$81,$DB15:$IO15))*1000+22)</f>
        <v/>
      </c>
      <c r="CD15">
        <f>IF(AJ15=1,1000000,IF('計算A'!$IT$32&gt;0,0,500000)+IF('計算A'!$IQ$32=2,SUMPRODUCT('計算A'!$D$82:$EQ$82,$DB15:$IO15,$IQ15:$OD15),SUMPRODUCT('計算A'!$D$82:$EQ$82,$DB15:$IO15))*1000+23)</f>
        <v/>
      </c>
      <c r="CE15">
        <f>IF(AK15=1,1000000,IF('計算A'!$IT$33&gt;0,0,500000)+IF('計算A'!$IQ$33=2,SUMPRODUCT('計算A'!$D$83:$EQ$83,$DB15:$IO15,$IQ15:$OD15),SUMPRODUCT('計算A'!$D$83:$EQ$83,$DB15:$IO15))*1000+24)</f>
        <v/>
      </c>
      <c r="CF15">
        <f>IF(AL15=1,1000000,IF('計算A'!$IT$34&gt;0,0,500000)+IF('計算A'!$IQ$34=2,SUMPRODUCT('計算A'!$D$84:$EQ$84,$DB15:$IO15,$IQ15:$OD15),SUMPRODUCT('計算A'!$D$84:$EQ$84,$DB15:$IO15))*1000+25)</f>
        <v/>
      </c>
      <c r="CG15">
        <f>IF(AM15=1,1000000,IF('計算A'!$IT$35&gt;0,0,500000)+IF('計算A'!$IQ$35=2,SUMPRODUCT('計算A'!$D$85:$EQ$85,$DB15:$IO15,$IQ15:$OD15),SUMPRODUCT('計算A'!$D$85:$EQ$85,$DB15:$IO15))*1000+26)</f>
        <v/>
      </c>
      <c r="CH15">
        <f>IF(AN15=1,1000000,IF('計算A'!$IT$36&gt;0,0,500000)+IF('計算A'!$IQ$36=2,SUMPRODUCT('計算A'!$D$86:$EQ$86,$DB15:$IO15,$IQ15:$OD15),SUMPRODUCT('計算A'!$D$86:$EQ$86,$DB15:$IO15))*1000+27)</f>
        <v/>
      </c>
      <c r="CI15">
        <f>IF(AO15=1,1000000,IF('計算A'!$IT$37&gt;0,0,500000)+IF('計算A'!$IQ$37=2,SUMPRODUCT('計算A'!$D$87:$EQ$87,$DB15:$IO15,$IQ15:$OD15),SUMPRODUCT('計算A'!$D$87:$EQ$87,$DB15:$IO15))*1000+28)</f>
        <v/>
      </c>
      <c r="CJ15">
        <f>IF(AP15=1,1000000,IF('計算A'!$IT$38&gt;0,0,500000)+IF('計算A'!$IQ$38=2,SUMPRODUCT('計算A'!$D$88:$EQ$88,$DB15:$IO15,$IQ15:$OD15),SUMPRODUCT('計算A'!$D$88:$EQ$88,$DB15:$IO15))*1000+29)</f>
        <v/>
      </c>
      <c r="CK15">
        <f>IF(AQ15=1,1000000,IF('計算A'!$IT$39&gt;0,0,500000)+IF('計算A'!$IQ$39=2,SUMPRODUCT('計算A'!$D$89:$EQ$89,$DB15:$IO15,$IQ15:$OD15),SUMPRODUCT('計算A'!$D$89:$EQ$89,$DB15:$IO15))*1000+30)</f>
        <v/>
      </c>
      <c r="CL15">
        <f>IF(AR15=1,1000000,IF('計算A'!$IT$40&gt;0,0,500000)+IF('計算A'!$IQ$40=2,SUMPRODUCT('計算A'!$D$90:$EQ$90,$DB15:$IO15,$IQ15:$OD15),SUMPRODUCT('計算A'!$D$90:$EQ$90,$DB15:$IO15))*1000+31)</f>
        <v/>
      </c>
      <c r="CM15">
        <f>IF(AS15=1,1000000,IF('計算A'!$IT$41&gt;0,0,500000)+IF('計算A'!$IQ$41=2,SUMPRODUCT('計算A'!$D$91:$EQ$91,$DB15:$IO15,$IQ15:$OD15),SUMPRODUCT('計算A'!$D$91:$EQ$91,$DB15:$IO15))*1000+32)</f>
        <v/>
      </c>
      <c r="CN15">
        <f>IF(AT15=1,1000000,IF('計算A'!$IT$42&gt;0,0,500000)+IF('計算A'!$IQ$42=2,SUMPRODUCT('計算A'!$D$92:$EQ$92,$DB15:$IO15,$IQ15:$OD15),SUMPRODUCT('計算A'!$D$92:$EQ$92,$DB15:$IO15))*1000+33)</f>
        <v/>
      </c>
      <c r="CO15">
        <f>IF(AU15=1,1000000,IF('計算A'!$IT$43&gt;0,0,500000)+IF('計算A'!$IQ$43=2,SUMPRODUCT('計算A'!$D$93:$EQ$93,$DB15:$IO15,$IQ15:$OD15),SUMPRODUCT('計算A'!$D$93:$EQ$93,$DB15:$IO15))*1000+34)</f>
        <v/>
      </c>
      <c r="CP15">
        <f>IF(AV15=1,1000000,IF('計算A'!$IT$44&gt;0,0,500000)+IF('計算A'!$IQ$44=2,SUMPRODUCT('計算A'!$D$94:$EQ$94,$DB15:$IO15,$IQ15:$OD15),SUMPRODUCT('計算A'!$D$94:$EQ$94,$DB15:$IO15))*1000+35)</f>
        <v/>
      </c>
      <c r="CQ15">
        <f>IF(AW15=1,1000000,IF('計算A'!$IT$45&gt;0,0,500000)+IF('計算A'!$IQ$45=2,SUMPRODUCT('計算A'!$D$95:$EQ$95,$DB15:$IO15,$IQ15:$OD15),SUMPRODUCT('計算A'!$D$95:$EQ$95,$DB15:$IO15))*1000+36)</f>
        <v/>
      </c>
      <c r="CR15">
        <f>IF(AX15=1,1000000,IF('計算A'!$IT$46&gt;0,0,500000)+IF('計算A'!$IQ$46=2,SUMPRODUCT('計算A'!$D$96:$EQ$96,$DB15:$IO15,$IQ15:$OD15),SUMPRODUCT('計算A'!$D$96:$EQ$96,$DB15:$IO15))*1000+37)</f>
        <v/>
      </c>
      <c r="CS15">
        <f>IF(AY15=1,1000000,IF('計算A'!$IT$47&gt;0,0,500000)+IF('計算A'!$IQ$47=2,SUMPRODUCT('計算A'!$D$97:$EQ$97,$DB15:$IO15,$IQ15:$OD15),SUMPRODUCT('計算A'!$D$97:$EQ$97,$DB15:$IO15))*1000+38)</f>
        <v/>
      </c>
      <c r="CT15">
        <f>IF(AZ15=1,1000000,IF('計算A'!$IT$48&gt;0,0,500000)+IF('計算A'!$IQ$48=2,SUMPRODUCT('計算A'!$D$98:$EQ$98,$DB15:$IO15,$IQ15:$OD15),SUMPRODUCT('計算A'!$D$98:$EQ$98,$DB15:$IO15))*1000+39)</f>
        <v/>
      </c>
      <c r="CU15">
        <f>IF(BA15=1,1000000,IF('計算A'!$IT$49&gt;0,0,500000)+IF('計算A'!$IQ$49=2,SUMPRODUCT('計算A'!$D$99:$EQ$99,$DB15:$IO15,$IQ15:$OD15),SUMPRODUCT('計算A'!$D$99:$EQ$99,$DB15:$IO15))*1000+40)</f>
        <v/>
      </c>
      <c r="CV15">
        <f>IF(BB15=1,1000000,IF('計算A'!$IT$50&gt;0,0,500000)+IF('計算A'!$IQ$50=2,SUMPRODUCT('計算A'!$D$100:$EQ$100,$DB15:$IO15,$IQ15:$OD15),SUMPRODUCT('計算A'!$D$100:$EQ$100,$DB15:$IO15))*1000+41)</f>
        <v/>
      </c>
      <c r="CW15">
        <f>IF(BC15=1,1000000,IF('計算A'!$IT$51&gt;0,0,500000)+IF('計算A'!$IQ$51=2,SUMPRODUCT('計算A'!$D$101:$EQ$101,$DB15:$IO15,$IQ15:$OD15),SUMPRODUCT('計算A'!$D$101:$EQ$101,$DB15:$IO15))*1000+42)</f>
        <v/>
      </c>
      <c r="CX15">
        <f>IF(BD15=1,1000000,IF('計算A'!$IT$52&gt;0,0,500000)+IF('計算A'!$IQ$52=2,SUMPRODUCT('計算A'!$D$102:$EQ$102,$DB15:$IO15,$IQ15:$OD15),SUMPRODUCT('計算A'!$D$102:$EQ$102,$DB15:$IO15))*1000+43)</f>
        <v/>
      </c>
      <c r="CY15">
        <f>IF(BE15=1,1000000,IF('計算A'!$IT$53&gt;0,0,500000)+IF('計算A'!$IQ$53=2,SUMPRODUCT('計算A'!$D$103:$EQ$103,$DB15:$IO15,$IQ15:$OD15),SUMPRODUCT('計算A'!$D$103:$EQ$103,$DB15:$IO15))*1000+44)</f>
        <v/>
      </c>
      <c r="CZ15">
        <f>IF(BF15=1,1000000,IF('計算A'!$IT$54&gt;0,0,500000)+IF('計算A'!$IQ$54=2,SUMPRODUCT('計算A'!$D$104:$EQ$104,$DB15:$IO15,$IQ15:$OD15),SUMPRODUCT('計算A'!$D$104:$EQ$104,$DB15:$IO15))*1000+45)</f>
        <v/>
      </c>
      <c r="DB15">
        <f>DB14*IF(OR($C14=1,$G14=1),0,1)</f>
        <v/>
      </c>
      <c r="DC15">
        <f>DC14*IF(OR($C14=2,$G14=2),0,1)</f>
        <v/>
      </c>
      <c r="DD15">
        <f>DD14*IF(OR($C14=3,$G14=3),0,1)</f>
        <v/>
      </c>
      <c r="DE15">
        <f>DE14*IF(OR($C14=4,$G14=4),0,1)</f>
        <v/>
      </c>
      <c r="DF15">
        <f>DF14*IF(OR($C14=5,$G14=5),0,1)</f>
        <v/>
      </c>
      <c r="DG15">
        <f>DG14*IF(OR($C14=6,$G14=6),0,1)</f>
        <v/>
      </c>
      <c r="DH15">
        <f>DH14*IF(OR($C14=7,$G14=7),0,1)</f>
        <v/>
      </c>
      <c r="DI15">
        <f>DI14*IF(OR($C14=8,$G14=8),0,1)</f>
        <v/>
      </c>
      <c r="DJ15">
        <f>DJ14*IF(OR($C14=9,$G14=9),0,1)</f>
        <v/>
      </c>
      <c r="DK15">
        <f>DK14*IF(OR($C14=10,$G14=10),0,1)</f>
        <v/>
      </c>
      <c r="DL15">
        <f>DL14*IF(OR($C14=11,$G14=11),0,1)</f>
        <v/>
      </c>
      <c r="DM15">
        <f>DM14*IF(OR($C14=12,$G14=12),0,1)</f>
        <v/>
      </c>
      <c r="DN15">
        <f>DN14*IF(OR($C14=13,$G14=13),0,1)</f>
        <v/>
      </c>
      <c r="DO15">
        <f>DO14*IF(OR($C14=14,$G14=14),0,1)</f>
        <v/>
      </c>
      <c r="DP15">
        <f>DP14*IF(OR($C14=15,$G14=15),0,1)</f>
        <v/>
      </c>
      <c r="DQ15">
        <f>DQ14*IF(OR($C14=16,$G14=16),0,1)</f>
        <v/>
      </c>
      <c r="DR15">
        <f>DR14*IF(OR($C14=17,$G14=17),0,1)</f>
        <v/>
      </c>
      <c r="DS15">
        <f>DS14*IF(OR($C14=18,$G14=18),0,1)</f>
        <v/>
      </c>
      <c r="DT15">
        <f>DT14*IF(OR($C14=19,$G14=19),0,1)</f>
        <v/>
      </c>
      <c r="DU15">
        <f>DU14*IF(OR($C14=20,$G14=20),0,1)</f>
        <v/>
      </c>
      <c r="DV15">
        <f>DV14*IF(OR($C14=21,$G14=21),0,1)</f>
        <v/>
      </c>
      <c r="DW15">
        <f>DW14*IF(OR($C14=22,$G14=22),0,1)</f>
        <v/>
      </c>
      <c r="DX15">
        <f>DX14*IF(OR($C14=23,$G14=23),0,1)</f>
        <v/>
      </c>
      <c r="DY15">
        <f>DY14*IF(OR($C14=24,$G14=24),0,1)</f>
        <v/>
      </c>
      <c r="DZ15">
        <f>DZ14*IF(OR($C14=25,$G14=25),0,1)</f>
        <v/>
      </c>
      <c r="EA15">
        <f>EA14*IF(OR($C14=26,$G14=26),0,1)</f>
        <v/>
      </c>
      <c r="EB15">
        <f>EB14*IF(OR($C14=27,$G14=27),0,1)</f>
        <v/>
      </c>
      <c r="EC15">
        <f>EC14*IF(OR($C14=28,$G14=28),0,1)</f>
        <v/>
      </c>
      <c r="ED15">
        <f>ED14*IF(OR($C14=29,$G14=29),0,1)</f>
        <v/>
      </c>
      <c r="EE15">
        <f>EE14*IF(OR($C14=30,$G14=30),0,1)</f>
        <v/>
      </c>
      <c r="EF15">
        <f>EF14*IF(OR($C14=31,$G14=31),0,1)</f>
        <v/>
      </c>
      <c r="EG15">
        <f>EG14*IF(OR($C14=32,$G14=32),0,1)</f>
        <v/>
      </c>
      <c r="EH15">
        <f>EH14*IF(OR($C14=33,$G14=33),0,1)</f>
        <v/>
      </c>
      <c r="EI15">
        <f>EI14*IF(OR($C14=34,$G14=34),0,1)</f>
        <v/>
      </c>
      <c r="EJ15">
        <f>EJ14*IF(OR($C14=35,$G14=35),0,1)</f>
        <v/>
      </c>
      <c r="EK15">
        <f>EK14*IF(OR($C14=36,$G14=36),0,1)</f>
        <v/>
      </c>
      <c r="EL15">
        <f>EL14*IF(OR($C14=37,$G14=37),0,1)</f>
        <v/>
      </c>
      <c r="EM15">
        <f>EM14*IF(OR($C14=38,$G14=38),0,1)</f>
        <v/>
      </c>
      <c r="EN15">
        <f>EN14*IF(OR($C14=39,$G14=39),0,1)</f>
        <v/>
      </c>
      <c r="EO15">
        <f>EO14*IF(OR($C14=40,$G14=40),0,1)</f>
        <v/>
      </c>
      <c r="EP15">
        <f>EP14*IF(OR($C14=41,$G14=41),0,1)</f>
        <v/>
      </c>
      <c r="EQ15">
        <f>EQ14*IF(OR($C14=42,$G14=42),0,1)</f>
        <v/>
      </c>
      <c r="ER15">
        <f>ER14*IF(OR($C14=43,$G14=43),0,1)</f>
        <v/>
      </c>
      <c r="ES15">
        <f>ES14*IF(OR($C14=44,$G14=44),0,1)</f>
        <v/>
      </c>
      <c r="ET15">
        <f>ET14*IF(OR($C14=45,$G14=45),0,1)</f>
        <v/>
      </c>
      <c r="EU15">
        <f>EU14*IF(OR($C14=46,$G14=46),0,1)</f>
        <v/>
      </c>
      <c r="EV15">
        <f>EV14*IF(OR($C14=47,$G14=47),0,1)</f>
        <v/>
      </c>
      <c r="EW15">
        <f>EW14*IF(OR($C14=48,$G14=48),0,1)</f>
        <v/>
      </c>
      <c r="EX15">
        <f>EX14*IF(OR($C14=49,$G14=49),0,1)</f>
        <v/>
      </c>
      <c r="EY15">
        <f>EY14*IF(OR($C14=50,$G14=50),0,1)</f>
        <v/>
      </c>
      <c r="EZ15">
        <f>EZ14*IF(OR($C14=51,$G14=51),0,1)</f>
        <v/>
      </c>
      <c r="FA15">
        <f>FA14*IF(OR($C14=52,$G14=52),0,1)</f>
        <v/>
      </c>
      <c r="FB15">
        <f>FB14*IF(OR($C14=53,$G14=53),0,1)</f>
        <v/>
      </c>
      <c r="FC15">
        <f>FC14*IF(OR($C14=54,$G14=54),0,1)</f>
        <v/>
      </c>
      <c r="FD15">
        <f>FD14*IF(OR($C14=55,$G14=55),0,1)</f>
        <v/>
      </c>
      <c r="FE15">
        <f>FE14*IF(OR($C14=56,$G14=56),0,1)</f>
        <v/>
      </c>
      <c r="FF15">
        <f>FF14*IF(OR($C14=57,$G14=57),0,1)</f>
        <v/>
      </c>
      <c r="FG15">
        <f>FG14*IF(OR($C14=58,$G14=58),0,1)</f>
        <v/>
      </c>
      <c r="FH15">
        <f>FH14*IF(OR($C14=59,$G14=59),0,1)</f>
        <v/>
      </c>
      <c r="FI15">
        <f>FI14*IF(OR($C14=60,$G14=60),0,1)</f>
        <v/>
      </c>
      <c r="FJ15">
        <f>FJ14*IF(OR($C14=61,$G14=61),0,1)</f>
        <v/>
      </c>
      <c r="FK15">
        <f>FK14*IF(OR($C14=62,$G14=62),0,1)</f>
        <v/>
      </c>
      <c r="FL15">
        <f>FL14*IF(OR($C14=63,$G14=63),0,1)</f>
        <v/>
      </c>
      <c r="FM15">
        <f>FM14*IF(OR($C14=64,$G14=64),0,1)</f>
        <v/>
      </c>
      <c r="FN15">
        <f>FN14*IF(OR($C14=65,$G14=65),0,1)</f>
        <v/>
      </c>
      <c r="FO15">
        <f>FO14*IF(OR($C14=66,$G14=66),0,1)</f>
        <v/>
      </c>
      <c r="FP15">
        <f>FP14*IF(OR($C14=67,$G14=67),0,1)</f>
        <v/>
      </c>
      <c r="FQ15">
        <f>FQ14*IF(OR($C14=68,$G14=68),0,1)</f>
        <v/>
      </c>
      <c r="FR15">
        <f>FR14*IF(OR($C14=69,$G14=69),0,1)</f>
        <v/>
      </c>
      <c r="FS15">
        <f>FS14*IF(OR($C14=70,$G14=70),0,1)</f>
        <v/>
      </c>
      <c r="FT15">
        <f>FT14*IF(OR($C14=71,$G14=71),0,1)</f>
        <v/>
      </c>
      <c r="FU15">
        <f>FU14*IF(OR($C14=72,$G14=72),0,1)</f>
        <v/>
      </c>
      <c r="FV15">
        <f>FV14*IF(OR($C14=73,$G14=73),0,1)</f>
        <v/>
      </c>
      <c r="FW15">
        <f>FW14*IF(OR($C14=74,$G14=74),0,1)</f>
        <v/>
      </c>
      <c r="FX15">
        <f>FX14*IF(OR($C14=75,$G14=75),0,1)</f>
        <v/>
      </c>
      <c r="FY15">
        <f>FY14*IF(OR($C14=76,$G14=76),0,1)</f>
        <v/>
      </c>
      <c r="FZ15">
        <f>FZ14*IF(OR($C14=77,$G14=77),0,1)</f>
        <v/>
      </c>
      <c r="GA15">
        <f>GA14*IF(OR($C14=78,$G14=78),0,1)</f>
        <v/>
      </c>
      <c r="GB15">
        <f>GB14*IF(OR($C14=79,$G14=79),0,1)</f>
        <v/>
      </c>
      <c r="GC15">
        <f>GC14*IF(OR($C14=80,$G14=80),0,1)</f>
        <v/>
      </c>
      <c r="GD15">
        <f>GD14*IF(OR($C14=81,$G14=81),0,1)</f>
        <v/>
      </c>
      <c r="GE15">
        <f>GE14*IF(OR($C14=82,$G14=82),0,1)</f>
        <v/>
      </c>
      <c r="GF15">
        <f>GF14*IF(OR($C14=83,$G14=83),0,1)</f>
        <v/>
      </c>
      <c r="GG15">
        <f>GG14*IF(OR($C14=84,$G14=84),0,1)</f>
        <v/>
      </c>
      <c r="GH15">
        <f>GH14*IF(OR($C14=85,$G14=85),0,1)</f>
        <v/>
      </c>
      <c r="GI15">
        <f>GI14*IF(OR($C14=86,$G14=86),0,1)</f>
        <v/>
      </c>
      <c r="GJ15">
        <f>GJ14*IF(OR($C14=87,$G14=87),0,1)</f>
        <v/>
      </c>
      <c r="GK15">
        <f>GK14*IF(OR($C14=88,$G14=88),0,1)</f>
        <v/>
      </c>
      <c r="GL15">
        <f>GL14*IF(OR($C14=89,$G14=89),0,1)</f>
        <v/>
      </c>
      <c r="GM15">
        <f>GM14*IF(OR($C14=90,$G14=90),0,1)</f>
        <v/>
      </c>
      <c r="GN15">
        <f>GN14*IF(OR($C14=91,$G14=91),0,1)</f>
        <v/>
      </c>
      <c r="GO15">
        <f>GO14*IF(OR($C14=92,$G14=92),0,1)</f>
        <v/>
      </c>
      <c r="GP15">
        <f>GP14*IF(OR($C14=93,$G14=93),0,1)</f>
        <v/>
      </c>
      <c r="GQ15">
        <f>GQ14*IF(OR($C14=94,$G14=94),0,1)</f>
        <v/>
      </c>
      <c r="GR15">
        <f>GR14*IF(OR($C14=95,$G14=95),0,1)</f>
        <v/>
      </c>
      <c r="GS15">
        <f>GS14*IF(OR($C14=96,$G14=96),0,1)</f>
        <v/>
      </c>
      <c r="GT15">
        <f>GT14*IF(OR($C14=97,$G14=97),0,1)</f>
        <v/>
      </c>
      <c r="GU15">
        <f>GU14*IF(OR($C14=98,$G14=98),0,1)</f>
        <v/>
      </c>
      <c r="GV15">
        <f>GV14*IF(OR($C14=99,$G14=99),0,1)</f>
        <v/>
      </c>
      <c r="GW15">
        <f>GW14*IF(OR($C14=100,$G14=100),0,1)</f>
        <v/>
      </c>
      <c r="GX15">
        <f>GX14*IF(OR($C14=101,$G14=101),0,1)</f>
        <v/>
      </c>
      <c r="GY15">
        <f>GY14*IF(OR($C14=102,$G14=102),0,1)</f>
        <v/>
      </c>
      <c r="GZ15">
        <f>GZ14*IF(OR($C14=103,$G14=103),0,1)</f>
        <v/>
      </c>
      <c r="HA15">
        <f>HA14*IF(OR($C14=104,$G14=104),0,1)</f>
        <v/>
      </c>
      <c r="HB15">
        <f>HB14*IF(OR($C14=105,$G14=105),0,1)</f>
        <v/>
      </c>
      <c r="HC15">
        <f>HC14*IF(OR($C14=106,$G14=106),0,1)</f>
        <v/>
      </c>
      <c r="HD15">
        <f>HD14*IF(OR($C14=107,$G14=107),0,1)</f>
        <v/>
      </c>
      <c r="HE15">
        <f>HE14*IF(OR($C14=108,$G14=108),0,1)</f>
        <v/>
      </c>
      <c r="HF15">
        <f>HF14*IF(OR($C14=109,$G14=109),0,1)</f>
        <v/>
      </c>
      <c r="HG15">
        <f>HG14*IF(OR($C14=110,$G14=110),0,1)</f>
        <v/>
      </c>
      <c r="HH15">
        <f>HH14*IF(OR($C14=111,$G14=111),0,1)</f>
        <v/>
      </c>
      <c r="HI15">
        <f>HI14*IF(OR($C14=112,$G14=112),0,1)</f>
        <v/>
      </c>
      <c r="HJ15">
        <f>HJ14*IF(OR($C14=113,$G14=113),0,1)</f>
        <v/>
      </c>
      <c r="HK15">
        <f>HK14*IF(OR($C14=114,$G14=114),0,1)</f>
        <v/>
      </c>
      <c r="HL15">
        <f>HL14*IF(OR($C14=115,$G14=115),0,1)</f>
        <v/>
      </c>
      <c r="HM15">
        <f>HM14*IF(OR($C14=116,$G14=116),0,1)</f>
        <v/>
      </c>
      <c r="HN15">
        <f>HN14*IF(OR($C14=117,$G14=117),0,1)</f>
        <v/>
      </c>
      <c r="HO15">
        <f>HO14*IF(OR($C14=118,$G14=118),0,1)</f>
        <v/>
      </c>
      <c r="HP15">
        <f>HP14*IF(OR($C14=119,$G14=119),0,1)</f>
        <v/>
      </c>
      <c r="HQ15">
        <f>HQ14*IF(OR($C14=120,$G14=120),0,1)</f>
        <v/>
      </c>
      <c r="HR15">
        <f>HR14*IF(OR($C14=121,$G14=121),0,1)</f>
        <v/>
      </c>
      <c r="HS15">
        <f>HS14*IF(OR($C14=122,$G14=122),0,1)</f>
        <v/>
      </c>
      <c r="HT15">
        <f>HT14*IF(OR($C14=123,$G14=123),0,1)</f>
        <v/>
      </c>
      <c r="HU15">
        <f>HU14*IF(OR($C14=124,$G14=124),0,1)</f>
        <v/>
      </c>
      <c r="HV15">
        <f>HV14*IF(OR($C14=125,$G14=125),0,1)</f>
        <v/>
      </c>
      <c r="HW15">
        <f>HW14*IF(OR($C14=126,$G14=126),0,1)</f>
        <v/>
      </c>
      <c r="HX15">
        <f>HX14*IF(OR($C14=127,$G14=127),0,1)</f>
        <v/>
      </c>
      <c r="HY15">
        <f>HY14*IF(OR($C14=128,$G14=128),0,1)</f>
        <v/>
      </c>
      <c r="HZ15">
        <f>HZ14*IF(OR($C14=129,$G14=129),0,1)</f>
        <v/>
      </c>
      <c r="IA15">
        <f>IA14*IF(OR($C14=130,$G14=130),0,1)</f>
        <v/>
      </c>
      <c r="IB15">
        <f>IB14*IF(OR($C14=131,$G14=131),0,1)</f>
        <v/>
      </c>
      <c r="IC15">
        <f>IC14*IF(OR($C14=132,$G14=132),0,1)</f>
        <v/>
      </c>
      <c r="ID15">
        <f>ID14*IF(OR($C14=133,$G14=133),0,1)</f>
        <v/>
      </c>
      <c r="IE15">
        <f>IE14*IF(OR($C14=134,$G14=134),0,1)</f>
        <v/>
      </c>
      <c r="IF15">
        <f>IF14*IF(OR($C14=135,$G14=135),0,1)</f>
        <v/>
      </c>
      <c r="IG15">
        <f>IG14*IF(OR($C14=136,$G14=136),0,1)</f>
        <v/>
      </c>
      <c r="IH15">
        <f>IH14*IF(OR($C14=137,$G14=137),0,1)</f>
        <v/>
      </c>
      <c r="II15">
        <f>II14*IF(OR($C14=138,$G14=138),0,1)</f>
        <v/>
      </c>
      <c r="IJ15">
        <f>IJ14*IF(OR($C14=139,$G14=139),0,1)</f>
        <v/>
      </c>
      <c r="IK15">
        <f>IK14*IF(OR($C14=140,$G14=140),0,1)</f>
        <v/>
      </c>
      <c r="IL15">
        <f>IL14*IF(OR($C14=141,$G14=141),0,1)</f>
        <v/>
      </c>
      <c r="IM15">
        <f>IM14*IF(OR($C14=142,$G14=142),0,1)</f>
        <v/>
      </c>
      <c r="IN15">
        <f>IN14*IF(OR($C14=143,$G14=143),0,1)</f>
        <v/>
      </c>
      <c r="IO15">
        <f>IO14*IF(OR($C14=144,$G14=144),0,1)</f>
        <v/>
      </c>
      <c r="IQ15">
        <f>IF('計算A'!D$106=1,DC15,1)</f>
        <v/>
      </c>
      <c r="IR15">
        <f>IF('計算A'!E$106=1,DD15,1)</f>
        <v/>
      </c>
      <c r="IS15">
        <f>IF('計算A'!F$106=1,DE15,1)</f>
        <v/>
      </c>
      <c r="IT15">
        <f>IF('計算A'!G$106=1,DF15,1)</f>
        <v/>
      </c>
      <c r="IU15">
        <f>IF('計算A'!H$106=1,DG15,1)</f>
        <v/>
      </c>
      <c r="IV15">
        <f>IF('計算A'!I$106=1,DH15,1)</f>
        <v/>
      </c>
      <c r="IW15">
        <f>IF('計算A'!J$106=1,DI15,1)</f>
        <v/>
      </c>
      <c r="IX15">
        <f>IF('計算A'!K$106=1,DJ15,1)</f>
        <v/>
      </c>
      <c r="IY15">
        <f>IF('計算A'!L$106=1,DK15,1)</f>
        <v/>
      </c>
      <c r="IZ15">
        <f>IF('計算A'!M$106=1,DL15,1)</f>
        <v/>
      </c>
      <c r="JA15">
        <f>IF('計算A'!N$106=1,DM15,1)</f>
        <v/>
      </c>
      <c r="JB15">
        <f>IF('計算A'!O$106=1,DN15,1)</f>
        <v/>
      </c>
      <c r="JC15">
        <f>IF('計算A'!P$106=1,DO15,1)</f>
        <v/>
      </c>
      <c r="JD15">
        <f>IF('計算A'!Q$106=1,DP15,1)</f>
        <v/>
      </c>
      <c r="JE15">
        <f>IF('計算A'!R$106=1,DQ15,1)</f>
        <v/>
      </c>
      <c r="JF15">
        <f>IF('計算A'!S$106=1,DR15,1)</f>
        <v/>
      </c>
      <c r="JG15">
        <f>IF('計算A'!T$106=1,DS15,1)</f>
        <v/>
      </c>
      <c r="JH15">
        <f>IF('計算A'!U$106=1,DT15,1)</f>
        <v/>
      </c>
      <c r="JI15">
        <f>IF('計算A'!V$106=1,DU15,1)</f>
        <v/>
      </c>
      <c r="JJ15">
        <f>IF('計算A'!W$106=1,DV15,1)</f>
        <v/>
      </c>
      <c r="JK15">
        <f>IF('計算A'!X$106=1,DW15,1)</f>
        <v/>
      </c>
      <c r="JL15">
        <f>IF('計算A'!Y$106=1,DX15,1)</f>
        <v/>
      </c>
      <c r="JM15">
        <f>IF('計算A'!Z$106=1,DY15,1)</f>
        <v/>
      </c>
      <c r="JN15">
        <f>IF('計算A'!AA$106=1,DZ15,1)</f>
        <v/>
      </c>
      <c r="JO15">
        <f>IF('計算A'!AB$106=1,EA15,1)</f>
        <v/>
      </c>
      <c r="JP15">
        <f>IF('計算A'!AC$106=1,EB15,1)</f>
        <v/>
      </c>
      <c r="JQ15">
        <f>IF('計算A'!AD$106=1,EC15,1)</f>
        <v/>
      </c>
      <c r="JR15">
        <f>IF('計算A'!AE$106=1,ED15,1)</f>
        <v/>
      </c>
      <c r="JS15">
        <f>IF('計算A'!AF$106=1,EE15,1)</f>
        <v/>
      </c>
      <c r="JT15">
        <f>IF('計算A'!AG$106=1,EF15,1)</f>
        <v/>
      </c>
      <c r="JU15">
        <f>IF('計算A'!AH$106=1,EG15,1)</f>
        <v/>
      </c>
      <c r="JV15">
        <f>IF('計算A'!AI$106=1,EH15,1)</f>
        <v/>
      </c>
      <c r="JW15">
        <f>IF('計算A'!AJ$106=1,EI15,1)</f>
        <v/>
      </c>
      <c r="JX15">
        <f>IF('計算A'!AK$106=1,EJ15,1)</f>
        <v/>
      </c>
      <c r="JY15">
        <f>IF('計算A'!AL$106=1,EK15,1)</f>
        <v/>
      </c>
      <c r="JZ15">
        <f>IF('計算A'!AM$106=1,EL15,1)</f>
        <v/>
      </c>
      <c r="KA15">
        <f>IF('計算A'!AN$106=1,EM15,1)</f>
        <v/>
      </c>
      <c r="KB15">
        <f>IF('計算A'!AO$106=1,EN15,1)</f>
        <v/>
      </c>
      <c r="KC15">
        <f>IF('計算A'!AP$106=1,EO15,1)</f>
        <v/>
      </c>
      <c r="KD15">
        <f>IF('計算A'!AQ$106=1,EP15,1)</f>
        <v/>
      </c>
      <c r="KE15">
        <f>IF('計算A'!AR$106=1,EQ15,1)</f>
        <v/>
      </c>
      <c r="KF15">
        <f>IF('計算A'!AS$106=1,ER15,1)</f>
        <v/>
      </c>
      <c r="KG15">
        <f>IF('計算A'!AT$106=1,ES15,1)</f>
        <v/>
      </c>
      <c r="KH15">
        <f>IF('計算A'!AU$106=1,ET15,1)</f>
        <v/>
      </c>
      <c r="KI15">
        <f>IF('計算A'!AV$106=1,EU15,1)</f>
        <v/>
      </c>
      <c r="KJ15">
        <f>IF('計算A'!AW$106=1,EV15,1)</f>
        <v/>
      </c>
      <c r="KK15">
        <f>IF('計算A'!AX$106=1,EW15,1)</f>
        <v/>
      </c>
      <c r="KL15">
        <f>IF('計算A'!AY$106=1,EX15,1)</f>
        <v/>
      </c>
      <c r="KM15">
        <f>IF('計算A'!AZ$106=1,EY15,1)</f>
        <v/>
      </c>
      <c r="KN15">
        <f>IF('計算A'!BA$106=1,EZ15,1)</f>
        <v/>
      </c>
      <c r="KO15">
        <f>IF('計算A'!BB$106=1,FA15,1)</f>
        <v/>
      </c>
      <c r="KP15">
        <f>IF('計算A'!BC$106=1,FB15,1)</f>
        <v/>
      </c>
      <c r="KQ15">
        <f>IF('計算A'!BD$106=1,FC15,1)</f>
        <v/>
      </c>
      <c r="KR15">
        <f>IF('計算A'!BE$106=1,FD15,1)</f>
        <v/>
      </c>
      <c r="KS15">
        <f>IF('計算A'!BF$106=1,FE15,1)</f>
        <v/>
      </c>
      <c r="KT15">
        <f>IF('計算A'!BG$106=1,FF15,1)</f>
        <v/>
      </c>
      <c r="KU15">
        <f>IF('計算A'!BH$106=1,FG15,1)</f>
        <v/>
      </c>
      <c r="KV15">
        <f>IF('計算A'!BI$106=1,FH15,1)</f>
        <v/>
      </c>
      <c r="KW15">
        <f>IF('計算A'!BJ$106=1,FI15,1)</f>
        <v/>
      </c>
      <c r="KX15">
        <f>IF('計算A'!BK$106=1,FJ15,1)</f>
        <v/>
      </c>
      <c r="KY15">
        <f>IF('計算A'!BL$106=1,FK15,1)</f>
        <v/>
      </c>
      <c r="KZ15">
        <f>IF('計算A'!BM$106=1,FL15,1)</f>
        <v/>
      </c>
      <c r="LA15">
        <f>IF('計算A'!BN$106=1,FM15,1)</f>
        <v/>
      </c>
      <c r="LB15">
        <f>IF('計算A'!BO$106=1,FN15,1)</f>
        <v/>
      </c>
      <c r="LC15">
        <f>IF('計算A'!BP$106=1,FO15,1)</f>
        <v/>
      </c>
      <c r="LD15">
        <f>IF('計算A'!BQ$106=1,FP15,1)</f>
        <v/>
      </c>
      <c r="LE15">
        <f>IF('計算A'!BR$106=1,FQ15,1)</f>
        <v/>
      </c>
      <c r="LF15">
        <f>IF('計算A'!BS$106=1,FR15,1)</f>
        <v/>
      </c>
      <c r="LG15">
        <f>IF('計算A'!BT$106=1,FS15,1)</f>
        <v/>
      </c>
      <c r="LH15">
        <f>IF('計算A'!BU$106=1,FT15,1)</f>
        <v/>
      </c>
      <c r="LI15">
        <f>IF('計算A'!BV$106=1,FU15,1)</f>
        <v/>
      </c>
      <c r="LJ15">
        <f>IF('計算A'!BW$106=1,FV15,1)</f>
        <v/>
      </c>
      <c r="LK15">
        <f>IF('計算A'!BX$106=1,FW15,1)</f>
        <v/>
      </c>
      <c r="LL15">
        <f>IF('計算A'!BY$106=1,FX15,1)</f>
        <v/>
      </c>
      <c r="LM15">
        <f>IF('計算A'!BZ$106=1,FY15,1)</f>
        <v/>
      </c>
      <c r="LN15">
        <f>IF('計算A'!CA$106=1,FZ15,1)</f>
        <v/>
      </c>
      <c r="LO15">
        <f>IF('計算A'!CB$106=1,GA15,1)</f>
        <v/>
      </c>
      <c r="LP15">
        <f>IF('計算A'!CC$106=1,GB15,1)</f>
        <v/>
      </c>
      <c r="LQ15">
        <f>IF('計算A'!CD$106=1,GC15,1)</f>
        <v/>
      </c>
      <c r="LR15">
        <f>IF('計算A'!CE$106=1,GD15,1)</f>
        <v/>
      </c>
      <c r="LS15">
        <f>IF('計算A'!CF$106=1,GE15,1)</f>
        <v/>
      </c>
      <c r="LT15">
        <f>IF('計算A'!CG$106=1,GF15,1)</f>
        <v/>
      </c>
      <c r="LU15">
        <f>IF('計算A'!CH$106=1,GG15,1)</f>
        <v/>
      </c>
      <c r="LV15">
        <f>IF('計算A'!CI$106=1,GH15,1)</f>
        <v/>
      </c>
      <c r="LW15">
        <f>IF('計算A'!CJ$106=1,GI15,1)</f>
        <v/>
      </c>
      <c r="LX15">
        <f>IF('計算A'!CK$106=1,GJ15,1)</f>
        <v/>
      </c>
      <c r="LY15">
        <f>IF('計算A'!CL$106=1,GK15,1)</f>
        <v/>
      </c>
      <c r="LZ15">
        <f>IF('計算A'!CM$106=1,GL15,1)</f>
        <v/>
      </c>
      <c r="MA15">
        <f>IF('計算A'!CN$106=1,GM15,1)</f>
        <v/>
      </c>
      <c r="MB15">
        <f>IF('計算A'!CO$106=1,GN15,1)</f>
        <v/>
      </c>
      <c r="MC15">
        <f>IF('計算A'!CP$106=1,GO15,1)</f>
        <v/>
      </c>
      <c r="MD15">
        <f>IF('計算A'!CQ$106=1,GP15,1)</f>
        <v/>
      </c>
      <c r="ME15">
        <f>IF('計算A'!CR$106=1,GQ15,1)</f>
        <v/>
      </c>
      <c r="MF15">
        <f>IF('計算A'!CS$106=1,GR15,1)</f>
        <v/>
      </c>
      <c r="MG15">
        <f>IF('計算A'!CT$106=1,GS15,1)</f>
        <v/>
      </c>
      <c r="MH15">
        <f>IF('計算A'!CU$106=1,GT15,1)</f>
        <v/>
      </c>
      <c r="MI15">
        <f>IF('計算A'!CV$106=1,GU15,1)</f>
        <v/>
      </c>
      <c r="MJ15">
        <f>IF('計算A'!CW$106=1,GV15,1)</f>
        <v/>
      </c>
      <c r="MK15">
        <f>IF('計算A'!CX$106=1,GW15,1)</f>
        <v/>
      </c>
      <c r="ML15">
        <f>IF('計算A'!CY$106=1,GX15,1)</f>
        <v/>
      </c>
      <c r="MM15">
        <f>IF('計算A'!CZ$106=1,GY15,1)</f>
        <v/>
      </c>
      <c r="MN15">
        <f>IF('計算A'!DA$106=1,GZ15,1)</f>
        <v/>
      </c>
      <c r="MO15">
        <f>IF('計算A'!DB$106=1,HA15,1)</f>
        <v/>
      </c>
      <c r="MP15">
        <f>IF('計算A'!DC$106=1,HB15,1)</f>
        <v/>
      </c>
      <c r="MQ15">
        <f>IF('計算A'!DD$106=1,HC15,1)</f>
        <v/>
      </c>
      <c r="MR15">
        <f>IF('計算A'!DE$106=1,HD15,1)</f>
        <v/>
      </c>
      <c r="MS15">
        <f>IF('計算A'!DF$106=1,HE15,1)</f>
        <v/>
      </c>
      <c r="MT15">
        <f>IF('計算A'!DG$106=1,HF15,1)</f>
        <v/>
      </c>
      <c r="MU15">
        <f>IF('計算A'!DH$106=1,HG15,1)</f>
        <v/>
      </c>
      <c r="MV15">
        <f>IF('計算A'!DI$106=1,HH15,1)</f>
        <v/>
      </c>
      <c r="MW15">
        <f>IF('計算A'!DJ$106=1,HI15,1)</f>
        <v/>
      </c>
      <c r="MX15">
        <f>IF('計算A'!DK$106=1,HJ15,1)</f>
        <v/>
      </c>
      <c r="MY15">
        <f>IF('計算A'!DL$106=1,HK15,1)</f>
        <v/>
      </c>
      <c r="MZ15">
        <f>IF('計算A'!DM$106=1,HL15,1)</f>
        <v/>
      </c>
      <c r="NA15">
        <f>IF('計算A'!DN$106=1,HM15,1)</f>
        <v/>
      </c>
      <c r="NB15">
        <f>IF('計算A'!DO$106=1,HN15,1)</f>
        <v/>
      </c>
      <c r="NC15">
        <f>IF('計算A'!DP$106=1,HO15,1)</f>
        <v/>
      </c>
      <c r="ND15">
        <f>IF('計算A'!DQ$106=1,HP15,1)</f>
        <v/>
      </c>
      <c r="NE15">
        <f>IF('計算A'!DR$106=1,HQ15,1)</f>
        <v/>
      </c>
      <c r="NF15">
        <f>IF('計算A'!DS$106=1,HR15,1)</f>
        <v/>
      </c>
      <c r="NG15">
        <f>IF('計算A'!DT$106=1,HS15,1)</f>
        <v/>
      </c>
      <c r="NH15">
        <f>IF('計算A'!DU$106=1,HT15,1)</f>
        <v/>
      </c>
      <c r="NI15">
        <f>IF('計算A'!DV$106=1,HU15,1)</f>
        <v/>
      </c>
      <c r="NJ15">
        <f>IF('計算A'!DW$106=1,HV15,1)</f>
        <v/>
      </c>
      <c r="NK15">
        <f>IF('計算A'!DX$106=1,HW15,1)</f>
        <v/>
      </c>
      <c r="NL15">
        <f>IF('計算A'!DY$106=1,HX15,1)</f>
        <v/>
      </c>
      <c r="NM15">
        <f>IF('計算A'!DZ$106=1,HY15,1)</f>
        <v/>
      </c>
      <c r="NN15">
        <f>IF('計算A'!EA$106=1,HZ15,1)</f>
        <v/>
      </c>
      <c r="NO15">
        <f>IF('計算A'!EB$106=1,IA15,1)</f>
        <v/>
      </c>
      <c r="NP15">
        <f>IF('計算A'!EC$106=1,IB15,1)</f>
        <v/>
      </c>
      <c r="NQ15">
        <f>IF('計算A'!ED$106=1,IC15,1)</f>
        <v/>
      </c>
      <c r="NR15">
        <f>IF('計算A'!EE$106=1,ID15,1)</f>
        <v/>
      </c>
      <c r="NS15">
        <f>IF('計算A'!EF$106=1,IE15,1)</f>
        <v/>
      </c>
      <c r="NT15">
        <f>IF('計算A'!EG$106=1,IF15,1)</f>
        <v/>
      </c>
      <c r="NU15">
        <f>IF('計算A'!EH$106=1,IG15,1)</f>
        <v/>
      </c>
      <c r="NV15">
        <f>IF('計算A'!EI$106=1,IH15,1)</f>
        <v/>
      </c>
      <c r="NW15">
        <f>IF('計算A'!EJ$106=1,II15,1)</f>
        <v/>
      </c>
      <c r="NX15">
        <f>IF('計算A'!EK$106=1,IJ15,1)</f>
        <v/>
      </c>
      <c r="NY15">
        <f>IF('計算A'!EL$106=1,IK15,1)</f>
        <v/>
      </c>
      <c r="NZ15">
        <f>IF('計算A'!EM$106=1,IL15,1)</f>
        <v/>
      </c>
      <c r="OA15">
        <f>IF('計算A'!EN$106=1,IM15,1)</f>
        <v/>
      </c>
      <c r="OB15">
        <f>IF('計算A'!EO$106=1,IN15,1)</f>
        <v/>
      </c>
      <c r="OC15">
        <f>IF('計算A'!EP$106=1,IO15,1)</f>
        <v/>
      </c>
      <c r="OD15" t="n">
        <v>1</v>
      </c>
      <c r="OF15">
        <f>IF($B15=0,1000000,IF(INDEX('計算A'!$D$60:$EQ$104,$B15,1)*DB15=1,IF(AND($E15=2,IQ15=0),1000000,IF($I15&gt;0,IF(1=$J15,IF(OR(AND(1=$I15+1,OR($K15&lt;&gt;'計算A'!$A$3,'計算A'!$A$4=0)),AND(1=$I15-1,OR(1&lt;&gt;'計算A'!$A$3,'計算A'!$A$4=0))),0,IF(1=$K15,200000,ABS(1-$K15)*100)),100000+ABS(1-$J15)*1000+10)+'計算A'!D$5*50+IF(AND($E15=1,IQ15=0),25,0),IF($F15&gt;0,INDEX('計算A'!D$110:D$114,$F15+1)+IF(AND($E15=1,IQ15=0),1000,0),MIN(TU15,20)*400+(IF('計算A'!D$106=1,1-DC15,0))*150+11+'計算A'!D$5*100000+IF(AND($E15=1,IQ15=0),50000,0))+IF($H15=1,(IF('計算A'!D$117=1,INDEX('計算A'!E$10:E$54,$B15),0))*4000,0)-IF(AND($L15=1,'計算A'!D$117=1,DC15=0),2000,0))),1000000))</f>
        <v/>
      </c>
      <c r="OG15">
        <f>IF($B15=0,1000000,IF(INDEX('計算A'!$D$60:$EQ$104,$B15,2)*DC15=1,IF(AND($E15=2,IR15=0),1000000,IF($I15&gt;0,IF(1=$J15,IF(OR(AND(2=$I15+1,OR($K15&lt;&gt;'計算A'!$A$3,'計算A'!$A$4=0)),AND(2=$I15-1,OR(2&lt;&gt;'計算A'!$A$3,'計算A'!$A$4=0))),0,IF(2=$K15,200000,ABS(2-$K15)*100)),100000+ABS(1-$J15)*1000+20)+'計算A'!E$5*50+IF(AND($E15=1,IR15=0),25,0),IF($F15&gt;0,INDEX('計算A'!E$110:E$114,$F15+1)+IF(AND($E15=1,IR15=0),1000,0),MIN(TU15,20)*400+(IF('計算A'!D$106=1,1-DB15,0)+IF('計算A'!E$106=1,1-DD15,0))*150+21+'計算A'!E$5*100000+IF(AND($E15=1,IR15=0),50000,0))+IF($H15=1,(IF('計算A'!D$117=1,INDEX('計算A'!D$10:D$54,$B15),0)+IF('計算A'!E$117=1,INDEX('計算A'!F$10:F$54,$B15),0))*4000,0)-IF(AND('計算A'!D$117=1,UB15&gt;0),2000,0)-IF(AND($L15=1,'計算A'!E$117=1,DD15=0),2000,0))),1000000))</f>
        <v/>
      </c>
      <c r="OH15">
        <f>IF($B15=0,1000000,IF(INDEX('計算A'!$D$60:$EQ$104,$B15,3)*DD15=1,IF(AND($E15=2,IS15=0),1000000,IF($I15&gt;0,IF(1=$J15,IF(OR(AND(3=$I15+1,OR($K15&lt;&gt;'計算A'!$A$3,'計算A'!$A$4=0)),AND(3=$I15-1,OR(3&lt;&gt;'計算A'!$A$3,'計算A'!$A$4=0))),0,IF(3=$K15,200000,ABS(3-$K15)*100)),100000+ABS(1-$J15)*1000+30)+'計算A'!F$5*50+IF(AND($E15=1,IS15=0),25,0),IF($F15&gt;0,INDEX('計算A'!F$110:F$114,$F15+1)+IF(AND($E15=1,IS15=0),1000,0),MIN(TU15,20)*400+(IF('計算A'!E$106=1,1-DC15,0)+IF('計算A'!F$106=1,1-DE15,0))*150+31+'計算A'!F$5*100000+IF(AND($E15=1,IS15=0),50000,0))+IF($H15=1,(IF('計算A'!E$117=1,INDEX('計算A'!E$10:E$54,$B15),0)+IF('計算A'!F$117=1,INDEX('計算A'!G$10:G$54,$B15),0))*4000,0)-IF(AND('計算A'!E$117=1,UC15&gt;0),2000,0)-IF(AND($L15=1,'計算A'!F$117=1,DE15=0),2000,0))),1000000))</f>
        <v/>
      </c>
      <c r="OI15">
        <f>IF($B15=0,1000000,IF(INDEX('計算A'!$D$60:$EQ$104,$B15,4)*DE15=1,IF(AND($E15=2,IT15=0),1000000,IF($I15&gt;0,IF(1=$J15,IF(OR(AND(4=$I15+1,OR($K15&lt;&gt;'計算A'!$A$3,'計算A'!$A$4=0)),AND(4=$I15-1,OR(4&lt;&gt;'計算A'!$A$3,'計算A'!$A$4=0))),0,IF(4=$K15,200000,ABS(4-$K15)*100)),100000+ABS(1-$J15)*1000+40)+'計算A'!G$5*50+IF(AND($E15=1,IT15=0),25,0),IF($F15&gt;0,INDEX('計算A'!G$110:G$114,$F15+1)+IF(AND($E15=1,IT15=0),1000,0),MIN(TU15,20)*400+(IF('計算A'!F$106=1,1-DD15,0)+IF('計算A'!G$106=1,1-DF15,0))*150+41+'計算A'!G$5*100000+IF(AND($E15=1,IT15=0),50000,0))+IF($H15=1,(IF('計算A'!F$117=1,INDEX('計算A'!F$10:F$54,$B15),0)+IF('計算A'!G$117=1,INDEX('計算A'!H$10:H$54,$B15),0))*4000,0)-IF(AND('計算A'!F$117=1,UD15&gt;0),2000,0)-IF(AND($L15=1,'計算A'!G$117=1,DF15=0),2000,0))),1000000))</f>
        <v/>
      </c>
      <c r="OJ15">
        <f>IF($B15=0,1000000,IF(INDEX('計算A'!$D$60:$EQ$104,$B15,5)*DF15=1,IF(AND($E15=2,IU15=0),1000000,IF($I15&gt;0,IF(1=$J15,IF(OR(AND(5=$I15+1,OR($K15&lt;&gt;'計算A'!$A$3,'計算A'!$A$4=0)),AND(5=$I15-1,OR(5&lt;&gt;'計算A'!$A$3,'計算A'!$A$4=0))),0,IF(5=$K15,200000,ABS(5-$K15)*100)),100000+ABS(1-$J15)*1000+50)+'計算A'!H$5*50+IF(AND($E15=1,IU15=0),25,0),IF($F15&gt;0,INDEX('計算A'!H$110:H$114,$F15+1)+IF(AND($E15=1,IU15=0),1000,0),MIN(TU15,20)*400+(IF('計算A'!G$106=1,1-DE15,0)+IF('計算A'!H$106=1,1-DG15,0))*150+51+'計算A'!H$5*100000+IF(AND($E15=1,IU15=0),50000,0))+IF($H15=1,(IF('計算A'!G$117=1,INDEX('計算A'!G$10:G$54,$B15),0)+IF('計算A'!H$117=1,INDEX('計算A'!I$10:I$54,$B15),0))*4000,0)-IF(AND('計算A'!G$117=1,UE15&gt;0),2000,0)-IF(AND($L15=1,'計算A'!H$117=1,DG15=0),2000,0))),1000000))</f>
        <v/>
      </c>
      <c r="OK15">
        <f>IF($B15=0,1000000,IF(INDEX('計算A'!$D$60:$EQ$104,$B15,6)*DG15=1,IF(AND($E15=2,IV15=0),1000000,IF($I15&gt;0,IF(1=$J15,IF(OR(AND(6=$I15+1,OR($K15&lt;&gt;'計算A'!$A$3,'計算A'!$A$4=0)),AND(6=$I15-1,OR(6&lt;&gt;'計算A'!$A$3,'計算A'!$A$4=0))),0,IF(6=$K15,200000,ABS(6-$K15)*100)),100000+ABS(1-$J15)*1000+60)+'計算A'!I$5*50+IF(AND($E15=1,IV15=0),25,0),IF($F15&gt;0,INDEX('計算A'!I$110:I$114,$F15+1)+IF(AND($E15=1,IV15=0),1000,0),MIN(TU15,20)*400+(IF('計算A'!H$106=1,1-DF15,0)+IF('計算A'!I$106=1,1-DH15,0))*150+61+'計算A'!I$5*100000+IF(AND($E15=1,IV15=0),50000,0))+IF($H15=1,(IF('計算A'!H$117=1,INDEX('計算A'!H$10:H$54,$B15),0)+IF('計算A'!I$117=1,INDEX('計算A'!J$10:J$54,$B15),0))*4000,0)-IF(AND('計算A'!H$117=1,UF15&gt;0),2000,0)-IF(AND($L15=1,'計算A'!I$117=1,DH15=0),2000,0))),1000000))</f>
        <v/>
      </c>
      <c r="OL15">
        <f>IF($B15=0,1000000,IF(INDEX('計算A'!$D$60:$EQ$104,$B15,7)*DH15=1,IF(AND($E15=2,IW15=0),1000000,IF($I15&gt;0,IF(1=$J15,IF(OR(AND(7=$I15+1,OR($K15&lt;&gt;'計算A'!$A$3,'計算A'!$A$4=0)),AND(7=$I15-1,OR(7&lt;&gt;'計算A'!$A$3,'計算A'!$A$4=0))),0,IF(7=$K15,200000,ABS(7-$K15)*100)),100000+ABS(1-$J15)*1000+70)+'計算A'!J$5*50+IF(AND($E15=1,IW15=0),25,0),IF($F15&gt;0,INDEX('計算A'!J$110:J$114,$F15+1)+IF(AND($E15=1,IW15=0),1000,0),MIN(TU15,20)*400+(IF('計算A'!I$106=1,1-DG15,0)+IF('計算A'!J$106=1,1-DI15,0))*150+71+'計算A'!J$5*100000+IF(AND($E15=1,IW15=0),50000,0))+IF($H15=1,(IF('計算A'!I$117=1,INDEX('計算A'!I$10:I$54,$B15),0)+IF('計算A'!J$117=1,INDEX('計算A'!K$10:K$54,$B15),0))*4000,0)-IF(AND('計算A'!I$117=1,UG15&gt;0),2000,0)-IF(AND($L15=1,'計算A'!J$117=1,DI15=0),2000,0))),1000000))</f>
        <v/>
      </c>
      <c r="OM15">
        <f>IF($B15=0,1000000,IF(INDEX('計算A'!$D$60:$EQ$104,$B15,8)*DI15=1,IF(AND($E15=2,IX15=0),1000000,IF($I15&gt;0,IF(1=$J15,IF(OR(AND(8=$I15+1,OR($K15&lt;&gt;'計算A'!$A$3,'計算A'!$A$4=0)),AND(8=$I15-1,OR(8&lt;&gt;'計算A'!$A$3,'計算A'!$A$4=0))),0,IF(8=$K15,200000,ABS(8-$K15)*100)),100000+ABS(1-$J15)*1000+80)+'計算A'!K$5*50+IF(AND($E15=1,IX15=0),25,0),IF($F15&gt;0,INDEX('計算A'!K$110:K$114,$F15+1)+IF(AND($E15=1,IX15=0),1000,0),MIN(TU15,20)*400+(IF('計算A'!J$106=1,1-DH15,0)+IF('計算A'!K$106=1,1-DJ15,0))*150+81+'計算A'!K$5*100000+IF(AND($E15=1,IX15=0),50000,0))+IF($H15=1,(IF('計算A'!J$117=1,INDEX('計算A'!J$10:J$54,$B15),0)+IF('計算A'!K$117=1,INDEX('計算A'!L$10:L$54,$B15),0))*4000,0)-IF(AND('計算A'!J$117=1,UH15&gt;0),2000,0)-IF(AND($L15=1,'計算A'!K$117=1,DJ15=0),2000,0))),1000000))</f>
        <v/>
      </c>
      <c r="ON15">
        <f>IF($B15=0,1000000,IF(INDEX('計算A'!$D$60:$EQ$104,$B15,9)*DJ15=1,IF(AND($E15=2,IY15=0),1000000,IF($I15&gt;0,IF(1=$J15,IF(OR(AND(9=$I15+1,OR($K15&lt;&gt;'計算A'!$A$3,'計算A'!$A$4=0)),AND(9=$I15-1,OR(9&lt;&gt;'計算A'!$A$3,'計算A'!$A$4=0))),0,IF(9=$K15,200000,ABS(9-$K15)*100)),100000+ABS(1-$J15)*1000+90)+'計算A'!L$5*50+IF(AND($E15=1,IY15=0),25,0),IF($F15&gt;0,INDEX('計算A'!L$110:L$114,$F15+1)+IF(AND($E15=1,IY15=0),1000,0),MIN(TU15,20)*400+(IF('計算A'!K$106=1,1-DI15,0)+IF('計算A'!L$106=1,1-DK15,0))*150+91+'計算A'!L$5*100000+IF(AND($E15=1,IY15=0),50000,0))+IF($H15=1,(IF('計算A'!K$117=1,INDEX('計算A'!K$10:K$54,$B15),0)+IF('計算A'!L$117=1,INDEX('計算A'!M$10:M$54,$B15),0))*4000,0)-IF(AND('計算A'!K$117=1,UI15&gt;0),2000,0)-IF(AND($L15=1,'計算A'!L$117=1,DK15=0),2000,0))),1000000))</f>
        <v/>
      </c>
      <c r="OO15">
        <f>IF($B15=0,1000000,IF(INDEX('計算A'!$D$60:$EQ$104,$B15,10)*DK15=1,IF(AND($E15=2,IZ15=0),1000000,IF($I15&gt;0,IF(1=$J15,IF(OR(AND(10=$I15+1,OR($K15&lt;&gt;'計算A'!$A$3,'計算A'!$A$4=0)),AND(10=$I15-1,OR(10&lt;&gt;'計算A'!$A$3,'計算A'!$A$4=0))),0,IF(10=$K15,200000,ABS(10-$K15)*100)),100000+ABS(1-$J15)*1000+100)+'計算A'!M$5*50+IF(AND($E15=1,IZ15=0),25,0),IF($F15&gt;0,INDEX('計算A'!M$110:M$114,$F15+1)+IF(AND($E15=1,IZ15=0),1000,0),MIN(TU15,20)*400+(IF('計算A'!L$106=1,1-DJ15,0)+IF('計算A'!M$106=1,1-DL15,0))*150+101+'計算A'!M$5*100000+IF(AND($E15=1,IZ15=0),50000,0))+IF($H15=1,(IF('計算A'!L$117=1,INDEX('計算A'!L$10:L$54,$B15),0)+IF('計算A'!M$117=1,INDEX('計算A'!N$10:N$54,$B15),0))*4000,0)-IF(AND('計算A'!L$117=1,UJ15&gt;0),2000,0)-IF(AND($L15=1,'計算A'!M$117=1,DL15=0),2000,0))),1000000))</f>
        <v/>
      </c>
      <c r="OP15">
        <f>IF($B15=0,1000000,IF(INDEX('計算A'!$D$60:$EQ$104,$B15,11)*DL15=1,IF(AND($E15=2,JA15=0),1000000,IF($I15&gt;0,IF(1=$J15,IF(OR(AND(11=$I15+1,OR($K15&lt;&gt;'計算A'!$A$3,'計算A'!$A$4=0)),AND(11=$I15-1,OR(11&lt;&gt;'計算A'!$A$3,'計算A'!$A$4=0))),0,IF(11=$K15,200000,ABS(11-$K15)*100)),100000+ABS(1-$J15)*1000+110)+'計算A'!N$5*50+IF(AND($E15=1,JA15=0),25,0),IF($F15&gt;0,INDEX('計算A'!N$110:N$114,$F15+1)+IF(AND($E15=1,JA15=0),1000,0),MIN(TU15,20)*400+(IF('計算A'!M$106=1,1-DK15,0)+IF('計算A'!N$106=1,1-DM15,0))*150+111+'計算A'!N$5*100000+IF(AND($E15=1,JA15=0),50000,0))+IF($H15=1,(IF('計算A'!M$117=1,INDEX('計算A'!M$10:M$54,$B15),0)+IF('計算A'!N$117=1,INDEX('計算A'!O$10:O$54,$B15),0))*4000,0)-IF(AND('計算A'!M$117=1,UK15&gt;0),2000,0)-IF(AND($L15=1,'計算A'!N$117=1,DM15=0),2000,0))),1000000))</f>
        <v/>
      </c>
      <c r="OQ15">
        <f>IF($B15=0,1000000,IF(INDEX('計算A'!$D$60:$EQ$104,$B15,12)*DM15=1,IF(AND($E15=2,JB15=0),1000000,IF($I15&gt;0,IF(1=$J15,IF(OR(AND(12=$I15+1,OR($K15&lt;&gt;'計算A'!$A$3,'計算A'!$A$4=0)),AND(12=$I15-1,OR(12&lt;&gt;'計算A'!$A$3,'計算A'!$A$4=0))),0,IF(12=$K15,200000,ABS(12-$K15)*100)),100000+ABS(1-$J15)*1000+120)+'計算A'!O$5*50+IF(AND($E15=1,JB15=0),25,0),IF($F15&gt;0,INDEX('計算A'!O$110:O$114,$F15+1)+IF(AND($E15=1,JB15=0),1000,0),MIN(TU15,20)*400+(IF('計算A'!N$106=1,1-DL15,0)+IF('計算A'!O$106=1,1-DN15,0))*150+121+'計算A'!O$5*100000+IF(AND($E15=1,JB15=0),50000,0))+IF($H15=1,(IF('計算A'!N$117=1,INDEX('計算A'!N$10:N$54,$B15),0)+IF('計算A'!O$117=1,INDEX('計算A'!P$10:P$54,$B15),0))*4000,0)-IF(AND('計算A'!N$117=1,UL15&gt;0),2000,0)-IF(AND($L15=1,'計算A'!O$117=1,DN15=0),2000,0))),1000000))</f>
        <v/>
      </c>
      <c r="OR15">
        <f>IF($B15=0,1000000,IF(INDEX('計算A'!$D$60:$EQ$104,$B15,13)*DN15=1,IF(AND($E15=2,JC15=0),1000000,IF($I15&gt;0,IF(1=$J15,IF(OR(AND(13=$I15+1,OR($K15&lt;&gt;'計算A'!$A$3,'計算A'!$A$4=0)),AND(13=$I15-1,OR(13&lt;&gt;'計算A'!$A$3,'計算A'!$A$4=0))),0,IF(13=$K15,200000,ABS(13-$K15)*100)),100000+ABS(1-$J15)*1000+130)+'計算A'!P$5*50+IF(AND($E15=1,JC15=0),25,0),IF($F15&gt;0,INDEX('計算A'!P$110:P$114,$F15+1)+IF(AND($E15=1,JC15=0),1000,0),MIN(TU15,20)*400+(IF('計算A'!O$106=1,1-DM15,0)+IF('計算A'!P$106=1,1-DO15,0))*150+131+'計算A'!P$5*100000+IF(AND($E15=1,JC15=0),50000,0))+IF($H15=1,(IF('計算A'!O$117=1,INDEX('計算A'!O$10:O$54,$B15),0)+IF('計算A'!P$117=1,INDEX('計算A'!Q$10:Q$54,$B15),0))*4000,0)-IF(AND('計算A'!O$117=1,UM15&gt;0),2000,0)-IF(AND($L15=1,'計算A'!P$117=1,DO15=0),2000,0))),1000000))</f>
        <v/>
      </c>
      <c r="OS15">
        <f>IF($B15=0,1000000,IF(INDEX('計算A'!$D$60:$EQ$104,$B15,14)*DO15=1,IF(AND($E15=2,JD15=0),1000000,IF($I15&gt;0,IF(1=$J15,IF(OR(AND(14=$I15+1,OR($K15&lt;&gt;'計算A'!$A$3,'計算A'!$A$4=0)),AND(14=$I15-1,OR(14&lt;&gt;'計算A'!$A$3,'計算A'!$A$4=0))),0,IF(14=$K15,200000,ABS(14-$K15)*100)),100000+ABS(1-$J15)*1000+140)+'計算A'!Q$5*50+IF(AND($E15=1,JD15=0),25,0),IF($F15&gt;0,INDEX('計算A'!Q$110:Q$114,$F15+1)+IF(AND($E15=1,JD15=0),1000,0),MIN(TU15,20)*400+(IF('計算A'!P$106=1,1-DN15,0)+IF('計算A'!Q$106=1,1-DP15,0))*150+141+'計算A'!Q$5*100000+IF(AND($E15=1,JD15=0),50000,0))+IF($H15=1,(IF('計算A'!P$117=1,INDEX('計算A'!P$10:P$54,$B15),0)+IF('計算A'!Q$117=1,INDEX('計算A'!R$10:R$54,$B15),0))*4000,0)-IF(AND('計算A'!P$117=1,UN15&gt;0),2000,0)-IF(AND($L15=1,'計算A'!Q$117=1,DP15=0),2000,0))),1000000))</f>
        <v/>
      </c>
      <c r="OT15">
        <f>IF($B15=0,1000000,IF(INDEX('計算A'!$D$60:$EQ$104,$B15,15)*DP15=1,IF(AND($E15=2,JE15=0),1000000,IF($I15&gt;0,IF(1=$J15,IF(OR(AND(15=$I15+1,OR($K15&lt;&gt;'計算A'!$A$3,'計算A'!$A$4=0)),AND(15=$I15-1,OR(15&lt;&gt;'計算A'!$A$3,'計算A'!$A$4=0))),0,IF(15=$K15,200000,ABS(15-$K15)*100)),100000+ABS(1-$J15)*1000+150)+'計算A'!R$5*50+IF(AND($E15=1,JE15=0),25,0),IF($F15&gt;0,INDEX('計算A'!R$110:R$114,$F15+1)+IF(AND($E15=1,JE15=0),1000,0),MIN(TU15,20)*400+(IF('計算A'!Q$106=1,1-DO15,0)+IF('計算A'!R$106=1,1-DQ15,0))*150+151+'計算A'!R$5*100000+IF(AND($E15=1,JE15=0),50000,0))+IF($H15=1,(IF('計算A'!Q$117=1,INDEX('計算A'!Q$10:Q$54,$B15),0)+IF('計算A'!R$117=1,INDEX('計算A'!S$10:S$54,$B15),0))*4000,0)-IF(AND('計算A'!Q$117=1,UO15&gt;0),2000,0)-IF(AND($L15=1,'計算A'!R$117=1,DQ15=0),2000,0))),1000000))</f>
        <v/>
      </c>
      <c r="OU15">
        <f>IF($B15=0,1000000,IF(INDEX('計算A'!$D$60:$EQ$104,$B15,16)*DQ15=1,IF(AND($E15=2,JF15=0),1000000,IF($I15&gt;0,IF(1=$J15,IF(OR(AND(16=$I15+1,OR($K15&lt;&gt;'計算A'!$A$3,'計算A'!$A$4=0)),AND(16=$I15-1,OR(16&lt;&gt;'計算A'!$A$3,'計算A'!$A$4=0))),0,IF(16=$K15,200000,ABS(16-$K15)*100)),100000+ABS(1-$J15)*1000+160)+'計算A'!S$5*50+IF(AND($E15=1,JF15=0),25,0),IF($F15&gt;0,INDEX('計算A'!S$110:S$114,$F15+1)+IF(AND($E15=1,JF15=0),1000,0),MIN(TU15,20)*400+(IF('計算A'!R$106=1,1-DP15,0)+IF('計算A'!S$106=1,1-DR15,0))*150+161+'計算A'!S$5*100000+IF(AND($E15=1,JF15=0),50000,0))+IF($H15=1,(IF('計算A'!R$117=1,INDEX('計算A'!R$10:R$54,$B15),0)+IF('計算A'!S$117=1,INDEX('計算A'!T$10:T$54,$B15),0))*4000,0)-IF(AND('計算A'!R$117=1,UP15&gt;0),2000,0)-IF(AND($L15=1,'計算A'!S$117=1,DR15=0),2000,0))),1000000))</f>
        <v/>
      </c>
      <c r="OV15">
        <f>IF($B15=0,1000000,IF(INDEX('計算A'!$D$60:$EQ$104,$B15,17)*DR15=1,IF(AND($E15=2,JG15=0),1000000,IF($I15&gt;0,IF(1=$J15,IF(OR(AND(17=$I15+1,OR($K15&lt;&gt;'計算A'!$A$3,'計算A'!$A$4=0)),AND(17=$I15-1,OR(17&lt;&gt;'計算A'!$A$3,'計算A'!$A$4=0))),0,IF(17=$K15,200000,ABS(17-$K15)*100)),100000+ABS(1-$J15)*1000+170)+'計算A'!T$5*50+IF(AND($E15=1,JG15=0),25,0),IF($F15&gt;0,INDEX('計算A'!T$110:T$114,$F15+1)+IF(AND($E15=1,JG15=0),1000,0),MIN(TU15,20)*400+(IF('計算A'!S$106=1,1-DQ15,0)+IF('計算A'!T$106=1,1-DS15,0))*150+171+'計算A'!T$5*100000+IF(AND($E15=1,JG15=0),50000,0))+IF($H15=1,(IF('計算A'!S$117=1,INDEX('計算A'!S$10:S$54,$B15),0)+IF('計算A'!T$117=1,INDEX('計算A'!U$10:U$54,$B15),0))*4000,0)-IF(AND('計算A'!S$117=1,UQ15&gt;0),2000,0)-IF(AND($L15=1,'計算A'!T$117=1,DS15=0),2000,0))),1000000))</f>
        <v/>
      </c>
      <c r="OW15">
        <f>IF($B15=0,1000000,IF(INDEX('計算A'!$D$60:$EQ$104,$B15,18)*DS15=1,IF(AND($E15=2,JH15=0),1000000,IF($I15&gt;0,IF(1=$J15,IF(OR(AND(18=$I15+1,OR($K15&lt;&gt;'計算A'!$A$3,'計算A'!$A$4=0)),AND(18=$I15-1,OR(18&lt;&gt;'計算A'!$A$3,'計算A'!$A$4=0))),0,IF(18=$K15,200000,ABS(18-$K15)*100)),100000+ABS(1-$J15)*1000+180)+'計算A'!U$5*50+IF(AND($E15=1,JH15=0),25,0),IF($F15&gt;0,INDEX('計算A'!U$110:U$114,$F15+1)+IF(AND($E15=1,JH15=0),1000,0),MIN(TU15,20)*400+(IF('計算A'!T$106=1,1-DR15,0)+IF('計算A'!U$106=1,1-DT15,0))*150+181+'計算A'!U$5*100000+IF(AND($E15=1,JH15=0),50000,0))+IF($H15=1,(IF('計算A'!T$117=1,INDEX('計算A'!T$10:T$54,$B15),0)+IF('計算A'!U$117=1,INDEX('計算A'!V$10:V$54,$B15),0))*4000,0)-IF(AND('計算A'!T$117=1,UR15&gt;0),2000,0)-IF(AND($L15=1,'計算A'!U$117=1,DT15=0),2000,0))),1000000))</f>
        <v/>
      </c>
      <c r="OX15">
        <f>IF($B15=0,1000000,IF(INDEX('計算A'!$D$60:$EQ$104,$B15,19)*DT15=1,IF(AND($E15=2,JI15=0),1000000,IF($I15&gt;0,IF(1=$J15,IF(OR(AND(19=$I15+1,OR($K15&lt;&gt;'計算A'!$A$3,'計算A'!$A$4=0)),AND(19=$I15-1,OR(19&lt;&gt;'計算A'!$A$3,'計算A'!$A$4=0))),0,IF(19=$K15,200000,ABS(19-$K15)*100)),100000+ABS(1-$J15)*1000+190)+'計算A'!V$5*50+IF(AND($E15=1,JI15=0),25,0),IF($F15&gt;0,INDEX('計算A'!V$110:V$114,$F15+1)+IF(AND($E15=1,JI15=0),1000,0),MIN(TU15,20)*400+(IF('計算A'!U$106=1,1-DS15,0)+IF('計算A'!V$106=1,1-DU15,0))*150+191+'計算A'!V$5*100000+IF(AND($E15=1,JI15=0),50000,0))+IF($H15=1,(IF('計算A'!U$117=1,INDEX('計算A'!U$10:U$54,$B15),0)+IF('計算A'!V$117=1,INDEX('計算A'!W$10:W$54,$B15),0))*4000,0)-IF(AND('計算A'!U$117=1,US15&gt;0),2000,0)-IF(AND($L15=1,'計算A'!V$117=1,DU15=0),2000,0))),1000000))</f>
        <v/>
      </c>
      <c r="OY15">
        <f>IF($B15=0,1000000,IF(INDEX('計算A'!$D$60:$EQ$104,$B15,20)*DU15=1,IF(AND($E15=2,JJ15=0),1000000,IF($I15&gt;0,IF(1=$J15,IF(OR(AND(20=$I15+1,OR($K15&lt;&gt;'計算A'!$A$3,'計算A'!$A$4=0)),AND(20=$I15-1,OR(20&lt;&gt;'計算A'!$A$3,'計算A'!$A$4=0))),0,IF(20=$K15,200000,ABS(20-$K15)*100)),100000+ABS(1-$J15)*1000+200)+'計算A'!W$5*50+IF(AND($E15=1,JJ15=0),25,0),IF($F15&gt;0,INDEX('計算A'!W$110:W$114,$F15+1)+IF(AND($E15=1,JJ15=0),1000,0),MIN(TU15,20)*400+(IF('計算A'!V$106=1,1-DT15,0)+IF('計算A'!W$106=1,1-DV15,0))*150+201+'計算A'!W$5*100000+IF(AND($E15=1,JJ15=0),50000,0))+IF($H15=1,(IF('計算A'!V$117=1,INDEX('計算A'!V$10:V$54,$B15),0)+IF('計算A'!W$117=1,INDEX('計算A'!X$10:X$54,$B15),0))*4000,0)-IF(AND('計算A'!V$117=1,UT15&gt;0),2000,0)-IF(AND($L15=1,'計算A'!W$117=1,DV15=0),2000,0))),1000000))</f>
        <v/>
      </c>
      <c r="OZ15">
        <f>IF($B15=0,1000000,IF(INDEX('計算A'!$D$60:$EQ$104,$B15,21)*DV15=1,IF(AND($E15=2,JK15=0),1000000,IF($I15&gt;0,IF(1=$J15,IF(OR(AND(21=$I15+1,OR($K15&lt;&gt;'計算A'!$A$3,'計算A'!$A$4=0)),AND(21=$I15-1,OR(21&lt;&gt;'計算A'!$A$3,'計算A'!$A$4=0))),0,IF(21=$K15,200000,ABS(21-$K15)*100)),100000+ABS(1-$J15)*1000+210)+'計算A'!X$5*50+IF(AND($E15=1,JK15=0),25,0),IF($F15&gt;0,INDEX('計算A'!X$110:X$114,$F15+1)+IF(AND($E15=1,JK15=0),1000,0),MIN(TU15,20)*400+(IF('計算A'!W$106=1,1-DU15,0)+IF('計算A'!X$106=1,1-DW15,0))*150+211+'計算A'!X$5*100000+IF(AND($E15=1,JK15=0),50000,0))+IF($H15=1,(IF('計算A'!W$117=1,INDEX('計算A'!W$10:W$54,$B15),0)+IF('計算A'!X$117=1,INDEX('計算A'!Y$10:Y$54,$B15),0))*4000,0)-IF(AND('計算A'!W$117=1,UU15&gt;0),2000,0)-IF(AND($L15=1,'計算A'!X$117=1,DW15=0),2000,0))),1000000))</f>
        <v/>
      </c>
      <c r="PA15">
        <f>IF($B15=0,1000000,IF(INDEX('計算A'!$D$60:$EQ$104,$B15,22)*DW15=1,IF(AND($E15=2,JL15=0),1000000,IF($I15&gt;0,IF(1=$J15,IF(OR(AND(22=$I15+1,OR($K15&lt;&gt;'計算A'!$A$3,'計算A'!$A$4=0)),AND(22=$I15-1,OR(22&lt;&gt;'計算A'!$A$3,'計算A'!$A$4=0))),0,IF(22=$K15,200000,ABS(22-$K15)*100)),100000+ABS(1-$J15)*1000+220)+'計算A'!Y$5*50+IF(AND($E15=1,JL15=0),25,0),IF($F15&gt;0,INDEX('計算A'!Y$110:Y$114,$F15+1)+IF(AND($E15=1,JL15=0),1000,0),MIN(TU15,20)*400+(IF('計算A'!X$106=1,1-DV15,0)+IF('計算A'!Y$106=1,1-DX15,0))*150+221+'計算A'!Y$5*100000+IF(AND($E15=1,JL15=0),50000,0))+IF($H15=1,(IF('計算A'!X$117=1,INDEX('計算A'!X$10:X$54,$B15),0)+IF('計算A'!Y$117=1,INDEX('計算A'!Z$10:Z$54,$B15),0))*4000,0)-IF(AND('計算A'!X$117=1,UV15&gt;0),2000,0)-IF(AND($L15=1,'計算A'!Y$117=1,DX15=0),2000,0))),1000000))</f>
        <v/>
      </c>
      <c r="PB15">
        <f>IF($B15=0,1000000,IF(INDEX('計算A'!$D$60:$EQ$104,$B15,23)*DX15=1,IF(AND($E15=2,JM15=0),1000000,IF($I15&gt;0,IF(1=$J15,IF(OR(AND(23=$I15+1,OR($K15&lt;&gt;'計算A'!$A$3,'計算A'!$A$4=0)),AND(23=$I15-1,OR(23&lt;&gt;'計算A'!$A$3,'計算A'!$A$4=0))),0,IF(23=$K15,200000,ABS(23-$K15)*100)),100000+ABS(1-$J15)*1000+230)+'計算A'!Z$5*50+IF(AND($E15=1,JM15=0),25,0),IF($F15&gt;0,INDEX('計算A'!Z$110:Z$114,$F15+1)+IF(AND($E15=1,JM15=0),1000,0),MIN(TU15,20)*400+(IF('計算A'!Y$106=1,1-DW15,0)+IF('計算A'!Z$106=1,1-DY15,0))*150+231+'計算A'!Z$5*100000+IF(AND($E15=1,JM15=0),50000,0))+IF($H15=1,(IF('計算A'!Y$117=1,INDEX('計算A'!Y$10:Y$54,$B15),0)+IF('計算A'!Z$117=1,INDEX('計算A'!AA$10:AA$54,$B15),0))*4000,0)-IF(AND('計算A'!Y$117=1,UW15&gt;0),2000,0)-IF(AND($L15=1,'計算A'!Z$117=1,DY15=0),2000,0))),1000000))</f>
        <v/>
      </c>
      <c r="PC15">
        <f>IF($B15=0,1000000,IF(INDEX('計算A'!$D$60:$EQ$104,$B15,24)*DY15=1,IF(AND($E15=2,JN15=0),1000000,IF($I15&gt;0,IF(1=$J15,IF(OR(AND(24=$I15+1,OR($K15&lt;&gt;'計算A'!$A$3,'計算A'!$A$4=0)),AND(24=$I15-1,OR(24&lt;&gt;'計算A'!$A$3,'計算A'!$A$4=0))),0,IF(24=$K15,200000,ABS(24-$K15)*100)),100000+ABS(1-$J15)*1000+240)+'計算A'!AA$5*50+IF(AND($E15=1,JN15=0),25,0),IF($F15&gt;0,INDEX('計算A'!AA$110:AA$114,$F15+1)+IF(AND($E15=1,JN15=0),1000,0),MIN(TU15,20)*400+(IF('計算A'!Z$106=1,1-DX15,0))*150+241+'計算A'!AA$5*100000+IF(AND($E15=1,JN15=0),50000,0))+IF($H15=1,(IF('計算A'!Z$117=1,INDEX('計算A'!Z$10:Z$54,$B15),0))*4000,0)-IF(AND('計算A'!Z$117=1,UX15&gt;0),2000,0))),1000000))</f>
        <v/>
      </c>
      <c r="PD15">
        <f>IF($B15=0,1000000,IF(INDEX('計算A'!$D$60:$EQ$104,$B15,25)*DZ15=1,IF(AND($E15=2,JO15=0),1000000,IF($I15&gt;0,IF(2=$J15,IF(OR(AND(25=$I15+1,OR($K15&lt;&gt;'計算A'!$A$3,'計算A'!$A$4=0)),AND(25=$I15-1,OR(1&lt;&gt;'計算A'!$A$3,'計算A'!$A$4=0))),0,IF(1=$K15,200000,ABS(1-$K15)*100)),100000+ABS(2-$J15)*1000+10)+'計算A'!AB$5*50+IF(AND($E15=1,JO15=0),25,0),IF($F15&gt;0,INDEX('計算A'!AB$110:AB$114,$F15+1)+IF(AND($E15=1,JO15=0),1000,0),MIN(TV15,20)*400+(IF('計算A'!AB$106=1,1-EA15,0))*150+12+'計算A'!AB$5*100000+IF(AND($E15=1,JO15=0),50000,0))+IF($H15=1,(IF('計算A'!AB$117=1,INDEX('計算A'!AC$10:AC$54,$B15),0))*4000,0)-IF(AND($L15=1,'計算A'!AB$117=1,EA15=0),2000,0))),1000000))</f>
        <v/>
      </c>
      <c r="PE15">
        <f>IF($B15=0,1000000,IF(INDEX('計算A'!$D$60:$EQ$104,$B15,26)*EA15=1,IF(AND($E15=2,JP15=0),1000000,IF($I15&gt;0,IF(2=$J15,IF(OR(AND(26=$I15+1,OR($K15&lt;&gt;'計算A'!$A$3,'計算A'!$A$4=0)),AND(26=$I15-1,OR(2&lt;&gt;'計算A'!$A$3,'計算A'!$A$4=0))),0,IF(2=$K15,200000,ABS(2-$K15)*100)),100000+ABS(2-$J15)*1000+20)+'計算A'!AC$5*50+IF(AND($E15=1,JP15=0),25,0),IF($F15&gt;0,INDEX('計算A'!AC$110:AC$114,$F15+1)+IF(AND($E15=1,JP15=0),1000,0),MIN(TV15,20)*400+(IF('計算A'!AB$106=1,1-DZ15,0)+IF('計算A'!AC$106=1,1-EB15,0))*150+22+'計算A'!AC$5*100000+IF(AND($E15=1,JP15=0),50000,0))+IF($H15=1,(IF('計算A'!AB$117=1,INDEX('計算A'!AB$10:AB$54,$B15),0)+IF('計算A'!AC$117=1,INDEX('計算A'!AD$10:AD$54,$B15),0))*4000,0)-IF(AND('計算A'!AB$117=1,UZ15&gt;0),2000,0)-IF(AND($L15=1,'計算A'!AC$117=1,EB15=0),2000,0))),1000000))</f>
        <v/>
      </c>
      <c r="PF15">
        <f>IF($B15=0,1000000,IF(INDEX('計算A'!$D$60:$EQ$104,$B15,27)*EB15=1,IF(AND($E15=2,JQ15=0),1000000,IF($I15&gt;0,IF(2=$J15,IF(OR(AND(27=$I15+1,OR($K15&lt;&gt;'計算A'!$A$3,'計算A'!$A$4=0)),AND(27=$I15-1,OR(3&lt;&gt;'計算A'!$A$3,'計算A'!$A$4=0))),0,IF(3=$K15,200000,ABS(3-$K15)*100)),100000+ABS(2-$J15)*1000+30)+'計算A'!AD$5*50+IF(AND($E15=1,JQ15=0),25,0),IF($F15&gt;0,INDEX('計算A'!AD$110:AD$114,$F15+1)+IF(AND($E15=1,JQ15=0),1000,0),MIN(TV15,20)*400+(IF('計算A'!AC$106=1,1-EA15,0)+IF('計算A'!AD$106=1,1-EC15,0))*150+32+'計算A'!AD$5*100000+IF(AND($E15=1,JQ15=0),50000,0))+IF($H15=1,(IF('計算A'!AC$117=1,INDEX('計算A'!AC$10:AC$54,$B15),0)+IF('計算A'!AD$117=1,INDEX('計算A'!AE$10:AE$54,$B15),0))*4000,0)-IF(AND('計算A'!AC$117=1,VA15&gt;0),2000,0)-IF(AND($L15=1,'計算A'!AD$117=1,EC15=0),2000,0))),1000000))</f>
        <v/>
      </c>
      <c r="PG15">
        <f>IF($B15=0,1000000,IF(INDEX('計算A'!$D$60:$EQ$104,$B15,28)*EC15=1,IF(AND($E15=2,JR15=0),1000000,IF($I15&gt;0,IF(2=$J15,IF(OR(AND(28=$I15+1,OR($K15&lt;&gt;'計算A'!$A$3,'計算A'!$A$4=0)),AND(28=$I15-1,OR(4&lt;&gt;'計算A'!$A$3,'計算A'!$A$4=0))),0,IF(4=$K15,200000,ABS(4-$K15)*100)),100000+ABS(2-$J15)*1000+40)+'計算A'!AE$5*50+IF(AND($E15=1,JR15=0),25,0),IF($F15&gt;0,INDEX('計算A'!AE$110:AE$114,$F15+1)+IF(AND($E15=1,JR15=0),1000,0),MIN(TV15,20)*400+(IF('計算A'!AD$106=1,1-EB15,0)+IF('計算A'!AE$106=1,1-ED15,0))*150+42+'計算A'!AE$5*100000+IF(AND($E15=1,JR15=0),50000,0))+IF($H15=1,(IF('計算A'!AD$117=1,INDEX('計算A'!AD$10:AD$54,$B15),0)+IF('計算A'!AE$117=1,INDEX('計算A'!AF$10:AF$54,$B15),0))*4000,0)-IF(AND('計算A'!AD$117=1,VB15&gt;0),2000,0)-IF(AND($L15=1,'計算A'!AE$117=1,ED15=0),2000,0))),1000000))</f>
        <v/>
      </c>
      <c r="PH15">
        <f>IF($B15=0,1000000,IF(INDEX('計算A'!$D$60:$EQ$104,$B15,29)*ED15=1,IF(AND($E15=2,JS15=0),1000000,IF($I15&gt;0,IF(2=$J15,IF(OR(AND(29=$I15+1,OR($K15&lt;&gt;'計算A'!$A$3,'計算A'!$A$4=0)),AND(29=$I15-1,OR(5&lt;&gt;'計算A'!$A$3,'計算A'!$A$4=0))),0,IF(5=$K15,200000,ABS(5-$K15)*100)),100000+ABS(2-$J15)*1000+50)+'計算A'!AF$5*50+IF(AND($E15=1,JS15=0),25,0),IF($F15&gt;0,INDEX('計算A'!AF$110:AF$114,$F15+1)+IF(AND($E15=1,JS15=0),1000,0),MIN(TV15,20)*400+(IF('計算A'!AE$106=1,1-EC15,0)+IF('計算A'!AF$106=1,1-EE15,0))*150+52+'計算A'!AF$5*100000+IF(AND($E15=1,JS15=0),50000,0))+IF($H15=1,(IF('計算A'!AE$117=1,INDEX('計算A'!AE$10:AE$54,$B15),0)+IF('計算A'!AF$117=1,INDEX('計算A'!AG$10:AG$54,$B15),0))*4000,0)-IF(AND('計算A'!AE$117=1,VC15&gt;0),2000,0)-IF(AND($L15=1,'計算A'!AF$117=1,EE15=0),2000,0))),1000000))</f>
        <v/>
      </c>
      <c r="PI15">
        <f>IF($B15=0,1000000,IF(INDEX('計算A'!$D$60:$EQ$104,$B15,30)*EE15=1,IF(AND($E15=2,JT15=0),1000000,IF($I15&gt;0,IF(2=$J15,IF(OR(AND(30=$I15+1,OR($K15&lt;&gt;'計算A'!$A$3,'計算A'!$A$4=0)),AND(30=$I15-1,OR(6&lt;&gt;'計算A'!$A$3,'計算A'!$A$4=0))),0,IF(6=$K15,200000,ABS(6-$K15)*100)),100000+ABS(2-$J15)*1000+60)+'計算A'!AG$5*50+IF(AND($E15=1,JT15=0),25,0),IF($F15&gt;0,INDEX('計算A'!AG$110:AG$114,$F15+1)+IF(AND($E15=1,JT15=0),1000,0),MIN(TV15,20)*400+(IF('計算A'!AF$106=1,1-ED15,0)+IF('計算A'!AG$106=1,1-EF15,0))*150+62+'計算A'!AG$5*100000+IF(AND($E15=1,JT15=0),50000,0))+IF($H15=1,(IF('計算A'!AF$117=1,INDEX('計算A'!AF$10:AF$54,$B15),0)+IF('計算A'!AG$117=1,INDEX('計算A'!AH$10:AH$54,$B15),0))*4000,0)-IF(AND('計算A'!AF$117=1,VD15&gt;0),2000,0)-IF(AND($L15=1,'計算A'!AG$117=1,EF15=0),2000,0))),1000000))</f>
        <v/>
      </c>
      <c r="PJ15">
        <f>IF($B15=0,1000000,IF(INDEX('計算A'!$D$60:$EQ$104,$B15,31)*EF15=1,IF(AND($E15=2,JU15=0),1000000,IF($I15&gt;0,IF(2=$J15,IF(OR(AND(31=$I15+1,OR($K15&lt;&gt;'計算A'!$A$3,'計算A'!$A$4=0)),AND(31=$I15-1,OR(7&lt;&gt;'計算A'!$A$3,'計算A'!$A$4=0))),0,IF(7=$K15,200000,ABS(7-$K15)*100)),100000+ABS(2-$J15)*1000+70)+'計算A'!AH$5*50+IF(AND($E15=1,JU15=0),25,0),IF($F15&gt;0,INDEX('計算A'!AH$110:AH$114,$F15+1)+IF(AND($E15=1,JU15=0),1000,0),MIN(TV15,20)*400+(IF('計算A'!AG$106=1,1-EE15,0)+IF('計算A'!AH$106=1,1-EG15,0))*150+72+'計算A'!AH$5*100000+IF(AND($E15=1,JU15=0),50000,0))+IF($H15=1,(IF('計算A'!AG$117=1,INDEX('計算A'!AG$10:AG$54,$B15),0)+IF('計算A'!AH$117=1,INDEX('計算A'!AI$10:AI$54,$B15),0))*4000,0)-IF(AND('計算A'!AG$117=1,VE15&gt;0),2000,0)-IF(AND($L15=1,'計算A'!AH$117=1,EG15=0),2000,0))),1000000))</f>
        <v/>
      </c>
      <c r="PK15">
        <f>IF($B15=0,1000000,IF(INDEX('計算A'!$D$60:$EQ$104,$B15,32)*EG15=1,IF(AND($E15=2,JV15=0),1000000,IF($I15&gt;0,IF(2=$J15,IF(OR(AND(32=$I15+1,OR($K15&lt;&gt;'計算A'!$A$3,'計算A'!$A$4=0)),AND(32=$I15-1,OR(8&lt;&gt;'計算A'!$A$3,'計算A'!$A$4=0))),0,IF(8=$K15,200000,ABS(8-$K15)*100)),100000+ABS(2-$J15)*1000+80)+'計算A'!AI$5*50+IF(AND($E15=1,JV15=0),25,0),IF($F15&gt;0,INDEX('計算A'!AI$110:AI$114,$F15+1)+IF(AND($E15=1,JV15=0),1000,0),MIN(TV15,20)*400+(IF('計算A'!AH$106=1,1-EF15,0)+IF('計算A'!AI$106=1,1-EH15,0))*150+82+'計算A'!AI$5*100000+IF(AND($E15=1,JV15=0),50000,0))+IF($H15=1,(IF('計算A'!AH$117=1,INDEX('計算A'!AH$10:AH$54,$B15),0)+IF('計算A'!AI$117=1,INDEX('計算A'!AJ$10:AJ$54,$B15),0))*4000,0)-IF(AND('計算A'!AH$117=1,VF15&gt;0),2000,0)-IF(AND($L15=1,'計算A'!AI$117=1,EH15=0),2000,0))),1000000))</f>
        <v/>
      </c>
      <c r="PL15">
        <f>IF($B15=0,1000000,IF(INDEX('計算A'!$D$60:$EQ$104,$B15,33)*EH15=1,IF(AND($E15=2,JW15=0),1000000,IF($I15&gt;0,IF(2=$J15,IF(OR(AND(33=$I15+1,OR($K15&lt;&gt;'計算A'!$A$3,'計算A'!$A$4=0)),AND(33=$I15-1,OR(9&lt;&gt;'計算A'!$A$3,'計算A'!$A$4=0))),0,IF(9=$K15,200000,ABS(9-$K15)*100)),100000+ABS(2-$J15)*1000+90)+'計算A'!AJ$5*50+IF(AND($E15=1,JW15=0),25,0),IF($F15&gt;0,INDEX('計算A'!AJ$110:AJ$114,$F15+1)+IF(AND($E15=1,JW15=0),1000,0),MIN(TV15,20)*400+(IF('計算A'!AI$106=1,1-EG15,0)+IF('計算A'!AJ$106=1,1-EI15,0))*150+92+'計算A'!AJ$5*100000+IF(AND($E15=1,JW15=0),50000,0))+IF($H15=1,(IF('計算A'!AI$117=1,INDEX('計算A'!AI$10:AI$54,$B15),0)+IF('計算A'!AJ$117=1,INDEX('計算A'!AK$10:AK$54,$B15),0))*4000,0)-IF(AND('計算A'!AI$117=1,VG15&gt;0),2000,0)-IF(AND($L15=1,'計算A'!AJ$117=1,EI15=0),2000,0))),1000000))</f>
        <v/>
      </c>
      <c r="PM15">
        <f>IF($B15=0,1000000,IF(INDEX('計算A'!$D$60:$EQ$104,$B15,34)*EI15=1,IF(AND($E15=2,JX15=0),1000000,IF($I15&gt;0,IF(2=$J15,IF(OR(AND(34=$I15+1,OR($K15&lt;&gt;'計算A'!$A$3,'計算A'!$A$4=0)),AND(34=$I15-1,OR(10&lt;&gt;'計算A'!$A$3,'計算A'!$A$4=0))),0,IF(10=$K15,200000,ABS(10-$K15)*100)),100000+ABS(2-$J15)*1000+100)+'計算A'!AK$5*50+IF(AND($E15=1,JX15=0),25,0),IF($F15&gt;0,INDEX('計算A'!AK$110:AK$114,$F15+1)+IF(AND($E15=1,JX15=0),1000,0),MIN(TV15,20)*400+(IF('計算A'!AJ$106=1,1-EH15,0)+IF('計算A'!AK$106=1,1-EJ15,0))*150+102+'計算A'!AK$5*100000+IF(AND($E15=1,JX15=0),50000,0))+IF($H15=1,(IF('計算A'!AJ$117=1,INDEX('計算A'!AJ$10:AJ$54,$B15),0)+IF('計算A'!AK$117=1,INDEX('計算A'!AL$10:AL$54,$B15),0))*4000,0)-IF(AND('計算A'!AJ$117=1,VH15&gt;0),2000,0)-IF(AND($L15=1,'計算A'!AK$117=1,EJ15=0),2000,0))),1000000))</f>
        <v/>
      </c>
      <c r="PN15">
        <f>IF($B15=0,1000000,IF(INDEX('計算A'!$D$60:$EQ$104,$B15,35)*EJ15=1,IF(AND($E15=2,JY15=0),1000000,IF($I15&gt;0,IF(2=$J15,IF(OR(AND(35=$I15+1,OR($K15&lt;&gt;'計算A'!$A$3,'計算A'!$A$4=0)),AND(35=$I15-1,OR(11&lt;&gt;'計算A'!$A$3,'計算A'!$A$4=0))),0,IF(11=$K15,200000,ABS(11-$K15)*100)),100000+ABS(2-$J15)*1000+110)+'計算A'!AL$5*50+IF(AND($E15=1,JY15=0),25,0),IF($F15&gt;0,INDEX('計算A'!AL$110:AL$114,$F15+1)+IF(AND($E15=1,JY15=0),1000,0),MIN(TV15,20)*400+(IF('計算A'!AK$106=1,1-EI15,0)+IF('計算A'!AL$106=1,1-EK15,0))*150+112+'計算A'!AL$5*100000+IF(AND($E15=1,JY15=0),50000,0))+IF($H15=1,(IF('計算A'!AK$117=1,INDEX('計算A'!AK$10:AK$54,$B15),0)+IF('計算A'!AL$117=1,INDEX('計算A'!AM$10:AM$54,$B15),0))*4000,0)-IF(AND('計算A'!AK$117=1,VI15&gt;0),2000,0)-IF(AND($L15=1,'計算A'!AL$117=1,EK15=0),2000,0))),1000000))</f>
        <v/>
      </c>
      <c r="PO15">
        <f>IF($B15=0,1000000,IF(INDEX('計算A'!$D$60:$EQ$104,$B15,36)*EK15=1,IF(AND($E15=2,JZ15=0),1000000,IF($I15&gt;0,IF(2=$J15,IF(OR(AND(36=$I15+1,OR($K15&lt;&gt;'計算A'!$A$3,'計算A'!$A$4=0)),AND(36=$I15-1,OR(12&lt;&gt;'計算A'!$A$3,'計算A'!$A$4=0))),0,IF(12=$K15,200000,ABS(12-$K15)*100)),100000+ABS(2-$J15)*1000+120)+'計算A'!AM$5*50+IF(AND($E15=1,JZ15=0),25,0),IF($F15&gt;0,INDEX('計算A'!AM$110:AM$114,$F15+1)+IF(AND($E15=1,JZ15=0),1000,0),MIN(TV15,20)*400+(IF('計算A'!AL$106=1,1-EJ15,0)+IF('計算A'!AM$106=1,1-EL15,0))*150+122+'計算A'!AM$5*100000+IF(AND($E15=1,JZ15=0),50000,0))+IF($H15=1,(IF('計算A'!AL$117=1,INDEX('計算A'!AL$10:AL$54,$B15),0)+IF('計算A'!AM$117=1,INDEX('計算A'!AN$10:AN$54,$B15),0))*4000,0)-IF(AND('計算A'!AL$117=1,VJ15&gt;0),2000,0)-IF(AND($L15=1,'計算A'!AM$117=1,EL15=0),2000,0))),1000000))</f>
        <v/>
      </c>
      <c r="PP15">
        <f>IF($B15=0,1000000,IF(INDEX('計算A'!$D$60:$EQ$104,$B15,37)*EL15=1,IF(AND($E15=2,KA15=0),1000000,IF($I15&gt;0,IF(2=$J15,IF(OR(AND(37=$I15+1,OR($K15&lt;&gt;'計算A'!$A$3,'計算A'!$A$4=0)),AND(37=$I15-1,OR(13&lt;&gt;'計算A'!$A$3,'計算A'!$A$4=0))),0,IF(13=$K15,200000,ABS(13-$K15)*100)),100000+ABS(2-$J15)*1000+130)+'計算A'!AN$5*50+IF(AND($E15=1,KA15=0),25,0),IF($F15&gt;0,INDEX('計算A'!AN$110:AN$114,$F15+1)+IF(AND($E15=1,KA15=0),1000,0),MIN(TV15,20)*400+(IF('計算A'!AM$106=1,1-EK15,0)+IF('計算A'!AN$106=1,1-EM15,0))*150+132+'計算A'!AN$5*100000+IF(AND($E15=1,KA15=0),50000,0))+IF($H15=1,(IF('計算A'!AM$117=1,INDEX('計算A'!AM$10:AM$54,$B15),0)+IF('計算A'!AN$117=1,INDEX('計算A'!AO$10:AO$54,$B15),0))*4000,0)-IF(AND('計算A'!AM$117=1,VK15&gt;0),2000,0)-IF(AND($L15=1,'計算A'!AN$117=1,EM15=0),2000,0))),1000000))</f>
        <v/>
      </c>
      <c r="PQ15">
        <f>IF($B15=0,1000000,IF(INDEX('計算A'!$D$60:$EQ$104,$B15,38)*EM15=1,IF(AND($E15=2,KB15=0),1000000,IF($I15&gt;0,IF(2=$J15,IF(OR(AND(38=$I15+1,OR($K15&lt;&gt;'計算A'!$A$3,'計算A'!$A$4=0)),AND(38=$I15-1,OR(14&lt;&gt;'計算A'!$A$3,'計算A'!$A$4=0))),0,IF(14=$K15,200000,ABS(14-$K15)*100)),100000+ABS(2-$J15)*1000+140)+'計算A'!AO$5*50+IF(AND($E15=1,KB15=0),25,0),IF($F15&gt;0,INDEX('計算A'!AO$110:AO$114,$F15+1)+IF(AND($E15=1,KB15=0),1000,0),MIN(TV15,20)*400+(IF('計算A'!AN$106=1,1-EL15,0)+IF('計算A'!AO$106=1,1-EN15,0))*150+142+'計算A'!AO$5*100000+IF(AND($E15=1,KB15=0),50000,0))+IF($H15=1,(IF('計算A'!AN$117=1,INDEX('計算A'!AN$10:AN$54,$B15),0)+IF('計算A'!AO$117=1,INDEX('計算A'!AP$10:AP$54,$B15),0))*4000,0)-IF(AND('計算A'!AN$117=1,VL15&gt;0),2000,0)-IF(AND($L15=1,'計算A'!AO$117=1,EN15=0),2000,0))),1000000))</f>
        <v/>
      </c>
      <c r="PR15">
        <f>IF($B15=0,1000000,IF(INDEX('計算A'!$D$60:$EQ$104,$B15,39)*EN15=1,IF(AND($E15=2,KC15=0),1000000,IF($I15&gt;0,IF(2=$J15,IF(OR(AND(39=$I15+1,OR($K15&lt;&gt;'計算A'!$A$3,'計算A'!$A$4=0)),AND(39=$I15-1,OR(15&lt;&gt;'計算A'!$A$3,'計算A'!$A$4=0))),0,IF(15=$K15,200000,ABS(15-$K15)*100)),100000+ABS(2-$J15)*1000+150)+'計算A'!AP$5*50+IF(AND($E15=1,KC15=0),25,0),IF($F15&gt;0,INDEX('計算A'!AP$110:AP$114,$F15+1)+IF(AND($E15=1,KC15=0),1000,0),MIN(TV15,20)*400+(IF('計算A'!AO$106=1,1-EM15,0)+IF('計算A'!AP$106=1,1-EO15,0))*150+152+'計算A'!AP$5*100000+IF(AND($E15=1,KC15=0),50000,0))+IF($H15=1,(IF('計算A'!AO$117=1,INDEX('計算A'!AO$10:AO$54,$B15),0)+IF('計算A'!AP$117=1,INDEX('計算A'!AQ$10:AQ$54,$B15),0))*4000,0)-IF(AND('計算A'!AO$117=1,VM15&gt;0),2000,0)-IF(AND($L15=1,'計算A'!AP$117=1,EO15=0),2000,0))),1000000))</f>
        <v/>
      </c>
      <c r="PS15">
        <f>IF($B15=0,1000000,IF(INDEX('計算A'!$D$60:$EQ$104,$B15,40)*EO15=1,IF(AND($E15=2,KD15=0),1000000,IF($I15&gt;0,IF(2=$J15,IF(OR(AND(40=$I15+1,OR($K15&lt;&gt;'計算A'!$A$3,'計算A'!$A$4=0)),AND(40=$I15-1,OR(16&lt;&gt;'計算A'!$A$3,'計算A'!$A$4=0))),0,IF(16=$K15,200000,ABS(16-$K15)*100)),100000+ABS(2-$J15)*1000+160)+'計算A'!AQ$5*50+IF(AND($E15=1,KD15=0),25,0),IF($F15&gt;0,INDEX('計算A'!AQ$110:AQ$114,$F15+1)+IF(AND($E15=1,KD15=0),1000,0),MIN(TV15,20)*400+(IF('計算A'!AP$106=1,1-EN15,0)+IF('計算A'!AQ$106=1,1-EP15,0))*150+162+'計算A'!AQ$5*100000+IF(AND($E15=1,KD15=0),50000,0))+IF($H15=1,(IF('計算A'!AP$117=1,INDEX('計算A'!AP$10:AP$54,$B15),0)+IF('計算A'!AQ$117=1,INDEX('計算A'!AR$10:AR$54,$B15),0))*4000,0)-IF(AND('計算A'!AP$117=1,VN15&gt;0),2000,0)-IF(AND($L15=1,'計算A'!AQ$117=1,EP15=0),2000,0))),1000000))</f>
        <v/>
      </c>
      <c r="PT15">
        <f>IF($B15=0,1000000,IF(INDEX('計算A'!$D$60:$EQ$104,$B15,41)*EP15=1,IF(AND($E15=2,KE15=0),1000000,IF($I15&gt;0,IF(2=$J15,IF(OR(AND(41=$I15+1,OR($K15&lt;&gt;'計算A'!$A$3,'計算A'!$A$4=0)),AND(41=$I15-1,OR(17&lt;&gt;'計算A'!$A$3,'計算A'!$A$4=0))),0,IF(17=$K15,200000,ABS(17-$K15)*100)),100000+ABS(2-$J15)*1000+170)+'計算A'!AR$5*50+IF(AND($E15=1,KE15=0),25,0),IF($F15&gt;0,INDEX('計算A'!AR$110:AR$114,$F15+1)+IF(AND($E15=1,KE15=0),1000,0),MIN(TV15,20)*400+(IF('計算A'!AQ$106=1,1-EO15,0)+IF('計算A'!AR$106=1,1-EQ15,0))*150+172+'計算A'!AR$5*100000+IF(AND($E15=1,KE15=0),50000,0))+IF($H15=1,(IF('計算A'!AQ$117=1,INDEX('計算A'!AQ$10:AQ$54,$B15),0)+IF('計算A'!AR$117=1,INDEX('計算A'!AS$10:AS$54,$B15),0))*4000,0)-IF(AND('計算A'!AQ$117=1,VO15&gt;0),2000,0)-IF(AND($L15=1,'計算A'!AR$117=1,EQ15=0),2000,0))),1000000))</f>
        <v/>
      </c>
      <c r="PU15">
        <f>IF($B15=0,1000000,IF(INDEX('計算A'!$D$60:$EQ$104,$B15,42)*EQ15=1,IF(AND($E15=2,KF15=0),1000000,IF($I15&gt;0,IF(2=$J15,IF(OR(AND(42=$I15+1,OR($K15&lt;&gt;'計算A'!$A$3,'計算A'!$A$4=0)),AND(42=$I15-1,OR(18&lt;&gt;'計算A'!$A$3,'計算A'!$A$4=0))),0,IF(18=$K15,200000,ABS(18-$K15)*100)),100000+ABS(2-$J15)*1000+180)+'計算A'!AS$5*50+IF(AND($E15=1,KF15=0),25,0),IF($F15&gt;0,INDEX('計算A'!AS$110:AS$114,$F15+1)+IF(AND($E15=1,KF15=0),1000,0),MIN(TV15,20)*400+(IF('計算A'!AR$106=1,1-EP15,0)+IF('計算A'!AS$106=1,1-ER15,0))*150+182+'計算A'!AS$5*100000+IF(AND($E15=1,KF15=0),50000,0))+IF($H15=1,(IF('計算A'!AR$117=1,INDEX('計算A'!AR$10:AR$54,$B15),0)+IF('計算A'!AS$117=1,INDEX('計算A'!AT$10:AT$54,$B15),0))*4000,0)-IF(AND('計算A'!AR$117=1,VP15&gt;0),2000,0)-IF(AND($L15=1,'計算A'!AS$117=1,ER15=0),2000,0))),1000000))</f>
        <v/>
      </c>
      <c r="PV15">
        <f>IF($B15=0,1000000,IF(INDEX('計算A'!$D$60:$EQ$104,$B15,43)*ER15=1,IF(AND($E15=2,KG15=0),1000000,IF($I15&gt;0,IF(2=$J15,IF(OR(AND(43=$I15+1,OR($K15&lt;&gt;'計算A'!$A$3,'計算A'!$A$4=0)),AND(43=$I15-1,OR(19&lt;&gt;'計算A'!$A$3,'計算A'!$A$4=0))),0,IF(19=$K15,200000,ABS(19-$K15)*100)),100000+ABS(2-$J15)*1000+190)+'計算A'!AT$5*50+IF(AND($E15=1,KG15=0),25,0),IF($F15&gt;0,INDEX('計算A'!AT$110:AT$114,$F15+1)+IF(AND($E15=1,KG15=0),1000,0),MIN(TV15,20)*400+(IF('計算A'!AS$106=1,1-EQ15,0)+IF('計算A'!AT$106=1,1-ES15,0))*150+192+'計算A'!AT$5*100000+IF(AND($E15=1,KG15=0),50000,0))+IF($H15=1,(IF('計算A'!AS$117=1,INDEX('計算A'!AS$10:AS$54,$B15),0)+IF('計算A'!AT$117=1,INDEX('計算A'!AU$10:AU$54,$B15),0))*4000,0)-IF(AND('計算A'!AS$117=1,VQ15&gt;0),2000,0)-IF(AND($L15=1,'計算A'!AT$117=1,ES15=0),2000,0))),1000000))</f>
        <v/>
      </c>
      <c r="PW15">
        <f>IF($B15=0,1000000,IF(INDEX('計算A'!$D$60:$EQ$104,$B15,44)*ES15=1,IF(AND($E15=2,KH15=0),1000000,IF($I15&gt;0,IF(2=$J15,IF(OR(AND(44=$I15+1,OR($K15&lt;&gt;'計算A'!$A$3,'計算A'!$A$4=0)),AND(44=$I15-1,OR(20&lt;&gt;'計算A'!$A$3,'計算A'!$A$4=0))),0,IF(20=$K15,200000,ABS(20-$K15)*100)),100000+ABS(2-$J15)*1000+200)+'計算A'!AU$5*50+IF(AND($E15=1,KH15=0),25,0),IF($F15&gt;0,INDEX('計算A'!AU$110:AU$114,$F15+1)+IF(AND($E15=1,KH15=0),1000,0),MIN(TV15,20)*400+(IF('計算A'!AT$106=1,1-ER15,0)+IF('計算A'!AU$106=1,1-ET15,0))*150+202+'計算A'!AU$5*100000+IF(AND($E15=1,KH15=0),50000,0))+IF($H15=1,(IF('計算A'!AT$117=1,INDEX('計算A'!AT$10:AT$54,$B15),0)+IF('計算A'!AU$117=1,INDEX('計算A'!AV$10:AV$54,$B15),0))*4000,0)-IF(AND('計算A'!AT$117=1,VR15&gt;0),2000,0)-IF(AND($L15=1,'計算A'!AU$117=1,ET15=0),2000,0))),1000000))</f>
        <v/>
      </c>
      <c r="PX15">
        <f>IF($B15=0,1000000,IF(INDEX('計算A'!$D$60:$EQ$104,$B15,45)*ET15=1,IF(AND($E15=2,KI15=0),1000000,IF($I15&gt;0,IF(2=$J15,IF(OR(AND(45=$I15+1,OR($K15&lt;&gt;'計算A'!$A$3,'計算A'!$A$4=0)),AND(45=$I15-1,OR(21&lt;&gt;'計算A'!$A$3,'計算A'!$A$4=0))),0,IF(21=$K15,200000,ABS(21-$K15)*100)),100000+ABS(2-$J15)*1000+210)+'計算A'!AV$5*50+IF(AND($E15=1,KI15=0),25,0),IF($F15&gt;0,INDEX('計算A'!AV$110:AV$114,$F15+1)+IF(AND($E15=1,KI15=0),1000,0),MIN(TV15,20)*400+(IF('計算A'!AU$106=1,1-ES15,0)+IF('計算A'!AV$106=1,1-EU15,0))*150+212+'計算A'!AV$5*100000+IF(AND($E15=1,KI15=0),50000,0))+IF($H15=1,(IF('計算A'!AU$117=1,INDEX('計算A'!AU$10:AU$54,$B15),0)+IF('計算A'!AV$117=1,INDEX('計算A'!AW$10:AW$54,$B15),0))*4000,0)-IF(AND('計算A'!AU$117=1,VS15&gt;0),2000,0)-IF(AND($L15=1,'計算A'!AV$117=1,EU15=0),2000,0))),1000000))</f>
        <v/>
      </c>
      <c r="PY15">
        <f>IF($B15=0,1000000,IF(INDEX('計算A'!$D$60:$EQ$104,$B15,46)*EU15=1,IF(AND($E15=2,KJ15=0),1000000,IF($I15&gt;0,IF(2=$J15,IF(OR(AND(46=$I15+1,OR($K15&lt;&gt;'計算A'!$A$3,'計算A'!$A$4=0)),AND(46=$I15-1,OR(22&lt;&gt;'計算A'!$A$3,'計算A'!$A$4=0))),0,IF(22=$K15,200000,ABS(22-$K15)*100)),100000+ABS(2-$J15)*1000+220)+'計算A'!AW$5*50+IF(AND($E15=1,KJ15=0),25,0),IF($F15&gt;0,INDEX('計算A'!AW$110:AW$114,$F15+1)+IF(AND($E15=1,KJ15=0),1000,0),MIN(TV15,20)*400+(IF('計算A'!AV$106=1,1-ET15,0)+IF('計算A'!AW$106=1,1-EV15,0))*150+222+'計算A'!AW$5*100000+IF(AND($E15=1,KJ15=0),50000,0))+IF($H15=1,(IF('計算A'!AV$117=1,INDEX('計算A'!AV$10:AV$54,$B15),0)+IF('計算A'!AW$117=1,INDEX('計算A'!AX$10:AX$54,$B15),0))*4000,0)-IF(AND('計算A'!AV$117=1,VT15&gt;0),2000,0)-IF(AND($L15=1,'計算A'!AW$117=1,EV15=0),2000,0))),1000000))</f>
        <v/>
      </c>
      <c r="PZ15">
        <f>IF($B15=0,1000000,IF(INDEX('計算A'!$D$60:$EQ$104,$B15,47)*EV15=1,IF(AND($E15=2,KK15=0),1000000,IF($I15&gt;0,IF(2=$J15,IF(OR(AND(47=$I15+1,OR($K15&lt;&gt;'計算A'!$A$3,'計算A'!$A$4=0)),AND(47=$I15-1,OR(23&lt;&gt;'計算A'!$A$3,'計算A'!$A$4=0))),0,IF(23=$K15,200000,ABS(23-$K15)*100)),100000+ABS(2-$J15)*1000+230)+'計算A'!AX$5*50+IF(AND($E15=1,KK15=0),25,0),IF($F15&gt;0,INDEX('計算A'!AX$110:AX$114,$F15+1)+IF(AND($E15=1,KK15=0),1000,0),MIN(TV15,20)*400+(IF('計算A'!AW$106=1,1-EU15,0)+IF('計算A'!AX$106=1,1-EW15,0))*150+232+'計算A'!AX$5*100000+IF(AND($E15=1,KK15=0),50000,0))+IF($H15=1,(IF('計算A'!AW$117=1,INDEX('計算A'!AW$10:AW$54,$B15),0)+IF('計算A'!AX$117=1,INDEX('計算A'!AY$10:AY$54,$B15),0))*4000,0)-IF(AND('計算A'!AW$117=1,VU15&gt;0),2000,0)-IF(AND($L15=1,'計算A'!AX$117=1,EW15=0),2000,0))),1000000))</f>
        <v/>
      </c>
      <c r="QA15">
        <f>IF($B15=0,1000000,IF(INDEX('計算A'!$D$60:$EQ$104,$B15,48)*EW15=1,IF(AND($E15=2,KL15=0),1000000,IF($I15&gt;0,IF(2=$J15,IF(OR(AND(48=$I15+1,OR($K15&lt;&gt;'計算A'!$A$3,'計算A'!$A$4=0)),AND(48=$I15-1,OR(24&lt;&gt;'計算A'!$A$3,'計算A'!$A$4=0))),0,IF(24=$K15,200000,ABS(24-$K15)*100)),100000+ABS(2-$J15)*1000+240)+'計算A'!AY$5*50+IF(AND($E15=1,KL15=0),25,0),IF($F15&gt;0,INDEX('計算A'!AY$110:AY$114,$F15+1)+IF(AND($E15=1,KL15=0),1000,0),MIN(TV15,20)*400+(IF('計算A'!AX$106=1,1-EV15,0))*150+242+'計算A'!AY$5*100000+IF(AND($E15=1,KL15=0),50000,0))+IF($H15=1,(IF('計算A'!AX$117=1,INDEX('計算A'!AX$10:AX$54,$B15),0))*4000,0)-IF(AND('計算A'!AX$117=1,VV15&gt;0),2000,0))),1000000))</f>
        <v/>
      </c>
      <c r="QB15">
        <f>IF($B15=0,1000000,IF(INDEX('計算A'!$D$60:$EQ$104,$B15,49)*EX15=1,IF(AND($E15=2,KM15=0),1000000,IF($I15&gt;0,IF(3=$J15,IF(OR(AND(49=$I15+1,OR($K15&lt;&gt;'計算A'!$A$3,'計算A'!$A$4=0)),AND(49=$I15-1,OR(1&lt;&gt;'計算A'!$A$3,'計算A'!$A$4=0))),0,IF(1=$K15,200000,ABS(1-$K15)*100)),100000+ABS(3-$J15)*1000+10)+'計算A'!AZ$5*50+IF(AND($E15=1,KM15=0),25,0),IF($F15&gt;0,INDEX('計算A'!AZ$110:AZ$114,$F15+1)+IF(AND($E15=1,KM15=0),1000,0),MIN(TW15,20)*400+(IF('計算A'!AZ$106=1,1-EY15,0))*150+13+'計算A'!AZ$5*100000+IF(AND($E15=1,KM15=0),50000,0))+IF($H15=1,(IF('計算A'!AZ$117=1,INDEX('計算A'!BA$10:BA$54,$B15),0))*4000,0)-IF(AND($L15=1,'計算A'!AZ$117=1,EY15=0),2000,0))),1000000))</f>
        <v/>
      </c>
      <c r="QC15">
        <f>IF($B15=0,1000000,IF(INDEX('計算A'!$D$60:$EQ$104,$B15,50)*EY15=1,IF(AND($E15=2,KN15=0),1000000,IF($I15&gt;0,IF(3=$J15,IF(OR(AND(50=$I15+1,OR($K15&lt;&gt;'計算A'!$A$3,'計算A'!$A$4=0)),AND(50=$I15-1,OR(2&lt;&gt;'計算A'!$A$3,'計算A'!$A$4=0))),0,IF(2=$K15,200000,ABS(2-$K15)*100)),100000+ABS(3-$J15)*1000+20)+'計算A'!BA$5*50+IF(AND($E15=1,KN15=0),25,0),IF($F15&gt;0,INDEX('計算A'!BA$110:BA$114,$F15+1)+IF(AND($E15=1,KN15=0),1000,0),MIN(TW15,20)*400+(IF('計算A'!AZ$106=1,1-EX15,0)+IF('計算A'!BA$106=1,1-EZ15,0))*150+23+'計算A'!BA$5*100000+IF(AND($E15=1,KN15=0),50000,0))+IF($H15=1,(IF('計算A'!AZ$117=1,INDEX('計算A'!AZ$10:AZ$54,$B15),0)+IF('計算A'!BA$117=1,INDEX('計算A'!BB$10:BB$54,$B15),0))*4000,0)-IF(AND('計算A'!AZ$117=1,VX15&gt;0),2000,0)-IF(AND($L15=1,'計算A'!BA$117=1,EZ15=0),2000,0))),1000000))</f>
        <v/>
      </c>
      <c r="QD15">
        <f>IF($B15=0,1000000,IF(INDEX('計算A'!$D$60:$EQ$104,$B15,51)*EZ15=1,IF(AND($E15=2,KO15=0),1000000,IF($I15&gt;0,IF(3=$J15,IF(OR(AND(51=$I15+1,OR($K15&lt;&gt;'計算A'!$A$3,'計算A'!$A$4=0)),AND(51=$I15-1,OR(3&lt;&gt;'計算A'!$A$3,'計算A'!$A$4=0))),0,IF(3=$K15,200000,ABS(3-$K15)*100)),100000+ABS(3-$J15)*1000+30)+'計算A'!BB$5*50+IF(AND($E15=1,KO15=0),25,0),IF($F15&gt;0,INDEX('計算A'!BB$110:BB$114,$F15+1)+IF(AND($E15=1,KO15=0),1000,0),MIN(TW15,20)*400+(IF('計算A'!BA$106=1,1-EY15,0)+IF('計算A'!BB$106=1,1-FA15,0))*150+33+'計算A'!BB$5*100000+IF(AND($E15=1,KO15=0),50000,0))+IF($H15=1,(IF('計算A'!BA$117=1,INDEX('計算A'!BA$10:BA$54,$B15),0)+IF('計算A'!BB$117=1,INDEX('計算A'!BC$10:BC$54,$B15),0))*4000,0)-IF(AND('計算A'!BA$117=1,VY15&gt;0),2000,0)-IF(AND($L15=1,'計算A'!BB$117=1,FA15=0),2000,0))),1000000))</f>
        <v/>
      </c>
      <c r="QE15">
        <f>IF($B15=0,1000000,IF(INDEX('計算A'!$D$60:$EQ$104,$B15,52)*FA15=1,IF(AND($E15=2,KP15=0),1000000,IF($I15&gt;0,IF(3=$J15,IF(OR(AND(52=$I15+1,OR($K15&lt;&gt;'計算A'!$A$3,'計算A'!$A$4=0)),AND(52=$I15-1,OR(4&lt;&gt;'計算A'!$A$3,'計算A'!$A$4=0))),0,IF(4=$K15,200000,ABS(4-$K15)*100)),100000+ABS(3-$J15)*1000+40)+'計算A'!BC$5*50+IF(AND($E15=1,KP15=0),25,0),IF($F15&gt;0,INDEX('計算A'!BC$110:BC$114,$F15+1)+IF(AND($E15=1,KP15=0),1000,0),MIN(TW15,20)*400+(IF('計算A'!BB$106=1,1-EZ15,0)+IF('計算A'!BC$106=1,1-FB15,0))*150+43+'計算A'!BC$5*100000+IF(AND($E15=1,KP15=0),50000,0))+IF($H15=1,(IF('計算A'!BB$117=1,INDEX('計算A'!BB$10:BB$54,$B15),0)+IF('計算A'!BC$117=1,INDEX('計算A'!BD$10:BD$54,$B15),0))*4000,0)-IF(AND('計算A'!BB$117=1,VZ15&gt;0),2000,0)-IF(AND($L15=1,'計算A'!BC$117=1,FB15=0),2000,0))),1000000))</f>
        <v/>
      </c>
      <c r="QF15">
        <f>IF($B15=0,1000000,IF(INDEX('計算A'!$D$60:$EQ$104,$B15,53)*FB15=1,IF(AND($E15=2,KQ15=0),1000000,IF($I15&gt;0,IF(3=$J15,IF(OR(AND(53=$I15+1,OR($K15&lt;&gt;'計算A'!$A$3,'計算A'!$A$4=0)),AND(53=$I15-1,OR(5&lt;&gt;'計算A'!$A$3,'計算A'!$A$4=0))),0,IF(5=$K15,200000,ABS(5-$K15)*100)),100000+ABS(3-$J15)*1000+50)+'計算A'!BD$5*50+IF(AND($E15=1,KQ15=0),25,0),IF($F15&gt;0,INDEX('計算A'!BD$110:BD$114,$F15+1)+IF(AND($E15=1,KQ15=0),1000,0),MIN(TW15,20)*400+(IF('計算A'!BC$106=1,1-FA15,0)+IF('計算A'!BD$106=1,1-FC15,0))*150+53+'計算A'!BD$5*100000+IF(AND($E15=1,KQ15=0),50000,0))+IF($H15=1,(IF('計算A'!BC$117=1,INDEX('計算A'!BC$10:BC$54,$B15),0)+IF('計算A'!BD$117=1,INDEX('計算A'!BE$10:BE$54,$B15),0))*4000,0)-IF(AND('計算A'!BC$117=1,WA15&gt;0),2000,0)-IF(AND($L15=1,'計算A'!BD$117=1,FC15=0),2000,0))),1000000))</f>
        <v/>
      </c>
      <c r="QG15">
        <f>IF($B15=0,1000000,IF(INDEX('計算A'!$D$60:$EQ$104,$B15,54)*FC15=1,IF(AND($E15=2,KR15=0),1000000,IF($I15&gt;0,IF(3=$J15,IF(OR(AND(54=$I15+1,OR($K15&lt;&gt;'計算A'!$A$3,'計算A'!$A$4=0)),AND(54=$I15-1,OR(6&lt;&gt;'計算A'!$A$3,'計算A'!$A$4=0))),0,IF(6=$K15,200000,ABS(6-$K15)*100)),100000+ABS(3-$J15)*1000+60)+'計算A'!BE$5*50+IF(AND($E15=1,KR15=0),25,0),IF($F15&gt;0,INDEX('計算A'!BE$110:BE$114,$F15+1)+IF(AND($E15=1,KR15=0),1000,0),MIN(TW15,20)*400+(IF('計算A'!BD$106=1,1-FB15,0)+IF('計算A'!BE$106=1,1-FD15,0))*150+63+'計算A'!BE$5*100000+IF(AND($E15=1,KR15=0),50000,0))+IF($H15=1,(IF('計算A'!BD$117=1,INDEX('計算A'!BD$10:BD$54,$B15),0)+IF('計算A'!BE$117=1,INDEX('計算A'!BF$10:BF$54,$B15),0))*4000,0)-IF(AND('計算A'!BD$117=1,WB15&gt;0),2000,0)-IF(AND($L15=1,'計算A'!BE$117=1,FD15=0),2000,0))),1000000))</f>
        <v/>
      </c>
      <c r="QH15">
        <f>IF($B15=0,1000000,IF(INDEX('計算A'!$D$60:$EQ$104,$B15,55)*FD15=1,IF(AND($E15=2,KS15=0),1000000,IF($I15&gt;0,IF(3=$J15,IF(OR(AND(55=$I15+1,OR($K15&lt;&gt;'計算A'!$A$3,'計算A'!$A$4=0)),AND(55=$I15-1,OR(7&lt;&gt;'計算A'!$A$3,'計算A'!$A$4=0))),0,IF(7=$K15,200000,ABS(7-$K15)*100)),100000+ABS(3-$J15)*1000+70)+'計算A'!BF$5*50+IF(AND($E15=1,KS15=0),25,0),IF($F15&gt;0,INDEX('計算A'!BF$110:BF$114,$F15+1)+IF(AND($E15=1,KS15=0),1000,0),MIN(TW15,20)*400+(IF('計算A'!BE$106=1,1-FC15,0)+IF('計算A'!BF$106=1,1-FE15,0))*150+73+'計算A'!BF$5*100000+IF(AND($E15=1,KS15=0),50000,0))+IF($H15=1,(IF('計算A'!BE$117=1,INDEX('計算A'!BE$10:BE$54,$B15),0)+IF('計算A'!BF$117=1,INDEX('計算A'!BG$10:BG$54,$B15),0))*4000,0)-IF(AND('計算A'!BE$117=1,WC15&gt;0),2000,0)-IF(AND($L15=1,'計算A'!BF$117=1,FE15=0),2000,0))),1000000))</f>
        <v/>
      </c>
      <c r="QI15">
        <f>IF($B15=0,1000000,IF(INDEX('計算A'!$D$60:$EQ$104,$B15,56)*FE15=1,IF(AND($E15=2,KT15=0),1000000,IF($I15&gt;0,IF(3=$J15,IF(OR(AND(56=$I15+1,OR($K15&lt;&gt;'計算A'!$A$3,'計算A'!$A$4=0)),AND(56=$I15-1,OR(8&lt;&gt;'計算A'!$A$3,'計算A'!$A$4=0))),0,IF(8=$K15,200000,ABS(8-$K15)*100)),100000+ABS(3-$J15)*1000+80)+'計算A'!BG$5*50+IF(AND($E15=1,KT15=0),25,0),IF($F15&gt;0,INDEX('計算A'!BG$110:BG$114,$F15+1)+IF(AND($E15=1,KT15=0),1000,0),MIN(TW15,20)*400+(IF('計算A'!BF$106=1,1-FD15,0)+IF('計算A'!BG$106=1,1-FF15,0))*150+83+'計算A'!BG$5*100000+IF(AND($E15=1,KT15=0),50000,0))+IF($H15=1,(IF('計算A'!BF$117=1,INDEX('計算A'!BF$10:BF$54,$B15),0)+IF('計算A'!BG$117=1,INDEX('計算A'!BH$10:BH$54,$B15),0))*4000,0)-IF(AND('計算A'!BF$117=1,WD15&gt;0),2000,0)-IF(AND($L15=1,'計算A'!BG$117=1,FF15=0),2000,0))),1000000))</f>
        <v/>
      </c>
      <c r="QJ15">
        <f>IF($B15=0,1000000,IF(INDEX('計算A'!$D$60:$EQ$104,$B15,57)*FF15=1,IF(AND($E15=2,KU15=0),1000000,IF($I15&gt;0,IF(3=$J15,IF(OR(AND(57=$I15+1,OR($K15&lt;&gt;'計算A'!$A$3,'計算A'!$A$4=0)),AND(57=$I15-1,OR(9&lt;&gt;'計算A'!$A$3,'計算A'!$A$4=0))),0,IF(9=$K15,200000,ABS(9-$K15)*100)),100000+ABS(3-$J15)*1000+90)+'計算A'!BH$5*50+IF(AND($E15=1,KU15=0),25,0),IF($F15&gt;0,INDEX('計算A'!BH$110:BH$114,$F15+1)+IF(AND($E15=1,KU15=0),1000,0),MIN(TW15,20)*400+(IF('計算A'!BG$106=1,1-FE15,0)+IF('計算A'!BH$106=1,1-FG15,0))*150+93+'計算A'!BH$5*100000+IF(AND($E15=1,KU15=0),50000,0))+IF($H15=1,(IF('計算A'!BG$117=1,INDEX('計算A'!BG$10:BG$54,$B15),0)+IF('計算A'!BH$117=1,INDEX('計算A'!BI$10:BI$54,$B15),0))*4000,0)-IF(AND('計算A'!BG$117=1,WE15&gt;0),2000,0)-IF(AND($L15=1,'計算A'!BH$117=1,FG15=0),2000,0))),1000000))</f>
        <v/>
      </c>
      <c r="QK15">
        <f>IF($B15=0,1000000,IF(INDEX('計算A'!$D$60:$EQ$104,$B15,58)*FG15=1,IF(AND($E15=2,KV15=0),1000000,IF($I15&gt;0,IF(3=$J15,IF(OR(AND(58=$I15+1,OR($K15&lt;&gt;'計算A'!$A$3,'計算A'!$A$4=0)),AND(58=$I15-1,OR(10&lt;&gt;'計算A'!$A$3,'計算A'!$A$4=0))),0,IF(10=$K15,200000,ABS(10-$K15)*100)),100000+ABS(3-$J15)*1000+100)+'計算A'!BI$5*50+IF(AND($E15=1,KV15=0),25,0),IF($F15&gt;0,INDEX('計算A'!BI$110:BI$114,$F15+1)+IF(AND($E15=1,KV15=0),1000,0),MIN(TW15,20)*400+(IF('計算A'!BH$106=1,1-FF15,0)+IF('計算A'!BI$106=1,1-FH15,0))*150+103+'計算A'!BI$5*100000+IF(AND($E15=1,KV15=0),50000,0))+IF($H15=1,(IF('計算A'!BH$117=1,INDEX('計算A'!BH$10:BH$54,$B15),0)+IF('計算A'!BI$117=1,INDEX('計算A'!BJ$10:BJ$54,$B15),0))*4000,0)-IF(AND('計算A'!BH$117=1,WF15&gt;0),2000,0)-IF(AND($L15=1,'計算A'!BI$117=1,FH15=0),2000,0))),1000000))</f>
        <v/>
      </c>
      <c r="QL15">
        <f>IF($B15=0,1000000,IF(INDEX('計算A'!$D$60:$EQ$104,$B15,59)*FH15=1,IF(AND($E15=2,KW15=0),1000000,IF($I15&gt;0,IF(3=$J15,IF(OR(AND(59=$I15+1,OR($K15&lt;&gt;'計算A'!$A$3,'計算A'!$A$4=0)),AND(59=$I15-1,OR(11&lt;&gt;'計算A'!$A$3,'計算A'!$A$4=0))),0,IF(11=$K15,200000,ABS(11-$K15)*100)),100000+ABS(3-$J15)*1000+110)+'計算A'!BJ$5*50+IF(AND($E15=1,KW15=0),25,0),IF($F15&gt;0,INDEX('計算A'!BJ$110:BJ$114,$F15+1)+IF(AND($E15=1,KW15=0),1000,0),MIN(TW15,20)*400+(IF('計算A'!BI$106=1,1-FG15,0)+IF('計算A'!BJ$106=1,1-FI15,0))*150+113+'計算A'!BJ$5*100000+IF(AND($E15=1,KW15=0),50000,0))+IF($H15=1,(IF('計算A'!BI$117=1,INDEX('計算A'!BI$10:BI$54,$B15),0)+IF('計算A'!BJ$117=1,INDEX('計算A'!BK$10:BK$54,$B15),0))*4000,0)-IF(AND('計算A'!BI$117=1,WG15&gt;0),2000,0)-IF(AND($L15=1,'計算A'!BJ$117=1,FI15=0),2000,0))),1000000))</f>
        <v/>
      </c>
      <c r="QM15">
        <f>IF($B15=0,1000000,IF(INDEX('計算A'!$D$60:$EQ$104,$B15,60)*FI15=1,IF(AND($E15=2,KX15=0),1000000,IF($I15&gt;0,IF(3=$J15,IF(OR(AND(60=$I15+1,OR($K15&lt;&gt;'計算A'!$A$3,'計算A'!$A$4=0)),AND(60=$I15-1,OR(12&lt;&gt;'計算A'!$A$3,'計算A'!$A$4=0))),0,IF(12=$K15,200000,ABS(12-$K15)*100)),100000+ABS(3-$J15)*1000+120)+'計算A'!BK$5*50+IF(AND($E15=1,KX15=0),25,0),IF($F15&gt;0,INDEX('計算A'!BK$110:BK$114,$F15+1)+IF(AND($E15=1,KX15=0),1000,0),MIN(TW15,20)*400+(IF('計算A'!BJ$106=1,1-FH15,0)+IF('計算A'!BK$106=1,1-FJ15,0))*150+123+'計算A'!BK$5*100000+IF(AND($E15=1,KX15=0),50000,0))+IF($H15=1,(IF('計算A'!BJ$117=1,INDEX('計算A'!BJ$10:BJ$54,$B15),0)+IF('計算A'!BK$117=1,INDEX('計算A'!BL$10:BL$54,$B15),0))*4000,0)-IF(AND('計算A'!BJ$117=1,WH15&gt;0),2000,0)-IF(AND($L15=1,'計算A'!BK$117=1,FJ15=0),2000,0))),1000000))</f>
        <v/>
      </c>
      <c r="QN15">
        <f>IF($B15=0,1000000,IF(INDEX('計算A'!$D$60:$EQ$104,$B15,61)*FJ15=1,IF(AND($E15=2,KY15=0),1000000,IF($I15&gt;0,IF(3=$J15,IF(OR(AND(61=$I15+1,OR($K15&lt;&gt;'計算A'!$A$3,'計算A'!$A$4=0)),AND(61=$I15-1,OR(13&lt;&gt;'計算A'!$A$3,'計算A'!$A$4=0))),0,IF(13=$K15,200000,ABS(13-$K15)*100)),100000+ABS(3-$J15)*1000+130)+'計算A'!BL$5*50+IF(AND($E15=1,KY15=0),25,0),IF($F15&gt;0,INDEX('計算A'!BL$110:BL$114,$F15+1)+IF(AND($E15=1,KY15=0),1000,0),MIN(TW15,20)*400+(IF('計算A'!BK$106=1,1-FI15,0)+IF('計算A'!BL$106=1,1-FK15,0))*150+133+'計算A'!BL$5*100000+IF(AND($E15=1,KY15=0),50000,0))+IF($H15=1,(IF('計算A'!BK$117=1,INDEX('計算A'!BK$10:BK$54,$B15),0)+IF('計算A'!BL$117=1,INDEX('計算A'!BM$10:BM$54,$B15),0))*4000,0)-IF(AND('計算A'!BK$117=1,WI15&gt;0),2000,0)-IF(AND($L15=1,'計算A'!BL$117=1,FK15=0),2000,0))),1000000))</f>
        <v/>
      </c>
      <c r="QO15">
        <f>IF($B15=0,1000000,IF(INDEX('計算A'!$D$60:$EQ$104,$B15,62)*FK15=1,IF(AND($E15=2,KZ15=0),1000000,IF($I15&gt;0,IF(3=$J15,IF(OR(AND(62=$I15+1,OR($K15&lt;&gt;'計算A'!$A$3,'計算A'!$A$4=0)),AND(62=$I15-1,OR(14&lt;&gt;'計算A'!$A$3,'計算A'!$A$4=0))),0,IF(14=$K15,200000,ABS(14-$K15)*100)),100000+ABS(3-$J15)*1000+140)+'計算A'!BM$5*50+IF(AND($E15=1,KZ15=0),25,0),IF($F15&gt;0,INDEX('計算A'!BM$110:BM$114,$F15+1)+IF(AND($E15=1,KZ15=0),1000,0),MIN(TW15,20)*400+(IF('計算A'!BL$106=1,1-FJ15,0)+IF('計算A'!BM$106=1,1-FL15,0))*150+143+'計算A'!BM$5*100000+IF(AND($E15=1,KZ15=0),50000,0))+IF($H15=1,(IF('計算A'!BL$117=1,INDEX('計算A'!BL$10:BL$54,$B15),0)+IF('計算A'!BM$117=1,INDEX('計算A'!BN$10:BN$54,$B15),0))*4000,0)-IF(AND('計算A'!BL$117=1,WJ15&gt;0),2000,0)-IF(AND($L15=1,'計算A'!BM$117=1,FL15=0),2000,0))),1000000))</f>
        <v/>
      </c>
      <c r="QP15">
        <f>IF($B15=0,1000000,IF(INDEX('計算A'!$D$60:$EQ$104,$B15,63)*FL15=1,IF(AND($E15=2,LA15=0),1000000,IF($I15&gt;0,IF(3=$J15,IF(OR(AND(63=$I15+1,OR($K15&lt;&gt;'計算A'!$A$3,'計算A'!$A$4=0)),AND(63=$I15-1,OR(15&lt;&gt;'計算A'!$A$3,'計算A'!$A$4=0))),0,IF(15=$K15,200000,ABS(15-$K15)*100)),100000+ABS(3-$J15)*1000+150)+'計算A'!BN$5*50+IF(AND($E15=1,LA15=0),25,0),IF($F15&gt;0,INDEX('計算A'!BN$110:BN$114,$F15+1)+IF(AND($E15=1,LA15=0),1000,0),MIN(TW15,20)*400+(IF('計算A'!BM$106=1,1-FK15,0)+IF('計算A'!BN$106=1,1-FM15,0))*150+153+'計算A'!BN$5*100000+IF(AND($E15=1,LA15=0),50000,0))+IF($H15=1,(IF('計算A'!BM$117=1,INDEX('計算A'!BM$10:BM$54,$B15),0)+IF('計算A'!BN$117=1,INDEX('計算A'!BO$10:BO$54,$B15),0))*4000,0)-IF(AND('計算A'!BM$117=1,WK15&gt;0),2000,0)-IF(AND($L15=1,'計算A'!BN$117=1,FM15=0),2000,0))),1000000))</f>
        <v/>
      </c>
      <c r="QQ15">
        <f>IF($B15=0,1000000,IF(INDEX('計算A'!$D$60:$EQ$104,$B15,64)*FM15=1,IF(AND($E15=2,LB15=0),1000000,IF($I15&gt;0,IF(3=$J15,IF(OR(AND(64=$I15+1,OR($K15&lt;&gt;'計算A'!$A$3,'計算A'!$A$4=0)),AND(64=$I15-1,OR(16&lt;&gt;'計算A'!$A$3,'計算A'!$A$4=0))),0,IF(16=$K15,200000,ABS(16-$K15)*100)),100000+ABS(3-$J15)*1000+160)+'計算A'!BO$5*50+IF(AND($E15=1,LB15=0),25,0),IF($F15&gt;0,INDEX('計算A'!BO$110:BO$114,$F15+1)+IF(AND($E15=1,LB15=0),1000,0),MIN(TW15,20)*400+(IF('計算A'!BN$106=1,1-FL15,0)+IF('計算A'!BO$106=1,1-FN15,0))*150+163+'計算A'!BO$5*100000+IF(AND($E15=1,LB15=0),50000,0))+IF($H15=1,(IF('計算A'!BN$117=1,INDEX('計算A'!BN$10:BN$54,$B15),0)+IF('計算A'!BO$117=1,INDEX('計算A'!BP$10:BP$54,$B15),0))*4000,0)-IF(AND('計算A'!BN$117=1,WL15&gt;0),2000,0)-IF(AND($L15=1,'計算A'!BO$117=1,FN15=0),2000,0))),1000000))</f>
        <v/>
      </c>
      <c r="QR15">
        <f>IF($B15=0,1000000,IF(INDEX('計算A'!$D$60:$EQ$104,$B15,65)*FN15=1,IF(AND($E15=2,LC15=0),1000000,IF($I15&gt;0,IF(3=$J15,IF(OR(AND(65=$I15+1,OR($K15&lt;&gt;'計算A'!$A$3,'計算A'!$A$4=0)),AND(65=$I15-1,OR(17&lt;&gt;'計算A'!$A$3,'計算A'!$A$4=0))),0,IF(17=$K15,200000,ABS(17-$K15)*100)),100000+ABS(3-$J15)*1000+170)+'計算A'!BP$5*50+IF(AND($E15=1,LC15=0),25,0),IF($F15&gt;0,INDEX('計算A'!BP$110:BP$114,$F15+1)+IF(AND($E15=1,LC15=0),1000,0),MIN(TW15,20)*400+(IF('計算A'!BO$106=1,1-FM15,0)+IF('計算A'!BP$106=1,1-FO15,0))*150+173+'計算A'!BP$5*100000+IF(AND($E15=1,LC15=0),50000,0))+IF($H15=1,(IF('計算A'!BO$117=1,INDEX('計算A'!BO$10:BO$54,$B15),0)+IF('計算A'!BP$117=1,INDEX('計算A'!BQ$10:BQ$54,$B15),0))*4000,0)-IF(AND('計算A'!BO$117=1,WM15&gt;0),2000,0)-IF(AND($L15=1,'計算A'!BP$117=1,FO15=0),2000,0))),1000000))</f>
        <v/>
      </c>
      <c r="QS15">
        <f>IF($B15=0,1000000,IF(INDEX('計算A'!$D$60:$EQ$104,$B15,66)*FO15=1,IF(AND($E15=2,LD15=0),1000000,IF($I15&gt;0,IF(3=$J15,IF(OR(AND(66=$I15+1,OR($K15&lt;&gt;'計算A'!$A$3,'計算A'!$A$4=0)),AND(66=$I15-1,OR(18&lt;&gt;'計算A'!$A$3,'計算A'!$A$4=0))),0,IF(18=$K15,200000,ABS(18-$K15)*100)),100000+ABS(3-$J15)*1000+180)+'計算A'!BQ$5*50+IF(AND($E15=1,LD15=0),25,0),IF($F15&gt;0,INDEX('計算A'!BQ$110:BQ$114,$F15+1)+IF(AND($E15=1,LD15=0),1000,0),MIN(TW15,20)*400+(IF('計算A'!BP$106=1,1-FN15,0)+IF('計算A'!BQ$106=1,1-FP15,0))*150+183+'計算A'!BQ$5*100000+IF(AND($E15=1,LD15=0),50000,0))+IF($H15=1,(IF('計算A'!BP$117=1,INDEX('計算A'!BP$10:BP$54,$B15),0)+IF('計算A'!BQ$117=1,INDEX('計算A'!BR$10:BR$54,$B15),0))*4000,0)-IF(AND('計算A'!BP$117=1,WN15&gt;0),2000,0)-IF(AND($L15=1,'計算A'!BQ$117=1,FP15=0),2000,0))),1000000))</f>
        <v/>
      </c>
      <c r="QT15">
        <f>IF($B15=0,1000000,IF(INDEX('計算A'!$D$60:$EQ$104,$B15,67)*FP15=1,IF(AND($E15=2,LE15=0),1000000,IF($I15&gt;0,IF(3=$J15,IF(OR(AND(67=$I15+1,OR($K15&lt;&gt;'計算A'!$A$3,'計算A'!$A$4=0)),AND(67=$I15-1,OR(19&lt;&gt;'計算A'!$A$3,'計算A'!$A$4=0))),0,IF(19=$K15,200000,ABS(19-$K15)*100)),100000+ABS(3-$J15)*1000+190)+'計算A'!BR$5*50+IF(AND($E15=1,LE15=0),25,0),IF($F15&gt;0,INDEX('計算A'!BR$110:BR$114,$F15+1)+IF(AND($E15=1,LE15=0),1000,0),MIN(TW15,20)*400+(IF('計算A'!BQ$106=1,1-FO15,0)+IF('計算A'!BR$106=1,1-FQ15,0))*150+193+'計算A'!BR$5*100000+IF(AND($E15=1,LE15=0),50000,0))+IF($H15=1,(IF('計算A'!BQ$117=1,INDEX('計算A'!BQ$10:BQ$54,$B15),0)+IF('計算A'!BR$117=1,INDEX('計算A'!BS$10:BS$54,$B15),0))*4000,0)-IF(AND('計算A'!BQ$117=1,WO15&gt;0),2000,0)-IF(AND($L15=1,'計算A'!BR$117=1,FQ15=0),2000,0))),1000000))</f>
        <v/>
      </c>
      <c r="QU15">
        <f>IF($B15=0,1000000,IF(INDEX('計算A'!$D$60:$EQ$104,$B15,68)*FQ15=1,IF(AND($E15=2,LF15=0),1000000,IF($I15&gt;0,IF(3=$J15,IF(OR(AND(68=$I15+1,OR($K15&lt;&gt;'計算A'!$A$3,'計算A'!$A$4=0)),AND(68=$I15-1,OR(20&lt;&gt;'計算A'!$A$3,'計算A'!$A$4=0))),0,IF(20=$K15,200000,ABS(20-$K15)*100)),100000+ABS(3-$J15)*1000+200)+'計算A'!BS$5*50+IF(AND($E15=1,LF15=0),25,0),IF($F15&gt;0,INDEX('計算A'!BS$110:BS$114,$F15+1)+IF(AND($E15=1,LF15=0),1000,0),MIN(TW15,20)*400+(IF('計算A'!BR$106=1,1-FP15,0)+IF('計算A'!BS$106=1,1-FR15,0))*150+203+'計算A'!BS$5*100000+IF(AND($E15=1,LF15=0),50000,0))+IF($H15=1,(IF('計算A'!BR$117=1,INDEX('計算A'!BR$10:BR$54,$B15),0)+IF('計算A'!BS$117=1,INDEX('計算A'!BT$10:BT$54,$B15),0))*4000,0)-IF(AND('計算A'!BR$117=1,WP15&gt;0),2000,0)-IF(AND($L15=1,'計算A'!BS$117=1,FR15=0),2000,0))),1000000))</f>
        <v/>
      </c>
      <c r="QV15">
        <f>IF($B15=0,1000000,IF(INDEX('計算A'!$D$60:$EQ$104,$B15,69)*FR15=1,IF(AND($E15=2,LG15=0),1000000,IF($I15&gt;0,IF(3=$J15,IF(OR(AND(69=$I15+1,OR($K15&lt;&gt;'計算A'!$A$3,'計算A'!$A$4=0)),AND(69=$I15-1,OR(21&lt;&gt;'計算A'!$A$3,'計算A'!$A$4=0))),0,IF(21=$K15,200000,ABS(21-$K15)*100)),100000+ABS(3-$J15)*1000+210)+'計算A'!BT$5*50+IF(AND($E15=1,LG15=0),25,0),IF($F15&gt;0,INDEX('計算A'!BT$110:BT$114,$F15+1)+IF(AND($E15=1,LG15=0),1000,0),MIN(TW15,20)*400+(IF('計算A'!BS$106=1,1-FQ15,0)+IF('計算A'!BT$106=1,1-FS15,0))*150+213+'計算A'!BT$5*100000+IF(AND($E15=1,LG15=0),50000,0))+IF($H15=1,(IF('計算A'!BS$117=1,INDEX('計算A'!BS$10:BS$54,$B15),0)+IF('計算A'!BT$117=1,INDEX('計算A'!BU$10:BU$54,$B15),0))*4000,0)-IF(AND('計算A'!BS$117=1,WQ15&gt;0),2000,0)-IF(AND($L15=1,'計算A'!BT$117=1,FS15=0),2000,0))),1000000))</f>
        <v/>
      </c>
      <c r="QW15">
        <f>IF($B15=0,1000000,IF(INDEX('計算A'!$D$60:$EQ$104,$B15,70)*FS15=1,IF(AND($E15=2,LH15=0),1000000,IF($I15&gt;0,IF(3=$J15,IF(OR(AND(70=$I15+1,OR($K15&lt;&gt;'計算A'!$A$3,'計算A'!$A$4=0)),AND(70=$I15-1,OR(22&lt;&gt;'計算A'!$A$3,'計算A'!$A$4=0))),0,IF(22=$K15,200000,ABS(22-$K15)*100)),100000+ABS(3-$J15)*1000+220)+'計算A'!BU$5*50+IF(AND($E15=1,LH15=0),25,0),IF($F15&gt;0,INDEX('計算A'!BU$110:BU$114,$F15+1)+IF(AND($E15=1,LH15=0),1000,0),MIN(TW15,20)*400+(IF('計算A'!BT$106=1,1-FR15,0)+IF('計算A'!BU$106=1,1-FT15,0))*150+223+'計算A'!BU$5*100000+IF(AND($E15=1,LH15=0),50000,0))+IF($H15=1,(IF('計算A'!BT$117=1,INDEX('計算A'!BT$10:BT$54,$B15),0)+IF('計算A'!BU$117=1,INDEX('計算A'!BV$10:BV$54,$B15),0))*4000,0)-IF(AND('計算A'!BT$117=1,WR15&gt;0),2000,0)-IF(AND($L15=1,'計算A'!BU$117=1,FT15=0),2000,0))),1000000))</f>
        <v/>
      </c>
      <c r="QX15">
        <f>IF($B15=0,1000000,IF(INDEX('計算A'!$D$60:$EQ$104,$B15,71)*FT15=1,IF(AND($E15=2,LI15=0),1000000,IF($I15&gt;0,IF(3=$J15,IF(OR(AND(71=$I15+1,OR($K15&lt;&gt;'計算A'!$A$3,'計算A'!$A$4=0)),AND(71=$I15-1,OR(23&lt;&gt;'計算A'!$A$3,'計算A'!$A$4=0))),0,IF(23=$K15,200000,ABS(23-$K15)*100)),100000+ABS(3-$J15)*1000+230)+'計算A'!BV$5*50+IF(AND($E15=1,LI15=0),25,0),IF($F15&gt;0,INDEX('計算A'!BV$110:BV$114,$F15+1)+IF(AND($E15=1,LI15=0),1000,0),MIN(TW15,20)*400+(IF('計算A'!BU$106=1,1-FS15,0)+IF('計算A'!BV$106=1,1-FU15,0))*150+233+'計算A'!BV$5*100000+IF(AND($E15=1,LI15=0),50000,0))+IF($H15=1,(IF('計算A'!BU$117=1,INDEX('計算A'!BU$10:BU$54,$B15),0)+IF('計算A'!BV$117=1,INDEX('計算A'!BW$10:BW$54,$B15),0))*4000,0)-IF(AND('計算A'!BU$117=1,WS15&gt;0),2000,0)-IF(AND($L15=1,'計算A'!BV$117=1,FU15=0),2000,0))),1000000))</f>
        <v/>
      </c>
      <c r="QY15">
        <f>IF($B15=0,1000000,IF(INDEX('計算A'!$D$60:$EQ$104,$B15,72)*FU15=1,IF(AND($E15=2,LJ15=0),1000000,IF($I15&gt;0,IF(3=$J15,IF(OR(AND(72=$I15+1,OR($K15&lt;&gt;'計算A'!$A$3,'計算A'!$A$4=0)),AND(72=$I15-1,OR(24&lt;&gt;'計算A'!$A$3,'計算A'!$A$4=0))),0,IF(24=$K15,200000,ABS(24-$K15)*100)),100000+ABS(3-$J15)*1000+240)+'計算A'!BW$5*50+IF(AND($E15=1,LJ15=0),25,0),IF($F15&gt;0,INDEX('計算A'!BW$110:BW$114,$F15+1)+IF(AND($E15=1,LJ15=0),1000,0),MIN(TW15,20)*400+(IF('計算A'!BV$106=1,1-FT15,0))*150+243+'計算A'!BW$5*100000+IF(AND($E15=1,LJ15=0),50000,0))+IF($H15=1,(IF('計算A'!BV$117=1,INDEX('計算A'!BV$10:BV$54,$B15),0))*4000,0)-IF(AND('計算A'!BV$117=1,WT15&gt;0),2000,0))),1000000))</f>
        <v/>
      </c>
      <c r="QZ15">
        <f>IF($B15=0,1000000,IF(INDEX('計算A'!$D$60:$EQ$104,$B15,73)*FV15=1,IF(AND($E15=2,LK15=0),1000000,IF($I15&gt;0,IF(4=$J15,IF(OR(AND(73=$I15+1,OR($K15&lt;&gt;'計算A'!$A$3,'計算A'!$A$4=0)),AND(73=$I15-1,OR(1&lt;&gt;'計算A'!$A$3,'計算A'!$A$4=0))),0,IF(1=$K15,200000,ABS(1-$K15)*100)),100000+ABS(4-$J15)*1000+10)+'計算A'!BX$5*50+IF(AND($E15=1,LK15=0),25,0),IF($F15&gt;0,INDEX('計算A'!BX$110:BX$114,$F15+1)+IF(AND($E15=1,LK15=0),1000,0),MIN(TX15,20)*400+(IF('計算A'!BX$106=1,1-FW15,0))*150+14+'計算A'!BX$5*100000+IF(AND($E15=1,LK15=0),50000,0))+IF($H15=1,(IF('計算A'!BX$117=1,INDEX('計算A'!BY$10:BY$54,$B15),0))*4000,0)-IF(AND($L15=1,'計算A'!BX$117=1,FW15=0),2000,0))),1000000))</f>
        <v/>
      </c>
      <c r="RA15">
        <f>IF($B15=0,1000000,IF(INDEX('計算A'!$D$60:$EQ$104,$B15,74)*FW15=1,IF(AND($E15=2,LL15=0),1000000,IF($I15&gt;0,IF(4=$J15,IF(OR(AND(74=$I15+1,OR($K15&lt;&gt;'計算A'!$A$3,'計算A'!$A$4=0)),AND(74=$I15-1,OR(2&lt;&gt;'計算A'!$A$3,'計算A'!$A$4=0))),0,IF(2=$K15,200000,ABS(2-$K15)*100)),100000+ABS(4-$J15)*1000+20)+'計算A'!BY$5*50+IF(AND($E15=1,LL15=0),25,0),IF($F15&gt;0,INDEX('計算A'!BY$110:BY$114,$F15+1)+IF(AND($E15=1,LL15=0),1000,0),MIN(TX15,20)*400+(IF('計算A'!BX$106=1,1-FV15,0)+IF('計算A'!BY$106=1,1-FX15,0))*150+24+'計算A'!BY$5*100000+IF(AND($E15=1,LL15=0),50000,0))+IF($H15=1,(IF('計算A'!BX$117=1,INDEX('計算A'!BX$10:BX$54,$B15),0)+IF('計算A'!BY$117=1,INDEX('計算A'!BZ$10:BZ$54,$B15),0))*4000,0)-IF(AND('計算A'!BX$117=1,WV15&gt;0),2000,0)-IF(AND($L15=1,'計算A'!BY$117=1,FX15=0),2000,0))),1000000))</f>
        <v/>
      </c>
      <c r="RB15">
        <f>IF($B15=0,1000000,IF(INDEX('計算A'!$D$60:$EQ$104,$B15,75)*FX15=1,IF(AND($E15=2,LM15=0),1000000,IF($I15&gt;0,IF(4=$J15,IF(OR(AND(75=$I15+1,OR($K15&lt;&gt;'計算A'!$A$3,'計算A'!$A$4=0)),AND(75=$I15-1,OR(3&lt;&gt;'計算A'!$A$3,'計算A'!$A$4=0))),0,IF(3=$K15,200000,ABS(3-$K15)*100)),100000+ABS(4-$J15)*1000+30)+'計算A'!BZ$5*50+IF(AND($E15=1,LM15=0),25,0),IF($F15&gt;0,INDEX('計算A'!BZ$110:BZ$114,$F15+1)+IF(AND($E15=1,LM15=0),1000,0),MIN(TX15,20)*400+(IF('計算A'!BY$106=1,1-FW15,0)+IF('計算A'!BZ$106=1,1-FY15,0))*150+34+'計算A'!BZ$5*100000+IF(AND($E15=1,LM15=0),50000,0))+IF($H15=1,(IF('計算A'!BY$117=1,INDEX('計算A'!BY$10:BY$54,$B15),0)+IF('計算A'!BZ$117=1,INDEX('計算A'!CA$10:CA$54,$B15),0))*4000,0)-IF(AND('計算A'!BY$117=1,WW15&gt;0),2000,0)-IF(AND($L15=1,'計算A'!BZ$117=1,FY15=0),2000,0))),1000000))</f>
        <v/>
      </c>
      <c r="RC15">
        <f>IF($B15=0,1000000,IF(INDEX('計算A'!$D$60:$EQ$104,$B15,76)*FY15=1,IF(AND($E15=2,LN15=0),1000000,IF($I15&gt;0,IF(4=$J15,IF(OR(AND(76=$I15+1,OR($K15&lt;&gt;'計算A'!$A$3,'計算A'!$A$4=0)),AND(76=$I15-1,OR(4&lt;&gt;'計算A'!$A$3,'計算A'!$A$4=0))),0,IF(4=$K15,200000,ABS(4-$K15)*100)),100000+ABS(4-$J15)*1000+40)+'計算A'!CA$5*50+IF(AND($E15=1,LN15=0),25,0),IF($F15&gt;0,INDEX('計算A'!CA$110:CA$114,$F15+1)+IF(AND($E15=1,LN15=0),1000,0),MIN(TX15,20)*400+(IF('計算A'!BZ$106=1,1-FX15,0)+IF('計算A'!CA$106=1,1-FZ15,0))*150+44+'計算A'!CA$5*100000+IF(AND($E15=1,LN15=0),50000,0))+IF($H15=1,(IF('計算A'!BZ$117=1,INDEX('計算A'!BZ$10:BZ$54,$B15),0)+IF('計算A'!CA$117=1,INDEX('計算A'!CB$10:CB$54,$B15),0))*4000,0)-IF(AND('計算A'!BZ$117=1,WX15&gt;0),2000,0)-IF(AND($L15=1,'計算A'!CA$117=1,FZ15=0),2000,0))),1000000))</f>
        <v/>
      </c>
      <c r="RD15">
        <f>IF($B15=0,1000000,IF(INDEX('計算A'!$D$60:$EQ$104,$B15,77)*FZ15=1,IF(AND($E15=2,LO15=0),1000000,IF($I15&gt;0,IF(4=$J15,IF(OR(AND(77=$I15+1,OR($K15&lt;&gt;'計算A'!$A$3,'計算A'!$A$4=0)),AND(77=$I15-1,OR(5&lt;&gt;'計算A'!$A$3,'計算A'!$A$4=0))),0,IF(5=$K15,200000,ABS(5-$K15)*100)),100000+ABS(4-$J15)*1000+50)+'計算A'!CB$5*50+IF(AND($E15=1,LO15=0),25,0),IF($F15&gt;0,INDEX('計算A'!CB$110:CB$114,$F15+1)+IF(AND($E15=1,LO15=0),1000,0),MIN(TX15,20)*400+(IF('計算A'!CA$106=1,1-FY15,0)+IF('計算A'!CB$106=1,1-GA15,0))*150+54+'計算A'!CB$5*100000+IF(AND($E15=1,LO15=0),50000,0))+IF($H15=1,(IF('計算A'!CA$117=1,INDEX('計算A'!CA$10:CA$54,$B15),0)+IF('計算A'!CB$117=1,INDEX('計算A'!CC$10:CC$54,$B15),0))*4000,0)-IF(AND('計算A'!CA$117=1,WY15&gt;0),2000,0)-IF(AND($L15=1,'計算A'!CB$117=1,GA15=0),2000,0))),1000000))</f>
        <v/>
      </c>
      <c r="RE15">
        <f>IF($B15=0,1000000,IF(INDEX('計算A'!$D$60:$EQ$104,$B15,78)*GA15=1,IF(AND($E15=2,LP15=0),1000000,IF($I15&gt;0,IF(4=$J15,IF(OR(AND(78=$I15+1,OR($K15&lt;&gt;'計算A'!$A$3,'計算A'!$A$4=0)),AND(78=$I15-1,OR(6&lt;&gt;'計算A'!$A$3,'計算A'!$A$4=0))),0,IF(6=$K15,200000,ABS(6-$K15)*100)),100000+ABS(4-$J15)*1000+60)+'計算A'!CC$5*50+IF(AND($E15=1,LP15=0),25,0),IF($F15&gt;0,INDEX('計算A'!CC$110:CC$114,$F15+1)+IF(AND($E15=1,LP15=0),1000,0),MIN(TX15,20)*400+(IF('計算A'!CB$106=1,1-FZ15,0)+IF('計算A'!CC$106=1,1-GB15,0))*150+64+'計算A'!CC$5*100000+IF(AND($E15=1,LP15=0),50000,0))+IF($H15=1,(IF('計算A'!CB$117=1,INDEX('計算A'!CB$10:CB$54,$B15),0)+IF('計算A'!CC$117=1,INDEX('計算A'!CD$10:CD$54,$B15),0))*4000,0)-IF(AND('計算A'!CB$117=1,WZ15&gt;0),2000,0)-IF(AND($L15=1,'計算A'!CC$117=1,GB15=0),2000,0))),1000000))</f>
        <v/>
      </c>
      <c r="RF15">
        <f>IF($B15=0,1000000,IF(INDEX('計算A'!$D$60:$EQ$104,$B15,79)*GB15=1,IF(AND($E15=2,LQ15=0),1000000,IF($I15&gt;0,IF(4=$J15,IF(OR(AND(79=$I15+1,OR($K15&lt;&gt;'計算A'!$A$3,'計算A'!$A$4=0)),AND(79=$I15-1,OR(7&lt;&gt;'計算A'!$A$3,'計算A'!$A$4=0))),0,IF(7=$K15,200000,ABS(7-$K15)*100)),100000+ABS(4-$J15)*1000+70)+'計算A'!CD$5*50+IF(AND($E15=1,LQ15=0),25,0),IF($F15&gt;0,INDEX('計算A'!CD$110:CD$114,$F15+1)+IF(AND($E15=1,LQ15=0),1000,0),MIN(TX15,20)*400+(IF('計算A'!CC$106=1,1-GA15,0)+IF('計算A'!CD$106=1,1-GC15,0))*150+74+'計算A'!CD$5*100000+IF(AND($E15=1,LQ15=0),50000,0))+IF($H15=1,(IF('計算A'!CC$117=1,INDEX('計算A'!CC$10:CC$54,$B15),0)+IF('計算A'!CD$117=1,INDEX('計算A'!CE$10:CE$54,$B15),0))*4000,0)-IF(AND('計算A'!CC$117=1,XA15&gt;0),2000,0)-IF(AND($L15=1,'計算A'!CD$117=1,GC15=0),2000,0))),1000000))</f>
        <v/>
      </c>
      <c r="RG15">
        <f>IF($B15=0,1000000,IF(INDEX('計算A'!$D$60:$EQ$104,$B15,80)*GC15=1,IF(AND($E15=2,LR15=0),1000000,IF($I15&gt;0,IF(4=$J15,IF(OR(AND(80=$I15+1,OR($K15&lt;&gt;'計算A'!$A$3,'計算A'!$A$4=0)),AND(80=$I15-1,OR(8&lt;&gt;'計算A'!$A$3,'計算A'!$A$4=0))),0,IF(8=$K15,200000,ABS(8-$K15)*100)),100000+ABS(4-$J15)*1000+80)+'計算A'!CE$5*50+IF(AND($E15=1,LR15=0),25,0),IF($F15&gt;0,INDEX('計算A'!CE$110:CE$114,$F15+1)+IF(AND($E15=1,LR15=0),1000,0),MIN(TX15,20)*400+(IF('計算A'!CD$106=1,1-GB15,0)+IF('計算A'!CE$106=1,1-GD15,0))*150+84+'計算A'!CE$5*100000+IF(AND($E15=1,LR15=0),50000,0))+IF($H15=1,(IF('計算A'!CD$117=1,INDEX('計算A'!CD$10:CD$54,$B15),0)+IF('計算A'!CE$117=1,INDEX('計算A'!CF$10:CF$54,$B15),0))*4000,0)-IF(AND('計算A'!CD$117=1,XB15&gt;0),2000,0)-IF(AND($L15=1,'計算A'!CE$117=1,GD15=0),2000,0))),1000000))</f>
        <v/>
      </c>
      <c r="RH15">
        <f>IF($B15=0,1000000,IF(INDEX('計算A'!$D$60:$EQ$104,$B15,81)*GD15=1,IF(AND($E15=2,LS15=0),1000000,IF($I15&gt;0,IF(4=$J15,IF(OR(AND(81=$I15+1,OR($K15&lt;&gt;'計算A'!$A$3,'計算A'!$A$4=0)),AND(81=$I15-1,OR(9&lt;&gt;'計算A'!$A$3,'計算A'!$A$4=0))),0,IF(9=$K15,200000,ABS(9-$K15)*100)),100000+ABS(4-$J15)*1000+90)+'計算A'!CF$5*50+IF(AND($E15=1,LS15=0),25,0),IF($F15&gt;0,INDEX('計算A'!CF$110:CF$114,$F15+1)+IF(AND($E15=1,LS15=0),1000,0),MIN(TX15,20)*400+(IF('計算A'!CE$106=1,1-GC15,0)+IF('計算A'!CF$106=1,1-GE15,0))*150+94+'計算A'!CF$5*100000+IF(AND($E15=1,LS15=0),50000,0))+IF($H15=1,(IF('計算A'!CE$117=1,INDEX('計算A'!CE$10:CE$54,$B15),0)+IF('計算A'!CF$117=1,INDEX('計算A'!CG$10:CG$54,$B15),0))*4000,0)-IF(AND('計算A'!CE$117=1,XC15&gt;0),2000,0)-IF(AND($L15=1,'計算A'!CF$117=1,GE15=0),2000,0))),1000000))</f>
        <v/>
      </c>
      <c r="RI15">
        <f>IF($B15=0,1000000,IF(INDEX('計算A'!$D$60:$EQ$104,$B15,82)*GE15=1,IF(AND($E15=2,LT15=0),1000000,IF($I15&gt;0,IF(4=$J15,IF(OR(AND(82=$I15+1,OR($K15&lt;&gt;'計算A'!$A$3,'計算A'!$A$4=0)),AND(82=$I15-1,OR(10&lt;&gt;'計算A'!$A$3,'計算A'!$A$4=0))),0,IF(10=$K15,200000,ABS(10-$K15)*100)),100000+ABS(4-$J15)*1000+100)+'計算A'!CG$5*50+IF(AND($E15=1,LT15=0),25,0),IF($F15&gt;0,INDEX('計算A'!CG$110:CG$114,$F15+1)+IF(AND($E15=1,LT15=0),1000,0),MIN(TX15,20)*400+(IF('計算A'!CF$106=1,1-GD15,0)+IF('計算A'!CG$106=1,1-GF15,0))*150+104+'計算A'!CG$5*100000+IF(AND($E15=1,LT15=0),50000,0))+IF($H15=1,(IF('計算A'!CF$117=1,INDEX('計算A'!CF$10:CF$54,$B15),0)+IF('計算A'!CG$117=1,INDEX('計算A'!CH$10:CH$54,$B15),0))*4000,0)-IF(AND('計算A'!CF$117=1,XD15&gt;0),2000,0)-IF(AND($L15=1,'計算A'!CG$117=1,GF15=0),2000,0))),1000000))</f>
        <v/>
      </c>
      <c r="RJ15">
        <f>IF($B15=0,1000000,IF(INDEX('計算A'!$D$60:$EQ$104,$B15,83)*GF15=1,IF(AND($E15=2,LU15=0),1000000,IF($I15&gt;0,IF(4=$J15,IF(OR(AND(83=$I15+1,OR($K15&lt;&gt;'計算A'!$A$3,'計算A'!$A$4=0)),AND(83=$I15-1,OR(11&lt;&gt;'計算A'!$A$3,'計算A'!$A$4=0))),0,IF(11=$K15,200000,ABS(11-$K15)*100)),100000+ABS(4-$J15)*1000+110)+'計算A'!CH$5*50+IF(AND($E15=1,LU15=0),25,0),IF($F15&gt;0,INDEX('計算A'!CH$110:CH$114,$F15+1)+IF(AND($E15=1,LU15=0),1000,0),MIN(TX15,20)*400+(IF('計算A'!CG$106=1,1-GE15,0)+IF('計算A'!CH$106=1,1-GG15,0))*150+114+'計算A'!CH$5*100000+IF(AND($E15=1,LU15=0),50000,0))+IF($H15=1,(IF('計算A'!CG$117=1,INDEX('計算A'!CG$10:CG$54,$B15),0)+IF('計算A'!CH$117=1,INDEX('計算A'!CI$10:CI$54,$B15),0))*4000,0)-IF(AND('計算A'!CG$117=1,XE15&gt;0),2000,0)-IF(AND($L15=1,'計算A'!CH$117=1,GG15=0),2000,0))),1000000))</f>
        <v/>
      </c>
      <c r="RK15">
        <f>IF($B15=0,1000000,IF(INDEX('計算A'!$D$60:$EQ$104,$B15,84)*GG15=1,IF(AND($E15=2,LV15=0),1000000,IF($I15&gt;0,IF(4=$J15,IF(OR(AND(84=$I15+1,OR($K15&lt;&gt;'計算A'!$A$3,'計算A'!$A$4=0)),AND(84=$I15-1,OR(12&lt;&gt;'計算A'!$A$3,'計算A'!$A$4=0))),0,IF(12=$K15,200000,ABS(12-$K15)*100)),100000+ABS(4-$J15)*1000+120)+'計算A'!CI$5*50+IF(AND($E15=1,LV15=0),25,0),IF($F15&gt;0,INDEX('計算A'!CI$110:CI$114,$F15+1)+IF(AND($E15=1,LV15=0),1000,0),MIN(TX15,20)*400+(IF('計算A'!CH$106=1,1-GF15,0)+IF('計算A'!CI$106=1,1-GH15,0))*150+124+'計算A'!CI$5*100000+IF(AND($E15=1,LV15=0),50000,0))+IF($H15=1,(IF('計算A'!CH$117=1,INDEX('計算A'!CH$10:CH$54,$B15),0)+IF('計算A'!CI$117=1,INDEX('計算A'!CJ$10:CJ$54,$B15),0))*4000,0)-IF(AND('計算A'!CH$117=1,XF15&gt;0),2000,0)-IF(AND($L15=1,'計算A'!CI$117=1,GH15=0),2000,0))),1000000))</f>
        <v/>
      </c>
      <c r="RL15">
        <f>IF($B15=0,1000000,IF(INDEX('計算A'!$D$60:$EQ$104,$B15,85)*GH15=1,IF(AND($E15=2,LW15=0),1000000,IF($I15&gt;0,IF(4=$J15,IF(OR(AND(85=$I15+1,OR($K15&lt;&gt;'計算A'!$A$3,'計算A'!$A$4=0)),AND(85=$I15-1,OR(13&lt;&gt;'計算A'!$A$3,'計算A'!$A$4=0))),0,IF(13=$K15,200000,ABS(13-$K15)*100)),100000+ABS(4-$J15)*1000+130)+'計算A'!CJ$5*50+IF(AND($E15=1,LW15=0),25,0),IF($F15&gt;0,INDEX('計算A'!CJ$110:CJ$114,$F15+1)+IF(AND($E15=1,LW15=0),1000,0),MIN(TX15,20)*400+(IF('計算A'!CI$106=1,1-GG15,0)+IF('計算A'!CJ$106=1,1-GI15,0))*150+134+'計算A'!CJ$5*100000+IF(AND($E15=1,LW15=0),50000,0))+IF($H15=1,(IF('計算A'!CI$117=1,INDEX('計算A'!CI$10:CI$54,$B15),0)+IF('計算A'!CJ$117=1,INDEX('計算A'!CK$10:CK$54,$B15),0))*4000,0)-IF(AND('計算A'!CI$117=1,XG15&gt;0),2000,0)-IF(AND($L15=1,'計算A'!CJ$117=1,GI15=0),2000,0))),1000000))</f>
        <v/>
      </c>
      <c r="RM15">
        <f>IF($B15=0,1000000,IF(INDEX('計算A'!$D$60:$EQ$104,$B15,86)*GI15=1,IF(AND($E15=2,LX15=0),1000000,IF($I15&gt;0,IF(4=$J15,IF(OR(AND(86=$I15+1,OR($K15&lt;&gt;'計算A'!$A$3,'計算A'!$A$4=0)),AND(86=$I15-1,OR(14&lt;&gt;'計算A'!$A$3,'計算A'!$A$4=0))),0,IF(14=$K15,200000,ABS(14-$K15)*100)),100000+ABS(4-$J15)*1000+140)+'計算A'!CK$5*50+IF(AND($E15=1,LX15=0),25,0),IF($F15&gt;0,INDEX('計算A'!CK$110:CK$114,$F15+1)+IF(AND($E15=1,LX15=0),1000,0),MIN(TX15,20)*400+(IF('計算A'!CJ$106=1,1-GH15,0)+IF('計算A'!CK$106=1,1-GJ15,0))*150+144+'計算A'!CK$5*100000+IF(AND($E15=1,LX15=0),50000,0))+IF($H15=1,(IF('計算A'!CJ$117=1,INDEX('計算A'!CJ$10:CJ$54,$B15),0)+IF('計算A'!CK$117=1,INDEX('計算A'!CL$10:CL$54,$B15),0))*4000,0)-IF(AND('計算A'!CJ$117=1,XH15&gt;0),2000,0)-IF(AND($L15=1,'計算A'!CK$117=1,GJ15=0),2000,0))),1000000))</f>
        <v/>
      </c>
      <c r="RN15">
        <f>IF($B15=0,1000000,IF(INDEX('計算A'!$D$60:$EQ$104,$B15,87)*GJ15=1,IF(AND($E15=2,LY15=0),1000000,IF($I15&gt;0,IF(4=$J15,IF(OR(AND(87=$I15+1,OR($K15&lt;&gt;'計算A'!$A$3,'計算A'!$A$4=0)),AND(87=$I15-1,OR(15&lt;&gt;'計算A'!$A$3,'計算A'!$A$4=0))),0,IF(15=$K15,200000,ABS(15-$K15)*100)),100000+ABS(4-$J15)*1000+150)+'計算A'!CL$5*50+IF(AND($E15=1,LY15=0),25,0),IF($F15&gt;0,INDEX('計算A'!CL$110:CL$114,$F15+1)+IF(AND($E15=1,LY15=0),1000,0),MIN(TX15,20)*400+(IF('計算A'!CK$106=1,1-GI15,0)+IF('計算A'!CL$106=1,1-GK15,0))*150+154+'計算A'!CL$5*100000+IF(AND($E15=1,LY15=0),50000,0))+IF($H15=1,(IF('計算A'!CK$117=1,INDEX('計算A'!CK$10:CK$54,$B15),0)+IF('計算A'!CL$117=1,INDEX('計算A'!CM$10:CM$54,$B15),0))*4000,0)-IF(AND('計算A'!CK$117=1,XI15&gt;0),2000,0)-IF(AND($L15=1,'計算A'!CL$117=1,GK15=0),2000,0))),1000000))</f>
        <v/>
      </c>
      <c r="RO15">
        <f>IF($B15=0,1000000,IF(INDEX('計算A'!$D$60:$EQ$104,$B15,88)*GK15=1,IF(AND($E15=2,LZ15=0),1000000,IF($I15&gt;0,IF(4=$J15,IF(OR(AND(88=$I15+1,OR($K15&lt;&gt;'計算A'!$A$3,'計算A'!$A$4=0)),AND(88=$I15-1,OR(16&lt;&gt;'計算A'!$A$3,'計算A'!$A$4=0))),0,IF(16=$K15,200000,ABS(16-$K15)*100)),100000+ABS(4-$J15)*1000+160)+'計算A'!CM$5*50+IF(AND($E15=1,LZ15=0),25,0),IF($F15&gt;0,INDEX('計算A'!CM$110:CM$114,$F15+1)+IF(AND($E15=1,LZ15=0),1000,0),MIN(TX15,20)*400+(IF('計算A'!CL$106=1,1-GJ15,0)+IF('計算A'!CM$106=1,1-GL15,0))*150+164+'計算A'!CM$5*100000+IF(AND($E15=1,LZ15=0),50000,0))+IF($H15=1,(IF('計算A'!CL$117=1,INDEX('計算A'!CL$10:CL$54,$B15),0)+IF('計算A'!CM$117=1,INDEX('計算A'!CN$10:CN$54,$B15),0))*4000,0)-IF(AND('計算A'!CL$117=1,XJ15&gt;0),2000,0)-IF(AND($L15=1,'計算A'!CM$117=1,GL15=0),2000,0))),1000000))</f>
        <v/>
      </c>
      <c r="RP15">
        <f>IF($B15=0,1000000,IF(INDEX('計算A'!$D$60:$EQ$104,$B15,89)*GL15=1,IF(AND($E15=2,MA15=0),1000000,IF($I15&gt;0,IF(4=$J15,IF(OR(AND(89=$I15+1,OR($K15&lt;&gt;'計算A'!$A$3,'計算A'!$A$4=0)),AND(89=$I15-1,OR(17&lt;&gt;'計算A'!$A$3,'計算A'!$A$4=0))),0,IF(17=$K15,200000,ABS(17-$K15)*100)),100000+ABS(4-$J15)*1000+170)+'計算A'!CN$5*50+IF(AND($E15=1,MA15=0),25,0),IF($F15&gt;0,INDEX('計算A'!CN$110:CN$114,$F15+1)+IF(AND($E15=1,MA15=0),1000,0),MIN(TX15,20)*400+(IF('計算A'!CM$106=1,1-GK15,0)+IF('計算A'!CN$106=1,1-GM15,0))*150+174+'計算A'!CN$5*100000+IF(AND($E15=1,MA15=0),50000,0))+IF($H15=1,(IF('計算A'!CM$117=1,INDEX('計算A'!CM$10:CM$54,$B15),0)+IF('計算A'!CN$117=1,INDEX('計算A'!CO$10:CO$54,$B15),0))*4000,0)-IF(AND('計算A'!CM$117=1,XK15&gt;0),2000,0)-IF(AND($L15=1,'計算A'!CN$117=1,GM15=0),2000,0))),1000000))</f>
        <v/>
      </c>
      <c r="RQ15">
        <f>IF($B15=0,1000000,IF(INDEX('計算A'!$D$60:$EQ$104,$B15,90)*GM15=1,IF(AND($E15=2,MB15=0),1000000,IF($I15&gt;0,IF(4=$J15,IF(OR(AND(90=$I15+1,OR($K15&lt;&gt;'計算A'!$A$3,'計算A'!$A$4=0)),AND(90=$I15-1,OR(18&lt;&gt;'計算A'!$A$3,'計算A'!$A$4=0))),0,IF(18=$K15,200000,ABS(18-$K15)*100)),100000+ABS(4-$J15)*1000+180)+'計算A'!CO$5*50+IF(AND($E15=1,MB15=0),25,0),IF($F15&gt;0,INDEX('計算A'!CO$110:CO$114,$F15+1)+IF(AND($E15=1,MB15=0),1000,0),MIN(TX15,20)*400+(IF('計算A'!CN$106=1,1-GL15,0)+IF('計算A'!CO$106=1,1-GN15,0))*150+184+'計算A'!CO$5*100000+IF(AND($E15=1,MB15=0),50000,0))+IF($H15=1,(IF('計算A'!CN$117=1,INDEX('計算A'!CN$10:CN$54,$B15),0)+IF('計算A'!CO$117=1,INDEX('計算A'!CP$10:CP$54,$B15),0))*4000,0)-IF(AND('計算A'!CN$117=1,XL15&gt;0),2000,0)-IF(AND($L15=1,'計算A'!CO$117=1,GN15=0),2000,0))),1000000))</f>
        <v/>
      </c>
      <c r="RR15">
        <f>IF($B15=0,1000000,IF(INDEX('計算A'!$D$60:$EQ$104,$B15,91)*GN15=1,IF(AND($E15=2,MC15=0),1000000,IF($I15&gt;0,IF(4=$J15,IF(OR(AND(91=$I15+1,OR($K15&lt;&gt;'計算A'!$A$3,'計算A'!$A$4=0)),AND(91=$I15-1,OR(19&lt;&gt;'計算A'!$A$3,'計算A'!$A$4=0))),0,IF(19=$K15,200000,ABS(19-$K15)*100)),100000+ABS(4-$J15)*1000+190)+'計算A'!CP$5*50+IF(AND($E15=1,MC15=0),25,0),IF($F15&gt;0,INDEX('計算A'!CP$110:CP$114,$F15+1)+IF(AND($E15=1,MC15=0),1000,0),MIN(TX15,20)*400+(IF('計算A'!CO$106=1,1-GM15,0)+IF('計算A'!CP$106=1,1-GO15,0))*150+194+'計算A'!CP$5*100000+IF(AND($E15=1,MC15=0),50000,0))+IF($H15=1,(IF('計算A'!CO$117=1,INDEX('計算A'!CO$10:CO$54,$B15),0)+IF('計算A'!CP$117=1,INDEX('計算A'!CQ$10:CQ$54,$B15),0))*4000,0)-IF(AND('計算A'!CO$117=1,XM15&gt;0),2000,0)-IF(AND($L15=1,'計算A'!CP$117=1,GO15=0),2000,0))),1000000))</f>
        <v/>
      </c>
      <c r="RS15">
        <f>IF($B15=0,1000000,IF(INDEX('計算A'!$D$60:$EQ$104,$B15,92)*GO15=1,IF(AND($E15=2,MD15=0),1000000,IF($I15&gt;0,IF(4=$J15,IF(OR(AND(92=$I15+1,OR($K15&lt;&gt;'計算A'!$A$3,'計算A'!$A$4=0)),AND(92=$I15-1,OR(20&lt;&gt;'計算A'!$A$3,'計算A'!$A$4=0))),0,IF(20=$K15,200000,ABS(20-$K15)*100)),100000+ABS(4-$J15)*1000+200)+'計算A'!CQ$5*50+IF(AND($E15=1,MD15=0),25,0),IF($F15&gt;0,INDEX('計算A'!CQ$110:CQ$114,$F15+1)+IF(AND($E15=1,MD15=0),1000,0),MIN(TX15,20)*400+(IF('計算A'!CP$106=1,1-GN15,0)+IF('計算A'!CQ$106=1,1-GP15,0))*150+204+'計算A'!CQ$5*100000+IF(AND($E15=1,MD15=0),50000,0))+IF($H15=1,(IF('計算A'!CP$117=1,INDEX('計算A'!CP$10:CP$54,$B15),0)+IF('計算A'!CQ$117=1,INDEX('計算A'!CR$10:CR$54,$B15),0))*4000,0)-IF(AND('計算A'!CP$117=1,XN15&gt;0),2000,0)-IF(AND($L15=1,'計算A'!CQ$117=1,GP15=0),2000,0))),1000000))</f>
        <v/>
      </c>
      <c r="RT15">
        <f>IF($B15=0,1000000,IF(INDEX('計算A'!$D$60:$EQ$104,$B15,93)*GP15=1,IF(AND($E15=2,ME15=0),1000000,IF($I15&gt;0,IF(4=$J15,IF(OR(AND(93=$I15+1,OR($K15&lt;&gt;'計算A'!$A$3,'計算A'!$A$4=0)),AND(93=$I15-1,OR(21&lt;&gt;'計算A'!$A$3,'計算A'!$A$4=0))),0,IF(21=$K15,200000,ABS(21-$K15)*100)),100000+ABS(4-$J15)*1000+210)+'計算A'!CR$5*50+IF(AND($E15=1,ME15=0),25,0),IF($F15&gt;0,INDEX('計算A'!CR$110:CR$114,$F15+1)+IF(AND($E15=1,ME15=0),1000,0),MIN(TX15,20)*400+(IF('計算A'!CQ$106=1,1-GO15,0)+IF('計算A'!CR$106=1,1-GQ15,0))*150+214+'計算A'!CR$5*100000+IF(AND($E15=1,ME15=0),50000,0))+IF($H15=1,(IF('計算A'!CQ$117=1,INDEX('計算A'!CQ$10:CQ$54,$B15),0)+IF('計算A'!CR$117=1,INDEX('計算A'!CS$10:CS$54,$B15),0))*4000,0)-IF(AND('計算A'!CQ$117=1,XO15&gt;0),2000,0)-IF(AND($L15=1,'計算A'!CR$117=1,GQ15=0),2000,0))),1000000))</f>
        <v/>
      </c>
      <c r="RU15">
        <f>IF($B15=0,1000000,IF(INDEX('計算A'!$D$60:$EQ$104,$B15,94)*GQ15=1,IF(AND($E15=2,MF15=0),1000000,IF($I15&gt;0,IF(4=$J15,IF(OR(AND(94=$I15+1,OR($K15&lt;&gt;'計算A'!$A$3,'計算A'!$A$4=0)),AND(94=$I15-1,OR(22&lt;&gt;'計算A'!$A$3,'計算A'!$A$4=0))),0,IF(22=$K15,200000,ABS(22-$K15)*100)),100000+ABS(4-$J15)*1000+220)+'計算A'!CS$5*50+IF(AND($E15=1,MF15=0),25,0),IF($F15&gt;0,INDEX('計算A'!CS$110:CS$114,$F15+1)+IF(AND($E15=1,MF15=0),1000,0),MIN(TX15,20)*400+(IF('計算A'!CR$106=1,1-GP15,0)+IF('計算A'!CS$106=1,1-GR15,0))*150+224+'計算A'!CS$5*100000+IF(AND($E15=1,MF15=0),50000,0))+IF($H15=1,(IF('計算A'!CR$117=1,INDEX('計算A'!CR$10:CR$54,$B15),0)+IF('計算A'!CS$117=1,INDEX('計算A'!CT$10:CT$54,$B15),0))*4000,0)-IF(AND('計算A'!CR$117=1,XP15&gt;0),2000,0)-IF(AND($L15=1,'計算A'!CS$117=1,GR15=0),2000,0))),1000000))</f>
        <v/>
      </c>
      <c r="RV15">
        <f>IF($B15=0,1000000,IF(INDEX('計算A'!$D$60:$EQ$104,$B15,95)*GR15=1,IF(AND($E15=2,MG15=0),1000000,IF($I15&gt;0,IF(4=$J15,IF(OR(AND(95=$I15+1,OR($K15&lt;&gt;'計算A'!$A$3,'計算A'!$A$4=0)),AND(95=$I15-1,OR(23&lt;&gt;'計算A'!$A$3,'計算A'!$A$4=0))),0,IF(23=$K15,200000,ABS(23-$K15)*100)),100000+ABS(4-$J15)*1000+230)+'計算A'!CT$5*50+IF(AND($E15=1,MG15=0),25,0),IF($F15&gt;0,INDEX('計算A'!CT$110:CT$114,$F15+1)+IF(AND($E15=1,MG15=0),1000,0),MIN(TX15,20)*400+(IF('計算A'!CS$106=1,1-GQ15,0)+IF('計算A'!CT$106=1,1-GS15,0))*150+234+'計算A'!CT$5*100000+IF(AND($E15=1,MG15=0),50000,0))+IF($H15=1,(IF('計算A'!CS$117=1,INDEX('計算A'!CS$10:CS$54,$B15),0)+IF('計算A'!CT$117=1,INDEX('計算A'!CU$10:CU$54,$B15),0))*4000,0)-IF(AND('計算A'!CS$117=1,XQ15&gt;0),2000,0)-IF(AND($L15=1,'計算A'!CT$117=1,GS15=0),2000,0))),1000000))</f>
        <v/>
      </c>
      <c r="RW15">
        <f>IF($B15=0,1000000,IF(INDEX('計算A'!$D$60:$EQ$104,$B15,96)*GS15=1,IF(AND($E15=2,MH15=0),1000000,IF($I15&gt;0,IF(4=$J15,IF(OR(AND(96=$I15+1,OR($K15&lt;&gt;'計算A'!$A$3,'計算A'!$A$4=0)),AND(96=$I15-1,OR(24&lt;&gt;'計算A'!$A$3,'計算A'!$A$4=0))),0,IF(24=$K15,200000,ABS(24-$K15)*100)),100000+ABS(4-$J15)*1000+240)+'計算A'!CU$5*50+IF(AND($E15=1,MH15=0),25,0),IF($F15&gt;0,INDEX('計算A'!CU$110:CU$114,$F15+1)+IF(AND($E15=1,MH15=0),1000,0),MIN(TX15,20)*400+(IF('計算A'!CT$106=1,1-GR15,0))*150+244+'計算A'!CU$5*100000+IF(AND($E15=1,MH15=0),50000,0))+IF($H15=1,(IF('計算A'!CT$117=1,INDEX('計算A'!CT$10:CT$54,$B15),0))*4000,0)-IF(AND('計算A'!CT$117=1,XR15&gt;0),2000,0))),1000000))</f>
        <v/>
      </c>
      <c r="RX15">
        <f>IF($B15=0,1000000,IF(INDEX('計算A'!$D$60:$EQ$104,$B15,97)*GT15=1,IF(AND($E15=2,MI15=0),1000000,IF($I15&gt;0,IF(5=$J15,IF(OR(AND(97=$I15+1,OR($K15&lt;&gt;'計算A'!$A$3,'計算A'!$A$4=0)),AND(97=$I15-1,OR(1&lt;&gt;'計算A'!$A$3,'計算A'!$A$4=0))),0,IF(1=$K15,200000,ABS(1-$K15)*100)),100000+ABS(5-$J15)*1000+10)+'計算A'!CV$5*50+IF(AND($E15=1,MI15=0),25,0),IF($F15&gt;0,INDEX('計算A'!CV$110:CV$114,$F15+1)+IF(AND($E15=1,MI15=0),1000,0),MIN(TY15,20)*400+(IF('計算A'!CV$106=1,1-GU15,0))*150+15+'計算A'!CV$5*100000+IF(AND($E15=1,MI15=0),50000,0))+IF($H15=1,(IF('計算A'!CV$117=1,INDEX('計算A'!CW$10:CW$54,$B15),0))*4000,0)-IF(AND($L15=1,'計算A'!CV$117=1,GU15=0),2000,0))),1000000))</f>
        <v/>
      </c>
      <c r="RY15">
        <f>IF($B15=0,1000000,IF(INDEX('計算A'!$D$60:$EQ$104,$B15,98)*GU15=1,IF(AND($E15=2,MJ15=0),1000000,IF($I15&gt;0,IF(5=$J15,IF(OR(AND(98=$I15+1,OR($K15&lt;&gt;'計算A'!$A$3,'計算A'!$A$4=0)),AND(98=$I15-1,OR(2&lt;&gt;'計算A'!$A$3,'計算A'!$A$4=0))),0,IF(2=$K15,200000,ABS(2-$K15)*100)),100000+ABS(5-$J15)*1000+20)+'計算A'!CW$5*50+IF(AND($E15=1,MJ15=0),25,0),IF($F15&gt;0,INDEX('計算A'!CW$110:CW$114,$F15+1)+IF(AND($E15=1,MJ15=0),1000,0),MIN(TY15,20)*400+(IF('計算A'!CV$106=1,1-GT15,0)+IF('計算A'!CW$106=1,1-GV15,0))*150+25+'計算A'!CW$5*100000+IF(AND($E15=1,MJ15=0),50000,0))+IF($H15=1,(IF('計算A'!CV$117=1,INDEX('計算A'!CV$10:CV$54,$B15),0)+IF('計算A'!CW$117=1,INDEX('計算A'!CX$10:CX$54,$B15),0))*4000,0)-IF(AND('計算A'!CV$117=1,XT15&gt;0),2000,0)-IF(AND($L15=1,'計算A'!CW$117=1,GV15=0),2000,0))),1000000))</f>
        <v/>
      </c>
      <c r="RZ15">
        <f>IF($B15=0,1000000,IF(INDEX('計算A'!$D$60:$EQ$104,$B15,99)*GV15=1,IF(AND($E15=2,MK15=0),1000000,IF($I15&gt;0,IF(5=$J15,IF(OR(AND(99=$I15+1,OR($K15&lt;&gt;'計算A'!$A$3,'計算A'!$A$4=0)),AND(99=$I15-1,OR(3&lt;&gt;'計算A'!$A$3,'計算A'!$A$4=0))),0,IF(3=$K15,200000,ABS(3-$K15)*100)),100000+ABS(5-$J15)*1000+30)+'計算A'!CX$5*50+IF(AND($E15=1,MK15=0),25,0),IF($F15&gt;0,INDEX('計算A'!CX$110:CX$114,$F15+1)+IF(AND($E15=1,MK15=0),1000,0),MIN(TY15,20)*400+(IF('計算A'!CW$106=1,1-GU15,0)+IF('計算A'!CX$106=1,1-GW15,0))*150+35+'計算A'!CX$5*100000+IF(AND($E15=1,MK15=0),50000,0))+IF($H15=1,(IF('計算A'!CW$117=1,INDEX('計算A'!CW$10:CW$54,$B15),0)+IF('計算A'!CX$117=1,INDEX('計算A'!CY$10:CY$54,$B15),0))*4000,0)-IF(AND('計算A'!CW$117=1,XU15&gt;0),2000,0)-IF(AND($L15=1,'計算A'!CX$117=1,GW15=0),2000,0))),1000000))</f>
        <v/>
      </c>
      <c r="SA15">
        <f>IF($B15=0,1000000,IF(INDEX('計算A'!$D$60:$EQ$104,$B15,100)*GW15=1,IF(AND($E15=2,ML15=0),1000000,IF($I15&gt;0,IF(5=$J15,IF(OR(AND(100=$I15+1,OR($K15&lt;&gt;'計算A'!$A$3,'計算A'!$A$4=0)),AND(100=$I15-1,OR(4&lt;&gt;'計算A'!$A$3,'計算A'!$A$4=0))),0,IF(4=$K15,200000,ABS(4-$K15)*100)),100000+ABS(5-$J15)*1000+40)+'計算A'!CY$5*50+IF(AND($E15=1,ML15=0),25,0),IF($F15&gt;0,INDEX('計算A'!CY$110:CY$114,$F15+1)+IF(AND($E15=1,ML15=0),1000,0),MIN(TY15,20)*400+(IF('計算A'!CX$106=1,1-GV15,0)+IF('計算A'!CY$106=1,1-GX15,0))*150+45+'計算A'!CY$5*100000+IF(AND($E15=1,ML15=0),50000,0))+IF($H15=1,(IF('計算A'!CX$117=1,INDEX('計算A'!CX$10:CX$54,$B15),0)+IF('計算A'!CY$117=1,INDEX('計算A'!CZ$10:CZ$54,$B15),0))*4000,0)-IF(AND('計算A'!CX$117=1,XV15&gt;0),2000,0)-IF(AND($L15=1,'計算A'!CY$117=1,GX15=0),2000,0))),1000000))</f>
        <v/>
      </c>
      <c r="SB15">
        <f>IF($B15=0,1000000,IF(INDEX('計算A'!$D$60:$EQ$104,$B15,101)*GX15=1,IF(AND($E15=2,MM15=0),1000000,IF($I15&gt;0,IF(5=$J15,IF(OR(AND(101=$I15+1,OR($K15&lt;&gt;'計算A'!$A$3,'計算A'!$A$4=0)),AND(101=$I15-1,OR(5&lt;&gt;'計算A'!$A$3,'計算A'!$A$4=0))),0,IF(5=$K15,200000,ABS(5-$K15)*100)),100000+ABS(5-$J15)*1000+50)+'計算A'!CZ$5*50+IF(AND($E15=1,MM15=0),25,0),IF($F15&gt;0,INDEX('計算A'!CZ$110:CZ$114,$F15+1)+IF(AND($E15=1,MM15=0),1000,0),MIN(TY15,20)*400+(IF('計算A'!CY$106=1,1-GW15,0)+IF('計算A'!CZ$106=1,1-GY15,0))*150+55+'計算A'!CZ$5*100000+IF(AND($E15=1,MM15=0),50000,0))+IF($H15=1,(IF('計算A'!CY$117=1,INDEX('計算A'!CY$10:CY$54,$B15),0)+IF('計算A'!CZ$117=1,INDEX('計算A'!DA$10:DA$54,$B15),0))*4000,0)-IF(AND('計算A'!CY$117=1,XW15&gt;0),2000,0)-IF(AND($L15=1,'計算A'!CZ$117=1,GY15=0),2000,0))),1000000))</f>
        <v/>
      </c>
      <c r="SC15">
        <f>IF($B15=0,1000000,IF(INDEX('計算A'!$D$60:$EQ$104,$B15,102)*GY15=1,IF(AND($E15=2,MN15=0),1000000,IF($I15&gt;0,IF(5=$J15,IF(OR(AND(102=$I15+1,OR($K15&lt;&gt;'計算A'!$A$3,'計算A'!$A$4=0)),AND(102=$I15-1,OR(6&lt;&gt;'計算A'!$A$3,'計算A'!$A$4=0))),0,IF(6=$K15,200000,ABS(6-$K15)*100)),100000+ABS(5-$J15)*1000+60)+'計算A'!DA$5*50+IF(AND($E15=1,MN15=0),25,0),IF($F15&gt;0,INDEX('計算A'!DA$110:DA$114,$F15+1)+IF(AND($E15=1,MN15=0),1000,0),MIN(TY15,20)*400+(IF('計算A'!CZ$106=1,1-GX15,0)+IF('計算A'!DA$106=1,1-GZ15,0))*150+65+'計算A'!DA$5*100000+IF(AND($E15=1,MN15=0),50000,0))+IF($H15=1,(IF('計算A'!CZ$117=1,INDEX('計算A'!CZ$10:CZ$54,$B15),0)+IF('計算A'!DA$117=1,INDEX('計算A'!DB$10:DB$54,$B15),0))*4000,0)-IF(AND('計算A'!CZ$117=1,XX15&gt;0),2000,0)-IF(AND($L15=1,'計算A'!DA$117=1,GZ15=0),2000,0))),1000000))</f>
        <v/>
      </c>
      <c r="SD15">
        <f>IF($B15=0,1000000,IF(INDEX('計算A'!$D$60:$EQ$104,$B15,103)*GZ15=1,IF(AND($E15=2,MO15=0),1000000,IF($I15&gt;0,IF(5=$J15,IF(OR(AND(103=$I15+1,OR($K15&lt;&gt;'計算A'!$A$3,'計算A'!$A$4=0)),AND(103=$I15-1,OR(7&lt;&gt;'計算A'!$A$3,'計算A'!$A$4=0))),0,IF(7=$K15,200000,ABS(7-$K15)*100)),100000+ABS(5-$J15)*1000+70)+'計算A'!DB$5*50+IF(AND($E15=1,MO15=0),25,0),IF($F15&gt;0,INDEX('計算A'!DB$110:DB$114,$F15+1)+IF(AND($E15=1,MO15=0),1000,0),MIN(TY15,20)*400+(IF('計算A'!DA$106=1,1-GY15,0)+IF('計算A'!DB$106=1,1-HA15,0))*150+75+'計算A'!DB$5*100000+IF(AND($E15=1,MO15=0),50000,0))+IF($H15=1,(IF('計算A'!DA$117=1,INDEX('計算A'!DA$10:DA$54,$B15),0)+IF('計算A'!DB$117=1,INDEX('計算A'!DC$10:DC$54,$B15),0))*4000,0)-IF(AND('計算A'!DA$117=1,XY15&gt;0),2000,0)-IF(AND($L15=1,'計算A'!DB$117=1,HA15=0),2000,0))),1000000))</f>
        <v/>
      </c>
      <c r="SE15">
        <f>IF($B15=0,1000000,IF(INDEX('計算A'!$D$60:$EQ$104,$B15,104)*HA15=1,IF(AND($E15=2,MP15=0),1000000,IF($I15&gt;0,IF(5=$J15,IF(OR(AND(104=$I15+1,OR($K15&lt;&gt;'計算A'!$A$3,'計算A'!$A$4=0)),AND(104=$I15-1,OR(8&lt;&gt;'計算A'!$A$3,'計算A'!$A$4=0))),0,IF(8=$K15,200000,ABS(8-$K15)*100)),100000+ABS(5-$J15)*1000+80)+'計算A'!DC$5*50+IF(AND($E15=1,MP15=0),25,0),IF($F15&gt;0,INDEX('計算A'!DC$110:DC$114,$F15+1)+IF(AND($E15=1,MP15=0),1000,0),MIN(TY15,20)*400+(IF('計算A'!DB$106=1,1-GZ15,0)+IF('計算A'!DC$106=1,1-HB15,0))*150+85+'計算A'!DC$5*100000+IF(AND($E15=1,MP15=0),50000,0))+IF($H15=1,(IF('計算A'!DB$117=1,INDEX('計算A'!DB$10:DB$54,$B15),0)+IF('計算A'!DC$117=1,INDEX('計算A'!DD$10:DD$54,$B15),0))*4000,0)-IF(AND('計算A'!DB$117=1,XZ15&gt;0),2000,0)-IF(AND($L15=1,'計算A'!DC$117=1,HB15=0),2000,0))),1000000))</f>
        <v/>
      </c>
      <c r="SF15">
        <f>IF($B15=0,1000000,IF(INDEX('計算A'!$D$60:$EQ$104,$B15,105)*HB15=1,IF(AND($E15=2,MQ15=0),1000000,IF($I15&gt;0,IF(5=$J15,IF(OR(AND(105=$I15+1,OR($K15&lt;&gt;'計算A'!$A$3,'計算A'!$A$4=0)),AND(105=$I15-1,OR(9&lt;&gt;'計算A'!$A$3,'計算A'!$A$4=0))),0,IF(9=$K15,200000,ABS(9-$K15)*100)),100000+ABS(5-$J15)*1000+90)+'計算A'!DD$5*50+IF(AND($E15=1,MQ15=0),25,0),IF($F15&gt;0,INDEX('計算A'!DD$110:DD$114,$F15+1)+IF(AND($E15=1,MQ15=0),1000,0),MIN(TY15,20)*400+(IF('計算A'!DC$106=1,1-HA15,0)+IF('計算A'!DD$106=1,1-HC15,0))*150+95+'計算A'!DD$5*100000+IF(AND($E15=1,MQ15=0),50000,0))+IF($H15=1,(IF('計算A'!DC$117=1,INDEX('計算A'!DC$10:DC$54,$B15),0)+IF('計算A'!DD$117=1,INDEX('計算A'!DE$10:DE$54,$B15),0))*4000,0)-IF(AND('計算A'!DC$117=1,YA15&gt;0),2000,0)-IF(AND($L15=1,'計算A'!DD$117=1,HC15=0),2000,0))),1000000))</f>
        <v/>
      </c>
      <c r="SG15">
        <f>IF($B15=0,1000000,IF(INDEX('計算A'!$D$60:$EQ$104,$B15,106)*HC15=1,IF(AND($E15=2,MR15=0),1000000,IF($I15&gt;0,IF(5=$J15,IF(OR(AND(106=$I15+1,OR($K15&lt;&gt;'計算A'!$A$3,'計算A'!$A$4=0)),AND(106=$I15-1,OR(10&lt;&gt;'計算A'!$A$3,'計算A'!$A$4=0))),0,IF(10=$K15,200000,ABS(10-$K15)*100)),100000+ABS(5-$J15)*1000+100)+'計算A'!DE$5*50+IF(AND($E15=1,MR15=0),25,0),IF($F15&gt;0,INDEX('計算A'!DE$110:DE$114,$F15+1)+IF(AND($E15=1,MR15=0),1000,0),MIN(TY15,20)*400+(IF('計算A'!DD$106=1,1-HB15,0)+IF('計算A'!DE$106=1,1-HD15,0))*150+105+'計算A'!DE$5*100000+IF(AND($E15=1,MR15=0),50000,0))+IF($H15=1,(IF('計算A'!DD$117=1,INDEX('計算A'!DD$10:DD$54,$B15),0)+IF('計算A'!DE$117=1,INDEX('計算A'!DF$10:DF$54,$B15),0))*4000,0)-IF(AND('計算A'!DD$117=1,YB15&gt;0),2000,0)-IF(AND($L15=1,'計算A'!DE$117=1,HD15=0),2000,0))),1000000))</f>
        <v/>
      </c>
      <c r="SH15">
        <f>IF($B15=0,1000000,IF(INDEX('計算A'!$D$60:$EQ$104,$B15,107)*HD15=1,IF(AND($E15=2,MS15=0),1000000,IF($I15&gt;0,IF(5=$J15,IF(OR(AND(107=$I15+1,OR($K15&lt;&gt;'計算A'!$A$3,'計算A'!$A$4=0)),AND(107=$I15-1,OR(11&lt;&gt;'計算A'!$A$3,'計算A'!$A$4=0))),0,IF(11=$K15,200000,ABS(11-$K15)*100)),100000+ABS(5-$J15)*1000+110)+'計算A'!DF$5*50+IF(AND($E15=1,MS15=0),25,0),IF($F15&gt;0,INDEX('計算A'!DF$110:DF$114,$F15+1)+IF(AND($E15=1,MS15=0),1000,0),MIN(TY15,20)*400+(IF('計算A'!DE$106=1,1-HC15,0)+IF('計算A'!DF$106=1,1-HE15,0))*150+115+'計算A'!DF$5*100000+IF(AND($E15=1,MS15=0),50000,0))+IF($H15=1,(IF('計算A'!DE$117=1,INDEX('計算A'!DE$10:DE$54,$B15),0)+IF('計算A'!DF$117=1,INDEX('計算A'!DG$10:DG$54,$B15),0))*4000,0)-IF(AND('計算A'!DE$117=1,YC15&gt;0),2000,0)-IF(AND($L15=1,'計算A'!DF$117=1,HE15=0),2000,0))),1000000))</f>
        <v/>
      </c>
      <c r="SI15">
        <f>IF($B15=0,1000000,IF(INDEX('計算A'!$D$60:$EQ$104,$B15,108)*HE15=1,IF(AND($E15=2,MT15=0),1000000,IF($I15&gt;0,IF(5=$J15,IF(OR(AND(108=$I15+1,OR($K15&lt;&gt;'計算A'!$A$3,'計算A'!$A$4=0)),AND(108=$I15-1,OR(12&lt;&gt;'計算A'!$A$3,'計算A'!$A$4=0))),0,IF(12=$K15,200000,ABS(12-$K15)*100)),100000+ABS(5-$J15)*1000+120)+'計算A'!DG$5*50+IF(AND($E15=1,MT15=0),25,0),IF($F15&gt;0,INDEX('計算A'!DG$110:DG$114,$F15+1)+IF(AND($E15=1,MT15=0),1000,0),MIN(TY15,20)*400+(IF('計算A'!DF$106=1,1-HD15,0)+IF('計算A'!DG$106=1,1-HF15,0))*150+125+'計算A'!DG$5*100000+IF(AND($E15=1,MT15=0),50000,0))+IF($H15=1,(IF('計算A'!DF$117=1,INDEX('計算A'!DF$10:DF$54,$B15),0)+IF('計算A'!DG$117=1,INDEX('計算A'!DH$10:DH$54,$B15),0))*4000,0)-IF(AND('計算A'!DF$117=1,YD15&gt;0),2000,0)-IF(AND($L15=1,'計算A'!DG$117=1,HF15=0),2000,0))),1000000))</f>
        <v/>
      </c>
      <c r="SJ15">
        <f>IF($B15=0,1000000,IF(INDEX('計算A'!$D$60:$EQ$104,$B15,109)*HF15=1,IF(AND($E15=2,MU15=0),1000000,IF($I15&gt;0,IF(5=$J15,IF(OR(AND(109=$I15+1,OR($K15&lt;&gt;'計算A'!$A$3,'計算A'!$A$4=0)),AND(109=$I15-1,OR(13&lt;&gt;'計算A'!$A$3,'計算A'!$A$4=0))),0,IF(13=$K15,200000,ABS(13-$K15)*100)),100000+ABS(5-$J15)*1000+130)+'計算A'!DH$5*50+IF(AND($E15=1,MU15=0),25,0),IF($F15&gt;0,INDEX('計算A'!DH$110:DH$114,$F15+1)+IF(AND($E15=1,MU15=0),1000,0),MIN(TY15,20)*400+(IF('計算A'!DG$106=1,1-HE15,0)+IF('計算A'!DH$106=1,1-HG15,0))*150+135+'計算A'!DH$5*100000+IF(AND($E15=1,MU15=0),50000,0))+IF($H15=1,(IF('計算A'!DG$117=1,INDEX('計算A'!DG$10:DG$54,$B15),0)+IF('計算A'!DH$117=1,INDEX('計算A'!DI$10:DI$54,$B15),0))*4000,0)-IF(AND('計算A'!DG$117=1,YE15&gt;0),2000,0)-IF(AND($L15=1,'計算A'!DH$117=1,HG15=0),2000,0))),1000000))</f>
        <v/>
      </c>
      <c r="SK15">
        <f>IF($B15=0,1000000,IF(INDEX('計算A'!$D$60:$EQ$104,$B15,110)*HG15=1,IF(AND($E15=2,MV15=0),1000000,IF($I15&gt;0,IF(5=$J15,IF(OR(AND(110=$I15+1,OR($K15&lt;&gt;'計算A'!$A$3,'計算A'!$A$4=0)),AND(110=$I15-1,OR(14&lt;&gt;'計算A'!$A$3,'計算A'!$A$4=0))),0,IF(14=$K15,200000,ABS(14-$K15)*100)),100000+ABS(5-$J15)*1000+140)+'計算A'!DI$5*50+IF(AND($E15=1,MV15=0),25,0),IF($F15&gt;0,INDEX('計算A'!DI$110:DI$114,$F15+1)+IF(AND($E15=1,MV15=0),1000,0),MIN(TY15,20)*400+(IF('計算A'!DH$106=1,1-HF15,0)+IF('計算A'!DI$106=1,1-HH15,0))*150+145+'計算A'!DI$5*100000+IF(AND($E15=1,MV15=0),50000,0))+IF($H15=1,(IF('計算A'!DH$117=1,INDEX('計算A'!DH$10:DH$54,$B15),0)+IF('計算A'!DI$117=1,INDEX('計算A'!DJ$10:DJ$54,$B15),0))*4000,0)-IF(AND('計算A'!DH$117=1,YF15&gt;0),2000,0)-IF(AND($L15=1,'計算A'!DI$117=1,HH15=0),2000,0))),1000000))</f>
        <v/>
      </c>
      <c r="SL15">
        <f>IF($B15=0,1000000,IF(INDEX('計算A'!$D$60:$EQ$104,$B15,111)*HH15=1,IF(AND($E15=2,MW15=0),1000000,IF($I15&gt;0,IF(5=$J15,IF(OR(AND(111=$I15+1,OR($K15&lt;&gt;'計算A'!$A$3,'計算A'!$A$4=0)),AND(111=$I15-1,OR(15&lt;&gt;'計算A'!$A$3,'計算A'!$A$4=0))),0,IF(15=$K15,200000,ABS(15-$K15)*100)),100000+ABS(5-$J15)*1000+150)+'計算A'!DJ$5*50+IF(AND($E15=1,MW15=0),25,0),IF($F15&gt;0,INDEX('計算A'!DJ$110:DJ$114,$F15+1)+IF(AND($E15=1,MW15=0),1000,0),MIN(TY15,20)*400+(IF('計算A'!DI$106=1,1-HG15,0)+IF('計算A'!DJ$106=1,1-HI15,0))*150+155+'計算A'!DJ$5*100000+IF(AND($E15=1,MW15=0),50000,0))+IF($H15=1,(IF('計算A'!DI$117=1,INDEX('計算A'!DI$10:DI$54,$B15),0)+IF('計算A'!DJ$117=1,INDEX('計算A'!DK$10:DK$54,$B15),0))*4000,0)-IF(AND('計算A'!DI$117=1,YG15&gt;0),2000,0)-IF(AND($L15=1,'計算A'!DJ$117=1,HI15=0),2000,0))),1000000))</f>
        <v/>
      </c>
      <c r="SM15">
        <f>IF($B15=0,1000000,IF(INDEX('計算A'!$D$60:$EQ$104,$B15,112)*HI15=1,IF(AND($E15=2,MX15=0),1000000,IF($I15&gt;0,IF(5=$J15,IF(OR(AND(112=$I15+1,OR($K15&lt;&gt;'計算A'!$A$3,'計算A'!$A$4=0)),AND(112=$I15-1,OR(16&lt;&gt;'計算A'!$A$3,'計算A'!$A$4=0))),0,IF(16=$K15,200000,ABS(16-$K15)*100)),100000+ABS(5-$J15)*1000+160)+'計算A'!DK$5*50+IF(AND($E15=1,MX15=0),25,0),IF($F15&gt;0,INDEX('計算A'!DK$110:DK$114,$F15+1)+IF(AND($E15=1,MX15=0),1000,0),MIN(TY15,20)*400+(IF('計算A'!DJ$106=1,1-HH15,0)+IF('計算A'!DK$106=1,1-HJ15,0))*150+165+'計算A'!DK$5*100000+IF(AND($E15=1,MX15=0),50000,0))+IF($H15=1,(IF('計算A'!DJ$117=1,INDEX('計算A'!DJ$10:DJ$54,$B15),0)+IF('計算A'!DK$117=1,INDEX('計算A'!DL$10:DL$54,$B15),0))*4000,0)-IF(AND('計算A'!DJ$117=1,YH15&gt;0),2000,0)-IF(AND($L15=1,'計算A'!DK$117=1,HJ15=0),2000,0))),1000000))</f>
        <v/>
      </c>
      <c r="SN15">
        <f>IF($B15=0,1000000,IF(INDEX('計算A'!$D$60:$EQ$104,$B15,113)*HJ15=1,IF(AND($E15=2,MY15=0),1000000,IF($I15&gt;0,IF(5=$J15,IF(OR(AND(113=$I15+1,OR($K15&lt;&gt;'計算A'!$A$3,'計算A'!$A$4=0)),AND(113=$I15-1,OR(17&lt;&gt;'計算A'!$A$3,'計算A'!$A$4=0))),0,IF(17=$K15,200000,ABS(17-$K15)*100)),100000+ABS(5-$J15)*1000+170)+'計算A'!DL$5*50+IF(AND($E15=1,MY15=0),25,0),IF($F15&gt;0,INDEX('計算A'!DL$110:DL$114,$F15+1)+IF(AND($E15=1,MY15=0),1000,0),MIN(TY15,20)*400+(IF('計算A'!DK$106=1,1-HI15,0)+IF('計算A'!DL$106=1,1-HK15,0))*150+175+'計算A'!DL$5*100000+IF(AND($E15=1,MY15=0),50000,0))+IF($H15=1,(IF('計算A'!DK$117=1,INDEX('計算A'!DK$10:DK$54,$B15),0)+IF('計算A'!DL$117=1,INDEX('計算A'!DM$10:DM$54,$B15),0))*4000,0)-IF(AND('計算A'!DK$117=1,YI15&gt;0),2000,0)-IF(AND($L15=1,'計算A'!DL$117=1,HK15=0),2000,0))),1000000))</f>
        <v/>
      </c>
      <c r="SO15">
        <f>IF($B15=0,1000000,IF(INDEX('計算A'!$D$60:$EQ$104,$B15,114)*HK15=1,IF(AND($E15=2,MZ15=0),1000000,IF($I15&gt;0,IF(5=$J15,IF(OR(AND(114=$I15+1,OR($K15&lt;&gt;'計算A'!$A$3,'計算A'!$A$4=0)),AND(114=$I15-1,OR(18&lt;&gt;'計算A'!$A$3,'計算A'!$A$4=0))),0,IF(18=$K15,200000,ABS(18-$K15)*100)),100000+ABS(5-$J15)*1000+180)+'計算A'!DM$5*50+IF(AND($E15=1,MZ15=0),25,0),IF($F15&gt;0,INDEX('計算A'!DM$110:DM$114,$F15+1)+IF(AND($E15=1,MZ15=0),1000,0),MIN(TY15,20)*400+(IF('計算A'!DL$106=1,1-HJ15,0)+IF('計算A'!DM$106=1,1-HL15,0))*150+185+'計算A'!DM$5*100000+IF(AND($E15=1,MZ15=0),50000,0))+IF($H15=1,(IF('計算A'!DL$117=1,INDEX('計算A'!DL$10:DL$54,$B15),0)+IF('計算A'!DM$117=1,INDEX('計算A'!DN$10:DN$54,$B15),0))*4000,0)-IF(AND('計算A'!DL$117=1,YJ15&gt;0),2000,0)-IF(AND($L15=1,'計算A'!DM$117=1,HL15=0),2000,0))),1000000))</f>
        <v/>
      </c>
      <c r="SP15">
        <f>IF($B15=0,1000000,IF(INDEX('計算A'!$D$60:$EQ$104,$B15,115)*HL15=1,IF(AND($E15=2,NA15=0),1000000,IF($I15&gt;0,IF(5=$J15,IF(OR(AND(115=$I15+1,OR($K15&lt;&gt;'計算A'!$A$3,'計算A'!$A$4=0)),AND(115=$I15-1,OR(19&lt;&gt;'計算A'!$A$3,'計算A'!$A$4=0))),0,IF(19=$K15,200000,ABS(19-$K15)*100)),100000+ABS(5-$J15)*1000+190)+'計算A'!DN$5*50+IF(AND($E15=1,NA15=0),25,0),IF($F15&gt;0,INDEX('計算A'!DN$110:DN$114,$F15+1)+IF(AND($E15=1,NA15=0),1000,0),MIN(TY15,20)*400+(IF('計算A'!DM$106=1,1-HK15,0)+IF('計算A'!DN$106=1,1-HM15,0))*150+195+'計算A'!DN$5*100000+IF(AND($E15=1,NA15=0),50000,0))+IF($H15=1,(IF('計算A'!DM$117=1,INDEX('計算A'!DM$10:DM$54,$B15),0)+IF('計算A'!DN$117=1,INDEX('計算A'!DO$10:DO$54,$B15),0))*4000,0)-IF(AND('計算A'!DM$117=1,YK15&gt;0),2000,0)-IF(AND($L15=1,'計算A'!DN$117=1,HM15=0),2000,0))),1000000))</f>
        <v/>
      </c>
      <c r="SQ15">
        <f>IF($B15=0,1000000,IF(INDEX('計算A'!$D$60:$EQ$104,$B15,116)*HM15=1,IF(AND($E15=2,NB15=0),1000000,IF($I15&gt;0,IF(5=$J15,IF(OR(AND(116=$I15+1,OR($K15&lt;&gt;'計算A'!$A$3,'計算A'!$A$4=0)),AND(116=$I15-1,OR(20&lt;&gt;'計算A'!$A$3,'計算A'!$A$4=0))),0,IF(20=$K15,200000,ABS(20-$K15)*100)),100000+ABS(5-$J15)*1000+200)+'計算A'!DO$5*50+IF(AND($E15=1,NB15=0),25,0),IF($F15&gt;0,INDEX('計算A'!DO$110:DO$114,$F15+1)+IF(AND($E15=1,NB15=0),1000,0),MIN(TY15,20)*400+(IF('計算A'!DN$106=1,1-HL15,0)+IF('計算A'!DO$106=1,1-HN15,0))*150+205+'計算A'!DO$5*100000+IF(AND($E15=1,NB15=0),50000,0))+IF($H15=1,(IF('計算A'!DN$117=1,INDEX('計算A'!DN$10:DN$54,$B15),0)+IF('計算A'!DO$117=1,INDEX('計算A'!DP$10:DP$54,$B15),0))*4000,0)-IF(AND('計算A'!DN$117=1,YL15&gt;0),2000,0)-IF(AND($L15=1,'計算A'!DO$117=1,HN15=0),2000,0))),1000000))</f>
        <v/>
      </c>
      <c r="SR15">
        <f>IF($B15=0,1000000,IF(INDEX('計算A'!$D$60:$EQ$104,$B15,117)*HN15=1,IF(AND($E15=2,NC15=0),1000000,IF($I15&gt;0,IF(5=$J15,IF(OR(AND(117=$I15+1,OR($K15&lt;&gt;'計算A'!$A$3,'計算A'!$A$4=0)),AND(117=$I15-1,OR(21&lt;&gt;'計算A'!$A$3,'計算A'!$A$4=0))),0,IF(21=$K15,200000,ABS(21-$K15)*100)),100000+ABS(5-$J15)*1000+210)+'計算A'!DP$5*50+IF(AND($E15=1,NC15=0),25,0),IF($F15&gt;0,INDEX('計算A'!DP$110:DP$114,$F15+1)+IF(AND($E15=1,NC15=0),1000,0),MIN(TY15,20)*400+(IF('計算A'!DO$106=1,1-HM15,0)+IF('計算A'!DP$106=1,1-HO15,0))*150+215+'計算A'!DP$5*100000+IF(AND($E15=1,NC15=0),50000,0))+IF($H15=1,(IF('計算A'!DO$117=1,INDEX('計算A'!DO$10:DO$54,$B15),0)+IF('計算A'!DP$117=1,INDEX('計算A'!DQ$10:DQ$54,$B15),0))*4000,0)-IF(AND('計算A'!DO$117=1,YM15&gt;0),2000,0)-IF(AND($L15=1,'計算A'!DP$117=1,HO15=0),2000,0))),1000000))</f>
        <v/>
      </c>
      <c r="SS15">
        <f>IF($B15=0,1000000,IF(INDEX('計算A'!$D$60:$EQ$104,$B15,118)*HO15=1,IF(AND($E15=2,ND15=0),1000000,IF($I15&gt;0,IF(5=$J15,IF(OR(AND(118=$I15+1,OR($K15&lt;&gt;'計算A'!$A$3,'計算A'!$A$4=0)),AND(118=$I15-1,OR(22&lt;&gt;'計算A'!$A$3,'計算A'!$A$4=0))),0,IF(22=$K15,200000,ABS(22-$K15)*100)),100000+ABS(5-$J15)*1000+220)+'計算A'!DQ$5*50+IF(AND($E15=1,ND15=0),25,0),IF($F15&gt;0,INDEX('計算A'!DQ$110:DQ$114,$F15+1)+IF(AND($E15=1,ND15=0),1000,0),MIN(TY15,20)*400+(IF('計算A'!DP$106=1,1-HN15,0)+IF('計算A'!DQ$106=1,1-HP15,0))*150+225+'計算A'!DQ$5*100000+IF(AND($E15=1,ND15=0),50000,0))+IF($H15=1,(IF('計算A'!DP$117=1,INDEX('計算A'!DP$10:DP$54,$B15),0)+IF('計算A'!DQ$117=1,INDEX('計算A'!DR$10:DR$54,$B15),0))*4000,0)-IF(AND('計算A'!DP$117=1,YN15&gt;0),2000,0)-IF(AND($L15=1,'計算A'!DQ$117=1,HP15=0),2000,0))),1000000))</f>
        <v/>
      </c>
      <c r="ST15">
        <f>IF($B15=0,1000000,IF(INDEX('計算A'!$D$60:$EQ$104,$B15,119)*HP15=1,IF(AND($E15=2,NE15=0),1000000,IF($I15&gt;0,IF(5=$J15,IF(OR(AND(119=$I15+1,OR($K15&lt;&gt;'計算A'!$A$3,'計算A'!$A$4=0)),AND(119=$I15-1,OR(23&lt;&gt;'計算A'!$A$3,'計算A'!$A$4=0))),0,IF(23=$K15,200000,ABS(23-$K15)*100)),100000+ABS(5-$J15)*1000+230)+'計算A'!DR$5*50+IF(AND($E15=1,NE15=0),25,0),IF($F15&gt;0,INDEX('計算A'!DR$110:DR$114,$F15+1)+IF(AND($E15=1,NE15=0),1000,0),MIN(TY15,20)*400+(IF('計算A'!DQ$106=1,1-HO15,0)+IF('計算A'!DR$106=1,1-HQ15,0))*150+235+'計算A'!DR$5*100000+IF(AND($E15=1,NE15=0),50000,0))+IF($H15=1,(IF('計算A'!DQ$117=1,INDEX('計算A'!DQ$10:DQ$54,$B15),0)+IF('計算A'!DR$117=1,INDEX('計算A'!DS$10:DS$54,$B15),0))*4000,0)-IF(AND('計算A'!DQ$117=1,YO15&gt;0),2000,0)-IF(AND($L15=1,'計算A'!DR$117=1,HQ15=0),2000,0))),1000000))</f>
        <v/>
      </c>
      <c r="SU15">
        <f>IF($B15=0,1000000,IF(INDEX('計算A'!$D$60:$EQ$104,$B15,120)*HQ15=1,IF(AND($E15=2,NF15=0),1000000,IF($I15&gt;0,IF(5=$J15,IF(OR(AND(120=$I15+1,OR($K15&lt;&gt;'計算A'!$A$3,'計算A'!$A$4=0)),AND(120=$I15-1,OR(24&lt;&gt;'計算A'!$A$3,'計算A'!$A$4=0))),0,IF(24=$K15,200000,ABS(24-$K15)*100)),100000+ABS(5-$J15)*1000+240)+'計算A'!DS$5*50+IF(AND($E15=1,NF15=0),25,0),IF($F15&gt;0,INDEX('計算A'!DS$110:DS$114,$F15+1)+IF(AND($E15=1,NF15=0),1000,0),MIN(TY15,20)*400+(IF('計算A'!DR$106=1,1-HP15,0))*150+245+'計算A'!DS$5*100000+IF(AND($E15=1,NF15=0),50000,0))+IF($H15=1,(IF('計算A'!DR$117=1,INDEX('計算A'!DR$10:DR$54,$B15),0))*4000,0)-IF(AND('計算A'!DR$117=1,YP15&gt;0),2000,0))),1000000))</f>
        <v/>
      </c>
      <c r="SV15">
        <f>IF($B15=0,1000000,IF(INDEX('計算A'!$D$60:$EQ$104,$B15,121)*HR15=1,IF(AND($E15=2,NG15=0),1000000,IF($I15&gt;0,IF(6=$J15,IF(OR(AND(121=$I15+1,OR($K15&lt;&gt;'計算A'!$A$3,'計算A'!$A$4=0)),AND(121=$I15-1,OR(1&lt;&gt;'計算A'!$A$3,'計算A'!$A$4=0))),0,IF(1=$K15,200000,ABS(1-$K15)*100)),100000+ABS(6-$J15)*1000+10)+'計算A'!DT$5*50+IF(AND($E15=1,NG15=0),25,0),IF($F15&gt;0,INDEX('計算A'!DT$110:DT$114,$F15+1)+IF(AND($E15=1,NG15=0),1000,0),MIN(TZ15,20)*400+(IF('計算A'!DT$106=1,1-HS15,0))*150+16+'計算A'!DT$5*100000+IF(AND($E15=1,NG15=0),50000,0))+IF($H15=1,(IF('計算A'!DT$117=1,INDEX('計算A'!DU$10:DU$54,$B15),0))*4000,0)-IF(AND($L15=1,'計算A'!DT$117=1,HS15=0),2000,0))),1000000))</f>
        <v/>
      </c>
      <c r="SW15">
        <f>IF($B15=0,1000000,IF(INDEX('計算A'!$D$60:$EQ$104,$B15,122)*HS15=1,IF(AND($E15=2,NH15=0),1000000,IF($I15&gt;0,IF(6=$J15,IF(OR(AND(122=$I15+1,OR($K15&lt;&gt;'計算A'!$A$3,'計算A'!$A$4=0)),AND(122=$I15-1,OR(2&lt;&gt;'計算A'!$A$3,'計算A'!$A$4=0))),0,IF(2=$K15,200000,ABS(2-$K15)*100)),100000+ABS(6-$J15)*1000+20)+'計算A'!DU$5*50+IF(AND($E15=1,NH15=0),25,0),IF($F15&gt;0,INDEX('計算A'!DU$110:DU$114,$F15+1)+IF(AND($E15=1,NH15=0),1000,0),MIN(TZ15,20)*400+(IF('計算A'!DT$106=1,1-HR15,0)+IF('計算A'!DU$106=1,1-HT15,0))*150+26+'計算A'!DU$5*100000+IF(AND($E15=1,NH15=0),50000,0))+IF($H15=1,(IF('計算A'!DT$117=1,INDEX('計算A'!DT$10:DT$54,$B15),0)+IF('計算A'!DU$117=1,INDEX('計算A'!DV$10:DV$54,$B15),0))*4000,0)-IF(AND('計算A'!DT$117=1,YR15&gt;0),2000,0)-IF(AND($L15=1,'計算A'!DU$117=1,HT15=0),2000,0))),1000000))</f>
        <v/>
      </c>
      <c r="SX15">
        <f>IF($B15=0,1000000,IF(INDEX('計算A'!$D$60:$EQ$104,$B15,123)*HT15=1,IF(AND($E15=2,NI15=0),1000000,IF($I15&gt;0,IF(6=$J15,IF(OR(AND(123=$I15+1,OR($K15&lt;&gt;'計算A'!$A$3,'計算A'!$A$4=0)),AND(123=$I15-1,OR(3&lt;&gt;'計算A'!$A$3,'計算A'!$A$4=0))),0,IF(3=$K15,200000,ABS(3-$K15)*100)),100000+ABS(6-$J15)*1000+30)+'計算A'!DV$5*50+IF(AND($E15=1,NI15=0),25,0),IF($F15&gt;0,INDEX('計算A'!DV$110:DV$114,$F15+1)+IF(AND($E15=1,NI15=0),1000,0),MIN(TZ15,20)*400+(IF('計算A'!DU$106=1,1-HS15,0)+IF('計算A'!DV$106=1,1-HU15,0))*150+36+'計算A'!DV$5*100000+IF(AND($E15=1,NI15=0),50000,0))+IF($H15=1,(IF('計算A'!DU$117=1,INDEX('計算A'!DU$10:DU$54,$B15),0)+IF('計算A'!DV$117=1,INDEX('計算A'!DW$10:DW$54,$B15),0))*4000,0)-IF(AND('計算A'!DU$117=1,YS15&gt;0),2000,0)-IF(AND($L15=1,'計算A'!DV$117=1,HU15=0),2000,0))),1000000))</f>
        <v/>
      </c>
      <c r="SY15">
        <f>IF($B15=0,1000000,IF(INDEX('計算A'!$D$60:$EQ$104,$B15,124)*HU15=1,IF(AND($E15=2,NJ15=0),1000000,IF($I15&gt;0,IF(6=$J15,IF(OR(AND(124=$I15+1,OR($K15&lt;&gt;'計算A'!$A$3,'計算A'!$A$4=0)),AND(124=$I15-1,OR(4&lt;&gt;'計算A'!$A$3,'計算A'!$A$4=0))),0,IF(4=$K15,200000,ABS(4-$K15)*100)),100000+ABS(6-$J15)*1000+40)+'計算A'!DW$5*50+IF(AND($E15=1,NJ15=0),25,0),IF($F15&gt;0,INDEX('計算A'!DW$110:DW$114,$F15+1)+IF(AND($E15=1,NJ15=0),1000,0),MIN(TZ15,20)*400+(IF('計算A'!DV$106=1,1-HT15,0)+IF('計算A'!DW$106=1,1-HV15,0))*150+46+'計算A'!DW$5*100000+IF(AND($E15=1,NJ15=0),50000,0))+IF($H15=1,(IF('計算A'!DV$117=1,INDEX('計算A'!DV$10:DV$54,$B15),0)+IF('計算A'!DW$117=1,INDEX('計算A'!DX$10:DX$54,$B15),0))*4000,0)-IF(AND('計算A'!DV$117=1,YT15&gt;0),2000,0)-IF(AND($L15=1,'計算A'!DW$117=1,HV15=0),2000,0))),1000000))</f>
        <v/>
      </c>
      <c r="SZ15">
        <f>IF($B15=0,1000000,IF(INDEX('計算A'!$D$60:$EQ$104,$B15,125)*HV15=1,IF(AND($E15=2,NK15=0),1000000,IF($I15&gt;0,IF(6=$J15,IF(OR(AND(125=$I15+1,OR($K15&lt;&gt;'計算A'!$A$3,'計算A'!$A$4=0)),AND(125=$I15-1,OR(5&lt;&gt;'計算A'!$A$3,'計算A'!$A$4=0))),0,IF(5=$K15,200000,ABS(5-$K15)*100)),100000+ABS(6-$J15)*1000+50)+'計算A'!DX$5*50+IF(AND($E15=1,NK15=0),25,0),IF($F15&gt;0,INDEX('計算A'!DX$110:DX$114,$F15+1)+IF(AND($E15=1,NK15=0),1000,0),MIN(TZ15,20)*400+(IF('計算A'!DW$106=1,1-HU15,0)+IF('計算A'!DX$106=1,1-HW15,0))*150+56+'計算A'!DX$5*100000+IF(AND($E15=1,NK15=0),50000,0))+IF($H15=1,(IF('計算A'!DW$117=1,INDEX('計算A'!DW$10:DW$54,$B15),0)+IF('計算A'!DX$117=1,INDEX('計算A'!DY$10:DY$54,$B15),0))*4000,0)-IF(AND('計算A'!DW$117=1,YU15&gt;0),2000,0)-IF(AND($L15=1,'計算A'!DX$117=1,HW15=0),2000,0))),1000000))</f>
        <v/>
      </c>
      <c r="TA15">
        <f>IF($B15=0,1000000,IF(INDEX('計算A'!$D$60:$EQ$104,$B15,126)*HW15=1,IF(AND($E15=2,NL15=0),1000000,IF($I15&gt;0,IF(6=$J15,IF(OR(AND(126=$I15+1,OR($K15&lt;&gt;'計算A'!$A$3,'計算A'!$A$4=0)),AND(126=$I15-1,OR(6&lt;&gt;'計算A'!$A$3,'計算A'!$A$4=0))),0,IF(6=$K15,200000,ABS(6-$K15)*100)),100000+ABS(6-$J15)*1000+60)+'計算A'!DY$5*50+IF(AND($E15=1,NL15=0),25,0),IF($F15&gt;0,INDEX('計算A'!DY$110:DY$114,$F15+1)+IF(AND($E15=1,NL15=0),1000,0),MIN(TZ15,20)*400+(IF('計算A'!DX$106=1,1-HV15,0)+IF('計算A'!DY$106=1,1-HX15,0))*150+66+'計算A'!DY$5*100000+IF(AND($E15=1,NL15=0),50000,0))+IF($H15=1,(IF('計算A'!DX$117=1,INDEX('計算A'!DX$10:DX$54,$B15),0)+IF('計算A'!DY$117=1,INDEX('計算A'!DZ$10:DZ$54,$B15),0))*4000,0)-IF(AND('計算A'!DX$117=1,YV15&gt;0),2000,0)-IF(AND($L15=1,'計算A'!DY$117=1,HX15=0),2000,0))),1000000))</f>
        <v/>
      </c>
      <c r="TB15">
        <f>IF($B15=0,1000000,IF(INDEX('計算A'!$D$60:$EQ$104,$B15,127)*HX15=1,IF(AND($E15=2,NM15=0),1000000,IF($I15&gt;0,IF(6=$J15,IF(OR(AND(127=$I15+1,OR($K15&lt;&gt;'計算A'!$A$3,'計算A'!$A$4=0)),AND(127=$I15-1,OR(7&lt;&gt;'計算A'!$A$3,'計算A'!$A$4=0))),0,IF(7=$K15,200000,ABS(7-$K15)*100)),100000+ABS(6-$J15)*1000+70)+'計算A'!DZ$5*50+IF(AND($E15=1,NM15=0),25,0),IF($F15&gt;0,INDEX('計算A'!DZ$110:DZ$114,$F15+1)+IF(AND($E15=1,NM15=0),1000,0),MIN(TZ15,20)*400+(IF('計算A'!DY$106=1,1-HW15,0)+IF('計算A'!DZ$106=1,1-HY15,0))*150+76+'計算A'!DZ$5*100000+IF(AND($E15=1,NM15=0),50000,0))+IF($H15=1,(IF('計算A'!DY$117=1,INDEX('計算A'!DY$10:DY$54,$B15),0)+IF('計算A'!DZ$117=1,INDEX('計算A'!EA$10:EA$54,$B15),0))*4000,0)-IF(AND('計算A'!DY$117=1,YW15&gt;0),2000,0)-IF(AND($L15=1,'計算A'!DZ$117=1,HY15=0),2000,0))),1000000))</f>
        <v/>
      </c>
      <c r="TC15">
        <f>IF($B15=0,1000000,IF(INDEX('計算A'!$D$60:$EQ$104,$B15,128)*HY15=1,IF(AND($E15=2,NN15=0),1000000,IF($I15&gt;0,IF(6=$J15,IF(OR(AND(128=$I15+1,OR($K15&lt;&gt;'計算A'!$A$3,'計算A'!$A$4=0)),AND(128=$I15-1,OR(8&lt;&gt;'計算A'!$A$3,'計算A'!$A$4=0))),0,IF(8=$K15,200000,ABS(8-$K15)*100)),100000+ABS(6-$J15)*1000+80)+'計算A'!EA$5*50+IF(AND($E15=1,NN15=0),25,0),IF($F15&gt;0,INDEX('計算A'!EA$110:EA$114,$F15+1)+IF(AND($E15=1,NN15=0),1000,0),MIN(TZ15,20)*400+(IF('計算A'!DZ$106=1,1-HX15,0)+IF('計算A'!EA$106=1,1-HZ15,0))*150+86+'計算A'!EA$5*100000+IF(AND($E15=1,NN15=0),50000,0))+IF($H15=1,(IF('計算A'!DZ$117=1,INDEX('計算A'!DZ$10:DZ$54,$B15),0)+IF('計算A'!EA$117=1,INDEX('計算A'!EB$10:EB$54,$B15),0))*4000,0)-IF(AND('計算A'!DZ$117=1,YX15&gt;0),2000,0)-IF(AND($L15=1,'計算A'!EA$117=1,HZ15=0),2000,0))),1000000))</f>
        <v/>
      </c>
      <c r="TD15">
        <f>IF($B15=0,1000000,IF(INDEX('計算A'!$D$60:$EQ$104,$B15,129)*HZ15=1,IF(AND($E15=2,NO15=0),1000000,IF($I15&gt;0,IF(6=$J15,IF(OR(AND(129=$I15+1,OR($K15&lt;&gt;'計算A'!$A$3,'計算A'!$A$4=0)),AND(129=$I15-1,OR(9&lt;&gt;'計算A'!$A$3,'計算A'!$A$4=0))),0,IF(9=$K15,200000,ABS(9-$K15)*100)),100000+ABS(6-$J15)*1000+90)+'計算A'!EB$5*50+IF(AND($E15=1,NO15=0),25,0),IF($F15&gt;0,INDEX('計算A'!EB$110:EB$114,$F15+1)+IF(AND($E15=1,NO15=0),1000,0),MIN(TZ15,20)*400+(IF('計算A'!EA$106=1,1-HY15,0)+IF('計算A'!EB$106=1,1-IA15,0))*150+96+'計算A'!EB$5*100000+IF(AND($E15=1,NO15=0),50000,0))+IF($H15=1,(IF('計算A'!EA$117=1,INDEX('計算A'!EA$10:EA$54,$B15),0)+IF('計算A'!EB$117=1,INDEX('計算A'!EC$10:EC$54,$B15),0))*4000,0)-IF(AND('計算A'!EA$117=1,YY15&gt;0),2000,0)-IF(AND($L15=1,'計算A'!EB$117=1,IA15=0),2000,0))),1000000))</f>
        <v/>
      </c>
      <c r="TE15">
        <f>IF($B15=0,1000000,IF(INDEX('計算A'!$D$60:$EQ$104,$B15,130)*IA15=1,IF(AND($E15=2,NP15=0),1000000,IF($I15&gt;0,IF(6=$J15,IF(OR(AND(130=$I15+1,OR($K15&lt;&gt;'計算A'!$A$3,'計算A'!$A$4=0)),AND(130=$I15-1,OR(10&lt;&gt;'計算A'!$A$3,'計算A'!$A$4=0))),0,IF(10=$K15,200000,ABS(10-$K15)*100)),100000+ABS(6-$J15)*1000+100)+'計算A'!EC$5*50+IF(AND($E15=1,NP15=0),25,0),IF($F15&gt;0,INDEX('計算A'!EC$110:EC$114,$F15+1)+IF(AND($E15=1,NP15=0),1000,0),MIN(TZ15,20)*400+(IF('計算A'!EB$106=1,1-HZ15,0)+IF('計算A'!EC$106=1,1-IB15,0))*150+106+'計算A'!EC$5*100000+IF(AND($E15=1,NP15=0),50000,0))+IF($H15=1,(IF('計算A'!EB$117=1,INDEX('計算A'!EB$10:EB$54,$B15),0)+IF('計算A'!EC$117=1,INDEX('計算A'!ED$10:ED$54,$B15),0))*4000,0)-IF(AND('計算A'!EB$117=1,YZ15&gt;0),2000,0)-IF(AND($L15=1,'計算A'!EC$117=1,IB15=0),2000,0))),1000000))</f>
        <v/>
      </c>
      <c r="TF15">
        <f>IF($B15=0,1000000,IF(INDEX('計算A'!$D$60:$EQ$104,$B15,131)*IB15=1,IF(AND($E15=2,NQ15=0),1000000,IF($I15&gt;0,IF(6=$J15,IF(OR(AND(131=$I15+1,OR($K15&lt;&gt;'計算A'!$A$3,'計算A'!$A$4=0)),AND(131=$I15-1,OR(11&lt;&gt;'計算A'!$A$3,'計算A'!$A$4=0))),0,IF(11=$K15,200000,ABS(11-$K15)*100)),100000+ABS(6-$J15)*1000+110)+'計算A'!ED$5*50+IF(AND($E15=1,NQ15=0),25,0),IF($F15&gt;0,INDEX('計算A'!ED$110:ED$114,$F15+1)+IF(AND($E15=1,NQ15=0),1000,0),MIN(TZ15,20)*400+(IF('計算A'!EC$106=1,1-IA15,0)+IF('計算A'!ED$106=1,1-IC15,0))*150+116+'計算A'!ED$5*100000+IF(AND($E15=1,NQ15=0),50000,0))+IF($H15=1,(IF('計算A'!EC$117=1,INDEX('計算A'!EC$10:EC$54,$B15),0)+IF('計算A'!ED$117=1,INDEX('計算A'!EE$10:EE$54,$B15),0))*4000,0)-IF(AND('計算A'!EC$117=1,ZA15&gt;0),2000,0)-IF(AND($L15=1,'計算A'!ED$117=1,IC15=0),2000,0))),1000000))</f>
        <v/>
      </c>
      <c r="TG15">
        <f>IF($B15=0,1000000,IF(INDEX('計算A'!$D$60:$EQ$104,$B15,132)*IC15=1,IF(AND($E15=2,NR15=0),1000000,IF($I15&gt;0,IF(6=$J15,IF(OR(AND(132=$I15+1,OR($K15&lt;&gt;'計算A'!$A$3,'計算A'!$A$4=0)),AND(132=$I15-1,OR(12&lt;&gt;'計算A'!$A$3,'計算A'!$A$4=0))),0,IF(12=$K15,200000,ABS(12-$K15)*100)),100000+ABS(6-$J15)*1000+120)+'計算A'!EE$5*50+IF(AND($E15=1,NR15=0),25,0),IF($F15&gt;0,INDEX('計算A'!EE$110:EE$114,$F15+1)+IF(AND($E15=1,NR15=0),1000,0),MIN(TZ15,20)*400+(IF('計算A'!ED$106=1,1-IB15,0)+IF('計算A'!EE$106=1,1-ID15,0))*150+126+'計算A'!EE$5*100000+IF(AND($E15=1,NR15=0),50000,0))+IF($H15=1,(IF('計算A'!ED$117=1,INDEX('計算A'!ED$10:ED$54,$B15),0)+IF('計算A'!EE$117=1,INDEX('計算A'!EF$10:EF$54,$B15),0))*4000,0)-IF(AND('計算A'!ED$117=1,ZB15&gt;0),2000,0)-IF(AND($L15=1,'計算A'!EE$117=1,ID15=0),2000,0))),1000000))</f>
        <v/>
      </c>
      <c r="TH15">
        <f>IF($B15=0,1000000,IF(INDEX('計算A'!$D$60:$EQ$104,$B15,133)*ID15=1,IF(AND($E15=2,NS15=0),1000000,IF($I15&gt;0,IF(6=$J15,IF(OR(AND(133=$I15+1,OR($K15&lt;&gt;'計算A'!$A$3,'計算A'!$A$4=0)),AND(133=$I15-1,OR(13&lt;&gt;'計算A'!$A$3,'計算A'!$A$4=0))),0,IF(13=$K15,200000,ABS(13-$K15)*100)),100000+ABS(6-$J15)*1000+130)+'計算A'!EF$5*50+IF(AND($E15=1,NS15=0),25,0),IF($F15&gt;0,INDEX('計算A'!EF$110:EF$114,$F15+1)+IF(AND($E15=1,NS15=0),1000,0),MIN(TZ15,20)*400+(IF('計算A'!EE$106=1,1-IC15,0)+IF('計算A'!EF$106=1,1-IE15,0))*150+136+'計算A'!EF$5*100000+IF(AND($E15=1,NS15=0),50000,0))+IF($H15=1,(IF('計算A'!EE$117=1,INDEX('計算A'!EE$10:EE$54,$B15),0)+IF('計算A'!EF$117=1,INDEX('計算A'!EG$10:EG$54,$B15),0))*4000,0)-IF(AND('計算A'!EE$117=1,ZC15&gt;0),2000,0)-IF(AND($L15=1,'計算A'!EF$117=1,IE15=0),2000,0))),1000000))</f>
        <v/>
      </c>
      <c r="TI15">
        <f>IF($B15=0,1000000,IF(INDEX('計算A'!$D$60:$EQ$104,$B15,134)*IE15=1,IF(AND($E15=2,NT15=0),1000000,IF($I15&gt;0,IF(6=$J15,IF(OR(AND(134=$I15+1,OR($K15&lt;&gt;'計算A'!$A$3,'計算A'!$A$4=0)),AND(134=$I15-1,OR(14&lt;&gt;'計算A'!$A$3,'計算A'!$A$4=0))),0,IF(14=$K15,200000,ABS(14-$K15)*100)),100000+ABS(6-$J15)*1000+140)+'計算A'!EG$5*50+IF(AND($E15=1,NT15=0),25,0),IF($F15&gt;0,INDEX('計算A'!EG$110:EG$114,$F15+1)+IF(AND($E15=1,NT15=0),1000,0),MIN(TZ15,20)*400+(IF('計算A'!EF$106=1,1-ID15,0)+IF('計算A'!EG$106=1,1-IF15,0))*150+146+'計算A'!EG$5*100000+IF(AND($E15=1,NT15=0),50000,0))+IF($H15=1,(IF('計算A'!EF$117=1,INDEX('計算A'!EF$10:EF$54,$B15),0)+IF('計算A'!EG$117=1,INDEX('計算A'!EH$10:EH$54,$B15),0))*4000,0)-IF(AND('計算A'!EF$117=1,ZD15&gt;0),2000,0)-IF(AND($L15=1,'計算A'!EG$117=1,IF15=0),2000,0))),1000000))</f>
        <v/>
      </c>
      <c r="TJ15">
        <f>IF($B15=0,1000000,IF(INDEX('計算A'!$D$60:$EQ$104,$B15,135)*IF15=1,IF(AND($E15=2,NU15=0),1000000,IF($I15&gt;0,IF(6=$J15,IF(OR(AND(135=$I15+1,OR($K15&lt;&gt;'計算A'!$A$3,'計算A'!$A$4=0)),AND(135=$I15-1,OR(15&lt;&gt;'計算A'!$A$3,'計算A'!$A$4=0))),0,IF(15=$K15,200000,ABS(15-$K15)*100)),100000+ABS(6-$J15)*1000+150)+'計算A'!EH$5*50+IF(AND($E15=1,NU15=0),25,0),IF($F15&gt;0,INDEX('計算A'!EH$110:EH$114,$F15+1)+IF(AND($E15=1,NU15=0),1000,0),MIN(TZ15,20)*400+(IF('計算A'!EG$106=1,1-IE15,0)+IF('計算A'!EH$106=1,1-IG15,0))*150+156+'計算A'!EH$5*100000+IF(AND($E15=1,NU15=0),50000,0))+IF($H15=1,(IF('計算A'!EG$117=1,INDEX('計算A'!EG$10:EG$54,$B15),0)+IF('計算A'!EH$117=1,INDEX('計算A'!EI$10:EI$54,$B15),0))*4000,0)-IF(AND('計算A'!EG$117=1,ZE15&gt;0),2000,0)-IF(AND($L15=1,'計算A'!EH$117=1,IG15=0),2000,0))),1000000))</f>
        <v/>
      </c>
      <c r="TK15">
        <f>IF($B15=0,1000000,IF(INDEX('計算A'!$D$60:$EQ$104,$B15,136)*IG15=1,IF(AND($E15=2,NV15=0),1000000,IF($I15&gt;0,IF(6=$J15,IF(OR(AND(136=$I15+1,OR($K15&lt;&gt;'計算A'!$A$3,'計算A'!$A$4=0)),AND(136=$I15-1,OR(16&lt;&gt;'計算A'!$A$3,'計算A'!$A$4=0))),0,IF(16=$K15,200000,ABS(16-$K15)*100)),100000+ABS(6-$J15)*1000+160)+'計算A'!EI$5*50+IF(AND($E15=1,NV15=0),25,0),IF($F15&gt;0,INDEX('計算A'!EI$110:EI$114,$F15+1)+IF(AND($E15=1,NV15=0),1000,0),MIN(TZ15,20)*400+(IF('計算A'!EH$106=1,1-IF15,0)+IF('計算A'!EI$106=1,1-IH15,0))*150+166+'計算A'!EI$5*100000+IF(AND($E15=1,NV15=0),50000,0))+IF($H15=1,(IF('計算A'!EH$117=1,INDEX('計算A'!EH$10:EH$54,$B15),0)+IF('計算A'!EI$117=1,INDEX('計算A'!EJ$10:EJ$54,$B15),0))*4000,0)-IF(AND('計算A'!EH$117=1,ZF15&gt;0),2000,0)-IF(AND($L15=1,'計算A'!EI$117=1,IH15=0),2000,0))),1000000))</f>
        <v/>
      </c>
      <c r="TL15">
        <f>IF($B15=0,1000000,IF(INDEX('計算A'!$D$60:$EQ$104,$B15,137)*IH15=1,IF(AND($E15=2,NW15=0),1000000,IF($I15&gt;0,IF(6=$J15,IF(OR(AND(137=$I15+1,OR($K15&lt;&gt;'計算A'!$A$3,'計算A'!$A$4=0)),AND(137=$I15-1,OR(17&lt;&gt;'計算A'!$A$3,'計算A'!$A$4=0))),0,IF(17=$K15,200000,ABS(17-$K15)*100)),100000+ABS(6-$J15)*1000+170)+'計算A'!EJ$5*50+IF(AND($E15=1,NW15=0),25,0),IF($F15&gt;0,INDEX('計算A'!EJ$110:EJ$114,$F15+1)+IF(AND($E15=1,NW15=0),1000,0),MIN(TZ15,20)*400+(IF('計算A'!EI$106=1,1-IG15,0)+IF('計算A'!EJ$106=1,1-II15,0))*150+176+'計算A'!EJ$5*100000+IF(AND($E15=1,NW15=0),50000,0))+IF($H15=1,(IF('計算A'!EI$117=1,INDEX('計算A'!EI$10:EI$54,$B15),0)+IF('計算A'!EJ$117=1,INDEX('計算A'!EK$10:EK$54,$B15),0))*4000,0)-IF(AND('計算A'!EI$117=1,ZG15&gt;0),2000,0)-IF(AND($L15=1,'計算A'!EJ$117=1,II15=0),2000,0))),1000000))</f>
        <v/>
      </c>
      <c r="TM15">
        <f>IF($B15=0,1000000,IF(INDEX('計算A'!$D$60:$EQ$104,$B15,138)*II15=1,IF(AND($E15=2,NX15=0),1000000,IF($I15&gt;0,IF(6=$J15,IF(OR(AND(138=$I15+1,OR($K15&lt;&gt;'計算A'!$A$3,'計算A'!$A$4=0)),AND(138=$I15-1,OR(18&lt;&gt;'計算A'!$A$3,'計算A'!$A$4=0))),0,IF(18=$K15,200000,ABS(18-$K15)*100)),100000+ABS(6-$J15)*1000+180)+'計算A'!EK$5*50+IF(AND($E15=1,NX15=0),25,0),IF($F15&gt;0,INDEX('計算A'!EK$110:EK$114,$F15+1)+IF(AND($E15=1,NX15=0),1000,0),MIN(TZ15,20)*400+(IF('計算A'!EJ$106=1,1-IH15,0)+IF('計算A'!EK$106=1,1-IJ15,0))*150+186+'計算A'!EK$5*100000+IF(AND($E15=1,NX15=0),50000,0))+IF($H15=1,(IF('計算A'!EJ$117=1,INDEX('計算A'!EJ$10:EJ$54,$B15),0)+IF('計算A'!EK$117=1,INDEX('計算A'!EL$10:EL$54,$B15),0))*4000,0)-IF(AND('計算A'!EJ$117=1,ZH15&gt;0),2000,0)-IF(AND($L15=1,'計算A'!EK$117=1,IJ15=0),2000,0))),1000000))</f>
        <v/>
      </c>
      <c r="TN15">
        <f>IF($B15=0,1000000,IF(INDEX('計算A'!$D$60:$EQ$104,$B15,139)*IJ15=1,IF(AND($E15=2,NY15=0),1000000,IF($I15&gt;0,IF(6=$J15,IF(OR(AND(139=$I15+1,OR($K15&lt;&gt;'計算A'!$A$3,'計算A'!$A$4=0)),AND(139=$I15-1,OR(19&lt;&gt;'計算A'!$A$3,'計算A'!$A$4=0))),0,IF(19=$K15,200000,ABS(19-$K15)*100)),100000+ABS(6-$J15)*1000+190)+'計算A'!EL$5*50+IF(AND($E15=1,NY15=0),25,0),IF($F15&gt;0,INDEX('計算A'!EL$110:EL$114,$F15+1)+IF(AND($E15=1,NY15=0),1000,0),MIN(TZ15,20)*400+(IF('計算A'!EK$106=1,1-II15,0)+IF('計算A'!EL$106=1,1-IK15,0))*150+196+'計算A'!EL$5*100000+IF(AND($E15=1,NY15=0),50000,0))+IF($H15=1,(IF('計算A'!EK$117=1,INDEX('計算A'!EK$10:EK$54,$B15),0)+IF('計算A'!EL$117=1,INDEX('計算A'!EM$10:EM$54,$B15),0))*4000,0)-IF(AND('計算A'!EK$117=1,ZI15&gt;0),2000,0)-IF(AND($L15=1,'計算A'!EL$117=1,IK15=0),2000,0))),1000000))</f>
        <v/>
      </c>
      <c r="TO15">
        <f>IF($B15=0,1000000,IF(INDEX('計算A'!$D$60:$EQ$104,$B15,140)*IK15=1,IF(AND($E15=2,NZ15=0),1000000,IF($I15&gt;0,IF(6=$J15,IF(OR(AND(140=$I15+1,OR($K15&lt;&gt;'計算A'!$A$3,'計算A'!$A$4=0)),AND(140=$I15-1,OR(20&lt;&gt;'計算A'!$A$3,'計算A'!$A$4=0))),0,IF(20=$K15,200000,ABS(20-$K15)*100)),100000+ABS(6-$J15)*1000+200)+'計算A'!EM$5*50+IF(AND($E15=1,NZ15=0),25,0),IF($F15&gt;0,INDEX('計算A'!EM$110:EM$114,$F15+1)+IF(AND($E15=1,NZ15=0),1000,0),MIN(TZ15,20)*400+(IF('計算A'!EL$106=1,1-IJ15,0)+IF('計算A'!EM$106=1,1-IL15,0))*150+206+'計算A'!EM$5*100000+IF(AND($E15=1,NZ15=0),50000,0))+IF($H15=1,(IF('計算A'!EL$117=1,INDEX('計算A'!EL$10:EL$54,$B15),0)+IF('計算A'!EM$117=1,INDEX('計算A'!EN$10:EN$54,$B15),0))*4000,0)-IF(AND('計算A'!EL$117=1,ZJ15&gt;0),2000,0)-IF(AND($L15=1,'計算A'!EM$117=1,IL15=0),2000,0))),1000000))</f>
        <v/>
      </c>
      <c r="TP15">
        <f>IF($B15=0,1000000,IF(INDEX('計算A'!$D$60:$EQ$104,$B15,141)*IL15=1,IF(AND($E15=2,OA15=0),1000000,IF($I15&gt;0,IF(6=$J15,IF(OR(AND(141=$I15+1,OR($K15&lt;&gt;'計算A'!$A$3,'計算A'!$A$4=0)),AND(141=$I15-1,OR(21&lt;&gt;'計算A'!$A$3,'計算A'!$A$4=0))),0,IF(21=$K15,200000,ABS(21-$K15)*100)),100000+ABS(6-$J15)*1000+210)+'計算A'!EN$5*50+IF(AND($E15=1,OA15=0),25,0),IF($F15&gt;0,INDEX('計算A'!EN$110:EN$114,$F15+1)+IF(AND($E15=1,OA15=0),1000,0),MIN(TZ15,20)*400+(IF('計算A'!EM$106=1,1-IK15,0)+IF('計算A'!EN$106=1,1-IM15,0))*150+216+'計算A'!EN$5*100000+IF(AND($E15=1,OA15=0),50000,0))+IF($H15=1,(IF('計算A'!EM$117=1,INDEX('計算A'!EM$10:EM$54,$B15),0)+IF('計算A'!EN$117=1,INDEX('計算A'!EO$10:EO$54,$B15),0))*4000,0)-IF(AND('計算A'!EM$117=1,ZK15&gt;0),2000,0)-IF(AND($L15=1,'計算A'!EN$117=1,IM15=0),2000,0))),1000000))</f>
        <v/>
      </c>
      <c r="TQ15">
        <f>IF($B15=0,1000000,IF(INDEX('計算A'!$D$60:$EQ$104,$B15,142)*IM15=1,IF(AND($E15=2,OB15=0),1000000,IF($I15&gt;0,IF(6=$J15,IF(OR(AND(142=$I15+1,OR($K15&lt;&gt;'計算A'!$A$3,'計算A'!$A$4=0)),AND(142=$I15-1,OR(22&lt;&gt;'計算A'!$A$3,'計算A'!$A$4=0))),0,IF(22=$K15,200000,ABS(22-$K15)*100)),100000+ABS(6-$J15)*1000+220)+'計算A'!EO$5*50+IF(AND($E15=1,OB15=0),25,0),IF($F15&gt;0,INDEX('計算A'!EO$110:EO$114,$F15+1)+IF(AND($E15=1,OB15=0),1000,0),MIN(TZ15,20)*400+(IF('計算A'!EN$106=1,1-IL15,0)+IF('計算A'!EO$106=1,1-IN15,0))*150+226+'計算A'!EO$5*100000+IF(AND($E15=1,OB15=0),50000,0))+IF($H15=1,(IF('計算A'!EN$117=1,INDEX('計算A'!EN$10:EN$54,$B15),0)+IF('計算A'!EO$117=1,INDEX('計算A'!EP$10:EP$54,$B15),0))*4000,0)-IF(AND('計算A'!EN$117=1,ZL15&gt;0),2000,0)-IF(AND($L15=1,'計算A'!EO$117=1,IN15=0),2000,0))),1000000))</f>
        <v/>
      </c>
      <c r="TR15">
        <f>IF($B15=0,1000000,IF(INDEX('計算A'!$D$60:$EQ$104,$B15,143)*IN15=1,IF(AND($E15=2,OC15=0),1000000,IF($I15&gt;0,IF(6=$J15,IF(OR(AND(143=$I15+1,OR($K15&lt;&gt;'計算A'!$A$3,'計算A'!$A$4=0)),AND(143=$I15-1,OR(23&lt;&gt;'計算A'!$A$3,'計算A'!$A$4=0))),0,IF(23=$K15,200000,ABS(23-$K15)*100)),100000+ABS(6-$J15)*1000+230)+'計算A'!EP$5*50+IF(AND($E15=1,OC15=0),25,0),IF($F15&gt;0,INDEX('計算A'!EP$110:EP$114,$F15+1)+IF(AND($E15=1,OC15=0),1000,0),MIN(TZ15,20)*400+(IF('計算A'!EO$106=1,1-IM15,0)+IF('計算A'!EP$106=1,1-IO15,0))*150+236+'計算A'!EP$5*100000+IF(AND($E15=1,OC15=0),50000,0))+IF($H15=1,(IF('計算A'!EO$117=1,INDEX('計算A'!EO$10:EO$54,$B15),0)+IF('計算A'!EP$117=1,INDEX('計算A'!EQ$10:EQ$54,$B15),0))*4000,0)-IF(AND('計算A'!EO$117=1,ZM15&gt;0),2000,0)-IF(AND($L15=1,'計算A'!EP$117=1,IO15=0),2000,0))),1000000))</f>
        <v/>
      </c>
      <c r="TS15">
        <f>IF($B15=0,1000000,IF(INDEX('計算A'!$D$60:$EQ$104,$B15,144)*IO15=1,IF(AND($E15=2,OD15=0),1000000,IF($I15&gt;0,IF(6=$J15,IF(OR(AND(144=$I15+1,OR($K15&lt;&gt;'計算A'!$A$3,'計算A'!$A$4=0)),AND(144=$I15-1,OR(24&lt;&gt;'計算A'!$A$3,'計算A'!$A$4=0))),0,IF(24=$K15,200000,ABS(24-$K15)*100)),100000+ABS(6-$J15)*1000+240)+'計算A'!EQ$5*50+IF(AND($E15=1,OD15=0),25,0),IF($F15&gt;0,INDEX('計算A'!EQ$110:EQ$114,$F15+1)+IF(AND($E15=1,OD15=0),1000,0),MIN(TZ15,20)*400+(IF('計算A'!EP$106=1,1-IN15,0))*150+246+'計算A'!EQ$5*100000+IF(AND($E15=1,OD15=0),50000,0))+IF($H15=1,(IF('計算A'!EP$117=1,INDEX('計算A'!EP$10:EP$54,$B15),0))*4000,0)-IF(AND('計算A'!EP$117=1,ZN15&gt;0),2000,0))),1000000))</f>
        <v/>
      </c>
      <c r="TU15">
        <f>TU14+IF($C14&gt;0,IF(INDEX('計算A'!$D$2:$EQ$2,$C14)=1,1,0),0)</f>
        <v/>
      </c>
      <c r="TV15">
        <f>TV14+IF($C14&gt;0,IF(INDEX('計算A'!$D$2:$EQ$2,$C14)=2,1,0),0)</f>
        <v/>
      </c>
      <c r="TW15">
        <f>TW14+IF($C14&gt;0,IF(INDEX('計算A'!$D$2:$EQ$2,$C14)=3,1,0),0)</f>
        <v/>
      </c>
      <c r="TX15">
        <f>TX14+IF($C14&gt;0,IF(INDEX('計算A'!$D$2:$EQ$2,$C14)=4,1,0),0)</f>
        <v/>
      </c>
      <c r="TY15">
        <f>TY14+IF($C14&gt;0,IF(INDEX('計算A'!$D$2:$EQ$2,$C14)=5,1,0),0)</f>
        <v/>
      </c>
      <c r="TZ15">
        <f>TZ14+IF($C14&gt;0,IF(INDEX('計算A'!$D$2:$EQ$2,$C14)=6,1,0),0)</f>
        <v/>
      </c>
      <c r="UB15">
        <f>UB14+IF(AND($C14=1,$L14=1),1,0)</f>
        <v/>
      </c>
      <c r="UC15">
        <f>UC14+IF(AND($C14=2,$L14=1),1,0)</f>
        <v/>
      </c>
      <c r="UD15">
        <f>UD14+IF(AND($C14=3,$L14=1),1,0)</f>
        <v/>
      </c>
      <c r="UE15">
        <f>UE14+IF(AND($C14=4,$L14=1),1,0)</f>
        <v/>
      </c>
      <c r="UF15">
        <f>UF14+IF(AND($C14=5,$L14=1),1,0)</f>
        <v/>
      </c>
      <c r="UG15">
        <f>UG14+IF(AND($C14=6,$L14=1),1,0)</f>
        <v/>
      </c>
      <c r="UH15">
        <f>UH14+IF(AND($C14=7,$L14=1),1,0)</f>
        <v/>
      </c>
      <c r="UI15">
        <f>UI14+IF(AND($C14=8,$L14=1),1,0)</f>
        <v/>
      </c>
      <c r="UJ15">
        <f>UJ14+IF(AND($C14=9,$L14=1),1,0)</f>
        <v/>
      </c>
      <c r="UK15">
        <f>UK14+IF(AND($C14=10,$L14=1),1,0)</f>
        <v/>
      </c>
      <c r="UL15">
        <f>UL14+IF(AND($C14=11,$L14=1),1,0)</f>
        <v/>
      </c>
      <c r="UM15">
        <f>UM14+IF(AND($C14=12,$L14=1),1,0)</f>
        <v/>
      </c>
      <c r="UN15">
        <f>UN14+IF(AND($C14=13,$L14=1),1,0)</f>
        <v/>
      </c>
      <c r="UO15">
        <f>UO14+IF(AND($C14=14,$L14=1),1,0)</f>
        <v/>
      </c>
      <c r="UP15">
        <f>UP14+IF(AND($C14=15,$L14=1),1,0)</f>
        <v/>
      </c>
      <c r="UQ15">
        <f>UQ14+IF(AND($C14=16,$L14=1),1,0)</f>
        <v/>
      </c>
      <c r="UR15">
        <f>UR14+IF(AND($C14=17,$L14=1),1,0)</f>
        <v/>
      </c>
      <c r="US15">
        <f>US14+IF(AND($C14=18,$L14=1),1,0)</f>
        <v/>
      </c>
      <c r="UT15">
        <f>UT14+IF(AND($C14=19,$L14=1),1,0)</f>
        <v/>
      </c>
      <c r="UU15">
        <f>UU14+IF(AND($C14=20,$L14=1),1,0)</f>
        <v/>
      </c>
      <c r="UV15">
        <f>UV14+IF(AND($C14=21,$L14=1),1,0)</f>
        <v/>
      </c>
      <c r="UW15">
        <f>UW14+IF(AND($C14=22,$L14=1),1,0)</f>
        <v/>
      </c>
      <c r="UX15">
        <f>UX14+IF(AND($C14=23,$L14=1),1,0)</f>
        <v/>
      </c>
      <c r="UY15">
        <f>UY14+IF(AND($C14=24,$L14=1),1,0)</f>
        <v/>
      </c>
      <c r="UZ15">
        <f>UZ14+IF(AND($C14=25,$L14=1),1,0)</f>
        <v/>
      </c>
      <c r="VA15">
        <f>VA14+IF(AND($C14=26,$L14=1),1,0)</f>
        <v/>
      </c>
      <c r="VB15">
        <f>VB14+IF(AND($C14=27,$L14=1),1,0)</f>
        <v/>
      </c>
      <c r="VC15">
        <f>VC14+IF(AND($C14=28,$L14=1),1,0)</f>
        <v/>
      </c>
      <c r="VD15">
        <f>VD14+IF(AND($C14=29,$L14=1),1,0)</f>
        <v/>
      </c>
      <c r="VE15">
        <f>VE14+IF(AND($C14=30,$L14=1),1,0)</f>
        <v/>
      </c>
      <c r="VF15">
        <f>VF14+IF(AND($C14=31,$L14=1),1,0)</f>
        <v/>
      </c>
      <c r="VG15">
        <f>VG14+IF(AND($C14=32,$L14=1),1,0)</f>
        <v/>
      </c>
      <c r="VH15">
        <f>VH14+IF(AND($C14=33,$L14=1),1,0)</f>
        <v/>
      </c>
      <c r="VI15">
        <f>VI14+IF(AND($C14=34,$L14=1),1,0)</f>
        <v/>
      </c>
      <c r="VJ15">
        <f>VJ14+IF(AND($C14=35,$L14=1),1,0)</f>
        <v/>
      </c>
      <c r="VK15">
        <f>VK14+IF(AND($C14=36,$L14=1),1,0)</f>
        <v/>
      </c>
      <c r="VL15">
        <f>VL14+IF(AND($C14=37,$L14=1),1,0)</f>
        <v/>
      </c>
      <c r="VM15">
        <f>VM14+IF(AND($C14=38,$L14=1),1,0)</f>
        <v/>
      </c>
      <c r="VN15">
        <f>VN14+IF(AND($C14=39,$L14=1),1,0)</f>
        <v/>
      </c>
      <c r="VO15">
        <f>VO14+IF(AND($C14=40,$L14=1),1,0)</f>
        <v/>
      </c>
      <c r="VP15">
        <f>VP14+IF(AND($C14=41,$L14=1),1,0)</f>
        <v/>
      </c>
      <c r="VQ15">
        <f>VQ14+IF(AND($C14=42,$L14=1),1,0)</f>
        <v/>
      </c>
      <c r="VR15">
        <f>VR14+IF(AND($C14=43,$L14=1),1,0)</f>
        <v/>
      </c>
      <c r="VS15">
        <f>VS14+IF(AND($C14=44,$L14=1),1,0)</f>
        <v/>
      </c>
      <c r="VT15">
        <f>VT14+IF(AND($C14=45,$L14=1),1,0)</f>
        <v/>
      </c>
      <c r="VU15">
        <f>VU14+IF(AND($C14=46,$L14=1),1,0)</f>
        <v/>
      </c>
      <c r="VV15">
        <f>VV14+IF(AND($C14=47,$L14=1),1,0)</f>
        <v/>
      </c>
      <c r="VW15">
        <f>VW14+IF(AND($C14=48,$L14=1),1,0)</f>
        <v/>
      </c>
      <c r="VX15">
        <f>VX14+IF(AND($C14=49,$L14=1),1,0)</f>
        <v/>
      </c>
      <c r="VY15">
        <f>VY14+IF(AND($C14=50,$L14=1),1,0)</f>
        <v/>
      </c>
      <c r="VZ15">
        <f>VZ14+IF(AND($C14=51,$L14=1),1,0)</f>
        <v/>
      </c>
      <c r="WA15">
        <f>WA14+IF(AND($C14=52,$L14=1),1,0)</f>
        <v/>
      </c>
      <c r="WB15">
        <f>WB14+IF(AND($C14=53,$L14=1),1,0)</f>
        <v/>
      </c>
      <c r="WC15">
        <f>WC14+IF(AND($C14=54,$L14=1),1,0)</f>
        <v/>
      </c>
      <c r="WD15">
        <f>WD14+IF(AND($C14=55,$L14=1),1,0)</f>
        <v/>
      </c>
      <c r="WE15">
        <f>WE14+IF(AND($C14=56,$L14=1),1,0)</f>
        <v/>
      </c>
      <c r="WF15">
        <f>WF14+IF(AND($C14=57,$L14=1),1,0)</f>
        <v/>
      </c>
      <c r="WG15">
        <f>WG14+IF(AND($C14=58,$L14=1),1,0)</f>
        <v/>
      </c>
      <c r="WH15">
        <f>WH14+IF(AND($C14=59,$L14=1),1,0)</f>
        <v/>
      </c>
      <c r="WI15">
        <f>WI14+IF(AND($C14=60,$L14=1),1,0)</f>
        <v/>
      </c>
      <c r="WJ15">
        <f>WJ14+IF(AND($C14=61,$L14=1),1,0)</f>
        <v/>
      </c>
      <c r="WK15">
        <f>WK14+IF(AND($C14=62,$L14=1),1,0)</f>
        <v/>
      </c>
      <c r="WL15">
        <f>WL14+IF(AND($C14=63,$L14=1),1,0)</f>
        <v/>
      </c>
      <c r="WM15">
        <f>WM14+IF(AND($C14=64,$L14=1),1,0)</f>
        <v/>
      </c>
      <c r="WN15">
        <f>WN14+IF(AND($C14=65,$L14=1),1,0)</f>
        <v/>
      </c>
      <c r="WO15">
        <f>WO14+IF(AND($C14=66,$L14=1),1,0)</f>
        <v/>
      </c>
      <c r="WP15">
        <f>WP14+IF(AND($C14=67,$L14=1),1,0)</f>
        <v/>
      </c>
      <c r="WQ15">
        <f>WQ14+IF(AND($C14=68,$L14=1),1,0)</f>
        <v/>
      </c>
      <c r="WR15">
        <f>WR14+IF(AND($C14=69,$L14=1),1,0)</f>
        <v/>
      </c>
      <c r="WS15">
        <f>WS14+IF(AND($C14=70,$L14=1),1,0)</f>
        <v/>
      </c>
      <c r="WT15">
        <f>WT14+IF(AND($C14=71,$L14=1),1,0)</f>
        <v/>
      </c>
      <c r="WU15">
        <f>WU14+IF(AND($C14=72,$L14=1),1,0)</f>
        <v/>
      </c>
      <c r="WV15">
        <f>WV14+IF(AND($C14=73,$L14=1),1,0)</f>
        <v/>
      </c>
      <c r="WW15">
        <f>WW14+IF(AND($C14=74,$L14=1),1,0)</f>
        <v/>
      </c>
      <c r="WX15">
        <f>WX14+IF(AND($C14=75,$L14=1),1,0)</f>
        <v/>
      </c>
      <c r="WY15">
        <f>WY14+IF(AND($C14=76,$L14=1),1,0)</f>
        <v/>
      </c>
      <c r="WZ15">
        <f>WZ14+IF(AND($C14=77,$L14=1),1,0)</f>
        <v/>
      </c>
      <c r="XA15">
        <f>XA14+IF(AND($C14=78,$L14=1),1,0)</f>
        <v/>
      </c>
      <c r="XB15">
        <f>XB14+IF(AND($C14=79,$L14=1),1,0)</f>
        <v/>
      </c>
      <c r="XC15">
        <f>XC14+IF(AND($C14=80,$L14=1),1,0)</f>
        <v/>
      </c>
      <c r="XD15">
        <f>XD14+IF(AND($C14=81,$L14=1),1,0)</f>
        <v/>
      </c>
      <c r="XE15">
        <f>XE14+IF(AND($C14=82,$L14=1),1,0)</f>
        <v/>
      </c>
      <c r="XF15">
        <f>XF14+IF(AND($C14=83,$L14=1),1,0)</f>
        <v/>
      </c>
      <c r="XG15">
        <f>XG14+IF(AND($C14=84,$L14=1),1,0)</f>
        <v/>
      </c>
      <c r="XH15">
        <f>XH14+IF(AND($C14=85,$L14=1),1,0)</f>
        <v/>
      </c>
      <c r="XI15">
        <f>XI14+IF(AND($C14=86,$L14=1),1,0)</f>
        <v/>
      </c>
      <c r="XJ15">
        <f>XJ14+IF(AND($C14=87,$L14=1),1,0)</f>
        <v/>
      </c>
      <c r="XK15">
        <f>XK14+IF(AND($C14=88,$L14=1),1,0)</f>
        <v/>
      </c>
      <c r="XL15">
        <f>XL14+IF(AND($C14=89,$L14=1),1,0)</f>
        <v/>
      </c>
      <c r="XM15">
        <f>XM14+IF(AND($C14=90,$L14=1),1,0)</f>
        <v/>
      </c>
      <c r="XN15">
        <f>XN14+IF(AND($C14=91,$L14=1),1,0)</f>
        <v/>
      </c>
      <c r="XO15">
        <f>XO14+IF(AND($C14=92,$L14=1),1,0)</f>
        <v/>
      </c>
      <c r="XP15">
        <f>XP14+IF(AND($C14=93,$L14=1),1,0)</f>
        <v/>
      </c>
      <c r="XQ15">
        <f>XQ14+IF(AND($C14=94,$L14=1),1,0)</f>
        <v/>
      </c>
      <c r="XR15">
        <f>XR14+IF(AND($C14=95,$L14=1),1,0)</f>
        <v/>
      </c>
      <c r="XS15">
        <f>XS14+IF(AND($C14=96,$L14=1),1,0)</f>
        <v/>
      </c>
      <c r="XT15">
        <f>XT14+IF(AND($C14=97,$L14=1),1,0)</f>
        <v/>
      </c>
      <c r="XU15">
        <f>XU14+IF(AND($C14=98,$L14=1),1,0)</f>
        <v/>
      </c>
      <c r="XV15">
        <f>XV14+IF(AND($C14=99,$L14=1),1,0)</f>
        <v/>
      </c>
      <c r="XW15">
        <f>XW14+IF(AND($C14=100,$L14=1),1,0)</f>
        <v/>
      </c>
      <c r="XX15">
        <f>XX14+IF(AND($C14=101,$L14=1),1,0)</f>
        <v/>
      </c>
      <c r="XY15">
        <f>XY14+IF(AND($C14=102,$L14=1),1,0)</f>
        <v/>
      </c>
      <c r="XZ15">
        <f>XZ14+IF(AND($C14=103,$L14=1),1,0)</f>
        <v/>
      </c>
      <c r="YA15">
        <f>YA14+IF(AND($C14=104,$L14=1),1,0)</f>
        <v/>
      </c>
      <c r="YB15">
        <f>YB14+IF(AND($C14=105,$L14=1),1,0)</f>
        <v/>
      </c>
      <c r="YC15">
        <f>YC14+IF(AND($C14=106,$L14=1),1,0)</f>
        <v/>
      </c>
      <c r="YD15">
        <f>YD14+IF(AND($C14=107,$L14=1),1,0)</f>
        <v/>
      </c>
      <c r="YE15">
        <f>YE14+IF(AND($C14=108,$L14=1),1,0)</f>
        <v/>
      </c>
      <c r="YF15">
        <f>YF14+IF(AND($C14=109,$L14=1),1,0)</f>
        <v/>
      </c>
      <c r="YG15">
        <f>YG14+IF(AND($C14=110,$L14=1),1,0)</f>
        <v/>
      </c>
      <c r="YH15">
        <f>YH14+IF(AND($C14=111,$L14=1),1,0)</f>
        <v/>
      </c>
      <c r="YI15">
        <f>YI14+IF(AND($C14=112,$L14=1),1,0)</f>
        <v/>
      </c>
      <c r="YJ15">
        <f>YJ14+IF(AND($C14=113,$L14=1),1,0)</f>
        <v/>
      </c>
      <c r="YK15">
        <f>YK14+IF(AND($C14=114,$L14=1),1,0)</f>
        <v/>
      </c>
      <c r="YL15">
        <f>YL14+IF(AND($C14=115,$L14=1),1,0)</f>
        <v/>
      </c>
      <c r="YM15">
        <f>YM14+IF(AND($C14=116,$L14=1),1,0)</f>
        <v/>
      </c>
      <c r="YN15">
        <f>YN14+IF(AND($C14=117,$L14=1),1,0)</f>
        <v/>
      </c>
      <c r="YO15">
        <f>YO14+IF(AND($C14=118,$L14=1),1,0)</f>
        <v/>
      </c>
      <c r="YP15">
        <f>YP14+IF(AND($C14=119,$L14=1),1,0)</f>
        <v/>
      </c>
      <c r="YQ15">
        <f>YQ14+IF(AND($C14=120,$L14=1),1,0)</f>
        <v/>
      </c>
      <c r="YR15">
        <f>YR14+IF(AND($C14=121,$L14=1),1,0)</f>
        <v/>
      </c>
      <c r="YS15">
        <f>YS14+IF(AND($C14=122,$L14=1),1,0)</f>
        <v/>
      </c>
      <c r="YT15">
        <f>YT14+IF(AND($C14=123,$L14=1),1,0)</f>
        <v/>
      </c>
      <c r="YU15">
        <f>YU14+IF(AND($C14=124,$L14=1),1,0)</f>
        <v/>
      </c>
      <c r="YV15">
        <f>YV14+IF(AND($C14=125,$L14=1),1,0)</f>
        <v/>
      </c>
      <c r="YW15">
        <f>YW14+IF(AND($C14=126,$L14=1),1,0)</f>
        <v/>
      </c>
      <c r="YX15">
        <f>YX14+IF(AND($C14=127,$L14=1),1,0)</f>
        <v/>
      </c>
      <c r="YY15">
        <f>YY14+IF(AND($C14=128,$L14=1),1,0)</f>
        <v/>
      </c>
      <c r="YZ15">
        <f>YZ14+IF(AND($C14=129,$L14=1),1,0)</f>
        <v/>
      </c>
      <c r="ZA15">
        <f>ZA14+IF(AND($C14=130,$L14=1),1,0)</f>
        <v/>
      </c>
      <c r="ZB15">
        <f>ZB14+IF(AND($C14=131,$L14=1),1,0)</f>
        <v/>
      </c>
      <c r="ZC15">
        <f>ZC14+IF(AND($C14=132,$L14=1),1,0)</f>
        <v/>
      </c>
      <c r="ZD15">
        <f>ZD14+IF(AND($C14=133,$L14=1),1,0)</f>
        <v/>
      </c>
      <c r="ZE15">
        <f>ZE14+IF(AND($C14=134,$L14=1),1,0)</f>
        <v/>
      </c>
      <c r="ZF15">
        <f>ZF14+IF(AND($C14=135,$L14=1),1,0)</f>
        <v/>
      </c>
      <c r="ZG15">
        <f>ZG14+IF(AND($C14=136,$L14=1),1,0)</f>
        <v/>
      </c>
      <c r="ZH15">
        <f>ZH14+IF(AND($C14=137,$L14=1),1,0)</f>
        <v/>
      </c>
      <c r="ZI15">
        <f>ZI14+IF(AND($C14=138,$L14=1),1,0)</f>
        <v/>
      </c>
      <c r="ZJ15">
        <f>ZJ14+IF(AND($C14=139,$L14=1),1,0)</f>
        <v/>
      </c>
      <c r="ZK15">
        <f>ZK14+IF(AND($C14=140,$L14=1),1,0)</f>
        <v/>
      </c>
      <c r="ZL15">
        <f>ZL14+IF(AND($C14=141,$L14=1),1,0)</f>
        <v/>
      </c>
      <c r="ZM15">
        <f>ZM14+IF(AND($C14=142,$L14=1),1,0)</f>
        <v/>
      </c>
      <c r="ZN15">
        <f>ZN14+IF(AND($C14=143,$L14=1),1,0)</f>
        <v/>
      </c>
      <c r="ZO15">
        <f>ZO14+IF(AND($C14=144,$L14=1),1,0)</f>
        <v/>
      </c>
    </row>
    <row r="16">
      <c r="A16" t="n">
        <v>14</v>
      </c>
      <c r="B16">
        <f>IF(MIN(BH16:CZ16)&gt;=1000000,0,MATCH(MIN(BH16:CZ16),BH16:CZ16,0))</f>
        <v/>
      </c>
      <c r="C16">
        <f>IF(MIN(OF16:TS16)&gt;=1000000,0,MATCH(MIN(OF16:TS16),OF16:TS16,0))</f>
        <v/>
      </c>
      <c r="D16">
        <f>IF(C16&gt;0,INDEX('計算A'!$D$5:$EQ$5,C16),0)</f>
        <v/>
      </c>
      <c r="E16">
        <f>IF(B16=0,0,INDEX('計算A'!$IQ$10:$IQ$54,B16))</f>
        <v/>
      </c>
      <c r="F16">
        <f>IF(B16=0,0,INDEX('計算A'!$IP$10:$IP$54,B16))</f>
        <v/>
      </c>
      <c r="G16">
        <f>IF(AND(C16&gt;0,E16&gt;0),IF(AND(INDEX('計算A'!$D$106:$EQ$106,C16)=1,INDEX($IQ16:$OD16,C16)=1),C16+1,0),0)</f>
        <v/>
      </c>
      <c r="H16">
        <f>IF(B16=0,0,INDEX('計算A'!$IW$10:$IW$54,B16))</f>
        <v/>
      </c>
      <c r="I16">
        <f>IF(B16=0,0,MAX(0,INDEX('計算A'!$IT$10:$IT$54,B16)))</f>
        <v/>
      </c>
      <c r="J16">
        <f>IF(I16=0,0,INDEX('計算A'!$D$2:$EQ$2,I16))</f>
        <v/>
      </c>
      <c r="K16">
        <f>IF(I16=0,0,INDEX('計算A'!$D$3:$EQ$3,I16))</f>
        <v/>
      </c>
      <c r="L16">
        <f>IF(B16=0,0,INDEX('計算A'!$IX$10:$IX$54,B16))</f>
        <v/>
      </c>
      <c r="N16">
        <f>MAX(N15,IF($B15=1,1,0))</f>
        <v/>
      </c>
      <c r="O16">
        <f>MAX(O15,IF($B15=2,1,0))</f>
        <v/>
      </c>
      <c r="P16">
        <f>MAX(P15,IF($B15=3,1,0))</f>
        <v/>
      </c>
      <c r="Q16">
        <f>MAX(Q15,IF($B15=4,1,0))</f>
        <v/>
      </c>
      <c r="R16">
        <f>MAX(R15,IF($B15=5,1,0))</f>
        <v/>
      </c>
      <c r="S16">
        <f>MAX(S15,IF($B15=6,1,0))</f>
        <v/>
      </c>
      <c r="T16">
        <f>MAX(T15,IF($B15=7,1,0))</f>
        <v/>
      </c>
      <c r="U16">
        <f>MAX(U15,IF($B15=8,1,0))</f>
        <v/>
      </c>
      <c r="V16">
        <f>MAX(V15,IF($B15=9,1,0))</f>
        <v/>
      </c>
      <c r="W16">
        <f>MAX(W15,IF($B15=10,1,0))</f>
        <v/>
      </c>
      <c r="X16">
        <f>MAX(X15,IF($B15=11,1,0))</f>
        <v/>
      </c>
      <c r="Y16">
        <f>MAX(Y15,IF($B15=12,1,0))</f>
        <v/>
      </c>
      <c r="Z16">
        <f>MAX(Z15,IF($B15=13,1,0))</f>
        <v/>
      </c>
      <c r="AA16">
        <f>MAX(AA15,IF($B15=14,1,0))</f>
        <v/>
      </c>
      <c r="AB16">
        <f>MAX(AB15,IF($B15=15,1,0))</f>
        <v/>
      </c>
      <c r="AC16">
        <f>MAX(AC15,IF($B15=16,1,0))</f>
        <v/>
      </c>
      <c r="AD16">
        <f>MAX(AD15,IF($B15=17,1,0))</f>
        <v/>
      </c>
      <c r="AE16">
        <f>MAX(AE15,IF($B15=18,1,0))</f>
        <v/>
      </c>
      <c r="AF16">
        <f>MAX(AF15,IF($B15=19,1,0))</f>
        <v/>
      </c>
      <c r="AG16">
        <f>MAX(AG15,IF($B15=20,1,0))</f>
        <v/>
      </c>
      <c r="AH16">
        <f>MAX(AH15,IF($B15=21,1,0))</f>
        <v/>
      </c>
      <c r="AI16">
        <f>MAX(AI15,IF($B15=22,1,0))</f>
        <v/>
      </c>
      <c r="AJ16">
        <f>MAX(AJ15,IF($B15=23,1,0))</f>
        <v/>
      </c>
      <c r="AK16">
        <f>MAX(AK15,IF($B15=24,1,0))</f>
        <v/>
      </c>
      <c r="AL16">
        <f>MAX(AL15,IF($B15=25,1,0))</f>
        <v/>
      </c>
      <c r="AM16">
        <f>MAX(AM15,IF($B15=26,1,0))</f>
        <v/>
      </c>
      <c r="AN16">
        <f>MAX(AN15,IF($B15=27,1,0))</f>
        <v/>
      </c>
      <c r="AO16">
        <f>MAX(AO15,IF($B15=28,1,0))</f>
        <v/>
      </c>
      <c r="AP16">
        <f>MAX(AP15,IF($B15=29,1,0))</f>
        <v/>
      </c>
      <c r="AQ16">
        <f>MAX(AQ15,IF($B15=30,1,0))</f>
        <v/>
      </c>
      <c r="AR16">
        <f>MAX(AR15,IF($B15=31,1,0))</f>
        <v/>
      </c>
      <c r="AS16">
        <f>MAX(AS15,IF($B15=32,1,0))</f>
        <v/>
      </c>
      <c r="AT16">
        <f>MAX(AT15,IF($B15=33,1,0))</f>
        <v/>
      </c>
      <c r="AU16">
        <f>MAX(AU15,IF($B15=34,1,0))</f>
        <v/>
      </c>
      <c r="AV16">
        <f>MAX(AV15,IF($B15=35,1,0))</f>
        <v/>
      </c>
      <c r="AW16">
        <f>MAX(AW15,IF($B15=36,1,0))</f>
        <v/>
      </c>
      <c r="AX16">
        <f>MAX(AX15,IF($B15=37,1,0))</f>
        <v/>
      </c>
      <c r="AY16">
        <f>MAX(AY15,IF($B15=38,1,0))</f>
        <v/>
      </c>
      <c r="AZ16">
        <f>MAX(AZ15,IF($B15=39,1,0))</f>
        <v/>
      </c>
      <c r="BA16">
        <f>MAX(BA15,IF($B15=40,1,0))</f>
        <v/>
      </c>
      <c r="BB16">
        <f>MAX(BB15,IF($B15=41,1,0))</f>
        <v/>
      </c>
      <c r="BC16">
        <f>MAX(BC15,IF($B15=42,1,0))</f>
        <v/>
      </c>
      <c r="BD16">
        <f>MAX(BD15,IF($B15=43,1,0))</f>
        <v/>
      </c>
      <c r="BE16">
        <f>MAX(BE15,IF($B15=44,1,0))</f>
        <v/>
      </c>
      <c r="BF16">
        <f>MAX(BF15,IF($B15=45,1,0))</f>
        <v/>
      </c>
      <c r="BH16">
        <f>IF(N16=1,1000000,IF('計算A'!$IT$10&gt;0,0,500000)+IF('計算A'!$IQ$10=2,SUMPRODUCT('計算A'!$D$60:$EQ$60,$DB16:$IO16,$IQ16:$OD16),SUMPRODUCT('計算A'!$D$60:$EQ$60,$DB16:$IO16))*1000+1)</f>
        <v/>
      </c>
      <c r="BI16">
        <f>IF(O16=1,1000000,IF('計算A'!$IT$11&gt;0,0,500000)+IF('計算A'!$IQ$11=2,SUMPRODUCT('計算A'!$D$61:$EQ$61,$DB16:$IO16,$IQ16:$OD16),SUMPRODUCT('計算A'!$D$61:$EQ$61,$DB16:$IO16))*1000+2)</f>
        <v/>
      </c>
      <c r="BJ16">
        <f>IF(P16=1,1000000,IF('計算A'!$IT$12&gt;0,0,500000)+IF('計算A'!$IQ$12=2,SUMPRODUCT('計算A'!$D$62:$EQ$62,$DB16:$IO16,$IQ16:$OD16),SUMPRODUCT('計算A'!$D$62:$EQ$62,$DB16:$IO16))*1000+3)</f>
        <v/>
      </c>
      <c r="BK16">
        <f>IF(Q16=1,1000000,IF('計算A'!$IT$13&gt;0,0,500000)+IF('計算A'!$IQ$13=2,SUMPRODUCT('計算A'!$D$63:$EQ$63,$DB16:$IO16,$IQ16:$OD16),SUMPRODUCT('計算A'!$D$63:$EQ$63,$DB16:$IO16))*1000+4)</f>
        <v/>
      </c>
      <c r="BL16">
        <f>IF(R16=1,1000000,IF('計算A'!$IT$14&gt;0,0,500000)+IF('計算A'!$IQ$14=2,SUMPRODUCT('計算A'!$D$64:$EQ$64,$DB16:$IO16,$IQ16:$OD16),SUMPRODUCT('計算A'!$D$64:$EQ$64,$DB16:$IO16))*1000+5)</f>
        <v/>
      </c>
      <c r="BM16">
        <f>IF(S16=1,1000000,IF('計算A'!$IT$15&gt;0,0,500000)+IF('計算A'!$IQ$15=2,SUMPRODUCT('計算A'!$D$65:$EQ$65,$DB16:$IO16,$IQ16:$OD16),SUMPRODUCT('計算A'!$D$65:$EQ$65,$DB16:$IO16))*1000+6)</f>
        <v/>
      </c>
      <c r="BN16">
        <f>IF(T16=1,1000000,IF('計算A'!$IT$16&gt;0,0,500000)+IF('計算A'!$IQ$16=2,SUMPRODUCT('計算A'!$D$66:$EQ$66,$DB16:$IO16,$IQ16:$OD16),SUMPRODUCT('計算A'!$D$66:$EQ$66,$DB16:$IO16))*1000+7)</f>
        <v/>
      </c>
      <c r="BO16">
        <f>IF(U16=1,1000000,IF('計算A'!$IT$17&gt;0,0,500000)+IF('計算A'!$IQ$17=2,SUMPRODUCT('計算A'!$D$67:$EQ$67,$DB16:$IO16,$IQ16:$OD16),SUMPRODUCT('計算A'!$D$67:$EQ$67,$DB16:$IO16))*1000+8)</f>
        <v/>
      </c>
      <c r="BP16">
        <f>IF(V16=1,1000000,IF('計算A'!$IT$18&gt;0,0,500000)+IF('計算A'!$IQ$18=2,SUMPRODUCT('計算A'!$D$68:$EQ$68,$DB16:$IO16,$IQ16:$OD16),SUMPRODUCT('計算A'!$D$68:$EQ$68,$DB16:$IO16))*1000+9)</f>
        <v/>
      </c>
      <c r="BQ16">
        <f>IF(W16=1,1000000,IF('計算A'!$IT$19&gt;0,0,500000)+IF('計算A'!$IQ$19=2,SUMPRODUCT('計算A'!$D$69:$EQ$69,$DB16:$IO16,$IQ16:$OD16),SUMPRODUCT('計算A'!$D$69:$EQ$69,$DB16:$IO16))*1000+10)</f>
        <v/>
      </c>
      <c r="BR16">
        <f>IF(X16=1,1000000,IF('計算A'!$IT$20&gt;0,0,500000)+IF('計算A'!$IQ$20=2,SUMPRODUCT('計算A'!$D$70:$EQ$70,$DB16:$IO16,$IQ16:$OD16),SUMPRODUCT('計算A'!$D$70:$EQ$70,$DB16:$IO16))*1000+11)</f>
        <v/>
      </c>
      <c r="BS16">
        <f>IF(Y16=1,1000000,IF('計算A'!$IT$21&gt;0,0,500000)+IF('計算A'!$IQ$21=2,SUMPRODUCT('計算A'!$D$71:$EQ$71,$DB16:$IO16,$IQ16:$OD16),SUMPRODUCT('計算A'!$D$71:$EQ$71,$DB16:$IO16))*1000+12)</f>
        <v/>
      </c>
      <c r="BT16">
        <f>IF(Z16=1,1000000,IF('計算A'!$IT$22&gt;0,0,500000)+IF('計算A'!$IQ$22=2,SUMPRODUCT('計算A'!$D$72:$EQ$72,$DB16:$IO16,$IQ16:$OD16),SUMPRODUCT('計算A'!$D$72:$EQ$72,$DB16:$IO16))*1000+13)</f>
        <v/>
      </c>
      <c r="BU16">
        <f>IF(AA16=1,1000000,IF('計算A'!$IT$23&gt;0,0,500000)+IF('計算A'!$IQ$23=2,SUMPRODUCT('計算A'!$D$73:$EQ$73,$DB16:$IO16,$IQ16:$OD16),SUMPRODUCT('計算A'!$D$73:$EQ$73,$DB16:$IO16))*1000+14)</f>
        <v/>
      </c>
      <c r="BV16">
        <f>IF(AB16=1,1000000,IF('計算A'!$IT$24&gt;0,0,500000)+IF('計算A'!$IQ$24=2,SUMPRODUCT('計算A'!$D$74:$EQ$74,$DB16:$IO16,$IQ16:$OD16),SUMPRODUCT('計算A'!$D$74:$EQ$74,$DB16:$IO16))*1000+15)</f>
        <v/>
      </c>
      <c r="BW16">
        <f>IF(AC16=1,1000000,IF('計算A'!$IT$25&gt;0,0,500000)+IF('計算A'!$IQ$25=2,SUMPRODUCT('計算A'!$D$75:$EQ$75,$DB16:$IO16,$IQ16:$OD16),SUMPRODUCT('計算A'!$D$75:$EQ$75,$DB16:$IO16))*1000+16)</f>
        <v/>
      </c>
      <c r="BX16">
        <f>IF(AD16=1,1000000,IF('計算A'!$IT$26&gt;0,0,500000)+IF('計算A'!$IQ$26=2,SUMPRODUCT('計算A'!$D$76:$EQ$76,$DB16:$IO16,$IQ16:$OD16),SUMPRODUCT('計算A'!$D$76:$EQ$76,$DB16:$IO16))*1000+17)</f>
        <v/>
      </c>
      <c r="BY16">
        <f>IF(AE16=1,1000000,IF('計算A'!$IT$27&gt;0,0,500000)+IF('計算A'!$IQ$27=2,SUMPRODUCT('計算A'!$D$77:$EQ$77,$DB16:$IO16,$IQ16:$OD16),SUMPRODUCT('計算A'!$D$77:$EQ$77,$DB16:$IO16))*1000+18)</f>
        <v/>
      </c>
      <c r="BZ16">
        <f>IF(AF16=1,1000000,IF('計算A'!$IT$28&gt;0,0,500000)+IF('計算A'!$IQ$28=2,SUMPRODUCT('計算A'!$D$78:$EQ$78,$DB16:$IO16,$IQ16:$OD16),SUMPRODUCT('計算A'!$D$78:$EQ$78,$DB16:$IO16))*1000+19)</f>
        <v/>
      </c>
      <c r="CA16">
        <f>IF(AG16=1,1000000,IF('計算A'!$IT$29&gt;0,0,500000)+IF('計算A'!$IQ$29=2,SUMPRODUCT('計算A'!$D$79:$EQ$79,$DB16:$IO16,$IQ16:$OD16),SUMPRODUCT('計算A'!$D$79:$EQ$79,$DB16:$IO16))*1000+20)</f>
        <v/>
      </c>
      <c r="CB16">
        <f>IF(AH16=1,1000000,IF('計算A'!$IT$30&gt;0,0,500000)+IF('計算A'!$IQ$30=2,SUMPRODUCT('計算A'!$D$80:$EQ$80,$DB16:$IO16,$IQ16:$OD16),SUMPRODUCT('計算A'!$D$80:$EQ$80,$DB16:$IO16))*1000+21)</f>
        <v/>
      </c>
      <c r="CC16">
        <f>IF(AI16=1,1000000,IF('計算A'!$IT$31&gt;0,0,500000)+IF('計算A'!$IQ$31=2,SUMPRODUCT('計算A'!$D$81:$EQ$81,$DB16:$IO16,$IQ16:$OD16),SUMPRODUCT('計算A'!$D$81:$EQ$81,$DB16:$IO16))*1000+22)</f>
        <v/>
      </c>
      <c r="CD16">
        <f>IF(AJ16=1,1000000,IF('計算A'!$IT$32&gt;0,0,500000)+IF('計算A'!$IQ$32=2,SUMPRODUCT('計算A'!$D$82:$EQ$82,$DB16:$IO16,$IQ16:$OD16),SUMPRODUCT('計算A'!$D$82:$EQ$82,$DB16:$IO16))*1000+23)</f>
        <v/>
      </c>
      <c r="CE16">
        <f>IF(AK16=1,1000000,IF('計算A'!$IT$33&gt;0,0,500000)+IF('計算A'!$IQ$33=2,SUMPRODUCT('計算A'!$D$83:$EQ$83,$DB16:$IO16,$IQ16:$OD16),SUMPRODUCT('計算A'!$D$83:$EQ$83,$DB16:$IO16))*1000+24)</f>
        <v/>
      </c>
      <c r="CF16">
        <f>IF(AL16=1,1000000,IF('計算A'!$IT$34&gt;0,0,500000)+IF('計算A'!$IQ$34=2,SUMPRODUCT('計算A'!$D$84:$EQ$84,$DB16:$IO16,$IQ16:$OD16),SUMPRODUCT('計算A'!$D$84:$EQ$84,$DB16:$IO16))*1000+25)</f>
        <v/>
      </c>
      <c r="CG16">
        <f>IF(AM16=1,1000000,IF('計算A'!$IT$35&gt;0,0,500000)+IF('計算A'!$IQ$35=2,SUMPRODUCT('計算A'!$D$85:$EQ$85,$DB16:$IO16,$IQ16:$OD16),SUMPRODUCT('計算A'!$D$85:$EQ$85,$DB16:$IO16))*1000+26)</f>
        <v/>
      </c>
      <c r="CH16">
        <f>IF(AN16=1,1000000,IF('計算A'!$IT$36&gt;0,0,500000)+IF('計算A'!$IQ$36=2,SUMPRODUCT('計算A'!$D$86:$EQ$86,$DB16:$IO16,$IQ16:$OD16),SUMPRODUCT('計算A'!$D$86:$EQ$86,$DB16:$IO16))*1000+27)</f>
        <v/>
      </c>
      <c r="CI16">
        <f>IF(AO16=1,1000000,IF('計算A'!$IT$37&gt;0,0,500000)+IF('計算A'!$IQ$37=2,SUMPRODUCT('計算A'!$D$87:$EQ$87,$DB16:$IO16,$IQ16:$OD16),SUMPRODUCT('計算A'!$D$87:$EQ$87,$DB16:$IO16))*1000+28)</f>
        <v/>
      </c>
      <c r="CJ16">
        <f>IF(AP16=1,1000000,IF('計算A'!$IT$38&gt;0,0,500000)+IF('計算A'!$IQ$38=2,SUMPRODUCT('計算A'!$D$88:$EQ$88,$DB16:$IO16,$IQ16:$OD16),SUMPRODUCT('計算A'!$D$88:$EQ$88,$DB16:$IO16))*1000+29)</f>
        <v/>
      </c>
      <c r="CK16">
        <f>IF(AQ16=1,1000000,IF('計算A'!$IT$39&gt;0,0,500000)+IF('計算A'!$IQ$39=2,SUMPRODUCT('計算A'!$D$89:$EQ$89,$DB16:$IO16,$IQ16:$OD16),SUMPRODUCT('計算A'!$D$89:$EQ$89,$DB16:$IO16))*1000+30)</f>
        <v/>
      </c>
      <c r="CL16">
        <f>IF(AR16=1,1000000,IF('計算A'!$IT$40&gt;0,0,500000)+IF('計算A'!$IQ$40=2,SUMPRODUCT('計算A'!$D$90:$EQ$90,$DB16:$IO16,$IQ16:$OD16),SUMPRODUCT('計算A'!$D$90:$EQ$90,$DB16:$IO16))*1000+31)</f>
        <v/>
      </c>
      <c r="CM16">
        <f>IF(AS16=1,1000000,IF('計算A'!$IT$41&gt;0,0,500000)+IF('計算A'!$IQ$41=2,SUMPRODUCT('計算A'!$D$91:$EQ$91,$DB16:$IO16,$IQ16:$OD16),SUMPRODUCT('計算A'!$D$91:$EQ$91,$DB16:$IO16))*1000+32)</f>
        <v/>
      </c>
      <c r="CN16">
        <f>IF(AT16=1,1000000,IF('計算A'!$IT$42&gt;0,0,500000)+IF('計算A'!$IQ$42=2,SUMPRODUCT('計算A'!$D$92:$EQ$92,$DB16:$IO16,$IQ16:$OD16),SUMPRODUCT('計算A'!$D$92:$EQ$92,$DB16:$IO16))*1000+33)</f>
        <v/>
      </c>
      <c r="CO16">
        <f>IF(AU16=1,1000000,IF('計算A'!$IT$43&gt;0,0,500000)+IF('計算A'!$IQ$43=2,SUMPRODUCT('計算A'!$D$93:$EQ$93,$DB16:$IO16,$IQ16:$OD16),SUMPRODUCT('計算A'!$D$93:$EQ$93,$DB16:$IO16))*1000+34)</f>
        <v/>
      </c>
      <c r="CP16">
        <f>IF(AV16=1,1000000,IF('計算A'!$IT$44&gt;0,0,500000)+IF('計算A'!$IQ$44=2,SUMPRODUCT('計算A'!$D$94:$EQ$94,$DB16:$IO16,$IQ16:$OD16),SUMPRODUCT('計算A'!$D$94:$EQ$94,$DB16:$IO16))*1000+35)</f>
        <v/>
      </c>
      <c r="CQ16">
        <f>IF(AW16=1,1000000,IF('計算A'!$IT$45&gt;0,0,500000)+IF('計算A'!$IQ$45=2,SUMPRODUCT('計算A'!$D$95:$EQ$95,$DB16:$IO16,$IQ16:$OD16),SUMPRODUCT('計算A'!$D$95:$EQ$95,$DB16:$IO16))*1000+36)</f>
        <v/>
      </c>
      <c r="CR16">
        <f>IF(AX16=1,1000000,IF('計算A'!$IT$46&gt;0,0,500000)+IF('計算A'!$IQ$46=2,SUMPRODUCT('計算A'!$D$96:$EQ$96,$DB16:$IO16,$IQ16:$OD16),SUMPRODUCT('計算A'!$D$96:$EQ$96,$DB16:$IO16))*1000+37)</f>
        <v/>
      </c>
      <c r="CS16">
        <f>IF(AY16=1,1000000,IF('計算A'!$IT$47&gt;0,0,500000)+IF('計算A'!$IQ$47=2,SUMPRODUCT('計算A'!$D$97:$EQ$97,$DB16:$IO16,$IQ16:$OD16),SUMPRODUCT('計算A'!$D$97:$EQ$97,$DB16:$IO16))*1000+38)</f>
        <v/>
      </c>
      <c r="CT16">
        <f>IF(AZ16=1,1000000,IF('計算A'!$IT$48&gt;0,0,500000)+IF('計算A'!$IQ$48=2,SUMPRODUCT('計算A'!$D$98:$EQ$98,$DB16:$IO16,$IQ16:$OD16),SUMPRODUCT('計算A'!$D$98:$EQ$98,$DB16:$IO16))*1000+39)</f>
        <v/>
      </c>
      <c r="CU16">
        <f>IF(BA16=1,1000000,IF('計算A'!$IT$49&gt;0,0,500000)+IF('計算A'!$IQ$49=2,SUMPRODUCT('計算A'!$D$99:$EQ$99,$DB16:$IO16,$IQ16:$OD16),SUMPRODUCT('計算A'!$D$99:$EQ$99,$DB16:$IO16))*1000+40)</f>
        <v/>
      </c>
      <c r="CV16">
        <f>IF(BB16=1,1000000,IF('計算A'!$IT$50&gt;0,0,500000)+IF('計算A'!$IQ$50=2,SUMPRODUCT('計算A'!$D$100:$EQ$100,$DB16:$IO16,$IQ16:$OD16),SUMPRODUCT('計算A'!$D$100:$EQ$100,$DB16:$IO16))*1000+41)</f>
        <v/>
      </c>
      <c r="CW16">
        <f>IF(BC16=1,1000000,IF('計算A'!$IT$51&gt;0,0,500000)+IF('計算A'!$IQ$51=2,SUMPRODUCT('計算A'!$D$101:$EQ$101,$DB16:$IO16,$IQ16:$OD16),SUMPRODUCT('計算A'!$D$101:$EQ$101,$DB16:$IO16))*1000+42)</f>
        <v/>
      </c>
      <c r="CX16">
        <f>IF(BD16=1,1000000,IF('計算A'!$IT$52&gt;0,0,500000)+IF('計算A'!$IQ$52=2,SUMPRODUCT('計算A'!$D$102:$EQ$102,$DB16:$IO16,$IQ16:$OD16),SUMPRODUCT('計算A'!$D$102:$EQ$102,$DB16:$IO16))*1000+43)</f>
        <v/>
      </c>
      <c r="CY16">
        <f>IF(BE16=1,1000000,IF('計算A'!$IT$53&gt;0,0,500000)+IF('計算A'!$IQ$53=2,SUMPRODUCT('計算A'!$D$103:$EQ$103,$DB16:$IO16,$IQ16:$OD16),SUMPRODUCT('計算A'!$D$103:$EQ$103,$DB16:$IO16))*1000+44)</f>
        <v/>
      </c>
      <c r="CZ16">
        <f>IF(BF16=1,1000000,IF('計算A'!$IT$54&gt;0,0,500000)+IF('計算A'!$IQ$54=2,SUMPRODUCT('計算A'!$D$104:$EQ$104,$DB16:$IO16,$IQ16:$OD16),SUMPRODUCT('計算A'!$D$104:$EQ$104,$DB16:$IO16))*1000+45)</f>
        <v/>
      </c>
      <c r="DB16">
        <f>DB15*IF(OR($C15=1,$G15=1),0,1)</f>
        <v/>
      </c>
      <c r="DC16">
        <f>DC15*IF(OR($C15=2,$G15=2),0,1)</f>
        <v/>
      </c>
      <c r="DD16">
        <f>DD15*IF(OR($C15=3,$G15=3),0,1)</f>
        <v/>
      </c>
      <c r="DE16">
        <f>DE15*IF(OR($C15=4,$G15=4),0,1)</f>
        <v/>
      </c>
      <c r="DF16">
        <f>DF15*IF(OR($C15=5,$G15=5),0,1)</f>
        <v/>
      </c>
      <c r="DG16">
        <f>DG15*IF(OR($C15=6,$G15=6),0,1)</f>
        <v/>
      </c>
      <c r="DH16">
        <f>DH15*IF(OR($C15=7,$G15=7),0,1)</f>
        <v/>
      </c>
      <c r="DI16">
        <f>DI15*IF(OR($C15=8,$G15=8),0,1)</f>
        <v/>
      </c>
      <c r="DJ16">
        <f>DJ15*IF(OR($C15=9,$G15=9),0,1)</f>
        <v/>
      </c>
      <c r="DK16">
        <f>DK15*IF(OR($C15=10,$G15=10),0,1)</f>
        <v/>
      </c>
      <c r="DL16">
        <f>DL15*IF(OR($C15=11,$G15=11),0,1)</f>
        <v/>
      </c>
      <c r="DM16">
        <f>DM15*IF(OR($C15=12,$G15=12),0,1)</f>
        <v/>
      </c>
      <c r="DN16">
        <f>DN15*IF(OR($C15=13,$G15=13),0,1)</f>
        <v/>
      </c>
      <c r="DO16">
        <f>DO15*IF(OR($C15=14,$G15=14),0,1)</f>
        <v/>
      </c>
      <c r="DP16">
        <f>DP15*IF(OR($C15=15,$G15=15),0,1)</f>
        <v/>
      </c>
      <c r="DQ16">
        <f>DQ15*IF(OR($C15=16,$G15=16),0,1)</f>
        <v/>
      </c>
      <c r="DR16">
        <f>DR15*IF(OR($C15=17,$G15=17),0,1)</f>
        <v/>
      </c>
      <c r="DS16">
        <f>DS15*IF(OR($C15=18,$G15=18),0,1)</f>
        <v/>
      </c>
      <c r="DT16">
        <f>DT15*IF(OR($C15=19,$G15=19),0,1)</f>
        <v/>
      </c>
      <c r="DU16">
        <f>DU15*IF(OR($C15=20,$G15=20),0,1)</f>
        <v/>
      </c>
      <c r="DV16">
        <f>DV15*IF(OR($C15=21,$G15=21),0,1)</f>
        <v/>
      </c>
      <c r="DW16">
        <f>DW15*IF(OR($C15=22,$G15=22),0,1)</f>
        <v/>
      </c>
      <c r="DX16">
        <f>DX15*IF(OR($C15=23,$G15=23),0,1)</f>
        <v/>
      </c>
      <c r="DY16">
        <f>DY15*IF(OR($C15=24,$G15=24),0,1)</f>
        <v/>
      </c>
      <c r="DZ16">
        <f>DZ15*IF(OR($C15=25,$G15=25),0,1)</f>
        <v/>
      </c>
      <c r="EA16">
        <f>EA15*IF(OR($C15=26,$G15=26),0,1)</f>
        <v/>
      </c>
      <c r="EB16">
        <f>EB15*IF(OR($C15=27,$G15=27),0,1)</f>
        <v/>
      </c>
      <c r="EC16">
        <f>EC15*IF(OR($C15=28,$G15=28),0,1)</f>
        <v/>
      </c>
      <c r="ED16">
        <f>ED15*IF(OR($C15=29,$G15=29),0,1)</f>
        <v/>
      </c>
      <c r="EE16">
        <f>EE15*IF(OR($C15=30,$G15=30),0,1)</f>
        <v/>
      </c>
      <c r="EF16">
        <f>EF15*IF(OR($C15=31,$G15=31),0,1)</f>
        <v/>
      </c>
      <c r="EG16">
        <f>EG15*IF(OR($C15=32,$G15=32),0,1)</f>
        <v/>
      </c>
      <c r="EH16">
        <f>EH15*IF(OR($C15=33,$G15=33),0,1)</f>
        <v/>
      </c>
      <c r="EI16">
        <f>EI15*IF(OR($C15=34,$G15=34),0,1)</f>
        <v/>
      </c>
      <c r="EJ16">
        <f>EJ15*IF(OR($C15=35,$G15=35),0,1)</f>
        <v/>
      </c>
      <c r="EK16">
        <f>EK15*IF(OR($C15=36,$G15=36),0,1)</f>
        <v/>
      </c>
      <c r="EL16">
        <f>EL15*IF(OR($C15=37,$G15=37),0,1)</f>
        <v/>
      </c>
      <c r="EM16">
        <f>EM15*IF(OR($C15=38,$G15=38),0,1)</f>
        <v/>
      </c>
      <c r="EN16">
        <f>EN15*IF(OR($C15=39,$G15=39),0,1)</f>
        <v/>
      </c>
      <c r="EO16">
        <f>EO15*IF(OR($C15=40,$G15=40),0,1)</f>
        <v/>
      </c>
      <c r="EP16">
        <f>EP15*IF(OR($C15=41,$G15=41),0,1)</f>
        <v/>
      </c>
      <c r="EQ16">
        <f>EQ15*IF(OR($C15=42,$G15=42),0,1)</f>
        <v/>
      </c>
      <c r="ER16">
        <f>ER15*IF(OR($C15=43,$G15=43),0,1)</f>
        <v/>
      </c>
      <c r="ES16">
        <f>ES15*IF(OR($C15=44,$G15=44),0,1)</f>
        <v/>
      </c>
      <c r="ET16">
        <f>ET15*IF(OR($C15=45,$G15=45),0,1)</f>
        <v/>
      </c>
      <c r="EU16">
        <f>EU15*IF(OR($C15=46,$G15=46),0,1)</f>
        <v/>
      </c>
      <c r="EV16">
        <f>EV15*IF(OR($C15=47,$G15=47),0,1)</f>
        <v/>
      </c>
      <c r="EW16">
        <f>EW15*IF(OR($C15=48,$G15=48),0,1)</f>
        <v/>
      </c>
      <c r="EX16">
        <f>EX15*IF(OR($C15=49,$G15=49),0,1)</f>
        <v/>
      </c>
      <c r="EY16">
        <f>EY15*IF(OR($C15=50,$G15=50),0,1)</f>
        <v/>
      </c>
      <c r="EZ16">
        <f>EZ15*IF(OR($C15=51,$G15=51),0,1)</f>
        <v/>
      </c>
      <c r="FA16">
        <f>FA15*IF(OR($C15=52,$G15=52),0,1)</f>
        <v/>
      </c>
      <c r="FB16">
        <f>FB15*IF(OR($C15=53,$G15=53),0,1)</f>
        <v/>
      </c>
      <c r="FC16">
        <f>FC15*IF(OR($C15=54,$G15=54),0,1)</f>
        <v/>
      </c>
      <c r="FD16">
        <f>FD15*IF(OR($C15=55,$G15=55),0,1)</f>
        <v/>
      </c>
      <c r="FE16">
        <f>FE15*IF(OR($C15=56,$G15=56),0,1)</f>
        <v/>
      </c>
      <c r="FF16">
        <f>FF15*IF(OR($C15=57,$G15=57),0,1)</f>
        <v/>
      </c>
      <c r="FG16">
        <f>FG15*IF(OR($C15=58,$G15=58),0,1)</f>
        <v/>
      </c>
      <c r="FH16">
        <f>FH15*IF(OR($C15=59,$G15=59),0,1)</f>
        <v/>
      </c>
      <c r="FI16">
        <f>FI15*IF(OR($C15=60,$G15=60),0,1)</f>
        <v/>
      </c>
      <c r="FJ16">
        <f>FJ15*IF(OR($C15=61,$G15=61),0,1)</f>
        <v/>
      </c>
      <c r="FK16">
        <f>FK15*IF(OR($C15=62,$G15=62),0,1)</f>
        <v/>
      </c>
      <c r="FL16">
        <f>FL15*IF(OR($C15=63,$G15=63),0,1)</f>
        <v/>
      </c>
      <c r="FM16">
        <f>FM15*IF(OR($C15=64,$G15=64),0,1)</f>
        <v/>
      </c>
      <c r="FN16">
        <f>FN15*IF(OR($C15=65,$G15=65),0,1)</f>
        <v/>
      </c>
      <c r="FO16">
        <f>FO15*IF(OR($C15=66,$G15=66),0,1)</f>
        <v/>
      </c>
      <c r="FP16">
        <f>FP15*IF(OR($C15=67,$G15=67),0,1)</f>
        <v/>
      </c>
      <c r="FQ16">
        <f>FQ15*IF(OR($C15=68,$G15=68),0,1)</f>
        <v/>
      </c>
      <c r="FR16">
        <f>FR15*IF(OR($C15=69,$G15=69),0,1)</f>
        <v/>
      </c>
      <c r="FS16">
        <f>FS15*IF(OR($C15=70,$G15=70),0,1)</f>
        <v/>
      </c>
      <c r="FT16">
        <f>FT15*IF(OR($C15=71,$G15=71),0,1)</f>
        <v/>
      </c>
      <c r="FU16">
        <f>FU15*IF(OR($C15=72,$G15=72),0,1)</f>
        <v/>
      </c>
      <c r="FV16">
        <f>FV15*IF(OR($C15=73,$G15=73),0,1)</f>
        <v/>
      </c>
      <c r="FW16">
        <f>FW15*IF(OR($C15=74,$G15=74),0,1)</f>
        <v/>
      </c>
      <c r="FX16">
        <f>FX15*IF(OR($C15=75,$G15=75),0,1)</f>
        <v/>
      </c>
      <c r="FY16">
        <f>FY15*IF(OR($C15=76,$G15=76),0,1)</f>
        <v/>
      </c>
      <c r="FZ16">
        <f>FZ15*IF(OR($C15=77,$G15=77),0,1)</f>
        <v/>
      </c>
      <c r="GA16">
        <f>GA15*IF(OR($C15=78,$G15=78),0,1)</f>
        <v/>
      </c>
      <c r="GB16">
        <f>GB15*IF(OR($C15=79,$G15=79),0,1)</f>
        <v/>
      </c>
      <c r="GC16">
        <f>GC15*IF(OR($C15=80,$G15=80),0,1)</f>
        <v/>
      </c>
      <c r="GD16">
        <f>GD15*IF(OR($C15=81,$G15=81),0,1)</f>
        <v/>
      </c>
      <c r="GE16">
        <f>GE15*IF(OR($C15=82,$G15=82),0,1)</f>
        <v/>
      </c>
      <c r="GF16">
        <f>GF15*IF(OR($C15=83,$G15=83),0,1)</f>
        <v/>
      </c>
      <c r="GG16">
        <f>GG15*IF(OR($C15=84,$G15=84),0,1)</f>
        <v/>
      </c>
      <c r="GH16">
        <f>GH15*IF(OR($C15=85,$G15=85),0,1)</f>
        <v/>
      </c>
      <c r="GI16">
        <f>GI15*IF(OR($C15=86,$G15=86),0,1)</f>
        <v/>
      </c>
      <c r="GJ16">
        <f>GJ15*IF(OR($C15=87,$G15=87),0,1)</f>
        <v/>
      </c>
      <c r="GK16">
        <f>GK15*IF(OR($C15=88,$G15=88),0,1)</f>
        <v/>
      </c>
      <c r="GL16">
        <f>GL15*IF(OR($C15=89,$G15=89),0,1)</f>
        <v/>
      </c>
      <c r="GM16">
        <f>GM15*IF(OR($C15=90,$G15=90),0,1)</f>
        <v/>
      </c>
      <c r="GN16">
        <f>GN15*IF(OR($C15=91,$G15=91),0,1)</f>
        <v/>
      </c>
      <c r="GO16">
        <f>GO15*IF(OR($C15=92,$G15=92),0,1)</f>
        <v/>
      </c>
      <c r="GP16">
        <f>GP15*IF(OR($C15=93,$G15=93),0,1)</f>
        <v/>
      </c>
      <c r="GQ16">
        <f>GQ15*IF(OR($C15=94,$G15=94),0,1)</f>
        <v/>
      </c>
      <c r="GR16">
        <f>GR15*IF(OR($C15=95,$G15=95),0,1)</f>
        <v/>
      </c>
      <c r="GS16">
        <f>GS15*IF(OR($C15=96,$G15=96),0,1)</f>
        <v/>
      </c>
      <c r="GT16">
        <f>GT15*IF(OR($C15=97,$G15=97),0,1)</f>
        <v/>
      </c>
      <c r="GU16">
        <f>GU15*IF(OR($C15=98,$G15=98),0,1)</f>
        <v/>
      </c>
      <c r="GV16">
        <f>GV15*IF(OR($C15=99,$G15=99),0,1)</f>
        <v/>
      </c>
      <c r="GW16">
        <f>GW15*IF(OR($C15=100,$G15=100),0,1)</f>
        <v/>
      </c>
      <c r="GX16">
        <f>GX15*IF(OR($C15=101,$G15=101),0,1)</f>
        <v/>
      </c>
      <c r="GY16">
        <f>GY15*IF(OR($C15=102,$G15=102),0,1)</f>
        <v/>
      </c>
      <c r="GZ16">
        <f>GZ15*IF(OR($C15=103,$G15=103),0,1)</f>
        <v/>
      </c>
      <c r="HA16">
        <f>HA15*IF(OR($C15=104,$G15=104),0,1)</f>
        <v/>
      </c>
      <c r="HB16">
        <f>HB15*IF(OR($C15=105,$G15=105),0,1)</f>
        <v/>
      </c>
      <c r="HC16">
        <f>HC15*IF(OR($C15=106,$G15=106),0,1)</f>
        <v/>
      </c>
      <c r="HD16">
        <f>HD15*IF(OR($C15=107,$G15=107),0,1)</f>
        <v/>
      </c>
      <c r="HE16">
        <f>HE15*IF(OR($C15=108,$G15=108),0,1)</f>
        <v/>
      </c>
      <c r="HF16">
        <f>HF15*IF(OR($C15=109,$G15=109),0,1)</f>
        <v/>
      </c>
      <c r="HG16">
        <f>HG15*IF(OR($C15=110,$G15=110),0,1)</f>
        <v/>
      </c>
      <c r="HH16">
        <f>HH15*IF(OR($C15=111,$G15=111),0,1)</f>
        <v/>
      </c>
      <c r="HI16">
        <f>HI15*IF(OR($C15=112,$G15=112),0,1)</f>
        <v/>
      </c>
      <c r="HJ16">
        <f>HJ15*IF(OR($C15=113,$G15=113),0,1)</f>
        <v/>
      </c>
      <c r="HK16">
        <f>HK15*IF(OR($C15=114,$G15=114),0,1)</f>
        <v/>
      </c>
      <c r="HL16">
        <f>HL15*IF(OR($C15=115,$G15=115),0,1)</f>
        <v/>
      </c>
      <c r="HM16">
        <f>HM15*IF(OR($C15=116,$G15=116),0,1)</f>
        <v/>
      </c>
      <c r="HN16">
        <f>HN15*IF(OR($C15=117,$G15=117),0,1)</f>
        <v/>
      </c>
      <c r="HO16">
        <f>HO15*IF(OR($C15=118,$G15=118),0,1)</f>
        <v/>
      </c>
      <c r="HP16">
        <f>HP15*IF(OR($C15=119,$G15=119),0,1)</f>
        <v/>
      </c>
      <c r="HQ16">
        <f>HQ15*IF(OR($C15=120,$G15=120),0,1)</f>
        <v/>
      </c>
      <c r="HR16">
        <f>HR15*IF(OR($C15=121,$G15=121),0,1)</f>
        <v/>
      </c>
      <c r="HS16">
        <f>HS15*IF(OR($C15=122,$G15=122),0,1)</f>
        <v/>
      </c>
      <c r="HT16">
        <f>HT15*IF(OR($C15=123,$G15=123),0,1)</f>
        <v/>
      </c>
      <c r="HU16">
        <f>HU15*IF(OR($C15=124,$G15=124),0,1)</f>
        <v/>
      </c>
      <c r="HV16">
        <f>HV15*IF(OR($C15=125,$G15=125),0,1)</f>
        <v/>
      </c>
      <c r="HW16">
        <f>HW15*IF(OR($C15=126,$G15=126),0,1)</f>
        <v/>
      </c>
      <c r="HX16">
        <f>HX15*IF(OR($C15=127,$G15=127),0,1)</f>
        <v/>
      </c>
      <c r="HY16">
        <f>HY15*IF(OR($C15=128,$G15=128),0,1)</f>
        <v/>
      </c>
      <c r="HZ16">
        <f>HZ15*IF(OR($C15=129,$G15=129),0,1)</f>
        <v/>
      </c>
      <c r="IA16">
        <f>IA15*IF(OR($C15=130,$G15=130),0,1)</f>
        <v/>
      </c>
      <c r="IB16">
        <f>IB15*IF(OR($C15=131,$G15=131),0,1)</f>
        <v/>
      </c>
      <c r="IC16">
        <f>IC15*IF(OR($C15=132,$G15=132),0,1)</f>
        <v/>
      </c>
      <c r="ID16">
        <f>ID15*IF(OR($C15=133,$G15=133),0,1)</f>
        <v/>
      </c>
      <c r="IE16">
        <f>IE15*IF(OR($C15=134,$G15=134),0,1)</f>
        <v/>
      </c>
      <c r="IF16">
        <f>IF15*IF(OR($C15=135,$G15=135),0,1)</f>
        <v/>
      </c>
      <c r="IG16">
        <f>IG15*IF(OR($C15=136,$G15=136),0,1)</f>
        <v/>
      </c>
      <c r="IH16">
        <f>IH15*IF(OR($C15=137,$G15=137),0,1)</f>
        <v/>
      </c>
      <c r="II16">
        <f>II15*IF(OR($C15=138,$G15=138),0,1)</f>
        <v/>
      </c>
      <c r="IJ16">
        <f>IJ15*IF(OR($C15=139,$G15=139),0,1)</f>
        <v/>
      </c>
      <c r="IK16">
        <f>IK15*IF(OR($C15=140,$G15=140),0,1)</f>
        <v/>
      </c>
      <c r="IL16">
        <f>IL15*IF(OR($C15=141,$G15=141),0,1)</f>
        <v/>
      </c>
      <c r="IM16">
        <f>IM15*IF(OR($C15=142,$G15=142),0,1)</f>
        <v/>
      </c>
      <c r="IN16">
        <f>IN15*IF(OR($C15=143,$G15=143),0,1)</f>
        <v/>
      </c>
      <c r="IO16">
        <f>IO15*IF(OR($C15=144,$G15=144),0,1)</f>
        <v/>
      </c>
      <c r="IQ16">
        <f>IF('計算A'!D$106=1,DC16,1)</f>
        <v/>
      </c>
      <c r="IR16">
        <f>IF('計算A'!E$106=1,DD16,1)</f>
        <v/>
      </c>
      <c r="IS16">
        <f>IF('計算A'!F$106=1,DE16,1)</f>
        <v/>
      </c>
      <c r="IT16">
        <f>IF('計算A'!G$106=1,DF16,1)</f>
        <v/>
      </c>
      <c r="IU16">
        <f>IF('計算A'!H$106=1,DG16,1)</f>
        <v/>
      </c>
      <c r="IV16">
        <f>IF('計算A'!I$106=1,DH16,1)</f>
        <v/>
      </c>
      <c r="IW16">
        <f>IF('計算A'!J$106=1,DI16,1)</f>
        <v/>
      </c>
      <c r="IX16">
        <f>IF('計算A'!K$106=1,DJ16,1)</f>
        <v/>
      </c>
      <c r="IY16">
        <f>IF('計算A'!L$106=1,DK16,1)</f>
        <v/>
      </c>
      <c r="IZ16">
        <f>IF('計算A'!M$106=1,DL16,1)</f>
        <v/>
      </c>
      <c r="JA16">
        <f>IF('計算A'!N$106=1,DM16,1)</f>
        <v/>
      </c>
      <c r="JB16">
        <f>IF('計算A'!O$106=1,DN16,1)</f>
        <v/>
      </c>
      <c r="JC16">
        <f>IF('計算A'!P$106=1,DO16,1)</f>
        <v/>
      </c>
      <c r="JD16">
        <f>IF('計算A'!Q$106=1,DP16,1)</f>
        <v/>
      </c>
      <c r="JE16">
        <f>IF('計算A'!R$106=1,DQ16,1)</f>
        <v/>
      </c>
      <c r="JF16">
        <f>IF('計算A'!S$106=1,DR16,1)</f>
        <v/>
      </c>
      <c r="JG16">
        <f>IF('計算A'!T$106=1,DS16,1)</f>
        <v/>
      </c>
      <c r="JH16">
        <f>IF('計算A'!U$106=1,DT16,1)</f>
        <v/>
      </c>
      <c r="JI16">
        <f>IF('計算A'!V$106=1,DU16,1)</f>
        <v/>
      </c>
      <c r="JJ16">
        <f>IF('計算A'!W$106=1,DV16,1)</f>
        <v/>
      </c>
      <c r="JK16">
        <f>IF('計算A'!X$106=1,DW16,1)</f>
        <v/>
      </c>
      <c r="JL16">
        <f>IF('計算A'!Y$106=1,DX16,1)</f>
        <v/>
      </c>
      <c r="JM16">
        <f>IF('計算A'!Z$106=1,DY16,1)</f>
        <v/>
      </c>
      <c r="JN16">
        <f>IF('計算A'!AA$106=1,DZ16,1)</f>
        <v/>
      </c>
      <c r="JO16">
        <f>IF('計算A'!AB$106=1,EA16,1)</f>
        <v/>
      </c>
      <c r="JP16">
        <f>IF('計算A'!AC$106=1,EB16,1)</f>
        <v/>
      </c>
      <c r="JQ16">
        <f>IF('計算A'!AD$106=1,EC16,1)</f>
        <v/>
      </c>
      <c r="JR16">
        <f>IF('計算A'!AE$106=1,ED16,1)</f>
        <v/>
      </c>
      <c r="JS16">
        <f>IF('計算A'!AF$106=1,EE16,1)</f>
        <v/>
      </c>
      <c r="JT16">
        <f>IF('計算A'!AG$106=1,EF16,1)</f>
        <v/>
      </c>
      <c r="JU16">
        <f>IF('計算A'!AH$106=1,EG16,1)</f>
        <v/>
      </c>
      <c r="JV16">
        <f>IF('計算A'!AI$106=1,EH16,1)</f>
        <v/>
      </c>
      <c r="JW16">
        <f>IF('計算A'!AJ$106=1,EI16,1)</f>
        <v/>
      </c>
      <c r="JX16">
        <f>IF('計算A'!AK$106=1,EJ16,1)</f>
        <v/>
      </c>
      <c r="JY16">
        <f>IF('計算A'!AL$106=1,EK16,1)</f>
        <v/>
      </c>
      <c r="JZ16">
        <f>IF('計算A'!AM$106=1,EL16,1)</f>
        <v/>
      </c>
      <c r="KA16">
        <f>IF('計算A'!AN$106=1,EM16,1)</f>
        <v/>
      </c>
      <c r="KB16">
        <f>IF('計算A'!AO$106=1,EN16,1)</f>
        <v/>
      </c>
      <c r="KC16">
        <f>IF('計算A'!AP$106=1,EO16,1)</f>
        <v/>
      </c>
      <c r="KD16">
        <f>IF('計算A'!AQ$106=1,EP16,1)</f>
        <v/>
      </c>
      <c r="KE16">
        <f>IF('計算A'!AR$106=1,EQ16,1)</f>
        <v/>
      </c>
      <c r="KF16">
        <f>IF('計算A'!AS$106=1,ER16,1)</f>
        <v/>
      </c>
      <c r="KG16">
        <f>IF('計算A'!AT$106=1,ES16,1)</f>
        <v/>
      </c>
      <c r="KH16">
        <f>IF('計算A'!AU$106=1,ET16,1)</f>
        <v/>
      </c>
      <c r="KI16">
        <f>IF('計算A'!AV$106=1,EU16,1)</f>
        <v/>
      </c>
      <c r="KJ16">
        <f>IF('計算A'!AW$106=1,EV16,1)</f>
        <v/>
      </c>
      <c r="KK16">
        <f>IF('計算A'!AX$106=1,EW16,1)</f>
        <v/>
      </c>
      <c r="KL16">
        <f>IF('計算A'!AY$106=1,EX16,1)</f>
        <v/>
      </c>
      <c r="KM16">
        <f>IF('計算A'!AZ$106=1,EY16,1)</f>
        <v/>
      </c>
      <c r="KN16">
        <f>IF('計算A'!BA$106=1,EZ16,1)</f>
        <v/>
      </c>
      <c r="KO16">
        <f>IF('計算A'!BB$106=1,FA16,1)</f>
        <v/>
      </c>
      <c r="KP16">
        <f>IF('計算A'!BC$106=1,FB16,1)</f>
        <v/>
      </c>
      <c r="KQ16">
        <f>IF('計算A'!BD$106=1,FC16,1)</f>
        <v/>
      </c>
      <c r="KR16">
        <f>IF('計算A'!BE$106=1,FD16,1)</f>
        <v/>
      </c>
      <c r="KS16">
        <f>IF('計算A'!BF$106=1,FE16,1)</f>
        <v/>
      </c>
      <c r="KT16">
        <f>IF('計算A'!BG$106=1,FF16,1)</f>
        <v/>
      </c>
      <c r="KU16">
        <f>IF('計算A'!BH$106=1,FG16,1)</f>
        <v/>
      </c>
      <c r="KV16">
        <f>IF('計算A'!BI$106=1,FH16,1)</f>
        <v/>
      </c>
      <c r="KW16">
        <f>IF('計算A'!BJ$106=1,FI16,1)</f>
        <v/>
      </c>
      <c r="KX16">
        <f>IF('計算A'!BK$106=1,FJ16,1)</f>
        <v/>
      </c>
      <c r="KY16">
        <f>IF('計算A'!BL$106=1,FK16,1)</f>
        <v/>
      </c>
      <c r="KZ16">
        <f>IF('計算A'!BM$106=1,FL16,1)</f>
        <v/>
      </c>
      <c r="LA16">
        <f>IF('計算A'!BN$106=1,FM16,1)</f>
        <v/>
      </c>
      <c r="LB16">
        <f>IF('計算A'!BO$106=1,FN16,1)</f>
        <v/>
      </c>
      <c r="LC16">
        <f>IF('計算A'!BP$106=1,FO16,1)</f>
        <v/>
      </c>
      <c r="LD16">
        <f>IF('計算A'!BQ$106=1,FP16,1)</f>
        <v/>
      </c>
      <c r="LE16">
        <f>IF('計算A'!BR$106=1,FQ16,1)</f>
        <v/>
      </c>
      <c r="LF16">
        <f>IF('計算A'!BS$106=1,FR16,1)</f>
        <v/>
      </c>
      <c r="LG16">
        <f>IF('計算A'!BT$106=1,FS16,1)</f>
        <v/>
      </c>
      <c r="LH16">
        <f>IF('計算A'!BU$106=1,FT16,1)</f>
        <v/>
      </c>
      <c r="LI16">
        <f>IF('計算A'!BV$106=1,FU16,1)</f>
        <v/>
      </c>
      <c r="LJ16">
        <f>IF('計算A'!BW$106=1,FV16,1)</f>
        <v/>
      </c>
      <c r="LK16">
        <f>IF('計算A'!BX$106=1,FW16,1)</f>
        <v/>
      </c>
      <c r="LL16">
        <f>IF('計算A'!BY$106=1,FX16,1)</f>
        <v/>
      </c>
      <c r="LM16">
        <f>IF('計算A'!BZ$106=1,FY16,1)</f>
        <v/>
      </c>
      <c r="LN16">
        <f>IF('計算A'!CA$106=1,FZ16,1)</f>
        <v/>
      </c>
      <c r="LO16">
        <f>IF('計算A'!CB$106=1,GA16,1)</f>
        <v/>
      </c>
      <c r="LP16">
        <f>IF('計算A'!CC$106=1,GB16,1)</f>
        <v/>
      </c>
      <c r="LQ16">
        <f>IF('計算A'!CD$106=1,GC16,1)</f>
        <v/>
      </c>
      <c r="LR16">
        <f>IF('計算A'!CE$106=1,GD16,1)</f>
        <v/>
      </c>
      <c r="LS16">
        <f>IF('計算A'!CF$106=1,GE16,1)</f>
        <v/>
      </c>
      <c r="LT16">
        <f>IF('計算A'!CG$106=1,GF16,1)</f>
        <v/>
      </c>
      <c r="LU16">
        <f>IF('計算A'!CH$106=1,GG16,1)</f>
        <v/>
      </c>
      <c r="LV16">
        <f>IF('計算A'!CI$106=1,GH16,1)</f>
        <v/>
      </c>
      <c r="LW16">
        <f>IF('計算A'!CJ$106=1,GI16,1)</f>
        <v/>
      </c>
      <c r="LX16">
        <f>IF('計算A'!CK$106=1,GJ16,1)</f>
        <v/>
      </c>
      <c r="LY16">
        <f>IF('計算A'!CL$106=1,GK16,1)</f>
        <v/>
      </c>
      <c r="LZ16">
        <f>IF('計算A'!CM$106=1,GL16,1)</f>
        <v/>
      </c>
      <c r="MA16">
        <f>IF('計算A'!CN$106=1,GM16,1)</f>
        <v/>
      </c>
      <c r="MB16">
        <f>IF('計算A'!CO$106=1,GN16,1)</f>
        <v/>
      </c>
      <c r="MC16">
        <f>IF('計算A'!CP$106=1,GO16,1)</f>
        <v/>
      </c>
      <c r="MD16">
        <f>IF('計算A'!CQ$106=1,GP16,1)</f>
        <v/>
      </c>
      <c r="ME16">
        <f>IF('計算A'!CR$106=1,GQ16,1)</f>
        <v/>
      </c>
      <c r="MF16">
        <f>IF('計算A'!CS$106=1,GR16,1)</f>
        <v/>
      </c>
      <c r="MG16">
        <f>IF('計算A'!CT$106=1,GS16,1)</f>
        <v/>
      </c>
      <c r="MH16">
        <f>IF('計算A'!CU$106=1,GT16,1)</f>
        <v/>
      </c>
      <c r="MI16">
        <f>IF('計算A'!CV$106=1,GU16,1)</f>
        <v/>
      </c>
      <c r="MJ16">
        <f>IF('計算A'!CW$106=1,GV16,1)</f>
        <v/>
      </c>
      <c r="MK16">
        <f>IF('計算A'!CX$106=1,GW16,1)</f>
        <v/>
      </c>
      <c r="ML16">
        <f>IF('計算A'!CY$106=1,GX16,1)</f>
        <v/>
      </c>
      <c r="MM16">
        <f>IF('計算A'!CZ$106=1,GY16,1)</f>
        <v/>
      </c>
      <c r="MN16">
        <f>IF('計算A'!DA$106=1,GZ16,1)</f>
        <v/>
      </c>
      <c r="MO16">
        <f>IF('計算A'!DB$106=1,HA16,1)</f>
        <v/>
      </c>
      <c r="MP16">
        <f>IF('計算A'!DC$106=1,HB16,1)</f>
        <v/>
      </c>
      <c r="MQ16">
        <f>IF('計算A'!DD$106=1,HC16,1)</f>
        <v/>
      </c>
      <c r="MR16">
        <f>IF('計算A'!DE$106=1,HD16,1)</f>
        <v/>
      </c>
      <c r="MS16">
        <f>IF('計算A'!DF$106=1,HE16,1)</f>
        <v/>
      </c>
      <c r="MT16">
        <f>IF('計算A'!DG$106=1,HF16,1)</f>
        <v/>
      </c>
      <c r="MU16">
        <f>IF('計算A'!DH$106=1,HG16,1)</f>
        <v/>
      </c>
      <c r="MV16">
        <f>IF('計算A'!DI$106=1,HH16,1)</f>
        <v/>
      </c>
      <c r="MW16">
        <f>IF('計算A'!DJ$106=1,HI16,1)</f>
        <v/>
      </c>
      <c r="MX16">
        <f>IF('計算A'!DK$106=1,HJ16,1)</f>
        <v/>
      </c>
      <c r="MY16">
        <f>IF('計算A'!DL$106=1,HK16,1)</f>
        <v/>
      </c>
      <c r="MZ16">
        <f>IF('計算A'!DM$106=1,HL16,1)</f>
        <v/>
      </c>
      <c r="NA16">
        <f>IF('計算A'!DN$106=1,HM16,1)</f>
        <v/>
      </c>
      <c r="NB16">
        <f>IF('計算A'!DO$106=1,HN16,1)</f>
        <v/>
      </c>
      <c r="NC16">
        <f>IF('計算A'!DP$106=1,HO16,1)</f>
        <v/>
      </c>
      <c r="ND16">
        <f>IF('計算A'!DQ$106=1,HP16,1)</f>
        <v/>
      </c>
      <c r="NE16">
        <f>IF('計算A'!DR$106=1,HQ16,1)</f>
        <v/>
      </c>
      <c r="NF16">
        <f>IF('計算A'!DS$106=1,HR16,1)</f>
        <v/>
      </c>
      <c r="NG16">
        <f>IF('計算A'!DT$106=1,HS16,1)</f>
        <v/>
      </c>
      <c r="NH16">
        <f>IF('計算A'!DU$106=1,HT16,1)</f>
        <v/>
      </c>
      <c r="NI16">
        <f>IF('計算A'!DV$106=1,HU16,1)</f>
        <v/>
      </c>
      <c r="NJ16">
        <f>IF('計算A'!DW$106=1,HV16,1)</f>
        <v/>
      </c>
      <c r="NK16">
        <f>IF('計算A'!DX$106=1,HW16,1)</f>
        <v/>
      </c>
      <c r="NL16">
        <f>IF('計算A'!DY$106=1,HX16,1)</f>
        <v/>
      </c>
      <c r="NM16">
        <f>IF('計算A'!DZ$106=1,HY16,1)</f>
        <v/>
      </c>
      <c r="NN16">
        <f>IF('計算A'!EA$106=1,HZ16,1)</f>
        <v/>
      </c>
      <c r="NO16">
        <f>IF('計算A'!EB$106=1,IA16,1)</f>
        <v/>
      </c>
      <c r="NP16">
        <f>IF('計算A'!EC$106=1,IB16,1)</f>
        <v/>
      </c>
      <c r="NQ16">
        <f>IF('計算A'!ED$106=1,IC16,1)</f>
        <v/>
      </c>
      <c r="NR16">
        <f>IF('計算A'!EE$106=1,ID16,1)</f>
        <v/>
      </c>
      <c r="NS16">
        <f>IF('計算A'!EF$106=1,IE16,1)</f>
        <v/>
      </c>
      <c r="NT16">
        <f>IF('計算A'!EG$106=1,IF16,1)</f>
        <v/>
      </c>
      <c r="NU16">
        <f>IF('計算A'!EH$106=1,IG16,1)</f>
        <v/>
      </c>
      <c r="NV16">
        <f>IF('計算A'!EI$106=1,IH16,1)</f>
        <v/>
      </c>
      <c r="NW16">
        <f>IF('計算A'!EJ$106=1,II16,1)</f>
        <v/>
      </c>
      <c r="NX16">
        <f>IF('計算A'!EK$106=1,IJ16,1)</f>
        <v/>
      </c>
      <c r="NY16">
        <f>IF('計算A'!EL$106=1,IK16,1)</f>
        <v/>
      </c>
      <c r="NZ16">
        <f>IF('計算A'!EM$106=1,IL16,1)</f>
        <v/>
      </c>
      <c r="OA16">
        <f>IF('計算A'!EN$106=1,IM16,1)</f>
        <v/>
      </c>
      <c r="OB16">
        <f>IF('計算A'!EO$106=1,IN16,1)</f>
        <v/>
      </c>
      <c r="OC16">
        <f>IF('計算A'!EP$106=1,IO16,1)</f>
        <v/>
      </c>
      <c r="OD16" t="n">
        <v>1</v>
      </c>
      <c r="OF16">
        <f>IF($B16=0,1000000,IF(INDEX('計算A'!$D$60:$EQ$104,$B16,1)*DB16=1,IF(AND($E16=2,IQ16=0),1000000,IF($I16&gt;0,IF(1=$J16,IF(OR(AND(1=$I16+1,OR($K16&lt;&gt;'計算A'!$A$3,'計算A'!$A$4=0)),AND(1=$I16-1,OR(1&lt;&gt;'計算A'!$A$3,'計算A'!$A$4=0))),0,IF(1=$K16,200000,ABS(1-$K16)*100)),100000+ABS(1-$J16)*1000+10)+'計算A'!D$5*50+IF(AND($E16=1,IQ16=0),25,0),IF($F16&gt;0,INDEX('計算A'!D$110:D$114,$F16+1)+IF(AND($E16=1,IQ16=0),1000,0),MIN(TU16,20)*400+(IF('計算A'!D$106=1,1-DC16,0))*150+11+'計算A'!D$5*100000+IF(AND($E16=1,IQ16=0),50000,0))+IF($H16=1,(IF('計算A'!D$117=1,INDEX('計算A'!E$10:E$54,$B16),0))*4000,0)-IF(AND($L16=1,'計算A'!D$117=1,DC16=0),2000,0))),1000000))</f>
        <v/>
      </c>
      <c r="OG16">
        <f>IF($B16=0,1000000,IF(INDEX('計算A'!$D$60:$EQ$104,$B16,2)*DC16=1,IF(AND($E16=2,IR16=0),1000000,IF($I16&gt;0,IF(1=$J16,IF(OR(AND(2=$I16+1,OR($K16&lt;&gt;'計算A'!$A$3,'計算A'!$A$4=0)),AND(2=$I16-1,OR(2&lt;&gt;'計算A'!$A$3,'計算A'!$A$4=0))),0,IF(2=$K16,200000,ABS(2-$K16)*100)),100000+ABS(1-$J16)*1000+20)+'計算A'!E$5*50+IF(AND($E16=1,IR16=0),25,0),IF($F16&gt;0,INDEX('計算A'!E$110:E$114,$F16+1)+IF(AND($E16=1,IR16=0),1000,0),MIN(TU16,20)*400+(IF('計算A'!D$106=1,1-DB16,0)+IF('計算A'!E$106=1,1-DD16,0))*150+21+'計算A'!E$5*100000+IF(AND($E16=1,IR16=0),50000,0))+IF($H16=1,(IF('計算A'!D$117=1,INDEX('計算A'!D$10:D$54,$B16),0)+IF('計算A'!E$117=1,INDEX('計算A'!F$10:F$54,$B16),0))*4000,0)-IF(AND('計算A'!D$117=1,UB16&gt;0),2000,0)-IF(AND($L16=1,'計算A'!E$117=1,DD16=0),2000,0))),1000000))</f>
        <v/>
      </c>
      <c r="OH16">
        <f>IF($B16=0,1000000,IF(INDEX('計算A'!$D$60:$EQ$104,$B16,3)*DD16=1,IF(AND($E16=2,IS16=0),1000000,IF($I16&gt;0,IF(1=$J16,IF(OR(AND(3=$I16+1,OR($K16&lt;&gt;'計算A'!$A$3,'計算A'!$A$4=0)),AND(3=$I16-1,OR(3&lt;&gt;'計算A'!$A$3,'計算A'!$A$4=0))),0,IF(3=$K16,200000,ABS(3-$K16)*100)),100000+ABS(1-$J16)*1000+30)+'計算A'!F$5*50+IF(AND($E16=1,IS16=0),25,0),IF($F16&gt;0,INDEX('計算A'!F$110:F$114,$F16+1)+IF(AND($E16=1,IS16=0),1000,0),MIN(TU16,20)*400+(IF('計算A'!E$106=1,1-DC16,0)+IF('計算A'!F$106=1,1-DE16,0))*150+31+'計算A'!F$5*100000+IF(AND($E16=1,IS16=0),50000,0))+IF($H16=1,(IF('計算A'!E$117=1,INDEX('計算A'!E$10:E$54,$B16),0)+IF('計算A'!F$117=1,INDEX('計算A'!G$10:G$54,$B16),0))*4000,0)-IF(AND('計算A'!E$117=1,UC16&gt;0),2000,0)-IF(AND($L16=1,'計算A'!F$117=1,DE16=0),2000,0))),1000000))</f>
        <v/>
      </c>
      <c r="OI16">
        <f>IF($B16=0,1000000,IF(INDEX('計算A'!$D$60:$EQ$104,$B16,4)*DE16=1,IF(AND($E16=2,IT16=0),1000000,IF($I16&gt;0,IF(1=$J16,IF(OR(AND(4=$I16+1,OR($K16&lt;&gt;'計算A'!$A$3,'計算A'!$A$4=0)),AND(4=$I16-1,OR(4&lt;&gt;'計算A'!$A$3,'計算A'!$A$4=0))),0,IF(4=$K16,200000,ABS(4-$K16)*100)),100000+ABS(1-$J16)*1000+40)+'計算A'!G$5*50+IF(AND($E16=1,IT16=0),25,0),IF($F16&gt;0,INDEX('計算A'!G$110:G$114,$F16+1)+IF(AND($E16=1,IT16=0),1000,0),MIN(TU16,20)*400+(IF('計算A'!F$106=1,1-DD16,0)+IF('計算A'!G$106=1,1-DF16,0))*150+41+'計算A'!G$5*100000+IF(AND($E16=1,IT16=0),50000,0))+IF($H16=1,(IF('計算A'!F$117=1,INDEX('計算A'!F$10:F$54,$B16),0)+IF('計算A'!G$117=1,INDEX('計算A'!H$10:H$54,$B16),0))*4000,0)-IF(AND('計算A'!F$117=1,UD16&gt;0),2000,0)-IF(AND($L16=1,'計算A'!G$117=1,DF16=0),2000,0))),1000000))</f>
        <v/>
      </c>
      <c r="OJ16">
        <f>IF($B16=0,1000000,IF(INDEX('計算A'!$D$60:$EQ$104,$B16,5)*DF16=1,IF(AND($E16=2,IU16=0),1000000,IF($I16&gt;0,IF(1=$J16,IF(OR(AND(5=$I16+1,OR($K16&lt;&gt;'計算A'!$A$3,'計算A'!$A$4=0)),AND(5=$I16-1,OR(5&lt;&gt;'計算A'!$A$3,'計算A'!$A$4=0))),0,IF(5=$K16,200000,ABS(5-$K16)*100)),100000+ABS(1-$J16)*1000+50)+'計算A'!H$5*50+IF(AND($E16=1,IU16=0),25,0),IF($F16&gt;0,INDEX('計算A'!H$110:H$114,$F16+1)+IF(AND($E16=1,IU16=0),1000,0),MIN(TU16,20)*400+(IF('計算A'!G$106=1,1-DE16,0)+IF('計算A'!H$106=1,1-DG16,0))*150+51+'計算A'!H$5*100000+IF(AND($E16=1,IU16=0),50000,0))+IF($H16=1,(IF('計算A'!G$117=1,INDEX('計算A'!G$10:G$54,$B16),0)+IF('計算A'!H$117=1,INDEX('計算A'!I$10:I$54,$B16),0))*4000,0)-IF(AND('計算A'!G$117=1,UE16&gt;0),2000,0)-IF(AND($L16=1,'計算A'!H$117=1,DG16=0),2000,0))),1000000))</f>
        <v/>
      </c>
      <c r="OK16">
        <f>IF($B16=0,1000000,IF(INDEX('計算A'!$D$60:$EQ$104,$B16,6)*DG16=1,IF(AND($E16=2,IV16=0),1000000,IF($I16&gt;0,IF(1=$J16,IF(OR(AND(6=$I16+1,OR($K16&lt;&gt;'計算A'!$A$3,'計算A'!$A$4=0)),AND(6=$I16-1,OR(6&lt;&gt;'計算A'!$A$3,'計算A'!$A$4=0))),0,IF(6=$K16,200000,ABS(6-$K16)*100)),100000+ABS(1-$J16)*1000+60)+'計算A'!I$5*50+IF(AND($E16=1,IV16=0),25,0),IF($F16&gt;0,INDEX('計算A'!I$110:I$114,$F16+1)+IF(AND($E16=1,IV16=0),1000,0),MIN(TU16,20)*400+(IF('計算A'!H$106=1,1-DF16,0)+IF('計算A'!I$106=1,1-DH16,0))*150+61+'計算A'!I$5*100000+IF(AND($E16=1,IV16=0),50000,0))+IF($H16=1,(IF('計算A'!H$117=1,INDEX('計算A'!H$10:H$54,$B16),0)+IF('計算A'!I$117=1,INDEX('計算A'!J$10:J$54,$B16),0))*4000,0)-IF(AND('計算A'!H$117=1,UF16&gt;0),2000,0)-IF(AND($L16=1,'計算A'!I$117=1,DH16=0),2000,0))),1000000))</f>
        <v/>
      </c>
      <c r="OL16">
        <f>IF($B16=0,1000000,IF(INDEX('計算A'!$D$60:$EQ$104,$B16,7)*DH16=1,IF(AND($E16=2,IW16=0),1000000,IF($I16&gt;0,IF(1=$J16,IF(OR(AND(7=$I16+1,OR($K16&lt;&gt;'計算A'!$A$3,'計算A'!$A$4=0)),AND(7=$I16-1,OR(7&lt;&gt;'計算A'!$A$3,'計算A'!$A$4=0))),0,IF(7=$K16,200000,ABS(7-$K16)*100)),100000+ABS(1-$J16)*1000+70)+'計算A'!J$5*50+IF(AND($E16=1,IW16=0),25,0),IF($F16&gt;0,INDEX('計算A'!J$110:J$114,$F16+1)+IF(AND($E16=1,IW16=0),1000,0),MIN(TU16,20)*400+(IF('計算A'!I$106=1,1-DG16,0)+IF('計算A'!J$106=1,1-DI16,0))*150+71+'計算A'!J$5*100000+IF(AND($E16=1,IW16=0),50000,0))+IF($H16=1,(IF('計算A'!I$117=1,INDEX('計算A'!I$10:I$54,$B16),0)+IF('計算A'!J$117=1,INDEX('計算A'!K$10:K$54,$B16),0))*4000,0)-IF(AND('計算A'!I$117=1,UG16&gt;0),2000,0)-IF(AND($L16=1,'計算A'!J$117=1,DI16=0),2000,0))),1000000))</f>
        <v/>
      </c>
      <c r="OM16">
        <f>IF($B16=0,1000000,IF(INDEX('計算A'!$D$60:$EQ$104,$B16,8)*DI16=1,IF(AND($E16=2,IX16=0),1000000,IF($I16&gt;0,IF(1=$J16,IF(OR(AND(8=$I16+1,OR($K16&lt;&gt;'計算A'!$A$3,'計算A'!$A$4=0)),AND(8=$I16-1,OR(8&lt;&gt;'計算A'!$A$3,'計算A'!$A$4=0))),0,IF(8=$K16,200000,ABS(8-$K16)*100)),100000+ABS(1-$J16)*1000+80)+'計算A'!K$5*50+IF(AND($E16=1,IX16=0),25,0),IF($F16&gt;0,INDEX('計算A'!K$110:K$114,$F16+1)+IF(AND($E16=1,IX16=0),1000,0),MIN(TU16,20)*400+(IF('計算A'!J$106=1,1-DH16,0)+IF('計算A'!K$106=1,1-DJ16,0))*150+81+'計算A'!K$5*100000+IF(AND($E16=1,IX16=0),50000,0))+IF($H16=1,(IF('計算A'!J$117=1,INDEX('計算A'!J$10:J$54,$B16),0)+IF('計算A'!K$117=1,INDEX('計算A'!L$10:L$54,$B16),0))*4000,0)-IF(AND('計算A'!J$117=1,UH16&gt;0),2000,0)-IF(AND($L16=1,'計算A'!K$117=1,DJ16=0),2000,0))),1000000))</f>
        <v/>
      </c>
      <c r="ON16">
        <f>IF($B16=0,1000000,IF(INDEX('計算A'!$D$60:$EQ$104,$B16,9)*DJ16=1,IF(AND($E16=2,IY16=0),1000000,IF($I16&gt;0,IF(1=$J16,IF(OR(AND(9=$I16+1,OR($K16&lt;&gt;'計算A'!$A$3,'計算A'!$A$4=0)),AND(9=$I16-1,OR(9&lt;&gt;'計算A'!$A$3,'計算A'!$A$4=0))),0,IF(9=$K16,200000,ABS(9-$K16)*100)),100000+ABS(1-$J16)*1000+90)+'計算A'!L$5*50+IF(AND($E16=1,IY16=0),25,0),IF($F16&gt;0,INDEX('計算A'!L$110:L$114,$F16+1)+IF(AND($E16=1,IY16=0),1000,0),MIN(TU16,20)*400+(IF('計算A'!K$106=1,1-DI16,0)+IF('計算A'!L$106=1,1-DK16,0))*150+91+'計算A'!L$5*100000+IF(AND($E16=1,IY16=0),50000,0))+IF($H16=1,(IF('計算A'!K$117=1,INDEX('計算A'!K$10:K$54,$B16),0)+IF('計算A'!L$117=1,INDEX('計算A'!M$10:M$54,$B16),0))*4000,0)-IF(AND('計算A'!K$117=1,UI16&gt;0),2000,0)-IF(AND($L16=1,'計算A'!L$117=1,DK16=0),2000,0))),1000000))</f>
        <v/>
      </c>
      <c r="OO16">
        <f>IF($B16=0,1000000,IF(INDEX('計算A'!$D$60:$EQ$104,$B16,10)*DK16=1,IF(AND($E16=2,IZ16=0),1000000,IF($I16&gt;0,IF(1=$J16,IF(OR(AND(10=$I16+1,OR($K16&lt;&gt;'計算A'!$A$3,'計算A'!$A$4=0)),AND(10=$I16-1,OR(10&lt;&gt;'計算A'!$A$3,'計算A'!$A$4=0))),0,IF(10=$K16,200000,ABS(10-$K16)*100)),100000+ABS(1-$J16)*1000+100)+'計算A'!M$5*50+IF(AND($E16=1,IZ16=0),25,0),IF($F16&gt;0,INDEX('計算A'!M$110:M$114,$F16+1)+IF(AND($E16=1,IZ16=0),1000,0),MIN(TU16,20)*400+(IF('計算A'!L$106=1,1-DJ16,0)+IF('計算A'!M$106=1,1-DL16,0))*150+101+'計算A'!M$5*100000+IF(AND($E16=1,IZ16=0),50000,0))+IF($H16=1,(IF('計算A'!L$117=1,INDEX('計算A'!L$10:L$54,$B16),0)+IF('計算A'!M$117=1,INDEX('計算A'!N$10:N$54,$B16),0))*4000,0)-IF(AND('計算A'!L$117=1,UJ16&gt;0),2000,0)-IF(AND($L16=1,'計算A'!M$117=1,DL16=0),2000,0))),1000000))</f>
        <v/>
      </c>
      <c r="OP16">
        <f>IF($B16=0,1000000,IF(INDEX('計算A'!$D$60:$EQ$104,$B16,11)*DL16=1,IF(AND($E16=2,JA16=0),1000000,IF($I16&gt;0,IF(1=$J16,IF(OR(AND(11=$I16+1,OR($K16&lt;&gt;'計算A'!$A$3,'計算A'!$A$4=0)),AND(11=$I16-1,OR(11&lt;&gt;'計算A'!$A$3,'計算A'!$A$4=0))),0,IF(11=$K16,200000,ABS(11-$K16)*100)),100000+ABS(1-$J16)*1000+110)+'計算A'!N$5*50+IF(AND($E16=1,JA16=0),25,0),IF($F16&gt;0,INDEX('計算A'!N$110:N$114,$F16+1)+IF(AND($E16=1,JA16=0),1000,0),MIN(TU16,20)*400+(IF('計算A'!M$106=1,1-DK16,0)+IF('計算A'!N$106=1,1-DM16,0))*150+111+'計算A'!N$5*100000+IF(AND($E16=1,JA16=0),50000,0))+IF($H16=1,(IF('計算A'!M$117=1,INDEX('計算A'!M$10:M$54,$B16),0)+IF('計算A'!N$117=1,INDEX('計算A'!O$10:O$54,$B16),0))*4000,0)-IF(AND('計算A'!M$117=1,UK16&gt;0),2000,0)-IF(AND($L16=1,'計算A'!N$117=1,DM16=0),2000,0))),1000000))</f>
        <v/>
      </c>
      <c r="OQ16">
        <f>IF($B16=0,1000000,IF(INDEX('計算A'!$D$60:$EQ$104,$B16,12)*DM16=1,IF(AND($E16=2,JB16=0),1000000,IF($I16&gt;0,IF(1=$J16,IF(OR(AND(12=$I16+1,OR($K16&lt;&gt;'計算A'!$A$3,'計算A'!$A$4=0)),AND(12=$I16-1,OR(12&lt;&gt;'計算A'!$A$3,'計算A'!$A$4=0))),0,IF(12=$K16,200000,ABS(12-$K16)*100)),100000+ABS(1-$J16)*1000+120)+'計算A'!O$5*50+IF(AND($E16=1,JB16=0),25,0),IF($F16&gt;0,INDEX('計算A'!O$110:O$114,$F16+1)+IF(AND($E16=1,JB16=0),1000,0),MIN(TU16,20)*400+(IF('計算A'!N$106=1,1-DL16,0)+IF('計算A'!O$106=1,1-DN16,0))*150+121+'計算A'!O$5*100000+IF(AND($E16=1,JB16=0),50000,0))+IF($H16=1,(IF('計算A'!N$117=1,INDEX('計算A'!N$10:N$54,$B16),0)+IF('計算A'!O$117=1,INDEX('計算A'!P$10:P$54,$B16),0))*4000,0)-IF(AND('計算A'!N$117=1,UL16&gt;0),2000,0)-IF(AND($L16=1,'計算A'!O$117=1,DN16=0),2000,0))),1000000))</f>
        <v/>
      </c>
      <c r="OR16">
        <f>IF($B16=0,1000000,IF(INDEX('計算A'!$D$60:$EQ$104,$B16,13)*DN16=1,IF(AND($E16=2,JC16=0),1000000,IF($I16&gt;0,IF(1=$J16,IF(OR(AND(13=$I16+1,OR($K16&lt;&gt;'計算A'!$A$3,'計算A'!$A$4=0)),AND(13=$I16-1,OR(13&lt;&gt;'計算A'!$A$3,'計算A'!$A$4=0))),0,IF(13=$K16,200000,ABS(13-$K16)*100)),100000+ABS(1-$J16)*1000+130)+'計算A'!P$5*50+IF(AND($E16=1,JC16=0),25,0),IF($F16&gt;0,INDEX('計算A'!P$110:P$114,$F16+1)+IF(AND($E16=1,JC16=0),1000,0),MIN(TU16,20)*400+(IF('計算A'!O$106=1,1-DM16,0)+IF('計算A'!P$106=1,1-DO16,0))*150+131+'計算A'!P$5*100000+IF(AND($E16=1,JC16=0),50000,0))+IF($H16=1,(IF('計算A'!O$117=1,INDEX('計算A'!O$10:O$54,$B16),0)+IF('計算A'!P$117=1,INDEX('計算A'!Q$10:Q$54,$B16),0))*4000,0)-IF(AND('計算A'!O$117=1,UM16&gt;0),2000,0)-IF(AND($L16=1,'計算A'!P$117=1,DO16=0),2000,0))),1000000))</f>
        <v/>
      </c>
      <c r="OS16">
        <f>IF($B16=0,1000000,IF(INDEX('計算A'!$D$60:$EQ$104,$B16,14)*DO16=1,IF(AND($E16=2,JD16=0),1000000,IF($I16&gt;0,IF(1=$J16,IF(OR(AND(14=$I16+1,OR($K16&lt;&gt;'計算A'!$A$3,'計算A'!$A$4=0)),AND(14=$I16-1,OR(14&lt;&gt;'計算A'!$A$3,'計算A'!$A$4=0))),0,IF(14=$K16,200000,ABS(14-$K16)*100)),100000+ABS(1-$J16)*1000+140)+'計算A'!Q$5*50+IF(AND($E16=1,JD16=0),25,0),IF($F16&gt;0,INDEX('計算A'!Q$110:Q$114,$F16+1)+IF(AND($E16=1,JD16=0),1000,0),MIN(TU16,20)*400+(IF('計算A'!P$106=1,1-DN16,0)+IF('計算A'!Q$106=1,1-DP16,0))*150+141+'計算A'!Q$5*100000+IF(AND($E16=1,JD16=0),50000,0))+IF($H16=1,(IF('計算A'!P$117=1,INDEX('計算A'!P$10:P$54,$B16),0)+IF('計算A'!Q$117=1,INDEX('計算A'!R$10:R$54,$B16),0))*4000,0)-IF(AND('計算A'!P$117=1,UN16&gt;0),2000,0)-IF(AND($L16=1,'計算A'!Q$117=1,DP16=0),2000,0))),1000000))</f>
        <v/>
      </c>
      <c r="OT16">
        <f>IF($B16=0,1000000,IF(INDEX('計算A'!$D$60:$EQ$104,$B16,15)*DP16=1,IF(AND($E16=2,JE16=0),1000000,IF($I16&gt;0,IF(1=$J16,IF(OR(AND(15=$I16+1,OR($K16&lt;&gt;'計算A'!$A$3,'計算A'!$A$4=0)),AND(15=$I16-1,OR(15&lt;&gt;'計算A'!$A$3,'計算A'!$A$4=0))),0,IF(15=$K16,200000,ABS(15-$K16)*100)),100000+ABS(1-$J16)*1000+150)+'計算A'!R$5*50+IF(AND($E16=1,JE16=0),25,0),IF($F16&gt;0,INDEX('計算A'!R$110:R$114,$F16+1)+IF(AND($E16=1,JE16=0),1000,0),MIN(TU16,20)*400+(IF('計算A'!Q$106=1,1-DO16,0)+IF('計算A'!R$106=1,1-DQ16,0))*150+151+'計算A'!R$5*100000+IF(AND($E16=1,JE16=0),50000,0))+IF($H16=1,(IF('計算A'!Q$117=1,INDEX('計算A'!Q$10:Q$54,$B16),0)+IF('計算A'!R$117=1,INDEX('計算A'!S$10:S$54,$B16),0))*4000,0)-IF(AND('計算A'!Q$117=1,UO16&gt;0),2000,0)-IF(AND($L16=1,'計算A'!R$117=1,DQ16=0),2000,0))),1000000))</f>
        <v/>
      </c>
      <c r="OU16">
        <f>IF($B16=0,1000000,IF(INDEX('計算A'!$D$60:$EQ$104,$B16,16)*DQ16=1,IF(AND($E16=2,JF16=0),1000000,IF($I16&gt;0,IF(1=$J16,IF(OR(AND(16=$I16+1,OR($K16&lt;&gt;'計算A'!$A$3,'計算A'!$A$4=0)),AND(16=$I16-1,OR(16&lt;&gt;'計算A'!$A$3,'計算A'!$A$4=0))),0,IF(16=$K16,200000,ABS(16-$K16)*100)),100000+ABS(1-$J16)*1000+160)+'計算A'!S$5*50+IF(AND($E16=1,JF16=0),25,0),IF($F16&gt;0,INDEX('計算A'!S$110:S$114,$F16+1)+IF(AND($E16=1,JF16=0),1000,0),MIN(TU16,20)*400+(IF('計算A'!R$106=1,1-DP16,0)+IF('計算A'!S$106=1,1-DR16,0))*150+161+'計算A'!S$5*100000+IF(AND($E16=1,JF16=0),50000,0))+IF($H16=1,(IF('計算A'!R$117=1,INDEX('計算A'!R$10:R$54,$B16),0)+IF('計算A'!S$117=1,INDEX('計算A'!T$10:T$54,$B16),0))*4000,0)-IF(AND('計算A'!R$117=1,UP16&gt;0),2000,0)-IF(AND($L16=1,'計算A'!S$117=1,DR16=0),2000,0))),1000000))</f>
        <v/>
      </c>
      <c r="OV16">
        <f>IF($B16=0,1000000,IF(INDEX('計算A'!$D$60:$EQ$104,$B16,17)*DR16=1,IF(AND($E16=2,JG16=0),1000000,IF($I16&gt;0,IF(1=$J16,IF(OR(AND(17=$I16+1,OR($K16&lt;&gt;'計算A'!$A$3,'計算A'!$A$4=0)),AND(17=$I16-1,OR(17&lt;&gt;'計算A'!$A$3,'計算A'!$A$4=0))),0,IF(17=$K16,200000,ABS(17-$K16)*100)),100000+ABS(1-$J16)*1000+170)+'計算A'!T$5*50+IF(AND($E16=1,JG16=0),25,0),IF($F16&gt;0,INDEX('計算A'!T$110:T$114,$F16+1)+IF(AND($E16=1,JG16=0),1000,0),MIN(TU16,20)*400+(IF('計算A'!S$106=1,1-DQ16,0)+IF('計算A'!T$106=1,1-DS16,0))*150+171+'計算A'!T$5*100000+IF(AND($E16=1,JG16=0),50000,0))+IF($H16=1,(IF('計算A'!S$117=1,INDEX('計算A'!S$10:S$54,$B16),0)+IF('計算A'!T$117=1,INDEX('計算A'!U$10:U$54,$B16),0))*4000,0)-IF(AND('計算A'!S$117=1,UQ16&gt;0),2000,0)-IF(AND($L16=1,'計算A'!T$117=1,DS16=0),2000,0))),1000000))</f>
        <v/>
      </c>
      <c r="OW16">
        <f>IF($B16=0,1000000,IF(INDEX('計算A'!$D$60:$EQ$104,$B16,18)*DS16=1,IF(AND($E16=2,JH16=0),1000000,IF($I16&gt;0,IF(1=$J16,IF(OR(AND(18=$I16+1,OR($K16&lt;&gt;'計算A'!$A$3,'計算A'!$A$4=0)),AND(18=$I16-1,OR(18&lt;&gt;'計算A'!$A$3,'計算A'!$A$4=0))),0,IF(18=$K16,200000,ABS(18-$K16)*100)),100000+ABS(1-$J16)*1000+180)+'計算A'!U$5*50+IF(AND($E16=1,JH16=0),25,0),IF($F16&gt;0,INDEX('計算A'!U$110:U$114,$F16+1)+IF(AND($E16=1,JH16=0),1000,0),MIN(TU16,20)*400+(IF('計算A'!T$106=1,1-DR16,0)+IF('計算A'!U$106=1,1-DT16,0))*150+181+'計算A'!U$5*100000+IF(AND($E16=1,JH16=0),50000,0))+IF($H16=1,(IF('計算A'!T$117=1,INDEX('計算A'!T$10:T$54,$B16),0)+IF('計算A'!U$117=1,INDEX('計算A'!V$10:V$54,$B16),0))*4000,0)-IF(AND('計算A'!T$117=1,UR16&gt;0),2000,0)-IF(AND($L16=1,'計算A'!U$117=1,DT16=0),2000,0))),1000000))</f>
        <v/>
      </c>
      <c r="OX16">
        <f>IF($B16=0,1000000,IF(INDEX('計算A'!$D$60:$EQ$104,$B16,19)*DT16=1,IF(AND($E16=2,JI16=0),1000000,IF($I16&gt;0,IF(1=$J16,IF(OR(AND(19=$I16+1,OR($K16&lt;&gt;'計算A'!$A$3,'計算A'!$A$4=0)),AND(19=$I16-1,OR(19&lt;&gt;'計算A'!$A$3,'計算A'!$A$4=0))),0,IF(19=$K16,200000,ABS(19-$K16)*100)),100000+ABS(1-$J16)*1000+190)+'計算A'!V$5*50+IF(AND($E16=1,JI16=0),25,0),IF($F16&gt;0,INDEX('計算A'!V$110:V$114,$F16+1)+IF(AND($E16=1,JI16=0),1000,0),MIN(TU16,20)*400+(IF('計算A'!U$106=1,1-DS16,0)+IF('計算A'!V$106=1,1-DU16,0))*150+191+'計算A'!V$5*100000+IF(AND($E16=1,JI16=0),50000,0))+IF($H16=1,(IF('計算A'!U$117=1,INDEX('計算A'!U$10:U$54,$B16),0)+IF('計算A'!V$117=1,INDEX('計算A'!W$10:W$54,$B16),0))*4000,0)-IF(AND('計算A'!U$117=1,US16&gt;0),2000,0)-IF(AND($L16=1,'計算A'!V$117=1,DU16=0),2000,0))),1000000))</f>
        <v/>
      </c>
      <c r="OY16">
        <f>IF($B16=0,1000000,IF(INDEX('計算A'!$D$60:$EQ$104,$B16,20)*DU16=1,IF(AND($E16=2,JJ16=0),1000000,IF($I16&gt;0,IF(1=$J16,IF(OR(AND(20=$I16+1,OR($K16&lt;&gt;'計算A'!$A$3,'計算A'!$A$4=0)),AND(20=$I16-1,OR(20&lt;&gt;'計算A'!$A$3,'計算A'!$A$4=0))),0,IF(20=$K16,200000,ABS(20-$K16)*100)),100000+ABS(1-$J16)*1000+200)+'計算A'!W$5*50+IF(AND($E16=1,JJ16=0),25,0),IF($F16&gt;0,INDEX('計算A'!W$110:W$114,$F16+1)+IF(AND($E16=1,JJ16=0),1000,0),MIN(TU16,20)*400+(IF('計算A'!V$106=1,1-DT16,0)+IF('計算A'!W$106=1,1-DV16,0))*150+201+'計算A'!W$5*100000+IF(AND($E16=1,JJ16=0),50000,0))+IF($H16=1,(IF('計算A'!V$117=1,INDEX('計算A'!V$10:V$54,$B16),0)+IF('計算A'!W$117=1,INDEX('計算A'!X$10:X$54,$B16),0))*4000,0)-IF(AND('計算A'!V$117=1,UT16&gt;0),2000,0)-IF(AND($L16=1,'計算A'!W$117=1,DV16=0),2000,0))),1000000))</f>
        <v/>
      </c>
      <c r="OZ16">
        <f>IF($B16=0,1000000,IF(INDEX('計算A'!$D$60:$EQ$104,$B16,21)*DV16=1,IF(AND($E16=2,JK16=0),1000000,IF($I16&gt;0,IF(1=$J16,IF(OR(AND(21=$I16+1,OR($K16&lt;&gt;'計算A'!$A$3,'計算A'!$A$4=0)),AND(21=$I16-1,OR(21&lt;&gt;'計算A'!$A$3,'計算A'!$A$4=0))),0,IF(21=$K16,200000,ABS(21-$K16)*100)),100000+ABS(1-$J16)*1000+210)+'計算A'!X$5*50+IF(AND($E16=1,JK16=0),25,0),IF($F16&gt;0,INDEX('計算A'!X$110:X$114,$F16+1)+IF(AND($E16=1,JK16=0),1000,0),MIN(TU16,20)*400+(IF('計算A'!W$106=1,1-DU16,0)+IF('計算A'!X$106=1,1-DW16,0))*150+211+'計算A'!X$5*100000+IF(AND($E16=1,JK16=0),50000,0))+IF($H16=1,(IF('計算A'!W$117=1,INDEX('計算A'!W$10:W$54,$B16),0)+IF('計算A'!X$117=1,INDEX('計算A'!Y$10:Y$54,$B16),0))*4000,0)-IF(AND('計算A'!W$117=1,UU16&gt;0),2000,0)-IF(AND($L16=1,'計算A'!X$117=1,DW16=0),2000,0))),1000000))</f>
        <v/>
      </c>
      <c r="PA16">
        <f>IF($B16=0,1000000,IF(INDEX('計算A'!$D$60:$EQ$104,$B16,22)*DW16=1,IF(AND($E16=2,JL16=0),1000000,IF($I16&gt;0,IF(1=$J16,IF(OR(AND(22=$I16+1,OR($K16&lt;&gt;'計算A'!$A$3,'計算A'!$A$4=0)),AND(22=$I16-1,OR(22&lt;&gt;'計算A'!$A$3,'計算A'!$A$4=0))),0,IF(22=$K16,200000,ABS(22-$K16)*100)),100000+ABS(1-$J16)*1000+220)+'計算A'!Y$5*50+IF(AND($E16=1,JL16=0),25,0),IF($F16&gt;0,INDEX('計算A'!Y$110:Y$114,$F16+1)+IF(AND($E16=1,JL16=0),1000,0),MIN(TU16,20)*400+(IF('計算A'!X$106=1,1-DV16,0)+IF('計算A'!Y$106=1,1-DX16,0))*150+221+'計算A'!Y$5*100000+IF(AND($E16=1,JL16=0),50000,0))+IF($H16=1,(IF('計算A'!X$117=1,INDEX('計算A'!X$10:X$54,$B16),0)+IF('計算A'!Y$117=1,INDEX('計算A'!Z$10:Z$54,$B16),0))*4000,0)-IF(AND('計算A'!X$117=1,UV16&gt;0),2000,0)-IF(AND($L16=1,'計算A'!Y$117=1,DX16=0),2000,0))),1000000))</f>
        <v/>
      </c>
      <c r="PB16">
        <f>IF($B16=0,1000000,IF(INDEX('計算A'!$D$60:$EQ$104,$B16,23)*DX16=1,IF(AND($E16=2,JM16=0),1000000,IF($I16&gt;0,IF(1=$J16,IF(OR(AND(23=$I16+1,OR($K16&lt;&gt;'計算A'!$A$3,'計算A'!$A$4=0)),AND(23=$I16-1,OR(23&lt;&gt;'計算A'!$A$3,'計算A'!$A$4=0))),0,IF(23=$K16,200000,ABS(23-$K16)*100)),100000+ABS(1-$J16)*1000+230)+'計算A'!Z$5*50+IF(AND($E16=1,JM16=0),25,0),IF($F16&gt;0,INDEX('計算A'!Z$110:Z$114,$F16+1)+IF(AND($E16=1,JM16=0),1000,0),MIN(TU16,20)*400+(IF('計算A'!Y$106=1,1-DW16,0)+IF('計算A'!Z$106=1,1-DY16,0))*150+231+'計算A'!Z$5*100000+IF(AND($E16=1,JM16=0),50000,0))+IF($H16=1,(IF('計算A'!Y$117=1,INDEX('計算A'!Y$10:Y$54,$B16),0)+IF('計算A'!Z$117=1,INDEX('計算A'!AA$10:AA$54,$B16),0))*4000,0)-IF(AND('計算A'!Y$117=1,UW16&gt;0),2000,0)-IF(AND($L16=1,'計算A'!Z$117=1,DY16=0),2000,0))),1000000))</f>
        <v/>
      </c>
      <c r="PC16">
        <f>IF($B16=0,1000000,IF(INDEX('計算A'!$D$60:$EQ$104,$B16,24)*DY16=1,IF(AND($E16=2,JN16=0),1000000,IF($I16&gt;0,IF(1=$J16,IF(OR(AND(24=$I16+1,OR($K16&lt;&gt;'計算A'!$A$3,'計算A'!$A$4=0)),AND(24=$I16-1,OR(24&lt;&gt;'計算A'!$A$3,'計算A'!$A$4=0))),0,IF(24=$K16,200000,ABS(24-$K16)*100)),100000+ABS(1-$J16)*1000+240)+'計算A'!AA$5*50+IF(AND($E16=1,JN16=0),25,0),IF($F16&gt;0,INDEX('計算A'!AA$110:AA$114,$F16+1)+IF(AND($E16=1,JN16=0),1000,0),MIN(TU16,20)*400+(IF('計算A'!Z$106=1,1-DX16,0))*150+241+'計算A'!AA$5*100000+IF(AND($E16=1,JN16=0),50000,0))+IF($H16=1,(IF('計算A'!Z$117=1,INDEX('計算A'!Z$10:Z$54,$B16),0))*4000,0)-IF(AND('計算A'!Z$117=1,UX16&gt;0),2000,0))),1000000))</f>
        <v/>
      </c>
      <c r="PD16">
        <f>IF($B16=0,1000000,IF(INDEX('計算A'!$D$60:$EQ$104,$B16,25)*DZ16=1,IF(AND($E16=2,JO16=0),1000000,IF($I16&gt;0,IF(2=$J16,IF(OR(AND(25=$I16+1,OR($K16&lt;&gt;'計算A'!$A$3,'計算A'!$A$4=0)),AND(25=$I16-1,OR(1&lt;&gt;'計算A'!$A$3,'計算A'!$A$4=0))),0,IF(1=$K16,200000,ABS(1-$K16)*100)),100000+ABS(2-$J16)*1000+10)+'計算A'!AB$5*50+IF(AND($E16=1,JO16=0),25,0),IF($F16&gt;0,INDEX('計算A'!AB$110:AB$114,$F16+1)+IF(AND($E16=1,JO16=0),1000,0),MIN(TV16,20)*400+(IF('計算A'!AB$106=1,1-EA16,0))*150+12+'計算A'!AB$5*100000+IF(AND($E16=1,JO16=0),50000,0))+IF($H16=1,(IF('計算A'!AB$117=1,INDEX('計算A'!AC$10:AC$54,$B16),0))*4000,0)-IF(AND($L16=1,'計算A'!AB$117=1,EA16=0),2000,0))),1000000))</f>
        <v/>
      </c>
      <c r="PE16">
        <f>IF($B16=0,1000000,IF(INDEX('計算A'!$D$60:$EQ$104,$B16,26)*EA16=1,IF(AND($E16=2,JP16=0),1000000,IF($I16&gt;0,IF(2=$J16,IF(OR(AND(26=$I16+1,OR($K16&lt;&gt;'計算A'!$A$3,'計算A'!$A$4=0)),AND(26=$I16-1,OR(2&lt;&gt;'計算A'!$A$3,'計算A'!$A$4=0))),0,IF(2=$K16,200000,ABS(2-$K16)*100)),100000+ABS(2-$J16)*1000+20)+'計算A'!AC$5*50+IF(AND($E16=1,JP16=0),25,0),IF($F16&gt;0,INDEX('計算A'!AC$110:AC$114,$F16+1)+IF(AND($E16=1,JP16=0),1000,0),MIN(TV16,20)*400+(IF('計算A'!AB$106=1,1-DZ16,0)+IF('計算A'!AC$106=1,1-EB16,0))*150+22+'計算A'!AC$5*100000+IF(AND($E16=1,JP16=0),50000,0))+IF($H16=1,(IF('計算A'!AB$117=1,INDEX('計算A'!AB$10:AB$54,$B16),0)+IF('計算A'!AC$117=1,INDEX('計算A'!AD$10:AD$54,$B16),0))*4000,0)-IF(AND('計算A'!AB$117=1,UZ16&gt;0),2000,0)-IF(AND($L16=1,'計算A'!AC$117=1,EB16=0),2000,0))),1000000))</f>
        <v/>
      </c>
      <c r="PF16">
        <f>IF($B16=0,1000000,IF(INDEX('計算A'!$D$60:$EQ$104,$B16,27)*EB16=1,IF(AND($E16=2,JQ16=0),1000000,IF($I16&gt;0,IF(2=$J16,IF(OR(AND(27=$I16+1,OR($K16&lt;&gt;'計算A'!$A$3,'計算A'!$A$4=0)),AND(27=$I16-1,OR(3&lt;&gt;'計算A'!$A$3,'計算A'!$A$4=0))),0,IF(3=$K16,200000,ABS(3-$K16)*100)),100000+ABS(2-$J16)*1000+30)+'計算A'!AD$5*50+IF(AND($E16=1,JQ16=0),25,0),IF($F16&gt;0,INDEX('計算A'!AD$110:AD$114,$F16+1)+IF(AND($E16=1,JQ16=0),1000,0),MIN(TV16,20)*400+(IF('計算A'!AC$106=1,1-EA16,0)+IF('計算A'!AD$106=1,1-EC16,0))*150+32+'計算A'!AD$5*100000+IF(AND($E16=1,JQ16=0),50000,0))+IF($H16=1,(IF('計算A'!AC$117=1,INDEX('計算A'!AC$10:AC$54,$B16),0)+IF('計算A'!AD$117=1,INDEX('計算A'!AE$10:AE$54,$B16),0))*4000,0)-IF(AND('計算A'!AC$117=1,VA16&gt;0),2000,0)-IF(AND($L16=1,'計算A'!AD$117=1,EC16=0),2000,0))),1000000))</f>
        <v/>
      </c>
      <c r="PG16">
        <f>IF($B16=0,1000000,IF(INDEX('計算A'!$D$60:$EQ$104,$B16,28)*EC16=1,IF(AND($E16=2,JR16=0),1000000,IF($I16&gt;0,IF(2=$J16,IF(OR(AND(28=$I16+1,OR($K16&lt;&gt;'計算A'!$A$3,'計算A'!$A$4=0)),AND(28=$I16-1,OR(4&lt;&gt;'計算A'!$A$3,'計算A'!$A$4=0))),0,IF(4=$K16,200000,ABS(4-$K16)*100)),100000+ABS(2-$J16)*1000+40)+'計算A'!AE$5*50+IF(AND($E16=1,JR16=0),25,0),IF($F16&gt;0,INDEX('計算A'!AE$110:AE$114,$F16+1)+IF(AND($E16=1,JR16=0),1000,0),MIN(TV16,20)*400+(IF('計算A'!AD$106=1,1-EB16,0)+IF('計算A'!AE$106=1,1-ED16,0))*150+42+'計算A'!AE$5*100000+IF(AND($E16=1,JR16=0),50000,0))+IF($H16=1,(IF('計算A'!AD$117=1,INDEX('計算A'!AD$10:AD$54,$B16),0)+IF('計算A'!AE$117=1,INDEX('計算A'!AF$10:AF$54,$B16),0))*4000,0)-IF(AND('計算A'!AD$117=1,VB16&gt;0),2000,0)-IF(AND($L16=1,'計算A'!AE$117=1,ED16=0),2000,0))),1000000))</f>
        <v/>
      </c>
      <c r="PH16">
        <f>IF($B16=0,1000000,IF(INDEX('計算A'!$D$60:$EQ$104,$B16,29)*ED16=1,IF(AND($E16=2,JS16=0),1000000,IF($I16&gt;0,IF(2=$J16,IF(OR(AND(29=$I16+1,OR($K16&lt;&gt;'計算A'!$A$3,'計算A'!$A$4=0)),AND(29=$I16-1,OR(5&lt;&gt;'計算A'!$A$3,'計算A'!$A$4=0))),0,IF(5=$K16,200000,ABS(5-$K16)*100)),100000+ABS(2-$J16)*1000+50)+'計算A'!AF$5*50+IF(AND($E16=1,JS16=0),25,0),IF($F16&gt;0,INDEX('計算A'!AF$110:AF$114,$F16+1)+IF(AND($E16=1,JS16=0),1000,0),MIN(TV16,20)*400+(IF('計算A'!AE$106=1,1-EC16,0)+IF('計算A'!AF$106=1,1-EE16,0))*150+52+'計算A'!AF$5*100000+IF(AND($E16=1,JS16=0),50000,0))+IF($H16=1,(IF('計算A'!AE$117=1,INDEX('計算A'!AE$10:AE$54,$B16),0)+IF('計算A'!AF$117=1,INDEX('計算A'!AG$10:AG$54,$B16),0))*4000,0)-IF(AND('計算A'!AE$117=1,VC16&gt;0),2000,0)-IF(AND($L16=1,'計算A'!AF$117=1,EE16=0),2000,0))),1000000))</f>
        <v/>
      </c>
      <c r="PI16">
        <f>IF($B16=0,1000000,IF(INDEX('計算A'!$D$60:$EQ$104,$B16,30)*EE16=1,IF(AND($E16=2,JT16=0),1000000,IF($I16&gt;0,IF(2=$J16,IF(OR(AND(30=$I16+1,OR($K16&lt;&gt;'計算A'!$A$3,'計算A'!$A$4=0)),AND(30=$I16-1,OR(6&lt;&gt;'計算A'!$A$3,'計算A'!$A$4=0))),0,IF(6=$K16,200000,ABS(6-$K16)*100)),100000+ABS(2-$J16)*1000+60)+'計算A'!AG$5*50+IF(AND($E16=1,JT16=0),25,0),IF($F16&gt;0,INDEX('計算A'!AG$110:AG$114,$F16+1)+IF(AND($E16=1,JT16=0),1000,0),MIN(TV16,20)*400+(IF('計算A'!AF$106=1,1-ED16,0)+IF('計算A'!AG$106=1,1-EF16,0))*150+62+'計算A'!AG$5*100000+IF(AND($E16=1,JT16=0),50000,0))+IF($H16=1,(IF('計算A'!AF$117=1,INDEX('計算A'!AF$10:AF$54,$B16),0)+IF('計算A'!AG$117=1,INDEX('計算A'!AH$10:AH$54,$B16),0))*4000,0)-IF(AND('計算A'!AF$117=1,VD16&gt;0),2000,0)-IF(AND($L16=1,'計算A'!AG$117=1,EF16=0),2000,0))),1000000))</f>
        <v/>
      </c>
      <c r="PJ16">
        <f>IF($B16=0,1000000,IF(INDEX('計算A'!$D$60:$EQ$104,$B16,31)*EF16=1,IF(AND($E16=2,JU16=0),1000000,IF($I16&gt;0,IF(2=$J16,IF(OR(AND(31=$I16+1,OR($K16&lt;&gt;'計算A'!$A$3,'計算A'!$A$4=0)),AND(31=$I16-1,OR(7&lt;&gt;'計算A'!$A$3,'計算A'!$A$4=0))),0,IF(7=$K16,200000,ABS(7-$K16)*100)),100000+ABS(2-$J16)*1000+70)+'計算A'!AH$5*50+IF(AND($E16=1,JU16=0),25,0),IF($F16&gt;0,INDEX('計算A'!AH$110:AH$114,$F16+1)+IF(AND($E16=1,JU16=0),1000,0),MIN(TV16,20)*400+(IF('計算A'!AG$106=1,1-EE16,0)+IF('計算A'!AH$106=1,1-EG16,0))*150+72+'計算A'!AH$5*100000+IF(AND($E16=1,JU16=0),50000,0))+IF($H16=1,(IF('計算A'!AG$117=1,INDEX('計算A'!AG$10:AG$54,$B16),0)+IF('計算A'!AH$117=1,INDEX('計算A'!AI$10:AI$54,$B16),0))*4000,0)-IF(AND('計算A'!AG$117=1,VE16&gt;0),2000,0)-IF(AND($L16=1,'計算A'!AH$117=1,EG16=0),2000,0))),1000000))</f>
        <v/>
      </c>
      <c r="PK16">
        <f>IF($B16=0,1000000,IF(INDEX('計算A'!$D$60:$EQ$104,$B16,32)*EG16=1,IF(AND($E16=2,JV16=0),1000000,IF($I16&gt;0,IF(2=$J16,IF(OR(AND(32=$I16+1,OR($K16&lt;&gt;'計算A'!$A$3,'計算A'!$A$4=0)),AND(32=$I16-1,OR(8&lt;&gt;'計算A'!$A$3,'計算A'!$A$4=0))),0,IF(8=$K16,200000,ABS(8-$K16)*100)),100000+ABS(2-$J16)*1000+80)+'計算A'!AI$5*50+IF(AND($E16=1,JV16=0),25,0),IF($F16&gt;0,INDEX('計算A'!AI$110:AI$114,$F16+1)+IF(AND($E16=1,JV16=0),1000,0),MIN(TV16,20)*400+(IF('計算A'!AH$106=1,1-EF16,0)+IF('計算A'!AI$106=1,1-EH16,0))*150+82+'計算A'!AI$5*100000+IF(AND($E16=1,JV16=0),50000,0))+IF($H16=1,(IF('計算A'!AH$117=1,INDEX('計算A'!AH$10:AH$54,$B16),0)+IF('計算A'!AI$117=1,INDEX('計算A'!AJ$10:AJ$54,$B16),0))*4000,0)-IF(AND('計算A'!AH$117=1,VF16&gt;0),2000,0)-IF(AND($L16=1,'計算A'!AI$117=1,EH16=0),2000,0))),1000000))</f>
        <v/>
      </c>
      <c r="PL16">
        <f>IF($B16=0,1000000,IF(INDEX('計算A'!$D$60:$EQ$104,$B16,33)*EH16=1,IF(AND($E16=2,JW16=0),1000000,IF($I16&gt;0,IF(2=$J16,IF(OR(AND(33=$I16+1,OR($K16&lt;&gt;'計算A'!$A$3,'計算A'!$A$4=0)),AND(33=$I16-1,OR(9&lt;&gt;'計算A'!$A$3,'計算A'!$A$4=0))),0,IF(9=$K16,200000,ABS(9-$K16)*100)),100000+ABS(2-$J16)*1000+90)+'計算A'!AJ$5*50+IF(AND($E16=1,JW16=0),25,0),IF($F16&gt;0,INDEX('計算A'!AJ$110:AJ$114,$F16+1)+IF(AND($E16=1,JW16=0),1000,0),MIN(TV16,20)*400+(IF('計算A'!AI$106=1,1-EG16,0)+IF('計算A'!AJ$106=1,1-EI16,0))*150+92+'計算A'!AJ$5*100000+IF(AND($E16=1,JW16=0),50000,0))+IF($H16=1,(IF('計算A'!AI$117=1,INDEX('計算A'!AI$10:AI$54,$B16),0)+IF('計算A'!AJ$117=1,INDEX('計算A'!AK$10:AK$54,$B16),0))*4000,0)-IF(AND('計算A'!AI$117=1,VG16&gt;0),2000,0)-IF(AND($L16=1,'計算A'!AJ$117=1,EI16=0),2000,0))),1000000))</f>
        <v/>
      </c>
      <c r="PM16">
        <f>IF($B16=0,1000000,IF(INDEX('計算A'!$D$60:$EQ$104,$B16,34)*EI16=1,IF(AND($E16=2,JX16=0),1000000,IF($I16&gt;0,IF(2=$J16,IF(OR(AND(34=$I16+1,OR($K16&lt;&gt;'計算A'!$A$3,'計算A'!$A$4=0)),AND(34=$I16-1,OR(10&lt;&gt;'計算A'!$A$3,'計算A'!$A$4=0))),0,IF(10=$K16,200000,ABS(10-$K16)*100)),100000+ABS(2-$J16)*1000+100)+'計算A'!AK$5*50+IF(AND($E16=1,JX16=0),25,0),IF($F16&gt;0,INDEX('計算A'!AK$110:AK$114,$F16+1)+IF(AND($E16=1,JX16=0),1000,0),MIN(TV16,20)*400+(IF('計算A'!AJ$106=1,1-EH16,0)+IF('計算A'!AK$106=1,1-EJ16,0))*150+102+'計算A'!AK$5*100000+IF(AND($E16=1,JX16=0),50000,0))+IF($H16=1,(IF('計算A'!AJ$117=1,INDEX('計算A'!AJ$10:AJ$54,$B16),0)+IF('計算A'!AK$117=1,INDEX('計算A'!AL$10:AL$54,$B16),0))*4000,0)-IF(AND('計算A'!AJ$117=1,VH16&gt;0),2000,0)-IF(AND($L16=1,'計算A'!AK$117=1,EJ16=0),2000,0))),1000000))</f>
        <v/>
      </c>
      <c r="PN16">
        <f>IF($B16=0,1000000,IF(INDEX('計算A'!$D$60:$EQ$104,$B16,35)*EJ16=1,IF(AND($E16=2,JY16=0),1000000,IF($I16&gt;0,IF(2=$J16,IF(OR(AND(35=$I16+1,OR($K16&lt;&gt;'計算A'!$A$3,'計算A'!$A$4=0)),AND(35=$I16-1,OR(11&lt;&gt;'計算A'!$A$3,'計算A'!$A$4=0))),0,IF(11=$K16,200000,ABS(11-$K16)*100)),100000+ABS(2-$J16)*1000+110)+'計算A'!AL$5*50+IF(AND($E16=1,JY16=0),25,0),IF($F16&gt;0,INDEX('計算A'!AL$110:AL$114,$F16+1)+IF(AND($E16=1,JY16=0),1000,0),MIN(TV16,20)*400+(IF('計算A'!AK$106=1,1-EI16,0)+IF('計算A'!AL$106=1,1-EK16,0))*150+112+'計算A'!AL$5*100000+IF(AND($E16=1,JY16=0),50000,0))+IF($H16=1,(IF('計算A'!AK$117=1,INDEX('計算A'!AK$10:AK$54,$B16),0)+IF('計算A'!AL$117=1,INDEX('計算A'!AM$10:AM$54,$B16),0))*4000,0)-IF(AND('計算A'!AK$117=1,VI16&gt;0),2000,0)-IF(AND($L16=1,'計算A'!AL$117=1,EK16=0),2000,0))),1000000))</f>
        <v/>
      </c>
      <c r="PO16">
        <f>IF($B16=0,1000000,IF(INDEX('計算A'!$D$60:$EQ$104,$B16,36)*EK16=1,IF(AND($E16=2,JZ16=0),1000000,IF($I16&gt;0,IF(2=$J16,IF(OR(AND(36=$I16+1,OR($K16&lt;&gt;'計算A'!$A$3,'計算A'!$A$4=0)),AND(36=$I16-1,OR(12&lt;&gt;'計算A'!$A$3,'計算A'!$A$4=0))),0,IF(12=$K16,200000,ABS(12-$K16)*100)),100000+ABS(2-$J16)*1000+120)+'計算A'!AM$5*50+IF(AND($E16=1,JZ16=0),25,0),IF($F16&gt;0,INDEX('計算A'!AM$110:AM$114,$F16+1)+IF(AND($E16=1,JZ16=0),1000,0),MIN(TV16,20)*400+(IF('計算A'!AL$106=1,1-EJ16,0)+IF('計算A'!AM$106=1,1-EL16,0))*150+122+'計算A'!AM$5*100000+IF(AND($E16=1,JZ16=0),50000,0))+IF($H16=1,(IF('計算A'!AL$117=1,INDEX('計算A'!AL$10:AL$54,$B16),0)+IF('計算A'!AM$117=1,INDEX('計算A'!AN$10:AN$54,$B16),0))*4000,0)-IF(AND('計算A'!AL$117=1,VJ16&gt;0),2000,0)-IF(AND($L16=1,'計算A'!AM$117=1,EL16=0),2000,0))),1000000))</f>
        <v/>
      </c>
      <c r="PP16">
        <f>IF($B16=0,1000000,IF(INDEX('計算A'!$D$60:$EQ$104,$B16,37)*EL16=1,IF(AND($E16=2,KA16=0),1000000,IF($I16&gt;0,IF(2=$J16,IF(OR(AND(37=$I16+1,OR($K16&lt;&gt;'計算A'!$A$3,'計算A'!$A$4=0)),AND(37=$I16-1,OR(13&lt;&gt;'計算A'!$A$3,'計算A'!$A$4=0))),0,IF(13=$K16,200000,ABS(13-$K16)*100)),100000+ABS(2-$J16)*1000+130)+'計算A'!AN$5*50+IF(AND($E16=1,KA16=0),25,0),IF($F16&gt;0,INDEX('計算A'!AN$110:AN$114,$F16+1)+IF(AND($E16=1,KA16=0),1000,0),MIN(TV16,20)*400+(IF('計算A'!AM$106=1,1-EK16,0)+IF('計算A'!AN$106=1,1-EM16,0))*150+132+'計算A'!AN$5*100000+IF(AND($E16=1,KA16=0),50000,0))+IF($H16=1,(IF('計算A'!AM$117=1,INDEX('計算A'!AM$10:AM$54,$B16),0)+IF('計算A'!AN$117=1,INDEX('計算A'!AO$10:AO$54,$B16),0))*4000,0)-IF(AND('計算A'!AM$117=1,VK16&gt;0),2000,0)-IF(AND($L16=1,'計算A'!AN$117=1,EM16=0),2000,0))),1000000))</f>
        <v/>
      </c>
      <c r="PQ16">
        <f>IF($B16=0,1000000,IF(INDEX('計算A'!$D$60:$EQ$104,$B16,38)*EM16=1,IF(AND($E16=2,KB16=0),1000000,IF($I16&gt;0,IF(2=$J16,IF(OR(AND(38=$I16+1,OR($K16&lt;&gt;'計算A'!$A$3,'計算A'!$A$4=0)),AND(38=$I16-1,OR(14&lt;&gt;'計算A'!$A$3,'計算A'!$A$4=0))),0,IF(14=$K16,200000,ABS(14-$K16)*100)),100000+ABS(2-$J16)*1000+140)+'計算A'!AO$5*50+IF(AND($E16=1,KB16=0),25,0),IF($F16&gt;0,INDEX('計算A'!AO$110:AO$114,$F16+1)+IF(AND($E16=1,KB16=0),1000,0),MIN(TV16,20)*400+(IF('計算A'!AN$106=1,1-EL16,0)+IF('計算A'!AO$106=1,1-EN16,0))*150+142+'計算A'!AO$5*100000+IF(AND($E16=1,KB16=0),50000,0))+IF($H16=1,(IF('計算A'!AN$117=1,INDEX('計算A'!AN$10:AN$54,$B16),0)+IF('計算A'!AO$117=1,INDEX('計算A'!AP$10:AP$54,$B16),0))*4000,0)-IF(AND('計算A'!AN$117=1,VL16&gt;0),2000,0)-IF(AND($L16=1,'計算A'!AO$117=1,EN16=0),2000,0))),1000000))</f>
        <v/>
      </c>
      <c r="PR16">
        <f>IF($B16=0,1000000,IF(INDEX('計算A'!$D$60:$EQ$104,$B16,39)*EN16=1,IF(AND($E16=2,KC16=0),1000000,IF($I16&gt;0,IF(2=$J16,IF(OR(AND(39=$I16+1,OR($K16&lt;&gt;'計算A'!$A$3,'計算A'!$A$4=0)),AND(39=$I16-1,OR(15&lt;&gt;'計算A'!$A$3,'計算A'!$A$4=0))),0,IF(15=$K16,200000,ABS(15-$K16)*100)),100000+ABS(2-$J16)*1000+150)+'計算A'!AP$5*50+IF(AND($E16=1,KC16=0),25,0),IF($F16&gt;0,INDEX('計算A'!AP$110:AP$114,$F16+1)+IF(AND($E16=1,KC16=0),1000,0),MIN(TV16,20)*400+(IF('計算A'!AO$106=1,1-EM16,0)+IF('計算A'!AP$106=1,1-EO16,0))*150+152+'計算A'!AP$5*100000+IF(AND($E16=1,KC16=0),50000,0))+IF($H16=1,(IF('計算A'!AO$117=1,INDEX('計算A'!AO$10:AO$54,$B16),0)+IF('計算A'!AP$117=1,INDEX('計算A'!AQ$10:AQ$54,$B16),0))*4000,0)-IF(AND('計算A'!AO$117=1,VM16&gt;0),2000,0)-IF(AND($L16=1,'計算A'!AP$117=1,EO16=0),2000,0))),1000000))</f>
        <v/>
      </c>
      <c r="PS16">
        <f>IF($B16=0,1000000,IF(INDEX('計算A'!$D$60:$EQ$104,$B16,40)*EO16=1,IF(AND($E16=2,KD16=0),1000000,IF($I16&gt;0,IF(2=$J16,IF(OR(AND(40=$I16+1,OR($K16&lt;&gt;'計算A'!$A$3,'計算A'!$A$4=0)),AND(40=$I16-1,OR(16&lt;&gt;'計算A'!$A$3,'計算A'!$A$4=0))),0,IF(16=$K16,200000,ABS(16-$K16)*100)),100000+ABS(2-$J16)*1000+160)+'計算A'!AQ$5*50+IF(AND($E16=1,KD16=0),25,0),IF($F16&gt;0,INDEX('計算A'!AQ$110:AQ$114,$F16+1)+IF(AND($E16=1,KD16=0),1000,0),MIN(TV16,20)*400+(IF('計算A'!AP$106=1,1-EN16,0)+IF('計算A'!AQ$106=1,1-EP16,0))*150+162+'計算A'!AQ$5*100000+IF(AND($E16=1,KD16=0),50000,0))+IF($H16=1,(IF('計算A'!AP$117=1,INDEX('計算A'!AP$10:AP$54,$B16),0)+IF('計算A'!AQ$117=1,INDEX('計算A'!AR$10:AR$54,$B16),0))*4000,0)-IF(AND('計算A'!AP$117=1,VN16&gt;0),2000,0)-IF(AND($L16=1,'計算A'!AQ$117=1,EP16=0),2000,0))),1000000))</f>
        <v/>
      </c>
      <c r="PT16">
        <f>IF($B16=0,1000000,IF(INDEX('計算A'!$D$60:$EQ$104,$B16,41)*EP16=1,IF(AND($E16=2,KE16=0),1000000,IF($I16&gt;0,IF(2=$J16,IF(OR(AND(41=$I16+1,OR($K16&lt;&gt;'計算A'!$A$3,'計算A'!$A$4=0)),AND(41=$I16-1,OR(17&lt;&gt;'計算A'!$A$3,'計算A'!$A$4=0))),0,IF(17=$K16,200000,ABS(17-$K16)*100)),100000+ABS(2-$J16)*1000+170)+'計算A'!AR$5*50+IF(AND($E16=1,KE16=0),25,0),IF($F16&gt;0,INDEX('計算A'!AR$110:AR$114,$F16+1)+IF(AND($E16=1,KE16=0),1000,0),MIN(TV16,20)*400+(IF('計算A'!AQ$106=1,1-EO16,0)+IF('計算A'!AR$106=1,1-EQ16,0))*150+172+'計算A'!AR$5*100000+IF(AND($E16=1,KE16=0),50000,0))+IF($H16=1,(IF('計算A'!AQ$117=1,INDEX('計算A'!AQ$10:AQ$54,$B16),0)+IF('計算A'!AR$117=1,INDEX('計算A'!AS$10:AS$54,$B16),0))*4000,0)-IF(AND('計算A'!AQ$117=1,VO16&gt;0),2000,0)-IF(AND($L16=1,'計算A'!AR$117=1,EQ16=0),2000,0))),1000000))</f>
        <v/>
      </c>
      <c r="PU16">
        <f>IF($B16=0,1000000,IF(INDEX('計算A'!$D$60:$EQ$104,$B16,42)*EQ16=1,IF(AND($E16=2,KF16=0),1000000,IF($I16&gt;0,IF(2=$J16,IF(OR(AND(42=$I16+1,OR($K16&lt;&gt;'計算A'!$A$3,'計算A'!$A$4=0)),AND(42=$I16-1,OR(18&lt;&gt;'計算A'!$A$3,'計算A'!$A$4=0))),0,IF(18=$K16,200000,ABS(18-$K16)*100)),100000+ABS(2-$J16)*1000+180)+'計算A'!AS$5*50+IF(AND($E16=1,KF16=0),25,0),IF($F16&gt;0,INDEX('計算A'!AS$110:AS$114,$F16+1)+IF(AND($E16=1,KF16=0),1000,0),MIN(TV16,20)*400+(IF('計算A'!AR$106=1,1-EP16,0)+IF('計算A'!AS$106=1,1-ER16,0))*150+182+'計算A'!AS$5*100000+IF(AND($E16=1,KF16=0),50000,0))+IF($H16=1,(IF('計算A'!AR$117=1,INDEX('計算A'!AR$10:AR$54,$B16),0)+IF('計算A'!AS$117=1,INDEX('計算A'!AT$10:AT$54,$B16),0))*4000,0)-IF(AND('計算A'!AR$117=1,VP16&gt;0),2000,0)-IF(AND($L16=1,'計算A'!AS$117=1,ER16=0),2000,0))),1000000))</f>
        <v/>
      </c>
      <c r="PV16">
        <f>IF($B16=0,1000000,IF(INDEX('計算A'!$D$60:$EQ$104,$B16,43)*ER16=1,IF(AND($E16=2,KG16=0),1000000,IF($I16&gt;0,IF(2=$J16,IF(OR(AND(43=$I16+1,OR($K16&lt;&gt;'計算A'!$A$3,'計算A'!$A$4=0)),AND(43=$I16-1,OR(19&lt;&gt;'計算A'!$A$3,'計算A'!$A$4=0))),0,IF(19=$K16,200000,ABS(19-$K16)*100)),100000+ABS(2-$J16)*1000+190)+'計算A'!AT$5*50+IF(AND($E16=1,KG16=0),25,0),IF($F16&gt;0,INDEX('計算A'!AT$110:AT$114,$F16+1)+IF(AND($E16=1,KG16=0),1000,0),MIN(TV16,20)*400+(IF('計算A'!AS$106=1,1-EQ16,0)+IF('計算A'!AT$106=1,1-ES16,0))*150+192+'計算A'!AT$5*100000+IF(AND($E16=1,KG16=0),50000,0))+IF($H16=1,(IF('計算A'!AS$117=1,INDEX('計算A'!AS$10:AS$54,$B16),0)+IF('計算A'!AT$117=1,INDEX('計算A'!AU$10:AU$54,$B16),0))*4000,0)-IF(AND('計算A'!AS$117=1,VQ16&gt;0),2000,0)-IF(AND($L16=1,'計算A'!AT$117=1,ES16=0),2000,0))),1000000))</f>
        <v/>
      </c>
      <c r="PW16">
        <f>IF($B16=0,1000000,IF(INDEX('計算A'!$D$60:$EQ$104,$B16,44)*ES16=1,IF(AND($E16=2,KH16=0),1000000,IF($I16&gt;0,IF(2=$J16,IF(OR(AND(44=$I16+1,OR($K16&lt;&gt;'計算A'!$A$3,'計算A'!$A$4=0)),AND(44=$I16-1,OR(20&lt;&gt;'計算A'!$A$3,'計算A'!$A$4=0))),0,IF(20=$K16,200000,ABS(20-$K16)*100)),100000+ABS(2-$J16)*1000+200)+'計算A'!AU$5*50+IF(AND($E16=1,KH16=0),25,0),IF($F16&gt;0,INDEX('計算A'!AU$110:AU$114,$F16+1)+IF(AND($E16=1,KH16=0),1000,0),MIN(TV16,20)*400+(IF('計算A'!AT$106=1,1-ER16,0)+IF('計算A'!AU$106=1,1-ET16,0))*150+202+'計算A'!AU$5*100000+IF(AND($E16=1,KH16=0),50000,0))+IF($H16=1,(IF('計算A'!AT$117=1,INDEX('計算A'!AT$10:AT$54,$B16),0)+IF('計算A'!AU$117=1,INDEX('計算A'!AV$10:AV$54,$B16),0))*4000,0)-IF(AND('計算A'!AT$117=1,VR16&gt;0),2000,0)-IF(AND($L16=1,'計算A'!AU$117=1,ET16=0),2000,0))),1000000))</f>
        <v/>
      </c>
      <c r="PX16">
        <f>IF($B16=0,1000000,IF(INDEX('計算A'!$D$60:$EQ$104,$B16,45)*ET16=1,IF(AND($E16=2,KI16=0),1000000,IF($I16&gt;0,IF(2=$J16,IF(OR(AND(45=$I16+1,OR($K16&lt;&gt;'計算A'!$A$3,'計算A'!$A$4=0)),AND(45=$I16-1,OR(21&lt;&gt;'計算A'!$A$3,'計算A'!$A$4=0))),0,IF(21=$K16,200000,ABS(21-$K16)*100)),100000+ABS(2-$J16)*1000+210)+'計算A'!AV$5*50+IF(AND($E16=1,KI16=0),25,0),IF($F16&gt;0,INDEX('計算A'!AV$110:AV$114,$F16+1)+IF(AND($E16=1,KI16=0),1000,0),MIN(TV16,20)*400+(IF('計算A'!AU$106=1,1-ES16,0)+IF('計算A'!AV$106=1,1-EU16,0))*150+212+'計算A'!AV$5*100000+IF(AND($E16=1,KI16=0),50000,0))+IF($H16=1,(IF('計算A'!AU$117=1,INDEX('計算A'!AU$10:AU$54,$B16),0)+IF('計算A'!AV$117=1,INDEX('計算A'!AW$10:AW$54,$B16),0))*4000,0)-IF(AND('計算A'!AU$117=1,VS16&gt;0),2000,0)-IF(AND($L16=1,'計算A'!AV$117=1,EU16=0),2000,0))),1000000))</f>
        <v/>
      </c>
      <c r="PY16">
        <f>IF($B16=0,1000000,IF(INDEX('計算A'!$D$60:$EQ$104,$B16,46)*EU16=1,IF(AND($E16=2,KJ16=0),1000000,IF($I16&gt;0,IF(2=$J16,IF(OR(AND(46=$I16+1,OR($K16&lt;&gt;'計算A'!$A$3,'計算A'!$A$4=0)),AND(46=$I16-1,OR(22&lt;&gt;'計算A'!$A$3,'計算A'!$A$4=0))),0,IF(22=$K16,200000,ABS(22-$K16)*100)),100000+ABS(2-$J16)*1000+220)+'計算A'!AW$5*50+IF(AND($E16=1,KJ16=0),25,0),IF($F16&gt;0,INDEX('計算A'!AW$110:AW$114,$F16+1)+IF(AND($E16=1,KJ16=0),1000,0),MIN(TV16,20)*400+(IF('計算A'!AV$106=1,1-ET16,0)+IF('計算A'!AW$106=1,1-EV16,0))*150+222+'計算A'!AW$5*100000+IF(AND($E16=1,KJ16=0),50000,0))+IF($H16=1,(IF('計算A'!AV$117=1,INDEX('計算A'!AV$10:AV$54,$B16),0)+IF('計算A'!AW$117=1,INDEX('計算A'!AX$10:AX$54,$B16),0))*4000,0)-IF(AND('計算A'!AV$117=1,VT16&gt;0),2000,0)-IF(AND($L16=1,'計算A'!AW$117=1,EV16=0),2000,0))),1000000))</f>
        <v/>
      </c>
      <c r="PZ16">
        <f>IF($B16=0,1000000,IF(INDEX('計算A'!$D$60:$EQ$104,$B16,47)*EV16=1,IF(AND($E16=2,KK16=0),1000000,IF($I16&gt;0,IF(2=$J16,IF(OR(AND(47=$I16+1,OR($K16&lt;&gt;'計算A'!$A$3,'計算A'!$A$4=0)),AND(47=$I16-1,OR(23&lt;&gt;'計算A'!$A$3,'計算A'!$A$4=0))),0,IF(23=$K16,200000,ABS(23-$K16)*100)),100000+ABS(2-$J16)*1000+230)+'計算A'!AX$5*50+IF(AND($E16=1,KK16=0),25,0),IF($F16&gt;0,INDEX('計算A'!AX$110:AX$114,$F16+1)+IF(AND($E16=1,KK16=0),1000,0),MIN(TV16,20)*400+(IF('計算A'!AW$106=1,1-EU16,0)+IF('計算A'!AX$106=1,1-EW16,0))*150+232+'計算A'!AX$5*100000+IF(AND($E16=1,KK16=0),50000,0))+IF($H16=1,(IF('計算A'!AW$117=1,INDEX('計算A'!AW$10:AW$54,$B16),0)+IF('計算A'!AX$117=1,INDEX('計算A'!AY$10:AY$54,$B16),0))*4000,0)-IF(AND('計算A'!AW$117=1,VU16&gt;0),2000,0)-IF(AND($L16=1,'計算A'!AX$117=1,EW16=0),2000,0))),1000000))</f>
        <v/>
      </c>
      <c r="QA16">
        <f>IF($B16=0,1000000,IF(INDEX('計算A'!$D$60:$EQ$104,$B16,48)*EW16=1,IF(AND($E16=2,KL16=0),1000000,IF($I16&gt;0,IF(2=$J16,IF(OR(AND(48=$I16+1,OR($K16&lt;&gt;'計算A'!$A$3,'計算A'!$A$4=0)),AND(48=$I16-1,OR(24&lt;&gt;'計算A'!$A$3,'計算A'!$A$4=0))),0,IF(24=$K16,200000,ABS(24-$K16)*100)),100000+ABS(2-$J16)*1000+240)+'計算A'!AY$5*50+IF(AND($E16=1,KL16=0),25,0),IF($F16&gt;0,INDEX('計算A'!AY$110:AY$114,$F16+1)+IF(AND($E16=1,KL16=0),1000,0),MIN(TV16,20)*400+(IF('計算A'!AX$106=1,1-EV16,0))*150+242+'計算A'!AY$5*100000+IF(AND($E16=1,KL16=0),50000,0))+IF($H16=1,(IF('計算A'!AX$117=1,INDEX('計算A'!AX$10:AX$54,$B16),0))*4000,0)-IF(AND('計算A'!AX$117=1,VV16&gt;0),2000,0))),1000000))</f>
        <v/>
      </c>
      <c r="QB16">
        <f>IF($B16=0,1000000,IF(INDEX('計算A'!$D$60:$EQ$104,$B16,49)*EX16=1,IF(AND($E16=2,KM16=0),1000000,IF($I16&gt;0,IF(3=$J16,IF(OR(AND(49=$I16+1,OR($K16&lt;&gt;'計算A'!$A$3,'計算A'!$A$4=0)),AND(49=$I16-1,OR(1&lt;&gt;'計算A'!$A$3,'計算A'!$A$4=0))),0,IF(1=$K16,200000,ABS(1-$K16)*100)),100000+ABS(3-$J16)*1000+10)+'計算A'!AZ$5*50+IF(AND($E16=1,KM16=0),25,0),IF($F16&gt;0,INDEX('計算A'!AZ$110:AZ$114,$F16+1)+IF(AND($E16=1,KM16=0),1000,0),MIN(TW16,20)*400+(IF('計算A'!AZ$106=1,1-EY16,0))*150+13+'計算A'!AZ$5*100000+IF(AND($E16=1,KM16=0),50000,0))+IF($H16=1,(IF('計算A'!AZ$117=1,INDEX('計算A'!BA$10:BA$54,$B16),0))*4000,0)-IF(AND($L16=1,'計算A'!AZ$117=1,EY16=0),2000,0))),1000000))</f>
        <v/>
      </c>
      <c r="QC16">
        <f>IF($B16=0,1000000,IF(INDEX('計算A'!$D$60:$EQ$104,$B16,50)*EY16=1,IF(AND($E16=2,KN16=0),1000000,IF($I16&gt;0,IF(3=$J16,IF(OR(AND(50=$I16+1,OR($K16&lt;&gt;'計算A'!$A$3,'計算A'!$A$4=0)),AND(50=$I16-1,OR(2&lt;&gt;'計算A'!$A$3,'計算A'!$A$4=0))),0,IF(2=$K16,200000,ABS(2-$K16)*100)),100000+ABS(3-$J16)*1000+20)+'計算A'!BA$5*50+IF(AND($E16=1,KN16=0),25,0),IF($F16&gt;0,INDEX('計算A'!BA$110:BA$114,$F16+1)+IF(AND($E16=1,KN16=0),1000,0),MIN(TW16,20)*400+(IF('計算A'!AZ$106=1,1-EX16,0)+IF('計算A'!BA$106=1,1-EZ16,0))*150+23+'計算A'!BA$5*100000+IF(AND($E16=1,KN16=0),50000,0))+IF($H16=1,(IF('計算A'!AZ$117=1,INDEX('計算A'!AZ$10:AZ$54,$B16),0)+IF('計算A'!BA$117=1,INDEX('計算A'!BB$10:BB$54,$B16),0))*4000,0)-IF(AND('計算A'!AZ$117=1,VX16&gt;0),2000,0)-IF(AND($L16=1,'計算A'!BA$117=1,EZ16=0),2000,0))),1000000))</f>
        <v/>
      </c>
      <c r="QD16">
        <f>IF($B16=0,1000000,IF(INDEX('計算A'!$D$60:$EQ$104,$B16,51)*EZ16=1,IF(AND($E16=2,KO16=0),1000000,IF($I16&gt;0,IF(3=$J16,IF(OR(AND(51=$I16+1,OR($K16&lt;&gt;'計算A'!$A$3,'計算A'!$A$4=0)),AND(51=$I16-1,OR(3&lt;&gt;'計算A'!$A$3,'計算A'!$A$4=0))),0,IF(3=$K16,200000,ABS(3-$K16)*100)),100000+ABS(3-$J16)*1000+30)+'計算A'!BB$5*50+IF(AND($E16=1,KO16=0),25,0),IF($F16&gt;0,INDEX('計算A'!BB$110:BB$114,$F16+1)+IF(AND($E16=1,KO16=0),1000,0),MIN(TW16,20)*400+(IF('計算A'!BA$106=1,1-EY16,0)+IF('計算A'!BB$106=1,1-FA16,0))*150+33+'計算A'!BB$5*100000+IF(AND($E16=1,KO16=0),50000,0))+IF($H16=1,(IF('計算A'!BA$117=1,INDEX('計算A'!BA$10:BA$54,$B16),0)+IF('計算A'!BB$117=1,INDEX('計算A'!BC$10:BC$54,$B16),0))*4000,0)-IF(AND('計算A'!BA$117=1,VY16&gt;0),2000,0)-IF(AND($L16=1,'計算A'!BB$117=1,FA16=0),2000,0))),1000000))</f>
        <v/>
      </c>
      <c r="QE16">
        <f>IF($B16=0,1000000,IF(INDEX('計算A'!$D$60:$EQ$104,$B16,52)*FA16=1,IF(AND($E16=2,KP16=0),1000000,IF($I16&gt;0,IF(3=$J16,IF(OR(AND(52=$I16+1,OR($K16&lt;&gt;'計算A'!$A$3,'計算A'!$A$4=0)),AND(52=$I16-1,OR(4&lt;&gt;'計算A'!$A$3,'計算A'!$A$4=0))),0,IF(4=$K16,200000,ABS(4-$K16)*100)),100000+ABS(3-$J16)*1000+40)+'計算A'!BC$5*50+IF(AND($E16=1,KP16=0),25,0),IF($F16&gt;0,INDEX('計算A'!BC$110:BC$114,$F16+1)+IF(AND($E16=1,KP16=0),1000,0),MIN(TW16,20)*400+(IF('計算A'!BB$106=1,1-EZ16,0)+IF('計算A'!BC$106=1,1-FB16,0))*150+43+'計算A'!BC$5*100000+IF(AND($E16=1,KP16=0),50000,0))+IF($H16=1,(IF('計算A'!BB$117=1,INDEX('計算A'!BB$10:BB$54,$B16),0)+IF('計算A'!BC$117=1,INDEX('計算A'!BD$10:BD$54,$B16),0))*4000,0)-IF(AND('計算A'!BB$117=1,VZ16&gt;0),2000,0)-IF(AND($L16=1,'計算A'!BC$117=1,FB16=0),2000,0))),1000000))</f>
        <v/>
      </c>
      <c r="QF16">
        <f>IF($B16=0,1000000,IF(INDEX('計算A'!$D$60:$EQ$104,$B16,53)*FB16=1,IF(AND($E16=2,KQ16=0),1000000,IF($I16&gt;0,IF(3=$J16,IF(OR(AND(53=$I16+1,OR($K16&lt;&gt;'計算A'!$A$3,'計算A'!$A$4=0)),AND(53=$I16-1,OR(5&lt;&gt;'計算A'!$A$3,'計算A'!$A$4=0))),0,IF(5=$K16,200000,ABS(5-$K16)*100)),100000+ABS(3-$J16)*1000+50)+'計算A'!BD$5*50+IF(AND($E16=1,KQ16=0),25,0),IF($F16&gt;0,INDEX('計算A'!BD$110:BD$114,$F16+1)+IF(AND($E16=1,KQ16=0),1000,0),MIN(TW16,20)*400+(IF('計算A'!BC$106=1,1-FA16,0)+IF('計算A'!BD$106=1,1-FC16,0))*150+53+'計算A'!BD$5*100000+IF(AND($E16=1,KQ16=0),50000,0))+IF($H16=1,(IF('計算A'!BC$117=1,INDEX('計算A'!BC$10:BC$54,$B16),0)+IF('計算A'!BD$117=1,INDEX('計算A'!BE$10:BE$54,$B16),0))*4000,0)-IF(AND('計算A'!BC$117=1,WA16&gt;0),2000,0)-IF(AND($L16=1,'計算A'!BD$117=1,FC16=0),2000,0))),1000000))</f>
        <v/>
      </c>
      <c r="QG16">
        <f>IF($B16=0,1000000,IF(INDEX('計算A'!$D$60:$EQ$104,$B16,54)*FC16=1,IF(AND($E16=2,KR16=0),1000000,IF($I16&gt;0,IF(3=$J16,IF(OR(AND(54=$I16+1,OR($K16&lt;&gt;'計算A'!$A$3,'計算A'!$A$4=0)),AND(54=$I16-1,OR(6&lt;&gt;'計算A'!$A$3,'計算A'!$A$4=0))),0,IF(6=$K16,200000,ABS(6-$K16)*100)),100000+ABS(3-$J16)*1000+60)+'計算A'!BE$5*50+IF(AND($E16=1,KR16=0),25,0),IF($F16&gt;0,INDEX('計算A'!BE$110:BE$114,$F16+1)+IF(AND($E16=1,KR16=0),1000,0),MIN(TW16,20)*400+(IF('計算A'!BD$106=1,1-FB16,0)+IF('計算A'!BE$106=1,1-FD16,0))*150+63+'計算A'!BE$5*100000+IF(AND($E16=1,KR16=0),50000,0))+IF($H16=1,(IF('計算A'!BD$117=1,INDEX('計算A'!BD$10:BD$54,$B16),0)+IF('計算A'!BE$117=1,INDEX('計算A'!BF$10:BF$54,$B16),0))*4000,0)-IF(AND('計算A'!BD$117=1,WB16&gt;0),2000,0)-IF(AND($L16=1,'計算A'!BE$117=1,FD16=0),2000,0))),1000000))</f>
        <v/>
      </c>
      <c r="QH16">
        <f>IF($B16=0,1000000,IF(INDEX('計算A'!$D$60:$EQ$104,$B16,55)*FD16=1,IF(AND($E16=2,KS16=0),1000000,IF($I16&gt;0,IF(3=$J16,IF(OR(AND(55=$I16+1,OR($K16&lt;&gt;'計算A'!$A$3,'計算A'!$A$4=0)),AND(55=$I16-1,OR(7&lt;&gt;'計算A'!$A$3,'計算A'!$A$4=0))),0,IF(7=$K16,200000,ABS(7-$K16)*100)),100000+ABS(3-$J16)*1000+70)+'計算A'!BF$5*50+IF(AND($E16=1,KS16=0),25,0),IF($F16&gt;0,INDEX('計算A'!BF$110:BF$114,$F16+1)+IF(AND($E16=1,KS16=0),1000,0),MIN(TW16,20)*400+(IF('計算A'!BE$106=1,1-FC16,0)+IF('計算A'!BF$106=1,1-FE16,0))*150+73+'計算A'!BF$5*100000+IF(AND($E16=1,KS16=0),50000,0))+IF($H16=1,(IF('計算A'!BE$117=1,INDEX('計算A'!BE$10:BE$54,$B16),0)+IF('計算A'!BF$117=1,INDEX('計算A'!BG$10:BG$54,$B16),0))*4000,0)-IF(AND('計算A'!BE$117=1,WC16&gt;0),2000,0)-IF(AND($L16=1,'計算A'!BF$117=1,FE16=0),2000,0))),1000000))</f>
        <v/>
      </c>
      <c r="QI16">
        <f>IF($B16=0,1000000,IF(INDEX('計算A'!$D$60:$EQ$104,$B16,56)*FE16=1,IF(AND($E16=2,KT16=0),1000000,IF($I16&gt;0,IF(3=$J16,IF(OR(AND(56=$I16+1,OR($K16&lt;&gt;'計算A'!$A$3,'計算A'!$A$4=0)),AND(56=$I16-1,OR(8&lt;&gt;'計算A'!$A$3,'計算A'!$A$4=0))),0,IF(8=$K16,200000,ABS(8-$K16)*100)),100000+ABS(3-$J16)*1000+80)+'計算A'!BG$5*50+IF(AND($E16=1,KT16=0),25,0),IF($F16&gt;0,INDEX('計算A'!BG$110:BG$114,$F16+1)+IF(AND($E16=1,KT16=0),1000,0),MIN(TW16,20)*400+(IF('計算A'!BF$106=1,1-FD16,0)+IF('計算A'!BG$106=1,1-FF16,0))*150+83+'計算A'!BG$5*100000+IF(AND($E16=1,KT16=0),50000,0))+IF($H16=1,(IF('計算A'!BF$117=1,INDEX('計算A'!BF$10:BF$54,$B16),0)+IF('計算A'!BG$117=1,INDEX('計算A'!BH$10:BH$54,$B16),0))*4000,0)-IF(AND('計算A'!BF$117=1,WD16&gt;0),2000,0)-IF(AND($L16=1,'計算A'!BG$117=1,FF16=0),2000,0))),1000000))</f>
        <v/>
      </c>
      <c r="QJ16">
        <f>IF($B16=0,1000000,IF(INDEX('計算A'!$D$60:$EQ$104,$B16,57)*FF16=1,IF(AND($E16=2,KU16=0),1000000,IF($I16&gt;0,IF(3=$J16,IF(OR(AND(57=$I16+1,OR($K16&lt;&gt;'計算A'!$A$3,'計算A'!$A$4=0)),AND(57=$I16-1,OR(9&lt;&gt;'計算A'!$A$3,'計算A'!$A$4=0))),0,IF(9=$K16,200000,ABS(9-$K16)*100)),100000+ABS(3-$J16)*1000+90)+'計算A'!BH$5*50+IF(AND($E16=1,KU16=0),25,0),IF($F16&gt;0,INDEX('計算A'!BH$110:BH$114,$F16+1)+IF(AND($E16=1,KU16=0),1000,0),MIN(TW16,20)*400+(IF('計算A'!BG$106=1,1-FE16,0)+IF('計算A'!BH$106=1,1-FG16,0))*150+93+'計算A'!BH$5*100000+IF(AND($E16=1,KU16=0),50000,0))+IF($H16=1,(IF('計算A'!BG$117=1,INDEX('計算A'!BG$10:BG$54,$B16),0)+IF('計算A'!BH$117=1,INDEX('計算A'!BI$10:BI$54,$B16),0))*4000,0)-IF(AND('計算A'!BG$117=1,WE16&gt;0),2000,0)-IF(AND($L16=1,'計算A'!BH$117=1,FG16=0),2000,0))),1000000))</f>
        <v/>
      </c>
      <c r="QK16">
        <f>IF($B16=0,1000000,IF(INDEX('計算A'!$D$60:$EQ$104,$B16,58)*FG16=1,IF(AND($E16=2,KV16=0),1000000,IF($I16&gt;0,IF(3=$J16,IF(OR(AND(58=$I16+1,OR($K16&lt;&gt;'計算A'!$A$3,'計算A'!$A$4=0)),AND(58=$I16-1,OR(10&lt;&gt;'計算A'!$A$3,'計算A'!$A$4=0))),0,IF(10=$K16,200000,ABS(10-$K16)*100)),100000+ABS(3-$J16)*1000+100)+'計算A'!BI$5*50+IF(AND($E16=1,KV16=0),25,0),IF($F16&gt;0,INDEX('計算A'!BI$110:BI$114,$F16+1)+IF(AND($E16=1,KV16=0),1000,0),MIN(TW16,20)*400+(IF('計算A'!BH$106=1,1-FF16,0)+IF('計算A'!BI$106=1,1-FH16,0))*150+103+'計算A'!BI$5*100000+IF(AND($E16=1,KV16=0),50000,0))+IF($H16=1,(IF('計算A'!BH$117=1,INDEX('計算A'!BH$10:BH$54,$B16),0)+IF('計算A'!BI$117=1,INDEX('計算A'!BJ$10:BJ$54,$B16),0))*4000,0)-IF(AND('計算A'!BH$117=1,WF16&gt;0),2000,0)-IF(AND($L16=1,'計算A'!BI$117=1,FH16=0),2000,0))),1000000))</f>
        <v/>
      </c>
      <c r="QL16">
        <f>IF($B16=0,1000000,IF(INDEX('計算A'!$D$60:$EQ$104,$B16,59)*FH16=1,IF(AND($E16=2,KW16=0),1000000,IF($I16&gt;0,IF(3=$J16,IF(OR(AND(59=$I16+1,OR($K16&lt;&gt;'計算A'!$A$3,'計算A'!$A$4=0)),AND(59=$I16-1,OR(11&lt;&gt;'計算A'!$A$3,'計算A'!$A$4=0))),0,IF(11=$K16,200000,ABS(11-$K16)*100)),100000+ABS(3-$J16)*1000+110)+'計算A'!BJ$5*50+IF(AND($E16=1,KW16=0),25,0),IF($F16&gt;0,INDEX('計算A'!BJ$110:BJ$114,$F16+1)+IF(AND($E16=1,KW16=0),1000,0),MIN(TW16,20)*400+(IF('計算A'!BI$106=1,1-FG16,0)+IF('計算A'!BJ$106=1,1-FI16,0))*150+113+'計算A'!BJ$5*100000+IF(AND($E16=1,KW16=0),50000,0))+IF($H16=1,(IF('計算A'!BI$117=1,INDEX('計算A'!BI$10:BI$54,$B16),0)+IF('計算A'!BJ$117=1,INDEX('計算A'!BK$10:BK$54,$B16),0))*4000,0)-IF(AND('計算A'!BI$117=1,WG16&gt;0),2000,0)-IF(AND($L16=1,'計算A'!BJ$117=1,FI16=0),2000,0))),1000000))</f>
        <v/>
      </c>
      <c r="QM16">
        <f>IF($B16=0,1000000,IF(INDEX('計算A'!$D$60:$EQ$104,$B16,60)*FI16=1,IF(AND($E16=2,KX16=0),1000000,IF($I16&gt;0,IF(3=$J16,IF(OR(AND(60=$I16+1,OR($K16&lt;&gt;'計算A'!$A$3,'計算A'!$A$4=0)),AND(60=$I16-1,OR(12&lt;&gt;'計算A'!$A$3,'計算A'!$A$4=0))),0,IF(12=$K16,200000,ABS(12-$K16)*100)),100000+ABS(3-$J16)*1000+120)+'計算A'!BK$5*50+IF(AND($E16=1,KX16=0),25,0),IF($F16&gt;0,INDEX('計算A'!BK$110:BK$114,$F16+1)+IF(AND($E16=1,KX16=0),1000,0),MIN(TW16,20)*400+(IF('計算A'!BJ$106=1,1-FH16,0)+IF('計算A'!BK$106=1,1-FJ16,0))*150+123+'計算A'!BK$5*100000+IF(AND($E16=1,KX16=0),50000,0))+IF($H16=1,(IF('計算A'!BJ$117=1,INDEX('計算A'!BJ$10:BJ$54,$B16),0)+IF('計算A'!BK$117=1,INDEX('計算A'!BL$10:BL$54,$B16),0))*4000,0)-IF(AND('計算A'!BJ$117=1,WH16&gt;0),2000,0)-IF(AND($L16=1,'計算A'!BK$117=1,FJ16=0),2000,0))),1000000))</f>
        <v/>
      </c>
      <c r="QN16">
        <f>IF($B16=0,1000000,IF(INDEX('計算A'!$D$60:$EQ$104,$B16,61)*FJ16=1,IF(AND($E16=2,KY16=0),1000000,IF($I16&gt;0,IF(3=$J16,IF(OR(AND(61=$I16+1,OR($K16&lt;&gt;'計算A'!$A$3,'計算A'!$A$4=0)),AND(61=$I16-1,OR(13&lt;&gt;'計算A'!$A$3,'計算A'!$A$4=0))),0,IF(13=$K16,200000,ABS(13-$K16)*100)),100000+ABS(3-$J16)*1000+130)+'計算A'!BL$5*50+IF(AND($E16=1,KY16=0),25,0),IF($F16&gt;0,INDEX('計算A'!BL$110:BL$114,$F16+1)+IF(AND($E16=1,KY16=0),1000,0),MIN(TW16,20)*400+(IF('計算A'!BK$106=1,1-FI16,0)+IF('計算A'!BL$106=1,1-FK16,0))*150+133+'計算A'!BL$5*100000+IF(AND($E16=1,KY16=0),50000,0))+IF($H16=1,(IF('計算A'!BK$117=1,INDEX('計算A'!BK$10:BK$54,$B16),0)+IF('計算A'!BL$117=1,INDEX('計算A'!BM$10:BM$54,$B16),0))*4000,0)-IF(AND('計算A'!BK$117=1,WI16&gt;0),2000,0)-IF(AND($L16=1,'計算A'!BL$117=1,FK16=0),2000,0))),1000000))</f>
        <v/>
      </c>
      <c r="QO16">
        <f>IF($B16=0,1000000,IF(INDEX('計算A'!$D$60:$EQ$104,$B16,62)*FK16=1,IF(AND($E16=2,KZ16=0),1000000,IF($I16&gt;0,IF(3=$J16,IF(OR(AND(62=$I16+1,OR($K16&lt;&gt;'計算A'!$A$3,'計算A'!$A$4=0)),AND(62=$I16-1,OR(14&lt;&gt;'計算A'!$A$3,'計算A'!$A$4=0))),0,IF(14=$K16,200000,ABS(14-$K16)*100)),100000+ABS(3-$J16)*1000+140)+'計算A'!BM$5*50+IF(AND($E16=1,KZ16=0),25,0),IF($F16&gt;0,INDEX('計算A'!BM$110:BM$114,$F16+1)+IF(AND($E16=1,KZ16=0),1000,0),MIN(TW16,20)*400+(IF('計算A'!BL$106=1,1-FJ16,0)+IF('計算A'!BM$106=1,1-FL16,0))*150+143+'計算A'!BM$5*100000+IF(AND($E16=1,KZ16=0),50000,0))+IF($H16=1,(IF('計算A'!BL$117=1,INDEX('計算A'!BL$10:BL$54,$B16),0)+IF('計算A'!BM$117=1,INDEX('計算A'!BN$10:BN$54,$B16),0))*4000,0)-IF(AND('計算A'!BL$117=1,WJ16&gt;0),2000,0)-IF(AND($L16=1,'計算A'!BM$117=1,FL16=0),2000,0))),1000000))</f>
        <v/>
      </c>
      <c r="QP16">
        <f>IF($B16=0,1000000,IF(INDEX('計算A'!$D$60:$EQ$104,$B16,63)*FL16=1,IF(AND($E16=2,LA16=0),1000000,IF($I16&gt;0,IF(3=$J16,IF(OR(AND(63=$I16+1,OR($K16&lt;&gt;'計算A'!$A$3,'計算A'!$A$4=0)),AND(63=$I16-1,OR(15&lt;&gt;'計算A'!$A$3,'計算A'!$A$4=0))),0,IF(15=$K16,200000,ABS(15-$K16)*100)),100000+ABS(3-$J16)*1000+150)+'計算A'!BN$5*50+IF(AND($E16=1,LA16=0),25,0),IF($F16&gt;0,INDEX('計算A'!BN$110:BN$114,$F16+1)+IF(AND($E16=1,LA16=0),1000,0),MIN(TW16,20)*400+(IF('計算A'!BM$106=1,1-FK16,0)+IF('計算A'!BN$106=1,1-FM16,0))*150+153+'計算A'!BN$5*100000+IF(AND($E16=1,LA16=0),50000,0))+IF($H16=1,(IF('計算A'!BM$117=1,INDEX('計算A'!BM$10:BM$54,$B16),0)+IF('計算A'!BN$117=1,INDEX('計算A'!BO$10:BO$54,$B16),0))*4000,0)-IF(AND('計算A'!BM$117=1,WK16&gt;0),2000,0)-IF(AND($L16=1,'計算A'!BN$117=1,FM16=0),2000,0))),1000000))</f>
        <v/>
      </c>
      <c r="QQ16">
        <f>IF($B16=0,1000000,IF(INDEX('計算A'!$D$60:$EQ$104,$B16,64)*FM16=1,IF(AND($E16=2,LB16=0),1000000,IF($I16&gt;0,IF(3=$J16,IF(OR(AND(64=$I16+1,OR($K16&lt;&gt;'計算A'!$A$3,'計算A'!$A$4=0)),AND(64=$I16-1,OR(16&lt;&gt;'計算A'!$A$3,'計算A'!$A$4=0))),0,IF(16=$K16,200000,ABS(16-$K16)*100)),100000+ABS(3-$J16)*1000+160)+'計算A'!BO$5*50+IF(AND($E16=1,LB16=0),25,0),IF($F16&gt;0,INDEX('計算A'!BO$110:BO$114,$F16+1)+IF(AND($E16=1,LB16=0),1000,0),MIN(TW16,20)*400+(IF('計算A'!BN$106=1,1-FL16,0)+IF('計算A'!BO$106=1,1-FN16,0))*150+163+'計算A'!BO$5*100000+IF(AND($E16=1,LB16=0),50000,0))+IF($H16=1,(IF('計算A'!BN$117=1,INDEX('計算A'!BN$10:BN$54,$B16),0)+IF('計算A'!BO$117=1,INDEX('計算A'!BP$10:BP$54,$B16),0))*4000,0)-IF(AND('計算A'!BN$117=1,WL16&gt;0),2000,0)-IF(AND($L16=1,'計算A'!BO$117=1,FN16=0),2000,0))),1000000))</f>
        <v/>
      </c>
      <c r="QR16">
        <f>IF($B16=0,1000000,IF(INDEX('計算A'!$D$60:$EQ$104,$B16,65)*FN16=1,IF(AND($E16=2,LC16=0),1000000,IF($I16&gt;0,IF(3=$J16,IF(OR(AND(65=$I16+1,OR($K16&lt;&gt;'計算A'!$A$3,'計算A'!$A$4=0)),AND(65=$I16-1,OR(17&lt;&gt;'計算A'!$A$3,'計算A'!$A$4=0))),0,IF(17=$K16,200000,ABS(17-$K16)*100)),100000+ABS(3-$J16)*1000+170)+'計算A'!BP$5*50+IF(AND($E16=1,LC16=0),25,0),IF($F16&gt;0,INDEX('計算A'!BP$110:BP$114,$F16+1)+IF(AND($E16=1,LC16=0),1000,0),MIN(TW16,20)*400+(IF('計算A'!BO$106=1,1-FM16,0)+IF('計算A'!BP$106=1,1-FO16,0))*150+173+'計算A'!BP$5*100000+IF(AND($E16=1,LC16=0),50000,0))+IF($H16=1,(IF('計算A'!BO$117=1,INDEX('計算A'!BO$10:BO$54,$B16),0)+IF('計算A'!BP$117=1,INDEX('計算A'!BQ$10:BQ$54,$B16),0))*4000,0)-IF(AND('計算A'!BO$117=1,WM16&gt;0),2000,0)-IF(AND($L16=1,'計算A'!BP$117=1,FO16=0),2000,0))),1000000))</f>
        <v/>
      </c>
      <c r="QS16">
        <f>IF($B16=0,1000000,IF(INDEX('計算A'!$D$60:$EQ$104,$B16,66)*FO16=1,IF(AND($E16=2,LD16=0),1000000,IF($I16&gt;0,IF(3=$J16,IF(OR(AND(66=$I16+1,OR($K16&lt;&gt;'計算A'!$A$3,'計算A'!$A$4=0)),AND(66=$I16-1,OR(18&lt;&gt;'計算A'!$A$3,'計算A'!$A$4=0))),0,IF(18=$K16,200000,ABS(18-$K16)*100)),100000+ABS(3-$J16)*1000+180)+'計算A'!BQ$5*50+IF(AND($E16=1,LD16=0),25,0),IF($F16&gt;0,INDEX('計算A'!BQ$110:BQ$114,$F16+1)+IF(AND($E16=1,LD16=0),1000,0),MIN(TW16,20)*400+(IF('計算A'!BP$106=1,1-FN16,0)+IF('計算A'!BQ$106=1,1-FP16,0))*150+183+'計算A'!BQ$5*100000+IF(AND($E16=1,LD16=0),50000,0))+IF($H16=1,(IF('計算A'!BP$117=1,INDEX('計算A'!BP$10:BP$54,$B16),0)+IF('計算A'!BQ$117=1,INDEX('計算A'!BR$10:BR$54,$B16),0))*4000,0)-IF(AND('計算A'!BP$117=1,WN16&gt;0),2000,0)-IF(AND($L16=1,'計算A'!BQ$117=1,FP16=0),2000,0))),1000000))</f>
        <v/>
      </c>
      <c r="QT16">
        <f>IF($B16=0,1000000,IF(INDEX('計算A'!$D$60:$EQ$104,$B16,67)*FP16=1,IF(AND($E16=2,LE16=0),1000000,IF($I16&gt;0,IF(3=$J16,IF(OR(AND(67=$I16+1,OR($K16&lt;&gt;'計算A'!$A$3,'計算A'!$A$4=0)),AND(67=$I16-1,OR(19&lt;&gt;'計算A'!$A$3,'計算A'!$A$4=0))),0,IF(19=$K16,200000,ABS(19-$K16)*100)),100000+ABS(3-$J16)*1000+190)+'計算A'!BR$5*50+IF(AND($E16=1,LE16=0),25,0),IF($F16&gt;0,INDEX('計算A'!BR$110:BR$114,$F16+1)+IF(AND($E16=1,LE16=0),1000,0),MIN(TW16,20)*400+(IF('計算A'!BQ$106=1,1-FO16,0)+IF('計算A'!BR$106=1,1-FQ16,0))*150+193+'計算A'!BR$5*100000+IF(AND($E16=1,LE16=0),50000,0))+IF($H16=1,(IF('計算A'!BQ$117=1,INDEX('計算A'!BQ$10:BQ$54,$B16),0)+IF('計算A'!BR$117=1,INDEX('計算A'!BS$10:BS$54,$B16),0))*4000,0)-IF(AND('計算A'!BQ$117=1,WO16&gt;0),2000,0)-IF(AND($L16=1,'計算A'!BR$117=1,FQ16=0),2000,0))),1000000))</f>
        <v/>
      </c>
      <c r="QU16">
        <f>IF($B16=0,1000000,IF(INDEX('計算A'!$D$60:$EQ$104,$B16,68)*FQ16=1,IF(AND($E16=2,LF16=0),1000000,IF($I16&gt;0,IF(3=$J16,IF(OR(AND(68=$I16+1,OR($K16&lt;&gt;'計算A'!$A$3,'計算A'!$A$4=0)),AND(68=$I16-1,OR(20&lt;&gt;'計算A'!$A$3,'計算A'!$A$4=0))),0,IF(20=$K16,200000,ABS(20-$K16)*100)),100000+ABS(3-$J16)*1000+200)+'計算A'!BS$5*50+IF(AND($E16=1,LF16=0),25,0),IF($F16&gt;0,INDEX('計算A'!BS$110:BS$114,$F16+1)+IF(AND($E16=1,LF16=0),1000,0),MIN(TW16,20)*400+(IF('計算A'!BR$106=1,1-FP16,0)+IF('計算A'!BS$106=1,1-FR16,0))*150+203+'計算A'!BS$5*100000+IF(AND($E16=1,LF16=0),50000,0))+IF($H16=1,(IF('計算A'!BR$117=1,INDEX('計算A'!BR$10:BR$54,$B16),0)+IF('計算A'!BS$117=1,INDEX('計算A'!BT$10:BT$54,$B16),0))*4000,0)-IF(AND('計算A'!BR$117=1,WP16&gt;0),2000,0)-IF(AND($L16=1,'計算A'!BS$117=1,FR16=0),2000,0))),1000000))</f>
        <v/>
      </c>
      <c r="QV16">
        <f>IF($B16=0,1000000,IF(INDEX('計算A'!$D$60:$EQ$104,$B16,69)*FR16=1,IF(AND($E16=2,LG16=0),1000000,IF($I16&gt;0,IF(3=$J16,IF(OR(AND(69=$I16+1,OR($K16&lt;&gt;'計算A'!$A$3,'計算A'!$A$4=0)),AND(69=$I16-1,OR(21&lt;&gt;'計算A'!$A$3,'計算A'!$A$4=0))),0,IF(21=$K16,200000,ABS(21-$K16)*100)),100000+ABS(3-$J16)*1000+210)+'計算A'!BT$5*50+IF(AND($E16=1,LG16=0),25,0),IF($F16&gt;0,INDEX('計算A'!BT$110:BT$114,$F16+1)+IF(AND($E16=1,LG16=0),1000,0),MIN(TW16,20)*400+(IF('計算A'!BS$106=1,1-FQ16,0)+IF('計算A'!BT$106=1,1-FS16,0))*150+213+'計算A'!BT$5*100000+IF(AND($E16=1,LG16=0),50000,0))+IF($H16=1,(IF('計算A'!BS$117=1,INDEX('計算A'!BS$10:BS$54,$B16),0)+IF('計算A'!BT$117=1,INDEX('計算A'!BU$10:BU$54,$B16),0))*4000,0)-IF(AND('計算A'!BS$117=1,WQ16&gt;0),2000,0)-IF(AND($L16=1,'計算A'!BT$117=1,FS16=0),2000,0))),1000000))</f>
        <v/>
      </c>
      <c r="QW16">
        <f>IF($B16=0,1000000,IF(INDEX('計算A'!$D$60:$EQ$104,$B16,70)*FS16=1,IF(AND($E16=2,LH16=0),1000000,IF($I16&gt;0,IF(3=$J16,IF(OR(AND(70=$I16+1,OR($K16&lt;&gt;'計算A'!$A$3,'計算A'!$A$4=0)),AND(70=$I16-1,OR(22&lt;&gt;'計算A'!$A$3,'計算A'!$A$4=0))),0,IF(22=$K16,200000,ABS(22-$K16)*100)),100000+ABS(3-$J16)*1000+220)+'計算A'!BU$5*50+IF(AND($E16=1,LH16=0),25,0),IF($F16&gt;0,INDEX('計算A'!BU$110:BU$114,$F16+1)+IF(AND($E16=1,LH16=0),1000,0),MIN(TW16,20)*400+(IF('計算A'!BT$106=1,1-FR16,0)+IF('計算A'!BU$106=1,1-FT16,0))*150+223+'計算A'!BU$5*100000+IF(AND($E16=1,LH16=0),50000,0))+IF($H16=1,(IF('計算A'!BT$117=1,INDEX('計算A'!BT$10:BT$54,$B16),0)+IF('計算A'!BU$117=1,INDEX('計算A'!BV$10:BV$54,$B16),0))*4000,0)-IF(AND('計算A'!BT$117=1,WR16&gt;0),2000,0)-IF(AND($L16=1,'計算A'!BU$117=1,FT16=0),2000,0))),1000000))</f>
        <v/>
      </c>
      <c r="QX16">
        <f>IF($B16=0,1000000,IF(INDEX('計算A'!$D$60:$EQ$104,$B16,71)*FT16=1,IF(AND($E16=2,LI16=0),1000000,IF($I16&gt;0,IF(3=$J16,IF(OR(AND(71=$I16+1,OR($K16&lt;&gt;'計算A'!$A$3,'計算A'!$A$4=0)),AND(71=$I16-1,OR(23&lt;&gt;'計算A'!$A$3,'計算A'!$A$4=0))),0,IF(23=$K16,200000,ABS(23-$K16)*100)),100000+ABS(3-$J16)*1000+230)+'計算A'!BV$5*50+IF(AND($E16=1,LI16=0),25,0),IF($F16&gt;0,INDEX('計算A'!BV$110:BV$114,$F16+1)+IF(AND($E16=1,LI16=0),1000,0),MIN(TW16,20)*400+(IF('計算A'!BU$106=1,1-FS16,0)+IF('計算A'!BV$106=1,1-FU16,0))*150+233+'計算A'!BV$5*100000+IF(AND($E16=1,LI16=0),50000,0))+IF($H16=1,(IF('計算A'!BU$117=1,INDEX('計算A'!BU$10:BU$54,$B16),0)+IF('計算A'!BV$117=1,INDEX('計算A'!BW$10:BW$54,$B16),0))*4000,0)-IF(AND('計算A'!BU$117=1,WS16&gt;0),2000,0)-IF(AND($L16=1,'計算A'!BV$117=1,FU16=0),2000,0))),1000000))</f>
        <v/>
      </c>
      <c r="QY16">
        <f>IF($B16=0,1000000,IF(INDEX('計算A'!$D$60:$EQ$104,$B16,72)*FU16=1,IF(AND($E16=2,LJ16=0),1000000,IF($I16&gt;0,IF(3=$J16,IF(OR(AND(72=$I16+1,OR($K16&lt;&gt;'計算A'!$A$3,'計算A'!$A$4=0)),AND(72=$I16-1,OR(24&lt;&gt;'計算A'!$A$3,'計算A'!$A$4=0))),0,IF(24=$K16,200000,ABS(24-$K16)*100)),100000+ABS(3-$J16)*1000+240)+'計算A'!BW$5*50+IF(AND($E16=1,LJ16=0),25,0),IF($F16&gt;0,INDEX('計算A'!BW$110:BW$114,$F16+1)+IF(AND($E16=1,LJ16=0),1000,0),MIN(TW16,20)*400+(IF('計算A'!BV$106=1,1-FT16,0))*150+243+'計算A'!BW$5*100000+IF(AND($E16=1,LJ16=0),50000,0))+IF($H16=1,(IF('計算A'!BV$117=1,INDEX('計算A'!BV$10:BV$54,$B16),0))*4000,0)-IF(AND('計算A'!BV$117=1,WT16&gt;0),2000,0))),1000000))</f>
        <v/>
      </c>
      <c r="QZ16">
        <f>IF($B16=0,1000000,IF(INDEX('計算A'!$D$60:$EQ$104,$B16,73)*FV16=1,IF(AND($E16=2,LK16=0),1000000,IF($I16&gt;0,IF(4=$J16,IF(OR(AND(73=$I16+1,OR($K16&lt;&gt;'計算A'!$A$3,'計算A'!$A$4=0)),AND(73=$I16-1,OR(1&lt;&gt;'計算A'!$A$3,'計算A'!$A$4=0))),0,IF(1=$K16,200000,ABS(1-$K16)*100)),100000+ABS(4-$J16)*1000+10)+'計算A'!BX$5*50+IF(AND($E16=1,LK16=0),25,0),IF($F16&gt;0,INDEX('計算A'!BX$110:BX$114,$F16+1)+IF(AND($E16=1,LK16=0),1000,0),MIN(TX16,20)*400+(IF('計算A'!BX$106=1,1-FW16,0))*150+14+'計算A'!BX$5*100000+IF(AND($E16=1,LK16=0),50000,0))+IF($H16=1,(IF('計算A'!BX$117=1,INDEX('計算A'!BY$10:BY$54,$B16),0))*4000,0)-IF(AND($L16=1,'計算A'!BX$117=1,FW16=0),2000,0))),1000000))</f>
        <v/>
      </c>
      <c r="RA16">
        <f>IF($B16=0,1000000,IF(INDEX('計算A'!$D$60:$EQ$104,$B16,74)*FW16=1,IF(AND($E16=2,LL16=0),1000000,IF($I16&gt;0,IF(4=$J16,IF(OR(AND(74=$I16+1,OR($K16&lt;&gt;'計算A'!$A$3,'計算A'!$A$4=0)),AND(74=$I16-1,OR(2&lt;&gt;'計算A'!$A$3,'計算A'!$A$4=0))),0,IF(2=$K16,200000,ABS(2-$K16)*100)),100000+ABS(4-$J16)*1000+20)+'計算A'!BY$5*50+IF(AND($E16=1,LL16=0),25,0),IF($F16&gt;0,INDEX('計算A'!BY$110:BY$114,$F16+1)+IF(AND($E16=1,LL16=0),1000,0),MIN(TX16,20)*400+(IF('計算A'!BX$106=1,1-FV16,0)+IF('計算A'!BY$106=1,1-FX16,0))*150+24+'計算A'!BY$5*100000+IF(AND($E16=1,LL16=0),50000,0))+IF($H16=1,(IF('計算A'!BX$117=1,INDEX('計算A'!BX$10:BX$54,$B16),0)+IF('計算A'!BY$117=1,INDEX('計算A'!BZ$10:BZ$54,$B16),0))*4000,0)-IF(AND('計算A'!BX$117=1,WV16&gt;0),2000,0)-IF(AND($L16=1,'計算A'!BY$117=1,FX16=0),2000,0))),1000000))</f>
        <v/>
      </c>
      <c r="RB16">
        <f>IF($B16=0,1000000,IF(INDEX('計算A'!$D$60:$EQ$104,$B16,75)*FX16=1,IF(AND($E16=2,LM16=0),1000000,IF($I16&gt;0,IF(4=$J16,IF(OR(AND(75=$I16+1,OR($K16&lt;&gt;'計算A'!$A$3,'計算A'!$A$4=0)),AND(75=$I16-1,OR(3&lt;&gt;'計算A'!$A$3,'計算A'!$A$4=0))),0,IF(3=$K16,200000,ABS(3-$K16)*100)),100000+ABS(4-$J16)*1000+30)+'計算A'!BZ$5*50+IF(AND($E16=1,LM16=0),25,0),IF($F16&gt;0,INDEX('計算A'!BZ$110:BZ$114,$F16+1)+IF(AND($E16=1,LM16=0),1000,0),MIN(TX16,20)*400+(IF('計算A'!BY$106=1,1-FW16,0)+IF('計算A'!BZ$106=1,1-FY16,0))*150+34+'計算A'!BZ$5*100000+IF(AND($E16=1,LM16=0),50000,0))+IF($H16=1,(IF('計算A'!BY$117=1,INDEX('計算A'!BY$10:BY$54,$B16),0)+IF('計算A'!BZ$117=1,INDEX('計算A'!CA$10:CA$54,$B16),0))*4000,0)-IF(AND('計算A'!BY$117=1,WW16&gt;0),2000,0)-IF(AND($L16=1,'計算A'!BZ$117=1,FY16=0),2000,0))),1000000))</f>
        <v/>
      </c>
      <c r="RC16">
        <f>IF($B16=0,1000000,IF(INDEX('計算A'!$D$60:$EQ$104,$B16,76)*FY16=1,IF(AND($E16=2,LN16=0),1000000,IF($I16&gt;0,IF(4=$J16,IF(OR(AND(76=$I16+1,OR($K16&lt;&gt;'計算A'!$A$3,'計算A'!$A$4=0)),AND(76=$I16-1,OR(4&lt;&gt;'計算A'!$A$3,'計算A'!$A$4=0))),0,IF(4=$K16,200000,ABS(4-$K16)*100)),100000+ABS(4-$J16)*1000+40)+'計算A'!CA$5*50+IF(AND($E16=1,LN16=0),25,0),IF($F16&gt;0,INDEX('計算A'!CA$110:CA$114,$F16+1)+IF(AND($E16=1,LN16=0),1000,0),MIN(TX16,20)*400+(IF('計算A'!BZ$106=1,1-FX16,0)+IF('計算A'!CA$106=1,1-FZ16,0))*150+44+'計算A'!CA$5*100000+IF(AND($E16=1,LN16=0),50000,0))+IF($H16=1,(IF('計算A'!BZ$117=1,INDEX('計算A'!BZ$10:BZ$54,$B16),0)+IF('計算A'!CA$117=1,INDEX('計算A'!CB$10:CB$54,$B16),0))*4000,0)-IF(AND('計算A'!BZ$117=1,WX16&gt;0),2000,0)-IF(AND($L16=1,'計算A'!CA$117=1,FZ16=0),2000,0))),1000000))</f>
        <v/>
      </c>
      <c r="RD16">
        <f>IF($B16=0,1000000,IF(INDEX('計算A'!$D$60:$EQ$104,$B16,77)*FZ16=1,IF(AND($E16=2,LO16=0),1000000,IF($I16&gt;0,IF(4=$J16,IF(OR(AND(77=$I16+1,OR($K16&lt;&gt;'計算A'!$A$3,'計算A'!$A$4=0)),AND(77=$I16-1,OR(5&lt;&gt;'計算A'!$A$3,'計算A'!$A$4=0))),0,IF(5=$K16,200000,ABS(5-$K16)*100)),100000+ABS(4-$J16)*1000+50)+'計算A'!CB$5*50+IF(AND($E16=1,LO16=0),25,0),IF($F16&gt;0,INDEX('計算A'!CB$110:CB$114,$F16+1)+IF(AND($E16=1,LO16=0),1000,0),MIN(TX16,20)*400+(IF('計算A'!CA$106=1,1-FY16,0)+IF('計算A'!CB$106=1,1-GA16,0))*150+54+'計算A'!CB$5*100000+IF(AND($E16=1,LO16=0),50000,0))+IF($H16=1,(IF('計算A'!CA$117=1,INDEX('計算A'!CA$10:CA$54,$B16),0)+IF('計算A'!CB$117=1,INDEX('計算A'!CC$10:CC$54,$B16),0))*4000,0)-IF(AND('計算A'!CA$117=1,WY16&gt;0),2000,0)-IF(AND($L16=1,'計算A'!CB$117=1,GA16=0),2000,0))),1000000))</f>
        <v/>
      </c>
      <c r="RE16">
        <f>IF($B16=0,1000000,IF(INDEX('計算A'!$D$60:$EQ$104,$B16,78)*GA16=1,IF(AND($E16=2,LP16=0),1000000,IF($I16&gt;0,IF(4=$J16,IF(OR(AND(78=$I16+1,OR($K16&lt;&gt;'計算A'!$A$3,'計算A'!$A$4=0)),AND(78=$I16-1,OR(6&lt;&gt;'計算A'!$A$3,'計算A'!$A$4=0))),0,IF(6=$K16,200000,ABS(6-$K16)*100)),100000+ABS(4-$J16)*1000+60)+'計算A'!CC$5*50+IF(AND($E16=1,LP16=0),25,0),IF($F16&gt;0,INDEX('計算A'!CC$110:CC$114,$F16+1)+IF(AND($E16=1,LP16=0),1000,0),MIN(TX16,20)*400+(IF('計算A'!CB$106=1,1-FZ16,0)+IF('計算A'!CC$106=1,1-GB16,0))*150+64+'計算A'!CC$5*100000+IF(AND($E16=1,LP16=0),50000,0))+IF($H16=1,(IF('計算A'!CB$117=1,INDEX('計算A'!CB$10:CB$54,$B16),0)+IF('計算A'!CC$117=1,INDEX('計算A'!CD$10:CD$54,$B16),0))*4000,0)-IF(AND('計算A'!CB$117=1,WZ16&gt;0),2000,0)-IF(AND($L16=1,'計算A'!CC$117=1,GB16=0),2000,0))),1000000))</f>
        <v/>
      </c>
      <c r="RF16">
        <f>IF($B16=0,1000000,IF(INDEX('計算A'!$D$60:$EQ$104,$B16,79)*GB16=1,IF(AND($E16=2,LQ16=0),1000000,IF($I16&gt;0,IF(4=$J16,IF(OR(AND(79=$I16+1,OR($K16&lt;&gt;'計算A'!$A$3,'計算A'!$A$4=0)),AND(79=$I16-1,OR(7&lt;&gt;'計算A'!$A$3,'計算A'!$A$4=0))),0,IF(7=$K16,200000,ABS(7-$K16)*100)),100000+ABS(4-$J16)*1000+70)+'計算A'!CD$5*50+IF(AND($E16=1,LQ16=0),25,0),IF($F16&gt;0,INDEX('計算A'!CD$110:CD$114,$F16+1)+IF(AND($E16=1,LQ16=0),1000,0),MIN(TX16,20)*400+(IF('計算A'!CC$106=1,1-GA16,0)+IF('計算A'!CD$106=1,1-GC16,0))*150+74+'計算A'!CD$5*100000+IF(AND($E16=1,LQ16=0),50000,0))+IF($H16=1,(IF('計算A'!CC$117=1,INDEX('計算A'!CC$10:CC$54,$B16),0)+IF('計算A'!CD$117=1,INDEX('計算A'!CE$10:CE$54,$B16),0))*4000,0)-IF(AND('計算A'!CC$117=1,XA16&gt;0),2000,0)-IF(AND($L16=1,'計算A'!CD$117=1,GC16=0),2000,0))),1000000))</f>
        <v/>
      </c>
      <c r="RG16">
        <f>IF($B16=0,1000000,IF(INDEX('計算A'!$D$60:$EQ$104,$B16,80)*GC16=1,IF(AND($E16=2,LR16=0),1000000,IF($I16&gt;0,IF(4=$J16,IF(OR(AND(80=$I16+1,OR($K16&lt;&gt;'計算A'!$A$3,'計算A'!$A$4=0)),AND(80=$I16-1,OR(8&lt;&gt;'計算A'!$A$3,'計算A'!$A$4=0))),0,IF(8=$K16,200000,ABS(8-$K16)*100)),100000+ABS(4-$J16)*1000+80)+'計算A'!CE$5*50+IF(AND($E16=1,LR16=0),25,0),IF($F16&gt;0,INDEX('計算A'!CE$110:CE$114,$F16+1)+IF(AND($E16=1,LR16=0),1000,0),MIN(TX16,20)*400+(IF('計算A'!CD$106=1,1-GB16,0)+IF('計算A'!CE$106=1,1-GD16,0))*150+84+'計算A'!CE$5*100000+IF(AND($E16=1,LR16=0),50000,0))+IF($H16=1,(IF('計算A'!CD$117=1,INDEX('計算A'!CD$10:CD$54,$B16),0)+IF('計算A'!CE$117=1,INDEX('計算A'!CF$10:CF$54,$B16),0))*4000,0)-IF(AND('計算A'!CD$117=1,XB16&gt;0),2000,0)-IF(AND($L16=1,'計算A'!CE$117=1,GD16=0),2000,0))),1000000))</f>
        <v/>
      </c>
      <c r="RH16">
        <f>IF($B16=0,1000000,IF(INDEX('計算A'!$D$60:$EQ$104,$B16,81)*GD16=1,IF(AND($E16=2,LS16=0),1000000,IF($I16&gt;0,IF(4=$J16,IF(OR(AND(81=$I16+1,OR($K16&lt;&gt;'計算A'!$A$3,'計算A'!$A$4=0)),AND(81=$I16-1,OR(9&lt;&gt;'計算A'!$A$3,'計算A'!$A$4=0))),0,IF(9=$K16,200000,ABS(9-$K16)*100)),100000+ABS(4-$J16)*1000+90)+'計算A'!CF$5*50+IF(AND($E16=1,LS16=0),25,0),IF($F16&gt;0,INDEX('計算A'!CF$110:CF$114,$F16+1)+IF(AND($E16=1,LS16=0),1000,0),MIN(TX16,20)*400+(IF('計算A'!CE$106=1,1-GC16,0)+IF('計算A'!CF$106=1,1-GE16,0))*150+94+'計算A'!CF$5*100000+IF(AND($E16=1,LS16=0),50000,0))+IF($H16=1,(IF('計算A'!CE$117=1,INDEX('計算A'!CE$10:CE$54,$B16),0)+IF('計算A'!CF$117=1,INDEX('計算A'!CG$10:CG$54,$B16),0))*4000,0)-IF(AND('計算A'!CE$117=1,XC16&gt;0),2000,0)-IF(AND($L16=1,'計算A'!CF$117=1,GE16=0),2000,0))),1000000))</f>
        <v/>
      </c>
      <c r="RI16">
        <f>IF($B16=0,1000000,IF(INDEX('計算A'!$D$60:$EQ$104,$B16,82)*GE16=1,IF(AND($E16=2,LT16=0),1000000,IF($I16&gt;0,IF(4=$J16,IF(OR(AND(82=$I16+1,OR($K16&lt;&gt;'計算A'!$A$3,'計算A'!$A$4=0)),AND(82=$I16-1,OR(10&lt;&gt;'計算A'!$A$3,'計算A'!$A$4=0))),0,IF(10=$K16,200000,ABS(10-$K16)*100)),100000+ABS(4-$J16)*1000+100)+'計算A'!CG$5*50+IF(AND($E16=1,LT16=0),25,0),IF($F16&gt;0,INDEX('計算A'!CG$110:CG$114,$F16+1)+IF(AND($E16=1,LT16=0),1000,0),MIN(TX16,20)*400+(IF('計算A'!CF$106=1,1-GD16,0)+IF('計算A'!CG$106=1,1-GF16,0))*150+104+'計算A'!CG$5*100000+IF(AND($E16=1,LT16=0),50000,0))+IF($H16=1,(IF('計算A'!CF$117=1,INDEX('計算A'!CF$10:CF$54,$B16),0)+IF('計算A'!CG$117=1,INDEX('計算A'!CH$10:CH$54,$B16),0))*4000,0)-IF(AND('計算A'!CF$117=1,XD16&gt;0),2000,0)-IF(AND($L16=1,'計算A'!CG$117=1,GF16=0),2000,0))),1000000))</f>
        <v/>
      </c>
      <c r="RJ16">
        <f>IF($B16=0,1000000,IF(INDEX('計算A'!$D$60:$EQ$104,$B16,83)*GF16=1,IF(AND($E16=2,LU16=0),1000000,IF($I16&gt;0,IF(4=$J16,IF(OR(AND(83=$I16+1,OR($K16&lt;&gt;'計算A'!$A$3,'計算A'!$A$4=0)),AND(83=$I16-1,OR(11&lt;&gt;'計算A'!$A$3,'計算A'!$A$4=0))),0,IF(11=$K16,200000,ABS(11-$K16)*100)),100000+ABS(4-$J16)*1000+110)+'計算A'!CH$5*50+IF(AND($E16=1,LU16=0),25,0),IF($F16&gt;0,INDEX('計算A'!CH$110:CH$114,$F16+1)+IF(AND($E16=1,LU16=0),1000,0),MIN(TX16,20)*400+(IF('計算A'!CG$106=1,1-GE16,0)+IF('計算A'!CH$106=1,1-GG16,0))*150+114+'計算A'!CH$5*100000+IF(AND($E16=1,LU16=0),50000,0))+IF($H16=1,(IF('計算A'!CG$117=1,INDEX('計算A'!CG$10:CG$54,$B16),0)+IF('計算A'!CH$117=1,INDEX('計算A'!CI$10:CI$54,$B16),0))*4000,0)-IF(AND('計算A'!CG$117=1,XE16&gt;0),2000,0)-IF(AND($L16=1,'計算A'!CH$117=1,GG16=0),2000,0))),1000000))</f>
        <v/>
      </c>
      <c r="RK16">
        <f>IF($B16=0,1000000,IF(INDEX('計算A'!$D$60:$EQ$104,$B16,84)*GG16=1,IF(AND($E16=2,LV16=0),1000000,IF($I16&gt;0,IF(4=$J16,IF(OR(AND(84=$I16+1,OR($K16&lt;&gt;'計算A'!$A$3,'計算A'!$A$4=0)),AND(84=$I16-1,OR(12&lt;&gt;'計算A'!$A$3,'計算A'!$A$4=0))),0,IF(12=$K16,200000,ABS(12-$K16)*100)),100000+ABS(4-$J16)*1000+120)+'計算A'!CI$5*50+IF(AND($E16=1,LV16=0),25,0),IF($F16&gt;0,INDEX('計算A'!CI$110:CI$114,$F16+1)+IF(AND($E16=1,LV16=0),1000,0),MIN(TX16,20)*400+(IF('計算A'!CH$106=1,1-GF16,0)+IF('計算A'!CI$106=1,1-GH16,0))*150+124+'計算A'!CI$5*100000+IF(AND($E16=1,LV16=0),50000,0))+IF($H16=1,(IF('計算A'!CH$117=1,INDEX('計算A'!CH$10:CH$54,$B16),0)+IF('計算A'!CI$117=1,INDEX('計算A'!CJ$10:CJ$54,$B16),0))*4000,0)-IF(AND('計算A'!CH$117=1,XF16&gt;0),2000,0)-IF(AND($L16=1,'計算A'!CI$117=1,GH16=0),2000,0))),1000000))</f>
        <v/>
      </c>
      <c r="RL16">
        <f>IF($B16=0,1000000,IF(INDEX('計算A'!$D$60:$EQ$104,$B16,85)*GH16=1,IF(AND($E16=2,LW16=0),1000000,IF($I16&gt;0,IF(4=$J16,IF(OR(AND(85=$I16+1,OR($K16&lt;&gt;'計算A'!$A$3,'計算A'!$A$4=0)),AND(85=$I16-1,OR(13&lt;&gt;'計算A'!$A$3,'計算A'!$A$4=0))),0,IF(13=$K16,200000,ABS(13-$K16)*100)),100000+ABS(4-$J16)*1000+130)+'計算A'!CJ$5*50+IF(AND($E16=1,LW16=0),25,0),IF($F16&gt;0,INDEX('計算A'!CJ$110:CJ$114,$F16+1)+IF(AND($E16=1,LW16=0),1000,0),MIN(TX16,20)*400+(IF('計算A'!CI$106=1,1-GG16,0)+IF('計算A'!CJ$106=1,1-GI16,0))*150+134+'計算A'!CJ$5*100000+IF(AND($E16=1,LW16=0),50000,0))+IF($H16=1,(IF('計算A'!CI$117=1,INDEX('計算A'!CI$10:CI$54,$B16),0)+IF('計算A'!CJ$117=1,INDEX('計算A'!CK$10:CK$54,$B16),0))*4000,0)-IF(AND('計算A'!CI$117=1,XG16&gt;0),2000,0)-IF(AND($L16=1,'計算A'!CJ$117=1,GI16=0),2000,0))),1000000))</f>
        <v/>
      </c>
      <c r="RM16">
        <f>IF($B16=0,1000000,IF(INDEX('計算A'!$D$60:$EQ$104,$B16,86)*GI16=1,IF(AND($E16=2,LX16=0),1000000,IF($I16&gt;0,IF(4=$J16,IF(OR(AND(86=$I16+1,OR($K16&lt;&gt;'計算A'!$A$3,'計算A'!$A$4=0)),AND(86=$I16-1,OR(14&lt;&gt;'計算A'!$A$3,'計算A'!$A$4=0))),0,IF(14=$K16,200000,ABS(14-$K16)*100)),100000+ABS(4-$J16)*1000+140)+'計算A'!CK$5*50+IF(AND($E16=1,LX16=0),25,0),IF($F16&gt;0,INDEX('計算A'!CK$110:CK$114,$F16+1)+IF(AND($E16=1,LX16=0),1000,0),MIN(TX16,20)*400+(IF('計算A'!CJ$106=1,1-GH16,0)+IF('計算A'!CK$106=1,1-GJ16,0))*150+144+'計算A'!CK$5*100000+IF(AND($E16=1,LX16=0),50000,0))+IF($H16=1,(IF('計算A'!CJ$117=1,INDEX('計算A'!CJ$10:CJ$54,$B16),0)+IF('計算A'!CK$117=1,INDEX('計算A'!CL$10:CL$54,$B16),0))*4000,0)-IF(AND('計算A'!CJ$117=1,XH16&gt;0),2000,0)-IF(AND($L16=1,'計算A'!CK$117=1,GJ16=0),2000,0))),1000000))</f>
        <v/>
      </c>
      <c r="RN16">
        <f>IF($B16=0,1000000,IF(INDEX('計算A'!$D$60:$EQ$104,$B16,87)*GJ16=1,IF(AND($E16=2,LY16=0),1000000,IF($I16&gt;0,IF(4=$J16,IF(OR(AND(87=$I16+1,OR($K16&lt;&gt;'計算A'!$A$3,'計算A'!$A$4=0)),AND(87=$I16-1,OR(15&lt;&gt;'計算A'!$A$3,'計算A'!$A$4=0))),0,IF(15=$K16,200000,ABS(15-$K16)*100)),100000+ABS(4-$J16)*1000+150)+'計算A'!CL$5*50+IF(AND($E16=1,LY16=0),25,0),IF($F16&gt;0,INDEX('計算A'!CL$110:CL$114,$F16+1)+IF(AND($E16=1,LY16=0),1000,0),MIN(TX16,20)*400+(IF('計算A'!CK$106=1,1-GI16,0)+IF('計算A'!CL$106=1,1-GK16,0))*150+154+'計算A'!CL$5*100000+IF(AND($E16=1,LY16=0),50000,0))+IF($H16=1,(IF('計算A'!CK$117=1,INDEX('計算A'!CK$10:CK$54,$B16),0)+IF('計算A'!CL$117=1,INDEX('計算A'!CM$10:CM$54,$B16),0))*4000,0)-IF(AND('計算A'!CK$117=1,XI16&gt;0),2000,0)-IF(AND($L16=1,'計算A'!CL$117=1,GK16=0),2000,0))),1000000))</f>
        <v/>
      </c>
      <c r="RO16">
        <f>IF($B16=0,1000000,IF(INDEX('計算A'!$D$60:$EQ$104,$B16,88)*GK16=1,IF(AND($E16=2,LZ16=0),1000000,IF($I16&gt;0,IF(4=$J16,IF(OR(AND(88=$I16+1,OR($K16&lt;&gt;'計算A'!$A$3,'計算A'!$A$4=0)),AND(88=$I16-1,OR(16&lt;&gt;'計算A'!$A$3,'計算A'!$A$4=0))),0,IF(16=$K16,200000,ABS(16-$K16)*100)),100000+ABS(4-$J16)*1000+160)+'計算A'!CM$5*50+IF(AND($E16=1,LZ16=0),25,0),IF($F16&gt;0,INDEX('計算A'!CM$110:CM$114,$F16+1)+IF(AND($E16=1,LZ16=0),1000,0),MIN(TX16,20)*400+(IF('計算A'!CL$106=1,1-GJ16,0)+IF('計算A'!CM$106=1,1-GL16,0))*150+164+'計算A'!CM$5*100000+IF(AND($E16=1,LZ16=0),50000,0))+IF($H16=1,(IF('計算A'!CL$117=1,INDEX('計算A'!CL$10:CL$54,$B16),0)+IF('計算A'!CM$117=1,INDEX('計算A'!CN$10:CN$54,$B16),0))*4000,0)-IF(AND('計算A'!CL$117=1,XJ16&gt;0),2000,0)-IF(AND($L16=1,'計算A'!CM$117=1,GL16=0),2000,0))),1000000))</f>
        <v/>
      </c>
      <c r="RP16">
        <f>IF($B16=0,1000000,IF(INDEX('計算A'!$D$60:$EQ$104,$B16,89)*GL16=1,IF(AND($E16=2,MA16=0),1000000,IF($I16&gt;0,IF(4=$J16,IF(OR(AND(89=$I16+1,OR($K16&lt;&gt;'計算A'!$A$3,'計算A'!$A$4=0)),AND(89=$I16-1,OR(17&lt;&gt;'計算A'!$A$3,'計算A'!$A$4=0))),0,IF(17=$K16,200000,ABS(17-$K16)*100)),100000+ABS(4-$J16)*1000+170)+'計算A'!CN$5*50+IF(AND($E16=1,MA16=0),25,0),IF($F16&gt;0,INDEX('計算A'!CN$110:CN$114,$F16+1)+IF(AND($E16=1,MA16=0),1000,0),MIN(TX16,20)*400+(IF('計算A'!CM$106=1,1-GK16,0)+IF('計算A'!CN$106=1,1-GM16,0))*150+174+'計算A'!CN$5*100000+IF(AND($E16=1,MA16=0),50000,0))+IF($H16=1,(IF('計算A'!CM$117=1,INDEX('計算A'!CM$10:CM$54,$B16),0)+IF('計算A'!CN$117=1,INDEX('計算A'!CO$10:CO$54,$B16),0))*4000,0)-IF(AND('計算A'!CM$117=1,XK16&gt;0),2000,0)-IF(AND($L16=1,'計算A'!CN$117=1,GM16=0),2000,0))),1000000))</f>
        <v/>
      </c>
      <c r="RQ16">
        <f>IF($B16=0,1000000,IF(INDEX('計算A'!$D$60:$EQ$104,$B16,90)*GM16=1,IF(AND($E16=2,MB16=0),1000000,IF($I16&gt;0,IF(4=$J16,IF(OR(AND(90=$I16+1,OR($K16&lt;&gt;'計算A'!$A$3,'計算A'!$A$4=0)),AND(90=$I16-1,OR(18&lt;&gt;'計算A'!$A$3,'計算A'!$A$4=0))),0,IF(18=$K16,200000,ABS(18-$K16)*100)),100000+ABS(4-$J16)*1000+180)+'計算A'!CO$5*50+IF(AND($E16=1,MB16=0),25,0),IF($F16&gt;0,INDEX('計算A'!CO$110:CO$114,$F16+1)+IF(AND($E16=1,MB16=0),1000,0),MIN(TX16,20)*400+(IF('計算A'!CN$106=1,1-GL16,0)+IF('計算A'!CO$106=1,1-GN16,0))*150+184+'計算A'!CO$5*100000+IF(AND($E16=1,MB16=0),50000,0))+IF($H16=1,(IF('計算A'!CN$117=1,INDEX('計算A'!CN$10:CN$54,$B16),0)+IF('計算A'!CO$117=1,INDEX('計算A'!CP$10:CP$54,$B16),0))*4000,0)-IF(AND('計算A'!CN$117=1,XL16&gt;0),2000,0)-IF(AND($L16=1,'計算A'!CO$117=1,GN16=0),2000,0))),1000000))</f>
        <v/>
      </c>
      <c r="RR16">
        <f>IF($B16=0,1000000,IF(INDEX('計算A'!$D$60:$EQ$104,$B16,91)*GN16=1,IF(AND($E16=2,MC16=0),1000000,IF($I16&gt;0,IF(4=$J16,IF(OR(AND(91=$I16+1,OR($K16&lt;&gt;'計算A'!$A$3,'計算A'!$A$4=0)),AND(91=$I16-1,OR(19&lt;&gt;'計算A'!$A$3,'計算A'!$A$4=0))),0,IF(19=$K16,200000,ABS(19-$K16)*100)),100000+ABS(4-$J16)*1000+190)+'計算A'!CP$5*50+IF(AND($E16=1,MC16=0),25,0),IF($F16&gt;0,INDEX('計算A'!CP$110:CP$114,$F16+1)+IF(AND($E16=1,MC16=0),1000,0),MIN(TX16,20)*400+(IF('計算A'!CO$106=1,1-GM16,0)+IF('計算A'!CP$106=1,1-GO16,0))*150+194+'計算A'!CP$5*100000+IF(AND($E16=1,MC16=0),50000,0))+IF($H16=1,(IF('計算A'!CO$117=1,INDEX('計算A'!CO$10:CO$54,$B16),0)+IF('計算A'!CP$117=1,INDEX('計算A'!CQ$10:CQ$54,$B16),0))*4000,0)-IF(AND('計算A'!CO$117=1,XM16&gt;0),2000,0)-IF(AND($L16=1,'計算A'!CP$117=1,GO16=0),2000,0))),1000000))</f>
        <v/>
      </c>
      <c r="RS16">
        <f>IF($B16=0,1000000,IF(INDEX('計算A'!$D$60:$EQ$104,$B16,92)*GO16=1,IF(AND($E16=2,MD16=0),1000000,IF($I16&gt;0,IF(4=$J16,IF(OR(AND(92=$I16+1,OR($K16&lt;&gt;'計算A'!$A$3,'計算A'!$A$4=0)),AND(92=$I16-1,OR(20&lt;&gt;'計算A'!$A$3,'計算A'!$A$4=0))),0,IF(20=$K16,200000,ABS(20-$K16)*100)),100000+ABS(4-$J16)*1000+200)+'計算A'!CQ$5*50+IF(AND($E16=1,MD16=0),25,0),IF($F16&gt;0,INDEX('計算A'!CQ$110:CQ$114,$F16+1)+IF(AND($E16=1,MD16=0),1000,0),MIN(TX16,20)*400+(IF('計算A'!CP$106=1,1-GN16,0)+IF('計算A'!CQ$106=1,1-GP16,0))*150+204+'計算A'!CQ$5*100000+IF(AND($E16=1,MD16=0),50000,0))+IF($H16=1,(IF('計算A'!CP$117=1,INDEX('計算A'!CP$10:CP$54,$B16),0)+IF('計算A'!CQ$117=1,INDEX('計算A'!CR$10:CR$54,$B16),0))*4000,0)-IF(AND('計算A'!CP$117=1,XN16&gt;0),2000,0)-IF(AND($L16=1,'計算A'!CQ$117=1,GP16=0),2000,0))),1000000))</f>
        <v/>
      </c>
      <c r="RT16">
        <f>IF($B16=0,1000000,IF(INDEX('計算A'!$D$60:$EQ$104,$B16,93)*GP16=1,IF(AND($E16=2,ME16=0),1000000,IF($I16&gt;0,IF(4=$J16,IF(OR(AND(93=$I16+1,OR($K16&lt;&gt;'計算A'!$A$3,'計算A'!$A$4=0)),AND(93=$I16-1,OR(21&lt;&gt;'計算A'!$A$3,'計算A'!$A$4=0))),0,IF(21=$K16,200000,ABS(21-$K16)*100)),100000+ABS(4-$J16)*1000+210)+'計算A'!CR$5*50+IF(AND($E16=1,ME16=0),25,0),IF($F16&gt;0,INDEX('計算A'!CR$110:CR$114,$F16+1)+IF(AND($E16=1,ME16=0),1000,0),MIN(TX16,20)*400+(IF('計算A'!CQ$106=1,1-GO16,0)+IF('計算A'!CR$106=1,1-GQ16,0))*150+214+'計算A'!CR$5*100000+IF(AND($E16=1,ME16=0),50000,0))+IF($H16=1,(IF('計算A'!CQ$117=1,INDEX('計算A'!CQ$10:CQ$54,$B16),0)+IF('計算A'!CR$117=1,INDEX('計算A'!CS$10:CS$54,$B16),0))*4000,0)-IF(AND('計算A'!CQ$117=1,XO16&gt;0),2000,0)-IF(AND($L16=1,'計算A'!CR$117=1,GQ16=0),2000,0))),1000000))</f>
        <v/>
      </c>
      <c r="RU16">
        <f>IF($B16=0,1000000,IF(INDEX('計算A'!$D$60:$EQ$104,$B16,94)*GQ16=1,IF(AND($E16=2,MF16=0),1000000,IF($I16&gt;0,IF(4=$J16,IF(OR(AND(94=$I16+1,OR($K16&lt;&gt;'計算A'!$A$3,'計算A'!$A$4=0)),AND(94=$I16-1,OR(22&lt;&gt;'計算A'!$A$3,'計算A'!$A$4=0))),0,IF(22=$K16,200000,ABS(22-$K16)*100)),100000+ABS(4-$J16)*1000+220)+'計算A'!CS$5*50+IF(AND($E16=1,MF16=0),25,0),IF($F16&gt;0,INDEX('計算A'!CS$110:CS$114,$F16+1)+IF(AND($E16=1,MF16=0),1000,0),MIN(TX16,20)*400+(IF('計算A'!CR$106=1,1-GP16,0)+IF('計算A'!CS$106=1,1-GR16,0))*150+224+'計算A'!CS$5*100000+IF(AND($E16=1,MF16=0),50000,0))+IF($H16=1,(IF('計算A'!CR$117=1,INDEX('計算A'!CR$10:CR$54,$B16),0)+IF('計算A'!CS$117=1,INDEX('計算A'!CT$10:CT$54,$B16),0))*4000,0)-IF(AND('計算A'!CR$117=1,XP16&gt;0),2000,0)-IF(AND($L16=1,'計算A'!CS$117=1,GR16=0),2000,0))),1000000))</f>
        <v/>
      </c>
      <c r="RV16">
        <f>IF($B16=0,1000000,IF(INDEX('計算A'!$D$60:$EQ$104,$B16,95)*GR16=1,IF(AND($E16=2,MG16=0),1000000,IF($I16&gt;0,IF(4=$J16,IF(OR(AND(95=$I16+1,OR($K16&lt;&gt;'計算A'!$A$3,'計算A'!$A$4=0)),AND(95=$I16-1,OR(23&lt;&gt;'計算A'!$A$3,'計算A'!$A$4=0))),0,IF(23=$K16,200000,ABS(23-$K16)*100)),100000+ABS(4-$J16)*1000+230)+'計算A'!CT$5*50+IF(AND($E16=1,MG16=0),25,0),IF($F16&gt;0,INDEX('計算A'!CT$110:CT$114,$F16+1)+IF(AND($E16=1,MG16=0),1000,0),MIN(TX16,20)*400+(IF('計算A'!CS$106=1,1-GQ16,0)+IF('計算A'!CT$106=1,1-GS16,0))*150+234+'計算A'!CT$5*100000+IF(AND($E16=1,MG16=0),50000,0))+IF($H16=1,(IF('計算A'!CS$117=1,INDEX('計算A'!CS$10:CS$54,$B16),0)+IF('計算A'!CT$117=1,INDEX('計算A'!CU$10:CU$54,$B16),0))*4000,0)-IF(AND('計算A'!CS$117=1,XQ16&gt;0),2000,0)-IF(AND($L16=1,'計算A'!CT$117=1,GS16=0),2000,0))),1000000))</f>
        <v/>
      </c>
      <c r="RW16">
        <f>IF($B16=0,1000000,IF(INDEX('計算A'!$D$60:$EQ$104,$B16,96)*GS16=1,IF(AND($E16=2,MH16=0),1000000,IF($I16&gt;0,IF(4=$J16,IF(OR(AND(96=$I16+1,OR($K16&lt;&gt;'計算A'!$A$3,'計算A'!$A$4=0)),AND(96=$I16-1,OR(24&lt;&gt;'計算A'!$A$3,'計算A'!$A$4=0))),0,IF(24=$K16,200000,ABS(24-$K16)*100)),100000+ABS(4-$J16)*1000+240)+'計算A'!CU$5*50+IF(AND($E16=1,MH16=0),25,0),IF($F16&gt;0,INDEX('計算A'!CU$110:CU$114,$F16+1)+IF(AND($E16=1,MH16=0),1000,0),MIN(TX16,20)*400+(IF('計算A'!CT$106=1,1-GR16,0))*150+244+'計算A'!CU$5*100000+IF(AND($E16=1,MH16=0),50000,0))+IF($H16=1,(IF('計算A'!CT$117=1,INDEX('計算A'!CT$10:CT$54,$B16),0))*4000,0)-IF(AND('計算A'!CT$117=1,XR16&gt;0),2000,0))),1000000))</f>
        <v/>
      </c>
      <c r="RX16">
        <f>IF($B16=0,1000000,IF(INDEX('計算A'!$D$60:$EQ$104,$B16,97)*GT16=1,IF(AND($E16=2,MI16=0),1000000,IF($I16&gt;0,IF(5=$J16,IF(OR(AND(97=$I16+1,OR($K16&lt;&gt;'計算A'!$A$3,'計算A'!$A$4=0)),AND(97=$I16-1,OR(1&lt;&gt;'計算A'!$A$3,'計算A'!$A$4=0))),0,IF(1=$K16,200000,ABS(1-$K16)*100)),100000+ABS(5-$J16)*1000+10)+'計算A'!CV$5*50+IF(AND($E16=1,MI16=0),25,0),IF($F16&gt;0,INDEX('計算A'!CV$110:CV$114,$F16+1)+IF(AND($E16=1,MI16=0),1000,0),MIN(TY16,20)*400+(IF('計算A'!CV$106=1,1-GU16,0))*150+15+'計算A'!CV$5*100000+IF(AND($E16=1,MI16=0),50000,0))+IF($H16=1,(IF('計算A'!CV$117=1,INDEX('計算A'!CW$10:CW$54,$B16),0))*4000,0)-IF(AND($L16=1,'計算A'!CV$117=1,GU16=0),2000,0))),1000000))</f>
        <v/>
      </c>
      <c r="RY16">
        <f>IF($B16=0,1000000,IF(INDEX('計算A'!$D$60:$EQ$104,$B16,98)*GU16=1,IF(AND($E16=2,MJ16=0),1000000,IF($I16&gt;0,IF(5=$J16,IF(OR(AND(98=$I16+1,OR($K16&lt;&gt;'計算A'!$A$3,'計算A'!$A$4=0)),AND(98=$I16-1,OR(2&lt;&gt;'計算A'!$A$3,'計算A'!$A$4=0))),0,IF(2=$K16,200000,ABS(2-$K16)*100)),100000+ABS(5-$J16)*1000+20)+'計算A'!CW$5*50+IF(AND($E16=1,MJ16=0),25,0),IF($F16&gt;0,INDEX('計算A'!CW$110:CW$114,$F16+1)+IF(AND($E16=1,MJ16=0),1000,0),MIN(TY16,20)*400+(IF('計算A'!CV$106=1,1-GT16,0)+IF('計算A'!CW$106=1,1-GV16,0))*150+25+'計算A'!CW$5*100000+IF(AND($E16=1,MJ16=0),50000,0))+IF($H16=1,(IF('計算A'!CV$117=1,INDEX('計算A'!CV$10:CV$54,$B16),0)+IF('計算A'!CW$117=1,INDEX('計算A'!CX$10:CX$54,$B16),0))*4000,0)-IF(AND('計算A'!CV$117=1,XT16&gt;0),2000,0)-IF(AND($L16=1,'計算A'!CW$117=1,GV16=0),2000,0))),1000000))</f>
        <v/>
      </c>
      <c r="RZ16">
        <f>IF($B16=0,1000000,IF(INDEX('計算A'!$D$60:$EQ$104,$B16,99)*GV16=1,IF(AND($E16=2,MK16=0),1000000,IF($I16&gt;0,IF(5=$J16,IF(OR(AND(99=$I16+1,OR($K16&lt;&gt;'計算A'!$A$3,'計算A'!$A$4=0)),AND(99=$I16-1,OR(3&lt;&gt;'計算A'!$A$3,'計算A'!$A$4=0))),0,IF(3=$K16,200000,ABS(3-$K16)*100)),100000+ABS(5-$J16)*1000+30)+'計算A'!CX$5*50+IF(AND($E16=1,MK16=0),25,0),IF($F16&gt;0,INDEX('計算A'!CX$110:CX$114,$F16+1)+IF(AND($E16=1,MK16=0),1000,0),MIN(TY16,20)*400+(IF('計算A'!CW$106=1,1-GU16,0)+IF('計算A'!CX$106=1,1-GW16,0))*150+35+'計算A'!CX$5*100000+IF(AND($E16=1,MK16=0),50000,0))+IF($H16=1,(IF('計算A'!CW$117=1,INDEX('計算A'!CW$10:CW$54,$B16),0)+IF('計算A'!CX$117=1,INDEX('計算A'!CY$10:CY$54,$B16),0))*4000,0)-IF(AND('計算A'!CW$117=1,XU16&gt;0),2000,0)-IF(AND($L16=1,'計算A'!CX$117=1,GW16=0),2000,0))),1000000))</f>
        <v/>
      </c>
      <c r="SA16">
        <f>IF($B16=0,1000000,IF(INDEX('計算A'!$D$60:$EQ$104,$B16,100)*GW16=1,IF(AND($E16=2,ML16=0),1000000,IF($I16&gt;0,IF(5=$J16,IF(OR(AND(100=$I16+1,OR($K16&lt;&gt;'計算A'!$A$3,'計算A'!$A$4=0)),AND(100=$I16-1,OR(4&lt;&gt;'計算A'!$A$3,'計算A'!$A$4=0))),0,IF(4=$K16,200000,ABS(4-$K16)*100)),100000+ABS(5-$J16)*1000+40)+'計算A'!CY$5*50+IF(AND($E16=1,ML16=0),25,0),IF($F16&gt;0,INDEX('計算A'!CY$110:CY$114,$F16+1)+IF(AND($E16=1,ML16=0),1000,0),MIN(TY16,20)*400+(IF('計算A'!CX$106=1,1-GV16,0)+IF('計算A'!CY$106=1,1-GX16,0))*150+45+'計算A'!CY$5*100000+IF(AND($E16=1,ML16=0),50000,0))+IF($H16=1,(IF('計算A'!CX$117=1,INDEX('計算A'!CX$10:CX$54,$B16),0)+IF('計算A'!CY$117=1,INDEX('計算A'!CZ$10:CZ$54,$B16),0))*4000,0)-IF(AND('計算A'!CX$117=1,XV16&gt;0),2000,0)-IF(AND($L16=1,'計算A'!CY$117=1,GX16=0),2000,0))),1000000))</f>
        <v/>
      </c>
      <c r="SB16">
        <f>IF($B16=0,1000000,IF(INDEX('計算A'!$D$60:$EQ$104,$B16,101)*GX16=1,IF(AND($E16=2,MM16=0),1000000,IF($I16&gt;0,IF(5=$J16,IF(OR(AND(101=$I16+1,OR($K16&lt;&gt;'計算A'!$A$3,'計算A'!$A$4=0)),AND(101=$I16-1,OR(5&lt;&gt;'計算A'!$A$3,'計算A'!$A$4=0))),0,IF(5=$K16,200000,ABS(5-$K16)*100)),100000+ABS(5-$J16)*1000+50)+'計算A'!CZ$5*50+IF(AND($E16=1,MM16=0),25,0),IF($F16&gt;0,INDEX('計算A'!CZ$110:CZ$114,$F16+1)+IF(AND($E16=1,MM16=0),1000,0),MIN(TY16,20)*400+(IF('計算A'!CY$106=1,1-GW16,0)+IF('計算A'!CZ$106=1,1-GY16,0))*150+55+'計算A'!CZ$5*100000+IF(AND($E16=1,MM16=0),50000,0))+IF($H16=1,(IF('計算A'!CY$117=1,INDEX('計算A'!CY$10:CY$54,$B16),0)+IF('計算A'!CZ$117=1,INDEX('計算A'!DA$10:DA$54,$B16),0))*4000,0)-IF(AND('計算A'!CY$117=1,XW16&gt;0),2000,0)-IF(AND($L16=1,'計算A'!CZ$117=1,GY16=0),2000,0))),1000000))</f>
        <v/>
      </c>
      <c r="SC16">
        <f>IF($B16=0,1000000,IF(INDEX('計算A'!$D$60:$EQ$104,$B16,102)*GY16=1,IF(AND($E16=2,MN16=0),1000000,IF($I16&gt;0,IF(5=$J16,IF(OR(AND(102=$I16+1,OR($K16&lt;&gt;'計算A'!$A$3,'計算A'!$A$4=0)),AND(102=$I16-1,OR(6&lt;&gt;'計算A'!$A$3,'計算A'!$A$4=0))),0,IF(6=$K16,200000,ABS(6-$K16)*100)),100000+ABS(5-$J16)*1000+60)+'計算A'!DA$5*50+IF(AND($E16=1,MN16=0),25,0),IF($F16&gt;0,INDEX('計算A'!DA$110:DA$114,$F16+1)+IF(AND($E16=1,MN16=0),1000,0),MIN(TY16,20)*400+(IF('計算A'!CZ$106=1,1-GX16,0)+IF('計算A'!DA$106=1,1-GZ16,0))*150+65+'計算A'!DA$5*100000+IF(AND($E16=1,MN16=0),50000,0))+IF($H16=1,(IF('計算A'!CZ$117=1,INDEX('計算A'!CZ$10:CZ$54,$B16),0)+IF('計算A'!DA$117=1,INDEX('計算A'!DB$10:DB$54,$B16),0))*4000,0)-IF(AND('計算A'!CZ$117=1,XX16&gt;0),2000,0)-IF(AND($L16=1,'計算A'!DA$117=1,GZ16=0),2000,0))),1000000))</f>
        <v/>
      </c>
      <c r="SD16">
        <f>IF($B16=0,1000000,IF(INDEX('計算A'!$D$60:$EQ$104,$B16,103)*GZ16=1,IF(AND($E16=2,MO16=0),1000000,IF($I16&gt;0,IF(5=$J16,IF(OR(AND(103=$I16+1,OR($K16&lt;&gt;'計算A'!$A$3,'計算A'!$A$4=0)),AND(103=$I16-1,OR(7&lt;&gt;'計算A'!$A$3,'計算A'!$A$4=0))),0,IF(7=$K16,200000,ABS(7-$K16)*100)),100000+ABS(5-$J16)*1000+70)+'計算A'!DB$5*50+IF(AND($E16=1,MO16=0),25,0),IF($F16&gt;0,INDEX('計算A'!DB$110:DB$114,$F16+1)+IF(AND($E16=1,MO16=0),1000,0),MIN(TY16,20)*400+(IF('計算A'!DA$106=1,1-GY16,0)+IF('計算A'!DB$106=1,1-HA16,0))*150+75+'計算A'!DB$5*100000+IF(AND($E16=1,MO16=0),50000,0))+IF($H16=1,(IF('計算A'!DA$117=1,INDEX('計算A'!DA$10:DA$54,$B16),0)+IF('計算A'!DB$117=1,INDEX('計算A'!DC$10:DC$54,$B16),0))*4000,0)-IF(AND('計算A'!DA$117=1,XY16&gt;0),2000,0)-IF(AND($L16=1,'計算A'!DB$117=1,HA16=0),2000,0))),1000000))</f>
        <v/>
      </c>
      <c r="SE16">
        <f>IF($B16=0,1000000,IF(INDEX('計算A'!$D$60:$EQ$104,$B16,104)*HA16=1,IF(AND($E16=2,MP16=0),1000000,IF($I16&gt;0,IF(5=$J16,IF(OR(AND(104=$I16+1,OR($K16&lt;&gt;'計算A'!$A$3,'計算A'!$A$4=0)),AND(104=$I16-1,OR(8&lt;&gt;'計算A'!$A$3,'計算A'!$A$4=0))),0,IF(8=$K16,200000,ABS(8-$K16)*100)),100000+ABS(5-$J16)*1000+80)+'計算A'!DC$5*50+IF(AND($E16=1,MP16=0),25,0),IF($F16&gt;0,INDEX('計算A'!DC$110:DC$114,$F16+1)+IF(AND($E16=1,MP16=0),1000,0),MIN(TY16,20)*400+(IF('計算A'!DB$106=1,1-GZ16,0)+IF('計算A'!DC$106=1,1-HB16,0))*150+85+'計算A'!DC$5*100000+IF(AND($E16=1,MP16=0),50000,0))+IF($H16=1,(IF('計算A'!DB$117=1,INDEX('計算A'!DB$10:DB$54,$B16),0)+IF('計算A'!DC$117=1,INDEX('計算A'!DD$10:DD$54,$B16),0))*4000,0)-IF(AND('計算A'!DB$117=1,XZ16&gt;0),2000,0)-IF(AND($L16=1,'計算A'!DC$117=1,HB16=0),2000,0))),1000000))</f>
        <v/>
      </c>
      <c r="SF16">
        <f>IF($B16=0,1000000,IF(INDEX('計算A'!$D$60:$EQ$104,$B16,105)*HB16=1,IF(AND($E16=2,MQ16=0),1000000,IF($I16&gt;0,IF(5=$J16,IF(OR(AND(105=$I16+1,OR($K16&lt;&gt;'計算A'!$A$3,'計算A'!$A$4=0)),AND(105=$I16-1,OR(9&lt;&gt;'計算A'!$A$3,'計算A'!$A$4=0))),0,IF(9=$K16,200000,ABS(9-$K16)*100)),100000+ABS(5-$J16)*1000+90)+'計算A'!DD$5*50+IF(AND($E16=1,MQ16=0),25,0),IF($F16&gt;0,INDEX('計算A'!DD$110:DD$114,$F16+1)+IF(AND($E16=1,MQ16=0),1000,0),MIN(TY16,20)*400+(IF('計算A'!DC$106=1,1-HA16,0)+IF('計算A'!DD$106=1,1-HC16,0))*150+95+'計算A'!DD$5*100000+IF(AND($E16=1,MQ16=0),50000,0))+IF($H16=1,(IF('計算A'!DC$117=1,INDEX('計算A'!DC$10:DC$54,$B16),0)+IF('計算A'!DD$117=1,INDEX('計算A'!DE$10:DE$54,$B16),0))*4000,0)-IF(AND('計算A'!DC$117=1,YA16&gt;0),2000,0)-IF(AND($L16=1,'計算A'!DD$117=1,HC16=0),2000,0))),1000000))</f>
        <v/>
      </c>
      <c r="SG16">
        <f>IF($B16=0,1000000,IF(INDEX('計算A'!$D$60:$EQ$104,$B16,106)*HC16=1,IF(AND($E16=2,MR16=0),1000000,IF($I16&gt;0,IF(5=$J16,IF(OR(AND(106=$I16+1,OR($K16&lt;&gt;'計算A'!$A$3,'計算A'!$A$4=0)),AND(106=$I16-1,OR(10&lt;&gt;'計算A'!$A$3,'計算A'!$A$4=0))),0,IF(10=$K16,200000,ABS(10-$K16)*100)),100000+ABS(5-$J16)*1000+100)+'計算A'!DE$5*50+IF(AND($E16=1,MR16=0),25,0),IF($F16&gt;0,INDEX('計算A'!DE$110:DE$114,$F16+1)+IF(AND($E16=1,MR16=0),1000,0),MIN(TY16,20)*400+(IF('計算A'!DD$106=1,1-HB16,0)+IF('計算A'!DE$106=1,1-HD16,0))*150+105+'計算A'!DE$5*100000+IF(AND($E16=1,MR16=0),50000,0))+IF($H16=1,(IF('計算A'!DD$117=1,INDEX('計算A'!DD$10:DD$54,$B16),0)+IF('計算A'!DE$117=1,INDEX('計算A'!DF$10:DF$54,$B16),0))*4000,0)-IF(AND('計算A'!DD$117=1,YB16&gt;0),2000,0)-IF(AND($L16=1,'計算A'!DE$117=1,HD16=0),2000,0))),1000000))</f>
        <v/>
      </c>
      <c r="SH16">
        <f>IF($B16=0,1000000,IF(INDEX('計算A'!$D$60:$EQ$104,$B16,107)*HD16=1,IF(AND($E16=2,MS16=0),1000000,IF($I16&gt;0,IF(5=$J16,IF(OR(AND(107=$I16+1,OR($K16&lt;&gt;'計算A'!$A$3,'計算A'!$A$4=0)),AND(107=$I16-1,OR(11&lt;&gt;'計算A'!$A$3,'計算A'!$A$4=0))),0,IF(11=$K16,200000,ABS(11-$K16)*100)),100000+ABS(5-$J16)*1000+110)+'計算A'!DF$5*50+IF(AND($E16=1,MS16=0),25,0),IF($F16&gt;0,INDEX('計算A'!DF$110:DF$114,$F16+1)+IF(AND($E16=1,MS16=0),1000,0),MIN(TY16,20)*400+(IF('計算A'!DE$106=1,1-HC16,0)+IF('計算A'!DF$106=1,1-HE16,0))*150+115+'計算A'!DF$5*100000+IF(AND($E16=1,MS16=0),50000,0))+IF($H16=1,(IF('計算A'!DE$117=1,INDEX('計算A'!DE$10:DE$54,$B16),0)+IF('計算A'!DF$117=1,INDEX('計算A'!DG$10:DG$54,$B16),0))*4000,0)-IF(AND('計算A'!DE$117=1,YC16&gt;0),2000,0)-IF(AND($L16=1,'計算A'!DF$117=1,HE16=0),2000,0))),1000000))</f>
        <v/>
      </c>
      <c r="SI16">
        <f>IF($B16=0,1000000,IF(INDEX('計算A'!$D$60:$EQ$104,$B16,108)*HE16=1,IF(AND($E16=2,MT16=0),1000000,IF($I16&gt;0,IF(5=$J16,IF(OR(AND(108=$I16+1,OR($K16&lt;&gt;'計算A'!$A$3,'計算A'!$A$4=0)),AND(108=$I16-1,OR(12&lt;&gt;'計算A'!$A$3,'計算A'!$A$4=0))),0,IF(12=$K16,200000,ABS(12-$K16)*100)),100000+ABS(5-$J16)*1000+120)+'計算A'!DG$5*50+IF(AND($E16=1,MT16=0),25,0),IF($F16&gt;0,INDEX('計算A'!DG$110:DG$114,$F16+1)+IF(AND($E16=1,MT16=0),1000,0),MIN(TY16,20)*400+(IF('計算A'!DF$106=1,1-HD16,0)+IF('計算A'!DG$106=1,1-HF16,0))*150+125+'計算A'!DG$5*100000+IF(AND($E16=1,MT16=0),50000,0))+IF($H16=1,(IF('計算A'!DF$117=1,INDEX('計算A'!DF$10:DF$54,$B16),0)+IF('計算A'!DG$117=1,INDEX('計算A'!DH$10:DH$54,$B16),0))*4000,0)-IF(AND('計算A'!DF$117=1,YD16&gt;0),2000,0)-IF(AND($L16=1,'計算A'!DG$117=1,HF16=0),2000,0))),1000000))</f>
        <v/>
      </c>
      <c r="SJ16">
        <f>IF($B16=0,1000000,IF(INDEX('計算A'!$D$60:$EQ$104,$B16,109)*HF16=1,IF(AND($E16=2,MU16=0),1000000,IF($I16&gt;0,IF(5=$J16,IF(OR(AND(109=$I16+1,OR($K16&lt;&gt;'計算A'!$A$3,'計算A'!$A$4=0)),AND(109=$I16-1,OR(13&lt;&gt;'計算A'!$A$3,'計算A'!$A$4=0))),0,IF(13=$K16,200000,ABS(13-$K16)*100)),100000+ABS(5-$J16)*1000+130)+'計算A'!DH$5*50+IF(AND($E16=1,MU16=0),25,0),IF($F16&gt;0,INDEX('計算A'!DH$110:DH$114,$F16+1)+IF(AND($E16=1,MU16=0),1000,0),MIN(TY16,20)*400+(IF('計算A'!DG$106=1,1-HE16,0)+IF('計算A'!DH$106=1,1-HG16,0))*150+135+'計算A'!DH$5*100000+IF(AND($E16=1,MU16=0),50000,0))+IF($H16=1,(IF('計算A'!DG$117=1,INDEX('計算A'!DG$10:DG$54,$B16),0)+IF('計算A'!DH$117=1,INDEX('計算A'!DI$10:DI$54,$B16),0))*4000,0)-IF(AND('計算A'!DG$117=1,YE16&gt;0),2000,0)-IF(AND($L16=1,'計算A'!DH$117=1,HG16=0),2000,0))),1000000))</f>
        <v/>
      </c>
      <c r="SK16">
        <f>IF($B16=0,1000000,IF(INDEX('計算A'!$D$60:$EQ$104,$B16,110)*HG16=1,IF(AND($E16=2,MV16=0),1000000,IF($I16&gt;0,IF(5=$J16,IF(OR(AND(110=$I16+1,OR($K16&lt;&gt;'計算A'!$A$3,'計算A'!$A$4=0)),AND(110=$I16-1,OR(14&lt;&gt;'計算A'!$A$3,'計算A'!$A$4=0))),0,IF(14=$K16,200000,ABS(14-$K16)*100)),100000+ABS(5-$J16)*1000+140)+'計算A'!DI$5*50+IF(AND($E16=1,MV16=0),25,0),IF($F16&gt;0,INDEX('計算A'!DI$110:DI$114,$F16+1)+IF(AND($E16=1,MV16=0),1000,0),MIN(TY16,20)*400+(IF('計算A'!DH$106=1,1-HF16,0)+IF('計算A'!DI$106=1,1-HH16,0))*150+145+'計算A'!DI$5*100000+IF(AND($E16=1,MV16=0),50000,0))+IF($H16=1,(IF('計算A'!DH$117=1,INDEX('計算A'!DH$10:DH$54,$B16),0)+IF('計算A'!DI$117=1,INDEX('計算A'!DJ$10:DJ$54,$B16),0))*4000,0)-IF(AND('計算A'!DH$117=1,YF16&gt;0),2000,0)-IF(AND($L16=1,'計算A'!DI$117=1,HH16=0),2000,0))),1000000))</f>
        <v/>
      </c>
      <c r="SL16">
        <f>IF($B16=0,1000000,IF(INDEX('計算A'!$D$60:$EQ$104,$B16,111)*HH16=1,IF(AND($E16=2,MW16=0),1000000,IF($I16&gt;0,IF(5=$J16,IF(OR(AND(111=$I16+1,OR($K16&lt;&gt;'計算A'!$A$3,'計算A'!$A$4=0)),AND(111=$I16-1,OR(15&lt;&gt;'計算A'!$A$3,'計算A'!$A$4=0))),0,IF(15=$K16,200000,ABS(15-$K16)*100)),100000+ABS(5-$J16)*1000+150)+'計算A'!DJ$5*50+IF(AND($E16=1,MW16=0),25,0),IF($F16&gt;0,INDEX('計算A'!DJ$110:DJ$114,$F16+1)+IF(AND($E16=1,MW16=0),1000,0),MIN(TY16,20)*400+(IF('計算A'!DI$106=1,1-HG16,0)+IF('計算A'!DJ$106=1,1-HI16,0))*150+155+'計算A'!DJ$5*100000+IF(AND($E16=1,MW16=0),50000,0))+IF($H16=1,(IF('計算A'!DI$117=1,INDEX('計算A'!DI$10:DI$54,$B16),0)+IF('計算A'!DJ$117=1,INDEX('計算A'!DK$10:DK$54,$B16),0))*4000,0)-IF(AND('計算A'!DI$117=1,YG16&gt;0),2000,0)-IF(AND($L16=1,'計算A'!DJ$117=1,HI16=0),2000,0))),1000000))</f>
        <v/>
      </c>
      <c r="SM16">
        <f>IF($B16=0,1000000,IF(INDEX('計算A'!$D$60:$EQ$104,$B16,112)*HI16=1,IF(AND($E16=2,MX16=0),1000000,IF($I16&gt;0,IF(5=$J16,IF(OR(AND(112=$I16+1,OR($K16&lt;&gt;'計算A'!$A$3,'計算A'!$A$4=0)),AND(112=$I16-1,OR(16&lt;&gt;'計算A'!$A$3,'計算A'!$A$4=0))),0,IF(16=$K16,200000,ABS(16-$K16)*100)),100000+ABS(5-$J16)*1000+160)+'計算A'!DK$5*50+IF(AND($E16=1,MX16=0),25,0),IF($F16&gt;0,INDEX('計算A'!DK$110:DK$114,$F16+1)+IF(AND($E16=1,MX16=0),1000,0),MIN(TY16,20)*400+(IF('計算A'!DJ$106=1,1-HH16,0)+IF('計算A'!DK$106=1,1-HJ16,0))*150+165+'計算A'!DK$5*100000+IF(AND($E16=1,MX16=0),50000,0))+IF($H16=1,(IF('計算A'!DJ$117=1,INDEX('計算A'!DJ$10:DJ$54,$B16),0)+IF('計算A'!DK$117=1,INDEX('計算A'!DL$10:DL$54,$B16),0))*4000,0)-IF(AND('計算A'!DJ$117=1,YH16&gt;0),2000,0)-IF(AND($L16=1,'計算A'!DK$117=1,HJ16=0),2000,0))),1000000))</f>
        <v/>
      </c>
      <c r="SN16">
        <f>IF($B16=0,1000000,IF(INDEX('計算A'!$D$60:$EQ$104,$B16,113)*HJ16=1,IF(AND($E16=2,MY16=0),1000000,IF($I16&gt;0,IF(5=$J16,IF(OR(AND(113=$I16+1,OR($K16&lt;&gt;'計算A'!$A$3,'計算A'!$A$4=0)),AND(113=$I16-1,OR(17&lt;&gt;'計算A'!$A$3,'計算A'!$A$4=0))),0,IF(17=$K16,200000,ABS(17-$K16)*100)),100000+ABS(5-$J16)*1000+170)+'計算A'!DL$5*50+IF(AND($E16=1,MY16=0),25,0),IF($F16&gt;0,INDEX('計算A'!DL$110:DL$114,$F16+1)+IF(AND($E16=1,MY16=0),1000,0),MIN(TY16,20)*400+(IF('計算A'!DK$106=1,1-HI16,0)+IF('計算A'!DL$106=1,1-HK16,0))*150+175+'計算A'!DL$5*100000+IF(AND($E16=1,MY16=0),50000,0))+IF($H16=1,(IF('計算A'!DK$117=1,INDEX('計算A'!DK$10:DK$54,$B16),0)+IF('計算A'!DL$117=1,INDEX('計算A'!DM$10:DM$54,$B16),0))*4000,0)-IF(AND('計算A'!DK$117=1,YI16&gt;0),2000,0)-IF(AND($L16=1,'計算A'!DL$117=1,HK16=0),2000,0))),1000000))</f>
        <v/>
      </c>
      <c r="SO16">
        <f>IF($B16=0,1000000,IF(INDEX('計算A'!$D$60:$EQ$104,$B16,114)*HK16=1,IF(AND($E16=2,MZ16=0),1000000,IF($I16&gt;0,IF(5=$J16,IF(OR(AND(114=$I16+1,OR($K16&lt;&gt;'計算A'!$A$3,'計算A'!$A$4=0)),AND(114=$I16-1,OR(18&lt;&gt;'計算A'!$A$3,'計算A'!$A$4=0))),0,IF(18=$K16,200000,ABS(18-$K16)*100)),100000+ABS(5-$J16)*1000+180)+'計算A'!DM$5*50+IF(AND($E16=1,MZ16=0),25,0),IF($F16&gt;0,INDEX('計算A'!DM$110:DM$114,$F16+1)+IF(AND($E16=1,MZ16=0),1000,0),MIN(TY16,20)*400+(IF('計算A'!DL$106=1,1-HJ16,0)+IF('計算A'!DM$106=1,1-HL16,0))*150+185+'計算A'!DM$5*100000+IF(AND($E16=1,MZ16=0),50000,0))+IF($H16=1,(IF('計算A'!DL$117=1,INDEX('計算A'!DL$10:DL$54,$B16),0)+IF('計算A'!DM$117=1,INDEX('計算A'!DN$10:DN$54,$B16),0))*4000,0)-IF(AND('計算A'!DL$117=1,YJ16&gt;0),2000,0)-IF(AND($L16=1,'計算A'!DM$117=1,HL16=0),2000,0))),1000000))</f>
        <v/>
      </c>
      <c r="SP16">
        <f>IF($B16=0,1000000,IF(INDEX('計算A'!$D$60:$EQ$104,$B16,115)*HL16=1,IF(AND($E16=2,NA16=0),1000000,IF($I16&gt;0,IF(5=$J16,IF(OR(AND(115=$I16+1,OR($K16&lt;&gt;'計算A'!$A$3,'計算A'!$A$4=0)),AND(115=$I16-1,OR(19&lt;&gt;'計算A'!$A$3,'計算A'!$A$4=0))),0,IF(19=$K16,200000,ABS(19-$K16)*100)),100000+ABS(5-$J16)*1000+190)+'計算A'!DN$5*50+IF(AND($E16=1,NA16=0),25,0),IF($F16&gt;0,INDEX('計算A'!DN$110:DN$114,$F16+1)+IF(AND($E16=1,NA16=0),1000,0),MIN(TY16,20)*400+(IF('計算A'!DM$106=1,1-HK16,0)+IF('計算A'!DN$106=1,1-HM16,0))*150+195+'計算A'!DN$5*100000+IF(AND($E16=1,NA16=0),50000,0))+IF($H16=1,(IF('計算A'!DM$117=1,INDEX('計算A'!DM$10:DM$54,$B16),0)+IF('計算A'!DN$117=1,INDEX('計算A'!DO$10:DO$54,$B16),0))*4000,0)-IF(AND('計算A'!DM$117=1,YK16&gt;0),2000,0)-IF(AND($L16=1,'計算A'!DN$117=1,HM16=0),2000,0))),1000000))</f>
        <v/>
      </c>
      <c r="SQ16">
        <f>IF($B16=0,1000000,IF(INDEX('計算A'!$D$60:$EQ$104,$B16,116)*HM16=1,IF(AND($E16=2,NB16=0),1000000,IF($I16&gt;0,IF(5=$J16,IF(OR(AND(116=$I16+1,OR($K16&lt;&gt;'計算A'!$A$3,'計算A'!$A$4=0)),AND(116=$I16-1,OR(20&lt;&gt;'計算A'!$A$3,'計算A'!$A$4=0))),0,IF(20=$K16,200000,ABS(20-$K16)*100)),100000+ABS(5-$J16)*1000+200)+'計算A'!DO$5*50+IF(AND($E16=1,NB16=0),25,0),IF($F16&gt;0,INDEX('計算A'!DO$110:DO$114,$F16+1)+IF(AND($E16=1,NB16=0),1000,0),MIN(TY16,20)*400+(IF('計算A'!DN$106=1,1-HL16,0)+IF('計算A'!DO$106=1,1-HN16,0))*150+205+'計算A'!DO$5*100000+IF(AND($E16=1,NB16=0),50000,0))+IF($H16=1,(IF('計算A'!DN$117=1,INDEX('計算A'!DN$10:DN$54,$B16),0)+IF('計算A'!DO$117=1,INDEX('計算A'!DP$10:DP$54,$B16),0))*4000,0)-IF(AND('計算A'!DN$117=1,YL16&gt;0),2000,0)-IF(AND($L16=1,'計算A'!DO$117=1,HN16=0),2000,0))),1000000))</f>
        <v/>
      </c>
      <c r="SR16">
        <f>IF($B16=0,1000000,IF(INDEX('計算A'!$D$60:$EQ$104,$B16,117)*HN16=1,IF(AND($E16=2,NC16=0),1000000,IF($I16&gt;0,IF(5=$J16,IF(OR(AND(117=$I16+1,OR($K16&lt;&gt;'計算A'!$A$3,'計算A'!$A$4=0)),AND(117=$I16-1,OR(21&lt;&gt;'計算A'!$A$3,'計算A'!$A$4=0))),0,IF(21=$K16,200000,ABS(21-$K16)*100)),100000+ABS(5-$J16)*1000+210)+'計算A'!DP$5*50+IF(AND($E16=1,NC16=0),25,0),IF($F16&gt;0,INDEX('計算A'!DP$110:DP$114,$F16+1)+IF(AND($E16=1,NC16=0),1000,0),MIN(TY16,20)*400+(IF('計算A'!DO$106=1,1-HM16,0)+IF('計算A'!DP$106=1,1-HO16,0))*150+215+'計算A'!DP$5*100000+IF(AND($E16=1,NC16=0),50000,0))+IF($H16=1,(IF('計算A'!DO$117=1,INDEX('計算A'!DO$10:DO$54,$B16),0)+IF('計算A'!DP$117=1,INDEX('計算A'!DQ$10:DQ$54,$B16),0))*4000,0)-IF(AND('計算A'!DO$117=1,YM16&gt;0),2000,0)-IF(AND($L16=1,'計算A'!DP$117=1,HO16=0),2000,0))),1000000))</f>
        <v/>
      </c>
      <c r="SS16">
        <f>IF($B16=0,1000000,IF(INDEX('計算A'!$D$60:$EQ$104,$B16,118)*HO16=1,IF(AND($E16=2,ND16=0),1000000,IF($I16&gt;0,IF(5=$J16,IF(OR(AND(118=$I16+1,OR($K16&lt;&gt;'計算A'!$A$3,'計算A'!$A$4=0)),AND(118=$I16-1,OR(22&lt;&gt;'計算A'!$A$3,'計算A'!$A$4=0))),0,IF(22=$K16,200000,ABS(22-$K16)*100)),100000+ABS(5-$J16)*1000+220)+'計算A'!DQ$5*50+IF(AND($E16=1,ND16=0),25,0),IF($F16&gt;0,INDEX('計算A'!DQ$110:DQ$114,$F16+1)+IF(AND($E16=1,ND16=0),1000,0),MIN(TY16,20)*400+(IF('計算A'!DP$106=1,1-HN16,0)+IF('計算A'!DQ$106=1,1-HP16,0))*150+225+'計算A'!DQ$5*100000+IF(AND($E16=1,ND16=0),50000,0))+IF($H16=1,(IF('計算A'!DP$117=1,INDEX('計算A'!DP$10:DP$54,$B16),0)+IF('計算A'!DQ$117=1,INDEX('計算A'!DR$10:DR$54,$B16),0))*4000,0)-IF(AND('計算A'!DP$117=1,YN16&gt;0),2000,0)-IF(AND($L16=1,'計算A'!DQ$117=1,HP16=0),2000,0))),1000000))</f>
        <v/>
      </c>
      <c r="ST16">
        <f>IF($B16=0,1000000,IF(INDEX('計算A'!$D$60:$EQ$104,$B16,119)*HP16=1,IF(AND($E16=2,NE16=0),1000000,IF($I16&gt;0,IF(5=$J16,IF(OR(AND(119=$I16+1,OR($K16&lt;&gt;'計算A'!$A$3,'計算A'!$A$4=0)),AND(119=$I16-1,OR(23&lt;&gt;'計算A'!$A$3,'計算A'!$A$4=0))),0,IF(23=$K16,200000,ABS(23-$K16)*100)),100000+ABS(5-$J16)*1000+230)+'計算A'!DR$5*50+IF(AND($E16=1,NE16=0),25,0),IF($F16&gt;0,INDEX('計算A'!DR$110:DR$114,$F16+1)+IF(AND($E16=1,NE16=0),1000,0),MIN(TY16,20)*400+(IF('計算A'!DQ$106=1,1-HO16,0)+IF('計算A'!DR$106=1,1-HQ16,0))*150+235+'計算A'!DR$5*100000+IF(AND($E16=1,NE16=0),50000,0))+IF($H16=1,(IF('計算A'!DQ$117=1,INDEX('計算A'!DQ$10:DQ$54,$B16),0)+IF('計算A'!DR$117=1,INDEX('計算A'!DS$10:DS$54,$B16),0))*4000,0)-IF(AND('計算A'!DQ$117=1,YO16&gt;0),2000,0)-IF(AND($L16=1,'計算A'!DR$117=1,HQ16=0),2000,0))),1000000))</f>
        <v/>
      </c>
      <c r="SU16">
        <f>IF($B16=0,1000000,IF(INDEX('計算A'!$D$60:$EQ$104,$B16,120)*HQ16=1,IF(AND($E16=2,NF16=0),1000000,IF($I16&gt;0,IF(5=$J16,IF(OR(AND(120=$I16+1,OR($K16&lt;&gt;'計算A'!$A$3,'計算A'!$A$4=0)),AND(120=$I16-1,OR(24&lt;&gt;'計算A'!$A$3,'計算A'!$A$4=0))),0,IF(24=$K16,200000,ABS(24-$K16)*100)),100000+ABS(5-$J16)*1000+240)+'計算A'!DS$5*50+IF(AND($E16=1,NF16=0),25,0),IF($F16&gt;0,INDEX('計算A'!DS$110:DS$114,$F16+1)+IF(AND($E16=1,NF16=0),1000,0),MIN(TY16,20)*400+(IF('計算A'!DR$106=1,1-HP16,0))*150+245+'計算A'!DS$5*100000+IF(AND($E16=1,NF16=0),50000,0))+IF($H16=1,(IF('計算A'!DR$117=1,INDEX('計算A'!DR$10:DR$54,$B16),0))*4000,0)-IF(AND('計算A'!DR$117=1,YP16&gt;0),2000,0))),1000000))</f>
        <v/>
      </c>
      <c r="SV16">
        <f>IF($B16=0,1000000,IF(INDEX('計算A'!$D$60:$EQ$104,$B16,121)*HR16=1,IF(AND($E16=2,NG16=0),1000000,IF($I16&gt;0,IF(6=$J16,IF(OR(AND(121=$I16+1,OR($K16&lt;&gt;'計算A'!$A$3,'計算A'!$A$4=0)),AND(121=$I16-1,OR(1&lt;&gt;'計算A'!$A$3,'計算A'!$A$4=0))),0,IF(1=$K16,200000,ABS(1-$K16)*100)),100000+ABS(6-$J16)*1000+10)+'計算A'!DT$5*50+IF(AND($E16=1,NG16=0),25,0),IF($F16&gt;0,INDEX('計算A'!DT$110:DT$114,$F16+1)+IF(AND($E16=1,NG16=0),1000,0),MIN(TZ16,20)*400+(IF('計算A'!DT$106=1,1-HS16,0))*150+16+'計算A'!DT$5*100000+IF(AND($E16=1,NG16=0),50000,0))+IF($H16=1,(IF('計算A'!DT$117=1,INDEX('計算A'!DU$10:DU$54,$B16),0))*4000,0)-IF(AND($L16=1,'計算A'!DT$117=1,HS16=0),2000,0))),1000000))</f>
        <v/>
      </c>
      <c r="SW16">
        <f>IF($B16=0,1000000,IF(INDEX('計算A'!$D$60:$EQ$104,$B16,122)*HS16=1,IF(AND($E16=2,NH16=0),1000000,IF($I16&gt;0,IF(6=$J16,IF(OR(AND(122=$I16+1,OR($K16&lt;&gt;'計算A'!$A$3,'計算A'!$A$4=0)),AND(122=$I16-1,OR(2&lt;&gt;'計算A'!$A$3,'計算A'!$A$4=0))),0,IF(2=$K16,200000,ABS(2-$K16)*100)),100000+ABS(6-$J16)*1000+20)+'計算A'!DU$5*50+IF(AND($E16=1,NH16=0),25,0),IF($F16&gt;0,INDEX('計算A'!DU$110:DU$114,$F16+1)+IF(AND($E16=1,NH16=0),1000,0),MIN(TZ16,20)*400+(IF('計算A'!DT$106=1,1-HR16,0)+IF('計算A'!DU$106=1,1-HT16,0))*150+26+'計算A'!DU$5*100000+IF(AND($E16=1,NH16=0),50000,0))+IF($H16=1,(IF('計算A'!DT$117=1,INDEX('計算A'!DT$10:DT$54,$B16),0)+IF('計算A'!DU$117=1,INDEX('計算A'!DV$10:DV$54,$B16),0))*4000,0)-IF(AND('計算A'!DT$117=1,YR16&gt;0),2000,0)-IF(AND($L16=1,'計算A'!DU$117=1,HT16=0),2000,0))),1000000))</f>
        <v/>
      </c>
      <c r="SX16">
        <f>IF($B16=0,1000000,IF(INDEX('計算A'!$D$60:$EQ$104,$B16,123)*HT16=1,IF(AND($E16=2,NI16=0),1000000,IF($I16&gt;0,IF(6=$J16,IF(OR(AND(123=$I16+1,OR($K16&lt;&gt;'計算A'!$A$3,'計算A'!$A$4=0)),AND(123=$I16-1,OR(3&lt;&gt;'計算A'!$A$3,'計算A'!$A$4=0))),0,IF(3=$K16,200000,ABS(3-$K16)*100)),100000+ABS(6-$J16)*1000+30)+'計算A'!DV$5*50+IF(AND($E16=1,NI16=0),25,0),IF($F16&gt;0,INDEX('計算A'!DV$110:DV$114,$F16+1)+IF(AND($E16=1,NI16=0),1000,0),MIN(TZ16,20)*400+(IF('計算A'!DU$106=1,1-HS16,0)+IF('計算A'!DV$106=1,1-HU16,0))*150+36+'計算A'!DV$5*100000+IF(AND($E16=1,NI16=0),50000,0))+IF($H16=1,(IF('計算A'!DU$117=1,INDEX('計算A'!DU$10:DU$54,$B16),0)+IF('計算A'!DV$117=1,INDEX('計算A'!DW$10:DW$54,$B16),0))*4000,0)-IF(AND('計算A'!DU$117=1,YS16&gt;0),2000,0)-IF(AND($L16=1,'計算A'!DV$117=1,HU16=0),2000,0))),1000000))</f>
        <v/>
      </c>
      <c r="SY16">
        <f>IF($B16=0,1000000,IF(INDEX('計算A'!$D$60:$EQ$104,$B16,124)*HU16=1,IF(AND($E16=2,NJ16=0),1000000,IF($I16&gt;0,IF(6=$J16,IF(OR(AND(124=$I16+1,OR($K16&lt;&gt;'計算A'!$A$3,'計算A'!$A$4=0)),AND(124=$I16-1,OR(4&lt;&gt;'計算A'!$A$3,'計算A'!$A$4=0))),0,IF(4=$K16,200000,ABS(4-$K16)*100)),100000+ABS(6-$J16)*1000+40)+'計算A'!DW$5*50+IF(AND($E16=1,NJ16=0),25,0),IF($F16&gt;0,INDEX('計算A'!DW$110:DW$114,$F16+1)+IF(AND($E16=1,NJ16=0),1000,0),MIN(TZ16,20)*400+(IF('計算A'!DV$106=1,1-HT16,0)+IF('計算A'!DW$106=1,1-HV16,0))*150+46+'計算A'!DW$5*100000+IF(AND($E16=1,NJ16=0),50000,0))+IF($H16=1,(IF('計算A'!DV$117=1,INDEX('計算A'!DV$10:DV$54,$B16),0)+IF('計算A'!DW$117=1,INDEX('計算A'!DX$10:DX$54,$B16),0))*4000,0)-IF(AND('計算A'!DV$117=1,YT16&gt;0),2000,0)-IF(AND($L16=1,'計算A'!DW$117=1,HV16=0),2000,0))),1000000))</f>
        <v/>
      </c>
      <c r="SZ16">
        <f>IF($B16=0,1000000,IF(INDEX('計算A'!$D$60:$EQ$104,$B16,125)*HV16=1,IF(AND($E16=2,NK16=0),1000000,IF($I16&gt;0,IF(6=$J16,IF(OR(AND(125=$I16+1,OR($K16&lt;&gt;'計算A'!$A$3,'計算A'!$A$4=0)),AND(125=$I16-1,OR(5&lt;&gt;'計算A'!$A$3,'計算A'!$A$4=0))),0,IF(5=$K16,200000,ABS(5-$K16)*100)),100000+ABS(6-$J16)*1000+50)+'計算A'!DX$5*50+IF(AND($E16=1,NK16=0),25,0),IF($F16&gt;0,INDEX('計算A'!DX$110:DX$114,$F16+1)+IF(AND($E16=1,NK16=0),1000,0),MIN(TZ16,20)*400+(IF('計算A'!DW$106=1,1-HU16,0)+IF('計算A'!DX$106=1,1-HW16,0))*150+56+'計算A'!DX$5*100000+IF(AND($E16=1,NK16=0),50000,0))+IF($H16=1,(IF('計算A'!DW$117=1,INDEX('計算A'!DW$10:DW$54,$B16),0)+IF('計算A'!DX$117=1,INDEX('計算A'!DY$10:DY$54,$B16),0))*4000,0)-IF(AND('計算A'!DW$117=1,YU16&gt;0),2000,0)-IF(AND($L16=1,'計算A'!DX$117=1,HW16=0),2000,0))),1000000))</f>
        <v/>
      </c>
      <c r="TA16">
        <f>IF($B16=0,1000000,IF(INDEX('計算A'!$D$60:$EQ$104,$B16,126)*HW16=1,IF(AND($E16=2,NL16=0),1000000,IF($I16&gt;0,IF(6=$J16,IF(OR(AND(126=$I16+1,OR($K16&lt;&gt;'計算A'!$A$3,'計算A'!$A$4=0)),AND(126=$I16-1,OR(6&lt;&gt;'計算A'!$A$3,'計算A'!$A$4=0))),0,IF(6=$K16,200000,ABS(6-$K16)*100)),100000+ABS(6-$J16)*1000+60)+'計算A'!DY$5*50+IF(AND($E16=1,NL16=0),25,0),IF($F16&gt;0,INDEX('計算A'!DY$110:DY$114,$F16+1)+IF(AND($E16=1,NL16=0),1000,0),MIN(TZ16,20)*400+(IF('計算A'!DX$106=1,1-HV16,0)+IF('計算A'!DY$106=1,1-HX16,0))*150+66+'計算A'!DY$5*100000+IF(AND($E16=1,NL16=0),50000,0))+IF($H16=1,(IF('計算A'!DX$117=1,INDEX('計算A'!DX$10:DX$54,$B16),0)+IF('計算A'!DY$117=1,INDEX('計算A'!DZ$10:DZ$54,$B16),0))*4000,0)-IF(AND('計算A'!DX$117=1,YV16&gt;0),2000,0)-IF(AND($L16=1,'計算A'!DY$117=1,HX16=0),2000,0))),1000000))</f>
        <v/>
      </c>
      <c r="TB16">
        <f>IF($B16=0,1000000,IF(INDEX('計算A'!$D$60:$EQ$104,$B16,127)*HX16=1,IF(AND($E16=2,NM16=0),1000000,IF($I16&gt;0,IF(6=$J16,IF(OR(AND(127=$I16+1,OR($K16&lt;&gt;'計算A'!$A$3,'計算A'!$A$4=0)),AND(127=$I16-1,OR(7&lt;&gt;'計算A'!$A$3,'計算A'!$A$4=0))),0,IF(7=$K16,200000,ABS(7-$K16)*100)),100000+ABS(6-$J16)*1000+70)+'計算A'!DZ$5*50+IF(AND($E16=1,NM16=0),25,0),IF($F16&gt;0,INDEX('計算A'!DZ$110:DZ$114,$F16+1)+IF(AND($E16=1,NM16=0),1000,0),MIN(TZ16,20)*400+(IF('計算A'!DY$106=1,1-HW16,0)+IF('計算A'!DZ$106=1,1-HY16,0))*150+76+'計算A'!DZ$5*100000+IF(AND($E16=1,NM16=0),50000,0))+IF($H16=1,(IF('計算A'!DY$117=1,INDEX('計算A'!DY$10:DY$54,$B16),0)+IF('計算A'!DZ$117=1,INDEX('計算A'!EA$10:EA$54,$B16),0))*4000,0)-IF(AND('計算A'!DY$117=1,YW16&gt;0),2000,0)-IF(AND($L16=1,'計算A'!DZ$117=1,HY16=0),2000,0))),1000000))</f>
        <v/>
      </c>
      <c r="TC16">
        <f>IF($B16=0,1000000,IF(INDEX('計算A'!$D$60:$EQ$104,$B16,128)*HY16=1,IF(AND($E16=2,NN16=0),1000000,IF($I16&gt;0,IF(6=$J16,IF(OR(AND(128=$I16+1,OR($K16&lt;&gt;'計算A'!$A$3,'計算A'!$A$4=0)),AND(128=$I16-1,OR(8&lt;&gt;'計算A'!$A$3,'計算A'!$A$4=0))),0,IF(8=$K16,200000,ABS(8-$K16)*100)),100000+ABS(6-$J16)*1000+80)+'計算A'!EA$5*50+IF(AND($E16=1,NN16=0),25,0),IF($F16&gt;0,INDEX('計算A'!EA$110:EA$114,$F16+1)+IF(AND($E16=1,NN16=0),1000,0),MIN(TZ16,20)*400+(IF('計算A'!DZ$106=1,1-HX16,0)+IF('計算A'!EA$106=1,1-HZ16,0))*150+86+'計算A'!EA$5*100000+IF(AND($E16=1,NN16=0),50000,0))+IF($H16=1,(IF('計算A'!DZ$117=1,INDEX('計算A'!DZ$10:DZ$54,$B16),0)+IF('計算A'!EA$117=1,INDEX('計算A'!EB$10:EB$54,$B16),0))*4000,0)-IF(AND('計算A'!DZ$117=1,YX16&gt;0),2000,0)-IF(AND($L16=1,'計算A'!EA$117=1,HZ16=0),2000,0))),1000000))</f>
        <v/>
      </c>
      <c r="TD16">
        <f>IF($B16=0,1000000,IF(INDEX('計算A'!$D$60:$EQ$104,$B16,129)*HZ16=1,IF(AND($E16=2,NO16=0),1000000,IF($I16&gt;0,IF(6=$J16,IF(OR(AND(129=$I16+1,OR($K16&lt;&gt;'計算A'!$A$3,'計算A'!$A$4=0)),AND(129=$I16-1,OR(9&lt;&gt;'計算A'!$A$3,'計算A'!$A$4=0))),0,IF(9=$K16,200000,ABS(9-$K16)*100)),100000+ABS(6-$J16)*1000+90)+'計算A'!EB$5*50+IF(AND($E16=1,NO16=0),25,0),IF($F16&gt;0,INDEX('計算A'!EB$110:EB$114,$F16+1)+IF(AND($E16=1,NO16=0),1000,0),MIN(TZ16,20)*400+(IF('計算A'!EA$106=1,1-HY16,0)+IF('計算A'!EB$106=1,1-IA16,0))*150+96+'計算A'!EB$5*100000+IF(AND($E16=1,NO16=0),50000,0))+IF($H16=1,(IF('計算A'!EA$117=1,INDEX('計算A'!EA$10:EA$54,$B16),0)+IF('計算A'!EB$117=1,INDEX('計算A'!EC$10:EC$54,$B16),0))*4000,0)-IF(AND('計算A'!EA$117=1,YY16&gt;0),2000,0)-IF(AND($L16=1,'計算A'!EB$117=1,IA16=0),2000,0))),1000000))</f>
        <v/>
      </c>
      <c r="TE16">
        <f>IF($B16=0,1000000,IF(INDEX('計算A'!$D$60:$EQ$104,$B16,130)*IA16=1,IF(AND($E16=2,NP16=0),1000000,IF($I16&gt;0,IF(6=$J16,IF(OR(AND(130=$I16+1,OR($K16&lt;&gt;'計算A'!$A$3,'計算A'!$A$4=0)),AND(130=$I16-1,OR(10&lt;&gt;'計算A'!$A$3,'計算A'!$A$4=0))),0,IF(10=$K16,200000,ABS(10-$K16)*100)),100000+ABS(6-$J16)*1000+100)+'計算A'!EC$5*50+IF(AND($E16=1,NP16=0),25,0),IF($F16&gt;0,INDEX('計算A'!EC$110:EC$114,$F16+1)+IF(AND($E16=1,NP16=0),1000,0),MIN(TZ16,20)*400+(IF('計算A'!EB$106=1,1-HZ16,0)+IF('計算A'!EC$106=1,1-IB16,0))*150+106+'計算A'!EC$5*100000+IF(AND($E16=1,NP16=0),50000,0))+IF($H16=1,(IF('計算A'!EB$117=1,INDEX('計算A'!EB$10:EB$54,$B16),0)+IF('計算A'!EC$117=1,INDEX('計算A'!ED$10:ED$54,$B16),0))*4000,0)-IF(AND('計算A'!EB$117=1,YZ16&gt;0),2000,0)-IF(AND($L16=1,'計算A'!EC$117=1,IB16=0),2000,0))),1000000))</f>
        <v/>
      </c>
      <c r="TF16">
        <f>IF($B16=0,1000000,IF(INDEX('計算A'!$D$60:$EQ$104,$B16,131)*IB16=1,IF(AND($E16=2,NQ16=0),1000000,IF($I16&gt;0,IF(6=$J16,IF(OR(AND(131=$I16+1,OR($K16&lt;&gt;'計算A'!$A$3,'計算A'!$A$4=0)),AND(131=$I16-1,OR(11&lt;&gt;'計算A'!$A$3,'計算A'!$A$4=0))),0,IF(11=$K16,200000,ABS(11-$K16)*100)),100000+ABS(6-$J16)*1000+110)+'計算A'!ED$5*50+IF(AND($E16=1,NQ16=0),25,0),IF($F16&gt;0,INDEX('計算A'!ED$110:ED$114,$F16+1)+IF(AND($E16=1,NQ16=0),1000,0),MIN(TZ16,20)*400+(IF('計算A'!EC$106=1,1-IA16,0)+IF('計算A'!ED$106=1,1-IC16,0))*150+116+'計算A'!ED$5*100000+IF(AND($E16=1,NQ16=0),50000,0))+IF($H16=1,(IF('計算A'!EC$117=1,INDEX('計算A'!EC$10:EC$54,$B16),0)+IF('計算A'!ED$117=1,INDEX('計算A'!EE$10:EE$54,$B16),0))*4000,0)-IF(AND('計算A'!EC$117=1,ZA16&gt;0),2000,0)-IF(AND($L16=1,'計算A'!ED$117=1,IC16=0),2000,0))),1000000))</f>
        <v/>
      </c>
      <c r="TG16">
        <f>IF($B16=0,1000000,IF(INDEX('計算A'!$D$60:$EQ$104,$B16,132)*IC16=1,IF(AND($E16=2,NR16=0),1000000,IF($I16&gt;0,IF(6=$J16,IF(OR(AND(132=$I16+1,OR($K16&lt;&gt;'計算A'!$A$3,'計算A'!$A$4=0)),AND(132=$I16-1,OR(12&lt;&gt;'計算A'!$A$3,'計算A'!$A$4=0))),0,IF(12=$K16,200000,ABS(12-$K16)*100)),100000+ABS(6-$J16)*1000+120)+'計算A'!EE$5*50+IF(AND($E16=1,NR16=0),25,0),IF($F16&gt;0,INDEX('計算A'!EE$110:EE$114,$F16+1)+IF(AND($E16=1,NR16=0),1000,0),MIN(TZ16,20)*400+(IF('計算A'!ED$106=1,1-IB16,0)+IF('計算A'!EE$106=1,1-ID16,0))*150+126+'計算A'!EE$5*100000+IF(AND($E16=1,NR16=0),50000,0))+IF($H16=1,(IF('計算A'!ED$117=1,INDEX('計算A'!ED$10:ED$54,$B16),0)+IF('計算A'!EE$117=1,INDEX('計算A'!EF$10:EF$54,$B16),0))*4000,0)-IF(AND('計算A'!ED$117=1,ZB16&gt;0),2000,0)-IF(AND($L16=1,'計算A'!EE$117=1,ID16=0),2000,0))),1000000))</f>
        <v/>
      </c>
      <c r="TH16">
        <f>IF($B16=0,1000000,IF(INDEX('計算A'!$D$60:$EQ$104,$B16,133)*ID16=1,IF(AND($E16=2,NS16=0),1000000,IF($I16&gt;0,IF(6=$J16,IF(OR(AND(133=$I16+1,OR($K16&lt;&gt;'計算A'!$A$3,'計算A'!$A$4=0)),AND(133=$I16-1,OR(13&lt;&gt;'計算A'!$A$3,'計算A'!$A$4=0))),0,IF(13=$K16,200000,ABS(13-$K16)*100)),100000+ABS(6-$J16)*1000+130)+'計算A'!EF$5*50+IF(AND($E16=1,NS16=0),25,0),IF($F16&gt;0,INDEX('計算A'!EF$110:EF$114,$F16+1)+IF(AND($E16=1,NS16=0),1000,0),MIN(TZ16,20)*400+(IF('計算A'!EE$106=1,1-IC16,0)+IF('計算A'!EF$106=1,1-IE16,0))*150+136+'計算A'!EF$5*100000+IF(AND($E16=1,NS16=0),50000,0))+IF($H16=1,(IF('計算A'!EE$117=1,INDEX('計算A'!EE$10:EE$54,$B16),0)+IF('計算A'!EF$117=1,INDEX('計算A'!EG$10:EG$54,$B16),0))*4000,0)-IF(AND('計算A'!EE$117=1,ZC16&gt;0),2000,0)-IF(AND($L16=1,'計算A'!EF$117=1,IE16=0),2000,0))),1000000))</f>
        <v/>
      </c>
      <c r="TI16">
        <f>IF($B16=0,1000000,IF(INDEX('計算A'!$D$60:$EQ$104,$B16,134)*IE16=1,IF(AND($E16=2,NT16=0),1000000,IF($I16&gt;0,IF(6=$J16,IF(OR(AND(134=$I16+1,OR($K16&lt;&gt;'計算A'!$A$3,'計算A'!$A$4=0)),AND(134=$I16-1,OR(14&lt;&gt;'計算A'!$A$3,'計算A'!$A$4=0))),0,IF(14=$K16,200000,ABS(14-$K16)*100)),100000+ABS(6-$J16)*1000+140)+'計算A'!EG$5*50+IF(AND($E16=1,NT16=0),25,0),IF($F16&gt;0,INDEX('計算A'!EG$110:EG$114,$F16+1)+IF(AND($E16=1,NT16=0),1000,0),MIN(TZ16,20)*400+(IF('計算A'!EF$106=1,1-ID16,0)+IF('計算A'!EG$106=1,1-IF16,0))*150+146+'計算A'!EG$5*100000+IF(AND($E16=1,NT16=0),50000,0))+IF($H16=1,(IF('計算A'!EF$117=1,INDEX('計算A'!EF$10:EF$54,$B16),0)+IF('計算A'!EG$117=1,INDEX('計算A'!EH$10:EH$54,$B16),0))*4000,0)-IF(AND('計算A'!EF$117=1,ZD16&gt;0),2000,0)-IF(AND($L16=1,'計算A'!EG$117=1,IF16=0),2000,0))),1000000))</f>
        <v/>
      </c>
      <c r="TJ16">
        <f>IF($B16=0,1000000,IF(INDEX('計算A'!$D$60:$EQ$104,$B16,135)*IF16=1,IF(AND($E16=2,NU16=0),1000000,IF($I16&gt;0,IF(6=$J16,IF(OR(AND(135=$I16+1,OR($K16&lt;&gt;'計算A'!$A$3,'計算A'!$A$4=0)),AND(135=$I16-1,OR(15&lt;&gt;'計算A'!$A$3,'計算A'!$A$4=0))),0,IF(15=$K16,200000,ABS(15-$K16)*100)),100000+ABS(6-$J16)*1000+150)+'計算A'!EH$5*50+IF(AND($E16=1,NU16=0),25,0),IF($F16&gt;0,INDEX('計算A'!EH$110:EH$114,$F16+1)+IF(AND($E16=1,NU16=0),1000,0),MIN(TZ16,20)*400+(IF('計算A'!EG$106=1,1-IE16,0)+IF('計算A'!EH$106=1,1-IG16,0))*150+156+'計算A'!EH$5*100000+IF(AND($E16=1,NU16=0),50000,0))+IF($H16=1,(IF('計算A'!EG$117=1,INDEX('計算A'!EG$10:EG$54,$B16),0)+IF('計算A'!EH$117=1,INDEX('計算A'!EI$10:EI$54,$B16),0))*4000,0)-IF(AND('計算A'!EG$117=1,ZE16&gt;0),2000,0)-IF(AND($L16=1,'計算A'!EH$117=1,IG16=0),2000,0))),1000000))</f>
        <v/>
      </c>
      <c r="TK16">
        <f>IF($B16=0,1000000,IF(INDEX('計算A'!$D$60:$EQ$104,$B16,136)*IG16=1,IF(AND($E16=2,NV16=0),1000000,IF($I16&gt;0,IF(6=$J16,IF(OR(AND(136=$I16+1,OR($K16&lt;&gt;'計算A'!$A$3,'計算A'!$A$4=0)),AND(136=$I16-1,OR(16&lt;&gt;'計算A'!$A$3,'計算A'!$A$4=0))),0,IF(16=$K16,200000,ABS(16-$K16)*100)),100000+ABS(6-$J16)*1000+160)+'計算A'!EI$5*50+IF(AND($E16=1,NV16=0),25,0),IF($F16&gt;0,INDEX('計算A'!EI$110:EI$114,$F16+1)+IF(AND($E16=1,NV16=0),1000,0),MIN(TZ16,20)*400+(IF('計算A'!EH$106=1,1-IF16,0)+IF('計算A'!EI$106=1,1-IH16,0))*150+166+'計算A'!EI$5*100000+IF(AND($E16=1,NV16=0),50000,0))+IF($H16=1,(IF('計算A'!EH$117=1,INDEX('計算A'!EH$10:EH$54,$B16),0)+IF('計算A'!EI$117=1,INDEX('計算A'!EJ$10:EJ$54,$B16),0))*4000,0)-IF(AND('計算A'!EH$117=1,ZF16&gt;0),2000,0)-IF(AND($L16=1,'計算A'!EI$117=1,IH16=0),2000,0))),1000000))</f>
        <v/>
      </c>
      <c r="TL16">
        <f>IF($B16=0,1000000,IF(INDEX('計算A'!$D$60:$EQ$104,$B16,137)*IH16=1,IF(AND($E16=2,NW16=0),1000000,IF($I16&gt;0,IF(6=$J16,IF(OR(AND(137=$I16+1,OR($K16&lt;&gt;'計算A'!$A$3,'計算A'!$A$4=0)),AND(137=$I16-1,OR(17&lt;&gt;'計算A'!$A$3,'計算A'!$A$4=0))),0,IF(17=$K16,200000,ABS(17-$K16)*100)),100000+ABS(6-$J16)*1000+170)+'計算A'!EJ$5*50+IF(AND($E16=1,NW16=0),25,0),IF($F16&gt;0,INDEX('計算A'!EJ$110:EJ$114,$F16+1)+IF(AND($E16=1,NW16=0),1000,0),MIN(TZ16,20)*400+(IF('計算A'!EI$106=1,1-IG16,0)+IF('計算A'!EJ$106=1,1-II16,0))*150+176+'計算A'!EJ$5*100000+IF(AND($E16=1,NW16=0),50000,0))+IF($H16=1,(IF('計算A'!EI$117=1,INDEX('計算A'!EI$10:EI$54,$B16),0)+IF('計算A'!EJ$117=1,INDEX('計算A'!EK$10:EK$54,$B16),0))*4000,0)-IF(AND('計算A'!EI$117=1,ZG16&gt;0),2000,0)-IF(AND($L16=1,'計算A'!EJ$117=1,II16=0),2000,0))),1000000))</f>
        <v/>
      </c>
      <c r="TM16">
        <f>IF($B16=0,1000000,IF(INDEX('計算A'!$D$60:$EQ$104,$B16,138)*II16=1,IF(AND($E16=2,NX16=0),1000000,IF($I16&gt;0,IF(6=$J16,IF(OR(AND(138=$I16+1,OR($K16&lt;&gt;'計算A'!$A$3,'計算A'!$A$4=0)),AND(138=$I16-1,OR(18&lt;&gt;'計算A'!$A$3,'計算A'!$A$4=0))),0,IF(18=$K16,200000,ABS(18-$K16)*100)),100000+ABS(6-$J16)*1000+180)+'計算A'!EK$5*50+IF(AND($E16=1,NX16=0),25,0),IF($F16&gt;0,INDEX('計算A'!EK$110:EK$114,$F16+1)+IF(AND($E16=1,NX16=0),1000,0),MIN(TZ16,20)*400+(IF('計算A'!EJ$106=1,1-IH16,0)+IF('計算A'!EK$106=1,1-IJ16,0))*150+186+'計算A'!EK$5*100000+IF(AND($E16=1,NX16=0),50000,0))+IF($H16=1,(IF('計算A'!EJ$117=1,INDEX('計算A'!EJ$10:EJ$54,$B16),0)+IF('計算A'!EK$117=1,INDEX('計算A'!EL$10:EL$54,$B16),0))*4000,0)-IF(AND('計算A'!EJ$117=1,ZH16&gt;0),2000,0)-IF(AND($L16=1,'計算A'!EK$117=1,IJ16=0),2000,0))),1000000))</f>
        <v/>
      </c>
      <c r="TN16">
        <f>IF($B16=0,1000000,IF(INDEX('計算A'!$D$60:$EQ$104,$B16,139)*IJ16=1,IF(AND($E16=2,NY16=0),1000000,IF($I16&gt;0,IF(6=$J16,IF(OR(AND(139=$I16+1,OR($K16&lt;&gt;'計算A'!$A$3,'計算A'!$A$4=0)),AND(139=$I16-1,OR(19&lt;&gt;'計算A'!$A$3,'計算A'!$A$4=0))),0,IF(19=$K16,200000,ABS(19-$K16)*100)),100000+ABS(6-$J16)*1000+190)+'計算A'!EL$5*50+IF(AND($E16=1,NY16=0),25,0),IF($F16&gt;0,INDEX('計算A'!EL$110:EL$114,$F16+1)+IF(AND($E16=1,NY16=0),1000,0),MIN(TZ16,20)*400+(IF('計算A'!EK$106=1,1-II16,0)+IF('計算A'!EL$106=1,1-IK16,0))*150+196+'計算A'!EL$5*100000+IF(AND($E16=1,NY16=0),50000,0))+IF($H16=1,(IF('計算A'!EK$117=1,INDEX('計算A'!EK$10:EK$54,$B16),0)+IF('計算A'!EL$117=1,INDEX('計算A'!EM$10:EM$54,$B16),0))*4000,0)-IF(AND('計算A'!EK$117=1,ZI16&gt;0),2000,0)-IF(AND($L16=1,'計算A'!EL$117=1,IK16=0),2000,0))),1000000))</f>
        <v/>
      </c>
      <c r="TO16">
        <f>IF($B16=0,1000000,IF(INDEX('計算A'!$D$60:$EQ$104,$B16,140)*IK16=1,IF(AND($E16=2,NZ16=0),1000000,IF($I16&gt;0,IF(6=$J16,IF(OR(AND(140=$I16+1,OR($K16&lt;&gt;'計算A'!$A$3,'計算A'!$A$4=0)),AND(140=$I16-1,OR(20&lt;&gt;'計算A'!$A$3,'計算A'!$A$4=0))),0,IF(20=$K16,200000,ABS(20-$K16)*100)),100000+ABS(6-$J16)*1000+200)+'計算A'!EM$5*50+IF(AND($E16=1,NZ16=0),25,0),IF($F16&gt;0,INDEX('計算A'!EM$110:EM$114,$F16+1)+IF(AND($E16=1,NZ16=0),1000,0),MIN(TZ16,20)*400+(IF('計算A'!EL$106=1,1-IJ16,0)+IF('計算A'!EM$106=1,1-IL16,0))*150+206+'計算A'!EM$5*100000+IF(AND($E16=1,NZ16=0),50000,0))+IF($H16=1,(IF('計算A'!EL$117=1,INDEX('計算A'!EL$10:EL$54,$B16),0)+IF('計算A'!EM$117=1,INDEX('計算A'!EN$10:EN$54,$B16),0))*4000,0)-IF(AND('計算A'!EL$117=1,ZJ16&gt;0),2000,0)-IF(AND($L16=1,'計算A'!EM$117=1,IL16=0),2000,0))),1000000))</f>
        <v/>
      </c>
      <c r="TP16">
        <f>IF($B16=0,1000000,IF(INDEX('計算A'!$D$60:$EQ$104,$B16,141)*IL16=1,IF(AND($E16=2,OA16=0),1000000,IF($I16&gt;0,IF(6=$J16,IF(OR(AND(141=$I16+1,OR($K16&lt;&gt;'計算A'!$A$3,'計算A'!$A$4=0)),AND(141=$I16-1,OR(21&lt;&gt;'計算A'!$A$3,'計算A'!$A$4=0))),0,IF(21=$K16,200000,ABS(21-$K16)*100)),100000+ABS(6-$J16)*1000+210)+'計算A'!EN$5*50+IF(AND($E16=1,OA16=0),25,0),IF($F16&gt;0,INDEX('計算A'!EN$110:EN$114,$F16+1)+IF(AND($E16=1,OA16=0),1000,0),MIN(TZ16,20)*400+(IF('計算A'!EM$106=1,1-IK16,0)+IF('計算A'!EN$106=1,1-IM16,0))*150+216+'計算A'!EN$5*100000+IF(AND($E16=1,OA16=0),50000,0))+IF($H16=1,(IF('計算A'!EM$117=1,INDEX('計算A'!EM$10:EM$54,$B16),0)+IF('計算A'!EN$117=1,INDEX('計算A'!EO$10:EO$54,$B16),0))*4000,0)-IF(AND('計算A'!EM$117=1,ZK16&gt;0),2000,0)-IF(AND($L16=1,'計算A'!EN$117=1,IM16=0),2000,0))),1000000))</f>
        <v/>
      </c>
      <c r="TQ16">
        <f>IF($B16=0,1000000,IF(INDEX('計算A'!$D$60:$EQ$104,$B16,142)*IM16=1,IF(AND($E16=2,OB16=0),1000000,IF($I16&gt;0,IF(6=$J16,IF(OR(AND(142=$I16+1,OR($K16&lt;&gt;'計算A'!$A$3,'計算A'!$A$4=0)),AND(142=$I16-1,OR(22&lt;&gt;'計算A'!$A$3,'計算A'!$A$4=0))),0,IF(22=$K16,200000,ABS(22-$K16)*100)),100000+ABS(6-$J16)*1000+220)+'計算A'!EO$5*50+IF(AND($E16=1,OB16=0),25,0),IF($F16&gt;0,INDEX('計算A'!EO$110:EO$114,$F16+1)+IF(AND($E16=1,OB16=0),1000,0),MIN(TZ16,20)*400+(IF('計算A'!EN$106=1,1-IL16,0)+IF('計算A'!EO$106=1,1-IN16,0))*150+226+'計算A'!EO$5*100000+IF(AND($E16=1,OB16=0),50000,0))+IF($H16=1,(IF('計算A'!EN$117=1,INDEX('計算A'!EN$10:EN$54,$B16),0)+IF('計算A'!EO$117=1,INDEX('計算A'!EP$10:EP$54,$B16),0))*4000,0)-IF(AND('計算A'!EN$117=1,ZL16&gt;0),2000,0)-IF(AND($L16=1,'計算A'!EO$117=1,IN16=0),2000,0))),1000000))</f>
        <v/>
      </c>
      <c r="TR16">
        <f>IF($B16=0,1000000,IF(INDEX('計算A'!$D$60:$EQ$104,$B16,143)*IN16=1,IF(AND($E16=2,OC16=0),1000000,IF($I16&gt;0,IF(6=$J16,IF(OR(AND(143=$I16+1,OR($K16&lt;&gt;'計算A'!$A$3,'計算A'!$A$4=0)),AND(143=$I16-1,OR(23&lt;&gt;'計算A'!$A$3,'計算A'!$A$4=0))),0,IF(23=$K16,200000,ABS(23-$K16)*100)),100000+ABS(6-$J16)*1000+230)+'計算A'!EP$5*50+IF(AND($E16=1,OC16=0),25,0),IF($F16&gt;0,INDEX('計算A'!EP$110:EP$114,$F16+1)+IF(AND($E16=1,OC16=0),1000,0),MIN(TZ16,20)*400+(IF('計算A'!EO$106=1,1-IM16,0)+IF('計算A'!EP$106=1,1-IO16,0))*150+236+'計算A'!EP$5*100000+IF(AND($E16=1,OC16=0),50000,0))+IF($H16=1,(IF('計算A'!EO$117=1,INDEX('計算A'!EO$10:EO$54,$B16),0)+IF('計算A'!EP$117=1,INDEX('計算A'!EQ$10:EQ$54,$B16),0))*4000,0)-IF(AND('計算A'!EO$117=1,ZM16&gt;0),2000,0)-IF(AND($L16=1,'計算A'!EP$117=1,IO16=0),2000,0))),1000000))</f>
        <v/>
      </c>
      <c r="TS16">
        <f>IF($B16=0,1000000,IF(INDEX('計算A'!$D$60:$EQ$104,$B16,144)*IO16=1,IF(AND($E16=2,OD16=0),1000000,IF($I16&gt;0,IF(6=$J16,IF(OR(AND(144=$I16+1,OR($K16&lt;&gt;'計算A'!$A$3,'計算A'!$A$4=0)),AND(144=$I16-1,OR(24&lt;&gt;'計算A'!$A$3,'計算A'!$A$4=0))),0,IF(24=$K16,200000,ABS(24-$K16)*100)),100000+ABS(6-$J16)*1000+240)+'計算A'!EQ$5*50+IF(AND($E16=1,OD16=0),25,0),IF($F16&gt;0,INDEX('計算A'!EQ$110:EQ$114,$F16+1)+IF(AND($E16=1,OD16=0),1000,0),MIN(TZ16,20)*400+(IF('計算A'!EP$106=1,1-IN16,0))*150+246+'計算A'!EQ$5*100000+IF(AND($E16=1,OD16=0),50000,0))+IF($H16=1,(IF('計算A'!EP$117=1,INDEX('計算A'!EP$10:EP$54,$B16),0))*4000,0)-IF(AND('計算A'!EP$117=1,ZN16&gt;0),2000,0))),1000000))</f>
        <v/>
      </c>
      <c r="TU16">
        <f>TU15+IF($C15&gt;0,IF(INDEX('計算A'!$D$2:$EQ$2,$C15)=1,1,0),0)</f>
        <v/>
      </c>
      <c r="TV16">
        <f>TV15+IF($C15&gt;0,IF(INDEX('計算A'!$D$2:$EQ$2,$C15)=2,1,0),0)</f>
        <v/>
      </c>
      <c r="TW16">
        <f>TW15+IF($C15&gt;0,IF(INDEX('計算A'!$D$2:$EQ$2,$C15)=3,1,0),0)</f>
        <v/>
      </c>
      <c r="TX16">
        <f>TX15+IF($C15&gt;0,IF(INDEX('計算A'!$D$2:$EQ$2,$C15)=4,1,0),0)</f>
        <v/>
      </c>
      <c r="TY16">
        <f>TY15+IF($C15&gt;0,IF(INDEX('計算A'!$D$2:$EQ$2,$C15)=5,1,0),0)</f>
        <v/>
      </c>
      <c r="TZ16">
        <f>TZ15+IF($C15&gt;0,IF(INDEX('計算A'!$D$2:$EQ$2,$C15)=6,1,0),0)</f>
        <v/>
      </c>
      <c r="UB16">
        <f>UB15+IF(AND($C15=1,$L15=1),1,0)</f>
        <v/>
      </c>
      <c r="UC16">
        <f>UC15+IF(AND($C15=2,$L15=1),1,0)</f>
        <v/>
      </c>
      <c r="UD16">
        <f>UD15+IF(AND($C15=3,$L15=1),1,0)</f>
        <v/>
      </c>
      <c r="UE16">
        <f>UE15+IF(AND($C15=4,$L15=1),1,0)</f>
        <v/>
      </c>
      <c r="UF16">
        <f>UF15+IF(AND($C15=5,$L15=1),1,0)</f>
        <v/>
      </c>
      <c r="UG16">
        <f>UG15+IF(AND($C15=6,$L15=1),1,0)</f>
        <v/>
      </c>
      <c r="UH16">
        <f>UH15+IF(AND($C15=7,$L15=1),1,0)</f>
        <v/>
      </c>
      <c r="UI16">
        <f>UI15+IF(AND($C15=8,$L15=1),1,0)</f>
        <v/>
      </c>
      <c r="UJ16">
        <f>UJ15+IF(AND($C15=9,$L15=1),1,0)</f>
        <v/>
      </c>
      <c r="UK16">
        <f>UK15+IF(AND($C15=10,$L15=1),1,0)</f>
        <v/>
      </c>
      <c r="UL16">
        <f>UL15+IF(AND($C15=11,$L15=1),1,0)</f>
        <v/>
      </c>
      <c r="UM16">
        <f>UM15+IF(AND($C15=12,$L15=1),1,0)</f>
        <v/>
      </c>
      <c r="UN16">
        <f>UN15+IF(AND($C15=13,$L15=1),1,0)</f>
        <v/>
      </c>
      <c r="UO16">
        <f>UO15+IF(AND($C15=14,$L15=1),1,0)</f>
        <v/>
      </c>
      <c r="UP16">
        <f>UP15+IF(AND($C15=15,$L15=1),1,0)</f>
        <v/>
      </c>
      <c r="UQ16">
        <f>UQ15+IF(AND($C15=16,$L15=1),1,0)</f>
        <v/>
      </c>
      <c r="UR16">
        <f>UR15+IF(AND($C15=17,$L15=1),1,0)</f>
        <v/>
      </c>
      <c r="US16">
        <f>US15+IF(AND($C15=18,$L15=1),1,0)</f>
        <v/>
      </c>
      <c r="UT16">
        <f>UT15+IF(AND($C15=19,$L15=1),1,0)</f>
        <v/>
      </c>
      <c r="UU16">
        <f>UU15+IF(AND($C15=20,$L15=1),1,0)</f>
        <v/>
      </c>
      <c r="UV16">
        <f>UV15+IF(AND($C15=21,$L15=1),1,0)</f>
        <v/>
      </c>
      <c r="UW16">
        <f>UW15+IF(AND($C15=22,$L15=1),1,0)</f>
        <v/>
      </c>
      <c r="UX16">
        <f>UX15+IF(AND($C15=23,$L15=1),1,0)</f>
        <v/>
      </c>
      <c r="UY16">
        <f>UY15+IF(AND($C15=24,$L15=1),1,0)</f>
        <v/>
      </c>
      <c r="UZ16">
        <f>UZ15+IF(AND($C15=25,$L15=1),1,0)</f>
        <v/>
      </c>
      <c r="VA16">
        <f>VA15+IF(AND($C15=26,$L15=1),1,0)</f>
        <v/>
      </c>
      <c r="VB16">
        <f>VB15+IF(AND($C15=27,$L15=1),1,0)</f>
        <v/>
      </c>
      <c r="VC16">
        <f>VC15+IF(AND($C15=28,$L15=1),1,0)</f>
        <v/>
      </c>
      <c r="VD16">
        <f>VD15+IF(AND($C15=29,$L15=1),1,0)</f>
        <v/>
      </c>
      <c r="VE16">
        <f>VE15+IF(AND($C15=30,$L15=1),1,0)</f>
        <v/>
      </c>
      <c r="VF16">
        <f>VF15+IF(AND($C15=31,$L15=1),1,0)</f>
        <v/>
      </c>
      <c r="VG16">
        <f>VG15+IF(AND($C15=32,$L15=1),1,0)</f>
        <v/>
      </c>
      <c r="VH16">
        <f>VH15+IF(AND($C15=33,$L15=1),1,0)</f>
        <v/>
      </c>
      <c r="VI16">
        <f>VI15+IF(AND($C15=34,$L15=1),1,0)</f>
        <v/>
      </c>
      <c r="VJ16">
        <f>VJ15+IF(AND($C15=35,$L15=1),1,0)</f>
        <v/>
      </c>
      <c r="VK16">
        <f>VK15+IF(AND($C15=36,$L15=1),1,0)</f>
        <v/>
      </c>
      <c r="VL16">
        <f>VL15+IF(AND($C15=37,$L15=1),1,0)</f>
        <v/>
      </c>
      <c r="VM16">
        <f>VM15+IF(AND($C15=38,$L15=1),1,0)</f>
        <v/>
      </c>
      <c r="VN16">
        <f>VN15+IF(AND($C15=39,$L15=1),1,0)</f>
        <v/>
      </c>
      <c r="VO16">
        <f>VO15+IF(AND($C15=40,$L15=1),1,0)</f>
        <v/>
      </c>
      <c r="VP16">
        <f>VP15+IF(AND($C15=41,$L15=1),1,0)</f>
        <v/>
      </c>
      <c r="VQ16">
        <f>VQ15+IF(AND($C15=42,$L15=1),1,0)</f>
        <v/>
      </c>
      <c r="VR16">
        <f>VR15+IF(AND($C15=43,$L15=1),1,0)</f>
        <v/>
      </c>
      <c r="VS16">
        <f>VS15+IF(AND($C15=44,$L15=1),1,0)</f>
        <v/>
      </c>
      <c r="VT16">
        <f>VT15+IF(AND($C15=45,$L15=1),1,0)</f>
        <v/>
      </c>
      <c r="VU16">
        <f>VU15+IF(AND($C15=46,$L15=1),1,0)</f>
        <v/>
      </c>
      <c r="VV16">
        <f>VV15+IF(AND($C15=47,$L15=1),1,0)</f>
        <v/>
      </c>
      <c r="VW16">
        <f>VW15+IF(AND($C15=48,$L15=1),1,0)</f>
        <v/>
      </c>
      <c r="VX16">
        <f>VX15+IF(AND($C15=49,$L15=1),1,0)</f>
        <v/>
      </c>
      <c r="VY16">
        <f>VY15+IF(AND($C15=50,$L15=1),1,0)</f>
        <v/>
      </c>
      <c r="VZ16">
        <f>VZ15+IF(AND($C15=51,$L15=1),1,0)</f>
        <v/>
      </c>
      <c r="WA16">
        <f>WA15+IF(AND($C15=52,$L15=1),1,0)</f>
        <v/>
      </c>
      <c r="WB16">
        <f>WB15+IF(AND($C15=53,$L15=1),1,0)</f>
        <v/>
      </c>
      <c r="WC16">
        <f>WC15+IF(AND($C15=54,$L15=1),1,0)</f>
        <v/>
      </c>
      <c r="WD16">
        <f>WD15+IF(AND($C15=55,$L15=1),1,0)</f>
        <v/>
      </c>
      <c r="WE16">
        <f>WE15+IF(AND($C15=56,$L15=1),1,0)</f>
        <v/>
      </c>
      <c r="WF16">
        <f>WF15+IF(AND($C15=57,$L15=1),1,0)</f>
        <v/>
      </c>
      <c r="WG16">
        <f>WG15+IF(AND($C15=58,$L15=1),1,0)</f>
        <v/>
      </c>
      <c r="WH16">
        <f>WH15+IF(AND($C15=59,$L15=1),1,0)</f>
        <v/>
      </c>
      <c r="WI16">
        <f>WI15+IF(AND($C15=60,$L15=1),1,0)</f>
        <v/>
      </c>
      <c r="WJ16">
        <f>WJ15+IF(AND($C15=61,$L15=1),1,0)</f>
        <v/>
      </c>
      <c r="WK16">
        <f>WK15+IF(AND($C15=62,$L15=1),1,0)</f>
        <v/>
      </c>
      <c r="WL16">
        <f>WL15+IF(AND($C15=63,$L15=1),1,0)</f>
        <v/>
      </c>
      <c r="WM16">
        <f>WM15+IF(AND($C15=64,$L15=1),1,0)</f>
        <v/>
      </c>
      <c r="WN16">
        <f>WN15+IF(AND($C15=65,$L15=1),1,0)</f>
        <v/>
      </c>
      <c r="WO16">
        <f>WO15+IF(AND($C15=66,$L15=1),1,0)</f>
        <v/>
      </c>
      <c r="WP16">
        <f>WP15+IF(AND($C15=67,$L15=1),1,0)</f>
        <v/>
      </c>
      <c r="WQ16">
        <f>WQ15+IF(AND($C15=68,$L15=1),1,0)</f>
        <v/>
      </c>
      <c r="WR16">
        <f>WR15+IF(AND($C15=69,$L15=1),1,0)</f>
        <v/>
      </c>
      <c r="WS16">
        <f>WS15+IF(AND($C15=70,$L15=1),1,0)</f>
        <v/>
      </c>
      <c r="WT16">
        <f>WT15+IF(AND($C15=71,$L15=1),1,0)</f>
        <v/>
      </c>
      <c r="WU16">
        <f>WU15+IF(AND($C15=72,$L15=1),1,0)</f>
        <v/>
      </c>
      <c r="WV16">
        <f>WV15+IF(AND($C15=73,$L15=1),1,0)</f>
        <v/>
      </c>
      <c r="WW16">
        <f>WW15+IF(AND($C15=74,$L15=1),1,0)</f>
        <v/>
      </c>
      <c r="WX16">
        <f>WX15+IF(AND($C15=75,$L15=1),1,0)</f>
        <v/>
      </c>
      <c r="WY16">
        <f>WY15+IF(AND($C15=76,$L15=1),1,0)</f>
        <v/>
      </c>
      <c r="WZ16">
        <f>WZ15+IF(AND($C15=77,$L15=1),1,0)</f>
        <v/>
      </c>
      <c r="XA16">
        <f>XA15+IF(AND($C15=78,$L15=1),1,0)</f>
        <v/>
      </c>
      <c r="XB16">
        <f>XB15+IF(AND($C15=79,$L15=1),1,0)</f>
        <v/>
      </c>
      <c r="XC16">
        <f>XC15+IF(AND($C15=80,$L15=1),1,0)</f>
        <v/>
      </c>
      <c r="XD16">
        <f>XD15+IF(AND($C15=81,$L15=1),1,0)</f>
        <v/>
      </c>
      <c r="XE16">
        <f>XE15+IF(AND($C15=82,$L15=1),1,0)</f>
        <v/>
      </c>
      <c r="XF16">
        <f>XF15+IF(AND($C15=83,$L15=1),1,0)</f>
        <v/>
      </c>
      <c r="XG16">
        <f>XG15+IF(AND($C15=84,$L15=1),1,0)</f>
        <v/>
      </c>
      <c r="XH16">
        <f>XH15+IF(AND($C15=85,$L15=1),1,0)</f>
        <v/>
      </c>
      <c r="XI16">
        <f>XI15+IF(AND($C15=86,$L15=1),1,0)</f>
        <v/>
      </c>
      <c r="XJ16">
        <f>XJ15+IF(AND($C15=87,$L15=1),1,0)</f>
        <v/>
      </c>
      <c r="XK16">
        <f>XK15+IF(AND($C15=88,$L15=1),1,0)</f>
        <v/>
      </c>
      <c r="XL16">
        <f>XL15+IF(AND($C15=89,$L15=1),1,0)</f>
        <v/>
      </c>
      <c r="XM16">
        <f>XM15+IF(AND($C15=90,$L15=1),1,0)</f>
        <v/>
      </c>
      <c r="XN16">
        <f>XN15+IF(AND($C15=91,$L15=1),1,0)</f>
        <v/>
      </c>
      <c r="XO16">
        <f>XO15+IF(AND($C15=92,$L15=1),1,0)</f>
        <v/>
      </c>
      <c r="XP16">
        <f>XP15+IF(AND($C15=93,$L15=1),1,0)</f>
        <v/>
      </c>
      <c r="XQ16">
        <f>XQ15+IF(AND($C15=94,$L15=1),1,0)</f>
        <v/>
      </c>
      <c r="XR16">
        <f>XR15+IF(AND($C15=95,$L15=1),1,0)</f>
        <v/>
      </c>
      <c r="XS16">
        <f>XS15+IF(AND($C15=96,$L15=1),1,0)</f>
        <v/>
      </c>
      <c r="XT16">
        <f>XT15+IF(AND($C15=97,$L15=1),1,0)</f>
        <v/>
      </c>
      <c r="XU16">
        <f>XU15+IF(AND($C15=98,$L15=1),1,0)</f>
        <v/>
      </c>
      <c r="XV16">
        <f>XV15+IF(AND($C15=99,$L15=1),1,0)</f>
        <v/>
      </c>
      <c r="XW16">
        <f>XW15+IF(AND($C15=100,$L15=1),1,0)</f>
        <v/>
      </c>
      <c r="XX16">
        <f>XX15+IF(AND($C15=101,$L15=1),1,0)</f>
        <v/>
      </c>
      <c r="XY16">
        <f>XY15+IF(AND($C15=102,$L15=1),1,0)</f>
        <v/>
      </c>
      <c r="XZ16">
        <f>XZ15+IF(AND($C15=103,$L15=1),1,0)</f>
        <v/>
      </c>
      <c r="YA16">
        <f>YA15+IF(AND($C15=104,$L15=1),1,0)</f>
        <v/>
      </c>
      <c r="YB16">
        <f>YB15+IF(AND($C15=105,$L15=1),1,0)</f>
        <v/>
      </c>
      <c r="YC16">
        <f>YC15+IF(AND($C15=106,$L15=1),1,0)</f>
        <v/>
      </c>
      <c r="YD16">
        <f>YD15+IF(AND($C15=107,$L15=1),1,0)</f>
        <v/>
      </c>
      <c r="YE16">
        <f>YE15+IF(AND($C15=108,$L15=1),1,0)</f>
        <v/>
      </c>
      <c r="YF16">
        <f>YF15+IF(AND($C15=109,$L15=1),1,0)</f>
        <v/>
      </c>
      <c r="YG16">
        <f>YG15+IF(AND($C15=110,$L15=1),1,0)</f>
        <v/>
      </c>
      <c r="YH16">
        <f>YH15+IF(AND($C15=111,$L15=1),1,0)</f>
        <v/>
      </c>
      <c r="YI16">
        <f>YI15+IF(AND($C15=112,$L15=1),1,0)</f>
        <v/>
      </c>
      <c r="YJ16">
        <f>YJ15+IF(AND($C15=113,$L15=1),1,0)</f>
        <v/>
      </c>
      <c r="YK16">
        <f>YK15+IF(AND($C15=114,$L15=1),1,0)</f>
        <v/>
      </c>
      <c r="YL16">
        <f>YL15+IF(AND($C15=115,$L15=1),1,0)</f>
        <v/>
      </c>
      <c r="YM16">
        <f>YM15+IF(AND($C15=116,$L15=1),1,0)</f>
        <v/>
      </c>
      <c r="YN16">
        <f>YN15+IF(AND($C15=117,$L15=1),1,0)</f>
        <v/>
      </c>
      <c r="YO16">
        <f>YO15+IF(AND($C15=118,$L15=1),1,0)</f>
        <v/>
      </c>
      <c r="YP16">
        <f>YP15+IF(AND($C15=119,$L15=1),1,0)</f>
        <v/>
      </c>
      <c r="YQ16">
        <f>YQ15+IF(AND($C15=120,$L15=1),1,0)</f>
        <v/>
      </c>
      <c r="YR16">
        <f>YR15+IF(AND($C15=121,$L15=1),1,0)</f>
        <v/>
      </c>
      <c r="YS16">
        <f>YS15+IF(AND($C15=122,$L15=1),1,0)</f>
        <v/>
      </c>
      <c r="YT16">
        <f>YT15+IF(AND($C15=123,$L15=1),1,0)</f>
        <v/>
      </c>
      <c r="YU16">
        <f>YU15+IF(AND($C15=124,$L15=1),1,0)</f>
        <v/>
      </c>
      <c r="YV16">
        <f>YV15+IF(AND($C15=125,$L15=1),1,0)</f>
        <v/>
      </c>
      <c r="YW16">
        <f>YW15+IF(AND($C15=126,$L15=1),1,0)</f>
        <v/>
      </c>
      <c r="YX16">
        <f>YX15+IF(AND($C15=127,$L15=1),1,0)</f>
        <v/>
      </c>
      <c r="YY16">
        <f>YY15+IF(AND($C15=128,$L15=1),1,0)</f>
        <v/>
      </c>
      <c r="YZ16">
        <f>YZ15+IF(AND($C15=129,$L15=1),1,0)</f>
        <v/>
      </c>
      <c r="ZA16">
        <f>ZA15+IF(AND($C15=130,$L15=1),1,0)</f>
        <v/>
      </c>
      <c r="ZB16">
        <f>ZB15+IF(AND($C15=131,$L15=1),1,0)</f>
        <v/>
      </c>
      <c r="ZC16">
        <f>ZC15+IF(AND($C15=132,$L15=1),1,0)</f>
        <v/>
      </c>
      <c r="ZD16">
        <f>ZD15+IF(AND($C15=133,$L15=1),1,0)</f>
        <v/>
      </c>
      <c r="ZE16">
        <f>ZE15+IF(AND($C15=134,$L15=1),1,0)</f>
        <v/>
      </c>
      <c r="ZF16">
        <f>ZF15+IF(AND($C15=135,$L15=1),1,0)</f>
        <v/>
      </c>
      <c r="ZG16">
        <f>ZG15+IF(AND($C15=136,$L15=1),1,0)</f>
        <v/>
      </c>
      <c r="ZH16">
        <f>ZH15+IF(AND($C15=137,$L15=1),1,0)</f>
        <v/>
      </c>
      <c r="ZI16">
        <f>ZI15+IF(AND($C15=138,$L15=1),1,0)</f>
        <v/>
      </c>
      <c r="ZJ16">
        <f>ZJ15+IF(AND($C15=139,$L15=1),1,0)</f>
        <v/>
      </c>
      <c r="ZK16">
        <f>ZK15+IF(AND($C15=140,$L15=1),1,0)</f>
        <v/>
      </c>
      <c r="ZL16">
        <f>ZL15+IF(AND($C15=141,$L15=1),1,0)</f>
        <v/>
      </c>
      <c r="ZM16">
        <f>ZM15+IF(AND($C15=142,$L15=1),1,0)</f>
        <v/>
      </c>
      <c r="ZN16">
        <f>ZN15+IF(AND($C15=143,$L15=1),1,0)</f>
        <v/>
      </c>
      <c r="ZO16">
        <f>ZO15+IF(AND($C15=144,$L15=1),1,0)</f>
        <v/>
      </c>
    </row>
    <row r="17">
      <c r="A17" t="n">
        <v>15</v>
      </c>
      <c r="B17">
        <f>IF(MIN(BH17:CZ17)&gt;=1000000,0,MATCH(MIN(BH17:CZ17),BH17:CZ17,0))</f>
        <v/>
      </c>
      <c r="C17">
        <f>IF(MIN(OF17:TS17)&gt;=1000000,0,MATCH(MIN(OF17:TS17),OF17:TS17,0))</f>
        <v/>
      </c>
      <c r="D17">
        <f>IF(C17&gt;0,INDEX('計算A'!$D$5:$EQ$5,C17),0)</f>
        <v/>
      </c>
      <c r="E17">
        <f>IF(B17=0,0,INDEX('計算A'!$IQ$10:$IQ$54,B17))</f>
        <v/>
      </c>
      <c r="F17">
        <f>IF(B17=0,0,INDEX('計算A'!$IP$10:$IP$54,B17))</f>
        <v/>
      </c>
      <c r="G17">
        <f>IF(AND(C17&gt;0,E17&gt;0),IF(AND(INDEX('計算A'!$D$106:$EQ$106,C17)=1,INDEX($IQ17:$OD17,C17)=1),C17+1,0),0)</f>
        <v/>
      </c>
      <c r="H17">
        <f>IF(B17=0,0,INDEX('計算A'!$IW$10:$IW$54,B17))</f>
        <v/>
      </c>
      <c r="I17">
        <f>IF(B17=0,0,MAX(0,INDEX('計算A'!$IT$10:$IT$54,B17)))</f>
        <v/>
      </c>
      <c r="J17">
        <f>IF(I17=0,0,INDEX('計算A'!$D$2:$EQ$2,I17))</f>
        <v/>
      </c>
      <c r="K17">
        <f>IF(I17=0,0,INDEX('計算A'!$D$3:$EQ$3,I17))</f>
        <v/>
      </c>
      <c r="L17">
        <f>IF(B17=0,0,INDEX('計算A'!$IX$10:$IX$54,B17))</f>
        <v/>
      </c>
      <c r="N17">
        <f>MAX(N16,IF($B16=1,1,0))</f>
        <v/>
      </c>
      <c r="O17">
        <f>MAX(O16,IF($B16=2,1,0))</f>
        <v/>
      </c>
      <c r="P17">
        <f>MAX(P16,IF($B16=3,1,0))</f>
        <v/>
      </c>
      <c r="Q17">
        <f>MAX(Q16,IF($B16=4,1,0))</f>
        <v/>
      </c>
      <c r="R17">
        <f>MAX(R16,IF($B16=5,1,0))</f>
        <v/>
      </c>
      <c r="S17">
        <f>MAX(S16,IF($B16=6,1,0))</f>
        <v/>
      </c>
      <c r="T17">
        <f>MAX(T16,IF($B16=7,1,0))</f>
        <v/>
      </c>
      <c r="U17">
        <f>MAX(U16,IF($B16=8,1,0))</f>
        <v/>
      </c>
      <c r="V17">
        <f>MAX(V16,IF($B16=9,1,0))</f>
        <v/>
      </c>
      <c r="W17">
        <f>MAX(W16,IF($B16=10,1,0))</f>
        <v/>
      </c>
      <c r="X17">
        <f>MAX(X16,IF($B16=11,1,0))</f>
        <v/>
      </c>
      <c r="Y17">
        <f>MAX(Y16,IF($B16=12,1,0))</f>
        <v/>
      </c>
      <c r="Z17">
        <f>MAX(Z16,IF($B16=13,1,0))</f>
        <v/>
      </c>
      <c r="AA17">
        <f>MAX(AA16,IF($B16=14,1,0))</f>
        <v/>
      </c>
      <c r="AB17">
        <f>MAX(AB16,IF($B16=15,1,0))</f>
        <v/>
      </c>
      <c r="AC17">
        <f>MAX(AC16,IF($B16=16,1,0))</f>
        <v/>
      </c>
      <c r="AD17">
        <f>MAX(AD16,IF($B16=17,1,0))</f>
        <v/>
      </c>
      <c r="AE17">
        <f>MAX(AE16,IF($B16=18,1,0))</f>
        <v/>
      </c>
      <c r="AF17">
        <f>MAX(AF16,IF($B16=19,1,0))</f>
        <v/>
      </c>
      <c r="AG17">
        <f>MAX(AG16,IF($B16=20,1,0))</f>
        <v/>
      </c>
      <c r="AH17">
        <f>MAX(AH16,IF($B16=21,1,0))</f>
        <v/>
      </c>
      <c r="AI17">
        <f>MAX(AI16,IF($B16=22,1,0))</f>
        <v/>
      </c>
      <c r="AJ17">
        <f>MAX(AJ16,IF($B16=23,1,0))</f>
        <v/>
      </c>
      <c r="AK17">
        <f>MAX(AK16,IF($B16=24,1,0))</f>
        <v/>
      </c>
      <c r="AL17">
        <f>MAX(AL16,IF($B16=25,1,0))</f>
        <v/>
      </c>
      <c r="AM17">
        <f>MAX(AM16,IF($B16=26,1,0))</f>
        <v/>
      </c>
      <c r="AN17">
        <f>MAX(AN16,IF($B16=27,1,0))</f>
        <v/>
      </c>
      <c r="AO17">
        <f>MAX(AO16,IF($B16=28,1,0))</f>
        <v/>
      </c>
      <c r="AP17">
        <f>MAX(AP16,IF($B16=29,1,0))</f>
        <v/>
      </c>
      <c r="AQ17">
        <f>MAX(AQ16,IF($B16=30,1,0))</f>
        <v/>
      </c>
      <c r="AR17">
        <f>MAX(AR16,IF($B16=31,1,0))</f>
        <v/>
      </c>
      <c r="AS17">
        <f>MAX(AS16,IF($B16=32,1,0))</f>
        <v/>
      </c>
      <c r="AT17">
        <f>MAX(AT16,IF($B16=33,1,0))</f>
        <v/>
      </c>
      <c r="AU17">
        <f>MAX(AU16,IF($B16=34,1,0))</f>
        <v/>
      </c>
      <c r="AV17">
        <f>MAX(AV16,IF($B16=35,1,0))</f>
        <v/>
      </c>
      <c r="AW17">
        <f>MAX(AW16,IF($B16=36,1,0))</f>
        <v/>
      </c>
      <c r="AX17">
        <f>MAX(AX16,IF($B16=37,1,0))</f>
        <v/>
      </c>
      <c r="AY17">
        <f>MAX(AY16,IF($B16=38,1,0))</f>
        <v/>
      </c>
      <c r="AZ17">
        <f>MAX(AZ16,IF($B16=39,1,0))</f>
        <v/>
      </c>
      <c r="BA17">
        <f>MAX(BA16,IF($B16=40,1,0))</f>
        <v/>
      </c>
      <c r="BB17">
        <f>MAX(BB16,IF($B16=41,1,0))</f>
        <v/>
      </c>
      <c r="BC17">
        <f>MAX(BC16,IF($B16=42,1,0))</f>
        <v/>
      </c>
      <c r="BD17">
        <f>MAX(BD16,IF($B16=43,1,0))</f>
        <v/>
      </c>
      <c r="BE17">
        <f>MAX(BE16,IF($B16=44,1,0))</f>
        <v/>
      </c>
      <c r="BF17">
        <f>MAX(BF16,IF($B16=45,1,0))</f>
        <v/>
      </c>
      <c r="BH17">
        <f>IF(N17=1,1000000,IF('計算A'!$IT$10&gt;0,0,500000)+IF('計算A'!$IQ$10=2,SUMPRODUCT('計算A'!$D$60:$EQ$60,$DB17:$IO17,$IQ17:$OD17),SUMPRODUCT('計算A'!$D$60:$EQ$60,$DB17:$IO17))*1000+1)</f>
        <v/>
      </c>
      <c r="BI17">
        <f>IF(O17=1,1000000,IF('計算A'!$IT$11&gt;0,0,500000)+IF('計算A'!$IQ$11=2,SUMPRODUCT('計算A'!$D$61:$EQ$61,$DB17:$IO17,$IQ17:$OD17),SUMPRODUCT('計算A'!$D$61:$EQ$61,$DB17:$IO17))*1000+2)</f>
        <v/>
      </c>
      <c r="BJ17">
        <f>IF(P17=1,1000000,IF('計算A'!$IT$12&gt;0,0,500000)+IF('計算A'!$IQ$12=2,SUMPRODUCT('計算A'!$D$62:$EQ$62,$DB17:$IO17,$IQ17:$OD17),SUMPRODUCT('計算A'!$D$62:$EQ$62,$DB17:$IO17))*1000+3)</f>
        <v/>
      </c>
      <c r="BK17">
        <f>IF(Q17=1,1000000,IF('計算A'!$IT$13&gt;0,0,500000)+IF('計算A'!$IQ$13=2,SUMPRODUCT('計算A'!$D$63:$EQ$63,$DB17:$IO17,$IQ17:$OD17),SUMPRODUCT('計算A'!$D$63:$EQ$63,$DB17:$IO17))*1000+4)</f>
        <v/>
      </c>
      <c r="BL17">
        <f>IF(R17=1,1000000,IF('計算A'!$IT$14&gt;0,0,500000)+IF('計算A'!$IQ$14=2,SUMPRODUCT('計算A'!$D$64:$EQ$64,$DB17:$IO17,$IQ17:$OD17),SUMPRODUCT('計算A'!$D$64:$EQ$64,$DB17:$IO17))*1000+5)</f>
        <v/>
      </c>
      <c r="BM17">
        <f>IF(S17=1,1000000,IF('計算A'!$IT$15&gt;0,0,500000)+IF('計算A'!$IQ$15=2,SUMPRODUCT('計算A'!$D$65:$EQ$65,$DB17:$IO17,$IQ17:$OD17),SUMPRODUCT('計算A'!$D$65:$EQ$65,$DB17:$IO17))*1000+6)</f>
        <v/>
      </c>
      <c r="BN17">
        <f>IF(T17=1,1000000,IF('計算A'!$IT$16&gt;0,0,500000)+IF('計算A'!$IQ$16=2,SUMPRODUCT('計算A'!$D$66:$EQ$66,$DB17:$IO17,$IQ17:$OD17),SUMPRODUCT('計算A'!$D$66:$EQ$66,$DB17:$IO17))*1000+7)</f>
        <v/>
      </c>
      <c r="BO17">
        <f>IF(U17=1,1000000,IF('計算A'!$IT$17&gt;0,0,500000)+IF('計算A'!$IQ$17=2,SUMPRODUCT('計算A'!$D$67:$EQ$67,$DB17:$IO17,$IQ17:$OD17),SUMPRODUCT('計算A'!$D$67:$EQ$67,$DB17:$IO17))*1000+8)</f>
        <v/>
      </c>
      <c r="BP17">
        <f>IF(V17=1,1000000,IF('計算A'!$IT$18&gt;0,0,500000)+IF('計算A'!$IQ$18=2,SUMPRODUCT('計算A'!$D$68:$EQ$68,$DB17:$IO17,$IQ17:$OD17),SUMPRODUCT('計算A'!$D$68:$EQ$68,$DB17:$IO17))*1000+9)</f>
        <v/>
      </c>
      <c r="BQ17">
        <f>IF(W17=1,1000000,IF('計算A'!$IT$19&gt;0,0,500000)+IF('計算A'!$IQ$19=2,SUMPRODUCT('計算A'!$D$69:$EQ$69,$DB17:$IO17,$IQ17:$OD17),SUMPRODUCT('計算A'!$D$69:$EQ$69,$DB17:$IO17))*1000+10)</f>
        <v/>
      </c>
      <c r="BR17">
        <f>IF(X17=1,1000000,IF('計算A'!$IT$20&gt;0,0,500000)+IF('計算A'!$IQ$20=2,SUMPRODUCT('計算A'!$D$70:$EQ$70,$DB17:$IO17,$IQ17:$OD17),SUMPRODUCT('計算A'!$D$70:$EQ$70,$DB17:$IO17))*1000+11)</f>
        <v/>
      </c>
      <c r="BS17">
        <f>IF(Y17=1,1000000,IF('計算A'!$IT$21&gt;0,0,500000)+IF('計算A'!$IQ$21=2,SUMPRODUCT('計算A'!$D$71:$EQ$71,$DB17:$IO17,$IQ17:$OD17),SUMPRODUCT('計算A'!$D$71:$EQ$71,$DB17:$IO17))*1000+12)</f>
        <v/>
      </c>
      <c r="BT17">
        <f>IF(Z17=1,1000000,IF('計算A'!$IT$22&gt;0,0,500000)+IF('計算A'!$IQ$22=2,SUMPRODUCT('計算A'!$D$72:$EQ$72,$DB17:$IO17,$IQ17:$OD17),SUMPRODUCT('計算A'!$D$72:$EQ$72,$DB17:$IO17))*1000+13)</f>
        <v/>
      </c>
      <c r="BU17">
        <f>IF(AA17=1,1000000,IF('計算A'!$IT$23&gt;0,0,500000)+IF('計算A'!$IQ$23=2,SUMPRODUCT('計算A'!$D$73:$EQ$73,$DB17:$IO17,$IQ17:$OD17),SUMPRODUCT('計算A'!$D$73:$EQ$73,$DB17:$IO17))*1000+14)</f>
        <v/>
      </c>
      <c r="BV17">
        <f>IF(AB17=1,1000000,IF('計算A'!$IT$24&gt;0,0,500000)+IF('計算A'!$IQ$24=2,SUMPRODUCT('計算A'!$D$74:$EQ$74,$DB17:$IO17,$IQ17:$OD17),SUMPRODUCT('計算A'!$D$74:$EQ$74,$DB17:$IO17))*1000+15)</f>
        <v/>
      </c>
      <c r="BW17">
        <f>IF(AC17=1,1000000,IF('計算A'!$IT$25&gt;0,0,500000)+IF('計算A'!$IQ$25=2,SUMPRODUCT('計算A'!$D$75:$EQ$75,$DB17:$IO17,$IQ17:$OD17),SUMPRODUCT('計算A'!$D$75:$EQ$75,$DB17:$IO17))*1000+16)</f>
        <v/>
      </c>
      <c r="BX17">
        <f>IF(AD17=1,1000000,IF('計算A'!$IT$26&gt;0,0,500000)+IF('計算A'!$IQ$26=2,SUMPRODUCT('計算A'!$D$76:$EQ$76,$DB17:$IO17,$IQ17:$OD17),SUMPRODUCT('計算A'!$D$76:$EQ$76,$DB17:$IO17))*1000+17)</f>
        <v/>
      </c>
      <c r="BY17">
        <f>IF(AE17=1,1000000,IF('計算A'!$IT$27&gt;0,0,500000)+IF('計算A'!$IQ$27=2,SUMPRODUCT('計算A'!$D$77:$EQ$77,$DB17:$IO17,$IQ17:$OD17),SUMPRODUCT('計算A'!$D$77:$EQ$77,$DB17:$IO17))*1000+18)</f>
        <v/>
      </c>
      <c r="BZ17">
        <f>IF(AF17=1,1000000,IF('計算A'!$IT$28&gt;0,0,500000)+IF('計算A'!$IQ$28=2,SUMPRODUCT('計算A'!$D$78:$EQ$78,$DB17:$IO17,$IQ17:$OD17),SUMPRODUCT('計算A'!$D$78:$EQ$78,$DB17:$IO17))*1000+19)</f>
        <v/>
      </c>
      <c r="CA17">
        <f>IF(AG17=1,1000000,IF('計算A'!$IT$29&gt;0,0,500000)+IF('計算A'!$IQ$29=2,SUMPRODUCT('計算A'!$D$79:$EQ$79,$DB17:$IO17,$IQ17:$OD17),SUMPRODUCT('計算A'!$D$79:$EQ$79,$DB17:$IO17))*1000+20)</f>
        <v/>
      </c>
      <c r="CB17">
        <f>IF(AH17=1,1000000,IF('計算A'!$IT$30&gt;0,0,500000)+IF('計算A'!$IQ$30=2,SUMPRODUCT('計算A'!$D$80:$EQ$80,$DB17:$IO17,$IQ17:$OD17),SUMPRODUCT('計算A'!$D$80:$EQ$80,$DB17:$IO17))*1000+21)</f>
        <v/>
      </c>
      <c r="CC17">
        <f>IF(AI17=1,1000000,IF('計算A'!$IT$31&gt;0,0,500000)+IF('計算A'!$IQ$31=2,SUMPRODUCT('計算A'!$D$81:$EQ$81,$DB17:$IO17,$IQ17:$OD17),SUMPRODUCT('計算A'!$D$81:$EQ$81,$DB17:$IO17))*1000+22)</f>
        <v/>
      </c>
      <c r="CD17">
        <f>IF(AJ17=1,1000000,IF('計算A'!$IT$32&gt;0,0,500000)+IF('計算A'!$IQ$32=2,SUMPRODUCT('計算A'!$D$82:$EQ$82,$DB17:$IO17,$IQ17:$OD17),SUMPRODUCT('計算A'!$D$82:$EQ$82,$DB17:$IO17))*1000+23)</f>
        <v/>
      </c>
      <c r="CE17">
        <f>IF(AK17=1,1000000,IF('計算A'!$IT$33&gt;0,0,500000)+IF('計算A'!$IQ$33=2,SUMPRODUCT('計算A'!$D$83:$EQ$83,$DB17:$IO17,$IQ17:$OD17),SUMPRODUCT('計算A'!$D$83:$EQ$83,$DB17:$IO17))*1000+24)</f>
        <v/>
      </c>
      <c r="CF17">
        <f>IF(AL17=1,1000000,IF('計算A'!$IT$34&gt;0,0,500000)+IF('計算A'!$IQ$34=2,SUMPRODUCT('計算A'!$D$84:$EQ$84,$DB17:$IO17,$IQ17:$OD17),SUMPRODUCT('計算A'!$D$84:$EQ$84,$DB17:$IO17))*1000+25)</f>
        <v/>
      </c>
      <c r="CG17">
        <f>IF(AM17=1,1000000,IF('計算A'!$IT$35&gt;0,0,500000)+IF('計算A'!$IQ$35=2,SUMPRODUCT('計算A'!$D$85:$EQ$85,$DB17:$IO17,$IQ17:$OD17),SUMPRODUCT('計算A'!$D$85:$EQ$85,$DB17:$IO17))*1000+26)</f>
        <v/>
      </c>
      <c r="CH17">
        <f>IF(AN17=1,1000000,IF('計算A'!$IT$36&gt;0,0,500000)+IF('計算A'!$IQ$36=2,SUMPRODUCT('計算A'!$D$86:$EQ$86,$DB17:$IO17,$IQ17:$OD17),SUMPRODUCT('計算A'!$D$86:$EQ$86,$DB17:$IO17))*1000+27)</f>
        <v/>
      </c>
      <c r="CI17">
        <f>IF(AO17=1,1000000,IF('計算A'!$IT$37&gt;0,0,500000)+IF('計算A'!$IQ$37=2,SUMPRODUCT('計算A'!$D$87:$EQ$87,$DB17:$IO17,$IQ17:$OD17),SUMPRODUCT('計算A'!$D$87:$EQ$87,$DB17:$IO17))*1000+28)</f>
        <v/>
      </c>
      <c r="CJ17">
        <f>IF(AP17=1,1000000,IF('計算A'!$IT$38&gt;0,0,500000)+IF('計算A'!$IQ$38=2,SUMPRODUCT('計算A'!$D$88:$EQ$88,$DB17:$IO17,$IQ17:$OD17),SUMPRODUCT('計算A'!$D$88:$EQ$88,$DB17:$IO17))*1000+29)</f>
        <v/>
      </c>
      <c r="CK17">
        <f>IF(AQ17=1,1000000,IF('計算A'!$IT$39&gt;0,0,500000)+IF('計算A'!$IQ$39=2,SUMPRODUCT('計算A'!$D$89:$EQ$89,$DB17:$IO17,$IQ17:$OD17),SUMPRODUCT('計算A'!$D$89:$EQ$89,$DB17:$IO17))*1000+30)</f>
        <v/>
      </c>
      <c r="CL17">
        <f>IF(AR17=1,1000000,IF('計算A'!$IT$40&gt;0,0,500000)+IF('計算A'!$IQ$40=2,SUMPRODUCT('計算A'!$D$90:$EQ$90,$DB17:$IO17,$IQ17:$OD17),SUMPRODUCT('計算A'!$D$90:$EQ$90,$DB17:$IO17))*1000+31)</f>
        <v/>
      </c>
      <c r="CM17">
        <f>IF(AS17=1,1000000,IF('計算A'!$IT$41&gt;0,0,500000)+IF('計算A'!$IQ$41=2,SUMPRODUCT('計算A'!$D$91:$EQ$91,$DB17:$IO17,$IQ17:$OD17),SUMPRODUCT('計算A'!$D$91:$EQ$91,$DB17:$IO17))*1000+32)</f>
        <v/>
      </c>
      <c r="CN17">
        <f>IF(AT17=1,1000000,IF('計算A'!$IT$42&gt;0,0,500000)+IF('計算A'!$IQ$42=2,SUMPRODUCT('計算A'!$D$92:$EQ$92,$DB17:$IO17,$IQ17:$OD17),SUMPRODUCT('計算A'!$D$92:$EQ$92,$DB17:$IO17))*1000+33)</f>
        <v/>
      </c>
      <c r="CO17">
        <f>IF(AU17=1,1000000,IF('計算A'!$IT$43&gt;0,0,500000)+IF('計算A'!$IQ$43=2,SUMPRODUCT('計算A'!$D$93:$EQ$93,$DB17:$IO17,$IQ17:$OD17),SUMPRODUCT('計算A'!$D$93:$EQ$93,$DB17:$IO17))*1000+34)</f>
        <v/>
      </c>
      <c r="CP17">
        <f>IF(AV17=1,1000000,IF('計算A'!$IT$44&gt;0,0,500000)+IF('計算A'!$IQ$44=2,SUMPRODUCT('計算A'!$D$94:$EQ$94,$DB17:$IO17,$IQ17:$OD17),SUMPRODUCT('計算A'!$D$94:$EQ$94,$DB17:$IO17))*1000+35)</f>
        <v/>
      </c>
      <c r="CQ17">
        <f>IF(AW17=1,1000000,IF('計算A'!$IT$45&gt;0,0,500000)+IF('計算A'!$IQ$45=2,SUMPRODUCT('計算A'!$D$95:$EQ$95,$DB17:$IO17,$IQ17:$OD17),SUMPRODUCT('計算A'!$D$95:$EQ$95,$DB17:$IO17))*1000+36)</f>
        <v/>
      </c>
      <c r="CR17">
        <f>IF(AX17=1,1000000,IF('計算A'!$IT$46&gt;0,0,500000)+IF('計算A'!$IQ$46=2,SUMPRODUCT('計算A'!$D$96:$EQ$96,$DB17:$IO17,$IQ17:$OD17),SUMPRODUCT('計算A'!$D$96:$EQ$96,$DB17:$IO17))*1000+37)</f>
        <v/>
      </c>
      <c r="CS17">
        <f>IF(AY17=1,1000000,IF('計算A'!$IT$47&gt;0,0,500000)+IF('計算A'!$IQ$47=2,SUMPRODUCT('計算A'!$D$97:$EQ$97,$DB17:$IO17,$IQ17:$OD17),SUMPRODUCT('計算A'!$D$97:$EQ$97,$DB17:$IO17))*1000+38)</f>
        <v/>
      </c>
      <c r="CT17">
        <f>IF(AZ17=1,1000000,IF('計算A'!$IT$48&gt;0,0,500000)+IF('計算A'!$IQ$48=2,SUMPRODUCT('計算A'!$D$98:$EQ$98,$DB17:$IO17,$IQ17:$OD17),SUMPRODUCT('計算A'!$D$98:$EQ$98,$DB17:$IO17))*1000+39)</f>
        <v/>
      </c>
      <c r="CU17">
        <f>IF(BA17=1,1000000,IF('計算A'!$IT$49&gt;0,0,500000)+IF('計算A'!$IQ$49=2,SUMPRODUCT('計算A'!$D$99:$EQ$99,$DB17:$IO17,$IQ17:$OD17),SUMPRODUCT('計算A'!$D$99:$EQ$99,$DB17:$IO17))*1000+40)</f>
        <v/>
      </c>
      <c r="CV17">
        <f>IF(BB17=1,1000000,IF('計算A'!$IT$50&gt;0,0,500000)+IF('計算A'!$IQ$50=2,SUMPRODUCT('計算A'!$D$100:$EQ$100,$DB17:$IO17,$IQ17:$OD17),SUMPRODUCT('計算A'!$D$100:$EQ$100,$DB17:$IO17))*1000+41)</f>
        <v/>
      </c>
      <c r="CW17">
        <f>IF(BC17=1,1000000,IF('計算A'!$IT$51&gt;0,0,500000)+IF('計算A'!$IQ$51=2,SUMPRODUCT('計算A'!$D$101:$EQ$101,$DB17:$IO17,$IQ17:$OD17),SUMPRODUCT('計算A'!$D$101:$EQ$101,$DB17:$IO17))*1000+42)</f>
        <v/>
      </c>
      <c r="CX17">
        <f>IF(BD17=1,1000000,IF('計算A'!$IT$52&gt;0,0,500000)+IF('計算A'!$IQ$52=2,SUMPRODUCT('計算A'!$D$102:$EQ$102,$DB17:$IO17,$IQ17:$OD17),SUMPRODUCT('計算A'!$D$102:$EQ$102,$DB17:$IO17))*1000+43)</f>
        <v/>
      </c>
      <c r="CY17">
        <f>IF(BE17=1,1000000,IF('計算A'!$IT$53&gt;0,0,500000)+IF('計算A'!$IQ$53=2,SUMPRODUCT('計算A'!$D$103:$EQ$103,$DB17:$IO17,$IQ17:$OD17),SUMPRODUCT('計算A'!$D$103:$EQ$103,$DB17:$IO17))*1000+44)</f>
        <v/>
      </c>
      <c r="CZ17">
        <f>IF(BF17=1,1000000,IF('計算A'!$IT$54&gt;0,0,500000)+IF('計算A'!$IQ$54=2,SUMPRODUCT('計算A'!$D$104:$EQ$104,$DB17:$IO17,$IQ17:$OD17),SUMPRODUCT('計算A'!$D$104:$EQ$104,$DB17:$IO17))*1000+45)</f>
        <v/>
      </c>
      <c r="DB17">
        <f>DB16*IF(OR($C16=1,$G16=1),0,1)</f>
        <v/>
      </c>
      <c r="DC17">
        <f>DC16*IF(OR($C16=2,$G16=2),0,1)</f>
        <v/>
      </c>
      <c r="DD17">
        <f>DD16*IF(OR($C16=3,$G16=3),0,1)</f>
        <v/>
      </c>
      <c r="DE17">
        <f>DE16*IF(OR($C16=4,$G16=4),0,1)</f>
        <v/>
      </c>
      <c r="DF17">
        <f>DF16*IF(OR($C16=5,$G16=5),0,1)</f>
        <v/>
      </c>
      <c r="DG17">
        <f>DG16*IF(OR($C16=6,$G16=6),0,1)</f>
        <v/>
      </c>
      <c r="DH17">
        <f>DH16*IF(OR($C16=7,$G16=7),0,1)</f>
        <v/>
      </c>
      <c r="DI17">
        <f>DI16*IF(OR($C16=8,$G16=8),0,1)</f>
        <v/>
      </c>
      <c r="DJ17">
        <f>DJ16*IF(OR($C16=9,$G16=9),0,1)</f>
        <v/>
      </c>
      <c r="DK17">
        <f>DK16*IF(OR($C16=10,$G16=10),0,1)</f>
        <v/>
      </c>
      <c r="DL17">
        <f>DL16*IF(OR($C16=11,$G16=11),0,1)</f>
        <v/>
      </c>
      <c r="DM17">
        <f>DM16*IF(OR($C16=12,$G16=12),0,1)</f>
        <v/>
      </c>
      <c r="DN17">
        <f>DN16*IF(OR($C16=13,$G16=13),0,1)</f>
        <v/>
      </c>
      <c r="DO17">
        <f>DO16*IF(OR($C16=14,$G16=14),0,1)</f>
        <v/>
      </c>
      <c r="DP17">
        <f>DP16*IF(OR($C16=15,$G16=15),0,1)</f>
        <v/>
      </c>
      <c r="DQ17">
        <f>DQ16*IF(OR($C16=16,$G16=16),0,1)</f>
        <v/>
      </c>
      <c r="DR17">
        <f>DR16*IF(OR($C16=17,$G16=17),0,1)</f>
        <v/>
      </c>
      <c r="DS17">
        <f>DS16*IF(OR($C16=18,$G16=18),0,1)</f>
        <v/>
      </c>
      <c r="DT17">
        <f>DT16*IF(OR($C16=19,$G16=19),0,1)</f>
        <v/>
      </c>
      <c r="DU17">
        <f>DU16*IF(OR($C16=20,$G16=20),0,1)</f>
        <v/>
      </c>
      <c r="DV17">
        <f>DV16*IF(OR($C16=21,$G16=21),0,1)</f>
        <v/>
      </c>
      <c r="DW17">
        <f>DW16*IF(OR($C16=22,$G16=22),0,1)</f>
        <v/>
      </c>
      <c r="DX17">
        <f>DX16*IF(OR($C16=23,$G16=23),0,1)</f>
        <v/>
      </c>
      <c r="DY17">
        <f>DY16*IF(OR($C16=24,$G16=24),0,1)</f>
        <v/>
      </c>
      <c r="DZ17">
        <f>DZ16*IF(OR($C16=25,$G16=25),0,1)</f>
        <v/>
      </c>
      <c r="EA17">
        <f>EA16*IF(OR($C16=26,$G16=26),0,1)</f>
        <v/>
      </c>
      <c r="EB17">
        <f>EB16*IF(OR($C16=27,$G16=27),0,1)</f>
        <v/>
      </c>
      <c r="EC17">
        <f>EC16*IF(OR($C16=28,$G16=28),0,1)</f>
        <v/>
      </c>
      <c r="ED17">
        <f>ED16*IF(OR($C16=29,$G16=29),0,1)</f>
        <v/>
      </c>
      <c r="EE17">
        <f>EE16*IF(OR($C16=30,$G16=30),0,1)</f>
        <v/>
      </c>
      <c r="EF17">
        <f>EF16*IF(OR($C16=31,$G16=31),0,1)</f>
        <v/>
      </c>
      <c r="EG17">
        <f>EG16*IF(OR($C16=32,$G16=32),0,1)</f>
        <v/>
      </c>
      <c r="EH17">
        <f>EH16*IF(OR($C16=33,$G16=33),0,1)</f>
        <v/>
      </c>
      <c r="EI17">
        <f>EI16*IF(OR($C16=34,$G16=34),0,1)</f>
        <v/>
      </c>
      <c r="EJ17">
        <f>EJ16*IF(OR($C16=35,$G16=35),0,1)</f>
        <v/>
      </c>
      <c r="EK17">
        <f>EK16*IF(OR($C16=36,$G16=36),0,1)</f>
        <v/>
      </c>
      <c r="EL17">
        <f>EL16*IF(OR($C16=37,$G16=37),0,1)</f>
        <v/>
      </c>
      <c r="EM17">
        <f>EM16*IF(OR($C16=38,$G16=38),0,1)</f>
        <v/>
      </c>
      <c r="EN17">
        <f>EN16*IF(OR($C16=39,$G16=39),0,1)</f>
        <v/>
      </c>
      <c r="EO17">
        <f>EO16*IF(OR($C16=40,$G16=40),0,1)</f>
        <v/>
      </c>
      <c r="EP17">
        <f>EP16*IF(OR($C16=41,$G16=41),0,1)</f>
        <v/>
      </c>
      <c r="EQ17">
        <f>EQ16*IF(OR($C16=42,$G16=42),0,1)</f>
        <v/>
      </c>
      <c r="ER17">
        <f>ER16*IF(OR($C16=43,$G16=43),0,1)</f>
        <v/>
      </c>
      <c r="ES17">
        <f>ES16*IF(OR($C16=44,$G16=44),0,1)</f>
        <v/>
      </c>
      <c r="ET17">
        <f>ET16*IF(OR($C16=45,$G16=45),0,1)</f>
        <v/>
      </c>
      <c r="EU17">
        <f>EU16*IF(OR($C16=46,$G16=46),0,1)</f>
        <v/>
      </c>
      <c r="EV17">
        <f>EV16*IF(OR($C16=47,$G16=47),0,1)</f>
        <v/>
      </c>
      <c r="EW17">
        <f>EW16*IF(OR($C16=48,$G16=48),0,1)</f>
        <v/>
      </c>
      <c r="EX17">
        <f>EX16*IF(OR($C16=49,$G16=49),0,1)</f>
        <v/>
      </c>
      <c r="EY17">
        <f>EY16*IF(OR($C16=50,$G16=50),0,1)</f>
        <v/>
      </c>
      <c r="EZ17">
        <f>EZ16*IF(OR($C16=51,$G16=51),0,1)</f>
        <v/>
      </c>
      <c r="FA17">
        <f>FA16*IF(OR($C16=52,$G16=52),0,1)</f>
        <v/>
      </c>
      <c r="FB17">
        <f>FB16*IF(OR($C16=53,$G16=53),0,1)</f>
        <v/>
      </c>
      <c r="FC17">
        <f>FC16*IF(OR($C16=54,$G16=54),0,1)</f>
        <v/>
      </c>
      <c r="FD17">
        <f>FD16*IF(OR($C16=55,$G16=55),0,1)</f>
        <v/>
      </c>
      <c r="FE17">
        <f>FE16*IF(OR($C16=56,$G16=56),0,1)</f>
        <v/>
      </c>
      <c r="FF17">
        <f>FF16*IF(OR($C16=57,$G16=57),0,1)</f>
        <v/>
      </c>
      <c r="FG17">
        <f>FG16*IF(OR($C16=58,$G16=58),0,1)</f>
        <v/>
      </c>
      <c r="FH17">
        <f>FH16*IF(OR($C16=59,$G16=59),0,1)</f>
        <v/>
      </c>
      <c r="FI17">
        <f>FI16*IF(OR($C16=60,$G16=60),0,1)</f>
        <v/>
      </c>
      <c r="FJ17">
        <f>FJ16*IF(OR($C16=61,$G16=61),0,1)</f>
        <v/>
      </c>
      <c r="FK17">
        <f>FK16*IF(OR($C16=62,$G16=62),0,1)</f>
        <v/>
      </c>
      <c r="FL17">
        <f>FL16*IF(OR($C16=63,$G16=63),0,1)</f>
        <v/>
      </c>
      <c r="FM17">
        <f>FM16*IF(OR($C16=64,$G16=64),0,1)</f>
        <v/>
      </c>
      <c r="FN17">
        <f>FN16*IF(OR($C16=65,$G16=65),0,1)</f>
        <v/>
      </c>
      <c r="FO17">
        <f>FO16*IF(OR($C16=66,$G16=66),0,1)</f>
        <v/>
      </c>
      <c r="FP17">
        <f>FP16*IF(OR($C16=67,$G16=67),0,1)</f>
        <v/>
      </c>
      <c r="FQ17">
        <f>FQ16*IF(OR($C16=68,$G16=68),0,1)</f>
        <v/>
      </c>
      <c r="FR17">
        <f>FR16*IF(OR($C16=69,$G16=69),0,1)</f>
        <v/>
      </c>
      <c r="FS17">
        <f>FS16*IF(OR($C16=70,$G16=70),0,1)</f>
        <v/>
      </c>
      <c r="FT17">
        <f>FT16*IF(OR($C16=71,$G16=71),0,1)</f>
        <v/>
      </c>
      <c r="FU17">
        <f>FU16*IF(OR($C16=72,$G16=72),0,1)</f>
        <v/>
      </c>
      <c r="FV17">
        <f>FV16*IF(OR($C16=73,$G16=73),0,1)</f>
        <v/>
      </c>
      <c r="FW17">
        <f>FW16*IF(OR($C16=74,$G16=74),0,1)</f>
        <v/>
      </c>
      <c r="FX17">
        <f>FX16*IF(OR($C16=75,$G16=75),0,1)</f>
        <v/>
      </c>
      <c r="FY17">
        <f>FY16*IF(OR($C16=76,$G16=76),0,1)</f>
        <v/>
      </c>
      <c r="FZ17">
        <f>FZ16*IF(OR($C16=77,$G16=77),0,1)</f>
        <v/>
      </c>
      <c r="GA17">
        <f>GA16*IF(OR($C16=78,$G16=78),0,1)</f>
        <v/>
      </c>
      <c r="GB17">
        <f>GB16*IF(OR($C16=79,$G16=79),0,1)</f>
        <v/>
      </c>
      <c r="GC17">
        <f>GC16*IF(OR($C16=80,$G16=80),0,1)</f>
        <v/>
      </c>
      <c r="GD17">
        <f>GD16*IF(OR($C16=81,$G16=81),0,1)</f>
        <v/>
      </c>
      <c r="GE17">
        <f>GE16*IF(OR($C16=82,$G16=82),0,1)</f>
        <v/>
      </c>
      <c r="GF17">
        <f>GF16*IF(OR($C16=83,$G16=83),0,1)</f>
        <v/>
      </c>
      <c r="GG17">
        <f>GG16*IF(OR($C16=84,$G16=84),0,1)</f>
        <v/>
      </c>
      <c r="GH17">
        <f>GH16*IF(OR($C16=85,$G16=85),0,1)</f>
        <v/>
      </c>
      <c r="GI17">
        <f>GI16*IF(OR($C16=86,$G16=86),0,1)</f>
        <v/>
      </c>
      <c r="GJ17">
        <f>GJ16*IF(OR($C16=87,$G16=87),0,1)</f>
        <v/>
      </c>
      <c r="GK17">
        <f>GK16*IF(OR($C16=88,$G16=88),0,1)</f>
        <v/>
      </c>
      <c r="GL17">
        <f>GL16*IF(OR($C16=89,$G16=89),0,1)</f>
        <v/>
      </c>
      <c r="GM17">
        <f>GM16*IF(OR($C16=90,$G16=90),0,1)</f>
        <v/>
      </c>
      <c r="GN17">
        <f>GN16*IF(OR($C16=91,$G16=91),0,1)</f>
        <v/>
      </c>
      <c r="GO17">
        <f>GO16*IF(OR($C16=92,$G16=92),0,1)</f>
        <v/>
      </c>
      <c r="GP17">
        <f>GP16*IF(OR($C16=93,$G16=93),0,1)</f>
        <v/>
      </c>
      <c r="GQ17">
        <f>GQ16*IF(OR($C16=94,$G16=94),0,1)</f>
        <v/>
      </c>
      <c r="GR17">
        <f>GR16*IF(OR($C16=95,$G16=95),0,1)</f>
        <v/>
      </c>
      <c r="GS17">
        <f>GS16*IF(OR($C16=96,$G16=96),0,1)</f>
        <v/>
      </c>
      <c r="GT17">
        <f>GT16*IF(OR($C16=97,$G16=97),0,1)</f>
        <v/>
      </c>
      <c r="GU17">
        <f>GU16*IF(OR($C16=98,$G16=98),0,1)</f>
        <v/>
      </c>
      <c r="GV17">
        <f>GV16*IF(OR($C16=99,$G16=99),0,1)</f>
        <v/>
      </c>
      <c r="GW17">
        <f>GW16*IF(OR($C16=100,$G16=100),0,1)</f>
        <v/>
      </c>
      <c r="GX17">
        <f>GX16*IF(OR($C16=101,$G16=101),0,1)</f>
        <v/>
      </c>
      <c r="GY17">
        <f>GY16*IF(OR($C16=102,$G16=102),0,1)</f>
        <v/>
      </c>
      <c r="GZ17">
        <f>GZ16*IF(OR($C16=103,$G16=103),0,1)</f>
        <v/>
      </c>
      <c r="HA17">
        <f>HA16*IF(OR($C16=104,$G16=104),0,1)</f>
        <v/>
      </c>
      <c r="HB17">
        <f>HB16*IF(OR($C16=105,$G16=105),0,1)</f>
        <v/>
      </c>
      <c r="HC17">
        <f>HC16*IF(OR($C16=106,$G16=106),0,1)</f>
        <v/>
      </c>
      <c r="HD17">
        <f>HD16*IF(OR($C16=107,$G16=107),0,1)</f>
        <v/>
      </c>
      <c r="HE17">
        <f>HE16*IF(OR($C16=108,$G16=108),0,1)</f>
        <v/>
      </c>
      <c r="HF17">
        <f>HF16*IF(OR($C16=109,$G16=109),0,1)</f>
        <v/>
      </c>
      <c r="HG17">
        <f>HG16*IF(OR($C16=110,$G16=110),0,1)</f>
        <v/>
      </c>
      <c r="HH17">
        <f>HH16*IF(OR($C16=111,$G16=111),0,1)</f>
        <v/>
      </c>
      <c r="HI17">
        <f>HI16*IF(OR($C16=112,$G16=112),0,1)</f>
        <v/>
      </c>
      <c r="HJ17">
        <f>HJ16*IF(OR($C16=113,$G16=113),0,1)</f>
        <v/>
      </c>
      <c r="HK17">
        <f>HK16*IF(OR($C16=114,$G16=114),0,1)</f>
        <v/>
      </c>
      <c r="HL17">
        <f>HL16*IF(OR($C16=115,$G16=115),0,1)</f>
        <v/>
      </c>
      <c r="HM17">
        <f>HM16*IF(OR($C16=116,$G16=116),0,1)</f>
        <v/>
      </c>
      <c r="HN17">
        <f>HN16*IF(OR($C16=117,$G16=117),0,1)</f>
        <v/>
      </c>
      <c r="HO17">
        <f>HO16*IF(OR($C16=118,$G16=118),0,1)</f>
        <v/>
      </c>
      <c r="HP17">
        <f>HP16*IF(OR($C16=119,$G16=119),0,1)</f>
        <v/>
      </c>
      <c r="HQ17">
        <f>HQ16*IF(OR($C16=120,$G16=120),0,1)</f>
        <v/>
      </c>
      <c r="HR17">
        <f>HR16*IF(OR($C16=121,$G16=121),0,1)</f>
        <v/>
      </c>
      <c r="HS17">
        <f>HS16*IF(OR($C16=122,$G16=122),0,1)</f>
        <v/>
      </c>
      <c r="HT17">
        <f>HT16*IF(OR($C16=123,$G16=123),0,1)</f>
        <v/>
      </c>
      <c r="HU17">
        <f>HU16*IF(OR($C16=124,$G16=124),0,1)</f>
        <v/>
      </c>
      <c r="HV17">
        <f>HV16*IF(OR($C16=125,$G16=125),0,1)</f>
        <v/>
      </c>
      <c r="HW17">
        <f>HW16*IF(OR($C16=126,$G16=126),0,1)</f>
        <v/>
      </c>
      <c r="HX17">
        <f>HX16*IF(OR($C16=127,$G16=127),0,1)</f>
        <v/>
      </c>
      <c r="HY17">
        <f>HY16*IF(OR($C16=128,$G16=128),0,1)</f>
        <v/>
      </c>
      <c r="HZ17">
        <f>HZ16*IF(OR($C16=129,$G16=129),0,1)</f>
        <v/>
      </c>
      <c r="IA17">
        <f>IA16*IF(OR($C16=130,$G16=130),0,1)</f>
        <v/>
      </c>
      <c r="IB17">
        <f>IB16*IF(OR($C16=131,$G16=131),0,1)</f>
        <v/>
      </c>
      <c r="IC17">
        <f>IC16*IF(OR($C16=132,$G16=132),0,1)</f>
        <v/>
      </c>
      <c r="ID17">
        <f>ID16*IF(OR($C16=133,$G16=133),0,1)</f>
        <v/>
      </c>
      <c r="IE17">
        <f>IE16*IF(OR($C16=134,$G16=134),0,1)</f>
        <v/>
      </c>
      <c r="IF17">
        <f>IF16*IF(OR($C16=135,$G16=135),0,1)</f>
        <v/>
      </c>
      <c r="IG17">
        <f>IG16*IF(OR($C16=136,$G16=136),0,1)</f>
        <v/>
      </c>
      <c r="IH17">
        <f>IH16*IF(OR($C16=137,$G16=137),0,1)</f>
        <v/>
      </c>
      <c r="II17">
        <f>II16*IF(OR($C16=138,$G16=138),0,1)</f>
        <v/>
      </c>
      <c r="IJ17">
        <f>IJ16*IF(OR($C16=139,$G16=139),0,1)</f>
        <v/>
      </c>
      <c r="IK17">
        <f>IK16*IF(OR($C16=140,$G16=140),0,1)</f>
        <v/>
      </c>
      <c r="IL17">
        <f>IL16*IF(OR($C16=141,$G16=141),0,1)</f>
        <v/>
      </c>
      <c r="IM17">
        <f>IM16*IF(OR($C16=142,$G16=142),0,1)</f>
        <v/>
      </c>
      <c r="IN17">
        <f>IN16*IF(OR($C16=143,$G16=143),0,1)</f>
        <v/>
      </c>
      <c r="IO17">
        <f>IO16*IF(OR($C16=144,$G16=144),0,1)</f>
        <v/>
      </c>
      <c r="IQ17">
        <f>IF('計算A'!D$106=1,DC17,1)</f>
        <v/>
      </c>
      <c r="IR17">
        <f>IF('計算A'!E$106=1,DD17,1)</f>
        <v/>
      </c>
      <c r="IS17">
        <f>IF('計算A'!F$106=1,DE17,1)</f>
        <v/>
      </c>
      <c r="IT17">
        <f>IF('計算A'!G$106=1,DF17,1)</f>
        <v/>
      </c>
      <c r="IU17">
        <f>IF('計算A'!H$106=1,DG17,1)</f>
        <v/>
      </c>
      <c r="IV17">
        <f>IF('計算A'!I$106=1,DH17,1)</f>
        <v/>
      </c>
      <c r="IW17">
        <f>IF('計算A'!J$106=1,DI17,1)</f>
        <v/>
      </c>
      <c r="IX17">
        <f>IF('計算A'!K$106=1,DJ17,1)</f>
        <v/>
      </c>
      <c r="IY17">
        <f>IF('計算A'!L$106=1,DK17,1)</f>
        <v/>
      </c>
      <c r="IZ17">
        <f>IF('計算A'!M$106=1,DL17,1)</f>
        <v/>
      </c>
      <c r="JA17">
        <f>IF('計算A'!N$106=1,DM17,1)</f>
        <v/>
      </c>
      <c r="JB17">
        <f>IF('計算A'!O$106=1,DN17,1)</f>
        <v/>
      </c>
      <c r="JC17">
        <f>IF('計算A'!P$106=1,DO17,1)</f>
        <v/>
      </c>
      <c r="JD17">
        <f>IF('計算A'!Q$106=1,DP17,1)</f>
        <v/>
      </c>
      <c r="JE17">
        <f>IF('計算A'!R$106=1,DQ17,1)</f>
        <v/>
      </c>
      <c r="JF17">
        <f>IF('計算A'!S$106=1,DR17,1)</f>
        <v/>
      </c>
      <c r="JG17">
        <f>IF('計算A'!T$106=1,DS17,1)</f>
        <v/>
      </c>
      <c r="JH17">
        <f>IF('計算A'!U$106=1,DT17,1)</f>
        <v/>
      </c>
      <c r="JI17">
        <f>IF('計算A'!V$106=1,DU17,1)</f>
        <v/>
      </c>
      <c r="JJ17">
        <f>IF('計算A'!W$106=1,DV17,1)</f>
        <v/>
      </c>
      <c r="JK17">
        <f>IF('計算A'!X$106=1,DW17,1)</f>
        <v/>
      </c>
      <c r="JL17">
        <f>IF('計算A'!Y$106=1,DX17,1)</f>
        <v/>
      </c>
      <c r="JM17">
        <f>IF('計算A'!Z$106=1,DY17,1)</f>
        <v/>
      </c>
      <c r="JN17">
        <f>IF('計算A'!AA$106=1,DZ17,1)</f>
        <v/>
      </c>
      <c r="JO17">
        <f>IF('計算A'!AB$106=1,EA17,1)</f>
        <v/>
      </c>
      <c r="JP17">
        <f>IF('計算A'!AC$106=1,EB17,1)</f>
        <v/>
      </c>
      <c r="JQ17">
        <f>IF('計算A'!AD$106=1,EC17,1)</f>
        <v/>
      </c>
      <c r="JR17">
        <f>IF('計算A'!AE$106=1,ED17,1)</f>
        <v/>
      </c>
      <c r="JS17">
        <f>IF('計算A'!AF$106=1,EE17,1)</f>
        <v/>
      </c>
      <c r="JT17">
        <f>IF('計算A'!AG$106=1,EF17,1)</f>
        <v/>
      </c>
      <c r="JU17">
        <f>IF('計算A'!AH$106=1,EG17,1)</f>
        <v/>
      </c>
      <c r="JV17">
        <f>IF('計算A'!AI$106=1,EH17,1)</f>
        <v/>
      </c>
      <c r="JW17">
        <f>IF('計算A'!AJ$106=1,EI17,1)</f>
        <v/>
      </c>
      <c r="JX17">
        <f>IF('計算A'!AK$106=1,EJ17,1)</f>
        <v/>
      </c>
      <c r="JY17">
        <f>IF('計算A'!AL$106=1,EK17,1)</f>
        <v/>
      </c>
      <c r="JZ17">
        <f>IF('計算A'!AM$106=1,EL17,1)</f>
        <v/>
      </c>
      <c r="KA17">
        <f>IF('計算A'!AN$106=1,EM17,1)</f>
        <v/>
      </c>
      <c r="KB17">
        <f>IF('計算A'!AO$106=1,EN17,1)</f>
        <v/>
      </c>
      <c r="KC17">
        <f>IF('計算A'!AP$106=1,EO17,1)</f>
        <v/>
      </c>
      <c r="KD17">
        <f>IF('計算A'!AQ$106=1,EP17,1)</f>
        <v/>
      </c>
      <c r="KE17">
        <f>IF('計算A'!AR$106=1,EQ17,1)</f>
        <v/>
      </c>
      <c r="KF17">
        <f>IF('計算A'!AS$106=1,ER17,1)</f>
        <v/>
      </c>
      <c r="KG17">
        <f>IF('計算A'!AT$106=1,ES17,1)</f>
        <v/>
      </c>
      <c r="KH17">
        <f>IF('計算A'!AU$106=1,ET17,1)</f>
        <v/>
      </c>
      <c r="KI17">
        <f>IF('計算A'!AV$106=1,EU17,1)</f>
        <v/>
      </c>
      <c r="KJ17">
        <f>IF('計算A'!AW$106=1,EV17,1)</f>
        <v/>
      </c>
      <c r="KK17">
        <f>IF('計算A'!AX$106=1,EW17,1)</f>
        <v/>
      </c>
      <c r="KL17">
        <f>IF('計算A'!AY$106=1,EX17,1)</f>
        <v/>
      </c>
      <c r="KM17">
        <f>IF('計算A'!AZ$106=1,EY17,1)</f>
        <v/>
      </c>
      <c r="KN17">
        <f>IF('計算A'!BA$106=1,EZ17,1)</f>
        <v/>
      </c>
      <c r="KO17">
        <f>IF('計算A'!BB$106=1,FA17,1)</f>
        <v/>
      </c>
      <c r="KP17">
        <f>IF('計算A'!BC$106=1,FB17,1)</f>
        <v/>
      </c>
      <c r="KQ17">
        <f>IF('計算A'!BD$106=1,FC17,1)</f>
        <v/>
      </c>
      <c r="KR17">
        <f>IF('計算A'!BE$106=1,FD17,1)</f>
        <v/>
      </c>
      <c r="KS17">
        <f>IF('計算A'!BF$106=1,FE17,1)</f>
        <v/>
      </c>
      <c r="KT17">
        <f>IF('計算A'!BG$106=1,FF17,1)</f>
        <v/>
      </c>
      <c r="KU17">
        <f>IF('計算A'!BH$106=1,FG17,1)</f>
        <v/>
      </c>
      <c r="KV17">
        <f>IF('計算A'!BI$106=1,FH17,1)</f>
        <v/>
      </c>
      <c r="KW17">
        <f>IF('計算A'!BJ$106=1,FI17,1)</f>
        <v/>
      </c>
      <c r="KX17">
        <f>IF('計算A'!BK$106=1,FJ17,1)</f>
        <v/>
      </c>
      <c r="KY17">
        <f>IF('計算A'!BL$106=1,FK17,1)</f>
        <v/>
      </c>
      <c r="KZ17">
        <f>IF('計算A'!BM$106=1,FL17,1)</f>
        <v/>
      </c>
      <c r="LA17">
        <f>IF('計算A'!BN$106=1,FM17,1)</f>
        <v/>
      </c>
      <c r="LB17">
        <f>IF('計算A'!BO$106=1,FN17,1)</f>
        <v/>
      </c>
      <c r="LC17">
        <f>IF('計算A'!BP$106=1,FO17,1)</f>
        <v/>
      </c>
      <c r="LD17">
        <f>IF('計算A'!BQ$106=1,FP17,1)</f>
        <v/>
      </c>
      <c r="LE17">
        <f>IF('計算A'!BR$106=1,FQ17,1)</f>
        <v/>
      </c>
      <c r="LF17">
        <f>IF('計算A'!BS$106=1,FR17,1)</f>
        <v/>
      </c>
      <c r="LG17">
        <f>IF('計算A'!BT$106=1,FS17,1)</f>
        <v/>
      </c>
      <c r="LH17">
        <f>IF('計算A'!BU$106=1,FT17,1)</f>
        <v/>
      </c>
      <c r="LI17">
        <f>IF('計算A'!BV$106=1,FU17,1)</f>
        <v/>
      </c>
      <c r="LJ17">
        <f>IF('計算A'!BW$106=1,FV17,1)</f>
        <v/>
      </c>
      <c r="LK17">
        <f>IF('計算A'!BX$106=1,FW17,1)</f>
        <v/>
      </c>
      <c r="LL17">
        <f>IF('計算A'!BY$106=1,FX17,1)</f>
        <v/>
      </c>
      <c r="LM17">
        <f>IF('計算A'!BZ$106=1,FY17,1)</f>
        <v/>
      </c>
      <c r="LN17">
        <f>IF('計算A'!CA$106=1,FZ17,1)</f>
        <v/>
      </c>
      <c r="LO17">
        <f>IF('計算A'!CB$106=1,GA17,1)</f>
        <v/>
      </c>
      <c r="LP17">
        <f>IF('計算A'!CC$106=1,GB17,1)</f>
        <v/>
      </c>
      <c r="LQ17">
        <f>IF('計算A'!CD$106=1,GC17,1)</f>
        <v/>
      </c>
      <c r="LR17">
        <f>IF('計算A'!CE$106=1,GD17,1)</f>
        <v/>
      </c>
      <c r="LS17">
        <f>IF('計算A'!CF$106=1,GE17,1)</f>
        <v/>
      </c>
      <c r="LT17">
        <f>IF('計算A'!CG$106=1,GF17,1)</f>
        <v/>
      </c>
      <c r="LU17">
        <f>IF('計算A'!CH$106=1,GG17,1)</f>
        <v/>
      </c>
      <c r="LV17">
        <f>IF('計算A'!CI$106=1,GH17,1)</f>
        <v/>
      </c>
      <c r="LW17">
        <f>IF('計算A'!CJ$106=1,GI17,1)</f>
        <v/>
      </c>
      <c r="LX17">
        <f>IF('計算A'!CK$106=1,GJ17,1)</f>
        <v/>
      </c>
      <c r="LY17">
        <f>IF('計算A'!CL$106=1,GK17,1)</f>
        <v/>
      </c>
      <c r="LZ17">
        <f>IF('計算A'!CM$106=1,GL17,1)</f>
        <v/>
      </c>
      <c r="MA17">
        <f>IF('計算A'!CN$106=1,GM17,1)</f>
        <v/>
      </c>
      <c r="MB17">
        <f>IF('計算A'!CO$106=1,GN17,1)</f>
        <v/>
      </c>
      <c r="MC17">
        <f>IF('計算A'!CP$106=1,GO17,1)</f>
        <v/>
      </c>
      <c r="MD17">
        <f>IF('計算A'!CQ$106=1,GP17,1)</f>
        <v/>
      </c>
      <c r="ME17">
        <f>IF('計算A'!CR$106=1,GQ17,1)</f>
        <v/>
      </c>
      <c r="MF17">
        <f>IF('計算A'!CS$106=1,GR17,1)</f>
        <v/>
      </c>
      <c r="MG17">
        <f>IF('計算A'!CT$106=1,GS17,1)</f>
        <v/>
      </c>
      <c r="MH17">
        <f>IF('計算A'!CU$106=1,GT17,1)</f>
        <v/>
      </c>
      <c r="MI17">
        <f>IF('計算A'!CV$106=1,GU17,1)</f>
        <v/>
      </c>
      <c r="MJ17">
        <f>IF('計算A'!CW$106=1,GV17,1)</f>
        <v/>
      </c>
      <c r="MK17">
        <f>IF('計算A'!CX$106=1,GW17,1)</f>
        <v/>
      </c>
      <c r="ML17">
        <f>IF('計算A'!CY$106=1,GX17,1)</f>
        <v/>
      </c>
      <c r="MM17">
        <f>IF('計算A'!CZ$106=1,GY17,1)</f>
        <v/>
      </c>
      <c r="MN17">
        <f>IF('計算A'!DA$106=1,GZ17,1)</f>
        <v/>
      </c>
      <c r="MO17">
        <f>IF('計算A'!DB$106=1,HA17,1)</f>
        <v/>
      </c>
      <c r="MP17">
        <f>IF('計算A'!DC$106=1,HB17,1)</f>
        <v/>
      </c>
      <c r="MQ17">
        <f>IF('計算A'!DD$106=1,HC17,1)</f>
        <v/>
      </c>
      <c r="MR17">
        <f>IF('計算A'!DE$106=1,HD17,1)</f>
        <v/>
      </c>
      <c r="MS17">
        <f>IF('計算A'!DF$106=1,HE17,1)</f>
        <v/>
      </c>
      <c r="MT17">
        <f>IF('計算A'!DG$106=1,HF17,1)</f>
        <v/>
      </c>
      <c r="MU17">
        <f>IF('計算A'!DH$106=1,HG17,1)</f>
        <v/>
      </c>
      <c r="MV17">
        <f>IF('計算A'!DI$106=1,HH17,1)</f>
        <v/>
      </c>
      <c r="MW17">
        <f>IF('計算A'!DJ$106=1,HI17,1)</f>
        <v/>
      </c>
      <c r="MX17">
        <f>IF('計算A'!DK$106=1,HJ17,1)</f>
        <v/>
      </c>
      <c r="MY17">
        <f>IF('計算A'!DL$106=1,HK17,1)</f>
        <v/>
      </c>
      <c r="MZ17">
        <f>IF('計算A'!DM$106=1,HL17,1)</f>
        <v/>
      </c>
      <c r="NA17">
        <f>IF('計算A'!DN$106=1,HM17,1)</f>
        <v/>
      </c>
      <c r="NB17">
        <f>IF('計算A'!DO$106=1,HN17,1)</f>
        <v/>
      </c>
      <c r="NC17">
        <f>IF('計算A'!DP$106=1,HO17,1)</f>
        <v/>
      </c>
      <c r="ND17">
        <f>IF('計算A'!DQ$106=1,HP17,1)</f>
        <v/>
      </c>
      <c r="NE17">
        <f>IF('計算A'!DR$106=1,HQ17,1)</f>
        <v/>
      </c>
      <c r="NF17">
        <f>IF('計算A'!DS$106=1,HR17,1)</f>
        <v/>
      </c>
      <c r="NG17">
        <f>IF('計算A'!DT$106=1,HS17,1)</f>
        <v/>
      </c>
      <c r="NH17">
        <f>IF('計算A'!DU$106=1,HT17,1)</f>
        <v/>
      </c>
      <c r="NI17">
        <f>IF('計算A'!DV$106=1,HU17,1)</f>
        <v/>
      </c>
      <c r="NJ17">
        <f>IF('計算A'!DW$106=1,HV17,1)</f>
        <v/>
      </c>
      <c r="NK17">
        <f>IF('計算A'!DX$106=1,HW17,1)</f>
        <v/>
      </c>
      <c r="NL17">
        <f>IF('計算A'!DY$106=1,HX17,1)</f>
        <v/>
      </c>
      <c r="NM17">
        <f>IF('計算A'!DZ$106=1,HY17,1)</f>
        <v/>
      </c>
      <c r="NN17">
        <f>IF('計算A'!EA$106=1,HZ17,1)</f>
        <v/>
      </c>
      <c r="NO17">
        <f>IF('計算A'!EB$106=1,IA17,1)</f>
        <v/>
      </c>
      <c r="NP17">
        <f>IF('計算A'!EC$106=1,IB17,1)</f>
        <v/>
      </c>
      <c r="NQ17">
        <f>IF('計算A'!ED$106=1,IC17,1)</f>
        <v/>
      </c>
      <c r="NR17">
        <f>IF('計算A'!EE$106=1,ID17,1)</f>
        <v/>
      </c>
      <c r="NS17">
        <f>IF('計算A'!EF$106=1,IE17,1)</f>
        <v/>
      </c>
      <c r="NT17">
        <f>IF('計算A'!EG$106=1,IF17,1)</f>
        <v/>
      </c>
      <c r="NU17">
        <f>IF('計算A'!EH$106=1,IG17,1)</f>
        <v/>
      </c>
      <c r="NV17">
        <f>IF('計算A'!EI$106=1,IH17,1)</f>
        <v/>
      </c>
      <c r="NW17">
        <f>IF('計算A'!EJ$106=1,II17,1)</f>
        <v/>
      </c>
      <c r="NX17">
        <f>IF('計算A'!EK$106=1,IJ17,1)</f>
        <v/>
      </c>
      <c r="NY17">
        <f>IF('計算A'!EL$106=1,IK17,1)</f>
        <v/>
      </c>
      <c r="NZ17">
        <f>IF('計算A'!EM$106=1,IL17,1)</f>
        <v/>
      </c>
      <c r="OA17">
        <f>IF('計算A'!EN$106=1,IM17,1)</f>
        <v/>
      </c>
      <c r="OB17">
        <f>IF('計算A'!EO$106=1,IN17,1)</f>
        <v/>
      </c>
      <c r="OC17">
        <f>IF('計算A'!EP$106=1,IO17,1)</f>
        <v/>
      </c>
      <c r="OD17" t="n">
        <v>1</v>
      </c>
      <c r="OF17">
        <f>IF($B17=0,1000000,IF(INDEX('計算A'!$D$60:$EQ$104,$B17,1)*DB17=1,IF(AND($E17=2,IQ17=0),1000000,IF($I17&gt;0,IF(1=$J17,IF(OR(AND(1=$I17+1,OR($K17&lt;&gt;'計算A'!$A$3,'計算A'!$A$4=0)),AND(1=$I17-1,OR(1&lt;&gt;'計算A'!$A$3,'計算A'!$A$4=0))),0,IF(1=$K17,200000,ABS(1-$K17)*100)),100000+ABS(1-$J17)*1000+10)+'計算A'!D$5*50+IF(AND($E17=1,IQ17=0),25,0),IF($F17&gt;0,INDEX('計算A'!D$110:D$114,$F17+1)+IF(AND($E17=1,IQ17=0),1000,0),MIN(TU17,20)*400+(IF('計算A'!D$106=1,1-DC17,0))*150+11+'計算A'!D$5*100000+IF(AND($E17=1,IQ17=0),50000,0))+IF($H17=1,(IF('計算A'!D$117=1,INDEX('計算A'!E$10:E$54,$B17),0))*4000,0)-IF(AND($L17=1,'計算A'!D$117=1,DC17=0),2000,0))),1000000))</f>
        <v/>
      </c>
      <c r="OG17">
        <f>IF($B17=0,1000000,IF(INDEX('計算A'!$D$60:$EQ$104,$B17,2)*DC17=1,IF(AND($E17=2,IR17=0),1000000,IF($I17&gt;0,IF(1=$J17,IF(OR(AND(2=$I17+1,OR($K17&lt;&gt;'計算A'!$A$3,'計算A'!$A$4=0)),AND(2=$I17-1,OR(2&lt;&gt;'計算A'!$A$3,'計算A'!$A$4=0))),0,IF(2=$K17,200000,ABS(2-$K17)*100)),100000+ABS(1-$J17)*1000+20)+'計算A'!E$5*50+IF(AND($E17=1,IR17=0),25,0),IF($F17&gt;0,INDEX('計算A'!E$110:E$114,$F17+1)+IF(AND($E17=1,IR17=0),1000,0),MIN(TU17,20)*400+(IF('計算A'!D$106=1,1-DB17,0)+IF('計算A'!E$106=1,1-DD17,0))*150+21+'計算A'!E$5*100000+IF(AND($E17=1,IR17=0),50000,0))+IF($H17=1,(IF('計算A'!D$117=1,INDEX('計算A'!D$10:D$54,$B17),0)+IF('計算A'!E$117=1,INDEX('計算A'!F$10:F$54,$B17),0))*4000,0)-IF(AND('計算A'!D$117=1,UB17&gt;0),2000,0)-IF(AND($L17=1,'計算A'!E$117=1,DD17=0),2000,0))),1000000))</f>
        <v/>
      </c>
      <c r="OH17">
        <f>IF($B17=0,1000000,IF(INDEX('計算A'!$D$60:$EQ$104,$B17,3)*DD17=1,IF(AND($E17=2,IS17=0),1000000,IF($I17&gt;0,IF(1=$J17,IF(OR(AND(3=$I17+1,OR($K17&lt;&gt;'計算A'!$A$3,'計算A'!$A$4=0)),AND(3=$I17-1,OR(3&lt;&gt;'計算A'!$A$3,'計算A'!$A$4=0))),0,IF(3=$K17,200000,ABS(3-$K17)*100)),100000+ABS(1-$J17)*1000+30)+'計算A'!F$5*50+IF(AND($E17=1,IS17=0),25,0),IF($F17&gt;0,INDEX('計算A'!F$110:F$114,$F17+1)+IF(AND($E17=1,IS17=0),1000,0),MIN(TU17,20)*400+(IF('計算A'!E$106=1,1-DC17,0)+IF('計算A'!F$106=1,1-DE17,0))*150+31+'計算A'!F$5*100000+IF(AND($E17=1,IS17=0),50000,0))+IF($H17=1,(IF('計算A'!E$117=1,INDEX('計算A'!E$10:E$54,$B17),0)+IF('計算A'!F$117=1,INDEX('計算A'!G$10:G$54,$B17),0))*4000,0)-IF(AND('計算A'!E$117=1,UC17&gt;0),2000,0)-IF(AND($L17=1,'計算A'!F$117=1,DE17=0),2000,0))),1000000))</f>
        <v/>
      </c>
      <c r="OI17">
        <f>IF($B17=0,1000000,IF(INDEX('計算A'!$D$60:$EQ$104,$B17,4)*DE17=1,IF(AND($E17=2,IT17=0),1000000,IF($I17&gt;0,IF(1=$J17,IF(OR(AND(4=$I17+1,OR($K17&lt;&gt;'計算A'!$A$3,'計算A'!$A$4=0)),AND(4=$I17-1,OR(4&lt;&gt;'計算A'!$A$3,'計算A'!$A$4=0))),0,IF(4=$K17,200000,ABS(4-$K17)*100)),100000+ABS(1-$J17)*1000+40)+'計算A'!G$5*50+IF(AND($E17=1,IT17=0),25,0),IF($F17&gt;0,INDEX('計算A'!G$110:G$114,$F17+1)+IF(AND($E17=1,IT17=0),1000,0),MIN(TU17,20)*400+(IF('計算A'!F$106=1,1-DD17,0)+IF('計算A'!G$106=1,1-DF17,0))*150+41+'計算A'!G$5*100000+IF(AND($E17=1,IT17=0),50000,0))+IF($H17=1,(IF('計算A'!F$117=1,INDEX('計算A'!F$10:F$54,$B17),0)+IF('計算A'!G$117=1,INDEX('計算A'!H$10:H$54,$B17),0))*4000,0)-IF(AND('計算A'!F$117=1,UD17&gt;0),2000,0)-IF(AND($L17=1,'計算A'!G$117=1,DF17=0),2000,0))),1000000))</f>
        <v/>
      </c>
      <c r="OJ17">
        <f>IF($B17=0,1000000,IF(INDEX('計算A'!$D$60:$EQ$104,$B17,5)*DF17=1,IF(AND($E17=2,IU17=0),1000000,IF($I17&gt;0,IF(1=$J17,IF(OR(AND(5=$I17+1,OR($K17&lt;&gt;'計算A'!$A$3,'計算A'!$A$4=0)),AND(5=$I17-1,OR(5&lt;&gt;'計算A'!$A$3,'計算A'!$A$4=0))),0,IF(5=$K17,200000,ABS(5-$K17)*100)),100000+ABS(1-$J17)*1000+50)+'計算A'!H$5*50+IF(AND($E17=1,IU17=0),25,0),IF($F17&gt;0,INDEX('計算A'!H$110:H$114,$F17+1)+IF(AND($E17=1,IU17=0),1000,0),MIN(TU17,20)*400+(IF('計算A'!G$106=1,1-DE17,0)+IF('計算A'!H$106=1,1-DG17,0))*150+51+'計算A'!H$5*100000+IF(AND($E17=1,IU17=0),50000,0))+IF($H17=1,(IF('計算A'!G$117=1,INDEX('計算A'!G$10:G$54,$B17),0)+IF('計算A'!H$117=1,INDEX('計算A'!I$10:I$54,$B17),0))*4000,0)-IF(AND('計算A'!G$117=1,UE17&gt;0),2000,0)-IF(AND($L17=1,'計算A'!H$117=1,DG17=0),2000,0))),1000000))</f>
        <v/>
      </c>
      <c r="OK17">
        <f>IF($B17=0,1000000,IF(INDEX('計算A'!$D$60:$EQ$104,$B17,6)*DG17=1,IF(AND($E17=2,IV17=0),1000000,IF($I17&gt;0,IF(1=$J17,IF(OR(AND(6=$I17+1,OR($K17&lt;&gt;'計算A'!$A$3,'計算A'!$A$4=0)),AND(6=$I17-1,OR(6&lt;&gt;'計算A'!$A$3,'計算A'!$A$4=0))),0,IF(6=$K17,200000,ABS(6-$K17)*100)),100000+ABS(1-$J17)*1000+60)+'計算A'!I$5*50+IF(AND($E17=1,IV17=0),25,0),IF($F17&gt;0,INDEX('計算A'!I$110:I$114,$F17+1)+IF(AND($E17=1,IV17=0),1000,0),MIN(TU17,20)*400+(IF('計算A'!H$106=1,1-DF17,0)+IF('計算A'!I$106=1,1-DH17,0))*150+61+'計算A'!I$5*100000+IF(AND($E17=1,IV17=0),50000,0))+IF($H17=1,(IF('計算A'!H$117=1,INDEX('計算A'!H$10:H$54,$B17),0)+IF('計算A'!I$117=1,INDEX('計算A'!J$10:J$54,$B17),0))*4000,0)-IF(AND('計算A'!H$117=1,UF17&gt;0),2000,0)-IF(AND($L17=1,'計算A'!I$117=1,DH17=0),2000,0))),1000000))</f>
        <v/>
      </c>
      <c r="OL17">
        <f>IF($B17=0,1000000,IF(INDEX('計算A'!$D$60:$EQ$104,$B17,7)*DH17=1,IF(AND($E17=2,IW17=0),1000000,IF($I17&gt;0,IF(1=$J17,IF(OR(AND(7=$I17+1,OR($K17&lt;&gt;'計算A'!$A$3,'計算A'!$A$4=0)),AND(7=$I17-1,OR(7&lt;&gt;'計算A'!$A$3,'計算A'!$A$4=0))),0,IF(7=$K17,200000,ABS(7-$K17)*100)),100000+ABS(1-$J17)*1000+70)+'計算A'!J$5*50+IF(AND($E17=1,IW17=0),25,0),IF($F17&gt;0,INDEX('計算A'!J$110:J$114,$F17+1)+IF(AND($E17=1,IW17=0),1000,0),MIN(TU17,20)*400+(IF('計算A'!I$106=1,1-DG17,0)+IF('計算A'!J$106=1,1-DI17,0))*150+71+'計算A'!J$5*100000+IF(AND($E17=1,IW17=0),50000,0))+IF($H17=1,(IF('計算A'!I$117=1,INDEX('計算A'!I$10:I$54,$B17),0)+IF('計算A'!J$117=1,INDEX('計算A'!K$10:K$54,$B17),0))*4000,0)-IF(AND('計算A'!I$117=1,UG17&gt;0),2000,0)-IF(AND($L17=1,'計算A'!J$117=1,DI17=0),2000,0))),1000000))</f>
        <v/>
      </c>
      <c r="OM17">
        <f>IF($B17=0,1000000,IF(INDEX('計算A'!$D$60:$EQ$104,$B17,8)*DI17=1,IF(AND($E17=2,IX17=0),1000000,IF($I17&gt;0,IF(1=$J17,IF(OR(AND(8=$I17+1,OR($K17&lt;&gt;'計算A'!$A$3,'計算A'!$A$4=0)),AND(8=$I17-1,OR(8&lt;&gt;'計算A'!$A$3,'計算A'!$A$4=0))),0,IF(8=$K17,200000,ABS(8-$K17)*100)),100000+ABS(1-$J17)*1000+80)+'計算A'!K$5*50+IF(AND($E17=1,IX17=0),25,0),IF($F17&gt;0,INDEX('計算A'!K$110:K$114,$F17+1)+IF(AND($E17=1,IX17=0),1000,0),MIN(TU17,20)*400+(IF('計算A'!J$106=1,1-DH17,0)+IF('計算A'!K$106=1,1-DJ17,0))*150+81+'計算A'!K$5*100000+IF(AND($E17=1,IX17=0),50000,0))+IF($H17=1,(IF('計算A'!J$117=1,INDEX('計算A'!J$10:J$54,$B17),0)+IF('計算A'!K$117=1,INDEX('計算A'!L$10:L$54,$B17),0))*4000,0)-IF(AND('計算A'!J$117=1,UH17&gt;0),2000,0)-IF(AND($L17=1,'計算A'!K$117=1,DJ17=0),2000,0))),1000000))</f>
        <v/>
      </c>
      <c r="ON17">
        <f>IF($B17=0,1000000,IF(INDEX('計算A'!$D$60:$EQ$104,$B17,9)*DJ17=1,IF(AND($E17=2,IY17=0),1000000,IF($I17&gt;0,IF(1=$J17,IF(OR(AND(9=$I17+1,OR($K17&lt;&gt;'計算A'!$A$3,'計算A'!$A$4=0)),AND(9=$I17-1,OR(9&lt;&gt;'計算A'!$A$3,'計算A'!$A$4=0))),0,IF(9=$K17,200000,ABS(9-$K17)*100)),100000+ABS(1-$J17)*1000+90)+'計算A'!L$5*50+IF(AND($E17=1,IY17=0),25,0),IF($F17&gt;0,INDEX('計算A'!L$110:L$114,$F17+1)+IF(AND($E17=1,IY17=0),1000,0),MIN(TU17,20)*400+(IF('計算A'!K$106=1,1-DI17,0)+IF('計算A'!L$106=1,1-DK17,0))*150+91+'計算A'!L$5*100000+IF(AND($E17=1,IY17=0),50000,0))+IF($H17=1,(IF('計算A'!K$117=1,INDEX('計算A'!K$10:K$54,$B17),0)+IF('計算A'!L$117=1,INDEX('計算A'!M$10:M$54,$B17),0))*4000,0)-IF(AND('計算A'!K$117=1,UI17&gt;0),2000,0)-IF(AND($L17=1,'計算A'!L$117=1,DK17=0),2000,0))),1000000))</f>
        <v/>
      </c>
      <c r="OO17">
        <f>IF($B17=0,1000000,IF(INDEX('計算A'!$D$60:$EQ$104,$B17,10)*DK17=1,IF(AND($E17=2,IZ17=0),1000000,IF($I17&gt;0,IF(1=$J17,IF(OR(AND(10=$I17+1,OR($K17&lt;&gt;'計算A'!$A$3,'計算A'!$A$4=0)),AND(10=$I17-1,OR(10&lt;&gt;'計算A'!$A$3,'計算A'!$A$4=0))),0,IF(10=$K17,200000,ABS(10-$K17)*100)),100000+ABS(1-$J17)*1000+100)+'計算A'!M$5*50+IF(AND($E17=1,IZ17=0),25,0),IF($F17&gt;0,INDEX('計算A'!M$110:M$114,$F17+1)+IF(AND($E17=1,IZ17=0),1000,0),MIN(TU17,20)*400+(IF('計算A'!L$106=1,1-DJ17,0)+IF('計算A'!M$106=1,1-DL17,0))*150+101+'計算A'!M$5*100000+IF(AND($E17=1,IZ17=0),50000,0))+IF($H17=1,(IF('計算A'!L$117=1,INDEX('計算A'!L$10:L$54,$B17),0)+IF('計算A'!M$117=1,INDEX('計算A'!N$10:N$54,$B17),0))*4000,0)-IF(AND('計算A'!L$117=1,UJ17&gt;0),2000,0)-IF(AND($L17=1,'計算A'!M$117=1,DL17=0),2000,0))),1000000))</f>
        <v/>
      </c>
      <c r="OP17">
        <f>IF($B17=0,1000000,IF(INDEX('計算A'!$D$60:$EQ$104,$B17,11)*DL17=1,IF(AND($E17=2,JA17=0),1000000,IF($I17&gt;0,IF(1=$J17,IF(OR(AND(11=$I17+1,OR($K17&lt;&gt;'計算A'!$A$3,'計算A'!$A$4=0)),AND(11=$I17-1,OR(11&lt;&gt;'計算A'!$A$3,'計算A'!$A$4=0))),0,IF(11=$K17,200000,ABS(11-$K17)*100)),100000+ABS(1-$J17)*1000+110)+'計算A'!N$5*50+IF(AND($E17=1,JA17=0),25,0),IF($F17&gt;0,INDEX('計算A'!N$110:N$114,$F17+1)+IF(AND($E17=1,JA17=0),1000,0),MIN(TU17,20)*400+(IF('計算A'!M$106=1,1-DK17,0)+IF('計算A'!N$106=1,1-DM17,0))*150+111+'計算A'!N$5*100000+IF(AND($E17=1,JA17=0),50000,0))+IF($H17=1,(IF('計算A'!M$117=1,INDEX('計算A'!M$10:M$54,$B17),0)+IF('計算A'!N$117=1,INDEX('計算A'!O$10:O$54,$B17),0))*4000,0)-IF(AND('計算A'!M$117=1,UK17&gt;0),2000,0)-IF(AND($L17=1,'計算A'!N$117=1,DM17=0),2000,0))),1000000))</f>
        <v/>
      </c>
      <c r="OQ17">
        <f>IF($B17=0,1000000,IF(INDEX('計算A'!$D$60:$EQ$104,$B17,12)*DM17=1,IF(AND($E17=2,JB17=0),1000000,IF($I17&gt;0,IF(1=$J17,IF(OR(AND(12=$I17+1,OR($K17&lt;&gt;'計算A'!$A$3,'計算A'!$A$4=0)),AND(12=$I17-1,OR(12&lt;&gt;'計算A'!$A$3,'計算A'!$A$4=0))),0,IF(12=$K17,200000,ABS(12-$K17)*100)),100000+ABS(1-$J17)*1000+120)+'計算A'!O$5*50+IF(AND($E17=1,JB17=0),25,0),IF($F17&gt;0,INDEX('計算A'!O$110:O$114,$F17+1)+IF(AND($E17=1,JB17=0),1000,0),MIN(TU17,20)*400+(IF('計算A'!N$106=1,1-DL17,0)+IF('計算A'!O$106=1,1-DN17,0))*150+121+'計算A'!O$5*100000+IF(AND($E17=1,JB17=0),50000,0))+IF($H17=1,(IF('計算A'!N$117=1,INDEX('計算A'!N$10:N$54,$B17),0)+IF('計算A'!O$117=1,INDEX('計算A'!P$10:P$54,$B17),0))*4000,0)-IF(AND('計算A'!N$117=1,UL17&gt;0),2000,0)-IF(AND($L17=1,'計算A'!O$117=1,DN17=0),2000,0))),1000000))</f>
        <v/>
      </c>
      <c r="OR17">
        <f>IF($B17=0,1000000,IF(INDEX('計算A'!$D$60:$EQ$104,$B17,13)*DN17=1,IF(AND($E17=2,JC17=0),1000000,IF($I17&gt;0,IF(1=$J17,IF(OR(AND(13=$I17+1,OR($K17&lt;&gt;'計算A'!$A$3,'計算A'!$A$4=0)),AND(13=$I17-1,OR(13&lt;&gt;'計算A'!$A$3,'計算A'!$A$4=0))),0,IF(13=$K17,200000,ABS(13-$K17)*100)),100000+ABS(1-$J17)*1000+130)+'計算A'!P$5*50+IF(AND($E17=1,JC17=0),25,0),IF($F17&gt;0,INDEX('計算A'!P$110:P$114,$F17+1)+IF(AND($E17=1,JC17=0),1000,0),MIN(TU17,20)*400+(IF('計算A'!O$106=1,1-DM17,0)+IF('計算A'!P$106=1,1-DO17,0))*150+131+'計算A'!P$5*100000+IF(AND($E17=1,JC17=0),50000,0))+IF($H17=1,(IF('計算A'!O$117=1,INDEX('計算A'!O$10:O$54,$B17),0)+IF('計算A'!P$117=1,INDEX('計算A'!Q$10:Q$54,$B17),0))*4000,0)-IF(AND('計算A'!O$117=1,UM17&gt;0),2000,0)-IF(AND($L17=1,'計算A'!P$117=1,DO17=0),2000,0))),1000000))</f>
        <v/>
      </c>
      <c r="OS17">
        <f>IF($B17=0,1000000,IF(INDEX('計算A'!$D$60:$EQ$104,$B17,14)*DO17=1,IF(AND($E17=2,JD17=0),1000000,IF($I17&gt;0,IF(1=$J17,IF(OR(AND(14=$I17+1,OR($K17&lt;&gt;'計算A'!$A$3,'計算A'!$A$4=0)),AND(14=$I17-1,OR(14&lt;&gt;'計算A'!$A$3,'計算A'!$A$4=0))),0,IF(14=$K17,200000,ABS(14-$K17)*100)),100000+ABS(1-$J17)*1000+140)+'計算A'!Q$5*50+IF(AND($E17=1,JD17=0),25,0),IF($F17&gt;0,INDEX('計算A'!Q$110:Q$114,$F17+1)+IF(AND($E17=1,JD17=0),1000,0),MIN(TU17,20)*400+(IF('計算A'!P$106=1,1-DN17,0)+IF('計算A'!Q$106=1,1-DP17,0))*150+141+'計算A'!Q$5*100000+IF(AND($E17=1,JD17=0),50000,0))+IF($H17=1,(IF('計算A'!P$117=1,INDEX('計算A'!P$10:P$54,$B17),0)+IF('計算A'!Q$117=1,INDEX('計算A'!R$10:R$54,$B17),0))*4000,0)-IF(AND('計算A'!P$117=1,UN17&gt;0),2000,0)-IF(AND($L17=1,'計算A'!Q$117=1,DP17=0),2000,0))),1000000))</f>
        <v/>
      </c>
      <c r="OT17">
        <f>IF($B17=0,1000000,IF(INDEX('計算A'!$D$60:$EQ$104,$B17,15)*DP17=1,IF(AND($E17=2,JE17=0),1000000,IF($I17&gt;0,IF(1=$J17,IF(OR(AND(15=$I17+1,OR($K17&lt;&gt;'計算A'!$A$3,'計算A'!$A$4=0)),AND(15=$I17-1,OR(15&lt;&gt;'計算A'!$A$3,'計算A'!$A$4=0))),0,IF(15=$K17,200000,ABS(15-$K17)*100)),100000+ABS(1-$J17)*1000+150)+'計算A'!R$5*50+IF(AND($E17=1,JE17=0),25,0),IF($F17&gt;0,INDEX('計算A'!R$110:R$114,$F17+1)+IF(AND($E17=1,JE17=0),1000,0),MIN(TU17,20)*400+(IF('計算A'!Q$106=1,1-DO17,0)+IF('計算A'!R$106=1,1-DQ17,0))*150+151+'計算A'!R$5*100000+IF(AND($E17=1,JE17=0),50000,0))+IF($H17=1,(IF('計算A'!Q$117=1,INDEX('計算A'!Q$10:Q$54,$B17),0)+IF('計算A'!R$117=1,INDEX('計算A'!S$10:S$54,$B17),0))*4000,0)-IF(AND('計算A'!Q$117=1,UO17&gt;0),2000,0)-IF(AND($L17=1,'計算A'!R$117=1,DQ17=0),2000,0))),1000000))</f>
        <v/>
      </c>
      <c r="OU17">
        <f>IF($B17=0,1000000,IF(INDEX('計算A'!$D$60:$EQ$104,$B17,16)*DQ17=1,IF(AND($E17=2,JF17=0),1000000,IF($I17&gt;0,IF(1=$J17,IF(OR(AND(16=$I17+1,OR($K17&lt;&gt;'計算A'!$A$3,'計算A'!$A$4=0)),AND(16=$I17-1,OR(16&lt;&gt;'計算A'!$A$3,'計算A'!$A$4=0))),0,IF(16=$K17,200000,ABS(16-$K17)*100)),100000+ABS(1-$J17)*1000+160)+'計算A'!S$5*50+IF(AND($E17=1,JF17=0),25,0),IF($F17&gt;0,INDEX('計算A'!S$110:S$114,$F17+1)+IF(AND($E17=1,JF17=0),1000,0),MIN(TU17,20)*400+(IF('計算A'!R$106=1,1-DP17,0)+IF('計算A'!S$106=1,1-DR17,0))*150+161+'計算A'!S$5*100000+IF(AND($E17=1,JF17=0),50000,0))+IF($H17=1,(IF('計算A'!R$117=1,INDEX('計算A'!R$10:R$54,$B17),0)+IF('計算A'!S$117=1,INDEX('計算A'!T$10:T$54,$B17),0))*4000,0)-IF(AND('計算A'!R$117=1,UP17&gt;0),2000,0)-IF(AND($L17=1,'計算A'!S$117=1,DR17=0),2000,0))),1000000))</f>
        <v/>
      </c>
      <c r="OV17">
        <f>IF($B17=0,1000000,IF(INDEX('計算A'!$D$60:$EQ$104,$B17,17)*DR17=1,IF(AND($E17=2,JG17=0),1000000,IF($I17&gt;0,IF(1=$J17,IF(OR(AND(17=$I17+1,OR($K17&lt;&gt;'計算A'!$A$3,'計算A'!$A$4=0)),AND(17=$I17-1,OR(17&lt;&gt;'計算A'!$A$3,'計算A'!$A$4=0))),0,IF(17=$K17,200000,ABS(17-$K17)*100)),100000+ABS(1-$J17)*1000+170)+'計算A'!T$5*50+IF(AND($E17=1,JG17=0),25,0),IF($F17&gt;0,INDEX('計算A'!T$110:T$114,$F17+1)+IF(AND($E17=1,JG17=0),1000,0),MIN(TU17,20)*400+(IF('計算A'!S$106=1,1-DQ17,0)+IF('計算A'!T$106=1,1-DS17,0))*150+171+'計算A'!T$5*100000+IF(AND($E17=1,JG17=0),50000,0))+IF($H17=1,(IF('計算A'!S$117=1,INDEX('計算A'!S$10:S$54,$B17),0)+IF('計算A'!T$117=1,INDEX('計算A'!U$10:U$54,$B17),0))*4000,0)-IF(AND('計算A'!S$117=1,UQ17&gt;0),2000,0)-IF(AND($L17=1,'計算A'!T$117=1,DS17=0),2000,0))),1000000))</f>
        <v/>
      </c>
      <c r="OW17">
        <f>IF($B17=0,1000000,IF(INDEX('計算A'!$D$60:$EQ$104,$B17,18)*DS17=1,IF(AND($E17=2,JH17=0),1000000,IF($I17&gt;0,IF(1=$J17,IF(OR(AND(18=$I17+1,OR($K17&lt;&gt;'計算A'!$A$3,'計算A'!$A$4=0)),AND(18=$I17-1,OR(18&lt;&gt;'計算A'!$A$3,'計算A'!$A$4=0))),0,IF(18=$K17,200000,ABS(18-$K17)*100)),100000+ABS(1-$J17)*1000+180)+'計算A'!U$5*50+IF(AND($E17=1,JH17=0),25,0),IF($F17&gt;0,INDEX('計算A'!U$110:U$114,$F17+1)+IF(AND($E17=1,JH17=0),1000,0),MIN(TU17,20)*400+(IF('計算A'!T$106=1,1-DR17,0)+IF('計算A'!U$106=1,1-DT17,0))*150+181+'計算A'!U$5*100000+IF(AND($E17=1,JH17=0),50000,0))+IF($H17=1,(IF('計算A'!T$117=1,INDEX('計算A'!T$10:T$54,$B17),0)+IF('計算A'!U$117=1,INDEX('計算A'!V$10:V$54,$B17),0))*4000,0)-IF(AND('計算A'!T$117=1,UR17&gt;0),2000,0)-IF(AND($L17=1,'計算A'!U$117=1,DT17=0),2000,0))),1000000))</f>
        <v/>
      </c>
      <c r="OX17">
        <f>IF($B17=0,1000000,IF(INDEX('計算A'!$D$60:$EQ$104,$B17,19)*DT17=1,IF(AND($E17=2,JI17=0),1000000,IF($I17&gt;0,IF(1=$J17,IF(OR(AND(19=$I17+1,OR($K17&lt;&gt;'計算A'!$A$3,'計算A'!$A$4=0)),AND(19=$I17-1,OR(19&lt;&gt;'計算A'!$A$3,'計算A'!$A$4=0))),0,IF(19=$K17,200000,ABS(19-$K17)*100)),100000+ABS(1-$J17)*1000+190)+'計算A'!V$5*50+IF(AND($E17=1,JI17=0),25,0),IF($F17&gt;0,INDEX('計算A'!V$110:V$114,$F17+1)+IF(AND($E17=1,JI17=0),1000,0),MIN(TU17,20)*400+(IF('計算A'!U$106=1,1-DS17,0)+IF('計算A'!V$106=1,1-DU17,0))*150+191+'計算A'!V$5*100000+IF(AND($E17=1,JI17=0),50000,0))+IF($H17=1,(IF('計算A'!U$117=1,INDEX('計算A'!U$10:U$54,$B17),0)+IF('計算A'!V$117=1,INDEX('計算A'!W$10:W$54,$B17),0))*4000,0)-IF(AND('計算A'!U$117=1,US17&gt;0),2000,0)-IF(AND($L17=1,'計算A'!V$117=1,DU17=0),2000,0))),1000000))</f>
        <v/>
      </c>
      <c r="OY17">
        <f>IF($B17=0,1000000,IF(INDEX('計算A'!$D$60:$EQ$104,$B17,20)*DU17=1,IF(AND($E17=2,JJ17=0),1000000,IF($I17&gt;0,IF(1=$J17,IF(OR(AND(20=$I17+1,OR($K17&lt;&gt;'計算A'!$A$3,'計算A'!$A$4=0)),AND(20=$I17-1,OR(20&lt;&gt;'計算A'!$A$3,'計算A'!$A$4=0))),0,IF(20=$K17,200000,ABS(20-$K17)*100)),100000+ABS(1-$J17)*1000+200)+'計算A'!W$5*50+IF(AND($E17=1,JJ17=0),25,0),IF($F17&gt;0,INDEX('計算A'!W$110:W$114,$F17+1)+IF(AND($E17=1,JJ17=0),1000,0),MIN(TU17,20)*400+(IF('計算A'!V$106=1,1-DT17,0)+IF('計算A'!W$106=1,1-DV17,0))*150+201+'計算A'!W$5*100000+IF(AND($E17=1,JJ17=0),50000,0))+IF($H17=1,(IF('計算A'!V$117=1,INDEX('計算A'!V$10:V$54,$B17),0)+IF('計算A'!W$117=1,INDEX('計算A'!X$10:X$54,$B17),0))*4000,0)-IF(AND('計算A'!V$117=1,UT17&gt;0),2000,0)-IF(AND($L17=1,'計算A'!W$117=1,DV17=0),2000,0))),1000000))</f>
        <v/>
      </c>
      <c r="OZ17">
        <f>IF($B17=0,1000000,IF(INDEX('計算A'!$D$60:$EQ$104,$B17,21)*DV17=1,IF(AND($E17=2,JK17=0),1000000,IF($I17&gt;0,IF(1=$J17,IF(OR(AND(21=$I17+1,OR($K17&lt;&gt;'計算A'!$A$3,'計算A'!$A$4=0)),AND(21=$I17-1,OR(21&lt;&gt;'計算A'!$A$3,'計算A'!$A$4=0))),0,IF(21=$K17,200000,ABS(21-$K17)*100)),100000+ABS(1-$J17)*1000+210)+'計算A'!X$5*50+IF(AND($E17=1,JK17=0),25,0),IF($F17&gt;0,INDEX('計算A'!X$110:X$114,$F17+1)+IF(AND($E17=1,JK17=0),1000,0),MIN(TU17,20)*400+(IF('計算A'!W$106=1,1-DU17,0)+IF('計算A'!X$106=1,1-DW17,0))*150+211+'計算A'!X$5*100000+IF(AND($E17=1,JK17=0),50000,0))+IF($H17=1,(IF('計算A'!W$117=1,INDEX('計算A'!W$10:W$54,$B17),0)+IF('計算A'!X$117=1,INDEX('計算A'!Y$10:Y$54,$B17),0))*4000,0)-IF(AND('計算A'!W$117=1,UU17&gt;0),2000,0)-IF(AND($L17=1,'計算A'!X$117=1,DW17=0),2000,0))),1000000))</f>
        <v/>
      </c>
      <c r="PA17">
        <f>IF($B17=0,1000000,IF(INDEX('計算A'!$D$60:$EQ$104,$B17,22)*DW17=1,IF(AND($E17=2,JL17=0),1000000,IF($I17&gt;0,IF(1=$J17,IF(OR(AND(22=$I17+1,OR($K17&lt;&gt;'計算A'!$A$3,'計算A'!$A$4=0)),AND(22=$I17-1,OR(22&lt;&gt;'計算A'!$A$3,'計算A'!$A$4=0))),0,IF(22=$K17,200000,ABS(22-$K17)*100)),100000+ABS(1-$J17)*1000+220)+'計算A'!Y$5*50+IF(AND($E17=1,JL17=0),25,0),IF($F17&gt;0,INDEX('計算A'!Y$110:Y$114,$F17+1)+IF(AND($E17=1,JL17=0),1000,0),MIN(TU17,20)*400+(IF('計算A'!X$106=1,1-DV17,0)+IF('計算A'!Y$106=1,1-DX17,0))*150+221+'計算A'!Y$5*100000+IF(AND($E17=1,JL17=0),50000,0))+IF($H17=1,(IF('計算A'!X$117=1,INDEX('計算A'!X$10:X$54,$B17),0)+IF('計算A'!Y$117=1,INDEX('計算A'!Z$10:Z$54,$B17),0))*4000,0)-IF(AND('計算A'!X$117=1,UV17&gt;0),2000,0)-IF(AND($L17=1,'計算A'!Y$117=1,DX17=0),2000,0))),1000000))</f>
        <v/>
      </c>
      <c r="PB17">
        <f>IF($B17=0,1000000,IF(INDEX('計算A'!$D$60:$EQ$104,$B17,23)*DX17=1,IF(AND($E17=2,JM17=0),1000000,IF($I17&gt;0,IF(1=$J17,IF(OR(AND(23=$I17+1,OR($K17&lt;&gt;'計算A'!$A$3,'計算A'!$A$4=0)),AND(23=$I17-1,OR(23&lt;&gt;'計算A'!$A$3,'計算A'!$A$4=0))),0,IF(23=$K17,200000,ABS(23-$K17)*100)),100000+ABS(1-$J17)*1000+230)+'計算A'!Z$5*50+IF(AND($E17=1,JM17=0),25,0),IF($F17&gt;0,INDEX('計算A'!Z$110:Z$114,$F17+1)+IF(AND($E17=1,JM17=0),1000,0),MIN(TU17,20)*400+(IF('計算A'!Y$106=1,1-DW17,0)+IF('計算A'!Z$106=1,1-DY17,0))*150+231+'計算A'!Z$5*100000+IF(AND($E17=1,JM17=0),50000,0))+IF($H17=1,(IF('計算A'!Y$117=1,INDEX('計算A'!Y$10:Y$54,$B17),0)+IF('計算A'!Z$117=1,INDEX('計算A'!AA$10:AA$54,$B17),0))*4000,0)-IF(AND('計算A'!Y$117=1,UW17&gt;0),2000,0)-IF(AND($L17=1,'計算A'!Z$117=1,DY17=0),2000,0))),1000000))</f>
        <v/>
      </c>
      <c r="PC17">
        <f>IF($B17=0,1000000,IF(INDEX('計算A'!$D$60:$EQ$104,$B17,24)*DY17=1,IF(AND($E17=2,JN17=0),1000000,IF($I17&gt;0,IF(1=$J17,IF(OR(AND(24=$I17+1,OR($K17&lt;&gt;'計算A'!$A$3,'計算A'!$A$4=0)),AND(24=$I17-1,OR(24&lt;&gt;'計算A'!$A$3,'計算A'!$A$4=0))),0,IF(24=$K17,200000,ABS(24-$K17)*100)),100000+ABS(1-$J17)*1000+240)+'計算A'!AA$5*50+IF(AND($E17=1,JN17=0),25,0),IF($F17&gt;0,INDEX('計算A'!AA$110:AA$114,$F17+1)+IF(AND($E17=1,JN17=0),1000,0),MIN(TU17,20)*400+(IF('計算A'!Z$106=1,1-DX17,0))*150+241+'計算A'!AA$5*100000+IF(AND($E17=1,JN17=0),50000,0))+IF($H17=1,(IF('計算A'!Z$117=1,INDEX('計算A'!Z$10:Z$54,$B17),0))*4000,0)-IF(AND('計算A'!Z$117=1,UX17&gt;0),2000,0))),1000000))</f>
        <v/>
      </c>
      <c r="PD17">
        <f>IF($B17=0,1000000,IF(INDEX('計算A'!$D$60:$EQ$104,$B17,25)*DZ17=1,IF(AND($E17=2,JO17=0),1000000,IF($I17&gt;0,IF(2=$J17,IF(OR(AND(25=$I17+1,OR($K17&lt;&gt;'計算A'!$A$3,'計算A'!$A$4=0)),AND(25=$I17-1,OR(1&lt;&gt;'計算A'!$A$3,'計算A'!$A$4=0))),0,IF(1=$K17,200000,ABS(1-$K17)*100)),100000+ABS(2-$J17)*1000+10)+'計算A'!AB$5*50+IF(AND($E17=1,JO17=0),25,0),IF($F17&gt;0,INDEX('計算A'!AB$110:AB$114,$F17+1)+IF(AND($E17=1,JO17=0),1000,0),MIN(TV17,20)*400+(IF('計算A'!AB$106=1,1-EA17,0))*150+12+'計算A'!AB$5*100000+IF(AND($E17=1,JO17=0),50000,0))+IF($H17=1,(IF('計算A'!AB$117=1,INDEX('計算A'!AC$10:AC$54,$B17),0))*4000,0)-IF(AND($L17=1,'計算A'!AB$117=1,EA17=0),2000,0))),1000000))</f>
        <v/>
      </c>
      <c r="PE17">
        <f>IF($B17=0,1000000,IF(INDEX('計算A'!$D$60:$EQ$104,$B17,26)*EA17=1,IF(AND($E17=2,JP17=0),1000000,IF($I17&gt;0,IF(2=$J17,IF(OR(AND(26=$I17+1,OR($K17&lt;&gt;'計算A'!$A$3,'計算A'!$A$4=0)),AND(26=$I17-1,OR(2&lt;&gt;'計算A'!$A$3,'計算A'!$A$4=0))),0,IF(2=$K17,200000,ABS(2-$K17)*100)),100000+ABS(2-$J17)*1000+20)+'計算A'!AC$5*50+IF(AND($E17=1,JP17=0),25,0),IF($F17&gt;0,INDEX('計算A'!AC$110:AC$114,$F17+1)+IF(AND($E17=1,JP17=0),1000,0),MIN(TV17,20)*400+(IF('計算A'!AB$106=1,1-DZ17,0)+IF('計算A'!AC$106=1,1-EB17,0))*150+22+'計算A'!AC$5*100000+IF(AND($E17=1,JP17=0),50000,0))+IF($H17=1,(IF('計算A'!AB$117=1,INDEX('計算A'!AB$10:AB$54,$B17),0)+IF('計算A'!AC$117=1,INDEX('計算A'!AD$10:AD$54,$B17),0))*4000,0)-IF(AND('計算A'!AB$117=1,UZ17&gt;0),2000,0)-IF(AND($L17=1,'計算A'!AC$117=1,EB17=0),2000,0))),1000000))</f>
        <v/>
      </c>
      <c r="PF17">
        <f>IF($B17=0,1000000,IF(INDEX('計算A'!$D$60:$EQ$104,$B17,27)*EB17=1,IF(AND($E17=2,JQ17=0),1000000,IF($I17&gt;0,IF(2=$J17,IF(OR(AND(27=$I17+1,OR($K17&lt;&gt;'計算A'!$A$3,'計算A'!$A$4=0)),AND(27=$I17-1,OR(3&lt;&gt;'計算A'!$A$3,'計算A'!$A$4=0))),0,IF(3=$K17,200000,ABS(3-$K17)*100)),100000+ABS(2-$J17)*1000+30)+'計算A'!AD$5*50+IF(AND($E17=1,JQ17=0),25,0),IF($F17&gt;0,INDEX('計算A'!AD$110:AD$114,$F17+1)+IF(AND($E17=1,JQ17=0),1000,0),MIN(TV17,20)*400+(IF('計算A'!AC$106=1,1-EA17,0)+IF('計算A'!AD$106=1,1-EC17,0))*150+32+'計算A'!AD$5*100000+IF(AND($E17=1,JQ17=0),50000,0))+IF($H17=1,(IF('計算A'!AC$117=1,INDEX('計算A'!AC$10:AC$54,$B17),0)+IF('計算A'!AD$117=1,INDEX('計算A'!AE$10:AE$54,$B17),0))*4000,0)-IF(AND('計算A'!AC$117=1,VA17&gt;0),2000,0)-IF(AND($L17=1,'計算A'!AD$117=1,EC17=0),2000,0))),1000000))</f>
        <v/>
      </c>
      <c r="PG17">
        <f>IF($B17=0,1000000,IF(INDEX('計算A'!$D$60:$EQ$104,$B17,28)*EC17=1,IF(AND($E17=2,JR17=0),1000000,IF($I17&gt;0,IF(2=$J17,IF(OR(AND(28=$I17+1,OR($K17&lt;&gt;'計算A'!$A$3,'計算A'!$A$4=0)),AND(28=$I17-1,OR(4&lt;&gt;'計算A'!$A$3,'計算A'!$A$4=0))),0,IF(4=$K17,200000,ABS(4-$K17)*100)),100000+ABS(2-$J17)*1000+40)+'計算A'!AE$5*50+IF(AND($E17=1,JR17=0),25,0),IF($F17&gt;0,INDEX('計算A'!AE$110:AE$114,$F17+1)+IF(AND($E17=1,JR17=0),1000,0),MIN(TV17,20)*400+(IF('計算A'!AD$106=1,1-EB17,0)+IF('計算A'!AE$106=1,1-ED17,0))*150+42+'計算A'!AE$5*100000+IF(AND($E17=1,JR17=0),50000,0))+IF($H17=1,(IF('計算A'!AD$117=1,INDEX('計算A'!AD$10:AD$54,$B17),0)+IF('計算A'!AE$117=1,INDEX('計算A'!AF$10:AF$54,$B17),0))*4000,0)-IF(AND('計算A'!AD$117=1,VB17&gt;0),2000,0)-IF(AND($L17=1,'計算A'!AE$117=1,ED17=0),2000,0))),1000000))</f>
        <v/>
      </c>
      <c r="PH17">
        <f>IF($B17=0,1000000,IF(INDEX('計算A'!$D$60:$EQ$104,$B17,29)*ED17=1,IF(AND($E17=2,JS17=0),1000000,IF($I17&gt;0,IF(2=$J17,IF(OR(AND(29=$I17+1,OR($K17&lt;&gt;'計算A'!$A$3,'計算A'!$A$4=0)),AND(29=$I17-1,OR(5&lt;&gt;'計算A'!$A$3,'計算A'!$A$4=0))),0,IF(5=$K17,200000,ABS(5-$K17)*100)),100000+ABS(2-$J17)*1000+50)+'計算A'!AF$5*50+IF(AND($E17=1,JS17=0),25,0),IF($F17&gt;0,INDEX('計算A'!AF$110:AF$114,$F17+1)+IF(AND($E17=1,JS17=0),1000,0),MIN(TV17,20)*400+(IF('計算A'!AE$106=1,1-EC17,0)+IF('計算A'!AF$106=1,1-EE17,0))*150+52+'計算A'!AF$5*100000+IF(AND($E17=1,JS17=0),50000,0))+IF($H17=1,(IF('計算A'!AE$117=1,INDEX('計算A'!AE$10:AE$54,$B17),0)+IF('計算A'!AF$117=1,INDEX('計算A'!AG$10:AG$54,$B17),0))*4000,0)-IF(AND('計算A'!AE$117=1,VC17&gt;0),2000,0)-IF(AND($L17=1,'計算A'!AF$117=1,EE17=0),2000,0))),1000000))</f>
        <v/>
      </c>
      <c r="PI17">
        <f>IF($B17=0,1000000,IF(INDEX('計算A'!$D$60:$EQ$104,$B17,30)*EE17=1,IF(AND($E17=2,JT17=0),1000000,IF($I17&gt;0,IF(2=$J17,IF(OR(AND(30=$I17+1,OR($K17&lt;&gt;'計算A'!$A$3,'計算A'!$A$4=0)),AND(30=$I17-1,OR(6&lt;&gt;'計算A'!$A$3,'計算A'!$A$4=0))),0,IF(6=$K17,200000,ABS(6-$K17)*100)),100000+ABS(2-$J17)*1000+60)+'計算A'!AG$5*50+IF(AND($E17=1,JT17=0),25,0),IF($F17&gt;0,INDEX('計算A'!AG$110:AG$114,$F17+1)+IF(AND($E17=1,JT17=0),1000,0),MIN(TV17,20)*400+(IF('計算A'!AF$106=1,1-ED17,0)+IF('計算A'!AG$106=1,1-EF17,0))*150+62+'計算A'!AG$5*100000+IF(AND($E17=1,JT17=0),50000,0))+IF($H17=1,(IF('計算A'!AF$117=1,INDEX('計算A'!AF$10:AF$54,$B17),0)+IF('計算A'!AG$117=1,INDEX('計算A'!AH$10:AH$54,$B17),0))*4000,0)-IF(AND('計算A'!AF$117=1,VD17&gt;0),2000,0)-IF(AND($L17=1,'計算A'!AG$117=1,EF17=0),2000,0))),1000000))</f>
        <v/>
      </c>
      <c r="PJ17">
        <f>IF($B17=0,1000000,IF(INDEX('計算A'!$D$60:$EQ$104,$B17,31)*EF17=1,IF(AND($E17=2,JU17=0),1000000,IF($I17&gt;0,IF(2=$J17,IF(OR(AND(31=$I17+1,OR($K17&lt;&gt;'計算A'!$A$3,'計算A'!$A$4=0)),AND(31=$I17-1,OR(7&lt;&gt;'計算A'!$A$3,'計算A'!$A$4=0))),0,IF(7=$K17,200000,ABS(7-$K17)*100)),100000+ABS(2-$J17)*1000+70)+'計算A'!AH$5*50+IF(AND($E17=1,JU17=0),25,0),IF($F17&gt;0,INDEX('計算A'!AH$110:AH$114,$F17+1)+IF(AND($E17=1,JU17=0),1000,0),MIN(TV17,20)*400+(IF('計算A'!AG$106=1,1-EE17,0)+IF('計算A'!AH$106=1,1-EG17,0))*150+72+'計算A'!AH$5*100000+IF(AND($E17=1,JU17=0),50000,0))+IF($H17=1,(IF('計算A'!AG$117=1,INDEX('計算A'!AG$10:AG$54,$B17),0)+IF('計算A'!AH$117=1,INDEX('計算A'!AI$10:AI$54,$B17),0))*4000,0)-IF(AND('計算A'!AG$117=1,VE17&gt;0),2000,0)-IF(AND($L17=1,'計算A'!AH$117=1,EG17=0),2000,0))),1000000))</f>
        <v/>
      </c>
      <c r="PK17">
        <f>IF($B17=0,1000000,IF(INDEX('計算A'!$D$60:$EQ$104,$B17,32)*EG17=1,IF(AND($E17=2,JV17=0),1000000,IF($I17&gt;0,IF(2=$J17,IF(OR(AND(32=$I17+1,OR($K17&lt;&gt;'計算A'!$A$3,'計算A'!$A$4=0)),AND(32=$I17-1,OR(8&lt;&gt;'計算A'!$A$3,'計算A'!$A$4=0))),0,IF(8=$K17,200000,ABS(8-$K17)*100)),100000+ABS(2-$J17)*1000+80)+'計算A'!AI$5*50+IF(AND($E17=1,JV17=0),25,0),IF($F17&gt;0,INDEX('計算A'!AI$110:AI$114,$F17+1)+IF(AND($E17=1,JV17=0),1000,0),MIN(TV17,20)*400+(IF('計算A'!AH$106=1,1-EF17,0)+IF('計算A'!AI$106=1,1-EH17,0))*150+82+'計算A'!AI$5*100000+IF(AND($E17=1,JV17=0),50000,0))+IF($H17=1,(IF('計算A'!AH$117=1,INDEX('計算A'!AH$10:AH$54,$B17),0)+IF('計算A'!AI$117=1,INDEX('計算A'!AJ$10:AJ$54,$B17),0))*4000,0)-IF(AND('計算A'!AH$117=1,VF17&gt;0),2000,0)-IF(AND($L17=1,'計算A'!AI$117=1,EH17=0),2000,0))),1000000))</f>
        <v/>
      </c>
      <c r="PL17">
        <f>IF($B17=0,1000000,IF(INDEX('計算A'!$D$60:$EQ$104,$B17,33)*EH17=1,IF(AND($E17=2,JW17=0),1000000,IF($I17&gt;0,IF(2=$J17,IF(OR(AND(33=$I17+1,OR($K17&lt;&gt;'計算A'!$A$3,'計算A'!$A$4=0)),AND(33=$I17-1,OR(9&lt;&gt;'計算A'!$A$3,'計算A'!$A$4=0))),0,IF(9=$K17,200000,ABS(9-$K17)*100)),100000+ABS(2-$J17)*1000+90)+'計算A'!AJ$5*50+IF(AND($E17=1,JW17=0),25,0),IF($F17&gt;0,INDEX('計算A'!AJ$110:AJ$114,$F17+1)+IF(AND($E17=1,JW17=0),1000,0),MIN(TV17,20)*400+(IF('計算A'!AI$106=1,1-EG17,0)+IF('計算A'!AJ$106=1,1-EI17,0))*150+92+'計算A'!AJ$5*100000+IF(AND($E17=1,JW17=0),50000,0))+IF($H17=1,(IF('計算A'!AI$117=1,INDEX('計算A'!AI$10:AI$54,$B17),0)+IF('計算A'!AJ$117=1,INDEX('計算A'!AK$10:AK$54,$B17),0))*4000,0)-IF(AND('計算A'!AI$117=1,VG17&gt;0),2000,0)-IF(AND($L17=1,'計算A'!AJ$117=1,EI17=0),2000,0))),1000000))</f>
        <v/>
      </c>
      <c r="PM17">
        <f>IF($B17=0,1000000,IF(INDEX('計算A'!$D$60:$EQ$104,$B17,34)*EI17=1,IF(AND($E17=2,JX17=0),1000000,IF($I17&gt;0,IF(2=$J17,IF(OR(AND(34=$I17+1,OR($K17&lt;&gt;'計算A'!$A$3,'計算A'!$A$4=0)),AND(34=$I17-1,OR(10&lt;&gt;'計算A'!$A$3,'計算A'!$A$4=0))),0,IF(10=$K17,200000,ABS(10-$K17)*100)),100000+ABS(2-$J17)*1000+100)+'計算A'!AK$5*50+IF(AND($E17=1,JX17=0),25,0),IF($F17&gt;0,INDEX('計算A'!AK$110:AK$114,$F17+1)+IF(AND($E17=1,JX17=0),1000,0),MIN(TV17,20)*400+(IF('計算A'!AJ$106=1,1-EH17,0)+IF('計算A'!AK$106=1,1-EJ17,0))*150+102+'計算A'!AK$5*100000+IF(AND($E17=1,JX17=0),50000,0))+IF($H17=1,(IF('計算A'!AJ$117=1,INDEX('計算A'!AJ$10:AJ$54,$B17),0)+IF('計算A'!AK$117=1,INDEX('計算A'!AL$10:AL$54,$B17),0))*4000,0)-IF(AND('計算A'!AJ$117=1,VH17&gt;0),2000,0)-IF(AND($L17=1,'計算A'!AK$117=1,EJ17=0),2000,0))),1000000))</f>
        <v/>
      </c>
      <c r="PN17">
        <f>IF($B17=0,1000000,IF(INDEX('計算A'!$D$60:$EQ$104,$B17,35)*EJ17=1,IF(AND($E17=2,JY17=0),1000000,IF($I17&gt;0,IF(2=$J17,IF(OR(AND(35=$I17+1,OR($K17&lt;&gt;'計算A'!$A$3,'計算A'!$A$4=0)),AND(35=$I17-1,OR(11&lt;&gt;'計算A'!$A$3,'計算A'!$A$4=0))),0,IF(11=$K17,200000,ABS(11-$K17)*100)),100000+ABS(2-$J17)*1000+110)+'計算A'!AL$5*50+IF(AND($E17=1,JY17=0),25,0),IF($F17&gt;0,INDEX('計算A'!AL$110:AL$114,$F17+1)+IF(AND($E17=1,JY17=0),1000,0),MIN(TV17,20)*400+(IF('計算A'!AK$106=1,1-EI17,0)+IF('計算A'!AL$106=1,1-EK17,0))*150+112+'計算A'!AL$5*100000+IF(AND($E17=1,JY17=0),50000,0))+IF($H17=1,(IF('計算A'!AK$117=1,INDEX('計算A'!AK$10:AK$54,$B17),0)+IF('計算A'!AL$117=1,INDEX('計算A'!AM$10:AM$54,$B17),0))*4000,0)-IF(AND('計算A'!AK$117=1,VI17&gt;0),2000,0)-IF(AND($L17=1,'計算A'!AL$117=1,EK17=0),2000,0))),1000000))</f>
        <v/>
      </c>
      <c r="PO17">
        <f>IF($B17=0,1000000,IF(INDEX('計算A'!$D$60:$EQ$104,$B17,36)*EK17=1,IF(AND($E17=2,JZ17=0),1000000,IF($I17&gt;0,IF(2=$J17,IF(OR(AND(36=$I17+1,OR($K17&lt;&gt;'計算A'!$A$3,'計算A'!$A$4=0)),AND(36=$I17-1,OR(12&lt;&gt;'計算A'!$A$3,'計算A'!$A$4=0))),0,IF(12=$K17,200000,ABS(12-$K17)*100)),100000+ABS(2-$J17)*1000+120)+'計算A'!AM$5*50+IF(AND($E17=1,JZ17=0),25,0),IF($F17&gt;0,INDEX('計算A'!AM$110:AM$114,$F17+1)+IF(AND($E17=1,JZ17=0),1000,0),MIN(TV17,20)*400+(IF('計算A'!AL$106=1,1-EJ17,0)+IF('計算A'!AM$106=1,1-EL17,0))*150+122+'計算A'!AM$5*100000+IF(AND($E17=1,JZ17=0),50000,0))+IF($H17=1,(IF('計算A'!AL$117=1,INDEX('計算A'!AL$10:AL$54,$B17),0)+IF('計算A'!AM$117=1,INDEX('計算A'!AN$10:AN$54,$B17),0))*4000,0)-IF(AND('計算A'!AL$117=1,VJ17&gt;0),2000,0)-IF(AND($L17=1,'計算A'!AM$117=1,EL17=0),2000,0))),1000000))</f>
        <v/>
      </c>
      <c r="PP17">
        <f>IF($B17=0,1000000,IF(INDEX('計算A'!$D$60:$EQ$104,$B17,37)*EL17=1,IF(AND($E17=2,KA17=0),1000000,IF($I17&gt;0,IF(2=$J17,IF(OR(AND(37=$I17+1,OR($K17&lt;&gt;'計算A'!$A$3,'計算A'!$A$4=0)),AND(37=$I17-1,OR(13&lt;&gt;'計算A'!$A$3,'計算A'!$A$4=0))),0,IF(13=$K17,200000,ABS(13-$K17)*100)),100000+ABS(2-$J17)*1000+130)+'計算A'!AN$5*50+IF(AND($E17=1,KA17=0),25,0),IF($F17&gt;0,INDEX('計算A'!AN$110:AN$114,$F17+1)+IF(AND($E17=1,KA17=0),1000,0),MIN(TV17,20)*400+(IF('計算A'!AM$106=1,1-EK17,0)+IF('計算A'!AN$106=1,1-EM17,0))*150+132+'計算A'!AN$5*100000+IF(AND($E17=1,KA17=0),50000,0))+IF($H17=1,(IF('計算A'!AM$117=1,INDEX('計算A'!AM$10:AM$54,$B17),0)+IF('計算A'!AN$117=1,INDEX('計算A'!AO$10:AO$54,$B17),0))*4000,0)-IF(AND('計算A'!AM$117=1,VK17&gt;0),2000,0)-IF(AND($L17=1,'計算A'!AN$117=1,EM17=0),2000,0))),1000000))</f>
        <v/>
      </c>
      <c r="PQ17">
        <f>IF($B17=0,1000000,IF(INDEX('計算A'!$D$60:$EQ$104,$B17,38)*EM17=1,IF(AND($E17=2,KB17=0),1000000,IF($I17&gt;0,IF(2=$J17,IF(OR(AND(38=$I17+1,OR($K17&lt;&gt;'計算A'!$A$3,'計算A'!$A$4=0)),AND(38=$I17-1,OR(14&lt;&gt;'計算A'!$A$3,'計算A'!$A$4=0))),0,IF(14=$K17,200000,ABS(14-$K17)*100)),100000+ABS(2-$J17)*1000+140)+'計算A'!AO$5*50+IF(AND($E17=1,KB17=0),25,0),IF($F17&gt;0,INDEX('計算A'!AO$110:AO$114,$F17+1)+IF(AND($E17=1,KB17=0),1000,0),MIN(TV17,20)*400+(IF('計算A'!AN$106=1,1-EL17,0)+IF('計算A'!AO$106=1,1-EN17,0))*150+142+'計算A'!AO$5*100000+IF(AND($E17=1,KB17=0),50000,0))+IF($H17=1,(IF('計算A'!AN$117=1,INDEX('計算A'!AN$10:AN$54,$B17),0)+IF('計算A'!AO$117=1,INDEX('計算A'!AP$10:AP$54,$B17),0))*4000,0)-IF(AND('計算A'!AN$117=1,VL17&gt;0),2000,0)-IF(AND($L17=1,'計算A'!AO$117=1,EN17=0),2000,0))),1000000))</f>
        <v/>
      </c>
      <c r="PR17">
        <f>IF($B17=0,1000000,IF(INDEX('計算A'!$D$60:$EQ$104,$B17,39)*EN17=1,IF(AND($E17=2,KC17=0),1000000,IF($I17&gt;0,IF(2=$J17,IF(OR(AND(39=$I17+1,OR($K17&lt;&gt;'計算A'!$A$3,'計算A'!$A$4=0)),AND(39=$I17-1,OR(15&lt;&gt;'計算A'!$A$3,'計算A'!$A$4=0))),0,IF(15=$K17,200000,ABS(15-$K17)*100)),100000+ABS(2-$J17)*1000+150)+'計算A'!AP$5*50+IF(AND($E17=1,KC17=0),25,0),IF($F17&gt;0,INDEX('計算A'!AP$110:AP$114,$F17+1)+IF(AND($E17=1,KC17=0),1000,0),MIN(TV17,20)*400+(IF('計算A'!AO$106=1,1-EM17,0)+IF('計算A'!AP$106=1,1-EO17,0))*150+152+'計算A'!AP$5*100000+IF(AND($E17=1,KC17=0),50000,0))+IF($H17=1,(IF('計算A'!AO$117=1,INDEX('計算A'!AO$10:AO$54,$B17),0)+IF('計算A'!AP$117=1,INDEX('計算A'!AQ$10:AQ$54,$B17),0))*4000,0)-IF(AND('計算A'!AO$117=1,VM17&gt;0),2000,0)-IF(AND($L17=1,'計算A'!AP$117=1,EO17=0),2000,0))),1000000))</f>
        <v/>
      </c>
      <c r="PS17">
        <f>IF($B17=0,1000000,IF(INDEX('計算A'!$D$60:$EQ$104,$B17,40)*EO17=1,IF(AND($E17=2,KD17=0),1000000,IF($I17&gt;0,IF(2=$J17,IF(OR(AND(40=$I17+1,OR($K17&lt;&gt;'計算A'!$A$3,'計算A'!$A$4=0)),AND(40=$I17-1,OR(16&lt;&gt;'計算A'!$A$3,'計算A'!$A$4=0))),0,IF(16=$K17,200000,ABS(16-$K17)*100)),100000+ABS(2-$J17)*1000+160)+'計算A'!AQ$5*50+IF(AND($E17=1,KD17=0),25,0),IF($F17&gt;0,INDEX('計算A'!AQ$110:AQ$114,$F17+1)+IF(AND($E17=1,KD17=0),1000,0),MIN(TV17,20)*400+(IF('計算A'!AP$106=1,1-EN17,0)+IF('計算A'!AQ$106=1,1-EP17,0))*150+162+'計算A'!AQ$5*100000+IF(AND($E17=1,KD17=0),50000,0))+IF($H17=1,(IF('計算A'!AP$117=1,INDEX('計算A'!AP$10:AP$54,$B17),0)+IF('計算A'!AQ$117=1,INDEX('計算A'!AR$10:AR$54,$B17),0))*4000,0)-IF(AND('計算A'!AP$117=1,VN17&gt;0),2000,0)-IF(AND($L17=1,'計算A'!AQ$117=1,EP17=0),2000,0))),1000000))</f>
        <v/>
      </c>
      <c r="PT17">
        <f>IF($B17=0,1000000,IF(INDEX('計算A'!$D$60:$EQ$104,$B17,41)*EP17=1,IF(AND($E17=2,KE17=0),1000000,IF($I17&gt;0,IF(2=$J17,IF(OR(AND(41=$I17+1,OR($K17&lt;&gt;'計算A'!$A$3,'計算A'!$A$4=0)),AND(41=$I17-1,OR(17&lt;&gt;'計算A'!$A$3,'計算A'!$A$4=0))),0,IF(17=$K17,200000,ABS(17-$K17)*100)),100000+ABS(2-$J17)*1000+170)+'計算A'!AR$5*50+IF(AND($E17=1,KE17=0),25,0),IF($F17&gt;0,INDEX('計算A'!AR$110:AR$114,$F17+1)+IF(AND($E17=1,KE17=0),1000,0),MIN(TV17,20)*400+(IF('計算A'!AQ$106=1,1-EO17,0)+IF('計算A'!AR$106=1,1-EQ17,0))*150+172+'計算A'!AR$5*100000+IF(AND($E17=1,KE17=0),50000,0))+IF($H17=1,(IF('計算A'!AQ$117=1,INDEX('計算A'!AQ$10:AQ$54,$B17),0)+IF('計算A'!AR$117=1,INDEX('計算A'!AS$10:AS$54,$B17),0))*4000,0)-IF(AND('計算A'!AQ$117=1,VO17&gt;0),2000,0)-IF(AND($L17=1,'計算A'!AR$117=1,EQ17=0),2000,0))),1000000))</f>
        <v/>
      </c>
      <c r="PU17">
        <f>IF($B17=0,1000000,IF(INDEX('計算A'!$D$60:$EQ$104,$B17,42)*EQ17=1,IF(AND($E17=2,KF17=0),1000000,IF($I17&gt;0,IF(2=$J17,IF(OR(AND(42=$I17+1,OR($K17&lt;&gt;'計算A'!$A$3,'計算A'!$A$4=0)),AND(42=$I17-1,OR(18&lt;&gt;'計算A'!$A$3,'計算A'!$A$4=0))),0,IF(18=$K17,200000,ABS(18-$K17)*100)),100000+ABS(2-$J17)*1000+180)+'計算A'!AS$5*50+IF(AND($E17=1,KF17=0),25,0),IF($F17&gt;0,INDEX('計算A'!AS$110:AS$114,$F17+1)+IF(AND($E17=1,KF17=0),1000,0),MIN(TV17,20)*400+(IF('計算A'!AR$106=1,1-EP17,0)+IF('計算A'!AS$106=1,1-ER17,0))*150+182+'計算A'!AS$5*100000+IF(AND($E17=1,KF17=0),50000,0))+IF($H17=1,(IF('計算A'!AR$117=1,INDEX('計算A'!AR$10:AR$54,$B17),0)+IF('計算A'!AS$117=1,INDEX('計算A'!AT$10:AT$54,$B17),0))*4000,0)-IF(AND('計算A'!AR$117=1,VP17&gt;0),2000,0)-IF(AND($L17=1,'計算A'!AS$117=1,ER17=0),2000,0))),1000000))</f>
        <v/>
      </c>
      <c r="PV17">
        <f>IF($B17=0,1000000,IF(INDEX('計算A'!$D$60:$EQ$104,$B17,43)*ER17=1,IF(AND($E17=2,KG17=0),1000000,IF($I17&gt;0,IF(2=$J17,IF(OR(AND(43=$I17+1,OR($K17&lt;&gt;'計算A'!$A$3,'計算A'!$A$4=0)),AND(43=$I17-1,OR(19&lt;&gt;'計算A'!$A$3,'計算A'!$A$4=0))),0,IF(19=$K17,200000,ABS(19-$K17)*100)),100000+ABS(2-$J17)*1000+190)+'計算A'!AT$5*50+IF(AND($E17=1,KG17=0),25,0),IF($F17&gt;0,INDEX('計算A'!AT$110:AT$114,$F17+1)+IF(AND($E17=1,KG17=0),1000,0),MIN(TV17,20)*400+(IF('計算A'!AS$106=1,1-EQ17,0)+IF('計算A'!AT$106=1,1-ES17,0))*150+192+'計算A'!AT$5*100000+IF(AND($E17=1,KG17=0),50000,0))+IF($H17=1,(IF('計算A'!AS$117=1,INDEX('計算A'!AS$10:AS$54,$B17),0)+IF('計算A'!AT$117=1,INDEX('計算A'!AU$10:AU$54,$B17),0))*4000,0)-IF(AND('計算A'!AS$117=1,VQ17&gt;0),2000,0)-IF(AND($L17=1,'計算A'!AT$117=1,ES17=0),2000,0))),1000000))</f>
        <v/>
      </c>
      <c r="PW17">
        <f>IF($B17=0,1000000,IF(INDEX('計算A'!$D$60:$EQ$104,$B17,44)*ES17=1,IF(AND($E17=2,KH17=0),1000000,IF($I17&gt;0,IF(2=$J17,IF(OR(AND(44=$I17+1,OR($K17&lt;&gt;'計算A'!$A$3,'計算A'!$A$4=0)),AND(44=$I17-1,OR(20&lt;&gt;'計算A'!$A$3,'計算A'!$A$4=0))),0,IF(20=$K17,200000,ABS(20-$K17)*100)),100000+ABS(2-$J17)*1000+200)+'計算A'!AU$5*50+IF(AND($E17=1,KH17=0),25,0),IF($F17&gt;0,INDEX('計算A'!AU$110:AU$114,$F17+1)+IF(AND($E17=1,KH17=0),1000,0),MIN(TV17,20)*400+(IF('計算A'!AT$106=1,1-ER17,0)+IF('計算A'!AU$106=1,1-ET17,0))*150+202+'計算A'!AU$5*100000+IF(AND($E17=1,KH17=0),50000,0))+IF($H17=1,(IF('計算A'!AT$117=1,INDEX('計算A'!AT$10:AT$54,$B17),0)+IF('計算A'!AU$117=1,INDEX('計算A'!AV$10:AV$54,$B17),0))*4000,0)-IF(AND('計算A'!AT$117=1,VR17&gt;0),2000,0)-IF(AND($L17=1,'計算A'!AU$117=1,ET17=0),2000,0))),1000000))</f>
        <v/>
      </c>
      <c r="PX17">
        <f>IF($B17=0,1000000,IF(INDEX('計算A'!$D$60:$EQ$104,$B17,45)*ET17=1,IF(AND($E17=2,KI17=0),1000000,IF($I17&gt;0,IF(2=$J17,IF(OR(AND(45=$I17+1,OR($K17&lt;&gt;'計算A'!$A$3,'計算A'!$A$4=0)),AND(45=$I17-1,OR(21&lt;&gt;'計算A'!$A$3,'計算A'!$A$4=0))),0,IF(21=$K17,200000,ABS(21-$K17)*100)),100000+ABS(2-$J17)*1000+210)+'計算A'!AV$5*50+IF(AND($E17=1,KI17=0),25,0),IF($F17&gt;0,INDEX('計算A'!AV$110:AV$114,$F17+1)+IF(AND($E17=1,KI17=0),1000,0),MIN(TV17,20)*400+(IF('計算A'!AU$106=1,1-ES17,0)+IF('計算A'!AV$106=1,1-EU17,0))*150+212+'計算A'!AV$5*100000+IF(AND($E17=1,KI17=0),50000,0))+IF($H17=1,(IF('計算A'!AU$117=1,INDEX('計算A'!AU$10:AU$54,$B17),0)+IF('計算A'!AV$117=1,INDEX('計算A'!AW$10:AW$54,$B17),0))*4000,0)-IF(AND('計算A'!AU$117=1,VS17&gt;0),2000,0)-IF(AND($L17=1,'計算A'!AV$117=1,EU17=0),2000,0))),1000000))</f>
        <v/>
      </c>
      <c r="PY17">
        <f>IF($B17=0,1000000,IF(INDEX('計算A'!$D$60:$EQ$104,$B17,46)*EU17=1,IF(AND($E17=2,KJ17=0),1000000,IF($I17&gt;0,IF(2=$J17,IF(OR(AND(46=$I17+1,OR($K17&lt;&gt;'計算A'!$A$3,'計算A'!$A$4=0)),AND(46=$I17-1,OR(22&lt;&gt;'計算A'!$A$3,'計算A'!$A$4=0))),0,IF(22=$K17,200000,ABS(22-$K17)*100)),100000+ABS(2-$J17)*1000+220)+'計算A'!AW$5*50+IF(AND($E17=1,KJ17=0),25,0),IF($F17&gt;0,INDEX('計算A'!AW$110:AW$114,$F17+1)+IF(AND($E17=1,KJ17=0),1000,0),MIN(TV17,20)*400+(IF('計算A'!AV$106=1,1-ET17,0)+IF('計算A'!AW$106=1,1-EV17,0))*150+222+'計算A'!AW$5*100000+IF(AND($E17=1,KJ17=0),50000,0))+IF($H17=1,(IF('計算A'!AV$117=1,INDEX('計算A'!AV$10:AV$54,$B17),0)+IF('計算A'!AW$117=1,INDEX('計算A'!AX$10:AX$54,$B17),0))*4000,0)-IF(AND('計算A'!AV$117=1,VT17&gt;0),2000,0)-IF(AND($L17=1,'計算A'!AW$117=1,EV17=0),2000,0))),1000000))</f>
        <v/>
      </c>
      <c r="PZ17">
        <f>IF($B17=0,1000000,IF(INDEX('計算A'!$D$60:$EQ$104,$B17,47)*EV17=1,IF(AND($E17=2,KK17=0),1000000,IF($I17&gt;0,IF(2=$J17,IF(OR(AND(47=$I17+1,OR($K17&lt;&gt;'計算A'!$A$3,'計算A'!$A$4=0)),AND(47=$I17-1,OR(23&lt;&gt;'計算A'!$A$3,'計算A'!$A$4=0))),0,IF(23=$K17,200000,ABS(23-$K17)*100)),100000+ABS(2-$J17)*1000+230)+'計算A'!AX$5*50+IF(AND($E17=1,KK17=0),25,0),IF($F17&gt;0,INDEX('計算A'!AX$110:AX$114,$F17+1)+IF(AND($E17=1,KK17=0),1000,0),MIN(TV17,20)*400+(IF('計算A'!AW$106=1,1-EU17,0)+IF('計算A'!AX$106=1,1-EW17,0))*150+232+'計算A'!AX$5*100000+IF(AND($E17=1,KK17=0),50000,0))+IF($H17=1,(IF('計算A'!AW$117=1,INDEX('計算A'!AW$10:AW$54,$B17),0)+IF('計算A'!AX$117=1,INDEX('計算A'!AY$10:AY$54,$B17),0))*4000,0)-IF(AND('計算A'!AW$117=1,VU17&gt;0),2000,0)-IF(AND($L17=1,'計算A'!AX$117=1,EW17=0),2000,0))),1000000))</f>
        <v/>
      </c>
      <c r="QA17">
        <f>IF($B17=0,1000000,IF(INDEX('計算A'!$D$60:$EQ$104,$B17,48)*EW17=1,IF(AND($E17=2,KL17=0),1000000,IF($I17&gt;0,IF(2=$J17,IF(OR(AND(48=$I17+1,OR($K17&lt;&gt;'計算A'!$A$3,'計算A'!$A$4=0)),AND(48=$I17-1,OR(24&lt;&gt;'計算A'!$A$3,'計算A'!$A$4=0))),0,IF(24=$K17,200000,ABS(24-$K17)*100)),100000+ABS(2-$J17)*1000+240)+'計算A'!AY$5*50+IF(AND($E17=1,KL17=0),25,0),IF($F17&gt;0,INDEX('計算A'!AY$110:AY$114,$F17+1)+IF(AND($E17=1,KL17=0),1000,0),MIN(TV17,20)*400+(IF('計算A'!AX$106=1,1-EV17,0))*150+242+'計算A'!AY$5*100000+IF(AND($E17=1,KL17=0),50000,0))+IF($H17=1,(IF('計算A'!AX$117=1,INDEX('計算A'!AX$10:AX$54,$B17),0))*4000,0)-IF(AND('計算A'!AX$117=1,VV17&gt;0),2000,0))),1000000))</f>
        <v/>
      </c>
      <c r="QB17">
        <f>IF($B17=0,1000000,IF(INDEX('計算A'!$D$60:$EQ$104,$B17,49)*EX17=1,IF(AND($E17=2,KM17=0),1000000,IF($I17&gt;0,IF(3=$J17,IF(OR(AND(49=$I17+1,OR($K17&lt;&gt;'計算A'!$A$3,'計算A'!$A$4=0)),AND(49=$I17-1,OR(1&lt;&gt;'計算A'!$A$3,'計算A'!$A$4=0))),0,IF(1=$K17,200000,ABS(1-$K17)*100)),100000+ABS(3-$J17)*1000+10)+'計算A'!AZ$5*50+IF(AND($E17=1,KM17=0),25,0),IF($F17&gt;0,INDEX('計算A'!AZ$110:AZ$114,$F17+1)+IF(AND($E17=1,KM17=0),1000,0),MIN(TW17,20)*400+(IF('計算A'!AZ$106=1,1-EY17,0))*150+13+'計算A'!AZ$5*100000+IF(AND($E17=1,KM17=0),50000,0))+IF($H17=1,(IF('計算A'!AZ$117=1,INDEX('計算A'!BA$10:BA$54,$B17),0))*4000,0)-IF(AND($L17=1,'計算A'!AZ$117=1,EY17=0),2000,0))),1000000))</f>
        <v/>
      </c>
      <c r="QC17">
        <f>IF($B17=0,1000000,IF(INDEX('計算A'!$D$60:$EQ$104,$B17,50)*EY17=1,IF(AND($E17=2,KN17=0),1000000,IF($I17&gt;0,IF(3=$J17,IF(OR(AND(50=$I17+1,OR($K17&lt;&gt;'計算A'!$A$3,'計算A'!$A$4=0)),AND(50=$I17-1,OR(2&lt;&gt;'計算A'!$A$3,'計算A'!$A$4=0))),0,IF(2=$K17,200000,ABS(2-$K17)*100)),100000+ABS(3-$J17)*1000+20)+'計算A'!BA$5*50+IF(AND($E17=1,KN17=0),25,0),IF($F17&gt;0,INDEX('計算A'!BA$110:BA$114,$F17+1)+IF(AND($E17=1,KN17=0),1000,0),MIN(TW17,20)*400+(IF('計算A'!AZ$106=1,1-EX17,0)+IF('計算A'!BA$106=1,1-EZ17,0))*150+23+'計算A'!BA$5*100000+IF(AND($E17=1,KN17=0),50000,0))+IF($H17=1,(IF('計算A'!AZ$117=1,INDEX('計算A'!AZ$10:AZ$54,$B17),0)+IF('計算A'!BA$117=1,INDEX('計算A'!BB$10:BB$54,$B17),0))*4000,0)-IF(AND('計算A'!AZ$117=1,VX17&gt;0),2000,0)-IF(AND($L17=1,'計算A'!BA$117=1,EZ17=0),2000,0))),1000000))</f>
        <v/>
      </c>
      <c r="QD17">
        <f>IF($B17=0,1000000,IF(INDEX('計算A'!$D$60:$EQ$104,$B17,51)*EZ17=1,IF(AND($E17=2,KO17=0),1000000,IF($I17&gt;0,IF(3=$J17,IF(OR(AND(51=$I17+1,OR($K17&lt;&gt;'計算A'!$A$3,'計算A'!$A$4=0)),AND(51=$I17-1,OR(3&lt;&gt;'計算A'!$A$3,'計算A'!$A$4=0))),0,IF(3=$K17,200000,ABS(3-$K17)*100)),100000+ABS(3-$J17)*1000+30)+'計算A'!BB$5*50+IF(AND($E17=1,KO17=0),25,0),IF($F17&gt;0,INDEX('計算A'!BB$110:BB$114,$F17+1)+IF(AND($E17=1,KO17=0),1000,0),MIN(TW17,20)*400+(IF('計算A'!BA$106=1,1-EY17,0)+IF('計算A'!BB$106=1,1-FA17,0))*150+33+'計算A'!BB$5*100000+IF(AND($E17=1,KO17=0),50000,0))+IF($H17=1,(IF('計算A'!BA$117=1,INDEX('計算A'!BA$10:BA$54,$B17),0)+IF('計算A'!BB$117=1,INDEX('計算A'!BC$10:BC$54,$B17),0))*4000,0)-IF(AND('計算A'!BA$117=1,VY17&gt;0),2000,0)-IF(AND($L17=1,'計算A'!BB$117=1,FA17=0),2000,0))),1000000))</f>
        <v/>
      </c>
      <c r="QE17">
        <f>IF($B17=0,1000000,IF(INDEX('計算A'!$D$60:$EQ$104,$B17,52)*FA17=1,IF(AND($E17=2,KP17=0),1000000,IF($I17&gt;0,IF(3=$J17,IF(OR(AND(52=$I17+1,OR($K17&lt;&gt;'計算A'!$A$3,'計算A'!$A$4=0)),AND(52=$I17-1,OR(4&lt;&gt;'計算A'!$A$3,'計算A'!$A$4=0))),0,IF(4=$K17,200000,ABS(4-$K17)*100)),100000+ABS(3-$J17)*1000+40)+'計算A'!BC$5*50+IF(AND($E17=1,KP17=0),25,0),IF($F17&gt;0,INDEX('計算A'!BC$110:BC$114,$F17+1)+IF(AND($E17=1,KP17=0),1000,0),MIN(TW17,20)*400+(IF('計算A'!BB$106=1,1-EZ17,0)+IF('計算A'!BC$106=1,1-FB17,0))*150+43+'計算A'!BC$5*100000+IF(AND($E17=1,KP17=0),50000,0))+IF($H17=1,(IF('計算A'!BB$117=1,INDEX('計算A'!BB$10:BB$54,$B17),0)+IF('計算A'!BC$117=1,INDEX('計算A'!BD$10:BD$54,$B17),0))*4000,0)-IF(AND('計算A'!BB$117=1,VZ17&gt;0),2000,0)-IF(AND($L17=1,'計算A'!BC$117=1,FB17=0),2000,0))),1000000))</f>
        <v/>
      </c>
      <c r="QF17">
        <f>IF($B17=0,1000000,IF(INDEX('計算A'!$D$60:$EQ$104,$B17,53)*FB17=1,IF(AND($E17=2,KQ17=0),1000000,IF($I17&gt;0,IF(3=$J17,IF(OR(AND(53=$I17+1,OR($K17&lt;&gt;'計算A'!$A$3,'計算A'!$A$4=0)),AND(53=$I17-1,OR(5&lt;&gt;'計算A'!$A$3,'計算A'!$A$4=0))),0,IF(5=$K17,200000,ABS(5-$K17)*100)),100000+ABS(3-$J17)*1000+50)+'計算A'!BD$5*50+IF(AND($E17=1,KQ17=0),25,0),IF($F17&gt;0,INDEX('計算A'!BD$110:BD$114,$F17+1)+IF(AND($E17=1,KQ17=0),1000,0),MIN(TW17,20)*400+(IF('計算A'!BC$106=1,1-FA17,0)+IF('計算A'!BD$106=1,1-FC17,0))*150+53+'計算A'!BD$5*100000+IF(AND($E17=1,KQ17=0),50000,0))+IF($H17=1,(IF('計算A'!BC$117=1,INDEX('計算A'!BC$10:BC$54,$B17),0)+IF('計算A'!BD$117=1,INDEX('計算A'!BE$10:BE$54,$B17),0))*4000,0)-IF(AND('計算A'!BC$117=1,WA17&gt;0),2000,0)-IF(AND($L17=1,'計算A'!BD$117=1,FC17=0),2000,0))),1000000))</f>
        <v/>
      </c>
      <c r="QG17">
        <f>IF($B17=0,1000000,IF(INDEX('計算A'!$D$60:$EQ$104,$B17,54)*FC17=1,IF(AND($E17=2,KR17=0),1000000,IF($I17&gt;0,IF(3=$J17,IF(OR(AND(54=$I17+1,OR($K17&lt;&gt;'計算A'!$A$3,'計算A'!$A$4=0)),AND(54=$I17-1,OR(6&lt;&gt;'計算A'!$A$3,'計算A'!$A$4=0))),0,IF(6=$K17,200000,ABS(6-$K17)*100)),100000+ABS(3-$J17)*1000+60)+'計算A'!BE$5*50+IF(AND($E17=1,KR17=0),25,0),IF($F17&gt;0,INDEX('計算A'!BE$110:BE$114,$F17+1)+IF(AND($E17=1,KR17=0),1000,0),MIN(TW17,20)*400+(IF('計算A'!BD$106=1,1-FB17,0)+IF('計算A'!BE$106=1,1-FD17,0))*150+63+'計算A'!BE$5*100000+IF(AND($E17=1,KR17=0),50000,0))+IF($H17=1,(IF('計算A'!BD$117=1,INDEX('計算A'!BD$10:BD$54,$B17),0)+IF('計算A'!BE$117=1,INDEX('計算A'!BF$10:BF$54,$B17),0))*4000,0)-IF(AND('計算A'!BD$117=1,WB17&gt;0),2000,0)-IF(AND($L17=1,'計算A'!BE$117=1,FD17=0),2000,0))),1000000))</f>
        <v/>
      </c>
      <c r="QH17">
        <f>IF($B17=0,1000000,IF(INDEX('計算A'!$D$60:$EQ$104,$B17,55)*FD17=1,IF(AND($E17=2,KS17=0),1000000,IF($I17&gt;0,IF(3=$J17,IF(OR(AND(55=$I17+1,OR($K17&lt;&gt;'計算A'!$A$3,'計算A'!$A$4=0)),AND(55=$I17-1,OR(7&lt;&gt;'計算A'!$A$3,'計算A'!$A$4=0))),0,IF(7=$K17,200000,ABS(7-$K17)*100)),100000+ABS(3-$J17)*1000+70)+'計算A'!BF$5*50+IF(AND($E17=1,KS17=0),25,0),IF($F17&gt;0,INDEX('計算A'!BF$110:BF$114,$F17+1)+IF(AND($E17=1,KS17=0),1000,0),MIN(TW17,20)*400+(IF('計算A'!BE$106=1,1-FC17,0)+IF('計算A'!BF$106=1,1-FE17,0))*150+73+'計算A'!BF$5*100000+IF(AND($E17=1,KS17=0),50000,0))+IF($H17=1,(IF('計算A'!BE$117=1,INDEX('計算A'!BE$10:BE$54,$B17),0)+IF('計算A'!BF$117=1,INDEX('計算A'!BG$10:BG$54,$B17),0))*4000,0)-IF(AND('計算A'!BE$117=1,WC17&gt;0),2000,0)-IF(AND($L17=1,'計算A'!BF$117=1,FE17=0),2000,0))),1000000))</f>
        <v/>
      </c>
      <c r="QI17">
        <f>IF($B17=0,1000000,IF(INDEX('計算A'!$D$60:$EQ$104,$B17,56)*FE17=1,IF(AND($E17=2,KT17=0),1000000,IF($I17&gt;0,IF(3=$J17,IF(OR(AND(56=$I17+1,OR($K17&lt;&gt;'計算A'!$A$3,'計算A'!$A$4=0)),AND(56=$I17-1,OR(8&lt;&gt;'計算A'!$A$3,'計算A'!$A$4=0))),0,IF(8=$K17,200000,ABS(8-$K17)*100)),100000+ABS(3-$J17)*1000+80)+'計算A'!BG$5*50+IF(AND($E17=1,KT17=0),25,0),IF($F17&gt;0,INDEX('計算A'!BG$110:BG$114,$F17+1)+IF(AND($E17=1,KT17=0),1000,0),MIN(TW17,20)*400+(IF('計算A'!BF$106=1,1-FD17,0)+IF('計算A'!BG$106=1,1-FF17,0))*150+83+'計算A'!BG$5*100000+IF(AND($E17=1,KT17=0),50000,0))+IF($H17=1,(IF('計算A'!BF$117=1,INDEX('計算A'!BF$10:BF$54,$B17),0)+IF('計算A'!BG$117=1,INDEX('計算A'!BH$10:BH$54,$B17),0))*4000,0)-IF(AND('計算A'!BF$117=1,WD17&gt;0),2000,0)-IF(AND($L17=1,'計算A'!BG$117=1,FF17=0),2000,0))),1000000))</f>
        <v/>
      </c>
      <c r="QJ17">
        <f>IF($B17=0,1000000,IF(INDEX('計算A'!$D$60:$EQ$104,$B17,57)*FF17=1,IF(AND($E17=2,KU17=0),1000000,IF($I17&gt;0,IF(3=$J17,IF(OR(AND(57=$I17+1,OR($K17&lt;&gt;'計算A'!$A$3,'計算A'!$A$4=0)),AND(57=$I17-1,OR(9&lt;&gt;'計算A'!$A$3,'計算A'!$A$4=0))),0,IF(9=$K17,200000,ABS(9-$K17)*100)),100000+ABS(3-$J17)*1000+90)+'計算A'!BH$5*50+IF(AND($E17=1,KU17=0),25,0),IF($F17&gt;0,INDEX('計算A'!BH$110:BH$114,$F17+1)+IF(AND($E17=1,KU17=0),1000,0),MIN(TW17,20)*400+(IF('計算A'!BG$106=1,1-FE17,0)+IF('計算A'!BH$106=1,1-FG17,0))*150+93+'計算A'!BH$5*100000+IF(AND($E17=1,KU17=0),50000,0))+IF($H17=1,(IF('計算A'!BG$117=1,INDEX('計算A'!BG$10:BG$54,$B17),0)+IF('計算A'!BH$117=1,INDEX('計算A'!BI$10:BI$54,$B17),0))*4000,0)-IF(AND('計算A'!BG$117=1,WE17&gt;0),2000,0)-IF(AND($L17=1,'計算A'!BH$117=1,FG17=0),2000,0))),1000000))</f>
        <v/>
      </c>
      <c r="QK17">
        <f>IF($B17=0,1000000,IF(INDEX('計算A'!$D$60:$EQ$104,$B17,58)*FG17=1,IF(AND($E17=2,KV17=0),1000000,IF($I17&gt;0,IF(3=$J17,IF(OR(AND(58=$I17+1,OR($K17&lt;&gt;'計算A'!$A$3,'計算A'!$A$4=0)),AND(58=$I17-1,OR(10&lt;&gt;'計算A'!$A$3,'計算A'!$A$4=0))),0,IF(10=$K17,200000,ABS(10-$K17)*100)),100000+ABS(3-$J17)*1000+100)+'計算A'!BI$5*50+IF(AND($E17=1,KV17=0),25,0),IF($F17&gt;0,INDEX('計算A'!BI$110:BI$114,$F17+1)+IF(AND($E17=1,KV17=0),1000,0),MIN(TW17,20)*400+(IF('計算A'!BH$106=1,1-FF17,0)+IF('計算A'!BI$106=1,1-FH17,0))*150+103+'計算A'!BI$5*100000+IF(AND($E17=1,KV17=0),50000,0))+IF($H17=1,(IF('計算A'!BH$117=1,INDEX('計算A'!BH$10:BH$54,$B17),0)+IF('計算A'!BI$117=1,INDEX('計算A'!BJ$10:BJ$54,$B17),0))*4000,0)-IF(AND('計算A'!BH$117=1,WF17&gt;0),2000,0)-IF(AND($L17=1,'計算A'!BI$117=1,FH17=0),2000,0))),1000000))</f>
        <v/>
      </c>
      <c r="QL17">
        <f>IF($B17=0,1000000,IF(INDEX('計算A'!$D$60:$EQ$104,$B17,59)*FH17=1,IF(AND($E17=2,KW17=0),1000000,IF($I17&gt;0,IF(3=$J17,IF(OR(AND(59=$I17+1,OR($K17&lt;&gt;'計算A'!$A$3,'計算A'!$A$4=0)),AND(59=$I17-1,OR(11&lt;&gt;'計算A'!$A$3,'計算A'!$A$4=0))),0,IF(11=$K17,200000,ABS(11-$K17)*100)),100000+ABS(3-$J17)*1000+110)+'計算A'!BJ$5*50+IF(AND($E17=1,KW17=0),25,0),IF($F17&gt;0,INDEX('計算A'!BJ$110:BJ$114,$F17+1)+IF(AND($E17=1,KW17=0),1000,0),MIN(TW17,20)*400+(IF('計算A'!BI$106=1,1-FG17,0)+IF('計算A'!BJ$106=1,1-FI17,0))*150+113+'計算A'!BJ$5*100000+IF(AND($E17=1,KW17=0),50000,0))+IF($H17=1,(IF('計算A'!BI$117=1,INDEX('計算A'!BI$10:BI$54,$B17),0)+IF('計算A'!BJ$117=1,INDEX('計算A'!BK$10:BK$54,$B17),0))*4000,0)-IF(AND('計算A'!BI$117=1,WG17&gt;0),2000,0)-IF(AND($L17=1,'計算A'!BJ$117=1,FI17=0),2000,0))),1000000))</f>
        <v/>
      </c>
      <c r="QM17">
        <f>IF($B17=0,1000000,IF(INDEX('計算A'!$D$60:$EQ$104,$B17,60)*FI17=1,IF(AND($E17=2,KX17=0),1000000,IF($I17&gt;0,IF(3=$J17,IF(OR(AND(60=$I17+1,OR($K17&lt;&gt;'計算A'!$A$3,'計算A'!$A$4=0)),AND(60=$I17-1,OR(12&lt;&gt;'計算A'!$A$3,'計算A'!$A$4=0))),0,IF(12=$K17,200000,ABS(12-$K17)*100)),100000+ABS(3-$J17)*1000+120)+'計算A'!BK$5*50+IF(AND($E17=1,KX17=0),25,0),IF($F17&gt;0,INDEX('計算A'!BK$110:BK$114,$F17+1)+IF(AND($E17=1,KX17=0),1000,0),MIN(TW17,20)*400+(IF('計算A'!BJ$106=1,1-FH17,0)+IF('計算A'!BK$106=1,1-FJ17,0))*150+123+'計算A'!BK$5*100000+IF(AND($E17=1,KX17=0),50000,0))+IF($H17=1,(IF('計算A'!BJ$117=1,INDEX('計算A'!BJ$10:BJ$54,$B17),0)+IF('計算A'!BK$117=1,INDEX('計算A'!BL$10:BL$54,$B17),0))*4000,0)-IF(AND('計算A'!BJ$117=1,WH17&gt;0),2000,0)-IF(AND($L17=1,'計算A'!BK$117=1,FJ17=0),2000,0))),1000000))</f>
        <v/>
      </c>
      <c r="QN17">
        <f>IF($B17=0,1000000,IF(INDEX('計算A'!$D$60:$EQ$104,$B17,61)*FJ17=1,IF(AND($E17=2,KY17=0),1000000,IF($I17&gt;0,IF(3=$J17,IF(OR(AND(61=$I17+1,OR($K17&lt;&gt;'計算A'!$A$3,'計算A'!$A$4=0)),AND(61=$I17-1,OR(13&lt;&gt;'計算A'!$A$3,'計算A'!$A$4=0))),0,IF(13=$K17,200000,ABS(13-$K17)*100)),100000+ABS(3-$J17)*1000+130)+'計算A'!BL$5*50+IF(AND($E17=1,KY17=0),25,0),IF($F17&gt;0,INDEX('計算A'!BL$110:BL$114,$F17+1)+IF(AND($E17=1,KY17=0),1000,0),MIN(TW17,20)*400+(IF('計算A'!BK$106=1,1-FI17,0)+IF('計算A'!BL$106=1,1-FK17,0))*150+133+'計算A'!BL$5*100000+IF(AND($E17=1,KY17=0),50000,0))+IF($H17=1,(IF('計算A'!BK$117=1,INDEX('計算A'!BK$10:BK$54,$B17),0)+IF('計算A'!BL$117=1,INDEX('計算A'!BM$10:BM$54,$B17),0))*4000,0)-IF(AND('計算A'!BK$117=1,WI17&gt;0),2000,0)-IF(AND($L17=1,'計算A'!BL$117=1,FK17=0),2000,0))),1000000))</f>
        <v/>
      </c>
      <c r="QO17">
        <f>IF($B17=0,1000000,IF(INDEX('計算A'!$D$60:$EQ$104,$B17,62)*FK17=1,IF(AND($E17=2,KZ17=0),1000000,IF($I17&gt;0,IF(3=$J17,IF(OR(AND(62=$I17+1,OR($K17&lt;&gt;'計算A'!$A$3,'計算A'!$A$4=0)),AND(62=$I17-1,OR(14&lt;&gt;'計算A'!$A$3,'計算A'!$A$4=0))),0,IF(14=$K17,200000,ABS(14-$K17)*100)),100000+ABS(3-$J17)*1000+140)+'計算A'!BM$5*50+IF(AND($E17=1,KZ17=0),25,0),IF($F17&gt;0,INDEX('計算A'!BM$110:BM$114,$F17+1)+IF(AND($E17=1,KZ17=0),1000,0),MIN(TW17,20)*400+(IF('計算A'!BL$106=1,1-FJ17,0)+IF('計算A'!BM$106=1,1-FL17,0))*150+143+'計算A'!BM$5*100000+IF(AND($E17=1,KZ17=0),50000,0))+IF($H17=1,(IF('計算A'!BL$117=1,INDEX('計算A'!BL$10:BL$54,$B17),0)+IF('計算A'!BM$117=1,INDEX('計算A'!BN$10:BN$54,$B17),0))*4000,0)-IF(AND('計算A'!BL$117=1,WJ17&gt;0),2000,0)-IF(AND($L17=1,'計算A'!BM$117=1,FL17=0),2000,0))),1000000))</f>
        <v/>
      </c>
      <c r="QP17">
        <f>IF($B17=0,1000000,IF(INDEX('計算A'!$D$60:$EQ$104,$B17,63)*FL17=1,IF(AND($E17=2,LA17=0),1000000,IF($I17&gt;0,IF(3=$J17,IF(OR(AND(63=$I17+1,OR($K17&lt;&gt;'計算A'!$A$3,'計算A'!$A$4=0)),AND(63=$I17-1,OR(15&lt;&gt;'計算A'!$A$3,'計算A'!$A$4=0))),0,IF(15=$K17,200000,ABS(15-$K17)*100)),100000+ABS(3-$J17)*1000+150)+'計算A'!BN$5*50+IF(AND($E17=1,LA17=0),25,0),IF($F17&gt;0,INDEX('計算A'!BN$110:BN$114,$F17+1)+IF(AND($E17=1,LA17=0),1000,0),MIN(TW17,20)*400+(IF('計算A'!BM$106=1,1-FK17,0)+IF('計算A'!BN$106=1,1-FM17,0))*150+153+'計算A'!BN$5*100000+IF(AND($E17=1,LA17=0),50000,0))+IF($H17=1,(IF('計算A'!BM$117=1,INDEX('計算A'!BM$10:BM$54,$B17),0)+IF('計算A'!BN$117=1,INDEX('計算A'!BO$10:BO$54,$B17),0))*4000,0)-IF(AND('計算A'!BM$117=1,WK17&gt;0),2000,0)-IF(AND($L17=1,'計算A'!BN$117=1,FM17=0),2000,0))),1000000))</f>
        <v/>
      </c>
      <c r="QQ17">
        <f>IF($B17=0,1000000,IF(INDEX('計算A'!$D$60:$EQ$104,$B17,64)*FM17=1,IF(AND($E17=2,LB17=0),1000000,IF($I17&gt;0,IF(3=$J17,IF(OR(AND(64=$I17+1,OR($K17&lt;&gt;'計算A'!$A$3,'計算A'!$A$4=0)),AND(64=$I17-1,OR(16&lt;&gt;'計算A'!$A$3,'計算A'!$A$4=0))),0,IF(16=$K17,200000,ABS(16-$K17)*100)),100000+ABS(3-$J17)*1000+160)+'計算A'!BO$5*50+IF(AND($E17=1,LB17=0),25,0),IF($F17&gt;0,INDEX('計算A'!BO$110:BO$114,$F17+1)+IF(AND($E17=1,LB17=0),1000,0),MIN(TW17,20)*400+(IF('計算A'!BN$106=1,1-FL17,0)+IF('計算A'!BO$106=1,1-FN17,0))*150+163+'計算A'!BO$5*100000+IF(AND($E17=1,LB17=0),50000,0))+IF($H17=1,(IF('計算A'!BN$117=1,INDEX('計算A'!BN$10:BN$54,$B17),0)+IF('計算A'!BO$117=1,INDEX('計算A'!BP$10:BP$54,$B17),0))*4000,0)-IF(AND('計算A'!BN$117=1,WL17&gt;0),2000,0)-IF(AND($L17=1,'計算A'!BO$117=1,FN17=0),2000,0))),1000000))</f>
        <v/>
      </c>
      <c r="QR17">
        <f>IF($B17=0,1000000,IF(INDEX('計算A'!$D$60:$EQ$104,$B17,65)*FN17=1,IF(AND($E17=2,LC17=0),1000000,IF($I17&gt;0,IF(3=$J17,IF(OR(AND(65=$I17+1,OR($K17&lt;&gt;'計算A'!$A$3,'計算A'!$A$4=0)),AND(65=$I17-1,OR(17&lt;&gt;'計算A'!$A$3,'計算A'!$A$4=0))),0,IF(17=$K17,200000,ABS(17-$K17)*100)),100000+ABS(3-$J17)*1000+170)+'計算A'!BP$5*50+IF(AND($E17=1,LC17=0),25,0),IF($F17&gt;0,INDEX('計算A'!BP$110:BP$114,$F17+1)+IF(AND($E17=1,LC17=0),1000,0),MIN(TW17,20)*400+(IF('計算A'!BO$106=1,1-FM17,0)+IF('計算A'!BP$106=1,1-FO17,0))*150+173+'計算A'!BP$5*100000+IF(AND($E17=1,LC17=0),50000,0))+IF($H17=1,(IF('計算A'!BO$117=1,INDEX('計算A'!BO$10:BO$54,$B17),0)+IF('計算A'!BP$117=1,INDEX('計算A'!BQ$10:BQ$54,$B17),0))*4000,0)-IF(AND('計算A'!BO$117=1,WM17&gt;0),2000,0)-IF(AND($L17=1,'計算A'!BP$117=1,FO17=0),2000,0))),1000000))</f>
        <v/>
      </c>
      <c r="QS17">
        <f>IF($B17=0,1000000,IF(INDEX('計算A'!$D$60:$EQ$104,$B17,66)*FO17=1,IF(AND($E17=2,LD17=0),1000000,IF($I17&gt;0,IF(3=$J17,IF(OR(AND(66=$I17+1,OR($K17&lt;&gt;'計算A'!$A$3,'計算A'!$A$4=0)),AND(66=$I17-1,OR(18&lt;&gt;'計算A'!$A$3,'計算A'!$A$4=0))),0,IF(18=$K17,200000,ABS(18-$K17)*100)),100000+ABS(3-$J17)*1000+180)+'計算A'!BQ$5*50+IF(AND($E17=1,LD17=0),25,0),IF($F17&gt;0,INDEX('計算A'!BQ$110:BQ$114,$F17+1)+IF(AND($E17=1,LD17=0),1000,0),MIN(TW17,20)*400+(IF('計算A'!BP$106=1,1-FN17,0)+IF('計算A'!BQ$106=1,1-FP17,0))*150+183+'計算A'!BQ$5*100000+IF(AND($E17=1,LD17=0),50000,0))+IF($H17=1,(IF('計算A'!BP$117=1,INDEX('計算A'!BP$10:BP$54,$B17),0)+IF('計算A'!BQ$117=1,INDEX('計算A'!BR$10:BR$54,$B17),0))*4000,0)-IF(AND('計算A'!BP$117=1,WN17&gt;0),2000,0)-IF(AND($L17=1,'計算A'!BQ$117=1,FP17=0),2000,0))),1000000))</f>
        <v/>
      </c>
      <c r="QT17">
        <f>IF($B17=0,1000000,IF(INDEX('計算A'!$D$60:$EQ$104,$B17,67)*FP17=1,IF(AND($E17=2,LE17=0),1000000,IF($I17&gt;0,IF(3=$J17,IF(OR(AND(67=$I17+1,OR($K17&lt;&gt;'計算A'!$A$3,'計算A'!$A$4=0)),AND(67=$I17-1,OR(19&lt;&gt;'計算A'!$A$3,'計算A'!$A$4=0))),0,IF(19=$K17,200000,ABS(19-$K17)*100)),100000+ABS(3-$J17)*1000+190)+'計算A'!BR$5*50+IF(AND($E17=1,LE17=0),25,0),IF($F17&gt;0,INDEX('計算A'!BR$110:BR$114,$F17+1)+IF(AND($E17=1,LE17=0),1000,0),MIN(TW17,20)*400+(IF('計算A'!BQ$106=1,1-FO17,0)+IF('計算A'!BR$106=1,1-FQ17,0))*150+193+'計算A'!BR$5*100000+IF(AND($E17=1,LE17=0),50000,0))+IF($H17=1,(IF('計算A'!BQ$117=1,INDEX('計算A'!BQ$10:BQ$54,$B17),0)+IF('計算A'!BR$117=1,INDEX('計算A'!BS$10:BS$54,$B17),0))*4000,0)-IF(AND('計算A'!BQ$117=1,WO17&gt;0),2000,0)-IF(AND($L17=1,'計算A'!BR$117=1,FQ17=0),2000,0))),1000000))</f>
        <v/>
      </c>
      <c r="QU17">
        <f>IF($B17=0,1000000,IF(INDEX('計算A'!$D$60:$EQ$104,$B17,68)*FQ17=1,IF(AND($E17=2,LF17=0),1000000,IF($I17&gt;0,IF(3=$J17,IF(OR(AND(68=$I17+1,OR($K17&lt;&gt;'計算A'!$A$3,'計算A'!$A$4=0)),AND(68=$I17-1,OR(20&lt;&gt;'計算A'!$A$3,'計算A'!$A$4=0))),0,IF(20=$K17,200000,ABS(20-$K17)*100)),100000+ABS(3-$J17)*1000+200)+'計算A'!BS$5*50+IF(AND($E17=1,LF17=0),25,0),IF($F17&gt;0,INDEX('計算A'!BS$110:BS$114,$F17+1)+IF(AND($E17=1,LF17=0),1000,0),MIN(TW17,20)*400+(IF('計算A'!BR$106=1,1-FP17,0)+IF('計算A'!BS$106=1,1-FR17,0))*150+203+'計算A'!BS$5*100000+IF(AND($E17=1,LF17=0),50000,0))+IF($H17=1,(IF('計算A'!BR$117=1,INDEX('計算A'!BR$10:BR$54,$B17),0)+IF('計算A'!BS$117=1,INDEX('計算A'!BT$10:BT$54,$B17),0))*4000,0)-IF(AND('計算A'!BR$117=1,WP17&gt;0),2000,0)-IF(AND($L17=1,'計算A'!BS$117=1,FR17=0),2000,0))),1000000))</f>
        <v/>
      </c>
      <c r="QV17">
        <f>IF($B17=0,1000000,IF(INDEX('計算A'!$D$60:$EQ$104,$B17,69)*FR17=1,IF(AND($E17=2,LG17=0),1000000,IF($I17&gt;0,IF(3=$J17,IF(OR(AND(69=$I17+1,OR($K17&lt;&gt;'計算A'!$A$3,'計算A'!$A$4=0)),AND(69=$I17-1,OR(21&lt;&gt;'計算A'!$A$3,'計算A'!$A$4=0))),0,IF(21=$K17,200000,ABS(21-$K17)*100)),100000+ABS(3-$J17)*1000+210)+'計算A'!BT$5*50+IF(AND($E17=1,LG17=0),25,0),IF($F17&gt;0,INDEX('計算A'!BT$110:BT$114,$F17+1)+IF(AND($E17=1,LG17=0),1000,0),MIN(TW17,20)*400+(IF('計算A'!BS$106=1,1-FQ17,0)+IF('計算A'!BT$106=1,1-FS17,0))*150+213+'計算A'!BT$5*100000+IF(AND($E17=1,LG17=0),50000,0))+IF($H17=1,(IF('計算A'!BS$117=1,INDEX('計算A'!BS$10:BS$54,$B17),0)+IF('計算A'!BT$117=1,INDEX('計算A'!BU$10:BU$54,$B17),0))*4000,0)-IF(AND('計算A'!BS$117=1,WQ17&gt;0),2000,0)-IF(AND($L17=1,'計算A'!BT$117=1,FS17=0),2000,0))),1000000))</f>
        <v/>
      </c>
      <c r="QW17">
        <f>IF($B17=0,1000000,IF(INDEX('計算A'!$D$60:$EQ$104,$B17,70)*FS17=1,IF(AND($E17=2,LH17=0),1000000,IF($I17&gt;0,IF(3=$J17,IF(OR(AND(70=$I17+1,OR($K17&lt;&gt;'計算A'!$A$3,'計算A'!$A$4=0)),AND(70=$I17-1,OR(22&lt;&gt;'計算A'!$A$3,'計算A'!$A$4=0))),0,IF(22=$K17,200000,ABS(22-$K17)*100)),100000+ABS(3-$J17)*1000+220)+'計算A'!BU$5*50+IF(AND($E17=1,LH17=0),25,0),IF($F17&gt;0,INDEX('計算A'!BU$110:BU$114,$F17+1)+IF(AND($E17=1,LH17=0),1000,0),MIN(TW17,20)*400+(IF('計算A'!BT$106=1,1-FR17,0)+IF('計算A'!BU$106=1,1-FT17,0))*150+223+'計算A'!BU$5*100000+IF(AND($E17=1,LH17=0),50000,0))+IF($H17=1,(IF('計算A'!BT$117=1,INDEX('計算A'!BT$10:BT$54,$B17),0)+IF('計算A'!BU$117=1,INDEX('計算A'!BV$10:BV$54,$B17),0))*4000,0)-IF(AND('計算A'!BT$117=1,WR17&gt;0),2000,0)-IF(AND($L17=1,'計算A'!BU$117=1,FT17=0),2000,0))),1000000))</f>
        <v/>
      </c>
      <c r="QX17">
        <f>IF($B17=0,1000000,IF(INDEX('計算A'!$D$60:$EQ$104,$B17,71)*FT17=1,IF(AND($E17=2,LI17=0),1000000,IF($I17&gt;0,IF(3=$J17,IF(OR(AND(71=$I17+1,OR($K17&lt;&gt;'計算A'!$A$3,'計算A'!$A$4=0)),AND(71=$I17-1,OR(23&lt;&gt;'計算A'!$A$3,'計算A'!$A$4=0))),0,IF(23=$K17,200000,ABS(23-$K17)*100)),100000+ABS(3-$J17)*1000+230)+'計算A'!BV$5*50+IF(AND($E17=1,LI17=0),25,0),IF($F17&gt;0,INDEX('計算A'!BV$110:BV$114,$F17+1)+IF(AND($E17=1,LI17=0),1000,0),MIN(TW17,20)*400+(IF('計算A'!BU$106=1,1-FS17,0)+IF('計算A'!BV$106=1,1-FU17,0))*150+233+'計算A'!BV$5*100000+IF(AND($E17=1,LI17=0),50000,0))+IF($H17=1,(IF('計算A'!BU$117=1,INDEX('計算A'!BU$10:BU$54,$B17),0)+IF('計算A'!BV$117=1,INDEX('計算A'!BW$10:BW$54,$B17),0))*4000,0)-IF(AND('計算A'!BU$117=1,WS17&gt;0),2000,0)-IF(AND($L17=1,'計算A'!BV$117=1,FU17=0),2000,0))),1000000))</f>
        <v/>
      </c>
      <c r="QY17">
        <f>IF($B17=0,1000000,IF(INDEX('計算A'!$D$60:$EQ$104,$B17,72)*FU17=1,IF(AND($E17=2,LJ17=0),1000000,IF($I17&gt;0,IF(3=$J17,IF(OR(AND(72=$I17+1,OR($K17&lt;&gt;'計算A'!$A$3,'計算A'!$A$4=0)),AND(72=$I17-1,OR(24&lt;&gt;'計算A'!$A$3,'計算A'!$A$4=0))),0,IF(24=$K17,200000,ABS(24-$K17)*100)),100000+ABS(3-$J17)*1000+240)+'計算A'!BW$5*50+IF(AND($E17=1,LJ17=0),25,0),IF($F17&gt;0,INDEX('計算A'!BW$110:BW$114,$F17+1)+IF(AND($E17=1,LJ17=0),1000,0),MIN(TW17,20)*400+(IF('計算A'!BV$106=1,1-FT17,0))*150+243+'計算A'!BW$5*100000+IF(AND($E17=1,LJ17=0),50000,0))+IF($H17=1,(IF('計算A'!BV$117=1,INDEX('計算A'!BV$10:BV$54,$B17),0))*4000,0)-IF(AND('計算A'!BV$117=1,WT17&gt;0),2000,0))),1000000))</f>
        <v/>
      </c>
      <c r="QZ17">
        <f>IF($B17=0,1000000,IF(INDEX('計算A'!$D$60:$EQ$104,$B17,73)*FV17=1,IF(AND($E17=2,LK17=0),1000000,IF($I17&gt;0,IF(4=$J17,IF(OR(AND(73=$I17+1,OR($K17&lt;&gt;'計算A'!$A$3,'計算A'!$A$4=0)),AND(73=$I17-1,OR(1&lt;&gt;'計算A'!$A$3,'計算A'!$A$4=0))),0,IF(1=$K17,200000,ABS(1-$K17)*100)),100000+ABS(4-$J17)*1000+10)+'計算A'!BX$5*50+IF(AND($E17=1,LK17=0),25,0),IF($F17&gt;0,INDEX('計算A'!BX$110:BX$114,$F17+1)+IF(AND($E17=1,LK17=0),1000,0),MIN(TX17,20)*400+(IF('計算A'!BX$106=1,1-FW17,0))*150+14+'計算A'!BX$5*100000+IF(AND($E17=1,LK17=0),50000,0))+IF($H17=1,(IF('計算A'!BX$117=1,INDEX('計算A'!BY$10:BY$54,$B17),0))*4000,0)-IF(AND($L17=1,'計算A'!BX$117=1,FW17=0),2000,0))),1000000))</f>
        <v/>
      </c>
      <c r="RA17">
        <f>IF($B17=0,1000000,IF(INDEX('計算A'!$D$60:$EQ$104,$B17,74)*FW17=1,IF(AND($E17=2,LL17=0),1000000,IF($I17&gt;0,IF(4=$J17,IF(OR(AND(74=$I17+1,OR($K17&lt;&gt;'計算A'!$A$3,'計算A'!$A$4=0)),AND(74=$I17-1,OR(2&lt;&gt;'計算A'!$A$3,'計算A'!$A$4=0))),0,IF(2=$K17,200000,ABS(2-$K17)*100)),100000+ABS(4-$J17)*1000+20)+'計算A'!BY$5*50+IF(AND($E17=1,LL17=0),25,0),IF($F17&gt;0,INDEX('計算A'!BY$110:BY$114,$F17+1)+IF(AND($E17=1,LL17=0),1000,0),MIN(TX17,20)*400+(IF('計算A'!BX$106=1,1-FV17,0)+IF('計算A'!BY$106=1,1-FX17,0))*150+24+'計算A'!BY$5*100000+IF(AND($E17=1,LL17=0),50000,0))+IF($H17=1,(IF('計算A'!BX$117=1,INDEX('計算A'!BX$10:BX$54,$B17),0)+IF('計算A'!BY$117=1,INDEX('計算A'!BZ$10:BZ$54,$B17),0))*4000,0)-IF(AND('計算A'!BX$117=1,WV17&gt;0),2000,0)-IF(AND($L17=1,'計算A'!BY$117=1,FX17=0),2000,0))),1000000))</f>
        <v/>
      </c>
      <c r="RB17">
        <f>IF($B17=0,1000000,IF(INDEX('計算A'!$D$60:$EQ$104,$B17,75)*FX17=1,IF(AND($E17=2,LM17=0),1000000,IF($I17&gt;0,IF(4=$J17,IF(OR(AND(75=$I17+1,OR($K17&lt;&gt;'計算A'!$A$3,'計算A'!$A$4=0)),AND(75=$I17-1,OR(3&lt;&gt;'計算A'!$A$3,'計算A'!$A$4=0))),0,IF(3=$K17,200000,ABS(3-$K17)*100)),100000+ABS(4-$J17)*1000+30)+'計算A'!BZ$5*50+IF(AND($E17=1,LM17=0),25,0),IF($F17&gt;0,INDEX('計算A'!BZ$110:BZ$114,$F17+1)+IF(AND($E17=1,LM17=0),1000,0),MIN(TX17,20)*400+(IF('計算A'!BY$106=1,1-FW17,0)+IF('計算A'!BZ$106=1,1-FY17,0))*150+34+'計算A'!BZ$5*100000+IF(AND($E17=1,LM17=0),50000,0))+IF($H17=1,(IF('計算A'!BY$117=1,INDEX('計算A'!BY$10:BY$54,$B17),0)+IF('計算A'!BZ$117=1,INDEX('計算A'!CA$10:CA$54,$B17),0))*4000,0)-IF(AND('計算A'!BY$117=1,WW17&gt;0),2000,0)-IF(AND($L17=1,'計算A'!BZ$117=1,FY17=0),2000,0))),1000000))</f>
        <v/>
      </c>
      <c r="RC17">
        <f>IF($B17=0,1000000,IF(INDEX('計算A'!$D$60:$EQ$104,$B17,76)*FY17=1,IF(AND($E17=2,LN17=0),1000000,IF($I17&gt;0,IF(4=$J17,IF(OR(AND(76=$I17+1,OR($K17&lt;&gt;'計算A'!$A$3,'計算A'!$A$4=0)),AND(76=$I17-1,OR(4&lt;&gt;'計算A'!$A$3,'計算A'!$A$4=0))),0,IF(4=$K17,200000,ABS(4-$K17)*100)),100000+ABS(4-$J17)*1000+40)+'計算A'!CA$5*50+IF(AND($E17=1,LN17=0),25,0),IF($F17&gt;0,INDEX('計算A'!CA$110:CA$114,$F17+1)+IF(AND($E17=1,LN17=0),1000,0),MIN(TX17,20)*400+(IF('計算A'!BZ$106=1,1-FX17,0)+IF('計算A'!CA$106=1,1-FZ17,0))*150+44+'計算A'!CA$5*100000+IF(AND($E17=1,LN17=0),50000,0))+IF($H17=1,(IF('計算A'!BZ$117=1,INDEX('計算A'!BZ$10:BZ$54,$B17),0)+IF('計算A'!CA$117=1,INDEX('計算A'!CB$10:CB$54,$B17),0))*4000,0)-IF(AND('計算A'!BZ$117=1,WX17&gt;0),2000,0)-IF(AND($L17=1,'計算A'!CA$117=1,FZ17=0),2000,0))),1000000))</f>
        <v/>
      </c>
      <c r="RD17">
        <f>IF($B17=0,1000000,IF(INDEX('計算A'!$D$60:$EQ$104,$B17,77)*FZ17=1,IF(AND($E17=2,LO17=0),1000000,IF($I17&gt;0,IF(4=$J17,IF(OR(AND(77=$I17+1,OR($K17&lt;&gt;'計算A'!$A$3,'計算A'!$A$4=0)),AND(77=$I17-1,OR(5&lt;&gt;'計算A'!$A$3,'計算A'!$A$4=0))),0,IF(5=$K17,200000,ABS(5-$K17)*100)),100000+ABS(4-$J17)*1000+50)+'計算A'!CB$5*50+IF(AND($E17=1,LO17=0),25,0),IF($F17&gt;0,INDEX('計算A'!CB$110:CB$114,$F17+1)+IF(AND($E17=1,LO17=0),1000,0),MIN(TX17,20)*400+(IF('計算A'!CA$106=1,1-FY17,0)+IF('計算A'!CB$106=1,1-GA17,0))*150+54+'計算A'!CB$5*100000+IF(AND($E17=1,LO17=0),50000,0))+IF($H17=1,(IF('計算A'!CA$117=1,INDEX('計算A'!CA$10:CA$54,$B17),0)+IF('計算A'!CB$117=1,INDEX('計算A'!CC$10:CC$54,$B17),0))*4000,0)-IF(AND('計算A'!CA$117=1,WY17&gt;0),2000,0)-IF(AND($L17=1,'計算A'!CB$117=1,GA17=0),2000,0))),1000000))</f>
        <v/>
      </c>
      <c r="RE17">
        <f>IF($B17=0,1000000,IF(INDEX('計算A'!$D$60:$EQ$104,$B17,78)*GA17=1,IF(AND($E17=2,LP17=0),1000000,IF($I17&gt;0,IF(4=$J17,IF(OR(AND(78=$I17+1,OR($K17&lt;&gt;'計算A'!$A$3,'計算A'!$A$4=0)),AND(78=$I17-1,OR(6&lt;&gt;'計算A'!$A$3,'計算A'!$A$4=0))),0,IF(6=$K17,200000,ABS(6-$K17)*100)),100000+ABS(4-$J17)*1000+60)+'計算A'!CC$5*50+IF(AND($E17=1,LP17=0),25,0),IF($F17&gt;0,INDEX('計算A'!CC$110:CC$114,$F17+1)+IF(AND($E17=1,LP17=0),1000,0),MIN(TX17,20)*400+(IF('計算A'!CB$106=1,1-FZ17,0)+IF('計算A'!CC$106=1,1-GB17,0))*150+64+'計算A'!CC$5*100000+IF(AND($E17=1,LP17=0),50000,0))+IF($H17=1,(IF('計算A'!CB$117=1,INDEX('計算A'!CB$10:CB$54,$B17),0)+IF('計算A'!CC$117=1,INDEX('計算A'!CD$10:CD$54,$B17),0))*4000,0)-IF(AND('計算A'!CB$117=1,WZ17&gt;0),2000,0)-IF(AND($L17=1,'計算A'!CC$117=1,GB17=0),2000,0))),1000000))</f>
        <v/>
      </c>
      <c r="RF17">
        <f>IF($B17=0,1000000,IF(INDEX('計算A'!$D$60:$EQ$104,$B17,79)*GB17=1,IF(AND($E17=2,LQ17=0),1000000,IF($I17&gt;0,IF(4=$J17,IF(OR(AND(79=$I17+1,OR($K17&lt;&gt;'計算A'!$A$3,'計算A'!$A$4=0)),AND(79=$I17-1,OR(7&lt;&gt;'計算A'!$A$3,'計算A'!$A$4=0))),0,IF(7=$K17,200000,ABS(7-$K17)*100)),100000+ABS(4-$J17)*1000+70)+'計算A'!CD$5*50+IF(AND($E17=1,LQ17=0),25,0),IF($F17&gt;0,INDEX('計算A'!CD$110:CD$114,$F17+1)+IF(AND($E17=1,LQ17=0),1000,0),MIN(TX17,20)*400+(IF('計算A'!CC$106=1,1-GA17,0)+IF('計算A'!CD$106=1,1-GC17,0))*150+74+'計算A'!CD$5*100000+IF(AND($E17=1,LQ17=0),50000,0))+IF($H17=1,(IF('計算A'!CC$117=1,INDEX('計算A'!CC$10:CC$54,$B17),0)+IF('計算A'!CD$117=1,INDEX('計算A'!CE$10:CE$54,$B17),0))*4000,0)-IF(AND('計算A'!CC$117=1,XA17&gt;0),2000,0)-IF(AND($L17=1,'計算A'!CD$117=1,GC17=0),2000,0))),1000000))</f>
        <v/>
      </c>
      <c r="RG17">
        <f>IF($B17=0,1000000,IF(INDEX('計算A'!$D$60:$EQ$104,$B17,80)*GC17=1,IF(AND($E17=2,LR17=0),1000000,IF($I17&gt;0,IF(4=$J17,IF(OR(AND(80=$I17+1,OR($K17&lt;&gt;'計算A'!$A$3,'計算A'!$A$4=0)),AND(80=$I17-1,OR(8&lt;&gt;'計算A'!$A$3,'計算A'!$A$4=0))),0,IF(8=$K17,200000,ABS(8-$K17)*100)),100000+ABS(4-$J17)*1000+80)+'計算A'!CE$5*50+IF(AND($E17=1,LR17=0),25,0),IF($F17&gt;0,INDEX('計算A'!CE$110:CE$114,$F17+1)+IF(AND($E17=1,LR17=0),1000,0),MIN(TX17,20)*400+(IF('計算A'!CD$106=1,1-GB17,0)+IF('計算A'!CE$106=1,1-GD17,0))*150+84+'計算A'!CE$5*100000+IF(AND($E17=1,LR17=0),50000,0))+IF($H17=1,(IF('計算A'!CD$117=1,INDEX('計算A'!CD$10:CD$54,$B17),0)+IF('計算A'!CE$117=1,INDEX('計算A'!CF$10:CF$54,$B17),0))*4000,0)-IF(AND('計算A'!CD$117=1,XB17&gt;0),2000,0)-IF(AND($L17=1,'計算A'!CE$117=1,GD17=0),2000,0))),1000000))</f>
        <v/>
      </c>
      <c r="RH17">
        <f>IF($B17=0,1000000,IF(INDEX('計算A'!$D$60:$EQ$104,$B17,81)*GD17=1,IF(AND($E17=2,LS17=0),1000000,IF($I17&gt;0,IF(4=$J17,IF(OR(AND(81=$I17+1,OR($K17&lt;&gt;'計算A'!$A$3,'計算A'!$A$4=0)),AND(81=$I17-1,OR(9&lt;&gt;'計算A'!$A$3,'計算A'!$A$4=0))),0,IF(9=$K17,200000,ABS(9-$K17)*100)),100000+ABS(4-$J17)*1000+90)+'計算A'!CF$5*50+IF(AND($E17=1,LS17=0),25,0),IF($F17&gt;0,INDEX('計算A'!CF$110:CF$114,$F17+1)+IF(AND($E17=1,LS17=0),1000,0),MIN(TX17,20)*400+(IF('計算A'!CE$106=1,1-GC17,0)+IF('計算A'!CF$106=1,1-GE17,0))*150+94+'計算A'!CF$5*100000+IF(AND($E17=1,LS17=0),50000,0))+IF($H17=1,(IF('計算A'!CE$117=1,INDEX('計算A'!CE$10:CE$54,$B17),0)+IF('計算A'!CF$117=1,INDEX('計算A'!CG$10:CG$54,$B17),0))*4000,0)-IF(AND('計算A'!CE$117=1,XC17&gt;0),2000,0)-IF(AND($L17=1,'計算A'!CF$117=1,GE17=0),2000,0))),1000000))</f>
        <v/>
      </c>
      <c r="RI17">
        <f>IF($B17=0,1000000,IF(INDEX('計算A'!$D$60:$EQ$104,$B17,82)*GE17=1,IF(AND($E17=2,LT17=0),1000000,IF($I17&gt;0,IF(4=$J17,IF(OR(AND(82=$I17+1,OR($K17&lt;&gt;'計算A'!$A$3,'計算A'!$A$4=0)),AND(82=$I17-1,OR(10&lt;&gt;'計算A'!$A$3,'計算A'!$A$4=0))),0,IF(10=$K17,200000,ABS(10-$K17)*100)),100000+ABS(4-$J17)*1000+100)+'計算A'!CG$5*50+IF(AND($E17=1,LT17=0),25,0),IF($F17&gt;0,INDEX('計算A'!CG$110:CG$114,$F17+1)+IF(AND($E17=1,LT17=0),1000,0),MIN(TX17,20)*400+(IF('計算A'!CF$106=1,1-GD17,0)+IF('計算A'!CG$106=1,1-GF17,0))*150+104+'計算A'!CG$5*100000+IF(AND($E17=1,LT17=0),50000,0))+IF($H17=1,(IF('計算A'!CF$117=1,INDEX('計算A'!CF$10:CF$54,$B17),0)+IF('計算A'!CG$117=1,INDEX('計算A'!CH$10:CH$54,$B17),0))*4000,0)-IF(AND('計算A'!CF$117=1,XD17&gt;0),2000,0)-IF(AND($L17=1,'計算A'!CG$117=1,GF17=0),2000,0))),1000000))</f>
        <v/>
      </c>
      <c r="RJ17">
        <f>IF($B17=0,1000000,IF(INDEX('計算A'!$D$60:$EQ$104,$B17,83)*GF17=1,IF(AND($E17=2,LU17=0),1000000,IF($I17&gt;0,IF(4=$J17,IF(OR(AND(83=$I17+1,OR($K17&lt;&gt;'計算A'!$A$3,'計算A'!$A$4=0)),AND(83=$I17-1,OR(11&lt;&gt;'計算A'!$A$3,'計算A'!$A$4=0))),0,IF(11=$K17,200000,ABS(11-$K17)*100)),100000+ABS(4-$J17)*1000+110)+'計算A'!CH$5*50+IF(AND($E17=1,LU17=0),25,0),IF($F17&gt;0,INDEX('計算A'!CH$110:CH$114,$F17+1)+IF(AND($E17=1,LU17=0),1000,0),MIN(TX17,20)*400+(IF('計算A'!CG$106=1,1-GE17,0)+IF('計算A'!CH$106=1,1-GG17,0))*150+114+'計算A'!CH$5*100000+IF(AND($E17=1,LU17=0),50000,0))+IF($H17=1,(IF('計算A'!CG$117=1,INDEX('計算A'!CG$10:CG$54,$B17),0)+IF('計算A'!CH$117=1,INDEX('計算A'!CI$10:CI$54,$B17),0))*4000,0)-IF(AND('計算A'!CG$117=1,XE17&gt;0),2000,0)-IF(AND($L17=1,'計算A'!CH$117=1,GG17=0),2000,0))),1000000))</f>
        <v/>
      </c>
      <c r="RK17">
        <f>IF($B17=0,1000000,IF(INDEX('計算A'!$D$60:$EQ$104,$B17,84)*GG17=1,IF(AND($E17=2,LV17=0),1000000,IF($I17&gt;0,IF(4=$J17,IF(OR(AND(84=$I17+1,OR($K17&lt;&gt;'計算A'!$A$3,'計算A'!$A$4=0)),AND(84=$I17-1,OR(12&lt;&gt;'計算A'!$A$3,'計算A'!$A$4=0))),0,IF(12=$K17,200000,ABS(12-$K17)*100)),100000+ABS(4-$J17)*1000+120)+'計算A'!CI$5*50+IF(AND($E17=1,LV17=0),25,0),IF($F17&gt;0,INDEX('計算A'!CI$110:CI$114,$F17+1)+IF(AND($E17=1,LV17=0),1000,0),MIN(TX17,20)*400+(IF('計算A'!CH$106=1,1-GF17,0)+IF('計算A'!CI$106=1,1-GH17,0))*150+124+'計算A'!CI$5*100000+IF(AND($E17=1,LV17=0),50000,0))+IF($H17=1,(IF('計算A'!CH$117=1,INDEX('計算A'!CH$10:CH$54,$B17),0)+IF('計算A'!CI$117=1,INDEX('計算A'!CJ$10:CJ$54,$B17),0))*4000,0)-IF(AND('計算A'!CH$117=1,XF17&gt;0),2000,0)-IF(AND($L17=1,'計算A'!CI$117=1,GH17=0),2000,0))),1000000))</f>
        <v/>
      </c>
      <c r="RL17">
        <f>IF($B17=0,1000000,IF(INDEX('計算A'!$D$60:$EQ$104,$B17,85)*GH17=1,IF(AND($E17=2,LW17=0),1000000,IF($I17&gt;0,IF(4=$J17,IF(OR(AND(85=$I17+1,OR($K17&lt;&gt;'計算A'!$A$3,'計算A'!$A$4=0)),AND(85=$I17-1,OR(13&lt;&gt;'計算A'!$A$3,'計算A'!$A$4=0))),0,IF(13=$K17,200000,ABS(13-$K17)*100)),100000+ABS(4-$J17)*1000+130)+'計算A'!CJ$5*50+IF(AND($E17=1,LW17=0),25,0),IF($F17&gt;0,INDEX('計算A'!CJ$110:CJ$114,$F17+1)+IF(AND($E17=1,LW17=0),1000,0),MIN(TX17,20)*400+(IF('計算A'!CI$106=1,1-GG17,0)+IF('計算A'!CJ$106=1,1-GI17,0))*150+134+'計算A'!CJ$5*100000+IF(AND($E17=1,LW17=0),50000,0))+IF($H17=1,(IF('計算A'!CI$117=1,INDEX('計算A'!CI$10:CI$54,$B17),0)+IF('計算A'!CJ$117=1,INDEX('計算A'!CK$10:CK$54,$B17),0))*4000,0)-IF(AND('計算A'!CI$117=1,XG17&gt;0),2000,0)-IF(AND($L17=1,'計算A'!CJ$117=1,GI17=0),2000,0))),1000000))</f>
        <v/>
      </c>
      <c r="RM17">
        <f>IF($B17=0,1000000,IF(INDEX('計算A'!$D$60:$EQ$104,$B17,86)*GI17=1,IF(AND($E17=2,LX17=0),1000000,IF($I17&gt;0,IF(4=$J17,IF(OR(AND(86=$I17+1,OR($K17&lt;&gt;'計算A'!$A$3,'計算A'!$A$4=0)),AND(86=$I17-1,OR(14&lt;&gt;'計算A'!$A$3,'計算A'!$A$4=0))),0,IF(14=$K17,200000,ABS(14-$K17)*100)),100000+ABS(4-$J17)*1000+140)+'計算A'!CK$5*50+IF(AND($E17=1,LX17=0),25,0),IF($F17&gt;0,INDEX('計算A'!CK$110:CK$114,$F17+1)+IF(AND($E17=1,LX17=0),1000,0),MIN(TX17,20)*400+(IF('計算A'!CJ$106=1,1-GH17,0)+IF('計算A'!CK$106=1,1-GJ17,0))*150+144+'計算A'!CK$5*100000+IF(AND($E17=1,LX17=0),50000,0))+IF($H17=1,(IF('計算A'!CJ$117=1,INDEX('計算A'!CJ$10:CJ$54,$B17),0)+IF('計算A'!CK$117=1,INDEX('計算A'!CL$10:CL$54,$B17),0))*4000,0)-IF(AND('計算A'!CJ$117=1,XH17&gt;0),2000,0)-IF(AND($L17=1,'計算A'!CK$117=1,GJ17=0),2000,0))),1000000))</f>
        <v/>
      </c>
      <c r="RN17">
        <f>IF($B17=0,1000000,IF(INDEX('計算A'!$D$60:$EQ$104,$B17,87)*GJ17=1,IF(AND($E17=2,LY17=0),1000000,IF($I17&gt;0,IF(4=$J17,IF(OR(AND(87=$I17+1,OR($K17&lt;&gt;'計算A'!$A$3,'計算A'!$A$4=0)),AND(87=$I17-1,OR(15&lt;&gt;'計算A'!$A$3,'計算A'!$A$4=0))),0,IF(15=$K17,200000,ABS(15-$K17)*100)),100000+ABS(4-$J17)*1000+150)+'計算A'!CL$5*50+IF(AND($E17=1,LY17=0),25,0),IF($F17&gt;0,INDEX('計算A'!CL$110:CL$114,$F17+1)+IF(AND($E17=1,LY17=0),1000,0),MIN(TX17,20)*400+(IF('計算A'!CK$106=1,1-GI17,0)+IF('計算A'!CL$106=1,1-GK17,0))*150+154+'計算A'!CL$5*100000+IF(AND($E17=1,LY17=0),50000,0))+IF($H17=1,(IF('計算A'!CK$117=1,INDEX('計算A'!CK$10:CK$54,$B17),0)+IF('計算A'!CL$117=1,INDEX('計算A'!CM$10:CM$54,$B17),0))*4000,0)-IF(AND('計算A'!CK$117=1,XI17&gt;0),2000,0)-IF(AND($L17=1,'計算A'!CL$117=1,GK17=0),2000,0))),1000000))</f>
        <v/>
      </c>
      <c r="RO17">
        <f>IF($B17=0,1000000,IF(INDEX('計算A'!$D$60:$EQ$104,$B17,88)*GK17=1,IF(AND($E17=2,LZ17=0),1000000,IF($I17&gt;0,IF(4=$J17,IF(OR(AND(88=$I17+1,OR($K17&lt;&gt;'計算A'!$A$3,'計算A'!$A$4=0)),AND(88=$I17-1,OR(16&lt;&gt;'計算A'!$A$3,'計算A'!$A$4=0))),0,IF(16=$K17,200000,ABS(16-$K17)*100)),100000+ABS(4-$J17)*1000+160)+'計算A'!CM$5*50+IF(AND($E17=1,LZ17=0),25,0),IF($F17&gt;0,INDEX('計算A'!CM$110:CM$114,$F17+1)+IF(AND($E17=1,LZ17=0),1000,0),MIN(TX17,20)*400+(IF('計算A'!CL$106=1,1-GJ17,0)+IF('計算A'!CM$106=1,1-GL17,0))*150+164+'計算A'!CM$5*100000+IF(AND($E17=1,LZ17=0),50000,0))+IF($H17=1,(IF('計算A'!CL$117=1,INDEX('計算A'!CL$10:CL$54,$B17),0)+IF('計算A'!CM$117=1,INDEX('計算A'!CN$10:CN$54,$B17),0))*4000,0)-IF(AND('計算A'!CL$117=1,XJ17&gt;0),2000,0)-IF(AND($L17=1,'計算A'!CM$117=1,GL17=0),2000,0))),1000000))</f>
        <v/>
      </c>
      <c r="RP17">
        <f>IF($B17=0,1000000,IF(INDEX('計算A'!$D$60:$EQ$104,$B17,89)*GL17=1,IF(AND($E17=2,MA17=0),1000000,IF($I17&gt;0,IF(4=$J17,IF(OR(AND(89=$I17+1,OR($K17&lt;&gt;'計算A'!$A$3,'計算A'!$A$4=0)),AND(89=$I17-1,OR(17&lt;&gt;'計算A'!$A$3,'計算A'!$A$4=0))),0,IF(17=$K17,200000,ABS(17-$K17)*100)),100000+ABS(4-$J17)*1000+170)+'計算A'!CN$5*50+IF(AND($E17=1,MA17=0),25,0),IF($F17&gt;0,INDEX('計算A'!CN$110:CN$114,$F17+1)+IF(AND($E17=1,MA17=0),1000,0),MIN(TX17,20)*400+(IF('計算A'!CM$106=1,1-GK17,0)+IF('計算A'!CN$106=1,1-GM17,0))*150+174+'計算A'!CN$5*100000+IF(AND($E17=1,MA17=0),50000,0))+IF($H17=1,(IF('計算A'!CM$117=1,INDEX('計算A'!CM$10:CM$54,$B17),0)+IF('計算A'!CN$117=1,INDEX('計算A'!CO$10:CO$54,$B17),0))*4000,0)-IF(AND('計算A'!CM$117=1,XK17&gt;0),2000,0)-IF(AND($L17=1,'計算A'!CN$117=1,GM17=0),2000,0))),1000000))</f>
        <v/>
      </c>
      <c r="RQ17">
        <f>IF($B17=0,1000000,IF(INDEX('計算A'!$D$60:$EQ$104,$B17,90)*GM17=1,IF(AND($E17=2,MB17=0),1000000,IF($I17&gt;0,IF(4=$J17,IF(OR(AND(90=$I17+1,OR($K17&lt;&gt;'計算A'!$A$3,'計算A'!$A$4=0)),AND(90=$I17-1,OR(18&lt;&gt;'計算A'!$A$3,'計算A'!$A$4=0))),0,IF(18=$K17,200000,ABS(18-$K17)*100)),100000+ABS(4-$J17)*1000+180)+'計算A'!CO$5*50+IF(AND($E17=1,MB17=0),25,0),IF($F17&gt;0,INDEX('計算A'!CO$110:CO$114,$F17+1)+IF(AND($E17=1,MB17=0),1000,0),MIN(TX17,20)*400+(IF('計算A'!CN$106=1,1-GL17,0)+IF('計算A'!CO$106=1,1-GN17,0))*150+184+'計算A'!CO$5*100000+IF(AND($E17=1,MB17=0),50000,0))+IF($H17=1,(IF('計算A'!CN$117=1,INDEX('計算A'!CN$10:CN$54,$B17),0)+IF('計算A'!CO$117=1,INDEX('計算A'!CP$10:CP$54,$B17),0))*4000,0)-IF(AND('計算A'!CN$117=1,XL17&gt;0),2000,0)-IF(AND($L17=1,'計算A'!CO$117=1,GN17=0),2000,0))),1000000))</f>
        <v/>
      </c>
      <c r="RR17">
        <f>IF($B17=0,1000000,IF(INDEX('計算A'!$D$60:$EQ$104,$B17,91)*GN17=1,IF(AND($E17=2,MC17=0),1000000,IF($I17&gt;0,IF(4=$J17,IF(OR(AND(91=$I17+1,OR($K17&lt;&gt;'計算A'!$A$3,'計算A'!$A$4=0)),AND(91=$I17-1,OR(19&lt;&gt;'計算A'!$A$3,'計算A'!$A$4=0))),0,IF(19=$K17,200000,ABS(19-$K17)*100)),100000+ABS(4-$J17)*1000+190)+'計算A'!CP$5*50+IF(AND($E17=1,MC17=0),25,0),IF($F17&gt;0,INDEX('計算A'!CP$110:CP$114,$F17+1)+IF(AND($E17=1,MC17=0),1000,0),MIN(TX17,20)*400+(IF('計算A'!CO$106=1,1-GM17,0)+IF('計算A'!CP$106=1,1-GO17,0))*150+194+'計算A'!CP$5*100000+IF(AND($E17=1,MC17=0),50000,0))+IF($H17=1,(IF('計算A'!CO$117=1,INDEX('計算A'!CO$10:CO$54,$B17),0)+IF('計算A'!CP$117=1,INDEX('計算A'!CQ$10:CQ$54,$B17),0))*4000,0)-IF(AND('計算A'!CO$117=1,XM17&gt;0),2000,0)-IF(AND($L17=1,'計算A'!CP$117=1,GO17=0),2000,0))),1000000))</f>
        <v/>
      </c>
      <c r="RS17">
        <f>IF($B17=0,1000000,IF(INDEX('計算A'!$D$60:$EQ$104,$B17,92)*GO17=1,IF(AND($E17=2,MD17=0),1000000,IF($I17&gt;0,IF(4=$J17,IF(OR(AND(92=$I17+1,OR($K17&lt;&gt;'計算A'!$A$3,'計算A'!$A$4=0)),AND(92=$I17-1,OR(20&lt;&gt;'計算A'!$A$3,'計算A'!$A$4=0))),0,IF(20=$K17,200000,ABS(20-$K17)*100)),100000+ABS(4-$J17)*1000+200)+'計算A'!CQ$5*50+IF(AND($E17=1,MD17=0),25,0),IF($F17&gt;0,INDEX('計算A'!CQ$110:CQ$114,$F17+1)+IF(AND($E17=1,MD17=0),1000,0),MIN(TX17,20)*400+(IF('計算A'!CP$106=1,1-GN17,0)+IF('計算A'!CQ$106=1,1-GP17,0))*150+204+'計算A'!CQ$5*100000+IF(AND($E17=1,MD17=0),50000,0))+IF($H17=1,(IF('計算A'!CP$117=1,INDEX('計算A'!CP$10:CP$54,$B17),0)+IF('計算A'!CQ$117=1,INDEX('計算A'!CR$10:CR$54,$B17),0))*4000,0)-IF(AND('計算A'!CP$117=1,XN17&gt;0),2000,0)-IF(AND($L17=1,'計算A'!CQ$117=1,GP17=0),2000,0))),1000000))</f>
        <v/>
      </c>
      <c r="RT17">
        <f>IF($B17=0,1000000,IF(INDEX('計算A'!$D$60:$EQ$104,$B17,93)*GP17=1,IF(AND($E17=2,ME17=0),1000000,IF($I17&gt;0,IF(4=$J17,IF(OR(AND(93=$I17+1,OR($K17&lt;&gt;'計算A'!$A$3,'計算A'!$A$4=0)),AND(93=$I17-1,OR(21&lt;&gt;'計算A'!$A$3,'計算A'!$A$4=0))),0,IF(21=$K17,200000,ABS(21-$K17)*100)),100000+ABS(4-$J17)*1000+210)+'計算A'!CR$5*50+IF(AND($E17=1,ME17=0),25,0),IF($F17&gt;0,INDEX('計算A'!CR$110:CR$114,$F17+1)+IF(AND($E17=1,ME17=0),1000,0),MIN(TX17,20)*400+(IF('計算A'!CQ$106=1,1-GO17,0)+IF('計算A'!CR$106=1,1-GQ17,0))*150+214+'計算A'!CR$5*100000+IF(AND($E17=1,ME17=0),50000,0))+IF($H17=1,(IF('計算A'!CQ$117=1,INDEX('計算A'!CQ$10:CQ$54,$B17),0)+IF('計算A'!CR$117=1,INDEX('計算A'!CS$10:CS$54,$B17),0))*4000,0)-IF(AND('計算A'!CQ$117=1,XO17&gt;0),2000,0)-IF(AND($L17=1,'計算A'!CR$117=1,GQ17=0),2000,0))),1000000))</f>
        <v/>
      </c>
      <c r="RU17">
        <f>IF($B17=0,1000000,IF(INDEX('計算A'!$D$60:$EQ$104,$B17,94)*GQ17=1,IF(AND($E17=2,MF17=0),1000000,IF($I17&gt;0,IF(4=$J17,IF(OR(AND(94=$I17+1,OR($K17&lt;&gt;'計算A'!$A$3,'計算A'!$A$4=0)),AND(94=$I17-1,OR(22&lt;&gt;'計算A'!$A$3,'計算A'!$A$4=0))),0,IF(22=$K17,200000,ABS(22-$K17)*100)),100000+ABS(4-$J17)*1000+220)+'計算A'!CS$5*50+IF(AND($E17=1,MF17=0),25,0),IF($F17&gt;0,INDEX('計算A'!CS$110:CS$114,$F17+1)+IF(AND($E17=1,MF17=0),1000,0),MIN(TX17,20)*400+(IF('計算A'!CR$106=1,1-GP17,0)+IF('計算A'!CS$106=1,1-GR17,0))*150+224+'計算A'!CS$5*100000+IF(AND($E17=1,MF17=0),50000,0))+IF($H17=1,(IF('計算A'!CR$117=1,INDEX('計算A'!CR$10:CR$54,$B17),0)+IF('計算A'!CS$117=1,INDEX('計算A'!CT$10:CT$54,$B17),0))*4000,0)-IF(AND('計算A'!CR$117=1,XP17&gt;0),2000,0)-IF(AND($L17=1,'計算A'!CS$117=1,GR17=0),2000,0))),1000000))</f>
        <v/>
      </c>
      <c r="RV17">
        <f>IF($B17=0,1000000,IF(INDEX('計算A'!$D$60:$EQ$104,$B17,95)*GR17=1,IF(AND($E17=2,MG17=0),1000000,IF($I17&gt;0,IF(4=$J17,IF(OR(AND(95=$I17+1,OR($K17&lt;&gt;'計算A'!$A$3,'計算A'!$A$4=0)),AND(95=$I17-1,OR(23&lt;&gt;'計算A'!$A$3,'計算A'!$A$4=0))),0,IF(23=$K17,200000,ABS(23-$K17)*100)),100000+ABS(4-$J17)*1000+230)+'計算A'!CT$5*50+IF(AND($E17=1,MG17=0),25,0),IF($F17&gt;0,INDEX('計算A'!CT$110:CT$114,$F17+1)+IF(AND($E17=1,MG17=0),1000,0),MIN(TX17,20)*400+(IF('計算A'!CS$106=1,1-GQ17,0)+IF('計算A'!CT$106=1,1-GS17,0))*150+234+'計算A'!CT$5*100000+IF(AND($E17=1,MG17=0),50000,0))+IF($H17=1,(IF('計算A'!CS$117=1,INDEX('計算A'!CS$10:CS$54,$B17),0)+IF('計算A'!CT$117=1,INDEX('計算A'!CU$10:CU$54,$B17),0))*4000,0)-IF(AND('計算A'!CS$117=1,XQ17&gt;0),2000,0)-IF(AND($L17=1,'計算A'!CT$117=1,GS17=0),2000,0))),1000000))</f>
        <v/>
      </c>
      <c r="RW17">
        <f>IF($B17=0,1000000,IF(INDEX('計算A'!$D$60:$EQ$104,$B17,96)*GS17=1,IF(AND($E17=2,MH17=0),1000000,IF($I17&gt;0,IF(4=$J17,IF(OR(AND(96=$I17+1,OR($K17&lt;&gt;'計算A'!$A$3,'計算A'!$A$4=0)),AND(96=$I17-1,OR(24&lt;&gt;'計算A'!$A$3,'計算A'!$A$4=0))),0,IF(24=$K17,200000,ABS(24-$K17)*100)),100000+ABS(4-$J17)*1000+240)+'計算A'!CU$5*50+IF(AND($E17=1,MH17=0),25,0),IF($F17&gt;0,INDEX('計算A'!CU$110:CU$114,$F17+1)+IF(AND($E17=1,MH17=0),1000,0),MIN(TX17,20)*400+(IF('計算A'!CT$106=1,1-GR17,0))*150+244+'計算A'!CU$5*100000+IF(AND($E17=1,MH17=0),50000,0))+IF($H17=1,(IF('計算A'!CT$117=1,INDEX('計算A'!CT$10:CT$54,$B17),0))*4000,0)-IF(AND('計算A'!CT$117=1,XR17&gt;0),2000,0))),1000000))</f>
        <v/>
      </c>
      <c r="RX17">
        <f>IF($B17=0,1000000,IF(INDEX('計算A'!$D$60:$EQ$104,$B17,97)*GT17=1,IF(AND($E17=2,MI17=0),1000000,IF($I17&gt;0,IF(5=$J17,IF(OR(AND(97=$I17+1,OR($K17&lt;&gt;'計算A'!$A$3,'計算A'!$A$4=0)),AND(97=$I17-1,OR(1&lt;&gt;'計算A'!$A$3,'計算A'!$A$4=0))),0,IF(1=$K17,200000,ABS(1-$K17)*100)),100000+ABS(5-$J17)*1000+10)+'計算A'!CV$5*50+IF(AND($E17=1,MI17=0),25,0),IF($F17&gt;0,INDEX('計算A'!CV$110:CV$114,$F17+1)+IF(AND($E17=1,MI17=0),1000,0),MIN(TY17,20)*400+(IF('計算A'!CV$106=1,1-GU17,0))*150+15+'計算A'!CV$5*100000+IF(AND($E17=1,MI17=0),50000,0))+IF($H17=1,(IF('計算A'!CV$117=1,INDEX('計算A'!CW$10:CW$54,$B17),0))*4000,0)-IF(AND($L17=1,'計算A'!CV$117=1,GU17=0),2000,0))),1000000))</f>
        <v/>
      </c>
      <c r="RY17">
        <f>IF($B17=0,1000000,IF(INDEX('計算A'!$D$60:$EQ$104,$B17,98)*GU17=1,IF(AND($E17=2,MJ17=0),1000000,IF($I17&gt;0,IF(5=$J17,IF(OR(AND(98=$I17+1,OR($K17&lt;&gt;'計算A'!$A$3,'計算A'!$A$4=0)),AND(98=$I17-1,OR(2&lt;&gt;'計算A'!$A$3,'計算A'!$A$4=0))),0,IF(2=$K17,200000,ABS(2-$K17)*100)),100000+ABS(5-$J17)*1000+20)+'計算A'!CW$5*50+IF(AND($E17=1,MJ17=0),25,0),IF($F17&gt;0,INDEX('計算A'!CW$110:CW$114,$F17+1)+IF(AND($E17=1,MJ17=0),1000,0),MIN(TY17,20)*400+(IF('計算A'!CV$106=1,1-GT17,0)+IF('計算A'!CW$106=1,1-GV17,0))*150+25+'計算A'!CW$5*100000+IF(AND($E17=1,MJ17=0),50000,0))+IF($H17=1,(IF('計算A'!CV$117=1,INDEX('計算A'!CV$10:CV$54,$B17),0)+IF('計算A'!CW$117=1,INDEX('計算A'!CX$10:CX$54,$B17),0))*4000,0)-IF(AND('計算A'!CV$117=1,XT17&gt;0),2000,0)-IF(AND($L17=1,'計算A'!CW$117=1,GV17=0),2000,0))),1000000))</f>
        <v/>
      </c>
      <c r="RZ17">
        <f>IF($B17=0,1000000,IF(INDEX('計算A'!$D$60:$EQ$104,$B17,99)*GV17=1,IF(AND($E17=2,MK17=0),1000000,IF($I17&gt;0,IF(5=$J17,IF(OR(AND(99=$I17+1,OR($K17&lt;&gt;'計算A'!$A$3,'計算A'!$A$4=0)),AND(99=$I17-1,OR(3&lt;&gt;'計算A'!$A$3,'計算A'!$A$4=0))),0,IF(3=$K17,200000,ABS(3-$K17)*100)),100000+ABS(5-$J17)*1000+30)+'計算A'!CX$5*50+IF(AND($E17=1,MK17=0),25,0),IF($F17&gt;0,INDEX('計算A'!CX$110:CX$114,$F17+1)+IF(AND($E17=1,MK17=0),1000,0),MIN(TY17,20)*400+(IF('計算A'!CW$106=1,1-GU17,0)+IF('計算A'!CX$106=1,1-GW17,0))*150+35+'計算A'!CX$5*100000+IF(AND($E17=1,MK17=0),50000,0))+IF($H17=1,(IF('計算A'!CW$117=1,INDEX('計算A'!CW$10:CW$54,$B17),0)+IF('計算A'!CX$117=1,INDEX('計算A'!CY$10:CY$54,$B17),0))*4000,0)-IF(AND('計算A'!CW$117=1,XU17&gt;0),2000,0)-IF(AND($L17=1,'計算A'!CX$117=1,GW17=0),2000,0))),1000000))</f>
        <v/>
      </c>
      <c r="SA17">
        <f>IF($B17=0,1000000,IF(INDEX('計算A'!$D$60:$EQ$104,$B17,100)*GW17=1,IF(AND($E17=2,ML17=0),1000000,IF($I17&gt;0,IF(5=$J17,IF(OR(AND(100=$I17+1,OR($K17&lt;&gt;'計算A'!$A$3,'計算A'!$A$4=0)),AND(100=$I17-1,OR(4&lt;&gt;'計算A'!$A$3,'計算A'!$A$4=0))),0,IF(4=$K17,200000,ABS(4-$K17)*100)),100000+ABS(5-$J17)*1000+40)+'計算A'!CY$5*50+IF(AND($E17=1,ML17=0),25,0),IF($F17&gt;0,INDEX('計算A'!CY$110:CY$114,$F17+1)+IF(AND($E17=1,ML17=0),1000,0),MIN(TY17,20)*400+(IF('計算A'!CX$106=1,1-GV17,0)+IF('計算A'!CY$106=1,1-GX17,0))*150+45+'計算A'!CY$5*100000+IF(AND($E17=1,ML17=0),50000,0))+IF($H17=1,(IF('計算A'!CX$117=1,INDEX('計算A'!CX$10:CX$54,$B17),0)+IF('計算A'!CY$117=1,INDEX('計算A'!CZ$10:CZ$54,$B17),0))*4000,0)-IF(AND('計算A'!CX$117=1,XV17&gt;0),2000,0)-IF(AND($L17=1,'計算A'!CY$117=1,GX17=0),2000,0))),1000000))</f>
        <v/>
      </c>
      <c r="SB17">
        <f>IF($B17=0,1000000,IF(INDEX('計算A'!$D$60:$EQ$104,$B17,101)*GX17=1,IF(AND($E17=2,MM17=0),1000000,IF($I17&gt;0,IF(5=$J17,IF(OR(AND(101=$I17+1,OR($K17&lt;&gt;'計算A'!$A$3,'計算A'!$A$4=0)),AND(101=$I17-1,OR(5&lt;&gt;'計算A'!$A$3,'計算A'!$A$4=0))),0,IF(5=$K17,200000,ABS(5-$K17)*100)),100000+ABS(5-$J17)*1000+50)+'計算A'!CZ$5*50+IF(AND($E17=1,MM17=0),25,0),IF($F17&gt;0,INDEX('計算A'!CZ$110:CZ$114,$F17+1)+IF(AND($E17=1,MM17=0),1000,0),MIN(TY17,20)*400+(IF('計算A'!CY$106=1,1-GW17,0)+IF('計算A'!CZ$106=1,1-GY17,0))*150+55+'計算A'!CZ$5*100000+IF(AND($E17=1,MM17=0),50000,0))+IF($H17=1,(IF('計算A'!CY$117=1,INDEX('計算A'!CY$10:CY$54,$B17),0)+IF('計算A'!CZ$117=1,INDEX('計算A'!DA$10:DA$54,$B17),0))*4000,0)-IF(AND('計算A'!CY$117=1,XW17&gt;0),2000,0)-IF(AND($L17=1,'計算A'!CZ$117=1,GY17=0),2000,0))),1000000))</f>
        <v/>
      </c>
      <c r="SC17">
        <f>IF($B17=0,1000000,IF(INDEX('計算A'!$D$60:$EQ$104,$B17,102)*GY17=1,IF(AND($E17=2,MN17=0),1000000,IF($I17&gt;0,IF(5=$J17,IF(OR(AND(102=$I17+1,OR($K17&lt;&gt;'計算A'!$A$3,'計算A'!$A$4=0)),AND(102=$I17-1,OR(6&lt;&gt;'計算A'!$A$3,'計算A'!$A$4=0))),0,IF(6=$K17,200000,ABS(6-$K17)*100)),100000+ABS(5-$J17)*1000+60)+'計算A'!DA$5*50+IF(AND($E17=1,MN17=0),25,0),IF($F17&gt;0,INDEX('計算A'!DA$110:DA$114,$F17+1)+IF(AND($E17=1,MN17=0),1000,0),MIN(TY17,20)*400+(IF('計算A'!CZ$106=1,1-GX17,0)+IF('計算A'!DA$106=1,1-GZ17,0))*150+65+'計算A'!DA$5*100000+IF(AND($E17=1,MN17=0),50000,0))+IF($H17=1,(IF('計算A'!CZ$117=1,INDEX('計算A'!CZ$10:CZ$54,$B17),0)+IF('計算A'!DA$117=1,INDEX('計算A'!DB$10:DB$54,$B17),0))*4000,0)-IF(AND('計算A'!CZ$117=1,XX17&gt;0),2000,0)-IF(AND($L17=1,'計算A'!DA$117=1,GZ17=0),2000,0))),1000000))</f>
        <v/>
      </c>
      <c r="SD17">
        <f>IF($B17=0,1000000,IF(INDEX('計算A'!$D$60:$EQ$104,$B17,103)*GZ17=1,IF(AND($E17=2,MO17=0),1000000,IF($I17&gt;0,IF(5=$J17,IF(OR(AND(103=$I17+1,OR($K17&lt;&gt;'計算A'!$A$3,'計算A'!$A$4=0)),AND(103=$I17-1,OR(7&lt;&gt;'計算A'!$A$3,'計算A'!$A$4=0))),0,IF(7=$K17,200000,ABS(7-$K17)*100)),100000+ABS(5-$J17)*1000+70)+'計算A'!DB$5*50+IF(AND($E17=1,MO17=0),25,0),IF($F17&gt;0,INDEX('計算A'!DB$110:DB$114,$F17+1)+IF(AND($E17=1,MO17=0),1000,0),MIN(TY17,20)*400+(IF('計算A'!DA$106=1,1-GY17,0)+IF('計算A'!DB$106=1,1-HA17,0))*150+75+'計算A'!DB$5*100000+IF(AND($E17=1,MO17=0),50000,0))+IF($H17=1,(IF('計算A'!DA$117=1,INDEX('計算A'!DA$10:DA$54,$B17),0)+IF('計算A'!DB$117=1,INDEX('計算A'!DC$10:DC$54,$B17),0))*4000,0)-IF(AND('計算A'!DA$117=1,XY17&gt;0),2000,0)-IF(AND($L17=1,'計算A'!DB$117=1,HA17=0),2000,0))),1000000))</f>
        <v/>
      </c>
      <c r="SE17">
        <f>IF($B17=0,1000000,IF(INDEX('計算A'!$D$60:$EQ$104,$B17,104)*HA17=1,IF(AND($E17=2,MP17=0),1000000,IF($I17&gt;0,IF(5=$J17,IF(OR(AND(104=$I17+1,OR($K17&lt;&gt;'計算A'!$A$3,'計算A'!$A$4=0)),AND(104=$I17-1,OR(8&lt;&gt;'計算A'!$A$3,'計算A'!$A$4=0))),0,IF(8=$K17,200000,ABS(8-$K17)*100)),100000+ABS(5-$J17)*1000+80)+'計算A'!DC$5*50+IF(AND($E17=1,MP17=0),25,0),IF($F17&gt;0,INDEX('計算A'!DC$110:DC$114,$F17+1)+IF(AND($E17=1,MP17=0),1000,0),MIN(TY17,20)*400+(IF('計算A'!DB$106=1,1-GZ17,0)+IF('計算A'!DC$106=1,1-HB17,0))*150+85+'計算A'!DC$5*100000+IF(AND($E17=1,MP17=0),50000,0))+IF($H17=1,(IF('計算A'!DB$117=1,INDEX('計算A'!DB$10:DB$54,$B17),0)+IF('計算A'!DC$117=1,INDEX('計算A'!DD$10:DD$54,$B17),0))*4000,0)-IF(AND('計算A'!DB$117=1,XZ17&gt;0),2000,0)-IF(AND($L17=1,'計算A'!DC$117=1,HB17=0),2000,0))),1000000))</f>
        <v/>
      </c>
      <c r="SF17">
        <f>IF($B17=0,1000000,IF(INDEX('計算A'!$D$60:$EQ$104,$B17,105)*HB17=1,IF(AND($E17=2,MQ17=0),1000000,IF($I17&gt;0,IF(5=$J17,IF(OR(AND(105=$I17+1,OR($K17&lt;&gt;'計算A'!$A$3,'計算A'!$A$4=0)),AND(105=$I17-1,OR(9&lt;&gt;'計算A'!$A$3,'計算A'!$A$4=0))),0,IF(9=$K17,200000,ABS(9-$K17)*100)),100000+ABS(5-$J17)*1000+90)+'計算A'!DD$5*50+IF(AND($E17=1,MQ17=0),25,0),IF($F17&gt;0,INDEX('計算A'!DD$110:DD$114,$F17+1)+IF(AND($E17=1,MQ17=0),1000,0),MIN(TY17,20)*400+(IF('計算A'!DC$106=1,1-HA17,0)+IF('計算A'!DD$106=1,1-HC17,0))*150+95+'計算A'!DD$5*100000+IF(AND($E17=1,MQ17=0),50000,0))+IF($H17=1,(IF('計算A'!DC$117=1,INDEX('計算A'!DC$10:DC$54,$B17),0)+IF('計算A'!DD$117=1,INDEX('計算A'!DE$10:DE$54,$B17),0))*4000,0)-IF(AND('計算A'!DC$117=1,YA17&gt;0),2000,0)-IF(AND($L17=1,'計算A'!DD$117=1,HC17=0),2000,0))),1000000))</f>
        <v/>
      </c>
      <c r="SG17">
        <f>IF($B17=0,1000000,IF(INDEX('計算A'!$D$60:$EQ$104,$B17,106)*HC17=1,IF(AND($E17=2,MR17=0),1000000,IF($I17&gt;0,IF(5=$J17,IF(OR(AND(106=$I17+1,OR($K17&lt;&gt;'計算A'!$A$3,'計算A'!$A$4=0)),AND(106=$I17-1,OR(10&lt;&gt;'計算A'!$A$3,'計算A'!$A$4=0))),0,IF(10=$K17,200000,ABS(10-$K17)*100)),100000+ABS(5-$J17)*1000+100)+'計算A'!DE$5*50+IF(AND($E17=1,MR17=0),25,0),IF($F17&gt;0,INDEX('計算A'!DE$110:DE$114,$F17+1)+IF(AND($E17=1,MR17=0),1000,0),MIN(TY17,20)*400+(IF('計算A'!DD$106=1,1-HB17,0)+IF('計算A'!DE$106=1,1-HD17,0))*150+105+'計算A'!DE$5*100000+IF(AND($E17=1,MR17=0),50000,0))+IF($H17=1,(IF('計算A'!DD$117=1,INDEX('計算A'!DD$10:DD$54,$B17),0)+IF('計算A'!DE$117=1,INDEX('計算A'!DF$10:DF$54,$B17),0))*4000,0)-IF(AND('計算A'!DD$117=1,YB17&gt;0),2000,0)-IF(AND($L17=1,'計算A'!DE$117=1,HD17=0),2000,0))),1000000))</f>
        <v/>
      </c>
      <c r="SH17">
        <f>IF($B17=0,1000000,IF(INDEX('計算A'!$D$60:$EQ$104,$B17,107)*HD17=1,IF(AND($E17=2,MS17=0),1000000,IF($I17&gt;0,IF(5=$J17,IF(OR(AND(107=$I17+1,OR($K17&lt;&gt;'計算A'!$A$3,'計算A'!$A$4=0)),AND(107=$I17-1,OR(11&lt;&gt;'計算A'!$A$3,'計算A'!$A$4=0))),0,IF(11=$K17,200000,ABS(11-$K17)*100)),100000+ABS(5-$J17)*1000+110)+'計算A'!DF$5*50+IF(AND($E17=1,MS17=0),25,0),IF($F17&gt;0,INDEX('計算A'!DF$110:DF$114,$F17+1)+IF(AND($E17=1,MS17=0),1000,0),MIN(TY17,20)*400+(IF('計算A'!DE$106=1,1-HC17,0)+IF('計算A'!DF$106=1,1-HE17,0))*150+115+'計算A'!DF$5*100000+IF(AND($E17=1,MS17=0),50000,0))+IF($H17=1,(IF('計算A'!DE$117=1,INDEX('計算A'!DE$10:DE$54,$B17),0)+IF('計算A'!DF$117=1,INDEX('計算A'!DG$10:DG$54,$B17),0))*4000,0)-IF(AND('計算A'!DE$117=1,YC17&gt;0),2000,0)-IF(AND($L17=1,'計算A'!DF$117=1,HE17=0),2000,0))),1000000))</f>
        <v/>
      </c>
      <c r="SI17">
        <f>IF($B17=0,1000000,IF(INDEX('計算A'!$D$60:$EQ$104,$B17,108)*HE17=1,IF(AND($E17=2,MT17=0),1000000,IF($I17&gt;0,IF(5=$J17,IF(OR(AND(108=$I17+1,OR($K17&lt;&gt;'計算A'!$A$3,'計算A'!$A$4=0)),AND(108=$I17-1,OR(12&lt;&gt;'計算A'!$A$3,'計算A'!$A$4=0))),0,IF(12=$K17,200000,ABS(12-$K17)*100)),100000+ABS(5-$J17)*1000+120)+'計算A'!DG$5*50+IF(AND($E17=1,MT17=0),25,0),IF($F17&gt;0,INDEX('計算A'!DG$110:DG$114,$F17+1)+IF(AND($E17=1,MT17=0),1000,0),MIN(TY17,20)*400+(IF('計算A'!DF$106=1,1-HD17,0)+IF('計算A'!DG$106=1,1-HF17,0))*150+125+'計算A'!DG$5*100000+IF(AND($E17=1,MT17=0),50000,0))+IF($H17=1,(IF('計算A'!DF$117=1,INDEX('計算A'!DF$10:DF$54,$B17),0)+IF('計算A'!DG$117=1,INDEX('計算A'!DH$10:DH$54,$B17),0))*4000,0)-IF(AND('計算A'!DF$117=1,YD17&gt;0),2000,0)-IF(AND($L17=1,'計算A'!DG$117=1,HF17=0),2000,0))),1000000))</f>
        <v/>
      </c>
      <c r="SJ17">
        <f>IF($B17=0,1000000,IF(INDEX('計算A'!$D$60:$EQ$104,$B17,109)*HF17=1,IF(AND($E17=2,MU17=0),1000000,IF($I17&gt;0,IF(5=$J17,IF(OR(AND(109=$I17+1,OR($K17&lt;&gt;'計算A'!$A$3,'計算A'!$A$4=0)),AND(109=$I17-1,OR(13&lt;&gt;'計算A'!$A$3,'計算A'!$A$4=0))),0,IF(13=$K17,200000,ABS(13-$K17)*100)),100000+ABS(5-$J17)*1000+130)+'計算A'!DH$5*50+IF(AND($E17=1,MU17=0),25,0),IF($F17&gt;0,INDEX('計算A'!DH$110:DH$114,$F17+1)+IF(AND($E17=1,MU17=0),1000,0),MIN(TY17,20)*400+(IF('計算A'!DG$106=1,1-HE17,0)+IF('計算A'!DH$106=1,1-HG17,0))*150+135+'計算A'!DH$5*100000+IF(AND($E17=1,MU17=0),50000,0))+IF($H17=1,(IF('計算A'!DG$117=1,INDEX('計算A'!DG$10:DG$54,$B17),0)+IF('計算A'!DH$117=1,INDEX('計算A'!DI$10:DI$54,$B17),0))*4000,0)-IF(AND('計算A'!DG$117=1,YE17&gt;0),2000,0)-IF(AND($L17=1,'計算A'!DH$117=1,HG17=0),2000,0))),1000000))</f>
        <v/>
      </c>
      <c r="SK17">
        <f>IF($B17=0,1000000,IF(INDEX('計算A'!$D$60:$EQ$104,$B17,110)*HG17=1,IF(AND($E17=2,MV17=0),1000000,IF($I17&gt;0,IF(5=$J17,IF(OR(AND(110=$I17+1,OR($K17&lt;&gt;'計算A'!$A$3,'計算A'!$A$4=0)),AND(110=$I17-1,OR(14&lt;&gt;'計算A'!$A$3,'計算A'!$A$4=0))),0,IF(14=$K17,200000,ABS(14-$K17)*100)),100000+ABS(5-$J17)*1000+140)+'計算A'!DI$5*50+IF(AND($E17=1,MV17=0),25,0),IF($F17&gt;0,INDEX('計算A'!DI$110:DI$114,$F17+1)+IF(AND($E17=1,MV17=0),1000,0),MIN(TY17,20)*400+(IF('計算A'!DH$106=1,1-HF17,0)+IF('計算A'!DI$106=1,1-HH17,0))*150+145+'計算A'!DI$5*100000+IF(AND($E17=1,MV17=0),50000,0))+IF($H17=1,(IF('計算A'!DH$117=1,INDEX('計算A'!DH$10:DH$54,$B17),0)+IF('計算A'!DI$117=1,INDEX('計算A'!DJ$10:DJ$54,$B17),0))*4000,0)-IF(AND('計算A'!DH$117=1,YF17&gt;0),2000,0)-IF(AND($L17=1,'計算A'!DI$117=1,HH17=0),2000,0))),1000000))</f>
        <v/>
      </c>
      <c r="SL17">
        <f>IF($B17=0,1000000,IF(INDEX('計算A'!$D$60:$EQ$104,$B17,111)*HH17=1,IF(AND($E17=2,MW17=0),1000000,IF($I17&gt;0,IF(5=$J17,IF(OR(AND(111=$I17+1,OR($K17&lt;&gt;'計算A'!$A$3,'計算A'!$A$4=0)),AND(111=$I17-1,OR(15&lt;&gt;'計算A'!$A$3,'計算A'!$A$4=0))),0,IF(15=$K17,200000,ABS(15-$K17)*100)),100000+ABS(5-$J17)*1000+150)+'計算A'!DJ$5*50+IF(AND($E17=1,MW17=0),25,0),IF($F17&gt;0,INDEX('計算A'!DJ$110:DJ$114,$F17+1)+IF(AND($E17=1,MW17=0),1000,0),MIN(TY17,20)*400+(IF('計算A'!DI$106=1,1-HG17,0)+IF('計算A'!DJ$106=1,1-HI17,0))*150+155+'計算A'!DJ$5*100000+IF(AND($E17=1,MW17=0),50000,0))+IF($H17=1,(IF('計算A'!DI$117=1,INDEX('計算A'!DI$10:DI$54,$B17),0)+IF('計算A'!DJ$117=1,INDEX('計算A'!DK$10:DK$54,$B17),0))*4000,0)-IF(AND('計算A'!DI$117=1,YG17&gt;0),2000,0)-IF(AND($L17=1,'計算A'!DJ$117=1,HI17=0),2000,0))),1000000))</f>
        <v/>
      </c>
      <c r="SM17">
        <f>IF($B17=0,1000000,IF(INDEX('計算A'!$D$60:$EQ$104,$B17,112)*HI17=1,IF(AND($E17=2,MX17=0),1000000,IF($I17&gt;0,IF(5=$J17,IF(OR(AND(112=$I17+1,OR($K17&lt;&gt;'計算A'!$A$3,'計算A'!$A$4=0)),AND(112=$I17-1,OR(16&lt;&gt;'計算A'!$A$3,'計算A'!$A$4=0))),0,IF(16=$K17,200000,ABS(16-$K17)*100)),100000+ABS(5-$J17)*1000+160)+'計算A'!DK$5*50+IF(AND($E17=1,MX17=0),25,0),IF($F17&gt;0,INDEX('計算A'!DK$110:DK$114,$F17+1)+IF(AND($E17=1,MX17=0),1000,0),MIN(TY17,20)*400+(IF('計算A'!DJ$106=1,1-HH17,0)+IF('計算A'!DK$106=1,1-HJ17,0))*150+165+'計算A'!DK$5*100000+IF(AND($E17=1,MX17=0),50000,0))+IF($H17=1,(IF('計算A'!DJ$117=1,INDEX('計算A'!DJ$10:DJ$54,$B17),0)+IF('計算A'!DK$117=1,INDEX('計算A'!DL$10:DL$54,$B17),0))*4000,0)-IF(AND('計算A'!DJ$117=1,YH17&gt;0),2000,0)-IF(AND($L17=1,'計算A'!DK$117=1,HJ17=0),2000,0))),1000000))</f>
        <v/>
      </c>
      <c r="SN17">
        <f>IF($B17=0,1000000,IF(INDEX('計算A'!$D$60:$EQ$104,$B17,113)*HJ17=1,IF(AND($E17=2,MY17=0),1000000,IF($I17&gt;0,IF(5=$J17,IF(OR(AND(113=$I17+1,OR($K17&lt;&gt;'計算A'!$A$3,'計算A'!$A$4=0)),AND(113=$I17-1,OR(17&lt;&gt;'計算A'!$A$3,'計算A'!$A$4=0))),0,IF(17=$K17,200000,ABS(17-$K17)*100)),100000+ABS(5-$J17)*1000+170)+'計算A'!DL$5*50+IF(AND($E17=1,MY17=0),25,0),IF($F17&gt;0,INDEX('計算A'!DL$110:DL$114,$F17+1)+IF(AND($E17=1,MY17=0),1000,0),MIN(TY17,20)*400+(IF('計算A'!DK$106=1,1-HI17,0)+IF('計算A'!DL$106=1,1-HK17,0))*150+175+'計算A'!DL$5*100000+IF(AND($E17=1,MY17=0),50000,0))+IF($H17=1,(IF('計算A'!DK$117=1,INDEX('計算A'!DK$10:DK$54,$B17),0)+IF('計算A'!DL$117=1,INDEX('計算A'!DM$10:DM$54,$B17),0))*4000,0)-IF(AND('計算A'!DK$117=1,YI17&gt;0),2000,0)-IF(AND($L17=1,'計算A'!DL$117=1,HK17=0),2000,0))),1000000))</f>
        <v/>
      </c>
      <c r="SO17">
        <f>IF($B17=0,1000000,IF(INDEX('計算A'!$D$60:$EQ$104,$B17,114)*HK17=1,IF(AND($E17=2,MZ17=0),1000000,IF($I17&gt;0,IF(5=$J17,IF(OR(AND(114=$I17+1,OR($K17&lt;&gt;'計算A'!$A$3,'計算A'!$A$4=0)),AND(114=$I17-1,OR(18&lt;&gt;'計算A'!$A$3,'計算A'!$A$4=0))),0,IF(18=$K17,200000,ABS(18-$K17)*100)),100000+ABS(5-$J17)*1000+180)+'計算A'!DM$5*50+IF(AND($E17=1,MZ17=0),25,0),IF($F17&gt;0,INDEX('計算A'!DM$110:DM$114,$F17+1)+IF(AND($E17=1,MZ17=0),1000,0),MIN(TY17,20)*400+(IF('計算A'!DL$106=1,1-HJ17,0)+IF('計算A'!DM$106=1,1-HL17,0))*150+185+'計算A'!DM$5*100000+IF(AND($E17=1,MZ17=0),50000,0))+IF($H17=1,(IF('計算A'!DL$117=1,INDEX('計算A'!DL$10:DL$54,$B17),0)+IF('計算A'!DM$117=1,INDEX('計算A'!DN$10:DN$54,$B17),0))*4000,0)-IF(AND('計算A'!DL$117=1,YJ17&gt;0),2000,0)-IF(AND($L17=1,'計算A'!DM$117=1,HL17=0),2000,0))),1000000))</f>
        <v/>
      </c>
      <c r="SP17">
        <f>IF($B17=0,1000000,IF(INDEX('計算A'!$D$60:$EQ$104,$B17,115)*HL17=1,IF(AND($E17=2,NA17=0),1000000,IF($I17&gt;0,IF(5=$J17,IF(OR(AND(115=$I17+1,OR($K17&lt;&gt;'計算A'!$A$3,'計算A'!$A$4=0)),AND(115=$I17-1,OR(19&lt;&gt;'計算A'!$A$3,'計算A'!$A$4=0))),0,IF(19=$K17,200000,ABS(19-$K17)*100)),100000+ABS(5-$J17)*1000+190)+'計算A'!DN$5*50+IF(AND($E17=1,NA17=0),25,0),IF($F17&gt;0,INDEX('計算A'!DN$110:DN$114,$F17+1)+IF(AND($E17=1,NA17=0),1000,0),MIN(TY17,20)*400+(IF('計算A'!DM$106=1,1-HK17,0)+IF('計算A'!DN$106=1,1-HM17,0))*150+195+'計算A'!DN$5*100000+IF(AND($E17=1,NA17=0),50000,0))+IF($H17=1,(IF('計算A'!DM$117=1,INDEX('計算A'!DM$10:DM$54,$B17),0)+IF('計算A'!DN$117=1,INDEX('計算A'!DO$10:DO$54,$B17),0))*4000,0)-IF(AND('計算A'!DM$117=1,YK17&gt;0),2000,0)-IF(AND($L17=1,'計算A'!DN$117=1,HM17=0),2000,0))),1000000))</f>
        <v/>
      </c>
      <c r="SQ17">
        <f>IF($B17=0,1000000,IF(INDEX('計算A'!$D$60:$EQ$104,$B17,116)*HM17=1,IF(AND($E17=2,NB17=0),1000000,IF($I17&gt;0,IF(5=$J17,IF(OR(AND(116=$I17+1,OR($K17&lt;&gt;'計算A'!$A$3,'計算A'!$A$4=0)),AND(116=$I17-1,OR(20&lt;&gt;'計算A'!$A$3,'計算A'!$A$4=0))),0,IF(20=$K17,200000,ABS(20-$K17)*100)),100000+ABS(5-$J17)*1000+200)+'計算A'!DO$5*50+IF(AND($E17=1,NB17=0),25,0),IF($F17&gt;0,INDEX('計算A'!DO$110:DO$114,$F17+1)+IF(AND($E17=1,NB17=0),1000,0),MIN(TY17,20)*400+(IF('計算A'!DN$106=1,1-HL17,0)+IF('計算A'!DO$106=1,1-HN17,0))*150+205+'計算A'!DO$5*100000+IF(AND($E17=1,NB17=0),50000,0))+IF($H17=1,(IF('計算A'!DN$117=1,INDEX('計算A'!DN$10:DN$54,$B17),0)+IF('計算A'!DO$117=1,INDEX('計算A'!DP$10:DP$54,$B17),0))*4000,0)-IF(AND('計算A'!DN$117=1,YL17&gt;0),2000,0)-IF(AND($L17=1,'計算A'!DO$117=1,HN17=0),2000,0))),1000000))</f>
        <v/>
      </c>
      <c r="SR17">
        <f>IF($B17=0,1000000,IF(INDEX('計算A'!$D$60:$EQ$104,$B17,117)*HN17=1,IF(AND($E17=2,NC17=0),1000000,IF($I17&gt;0,IF(5=$J17,IF(OR(AND(117=$I17+1,OR($K17&lt;&gt;'計算A'!$A$3,'計算A'!$A$4=0)),AND(117=$I17-1,OR(21&lt;&gt;'計算A'!$A$3,'計算A'!$A$4=0))),0,IF(21=$K17,200000,ABS(21-$K17)*100)),100000+ABS(5-$J17)*1000+210)+'計算A'!DP$5*50+IF(AND($E17=1,NC17=0),25,0),IF($F17&gt;0,INDEX('計算A'!DP$110:DP$114,$F17+1)+IF(AND($E17=1,NC17=0),1000,0),MIN(TY17,20)*400+(IF('計算A'!DO$106=1,1-HM17,0)+IF('計算A'!DP$106=1,1-HO17,0))*150+215+'計算A'!DP$5*100000+IF(AND($E17=1,NC17=0),50000,0))+IF($H17=1,(IF('計算A'!DO$117=1,INDEX('計算A'!DO$10:DO$54,$B17),0)+IF('計算A'!DP$117=1,INDEX('計算A'!DQ$10:DQ$54,$B17),0))*4000,0)-IF(AND('計算A'!DO$117=1,YM17&gt;0),2000,0)-IF(AND($L17=1,'計算A'!DP$117=1,HO17=0),2000,0))),1000000))</f>
        <v/>
      </c>
      <c r="SS17">
        <f>IF($B17=0,1000000,IF(INDEX('計算A'!$D$60:$EQ$104,$B17,118)*HO17=1,IF(AND($E17=2,ND17=0),1000000,IF($I17&gt;0,IF(5=$J17,IF(OR(AND(118=$I17+1,OR($K17&lt;&gt;'計算A'!$A$3,'計算A'!$A$4=0)),AND(118=$I17-1,OR(22&lt;&gt;'計算A'!$A$3,'計算A'!$A$4=0))),0,IF(22=$K17,200000,ABS(22-$K17)*100)),100000+ABS(5-$J17)*1000+220)+'計算A'!DQ$5*50+IF(AND($E17=1,ND17=0),25,0),IF($F17&gt;0,INDEX('計算A'!DQ$110:DQ$114,$F17+1)+IF(AND($E17=1,ND17=0),1000,0),MIN(TY17,20)*400+(IF('計算A'!DP$106=1,1-HN17,0)+IF('計算A'!DQ$106=1,1-HP17,0))*150+225+'計算A'!DQ$5*100000+IF(AND($E17=1,ND17=0),50000,0))+IF($H17=1,(IF('計算A'!DP$117=1,INDEX('計算A'!DP$10:DP$54,$B17),0)+IF('計算A'!DQ$117=1,INDEX('計算A'!DR$10:DR$54,$B17),0))*4000,0)-IF(AND('計算A'!DP$117=1,YN17&gt;0),2000,0)-IF(AND($L17=1,'計算A'!DQ$117=1,HP17=0),2000,0))),1000000))</f>
        <v/>
      </c>
      <c r="ST17">
        <f>IF($B17=0,1000000,IF(INDEX('計算A'!$D$60:$EQ$104,$B17,119)*HP17=1,IF(AND($E17=2,NE17=0),1000000,IF($I17&gt;0,IF(5=$J17,IF(OR(AND(119=$I17+1,OR($K17&lt;&gt;'計算A'!$A$3,'計算A'!$A$4=0)),AND(119=$I17-1,OR(23&lt;&gt;'計算A'!$A$3,'計算A'!$A$4=0))),0,IF(23=$K17,200000,ABS(23-$K17)*100)),100000+ABS(5-$J17)*1000+230)+'計算A'!DR$5*50+IF(AND($E17=1,NE17=0),25,0),IF($F17&gt;0,INDEX('計算A'!DR$110:DR$114,$F17+1)+IF(AND($E17=1,NE17=0),1000,0),MIN(TY17,20)*400+(IF('計算A'!DQ$106=1,1-HO17,0)+IF('計算A'!DR$106=1,1-HQ17,0))*150+235+'計算A'!DR$5*100000+IF(AND($E17=1,NE17=0),50000,0))+IF($H17=1,(IF('計算A'!DQ$117=1,INDEX('計算A'!DQ$10:DQ$54,$B17),0)+IF('計算A'!DR$117=1,INDEX('計算A'!DS$10:DS$54,$B17),0))*4000,0)-IF(AND('計算A'!DQ$117=1,YO17&gt;0),2000,0)-IF(AND($L17=1,'計算A'!DR$117=1,HQ17=0),2000,0))),1000000))</f>
        <v/>
      </c>
      <c r="SU17">
        <f>IF($B17=0,1000000,IF(INDEX('計算A'!$D$60:$EQ$104,$B17,120)*HQ17=1,IF(AND($E17=2,NF17=0),1000000,IF($I17&gt;0,IF(5=$J17,IF(OR(AND(120=$I17+1,OR($K17&lt;&gt;'計算A'!$A$3,'計算A'!$A$4=0)),AND(120=$I17-1,OR(24&lt;&gt;'計算A'!$A$3,'計算A'!$A$4=0))),0,IF(24=$K17,200000,ABS(24-$K17)*100)),100000+ABS(5-$J17)*1000+240)+'計算A'!DS$5*50+IF(AND($E17=1,NF17=0),25,0),IF($F17&gt;0,INDEX('計算A'!DS$110:DS$114,$F17+1)+IF(AND($E17=1,NF17=0),1000,0),MIN(TY17,20)*400+(IF('計算A'!DR$106=1,1-HP17,0))*150+245+'計算A'!DS$5*100000+IF(AND($E17=1,NF17=0),50000,0))+IF($H17=1,(IF('計算A'!DR$117=1,INDEX('計算A'!DR$10:DR$54,$B17),0))*4000,0)-IF(AND('計算A'!DR$117=1,YP17&gt;0),2000,0))),1000000))</f>
        <v/>
      </c>
      <c r="SV17">
        <f>IF($B17=0,1000000,IF(INDEX('計算A'!$D$60:$EQ$104,$B17,121)*HR17=1,IF(AND($E17=2,NG17=0),1000000,IF($I17&gt;0,IF(6=$J17,IF(OR(AND(121=$I17+1,OR($K17&lt;&gt;'計算A'!$A$3,'計算A'!$A$4=0)),AND(121=$I17-1,OR(1&lt;&gt;'計算A'!$A$3,'計算A'!$A$4=0))),0,IF(1=$K17,200000,ABS(1-$K17)*100)),100000+ABS(6-$J17)*1000+10)+'計算A'!DT$5*50+IF(AND($E17=1,NG17=0),25,0),IF($F17&gt;0,INDEX('計算A'!DT$110:DT$114,$F17+1)+IF(AND($E17=1,NG17=0),1000,0),MIN(TZ17,20)*400+(IF('計算A'!DT$106=1,1-HS17,0))*150+16+'計算A'!DT$5*100000+IF(AND($E17=1,NG17=0),50000,0))+IF($H17=1,(IF('計算A'!DT$117=1,INDEX('計算A'!DU$10:DU$54,$B17),0))*4000,0)-IF(AND($L17=1,'計算A'!DT$117=1,HS17=0),2000,0))),1000000))</f>
        <v/>
      </c>
      <c r="SW17">
        <f>IF($B17=0,1000000,IF(INDEX('計算A'!$D$60:$EQ$104,$B17,122)*HS17=1,IF(AND($E17=2,NH17=0),1000000,IF($I17&gt;0,IF(6=$J17,IF(OR(AND(122=$I17+1,OR($K17&lt;&gt;'計算A'!$A$3,'計算A'!$A$4=0)),AND(122=$I17-1,OR(2&lt;&gt;'計算A'!$A$3,'計算A'!$A$4=0))),0,IF(2=$K17,200000,ABS(2-$K17)*100)),100000+ABS(6-$J17)*1000+20)+'計算A'!DU$5*50+IF(AND($E17=1,NH17=0),25,0),IF($F17&gt;0,INDEX('計算A'!DU$110:DU$114,$F17+1)+IF(AND($E17=1,NH17=0),1000,0),MIN(TZ17,20)*400+(IF('計算A'!DT$106=1,1-HR17,0)+IF('計算A'!DU$106=1,1-HT17,0))*150+26+'計算A'!DU$5*100000+IF(AND($E17=1,NH17=0),50000,0))+IF($H17=1,(IF('計算A'!DT$117=1,INDEX('計算A'!DT$10:DT$54,$B17),0)+IF('計算A'!DU$117=1,INDEX('計算A'!DV$10:DV$54,$B17),0))*4000,0)-IF(AND('計算A'!DT$117=1,YR17&gt;0),2000,0)-IF(AND($L17=1,'計算A'!DU$117=1,HT17=0),2000,0))),1000000))</f>
        <v/>
      </c>
      <c r="SX17">
        <f>IF($B17=0,1000000,IF(INDEX('計算A'!$D$60:$EQ$104,$B17,123)*HT17=1,IF(AND($E17=2,NI17=0),1000000,IF($I17&gt;0,IF(6=$J17,IF(OR(AND(123=$I17+1,OR($K17&lt;&gt;'計算A'!$A$3,'計算A'!$A$4=0)),AND(123=$I17-1,OR(3&lt;&gt;'計算A'!$A$3,'計算A'!$A$4=0))),0,IF(3=$K17,200000,ABS(3-$K17)*100)),100000+ABS(6-$J17)*1000+30)+'計算A'!DV$5*50+IF(AND($E17=1,NI17=0),25,0),IF($F17&gt;0,INDEX('計算A'!DV$110:DV$114,$F17+1)+IF(AND($E17=1,NI17=0),1000,0),MIN(TZ17,20)*400+(IF('計算A'!DU$106=1,1-HS17,0)+IF('計算A'!DV$106=1,1-HU17,0))*150+36+'計算A'!DV$5*100000+IF(AND($E17=1,NI17=0),50000,0))+IF($H17=1,(IF('計算A'!DU$117=1,INDEX('計算A'!DU$10:DU$54,$B17),0)+IF('計算A'!DV$117=1,INDEX('計算A'!DW$10:DW$54,$B17),0))*4000,0)-IF(AND('計算A'!DU$117=1,YS17&gt;0),2000,0)-IF(AND($L17=1,'計算A'!DV$117=1,HU17=0),2000,0))),1000000))</f>
        <v/>
      </c>
      <c r="SY17">
        <f>IF($B17=0,1000000,IF(INDEX('計算A'!$D$60:$EQ$104,$B17,124)*HU17=1,IF(AND($E17=2,NJ17=0),1000000,IF($I17&gt;0,IF(6=$J17,IF(OR(AND(124=$I17+1,OR($K17&lt;&gt;'計算A'!$A$3,'計算A'!$A$4=0)),AND(124=$I17-1,OR(4&lt;&gt;'計算A'!$A$3,'計算A'!$A$4=0))),0,IF(4=$K17,200000,ABS(4-$K17)*100)),100000+ABS(6-$J17)*1000+40)+'計算A'!DW$5*50+IF(AND($E17=1,NJ17=0),25,0),IF($F17&gt;0,INDEX('計算A'!DW$110:DW$114,$F17+1)+IF(AND($E17=1,NJ17=0),1000,0),MIN(TZ17,20)*400+(IF('計算A'!DV$106=1,1-HT17,0)+IF('計算A'!DW$106=1,1-HV17,0))*150+46+'計算A'!DW$5*100000+IF(AND($E17=1,NJ17=0),50000,0))+IF($H17=1,(IF('計算A'!DV$117=1,INDEX('計算A'!DV$10:DV$54,$B17),0)+IF('計算A'!DW$117=1,INDEX('計算A'!DX$10:DX$54,$B17),0))*4000,0)-IF(AND('計算A'!DV$117=1,YT17&gt;0),2000,0)-IF(AND($L17=1,'計算A'!DW$117=1,HV17=0),2000,0))),1000000))</f>
        <v/>
      </c>
      <c r="SZ17">
        <f>IF($B17=0,1000000,IF(INDEX('計算A'!$D$60:$EQ$104,$B17,125)*HV17=1,IF(AND($E17=2,NK17=0),1000000,IF($I17&gt;0,IF(6=$J17,IF(OR(AND(125=$I17+1,OR($K17&lt;&gt;'計算A'!$A$3,'計算A'!$A$4=0)),AND(125=$I17-1,OR(5&lt;&gt;'計算A'!$A$3,'計算A'!$A$4=0))),0,IF(5=$K17,200000,ABS(5-$K17)*100)),100000+ABS(6-$J17)*1000+50)+'計算A'!DX$5*50+IF(AND($E17=1,NK17=0),25,0),IF($F17&gt;0,INDEX('計算A'!DX$110:DX$114,$F17+1)+IF(AND($E17=1,NK17=0),1000,0),MIN(TZ17,20)*400+(IF('計算A'!DW$106=1,1-HU17,0)+IF('計算A'!DX$106=1,1-HW17,0))*150+56+'計算A'!DX$5*100000+IF(AND($E17=1,NK17=0),50000,0))+IF($H17=1,(IF('計算A'!DW$117=1,INDEX('計算A'!DW$10:DW$54,$B17),0)+IF('計算A'!DX$117=1,INDEX('計算A'!DY$10:DY$54,$B17),0))*4000,0)-IF(AND('計算A'!DW$117=1,YU17&gt;0),2000,0)-IF(AND($L17=1,'計算A'!DX$117=1,HW17=0),2000,0))),1000000))</f>
        <v/>
      </c>
      <c r="TA17">
        <f>IF($B17=0,1000000,IF(INDEX('計算A'!$D$60:$EQ$104,$B17,126)*HW17=1,IF(AND($E17=2,NL17=0),1000000,IF($I17&gt;0,IF(6=$J17,IF(OR(AND(126=$I17+1,OR($K17&lt;&gt;'計算A'!$A$3,'計算A'!$A$4=0)),AND(126=$I17-1,OR(6&lt;&gt;'計算A'!$A$3,'計算A'!$A$4=0))),0,IF(6=$K17,200000,ABS(6-$K17)*100)),100000+ABS(6-$J17)*1000+60)+'計算A'!DY$5*50+IF(AND($E17=1,NL17=0),25,0),IF($F17&gt;0,INDEX('計算A'!DY$110:DY$114,$F17+1)+IF(AND($E17=1,NL17=0),1000,0),MIN(TZ17,20)*400+(IF('計算A'!DX$106=1,1-HV17,0)+IF('計算A'!DY$106=1,1-HX17,0))*150+66+'計算A'!DY$5*100000+IF(AND($E17=1,NL17=0),50000,0))+IF($H17=1,(IF('計算A'!DX$117=1,INDEX('計算A'!DX$10:DX$54,$B17),0)+IF('計算A'!DY$117=1,INDEX('計算A'!DZ$10:DZ$54,$B17),0))*4000,0)-IF(AND('計算A'!DX$117=1,YV17&gt;0),2000,0)-IF(AND($L17=1,'計算A'!DY$117=1,HX17=0),2000,0))),1000000))</f>
        <v/>
      </c>
      <c r="TB17">
        <f>IF($B17=0,1000000,IF(INDEX('計算A'!$D$60:$EQ$104,$B17,127)*HX17=1,IF(AND($E17=2,NM17=0),1000000,IF($I17&gt;0,IF(6=$J17,IF(OR(AND(127=$I17+1,OR($K17&lt;&gt;'計算A'!$A$3,'計算A'!$A$4=0)),AND(127=$I17-1,OR(7&lt;&gt;'計算A'!$A$3,'計算A'!$A$4=0))),0,IF(7=$K17,200000,ABS(7-$K17)*100)),100000+ABS(6-$J17)*1000+70)+'計算A'!DZ$5*50+IF(AND($E17=1,NM17=0),25,0),IF($F17&gt;0,INDEX('計算A'!DZ$110:DZ$114,$F17+1)+IF(AND($E17=1,NM17=0),1000,0),MIN(TZ17,20)*400+(IF('計算A'!DY$106=1,1-HW17,0)+IF('計算A'!DZ$106=1,1-HY17,0))*150+76+'計算A'!DZ$5*100000+IF(AND($E17=1,NM17=0),50000,0))+IF($H17=1,(IF('計算A'!DY$117=1,INDEX('計算A'!DY$10:DY$54,$B17),0)+IF('計算A'!DZ$117=1,INDEX('計算A'!EA$10:EA$54,$B17),0))*4000,0)-IF(AND('計算A'!DY$117=1,YW17&gt;0),2000,0)-IF(AND($L17=1,'計算A'!DZ$117=1,HY17=0),2000,0))),1000000))</f>
        <v/>
      </c>
      <c r="TC17">
        <f>IF($B17=0,1000000,IF(INDEX('計算A'!$D$60:$EQ$104,$B17,128)*HY17=1,IF(AND($E17=2,NN17=0),1000000,IF($I17&gt;0,IF(6=$J17,IF(OR(AND(128=$I17+1,OR($K17&lt;&gt;'計算A'!$A$3,'計算A'!$A$4=0)),AND(128=$I17-1,OR(8&lt;&gt;'計算A'!$A$3,'計算A'!$A$4=0))),0,IF(8=$K17,200000,ABS(8-$K17)*100)),100000+ABS(6-$J17)*1000+80)+'計算A'!EA$5*50+IF(AND($E17=1,NN17=0),25,0),IF($F17&gt;0,INDEX('計算A'!EA$110:EA$114,$F17+1)+IF(AND($E17=1,NN17=0),1000,0),MIN(TZ17,20)*400+(IF('計算A'!DZ$106=1,1-HX17,0)+IF('計算A'!EA$106=1,1-HZ17,0))*150+86+'計算A'!EA$5*100000+IF(AND($E17=1,NN17=0),50000,0))+IF($H17=1,(IF('計算A'!DZ$117=1,INDEX('計算A'!DZ$10:DZ$54,$B17),0)+IF('計算A'!EA$117=1,INDEX('計算A'!EB$10:EB$54,$B17),0))*4000,0)-IF(AND('計算A'!DZ$117=1,YX17&gt;0),2000,0)-IF(AND($L17=1,'計算A'!EA$117=1,HZ17=0),2000,0))),1000000))</f>
        <v/>
      </c>
      <c r="TD17">
        <f>IF($B17=0,1000000,IF(INDEX('計算A'!$D$60:$EQ$104,$B17,129)*HZ17=1,IF(AND($E17=2,NO17=0),1000000,IF($I17&gt;0,IF(6=$J17,IF(OR(AND(129=$I17+1,OR($K17&lt;&gt;'計算A'!$A$3,'計算A'!$A$4=0)),AND(129=$I17-1,OR(9&lt;&gt;'計算A'!$A$3,'計算A'!$A$4=0))),0,IF(9=$K17,200000,ABS(9-$K17)*100)),100000+ABS(6-$J17)*1000+90)+'計算A'!EB$5*50+IF(AND($E17=1,NO17=0),25,0),IF($F17&gt;0,INDEX('計算A'!EB$110:EB$114,$F17+1)+IF(AND($E17=1,NO17=0),1000,0),MIN(TZ17,20)*400+(IF('計算A'!EA$106=1,1-HY17,0)+IF('計算A'!EB$106=1,1-IA17,0))*150+96+'計算A'!EB$5*100000+IF(AND($E17=1,NO17=0),50000,0))+IF($H17=1,(IF('計算A'!EA$117=1,INDEX('計算A'!EA$10:EA$54,$B17),0)+IF('計算A'!EB$117=1,INDEX('計算A'!EC$10:EC$54,$B17),0))*4000,0)-IF(AND('計算A'!EA$117=1,YY17&gt;0),2000,0)-IF(AND($L17=1,'計算A'!EB$117=1,IA17=0),2000,0))),1000000))</f>
        <v/>
      </c>
      <c r="TE17">
        <f>IF($B17=0,1000000,IF(INDEX('計算A'!$D$60:$EQ$104,$B17,130)*IA17=1,IF(AND($E17=2,NP17=0),1000000,IF($I17&gt;0,IF(6=$J17,IF(OR(AND(130=$I17+1,OR($K17&lt;&gt;'計算A'!$A$3,'計算A'!$A$4=0)),AND(130=$I17-1,OR(10&lt;&gt;'計算A'!$A$3,'計算A'!$A$4=0))),0,IF(10=$K17,200000,ABS(10-$K17)*100)),100000+ABS(6-$J17)*1000+100)+'計算A'!EC$5*50+IF(AND($E17=1,NP17=0),25,0),IF($F17&gt;0,INDEX('計算A'!EC$110:EC$114,$F17+1)+IF(AND($E17=1,NP17=0),1000,0),MIN(TZ17,20)*400+(IF('計算A'!EB$106=1,1-HZ17,0)+IF('計算A'!EC$106=1,1-IB17,0))*150+106+'計算A'!EC$5*100000+IF(AND($E17=1,NP17=0),50000,0))+IF($H17=1,(IF('計算A'!EB$117=1,INDEX('計算A'!EB$10:EB$54,$B17),0)+IF('計算A'!EC$117=1,INDEX('計算A'!ED$10:ED$54,$B17),0))*4000,0)-IF(AND('計算A'!EB$117=1,YZ17&gt;0),2000,0)-IF(AND($L17=1,'計算A'!EC$117=1,IB17=0),2000,0))),1000000))</f>
        <v/>
      </c>
      <c r="TF17">
        <f>IF($B17=0,1000000,IF(INDEX('計算A'!$D$60:$EQ$104,$B17,131)*IB17=1,IF(AND($E17=2,NQ17=0),1000000,IF($I17&gt;0,IF(6=$J17,IF(OR(AND(131=$I17+1,OR($K17&lt;&gt;'計算A'!$A$3,'計算A'!$A$4=0)),AND(131=$I17-1,OR(11&lt;&gt;'計算A'!$A$3,'計算A'!$A$4=0))),0,IF(11=$K17,200000,ABS(11-$K17)*100)),100000+ABS(6-$J17)*1000+110)+'計算A'!ED$5*50+IF(AND($E17=1,NQ17=0),25,0),IF($F17&gt;0,INDEX('計算A'!ED$110:ED$114,$F17+1)+IF(AND($E17=1,NQ17=0),1000,0),MIN(TZ17,20)*400+(IF('計算A'!EC$106=1,1-IA17,0)+IF('計算A'!ED$106=1,1-IC17,0))*150+116+'計算A'!ED$5*100000+IF(AND($E17=1,NQ17=0),50000,0))+IF($H17=1,(IF('計算A'!EC$117=1,INDEX('計算A'!EC$10:EC$54,$B17),0)+IF('計算A'!ED$117=1,INDEX('計算A'!EE$10:EE$54,$B17),0))*4000,0)-IF(AND('計算A'!EC$117=1,ZA17&gt;0),2000,0)-IF(AND($L17=1,'計算A'!ED$117=1,IC17=0),2000,0))),1000000))</f>
        <v/>
      </c>
      <c r="TG17">
        <f>IF($B17=0,1000000,IF(INDEX('計算A'!$D$60:$EQ$104,$B17,132)*IC17=1,IF(AND($E17=2,NR17=0),1000000,IF($I17&gt;0,IF(6=$J17,IF(OR(AND(132=$I17+1,OR($K17&lt;&gt;'計算A'!$A$3,'計算A'!$A$4=0)),AND(132=$I17-1,OR(12&lt;&gt;'計算A'!$A$3,'計算A'!$A$4=0))),0,IF(12=$K17,200000,ABS(12-$K17)*100)),100000+ABS(6-$J17)*1000+120)+'計算A'!EE$5*50+IF(AND($E17=1,NR17=0),25,0),IF($F17&gt;0,INDEX('計算A'!EE$110:EE$114,$F17+1)+IF(AND($E17=1,NR17=0),1000,0),MIN(TZ17,20)*400+(IF('計算A'!ED$106=1,1-IB17,0)+IF('計算A'!EE$106=1,1-ID17,0))*150+126+'計算A'!EE$5*100000+IF(AND($E17=1,NR17=0),50000,0))+IF($H17=1,(IF('計算A'!ED$117=1,INDEX('計算A'!ED$10:ED$54,$B17),0)+IF('計算A'!EE$117=1,INDEX('計算A'!EF$10:EF$54,$B17),0))*4000,0)-IF(AND('計算A'!ED$117=1,ZB17&gt;0),2000,0)-IF(AND($L17=1,'計算A'!EE$117=1,ID17=0),2000,0))),1000000))</f>
        <v/>
      </c>
      <c r="TH17">
        <f>IF($B17=0,1000000,IF(INDEX('計算A'!$D$60:$EQ$104,$B17,133)*ID17=1,IF(AND($E17=2,NS17=0),1000000,IF($I17&gt;0,IF(6=$J17,IF(OR(AND(133=$I17+1,OR($K17&lt;&gt;'計算A'!$A$3,'計算A'!$A$4=0)),AND(133=$I17-1,OR(13&lt;&gt;'計算A'!$A$3,'計算A'!$A$4=0))),0,IF(13=$K17,200000,ABS(13-$K17)*100)),100000+ABS(6-$J17)*1000+130)+'計算A'!EF$5*50+IF(AND($E17=1,NS17=0),25,0),IF($F17&gt;0,INDEX('計算A'!EF$110:EF$114,$F17+1)+IF(AND($E17=1,NS17=0),1000,0),MIN(TZ17,20)*400+(IF('計算A'!EE$106=1,1-IC17,0)+IF('計算A'!EF$106=1,1-IE17,0))*150+136+'計算A'!EF$5*100000+IF(AND($E17=1,NS17=0),50000,0))+IF($H17=1,(IF('計算A'!EE$117=1,INDEX('計算A'!EE$10:EE$54,$B17),0)+IF('計算A'!EF$117=1,INDEX('計算A'!EG$10:EG$54,$B17),0))*4000,0)-IF(AND('計算A'!EE$117=1,ZC17&gt;0),2000,0)-IF(AND($L17=1,'計算A'!EF$117=1,IE17=0),2000,0))),1000000))</f>
        <v/>
      </c>
      <c r="TI17">
        <f>IF($B17=0,1000000,IF(INDEX('計算A'!$D$60:$EQ$104,$B17,134)*IE17=1,IF(AND($E17=2,NT17=0),1000000,IF($I17&gt;0,IF(6=$J17,IF(OR(AND(134=$I17+1,OR($K17&lt;&gt;'計算A'!$A$3,'計算A'!$A$4=0)),AND(134=$I17-1,OR(14&lt;&gt;'計算A'!$A$3,'計算A'!$A$4=0))),0,IF(14=$K17,200000,ABS(14-$K17)*100)),100000+ABS(6-$J17)*1000+140)+'計算A'!EG$5*50+IF(AND($E17=1,NT17=0),25,0),IF($F17&gt;0,INDEX('計算A'!EG$110:EG$114,$F17+1)+IF(AND($E17=1,NT17=0),1000,0),MIN(TZ17,20)*400+(IF('計算A'!EF$106=1,1-ID17,0)+IF('計算A'!EG$106=1,1-IF17,0))*150+146+'計算A'!EG$5*100000+IF(AND($E17=1,NT17=0),50000,0))+IF($H17=1,(IF('計算A'!EF$117=1,INDEX('計算A'!EF$10:EF$54,$B17),0)+IF('計算A'!EG$117=1,INDEX('計算A'!EH$10:EH$54,$B17),0))*4000,0)-IF(AND('計算A'!EF$117=1,ZD17&gt;0),2000,0)-IF(AND($L17=1,'計算A'!EG$117=1,IF17=0),2000,0))),1000000))</f>
        <v/>
      </c>
      <c r="TJ17">
        <f>IF($B17=0,1000000,IF(INDEX('計算A'!$D$60:$EQ$104,$B17,135)*IF17=1,IF(AND($E17=2,NU17=0),1000000,IF($I17&gt;0,IF(6=$J17,IF(OR(AND(135=$I17+1,OR($K17&lt;&gt;'計算A'!$A$3,'計算A'!$A$4=0)),AND(135=$I17-1,OR(15&lt;&gt;'計算A'!$A$3,'計算A'!$A$4=0))),0,IF(15=$K17,200000,ABS(15-$K17)*100)),100000+ABS(6-$J17)*1000+150)+'計算A'!EH$5*50+IF(AND($E17=1,NU17=0),25,0),IF($F17&gt;0,INDEX('計算A'!EH$110:EH$114,$F17+1)+IF(AND($E17=1,NU17=0),1000,0),MIN(TZ17,20)*400+(IF('計算A'!EG$106=1,1-IE17,0)+IF('計算A'!EH$106=1,1-IG17,0))*150+156+'計算A'!EH$5*100000+IF(AND($E17=1,NU17=0),50000,0))+IF($H17=1,(IF('計算A'!EG$117=1,INDEX('計算A'!EG$10:EG$54,$B17),0)+IF('計算A'!EH$117=1,INDEX('計算A'!EI$10:EI$54,$B17),0))*4000,0)-IF(AND('計算A'!EG$117=1,ZE17&gt;0),2000,0)-IF(AND($L17=1,'計算A'!EH$117=1,IG17=0),2000,0))),1000000))</f>
        <v/>
      </c>
      <c r="TK17">
        <f>IF($B17=0,1000000,IF(INDEX('計算A'!$D$60:$EQ$104,$B17,136)*IG17=1,IF(AND($E17=2,NV17=0),1000000,IF($I17&gt;0,IF(6=$J17,IF(OR(AND(136=$I17+1,OR($K17&lt;&gt;'計算A'!$A$3,'計算A'!$A$4=0)),AND(136=$I17-1,OR(16&lt;&gt;'計算A'!$A$3,'計算A'!$A$4=0))),0,IF(16=$K17,200000,ABS(16-$K17)*100)),100000+ABS(6-$J17)*1000+160)+'計算A'!EI$5*50+IF(AND($E17=1,NV17=0),25,0),IF($F17&gt;0,INDEX('計算A'!EI$110:EI$114,$F17+1)+IF(AND($E17=1,NV17=0),1000,0),MIN(TZ17,20)*400+(IF('計算A'!EH$106=1,1-IF17,0)+IF('計算A'!EI$106=1,1-IH17,0))*150+166+'計算A'!EI$5*100000+IF(AND($E17=1,NV17=0),50000,0))+IF($H17=1,(IF('計算A'!EH$117=1,INDEX('計算A'!EH$10:EH$54,$B17),0)+IF('計算A'!EI$117=1,INDEX('計算A'!EJ$10:EJ$54,$B17),0))*4000,0)-IF(AND('計算A'!EH$117=1,ZF17&gt;0),2000,0)-IF(AND($L17=1,'計算A'!EI$117=1,IH17=0),2000,0))),1000000))</f>
        <v/>
      </c>
      <c r="TL17">
        <f>IF($B17=0,1000000,IF(INDEX('計算A'!$D$60:$EQ$104,$B17,137)*IH17=1,IF(AND($E17=2,NW17=0),1000000,IF($I17&gt;0,IF(6=$J17,IF(OR(AND(137=$I17+1,OR($K17&lt;&gt;'計算A'!$A$3,'計算A'!$A$4=0)),AND(137=$I17-1,OR(17&lt;&gt;'計算A'!$A$3,'計算A'!$A$4=0))),0,IF(17=$K17,200000,ABS(17-$K17)*100)),100000+ABS(6-$J17)*1000+170)+'計算A'!EJ$5*50+IF(AND($E17=1,NW17=0),25,0),IF($F17&gt;0,INDEX('計算A'!EJ$110:EJ$114,$F17+1)+IF(AND($E17=1,NW17=0),1000,0),MIN(TZ17,20)*400+(IF('計算A'!EI$106=1,1-IG17,0)+IF('計算A'!EJ$106=1,1-II17,0))*150+176+'計算A'!EJ$5*100000+IF(AND($E17=1,NW17=0),50000,0))+IF($H17=1,(IF('計算A'!EI$117=1,INDEX('計算A'!EI$10:EI$54,$B17),0)+IF('計算A'!EJ$117=1,INDEX('計算A'!EK$10:EK$54,$B17),0))*4000,0)-IF(AND('計算A'!EI$117=1,ZG17&gt;0),2000,0)-IF(AND($L17=1,'計算A'!EJ$117=1,II17=0),2000,0))),1000000))</f>
        <v/>
      </c>
      <c r="TM17">
        <f>IF($B17=0,1000000,IF(INDEX('計算A'!$D$60:$EQ$104,$B17,138)*II17=1,IF(AND($E17=2,NX17=0),1000000,IF($I17&gt;0,IF(6=$J17,IF(OR(AND(138=$I17+1,OR($K17&lt;&gt;'計算A'!$A$3,'計算A'!$A$4=0)),AND(138=$I17-1,OR(18&lt;&gt;'計算A'!$A$3,'計算A'!$A$4=0))),0,IF(18=$K17,200000,ABS(18-$K17)*100)),100000+ABS(6-$J17)*1000+180)+'計算A'!EK$5*50+IF(AND($E17=1,NX17=0),25,0),IF($F17&gt;0,INDEX('計算A'!EK$110:EK$114,$F17+1)+IF(AND($E17=1,NX17=0),1000,0),MIN(TZ17,20)*400+(IF('計算A'!EJ$106=1,1-IH17,0)+IF('計算A'!EK$106=1,1-IJ17,0))*150+186+'計算A'!EK$5*100000+IF(AND($E17=1,NX17=0),50000,0))+IF($H17=1,(IF('計算A'!EJ$117=1,INDEX('計算A'!EJ$10:EJ$54,$B17),0)+IF('計算A'!EK$117=1,INDEX('計算A'!EL$10:EL$54,$B17),0))*4000,0)-IF(AND('計算A'!EJ$117=1,ZH17&gt;0),2000,0)-IF(AND($L17=1,'計算A'!EK$117=1,IJ17=0),2000,0))),1000000))</f>
        <v/>
      </c>
      <c r="TN17">
        <f>IF($B17=0,1000000,IF(INDEX('計算A'!$D$60:$EQ$104,$B17,139)*IJ17=1,IF(AND($E17=2,NY17=0),1000000,IF($I17&gt;0,IF(6=$J17,IF(OR(AND(139=$I17+1,OR($K17&lt;&gt;'計算A'!$A$3,'計算A'!$A$4=0)),AND(139=$I17-1,OR(19&lt;&gt;'計算A'!$A$3,'計算A'!$A$4=0))),0,IF(19=$K17,200000,ABS(19-$K17)*100)),100000+ABS(6-$J17)*1000+190)+'計算A'!EL$5*50+IF(AND($E17=1,NY17=0),25,0),IF($F17&gt;0,INDEX('計算A'!EL$110:EL$114,$F17+1)+IF(AND($E17=1,NY17=0),1000,0),MIN(TZ17,20)*400+(IF('計算A'!EK$106=1,1-II17,0)+IF('計算A'!EL$106=1,1-IK17,0))*150+196+'計算A'!EL$5*100000+IF(AND($E17=1,NY17=0),50000,0))+IF($H17=1,(IF('計算A'!EK$117=1,INDEX('計算A'!EK$10:EK$54,$B17),0)+IF('計算A'!EL$117=1,INDEX('計算A'!EM$10:EM$54,$B17),0))*4000,0)-IF(AND('計算A'!EK$117=1,ZI17&gt;0),2000,0)-IF(AND($L17=1,'計算A'!EL$117=1,IK17=0),2000,0))),1000000))</f>
        <v/>
      </c>
      <c r="TO17">
        <f>IF($B17=0,1000000,IF(INDEX('計算A'!$D$60:$EQ$104,$B17,140)*IK17=1,IF(AND($E17=2,NZ17=0),1000000,IF($I17&gt;0,IF(6=$J17,IF(OR(AND(140=$I17+1,OR($K17&lt;&gt;'計算A'!$A$3,'計算A'!$A$4=0)),AND(140=$I17-1,OR(20&lt;&gt;'計算A'!$A$3,'計算A'!$A$4=0))),0,IF(20=$K17,200000,ABS(20-$K17)*100)),100000+ABS(6-$J17)*1000+200)+'計算A'!EM$5*50+IF(AND($E17=1,NZ17=0),25,0),IF($F17&gt;0,INDEX('計算A'!EM$110:EM$114,$F17+1)+IF(AND($E17=1,NZ17=0),1000,0),MIN(TZ17,20)*400+(IF('計算A'!EL$106=1,1-IJ17,0)+IF('計算A'!EM$106=1,1-IL17,0))*150+206+'計算A'!EM$5*100000+IF(AND($E17=1,NZ17=0),50000,0))+IF($H17=1,(IF('計算A'!EL$117=1,INDEX('計算A'!EL$10:EL$54,$B17),0)+IF('計算A'!EM$117=1,INDEX('計算A'!EN$10:EN$54,$B17),0))*4000,0)-IF(AND('計算A'!EL$117=1,ZJ17&gt;0),2000,0)-IF(AND($L17=1,'計算A'!EM$117=1,IL17=0),2000,0))),1000000))</f>
        <v/>
      </c>
      <c r="TP17">
        <f>IF($B17=0,1000000,IF(INDEX('計算A'!$D$60:$EQ$104,$B17,141)*IL17=1,IF(AND($E17=2,OA17=0),1000000,IF($I17&gt;0,IF(6=$J17,IF(OR(AND(141=$I17+1,OR($K17&lt;&gt;'計算A'!$A$3,'計算A'!$A$4=0)),AND(141=$I17-1,OR(21&lt;&gt;'計算A'!$A$3,'計算A'!$A$4=0))),0,IF(21=$K17,200000,ABS(21-$K17)*100)),100000+ABS(6-$J17)*1000+210)+'計算A'!EN$5*50+IF(AND($E17=1,OA17=0),25,0),IF($F17&gt;0,INDEX('計算A'!EN$110:EN$114,$F17+1)+IF(AND($E17=1,OA17=0),1000,0),MIN(TZ17,20)*400+(IF('計算A'!EM$106=1,1-IK17,0)+IF('計算A'!EN$106=1,1-IM17,0))*150+216+'計算A'!EN$5*100000+IF(AND($E17=1,OA17=0),50000,0))+IF($H17=1,(IF('計算A'!EM$117=1,INDEX('計算A'!EM$10:EM$54,$B17),0)+IF('計算A'!EN$117=1,INDEX('計算A'!EO$10:EO$54,$B17),0))*4000,0)-IF(AND('計算A'!EM$117=1,ZK17&gt;0),2000,0)-IF(AND($L17=1,'計算A'!EN$117=1,IM17=0),2000,0))),1000000))</f>
        <v/>
      </c>
      <c r="TQ17">
        <f>IF($B17=0,1000000,IF(INDEX('計算A'!$D$60:$EQ$104,$B17,142)*IM17=1,IF(AND($E17=2,OB17=0),1000000,IF($I17&gt;0,IF(6=$J17,IF(OR(AND(142=$I17+1,OR($K17&lt;&gt;'計算A'!$A$3,'計算A'!$A$4=0)),AND(142=$I17-1,OR(22&lt;&gt;'計算A'!$A$3,'計算A'!$A$4=0))),0,IF(22=$K17,200000,ABS(22-$K17)*100)),100000+ABS(6-$J17)*1000+220)+'計算A'!EO$5*50+IF(AND($E17=1,OB17=0),25,0),IF($F17&gt;0,INDEX('計算A'!EO$110:EO$114,$F17+1)+IF(AND($E17=1,OB17=0),1000,0),MIN(TZ17,20)*400+(IF('計算A'!EN$106=1,1-IL17,0)+IF('計算A'!EO$106=1,1-IN17,0))*150+226+'計算A'!EO$5*100000+IF(AND($E17=1,OB17=0),50000,0))+IF($H17=1,(IF('計算A'!EN$117=1,INDEX('計算A'!EN$10:EN$54,$B17),0)+IF('計算A'!EO$117=1,INDEX('計算A'!EP$10:EP$54,$B17),0))*4000,0)-IF(AND('計算A'!EN$117=1,ZL17&gt;0),2000,0)-IF(AND($L17=1,'計算A'!EO$117=1,IN17=0),2000,0))),1000000))</f>
        <v/>
      </c>
      <c r="TR17">
        <f>IF($B17=0,1000000,IF(INDEX('計算A'!$D$60:$EQ$104,$B17,143)*IN17=1,IF(AND($E17=2,OC17=0),1000000,IF($I17&gt;0,IF(6=$J17,IF(OR(AND(143=$I17+1,OR($K17&lt;&gt;'計算A'!$A$3,'計算A'!$A$4=0)),AND(143=$I17-1,OR(23&lt;&gt;'計算A'!$A$3,'計算A'!$A$4=0))),0,IF(23=$K17,200000,ABS(23-$K17)*100)),100000+ABS(6-$J17)*1000+230)+'計算A'!EP$5*50+IF(AND($E17=1,OC17=0),25,0),IF($F17&gt;0,INDEX('計算A'!EP$110:EP$114,$F17+1)+IF(AND($E17=1,OC17=0),1000,0),MIN(TZ17,20)*400+(IF('計算A'!EO$106=1,1-IM17,0)+IF('計算A'!EP$106=1,1-IO17,0))*150+236+'計算A'!EP$5*100000+IF(AND($E17=1,OC17=0),50000,0))+IF($H17=1,(IF('計算A'!EO$117=1,INDEX('計算A'!EO$10:EO$54,$B17),0)+IF('計算A'!EP$117=1,INDEX('計算A'!EQ$10:EQ$54,$B17),0))*4000,0)-IF(AND('計算A'!EO$117=1,ZM17&gt;0),2000,0)-IF(AND($L17=1,'計算A'!EP$117=1,IO17=0),2000,0))),1000000))</f>
        <v/>
      </c>
      <c r="TS17">
        <f>IF($B17=0,1000000,IF(INDEX('計算A'!$D$60:$EQ$104,$B17,144)*IO17=1,IF(AND($E17=2,OD17=0),1000000,IF($I17&gt;0,IF(6=$J17,IF(OR(AND(144=$I17+1,OR($K17&lt;&gt;'計算A'!$A$3,'計算A'!$A$4=0)),AND(144=$I17-1,OR(24&lt;&gt;'計算A'!$A$3,'計算A'!$A$4=0))),0,IF(24=$K17,200000,ABS(24-$K17)*100)),100000+ABS(6-$J17)*1000+240)+'計算A'!EQ$5*50+IF(AND($E17=1,OD17=0),25,0),IF($F17&gt;0,INDEX('計算A'!EQ$110:EQ$114,$F17+1)+IF(AND($E17=1,OD17=0),1000,0),MIN(TZ17,20)*400+(IF('計算A'!EP$106=1,1-IN17,0))*150+246+'計算A'!EQ$5*100000+IF(AND($E17=1,OD17=0),50000,0))+IF($H17=1,(IF('計算A'!EP$117=1,INDEX('計算A'!EP$10:EP$54,$B17),0))*4000,0)-IF(AND('計算A'!EP$117=1,ZN17&gt;0),2000,0))),1000000))</f>
        <v/>
      </c>
      <c r="TU17">
        <f>TU16+IF($C16&gt;0,IF(INDEX('計算A'!$D$2:$EQ$2,$C16)=1,1,0),0)</f>
        <v/>
      </c>
      <c r="TV17">
        <f>TV16+IF($C16&gt;0,IF(INDEX('計算A'!$D$2:$EQ$2,$C16)=2,1,0),0)</f>
        <v/>
      </c>
      <c r="TW17">
        <f>TW16+IF($C16&gt;0,IF(INDEX('計算A'!$D$2:$EQ$2,$C16)=3,1,0),0)</f>
        <v/>
      </c>
      <c r="TX17">
        <f>TX16+IF($C16&gt;0,IF(INDEX('計算A'!$D$2:$EQ$2,$C16)=4,1,0),0)</f>
        <v/>
      </c>
      <c r="TY17">
        <f>TY16+IF($C16&gt;0,IF(INDEX('計算A'!$D$2:$EQ$2,$C16)=5,1,0),0)</f>
        <v/>
      </c>
      <c r="TZ17">
        <f>TZ16+IF($C16&gt;0,IF(INDEX('計算A'!$D$2:$EQ$2,$C16)=6,1,0),0)</f>
        <v/>
      </c>
      <c r="UB17">
        <f>UB16+IF(AND($C16=1,$L16=1),1,0)</f>
        <v/>
      </c>
      <c r="UC17">
        <f>UC16+IF(AND($C16=2,$L16=1),1,0)</f>
        <v/>
      </c>
      <c r="UD17">
        <f>UD16+IF(AND($C16=3,$L16=1),1,0)</f>
        <v/>
      </c>
      <c r="UE17">
        <f>UE16+IF(AND($C16=4,$L16=1),1,0)</f>
        <v/>
      </c>
      <c r="UF17">
        <f>UF16+IF(AND($C16=5,$L16=1),1,0)</f>
        <v/>
      </c>
      <c r="UG17">
        <f>UG16+IF(AND($C16=6,$L16=1),1,0)</f>
        <v/>
      </c>
      <c r="UH17">
        <f>UH16+IF(AND($C16=7,$L16=1),1,0)</f>
        <v/>
      </c>
      <c r="UI17">
        <f>UI16+IF(AND($C16=8,$L16=1),1,0)</f>
        <v/>
      </c>
      <c r="UJ17">
        <f>UJ16+IF(AND($C16=9,$L16=1),1,0)</f>
        <v/>
      </c>
      <c r="UK17">
        <f>UK16+IF(AND($C16=10,$L16=1),1,0)</f>
        <v/>
      </c>
      <c r="UL17">
        <f>UL16+IF(AND($C16=11,$L16=1),1,0)</f>
        <v/>
      </c>
      <c r="UM17">
        <f>UM16+IF(AND($C16=12,$L16=1),1,0)</f>
        <v/>
      </c>
      <c r="UN17">
        <f>UN16+IF(AND($C16=13,$L16=1),1,0)</f>
        <v/>
      </c>
      <c r="UO17">
        <f>UO16+IF(AND($C16=14,$L16=1),1,0)</f>
        <v/>
      </c>
      <c r="UP17">
        <f>UP16+IF(AND($C16=15,$L16=1),1,0)</f>
        <v/>
      </c>
      <c r="UQ17">
        <f>UQ16+IF(AND($C16=16,$L16=1),1,0)</f>
        <v/>
      </c>
      <c r="UR17">
        <f>UR16+IF(AND($C16=17,$L16=1),1,0)</f>
        <v/>
      </c>
      <c r="US17">
        <f>US16+IF(AND($C16=18,$L16=1),1,0)</f>
        <v/>
      </c>
      <c r="UT17">
        <f>UT16+IF(AND($C16=19,$L16=1),1,0)</f>
        <v/>
      </c>
      <c r="UU17">
        <f>UU16+IF(AND($C16=20,$L16=1),1,0)</f>
        <v/>
      </c>
      <c r="UV17">
        <f>UV16+IF(AND($C16=21,$L16=1),1,0)</f>
        <v/>
      </c>
      <c r="UW17">
        <f>UW16+IF(AND($C16=22,$L16=1),1,0)</f>
        <v/>
      </c>
      <c r="UX17">
        <f>UX16+IF(AND($C16=23,$L16=1),1,0)</f>
        <v/>
      </c>
      <c r="UY17">
        <f>UY16+IF(AND($C16=24,$L16=1),1,0)</f>
        <v/>
      </c>
      <c r="UZ17">
        <f>UZ16+IF(AND($C16=25,$L16=1),1,0)</f>
        <v/>
      </c>
      <c r="VA17">
        <f>VA16+IF(AND($C16=26,$L16=1),1,0)</f>
        <v/>
      </c>
      <c r="VB17">
        <f>VB16+IF(AND($C16=27,$L16=1),1,0)</f>
        <v/>
      </c>
      <c r="VC17">
        <f>VC16+IF(AND($C16=28,$L16=1),1,0)</f>
        <v/>
      </c>
      <c r="VD17">
        <f>VD16+IF(AND($C16=29,$L16=1),1,0)</f>
        <v/>
      </c>
      <c r="VE17">
        <f>VE16+IF(AND($C16=30,$L16=1),1,0)</f>
        <v/>
      </c>
      <c r="VF17">
        <f>VF16+IF(AND($C16=31,$L16=1),1,0)</f>
        <v/>
      </c>
      <c r="VG17">
        <f>VG16+IF(AND($C16=32,$L16=1),1,0)</f>
        <v/>
      </c>
      <c r="VH17">
        <f>VH16+IF(AND($C16=33,$L16=1),1,0)</f>
        <v/>
      </c>
      <c r="VI17">
        <f>VI16+IF(AND($C16=34,$L16=1),1,0)</f>
        <v/>
      </c>
      <c r="VJ17">
        <f>VJ16+IF(AND($C16=35,$L16=1),1,0)</f>
        <v/>
      </c>
      <c r="VK17">
        <f>VK16+IF(AND($C16=36,$L16=1),1,0)</f>
        <v/>
      </c>
      <c r="VL17">
        <f>VL16+IF(AND($C16=37,$L16=1),1,0)</f>
        <v/>
      </c>
      <c r="VM17">
        <f>VM16+IF(AND($C16=38,$L16=1),1,0)</f>
        <v/>
      </c>
      <c r="VN17">
        <f>VN16+IF(AND($C16=39,$L16=1),1,0)</f>
        <v/>
      </c>
      <c r="VO17">
        <f>VO16+IF(AND($C16=40,$L16=1),1,0)</f>
        <v/>
      </c>
      <c r="VP17">
        <f>VP16+IF(AND($C16=41,$L16=1),1,0)</f>
        <v/>
      </c>
      <c r="VQ17">
        <f>VQ16+IF(AND($C16=42,$L16=1),1,0)</f>
        <v/>
      </c>
      <c r="VR17">
        <f>VR16+IF(AND($C16=43,$L16=1),1,0)</f>
        <v/>
      </c>
      <c r="VS17">
        <f>VS16+IF(AND($C16=44,$L16=1),1,0)</f>
        <v/>
      </c>
      <c r="VT17">
        <f>VT16+IF(AND($C16=45,$L16=1),1,0)</f>
        <v/>
      </c>
      <c r="VU17">
        <f>VU16+IF(AND($C16=46,$L16=1),1,0)</f>
        <v/>
      </c>
      <c r="VV17">
        <f>VV16+IF(AND($C16=47,$L16=1),1,0)</f>
        <v/>
      </c>
      <c r="VW17">
        <f>VW16+IF(AND($C16=48,$L16=1),1,0)</f>
        <v/>
      </c>
      <c r="VX17">
        <f>VX16+IF(AND($C16=49,$L16=1),1,0)</f>
        <v/>
      </c>
      <c r="VY17">
        <f>VY16+IF(AND($C16=50,$L16=1),1,0)</f>
        <v/>
      </c>
      <c r="VZ17">
        <f>VZ16+IF(AND($C16=51,$L16=1),1,0)</f>
        <v/>
      </c>
      <c r="WA17">
        <f>WA16+IF(AND($C16=52,$L16=1),1,0)</f>
        <v/>
      </c>
      <c r="WB17">
        <f>WB16+IF(AND($C16=53,$L16=1),1,0)</f>
        <v/>
      </c>
      <c r="WC17">
        <f>WC16+IF(AND($C16=54,$L16=1),1,0)</f>
        <v/>
      </c>
      <c r="WD17">
        <f>WD16+IF(AND($C16=55,$L16=1),1,0)</f>
        <v/>
      </c>
      <c r="WE17">
        <f>WE16+IF(AND($C16=56,$L16=1),1,0)</f>
        <v/>
      </c>
      <c r="WF17">
        <f>WF16+IF(AND($C16=57,$L16=1),1,0)</f>
        <v/>
      </c>
      <c r="WG17">
        <f>WG16+IF(AND($C16=58,$L16=1),1,0)</f>
        <v/>
      </c>
      <c r="WH17">
        <f>WH16+IF(AND($C16=59,$L16=1),1,0)</f>
        <v/>
      </c>
      <c r="WI17">
        <f>WI16+IF(AND($C16=60,$L16=1),1,0)</f>
        <v/>
      </c>
      <c r="WJ17">
        <f>WJ16+IF(AND($C16=61,$L16=1),1,0)</f>
        <v/>
      </c>
      <c r="WK17">
        <f>WK16+IF(AND($C16=62,$L16=1),1,0)</f>
        <v/>
      </c>
      <c r="WL17">
        <f>WL16+IF(AND($C16=63,$L16=1),1,0)</f>
        <v/>
      </c>
      <c r="WM17">
        <f>WM16+IF(AND($C16=64,$L16=1),1,0)</f>
        <v/>
      </c>
      <c r="WN17">
        <f>WN16+IF(AND($C16=65,$L16=1),1,0)</f>
        <v/>
      </c>
      <c r="WO17">
        <f>WO16+IF(AND($C16=66,$L16=1),1,0)</f>
        <v/>
      </c>
      <c r="WP17">
        <f>WP16+IF(AND($C16=67,$L16=1),1,0)</f>
        <v/>
      </c>
      <c r="WQ17">
        <f>WQ16+IF(AND($C16=68,$L16=1),1,0)</f>
        <v/>
      </c>
      <c r="WR17">
        <f>WR16+IF(AND($C16=69,$L16=1),1,0)</f>
        <v/>
      </c>
      <c r="WS17">
        <f>WS16+IF(AND($C16=70,$L16=1),1,0)</f>
        <v/>
      </c>
      <c r="WT17">
        <f>WT16+IF(AND($C16=71,$L16=1),1,0)</f>
        <v/>
      </c>
      <c r="WU17">
        <f>WU16+IF(AND($C16=72,$L16=1),1,0)</f>
        <v/>
      </c>
      <c r="WV17">
        <f>WV16+IF(AND($C16=73,$L16=1),1,0)</f>
        <v/>
      </c>
      <c r="WW17">
        <f>WW16+IF(AND($C16=74,$L16=1),1,0)</f>
        <v/>
      </c>
      <c r="WX17">
        <f>WX16+IF(AND($C16=75,$L16=1),1,0)</f>
        <v/>
      </c>
      <c r="WY17">
        <f>WY16+IF(AND($C16=76,$L16=1),1,0)</f>
        <v/>
      </c>
      <c r="WZ17">
        <f>WZ16+IF(AND($C16=77,$L16=1),1,0)</f>
        <v/>
      </c>
      <c r="XA17">
        <f>XA16+IF(AND($C16=78,$L16=1),1,0)</f>
        <v/>
      </c>
      <c r="XB17">
        <f>XB16+IF(AND($C16=79,$L16=1),1,0)</f>
        <v/>
      </c>
      <c r="XC17">
        <f>XC16+IF(AND($C16=80,$L16=1),1,0)</f>
        <v/>
      </c>
      <c r="XD17">
        <f>XD16+IF(AND($C16=81,$L16=1),1,0)</f>
        <v/>
      </c>
      <c r="XE17">
        <f>XE16+IF(AND($C16=82,$L16=1),1,0)</f>
        <v/>
      </c>
      <c r="XF17">
        <f>XF16+IF(AND($C16=83,$L16=1),1,0)</f>
        <v/>
      </c>
      <c r="XG17">
        <f>XG16+IF(AND($C16=84,$L16=1),1,0)</f>
        <v/>
      </c>
      <c r="XH17">
        <f>XH16+IF(AND($C16=85,$L16=1),1,0)</f>
        <v/>
      </c>
      <c r="XI17">
        <f>XI16+IF(AND($C16=86,$L16=1),1,0)</f>
        <v/>
      </c>
      <c r="XJ17">
        <f>XJ16+IF(AND($C16=87,$L16=1),1,0)</f>
        <v/>
      </c>
      <c r="XK17">
        <f>XK16+IF(AND($C16=88,$L16=1),1,0)</f>
        <v/>
      </c>
      <c r="XL17">
        <f>XL16+IF(AND($C16=89,$L16=1),1,0)</f>
        <v/>
      </c>
      <c r="XM17">
        <f>XM16+IF(AND($C16=90,$L16=1),1,0)</f>
        <v/>
      </c>
      <c r="XN17">
        <f>XN16+IF(AND($C16=91,$L16=1),1,0)</f>
        <v/>
      </c>
      <c r="XO17">
        <f>XO16+IF(AND($C16=92,$L16=1),1,0)</f>
        <v/>
      </c>
      <c r="XP17">
        <f>XP16+IF(AND($C16=93,$L16=1),1,0)</f>
        <v/>
      </c>
      <c r="XQ17">
        <f>XQ16+IF(AND($C16=94,$L16=1),1,0)</f>
        <v/>
      </c>
      <c r="XR17">
        <f>XR16+IF(AND($C16=95,$L16=1),1,0)</f>
        <v/>
      </c>
      <c r="XS17">
        <f>XS16+IF(AND($C16=96,$L16=1),1,0)</f>
        <v/>
      </c>
      <c r="XT17">
        <f>XT16+IF(AND($C16=97,$L16=1),1,0)</f>
        <v/>
      </c>
      <c r="XU17">
        <f>XU16+IF(AND($C16=98,$L16=1),1,0)</f>
        <v/>
      </c>
      <c r="XV17">
        <f>XV16+IF(AND($C16=99,$L16=1),1,0)</f>
        <v/>
      </c>
      <c r="XW17">
        <f>XW16+IF(AND($C16=100,$L16=1),1,0)</f>
        <v/>
      </c>
      <c r="XX17">
        <f>XX16+IF(AND($C16=101,$L16=1),1,0)</f>
        <v/>
      </c>
      <c r="XY17">
        <f>XY16+IF(AND($C16=102,$L16=1),1,0)</f>
        <v/>
      </c>
      <c r="XZ17">
        <f>XZ16+IF(AND($C16=103,$L16=1),1,0)</f>
        <v/>
      </c>
      <c r="YA17">
        <f>YA16+IF(AND($C16=104,$L16=1),1,0)</f>
        <v/>
      </c>
      <c r="YB17">
        <f>YB16+IF(AND($C16=105,$L16=1),1,0)</f>
        <v/>
      </c>
      <c r="YC17">
        <f>YC16+IF(AND($C16=106,$L16=1),1,0)</f>
        <v/>
      </c>
      <c r="YD17">
        <f>YD16+IF(AND($C16=107,$L16=1),1,0)</f>
        <v/>
      </c>
      <c r="YE17">
        <f>YE16+IF(AND($C16=108,$L16=1),1,0)</f>
        <v/>
      </c>
      <c r="YF17">
        <f>YF16+IF(AND($C16=109,$L16=1),1,0)</f>
        <v/>
      </c>
      <c r="YG17">
        <f>YG16+IF(AND($C16=110,$L16=1),1,0)</f>
        <v/>
      </c>
      <c r="YH17">
        <f>YH16+IF(AND($C16=111,$L16=1),1,0)</f>
        <v/>
      </c>
      <c r="YI17">
        <f>YI16+IF(AND($C16=112,$L16=1),1,0)</f>
        <v/>
      </c>
      <c r="YJ17">
        <f>YJ16+IF(AND($C16=113,$L16=1),1,0)</f>
        <v/>
      </c>
      <c r="YK17">
        <f>YK16+IF(AND($C16=114,$L16=1),1,0)</f>
        <v/>
      </c>
      <c r="YL17">
        <f>YL16+IF(AND($C16=115,$L16=1),1,0)</f>
        <v/>
      </c>
      <c r="YM17">
        <f>YM16+IF(AND($C16=116,$L16=1),1,0)</f>
        <v/>
      </c>
      <c r="YN17">
        <f>YN16+IF(AND($C16=117,$L16=1),1,0)</f>
        <v/>
      </c>
      <c r="YO17">
        <f>YO16+IF(AND($C16=118,$L16=1),1,0)</f>
        <v/>
      </c>
      <c r="YP17">
        <f>YP16+IF(AND($C16=119,$L16=1),1,0)</f>
        <v/>
      </c>
      <c r="YQ17">
        <f>YQ16+IF(AND($C16=120,$L16=1),1,0)</f>
        <v/>
      </c>
      <c r="YR17">
        <f>YR16+IF(AND($C16=121,$L16=1),1,0)</f>
        <v/>
      </c>
      <c r="YS17">
        <f>YS16+IF(AND($C16=122,$L16=1),1,0)</f>
        <v/>
      </c>
      <c r="YT17">
        <f>YT16+IF(AND($C16=123,$L16=1),1,0)</f>
        <v/>
      </c>
      <c r="YU17">
        <f>YU16+IF(AND($C16=124,$L16=1),1,0)</f>
        <v/>
      </c>
      <c r="YV17">
        <f>YV16+IF(AND($C16=125,$L16=1),1,0)</f>
        <v/>
      </c>
      <c r="YW17">
        <f>YW16+IF(AND($C16=126,$L16=1),1,0)</f>
        <v/>
      </c>
      <c r="YX17">
        <f>YX16+IF(AND($C16=127,$L16=1),1,0)</f>
        <v/>
      </c>
      <c r="YY17">
        <f>YY16+IF(AND($C16=128,$L16=1),1,0)</f>
        <v/>
      </c>
      <c r="YZ17">
        <f>YZ16+IF(AND($C16=129,$L16=1),1,0)</f>
        <v/>
      </c>
      <c r="ZA17">
        <f>ZA16+IF(AND($C16=130,$L16=1),1,0)</f>
        <v/>
      </c>
      <c r="ZB17">
        <f>ZB16+IF(AND($C16=131,$L16=1),1,0)</f>
        <v/>
      </c>
      <c r="ZC17">
        <f>ZC16+IF(AND($C16=132,$L16=1),1,0)</f>
        <v/>
      </c>
      <c r="ZD17">
        <f>ZD16+IF(AND($C16=133,$L16=1),1,0)</f>
        <v/>
      </c>
      <c r="ZE17">
        <f>ZE16+IF(AND($C16=134,$L16=1),1,0)</f>
        <v/>
      </c>
      <c r="ZF17">
        <f>ZF16+IF(AND($C16=135,$L16=1),1,0)</f>
        <v/>
      </c>
      <c r="ZG17">
        <f>ZG16+IF(AND($C16=136,$L16=1),1,0)</f>
        <v/>
      </c>
      <c r="ZH17">
        <f>ZH16+IF(AND($C16=137,$L16=1),1,0)</f>
        <v/>
      </c>
      <c r="ZI17">
        <f>ZI16+IF(AND($C16=138,$L16=1),1,0)</f>
        <v/>
      </c>
      <c r="ZJ17">
        <f>ZJ16+IF(AND($C16=139,$L16=1),1,0)</f>
        <v/>
      </c>
      <c r="ZK17">
        <f>ZK16+IF(AND($C16=140,$L16=1),1,0)</f>
        <v/>
      </c>
      <c r="ZL17">
        <f>ZL16+IF(AND($C16=141,$L16=1),1,0)</f>
        <v/>
      </c>
      <c r="ZM17">
        <f>ZM16+IF(AND($C16=142,$L16=1),1,0)</f>
        <v/>
      </c>
      <c r="ZN17">
        <f>ZN16+IF(AND($C16=143,$L16=1),1,0)</f>
        <v/>
      </c>
      <c r="ZO17">
        <f>ZO16+IF(AND($C16=144,$L16=1),1,0)</f>
        <v/>
      </c>
    </row>
    <row r="18">
      <c r="A18" t="n">
        <v>16</v>
      </c>
      <c r="B18">
        <f>IF(MIN(BH18:CZ18)&gt;=1000000,0,MATCH(MIN(BH18:CZ18),BH18:CZ18,0))</f>
        <v/>
      </c>
      <c r="C18">
        <f>IF(MIN(OF18:TS18)&gt;=1000000,0,MATCH(MIN(OF18:TS18),OF18:TS18,0))</f>
        <v/>
      </c>
      <c r="D18">
        <f>IF(C18&gt;0,INDEX('計算A'!$D$5:$EQ$5,C18),0)</f>
        <v/>
      </c>
      <c r="E18">
        <f>IF(B18=0,0,INDEX('計算A'!$IQ$10:$IQ$54,B18))</f>
        <v/>
      </c>
      <c r="F18">
        <f>IF(B18=0,0,INDEX('計算A'!$IP$10:$IP$54,B18))</f>
        <v/>
      </c>
      <c r="G18">
        <f>IF(AND(C18&gt;0,E18&gt;0),IF(AND(INDEX('計算A'!$D$106:$EQ$106,C18)=1,INDEX($IQ18:$OD18,C18)=1),C18+1,0),0)</f>
        <v/>
      </c>
      <c r="H18">
        <f>IF(B18=0,0,INDEX('計算A'!$IW$10:$IW$54,B18))</f>
        <v/>
      </c>
      <c r="I18">
        <f>IF(B18=0,0,MAX(0,INDEX('計算A'!$IT$10:$IT$54,B18)))</f>
        <v/>
      </c>
      <c r="J18">
        <f>IF(I18=0,0,INDEX('計算A'!$D$2:$EQ$2,I18))</f>
        <v/>
      </c>
      <c r="K18">
        <f>IF(I18=0,0,INDEX('計算A'!$D$3:$EQ$3,I18))</f>
        <v/>
      </c>
      <c r="L18">
        <f>IF(B18=0,0,INDEX('計算A'!$IX$10:$IX$54,B18))</f>
        <v/>
      </c>
      <c r="N18">
        <f>MAX(N17,IF($B17=1,1,0))</f>
        <v/>
      </c>
      <c r="O18">
        <f>MAX(O17,IF($B17=2,1,0))</f>
        <v/>
      </c>
      <c r="P18">
        <f>MAX(P17,IF($B17=3,1,0))</f>
        <v/>
      </c>
      <c r="Q18">
        <f>MAX(Q17,IF($B17=4,1,0))</f>
        <v/>
      </c>
      <c r="R18">
        <f>MAX(R17,IF($B17=5,1,0))</f>
        <v/>
      </c>
      <c r="S18">
        <f>MAX(S17,IF($B17=6,1,0))</f>
        <v/>
      </c>
      <c r="T18">
        <f>MAX(T17,IF($B17=7,1,0))</f>
        <v/>
      </c>
      <c r="U18">
        <f>MAX(U17,IF($B17=8,1,0))</f>
        <v/>
      </c>
      <c r="V18">
        <f>MAX(V17,IF($B17=9,1,0))</f>
        <v/>
      </c>
      <c r="W18">
        <f>MAX(W17,IF($B17=10,1,0))</f>
        <v/>
      </c>
      <c r="X18">
        <f>MAX(X17,IF($B17=11,1,0))</f>
        <v/>
      </c>
      <c r="Y18">
        <f>MAX(Y17,IF($B17=12,1,0))</f>
        <v/>
      </c>
      <c r="Z18">
        <f>MAX(Z17,IF($B17=13,1,0))</f>
        <v/>
      </c>
      <c r="AA18">
        <f>MAX(AA17,IF($B17=14,1,0))</f>
        <v/>
      </c>
      <c r="AB18">
        <f>MAX(AB17,IF($B17=15,1,0))</f>
        <v/>
      </c>
      <c r="AC18">
        <f>MAX(AC17,IF($B17=16,1,0))</f>
        <v/>
      </c>
      <c r="AD18">
        <f>MAX(AD17,IF($B17=17,1,0))</f>
        <v/>
      </c>
      <c r="AE18">
        <f>MAX(AE17,IF($B17=18,1,0))</f>
        <v/>
      </c>
      <c r="AF18">
        <f>MAX(AF17,IF($B17=19,1,0))</f>
        <v/>
      </c>
      <c r="AG18">
        <f>MAX(AG17,IF($B17=20,1,0))</f>
        <v/>
      </c>
      <c r="AH18">
        <f>MAX(AH17,IF($B17=21,1,0))</f>
        <v/>
      </c>
      <c r="AI18">
        <f>MAX(AI17,IF($B17=22,1,0))</f>
        <v/>
      </c>
      <c r="AJ18">
        <f>MAX(AJ17,IF($B17=23,1,0))</f>
        <v/>
      </c>
      <c r="AK18">
        <f>MAX(AK17,IF($B17=24,1,0))</f>
        <v/>
      </c>
      <c r="AL18">
        <f>MAX(AL17,IF($B17=25,1,0))</f>
        <v/>
      </c>
      <c r="AM18">
        <f>MAX(AM17,IF($B17=26,1,0))</f>
        <v/>
      </c>
      <c r="AN18">
        <f>MAX(AN17,IF($B17=27,1,0))</f>
        <v/>
      </c>
      <c r="AO18">
        <f>MAX(AO17,IF($B17=28,1,0))</f>
        <v/>
      </c>
      <c r="AP18">
        <f>MAX(AP17,IF($B17=29,1,0))</f>
        <v/>
      </c>
      <c r="AQ18">
        <f>MAX(AQ17,IF($B17=30,1,0))</f>
        <v/>
      </c>
      <c r="AR18">
        <f>MAX(AR17,IF($B17=31,1,0))</f>
        <v/>
      </c>
      <c r="AS18">
        <f>MAX(AS17,IF($B17=32,1,0))</f>
        <v/>
      </c>
      <c r="AT18">
        <f>MAX(AT17,IF($B17=33,1,0))</f>
        <v/>
      </c>
      <c r="AU18">
        <f>MAX(AU17,IF($B17=34,1,0))</f>
        <v/>
      </c>
      <c r="AV18">
        <f>MAX(AV17,IF($B17=35,1,0))</f>
        <v/>
      </c>
      <c r="AW18">
        <f>MAX(AW17,IF($B17=36,1,0))</f>
        <v/>
      </c>
      <c r="AX18">
        <f>MAX(AX17,IF($B17=37,1,0))</f>
        <v/>
      </c>
      <c r="AY18">
        <f>MAX(AY17,IF($B17=38,1,0))</f>
        <v/>
      </c>
      <c r="AZ18">
        <f>MAX(AZ17,IF($B17=39,1,0))</f>
        <v/>
      </c>
      <c r="BA18">
        <f>MAX(BA17,IF($B17=40,1,0))</f>
        <v/>
      </c>
      <c r="BB18">
        <f>MAX(BB17,IF($B17=41,1,0))</f>
        <v/>
      </c>
      <c r="BC18">
        <f>MAX(BC17,IF($B17=42,1,0))</f>
        <v/>
      </c>
      <c r="BD18">
        <f>MAX(BD17,IF($B17=43,1,0))</f>
        <v/>
      </c>
      <c r="BE18">
        <f>MAX(BE17,IF($B17=44,1,0))</f>
        <v/>
      </c>
      <c r="BF18">
        <f>MAX(BF17,IF($B17=45,1,0))</f>
        <v/>
      </c>
      <c r="BH18">
        <f>IF(N18=1,1000000,IF('計算A'!$IT$10&gt;0,0,500000)+IF('計算A'!$IQ$10=2,SUMPRODUCT('計算A'!$D$60:$EQ$60,$DB18:$IO18,$IQ18:$OD18),SUMPRODUCT('計算A'!$D$60:$EQ$60,$DB18:$IO18))*1000+1)</f>
        <v/>
      </c>
      <c r="BI18">
        <f>IF(O18=1,1000000,IF('計算A'!$IT$11&gt;0,0,500000)+IF('計算A'!$IQ$11=2,SUMPRODUCT('計算A'!$D$61:$EQ$61,$DB18:$IO18,$IQ18:$OD18),SUMPRODUCT('計算A'!$D$61:$EQ$61,$DB18:$IO18))*1000+2)</f>
        <v/>
      </c>
      <c r="BJ18">
        <f>IF(P18=1,1000000,IF('計算A'!$IT$12&gt;0,0,500000)+IF('計算A'!$IQ$12=2,SUMPRODUCT('計算A'!$D$62:$EQ$62,$DB18:$IO18,$IQ18:$OD18),SUMPRODUCT('計算A'!$D$62:$EQ$62,$DB18:$IO18))*1000+3)</f>
        <v/>
      </c>
      <c r="BK18">
        <f>IF(Q18=1,1000000,IF('計算A'!$IT$13&gt;0,0,500000)+IF('計算A'!$IQ$13=2,SUMPRODUCT('計算A'!$D$63:$EQ$63,$DB18:$IO18,$IQ18:$OD18),SUMPRODUCT('計算A'!$D$63:$EQ$63,$DB18:$IO18))*1000+4)</f>
        <v/>
      </c>
      <c r="BL18">
        <f>IF(R18=1,1000000,IF('計算A'!$IT$14&gt;0,0,500000)+IF('計算A'!$IQ$14=2,SUMPRODUCT('計算A'!$D$64:$EQ$64,$DB18:$IO18,$IQ18:$OD18),SUMPRODUCT('計算A'!$D$64:$EQ$64,$DB18:$IO18))*1000+5)</f>
        <v/>
      </c>
      <c r="BM18">
        <f>IF(S18=1,1000000,IF('計算A'!$IT$15&gt;0,0,500000)+IF('計算A'!$IQ$15=2,SUMPRODUCT('計算A'!$D$65:$EQ$65,$DB18:$IO18,$IQ18:$OD18),SUMPRODUCT('計算A'!$D$65:$EQ$65,$DB18:$IO18))*1000+6)</f>
        <v/>
      </c>
      <c r="BN18">
        <f>IF(T18=1,1000000,IF('計算A'!$IT$16&gt;0,0,500000)+IF('計算A'!$IQ$16=2,SUMPRODUCT('計算A'!$D$66:$EQ$66,$DB18:$IO18,$IQ18:$OD18),SUMPRODUCT('計算A'!$D$66:$EQ$66,$DB18:$IO18))*1000+7)</f>
        <v/>
      </c>
      <c r="BO18">
        <f>IF(U18=1,1000000,IF('計算A'!$IT$17&gt;0,0,500000)+IF('計算A'!$IQ$17=2,SUMPRODUCT('計算A'!$D$67:$EQ$67,$DB18:$IO18,$IQ18:$OD18),SUMPRODUCT('計算A'!$D$67:$EQ$67,$DB18:$IO18))*1000+8)</f>
        <v/>
      </c>
      <c r="BP18">
        <f>IF(V18=1,1000000,IF('計算A'!$IT$18&gt;0,0,500000)+IF('計算A'!$IQ$18=2,SUMPRODUCT('計算A'!$D$68:$EQ$68,$DB18:$IO18,$IQ18:$OD18),SUMPRODUCT('計算A'!$D$68:$EQ$68,$DB18:$IO18))*1000+9)</f>
        <v/>
      </c>
      <c r="BQ18">
        <f>IF(W18=1,1000000,IF('計算A'!$IT$19&gt;0,0,500000)+IF('計算A'!$IQ$19=2,SUMPRODUCT('計算A'!$D$69:$EQ$69,$DB18:$IO18,$IQ18:$OD18),SUMPRODUCT('計算A'!$D$69:$EQ$69,$DB18:$IO18))*1000+10)</f>
        <v/>
      </c>
      <c r="BR18">
        <f>IF(X18=1,1000000,IF('計算A'!$IT$20&gt;0,0,500000)+IF('計算A'!$IQ$20=2,SUMPRODUCT('計算A'!$D$70:$EQ$70,$DB18:$IO18,$IQ18:$OD18),SUMPRODUCT('計算A'!$D$70:$EQ$70,$DB18:$IO18))*1000+11)</f>
        <v/>
      </c>
      <c r="BS18">
        <f>IF(Y18=1,1000000,IF('計算A'!$IT$21&gt;0,0,500000)+IF('計算A'!$IQ$21=2,SUMPRODUCT('計算A'!$D$71:$EQ$71,$DB18:$IO18,$IQ18:$OD18),SUMPRODUCT('計算A'!$D$71:$EQ$71,$DB18:$IO18))*1000+12)</f>
        <v/>
      </c>
      <c r="BT18">
        <f>IF(Z18=1,1000000,IF('計算A'!$IT$22&gt;0,0,500000)+IF('計算A'!$IQ$22=2,SUMPRODUCT('計算A'!$D$72:$EQ$72,$DB18:$IO18,$IQ18:$OD18),SUMPRODUCT('計算A'!$D$72:$EQ$72,$DB18:$IO18))*1000+13)</f>
        <v/>
      </c>
      <c r="BU18">
        <f>IF(AA18=1,1000000,IF('計算A'!$IT$23&gt;0,0,500000)+IF('計算A'!$IQ$23=2,SUMPRODUCT('計算A'!$D$73:$EQ$73,$DB18:$IO18,$IQ18:$OD18),SUMPRODUCT('計算A'!$D$73:$EQ$73,$DB18:$IO18))*1000+14)</f>
        <v/>
      </c>
      <c r="BV18">
        <f>IF(AB18=1,1000000,IF('計算A'!$IT$24&gt;0,0,500000)+IF('計算A'!$IQ$24=2,SUMPRODUCT('計算A'!$D$74:$EQ$74,$DB18:$IO18,$IQ18:$OD18),SUMPRODUCT('計算A'!$D$74:$EQ$74,$DB18:$IO18))*1000+15)</f>
        <v/>
      </c>
      <c r="BW18">
        <f>IF(AC18=1,1000000,IF('計算A'!$IT$25&gt;0,0,500000)+IF('計算A'!$IQ$25=2,SUMPRODUCT('計算A'!$D$75:$EQ$75,$DB18:$IO18,$IQ18:$OD18),SUMPRODUCT('計算A'!$D$75:$EQ$75,$DB18:$IO18))*1000+16)</f>
        <v/>
      </c>
      <c r="BX18">
        <f>IF(AD18=1,1000000,IF('計算A'!$IT$26&gt;0,0,500000)+IF('計算A'!$IQ$26=2,SUMPRODUCT('計算A'!$D$76:$EQ$76,$DB18:$IO18,$IQ18:$OD18),SUMPRODUCT('計算A'!$D$76:$EQ$76,$DB18:$IO18))*1000+17)</f>
        <v/>
      </c>
      <c r="BY18">
        <f>IF(AE18=1,1000000,IF('計算A'!$IT$27&gt;0,0,500000)+IF('計算A'!$IQ$27=2,SUMPRODUCT('計算A'!$D$77:$EQ$77,$DB18:$IO18,$IQ18:$OD18),SUMPRODUCT('計算A'!$D$77:$EQ$77,$DB18:$IO18))*1000+18)</f>
        <v/>
      </c>
      <c r="BZ18">
        <f>IF(AF18=1,1000000,IF('計算A'!$IT$28&gt;0,0,500000)+IF('計算A'!$IQ$28=2,SUMPRODUCT('計算A'!$D$78:$EQ$78,$DB18:$IO18,$IQ18:$OD18),SUMPRODUCT('計算A'!$D$78:$EQ$78,$DB18:$IO18))*1000+19)</f>
        <v/>
      </c>
      <c r="CA18">
        <f>IF(AG18=1,1000000,IF('計算A'!$IT$29&gt;0,0,500000)+IF('計算A'!$IQ$29=2,SUMPRODUCT('計算A'!$D$79:$EQ$79,$DB18:$IO18,$IQ18:$OD18),SUMPRODUCT('計算A'!$D$79:$EQ$79,$DB18:$IO18))*1000+20)</f>
        <v/>
      </c>
      <c r="CB18">
        <f>IF(AH18=1,1000000,IF('計算A'!$IT$30&gt;0,0,500000)+IF('計算A'!$IQ$30=2,SUMPRODUCT('計算A'!$D$80:$EQ$80,$DB18:$IO18,$IQ18:$OD18),SUMPRODUCT('計算A'!$D$80:$EQ$80,$DB18:$IO18))*1000+21)</f>
        <v/>
      </c>
      <c r="CC18">
        <f>IF(AI18=1,1000000,IF('計算A'!$IT$31&gt;0,0,500000)+IF('計算A'!$IQ$31=2,SUMPRODUCT('計算A'!$D$81:$EQ$81,$DB18:$IO18,$IQ18:$OD18),SUMPRODUCT('計算A'!$D$81:$EQ$81,$DB18:$IO18))*1000+22)</f>
        <v/>
      </c>
      <c r="CD18">
        <f>IF(AJ18=1,1000000,IF('計算A'!$IT$32&gt;0,0,500000)+IF('計算A'!$IQ$32=2,SUMPRODUCT('計算A'!$D$82:$EQ$82,$DB18:$IO18,$IQ18:$OD18),SUMPRODUCT('計算A'!$D$82:$EQ$82,$DB18:$IO18))*1000+23)</f>
        <v/>
      </c>
      <c r="CE18">
        <f>IF(AK18=1,1000000,IF('計算A'!$IT$33&gt;0,0,500000)+IF('計算A'!$IQ$33=2,SUMPRODUCT('計算A'!$D$83:$EQ$83,$DB18:$IO18,$IQ18:$OD18),SUMPRODUCT('計算A'!$D$83:$EQ$83,$DB18:$IO18))*1000+24)</f>
        <v/>
      </c>
      <c r="CF18">
        <f>IF(AL18=1,1000000,IF('計算A'!$IT$34&gt;0,0,500000)+IF('計算A'!$IQ$34=2,SUMPRODUCT('計算A'!$D$84:$EQ$84,$DB18:$IO18,$IQ18:$OD18),SUMPRODUCT('計算A'!$D$84:$EQ$84,$DB18:$IO18))*1000+25)</f>
        <v/>
      </c>
      <c r="CG18">
        <f>IF(AM18=1,1000000,IF('計算A'!$IT$35&gt;0,0,500000)+IF('計算A'!$IQ$35=2,SUMPRODUCT('計算A'!$D$85:$EQ$85,$DB18:$IO18,$IQ18:$OD18),SUMPRODUCT('計算A'!$D$85:$EQ$85,$DB18:$IO18))*1000+26)</f>
        <v/>
      </c>
      <c r="CH18">
        <f>IF(AN18=1,1000000,IF('計算A'!$IT$36&gt;0,0,500000)+IF('計算A'!$IQ$36=2,SUMPRODUCT('計算A'!$D$86:$EQ$86,$DB18:$IO18,$IQ18:$OD18),SUMPRODUCT('計算A'!$D$86:$EQ$86,$DB18:$IO18))*1000+27)</f>
        <v/>
      </c>
      <c r="CI18">
        <f>IF(AO18=1,1000000,IF('計算A'!$IT$37&gt;0,0,500000)+IF('計算A'!$IQ$37=2,SUMPRODUCT('計算A'!$D$87:$EQ$87,$DB18:$IO18,$IQ18:$OD18),SUMPRODUCT('計算A'!$D$87:$EQ$87,$DB18:$IO18))*1000+28)</f>
        <v/>
      </c>
      <c r="CJ18">
        <f>IF(AP18=1,1000000,IF('計算A'!$IT$38&gt;0,0,500000)+IF('計算A'!$IQ$38=2,SUMPRODUCT('計算A'!$D$88:$EQ$88,$DB18:$IO18,$IQ18:$OD18),SUMPRODUCT('計算A'!$D$88:$EQ$88,$DB18:$IO18))*1000+29)</f>
        <v/>
      </c>
      <c r="CK18">
        <f>IF(AQ18=1,1000000,IF('計算A'!$IT$39&gt;0,0,500000)+IF('計算A'!$IQ$39=2,SUMPRODUCT('計算A'!$D$89:$EQ$89,$DB18:$IO18,$IQ18:$OD18),SUMPRODUCT('計算A'!$D$89:$EQ$89,$DB18:$IO18))*1000+30)</f>
        <v/>
      </c>
      <c r="CL18">
        <f>IF(AR18=1,1000000,IF('計算A'!$IT$40&gt;0,0,500000)+IF('計算A'!$IQ$40=2,SUMPRODUCT('計算A'!$D$90:$EQ$90,$DB18:$IO18,$IQ18:$OD18),SUMPRODUCT('計算A'!$D$90:$EQ$90,$DB18:$IO18))*1000+31)</f>
        <v/>
      </c>
      <c r="CM18">
        <f>IF(AS18=1,1000000,IF('計算A'!$IT$41&gt;0,0,500000)+IF('計算A'!$IQ$41=2,SUMPRODUCT('計算A'!$D$91:$EQ$91,$DB18:$IO18,$IQ18:$OD18),SUMPRODUCT('計算A'!$D$91:$EQ$91,$DB18:$IO18))*1000+32)</f>
        <v/>
      </c>
      <c r="CN18">
        <f>IF(AT18=1,1000000,IF('計算A'!$IT$42&gt;0,0,500000)+IF('計算A'!$IQ$42=2,SUMPRODUCT('計算A'!$D$92:$EQ$92,$DB18:$IO18,$IQ18:$OD18),SUMPRODUCT('計算A'!$D$92:$EQ$92,$DB18:$IO18))*1000+33)</f>
        <v/>
      </c>
      <c r="CO18">
        <f>IF(AU18=1,1000000,IF('計算A'!$IT$43&gt;0,0,500000)+IF('計算A'!$IQ$43=2,SUMPRODUCT('計算A'!$D$93:$EQ$93,$DB18:$IO18,$IQ18:$OD18),SUMPRODUCT('計算A'!$D$93:$EQ$93,$DB18:$IO18))*1000+34)</f>
        <v/>
      </c>
      <c r="CP18">
        <f>IF(AV18=1,1000000,IF('計算A'!$IT$44&gt;0,0,500000)+IF('計算A'!$IQ$44=2,SUMPRODUCT('計算A'!$D$94:$EQ$94,$DB18:$IO18,$IQ18:$OD18),SUMPRODUCT('計算A'!$D$94:$EQ$94,$DB18:$IO18))*1000+35)</f>
        <v/>
      </c>
      <c r="CQ18">
        <f>IF(AW18=1,1000000,IF('計算A'!$IT$45&gt;0,0,500000)+IF('計算A'!$IQ$45=2,SUMPRODUCT('計算A'!$D$95:$EQ$95,$DB18:$IO18,$IQ18:$OD18),SUMPRODUCT('計算A'!$D$95:$EQ$95,$DB18:$IO18))*1000+36)</f>
        <v/>
      </c>
      <c r="CR18">
        <f>IF(AX18=1,1000000,IF('計算A'!$IT$46&gt;0,0,500000)+IF('計算A'!$IQ$46=2,SUMPRODUCT('計算A'!$D$96:$EQ$96,$DB18:$IO18,$IQ18:$OD18),SUMPRODUCT('計算A'!$D$96:$EQ$96,$DB18:$IO18))*1000+37)</f>
        <v/>
      </c>
      <c r="CS18">
        <f>IF(AY18=1,1000000,IF('計算A'!$IT$47&gt;0,0,500000)+IF('計算A'!$IQ$47=2,SUMPRODUCT('計算A'!$D$97:$EQ$97,$DB18:$IO18,$IQ18:$OD18),SUMPRODUCT('計算A'!$D$97:$EQ$97,$DB18:$IO18))*1000+38)</f>
        <v/>
      </c>
      <c r="CT18">
        <f>IF(AZ18=1,1000000,IF('計算A'!$IT$48&gt;0,0,500000)+IF('計算A'!$IQ$48=2,SUMPRODUCT('計算A'!$D$98:$EQ$98,$DB18:$IO18,$IQ18:$OD18),SUMPRODUCT('計算A'!$D$98:$EQ$98,$DB18:$IO18))*1000+39)</f>
        <v/>
      </c>
      <c r="CU18">
        <f>IF(BA18=1,1000000,IF('計算A'!$IT$49&gt;0,0,500000)+IF('計算A'!$IQ$49=2,SUMPRODUCT('計算A'!$D$99:$EQ$99,$DB18:$IO18,$IQ18:$OD18),SUMPRODUCT('計算A'!$D$99:$EQ$99,$DB18:$IO18))*1000+40)</f>
        <v/>
      </c>
      <c r="CV18">
        <f>IF(BB18=1,1000000,IF('計算A'!$IT$50&gt;0,0,500000)+IF('計算A'!$IQ$50=2,SUMPRODUCT('計算A'!$D$100:$EQ$100,$DB18:$IO18,$IQ18:$OD18),SUMPRODUCT('計算A'!$D$100:$EQ$100,$DB18:$IO18))*1000+41)</f>
        <v/>
      </c>
      <c r="CW18">
        <f>IF(BC18=1,1000000,IF('計算A'!$IT$51&gt;0,0,500000)+IF('計算A'!$IQ$51=2,SUMPRODUCT('計算A'!$D$101:$EQ$101,$DB18:$IO18,$IQ18:$OD18),SUMPRODUCT('計算A'!$D$101:$EQ$101,$DB18:$IO18))*1000+42)</f>
        <v/>
      </c>
      <c r="CX18">
        <f>IF(BD18=1,1000000,IF('計算A'!$IT$52&gt;0,0,500000)+IF('計算A'!$IQ$52=2,SUMPRODUCT('計算A'!$D$102:$EQ$102,$DB18:$IO18,$IQ18:$OD18),SUMPRODUCT('計算A'!$D$102:$EQ$102,$DB18:$IO18))*1000+43)</f>
        <v/>
      </c>
      <c r="CY18">
        <f>IF(BE18=1,1000000,IF('計算A'!$IT$53&gt;0,0,500000)+IF('計算A'!$IQ$53=2,SUMPRODUCT('計算A'!$D$103:$EQ$103,$DB18:$IO18,$IQ18:$OD18),SUMPRODUCT('計算A'!$D$103:$EQ$103,$DB18:$IO18))*1000+44)</f>
        <v/>
      </c>
      <c r="CZ18">
        <f>IF(BF18=1,1000000,IF('計算A'!$IT$54&gt;0,0,500000)+IF('計算A'!$IQ$54=2,SUMPRODUCT('計算A'!$D$104:$EQ$104,$DB18:$IO18,$IQ18:$OD18),SUMPRODUCT('計算A'!$D$104:$EQ$104,$DB18:$IO18))*1000+45)</f>
        <v/>
      </c>
      <c r="DB18">
        <f>DB17*IF(OR($C17=1,$G17=1),0,1)</f>
        <v/>
      </c>
      <c r="DC18">
        <f>DC17*IF(OR($C17=2,$G17=2),0,1)</f>
        <v/>
      </c>
      <c r="DD18">
        <f>DD17*IF(OR($C17=3,$G17=3),0,1)</f>
        <v/>
      </c>
      <c r="DE18">
        <f>DE17*IF(OR($C17=4,$G17=4),0,1)</f>
        <v/>
      </c>
      <c r="DF18">
        <f>DF17*IF(OR($C17=5,$G17=5),0,1)</f>
        <v/>
      </c>
      <c r="DG18">
        <f>DG17*IF(OR($C17=6,$G17=6),0,1)</f>
        <v/>
      </c>
      <c r="DH18">
        <f>DH17*IF(OR($C17=7,$G17=7),0,1)</f>
        <v/>
      </c>
      <c r="DI18">
        <f>DI17*IF(OR($C17=8,$G17=8),0,1)</f>
        <v/>
      </c>
      <c r="DJ18">
        <f>DJ17*IF(OR($C17=9,$G17=9),0,1)</f>
        <v/>
      </c>
      <c r="DK18">
        <f>DK17*IF(OR($C17=10,$G17=10),0,1)</f>
        <v/>
      </c>
      <c r="DL18">
        <f>DL17*IF(OR($C17=11,$G17=11),0,1)</f>
        <v/>
      </c>
      <c r="DM18">
        <f>DM17*IF(OR($C17=12,$G17=12),0,1)</f>
        <v/>
      </c>
      <c r="DN18">
        <f>DN17*IF(OR($C17=13,$G17=13),0,1)</f>
        <v/>
      </c>
      <c r="DO18">
        <f>DO17*IF(OR($C17=14,$G17=14),0,1)</f>
        <v/>
      </c>
      <c r="DP18">
        <f>DP17*IF(OR($C17=15,$G17=15),0,1)</f>
        <v/>
      </c>
      <c r="DQ18">
        <f>DQ17*IF(OR($C17=16,$G17=16),0,1)</f>
        <v/>
      </c>
      <c r="DR18">
        <f>DR17*IF(OR($C17=17,$G17=17),0,1)</f>
        <v/>
      </c>
      <c r="DS18">
        <f>DS17*IF(OR($C17=18,$G17=18),0,1)</f>
        <v/>
      </c>
      <c r="DT18">
        <f>DT17*IF(OR($C17=19,$G17=19),0,1)</f>
        <v/>
      </c>
      <c r="DU18">
        <f>DU17*IF(OR($C17=20,$G17=20),0,1)</f>
        <v/>
      </c>
      <c r="DV18">
        <f>DV17*IF(OR($C17=21,$G17=21),0,1)</f>
        <v/>
      </c>
      <c r="DW18">
        <f>DW17*IF(OR($C17=22,$G17=22),0,1)</f>
        <v/>
      </c>
      <c r="DX18">
        <f>DX17*IF(OR($C17=23,$G17=23),0,1)</f>
        <v/>
      </c>
      <c r="DY18">
        <f>DY17*IF(OR($C17=24,$G17=24),0,1)</f>
        <v/>
      </c>
      <c r="DZ18">
        <f>DZ17*IF(OR($C17=25,$G17=25),0,1)</f>
        <v/>
      </c>
      <c r="EA18">
        <f>EA17*IF(OR($C17=26,$G17=26),0,1)</f>
        <v/>
      </c>
      <c r="EB18">
        <f>EB17*IF(OR($C17=27,$G17=27),0,1)</f>
        <v/>
      </c>
      <c r="EC18">
        <f>EC17*IF(OR($C17=28,$G17=28),0,1)</f>
        <v/>
      </c>
      <c r="ED18">
        <f>ED17*IF(OR($C17=29,$G17=29),0,1)</f>
        <v/>
      </c>
      <c r="EE18">
        <f>EE17*IF(OR($C17=30,$G17=30),0,1)</f>
        <v/>
      </c>
      <c r="EF18">
        <f>EF17*IF(OR($C17=31,$G17=31),0,1)</f>
        <v/>
      </c>
      <c r="EG18">
        <f>EG17*IF(OR($C17=32,$G17=32),0,1)</f>
        <v/>
      </c>
      <c r="EH18">
        <f>EH17*IF(OR($C17=33,$G17=33),0,1)</f>
        <v/>
      </c>
      <c r="EI18">
        <f>EI17*IF(OR($C17=34,$G17=34),0,1)</f>
        <v/>
      </c>
      <c r="EJ18">
        <f>EJ17*IF(OR($C17=35,$G17=35),0,1)</f>
        <v/>
      </c>
      <c r="EK18">
        <f>EK17*IF(OR($C17=36,$G17=36),0,1)</f>
        <v/>
      </c>
      <c r="EL18">
        <f>EL17*IF(OR($C17=37,$G17=37),0,1)</f>
        <v/>
      </c>
      <c r="EM18">
        <f>EM17*IF(OR($C17=38,$G17=38),0,1)</f>
        <v/>
      </c>
      <c r="EN18">
        <f>EN17*IF(OR($C17=39,$G17=39),0,1)</f>
        <v/>
      </c>
      <c r="EO18">
        <f>EO17*IF(OR($C17=40,$G17=40),0,1)</f>
        <v/>
      </c>
      <c r="EP18">
        <f>EP17*IF(OR($C17=41,$G17=41),0,1)</f>
        <v/>
      </c>
      <c r="EQ18">
        <f>EQ17*IF(OR($C17=42,$G17=42),0,1)</f>
        <v/>
      </c>
      <c r="ER18">
        <f>ER17*IF(OR($C17=43,$G17=43),0,1)</f>
        <v/>
      </c>
      <c r="ES18">
        <f>ES17*IF(OR($C17=44,$G17=44),0,1)</f>
        <v/>
      </c>
      <c r="ET18">
        <f>ET17*IF(OR($C17=45,$G17=45),0,1)</f>
        <v/>
      </c>
      <c r="EU18">
        <f>EU17*IF(OR($C17=46,$G17=46),0,1)</f>
        <v/>
      </c>
      <c r="EV18">
        <f>EV17*IF(OR($C17=47,$G17=47),0,1)</f>
        <v/>
      </c>
      <c r="EW18">
        <f>EW17*IF(OR($C17=48,$G17=48),0,1)</f>
        <v/>
      </c>
      <c r="EX18">
        <f>EX17*IF(OR($C17=49,$G17=49),0,1)</f>
        <v/>
      </c>
      <c r="EY18">
        <f>EY17*IF(OR($C17=50,$G17=50),0,1)</f>
        <v/>
      </c>
      <c r="EZ18">
        <f>EZ17*IF(OR($C17=51,$G17=51),0,1)</f>
        <v/>
      </c>
      <c r="FA18">
        <f>FA17*IF(OR($C17=52,$G17=52),0,1)</f>
        <v/>
      </c>
      <c r="FB18">
        <f>FB17*IF(OR($C17=53,$G17=53),0,1)</f>
        <v/>
      </c>
      <c r="FC18">
        <f>FC17*IF(OR($C17=54,$G17=54),0,1)</f>
        <v/>
      </c>
      <c r="FD18">
        <f>FD17*IF(OR($C17=55,$G17=55),0,1)</f>
        <v/>
      </c>
      <c r="FE18">
        <f>FE17*IF(OR($C17=56,$G17=56),0,1)</f>
        <v/>
      </c>
      <c r="FF18">
        <f>FF17*IF(OR($C17=57,$G17=57),0,1)</f>
        <v/>
      </c>
      <c r="FG18">
        <f>FG17*IF(OR($C17=58,$G17=58),0,1)</f>
        <v/>
      </c>
      <c r="FH18">
        <f>FH17*IF(OR($C17=59,$G17=59),0,1)</f>
        <v/>
      </c>
      <c r="FI18">
        <f>FI17*IF(OR($C17=60,$G17=60),0,1)</f>
        <v/>
      </c>
      <c r="FJ18">
        <f>FJ17*IF(OR($C17=61,$G17=61),0,1)</f>
        <v/>
      </c>
      <c r="FK18">
        <f>FK17*IF(OR($C17=62,$G17=62),0,1)</f>
        <v/>
      </c>
      <c r="FL18">
        <f>FL17*IF(OR($C17=63,$G17=63),0,1)</f>
        <v/>
      </c>
      <c r="FM18">
        <f>FM17*IF(OR($C17=64,$G17=64),0,1)</f>
        <v/>
      </c>
      <c r="FN18">
        <f>FN17*IF(OR($C17=65,$G17=65),0,1)</f>
        <v/>
      </c>
      <c r="FO18">
        <f>FO17*IF(OR($C17=66,$G17=66),0,1)</f>
        <v/>
      </c>
      <c r="FP18">
        <f>FP17*IF(OR($C17=67,$G17=67),0,1)</f>
        <v/>
      </c>
      <c r="FQ18">
        <f>FQ17*IF(OR($C17=68,$G17=68),0,1)</f>
        <v/>
      </c>
      <c r="FR18">
        <f>FR17*IF(OR($C17=69,$G17=69),0,1)</f>
        <v/>
      </c>
      <c r="FS18">
        <f>FS17*IF(OR($C17=70,$G17=70),0,1)</f>
        <v/>
      </c>
      <c r="FT18">
        <f>FT17*IF(OR($C17=71,$G17=71),0,1)</f>
        <v/>
      </c>
      <c r="FU18">
        <f>FU17*IF(OR($C17=72,$G17=72),0,1)</f>
        <v/>
      </c>
      <c r="FV18">
        <f>FV17*IF(OR($C17=73,$G17=73),0,1)</f>
        <v/>
      </c>
      <c r="FW18">
        <f>FW17*IF(OR($C17=74,$G17=74),0,1)</f>
        <v/>
      </c>
      <c r="FX18">
        <f>FX17*IF(OR($C17=75,$G17=75),0,1)</f>
        <v/>
      </c>
      <c r="FY18">
        <f>FY17*IF(OR($C17=76,$G17=76),0,1)</f>
        <v/>
      </c>
      <c r="FZ18">
        <f>FZ17*IF(OR($C17=77,$G17=77),0,1)</f>
        <v/>
      </c>
      <c r="GA18">
        <f>GA17*IF(OR($C17=78,$G17=78),0,1)</f>
        <v/>
      </c>
      <c r="GB18">
        <f>GB17*IF(OR($C17=79,$G17=79),0,1)</f>
        <v/>
      </c>
      <c r="GC18">
        <f>GC17*IF(OR($C17=80,$G17=80),0,1)</f>
        <v/>
      </c>
      <c r="GD18">
        <f>GD17*IF(OR($C17=81,$G17=81),0,1)</f>
        <v/>
      </c>
      <c r="GE18">
        <f>GE17*IF(OR($C17=82,$G17=82),0,1)</f>
        <v/>
      </c>
      <c r="GF18">
        <f>GF17*IF(OR($C17=83,$G17=83),0,1)</f>
        <v/>
      </c>
      <c r="GG18">
        <f>GG17*IF(OR($C17=84,$G17=84),0,1)</f>
        <v/>
      </c>
      <c r="GH18">
        <f>GH17*IF(OR($C17=85,$G17=85),0,1)</f>
        <v/>
      </c>
      <c r="GI18">
        <f>GI17*IF(OR($C17=86,$G17=86),0,1)</f>
        <v/>
      </c>
      <c r="GJ18">
        <f>GJ17*IF(OR($C17=87,$G17=87),0,1)</f>
        <v/>
      </c>
      <c r="GK18">
        <f>GK17*IF(OR($C17=88,$G17=88),0,1)</f>
        <v/>
      </c>
      <c r="GL18">
        <f>GL17*IF(OR($C17=89,$G17=89),0,1)</f>
        <v/>
      </c>
      <c r="GM18">
        <f>GM17*IF(OR($C17=90,$G17=90),0,1)</f>
        <v/>
      </c>
      <c r="GN18">
        <f>GN17*IF(OR($C17=91,$G17=91),0,1)</f>
        <v/>
      </c>
      <c r="GO18">
        <f>GO17*IF(OR($C17=92,$G17=92),0,1)</f>
        <v/>
      </c>
      <c r="GP18">
        <f>GP17*IF(OR($C17=93,$G17=93),0,1)</f>
        <v/>
      </c>
      <c r="GQ18">
        <f>GQ17*IF(OR($C17=94,$G17=94),0,1)</f>
        <v/>
      </c>
      <c r="GR18">
        <f>GR17*IF(OR($C17=95,$G17=95),0,1)</f>
        <v/>
      </c>
      <c r="GS18">
        <f>GS17*IF(OR($C17=96,$G17=96),0,1)</f>
        <v/>
      </c>
      <c r="GT18">
        <f>GT17*IF(OR($C17=97,$G17=97),0,1)</f>
        <v/>
      </c>
      <c r="GU18">
        <f>GU17*IF(OR($C17=98,$G17=98),0,1)</f>
        <v/>
      </c>
      <c r="GV18">
        <f>GV17*IF(OR($C17=99,$G17=99),0,1)</f>
        <v/>
      </c>
      <c r="GW18">
        <f>GW17*IF(OR($C17=100,$G17=100),0,1)</f>
        <v/>
      </c>
      <c r="GX18">
        <f>GX17*IF(OR($C17=101,$G17=101),0,1)</f>
        <v/>
      </c>
      <c r="GY18">
        <f>GY17*IF(OR($C17=102,$G17=102),0,1)</f>
        <v/>
      </c>
      <c r="GZ18">
        <f>GZ17*IF(OR($C17=103,$G17=103),0,1)</f>
        <v/>
      </c>
      <c r="HA18">
        <f>HA17*IF(OR($C17=104,$G17=104),0,1)</f>
        <v/>
      </c>
      <c r="HB18">
        <f>HB17*IF(OR($C17=105,$G17=105),0,1)</f>
        <v/>
      </c>
      <c r="HC18">
        <f>HC17*IF(OR($C17=106,$G17=106),0,1)</f>
        <v/>
      </c>
      <c r="HD18">
        <f>HD17*IF(OR($C17=107,$G17=107),0,1)</f>
        <v/>
      </c>
      <c r="HE18">
        <f>HE17*IF(OR($C17=108,$G17=108),0,1)</f>
        <v/>
      </c>
      <c r="HF18">
        <f>HF17*IF(OR($C17=109,$G17=109),0,1)</f>
        <v/>
      </c>
      <c r="HG18">
        <f>HG17*IF(OR($C17=110,$G17=110),0,1)</f>
        <v/>
      </c>
      <c r="HH18">
        <f>HH17*IF(OR($C17=111,$G17=111),0,1)</f>
        <v/>
      </c>
      <c r="HI18">
        <f>HI17*IF(OR($C17=112,$G17=112),0,1)</f>
        <v/>
      </c>
      <c r="HJ18">
        <f>HJ17*IF(OR($C17=113,$G17=113),0,1)</f>
        <v/>
      </c>
      <c r="HK18">
        <f>HK17*IF(OR($C17=114,$G17=114),0,1)</f>
        <v/>
      </c>
      <c r="HL18">
        <f>HL17*IF(OR($C17=115,$G17=115),0,1)</f>
        <v/>
      </c>
      <c r="HM18">
        <f>HM17*IF(OR($C17=116,$G17=116),0,1)</f>
        <v/>
      </c>
      <c r="HN18">
        <f>HN17*IF(OR($C17=117,$G17=117),0,1)</f>
        <v/>
      </c>
      <c r="HO18">
        <f>HO17*IF(OR($C17=118,$G17=118),0,1)</f>
        <v/>
      </c>
      <c r="HP18">
        <f>HP17*IF(OR($C17=119,$G17=119),0,1)</f>
        <v/>
      </c>
      <c r="HQ18">
        <f>HQ17*IF(OR($C17=120,$G17=120),0,1)</f>
        <v/>
      </c>
      <c r="HR18">
        <f>HR17*IF(OR($C17=121,$G17=121),0,1)</f>
        <v/>
      </c>
      <c r="HS18">
        <f>HS17*IF(OR($C17=122,$G17=122),0,1)</f>
        <v/>
      </c>
      <c r="HT18">
        <f>HT17*IF(OR($C17=123,$G17=123),0,1)</f>
        <v/>
      </c>
      <c r="HU18">
        <f>HU17*IF(OR($C17=124,$G17=124),0,1)</f>
        <v/>
      </c>
      <c r="HV18">
        <f>HV17*IF(OR($C17=125,$G17=125),0,1)</f>
        <v/>
      </c>
      <c r="HW18">
        <f>HW17*IF(OR($C17=126,$G17=126),0,1)</f>
        <v/>
      </c>
      <c r="HX18">
        <f>HX17*IF(OR($C17=127,$G17=127),0,1)</f>
        <v/>
      </c>
      <c r="HY18">
        <f>HY17*IF(OR($C17=128,$G17=128),0,1)</f>
        <v/>
      </c>
      <c r="HZ18">
        <f>HZ17*IF(OR($C17=129,$G17=129),0,1)</f>
        <v/>
      </c>
      <c r="IA18">
        <f>IA17*IF(OR($C17=130,$G17=130),0,1)</f>
        <v/>
      </c>
      <c r="IB18">
        <f>IB17*IF(OR($C17=131,$G17=131),0,1)</f>
        <v/>
      </c>
      <c r="IC18">
        <f>IC17*IF(OR($C17=132,$G17=132),0,1)</f>
        <v/>
      </c>
      <c r="ID18">
        <f>ID17*IF(OR($C17=133,$G17=133),0,1)</f>
        <v/>
      </c>
      <c r="IE18">
        <f>IE17*IF(OR($C17=134,$G17=134),0,1)</f>
        <v/>
      </c>
      <c r="IF18">
        <f>IF17*IF(OR($C17=135,$G17=135),0,1)</f>
        <v/>
      </c>
      <c r="IG18">
        <f>IG17*IF(OR($C17=136,$G17=136),0,1)</f>
        <v/>
      </c>
      <c r="IH18">
        <f>IH17*IF(OR($C17=137,$G17=137),0,1)</f>
        <v/>
      </c>
      <c r="II18">
        <f>II17*IF(OR($C17=138,$G17=138),0,1)</f>
        <v/>
      </c>
      <c r="IJ18">
        <f>IJ17*IF(OR($C17=139,$G17=139),0,1)</f>
        <v/>
      </c>
      <c r="IK18">
        <f>IK17*IF(OR($C17=140,$G17=140),0,1)</f>
        <v/>
      </c>
      <c r="IL18">
        <f>IL17*IF(OR($C17=141,$G17=141),0,1)</f>
        <v/>
      </c>
      <c r="IM18">
        <f>IM17*IF(OR($C17=142,$G17=142),0,1)</f>
        <v/>
      </c>
      <c r="IN18">
        <f>IN17*IF(OR($C17=143,$G17=143),0,1)</f>
        <v/>
      </c>
      <c r="IO18">
        <f>IO17*IF(OR($C17=144,$G17=144),0,1)</f>
        <v/>
      </c>
      <c r="IQ18">
        <f>IF('計算A'!D$106=1,DC18,1)</f>
        <v/>
      </c>
      <c r="IR18">
        <f>IF('計算A'!E$106=1,DD18,1)</f>
        <v/>
      </c>
      <c r="IS18">
        <f>IF('計算A'!F$106=1,DE18,1)</f>
        <v/>
      </c>
      <c r="IT18">
        <f>IF('計算A'!G$106=1,DF18,1)</f>
        <v/>
      </c>
      <c r="IU18">
        <f>IF('計算A'!H$106=1,DG18,1)</f>
        <v/>
      </c>
      <c r="IV18">
        <f>IF('計算A'!I$106=1,DH18,1)</f>
        <v/>
      </c>
      <c r="IW18">
        <f>IF('計算A'!J$106=1,DI18,1)</f>
        <v/>
      </c>
      <c r="IX18">
        <f>IF('計算A'!K$106=1,DJ18,1)</f>
        <v/>
      </c>
      <c r="IY18">
        <f>IF('計算A'!L$106=1,DK18,1)</f>
        <v/>
      </c>
      <c r="IZ18">
        <f>IF('計算A'!M$106=1,DL18,1)</f>
        <v/>
      </c>
      <c r="JA18">
        <f>IF('計算A'!N$106=1,DM18,1)</f>
        <v/>
      </c>
      <c r="JB18">
        <f>IF('計算A'!O$106=1,DN18,1)</f>
        <v/>
      </c>
      <c r="JC18">
        <f>IF('計算A'!P$106=1,DO18,1)</f>
        <v/>
      </c>
      <c r="JD18">
        <f>IF('計算A'!Q$106=1,DP18,1)</f>
        <v/>
      </c>
      <c r="JE18">
        <f>IF('計算A'!R$106=1,DQ18,1)</f>
        <v/>
      </c>
      <c r="JF18">
        <f>IF('計算A'!S$106=1,DR18,1)</f>
        <v/>
      </c>
      <c r="JG18">
        <f>IF('計算A'!T$106=1,DS18,1)</f>
        <v/>
      </c>
      <c r="JH18">
        <f>IF('計算A'!U$106=1,DT18,1)</f>
        <v/>
      </c>
      <c r="JI18">
        <f>IF('計算A'!V$106=1,DU18,1)</f>
        <v/>
      </c>
      <c r="JJ18">
        <f>IF('計算A'!W$106=1,DV18,1)</f>
        <v/>
      </c>
      <c r="JK18">
        <f>IF('計算A'!X$106=1,DW18,1)</f>
        <v/>
      </c>
      <c r="JL18">
        <f>IF('計算A'!Y$106=1,DX18,1)</f>
        <v/>
      </c>
      <c r="JM18">
        <f>IF('計算A'!Z$106=1,DY18,1)</f>
        <v/>
      </c>
      <c r="JN18">
        <f>IF('計算A'!AA$106=1,DZ18,1)</f>
        <v/>
      </c>
      <c r="JO18">
        <f>IF('計算A'!AB$106=1,EA18,1)</f>
        <v/>
      </c>
      <c r="JP18">
        <f>IF('計算A'!AC$106=1,EB18,1)</f>
        <v/>
      </c>
      <c r="JQ18">
        <f>IF('計算A'!AD$106=1,EC18,1)</f>
        <v/>
      </c>
      <c r="JR18">
        <f>IF('計算A'!AE$106=1,ED18,1)</f>
        <v/>
      </c>
      <c r="JS18">
        <f>IF('計算A'!AF$106=1,EE18,1)</f>
        <v/>
      </c>
      <c r="JT18">
        <f>IF('計算A'!AG$106=1,EF18,1)</f>
        <v/>
      </c>
      <c r="JU18">
        <f>IF('計算A'!AH$106=1,EG18,1)</f>
        <v/>
      </c>
      <c r="JV18">
        <f>IF('計算A'!AI$106=1,EH18,1)</f>
        <v/>
      </c>
      <c r="JW18">
        <f>IF('計算A'!AJ$106=1,EI18,1)</f>
        <v/>
      </c>
      <c r="JX18">
        <f>IF('計算A'!AK$106=1,EJ18,1)</f>
        <v/>
      </c>
      <c r="JY18">
        <f>IF('計算A'!AL$106=1,EK18,1)</f>
        <v/>
      </c>
      <c r="JZ18">
        <f>IF('計算A'!AM$106=1,EL18,1)</f>
        <v/>
      </c>
      <c r="KA18">
        <f>IF('計算A'!AN$106=1,EM18,1)</f>
        <v/>
      </c>
      <c r="KB18">
        <f>IF('計算A'!AO$106=1,EN18,1)</f>
        <v/>
      </c>
      <c r="KC18">
        <f>IF('計算A'!AP$106=1,EO18,1)</f>
        <v/>
      </c>
      <c r="KD18">
        <f>IF('計算A'!AQ$106=1,EP18,1)</f>
        <v/>
      </c>
      <c r="KE18">
        <f>IF('計算A'!AR$106=1,EQ18,1)</f>
        <v/>
      </c>
      <c r="KF18">
        <f>IF('計算A'!AS$106=1,ER18,1)</f>
        <v/>
      </c>
      <c r="KG18">
        <f>IF('計算A'!AT$106=1,ES18,1)</f>
        <v/>
      </c>
      <c r="KH18">
        <f>IF('計算A'!AU$106=1,ET18,1)</f>
        <v/>
      </c>
      <c r="KI18">
        <f>IF('計算A'!AV$106=1,EU18,1)</f>
        <v/>
      </c>
      <c r="KJ18">
        <f>IF('計算A'!AW$106=1,EV18,1)</f>
        <v/>
      </c>
      <c r="KK18">
        <f>IF('計算A'!AX$106=1,EW18,1)</f>
        <v/>
      </c>
      <c r="KL18">
        <f>IF('計算A'!AY$106=1,EX18,1)</f>
        <v/>
      </c>
      <c r="KM18">
        <f>IF('計算A'!AZ$106=1,EY18,1)</f>
        <v/>
      </c>
      <c r="KN18">
        <f>IF('計算A'!BA$106=1,EZ18,1)</f>
        <v/>
      </c>
      <c r="KO18">
        <f>IF('計算A'!BB$106=1,FA18,1)</f>
        <v/>
      </c>
      <c r="KP18">
        <f>IF('計算A'!BC$106=1,FB18,1)</f>
        <v/>
      </c>
      <c r="KQ18">
        <f>IF('計算A'!BD$106=1,FC18,1)</f>
        <v/>
      </c>
      <c r="KR18">
        <f>IF('計算A'!BE$106=1,FD18,1)</f>
        <v/>
      </c>
      <c r="KS18">
        <f>IF('計算A'!BF$106=1,FE18,1)</f>
        <v/>
      </c>
      <c r="KT18">
        <f>IF('計算A'!BG$106=1,FF18,1)</f>
        <v/>
      </c>
      <c r="KU18">
        <f>IF('計算A'!BH$106=1,FG18,1)</f>
        <v/>
      </c>
      <c r="KV18">
        <f>IF('計算A'!BI$106=1,FH18,1)</f>
        <v/>
      </c>
      <c r="KW18">
        <f>IF('計算A'!BJ$106=1,FI18,1)</f>
        <v/>
      </c>
      <c r="KX18">
        <f>IF('計算A'!BK$106=1,FJ18,1)</f>
        <v/>
      </c>
      <c r="KY18">
        <f>IF('計算A'!BL$106=1,FK18,1)</f>
        <v/>
      </c>
      <c r="KZ18">
        <f>IF('計算A'!BM$106=1,FL18,1)</f>
        <v/>
      </c>
      <c r="LA18">
        <f>IF('計算A'!BN$106=1,FM18,1)</f>
        <v/>
      </c>
      <c r="LB18">
        <f>IF('計算A'!BO$106=1,FN18,1)</f>
        <v/>
      </c>
      <c r="LC18">
        <f>IF('計算A'!BP$106=1,FO18,1)</f>
        <v/>
      </c>
      <c r="LD18">
        <f>IF('計算A'!BQ$106=1,FP18,1)</f>
        <v/>
      </c>
      <c r="LE18">
        <f>IF('計算A'!BR$106=1,FQ18,1)</f>
        <v/>
      </c>
      <c r="LF18">
        <f>IF('計算A'!BS$106=1,FR18,1)</f>
        <v/>
      </c>
      <c r="LG18">
        <f>IF('計算A'!BT$106=1,FS18,1)</f>
        <v/>
      </c>
      <c r="LH18">
        <f>IF('計算A'!BU$106=1,FT18,1)</f>
        <v/>
      </c>
      <c r="LI18">
        <f>IF('計算A'!BV$106=1,FU18,1)</f>
        <v/>
      </c>
      <c r="LJ18">
        <f>IF('計算A'!BW$106=1,FV18,1)</f>
        <v/>
      </c>
      <c r="LK18">
        <f>IF('計算A'!BX$106=1,FW18,1)</f>
        <v/>
      </c>
      <c r="LL18">
        <f>IF('計算A'!BY$106=1,FX18,1)</f>
        <v/>
      </c>
      <c r="LM18">
        <f>IF('計算A'!BZ$106=1,FY18,1)</f>
        <v/>
      </c>
      <c r="LN18">
        <f>IF('計算A'!CA$106=1,FZ18,1)</f>
        <v/>
      </c>
      <c r="LO18">
        <f>IF('計算A'!CB$106=1,GA18,1)</f>
        <v/>
      </c>
      <c r="LP18">
        <f>IF('計算A'!CC$106=1,GB18,1)</f>
        <v/>
      </c>
      <c r="LQ18">
        <f>IF('計算A'!CD$106=1,GC18,1)</f>
        <v/>
      </c>
      <c r="LR18">
        <f>IF('計算A'!CE$106=1,GD18,1)</f>
        <v/>
      </c>
      <c r="LS18">
        <f>IF('計算A'!CF$106=1,GE18,1)</f>
        <v/>
      </c>
      <c r="LT18">
        <f>IF('計算A'!CG$106=1,GF18,1)</f>
        <v/>
      </c>
      <c r="LU18">
        <f>IF('計算A'!CH$106=1,GG18,1)</f>
        <v/>
      </c>
      <c r="LV18">
        <f>IF('計算A'!CI$106=1,GH18,1)</f>
        <v/>
      </c>
      <c r="LW18">
        <f>IF('計算A'!CJ$106=1,GI18,1)</f>
        <v/>
      </c>
      <c r="LX18">
        <f>IF('計算A'!CK$106=1,GJ18,1)</f>
        <v/>
      </c>
      <c r="LY18">
        <f>IF('計算A'!CL$106=1,GK18,1)</f>
        <v/>
      </c>
      <c r="LZ18">
        <f>IF('計算A'!CM$106=1,GL18,1)</f>
        <v/>
      </c>
      <c r="MA18">
        <f>IF('計算A'!CN$106=1,GM18,1)</f>
        <v/>
      </c>
      <c r="MB18">
        <f>IF('計算A'!CO$106=1,GN18,1)</f>
        <v/>
      </c>
      <c r="MC18">
        <f>IF('計算A'!CP$106=1,GO18,1)</f>
        <v/>
      </c>
      <c r="MD18">
        <f>IF('計算A'!CQ$106=1,GP18,1)</f>
        <v/>
      </c>
      <c r="ME18">
        <f>IF('計算A'!CR$106=1,GQ18,1)</f>
        <v/>
      </c>
      <c r="MF18">
        <f>IF('計算A'!CS$106=1,GR18,1)</f>
        <v/>
      </c>
      <c r="MG18">
        <f>IF('計算A'!CT$106=1,GS18,1)</f>
        <v/>
      </c>
      <c r="MH18">
        <f>IF('計算A'!CU$106=1,GT18,1)</f>
        <v/>
      </c>
      <c r="MI18">
        <f>IF('計算A'!CV$106=1,GU18,1)</f>
        <v/>
      </c>
      <c r="MJ18">
        <f>IF('計算A'!CW$106=1,GV18,1)</f>
        <v/>
      </c>
      <c r="MK18">
        <f>IF('計算A'!CX$106=1,GW18,1)</f>
        <v/>
      </c>
      <c r="ML18">
        <f>IF('計算A'!CY$106=1,GX18,1)</f>
        <v/>
      </c>
      <c r="MM18">
        <f>IF('計算A'!CZ$106=1,GY18,1)</f>
        <v/>
      </c>
      <c r="MN18">
        <f>IF('計算A'!DA$106=1,GZ18,1)</f>
        <v/>
      </c>
      <c r="MO18">
        <f>IF('計算A'!DB$106=1,HA18,1)</f>
        <v/>
      </c>
      <c r="MP18">
        <f>IF('計算A'!DC$106=1,HB18,1)</f>
        <v/>
      </c>
      <c r="MQ18">
        <f>IF('計算A'!DD$106=1,HC18,1)</f>
        <v/>
      </c>
      <c r="MR18">
        <f>IF('計算A'!DE$106=1,HD18,1)</f>
        <v/>
      </c>
      <c r="MS18">
        <f>IF('計算A'!DF$106=1,HE18,1)</f>
        <v/>
      </c>
      <c r="MT18">
        <f>IF('計算A'!DG$106=1,HF18,1)</f>
        <v/>
      </c>
      <c r="MU18">
        <f>IF('計算A'!DH$106=1,HG18,1)</f>
        <v/>
      </c>
      <c r="MV18">
        <f>IF('計算A'!DI$106=1,HH18,1)</f>
        <v/>
      </c>
      <c r="MW18">
        <f>IF('計算A'!DJ$106=1,HI18,1)</f>
        <v/>
      </c>
      <c r="MX18">
        <f>IF('計算A'!DK$106=1,HJ18,1)</f>
        <v/>
      </c>
      <c r="MY18">
        <f>IF('計算A'!DL$106=1,HK18,1)</f>
        <v/>
      </c>
      <c r="MZ18">
        <f>IF('計算A'!DM$106=1,HL18,1)</f>
        <v/>
      </c>
      <c r="NA18">
        <f>IF('計算A'!DN$106=1,HM18,1)</f>
        <v/>
      </c>
      <c r="NB18">
        <f>IF('計算A'!DO$106=1,HN18,1)</f>
        <v/>
      </c>
      <c r="NC18">
        <f>IF('計算A'!DP$106=1,HO18,1)</f>
        <v/>
      </c>
      <c r="ND18">
        <f>IF('計算A'!DQ$106=1,HP18,1)</f>
        <v/>
      </c>
      <c r="NE18">
        <f>IF('計算A'!DR$106=1,HQ18,1)</f>
        <v/>
      </c>
      <c r="NF18">
        <f>IF('計算A'!DS$106=1,HR18,1)</f>
        <v/>
      </c>
      <c r="NG18">
        <f>IF('計算A'!DT$106=1,HS18,1)</f>
        <v/>
      </c>
      <c r="NH18">
        <f>IF('計算A'!DU$106=1,HT18,1)</f>
        <v/>
      </c>
      <c r="NI18">
        <f>IF('計算A'!DV$106=1,HU18,1)</f>
        <v/>
      </c>
      <c r="NJ18">
        <f>IF('計算A'!DW$106=1,HV18,1)</f>
        <v/>
      </c>
      <c r="NK18">
        <f>IF('計算A'!DX$106=1,HW18,1)</f>
        <v/>
      </c>
      <c r="NL18">
        <f>IF('計算A'!DY$106=1,HX18,1)</f>
        <v/>
      </c>
      <c r="NM18">
        <f>IF('計算A'!DZ$106=1,HY18,1)</f>
        <v/>
      </c>
      <c r="NN18">
        <f>IF('計算A'!EA$106=1,HZ18,1)</f>
        <v/>
      </c>
      <c r="NO18">
        <f>IF('計算A'!EB$106=1,IA18,1)</f>
        <v/>
      </c>
      <c r="NP18">
        <f>IF('計算A'!EC$106=1,IB18,1)</f>
        <v/>
      </c>
      <c r="NQ18">
        <f>IF('計算A'!ED$106=1,IC18,1)</f>
        <v/>
      </c>
      <c r="NR18">
        <f>IF('計算A'!EE$106=1,ID18,1)</f>
        <v/>
      </c>
      <c r="NS18">
        <f>IF('計算A'!EF$106=1,IE18,1)</f>
        <v/>
      </c>
      <c r="NT18">
        <f>IF('計算A'!EG$106=1,IF18,1)</f>
        <v/>
      </c>
      <c r="NU18">
        <f>IF('計算A'!EH$106=1,IG18,1)</f>
        <v/>
      </c>
      <c r="NV18">
        <f>IF('計算A'!EI$106=1,IH18,1)</f>
        <v/>
      </c>
      <c r="NW18">
        <f>IF('計算A'!EJ$106=1,II18,1)</f>
        <v/>
      </c>
      <c r="NX18">
        <f>IF('計算A'!EK$106=1,IJ18,1)</f>
        <v/>
      </c>
      <c r="NY18">
        <f>IF('計算A'!EL$106=1,IK18,1)</f>
        <v/>
      </c>
      <c r="NZ18">
        <f>IF('計算A'!EM$106=1,IL18,1)</f>
        <v/>
      </c>
      <c r="OA18">
        <f>IF('計算A'!EN$106=1,IM18,1)</f>
        <v/>
      </c>
      <c r="OB18">
        <f>IF('計算A'!EO$106=1,IN18,1)</f>
        <v/>
      </c>
      <c r="OC18">
        <f>IF('計算A'!EP$106=1,IO18,1)</f>
        <v/>
      </c>
      <c r="OD18" t="n">
        <v>1</v>
      </c>
      <c r="OF18">
        <f>IF($B18=0,1000000,IF(INDEX('計算A'!$D$60:$EQ$104,$B18,1)*DB18=1,IF(AND($E18=2,IQ18=0),1000000,IF($I18&gt;0,IF(1=$J18,IF(OR(AND(1=$I18+1,OR($K18&lt;&gt;'計算A'!$A$3,'計算A'!$A$4=0)),AND(1=$I18-1,OR(1&lt;&gt;'計算A'!$A$3,'計算A'!$A$4=0))),0,IF(1=$K18,200000,ABS(1-$K18)*100)),100000+ABS(1-$J18)*1000+10)+'計算A'!D$5*50+IF(AND($E18=1,IQ18=0),25,0),IF($F18&gt;0,INDEX('計算A'!D$110:D$114,$F18+1)+IF(AND($E18=1,IQ18=0),1000,0),MIN(TU18,20)*400+(IF('計算A'!D$106=1,1-DC18,0))*150+11+'計算A'!D$5*100000+IF(AND($E18=1,IQ18=0),50000,0))+IF($H18=1,(IF('計算A'!D$117=1,INDEX('計算A'!E$10:E$54,$B18),0))*4000,0)-IF(AND($L18=1,'計算A'!D$117=1,DC18=0),2000,0))),1000000))</f>
        <v/>
      </c>
      <c r="OG18">
        <f>IF($B18=0,1000000,IF(INDEX('計算A'!$D$60:$EQ$104,$B18,2)*DC18=1,IF(AND($E18=2,IR18=0),1000000,IF($I18&gt;0,IF(1=$J18,IF(OR(AND(2=$I18+1,OR($K18&lt;&gt;'計算A'!$A$3,'計算A'!$A$4=0)),AND(2=$I18-1,OR(2&lt;&gt;'計算A'!$A$3,'計算A'!$A$4=0))),0,IF(2=$K18,200000,ABS(2-$K18)*100)),100000+ABS(1-$J18)*1000+20)+'計算A'!E$5*50+IF(AND($E18=1,IR18=0),25,0),IF($F18&gt;0,INDEX('計算A'!E$110:E$114,$F18+1)+IF(AND($E18=1,IR18=0),1000,0),MIN(TU18,20)*400+(IF('計算A'!D$106=1,1-DB18,0)+IF('計算A'!E$106=1,1-DD18,0))*150+21+'計算A'!E$5*100000+IF(AND($E18=1,IR18=0),50000,0))+IF($H18=1,(IF('計算A'!D$117=1,INDEX('計算A'!D$10:D$54,$B18),0)+IF('計算A'!E$117=1,INDEX('計算A'!F$10:F$54,$B18),0))*4000,0)-IF(AND('計算A'!D$117=1,UB18&gt;0),2000,0)-IF(AND($L18=1,'計算A'!E$117=1,DD18=0),2000,0))),1000000))</f>
        <v/>
      </c>
      <c r="OH18">
        <f>IF($B18=0,1000000,IF(INDEX('計算A'!$D$60:$EQ$104,$B18,3)*DD18=1,IF(AND($E18=2,IS18=0),1000000,IF($I18&gt;0,IF(1=$J18,IF(OR(AND(3=$I18+1,OR($K18&lt;&gt;'計算A'!$A$3,'計算A'!$A$4=0)),AND(3=$I18-1,OR(3&lt;&gt;'計算A'!$A$3,'計算A'!$A$4=0))),0,IF(3=$K18,200000,ABS(3-$K18)*100)),100000+ABS(1-$J18)*1000+30)+'計算A'!F$5*50+IF(AND($E18=1,IS18=0),25,0),IF($F18&gt;0,INDEX('計算A'!F$110:F$114,$F18+1)+IF(AND($E18=1,IS18=0),1000,0),MIN(TU18,20)*400+(IF('計算A'!E$106=1,1-DC18,0)+IF('計算A'!F$106=1,1-DE18,0))*150+31+'計算A'!F$5*100000+IF(AND($E18=1,IS18=0),50000,0))+IF($H18=1,(IF('計算A'!E$117=1,INDEX('計算A'!E$10:E$54,$B18),0)+IF('計算A'!F$117=1,INDEX('計算A'!G$10:G$54,$B18),0))*4000,0)-IF(AND('計算A'!E$117=1,UC18&gt;0),2000,0)-IF(AND($L18=1,'計算A'!F$117=1,DE18=0),2000,0))),1000000))</f>
        <v/>
      </c>
      <c r="OI18">
        <f>IF($B18=0,1000000,IF(INDEX('計算A'!$D$60:$EQ$104,$B18,4)*DE18=1,IF(AND($E18=2,IT18=0),1000000,IF($I18&gt;0,IF(1=$J18,IF(OR(AND(4=$I18+1,OR($K18&lt;&gt;'計算A'!$A$3,'計算A'!$A$4=0)),AND(4=$I18-1,OR(4&lt;&gt;'計算A'!$A$3,'計算A'!$A$4=0))),0,IF(4=$K18,200000,ABS(4-$K18)*100)),100000+ABS(1-$J18)*1000+40)+'計算A'!G$5*50+IF(AND($E18=1,IT18=0),25,0),IF($F18&gt;0,INDEX('計算A'!G$110:G$114,$F18+1)+IF(AND($E18=1,IT18=0),1000,0),MIN(TU18,20)*400+(IF('計算A'!F$106=1,1-DD18,0)+IF('計算A'!G$106=1,1-DF18,0))*150+41+'計算A'!G$5*100000+IF(AND($E18=1,IT18=0),50000,0))+IF($H18=1,(IF('計算A'!F$117=1,INDEX('計算A'!F$10:F$54,$B18),0)+IF('計算A'!G$117=1,INDEX('計算A'!H$10:H$54,$B18),0))*4000,0)-IF(AND('計算A'!F$117=1,UD18&gt;0),2000,0)-IF(AND($L18=1,'計算A'!G$117=1,DF18=0),2000,0))),1000000))</f>
        <v/>
      </c>
      <c r="OJ18">
        <f>IF($B18=0,1000000,IF(INDEX('計算A'!$D$60:$EQ$104,$B18,5)*DF18=1,IF(AND($E18=2,IU18=0),1000000,IF($I18&gt;0,IF(1=$J18,IF(OR(AND(5=$I18+1,OR($K18&lt;&gt;'計算A'!$A$3,'計算A'!$A$4=0)),AND(5=$I18-1,OR(5&lt;&gt;'計算A'!$A$3,'計算A'!$A$4=0))),0,IF(5=$K18,200000,ABS(5-$K18)*100)),100000+ABS(1-$J18)*1000+50)+'計算A'!H$5*50+IF(AND($E18=1,IU18=0),25,0),IF($F18&gt;0,INDEX('計算A'!H$110:H$114,$F18+1)+IF(AND($E18=1,IU18=0),1000,0),MIN(TU18,20)*400+(IF('計算A'!G$106=1,1-DE18,0)+IF('計算A'!H$106=1,1-DG18,0))*150+51+'計算A'!H$5*100000+IF(AND($E18=1,IU18=0),50000,0))+IF($H18=1,(IF('計算A'!G$117=1,INDEX('計算A'!G$10:G$54,$B18),0)+IF('計算A'!H$117=1,INDEX('計算A'!I$10:I$54,$B18),0))*4000,0)-IF(AND('計算A'!G$117=1,UE18&gt;0),2000,0)-IF(AND($L18=1,'計算A'!H$117=1,DG18=0),2000,0))),1000000))</f>
        <v/>
      </c>
      <c r="OK18">
        <f>IF($B18=0,1000000,IF(INDEX('計算A'!$D$60:$EQ$104,$B18,6)*DG18=1,IF(AND($E18=2,IV18=0),1000000,IF($I18&gt;0,IF(1=$J18,IF(OR(AND(6=$I18+1,OR($K18&lt;&gt;'計算A'!$A$3,'計算A'!$A$4=0)),AND(6=$I18-1,OR(6&lt;&gt;'計算A'!$A$3,'計算A'!$A$4=0))),0,IF(6=$K18,200000,ABS(6-$K18)*100)),100000+ABS(1-$J18)*1000+60)+'計算A'!I$5*50+IF(AND($E18=1,IV18=0),25,0),IF($F18&gt;0,INDEX('計算A'!I$110:I$114,$F18+1)+IF(AND($E18=1,IV18=0),1000,0),MIN(TU18,20)*400+(IF('計算A'!H$106=1,1-DF18,0)+IF('計算A'!I$106=1,1-DH18,0))*150+61+'計算A'!I$5*100000+IF(AND($E18=1,IV18=0),50000,0))+IF($H18=1,(IF('計算A'!H$117=1,INDEX('計算A'!H$10:H$54,$B18),0)+IF('計算A'!I$117=1,INDEX('計算A'!J$10:J$54,$B18),0))*4000,0)-IF(AND('計算A'!H$117=1,UF18&gt;0),2000,0)-IF(AND($L18=1,'計算A'!I$117=1,DH18=0),2000,0))),1000000))</f>
        <v/>
      </c>
      <c r="OL18">
        <f>IF($B18=0,1000000,IF(INDEX('計算A'!$D$60:$EQ$104,$B18,7)*DH18=1,IF(AND($E18=2,IW18=0),1000000,IF($I18&gt;0,IF(1=$J18,IF(OR(AND(7=$I18+1,OR($K18&lt;&gt;'計算A'!$A$3,'計算A'!$A$4=0)),AND(7=$I18-1,OR(7&lt;&gt;'計算A'!$A$3,'計算A'!$A$4=0))),0,IF(7=$K18,200000,ABS(7-$K18)*100)),100000+ABS(1-$J18)*1000+70)+'計算A'!J$5*50+IF(AND($E18=1,IW18=0),25,0),IF($F18&gt;0,INDEX('計算A'!J$110:J$114,$F18+1)+IF(AND($E18=1,IW18=0),1000,0),MIN(TU18,20)*400+(IF('計算A'!I$106=1,1-DG18,0)+IF('計算A'!J$106=1,1-DI18,0))*150+71+'計算A'!J$5*100000+IF(AND($E18=1,IW18=0),50000,0))+IF($H18=1,(IF('計算A'!I$117=1,INDEX('計算A'!I$10:I$54,$B18),0)+IF('計算A'!J$117=1,INDEX('計算A'!K$10:K$54,$B18),0))*4000,0)-IF(AND('計算A'!I$117=1,UG18&gt;0),2000,0)-IF(AND($L18=1,'計算A'!J$117=1,DI18=0),2000,0))),1000000))</f>
        <v/>
      </c>
      <c r="OM18">
        <f>IF($B18=0,1000000,IF(INDEX('計算A'!$D$60:$EQ$104,$B18,8)*DI18=1,IF(AND($E18=2,IX18=0),1000000,IF($I18&gt;0,IF(1=$J18,IF(OR(AND(8=$I18+1,OR($K18&lt;&gt;'計算A'!$A$3,'計算A'!$A$4=0)),AND(8=$I18-1,OR(8&lt;&gt;'計算A'!$A$3,'計算A'!$A$4=0))),0,IF(8=$K18,200000,ABS(8-$K18)*100)),100000+ABS(1-$J18)*1000+80)+'計算A'!K$5*50+IF(AND($E18=1,IX18=0),25,0),IF($F18&gt;0,INDEX('計算A'!K$110:K$114,$F18+1)+IF(AND($E18=1,IX18=0),1000,0),MIN(TU18,20)*400+(IF('計算A'!J$106=1,1-DH18,0)+IF('計算A'!K$106=1,1-DJ18,0))*150+81+'計算A'!K$5*100000+IF(AND($E18=1,IX18=0),50000,0))+IF($H18=1,(IF('計算A'!J$117=1,INDEX('計算A'!J$10:J$54,$B18),0)+IF('計算A'!K$117=1,INDEX('計算A'!L$10:L$54,$B18),0))*4000,0)-IF(AND('計算A'!J$117=1,UH18&gt;0),2000,0)-IF(AND($L18=1,'計算A'!K$117=1,DJ18=0),2000,0))),1000000))</f>
        <v/>
      </c>
      <c r="ON18">
        <f>IF($B18=0,1000000,IF(INDEX('計算A'!$D$60:$EQ$104,$B18,9)*DJ18=1,IF(AND($E18=2,IY18=0),1000000,IF($I18&gt;0,IF(1=$J18,IF(OR(AND(9=$I18+1,OR($K18&lt;&gt;'計算A'!$A$3,'計算A'!$A$4=0)),AND(9=$I18-1,OR(9&lt;&gt;'計算A'!$A$3,'計算A'!$A$4=0))),0,IF(9=$K18,200000,ABS(9-$K18)*100)),100000+ABS(1-$J18)*1000+90)+'計算A'!L$5*50+IF(AND($E18=1,IY18=0),25,0),IF($F18&gt;0,INDEX('計算A'!L$110:L$114,$F18+1)+IF(AND($E18=1,IY18=0),1000,0),MIN(TU18,20)*400+(IF('計算A'!K$106=1,1-DI18,0)+IF('計算A'!L$106=1,1-DK18,0))*150+91+'計算A'!L$5*100000+IF(AND($E18=1,IY18=0),50000,0))+IF($H18=1,(IF('計算A'!K$117=1,INDEX('計算A'!K$10:K$54,$B18),0)+IF('計算A'!L$117=1,INDEX('計算A'!M$10:M$54,$B18),0))*4000,0)-IF(AND('計算A'!K$117=1,UI18&gt;0),2000,0)-IF(AND($L18=1,'計算A'!L$117=1,DK18=0),2000,0))),1000000))</f>
        <v/>
      </c>
      <c r="OO18">
        <f>IF($B18=0,1000000,IF(INDEX('計算A'!$D$60:$EQ$104,$B18,10)*DK18=1,IF(AND($E18=2,IZ18=0),1000000,IF($I18&gt;0,IF(1=$J18,IF(OR(AND(10=$I18+1,OR($K18&lt;&gt;'計算A'!$A$3,'計算A'!$A$4=0)),AND(10=$I18-1,OR(10&lt;&gt;'計算A'!$A$3,'計算A'!$A$4=0))),0,IF(10=$K18,200000,ABS(10-$K18)*100)),100000+ABS(1-$J18)*1000+100)+'計算A'!M$5*50+IF(AND($E18=1,IZ18=0),25,0),IF($F18&gt;0,INDEX('計算A'!M$110:M$114,$F18+1)+IF(AND($E18=1,IZ18=0),1000,0),MIN(TU18,20)*400+(IF('計算A'!L$106=1,1-DJ18,0)+IF('計算A'!M$106=1,1-DL18,0))*150+101+'計算A'!M$5*100000+IF(AND($E18=1,IZ18=0),50000,0))+IF($H18=1,(IF('計算A'!L$117=1,INDEX('計算A'!L$10:L$54,$B18),0)+IF('計算A'!M$117=1,INDEX('計算A'!N$10:N$54,$B18),0))*4000,0)-IF(AND('計算A'!L$117=1,UJ18&gt;0),2000,0)-IF(AND($L18=1,'計算A'!M$117=1,DL18=0),2000,0))),1000000))</f>
        <v/>
      </c>
      <c r="OP18">
        <f>IF($B18=0,1000000,IF(INDEX('計算A'!$D$60:$EQ$104,$B18,11)*DL18=1,IF(AND($E18=2,JA18=0),1000000,IF($I18&gt;0,IF(1=$J18,IF(OR(AND(11=$I18+1,OR($K18&lt;&gt;'計算A'!$A$3,'計算A'!$A$4=0)),AND(11=$I18-1,OR(11&lt;&gt;'計算A'!$A$3,'計算A'!$A$4=0))),0,IF(11=$K18,200000,ABS(11-$K18)*100)),100000+ABS(1-$J18)*1000+110)+'計算A'!N$5*50+IF(AND($E18=1,JA18=0),25,0),IF($F18&gt;0,INDEX('計算A'!N$110:N$114,$F18+1)+IF(AND($E18=1,JA18=0),1000,0),MIN(TU18,20)*400+(IF('計算A'!M$106=1,1-DK18,0)+IF('計算A'!N$106=1,1-DM18,0))*150+111+'計算A'!N$5*100000+IF(AND($E18=1,JA18=0),50000,0))+IF($H18=1,(IF('計算A'!M$117=1,INDEX('計算A'!M$10:M$54,$B18),0)+IF('計算A'!N$117=1,INDEX('計算A'!O$10:O$54,$B18),0))*4000,0)-IF(AND('計算A'!M$117=1,UK18&gt;0),2000,0)-IF(AND($L18=1,'計算A'!N$117=1,DM18=0),2000,0))),1000000))</f>
        <v/>
      </c>
      <c r="OQ18">
        <f>IF($B18=0,1000000,IF(INDEX('計算A'!$D$60:$EQ$104,$B18,12)*DM18=1,IF(AND($E18=2,JB18=0),1000000,IF($I18&gt;0,IF(1=$J18,IF(OR(AND(12=$I18+1,OR($K18&lt;&gt;'計算A'!$A$3,'計算A'!$A$4=0)),AND(12=$I18-1,OR(12&lt;&gt;'計算A'!$A$3,'計算A'!$A$4=0))),0,IF(12=$K18,200000,ABS(12-$K18)*100)),100000+ABS(1-$J18)*1000+120)+'計算A'!O$5*50+IF(AND($E18=1,JB18=0),25,0),IF($F18&gt;0,INDEX('計算A'!O$110:O$114,$F18+1)+IF(AND($E18=1,JB18=0),1000,0),MIN(TU18,20)*400+(IF('計算A'!N$106=1,1-DL18,0)+IF('計算A'!O$106=1,1-DN18,0))*150+121+'計算A'!O$5*100000+IF(AND($E18=1,JB18=0),50000,0))+IF($H18=1,(IF('計算A'!N$117=1,INDEX('計算A'!N$10:N$54,$B18),0)+IF('計算A'!O$117=1,INDEX('計算A'!P$10:P$54,$B18),0))*4000,0)-IF(AND('計算A'!N$117=1,UL18&gt;0),2000,0)-IF(AND($L18=1,'計算A'!O$117=1,DN18=0),2000,0))),1000000))</f>
        <v/>
      </c>
      <c r="OR18">
        <f>IF($B18=0,1000000,IF(INDEX('計算A'!$D$60:$EQ$104,$B18,13)*DN18=1,IF(AND($E18=2,JC18=0),1000000,IF($I18&gt;0,IF(1=$J18,IF(OR(AND(13=$I18+1,OR($K18&lt;&gt;'計算A'!$A$3,'計算A'!$A$4=0)),AND(13=$I18-1,OR(13&lt;&gt;'計算A'!$A$3,'計算A'!$A$4=0))),0,IF(13=$K18,200000,ABS(13-$K18)*100)),100000+ABS(1-$J18)*1000+130)+'計算A'!P$5*50+IF(AND($E18=1,JC18=0),25,0),IF($F18&gt;0,INDEX('計算A'!P$110:P$114,$F18+1)+IF(AND($E18=1,JC18=0),1000,0),MIN(TU18,20)*400+(IF('計算A'!O$106=1,1-DM18,0)+IF('計算A'!P$106=1,1-DO18,0))*150+131+'計算A'!P$5*100000+IF(AND($E18=1,JC18=0),50000,0))+IF($H18=1,(IF('計算A'!O$117=1,INDEX('計算A'!O$10:O$54,$B18),0)+IF('計算A'!P$117=1,INDEX('計算A'!Q$10:Q$54,$B18),0))*4000,0)-IF(AND('計算A'!O$117=1,UM18&gt;0),2000,0)-IF(AND($L18=1,'計算A'!P$117=1,DO18=0),2000,0))),1000000))</f>
        <v/>
      </c>
      <c r="OS18">
        <f>IF($B18=0,1000000,IF(INDEX('計算A'!$D$60:$EQ$104,$B18,14)*DO18=1,IF(AND($E18=2,JD18=0),1000000,IF($I18&gt;0,IF(1=$J18,IF(OR(AND(14=$I18+1,OR($K18&lt;&gt;'計算A'!$A$3,'計算A'!$A$4=0)),AND(14=$I18-1,OR(14&lt;&gt;'計算A'!$A$3,'計算A'!$A$4=0))),0,IF(14=$K18,200000,ABS(14-$K18)*100)),100000+ABS(1-$J18)*1000+140)+'計算A'!Q$5*50+IF(AND($E18=1,JD18=0),25,0),IF($F18&gt;0,INDEX('計算A'!Q$110:Q$114,$F18+1)+IF(AND($E18=1,JD18=0),1000,0),MIN(TU18,20)*400+(IF('計算A'!P$106=1,1-DN18,0)+IF('計算A'!Q$106=1,1-DP18,0))*150+141+'計算A'!Q$5*100000+IF(AND($E18=1,JD18=0),50000,0))+IF($H18=1,(IF('計算A'!P$117=1,INDEX('計算A'!P$10:P$54,$B18),0)+IF('計算A'!Q$117=1,INDEX('計算A'!R$10:R$54,$B18),0))*4000,0)-IF(AND('計算A'!P$117=1,UN18&gt;0),2000,0)-IF(AND($L18=1,'計算A'!Q$117=1,DP18=0),2000,0))),1000000))</f>
        <v/>
      </c>
      <c r="OT18">
        <f>IF($B18=0,1000000,IF(INDEX('計算A'!$D$60:$EQ$104,$B18,15)*DP18=1,IF(AND($E18=2,JE18=0),1000000,IF($I18&gt;0,IF(1=$J18,IF(OR(AND(15=$I18+1,OR($K18&lt;&gt;'計算A'!$A$3,'計算A'!$A$4=0)),AND(15=$I18-1,OR(15&lt;&gt;'計算A'!$A$3,'計算A'!$A$4=0))),0,IF(15=$K18,200000,ABS(15-$K18)*100)),100000+ABS(1-$J18)*1000+150)+'計算A'!R$5*50+IF(AND($E18=1,JE18=0),25,0),IF($F18&gt;0,INDEX('計算A'!R$110:R$114,$F18+1)+IF(AND($E18=1,JE18=0),1000,0),MIN(TU18,20)*400+(IF('計算A'!Q$106=1,1-DO18,0)+IF('計算A'!R$106=1,1-DQ18,0))*150+151+'計算A'!R$5*100000+IF(AND($E18=1,JE18=0),50000,0))+IF($H18=1,(IF('計算A'!Q$117=1,INDEX('計算A'!Q$10:Q$54,$B18),0)+IF('計算A'!R$117=1,INDEX('計算A'!S$10:S$54,$B18),0))*4000,0)-IF(AND('計算A'!Q$117=1,UO18&gt;0),2000,0)-IF(AND($L18=1,'計算A'!R$117=1,DQ18=0),2000,0))),1000000))</f>
        <v/>
      </c>
      <c r="OU18">
        <f>IF($B18=0,1000000,IF(INDEX('計算A'!$D$60:$EQ$104,$B18,16)*DQ18=1,IF(AND($E18=2,JF18=0),1000000,IF($I18&gt;0,IF(1=$J18,IF(OR(AND(16=$I18+1,OR($K18&lt;&gt;'計算A'!$A$3,'計算A'!$A$4=0)),AND(16=$I18-1,OR(16&lt;&gt;'計算A'!$A$3,'計算A'!$A$4=0))),0,IF(16=$K18,200000,ABS(16-$K18)*100)),100000+ABS(1-$J18)*1000+160)+'計算A'!S$5*50+IF(AND($E18=1,JF18=0),25,0),IF($F18&gt;0,INDEX('計算A'!S$110:S$114,$F18+1)+IF(AND($E18=1,JF18=0),1000,0),MIN(TU18,20)*400+(IF('計算A'!R$106=1,1-DP18,0)+IF('計算A'!S$106=1,1-DR18,0))*150+161+'計算A'!S$5*100000+IF(AND($E18=1,JF18=0),50000,0))+IF($H18=1,(IF('計算A'!R$117=1,INDEX('計算A'!R$10:R$54,$B18),0)+IF('計算A'!S$117=1,INDEX('計算A'!T$10:T$54,$B18),0))*4000,0)-IF(AND('計算A'!R$117=1,UP18&gt;0),2000,0)-IF(AND($L18=1,'計算A'!S$117=1,DR18=0),2000,0))),1000000))</f>
        <v/>
      </c>
      <c r="OV18">
        <f>IF($B18=0,1000000,IF(INDEX('計算A'!$D$60:$EQ$104,$B18,17)*DR18=1,IF(AND($E18=2,JG18=0),1000000,IF($I18&gt;0,IF(1=$J18,IF(OR(AND(17=$I18+1,OR($K18&lt;&gt;'計算A'!$A$3,'計算A'!$A$4=0)),AND(17=$I18-1,OR(17&lt;&gt;'計算A'!$A$3,'計算A'!$A$4=0))),0,IF(17=$K18,200000,ABS(17-$K18)*100)),100000+ABS(1-$J18)*1000+170)+'計算A'!T$5*50+IF(AND($E18=1,JG18=0),25,0),IF($F18&gt;0,INDEX('計算A'!T$110:T$114,$F18+1)+IF(AND($E18=1,JG18=0),1000,0),MIN(TU18,20)*400+(IF('計算A'!S$106=1,1-DQ18,0)+IF('計算A'!T$106=1,1-DS18,0))*150+171+'計算A'!T$5*100000+IF(AND($E18=1,JG18=0),50000,0))+IF($H18=1,(IF('計算A'!S$117=1,INDEX('計算A'!S$10:S$54,$B18),0)+IF('計算A'!T$117=1,INDEX('計算A'!U$10:U$54,$B18),0))*4000,0)-IF(AND('計算A'!S$117=1,UQ18&gt;0),2000,0)-IF(AND($L18=1,'計算A'!T$117=1,DS18=0),2000,0))),1000000))</f>
        <v/>
      </c>
      <c r="OW18">
        <f>IF($B18=0,1000000,IF(INDEX('計算A'!$D$60:$EQ$104,$B18,18)*DS18=1,IF(AND($E18=2,JH18=0),1000000,IF($I18&gt;0,IF(1=$J18,IF(OR(AND(18=$I18+1,OR($K18&lt;&gt;'計算A'!$A$3,'計算A'!$A$4=0)),AND(18=$I18-1,OR(18&lt;&gt;'計算A'!$A$3,'計算A'!$A$4=0))),0,IF(18=$K18,200000,ABS(18-$K18)*100)),100000+ABS(1-$J18)*1000+180)+'計算A'!U$5*50+IF(AND($E18=1,JH18=0),25,0),IF($F18&gt;0,INDEX('計算A'!U$110:U$114,$F18+1)+IF(AND($E18=1,JH18=0),1000,0),MIN(TU18,20)*400+(IF('計算A'!T$106=1,1-DR18,0)+IF('計算A'!U$106=1,1-DT18,0))*150+181+'計算A'!U$5*100000+IF(AND($E18=1,JH18=0),50000,0))+IF($H18=1,(IF('計算A'!T$117=1,INDEX('計算A'!T$10:T$54,$B18),0)+IF('計算A'!U$117=1,INDEX('計算A'!V$10:V$54,$B18),0))*4000,0)-IF(AND('計算A'!T$117=1,UR18&gt;0),2000,0)-IF(AND($L18=1,'計算A'!U$117=1,DT18=0),2000,0))),1000000))</f>
        <v/>
      </c>
      <c r="OX18">
        <f>IF($B18=0,1000000,IF(INDEX('計算A'!$D$60:$EQ$104,$B18,19)*DT18=1,IF(AND($E18=2,JI18=0),1000000,IF($I18&gt;0,IF(1=$J18,IF(OR(AND(19=$I18+1,OR($K18&lt;&gt;'計算A'!$A$3,'計算A'!$A$4=0)),AND(19=$I18-1,OR(19&lt;&gt;'計算A'!$A$3,'計算A'!$A$4=0))),0,IF(19=$K18,200000,ABS(19-$K18)*100)),100000+ABS(1-$J18)*1000+190)+'計算A'!V$5*50+IF(AND($E18=1,JI18=0),25,0),IF($F18&gt;0,INDEX('計算A'!V$110:V$114,$F18+1)+IF(AND($E18=1,JI18=0),1000,0),MIN(TU18,20)*400+(IF('計算A'!U$106=1,1-DS18,0)+IF('計算A'!V$106=1,1-DU18,0))*150+191+'計算A'!V$5*100000+IF(AND($E18=1,JI18=0),50000,0))+IF($H18=1,(IF('計算A'!U$117=1,INDEX('計算A'!U$10:U$54,$B18),0)+IF('計算A'!V$117=1,INDEX('計算A'!W$10:W$54,$B18),0))*4000,0)-IF(AND('計算A'!U$117=1,US18&gt;0),2000,0)-IF(AND($L18=1,'計算A'!V$117=1,DU18=0),2000,0))),1000000))</f>
        <v/>
      </c>
      <c r="OY18">
        <f>IF($B18=0,1000000,IF(INDEX('計算A'!$D$60:$EQ$104,$B18,20)*DU18=1,IF(AND($E18=2,JJ18=0),1000000,IF($I18&gt;0,IF(1=$J18,IF(OR(AND(20=$I18+1,OR($K18&lt;&gt;'計算A'!$A$3,'計算A'!$A$4=0)),AND(20=$I18-1,OR(20&lt;&gt;'計算A'!$A$3,'計算A'!$A$4=0))),0,IF(20=$K18,200000,ABS(20-$K18)*100)),100000+ABS(1-$J18)*1000+200)+'計算A'!W$5*50+IF(AND($E18=1,JJ18=0),25,0),IF($F18&gt;0,INDEX('計算A'!W$110:W$114,$F18+1)+IF(AND($E18=1,JJ18=0),1000,0),MIN(TU18,20)*400+(IF('計算A'!V$106=1,1-DT18,0)+IF('計算A'!W$106=1,1-DV18,0))*150+201+'計算A'!W$5*100000+IF(AND($E18=1,JJ18=0),50000,0))+IF($H18=1,(IF('計算A'!V$117=1,INDEX('計算A'!V$10:V$54,$B18),0)+IF('計算A'!W$117=1,INDEX('計算A'!X$10:X$54,$B18),0))*4000,0)-IF(AND('計算A'!V$117=1,UT18&gt;0),2000,0)-IF(AND($L18=1,'計算A'!W$117=1,DV18=0),2000,0))),1000000))</f>
        <v/>
      </c>
      <c r="OZ18">
        <f>IF($B18=0,1000000,IF(INDEX('計算A'!$D$60:$EQ$104,$B18,21)*DV18=1,IF(AND($E18=2,JK18=0),1000000,IF($I18&gt;0,IF(1=$J18,IF(OR(AND(21=$I18+1,OR($K18&lt;&gt;'計算A'!$A$3,'計算A'!$A$4=0)),AND(21=$I18-1,OR(21&lt;&gt;'計算A'!$A$3,'計算A'!$A$4=0))),0,IF(21=$K18,200000,ABS(21-$K18)*100)),100000+ABS(1-$J18)*1000+210)+'計算A'!X$5*50+IF(AND($E18=1,JK18=0),25,0),IF($F18&gt;0,INDEX('計算A'!X$110:X$114,$F18+1)+IF(AND($E18=1,JK18=0),1000,0),MIN(TU18,20)*400+(IF('計算A'!W$106=1,1-DU18,0)+IF('計算A'!X$106=1,1-DW18,0))*150+211+'計算A'!X$5*100000+IF(AND($E18=1,JK18=0),50000,0))+IF($H18=1,(IF('計算A'!W$117=1,INDEX('計算A'!W$10:W$54,$B18),0)+IF('計算A'!X$117=1,INDEX('計算A'!Y$10:Y$54,$B18),0))*4000,0)-IF(AND('計算A'!W$117=1,UU18&gt;0),2000,0)-IF(AND($L18=1,'計算A'!X$117=1,DW18=0),2000,0))),1000000))</f>
        <v/>
      </c>
      <c r="PA18">
        <f>IF($B18=0,1000000,IF(INDEX('計算A'!$D$60:$EQ$104,$B18,22)*DW18=1,IF(AND($E18=2,JL18=0),1000000,IF($I18&gt;0,IF(1=$J18,IF(OR(AND(22=$I18+1,OR($K18&lt;&gt;'計算A'!$A$3,'計算A'!$A$4=0)),AND(22=$I18-1,OR(22&lt;&gt;'計算A'!$A$3,'計算A'!$A$4=0))),0,IF(22=$K18,200000,ABS(22-$K18)*100)),100000+ABS(1-$J18)*1000+220)+'計算A'!Y$5*50+IF(AND($E18=1,JL18=0),25,0),IF($F18&gt;0,INDEX('計算A'!Y$110:Y$114,$F18+1)+IF(AND($E18=1,JL18=0),1000,0),MIN(TU18,20)*400+(IF('計算A'!X$106=1,1-DV18,0)+IF('計算A'!Y$106=1,1-DX18,0))*150+221+'計算A'!Y$5*100000+IF(AND($E18=1,JL18=0),50000,0))+IF($H18=1,(IF('計算A'!X$117=1,INDEX('計算A'!X$10:X$54,$B18),0)+IF('計算A'!Y$117=1,INDEX('計算A'!Z$10:Z$54,$B18),0))*4000,0)-IF(AND('計算A'!X$117=1,UV18&gt;0),2000,0)-IF(AND($L18=1,'計算A'!Y$117=1,DX18=0),2000,0))),1000000))</f>
        <v/>
      </c>
      <c r="PB18">
        <f>IF($B18=0,1000000,IF(INDEX('計算A'!$D$60:$EQ$104,$B18,23)*DX18=1,IF(AND($E18=2,JM18=0),1000000,IF($I18&gt;0,IF(1=$J18,IF(OR(AND(23=$I18+1,OR($K18&lt;&gt;'計算A'!$A$3,'計算A'!$A$4=0)),AND(23=$I18-1,OR(23&lt;&gt;'計算A'!$A$3,'計算A'!$A$4=0))),0,IF(23=$K18,200000,ABS(23-$K18)*100)),100000+ABS(1-$J18)*1000+230)+'計算A'!Z$5*50+IF(AND($E18=1,JM18=0),25,0),IF($F18&gt;0,INDEX('計算A'!Z$110:Z$114,$F18+1)+IF(AND($E18=1,JM18=0),1000,0),MIN(TU18,20)*400+(IF('計算A'!Y$106=1,1-DW18,0)+IF('計算A'!Z$106=1,1-DY18,0))*150+231+'計算A'!Z$5*100000+IF(AND($E18=1,JM18=0),50000,0))+IF($H18=1,(IF('計算A'!Y$117=1,INDEX('計算A'!Y$10:Y$54,$B18),0)+IF('計算A'!Z$117=1,INDEX('計算A'!AA$10:AA$54,$B18),0))*4000,0)-IF(AND('計算A'!Y$117=1,UW18&gt;0),2000,0)-IF(AND($L18=1,'計算A'!Z$117=1,DY18=0),2000,0))),1000000))</f>
        <v/>
      </c>
      <c r="PC18">
        <f>IF($B18=0,1000000,IF(INDEX('計算A'!$D$60:$EQ$104,$B18,24)*DY18=1,IF(AND($E18=2,JN18=0),1000000,IF($I18&gt;0,IF(1=$J18,IF(OR(AND(24=$I18+1,OR($K18&lt;&gt;'計算A'!$A$3,'計算A'!$A$4=0)),AND(24=$I18-1,OR(24&lt;&gt;'計算A'!$A$3,'計算A'!$A$4=0))),0,IF(24=$K18,200000,ABS(24-$K18)*100)),100000+ABS(1-$J18)*1000+240)+'計算A'!AA$5*50+IF(AND($E18=1,JN18=0),25,0),IF($F18&gt;0,INDEX('計算A'!AA$110:AA$114,$F18+1)+IF(AND($E18=1,JN18=0),1000,0),MIN(TU18,20)*400+(IF('計算A'!Z$106=1,1-DX18,0))*150+241+'計算A'!AA$5*100000+IF(AND($E18=1,JN18=0),50000,0))+IF($H18=1,(IF('計算A'!Z$117=1,INDEX('計算A'!Z$10:Z$54,$B18),0))*4000,0)-IF(AND('計算A'!Z$117=1,UX18&gt;0),2000,0))),1000000))</f>
        <v/>
      </c>
      <c r="PD18">
        <f>IF($B18=0,1000000,IF(INDEX('計算A'!$D$60:$EQ$104,$B18,25)*DZ18=1,IF(AND($E18=2,JO18=0),1000000,IF($I18&gt;0,IF(2=$J18,IF(OR(AND(25=$I18+1,OR($K18&lt;&gt;'計算A'!$A$3,'計算A'!$A$4=0)),AND(25=$I18-1,OR(1&lt;&gt;'計算A'!$A$3,'計算A'!$A$4=0))),0,IF(1=$K18,200000,ABS(1-$K18)*100)),100000+ABS(2-$J18)*1000+10)+'計算A'!AB$5*50+IF(AND($E18=1,JO18=0),25,0),IF($F18&gt;0,INDEX('計算A'!AB$110:AB$114,$F18+1)+IF(AND($E18=1,JO18=0),1000,0),MIN(TV18,20)*400+(IF('計算A'!AB$106=1,1-EA18,0))*150+12+'計算A'!AB$5*100000+IF(AND($E18=1,JO18=0),50000,0))+IF($H18=1,(IF('計算A'!AB$117=1,INDEX('計算A'!AC$10:AC$54,$B18),0))*4000,0)-IF(AND($L18=1,'計算A'!AB$117=1,EA18=0),2000,0))),1000000))</f>
        <v/>
      </c>
      <c r="PE18">
        <f>IF($B18=0,1000000,IF(INDEX('計算A'!$D$60:$EQ$104,$B18,26)*EA18=1,IF(AND($E18=2,JP18=0),1000000,IF($I18&gt;0,IF(2=$J18,IF(OR(AND(26=$I18+1,OR($K18&lt;&gt;'計算A'!$A$3,'計算A'!$A$4=0)),AND(26=$I18-1,OR(2&lt;&gt;'計算A'!$A$3,'計算A'!$A$4=0))),0,IF(2=$K18,200000,ABS(2-$K18)*100)),100000+ABS(2-$J18)*1000+20)+'計算A'!AC$5*50+IF(AND($E18=1,JP18=0),25,0),IF($F18&gt;0,INDEX('計算A'!AC$110:AC$114,$F18+1)+IF(AND($E18=1,JP18=0),1000,0),MIN(TV18,20)*400+(IF('計算A'!AB$106=1,1-DZ18,0)+IF('計算A'!AC$106=1,1-EB18,0))*150+22+'計算A'!AC$5*100000+IF(AND($E18=1,JP18=0),50000,0))+IF($H18=1,(IF('計算A'!AB$117=1,INDEX('計算A'!AB$10:AB$54,$B18),0)+IF('計算A'!AC$117=1,INDEX('計算A'!AD$10:AD$54,$B18),0))*4000,0)-IF(AND('計算A'!AB$117=1,UZ18&gt;0),2000,0)-IF(AND($L18=1,'計算A'!AC$117=1,EB18=0),2000,0))),1000000))</f>
        <v/>
      </c>
      <c r="PF18">
        <f>IF($B18=0,1000000,IF(INDEX('計算A'!$D$60:$EQ$104,$B18,27)*EB18=1,IF(AND($E18=2,JQ18=0),1000000,IF($I18&gt;0,IF(2=$J18,IF(OR(AND(27=$I18+1,OR($K18&lt;&gt;'計算A'!$A$3,'計算A'!$A$4=0)),AND(27=$I18-1,OR(3&lt;&gt;'計算A'!$A$3,'計算A'!$A$4=0))),0,IF(3=$K18,200000,ABS(3-$K18)*100)),100000+ABS(2-$J18)*1000+30)+'計算A'!AD$5*50+IF(AND($E18=1,JQ18=0),25,0),IF($F18&gt;0,INDEX('計算A'!AD$110:AD$114,$F18+1)+IF(AND($E18=1,JQ18=0),1000,0),MIN(TV18,20)*400+(IF('計算A'!AC$106=1,1-EA18,0)+IF('計算A'!AD$106=1,1-EC18,0))*150+32+'計算A'!AD$5*100000+IF(AND($E18=1,JQ18=0),50000,0))+IF($H18=1,(IF('計算A'!AC$117=1,INDEX('計算A'!AC$10:AC$54,$B18),0)+IF('計算A'!AD$117=1,INDEX('計算A'!AE$10:AE$54,$B18),0))*4000,0)-IF(AND('計算A'!AC$117=1,VA18&gt;0),2000,0)-IF(AND($L18=1,'計算A'!AD$117=1,EC18=0),2000,0))),1000000))</f>
        <v/>
      </c>
      <c r="PG18">
        <f>IF($B18=0,1000000,IF(INDEX('計算A'!$D$60:$EQ$104,$B18,28)*EC18=1,IF(AND($E18=2,JR18=0),1000000,IF($I18&gt;0,IF(2=$J18,IF(OR(AND(28=$I18+1,OR($K18&lt;&gt;'計算A'!$A$3,'計算A'!$A$4=0)),AND(28=$I18-1,OR(4&lt;&gt;'計算A'!$A$3,'計算A'!$A$4=0))),0,IF(4=$K18,200000,ABS(4-$K18)*100)),100000+ABS(2-$J18)*1000+40)+'計算A'!AE$5*50+IF(AND($E18=1,JR18=0),25,0),IF($F18&gt;0,INDEX('計算A'!AE$110:AE$114,$F18+1)+IF(AND($E18=1,JR18=0),1000,0),MIN(TV18,20)*400+(IF('計算A'!AD$106=1,1-EB18,0)+IF('計算A'!AE$106=1,1-ED18,0))*150+42+'計算A'!AE$5*100000+IF(AND($E18=1,JR18=0),50000,0))+IF($H18=1,(IF('計算A'!AD$117=1,INDEX('計算A'!AD$10:AD$54,$B18),0)+IF('計算A'!AE$117=1,INDEX('計算A'!AF$10:AF$54,$B18),0))*4000,0)-IF(AND('計算A'!AD$117=1,VB18&gt;0),2000,0)-IF(AND($L18=1,'計算A'!AE$117=1,ED18=0),2000,0))),1000000))</f>
        <v/>
      </c>
      <c r="PH18">
        <f>IF($B18=0,1000000,IF(INDEX('計算A'!$D$60:$EQ$104,$B18,29)*ED18=1,IF(AND($E18=2,JS18=0),1000000,IF($I18&gt;0,IF(2=$J18,IF(OR(AND(29=$I18+1,OR($K18&lt;&gt;'計算A'!$A$3,'計算A'!$A$4=0)),AND(29=$I18-1,OR(5&lt;&gt;'計算A'!$A$3,'計算A'!$A$4=0))),0,IF(5=$K18,200000,ABS(5-$K18)*100)),100000+ABS(2-$J18)*1000+50)+'計算A'!AF$5*50+IF(AND($E18=1,JS18=0),25,0),IF($F18&gt;0,INDEX('計算A'!AF$110:AF$114,$F18+1)+IF(AND($E18=1,JS18=0),1000,0),MIN(TV18,20)*400+(IF('計算A'!AE$106=1,1-EC18,0)+IF('計算A'!AF$106=1,1-EE18,0))*150+52+'計算A'!AF$5*100000+IF(AND($E18=1,JS18=0),50000,0))+IF($H18=1,(IF('計算A'!AE$117=1,INDEX('計算A'!AE$10:AE$54,$B18),0)+IF('計算A'!AF$117=1,INDEX('計算A'!AG$10:AG$54,$B18),0))*4000,0)-IF(AND('計算A'!AE$117=1,VC18&gt;0),2000,0)-IF(AND($L18=1,'計算A'!AF$117=1,EE18=0),2000,0))),1000000))</f>
        <v/>
      </c>
      <c r="PI18">
        <f>IF($B18=0,1000000,IF(INDEX('計算A'!$D$60:$EQ$104,$B18,30)*EE18=1,IF(AND($E18=2,JT18=0),1000000,IF($I18&gt;0,IF(2=$J18,IF(OR(AND(30=$I18+1,OR($K18&lt;&gt;'計算A'!$A$3,'計算A'!$A$4=0)),AND(30=$I18-1,OR(6&lt;&gt;'計算A'!$A$3,'計算A'!$A$4=0))),0,IF(6=$K18,200000,ABS(6-$K18)*100)),100000+ABS(2-$J18)*1000+60)+'計算A'!AG$5*50+IF(AND($E18=1,JT18=0),25,0),IF($F18&gt;0,INDEX('計算A'!AG$110:AG$114,$F18+1)+IF(AND($E18=1,JT18=0),1000,0),MIN(TV18,20)*400+(IF('計算A'!AF$106=1,1-ED18,0)+IF('計算A'!AG$106=1,1-EF18,0))*150+62+'計算A'!AG$5*100000+IF(AND($E18=1,JT18=0),50000,0))+IF($H18=1,(IF('計算A'!AF$117=1,INDEX('計算A'!AF$10:AF$54,$B18),0)+IF('計算A'!AG$117=1,INDEX('計算A'!AH$10:AH$54,$B18),0))*4000,0)-IF(AND('計算A'!AF$117=1,VD18&gt;0),2000,0)-IF(AND($L18=1,'計算A'!AG$117=1,EF18=0),2000,0))),1000000))</f>
        <v/>
      </c>
      <c r="PJ18">
        <f>IF($B18=0,1000000,IF(INDEX('計算A'!$D$60:$EQ$104,$B18,31)*EF18=1,IF(AND($E18=2,JU18=0),1000000,IF($I18&gt;0,IF(2=$J18,IF(OR(AND(31=$I18+1,OR($K18&lt;&gt;'計算A'!$A$3,'計算A'!$A$4=0)),AND(31=$I18-1,OR(7&lt;&gt;'計算A'!$A$3,'計算A'!$A$4=0))),0,IF(7=$K18,200000,ABS(7-$K18)*100)),100000+ABS(2-$J18)*1000+70)+'計算A'!AH$5*50+IF(AND($E18=1,JU18=0),25,0),IF($F18&gt;0,INDEX('計算A'!AH$110:AH$114,$F18+1)+IF(AND($E18=1,JU18=0),1000,0),MIN(TV18,20)*400+(IF('計算A'!AG$106=1,1-EE18,0)+IF('計算A'!AH$106=1,1-EG18,0))*150+72+'計算A'!AH$5*100000+IF(AND($E18=1,JU18=0),50000,0))+IF($H18=1,(IF('計算A'!AG$117=1,INDEX('計算A'!AG$10:AG$54,$B18),0)+IF('計算A'!AH$117=1,INDEX('計算A'!AI$10:AI$54,$B18),0))*4000,0)-IF(AND('計算A'!AG$117=1,VE18&gt;0),2000,0)-IF(AND($L18=1,'計算A'!AH$117=1,EG18=0),2000,0))),1000000))</f>
        <v/>
      </c>
      <c r="PK18">
        <f>IF($B18=0,1000000,IF(INDEX('計算A'!$D$60:$EQ$104,$B18,32)*EG18=1,IF(AND($E18=2,JV18=0),1000000,IF($I18&gt;0,IF(2=$J18,IF(OR(AND(32=$I18+1,OR($K18&lt;&gt;'計算A'!$A$3,'計算A'!$A$4=0)),AND(32=$I18-1,OR(8&lt;&gt;'計算A'!$A$3,'計算A'!$A$4=0))),0,IF(8=$K18,200000,ABS(8-$K18)*100)),100000+ABS(2-$J18)*1000+80)+'計算A'!AI$5*50+IF(AND($E18=1,JV18=0),25,0),IF($F18&gt;0,INDEX('計算A'!AI$110:AI$114,$F18+1)+IF(AND($E18=1,JV18=0),1000,0),MIN(TV18,20)*400+(IF('計算A'!AH$106=1,1-EF18,0)+IF('計算A'!AI$106=1,1-EH18,0))*150+82+'計算A'!AI$5*100000+IF(AND($E18=1,JV18=0),50000,0))+IF($H18=1,(IF('計算A'!AH$117=1,INDEX('計算A'!AH$10:AH$54,$B18),0)+IF('計算A'!AI$117=1,INDEX('計算A'!AJ$10:AJ$54,$B18),0))*4000,0)-IF(AND('計算A'!AH$117=1,VF18&gt;0),2000,0)-IF(AND($L18=1,'計算A'!AI$117=1,EH18=0),2000,0))),1000000))</f>
        <v/>
      </c>
      <c r="PL18">
        <f>IF($B18=0,1000000,IF(INDEX('計算A'!$D$60:$EQ$104,$B18,33)*EH18=1,IF(AND($E18=2,JW18=0),1000000,IF($I18&gt;0,IF(2=$J18,IF(OR(AND(33=$I18+1,OR($K18&lt;&gt;'計算A'!$A$3,'計算A'!$A$4=0)),AND(33=$I18-1,OR(9&lt;&gt;'計算A'!$A$3,'計算A'!$A$4=0))),0,IF(9=$K18,200000,ABS(9-$K18)*100)),100000+ABS(2-$J18)*1000+90)+'計算A'!AJ$5*50+IF(AND($E18=1,JW18=0),25,0),IF($F18&gt;0,INDEX('計算A'!AJ$110:AJ$114,$F18+1)+IF(AND($E18=1,JW18=0),1000,0),MIN(TV18,20)*400+(IF('計算A'!AI$106=1,1-EG18,0)+IF('計算A'!AJ$106=1,1-EI18,0))*150+92+'計算A'!AJ$5*100000+IF(AND($E18=1,JW18=0),50000,0))+IF($H18=1,(IF('計算A'!AI$117=1,INDEX('計算A'!AI$10:AI$54,$B18),0)+IF('計算A'!AJ$117=1,INDEX('計算A'!AK$10:AK$54,$B18),0))*4000,0)-IF(AND('計算A'!AI$117=1,VG18&gt;0),2000,0)-IF(AND($L18=1,'計算A'!AJ$117=1,EI18=0),2000,0))),1000000))</f>
        <v/>
      </c>
      <c r="PM18">
        <f>IF($B18=0,1000000,IF(INDEX('計算A'!$D$60:$EQ$104,$B18,34)*EI18=1,IF(AND($E18=2,JX18=0),1000000,IF($I18&gt;0,IF(2=$J18,IF(OR(AND(34=$I18+1,OR($K18&lt;&gt;'計算A'!$A$3,'計算A'!$A$4=0)),AND(34=$I18-1,OR(10&lt;&gt;'計算A'!$A$3,'計算A'!$A$4=0))),0,IF(10=$K18,200000,ABS(10-$K18)*100)),100000+ABS(2-$J18)*1000+100)+'計算A'!AK$5*50+IF(AND($E18=1,JX18=0),25,0),IF($F18&gt;0,INDEX('計算A'!AK$110:AK$114,$F18+1)+IF(AND($E18=1,JX18=0),1000,0),MIN(TV18,20)*400+(IF('計算A'!AJ$106=1,1-EH18,0)+IF('計算A'!AK$106=1,1-EJ18,0))*150+102+'計算A'!AK$5*100000+IF(AND($E18=1,JX18=0),50000,0))+IF($H18=1,(IF('計算A'!AJ$117=1,INDEX('計算A'!AJ$10:AJ$54,$B18),0)+IF('計算A'!AK$117=1,INDEX('計算A'!AL$10:AL$54,$B18),0))*4000,0)-IF(AND('計算A'!AJ$117=1,VH18&gt;0),2000,0)-IF(AND($L18=1,'計算A'!AK$117=1,EJ18=0),2000,0))),1000000))</f>
        <v/>
      </c>
      <c r="PN18">
        <f>IF($B18=0,1000000,IF(INDEX('計算A'!$D$60:$EQ$104,$B18,35)*EJ18=1,IF(AND($E18=2,JY18=0),1000000,IF($I18&gt;0,IF(2=$J18,IF(OR(AND(35=$I18+1,OR($K18&lt;&gt;'計算A'!$A$3,'計算A'!$A$4=0)),AND(35=$I18-1,OR(11&lt;&gt;'計算A'!$A$3,'計算A'!$A$4=0))),0,IF(11=$K18,200000,ABS(11-$K18)*100)),100000+ABS(2-$J18)*1000+110)+'計算A'!AL$5*50+IF(AND($E18=1,JY18=0),25,0),IF($F18&gt;0,INDEX('計算A'!AL$110:AL$114,$F18+1)+IF(AND($E18=1,JY18=0),1000,0),MIN(TV18,20)*400+(IF('計算A'!AK$106=1,1-EI18,0)+IF('計算A'!AL$106=1,1-EK18,0))*150+112+'計算A'!AL$5*100000+IF(AND($E18=1,JY18=0),50000,0))+IF($H18=1,(IF('計算A'!AK$117=1,INDEX('計算A'!AK$10:AK$54,$B18),0)+IF('計算A'!AL$117=1,INDEX('計算A'!AM$10:AM$54,$B18),0))*4000,0)-IF(AND('計算A'!AK$117=1,VI18&gt;0),2000,0)-IF(AND($L18=1,'計算A'!AL$117=1,EK18=0),2000,0))),1000000))</f>
        <v/>
      </c>
      <c r="PO18">
        <f>IF($B18=0,1000000,IF(INDEX('計算A'!$D$60:$EQ$104,$B18,36)*EK18=1,IF(AND($E18=2,JZ18=0),1000000,IF($I18&gt;0,IF(2=$J18,IF(OR(AND(36=$I18+1,OR($K18&lt;&gt;'計算A'!$A$3,'計算A'!$A$4=0)),AND(36=$I18-1,OR(12&lt;&gt;'計算A'!$A$3,'計算A'!$A$4=0))),0,IF(12=$K18,200000,ABS(12-$K18)*100)),100000+ABS(2-$J18)*1000+120)+'計算A'!AM$5*50+IF(AND($E18=1,JZ18=0),25,0),IF($F18&gt;0,INDEX('計算A'!AM$110:AM$114,$F18+1)+IF(AND($E18=1,JZ18=0),1000,0),MIN(TV18,20)*400+(IF('計算A'!AL$106=1,1-EJ18,0)+IF('計算A'!AM$106=1,1-EL18,0))*150+122+'計算A'!AM$5*100000+IF(AND($E18=1,JZ18=0),50000,0))+IF($H18=1,(IF('計算A'!AL$117=1,INDEX('計算A'!AL$10:AL$54,$B18),0)+IF('計算A'!AM$117=1,INDEX('計算A'!AN$10:AN$54,$B18),0))*4000,0)-IF(AND('計算A'!AL$117=1,VJ18&gt;0),2000,0)-IF(AND($L18=1,'計算A'!AM$117=1,EL18=0),2000,0))),1000000))</f>
        <v/>
      </c>
      <c r="PP18">
        <f>IF($B18=0,1000000,IF(INDEX('計算A'!$D$60:$EQ$104,$B18,37)*EL18=1,IF(AND($E18=2,KA18=0),1000000,IF($I18&gt;0,IF(2=$J18,IF(OR(AND(37=$I18+1,OR($K18&lt;&gt;'計算A'!$A$3,'計算A'!$A$4=0)),AND(37=$I18-1,OR(13&lt;&gt;'計算A'!$A$3,'計算A'!$A$4=0))),0,IF(13=$K18,200000,ABS(13-$K18)*100)),100000+ABS(2-$J18)*1000+130)+'計算A'!AN$5*50+IF(AND($E18=1,KA18=0),25,0),IF($F18&gt;0,INDEX('計算A'!AN$110:AN$114,$F18+1)+IF(AND($E18=1,KA18=0),1000,0),MIN(TV18,20)*400+(IF('計算A'!AM$106=1,1-EK18,0)+IF('計算A'!AN$106=1,1-EM18,0))*150+132+'計算A'!AN$5*100000+IF(AND($E18=1,KA18=0),50000,0))+IF($H18=1,(IF('計算A'!AM$117=1,INDEX('計算A'!AM$10:AM$54,$B18),0)+IF('計算A'!AN$117=1,INDEX('計算A'!AO$10:AO$54,$B18),0))*4000,0)-IF(AND('計算A'!AM$117=1,VK18&gt;0),2000,0)-IF(AND($L18=1,'計算A'!AN$117=1,EM18=0),2000,0))),1000000))</f>
        <v/>
      </c>
      <c r="PQ18">
        <f>IF($B18=0,1000000,IF(INDEX('計算A'!$D$60:$EQ$104,$B18,38)*EM18=1,IF(AND($E18=2,KB18=0),1000000,IF($I18&gt;0,IF(2=$J18,IF(OR(AND(38=$I18+1,OR($K18&lt;&gt;'計算A'!$A$3,'計算A'!$A$4=0)),AND(38=$I18-1,OR(14&lt;&gt;'計算A'!$A$3,'計算A'!$A$4=0))),0,IF(14=$K18,200000,ABS(14-$K18)*100)),100000+ABS(2-$J18)*1000+140)+'計算A'!AO$5*50+IF(AND($E18=1,KB18=0),25,0),IF($F18&gt;0,INDEX('計算A'!AO$110:AO$114,$F18+1)+IF(AND($E18=1,KB18=0),1000,0),MIN(TV18,20)*400+(IF('計算A'!AN$106=1,1-EL18,0)+IF('計算A'!AO$106=1,1-EN18,0))*150+142+'計算A'!AO$5*100000+IF(AND($E18=1,KB18=0),50000,0))+IF($H18=1,(IF('計算A'!AN$117=1,INDEX('計算A'!AN$10:AN$54,$B18),0)+IF('計算A'!AO$117=1,INDEX('計算A'!AP$10:AP$54,$B18),0))*4000,0)-IF(AND('計算A'!AN$117=1,VL18&gt;0),2000,0)-IF(AND($L18=1,'計算A'!AO$117=1,EN18=0),2000,0))),1000000))</f>
        <v/>
      </c>
      <c r="PR18">
        <f>IF($B18=0,1000000,IF(INDEX('計算A'!$D$60:$EQ$104,$B18,39)*EN18=1,IF(AND($E18=2,KC18=0),1000000,IF($I18&gt;0,IF(2=$J18,IF(OR(AND(39=$I18+1,OR($K18&lt;&gt;'計算A'!$A$3,'計算A'!$A$4=0)),AND(39=$I18-1,OR(15&lt;&gt;'計算A'!$A$3,'計算A'!$A$4=0))),0,IF(15=$K18,200000,ABS(15-$K18)*100)),100000+ABS(2-$J18)*1000+150)+'計算A'!AP$5*50+IF(AND($E18=1,KC18=0),25,0),IF($F18&gt;0,INDEX('計算A'!AP$110:AP$114,$F18+1)+IF(AND($E18=1,KC18=0),1000,0),MIN(TV18,20)*400+(IF('計算A'!AO$106=1,1-EM18,0)+IF('計算A'!AP$106=1,1-EO18,0))*150+152+'計算A'!AP$5*100000+IF(AND($E18=1,KC18=0),50000,0))+IF($H18=1,(IF('計算A'!AO$117=1,INDEX('計算A'!AO$10:AO$54,$B18),0)+IF('計算A'!AP$117=1,INDEX('計算A'!AQ$10:AQ$54,$B18),0))*4000,0)-IF(AND('計算A'!AO$117=1,VM18&gt;0),2000,0)-IF(AND($L18=1,'計算A'!AP$117=1,EO18=0),2000,0))),1000000))</f>
        <v/>
      </c>
      <c r="PS18">
        <f>IF($B18=0,1000000,IF(INDEX('計算A'!$D$60:$EQ$104,$B18,40)*EO18=1,IF(AND($E18=2,KD18=0),1000000,IF($I18&gt;0,IF(2=$J18,IF(OR(AND(40=$I18+1,OR($K18&lt;&gt;'計算A'!$A$3,'計算A'!$A$4=0)),AND(40=$I18-1,OR(16&lt;&gt;'計算A'!$A$3,'計算A'!$A$4=0))),0,IF(16=$K18,200000,ABS(16-$K18)*100)),100000+ABS(2-$J18)*1000+160)+'計算A'!AQ$5*50+IF(AND($E18=1,KD18=0),25,0),IF($F18&gt;0,INDEX('計算A'!AQ$110:AQ$114,$F18+1)+IF(AND($E18=1,KD18=0),1000,0),MIN(TV18,20)*400+(IF('計算A'!AP$106=1,1-EN18,0)+IF('計算A'!AQ$106=1,1-EP18,0))*150+162+'計算A'!AQ$5*100000+IF(AND($E18=1,KD18=0),50000,0))+IF($H18=1,(IF('計算A'!AP$117=1,INDEX('計算A'!AP$10:AP$54,$B18),0)+IF('計算A'!AQ$117=1,INDEX('計算A'!AR$10:AR$54,$B18),0))*4000,0)-IF(AND('計算A'!AP$117=1,VN18&gt;0),2000,0)-IF(AND($L18=1,'計算A'!AQ$117=1,EP18=0),2000,0))),1000000))</f>
        <v/>
      </c>
      <c r="PT18">
        <f>IF($B18=0,1000000,IF(INDEX('計算A'!$D$60:$EQ$104,$B18,41)*EP18=1,IF(AND($E18=2,KE18=0),1000000,IF($I18&gt;0,IF(2=$J18,IF(OR(AND(41=$I18+1,OR($K18&lt;&gt;'計算A'!$A$3,'計算A'!$A$4=0)),AND(41=$I18-1,OR(17&lt;&gt;'計算A'!$A$3,'計算A'!$A$4=0))),0,IF(17=$K18,200000,ABS(17-$K18)*100)),100000+ABS(2-$J18)*1000+170)+'計算A'!AR$5*50+IF(AND($E18=1,KE18=0),25,0),IF($F18&gt;0,INDEX('計算A'!AR$110:AR$114,$F18+1)+IF(AND($E18=1,KE18=0),1000,0),MIN(TV18,20)*400+(IF('計算A'!AQ$106=1,1-EO18,0)+IF('計算A'!AR$106=1,1-EQ18,0))*150+172+'計算A'!AR$5*100000+IF(AND($E18=1,KE18=0),50000,0))+IF($H18=1,(IF('計算A'!AQ$117=1,INDEX('計算A'!AQ$10:AQ$54,$B18),0)+IF('計算A'!AR$117=1,INDEX('計算A'!AS$10:AS$54,$B18),0))*4000,0)-IF(AND('計算A'!AQ$117=1,VO18&gt;0),2000,0)-IF(AND($L18=1,'計算A'!AR$117=1,EQ18=0),2000,0))),1000000))</f>
        <v/>
      </c>
      <c r="PU18">
        <f>IF($B18=0,1000000,IF(INDEX('計算A'!$D$60:$EQ$104,$B18,42)*EQ18=1,IF(AND($E18=2,KF18=0),1000000,IF($I18&gt;0,IF(2=$J18,IF(OR(AND(42=$I18+1,OR($K18&lt;&gt;'計算A'!$A$3,'計算A'!$A$4=0)),AND(42=$I18-1,OR(18&lt;&gt;'計算A'!$A$3,'計算A'!$A$4=0))),0,IF(18=$K18,200000,ABS(18-$K18)*100)),100000+ABS(2-$J18)*1000+180)+'計算A'!AS$5*50+IF(AND($E18=1,KF18=0),25,0),IF($F18&gt;0,INDEX('計算A'!AS$110:AS$114,$F18+1)+IF(AND($E18=1,KF18=0),1000,0),MIN(TV18,20)*400+(IF('計算A'!AR$106=1,1-EP18,0)+IF('計算A'!AS$106=1,1-ER18,0))*150+182+'計算A'!AS$5*100000+IF(AND($E18=1,KF18=0),50000,0))+IF($H18=1,(IF('計算A'!AR$117=1,INDEX('計算A'!AR$10:AR$54,$B18),0)+IF('計算A'!AS$117=1,INDEX('計算A'!AT$10:AT$54,$B18),0))*4000,0)-IF(AND('計算A'!AR$117=1,VP18&gt;0),2000,0)-IF(AND($L18=1,'計算A'!AS$117=1,ER18=0),2000,0))),1000000))</f>
        <v/>
      </c>
      <c r="PV18">
        <f>IF($B18=0,1000000,IF(INDEX('計算A'!$D$60:$EQ$104,$B18,43)*ER18=1,IF(AND($E18=2,KG18=0),1000000,IF($I18&gt;0,IF(2=$J18,IF(OR(AND(43=$I18+1,OR($K18&lt;&gt;'計算A'!$A$3,'計算A'!$A$4=0)),AND(43=$I18-1,OR(19&lt;&gt;'計算A'!$A$3,'計算A'!$A$4=0))),0,IF(19=$K18,200000,ABS(19-$K18)*100)),100000+ABS(2-$J18)*1000+190)+'計算A'!AT$5*50+IF(AND($E18=1,KG18=0),25,0),IF($F18&gt;0,INDEX('計算A'!AT$110:AT$114,$F18+1)+IF(AND($E18=1,KG18=0),1000,0),MIN(TV18,20)*400+(IF('計算A'!AS$106=1,1-EQ18,0)+IF('計算A'!AT$106=1,1-ES18,0))*150+192+'計算A'!AT$5*100000+IF(AND($E18=1,KG18=0),50000,0))+IF($H18=1,(IF('計算A'!AS$117=1,INDEX('計算A'!AS$10:AS$54,$B18),0)+IF('計算A'!AT$117=1,INDEX('計算A'!AU$10:AU$54,$B18),0))*4000,0)-IF(AND('計算A'!AS$117=1,VQ18&gt;0),2000,0)-IF(AND($L18=1,'計算A'!AT$117=1,ES18=0),2000,0))),1000000))</f>
        <v/>
      </c>
      <c r="PW18">
        <f>IF($B18=0,1000000,IF(INDEX('計算A'!$D$60:$EQ$104,$B18,44)*ES18=1,IF(AND($E18=2,KH18=0),1000000,IF($I18&gt;0,IF(2=$J18,IF(OR(AND(44=$I18+1,OR($K18&lt;&gt;'計算A'!$A$3,'計算A'!$A$4=0)),AND(44=$I18-1,OR(20&lt;&gt;'計算A'!$A$3,'計算A'!$A$4=0))),0,IF(20=$K18,200000,ABS(20-$K18)*100)),100000+ABS(2-$J18)*1000+200)+'計算A'!AU$5*50+IF(AND($E18=1,KH18=0),25,0),IF($F18&gt;0,INDEX('計算A'!AU$110:AU$114,$F18+1)+IF(AND($E18=1,KH18=0),1000,0),MIN(TV18,20)*400+(IF('計算A'!AT$106=1,1-ER18,0)+IF('計算A'!AU$106=1,1-ET18,0))*150+202+'計算A'!AU$5*100000+IF(AND($E18=1,KH18=0),50000,0))+IF($H18=1,(IF('計算A'!AT$117=1,INDEX('計算A'!AT$10:AT$54,$B18),0)+IF('計算A'!AU$117=1,INDEX('計算A'!AV$10:AV$54,$B18),0))*4000,0)-IF(AND('計算A'!AT$117=1,VR18&gt;0),2000,0)-IF(AND($L18=1,'計算A'!AU$117=1,ET18=0),2000,0))),1000000))</f>
        <v/>
      </c>
      <c r="PX18">
        <f>IF($B18=0,1000000,IF(INDEX('計算A'!$D$60:$EQ$104,$B18,45)*ET18=1,IF(AND($E18=2,KI18=0),1000000,IF($I18&gt;0,IF(2=$J18,IF(OR(AND(45=$I18+1,OR($K18&lt;&gt;'計算A'!$A$3,'計算A'!$A$4=0)),AND(45=$I18-1,OR(21&lt;&gt;'計算A'!$A$3,'計算A'!$A$4=0))),0,IF(21=$K18,200000,ABS(21-$K18)*100)),100000+ABS(2-$J18)*1000+210)+'計算A'!AV$5*50+IF(AND($E18=1,KI18=0),25,0),IF($F18&gt;0,INDEX('計算A'!AV$110:AV$114,$F18+1)+IF(AND($E18=1,KI18=0),1000,0),MIN(TV18,20)*400+(IF('計算A'!AU$106=1,1-ES18,0)+IF('計算A'!AV$106=1,1-EU18,0))*150+212+'計算A'!AV$5*100000+IF(AND($E18=1,KI18=0),50000,0))+IF($H18=1,(IF('計算A'!AU$117=1,INDEX('計算A'!AU$10:AU$54,$B18),0)+IF('計算A'!AV$117=1,INDEX('計算A'!AW$10:AW$54,$B18),0))*4000,0)-IF(AND('計算A'!AU$117=1,VS18&gt;0),2000,0)-IF(AND($L18=1,'計算A'!AV$117=1,EU18=0),2000,0))),1000000))</f>
        <v/>
      </c>
      <c r="PY18">
        <f>IF($B18=0,1000000,IF(INDEX('計算A'!$D$60:$EQ$104,$B18,46)*EU18=1,IF(AND($E18=2,KJ18=0),1000000,IF($I18&gt;0,IF(2=$J18,IF(OR(AND(46=$I18+1,OR($K18&lt;&gt;'計算A'!$A$3,'計算A'!$A$4=0)),AND(46=$I18-1,OR(22&lt;&gt;'計算A'!$A$3,'計算A'!$A$4=0))),0,IF(22=$K18,200000,ABS(22-$K18)*100)),100000+ABS(2-$J18)*1000+220)+'計算A'!AW$5*50+IF(AND($E18=1,KJ18=0),25,0),IF($F18&gt;0,INDEX('計算A'!AW$110:AW$114,$F18+1)+IF(AND($E18=1,KJ18=0),1000,0),MIN(TV18,20)*400+(IF('計算A'!AV$106=1,1-ET18,0)+IF('計算A'!AW$106=1,1-EV18,0))*150+222+'計算A'!AW$5*100000+IF(AND($E18=1,KJ18=0),50000,0))+IF($H18=1,(IF('計算A'!AV$117=1,INDEX('計算A'!AV$10:AV$54,$B18),0)+IF('計算A'!AW$117=1,INDEX('計算A'!AX$10:AX$54,$B18),0))*4000,0)-IF(AND('計算A'!AV$117=1,VT18&gt;0),2000,0)-IF(AND($L18=1,'計算A'!AW$117=1,EV18=0),2000,0))),1000000))</f>
        <v/>
      </c>
      <c r="PZ18">
        <f>IF($B18=0,1000000,IF(INDEX('計算A'!$D$60:$EQ$104,$B18,47)*EV18=1,IF(AND($E18=2,KK18=0),1000000,IF($I18&gt;0,IF(2=$J18,IF(OR(AND(47=$I18+1,OR($K18&lt;&gt;'計算A'!$A$3,'計算A'!$A$4=0)),AND(47=$I18-1,OR(23&lt;&gt;'計算A'!$A$3,'計算A'!$A$4=0))),0,IF(23=$K18,200000,ABS(23-$K18)*100)),100000+ABS(2-$J18)*1000+230)+'計算A'!AX$5*50+IF(AND($E18=1,KK18=0),25,0),IF($F18&gt;0,INDEX('計算A'!AX$110:AX$114,$F18+1)+IF(AND($E18=1,KK18=0),1000,0),MIN(TV18,20)*400+(IF('計算A'!AW$106=1,1-EU18,0)+IF('計算A'!AX$106=1,1-EW18,0))*150+232+'計算A'!AX$5*100000+IF(AND($E18=1,KK18=0),50000,0))+IF($H18=1,(IF('計算A'!AW$117=1,INDEX('計算A'!AW$10:AW$54,$B18),0)+IF('計算A'!AX$117=1,INDEX('計算A'!AY$10:AY$54,$B18),0))*4000,0)-IF(AND('計算A'!AW$117=1,VU18&gt;0),2000,0)-IF(AND($L18=1,'計算A'!AX$117=1,EW18=0),2000,0))),1000000))</f>
        <v/>
      </c>
      <c r="QA18">
        <f>IF($B18=0,1000000,IF(INDEX('計算A'!$D$60:$EQ$104,$B18,48)*EW18=1,IF(AND($E18=2,KL18=0),1000000,IF($I18&gt;0,IF(2=$J18,IF(OR(AND(48=$I18+1,OR($K18&lt;&gt;'計算A'!$A$3,'計算A'!$A$4=0)),AND(48=$I18-1,OR(24&lt;&gt;'計算A'!$A$3,'計算A'!$A$4=0))),0,IF(24=$K18,200000,ABS(24-$K18)*100)),100000+ABS(2-$J18)*1000+240)+'計算A'!AY$5*50+IF(AND($E18=1,KL18=0),25,0),IF($F18&gt;0,INDEX('計算A'!AY$110:AY$114,$F18+1)+IF(AND($E18=1,KL18=0),1000,0),MIN(TV18,20)*400+(IF('計算A'!AX$106=1,1-EV18,0))*150+242+'計算A'!AY$5*100000+IF(AND($E18=1,KL18=0),50000,0))+IF($H18=1,(IF('計算A'!AX$117=1,INDEX('計算A'!AX$10:AX$54,$B18),0))*4000,0)-IF(AND('計算A'!AX$117=1,VV18&gt;0),2000,0))),1000000))</f>
        <v/>
      </c>
      <c r="QB18">
        <f>IF($B18=0,1000000,IF(INDEX('計算A'!$D$60:$EQ$104,$B18,49)*EX18=1,IF(AND($E18=2,KM18=0),1000000,IF($I18&gt;0,IF(3=$J18,IF(OR(AND(49=$I18+1,OR($K18&lt;&gt;'計算A'!$A$3,'計算A'!$A$4=0)),AND(49=$I18-1,OR(1&lt;&gt;'計算A'!$A$3,'計算A'!$A$4=0))),0,IF(1=$K18,200000,ABS(1-$K18)*100)),100000+ABS(3-$J18)*1000+10)+'計算A'!AZ$5*50+IF(AND($E18=1,KM18=0),25,0),IF($F18&gt;0,INDEX('計算A'!AZ$110:AZ$114,$F18+1)+IF(AND($E18=1,KM18=0),1000,0),MIN(TW18,20)*400+(IF('計算A'!AZ$106=1,1-EY18,0))*150+13+'計算A'!AZ$5*100000+IF(AND($E18=1,KM18=0),50000,0))+IF($H18=1,(IF('計算A'!AZ$117=1,INDEX('計算A'!BA$10:BA$54,$B18),0))*4000,0)-IF(AND($L18=1,'計算A'!AZ$117=1,EY18=0),2000,0))),1000000))</f>
        <v/>
      </c>
      <c r="QC18">
        <f>IF($B18=0,1000000,IF(INDEX('計算A'!$D$60:$EQ$104,$B18,50)*EY18=1,IF(AND($E18=2,KN18=0),1000000,IF($I18&gt;0,IF(3=$J18,IF(OR(AND(50=$I18+1,OR($K18&lt;&gt;'計算A'!$A$3,'計算A'!$A$4=0)),AND(50=$I18-1,OR(2&lt;&gt;'計算A'!$A$3,'計算A'!$A$4=0))),0,IF(2=$K18,200000,ABS(2-$K18)*100)),100000+ABS(3-$J18)*1000+20)+'計算A'!BA$5*50+IF(AND($E18=1,KN18=0),25,0),IF($F18&gt;0,INDEX('計算A'!BA$110:BA$114,$F18+1)+IF(AND($E18=1,KN18=0),1000,0),MIN(TW18,20)*400+(IF('計算A'!AZ$106=1,1-EX18,0)+IF('計算A'!BA$106=1,1-EZ18,0))*150+23+'計算A'!BA$5*100000+IF(AND($E18=1,KN18=0),50000,0))+IF($H18=1,(IF('計算A'!AZ$117=1,INDEX('計算A'!AZ$10:AZ$54,$B18),0)+IF('計算A'!BA$117=1,INDEX('計算A'!BB$10:BB$54,$B18),0))*4000,0)-IF(AND('計算A'!AZ$117=1,VX18&gt;0),2000,0)-IF(AND($L18=1,'計算A'!BA$117=1,EZ18=0),2000,0))),1000000))</f>
        <v/>
      </c>
      <c r="QD18">
        <f>IF($B18=0,1000000,IF(INDEX('計算A'!$D$60:$EQ$104,$B18,51)*EZ18=1,IF(AND($E18=2,KO18=0),1000000,IF($I18&gt;0,IF(3=$J18,IF(OR(AND(51=$I18+1,OR($K18&lt;&gt;'計算A'!$A$3,'計算A'!$A$4=0)),AND(51=$I18-1,OR(3&lt;&gt;'計算A'!$A$3,'計算A'!$A$4=0))),0,IF(3=$K18,200000,ABS(3-$K18)*100)),100000+ABS(3-$J18)*1000+30)+'計算A'!BB$5*50+IF(AND($E18=1,KO18=0),25,0),IF($F18&gt;0,INDEX('計算A'!BB$110:BB$114,$F18+1)+IF(AND($E18=1,KO18=0),1000,0),MIN(TW18,20)*400+(IF('計算A'!BA$106=1,1-EY18,0)+IF('計算A'!BB$106=1,1-FA18,0))*150+33+'計算A'!BB$5*100000+IF(AND($E18=1,KO18=0),50000,0))+IF($H18=1,(IF('計算A'!BA$117=1,INDEX('計算A'!BA$10:BA$54,$B18),0)+IF('計算A'!BB$117=1,INDEX('計算A'!BC$10:BC$54,$B18),0))*4000,0)-IF(AND('計算A'!BA$117=1,VY18&gt;0),2000,0)-IF(AND($L18=1,'計算A'!BB$117=1,FA18=0),2000,0))),1000000))</f>
        <v/>
      </c>
      <c r="QE18">
        <f>IF($B18=0,1000000,IF(INDEX('計算A'!$D$60:$EQ$104,$B18,52)*FA18=1,IF(AND($E18=2,KP18=0),1000000,IF($I18&gt;0,IF(3=$J18,IF(OR(AND(52=$I18+1,OR($K18&lt;&gt;'計算A'!$A$3,'計算A'!$A$4=0)),AND(52=$I18-1,OR(4&lt;&gt;'計算A'!$A$3,'計算A'!$A$4=0))),0,IF(4=$K18,200000,ABS(4-$K18)*100)),100000+ABS(3-$J18)*1000+40)+'計算A'!BC$5*50+IF(AND($E18=1,KP18=0),25,0),IF($F18&gt;0,INDEX('計算A'!BC$110:BC$114,$F18+1)+IF(AND($E18=1,KP18=0),1000,0),MIN(TW18,20)*400+(IF('計算A'!BB$106=1,1-EZ18,0)+IF('計算A'!BC$106=1,1-FB18,0))*150+43+'計算A'!BC$5*100000+IF(AND($E18=1,KP18=0),50000,0))+IF($H18=1,(IF('計算A'!BB$117=1,INDEX('計算A'!BB$10:BB$54,$B18),0)+IF('計算A'!BC$117=1,INDEX('計算A'!BD$10:BD$54,$B18),0))*4000,0)-IF(AND('計算A'!BB$117=1,VZ18&gt;0),2000,0)-IF(AND($L18=1,'計算A'!BC$117=1,FB18=0),2000,0))),1000000))</f>
        <v/>
      </c>
      <c r="QF18">
        <f>IF($B18=0,1000000,IF(INDEX('計算A'!$D$60:$EQ$104,$B18,53)*FB18=1,IF(AND($E18=2,KQ18=0),1000000,IF($I18&gt;0,IF(3=$J18,IF(OR(AND(53=$I18+1,OR($K18&lt;&gt;'計算A'!$A$3,'計算A'!$A$4=0)),AND(53=$I18-1,OR(5&lt;&gt;'計算A'!$A$3,'計算A'!$A$4=0))),0,IF(5=$K18,200000,ABS(5-$K18)*100)),100000+ABS(3-$J18)*1000+50)+'計算A'!BD$5*50+IF(AND($E18=1,KQ18=0),25,0),IF($F18&gt;0,INDEX('計算A'!BD$110:BD$114,$F18+1)+IF(AND($E18=1,KQ18=0),1000,0),MIN(TW18,20)*400+(IF('計算A'!BC$106=1,1-FA18,0)+IF('計算A'!BD$106=1,1-FC18,0))*150+53+'計算A'!BD$5*100000+IF(AND($E18=1,KQ18=0),50000,0))+IF($H18=1,(IF('計算A'!BC$117=1,INDEX('計算A'!BC$10:BC$54,$B18),0)+IF('計算A'!BD$117=1,INDEX('計算A'!BE$10:BE$54,$B18),0))*4000,0)-IF(AND('計算A'!BC$117=1,WA18&gt;0),2000,0)-IF(AND($L18=1,'計算A'!BD$117=1,FC18=0),2000,0))),1000000))</f>
        <v/>
      </c>
      <c r="QG18">
        <f>IF($B18=0,1000000,IF(INDEX('計算A'!$D$60:$EQ$104,$B18,54)*FC18=1,IF(AND($E18=2,KR18=0),1000000,IF($I18&gt;0,IF(3=$J18,IF(OR(AND(54=$I18+1,OR($K18&lt;&gt;'計算A'!$A$3,'計算A'!$A$4=0)),AND(54=$I18-1,OR(6&lt;&gt;'計算A'!$A$3,'計算A'!$A$4=0))),0,IF(6=$K18,200000,ABS(6-$K18)*100)),100000+ABS(3-$J18)*1000+60)+'計算A'!BE$5*50+IF(AND($E18=1,KR18=0),25,0),IF($F18&gt;0,INDEX('計算A'!BE$110:BE$114,$F18+1)+IF(AND($E18=1,KR18=0),1000,0),MIN(TW18,20)*400+(IF('計算A'!BD$106=1,1-FB18,0)+IF('計算A'!BE$106=1,1-FD18,0))*150+63+'計算A'!BE$5*100000+IF(AND($E18=1,KR18=0),50000,0))+IF($H18=1,(IF('計算A'!BD$117=1,INDEX('計算A'!BD$10:BD$54,$B18),0)+IF('計算A'!BE$117=1,INDEX('計算A'!BF$10:BF$54,$B18),0))*4000,0)-IF(AND('計算A'!BD$117=1,WB18&gt;0),2000,0)-IF(AND($L18=1,'計算A'!BE$117=1,FD18=0),2000,0))),1000000))</f>
        <v/>
      </c>
      <c r="QH18">
        <f>IF($B18=0,1000000,IF(INDEX('計算A'!$D$60:$EQ$104,$B18,55)*FD18=1,IF(AND($E18=2,KS18=0),1000000,IF($I18&gt;0,IF(3=$J18,IF(OR(AND(55=$I18+1,OR($K18&lt;&gt;'計算A'!$A$3,'計算A'!$A$4=0)),AND(55=$I18-1,OR(7&lt;&gt;'計算A'!$A$3,'計算A'!$A$4=0))),0,IF(7=$K18,200000,ABS(7-$K18)*100)),100000+ABS(3-$J18)*1000+70)+'計算A'!BF$5*50+IF(AND($E18=1,KS18=0),25,0),IF($F18&gt;0,INDEX('計算A'!BF$110:BF$114,$F18+1)+IF(AND($E18=1,KS18=0),1000,0),MIN(TW18,20)*400+(IF('計算A'!BE$106=1,1-FC18,0)+IF('計算A'!BF$106=1,1-FE18,0))*150+73+'計算A'!BF$5*100000+IF(AND($E18=1,KS18=0),50000,0))+IF($H18=1,(IF('計算A'!BE$117=1,INDEX('計算A'!BE$10:BE$54,$B18),0)+IF('計算A'!BF$117=1,INDEX('計算A'!BG$10:BG$54,$B18),0))*4000,0)-IF(AND('計算A'!BE$117=1,WC18&gt;0),2000,0)-IF(AND($L18=1,'計算A'!BF$117=1,FE18=0),2000,0))),1000000))</f>
        <v/>
      </c>
      <c r="QI18">
        <f>IF($B18=0,1000000,IF(INDEX('計算A'!$D$60:$EQ$104,$B18,56)*FE18=1,IF(AND($E18=2,KT18=0),1000000,IF($I18&gt;0,IF(3=$J18,IF(OR(AND(56=$I18+1,OR($K18&lt;&gt;'計算A'!$A$3,'計算A'!$A$4=0)),AND(56=$I18-1,OR(8&lt;&gt;'計算A'!$A$3,'計算A'!$A$4=0))),0,IF(8=$K18,200000,ABS(8-$K18)*100)),100000+ABS(3-$J18)*1000+80)+'計算A'!BG$5*50+IF(AND($E18=1,KT18=0),25,0),IF($F18&gt;0,INDEX('計算A'!BG$110:BG$114,$F18+1)+IF(AND($E18=1,KT18=0),1000,0),MIN(TW18,20)*400+(IF('計算A'!BF$106=1,1-FD18,0)+IF('計算A'!BG$106=1,1-FF18,0))*150+83+'計算A'!BG$5*100000+IF(AND($E18=1,KT18=0),50000,0))+IF($H18=1,(IF('計算A'!BF$117=1,INDEX('計算A'!BF$10:BF$54,$B18),0)+IF('計算A'!BG$117=1,INDEX('計算A'!BH$10:BH$54,$B18),0))*4000,0)-IF(AND('計算A'!BF$117=1,WD18&gt;0),2000,0)-IF(AND($L18=1,'計算A'!BG$117=1,FF18=0),2000,0))),1000000))</f>
        <v/>
      </c>
      <c r="QJ18">
        <f>IF($B18=0,1000000,IF(INDEX('計算A'!$D$60:$EQ$104,$B18,57)*FF18=1,IF(AND($E18=2,KU18=0),1000000,IF($I18&gt;0,IF(3=$J18,IF(OR(AND(57=$I18+1,OR($K18&lt;&gt;'計算A'!$A$3,'計算A'!$A$4=0)),AND(57=$I18-1,OR(9&lt;&gt;'計算A'!$A$3,'計算A'!$A$4=0))),0,IF(9=$K18,200000,ABS(9-$K18)*100)),100000+ABS(3-$J18)*1000+90)+'計算A'!BH$5*50+IF(AND($E18=1,KU18=0),25,0),IF($F18&gt;0,INDEX('計算A'!BH$110:BH$114,$F18+1)+IF(AND($E18=1,KU18=0),1000,0),MIN(TW18,20)*400+(IF('計算A'!BG$106=1,1-FE18,0)+IF('計算A'!BH$106=1,1-FG18,0))*150+93+'計算A'!BH$5*100000+IF(AND($E18=1,KU18=0),50000,0))+IF($H18=1,(IF('計算A'!BG$117=1,INDEX('計算A'!BG$10:BG$54,$B18),0)+IF('計算A'!BH$117=1,INDEX('計算A'!BI$10:BI$54,$B18),0))*4000,0)-IF(AND('計算A'!BG$117=1,WE18&gt;0),2000,0)-IF(AND($L18=1,'計算A'!BH$117=1,FG18=0),2000,0))),1000000))</f>
        <v/>
      </c>
      <c r="QK18">
        <f>IF($B18=0,1000000,IF(INDEX('計算A'!$D$60:$EQ$104,$B18,58)*FG18=1,IF(AND($E18=2,KV18=0),1000000,IF($I18&gt;0,IF(3=$J18,IF(OR(AND(58=$I18+1,OR($K18&lt;&gt;'計算A'!$A$3,'計算A'!$A$4=0)),AND(58=$I18-1,OR(10&lt;&gt;'計算A'!$A$3,'計算A'!$A$4=0))),0,IF(10=$K18,200000,ABS(10-$K18)*100)),100000+ABS(3-$J18)*1000+100)+'計算A'!BI$5*50+IF(AND($E18=1,KV18=0),25,0),IF($F18&gt;0,INDEX('計算A'!BI$110:BI$114,$F18+1)+IF(AND($E18=1,KV18=0),1000,0),MIN(TW18,20)*400+(IF('計算A'!BH$106=1,1-FF18,0)+IF('計算A'!BI$106=1,1-FH18,0))*150+103+'計算A'!BI$5*100000+IF(AND($E18=1,KV18=0),50000,0))+IF($H18=1,(IF('計算A'!BH$117=1,INDEX('計算A'!BH$10:BH$54,$B18),0)+IF('計算A'!BI$117=1,INDEX('計算A'!BJ$10:BJ$54,$B18),0))*4000,0)-IF(AND('計算A'!BH$117=1,WF18&gt;0),2000,0)-IF(AND($L18=1,'計算A'!BI$117=1,FH18=0),2000,0))),1000000))</f>
        <v/>
      </c>
      <c r="QL18">
        <f>IF($B18=0,1000000,IF(INDEX('計算A'!$D$60:$EQ$104,$B18,59)*FH18=1,IF(AND($E18=2,KW18=0),1000000,IF($I18&gt;0,IF(3=$J18,IF(OR(AND(59=$I18+1,OR($K18&lt;&gt;'計算A'!$A$3,'計算A'!$A$4=0)),AND(59=$I18-1,OR(11&lt;&gt;'計算A'!$A$3,'計算A'!$A$4=0))),0,IF(11=$K18,200000,ABS(11-$K18)*100)),100000+ABS(3-$J18)*1000+110)+'計算A'!BJ$5*50+IF(AND($E18=1,KW18=0),25,0),IF($F18&gt;0,INDEX('計算A'!BJ$110:BJ$114,$F18+1)+IF(AND($E18=1,KW18=0),1000,0),MIN(TW18,20)*400+(IF('計算A'!BI$106=1,1-FG18,0)+IF('計算A'!BJ$106=1,1-FI18,0))*150+113+'計算A'!BJ$5*100000+IF(AND($E18=1,KW18=0),50000,0))+IF($H18=1,(IF('計算A'!BI$117=1,INDEX('計算A'!BI$10:BI$54,$B18),0)+IF('計算A'!BJ$117=1,INDEX('計算A'!BK$10:BK$54,$B18),0))*4000,0)-IF(AND('計算A'!BI$117=1,WG18&gt;0),2000,0)-IF(AND($L18=1,'計算A'!BJ$117=1,FI18=0),2000,0))),1000000))</f>
        <v/>
      </c>
      <c r="QM18">
        <f>IF($B18=0,1000000,IF(INDEX('計算A'!$D$60:$EQ$104,$B18,60)*FI18=1,IF(AND($E18=2,KX18=0),1000000,IF($I18&gt;0,IF(3=$J18,IF(OR(AND(60=$I18+1,OR($K18&lt;&gt;'計算A'!$A$3,'計算A'!$A$4=0)),AND(60=$I18-1,OR(12&lt;&gt;'計算A'!$A$3,'計算A'!$A$4=0))),0,IF(12=$K18,200000,ABS(12-$K18)*100)),100000+ABS(3-$J18)*1000+120)+'計算A'!BK$5*50+IF(AND($E18=1,KX18=0),25,0),IF($F18&gt;0,INDEX('計算A'!BK$110:BK$114,$F18+1)+IF(AND($E18=1,KX18=0),1000,0),MIN(TW18,20)*400+(IF('計算A'!BJ$106=1,1-FH18,0)+IF('計算A'!BK$106=1,1-FJ18,0))*150+123+'計算A'!BK$5*100000+IF(AND($E18=1,KX18=0),50000,0))+IF($H18=1,(IF('計算A'!BJ$117=1,INDEX('計算A'!BJ$10:BJ$54,$B18),0)+IF('計算A'!BK$117=1,INDEX('計算A'!BL$10:BL$54,$B18),0))*4000,0)-IF(AND('計算A'!BJ$117=1,WH18&gt;0),2000,0)-IF(AND($L18=1,'計算A'!BK$117=1,FJ18=0),2000,0))),1000000))</f>
        <v/>
      </c>
      <c r="QN18">
        <f>IF($B18=0,1000000,IF(INDEX('計算A'!$D$60:$EQ$104,$B18,61)*FJ18=1,IF(AND($E18=2,KY18=0),1000000,IF($I18&gt;0,IF(3=$J18,IF(OR(AND(61=$I18+1,OR($K18&lt;&gt;'計算A'!$A$3,'計算A'!$A$4=0)),AND(61=$I18-1,OR(13&lt;&gt;'計算A'!$A$3,'計算A'!$A$4=0))),0,IF(13=$K18,200000,ABS(13-$K18)*100)),100000+ABS(3-$J18)*1000+130)+'計算A'!BL$5*50+IF(AND($E18=1,KY18=0),25,0),IF($F18&gt;0,INDEX('計算A'!BL$110:BL$114,$F18+1)+IF(AND($E18=1,KY18=0),1000,0),MIN(TW18,20)*400+(IF('計算A'!BK$106=1,1-FI18,0)+IF('計算A'!BL$106=1,1-FK18,0))*150+133+'計算A'!BL$5*100000+IF(AND($E18=1,KY18=0),50000,0))+IF($H18=1,(IF('計算A'!BK$117=1,INDEX('計算A'!BK$10:BK$54,$B18),0)+IF('計算A'!BL$117=1,INDEX('計算A'!BM$10:BM$54,$B18),0))*4000,0)-IF(AND('計算A'!BK$117=1,WI18&gt;0),2000,0)-IF(AND($L18=1,'計算A'!BL$117=1,FK18=0),2000,0))),1000000))</f>
        <v/>
      </c>
      <c r="QO18">
        <f>IF($B18=0,1000000,IF(INDEX('計算A'!$D$60:$EQ$104,$B18,62)*FK18=1,IF(AND($E18=2,KZ18=0),1000000,IF($I18&gt;0,IF(3=$J18,IF(OR(AND(62=$I18+1,OR($K18&lt;&gt;'計算A'!$A$3,'計算A'!$A$4=0)),AND(62=$I18-1,OR(14&lt;&gt;'計算A'!$A$3,'計算A'!$A$4=0))),0,IF(14=$K18,200000,ABS(14-$K18)*100)),100000+ABS(3-$J18)*1000+140)+'計算A'!BM$5*50+IF(AND($E18=1,KZ18=0),25,0),IF($F18&gt;0,INDEX('計算A'!BM$110:BM$114,$F18+1)+IF(AND($E18=1,KZ18=0),1000,0),MIN(TW18,20)*400+(IF('計算A'!BL$106=1,1-FJ18,0)+IF('計算A'!BM$106=1,1-FL18,0))*150+143+'計算A'!BM$5*100000+IF(AND($E18=1,KZ18=0),50000,0))+IF($H18=1,(IF('計算A'!BL$117=1,INDEX('計算A'!BL$10:BL$54,$B18),0)+IF('計算A'!BM$117=1,INDEX('計算A'!BN$10:BN$54,$B18),0))*4000,0)-IF(AND('計算A'!BL$117=1,WJ18&gt;0),2000,0)-IF(AND($L18=1,'計算A'!BM$117=1,FL18=0),2000,0))),1000000))</f>
        <v/>
      </c>
      <c r="QP18">
        <f>IF($B18=0,1000000,IF(INDEX('計算A'!$D$60:$EQ$104,$B18,63)*FL18=1,IF(AND($E18=2,LA18=0),1000000,IF($I18&gt;0,IF(3=$J18,IF(OR(AND(63=$I18+1,OR($K18&lt;&gt;'計算A'!$A$3,'計算A'!$A$4=0)),AND(63=$I18-1,OR(15&lt;&gt;'計算A'!$A$3,'計算A'!$A$4=0))),0,IF(15=$K18,200000,ABS(15-$K18)*100)),100000+ABS(3-$J18)*1000+150)+'計算A'!BN$5*50+IF(AND($E18=1,LA18=0),25,0),IF($F18&gt;0,INDEX('計算A'!BN$110:BN$114,$F18+1)+IF(AND($E18=1,LA18=0),1000,0),MIN(TW18,20)*400+(IF('計算A'!BM$106=1,1-FK18,0)+IF('計算A'!BN$106=1,1-FM18,0))*150+153+'計算A'!BN$5*100000+IF(AND($E18=1,LA18=0),50000,0))+IF($H18=1,(IF('計算A'!BM$117=1,INDEX('計算A'!BM$10:BM$54,$B18),0)+IF('計算A'!BN$117=1,INDEX('計算A'!BO$10:BO$54,$B18),0))*4000,0)-IF(AND('計算A'!BM$117=1,WK18&gt;0),2000,0)-IF(AND($L18=1,'計算A'!BN$117=1,FM18=0),2000,0))),1000000))</f>
        <v/>
      </c>
      <c r="QQ18">
        <f>IF($B18=0,1000000,IF(INDEX('計算A'!$D$60:$EQ$104,$B18,64)*FM18=1,IF(AND($E18=2,LB18=0),1000000,IF($I18&gt;0,IF(3=$J18,IF(OR(AND(64=$I18+1,OR($K18&lt;&gt;'計算A'!$A$3,'計算A'!$A$4=0)),AND(64=$I18-1,OR(16&lt;&gt;'計算A'!$A$3,'計算A'!$A$4=0))),0,IF(16=$K18,200000,ABS(16-$K18)*100)),100000+ABS(3-$J18)*1000+160)+'計算A'!BO$5*50+IF(AND($E18=1,LB18=0),25,0),IF($F18&gt;0,INDEX('計算A'!BO$110:BO$114,$F18+1)+IF(AND($E18=1,LB18=0),1000,0),MIN(TW18,20)*400+(IF('計算A'!BN$106=1,1-FL18,0)+IF('計算A'!BO$106=1,1-FN18,0))*150+163+'計算A'!BO$5*100000+IF(AND($E18=1,LB18=0),50000,0))+IF($H18=1,(IF('計算A'!BN$117=1,INDEX('計算A'!BN$10:BN$54,$B18),0)+IF('計算A'!BO$117=1,INDEX('計算A'!BP$10:BP$54,$B18),0))*4000,0)-IF(AND('計算A'!BN$117=1,WL18&gt;0),2000,0)-IF(AND($L18=1,'計算A'!BO$117=1,FN18=0),2000,0))),1000000))</f>
        <v/>
      </c>
      <c r="QR18">
        <f>IF($B18=0,1000000,IF(INDEX('計算A'!$D$60:$EQ$104,$B18,65)*FN18=1,IF(AND($E18=2,LC18=0),1000000,IF($I18&gt;0,IF(3=$J18,IF(OR(AND(65=$I18+1,OR($K18&lt;&gt;'計算A'!$A$3,'計算A'!$A$4=0)),AND(65=$I18-1,OR(17&lt;&gt;'計算A'!$A$3,'計算A'!$A$4=0))),0,IF(17=$K18,200000,ABS(17-$K18)*100)),100000+ABS(3-$J18)*1000+170)+'計算A'!BP$5*50+IF(AND($E18=1,LC18=0),25,0),IF($F18&gt;0,INDEX('計算A'!BP$110:BP$114,$F18+1)+IF(AND($E18=1,LC18=0),1000,0),MIN(TW18,20)*400+(IF('計算A'!BO$106=1,1-FM18,0)+IF('計算A'!BP$106=1,1-FO18,0))*150+173+'計算A'!BP$5*100000+IF(AND($E18=1,LC18=0),50000,0))+IF($H18=1,(IF('計算A'!BO$117=1,INDEX('計算A'!BO$10:BO$54,$B18),0)+IF('計算A'!BP$117=1,INDEX('計算A'!BQ$10:BQ$54,$B18),0))*4000,0)-IF(AND('計算A'!BO$117=1,WM18&gt;0),2000,0)-IF(AND($L18=1,'計算A'!BP$117=1,FO18=0),2000,0))),1000000))</f>
        <v/>
      </c>
      <c r="QS18">
        <f>IF($B18=0,1000000,IF(INDEX('計算A'!$D$60:$EQ$104,$B18,66)*FO18=1,IF(AND($E18=2,LD18=0),1000000,IF($I18&gt;0,IF(3=$J18,IF(OR(AND(66=$I18+1,OR($K18&lt;&gt;'計算A'!$A$3,'計算A'!$A$4=0)),AND(66=$I18-1,OR(18&lt;&gt;'計算A'!$A$3,'計算A'!$A$4=0))),0,IF(18=$K18,200000,ABS(18-$K18)*100)),100000+ABS(3-$J18)*1000+180)+'計算A'!BQ$5*50+IF(AND($E18=1,LD18=0),25,0),IF($F18&gt;0,INDEX('計算A'!BQ$110:BQ$114,$F18+1)+IF(AND($E18=1,LD18=0),1000,0),MIN(TW18,20)*400+(IF('計算A'!BP$106=1,1-FN18,0)+IF('計算A'!BQ$106=1,1-FP18,0))*150+183+'計算A'!BQ$5*100000+IF(AND($E18=1,LD18=0),50000,0))+IF($H18=1,(IF('計算A'!BP$117=1,INDEX('計算A'!BP$10:BP$54,$B18),0)+IF('計算A'!BQ$117=1,INDEX('計算A'!BR$10:BR$54,$B18),0))*4000,0)-IF(AND('計算A'!BP$117=1,WN18&gt;0),2000,0)-IF(AND($L18=1,'計算A'!BQ$117=1,FP18=0),2000,0))),1000000))</f>
        <v/>
      </c>
      <c r="QT18">
        <f>IF($B18=0,1000000,IF(INDEX('計算A'!$D$60:$EQ$104,$B18,67)*FP18=1,IF(AND($E18=2,LE18=0),1000000,IF($I18&gt;0,IF(3=$J18,IF(OR(AND(67=$I18+1,OR($K18&lt;&gt;'計算A'!$A$3,'計算A'!$A$4=0)),AND(67=$I18-1,OR(19&lt;&gt;'計算A'!$A$3,'計算A'!$A$4=0))),0,IF(19=$K18,200000,ABS(19-$K18)*100)),100000+ABS(3-$J18)*1000+190)+'計算A'!BR$5*50+IF(AND($E18=1,LE18=0),25,0),IF($F18&gt;0,INDEX('計算A'!BR$110:BR$114,$F18+1)+IF(AND($E18=1,LE18=0),1000,0),MIN(TW18,20)*400+(IF('計算A'!BQ$106=1,1-FO18,0)+IF('計算A'!BR$106=1,1-FQ18,0))*150+193+'計算A'!BR$5*100000+IF(AND($E18=1,LE18=0),50000,0))+IF($H18=1,(IF('計算A'!BQ$117=1,INDEX('計算A'!BQ$10:BQ$54,$B18),0)+IF('計算A'!BR$117=1,INDEX('計算A'!BS$10:BS$54,$B18),0))*4000,0)-IF(AND('計算A'!BQ$117=1,WO18&gt;0),2000,0)-IF(AND($L18=1,'計算A'!BR$117=1,FQ18=0),2000,0))),1000000))</f>
        <v/>
      </c>
      <c r="QU18">
        <f>IF($B18=0,1000000,IF(INDEX('計算A'!$D$60:$EQ$104,$B18,68)*FQ18=1,IF(AND($E18=2,LF18=0),1000000,IF($I18&gt;0,IF(3=$J18,IF(OR(AND(68=$I18+1,OR($K18&lt;&gt;'計算A'!$A$3,'計算A'!$A$4=0)),AND(68=$I18-1,OR(20&lt;&gt;'計算A'!$A$3,'計算A'!$A$4=0))),0,IF(20=$K18,200000,ABS(20-$K18)*100)),100000+ABS(3-$J18)*1000+200)+'計算A'!BS$5*50+IF(AND($E18=1,LF18=0),25,0),IF($F18&gt;0,INDEX('計算A'!BS$110:BS$114,$F18+1)+IF(AND($E18=1,LF18=0),1000,0),MIN(TW18,20)*400+(IF('計算A'!BR$106=1,1-FP18,0)+IF('計算A'!BS$106=1,1-FR18,0))*150+203+'計算A'!BS$5*100000+IF(AND($E18=1,LF18=0),50000,0))+IF($H18=1,(IF('計算A'!BR$117=1,INDEX('計算A'!BR$10:BR$54,$B18),0)+IF('計算A'!BS$117=1,INDEX('計算A'!BT$10:BT$54,$B18),0))*4000,0)-IF(AND('計算A'!BR$117=1,WP18&gt;0),2000,0)-IF(AND($L18=1,'計算A'!BS$117=1,FR18=0),2000,0))),1000000))</f>
        <v/>
      </c>
      <c r="QV18">
        <f>IF($B18=0,1000000,IF(INDEX('計算A'!$D$60:$EQ$104,$B18,69)*FR18=1,IF(AND($E18=2,LG18=0),1000000,IF($I18&gt;0,IF(3=$J18,IF(OR(AND(69=$I18+1,OR($K18&lt;&gt;'計算A'!$A$3,'計算A'!$A$4=0)),AND(69=$I18-1,OR(21&lt;&gt;'計算A'!$A$3,'計算A'!$A$4=0))),0,IF(21=$K18,200000,ABS(21-$K18)*100)),100000+ABS(3-$J18)*1000+210)+'計算A'!BT$5*50+IF(AND($E18=1,LG18=0),25,0),IF($F18&gt;0,INDEX('計算A'!BT$110:BT$114,$F18+1)+IF(AND($E18=1,LG18=0),1000,0),MIN(TW18,20)*400+(IF('計算A'!BS$106=1,1-FQ18,0)+IF('計算A'!BT$106=1,1-FS18,0))*150+213+'計算A'!BT$5*100000+IF(AND($E18=1,LG18=0),50000,0))+IF($H18=1,(IF('計算A'!BS$117=1,INDEX('計算A'!BS$10:BS$54,$B18),0)+IF('計算A'!BT$117=1,INDEX('計算A'!BU$10:BU$54,$B18),0))*4000,0)-IF(AND('計算A'!BS$117=1,WQ18&gt;0),2000,0)-IF(AND($L18=1,'計算A'!BT$117=1,FS18=0),2000,0))),1000000))</f>
        <v/>
      </c>
      <c r="QW18">
        <f>IF($B18=0,1000000,IF(INDEX('計算A'!$D$60:$EQ$104,$B18,70)*FS18=1,IF(AND($E18=2,LH18=0),1000000,IF($I18&gt;0,IF(3=$J18,IF(OR(AND(70=$I18+1,OR($K18&lt;&gt;'計算A'!$A$3,'計算A'!$A$4=0)),AND(70=$I18-1,OR(22&lt;&gt;'計算A'!$A$3,'計算A'!$A$4=0))),0,IF(22=$K18,200000,ABS(22-$K18)*100)),100000+ABS(3-$J18)*1000+220)+'計算A'!BU$5*50+IF(AND($E18=1,LH18=0),25,0),IF($F18&gt;0,INDEX('計算A'!BU$110:BU$114,$F18+1)+IF(AND($E18=1,LH18=0),1000,0),MIN(TW18,20)*400+(IF('計算A'!BT$106=1,1-FR18,0)+IF('計算A'!BU$106=1,1-FT18,0))*150+223+'計算A'!BU$5*100000+IF(AND($E18=1,LH18=0),50000,0))+IF($H18=1,(IF('計算A'!BT$117=1,INDEX('計算A'!BT$10:BT$54,$B18),0)+IF('計算A'!BU$117=1,INDEX('計算A'!BV$10:BV$54,$B18),0))*4000,0)-IF(AND('計算A'!BT$117=1,WR18&gt;0),2000,0)-IF(AND($L18=1,'計算A'!BU$117=1,FT18=0),2000,0))),1000000))</f>
        <v/>
      </c>
      <c r="QX18">
        <f>IF($B18=0,1000000,IF(INDEX('計算A'!$D$60:$EQ$104,$B18,71)*FT18=1,IF(AND($E18=2,LI18=0),1000000,IF($I18&gt;0,IF(3=$J18,IF(OR(AND(71=$I18+1,OR($K18&lt;&gt;'計算A'!$A$3,'計算A'!$A$4=0)),AND(71=$I18-1,OR(23&lt;&gt;'計算A'!$A$3,'計算A'!$A$4=0))),0,IF(23=$K18,200000,ABS(23-$K18)*100)),100000+ABS(3-$J18)*1000+230)+'計算A'!BV$5*50+IF(AND($E18=1,LI18=0),25,0),IF($F18&gt;0,INDEX('計算A'!BV$110:BV$114,$F18+1)+IF(AND($E18=1,LI18=0),1000,0),MIN(TW18,20)*400+(IF('計算A'!BU$106=1,1-FS18,0)+IF('計算A'!BV$106=1,1-FU18,0))*150+233+'計算A'!BV$5*100000+IF(AND($E18=1,LI18=0),50000,0))+IF($H18=1,(IF('計算A'!BU$117=1,INDEX('計算A'!BU$10:BU$54,$B18),0)+IF('計算A'!BV$117=1,INDEX('計算A'!BW$10:BW$54,$B18),0))*4000,0)-IF(AND('計算A'!BU$117=1,WS18&gt;0),2000,0)-IF(AND($L18=1,'計算A'!BV$117=1,FU18=0),2000,0))),1000000))</f>
        <v/>
      </c>
      <c r="QY18">
        <f>IF($B18=0,1000000,IF(INDEX('計算A'!$D$60:$EQ$104,$B18,72)*FU18=1,IF(AND($E18=2,LJ18=0),1000000,IF($I18&gt;0,IF(3=$J18,IF(OR(AND(72=$I18+1,OR($K18&lt;&gt;'計算A'!$A$3,'計算A'!$A$4=0)),AND(72=$I18-1,OR(24&lt;&gt;'計算A'!$A$3,'計算A'!$A$4=0))),0,IF(24=$K18,200000,ABS(24-$K18)*100)),100000+ABS(3-$J18)*1000+240)+'計算A'!BW$5*50+IF(AND($E18=1,LJ18=0),25,0),IF($F18&gt;0,INDEX('計算A'!BW$110:BW$114,$F18+1)+IF(AND($E18=1,LJ18=0),1000,0),MIN(TW18,20)*400+(IF('計算A'!BV$106=1,1-FT18,0))*150+243+'計算A'!BW$5*100000+IF(AND($E18=1,LJ18=0),50000,0))+IF($H18=1,(IF('計算A'!BV$117=1,INDEX('計算A'!BV$10:BV$54,$B18),0))*4000,0)-IF(AND('計算A'!BV$117=1,WT18&gt;0),2000,0))),1000000))</f>
        <v/>
      </c>
      <c r="QZ18">
        <f>IF($B18=0,1000000,IF(INDEX('計算A'!$D$60:$EQ$104,$B18,73)*FV18=1,IF(AND($E18=2,LK18=0),1000000,IF($I18&gt;0,IF(4=$J18,IF(OR(AND(73=$I18+1,OR($K18&lt;&gt;'計算A'!$A$3,'計算A'!$A$4=0)),AND(73=$I18-1,OR(1&lt;&gt;'計算A'!$A$3,'計算A'!$A$4=0))),0,IF(1=$K18,200000,ABS(1-$K18)*100)),100000+ABS(4-$J18)*1000+10)+'計算A'!BX$5*50+IF(AND($E18=1,LK18=0),25,0),IF($F18&gt;0,INDEX('計算A'!BX$110:BX$114,$F18+1)+IF(AND($E18=1,LK18=0),1000,0),MIN(TX18,20)*400+(IF('計算A'!BX$106=1,1-FW18,0))*150+14+'計算A'!BX$5*100000+IF(AND($E18=1,LK18=0),50000,0))+IF($H18=1,(IF('計算A'!BX$117=1,INDEX('計算A'!BY$10:BY$54,$B18),0))*4000,0)-IF(AND($L18=1,'計算A'!BX$117=1,FW18=0),2000,0))),1000000))</f>
        <v/>
      </c>
      <c r="RA18">
        <f>IF($B18=0,1000000,IF(INDEX('計算A'!$D$60:$EQ$104,$B18,74)*FW18=1,IF(AND($E18=2,LL18=0),1000000,IF($I18&gt;0,IF(4=$J18,IF(OR(AND(74=$I18+1,OR($K18&lt;&gt;'計算A'!$A$3,'計算A'!$A$4=0)),AND(74=$I18-1,OR(2&lt;&gt;'計算A'!$A$3,'計算A'!$A$4=0))),0,IF(2=$K18,200000,ABS(2-$K18)*100)),100000+ABS(4-$J18)*1000+20)+'計算A'!BY$5*50+IF(AND($E18=1,LL18=0),25,0),IF($F18&gt;0,INDEX('計算A'!BY$110:BY$114,$F18+1)+IF(AND($E18=1,LL18=0),1000,0),MIN(TX18,20)*400+(IF('計算A'!BX$106=1,1-FV18,0)+IF('計算A'!BY$106=1,1-FX18,0))*150+24+'計算A'!BY$5*100000+IF(AND($E18=1,LL18=0),50000,0))+IF($H18=1,(IF('計算A'!BX$117=1,INDEX('計算A'!BX$10:BX$54,$B18),0)+IF('計算A'!BY$117=1,INDEX('計算A'!BZ$10:BZ$54,$B18),0))*4000,0)-IF(AND('計算A'!BX$117=1,WV18&gt;0),2000,0)-IF(AND($L18=1,'計算A'!BY$117=1,FX18=0),2000,0))),1000000))</f>
        <v/>
      </c>
      <c r="RB18">
        <f>IF($B18=0,1000000,IF(INDEX('計算A'!$D$60:$EQ$104,$B18,75)*FX18=1,IF(AND($E18=2,LM18=0),1000000,IF($I18&gt;0,IF(4=$J18,IF(OR(AND(75=$I18+1,OR($K18&lt;&gt;'計算A'!$A$3,'計算A'!$A$4=0)),AND(75=$I18-1,OR(3&lt;&gt;'計算A'!$A$3,'計算A'!$A$4=0))),0,IF(3=$K18,200000,ABS(3-$K18)*100)),100000+ABS(4-$J18)*1000+30)+'計算A'!BZ$5*50+IF(AND($E18=1,LM18=0),25,0),IF($F18&gt;0,INDEX('計算A'!BZ$110:BZ$114,$F18+1)+IF(AND($E18=1,LM18=0),1000,0),MIN(TX18,20)*400+(IF('計算A'!BY$106=1,1-FW18,0)+IF('計算A'!BZ$106=1,1-FY18,0))*150+34+'計算A'!BZ$5*100000+IF(AND($E18=1,LM18=0),50000,0))+IF($H18=1,(IF('計算A'!BY$117=1,INDEX('計算A'!BY$10:BY$54,$B18),0)+IF('計算A'!BZ$117=1,INDEX('計算A'!CA$10:CA$54,$B18),0))*4000,0)-IF(AND('計算A'!BY$117=1,WW18&gt;0),2000,0)-IF(AND($L18=1,'計算A'!BZ$117=1,FY18=0),2000,0))),1000000))</f>
        <v/>
      </c>
      <c r="RC18">
        <f>IF($B18=0,1000000,IF(INDEX('計算A'!$D$60:$EQ$104,$B18,76)*FY18=1,IF(AND($E18=2,LN18=0),1000000,IF($I18&gt;0,IF(4=$J18,IF(OR(AND(76=$I18+1,OR($K18&lt;&gt;'計算A'!$A$3,'計算A'!$A$4=0)),AND(76=$I18-1,OR(4&lt;&gt;'計算A'!$A$3,'計算A'!$A$4=0))),0,IF(4=$K18,200000,ABS(4-$K18)*100)),100000+ABS(4-$J18)*1000+40)+'計算A'!CA$5*50+IF(AND($E18=1,LN18=0),25,0),IF($F18&gt;0,INDEX('計算A'!CA$110:CA$114,$F18+1)+IF(AND($E18=1,LN18=0),1000,0),MIN(TX18,20)*400+(IF('計算A'!BZ$106=1,1-FX18,0)+IF('計算A'!CA$106=1,1-FZ18,0))*150+44+'計算A'!CA$5*100000+IF(AND($E18=1,LN18=0),50000,0))+IF($H18=1,(IF('計算A'!BZ$117=1,INDEX('計算A'!BZ$10:BZ$54,$B18),0)+IF('計算A'!CA$117=1,INDEX('計算A'!CB$10:CB$54,$B18),0))*4000,0)-IF(AND('計算A'!BZ$117=1,WX18&gt;0),2000,0)-IF(AND($L18=1,'計算A'!CA$117=1,FZ18=0),2000,0))),1000000))</f>
        <v/>
      </c>
      <c r="RD18">
        <f>IF($B18=0,1000000,IF(INDEX('計算A'!$D$60:$EQ$104,$B18,77)*FZ18=1,IF(AND($E18=2,LO18=0),1000000,IF($I18&gt;0,IF(4=$J18,IF(OR(AND(77=$I18+1,OR($K18&lt;&gt;'計算A'!$A$3,'計算A'!$A$4=0)),AND(77=$I18-1,OR(5&lt;&gt;'計算A'!$A$3,'計算A'!$A$4=0))),0,IF(5=$K18,200000,ABS(5-$K18)*100)),100000+ABS(4-$J18)*1000+50)+'計算A'!CB$5*50+IF(AND($E18=1,LO18=0),25,0),IF($F18&gt;0,INDEX('計算A'!CB$110:CB$114,$F18+1)+IF(AND($E18=1,LO18=0),1000,0),MIN(TX18,20)*400+(IF('計算A'!CA$106=1,1-FY18,0)+IF('計算A'!CB$106=1,1-GA18,0))*150+54+'計算A'!CB$5*100000+IF(AND($E18=1,LO18=0),50000,0))+IF($H18=1,(IF('計算A'!CA$117=1,INDEX('計算A'!CA$10:CA$54,$B18),0)+IF('計算A'!CB$117=1,INDEX('計算A'!CC$10:CC$54,$B18),0))*4000,0)-IF(AND('計算A'!CA$117=1,WY18&gt;0),2000,0)-IF(AND($L18=1,'計算A'!CB$117=1,GA18=0),2000,0))),1000000))</f>
        <v/>
      </c>
      <c r="RE18">
        <f>IF($B18=0,1000000,IF(INDEX('計算A'!$D$60:$EQ$104,$B18,78)*GA18=1,IF(AND($E18=2,LP18=0),1000000,IF($I18&gt;0,IF(4=$J18,IF(OR(AND(78=$I18+1,OR($K18&lt;&gt;'計算A'!$A$3,'計算A'!$A$4=0)),AND(78=$I18-1,OR(6&lt;&gt;'計算A'!$A$3,'計算A'!$A$4=0))),0,IF(6=$K18,200000,ABS(6-$K18)*100)),100000+ABS(4-$J18)*1000+60)+'計算A'!CC$5*50+IF(AND($E18=1,LP18=0),25,0),IF($F18&gt;0,INDEX('計算A'!CC$110:CC$114,$F18+1)+IF(AND($E18=1,LP18=0),1000,0),MIN(TX18,20)*400+(IF('計算A'!CB$106=1,1-FZ18,0)+IF('計算A'!CC$106=1,1-GB18,0))*150+64+'計算A'!CC$5*100000+IF(AND($E18=1,LP18=0),50000,0))+IF($H18=1,(IF('計算A'!CB$117=1,INDEX('計算A'!CB$10:CB$54,$B18),0)+IF('計算A'!CC$117=1,INDEX('計算A'!CD$10:CD$54,$B18),0))*4000,0)-IF(AND('計算A'!CB$117=1,WZ18&gt;0),2000,0)-IF(AND($L18=1,'計算A'!CC$117=1,GB18=0),2000,0))),1000000))</f>
        <v/>
      </c>
      <c r="RF18">
        <f>IF($B18=0,1000000,IF(INDEX('計算A'!$D$60:$EQ$104,$B18,79)*GB18=1,IF(AND($E18=2,LQ18=0),1000000,IF($I18&gt;0,IF(4=$J18,IF(OR(AND(79=$I18+1,OR($K18&lt;&gt;'計算A'!$A$3,'計算A'!$A$4=0)),AND(79=$I18-1,OR(7&lt;&gt;'計算A'!$A$3,'計算A'!$A$4=0))),0,IF(7=$K18,200000,ABS(7-$K18)*100)),100000+ABS(4-$J18)*1000+70)+'計算A'!CD$5*50+IF(AND($E18=1,LQ18=0),25,0),IF($F18&gt;0,INDEX('計算A'!CD$110:CD$114,$F18+1)+IF(AND($E18=1,LQ18=0),1000,0),MIN(TX18,20)*400+(IF('計算A'!CC$106=1,1-GA18,0)+IF('計算A'!CD$106=1,1-GC18,0))*150+74+'計算A'!CD$5*100000+IF(AND($E18=1,LQ18=0),50000,0))+IF($H18=1,(IF('計算A'!CC$117=1,INDEX('計算A'!CC$10:CC$54,$B18),0)+IF('計算A'!CD$117=1,INDEX('計算A'!CE$10:CE$54,$B18),0))*4000,0)-IF(AND('計算A'!CC$117=1,XA18&gt;0),2000,0)-IF(AND($L18=1,'計算A'!CD$117=1,GC18=0),2000,0))),1000000))</f>
        <v/>
      </c>
      <c r="RG18">
        <f>IF($B18=0,1000000,IF(INDEX('計算A'!$D$60:$EQ$104,$B18,80)*GC18=1,IF(AND($E18=2,LR18=0),1000000,IF($I18&gt;0,IF(4=$J18,IF(OR(AND(80=$I18+1,OR($K18&lt;&gt;'計算A'!$A$3,'計算A'!$A$4=0)),AND(80=$I18-1,OR(8&lt;&gt;'計算A'!$A$3,'計算A'!$A$4=0))),0,IF(8=$K18,200000,ABS(8-$K18)*100)),100000+ABS(4-$J18)*1000+80)+'計算A'!CE$5*50+IF(AND($E18=1,LR18=0),25,0),IF($F18&gt;0,INDEX('計算A'!CE$110:CE$114,$F18+1)+IF(AND($E18=1,LR18=0),1000,0),MIN(TX18,20)*400+(IF('計算A'!CD$106=1,1-GB18,0)+IF('計算A'!CE$106=1,1-GD18,0))*150+84+'計算A'!CE$5*100000+IF(AND($E18=1,LR18=0),50000,0))+IF($H18=1,(IF('計算A'!CD$117=1,INDEX('計算A'!CD$10:CD$54,$B18),0)+IF('計算A'!CE$117=1,INDEX('計算A'!CF$10:CF$54,$B18),0))*4000,0)-IF(AND('計算A'!CD$117=1,XB18&gt;0),2000,0)-IF(AND($L18=1,'計算A'!CE$117=1,GD18=0),2000,0))),1000000))</f>
        <v/>
      </c>
      <c r="RH18">
        <f>IF($B18=0,1000000,IF(INDEX('計算A'!$D$60:$EQ$104,$B18,81)*GD18=1,IF(AND($E18=2,LS18=0),1000000,IF($I18&gt;0,IF(4=$J18,IF(OR(AND(81=$I18+1,OR($K18&lt;&gt;'計算A'!$A$3,'計算A'!$A$4=0)),AND(81=$I18-1,OR(9&lt;&gt;'計算A'!$A$3,'計算A'!$A$4=0))),0,IF(9=$K18,200000,ABS(9-$K18)*100)),100000+ABS(4-$J18)*1000+90)+'計算A'!CF$5*50+IF(AND($E18=1,LS18=0),25,0),IF($F18&gt;0,INDEX('計算A'!CF$110:CF$114,$F18+1)+IF(AND($E18=1,LS18=0),1000,0),MIN(TX18,20)*400+(IF('計算A'!CE$106=1,1-GC18,0)+IF('計算A'!CF$106=1,1-GE18,0))*150+94+'計算A'!CF$5*100000+IF(AND($E18=1,LS18=0),50000,0))+IF($H18=1,(IF('計算A'!CE$117=1,INDEX('計算A'!CE$10:CE$54,$B18),0)+IF('計算A'!CF$117=1,INDEX('計算A'!CG$10:CG$54,$B18),0))*4000,0)-IF(AND('計算A'!CE$117=1,XC18&gt;0),2000,0)-IF(AND($L18=1,'計算A'!CF$117=1,GE18=0),2000,0))),1000000))</f>
        <v/>
      </c>
      <c r="RI18">
        <f>IF($B18=0,1000000,IF(INDEX('計算A'!$D$60:$EQ$104,$B18,82)*GE18=1,IF(AND($E18=2,LT18=0),1000000,IF($I18&gt;0,IF(4=$J18,IF(OR(AND(82=$I18+1,OR($K18&lt;&gt;'計算A'!$A$3,'計算A'!$A$4=0)),AND(82=$I18-1,OR(10&lt;&gt;'計算A'!$A$3,'計算A'!$A$4=0))),0,IF(10=$K18,200000,ABS(10-$K18)*100)),100000+ABS(4-$J18)*1000+100)+'計算A'!CG$5*50+IF(AND($E18=1,LT18=0),25,0),IF($F18&gt;0,INDEX('計算A'!CG$110:CG$114,$F18+1)+IF(AND($E18=1,LT18=0),1000,0),MIN(TX18,20)*400+(IF('計算A'!CF$106=1,1-GD18,0)+IF('計算A'!CG$106=1,1-GF18,0))*150+104+'計算A'!CG$5*100000+IF(AND($E18=1,LT18=0),50000,0))+IF($H18=1,(IF('計算A'!CF$117=1,INDEX('計算A'!CF$10:CF$54,$B18),0)+IF('計算A'!CG$117=1,INDEX('計算A'!CH$10:CH$54,$B18),0))*4000,0)-IF(AND('計算A'!CF$117=1,XD18&gt;0),2000,0)-IF(AND($L18=1,'計算A'!CG$117=1,GF18=0),2000,0))),1000000))</f>
        <v/>
      </c>
      <c r="RJ18">
        <f>IF($B18=0,1000000,IF(INDEX('計算A'!$D$60:$EQ$104,$B18,83)*GF18=1,IF(AND($E18=2,LU18=0),1000000,IF($I18&gt;0,IF(4=$J18,IF(OR(AND(83=$I18+1,OR($K18&lt;&gt;'計算A'!$A$3,'計算A'!$A$4=0)),AND(83=$I18-1,OR(11&lt;&gt;'計算A'!$A$3,'計算A'!$A$4=0))),0,IF(11=$K18,200000,ABS(11-$K18)*100)),100000+ABS(4-$J18)*1000+110)+'計算A'!CH$5*50+IF(AND($E18=1,LU18=0),25,0),IF($F18&gt;0,INDEX('計算A'!CH$110:CH$114,$F18+1)+IF(AND($E18=1,LU18=0),1000,0),MIN(TX18,20)*400+(IF('計算A'!CG$106=1,1-GE18,0)+IF('計算A'!CH$106=1,1-GG18,0))*150+114+'計算A'!CH$5*100000+IF(AND($E18=1,LU18=0),50000,0))+IF($H18=1,(IF('計算A'!CG$117=1,INDEX('計算A'!CG$10:CG$54,$B18),0)+IF('計算A'!CH$117=1,INDEX('計算A'!CI$10:CI$54,$B18),0))*4000,0)-IF(AND('計算A'!CG$117=1,XE18&gt;0),2000,0)-IF(AND($L18=1,'計算A'!CH$117=1,GG18=0),2000,0))),1000000))</f>
        <v/>
      </c>
      <c r="RK18">
        <f>IF($B18=0,1000000,IF(INDEX('計算A'!$D$60:$EQ$104,$B18,84)*GG18=1,IF(AND($E18=2,LV18=0),1000000,IF($I18&gt;0,IF(4=$J18,IF(OR(AND(84=$I18+1,OR($K18&lt;&gt;'計算A'!$A$3,'計算A'!$A$4=0)),AND(84=$I18-1,OR(12&lt;&gt;'計算A'!$A$3,'計算A'!$A$4=0))),0,IF(12=$K18,200000,ABS(12-$K18)*100)),100000+ABS(4-$J18)*1000+120)+'計算A'!CI$5*50+IF(AND($E18=1,LV18=0),25,0),IF($F18&gt;0,INDEX('計算A'!CI$110:CI$114,$F18+1)+IF(AND($E18=1,LV18=0),1000,0),MIN(TX18,20)*400+(IF('計算A'!CH$106=1,1-GF18,0)+IF('計算A'!CI$106=1,1-GH18,0))*150+124+'計算A'!CI$5*100000+IF(AND($E18=1,LV18=0),50000,0))+IF($H18=1,(IF('計算A'!CH$117=1,INDEX('計算A'!CH$10:CH$54,$B18),0)+IF('計算A'!CI$117=1,INDEX('計算A'!CJ$10:CJ$54,$B18),0))*4000,0)-IF(AND('計算A'!CH$117=1,XF18&gt;0),2000,0)-IF(AND($L18=1,'計算A'!CI$117=1,GH18=0),2000,0))),1000000))</f>
        <v/>
      </c>
      <c r="RL18">
        <f>IF($B18=0,1000000,IF(INDEX('計算A'!$D$60:$EQ$104,$B18,85)*GH18=1,IF(AND($E18=2,LW18=0),1000000,IF($I18&gt;0,IF(4=$J18,IF(OR(AND(85=$I18+1,OR($K18&lt;&gt;'計算A'!$A$3,'計算A'!$A$4=0)),AND(85=$I18-1,OR(13&lt;&gt;'計算A'!$A$3,'計算A'!$A$4=0))),0,IF(13=$K18,200000,ABS(13-$K18)*100)),100000+ABS(4-$J18)*1000+130)+'計算A'!CJ$5*50+IF(AND($E18=1,LW18=0),25,0),IF($F18&gt;0,INDEX('計算A'!CJ$110:CJ$114,$F18+1)+IF(AND($E18=1,LW18=0),1000,0),MIN(TX18,20)*400+(IF('計算A'!CI$106=1,1-GG18,0)+IF('計算A'!CJ$106=1,1-GI18,0))*150+134+'計算A'!CJ$5*100000+IF(AND($E18=1,LW18=0),50000,0))+IF($H18=1,(IF('計算A'!CI$117=1,INDEX('計算A'!CI$10:CI$54,$B18),0)+IF('計算A'!CJ$117=1,INDEX('計算A'!CK$10:CK$54,$B18),0))*4000,0)-IF(AND('計算A'!CI$117=1,XG18&gt;0),2000,0)-IF(AND($L18=1,'計算A'!CJ$117=1,GI18=0),2000,0))),1000000))</f>
        <v/>
      </c>
      <c r="RM18">
        <f>IF($B18=0,1000000,IF(INDEX('計算A'!$D$60:$EQ$104,$B18,86)*GI18=1,IF(AND($E18=2,LX18=0),1000000,IF($I18&gt;0,IF(4=$J18,IF(OR(AND(86=$I18+1,OR($K18&lt;&gt;'計算A'!$A$3,'計算A'!$A$4=0)),AND(86=$I18-1,OR(14&lt;&gt;'計算A'!$A$3,'計算A'!$A$4=0))),0,IF(14=$K18,200000,ABS(14-$K18)*100)),100000+ABS(4-$J18)*1000+140)+'計算A'!CK$5*50+IF(AND($E18=1,LX18=0),25,0),IF($F18&gt;0,INDEX('計算A'!CK$110:CK$114,$F18+1)+IF(AND($E18=1,LX18=0),1000,0),MIN(TX18,20)*400+(IF('計算A'!CJ$106=1,1-GH18,0)+IF('計算A'!CK$106=1,1-GJ18,0))*150+144+'計算A'!CK$5*100000+IF(AND($E18=1,LX18=0),50000,0))+IF($H18=1,(IF('計算A'!CJ$117=1,INDEX('計算A'!CJ$10:CJ$54,$B18),0)+IF('計算A'!CK$117=1,INDEX('計算A'!CL$10:CL$54,$B18),0))*4000,0)-IF(AND('計算A'!CJ$117=1,XH18&gt;0),2000,0)-IF(AND($L18=1,'計算A'!CK$117=1,GJ18=0),2000,0))),1000000))</f>
        <v/>
      </c>
      <c r="RN18">
        <f>IF($B18=0,1000000,IF(INDEX('計算A'!$D$60:$EQ$104,$B18,87)*GJ18=1,IF(AND($E18=2,LY18=0),1000000,IF($I18&gt;0,IF(4=$J18,IF(OR(AND(87=$I18+1,OR($K18&lt;&gt;'計算A'!$A$3,'計算A'!$A$4=0)),AND(87=$I18-1,OR(15&lt;&gt;'計算A'!$A$3,'計算A'!$A$4=0))),0,IF(15=$K18,200000,ABS(15-$K18)*100)),100000+ABS(4-$J18)*1000+150)+'計算A'!CL$5*50+IF(AND($E18=1,LY18=0),25,0),IF($F18&gt;0,INDEX('計算A'!CL$110:CL$114,$F18+1)+IF(AND($E18=1,LY18=0),1000,0),MIN(TX18,20)*400+(IF('計算A'!CK$106=1,1-GI18,0)+IF('計算A'!CL$106=1,1-GK18,0))*150+154+'計算A'!CL$5*100000+IF(AND($E18=1,LY18=0),50000,0))+IF($H18=1,(IF('計算A'!CK$117=1,INDEX('計算A'!CK$10:CK$54,$B18),0)+IF('計算A'!CL$117=1,INDEX('計算A'!CM$10:CM$54,$B18),0))*4000,0)-IF(AND('計算A'!CK$117=1,XI18&gt;0),2000,0)-IF(AND($L18=1,'計算A'!CL$117=1,GK18=0),2000,0))),1000000))</f>
        <v/>
      </c>
      <c r="RO18">
        <f>IF($B18=0,1000000,IF(INDEX('計算A'!$D$60:$EQ$104,$B18,88)*GK18=1,IF(AND($E18=2,LZ18=0),1000000,IF($I18&gt;0,IF(4=$J18,IF(OR(AND(88=$I18+1,OR($K18&lt;&gt;'計算A'!$A$3,'計算A'!$A$4=0)),AND(88=$I18-1,OR(16&lt;&gt;'計算A'!$A$3,'計算A'!$A$4=0))),0,IF(16=$K18,200000,ABS(16-$K18)*100)),100000+ABS(4-$J18)*1000+160)+'計算A'!CM$5*50+IF(AND($E18=1,LZ18=0),25,0),IF($F18&gt;0,INDEX('計算A'!CM$110:CM$114,$F18+1)+IF(AND($E18=1,LZ18=0),1000,0),MIN(TX18,20)*400+(IF('計算A'!CL$106=1,1-GJ18,0)+IF('計算A'!CM$106=1,1-GL18,0))*150+164+'計算A'!CM$5*100000+IF(AND($E18=1,LZ18=0),50000,0))+IF($H18=1,(IF('計算A'!CL$117=1,INDEX('計算A'!CL$10:CL$54,$B18),0)+IF('計算A'!CM$117=1,INDEX('計算A'!CN$10:CN$54,$B18),0))*4000,0)-IF(AND('計算A'!CL$117=1,XJ18&gt;0),2000,0)-IF(AND($L18=1,'計算A'!CM$117=1,GL18=0),2000,0))),1000000))</f>
        <v/>
      </c>
      <c r="RP18">
        <f>IF($B18=0,1000000,IF(INDEX('計算A'!$D$60:$EQ$104,$B18,89)*GL18=1,IF(AND($E18=2,MA18=0),1000000,IF($I18&gt;0,IF(4=$J18,IF(OR(AND(89=$I18+1,OR($K18&lt;&gt;'計算A'!$A$3,'計算A'!$A$4=0)),AND(89=$I18-1,OR(17&lt;&gt;'計算A'!$A$3,'計算A'!$A$4=0))),0,IF(17=$K18,200000,ABS(17-$K18)*100)),100000+ABS(4-$J18)*1000+170)+'計算A'!CN$5*50+IF(AND($E18=1,MA18=0),25,0),IF($F18&gt;0,INDEX('計算A'!CN$110:CN$114,$F18+1)+IF(AND($E18=1,MA18=0),1000,0),MIN(TX18,20)*400+(IF('計算A'!CM$106=1,1-GK18,0)+IF('計算A'!CN$106=1,1-GM18,0))*150+174+'計算A'!CN$5*100000+IF(AND($E18=1,MA18=0),50000,0))+IF($H18=1,(IF('計算A'!CM$117=1,INDEX('計算A'!CM$10:CM$54,$B18),0)+IF('計算A'!CN$117=1,INDEX('計算A'!CO$10:CO$54,$B18),0))*4000,0)-IF(AND('計算A'!CM$117=1,XK18&gt;0),2000,0)-IF(AND($L18=1,'計算A'!CN$117=1,GM18=0),2000,0))),1000000))</f>
        <v/>
      </c>
      <c r="RQ18">
        <f>IF($B18=0,1000000,IF(INDEX('計算A'!$D$60:$EQ$104,$B18,90)*GM18=1,IF(AND($E18=2,MB18=0),1000000,IF($I18&gt;0,IF(4=$J18,IF(OR(AND(90=$I18+1,OR($K18&lt;&gt;'計算A'!$A$3,'計算A'!$A$4=0)),AND(90=$I18-1,OR(18&lt;&gt;'計算A'!$A$3,'計算A'!$A$4=0))),0,IF(18=$K18,200000,ABS(18-$K18)*100)),100000+ABS(4-$J18)*1000+180)+'計算A'!CO$5*50+IF(AND($E18=1,MB18=0),25,0),IF($F18&gt;0,INDEX('計算A'!CO$110:CO$114,$F18+1)+IF(AND($E18=1,MB18=0),1000,0),MIN(TX18,20)*400+(IF('計算A'!CN$106=1,1-GL18,0)+IF('計算A'!CO$106=1,1-GN18,0))*150+184+'計算A'!CO$5*100000+IF(AND($E18=1,MB18=0),50000,0))+IF($H18=1,(IF('計算A'!CN$117=1,INDEX('計算A'!CN$10:CN$54,$B18),0)+IF('計算A'!CO$117=1,INDEX('計算A'!CP$10:CP$54,$B18),0))*4000,0)-IF(AND('計算A'!CN$117=1,XL18&gt;0),2000,0)-IF(AND($L18=1,'計算A'!CO$117=1,GN18=0),2000,0))),1000000))</f>
        <v/>
      </c>
      <c r="RR18">
        <f>IF($B18=0,1000000,IF(INDEX('計算A'!$D$60:$EQ$104,$B18,91)*GN18=1,IF(AND($E18=2,MC18=0),1000000,IF($I18&gt;0,IF(4=$J18,IF(OR(AND(91=$I18+1,OR($K18&lt;&gt;'計算A'!$A$3,'計算A'!$A$4=0)),AND(91=$I18-1,OR(19&lt;&gt;'計算A'!$A$3,'計算A'!$A$4=0))),0,IF(19=$K18,200000,ABS(19-$K18)*100)),100000+ABS(4-$J18)*1000+190)+'計算A'!CP$5*50+IF(AND($E18=1,MC18=0),25,0),IF($F18&gt;0,INDEX('計算A'!CP$110:CP$114,$F18+1)+IF(AND($E18=1,MC18=0),1000,0),MIN(TX18,20)*400+(IF('計算A'!CO$106=1,1-GM18,0)+IF('計算A'!CP$106=1,1-GO18,0))*150+194+'計算A'!CP$5*100000+IF(AND($E18=1,MC18=0),50000,0))+IF($H18=1,(IF('計算A'!CO$117=1,INDEX('計算A'!CO$10:CO$54,$B18),0)+IF('計算A'!CP$117=1,INDEX('計算A'!CQ$10:CQ$54,$B18),0))*4000,0)-IF(AND('計算A'!CO$117=1,XM18&gt;0),2000,0)-IF(AND($L18=1,'計算A'!CP$117=1,GO18=0),2000,0))),1000000))</f>
        <v/>
      </c>
      <c r="RS18">
        <f>IF($B18=0,1000000,IF(INDEX('計算A'!$D$60:$EQ$104,$B18,92)*GO18=1,IF(AND($E18=2,MD18=0),1000000,IF($I18&gt;0,IF(4=$J18,IF(OR(AND(92=$I18+1,OR($K18&lt;&gt;'計算A'!$A$3,'計算A'!$A$4=0)),AND(92=$I18-1,OR(20&lt;&gt;'計算A'!$A$3,'計算A'!$A$4=0))),0,IF(20=$K18,200000,ABS(20-$K18)*100)),100000+ABS(4-$J18)*1000+200)+'計算A'!CQ$5*50+IF(AND($E18=1,MD18=0),25,0),IF($F18&gt;0,INDEX('計算A'!CQ$110:CQ$114,$F18+1)+IF(AND($E18=1,MD18=0),1000,0),MIN(TX18,20)*400+(IF('計算A'!CP$106=1,1-GN18,0)+IF('計算A'!CQ$106=1,1-GP18,0))*150+204+'計算A'!CQ$5*100000+IF(AND($E18=1,MD18=0),50000,0))+IF($H18=1,(IF('計算A'!CP$117=1,INDEX('計算A'!CP$10:CP$54,$B18),0)+IF('計算A'!CQ$117=1,INDEX('計算A'!CR$10:CR$54,$B18),0))*4000,0)-IF(AND('計算A'!CP$117=1,XN18&gt;0),2000,0)-IF(AND($L18=1,'計算A'!CQ$117=1,GP18=0),2000,0))),1000000))</f>
        <v/>
      </c>
      <c r="RT18">
        <f>IF($B18=0,1000000,IF(INDEX('計算A'!$D$60:$EQ$104,$B18,93)*GP18=1,IF(AND($E18=2,ME18=0),1000000,IF($I18&gt;0,IF(4=$J18,IF(OR(AND(93=$I18+1,OR($K18&lt;&gt;'計算A'!$A$3,'計算A'!$A$4=0)),AND(93=$I18-1,OR(21&lt;&gt;'計算A'!$A$3,'計算A'!$A$4=0))),0,IF(21=$K18,200000,ABS(21-$K18)*100)),100000+ABS(4-$J18)*1000+210)+'計算A'!CR$5*50+IF(AND($E18=1,ME18=0),25,0),IF($F18&gt;0,INDEX('計算A'!CR$110:CR$114,$F18+1)+IF(AND($E18=1,ME18=0),1000,0),MIN(TX18,20)*400+(IF('計算A'!CQ$106=1,1-GO18,0)+IF('計算A'!CR$106=1,1-GQ18,0))*150+214+'計算A'!CR$5*100000+IF(AND($E18=1,ME18=0),50000,0))+IF($H18=1,(IF('計算A'!CQ$117=1,INDEX('計算A'!CQ$10:CQ$54,$B18),0)+IF('計算A'!CR$117=1,INDEX('計算A'!CS$10:CS$54,$B18),0))*4000,0)-IF(AND('計算A'!CQ$117=1,XO18&gt;0),2000,0)-IF(AND($L18=1,'計算A'!CR$117=1,GQ18=0),2000,0))),1000000))</f>
        <v/>
      </c>
      <c r="RU18">
        <f>IF($B18=0,1000000,IF(INDEX('計算A'!$D$60:$EQ$104,$B18,94)*GQ18=1,IF(AND($E18=2,MF18=0),1000000,IF($I18&gt;0,IF(4=$J18,IF(OR(AND(94=$I18+1,OR($K18&lt;&gt;'計算A'!$A$3,'計算A'!$A$4=0)),AND(94=$I18-1,OR(22&lt;&gt;'計算A'!$A$3,'計算A'!$A$4=0))),0,IF(22=$K18,200000,ABS(22-$K18)*100)),100000+ABS(4-$J18)*1000+220)+'計算A'!CS$5*50+IF(AND($E18=1,MF18=0),25,0),IF($F18&gt;0,INDEX('計算A'!CS$110:CS$114,$F18+1)+IF(AND($E18=1,MF18=0),1000,0),MIN(TX18,20)*400+(IF('計算A'!CR$106=1,1-GP18,0)+IF('計算A'!CS$106=1,1-GR18,0))*150+224+'計算A'!CS$5*100000+IF(AND($E18=1,MF18=0),50000,0))+IF($H18=1,(IF('計算A'!CR$117=1,INDEX('計算A'!CR$10:CR$54,$B18),0)+IF('計算A'!CS$117=1,INDEX('計算A'!CT$10:CT$54,$B18),0))*4000,0)-IF(AND('計算A'!CR$117=1,XP18&gt;0),2000,0)-IF(AND($L18=1,'計算A'!CS$117=1,GR18=0),2000,0))),1000000))</f>
        <v/>
      </c>
      <c r="RV18">
        <f>IF($B18=0,1000000,IF(INDEX('計算A'!$D$60:$EQ$104,$B18,95)*GR18=1,IF(AND($E18=2,MG18=0),1000000,IF($I18&gt;0,IF(4=$J18,IF(OR(AND(95=$I18+1,OR($K18&lt;&gt;'計算A'!$A$3,'計算A'!$A$4=0)),AND(95=$I18-1,OR(23&lt;&gt;'計算A'!$A$3,'計算A'!$A$4=0))),0,IF(23=$K18,200000,ABS(23-$K18)*100)),100000+ABS(4-$J18)*1000+230)+'計算A'!CT$5*50+IF(AND($E18=1,MG18=0),25,0),IF($F18&gt;0,INDEX('計算A'!CT$110:CT$114,$F18+1)+IF(AND($E18=1,MG18=0),1000,0),MIN(TX18,20)*400+(IF('計算A'!CS$106=1,1-GQ18,0)+IF('計算A'!CT$106=1,1-GS18,0))*150+234+'計算A'!CT$5*100000+IF(AND($E18=1,MG18=0),50000,0))+IF($H18=1,(IF('計算A'!CS$117=1,INDEX('計算A'!CS$10:CS$54,$B18),0)+IF('計算A'!CT$117=1,INDEX('計算A'!CU$10:CU$54,$B18),0))*4000,0)-IF(AND('計算A'!CS$117=1,XQ18&gt;0),2000,0)-IF(AND($L18=1,'計算A'!CT$117=1,GS18=0),2000,0))),1000000))</f>
        <v/>
      </c>
      <c r="RW18">
        <f>IF($B18=0,1000000,IF(INDEX('計算A'!$D$60:$EQ$104,$B18,96)*GS18=1,IF(AND($E18=2,MH18=0),1000000,IF($I18&gt;0,IF(4=$J18,IF(OR(AND(96=$I18+1,OR($K18&lt;&gt;'計算A'!$A$3,'計算A'!$A$4=0)),AND(96=$I18-1,OR(24&lt;&gt;'計算A'!$A$3,'計算A'!$A$4=0))),0,IF(24=$K18,200000,ABS(24-$K18)*100)),100000+ABS(4-$J18)*1000+240)+'計算A'!CU$5*50+IF(AND($E18=1,MH18=0),25,0),IF($F18&gt;0,INDEX('計算A'!CU$110:CU$114,$F18+1)+IF(AND($E18=1,MH18=0),1000,0),MIN(TX18,20)*400+(IF('計算A'!CT$106=1,1-GR18,0))*150+244+'計算A'!CU$5*100000+IF(AND($E18=1,MH18=0),50000,0))+IF($H18=1,(IF('計算A'!CT$117=1,INDEX('計算A'!CT$10:CT$54,$B18),0))*4000,0)-IF(AND('計算A'!CT$117=1,XR18&gt;0),2000,0))),1000000))</f>
        <v/>
      </c>
      <c r="RX18">
        <f>IF($B18=0,1000000,IF(INDEX('計算A'!$D$60:$EQ$104,$B18,97)*GT18=1,IF(AND($E18=2,MI18=0),1000000,IF($I18&gt;0,IF(5=$J18,IF(OR(AND(97=$I18+1,OR($K18&lt;&gt;'計算A'!$A$3,'計算A'!$A$4=0)),AND(97=$I18-1,OR(1&lt;&gt;'計算A'!$A$3,'計算A'!$A$4=0))),0,IF(1=$K18,200000,ABS(1-$K18)*100)),100000+ABS(5-$J18)*1000+10)+'計算A'!CV$5*50+IF(AND($E18=1,MI18=0),25,0),IF($F18&gt;0,INDEX('計算A'!CV$110:CV$114,$F18+1)+IF(AND($E18=1,MI18=0),1000,0),MIN(TY18,20)*400+(IF('計算A'!CV$106=1,1-GU18,0))*150+15+'計算A'!CV$5*100000+IF(AND($E18=1,MI18=0),50000,0))+IF($H18=1,(IF('計算A'!CV$117=1,INDEX('計算A'!CW$10:CW$54,$B18),0))*4000,0)-IF(AND($L18=1,'計算A'!CV$117=1,GU18=0),2000,0))),1000000))</f>
        <v/>
      </c>
      <c r="RY18">
        <f>IF($B18=0,1000000,IF(INDEX('計算A'!$D$60:$EQ$104,$B18,98)*GU18=1,IF(AND($E18=2,MJ18=0),1000000,IF($I18&gt;0,IF(5=$J18,IF(OR(AND(98=$I18+1,OR($K18&lt;&gt;'計算A'!$A$3,'計算A'!$A$4=0)),AND(98=$I18-1,OR(2&lt;&gt;'計算A'!$A$3,'計算A'!$A$4=0))),0,IF(2=$K18,200000,ABS(2-$K18)*100)),100000+ABS(5-$J18)*1000+20)+'計算A'!CW$5*50+IF(AND($E18=1,MJ18=0),25,0),IF($F18&gt;0,INDEX('計算A'!CW$110:CW$114,$F18+1)+IF(AND($E18=1,MJ18=0),1000,0),MIN(TY18,20)*400+(IF('計算A'!CV$106=1,1-GT18,0)+IF('計算A'!CW$106=1,1-GV18,0))*150+25+'計算A'!CW$5*100000+IF(AND($E18=1,MJ18=0),50000,0))+IF($H18=1,(IF('計算A'!CV$117=1,INDEX('計算A'!CV$10:CV$54,$B18),0)+IF('計算A'!CW$117=1,INDEX('計算A'!CX$10:CX$54,$B18),0))*4000,0)-IF(AND('計算A'!CV$117=1,XT18&gt;0),2000,0)-IF(AND($L18=1,'計算A'!CW$117=1,GV18=0),2000,0))),1000000))</f>
        <v/>
      </c>
      <c r="RZ18">
        <f>IF($B18=0,1000000,IF(INDEX('計算A'!$D$60:$EQ$104,$B18,99)*GV18=1,IF(AND($E18=2,MK18=0),1000000,IF($I18&gt;0,IF(5=$J18,IF(OR(AND(99=$I18+1,OR($K18&lt;&gt;'計算A'!$A$3,'計算A'!$A$4=0)),AND(99=$I18-1,OR(3&lt;&gt;'計算A'!$A$3,'計算A'!$A$4=0))),0,IF(3=$K18,200000,ABS(3-$K18)*100)),100000+ABS(5-$J18)*1000+30)+'計算A'!CX$5*50+IF(AND($E18=1,MK18=0),25,0),IF($F18&gt;0,INDEX('計算A'!CX$110:CX$114,$F18+1)+IF(AND($E18=1,MK18=0),1000,0),MIN(TY18,20)*400+(IF('計算A'!CW$106=1,1-GU18,0)+IF('計算A'!CX$106=1,1-GW18,0))*150+35+'計算A'!CX$5*100000+IF(AND($E18=1,MK18=0),50000,0))+IF($H18=1,(IF('計算A'!CW$117=1,INDEX('計算A'!CW$10:CW$54,$B18),0)+IF('計算A'!CX$117=1,INDEX('計算A'!CY$10:CY$54,$B18),0))*4000,0)-IF(AND('計算A'!CW$117=1,XU18&gt;0),2000,0)-IF(AND($L18=1,'計算A'!CX$117=1,GW18=0),2000,0))),1000000))</f>
        <v/>
      </c>
      <c r="SA18">
        <f>IF($B18=0,1000000,IF(INDEX('計算A'!$D$60:$EQ$104,$B18,100)*GW18=1,IF(AND($E18=2,ML18=0),1000000,IF($I18&gt;0,IF(5=$J18,IF(OR(AND(100=$I18+1,OR($K18&lt;&gt;'計算A'!$A$3,'計算A'!$A$4=0)),AND(100=$I18-1,OR(4&lt;&gt;'計算A'!$A$3,'計算A'!$A$4=0))),0,IF(4=$K18,200000,ABS(4-$K18)*100)),100000+ABS(5-$J18)*1000+40)+'計算A'!CY$5*50+IF(AND($E18=1,ML18=0),25,0),IF($F18&gt;0,INDEX('計算A'!CY$110:CY$114,$F18+1)+IF(AND($E18=1,ML18=0),1000,0),MIN(TY18,20)*400+(IF('計算A'!CX$106=1,1-GV18,0)+IF('計算A'!CY$106=1,1-GX18,0))*150+45+'計算A'!CY$5*100000+IF(AND($E18=1,ML18=0),50000,0))+IF($H18=1,(IF('計算A'!CX$117=1,INDEX('計算A'!CX$10:CX$54,$B18),0)+IF('計算A'!CY$117=1,INDEX('計算A'!CZ$10:CZ$54,$B18),0))*4000,0)-IF(AND('計算A'!CX$117=1,XV18&gt;0),2000,0)-IF(AND($L18=1,'計算A'!CY$117=1,GX18=0),2000,0))),1000000))</f>
        <v/>
      </c>
      <c r="SB18">
        <f>IF($B18=0,1000000,IF(INDEX('計算A'!$D$60:$EQ$104,$B18,101)*GX18=1,IF(AND($E18=2,MM18=0),1000000,IF($I18&gt;0,IF(5=$J18,IF(OR(AND(101=$I18+1,OR($K18&lt;&gt;'計算A'!$A$3,'計算A'!$A$4=0)),AND(101=$I18-1,OR(5&lt;&gt;'計算A'!$A$3,'計算A'!$A$4=0))),0,IF(5=$K18,200000,ABS(5-$K18)*100)),100000+ABS(5-$J18)*1000+50)+'計算A'!CZ$5*50+IF(AND($E18=1,MM18=0),25,0),IF($F18&gt;0,INDEX('計算A'!CZ$110:CZ$114,$F18+1)+IF(AND($E18=1,MM18=0),1000,0),MIN(TY18,20)*400+(IF('計算A'!CY$106=1,1-GW18,0)+IF('計算A'!CZ$106=1,1-GY18,0))*150+55+'計算A'!CZ$5*100000+IF(AND($E18=1,MM18=0),50000,0))+IF($H18=1,(IF('計算A'!CY$117=1,INDEX('計算A'!CY$10:CY$54,$B18),0)+IF('計算A'!CZ$117=1,INDEX('計算A'!DA$10:DA$54,$B18),0))*4000,0)-IF(AND('計算A'!CY$117=1,XW18&gt;0),2000,0)-IF(AND($L18=1,'計算A'!CZ$117=1,GY18=0),2000,0))),1000000))</f>
        <v/>
      </c>
      <c r="SC18">
        <f>IF($B18=0,1000000,IF(INDEX('計算A'!$D$60:$EQ$104,$B18,102)*GY18=1,IF(AND($E18=2,MN18=0),1000000,IF($I18&gt;0,IF(5=$J18,IF(OR(AND(102=$I18+1,OR($K18&lt;&gt;'計算A'!$A$3,'計算A'!$A$4=0)),AND(102=$I18-1,OR(6&lt;&gt;'計算A'!$A$3,'計算A'!$A$4=0))),0,IF(6=$K18,200000,ABS(6-$K18)*100)),100000+ABS(5-$J18)*1000+60)+'計算A'!DA$5*50+IF(AND($E18=1,MN18=0),25,0),IF($F18&gt;0,INDEX('計算A'!DA$110:DA$114,$F18+1)+IF(AND($E18=1,MN18=0),1000,0),MIN(TY18,20)*400+(IF('計算A'!CZ$106=1,1-GX18,0)+IF('計算A'!DA$106=1,1-GZ18,0))*150+65+'計算A'!DA$5*100000+IF(AND($E18=1,MN18=0),50000,0))+IF($H18=1,(IF('計算A'!CZ$117=1,INDEX('計算A'!CZ$10:CZ$54,$B18),0)+IF('計算A'!DA$117=1,INDEX('計算A'!DB$10:DB$54,$B18),0))*4000,0)-IF(AND('計算A'!CZ$117=1,XX18&gt;0),2000,0)-IF(AND($L18=1,'計算A'!DA$117=1,GZ18=0),2000,0))),1000000))</f>
        <v/>
      </c>
      <c r="SD18">
        <f>IF($B18=0,1000000,IF(INDEX('計算A'!$D$60:$EQ$104,$B18,103)*GZ18=1,IF(AND($E18=2,MO18=0),1000000,IF($I18&gt;0,IF(5=$J18,IF(OR(AND(103=$I18+1,OR($K18&lt;&gt;'計算A'!$A$3,'計算A'!$A$4=0)),AND(103=$I18-1,OR(7&lt;&gt;'計算A'!$A$3,'計算A'!$A$4=0))),0,IF(7=$K18,200000,ABS(7-$K18)*100)),100000+ABS(5-$J18)*1000+70)+'計算A'!DB$5*50+IF(AND($E18=1,MO18=0),25,0),IF($F18&gt;0,INDEX('計算A'!DB$110:DB$114,$F18+1)+IF(AND($E18=1,MO18=0),1000,0),MIN(TY18,20)*400+(IF('計算A'!DA$106=1,1-GY18,0)+IF('計算A'!DB$106=1,1-HA18,0))*150+75+'計算A'!DB$5*100000+IF(AND($E18=1,MO18=0),50000,0))+IF($H18=1,(IF('計算A'!DA$117=1,INDEX('計算A'!DA$10:DA$54,$B18),0)+IF('計算A'!DB$117=1,INDEX('計算A'!DC$10:DC$54,$B18),0))*4000,0)-IF(AND('計算A'!DA$117=1,XY18&gt;0),2000,0)-IF(AND($L18=1,'計算A'!DB$117=1,HA18=0),2000,0))),1000000))</f>
        <v/>
      </c>
      <c r="SE18">
        <f>IF($B18=0,1000000,IF(INDEX('計算A'!$D$60:$EQ$104,$B18,104)*HA18=1,IF(AND($E18=2,MP18=0),1000000,IF($I18&gt;0,IF(5=$J18,IF(OR(AND(104=$I18+1,OR($K18&lt;&gt;'計算A'!$A$3,'計算A'!$A$4=0)),AND(104=$I18-1,OR(8&lt;&gt;'計算A'!$A$3,'計算A'!$A$4=0))),0,IF(8=$K18,200000,ABS(8-$K18)*100)),100000+ABS(5-$J18)*1000+80)+'計算A'!DC$5*50+IF(AND($E18=1,MP18=0),25,0),IF($F18&gt;0,INDEX('計算A'!DC$110:DC$114,$F18+1)+IF(AND($E18=1,MP18=0),1000,0),MIN(TY18,20)*400+(IF('計算A'!DB$106=1,1-GZ18,0)+IF('計算A'!DC$106=1,1-HB18,0))*150+85+'計算A'!DC$5*100000+IF(AND($E18=1,MP18=0),50000,0))+IF($H18=1,(IF('計算A'!DB$117=1,INDEX('計算A'!DB$10:DB$54,$B18),0)+IF('計算A'!DC$117=1,INDEX('計算A'!DD$10:DD$54,$B18),0))*4000,0)-IF(AND('計算A'!DB$117=1,XZ18&gt;0),2000,0)-IF(AND($L18=1,'計算A'!DC$117=1,HB18=0),2000,0))),1000000))</f>
        <v/>
      </c>
      <c r="SF18">
        <f>IF($B18=0,1000000,IF(INDEX('計算A'!$D$60:$EQ$104,$B18,105)*HB18=1,IF(AND($E18=2,MQ18=0),1000000,IF($I18&gt;0,IF(5=$J18,IF(OR(AND(105=$I18+1,OR($K18&lt;&gt;'計算A'!$A$3,'計算A'!$A$4=0)),AND(105=$I18-1,OR(9&lt;&gt;'計算A'!$A$3,'計算A'!$A$4=0))),0,IF(9=$K18,200000,ABS(9-$K18)*100)),100000+ABS(5-$J18)*1000+90)+'計算A'!DD$5*50+IF(AND($E18=1,MQ18=0),25,0),IF($F18&gt;0,INDEX('計算A'!DD$110:DD$114,$F18+1)+IF(AND($E18=1,MQ18=0),1000,0),MIN(TY18,20)*400+(IF('計算A'!DC$106=1,1-HA18,0)+IF('計算A'!DD$106=1,1-HC18,0))*150+95+'計算A'!DD$5*100000+IF(AND($E18=1,MQ18=0),50000,0))+IF($H18=1,(IF('計算A'!DC$117=1,INDEX('計算A'!DC$10:DC$54,$B18),0)+IF('計算A'!DD$117=1,INDEX('計算A'!DE$10:DE$54,$B18),0))*4000,0)-IF(AND('計算A'!DC$117=1,YA18&gt;0),2000,0)-IF(AND($L18=1,'計算A'!DD$117=1,HC18=0),2000,0))),1000000))</f>
        <v/>
      </c>
      <c r="SG18">
        <f>IF($B18=0,1000000,IF(INDEX('計算A'!$D$60:$EQ$104,$B18,106)*HC18=1,IF(AND($E18=2,MR18=0),1000000,IF($I18&gt;0,IF(5=$J18,IF(OR(AND(106=$I18+1,OR($K18&lt;&gt;'計算A'!$A$3,'計算A'!$A$4=0)),AND(106=$I18-1,OR(10&lt;&gt;'計算A'!$A$3,'計算A'!$A$4=0))),0,IF(10=$K18,200000,ABS(10-$K18)*100)),100000+ABS(5-$J18)*1000+100)+'計算A'!DE$5*50+IF(AND($E18=1,MR18=0),25,0),IF($F18&gt;0,INDEX('計算A'!DE$110:DE$114,$F18+1)+IF(AND($E18=1,MR18=0),1000,0),MIN(TY18,20)*400+(IF('計算A'!DD$106=1,1-HB18,0)+IF('計算A'!DE$106=1,1-HD18,0))*150+105+'計算A'!DE$5*100000+IF(AND($E18=1,MR18=0),50000,0))+IF($H18=1,(IF('計算A'!DD$117=1,INDEX('計算A'!DD$10:DD$54,$B18),0)+IF('計算A'!DE$117=1,INDEX('計算A'!DF$10:DF$54,$B18),0))*4000,0)-IF(AND('計算A'!DD$117=1,YB18&gt;0),2000,0)-IF(AND($L18=1,'計算A'!DE$117=1,HD18=0),2000,0))),1000000))</f>
        <v/>
      </c>
      <c r="SH18">
        <f>IF($B18=0,1000000,IF(INDEX('計算A'!$D$60:$EQ$104,$B18,107)*HD18=1,IF(AND($E18=2,MS18=0),1000000,IF($I18&gt;0,IF(5=$J18,IF(OR(AND(107=$I18+1,OR($K18&lt;&gt;'計算A'!$A$3,'計算A'!$A$4=0)),AND(107=$I18-1,OR(11&lt;&gt;'計算A'!$A$3,'計算A'!$A$4=0))),0,IF(11=$K18,200000,ABS(11-$K18)*100)),100000+ABS(5-$J18)*1000+110)+'計算A'!DF$5*50+IF(AND($E18=1,MS18=0),25,0),IF($F18&gt;0,INDEX('計算A'!DF$110:DF$114,$F18+1)+IF(AND($E18=1,MS18=0),1000,0),MIN(TY18,20)*400+(IF('計算A'!DE$106=1,1-HC18,0)+IF('計算A'!DF$106=1,1-HE18,0))*150+115+'計算A'!DF$5*100000+IF(AND($E18=1,MS18=0),50000,0))+IF($H18=1,(IF('計算A'!DE$117=1,INDEX('計算A'!DE$10:DE$54,$B18),0)+IF('計算A'!DF$117=1,INDEX('計算A'!DG$10:DG$54,$B18),0))*4000,0)-IF(AND('計算A'!DE$117=1,YC18&gt;0),2000,0)-IF(AND($L18=1,'計算A'!DF$117=1,HE18=0),2000,0))),1000000))</f>
        <v/>
      </c>
      <c r="SI18">
        <f>IF($B18=0,1000000,IF(INDEX('計算A'!$D$60:$EQ$104,$B18,108)*HE18=1,IF(AND($E18=2,MT18=0),1000000,IF($I18&gt;0,IF(5=$J18,IF(OR(AND(108=$I18+1,OR($K18&lt;&gt;'計算A'!$A$3,'計算A'!$A$4=0)),AND(108=$I18-1,OR(12&lt;&gt;'計算A'!$A$3,'計算A'!$A$4=0))),0,IF(12=$K18,200000,ABS(12-$K18)*100)),100000+ABS(5-$J18)*1000+120)+'計算A'!DG$5*50+IF(AND($E18=1,MT18=0),25,0),IF($F18&gt;0,INDEX('計算A'!DG$110:DG$114,$F18+1)+IF(AND($E18=1,MT18=0),1000,0),MIN(TY18,20)*400+(IF('計算A'!DF$106=1,1-HD18,0)+IF('計算A'!DG$106=1,1-HF18,0))*150+125+'計算A'!DG$5*100000+IF(AND($E18=1,MT18=0),50000,0))+IF($H18=1,(IF('計算A'!DF$117=1,INDEX('計算A'!DF$10:DF$54,$B18),0)+IF('計算A'!DG$117=1,INDEX('計算A'!DH$10:DH$54,$B18),0))*4000,0)-IF(AND('計算A'!DF$117=1,YD18&gt;0),2000,0)-IF(AND($L18=1,'計算A'!DG$117=1,HF18=0),2000,0))),1000000))</f>
        <v/>
      </c>
      <c r="SJ18">
        <f>IF($B18=0,1000000,IF(INDEX('計算A'!$D$60:$EQ$104,$B18,109)*HF18=1,IF(AND($E18=2,MU18=0),1000000,IF($I18&gt;0,IF(5=$J18,IF(OR(AND(109=$I18+1,OR($K18&lt;&gt;'計算A'!$A$3,'計算A'!$A$4=0)),AND(109=$I18-1,OR(13&lt;&gt;'計算A'!$A$3,'計算A'!$A$4=0))),0,IF(13=$K18,200000,ABS(13-$K18)*100)),100000+ABS(5-$J18)*1000+130)+'計算A'!DH$5*50+IF(AND($E18=1,MU18=0),25,0),IF($F18&gt;0,INDEX('計算A'!DH$110:DH$114,$F18+1)+IF(AND($E18=1,MU18=0),1000,0),MIN(TY18,20)*400+(IF('計算A'!DG$106=1,1-HE18,0)+IF('計算A'!DH$106=1,1-HG18,0))*150+135+'計算A'!DH$5*100000+IF(AND($E18=1,MU18=0),50000,0))+IF($H18=1,(IF('計算A'!DG$117=1,INDEX('計算A'!DG$10:DG$54,$B18),0)+IF('計算A'!DH$117=1,INDEX('計算A'!DI$10:DI$54,$B18),0))*4000,0)-IF(AND('計算A'!DG$117=1,YE18&gt;0),2000,0)-IF(AND($L18=1,'計算A'!DH$117=1,HG18=0),2000,0))),1000000))</f>
        <v/>
      </c>
      <c r="SK18">
        <f>IF($B18=0,1000000,IF(INDEX('計算A'!$D$60:$EQ$104,$B18,110)*HG18=1,IF(AND($E18=2,MV18=0),1000000,IF($I18&gt;0,IF(5=$J18,IF(OR(AND(110=$I18+1,OR($K18&lt;&gt;'計算A'!$A$3,'計算A'!$A$4=0)),AND(110=$I18-1,OR(14&lt;&gt;'計算A'!$A$3,'計算A'!$A$4=0))),0,IF(14=$K18,200000,ABS(14-$K18)*100)),100000+ABS(5-$J18)*1000+140)+'計算A'!DI$5*50+IF(AND($E18=1,MV18=0),25,0),IF($F18&gt;0,INDEX('計算A'!DI$110:DI$114,$F18+1)+IF(AND($E18=1,MV18=0),1000,0),MIN(TY18,20)*400+(IF('計算A'!DH$106=1,1-HF18,0)+IF('計算A'!DI$106=1,1-HH18,0))*150+145+'計算A'!DI$5*100000+IF(AND($E18=1,MV18=0),50000,0))+IF($H18=1,(IF('計算A'!DH$117=1,INDEX('計算A'!DH$10:DH$54,$B18),0)+IF('計算A'!DI$117=1,INDEX('計算A'!DJ$10:DJ$54,$B18),0))*4000,0)-IF(AND('計算A'!DH$117=1,YF18&gt;0),2000,0)-IF(AND($L18=1,'計算A'!DI$117=1,HH18=0),2000,0))),1000000))</f>
        <v/>
      </c>
      <c r="SL18">
        <f>IF($B18=0,1000000,IF(INDEX('計算A'!$D$60:$EQ$104,$B18,111)*HH18=1,IF(AND($E18=2,MW18=0),1000000,IF($I18&gt;0,IF(5=$J18,IF(OR(AND(111=$I18+1,OR($K18&lt;&gt;'計算A'!$A$3,'計算A'!$A$4=0)),AND(111=$I18-1,OR(15&lt;&gt;'計算A'!$A$3,'計算A'!$A$4=0))),0,IF(15=$K18,200000,ABS(15-$K18)*100)),100000+ABS(5-$J18)*1000+150)+'計算A'!DJ$5*50+IF(AND($E18=1,MW18=0),25,0),IF($F18&gt;0,INDEX('計算A'!DJ$110:DJ$114,$F18+1)+IF(AND($E18=1,MW18=0),1000,0),MIN(TY18,20)*400+(IF('計算A'!DI$106=1,1-HG18,0)+IF('計算A'!DJ$106=1,1-HI18,0))*150+155+'計算A'!DJ$5*100000+IF(AND($E18=1,MW18=0),50000,0))+IF($H18=1,(IF('計算A'!DI$117=1,INDEX('計算A'!DI$10:DI$54,$B18),0)+IF('計算A'!DJ$117=1,INDEX('計算A'!DK$10:DK$54,$B18),0))*4000,0)-IF(AND('計算A'!DI$117=1,YG18&gt;0),2000,0)-IF(AND($L18=1,'計算A'!DJ$117=1,HI18=0),2000,0))),1000000))</f>
        <v/>
      </c>
      <c r="SM18">
        <f>IF($B18=0,1000000,IF(INDEX('計算A'!$D$60:$EQ$104,$B18,112)*HI18=1,IF(AND($E18=2,MX18=0),1000000,IF($I18&gt;0,IF(5=$J18,IF(OR(AND(112=$I18+1,OR($K18&lt;&gt;'計算A'!$A$3,'計算A'!$A$4=0)),AND(112=$I18-1,OR(16&lt;&gt;'計算A'!$A$3,'計算A'!$A$4=0))),0,IF(16=$K18,200000,ABS(16-$K18)*100)),100000+ABS(5-$J18)*1000+160)+'計算A'!DK$5*50+IF(AND($E18=1,MX18=0),25,0),IF($F18&gt;0,INDEX('計算A'!DK$110:DK$114,$F18+1)+IF(AND($E18=1,MX18=0),1000,0),MIN(TY18,20)*400+(IF('計算A'!DJ$106=1,1-HH18,0)+IF('計算A'!DK$106=1,1-HJ18,0))*150+165+'計算A'!DK$5*100000+IF(AND($E18=1,MX18=0),50000,0))+IF($H18=1,(IF('計算A'!DJ$117=1,INDEX('計算A'!DJ$10:DJ$54,$B18),0)+IF('計算A'!DK$117=1,INDEX('計算A'!DL$10:DL$54,$B18),0))*4000,0)-IF(AND('計算A'!DJ$117=1,YH18&gt;0),2000,0)-IF(AND($L18=1,'計算A'!DK$117=1,HJ18=0),2000,0))),1000000))</f>
        <v/>
      </c>
      <c r="SN18">
        <f>IF($B18=0,1000000,IF(INDEX('計算A'!$D$60:$EQ$104,$B18,113)*HJ18=1,IF(AND($E18=2,MY18=0),1000000,IF($I18&gt;0,IF(5=$J18,IF(OR(AND(113=$I18+1,OR($K18&lt;&gt;'計算A'!$A$3,'計算A'!$A$4=0)),AND(113=$I18-1,OR(17&lt;&gt;'計算A'!$A$3,'計算A'!$A$4=0))),0,IF(17=$K18,200000,ABS(17-$K18)*100)),100000+ABS(5-$J18)*1000+170)+'計算A'!DL$5*50+IF(AND($E18=1,MY18=0),25,0),IF($F18&gt;0,INDEX('計算A'!DL$110:DL$114,$F18+1)+IF(AND($E18=1,MY18=0),1000,0),MIN(TY18,20)*400+(IF('計算A'!DK$106=1,1-HI18,0)+IF('計算A'!DL$106=1,1-HK18,0))*150+175+'計算A'!DL$5*100000+IF(AND($E18=1,MY18=0),50000,0))+IF($H18=1,(IF('計算A'!DK$117=1,INDEX('計算A'!DK$10:DK$54,$B18),0)+IF('計算A'!DL$117=1,INDEX('計算A'!DM$10:DM$54,$B18),0))*4000,0)-IF(AND('計算A'!DK$117=1,YI18&gt;0),2000,0)-IF(AND($L18=1,'計算A'!DL$117=1,HK18=0),2000,0))),1000000))</f>
        <v/>
      </c>
      <c r="SO18">
        <f>IF($B18=0,1000000,IF(INDEX('計算A'!$D$60:$EQ$104,$B18,114)*HK18=1,IF(AND($E18=2,MZ18=0),1000000,IF($I18&gt;0,IF(5=$J18,IF(OR(AND(114=$I18+1,OR($K18&lt;&gt;'計算A'!$A$3,'計算A'!$A$4=0)),AND(114=$I18-1,OR(18&lt;&gt;'計算A'!$A$3,'計算A'!$A$4=0))),0,IF(18=$K18,200000,ABS(18-$K18)*100)),100000+ABS(5-$J18)*1000+180)+'計算A'!DM$5*50+IF(AND($E18=1,MZ18=0),25,0),IF($F18&gt;0,INDEX('計算A'!DM$110:DM$114,$F18+1)+IF(AND($E18=1,MZ18=0),1000,0),MIN(TY18,20)*400+(IF('計算A'!DL$106=1,1-HJ18,0)+IF('計算A'!DM$106=1,1-HL18,0))*150+185+'計算A'!DM$5*100000+IF(AND($E18=1,MZ18=0),50000,0))+IF($H18=1,(IF('計算A'!DL$117=1,INDEX('計算A'!DL$10:DL$54,$B18),0)+IF('計算A'!DM$117=1,INDEX('計算A'!DN$10:DN$54,$B18),0))*4000,0)-IF(AND('計算A'!DL$117=1,YJ18&gt;0),2000,0)-IF(AND($L18=1,'計算A'!DM$117=1,HL18=0),2000,0))),1000000))</f>
        <v/>
      </c>
      <c r="SP18">
        <f>IF($B18=0,1000000,IF(INDEX('計算A'!$D$60:$EQ$104,$B18,115)*HL18=1,IF(AND($E18=2,NA18=0),1000000,IF($I18&gt;0,IF(5=$J18,IF(OR(AND(115=$I18+1,OR($K18&lt;&gt;'計算A'!$A$3,'計算A'!$A$4=0)),AND(115=$I18-1,OR(19&lt;&gt;'計算A'!$A$3,'計算A'!$A$4=0))),0,IF(19=$K18,200000,ABS(19-$K18)*100)),100000+ABS(5-$J18)*1000+190)+'計算A'!DN$5*50+IF(AND($E18=1,NA18=0),25,0),IF($F18&gt;0,INDEX('計算A'!DN$110:DN$114,$F18+1)+IF(AND($E18=1,NA18=0),1000,0),MIN(TY18,20)*400+(IF('計算A'!DM$106=1,1-HK18,0)+IF('計算A'!DN$106=1,1-HM18,0))*150+195+'計算A'!DN$5*100000+IF(AND($E18=1,NA18=0),50000,0))+IF($H18=1,(IF('計算A'!DM$117=1,INDEX('計算A'!DM$10:DM$54,$B18),0)+IF('計算A'!DN$117=1,INDEX('計算A'!DO$10:DO$54,$B18),0))*4000,0)-IF(AND('計算A'!DM$117=1,YK18&gt;0),2000,0)-IF(AND($L18=1,'計算A'!DN$117=1,HM18=0),2000,0))),1000000))</f>
        <v/>
      </c>
      <c r="SQ18">
        <f>IF($B18=0,1000000,IF(INDEX('計算A'!$D$60:$EQ$104,$B18,116)*HM18=1,IF(AND($E18=2,NB18=0),1000000,IF($I18&gt;0,IF(5=$J18,IF(OR(AND(116=$I18+1,OR($K18&lt;&gt;'計算A'!$A$3,'計算A'!$A$4=0)),AND(116=$I18-1,OR(20&lt;&gt;'計算A'!$A$3,'計算A'!$A$4=0))),0,IF(20=$K18,200000,ABS(20-$K18)*100)),100000+ABS(5-$J18)*1000+200)+'計算A'!DO$5*50+IF(AND($E18=1,NB18=0),25,0),IF($F18&gt;0,INDEX('計算A'!DO$110:DO$114,$F18+1)+IF(AND($E18=1,NB18=0),1000,0),MIN(TY18,20)*400+(IF('計算A'!DN$106=1,1-HL18,0)+IF('計算A'!DO$106=1,1-HN18,0))*150+205+'計算A'!DO$5*100000+IF(AND($E18=1,NB18=0),50000,0))+IF($H18=1,(IF('計算A'!DN$117=1,INDEX('計算A'!DN$10:DN$54,$B18),0)+IF('計算A'!DO$117=1,INDEX('計算A'!DP$10:DP$54,$B18),0))*4000,0)-IF(AND('計算A'!DN$117=1,YL18&gt;0),2000,0)-IF(AND($L18=1,'計算A'!DO$117=1,HN18=0),2000,0))),1000000))</f>
        <v/>
      </c>
      <c r="SR18">
        <f>IF($B18=0,1000000,IF(INDEX('計算A'!$D$60:$EQ$104,$B18,117)*HN18=1,IF(AND($E18=2,NC18=0),1000000,IF($I18&gt;0,IF(5=$J18,IF(OR(AND(117=$I18+1,OR($K18&lt;&gt;'計算A'!$A$3,'計算A'!$A$4=0)),AND(117=$I18-1,OR(21&lt;&gt;'計算A'!$A$3,'計算A'!$A$4=0))),0,IF(21=$K18,200000,ABS(21-$K18)*100)),100000+ABS(5-$J18)*1000+210)+'計算A'!DP$5*50+IF(AND($E18=1,NC18=0),25,0),IF($F18&gt;0,INDEX('計算A'!DP$110:DP$114,$F18+1)+IF(AND($E18=1,NC18=0),1000,0),MIN(TY18,20)*400+(IF('計算A'!DO$106=1,1-HM18,0)+IF('計算A'!DP$106=1,1-HO18,0))*150+215+'計算A'!DP$5*100000+IF(AND($E18=1,NC18=0),50000,0))+IF($H18=1,(IF('計算A'!DO$117=1,INDEX('計算A'!DO$10:DO$54,$B18),0)+IF('計算A'!DP$117=1,INDEX('計算A'!DQ$10:DQ$54,$B18),0))*4000,0)-IF(AND('計算A'!DO$117=1,YM18&gt;0),2000,0)-IF(AND($L18=1,'計算A'!DP$117=1,HO18=0),2000,0))),1000000))</f>
        <v/>
      </c>
      <c r="SS18">
        <f>IF($B18=0,1000000,IF(INDEX('計算A'!$D$60:$EQ$104,$B18,118)*HO18=1,IF(AND($E18=2,ND18=0),1000000,IF($I18&gt;0,IF(5=$J18,IF(OR(AND(118=$I18+1,OR($K18&lt;&gt;'計算A'!$A$3,'計算A'!$A$4=0)),AND(118=$I18-1,OR(22&lt;&gt;'計算A'!$A$3,'計算A'!$A$4=0))),0,IF(22=$K18,200000,ABS(22-$K18)*100)),100000+ABS(5-$J18)*1000+220)+'計算A'!DQ$5*50+IF(AND($E18=1,ND18=0),25,0),IF($F18&gt;0,INDEX('計算A'!DQ$110:DQ$114,$F18+1)+IF(AND($E18=1,ND18=0),1000,0),MIN(TY18,20)*400+(IF('計算A'!DP$106=1,1-HN18,0)+IF('計算A'!DQ$106=1,1-HP18,0))*150+225+'計算A'!DQ$5*100000+IF(AND($E18=1,ND18=0),50000,0))+IF($H18=1,(IF('計算A'!DP$117=1,INDEX('計算A'!DP$10:DP$54,$B18),0)+IF('計算A'!DQ$117=1,INDEX('計算A'!DR$10:DR$54,$B18),0))*4000,0)-IF(AND('計算A'!DP$117=1,YN18&gt;0),2000,0)-IF(AND($L18=1,'計算A'!DQ$117=1,HP18=0),2000,0))),1000000))</f>
        <v/>
      </c>
      <c r="ST18">
        <f>IF($B18=0,1000000,IF(INDEX('計算A'!$D$60:$EQ$104,$B18,119)*HP18=1,IF(AND($E18=2,NE18=0),1000000,IF($I18&gt;0,IF(5=$J18,IF(OR(AND(119=$I18+1,OR($K18&lt;&gt;'計算A'!$A$3,'計算A'!$A$4=0)),AND(119=$I18-1,OR(23&lt;&gt;'計算A'!$A$3,'計算A'!$A$4=0))),0,IF(23=$K18,200000,ABS(23-$K18)*100)),100000+ABS(5-$J18)*1000+230)+'計算A'!DR$5*50+IF(AND($E18=1,NE18=0),25,0),IF($F18&gt;0,INDEX('計算A'!DR$110:DR$114,$F18+1)+IF(AND($E18=1,NE18=0),1000,0),MIN(TY18,20)*400+(IF('計算A'!DQ$106=1,1-HO18,0)+IF('計算A'!DR$106=1,1-HQ18,0))*150+235+'計算A'!DR$5*100000+IF(AND($E18=1,NE18=0),50000,0))+IF($H18=1,(IF('計算A'!DQ$117=1,INDEX('計算A'!DQ$10:DQ$54,$B18),0)+IF('計算A'!DR$117=1,INDEX('計算A'!DS$10:DS$54,$B18),0))*4000,0)-IF(AND('計算A'!DQ$117=1,YO18&gt;0),2000,0)-IF(AND($L18=1,'計算A'!DR$117=1,HQ18=0),2000,0))),1000000))</f>
        <v/>
      </c>
      <c r="SU18">
        <f>IF($B18=0,1000000,IF(INDEX('計算A'!$D$60:$EQ$104,$B18,120)*HQ18=1,IF(AND($E18=2,NF18=0),1000000,IF($I18&gt;0,IF(5=$J18,IF(OR(AND(120=$I18+1,OR($K18&lt;&gt;'計算A'!$A$3,'計算A'!$A$4=0)),AND(120=$I18-1,OR(24&lt;&gt;'計算A'!$A$3,'計算A'!$A$4=0))),0,IF(24=$K18,200000,ABS(24-$K18)*100)),100000+ABS(5-$J18)*1000+240)+'計算A'!DS$5*50+IF(AND($E18=1,NF18=0),25,0),IF($F18&gt;0,INDEX('計算A'!DS$110:DS$114,$F18+1)+IF(AND($E18=1,NF18=0),1000,0),MIN(TY18,20)*400+(IF('計算A'!DR$106=1,1-HP18,0))*150+245+'計算A'!DS$5*100000+IF(AND($E18=1,NF18=0),50000,0))+IF($H18=1,(IF('計算A'!DR$117=1,INDEX('計算A'!DR$10:DR$54,$B18),0))*4000,0)-IF(AND('計算A'!DR$117=1,YP18&gt;0),2000,0))),1000000))</f>
        <v/>
      </c>
      <c r="SV18">
        <f>IF($B18=0,1000000,IF(INDEX('計算A'!$D$60:$EQ$104,$B18,121)*HR18=1,IF(AND($E18=2,NG18=0),1000000,IF($I18&gt;0,IF(6=$J18,IF(OR(AND(121=$I18+1,OR($K18&lt;&gt;'計算A'!$A$3,'計算A'!$A$4=0)),AND(121=$I18-1,OR(1&lt;&gt;'計算A'!$A$3,'計算A'!$A$4=0))),0,IF(1=$K18,200000,ABS(1-$K18)*100)),100000+ABS(6-$J18)*1000+10)+'計算A'!DT$5*50+IF(AND($E18=1,NG18=0),25,0),IF($F18&gt;0,INDEX('計算A'!DT$110:DT$114,$F18+1)+IF(AND($E18=1,NG18=0),1000,0),MIN(TZ18,20)*400+(IF('計算A'!DT$106=1,1-HS18,0))*150+16+'計算A'!DT$5*100000+IF(AND($E18=1,NG18=0),50000,0))+IF($H18=1,(IF('計算A'!DT$117=1,INDEX('計算A'!DU$10:DU$54,$B18),0))*4000,0)-IF(AND($L18=1,'計算A'!DT$117=1,HS18=0),2000,0))),1000000))</f>
        <v/>
      </c>
      <c r="SW18">
        <f>IF($B18=0,1000000,IF(INDEX('計算A'!$D$60:$EQ$104,$B18,122)*HS18=1,IF(AND($E18=2,NH18=0),1000000,IF($I18&gt;0,IF(6=$J18,IF(OR(AND(122=$I18+1,OR($K18&lt;&gt;'計算A'!$A$3,'計算A'!$A$4=0)),AND(122=$I18-1,OR(2&lt;&gt;'計算A'!$A$3,'計算A'!$A$4=0))),0,IF(2=$K18,200000,ABS(2-$K18)*100)),100000+ABS(6-$J18)*1000+20)+'計算A'!DU$5*50+IF(AND($E18=1,NH18=0),25,0),IF($F18&gt;0,INDEX('計算A'!DU$110:DU$114,$F18+1)+IF(AND($E18=1,NH18=0),1000,0),MIN(TZ18,20)*400+(IF('計算A'!DT$106=1,1-HR18,0)+IF('計算A'!DU$106=1,1-HT18,0))*150+26+'計算A'!DU$5*100000+IF(AND($E18=1,NH18=0),50000,0))+IF($H18=1,(IF('計算A'!DT$117=1,INDEX('計算A'!DT$10:DT$54,$B18),0)+IF('計算A'!DU$117=1,INDEX('計算A'!DV$10:DV$54,$B18),0))*4000,0)-IF(AND('計算A'!DT$117=1,YR18&gt;0),2000,0)-IF(AND($L18=1,'計算A'!DU$117=1,HT18=0),2000,0))),1000000))</f>
        <v/>
      </c>
      <c r="SX18">
        <f>IF($B18=0,1000000,IF(INDEX('計算A'!$D$60:$EQ$104,$B18,123)*HT18=1,IF(AND($E18=2,NI18=0),1000000,IF($I18&gt;0,IF(6=$J18,IF(OR(AND(123=$I18+1,OR($K18&lt;&gt;'計算A'!$A$3,'計算A'!$A$4=0)),AND(123=$I18-1,OR(3&lt;&gt;'計算A'!$A$3,'計算A'!$A$4=0))),0,IF(3=$K18,200000,ABS(3-$K18)*100)),100000+ABS(6-$J18)*1000+30)+'計算A'!DV$5*50+IF(AND($E18=1,NI18=0),25,0),IF($F18&gt;0,INDEX('計算A'!DV$110:DV$114,$F18+1)+IF(AND($E18=1,NI18=0),1000,0),MIN(TZ18,20)*400+(IF('計算A'!DU$106=1,1-HS18,0)+IF('計算A'!DV$106=1,1-HU18,0))*150+36+'計算A'!DV$5*100000+IF(AND($E18=1,NI18=0),50000,0))+IF($H18=1,(IF('計算A'!DU$117=1,INDEX('計算A'!DU$10:DU$54,$B18),0)+IF('計算A'!DV$117=1,INDEX('計算A'!DW$10:DW$54,$B18),0))*4000,0)-IF(AND('計算A'!DU$117=1,YS18&gt;0),2000,0)-IF(AND($L18=1,'計算A'!DV$117=1,HU18=0),2000,0))),1000000))</f>
        <v/>
      </c>
      <c r="SY18">
        <f>IF($B18=0,1000000,IF(INDEX('計算A'!$D$60:$EQ$104,$B18,124)*HU18=1,IF(AND($E18=2,NJ18=0),1000000,IF($I18&gt;0,IF(6=$J18,IF(OR(AND(124=$I18+1,OR($K18&lt;&gt;'計算A'!$A$3,'計算A'!$A$4=0)),AND(124=$I18-1,OR(4&lt;&gt;'計算A'!$A$3,'計算A'!$A$4=0))),0,IF(4=$K18,200000,ABS(4-$K18)*100)),100000+ABS(6-$J18)*1000+40)+'計算A'!DW$5*50+IF(AND($E18=1,NJ18=0),25,0),IF($F18&gt;0,INDEX('計算A'!DW$110:DW$114,$F18+1)+IF(AND($E18=1,NJ18=0),1000,0),MIN(TZ18,20)*400+(IF('計算A'!DV$106=1,1-HT18,0)+IF('計算A'!DW$106=1,1-HV18,0))*150+46+'計算A'!DW$5*100000+IF(AND($E18=1,NJ18=0),50000,0))+IF($H18=1,(IF('計算A'!DV$117=1,INDEX('計算A'!DV$10:DV$54,$B18),0)+IF('計算A'!DW$117=1,INDEX('計算A'!DX$10:DX$54,$B18),0))*4000,0)-IF(AND('計算A'!DV$117=1,YT18&gt;0),2000,0)-IF(AND($L18=1,'計算A'!DW$117=1,HV18=0),2000,0))),1000000))</f>
        <v/>
      </c>
      <c r="SZ18">
        <f>IF($B18=0,1000000,IF(INDEX('計算A'!$D$60:$EQ$104,$B18,125)*HV18=1,IF(AND($E18=2,NK18=0),1000000,IF($I18&gt;0,IF(6=$J18,IF(OR(AND(125=$I18+1,OR($K18&lt;&gt;'計算A'!$A$3,'計算A'!$A$4=0)),AND(125=$I18-1,OR(5&lt;&gt;'計算A'!$A$3,'計算A'!$A$4=0))),0,IF(5=$K18,200000,ABS(5-$K18)*100)),100000+ABS(6-$J18)*1000+50)+'計算A'!DX$5*50+IF(AND($E18=1,NK18=0),25,0),IF($F18&gt;0,INDEX('計算A'!DX$110:DX$114,$F18+1)+IF(AND($E18=1,NK18=0),1000,0),MIN(TZ18,20)*400+(IF('計算A'!DW$106=1,1-HU18,0)+IF('計算A'!DX$106=1,1-HW18,0))*150+56+'計算A'!DX$5*100000+IF(AND($E18=1,NK18=0),50000,0))+IF($H18=1,(IF('計算A'!DW$117=1,INDEX('計算A'!DW$10:DW$54,$B18),0)+IF('計算A'!DX$117=1,INDEX('計算A'!DY$10:DY$54,$B18),0))*4000,0)-IF(AND('計算A'!DW$117=1,YU18&gt;0),2000,0)-IF(AND($L18=1,'計算A'!DX$117=1,HW18=0),2000,0))),1000000))</f>
        <v/>
      </c>
      <c r="TA18">
        <f>IF($B18=0,1000000,IF(INDEX('計算A'!$D$60:$EQ$104,$B18,126)*HW18=1,IF(AND($E18=2,NL18=0),1000000,IF($I18&gt;0,IF(6=$J18,IF(OR(AND(126=$I18+1,OR($K18&lt;&gt;'計算A'!$A$3,'計算A'!$A$4=0)),AND(126=$I18-1,OR(6&lt;&gt;'計算A'!$A$3,'計算A'!$A$4=0))),0,IF(6=$K18,200000,ABS(6-$K18)*100)),100000+ABS(6-$J18)*1000+60)+'計算A'!DY$5*50+IF(AND($E18=1,NL18=0),25,0),IF($F18&gt;0,INDEX('計算A'!DY$110:DY$114,$F18+1)+IF(AND($E18=1,NL18=0),1000,0),MIN(TZ18,20)*400+(IF('計算A'!DX$106=1,1-HV18,0)+IF('計算A'!DY$106=1,1-HX18,0))*150+66+'計算A'!DY$5*100000+IF(AND($E18=1,NL18=0),50000,0))+IF($H18=1,(IF('計算A'!DX$117=1,INDEX('計算A'!DX$10:DX$54,$B18),0)+IF('計算A'!DY$117=1,INDEX('計算A'!DZ$10:DZ$54,$B18),0))*4000,0)-IF(AND('計算A'!DX$117=1,YV18&gt;0),2000,0)-IF(AND($L18=1,'計算A'!DY$117=1,HX18=0),2000,0))),1000000))</f>
        <v/>
      </c>
      <c r="TB18">
        <f>IF($B18=0,1000000,IF(INDEX('計算A'!$D$60:$EQ$104,$B18,127)*HX18=1,IF(AND($E18=2,NM18=0),1000000,IF($I18&gt;0,IF(6=$J18,IF(OR(AND(127=$I18+1,OR($K18&lt;&gt;'計算A'!$A$3,'計算A'!$A$4=0)),AND(127=$I18-1,OR(7&lt;&gt;'計算A'!$A$3,'計算A'!$A$4=0))),0,IF(7=$K18,200000,ABS(7-$K18)*100)),100000+ABS(6-$J18)*1000+70)+'計算A'!DZ$5*50+IF(AND($E18=1,NM18=0),25,0),IF($F18&gt;0,INDEX('計算A'!DZ$110:DZ$114,$F18+1)+IF(AND($E18=1,NM18=0),1000,0),MIN(TZ18,20)*400+(IF('計算A'!DY$106=1,1-HW18,0)+IF('計算A'!DZ$106=1,1-HY18,0))*150+76+'計算A'!DZ$5*100000+IF(AND($E18=1,NM18=0),50000,0))+IF($H18=1,(IF('計算A'!DY$117=1,INDEX('計算A'!DY$10:DY$54,$B18),0)+IF('計算A'!DZ$117=1,INDEX('計算A'!EA$10:EA$54,$B18),0))*4000,0)-IF(AND('計算A'!DY$117=1,YW18&gt;0),2000,0)-IF(AND($L18=1,'計算A'!DZ$117=1,HY18=0),2000,0))),1000000))</f>
        <v/>
      </c>
      <c r="TC18">
        <f>IF($B18=0,1000000,IF(INDEX('計算A'!$D$60:$EQ$104,$B18,128)*HY18=1,IF(AND($E18=2,NN18=0),1000000,IF($I18&gt;0,IF(6=$J18,IF(OR(AND(128=$I18+1,OR($K18&lt;&gt;'計算A'!$A$3,'計算A'!$A$4=0)),AND(128=$I18-1,OR(8&lt;&gt;'計算A'!$A$3,'計算A'!$A$4=0))),0,IF(8=$K18,200000,ABS(8-$K18)*100)),100000+ABS(6-$J18)*1000+80)+'計算A'!EA$5*50+IF(AND($E18=1,NN18=0),25,0),IF($F18&gt;0,INDEX('計算A'!EA$110:EA$114,$F18+1)+IF(AND($E18=1,NN18=0),1000,0),MIN(TZ18,20)*400+(IF('計算A'!DZ$106=1,1-HX18,0)+IF('計算A'!EA$106=1,1-HZ18,0))*150+86+'計算A'!EA$5*100000+IF(AND($E18=1,NN18=0),50000,0))+IF($H18=1,(IF('計算A'!DZ$117=1,INDEX('計算A'!DZ$10:DZ$54,$B18),0)+IF('計算A'!EA$117=1,INDEX('計算A'!EB$10:EB$54,$B18),0))*4000,0)-IF(AND('計算A'!DZ$117=1,YX18&gt;0),2000,0)-IF(AND($L18=1,'計算A'!EA$117=1,HZ18=0),2000,0))),1000000))</f>
        <v/>
      </c>
      <c r="TD18">
        <f>IF($B18=0,1000000,IF(INDEX('計算A'!$D$60:$EQ$104,$B18,129)*HZ18=1,IF(AND($E18=2,NO18=0),1000000,IF($I18&gt;0,IF(6=$J18,IF(OR(AND(129=$I18+1,OR($K18&lt;&gt;'計算A'!$A$3,'計算A'!$A$4=0)),AND(129=$I18-1,OR(9&lt;&gt;'計算A'!$A$3,'計算A'!$A$4=0))),0,IF(9=$K18,200000,ABS(9-$K18)*100)),100000+ABS(6-$J18)*1000+90)+'計算A'!EB$5*50+IF(AND($E18=1,NO18=0),25,0),IF($F18&gt;0,INDEX('計算A'!EB$110:EB$114,$F18+1)+IF(AND($E18=1,NO18=0),1000,0),MIN(TZ18,20)*400+(IF('計算A'!EA$106=1,1-HY18,0)+IF('計算A'!EB$106=1,1-IA18,0))*150+96+'計算A'!EB$5*100000+IF(AND($E18=1,NO18=0),50000,0))+IF($H18=1,(IF('計算A'!EA$117=1,INDEX('計算A'!EA$10:EA$54,$B18),0)+IF('計算A'!EB$117=1,INDEX('計算A'!EC$10:EC$54,$B18),0))*4000,0)-IF(AND('計算A'!EA$117=1,YY18&gt;0),2000,0)-IF(AND($L18=1,'計算A'!EB$117=1,IA18=0),2000,0))),1000000))</f>
        <v/>
      </c>
      <c r="TE18">
        <f>IF($B18=0,1000000,IF(INDEX('計算A'!$D$60:$EQ$104,$B18,130)*IA18=1,IF(AND($E18=2,NP18=0),1000000,IF($I18&gt;0,IF(6=$J18,IF(OR(AND(130=$I18+1,OR($K18&lt;&gt;'計算A'!$A$3,'計算A'!$A$4=0)),AND(130=$I18-1,OR(10&lt;&gt;'計算A'!$A$3,'計算A'!$A$4=0))),0,IF(10=$K18,200000,ABS(10-$K18)*100)),100000+ABS(6-$J18)*1000+100)+'計算A'!EC$5*50+IF(AND($E18=1,NP18=0),25,0),IF($F18&gt;0,INDEX('計算A'!EC$110:EC$114,$F18+1)+IF(AND($E18=1,NP18=0),1000,0),MIN(TZ18,20)*400+(IF('計算A'!EB$106=1,1-HZ18,0)+IF('計算A'!EC$106=1,1-IB18,0))*150+106+'計算A'!EC$5*100000+IF(AND($E18=1,NP18=0),50000,0))+IF($H18=1,(IF('計算A'!EB$117=1,INDEX('計算A'!EB$10:EB$54,$B18),0)+IF('計算A'!EC$117=1,INDEX('計算A'!ED$10:ED$54,$B18),0))*4000,0)-IF(AND('計算A'!EB$117=1,YZ18&gt;0),2000,0)-IF(AND($L18=1,'計算A'!EC$117=1,IB18=0),2000,0))),1000000))</f>
        <v/>
      </c>
      <c r="TF18">
        <f>IF($B18=0,1000000,IF(INDEX('計算A'!$D$60:$EQ$104,$B18,131)*IB18=1,IF(AND($E18=2,NQ18=0),1000000,IF($I18&gt;0,IF(6=$J18,IF(OR(AND(131=$I18+1,OR($K18&lt;&gt;'計算A'!$A$3,'計算A'!$A$4=0)),AND(131=$I18-1,OR(11&lt;&gt;'計算A'!$A$3,'計算A'!$A$4=0))),0,IF(11=$K18,200000,ABS(11-$K18)*100)),100000+ABS(6-$J18)*1000+110)+'計算A'!ED$5*50+IF(AND($E18=1,NQ18=0),25,0),IF($F18&gt;0,INDEX('計算A'!ED$110:ED$114,$F18+1)+IF(AND($E18=1,NQ18=0),1000,0),MIN(TZ18,20)*400+(IF('計算A'!EC$106=1,1-IA18,0)+IF('計算A'!ED$106=1,1-IC18,0))*150+116+'計算A'!ED$5*100000+IF(AND($E18=1,NQ18=0),50000,0))+IF($H18=1,(IF('計算A'!EC$117=1,INDEX('計算A'!EC$10:EC$54,$B18),0)+IF('計算A'!ED$117=1,INDEX('計算A'!EE$10:EE$54,$B18),0))*4000,0)-IF(AND('計算A'!EC$117=1,ZA18&gt;0),2000,0)-IF(AND($L18=1,'計算A'!ED$117=1,IC18=0),2000,0))),1000000))</f>
        <v/>
      </c>
      <c r="TG18">
        <f>IF($B18=0,1000000,IF(INDEX('計算A'!$D$60:$EQ$104,$B18,132)*IC18=1,IF(AND($E18=2,NR18=0),1000000,IF($I18&gt;0,IF(6=$J18,IF(OR(AND(132=$I18+1,OR($K18&lt;&gt;'計算A'!$A$3,'計算A'!$A$4=0)),AND(132=$I18-1,OR(12&lt;&gt;'計算A'!$A$3,'計算A'!$A$4=0))),0,IF(12=$K18,200000,ABS(12-$K18)*100)),100000+ABS(6-$J18)*1000+120)+'計算A'!EE$5*50+IF(AND($E18=1,NR18=0),25,0),IF($F18&gt;0,INDEX('計算A'!EE$110:EE$114,$F18+1)+IF(AND($E18=1,NR18=0),1000,0),MIN(TZ18,20)*400+(IF('計算A'!ED$106=1,1-IB18,0)+IF('計算A'!EE$106=1,1-ID18,0))*150+126+'計算A'!EE$5*100000+IF(AND($E18=1,NR18=0),50000,0))+IF($H18=1,(IF('計算A'!ED$117=1,INDEX('計算A'!ED$10:ED$54,$B18),0)+IF('計算A'!EE$117=1,INDEX('計算A'!EF$10:EF$54,$B18),0))*4000,0)-IF(AND('計算A'!ED$117=1,ZB18&gt;0),2000,0)-IF(AND($L18=1,'計算A'!EE$117=1,ID18=0),2000,0))),1000000))</f>
        <v/>
      </c>
      <c r="TH18">
        <f>IF($B18=0,1000000,IF(INDEX('計算A'!$D$60:$EQ$104,$B18,133)*ID18=1,IF(AND($E18=2,NS18=0),1000000,IF($I18&gt;0,IF(6=$J18,IF(OR(AND(133=$I18+1,OR($K18&lt;&gt;'計算A'!$A$3,'計算A'!$A$4=0)),AND(133=$I18-1,OR(13&lt;&gt;'計算A'!$A$3,'計算A'!$A$4=0))),0,IF(13=$K18,200000,ABS(13-$K18)*100)),100000+ABS(6-$J18)*1000+130)+'計算A'!EF$5*50+IF(AND($E18=1,NS18=0),25,0),IF($F18&gt;0,INDEX('計算A'!EF$110:EF$114,$F18+1)+IF(AND($E18=1,NS18=0),1000,0),MIN(TZ18,20)*400+(IF('計算A'!EE$106=1,1-IC18,0)+IF('計算A'!EF$106=1,1-IE18,0))*150+136+'計算A'!EF$5*100000+IF(AND($E18=1,NS18=0),50000,0))+IF($H18=1,(IF('計算A'!EE$117=1,INDEX('計算A'!EE$10:EE$54,$B18),0)+IF('計算A'!EF$117=1,INDEX('計算A'!EG$10:EG$54,$B18),0))*4000,0)-IF(AND('計算A'!EE$117=1,ZC18&gt;0),2000,0)-IF(AND($L18=1,'計算A'!EF$117=1,IE18=0),2000,0))),1000000))</f>
        <v/>
      </c>
      <c r="TI18">
        <f>IF($B18=0,1000000,IF(INDEX('計算A'!$D$60:$EQ$104,$B18,134)*IE18=1,IF(AND($E18=2,NT18=0),1000000,IF($I18&gt;0,IF(6=$J18,IF(OR(AND(134=$I18+1,OR($K18&lt;&gt;'計算A'!$A$3,'計算A'!$A$4=0)),AND(134=$I18-1,OR(14&lt;&gt;'計算A'!$A$3,'計算A'!$A$4=0))),0,IF(14=$K18,200000,ABS(14-$K18)*100)),100000+ABS(6-$J18)*1000+140)+'計算A'!EG$5*50+IF(AND($E18=1,NT18=0),25,0),IF($F18&gt;0,INDEX('計算A'!EG$110:EG$114,$F18+1)+IF(AND($E18=1,NT18=0),1000,0),MIN(TZ18,20)*400+(IF('計算A'!EF$106=1,1-ID18,0)+IF('計算A'!EG$106=1,1-IF18,0))*150+146+'計算A'!EG$5*100000+IF(AND($E18=1,NT18=0),50000,0))+IF($H18=1,(IF('計算A'!EF$117=1,INDEX('計算A'!EF$10:EF$54,$B18),0)+IF('計算A'!EG$117=1,INDEX('計算A'!EH$10:EH$54,$B18),0))*4000,0)-IF(AND('計算A'!EF$117=1,ZD18&gt;0),2000,0)-IF(AND($L18=1,'計算A'!EG$117=1,IF18=0),2000,0))),1000000))</f>
        <v/>
      </c>
      <c r="TJ18">
        <f>IF($B18=0,1000000,IF(INDEX('計算A'!$D$60:$EQ$104,$B18,135)*IF18=1,IF(AND($E18=2,NU18=0),1000000,IF($I18&gt;0,IF(6=$J18,IF(OR(AND(135=$I18+1,OR($K18&lt;&gt;'計算A'!$A$3,'計算A'!$A$4=0)),AND(135=$I18-1,OR(15&lt;&gt;'計算A'!$A$3,'計算A'!$A$4=0))),0,IF(15=$K18,200000,ABS(15-$K18)*100)),100000+ABS(6-$J18)*1000+150)+'計算A'!EH$5*50+IF(AND($E18=1,NU18=0),25,0),IF($F18&gt;0,INDEX('計算A'!EH$110:EH$114,$F18+1)+IF(AND($E18=1,NU18=0),1000,0),MIN(TZ18,20)*400+(IF('計算A'!EG$106=1,1-IE18,0)+IF('計算A'!EH$106=1,1-IG18,0))*150+156+'計算A'!EH$5*100000+IF(AND($E18=1,NU18=0),50000,0))+IF($H18=1,(IF('計算A'!EG$117=1,INDEX('計算A'!EG$10:EG$54,$B18),0)+IF('計算A'!EH$117=1,INDEX('計算A'!EI$10:EI$54,$B18),0))*4000,0)-IF(AND('計算A'!EG$117=1,ZE18&gt;0),2000,0)-IF(AND($L18=1,'計算A'!EH$117=1,IG18=0),2000,0))),1000000))</f>
        <v/>
      </c>
      <c r="TK18">
        <f>IF($B18=0,1000000,IF(INDEX('計算A'!$D$60:$EQ$104,$B18,136)*IG18=1,IF(AND($E18=2,NV18=0),1000000,IF($I18&gt;0,IF(6=$J18,IF(OR(AND(136=$I18+1,OR($K18&lt;&gt;'計算A'!$A$3,'計算A'!$A$4=0)),AND(136=$I18-1,OR(16&lt;&gt;'計算A'!$A$3,'計算A'!$A$4=0))),0,IF(16=$K18,200000,ABS(16-$K18)*100)),100000+ABS(6-$J18)*1000+160)+'計算A'!EI$5*50+IF(AND($E18=1,NV18=0),25,0),IF($F18&gt;0,INDEX('計算A'!EI$110:EI$114,$F18+1)+IF(AND($E18=1,NV18=0),1000,0),MIN(TZ18,20)*400+(IF('計算A'!EH$106=1,1-IF18,0)+IF('計算A'!EI$106=1,1-IH18,0))*150+166+'計算A'!EI$5*100000+IF(AND($E18=1,NV18=0),50000,0))+IF($H18=1,(IF('計算A'!EH$117=1,INDEX('計算A'!EH$10:EH$54,$B18),0)+IF('計算A'!EI$117=1,INDEX('計算A'!EJ$10:EJ$54,$B18),0))*4000,0)-IF(AND('計算A'!EH$117=1,ZF18&gt;0),2000,0)-IF(AND($L18=1,'計算A'!EI$117=1,IH18=0),2000,0))),1000000))</f>
        <v/>
      </c>
      <c r="TL18">
        <f>IF($B18=0,1000000,IF(INDEX('計算A'!$D$60:$EQ$104,$B18,137)*IH18=1,IF(AND($E18=2,NW18=0),1000000,IF($I18&gt;0,IF(6=$J18,IF(OR(AND(137=$I18+1,OR($K18&lt;&gt;'計算A'!$A$3,'計算A'!$A$4=0)),AND(137=$I18-1,OR(17&lt;&gt;'計算A'!$A$3,'計算A'!$A$4=0))),0,IF(17=$K18,200000,ABS(17-$K18)*100)),100000+ABS(6-$J18)*1000+170)+'計算A'!EJ$5*50+IF(AND($E18=1,NW18=0),25,0),IF($F18&gt;0,INDEX('計算A'!EJ$110:EJ$114,$F18+1)+IF(AND($E18=1,NW18=0),1000,0),MIN(TZ18,20)*400+(IF('計算A'!EI$106=1,1-IG18,0)+IF('計算A'!EJ$106=1,1-II18,0))*150+176+'計算A'!EJ$5*100000+IF(AND($E18=1,NW18=0),50000,0))+IF($H18=1,(IF('計算A'!EI$117=1,INDEX('計算A'!EI$10:EI$54,$B18),0)+IF('計算A'!EJ$117=1,INDEX('計算A'!EK$10:EK$54,$B18),0))*4000,0)-IF(AND('計算A'!EI$117=1,ZG18&gt;0),2000,0)-IF(AND($L18=1,'計算A'!EJ$117=1,II18=0),2000,0))),1000000))</f>
        <v/>
      </c>
      <c r="TM18">
        <f>IF($B18=0,1000000,IF(INDEX('計算A'!$D$60:$EQ$104,$B18,138)*II18=1,IF(AND($E18=2,NX18=0),1000000,IF($I18&gt;0,IF(6=$J18,IF(OR(AND(138=$I18+1,OR($K18&lt;&gt;'計算A'!$A$3,'計算A'!$A$4=0)),AND(138=$I18-1,OR(18&lt;&gt;'計算A'!$A$3,'計算A'!$A$4=0))),0,IF(18=$K18,200000,ABS(18-$K18)*100)),100000+ABS(6-$J18)*1000+180)+'計算A'!EK$5*50+IF(AND($E18=1,NX18=0),25,0),IF($F18&gt;0,INDEX('計算A'!EK$110:EK$114,$F18+1)+IF(AND($E18=1,NX18=0),1000,0),MIN(TZ18,20)*400+(IF('計算A'!EJ$106=1,1-IH18,0)+IF('計算A'!EK$106=1,1-IJ18,0))*150+186+'計算A'!EK$5*100000+IF(AND($E18=1,NX18=0),50000,0))+IF($H18=1,(IF('計算A'!EJ$117=1,INDEX('計算A'!EJ$10:EJ$54,$B18),0)+IF('計算A'!EK$117=1,INDEX('計算A'!EL$10:EL$54,$B18),0))*4000,0)-IF(AND('計算A'!EJ$117=1,ZH18&gt;0),2000,0)-IF(AND($L18=1,'計算A'!EK$117=1,IJ18=0),2000,0))),1000000))</f>
        <v/>
      </c>
      <c r="TN18">
        <f>IF($B18=0,1000000,IF(INDEX('計算A'!$D$60:$EQ$104,$B18,139)*IJ18=1,IF(AND($E18=2,NY18=0),1000000,IF($I18&gt;0,IF(6=$J18,IF(OR(AND(139=$I18+1,OR($K18&lt;&gt;'計算A'!$A$3,'計算A'!$A$4=0)),AND(139=$I18-1,OR(19&lt;&gt;'計算A'!$A$3,'計算A'!$A$4=0))),0,IF(19=$K18,200000,ABS(19-$K18)*100)),100000+ABS(6-$J18)*1000+190)+'計算A'!EL$5*50+IF(AND($E18=1,NY18=0),25,0),IF($F18&gt;0,INDEX('計算A'!EL$110:EL$114,$F18+1)+IF(AND($E18=1,NY18=0),1000,0),MIN(TZ18,20)*400+(IF('計算A'!EK$106=1,1-II18,0)+IF('計算A'!EL$106=1,1-IK18,0))*150+196+'計算A'!EL$5*100000+IF(AND($E18=1,NY18=0),50000,0))+IF($H18=1,(IF('計算A'!EK$117=1,INDEX('計算A'!EK$10:EK$54,$B18),0)+IF('計算A'!EL$117=1,INDEX('計算A'!EM$10:EM$54,$B18),0))*4000,0)-IF(AND('計算A'!EK$117=1,ZI18&gt;0),2000,0)-IF(AND($L18=1,'計算A'!EL$117=1,IK18=0),2000,0))),1000000))</f>
        <v/>
      </c>
      <c r="TO18">
        <f>IF($B18=0,1000000,IF(INDEX('計算A'!$D$60:$EQ$104,$B18,140)*IK18=1,IF(AND($E18=2,NZ18=0),1000000,IF($I18&gt;0,IF(6=$J18,IF(OR(AND(140=$I18+1,OR($K18&lt;&gt;'計算A'!$A$3,'計算A'!$A$4=0)),AND(140=$I18-1,OR(20&lt;&gt;'計算A'!$A$3,'計算A'!$A$4=0))),0,IF(20=$K18,200000,ABS(20-$K18)*100)),100000+ABS(6-$J18)*1000+200)+'計算A'!EM$5*50+IF(AND($E18=1,NZ18=0),25,0),IF($F18&gt;0,INDEX('計算A'!EM$110:EM$114,$F18+1)+IF(AND($E18=1,NZ18=0),1000,0),MIN(TZ18,20)*400+(IF('計算A'!EL$106=1,1-IJ18,0)+IF('計算A'!EM$106=1,1-IL18,0))*150+206+'計算A'!EM$5*100000+IF(AND($E18=1,NZ18=0),50000,0))+IF($H18=1,(IF('計算A'!EL$117=1,INDEX('計算A'!EL$10:EL$54,$B18),0)+IF('計算A'!EM$117=1,INDEX('計算A'!EN$10:EN$54,$B18),0))*4000,0)-IF(AND('計算A'!EL$117=1,ZJ18&gt;0),2000,0)-IF(AND($L18=1,'計算A'!EM$117=1,IL18=0),2000,0))),1000000))</f>
        <v/>
      </c>
      <c r="TP18">
        <f>IF($B18=0,1000000,IF(INDEX('計算A'!$D$60:$EQ$104,$B18,141)*IL18=1,IF(AND($E18=2,OA18=0),1000000,IF($I18&gt;0,IF(6=$J18,IF(OR(AND(141=$I18+1,OR($K18&lt;&gt;'計算A'!$A$3,'計算A'!$A$4=0)),AND(141=$I18-1,OR(21&lt;&gt;'計算A'!$A$3,'計算A'!$A$4=0))),0,IF(21=$K18,200000,ABS(21-$K18)*100)),100000+ABS(6-$J18)*1000+210)+'計算A'!EN$5*50+IF(AND($E18=1,OA18=0),25,0),IF($F18&gt;0,INDEX('計算A'!EN$110:EN$114,$F18+1)+IF(AND($E18=1,OA18=0),1000,0),MIN(TZ18,20)*400+(IF('計算A'!EM$106=1,1-IK18,0)+IF('計算A'!EN$106=1,1-IM18,0))*150+216+'計算A'!EN$5*100000+IF(AND($E18=1,OA18=0),50000,0))+IF($H18=1,(IF('計算A'!EM$117=1,INDEX('計算A'!EM$10:EM$54,$B18),0)+IF('計算A'!EN$117=1,INDEX('計算A'!EO$10:EO$54,$B18),0))*4000,0)-IF(AND('計算A'!EM$117=1,ZK18&gt;0),2000,0)-IF(AND($L18=1,'計算A'!EN$117=1,IM18=0),2000,0))),1000000))</f>
        <v/>
      </c>
      <c r="TQ18">
        <f>IF($B18=0,1000000,IF(INDEX('計算A'!$D$60:$EQ$104,$B18,142)*IM18=1,IF(AND($E18=2,OB18=0),1000000,IF($I18&gt;0,IF(6=$J18,IF(OR(AND(142=$I18+1,OR($K18&lt;&gt;'計算A'!$A$3,'計算A'!$A$4=0)),AND(142=$I18-1,OR(22&lt;&gt;'計算A'!$A$3,'計算A'!$A$4=0))),0,IF(22=$K18,200000,ABS(22-$K18)*100)),100000+ABS(6-$J18)*1000+220)+'計算A'!EO$5*50+IF(AND($E18=1,OB18=0),25,0),IF($F18&gt;0,INDEX('計算A'!EO$110:EO$114,$F18+1)+IF(AND($E18=1,OB18=0),1000,0),MIN(TZ18,20)*400+(IF('計算A'!EN$106=1,1-IL18,0)+IF('計算A'!EO$106=1,1-IN18,0))*150+226+'計算A'!EO$5*100000+IF(AND($E18=1,OB18=0),50000,0))+IF($H18=1,(IF('計算A'!EN$117=1,INDEX('計算A'!EN$10:EN$54,$B18),0)+IF('計算A'!EO$117=1,INDEX('計算A'!EP$10:EP$54,$B18),0))*4000,0)-IF(AND('計算A'!EN$117=1,ZL18&gt;0),2000,0)-IF(AND($L18=1,'計算A'!EO$117=1,IN18=0),2000,0))),1000000))</f>
        <v/>
      </c>
      <c r="TR18">
        <f>IF($B18=0,1000000,IF(INDEX('計算A'!$D$60:$EQ$104,$B18,143)*IN18=1,IF(AND($E18=2,OC18=0),1000000,IF($I18&gt;0,IF(6=$J18,IF(OR(AND(143=$I18+1,OR($K18&lt;&gt;'計算A'!$A$3,'計算A'!$A$4=0)),AND(143=$I18-1,OR(23&lt;&gt;'計算A'!$A$3,'計算A'!$A$4=0))),0,IF(23=$K18,200000,ABS(23-$K18)*100)),100000+ABS(6-$J18)*1000+230)+'計算A'!EP$5*50+IF(AND($E18=1,OC18=0),25,0),IF($F18&gt;0,INDEX('計算A'!EP$110:EP$114,$F18+1)+IF(AND($E18=1,OC18=0),1000,0),MIN(TZ18,20)*400+(IF('計算A'!EO$106=1,1-IM18,0)+IF('計算A'!EP$106=1,1-IO18,0))*150+236+'計算A'!EP$5*100000+IF(AND($E18=1,OC18=0),50000,0))+IF($H18=1,(IF('計算A'!EO$117=1,INDEX('計算A'!EO$10:EO$54,$B18),0)+IF('計算A'!EP$117=1,INDEX('計算A'!EQ$10:EQ$54,$B18),0))*4000,0)-IF(AND('計算A'!EO$117=1,ZM18&gt;0),2000,0)-IF(AND($L18=1,'計算A'!EP$117=1,IO18=0),2000,0))),1000000))</f>
        <v/>
      </c>
      <c r="TS18">
        <f>IF($B18=0,1000000,IF(INDEX('計算A'!$D$60:$EQ$104,$B18,144)*IO18=1,IF(AND($E18=2,OD18=0),1000000,IF($I18&gt;0,IF(6=$J18,IF(OR(AND(144=$I18+1,OR($K18&lt;&gt;'計算A'!$A$3,'計算A'!$A$4=0)),AND(144=$I18-1,OR(24&lt;&gt;'計算A'!$A$3,'計算A'!$A$4=0))),0,IF(24=$K18,200000,ABS(24-$K18)*100)),100000+ABS(6-$J18)*1000+240)+'計算A'!EQ$5*50+IF(AND($E18=1,OD18=0),25,0),IF($F18&gt;0,INDEX('計算A'!EQ$110:EQ$114,$F18+1)+IF(AND($E18=1,OD18=0),1000,0),MIN(TZ18,20)*400+(IF('計算A'!EP$106=1,1-IN18,0))*150+246+'計算A'!EQ$5*100000+IF(AND($E18=1,OD18=0),50000,0))+IF($H18=1,(IF('計算A'!EP$117=1,INDEX('計算A'!EP$10:EP$54,$B18),0))*4000,0)-IF(AND('計算A'!EP$117=1,ZN18&gt;0),2000,0))),1000000))</f>
        <v/>
      </c>
      <c r="TU18">
        <f>TU17+IF($C17&gt;0,IF(INDEX('計算A'!$D$2:$EQ$2,$C17)=1,1,0),0)</f>
        <v/>
      </c>
      <c r="TV18">
        <f>TV17+IF($C17&gt;0,IF(INDEX('計算A'!$D$2:$EQ$2,$C17)=2,1,0),0)</f>
        <v/>
      </c>
      <c r="TW18">
        <f>TW17+IF($C17&gt;0,IF(INDEX('計算A'!$D$2:$EQ$2,$C17)=3,1,0),0)</f>
        <v/>
      </c>
      <c r="TX18">
        <f>TX17+IF($C17&gt;0,IF(INDEX('計算A'!$D$2:$EQ$2,$C17)=4,1,0),0)</f>
        <v/>
      </c>
      <c r="TY18">
        <f>TY17+IF($C17&gt;0,IF(INDEX('計算A'!$D$2:$EQ$2,$C17)=5,1,0),0)</f>
        <v/>
      </c>
      <c r="TZ18">
        <f>TZ17+IF($C17&gt;0,IF(INDEX('計算A'!$D$2:$EQ$2,$C17)=6,1,0),0)</f>
        <v/>
      </c>
      <c r="UB18">
        <f>UB17+IF(AND($C17=1,$L17=1),1,0)</f>
        <v/>
      </c>
      <c r="UC18">
        <f>UC17+IF(AND($C17=2,$L17=1),1,0)</f>
        <v/>
      </c>
      <c r="UD18">
        <f>UD17+IF(AND($C17=3,$L17=1),1,0)</f>
        <v/>
      </c>
      <c r="UE18">
        <f>UE17+IF(AND($C17=4,$L17=1),1,0)</f>
        <v/>
      </c>
      <c r="UF18">
        <f>UF17+IF(AND($C17=5,$L17=1),1,0)</f>
        <v/>
      </c>
      <c r="UG18">
        <f>UG17+IF(AND($C17=6,$L17=1),1,0)</f>
        <v/>
      </c>
      <c r="UH18">
        <f>UH17+IF(AND($C17=7,$L17=1),1,0)</f>
        <v/>
      </c>
      <c r="UI18">
        <f>UI17+IF(AND($C17=8,$L17=1),1,0)</f>
        <v/>
      </c>
      <c r="UJ18">
        <f>UJ17+IF(AND($C17=9,$L17=1),1,0)</f>
        <v/>
      </c>
      <c r="UK18">
        <f>UK17+IF(AND($C17=10,$L17=1),1,0)</f>
        <v/>
      </c>
      <c r="UL18">
        <f>UL17+IF(AND($C17=11,$L17=1),1,0)</f>
        <v/>
      </c>
      <c r="UM18">
        <f>UM17+IF(AND($C17=12,$L17=1),1,0)</f>
        <v/>
      </c>
      <c r="UN18">
        <f>UN17+IF(AND($C17=13,$L17=1),1,0)</f>
        <v/>
      </c>
      <c r="UO18">
        <f>UO17+IF(AND($C17=14,$L17=1),1,0)</f>
        <v/>
      </c>
      <c r="UP18">
        <f>UP17+IF(AND($C17=15,$L17=1),1,0)</f>
        <v/>
      </c>
      <c r="UQ18">
        <f>UQ17+IF(AND($C17=16,$L17=1),1,0)</f>
        <v/>
      </c>
      <c r="UR18">
        <f>UR17+IF(AND($C17=17,$L17=1),1,0)</f>
        <v/>
      </c>
      <c r="US18">
        <f>US17+IF(AND($C17=18,$L17=1),1,0)</f>
        <v/>
      </c>
      <c r="UT18">
        <f>UT17+IF(AND($C17=19,$L17=1),1,0)</f>
        <v/>
      </c>
      <c r="UU18">
        <f>UU17+IF(AND($C17=20,$L17=1),1,0)</f>
        <v/>
      </c>
      <c r="UV18">
        <f>UV17+IF(AND($C17=21,$L17=1),1,0)</f>
        <v/>
      </c>
      <c r="UW18">
        <f>UW17+IF(AND($C17=22,$L17=1),1,0)</f>
        <v/>
      </c>
      <c r="UX18">
        <f>UX17+IF(AND($C17=23,$L17=1),1,0)</f>
        <v/>
      </c>
      <c r="UY18">
        <f>UY17+IF(AND($C17=24,$L17=1),1,0)</f>
        <v/>
      </c>
      <c r="UZ18">
        <f>UZ17+IF(AND($C17=25,$L17=1),1,0)</f>
        <v/>
      </c>
      <c r="VA18">
        <f>VA17+IF(AND($C17=26,$L17=1),1,0)</f>
        <v/>
      </c>
      <c r="VB18">
        <f>VB17+IF(AND($C17=27,$L17=1),1,0)</f>
        <v/>
      </c>
      <c r="VC18">
        <f>VC17+IF(AND($C17=28,$L17=1),1,0)</f>
        <v/>
      </c>
      <c r="VD18">
        <f>VD17+IF(AND($C17=29,$L17=1),1,0)</f>
        <v/>
      </c>
      <c r="VE18">
        <f>VE17+IF(AND($C17=30,$L17=1),1,0)</f>
        <v/>
      </c>
      <c r="VF18">
        <f>VF17+IF(AND($C17=31,$L17=1),1,0)</f>
        <v/>
      </c>
      <c r="VG18">
        <f>VG17+IF(AND($C17=32,$L17=1),1,0)</f>
        <v/>
      </c>
      <c r="VH18">
        <f>VH17+IF(AND($C17=33,$L17=1),1,0)</f>
        <v/>
      </c>
      <c r="VI18">
        <f>VI17+IF(AND($C17=34,$L17=1),1,0)</f>
        <v/>
      </c>
      <c r="VJ18">
        <f>VJ17+IF(AND($C17=35,$L17=1),1,0)</f>
        <v/>
      </c>
      <c r="VK18">
        <f>VK17+IF(AND($C17=36,$L17=1),1,0)</f>
        <v/>
      </c>
      <c r="VL18">
        <f>VL17+IF(AND($C17=37,$L17=1),1,0)</f>
        <v/>
      </c>
      <c r="VM18">
        <f>VM17+IF(AND($C17=38,$L17=1),1,0)</f>
        <v/>
      </c>
      <c r="VN18">
        <f>VN17+IF(AND($C17=39,$L17=1),1,0)</f>
        <v/>
      </c>
      <c r="VO18">
        <f>VO17+IF(AND($C17=40,$L17=1),1,0)</f>
        <v/>
      </c>
      <c r="VP18">
        <f>VP17+IF(AND($C17=41,$L17=1),1,0)</f>
        <v/>
      </c>
      <c r="VQ18">
        <f>VQ17+IF(AND($C17=42,$L17=1),1,0)</f>
        <v/>
      </c>
      <c r="VR18">
        <f>VR17+IF(AND($C17=43,$L17=1),1,0)</f>
        <v/>
      </c>
      <c r="VS18">
        <f>VS17+IF(AND($C17=44,$L17=1),1,0)</f>
        <v/>
      </c>
      <c r="VT18">
        <f>VT17+IF(AND($C17=45,$L17=1),1,0)</f>
        <v/>
      </c>
      <c r="VU18">
        <f>VU17+IF(AND($C17=46,$L17=1),1,0)</f>
        <v/>
      </c>
      <c r="VV18">
        <f>VV17+IF(AND($C17=47,$L17=1),1,0)</f>
        <v/>
      </c>
      <c r="VW18">
        <f>VW17+IF(AND($C17=48,$L17=1),1,0)</f>
        <v/>
      </c>
      <c r="VX18">
        <f>VX17+IF(AND($C17=49,$L17=1),1,0)</f>
        <v/>
      </c>
      <c r="VY18">
        <f>VY17+IF(AND($C17=50,$L17=1),1,0)</f>
        <v/>
      </c>
      <c r="VZ18">
        <f>VZ17+IF(AND($C17=51,$L17=1),1,0)</f>
        <v/>
      </c>
      <c r="WA18">
        <f>WA17+IF(AND($C17=52,$L17=1),1,0)</f>
        <v/>
      </c>
      <c r="WB18">
        <f>WB17+IF(AND($C17=53,$L17=1),1,0)</f>
        <v/>
      </c>
      <c r="WC18">
        <f>WC17+IF(AND($C17=54,$L17=1),1,0)</f>
        <v/>
      </c>
      <c r="WD18">
        <f>WD17+IF(AND($C17=55,$L17=1),1,0)</f>
        <v/>
      </c>
      <c r="WE18">
        <f>WE17+IF(AND($C17=56,$L17=1),1,0)</f>
        <v/>
      </c>
      <c r="WF18">
        <f>WF17+IF(AND($C17=57,$L17=1),1,0)</f>
        <v/>
      </c>
      <c r="WG18">
        <f>WG17+IF(AND($C17=58,$L17=1),1,0)</f>
        <v/>
      </c>
      <c r="WH18">
        <f>WH17+IF(AND($C17=59,$L17=1),1,0)</f>
        <v/>
      </c>
      <c r="WI18">
        <f>WI17+IF(AND($C17=60,$L17=1),1,0)</f>
        <v/>
      </c>
      <c r="WJ18">
        <f>WJ17+IF(AND($C17=61,$L17=1),1,0)</f>
        <v/>
      </c>
      <c r="WK18">
        <f>WK17+IF(AND($C17=62,$L17=1),1,0)</f>
        <v/>
      </c>
      <c r="WL18">
        <f>WL17+IF(AND($C17=63,$L17=1),1,0)</f>
        <v/>
      </c>
      <c r="WM18">
        <f>WM17+IF(AND($C17=64,$L17=1),1,0)</f>
        <v/>
      </c>
      <c r="WN18">
        <f>WN17+IF(AND($C17=65,$L17=1),1,0)</f>
        <v/>
      </c>
      <c r="WO18">
        <f>WO17+IF(AND($C17=66,$L17=1),1,0)</f>
        <v/>
      </c>
      <c r="WP18">
        <f>WP17+IF(AND($C17=67,$L17=1),1,0)</f>
        <v/>
      </c>
      <c r="WQ18">
        <f>WQ17+IF(AND($C17=68,$L17=1),1,0)</f>
        <v/>
      </c>
      <c r="WR18">
        <f>WR17+IF(AND($C17=69,$L17=1),1,0)</f>
        <v/>
      </c>
      <c r="WS18">
        <f>WS17+IF(AND($C17=70,$L17=1),1,0)</f>
        <v/>
      </c>
      <c r="WT18">
        <f>WT17+IF(AND($C17=71,$L17=1),1,0)</f>
        <v/>
      </c>
      <c r="WU18">
        <f>WU17+IF(AND($C17=72,$L17=1),1,0)</f>
        <v/>
      </c>
      <c r="WV18">
        <f>WV17+IF(AND($C17=73,$L17=1),1,0)</f>
        <v/>
      </c>
      <c r="WW18">
        <f>WW17+IF(AND($C17=74,$L17=1),1,0)</f>
        <v/>
      </c>
      <c r="WX18">
        <f>WX17+IF(AND($C17=75,$L17=1),1,0)</f>
        <v/>
      </c>
      <c r="WY18">
        <f>WY17+IF(AND($C17=76,$L17=1),1,0)</f>
        <v/>
      </c>
      <c r="WZ18">
        <f>WZ17+IF(AND($C17=77,$L17=1),1,0)</f>
        <v/>
      </c>
      <c r="XA18">
        <f>XA17+IF(AND($C17=78,$L17=1),1,0)</f>
        <v/>
      </c>
      <c r="XB18">
        <f>XB17+IF(AND($C17=79,$L17=1),1,0)</f>
        <v/>
      </c>
      <c r="XC18">
        <f>XC17+IF(AND($C17=80,$L17=1),1,0)</f>
        <v/>
      </c>
      <c r="XD18">
        <f>XD17+IF(AND($C17=81,$L17=1),1,0)</f>
        <v/>
      </c>
      <c r="XE18">
        <f>XE17+IF(AND($C17=82,$L17=1),1,0)</f>
        <v/>
      </c>
      <c r="XF18">
        <f>XF17+IF(AND($C17=83,$L17=1),1,0)</f>
        <v/>
      </c>
      <c r="XG18">
        <f>XG17+IF(AND($C17=84,$L17=1),1,0)</f>
        <v/>
      </c>
      <c r="XH18">
        <f>XH17+IF(AND($C17=85,$L17=1),1,0)</f>
        <v/>
      </c>
      <c r="XI18">
        <f>XI17+IF(AND($C17=86,$L17=1),1,0)</f>
        <v/>
      </c>
      <c r="XJ18">
        <f>XJ17+IF(AND($C17=87,$L17=1),1,0)</f>
        <v/>
      </c>
      <c r="XK18">
        <f>XK17+IF(AND($C17=88,$L17=1),1,0)</f>
        <v/>
      </c>
      <c r="XL18">
        <f>XL17+IF(AND($C17=89,$L17=1),1,0)</f>
        <v/>
      </c>
      <c r="XM18">
        <f>XM17+IF(AND($C17=90,$L17=1),1,0)</f>
        <v/>
      </c>
      <c r="XN18">
        <f>XN17+IF(AND($C17=91,$L17=1),1,0)</f>
        <v/>
      </c>
      <c r="XO18">
        <f>XO17+IF(AND($C17=92,$L17=1),1,0)</f>
        <v/>
      </c>
      <c r="XP18">
        <f>XP17+IF(AND($C17=93,$L17=1),1,0)</f>
        <v/>
      </c>
      <c r="XQ18">
        <f>XQ17+IF(AND($C17=94,$L17=1),1,0)</f>
        <v/>
      </c>
      <c r="XR18">
        <f>XR17+IF(AND($C17=95,$L17=1),1,0)</f>
        <v/>
      </c>
      <c r="XS18">
        <f>XS17+IF(AND($C17=96,$L17=1),1,0)</f>
        <v/>
      </c>
      <c r="XT18">
        <f>XT17+IF(AND($C17=97,$L17=1),1,0)</f>
        <v/>
      </c>
      <c r="XU18">
        <f>XU17+IF(AND($C17=98,$L17=1),1,0)</f>
        <v/>
      </c>
      <c r="XV18">
        <f>XV17+IF(AND($C17=99,$L17=1),1,0)</f>
        <v/>
      </c>
      <c r="XW18">
        <f>XW17+IF(AND($C17=100,$L17=1),1,0)</f>
        <v/>
      </c>
      <c r="XX18">
        <f>XX17+IF(AND($C17=101,$L17=1),1,0)</f>
        <v/>
      </c>
      <c r="XY18">
        <f>XY17+IF(AND($C17=102,$L17=1),1,0)</f>
        <v/>
      </c>
      <c r="XZ18">
        <f>XZ17+IF(AND($C17=103,$L17=1),1,0)</f>
        <v/>
      </c>
      <c r="YA18">
        <f>YA17+IF(AND($C17=104,$L17=1),1,0)</f>
        <v/>
      </c>
      <c r="YB18">
        <f>YB17+IF(AND($C17=105,$L17=1),1,0)</f>
        <v/>
      </c>
      <c r="YC18">
        <f>YC17+IF(AND($C17=106,$L17=1),1,0)</f>
        <v/>
      </c>
      <c r="YD18">
        <f>YD17+IF(AND($C17=107,$L17=1),1,0)</f>
        <v/>
      </c>
      <c r="YE18">
        <f>YE17+IF(AND($C17=108,$L17=1),1,0)</f>
        <v/>
      </c>
      <c r="YF18">
        <f>YF17+IF(AND($C17=109,$L17=1),1,0)</f>
        <v/>
      </c>
      <c r="YG18">
        <f>YG17+IF(AND($C17=110,$L17=1),1,0)</f>
        <v/>
      </c>
      <c r="YH18">
        <f>YH17+IF(AND($C17=111,$L17=1),1,0)</f>
        <v/>
      </c>
      <c r="YI18">
        <f>YI17+IF(AND($C17=112,$L17=1),1,0)</f>
        <v/>
      </c>
      <c r="YJ18">
        <f>YJ17+IF(AND($C17=113,$L17=1),1,0)</f>
        <v/>
      </c>
      <c r="YK18">
        <f>YK17+IF(AND($C17=114,$L17=1),1,0)</f>
        <v/>
      </c>
      <c r="YL18">
        <f>YL17+IF(AND($C17=115,$L17=1),1,0)</f>
        <v/>
      </c>
      <c r="YM18">
        <f>YM17+IF(AND($C17=116,$L17=1),1,0)</f>
        <v/>
      </c>
      <c r="YN18">
        <f>YN17+IF(AND($C17=117,$L17=1),1,0)</f>
        <v/>
      </c>
      <c r="YO18">
        <f>YO17+IF(AND($C17=118,$L17=1),1,0)</f>
        <v/>
      </c>
      <c r="YP18">
        <f>YP17+IF(AND($C17=119,$L17=1),1,0)</f>
        <v/>
      </c>
      <c r="YQ18">
        <f>YQ17+IF(AND($C17=120,$L17=1),1,0)</f>
        <v/>
      </c>
      <c r="YR18">
        <f>YR17+IF(AND($C17=121,$L17=1),1,0)</f>
        <v/>
      </c>
      <c r="YS18">
        <f>YS17+IF(AND($C17=122,$L17=1),1,0)</f>
        <v/>
      </c>
      <c r="YT18">
        <f>YT17+IF(AND($C17=123,$L17=1),1,0)</f>
        <v/>
      </c>
      <c r="YU18">
        <f>YU17+IF(AND($C17=124,$L17=1),1,0)</f>
        <v/>
      </c>
      <c r="YV18">
        <f>YV17+IF(AND($C17=125,$L17=1),1,0)</f>
        <v/>
      </c>
      <c r="YW18">
        <f>YW17+IF(AND($C17=126,$L17=1),1,0)</f>
        <v/>
      </c>
      <c r="YX18">
        <f>YX17+IF(AND($C17=127,$L17=1),1,0)</f>
        <v/>
      </c>
      <c r="YY18">
        <f>YY17+IF(AND($C17=128,$L17=1),1,0)</f>
        <v/>
      </c>
      <c r="YZ18">
        <f>YZ17+IF(AND($C17=129,$L17=1),1,0)</f>
        <v/>
      </c>
      <c r="ZA18">
        <f>ZA17+IF(AND($C17=130,$L17=1),1,0)</f>
        <v/>
      </c>
      <c r="ZB18">
        <f>ZB17+IF(AND($C17=131,$L17=1),1,0)</f>
        <v/>
      </c>
      <c r="ZC18">
        <f>ZC17+IF(AND($C17=132,$L17=1),1,0)</f>
        <v/>
      </c>
      <c r="ZD18">
        <f>ZD17+IF(AND($C17=133,$L17=1),1,0)</f>
        <v/>
      </c>
      <c r="ZE18">
        <f>ZE17+IF(AND($C17=134,$L17=1),1,0)</f>
        <v/>
      </c>
      <c r="ZF18">
        <f>ZF17+IF(AND($C17=135,$L17=1),1,0)</f>
        <v/>
      </c>
      <c r="ZG18">
        <f>ZG17+IF(AND($C17=136,$L17=1),1,0)</f>
        <v/>
      </c>
      <c r="ZH18">
        <f>ZH17+IF(AND($C17=137,$L17=1),1,0)</f>
        <v/>
      </c>
      <c r="ZI18">
        <f>ZI17+IF(AND($C17=138,$L17=1),1,0)</f>
        <v/>
      </c>
      <c r="ZJ18">
        <f>ZJ17+IF(AND($C17=139,$L17=1),1,0)</f>
        <v/>
      </c>
      <c r="ZK18">
        <f>ZK17+IF(AND($C17=140,$L17=1),1,0)</f>
        <v/>
      </c>
      <c r="ZL18">
        <f>ZL17+IF(AND($C17=141,$L17=1),1,0)</f>
        <v/>
      </c>
      <c r="ZM18">
        <f>ZM17+IF(AND($C17=142,$L17=1),1,0)</f>
        <v/>
      </c>
      <c r="ZN18">
        <f>ZN17+IF(AND($C17=143,$L17=1),1,0)</f>
        <v/>
      </c>
      <c r="ZO18">
        <f>ZO17+IF(AND($C17=144,$L17=1),1,0)</f>
        <v/>
      </c>
    </row>
    <row r="19">
      <c r="A19" t="n">
        <v>17</v>
      </c>
      <c r="B19">
        <f>IF(MIN(BH19:CZ19)&gt;=1000000,0,MATCH(MIN(BH19:CZ19),BH19:CZ19,0))</f>
        <v/>
      </c>
      <c r="C19">
        <f>IF(MIN(OF19:TS19)&gt;=1000000,0,MATCH(MIN(OF19:TS19),OF19:TS19,0))</f>
        <v/>
      </c>
      <c r="D19">
        <f>IF(C19&gt;0,INDEX('計算A'!$D$5:$EQ$5,C19),0)</f>
        <v/>
      </c>
      <c r="E19">
        <f>IF(B19=0,0,INDEX('計算A'!$IQ$10:$IQ$54,B19))</f>
        <v/>
      </c>
      <c r="F19">
        <f>IF(B19=0,0,INDEX('計算A'!$IP$10:$IP$54,B19))</f>
        <v/>
      </c>
      <c r="G19">
        <f>IF(AND(C19&gt;0,E19&gt;0),IF(AND(INDEX('計算A'!$D$106:$EQ$106,C19)=1,INDEX($IQ19:$OD19,C19)=1),C19+1,0),0)</f>
        <v/>
      </c>
      <c r="H19">
        <f>IF(B19=0,0,INDEX('計算A'!$IW$10:$IW$54,B19))</f>
        <v/>
      </c>
      <c r="I19">
        <f>IF(B19=0,0,MAX(0,INDEX('計算A'!$IT$10:$IT$54,B19)))</f>
        <v/>
      </c>
      <c r="J19">
        <f>IF(I19=0,0,INDEX('計算A'!$D$2:$EQ$2,I19))</f>
        <v/>
      </c>
      <c r="K19">
        <f>IF(I19=0,0,INDEX('計算A'!$D$3:$EQ$3,I19))</f>
        <v/>
      </c>
      <c r="L19">
        <f>IF(B19=0,0,INDEX('計算A'!$IX$10:$IX$54,B19))</f>
        <v/>
      </c>
      <c r="N19">
        <f>MAX(N18,IF($B18=1,1,0))</f>
        <v/>
      </c>
      <c r="O19">
        <f>MAX(O18,IF($B18=2,1,0))</f>
        <v/>
      </c>
      <c r="P19">
        <f>MAX(P18,IF($B18=3,1,0))</f>
        <v/>
      </c>
      <c r="Q19">
        <f>MAX(Q18,IF($B18=4,1,0))</f>
        <v/>
      </c>
      <c r="R19">
        <f>MAX(R18,IF($B18=5,1,0))</f>
        <v/>
      </c>
      <c r="S19">
        <f>MAX(S18,IF($B18=6,1,0))</f>
        <v/>
      </c>
      <c r="T19">
        <f>MAX(T18,IF($B18=7,1,0))</f>
        <v/>
      </c>
      <c r="U19">
        <f>MAX(U18,IF($B18=8,1,0))</f>
        <v/>
      </c>
      <c r="V19">
        <f>MAX(V18,IF($B18=9,1,0))</f>
        <v/>
      </c>
      <c r="W19">
        <f>MAX(W18,IF($B18=10,1,0))</f>
        <v/>
      </c>
      <c r="X19">
        <f>MAX(X18,IF($B18=11,1,0))</f>
        <v/>
      </c>
      <c r="Y19">
        <f>MAX(Y18,IF($B18=12,1,0))</f>
        <v/>
      </c>
      <c r="Z19">
        <f>MAX(Z18,IF($B18=13,1,0))</f>
        <v/>
      </c>
      <c r="AA19">
        <f>MAX(AA18,IF($B18=14,1,0))</f>
        <v/>
      </c>
      <c r="AB19">
        <f>MAX(AB18,IF($B18=15,1,0))</f>
        <v/>
      </c>
      <c r="AC19">
        <f>MAX(AC18,IF($B18=16,1,0))</f>
        <v/>
      </c>
      <c r="AD19">
        <f>MAX(AD18,IF($B18=17,1,0))</f>
        <v/>
      </c>
      <c r="AE19">
        <f>MAX(AE18,IF($B18=18,1,0))</f>
        <v/>
      </c>
      <c r="AF19">
        <f>MAX(AF18,IF($B18=19,1,0))</f>
        <v/>
      </c>
      <c r="AG19">
        <f>MAX(AG18,IF($B18=20,1,0))</f>
        <v/>
      </c>
      <c r="AH19">
        <f>MAX(AH18,IF($B18=21,1,0))</f>
        <v/>
      </c>
      <c r="AI19">
        <f>MAX(AI18,IF($B18=22,1,0))</f>
        <v/>
      </c>
      <c r="AJ19">
        <f>MAX(AJ18,IF($B18=23,1,0))</f>
        <v/>
      </c>
      <c r="AK19">
        <f>MAX(AK18,IF($B18=24,1,0))</f>
        <v/>
      </c>
      <c r="AL19">
        <f>MAX(AL18,IF($B18=25,1,0))</f>
        <v/>
      </c>
      <c r="AM19">
        <f>MAX(AM18,IF($B18=26,1,0))</f>
        <v/>
      </c>
      <c r="AN19">
        <f>MAX(AN18,IF($B18=27,1,0))</f>
        <v/>
      </c>
      <c r="AO19">
        <f>MAX(AO18,IF($B18=28,1,0))</f>
        <v/>
      </c>
      <c r="AP19">
        <f>MAX(AP18,IF($B18=29,1,0))</f>
        <v/>
      </c>
      <c r="AQ19">
        <f>MAX(AQ18,IF($B18=30,1,0))</f>
        <v/>
      </c>
      <c r="AR19">
        <f>MAX(AR18,IF($B18=31,1,0))</f>
        <v/>
      </c>
      <c r="AS19">
        <f>MAX(AS18,IF($B18=32,1,0))</f>
        <v/>
      </c>
      <c r="AT19">
        <f>MAX(AT18,IF($B18=33,1,0))</f>
        <v/>
      </c>
      <c r="AU19">
        <f>MAX(AU18,IF($B18=34,1,0))</f>
        <v/>
      </c>
      <c r="AV19">
        <f>MAX(AV18,IF($B18=35,1,0))</f>
        <v/>
      </c>
      <c r="AW19">
        <f>MAX(AW18,IF($B18=36,1,0))</f>
        <v/>
      </c>
      <c r="AX19">
        <f>MAX(AX18,IF($B18=37,1,0))</f>
        <v/>
      </c>
      <c r="AY19">
        <f>MAX(AY18,IF($B18=38,1,0))</f>
        <v/>
      </c>
      <c r="AZ19">
        <f>MAX(AZ18,IF($B18=39,1,0))</f>
        <v/>
      </c>
      <c r="BA19">
        <f>MAX(BA18,IF($B18=40,1,0))</f>
        <v/>
      </c>
      <c r="BB19">
        <f>MAX(BB18,IF($B18=41,1,0))</f>
        <v/>
      </c>
      <c r="BC19">
        <f>MAX(BC18,IF($B18=42,1,0))</f>
        <v/>
      </c>
      <c r="BD19">
        <f>MAX(BD18,IF($B18=43,1,0))</f>
        <v/>
      </c>
      <c r="BE19">
        <f>MAX(BE18,IF($B18=44,1,0))</f>
        <v/>
      </c>
      <c r="BF19">
        <f>MAX(BF18,IF($B18=45,1,0))</f>
        <v/>
      </c>
      <c r="BH19">
        <f>IF(N19=1,1000000,IF('計算A'!$IT$10&gt;0,0,500000)+IF('計算A'!$IQ$10=2,SUMPRODUCT('計算A'!$D$60:$EQ$60,$DB19:$IO19,$IQ19:$OD19),SUMPRODUCT('計算A'!$D$60:$EQ$60,$DB19:$IO19))*1000+1)</f>
        <v/>
      </c>
      <c r="BI19">
        <f>IF(O19=1,1000000,IF('計算A'!$IT$11&gt;0,0,500000)+IF('計算A'!$IQ$11=2,SUMPRODUCT('計算A'!$D$61:$EQ$61,$DB19:$IO19,$IQ19:$OD19),SUMPRODUCT('計算A'!$D$61:$EQ$61,$DB19:$IO19))*1000+2)</f>
        <v/>
      </c>
      <c r="BJ19">
        <f>IF(P19=1,1000000,IF('計算A'!$IT$12&gt;0,0,500000)+IF('計算A'!$IQ$12=2,SUMPRODUCT('計算A'!$D$62:$EQ$62,$DB19:$IO19,$IQ19:$OD19),SUMPRODUCT('計算A'!$D$62:$EQ$62,$DB19:$IO19))*1000+3)</f>
        <v/>
      </c>
      <c r="BK19">
        <f>IF(Q19=1,1000000,IF('計算A'!$IT$13&gt;0,0,500000)+IF('計算A'!$IQ$13=2,SUMPRODUCT('計算A'!$D$63:$EQ$63,$DB19:$IO19,$IQ19:$OD19),SUMPRODUCT('計算A'!$D$63:$EQ$63,$DB19:$IO19))*1000+4)</f>
        <v/>
      </c>
      <c r="BL19">
        <f>IF(R19=1,1000000,IF('計算A'!$IT$14&gt;0,0,500000)+IF('計算A'!$IQ$14=2,SUMPRODUCT('計算A'!$D$64:$EQ$64,$DB19:$IO19,$IQ19:$OD19),SUMPRODUCT('計算A'!$D$64:$EQ$64,$DB19:$IO19))*1000+5)</f>
        <v/>
      </c>
      <c r="BM19">
        <f>IF(S19=1,1000000,IF('計算A'!$IT$15&gt;0,0,500000)+IF('計算A'!$IQ$15=2,SUMPRODUCT('計算A'!$D$65:$EQ$65,$DB19:$IO19,$IQ19:$OD19),SUMPRODUCT('計算A'!$D$65:$EQ$65,$DB19:$IO19))*1000+6)</f>
        <v/>
      </c>
      <c r="BN19">
        <f>IF(T19=1,1000000,IF('計算A'!$IT$16&gt;0,0,500000)+IF('計算A'!$IQ$16=2,SUMPRODUCT('計算A'!$D$66:$EQ$66,$DB19:$IO19,$IQ19:$OD19),SUMPRODUCT('計算A'!$D$66:$EQ$66,$DB19:$IO19))*1000+7)</f>
        <v/>
      </c>
      <c r="BO19">
        <f>IF(U19=1,1000000,IF('計算A'!$IT$17&gt;0,0,500000)+IF('計算A'!$IQ$17=2,SUMPRODUCT('計算A'!$D$67:$EQ$67,$DB19:$IO19,$IQ19:$OD19),SUMPRODUCT('計算A'!$D$67:$EQ$67,$DB19:$IO19))*1000+8)</f>
        <v/>
      </c>
      <c r="BP19">
        <f>IF(V19=1,1000000,IF('計算A'!$IT$18&gt;0,0,500000)+IF('計算A'!$IQ$18=2,SUMPRODUCT('計算A'!$D$68:$EQ$68,$DB19:$IO19,$IQ19:$OD19),SUMPRODUCT('計算A'!$D$68:$EQ$68,$DB19:$IO19))*1000+9)</f>
        <v/>
      </c>
      <c r="BQ19">
        <f>IF(W19=1,1000000,IF('計算A'!$IT$19&gt;0,0,500000)+IF('計算A'!$IQ$19=2,SUMPRODUCT('計算A'!$D$69:$EQ$69,$DB19:$IO19,$IQ19:$OD19),SUMPRODUCT('計算A'!$D$69:$EQ$69,$DB19:$IO19))*1000+10)</f>
        <v/>
      </c>
      <c r="BR19">
        <f>IF(X19=1,1000000,IF('計算A'!$IT$20&gt;0,0,500000)+IF('計算A'!$IQ$20=2,SUMPRODUCT('計算A'!$D$70:$EQ$70,$DB19:$IO19,$IQ19:$OD19),SUMPRODUCT('計算A'!$D$70:$EQ$70,$DB19:$IO19))*1000+11)</f>
        <v/>
      </c>
      <c r="BS19">
        <f>IF(Y19=1,1000000,IF('計算A'!$IT$21&gt;0,0,500000)+IF('計算A'!$IQ$21=2,SUMPRODUCT('計算A'!$D$71:$EQ$71,$DB19:$IO19,$IQ19:$OD19),SUMPRODUCT('計算A'!$D$71:$EQ$71,$DB19:$IO19))*1000+12)</f>
        <v/>
      </c>
      <c r="BT19">
        <f>IF(Z19=1,1000000,IF('計算A'!$IT$22&gt;0,0,500000)+IF('計算A'!$IQ$22=2,SUMPRODUCT('計算A'!$D$72:$EQ$72,$DB19:$IO19,$IQ19:$OD19),SUMPRODUCT('計算A'!$D$72:$EQ$72,$DB19:$IO19))*1000+13)</f>
        <v/>
      </c>
      <c r="BU19">
        <f>IF(AA19=1,1000000,IF('計算A'!$IT$23&gt;0,0,500000)+IF('計算A'!$IQ$23=2,SUMPRODUCT('計算A'!$D$73:$EQ$73,$DB19:$IO19,$IQ19:$OD19),SUMPRODUCT('計算A'!$D$73:$EQ$73,$DB19:$IO19))*1000+14)</f>
        <v/>
      </c>
      <c r="BV19">
        <f>IF(AB19=1,1000000,IF('計算A'!$IT$24&gt;0,0,500000)+IF('計算A'!$IQ$24=2,SUMPRODUCT('計算A'!$D$74:$EQ$74,$DB19:$IO19,$IQ19:$OD19),SUMPRODUCT('計算A'!$D$74:$EQ$74,$DB19:$IO19))*1000+15)</f>
        <v/>
      </c>
      <c r="BW19">
        <f>IF(AC19=1,1000000,IF('計算A'!$IT$25&gt;0,0,500000)+IF('計算A'!$IQ$25=2,SUMPRODUCT('計算A'!$D$75:$EQ$75,$DB19:$IO19,$IQ19:$OD19),SUMPRODUCT('計算A'!$D$75:$EQ$75,$DB19:$IO19))*1000+16)</f>
        <v/>
      </c>
      <c r="BX19">
        <f>IF(AD19=1,1000000,IF('計算A'!$IT$26&gt;0,0,500000)+IF('計算A'!$IQ$26=2,SUMPRODUCT('計算A'!$D$76:$EQ$76,$DB19:$IO19,$IQ19:$OD19),SUMPRODUCT('計算A'!$D$76:$EQ$76,$DB19:$IO19))*1000+17)</f>
        <v/>
      </c>
      <c r="BY19">
        <f>IF(AE19=1,1000000,IF('計算A'!$IT$27&gt;0,0,500000)+IF('計算A'!$IQ$27=2,SUMPRODUCT('計算A'!$D$77:$EQ$77,$DB19:$IO19,$IQ19:$OD19),SUMPRODUCT('計算A'!$D$77:$EQ$77,$DB19:$IO19))*1000+18)</f>
        <v/>
      </c>
      <c r="BZ19">
        <f>IF(AF19=1,1000000,IF('計算A'!$IT$28&gt;0,0,500000)+IF('計算A'!$IQ$28=2,SUMPRODUCT('計算A'!$D$78:$EQ$78,$DB19:$IO19,$IQ19:$OD19),SUMPRODUCT('計算A'!$D$78:$EQ$78,$DB19:$IO19))*1000+19)</f>
        <v/>
      </c>
      <c r="CA19">
        <f>IF(AG19=1,1000000,IF('計算A'!$IT$29&gt;0,0,500000)+IF('計算A'!$IQ$29=2,SUMPRODUCT('計算A'!$D$79:$EQ$79,$DB19:$IO19,$IQ19:$OD19),SUMPRODUCT('計算A'!$D$79:$EQ$79,$DB19:$IO19))*1000+20)</f>
        <v/>
      </c>
      <c r="CB19">
        <f>IF(AH19=1,1000000,IF('計算A'!$IT$30&gt;0,0,500000)+IF('計算A'!$IQ$30=2,SUMPRODUCT('計算A'!$D$80:$EQ$80,$DB19:$IO19,$IQ19:$OD19),SUMPRODUCT('計算A'!$D$80:$EQ$80,$DB19:$IO19))*1000+21)</f>
        <v/>
      </c>
      <c r="CC19">
        <f>IF(AI19=1,1000000,IF('計算A'!$IT$31&gt;0,0,500000)+IF('計算A'!$IQ$31=2,SUMPRODUCT('計算A'!$D$81:$EQ$81,$DB19:$IO19,$IQ19:$OD19),SUMPRODUCT('計算A'!$D$81:$EQ$81,$DB19:$IO19))*1000+22)</f>
        <v/>
      </c>
      <c r="CD19">
        <f>IF(AJ19=1,1000000,IF('計算A'!$IT$32&gt;0,0,500000)+IF('計算A'!$IQ$32=2,SUMPRODUCT('計算A'!$D$82:$EQ$82,$DB19:$IO19,$IQ19:$OD19),SUMPRODUCT('計算A'!$D$82:$EQ$82,$DB19:$IO19))*1000+23)</f>
        <v/>
      </c>
      <c r="CE19">
        <f>IF(AK19=1,1000000,IF('計算A'!$IT$33&gt;0,0,500000)+IF('計算A'!$IQ$33=2,SUMPRODUCT('計算A'!$D$83:$EQ$83,$DB19:$IO19,$IQ19:$OD19),SUMPRODUCT('計算A'!$D$83:$EQ$83,$DB19:$IO19))*1000+24)</f>
        <v/>
      </c>
      <c r="CF19">
        <f>IF(AL19=1,1000000,IF('計算A'!$IT$34&gt;0,0,500000)+IF('計算A'!$IQ$34=2,SUMPRODUCT('計算A'!$D$84:$EQ$84,$DB19:$IO19,$IQ19:$OD19),SUMPRODUCT('計算A'!$D$84:$EQ$84,$DB19:$IO19))*1000+25)</f>
        <v/>
      </c>
      <c r="CG19">
        <f>IF(AM19=1,1000000,IF('計算A'!$IT$35&gt;0,0,500000)+IF('計算A'!$IQ$35=2,SUMPRODUCT('計算A'!$D$85:$EQ$85,$DB19:$IO19,$IQ19:$OD19),SUMPRODUCT('計算A'!$D$85:$EQ$85,$DB19:$IO19))*1000+26)</f>
        <v/>
      </c>
      <c r="CH19">
        <f>IF(AN19=1,1000000,IF('計算A'!$IT$36&gt;0,0,500000)+IF('計算A'!$IQ$36=2,SUMPRODUCT('計算A'!$D$86:$EQ$86,$DB19:$IO19,$IQ19:$OD19),SUMPRODUCT('計算A'!$D$86:$EQ$86,$DB19:$IO19))*1000+27)</f>
        <v/>
      </c>
      <c r="CI19">
        <f>IF(AO19=1,1000000,IF('計算A'!$IT$37&gt;0,0,500000)+IF('計算A'!$IQ$37=2,SUMPRODUCT('計算A'!$D$87:$EQ$87,$DB19:$IO19,$IQ19:$OD19),SUMPRODUCT('計算A'!$D$87:$EQ$87,$DB19:$IO19))*1000+28)</f>
        <v/>
      </c>
      <c r="CJ19">
        <f>IF(AP19=1,1000000,IF('計算A'!$IT$38&gt;0,0,500000)+IF('計算A'!$IQ$38=2,SUMPRODUCT('計算A'!$D$88:$EQ$88,$DB19:$IO19,$IQ19:$OD19),SUMPRODUCT('計算A'!$D$88:$EQ$88,$DB19:$IO19))*1000+29)</f>
        <v/>
      </c>
      <c r="CK19">
        <f>IF(AQ19=1,1000000,IF('計算A'!$IT$39&gt;0,0,500000)+IF('計算A'!$IQ$39=2,SUMPRODUCT('計算A'!$D$89:$EQ$89,$DB19:$IO19,$IQ19:$OD19),SUMPRODUCT('計算A'!$D$89:$EQ$89,$DB19:$IO19))*1000+30)</f>
        <v/>
      </c>
      <c r="CL19">
        <f>IF(AR19=1,1000000,IF('計算A'!$IT$40&gt;0,0,500000)+IF('計算A'!$IQ$40=2,SUMPRODUCT('計算A'!$D$90:$EQ$90,$DB19:$IO19,$IQ19:$OD19),SUMPRODUCT('計算A'!$D$90:$EQ$90,$DB19:$IO19))*1000+31)</f>
        <v/>
      </c>
      <c r="CM19">
        <f>IF(AS19=1,1000000,IF('計算A'!$IT$41&gt;0,0,500000)+IF('計算A'!$IQ$41=2,SUMPRODUCT('計算A'!$D$91:$EQ$91,$DB19:$IO19,$IQ19:$OD19),SUMPRODUCT('計算A'!$D$91:$EQ$91,$DB19:$IO19))*1000+32)</f>
        <v/>
      </c>
      <c r="CN19">
        <f>IF(AT19=1,1000000,IF('計算A'!$IT$42&gt;0,0,500000)+IF('計算A'!$IQ$42=2,SUMPRODUCT('計算A'!$D$92:$EQ$92,$DB19:$IO19,$IQ19:$OD19),SUMPRODUCT('計算A'!$D$92:$EQ$92,$DB19:$IO19))*1000+33)</f>
        <v/>
      </c>
      <c r="CO19">
        <f>IF(AU19=1,1000000,IF('計算A'!$IT$43&gt;0,0,500000)+IF('計算A'!$IQ$43=2,SUMPRODUCT('計算A'!$D$93:$EQ$93,$DB19:$IO19,$IQ19:$OD19),SUMPRODUCT('計算A'!$D$93:$EQ$93,$DB19:$IO19))*1000+34)</f>
        <v/>
      </c>
      <c r="CP19">
        <f>IF(AV19=1,1000000,IF('計算A'!$IT$44&gt;0,0,500000)+IF('計算A'!$IQ$44=2,SUMPRODUCT('計算A'!$D$94:$EQ$94,$DB19:$IO19,$IQ19:$OD19),SUMPRODUCT('計算A'!$D$94:$EQ$94,$DB19:$IO19))*1000+35)</f>
        <v/>
      </c>
      <c r="CQ19">
        <f>IF(AW19=1,1000000,IF('計算A'!$IT$45&gt;0,0,500000)+IF('計算A'!$IQ$45=2,SUMPRODUCT('計算A'!$D$95:$EQ$95,$DB19:$IO19,$IQ19:$OD19),SUMPRODUCT('計算A'!$D$95:$EQ$95,$DB19:$IO19))*1000+36)</f>
        <v/>
      </c>
      <c r="CR19">
        <f>IF(AX19=1,1000000,IF('計算A'!$IT$46&gt;0,0,500000)+IF('計算A'!$IQ$46=2,SUMPRODUCT('計算A'!$D$96:$EQ$96,$DB19:$IO19,$IQ19:$OD19),SUMPRODUCT('計算A'!$D$96:$EQ$96,$DB19:$IO19))*1000+37)</f>
        <v/>
      </c>
      <c r="CS19">
        <f>IF(AY19=1,1000000,IF('計算A'!$IT$47&gt;0,0,500000)+IF('計算A'!$IQ$47=2,SUMPRODUCT('計算A'!$D$97:$EQ$97,$DB19:$IO19,$IQ19:$OD19),SUMPRODUCT('計算A'!$D$97:$EQ$97,$DB19:$IO19))*1000+38)</f>
        <v/>
      </c>
      <c r="CT19">
        <f>IF(AZ19=1,1000000,IF('計算A'!$IT$48&gt;0,0,500000)+IF('計算A'!$IQ$48=2,SUMPRODUCT('計算A'!$D$98:$EQ$98,$DB19:$IO19,$IQ19:$OD19),SUMPRODUCT('計算A'!$D$98:$EQ$98,$DB19:$IO19))*1000+39)</f>
        <v/>
      </c>
      <c r="CU19">
        <f>IF(BA19=1,1000000,IF('計算A'!$IT$49&gt;0,0,500000)+IF('計算A'!$IQ$49=2,SUMPRODUCT('計算A'!$D$99:$EQ$99,$DB19:$IO19,$IQ19:$OD19),SUMPRODUCT('計算A'!$D$99:$EQ$99,$DB19:$IO19))*1000+40)</f>
        <v/>
      </c>
      <c r="CV19">
        <f>IF(BB19=1,1000000,IF('計算A'!$IT$50&gt;0,0,500000)+IF('計算A'!$IQ$50=2,SUMPRODUCT('計算A'!$D$100:$EQ$100,$DB19:$IO19,$IQ19:$OD19),SUMPRODUCT('計算A'!$D$100:$EQ$100,$DB19:$IO19))*1000+41)</f>
        <v/>
      </c>
      <c r="CW19">
        <f>IF(BC19=1,1000000,IF('計算A'!$IT$51&gt;0,0,500000)+IF('計算A'!$IQ$51=2,SUMPRODUCT('計算A'!$D$101:$EQ$101,$DB19:$IO19,$IQ19:$OD19),SUMPRODUCT('計算A'!$D$101:$EQ$101,$DB19:$IO19))*1000+42)</f>
        <v/>
      </c>
      <c r="CX19">
        <f>IF(BD19=1,1000000,IF('計算A'!$IT$52&gt;0,0,500000)+IF('計算A'!$IQ$52=2,SUMPRODUCT('計算A'!$D$102:$EQ$102,$DB19:$IO19,$IQ19:$OD19),SUMPRODUCT('計算A'!$D$102:$EQ$102,$DB19:$IO19))*1000+43)</f>
        <v/>
      </c>
      <c r="CY19">
        <f>IF(BE19=1,1000000,IF('計算A'!$IT$53&gt;0,0,500000)+IF('計算A'!$IQ$53=2,SUMPRODUCT('計算A'!$D$103:$EQ$103,$DB19:$IO19,$IQ19:$OD19),SUMPRODUCT('計算A'!$D$103:$EQ$103,$DB19:$IO19))*1000+44)</f>
        <v/>
      </c>
      <c r="CZ19">
        <f>IF(BF19=1,1000000,IF('計算A'!$IT$54&gt;0,0,500000)+IF('計算A'!$IQ$54=2,SUMPRODUCT('計算A'!$D$104:$EQ$104,$DB19:$IO19,$IQ19:$OD19),SUMPRODUCT('計算A'!$D$104:$EQ$104,$DB19:$IO19))*1000+45)</f>
        <v/>
      </c>
      <c r="DB19">
        <f>DB18*IF(OR($C18=1,$G18=1),0,1)</f>
        <v/>
      </c>
      <c r="DC19">
        <f>DC18*IF(OR($C18=2,$G18=2),0,1)</f>
        <v/>
      </c>
      <c r="DD19">
        <f>DD18*IF(OR($C18=3,$G18=3),0,1)</f>
        <v/>
      </c>
      <c r="DE19">
        <f>DE18*IF(OR($C18=4,$G18=4),0,1)</f>
        <v/>
      </c>
      <c r="DF19">
        <f>DF18*IF(OR($C18=5,$G18=5),0,1)</f>
        <v/>
      </c>
      <c r="DG19">
        <f>DG18*IF(OR($C18=6,$G18=6),0,1)</f>
        <v/>
      </c>
      <c r="DH19">
        <f>DH18*IF(OR($C18=7,$G18=7),0,1)</f>
        <v/>
      </c>
      <c r="DI19">
        <f>DI18*IF(OR($C18=8,$G18=8),0,1)</f>
        <v/>
      </c>
      <c r="DJ19">
        <f>DJ18*IF(OR($C18=9,$G18=9),0,1)</f>
        <v/>
      </c>
      <c r="DK19">
        <f>DK18*IF(OR($C18=10,$G18=10),0,1)</f>
        <v/>
      </c>
      <c r="DL19">
        <f>DL18*IF(OR($C18=11,$G18=11),0,1)</f>
        <v/>
      </c>
      <c r="DM19">
        <f>DM18*IF(OR($C18=12,$G18=12),0,1)</f>
        <v/>
      </c>
      <c r="DN19">
        <f>DN18*IF(OR($C18=13,$G18=13),0,1)</f>
        <v/>
      </c>
      <c r="DO19">
        <f>DO18*IF(OR($C18=14,$G18=14),0,1)</f>
        <v/>
      </c>
      <c r="DP19">
        <f>DP18*IF(OR($C18=15,$G18=15),0,1)</f>
        <v/>
      </c>
      <c r="DQ19">
        <f>DQ18*IF(OR($C18=16,$G18=16),0,1)</f>
        <v/>
      </c>
      <c r="DR19">
        <f>DR18*IF(OR($C18=17,$G18=17),0,1)</f>
        <v/>
      </c>
      <c r="DS19">
        <f>DS18*IF(OR($C18=18,$G18=18),0,1)</f>
        <v/>
      </c>
      <c r="DT19">
        <f>DT18*IF(OR($C18=19,$G18=19),0,1)</f>
        <v/>
      </c>
      <c r="DU19">
        <f>DU18*IF(OR($C18=20,$G18=20),0,1)</f>
        <v/>
      </c>
      <c r="DV19">
        <f>DV18*IF(OR($C18=21,$G18=21),0,1)</f>
        <v/>
      </c>
      <c r="DW19">
        <f>DW18*IF(OR($C18=22,$G18=22),0,1)</f>
        <v/>
      </c>
      <c r="DX19">
        <f>DX18*IF(OR($C18=23,$G18=23),0,1)</f>
        <v/>
      </c>
      <c r="DY19">
        <f>DY18*IF(OR($C18=24,$G18=24),0,1)</f>
        <v/>
      </c>
      <c r="DZ19">
        <f>DZ18*IF(OR($C18=25,$G18=25),0,1)</f>
        <v/>
      </c>
      <c r="EA19">
        <f>EA18*IF(OR($C18=26,$G18=26),0,1)</f>
        <v/>
      </c>
      <c r="EB19">
        <f>EB18*IF(OR($C18=27,$G18=27),0,1)</f>
        <v/>
      </c>
      <c r="EC19">
        <f>EC18*IF(OR($C18=28,$G18=28),0,1)</f>
        <v/>
      </c>
      <c r="ED19">
        <f>ED18*IF(OR($C18=29,$G18=29),0,1)</f>
        <v/>
      </c>
      <c r="EE19">
        <f>EE18*IF(OR($C18=30,$G18=30),0,1)</f>
        <v/>
      </c>
      <c r="EF19">
        <f>EF18*IF(OR($C18=31,$G18=31),0,1)</f>
        <v/>
      </c>
      <c r="EG19">
        <f>EG18*IF(OR($C18=32,$G18=32),0,1)</f>
        <v/>
      </c>
      <c r="EH19">
        <f>EH18*IF(OR($C18=33,$G18=33),0,1)</f>
        <v/>
      </c>
      <c r="EI19">
        <f>EI18*IF(OR($C18=34,$G18=34),0,1)</f>
        <v/>
      </c>
      <c r="EJ19">
        <f>EJ18*IF(OR($C18=35,$G18=35),0,1)</f>
        <v/>
      </c>
      <c r="EK19">
        <f>EK18*IF(OR($C18=36,$G18=36),0,1)</f>
        <v/>
      </c>
      <c r="EL19">
        <f>EL18*IF(OR($C18=37,$G18=37),0,1)</f>
        <v/>
      </c>
      <c r="EM19">
        <f>EM18*IF(OR($C18=38,$G18=38),0,1)</f>
        <v/>
      </c>
      <c r="EN19">
        <f>EN18*IF(OR($C18=39,$G18=39),0,1)</f>
        <v/>
      </c>
      <c r="EO19">
        <f>EO18*IF(OR($C18=40,$G18=40),0,1)</f>
        <v/>
      </c>
      <c r="EP19">
        <f>EP18*IF(OR($C18=41,$G18=41),0,1)</f>
        <v/>
      </c>
      <c r="EQ19">
        <f>EQ18*IF(OR($C18=42,$G18=42),0,1)</f>
        <v/>
      </c>
      <c r="ER19">
        <f>ER18*IF(OR($C18=43,$G18=43),0,1)</f>
        <v/>
      </c>
      <c r="ES19">
        <f>ES18*IF(OR($C18=44,$G18=44),0,1)</f>
        <v/>
      </c>
      <c r="ET19">
        <f>ET18*IF(OR($C18=45,$G18=45),0,1)</f>
        <v/>
      </c>
      <c r="EU19">
        <f>EU18*IF(OR($C18=46,$G18=46),0,1)</f>
        <v/>
      </c>
      <c r="EV19">
        <f>EV18*IF(OR($C18=47,$G18=47),0,1)</f>
        <v/>
      </c>
      <c r="EW19">
        <f>EW18*IF(OR($C18=48,$G18=48),0,1)</f>
        <v/>
      </c>
      <c r="EX19">
        <f>EX18*IF(OR($C18=49,$G18=49),0,1)</f>
        <v/>
      </c>
      <c r="EY19">
        <f>EY18*IF(OR($C18=50,$G18=50),0,1)</f>
        <v/>
      </c>
      <c r="EZ19">
        <f>EZ18*IF(OR($C18=51,$G18=51),0,1)</f>
        <v/>
      </c>
      <c r="FA19">
        <f>FA18*IF(OR($C18=52,$G18=52),0,1)</f>
        <v/>
      </c>
      <c r="FB19">
        <f>FB18*IF(OR($C18=53,$G18=53),0,1)</f>
        <v/>
      </c>
      <c r="FC19">
        <f>FC18*IF(OR($C18=54,$G18=54),0,1)</f>
        <v/>
      </c>
      <c r="FD19">
        <f>FD18*IF(OR($C18=55,$G18=55),0,1)</f>
        <v/>
      </c>
      <c r="FE19">
        <f>FE18*IF(OR($C18=56,$G18=56),0,1)</f>
        <v/>
      </c>
      <c r="FF19">
        <f>FF18*IF(OR($C18=57,$G18=57),0,1)</f>
        <v/>
      </c>
      <c r="FG19">
        <f>FG18*IF(OR($C18=58,$G18=58),0,1)</f>
        <v/>
      </c>
      <c r="FH19">
        <f>FH18*IF(OR($C18=59,$G18=59),0,1)</f>
        <v/>
      </c>
      <c r="FI19">
        <f>FI18*IF(OR($C18=60,$G18=60),0,1)</f>
        <v/>
      </c>
      <c r="FJ19">
        <f>FJ18*IF(OR($C18=61,$G18=61),0,1)</f>
        <v/>
      </c>
      <c r="FK19">
        <f>FK18*IF(OR($C18=62,$G18=62),0,1)</f>
        <v/>
      </c>
      <c r="FL19">
        <f>FL18*IF(OR($C18=63,$G18=63),0,1)</f>
        <v/>
      </c>
      <c r="FM19">
        <f>FM18*IF(OR($C18=64,$G18=64),0,1)</f>
        <v/>
      </c>
      <c r="FN19">
        <f>FN18*IF(OR($C18=65,$G18=65),0,1)</f>
        <v/>
      </c>
      <c r="FO19">
        <f>FO18*IF(OR($C18=66,$G18=66),0,1)</f>
        <v/>
      </c>
      <c r="FP19">
        <f>FP18*IF(OR($C18=67,$G18=67),0,1)</f>
        <v/>
      </c>
      <c r="FQ19">
        <f>FQ18*IF(OR($C18=68,$G18=68),0,1)</f>
        <v/>
      </c>
      <c r="FR19">
        <f>FR18*IF(OR($C18=69,$G18=69),0,1)</f>
        <v/>
      </c>
      <c r="FS19">
        <f>FS18*IF(OR($C18=70,$G18=70),0,1)</f>
        <v/>
      </c>
      <c r="FT19">
        <f>FT18*IF(OR($C18=71,$G18=71),0,1)</f>
        <v/>
      </c>
      <c r="FU19">
        <f>FU18*IF(OR($C18=72,$G18=72),0,1)</f>
        <v/>
      </c>
      <c r="FV19">
        <f>FV18*IF(OR($C18=73,$G18=73),0,1)</f>
        <v/>
      </c>
      <c r="FW19">
        <f>FW18*IF(OR($C18=74,$G18=74),0,1)</f>
        <v/>
      </c>
      <c r="FX19">
        <f>FX18*IF(OR($C18=75,$G18=75),0,1)</f>
        <v/>
      </c>
      <c r="FY19">
        <f>FY18*IF(OR($C18=76,$G18=76),0,1)</f>
        <v/>
      </c>
      <c r="FZ19">
        <f>FZ18*IF(OR($C18=77,$G18=77),0,1)</f>
        <v/>
      </c>
      <c r="GA19">
        <f>GA18*IF(OR($C18=78,$G18=78),0,1)</f>
        <v/>
      </c>
      <c r="GB19">
        <f>GB18*IF(OR($C18=79,$G18=79),0,1)</f>
        <v/>
      </c>
      <c r="GC19">
        <f>GC18*IF(OR($C18=80,$G18=80),0,1)</f>
        <v/>
      </c>
      <c r="GD19">
        <f>GD18*IF(OR($C18=81,$G18=81),0,1)</f>
        <v/>
      </c>
      <c r="GE19">
        <f>GE18*IF(OR($C18=82,$G18=82),0,1)</f>
        <v/>
      </c>
      <c r="GF19">
        <f>GF18*IF(OR($C18=83,$G18=83),0,1)</f>
        <v/>
      </c>
      <c r="GG19">
        <f>GG18*IF(OR($C18=84,$G18=84),0,1)</f>
        <v/>
      </c>
      <c r="GH19">
        <f>GH18*IF(OR($C18=85,$G18=85),0,1)</f>
        <v/>
      </c>
      <c r="GI19">
        <f>GI18*IF(OR($C18=86,$G18=86),0,1)</f>
        <v/>
      </c>
      <c r="GJ19">
        <f>GJ18*IF(OR($C18=87,$G18=87),0,1)</f>
        <v/>
      </c>
      <c r="GK19">
        <f>GK18*IF(OR($C18=88,$G18=88),0,1)</f>
        <v/>
      </c>
      <c r="GL19">
        <f>GL18*IF(OR($C18=89,$G18=89),0,1)</f>
        <v/>
      </c>
      <c r="GM19">
        <f>GM18*IF(OR($C18=90,$G18=90),0,1)</f>
        <v/>
      </c>
      <c r="GN19">
        <f>GN18*IF(OR($C18=91,$G18=91),0,1)</f>
        <v/>
      </c>
      <c r="GO19">
        <f>GO18*IF(OR($C18=92,$G18=92),0,1)</f>
        <v/>
      </c>
      <c r="GP19">
        <f>GP18*IF(OR($C18=93,$G18=93),0,1)</f>
        <v/>
      </c>
      <c r="GQ19">
        <f>GQ18*IF(OR($C18=94,$G18=94),0,1)</f>
        <v/>
      </c>
      <c r="GR19">
        <f>GR18*IF(OR($C18=95,$G18=95),0,1)</f>
        <v/>
      </c>
      <c r="GS19">
        <f>GS18*IF(OR($C18=96,$G18=96),0,1)</f>
        <v/>
      </c>
      <c r="GT19">
        <f>GT18*IF(OR($C18=97,$G18=97),0,1)</f>
        <v/>
      </c>
      <c r="GU19">
        <f>GU18*IF(OR($C18=98,$G18=98),0,1)</f>
        <v/>
      </c>
      <c r="GV19">
        <f>GV18*IF(OR($C18=99,$G18=99),0,1)</f>
        <v/>
      </c>
      <c r="GW19">
        <f>GW18*IF(OR($C18=100,$G18=100),0,1)</f>
        <v/>
      </c>
      <c r="GX19">
        <f>GX18*IF(OR($C18=101,$G18=101),0,1)</f>
        <v/>
      </c>
      <c r="GY19">
        <f>GY18*IF(OR($C18=102,$G18=102),0,1)</f>
        <v/>
      </c>
      <c r="GZ19">
        <f>GZ18*IF(OR($C18=103,$G18=103),0,1)</f>
        <v/>
      </c>
      <c r="HA19">
        <f>HA18*IF(OR($C18=104,$G18=104),0,1)</f>
        <v/>
      </c>
      <c r="HB19">
        <f>HB18*IF(OR($C18=105,$G18=105),0,1)</f>
        <v/>
      </c>
      <c r="HC19">
        <f>HC18*IF(OR($C18=106,$G18=106),0,1)</f>
        <v/>
      </c>
      <c r="HD19">
        <f>HD18*IF(OR($C18=107,$G18=107),0,1)</f>
        <v/>
      </c>
      <c r="HE19">
        <f>HE18*IF(OR($C18=108,$G18=108),0,1)</f>
        <v/>
      </c>
      <c r="HF19">
        <f>HF18*IF(OR($C18=109,$G18=109),0,1)</f>
        <v/>
      </c>
      <c r="HG19">
        <f>HG18*IF(OR($C18=110,$G18=110),0,1)</f>
        <v/>
      </c>
      <c r="HH19">
        <f>HH18*IF(OR($C18=111,$G18=111),0,1)</f>
        <v/>
      </c>
      <c r="HI19">
        <f>HI18*IF(OR($C18=112,$G18=112),0,1)</f>
        <v/>
      </c>
      <c r="HJ19">
        <f>HJ18*IF(OR($C18=113,$G18=113),0,1)</f>
        <v/>
      </c>
      <c r="HK19">
        <f>HK18*IF(OR($C18=114,$G18=114),0,1)</f>
        <v/>
      </c>
      <c r="HL19">
        <f>HL18*IF(OR($C18=115,$G18=115),0,1)</f>
        <v/>
      </c>
      <c r="HM19">
        <f>HM18*IF(OR($C18=116,$G18=116),0,1)</f>
        <v/>
      </c>
      <c r="HN19">
        <f>HN18*IF(OR($C18=117,$G18=117),0,1)</f>
        <v/>
      </c>
      <c r="HO19">
        <f>HO18*IF(OR($C18=118,$G18=118),0,1)</f>
        <v/>
      </c>
      <c r="HP19">
        <f>HP18*IF(OR($C18=119,$G18=119),0,1)</f>
        <v/>
      </c>
      <c r="HQ19">
        <f>HQ18*IF(OR($C18=120,$G18=120),0,1)</f>
        <v/>
      </c>
      <c r="HR19">
        <f>HR18*IF(OR($C18=121,$G18=121),0,1)</f>
        <v/>
      </c>
      <c r="HS19">
        <f>HS18*IF(OR($C18=122,$G18=122),0,1)</f>
        <v/>
      </c>
      <c r="HT19">
        <f>HT18*IF(OR($C18=123,$G18=123),0,1)</f>
        <v/>
      </c>
      <c r="HU19">
        <f>HU18*IF(OR($C18=124,$G18=124),0,1)</f>
        <v/>
      </c>
      <c r="HV19">
        <f>HV18*IF(OR($C18=125,$G18=125),0,1)</f>
        <v/>
      </c>
      <c r="HW19">
        <f>HW18*IF(OR($C18=126,$G18=126),0,1)</f>
        <v/>
      </c>
      <c r="HX19">
        <f>HX18*IF(OR($C18=127,$G18=127),0,1)</f>
        <v/>
      </c>
      <c r="HY19">
        <f>HY18*IF(OR($C18=128,$G18=128),0,1)</f>
        <v/>
      </c>
      <c r="HZ19">
        <f>HZ18*IF(OR($C18=129,$G18=129),0,1)</f>
        <v/>
      </c>
      <c r="IA19">
        <f>IA18*IF(OR($C18=130,$G18=130),0,1)</f>
        <v/>
      </c>
      <c r="IB19">
        <f>IB18*IF(OR($C18=131,$G18=131),0,1)</f>
        <v/>
      </c>
      <c r="IC19">
        <f>IC18*IF(OR($C18=132,$G18=132),0,1)</f>
        <v/>
      </c>
      <c r="ID19">
        <f>ID18*IF(OR($C18=133,$G18=133),0,1)</f>
        <v/>
      </c>
      <c r="IE19">
        <f>IE18*IF(OR($C18=134,$G18=134),0,1)</f>
        <v/>
      </c>
      <c r="IF19">
        <f>IF18*IF(OR($C18=135,$G18=135),0,1)</f>
        <v/>
      </c>
      <c r="IG19">
        <f>IG18*IF(OR($C18=136,$G18=136),0,1)</f>
        <v/>
      </c>
      <c r="IH19">
        <f>IH18*IF(OR($C18=137,$G18=137),0,1)</f>
        <v/>
      </c>
      <c r="II19">
        <f>II18*IF(OR($C18=138,$G18=138),0,1)</f>
        <v/>
      </c>
      <c r="IJ19">
        <f>IJ18*IF(OR($C18=139,$G18=139),0,1)</f>
        <v/>
      </c>
      <c r="IK19">
        <f>IK18*IF(OR($C18=140,$G18=140),0,1)</f>
        <v/>
      </c>
      <c r="IL19">
        <f>IL18*IF(OR($C18=141,$G18=141),0,1)</f>
        <v/>
      </c>
      <c r="IM19">
        <f>IM18*IF(OR($C18=142,$G18=142),0,1)</f>
        <v/>
      </c>
      <c r="IN19">
        <f>IN18*IF(OR($C18=143,$G18=143),0,1)</f>
        <v/>
      </c>
      <c r="IO19">
        <f>IO18*IF(OR($C18=144,$G18=144),0,1)</f>
        <v/>
      </c>
      <c r="IQ19">
        <f>IF('計算A'!D$106=1,DC19,1)</f>
        <v/>
      </c>
      <c r="IR19">
        <f>IF('計算A'!E$106=1,DD19,1)</f>
        <v/>
      </c>
      <c r="IS19">
        <f>IF('計算A'!F$106=1,DE19,1)</f>
        <v/>
      </c>
      <c r="IT19">
        <f>IF('計算A'!G$106=1,DF19,1)</f>
        <v/>
      </c>
      <c r="IU19">
        <f>IF('計算A'!H$106=1,DG19,1)</f>
        <v/>
      </c>
      <c r="IV19">
        <f>IF('計算A'!I$106=1,DH19,1)</f>
        <v/>
      </c>
      <c r="IW19">
        <f>IF('計算A'!J$106=1,DI19,1)</f>
        <v/>
      </c>
      <c r="IX19">
        <f>IF('計算A'!K$106=1,DJ19,1)</f>
        <v/>
      </c>
      <c r="IY19">
        <f>IF('計算A'!L$106=1,DK19,1)</f>
        <v/>
      </c>
      <c r="IZ19">
        <f>IF('計算A'!M$106=1,DL19,1)</f>
        <v/>
      </c>
      <c r="JA19">
        <f>IF('計算A'!N$106=1,DM19,1)</f>
        <v/>
      </c>
      <c r="JB19">
        <f>IF('計算A'!O$106=1,DN19,1)</f>
        <v/>
      </c>
      <c r="JC19">
        <f>IF('計算A'!P$106=1,DO19,1)</f>
        <v/>
      </c>
      <c r="JD19">
        <f>IF('計算A'!Q$106=1,DP19,1)</f>
        <v/>
      </c>
      <c r="JE19">
        <f>IF('計算A'!R$106=1,DQ19,1)</f>
        <v/>
      </c>
      <c r="JF19">
        <f>IF('計算A'!S$106=1,DR19,1)</f>
        <v/>
      </c>
      <c r="JG19">
        <f>IF('計算A'!T$106=1,DS19,1)</f>
        <v/>
      </c>
      <c r="JH19">
        <f>IF('計算A'!U$106=1,DT19,1)</f>
        <v/>
      </c>
      <c r="JI19">
        <f>IF('計算A'!V$106=1,DU19,1)</f>
        <v/>
      </c>
      <c r="JJ19">
        <f>IF('計算A'!W$106=1,DV19,1)</f>
        <v/>
      </c>
      <c r="JK19">
        <f>IF('計算A'!X$106=1,DW19,1)</f>
        <v/>
      </c>
      <c r="JL19">
        <f>IF('計算A'!Y$106=1,DX19,1)</f>
        <v/>
      </c>
      <c r="JM19">
        <f>IF('計算A'!Z$106=1,DY19,1)</f>
        <v/>
      </c>
      <c r="JN19">
        <f>IF('計算A'!AA$106=1,DZ19,1)</f>
        <v/>
      </c>
      <c r="JO19">
        <f>IF('計算A'!AB$106=1,EA19,1)</f>
        <v/>
      </c>
      <c r="JP19">
        <f>IF('計算A'!AC$106=1,EB19,1)</f>
        <v/>
      </c>
      <c r="JQ19">
        <f>IF('計算A'!AD$106=1,EC19,1)</f>
        <v/>
      </c>
      <c r="JR19">
        <f>IF('計算A'!AE$106=1,ED19,1)</f>
        <v/>
      </c>
      <c r="JS19">
        <f>IF('計算A'!AF$106=1,EE19,1)</f>
        <v/>
      </c>
      <c r="JT19">
        <f>IF('計算A'!AG$106=1,EF19,1)</f>
        <v/>
      </c>
      <c r="JU19">
        <f>IF('計算A'!AH$106=1,EG19,1)</f>
        <v/>
      </c>
      <c r="JV19">
        <f>IF('計算A'!AI$106=1,EH19,1)</f>
        <v/>
      </c>
      <c r="JW19">
        <f>IF('計算A'!AJ$106=1,EI19,1)</f>
        <v/>
      </c>
      <c r="JX19">
        <f>IF('計算A'!AK$106=1,EJ19,1)</f>
        <v/>
      </c>
      <c r="JY19">
        <f>IF('計算A'!AL$106=1,EK19,1)</f>
        <v/>
      </c>
      <c r="JZ19">
        <f>IF('計算A'!AM$106=1,EL19,1)</f>
        <v/>
      </c>
      <c r="KA19">
        <f>IF('計算A'!AN$106=1,EM19,1)</f>
        <v/>
      </c>
      <c r="KB19">
        <f>IF('計算A'!AO$106=1,EN19,1)</f>
        <v/>
      </c>
      <c r="KC19">
        <f>IF('計算A'!AP$106=1,EO19,1)</f>
        <v/>
      </c>
      <c r="KD19">
        <f>IF('計算A'!AQ$106=1,EP19,1)</f>
        <v/>
      </c>
      <c r="KE19">
        <f>IF('計算A'!AR$106=1,EQ19,1)</f>
        <v/>
      </c>
      <c r="KF19">
        <f>IF('計算A'!AS$106=1,ER19,1)</f>
        <v/>
      </c>
      <c r="KG19">
        <f>IF('計算A'!AT$106=1,ES19,1)</f>
        <v/>
      </c>
      <c r="KH19">
        <f>IF('計算A'!AU$106=1,ET19,1)</f>
        <v/>
      </c>
      <c r="KI19">
        <f>IF('計算A'!AV$106=1,EU19,1)</f>
        <v/>
      </c>
      <c r="KJ19">
        <f>IF('計算A'!AW$106=1,EV19,1)</f>
        <v/>
      </c>
      <c r="KK19">
        <f>IF('計算A'!AX$106=1,EW19,1)</f>
        <v/>
      </c>
      <c r="KL19">
        <f>IF('計算A'!AY$106=1,EX19,1)</f>
        <v/>
      </c>
      <c r="KM19">
        <f>IF('計算A'!AZ$106=1,EY19,1)</f>
        <v/>
      </c>
      <c r="KN19">
        <f>IF('計算A'!BA$106=1,EZ19,1)</f>
        <v/>
      </c>
      <c r="KO19">
        <f>IF('計算A'!BB$106=1,FA19,1)</f>
        <v/>
      </c>
      <c r="KP19">
        <f>IF('計算A'!BC$106=1,FB19,1)</f>
        <v/>
      </c>
      <c r="KQ19">
        <f>IF('計算A'!BD$106=1,FC19,1)</f>
        <v/>
      </c>
      <c r="KR19">
        <f>IF('計算A'!BE$106=1,FD19,1)</f>
        <v/>
      </c>
      <c r="KS19">
        <f>IF('計算A'!BF$106=1,FE19,1)</f>
        <v/>
      </c>
      <c r="KT19">
        <f>IF('計算A'!BG$106=1,FF19,1)</f>
        <v/>
      </c>
      <c r="KU19">
        <f>IF('計算A'!BH$106=1,FG19,1)</f>
        <v/>
      </c>
      <c r="KV19">
        <f>IF('計算A'!BI$106=1,FH19,1)</f>
        <v/>
      </c>
      <c r="KW19">
        <f>IF('計算A'!BJ$106=1,FI19,1)</f>
        <v/>
      </c>
      <c r="KX19">
        <f>IF('計算A'!BK$106=1,FJ19,1)</f>
        <v/>
      </c>
      <c r="KY19">
        <f>IF('計算A'!BL$106=1,FK19,1)</f>
        <v/>
      </c>
      <c r="KZ19">
        <f>IF('計算A'!BM$106=1,FL19,1)</f>
        <v/>
      </c>
      <c r="LA19">
        <f>IF('計算A'!BN$106=1,FM19,1)</f>
        <v/>
      </c>
      <c r="LB19">
        <f>IF('計算A'!BO$106=1,FN19,1)</f>
        <v/>
      </c>
      <c r="LC19">
        <f>IF('計算A'!BP$106=1,FO19,1)</f>
        <v/>
      </c>
      <c r="LD19">
        <f>IF('計算A'!BQ$106=1,FP19,1)</f>
        <v/>
      </c>
      <c r="LE19">
        <f>IF('計算A'!BR$106=1,FQ19,1)</f>
        <v/>
      </c>
      <c r="LF19">
        <f>IF('計算A'!BS$106=1,FR19,1)</f>
        <v/>
      </c>
      <c r="LG19">
        <f>IF('計算A'!BT$106=1,FS19,1)</f>
        <v/>
      </c>
      <c r="LH19">
        <f>IF('計算A'!BU$106=1,FT19,1)</f>
        <v/>
      </c>
      <c r="LI19">
        <f>IF('計算A'!BV$106=1,FU19,1)</f>
        <v/>
      </c>
      <c r="LJ19">
        <f>IF('計算A'!BW$106=1,FV19,1)</f>
        <v/>
      </c>
      <c r="LK19">
        <f>IF('計算A'!BX$106=1,FW19,1)</f>
        <v/>
      </c>
      <c r="LL19">
        <f>IF('計算A'!BY$106=1,FX19,1)</f>
        <v/>
      </c>
      <c r="LM19">
        <f>IF('計算A'!BZ$106=1,FY19,1)</f>
        <v/>
      </c>
      <c r="LN19">
        <f>IF('計算A'!CA$106=1,FZ19,1)</f>
        <v/>
      </c>
      <c r="LO19">
        <f>IF('計算A'!CB$106=1,GA19,1)</f>
        <v/>
      </c>
      <c r="LP19">
        <f>IF('計算A'!CC$106=1,GB19,1)</f>
        <v/>
      </c>
      <c r="LQ19">
        <f>IF('計算A'!CD$106=1,GC19,1)</f>
        <v/>
      </c>
      <c r="LR19">
        <f>IF('計算A'!CE$106=1,GD19,1)</f>
        <v/>
      </c>
      <c r="LS19">
        <f>IF('計算A'!CF$106=1,GE19,1)</f>
        <v/>
      </c>
      <c r="LT19">
        <f>IF('計算A'!CG$106=1,GF19,1)</f>
        <v/>
      </c>
      <c r="LU19">
        <f>IF('計算A'!CH$106=1,GG19,1)</f>
        <v/>
      </c>
      <c r="LV19">
        <f>IF('計算A'!CI$106=1,GH19,1)</f>
        <v/>
      </c>
      <c r="LW19">
        <f>IF('計算A'!CJ$106=1,GI19,1)</f>
        <v/>
      </c>
      <c r="LX19">
        <f>IF('計算A'!CK$106=1,GJ19,1)</f>
        <v/>
      </c>
      <c r="LY19">
        <f>IF('計算A'!CL$106=1,GK19,1)</f>
        <v/>
      </c>
      <c r="LZ19">
        <f>IF('計算A'!CM$106=1,GL19,1)</f>
        <v/>
      </c>
      <c r="MA19">
        <f>IF('計算A'!CN$106=1,GM19,1)</f>
        <v/>
      </c>
      <c r="MB19">
        <f>IF('計算A'!CO$106=1,GN19,1)</f>
        <v/>
      </c>
      <c r="MC19">
        <f>IF('計算A'!CP$106=1,GO19,1)</f>
        <v/>
      </c>
      <c r="MD19">
        <f>IF('計算A'!CQ$106=1,GP19,1)</f>
        <v/>
      </c>
      <c r="ME19">
        <f>IF('計算A'!CR$106=1,GQ19,1)</f>
        <v/>
      </c>
      <c r="MF19">
        <f>IF('計算A'!CS$106=1,GR19,1)</f>
        <v/>
      </c>
      <c r="MG19">
        <f>IF('計算A'!CT$106=1,GS19,1)</f>
        <v/>
      </c>
      <c r="MH19">
        <f>IF('計算A'!CU$106=1,GT19,1)</f>
        <v/>
      </c>
      <c r="MI19">
        <f>IF('計算A'!CV$106=1,GU19,1)</f>
        <v/>
      </c>
      <c r="MJ19">
        <f>IF('計算A'!CW$106=1,GV19,1)</f>
        <v/>
      </c>
      <c r="MK19">
        <f>IF('計算A'!CX$106=1,GW19,1)</f>
        <v/>
      </c>
      <c r="ML19">
        <f>IF('計算A'!CY$106=1,GX19,1)</f>
        <v/>
      </c>
      <c r="MM19">
        <f>IF('計算A'!CZ$106=1,GY19,1)</f>
        <v/>
      </c>
      <c r="MN19">
        <f>IF('計算A'!DA$106=1,GZ19,1)</f>
        <v/>
      </c>
      <c r="MO19">
        <f>IF('計算A'!DB$106=1,HA19,1)</f>
        <v/>
      </c>
      <c r="MP19">
        <f>IF('計算A'!DC$106=1,HB19,1)</f>
        <v/>
      </c>
      <c r="MQ19">
        <f>IF('計算A'!DD$106=1,HC19,1)</f>
        <v/>
      </c>
      <c r="MR19">
        <f>IF('計算A'!DE$106=1,HD19,1)</f>
        <v/>
      </c>
      <c r="MS19">
        <f>IF('計算A'!DF$106=1,HE19,1)</f>
        <v/>
      </c>
      <c r="MT19">
        <f>IF('計算A'!DG$106=1,HF19,1)</f>
        <v/>
      </c>
      <c r="MU19">
        <f>IF('計算A'!DH$106=1,HG19,1)</f>
        <v/>
      </c>
      <c r="MV19">
        <f>IF('計算A'!DI$106=1,HH19,1)</f>
        <v/>
      </c>
      <c r="MW19">
        <f>IF('計算A'!DJ$106=1,HI19,1)</f>
        <v/>
      </c>
      <c r="MX19">
        <f>IF('計算A'!DK$106=1,HJ19,1)</f>
        <v/>
      </c>
      <c r="MY19">
        <f>IF('計算A'!DL$106=1,HK19,1)</f>
        <v/>
      </c>
      <c r="MZ19">
        <f>IF('計算A'!DM$106=1,HL19,1)</f>
        <v/>
      </c>
      <c r="NA19">
        <f>IF('計算A'!DN$106=1,HM19,1)</f>
        <v/>
      </c>
      <c r="NB19">
        <f>IF('計算A'!DO$106=1,HN19,1)</f>
        <v/>
      </c>
      <c r="NC19">
        <f>IF('計算A'!DP$106=1,HO19,1)</f>
        <v/>
      </c>
      <c r="ND19">
        <f>IF('計算A'!DQ$106=1,HP19,1)</f>
        <v/>
      </c>
      <c r="NE19">
        <f>IF('計算A'!DR$106=1,HQ19,1)</f>
        <v/>
      </c>
      <c r="NF19">
        <f>IF('計算A'!DS$106=1,HR19,1)</f>
        <v/>
      </c>
      <c r="NG19">
        <f>IF('計算A'!DT$106=1,HS19,1)</f>
        <v/>
      </c>
      <c r="NH19">
        <f>IF('計算A'!DU$106=1,HT19,1)</f>
        <v/>
      </c>
      <c r="NI19">
        <f>IF('計算A'!DV$106=1,HU19,1)</f>
        <v/>
      </c>
      <c r="NJ19">
        <f>IF('計算A'!DW$106=1,HV19,1)</f>
        <v/>
      </c>
      <c r="NK19">
        <f>IF('計算A'!DX$106=1,HW19,1)</f>
        <v/>
      </c>
      <c r="NL19">
        <f>IF('計算A'!DY$106=1,HX19,1)</f>
        <v/>
      </c>
      <c r="NM19">
        <f>IF('計算A'!DZ$106=1,HY19,1)</f>
        <v/>
      </c>
      <c r="NN19">
        <f>IF('計算A'!EA$106=1,HZ19,1)</f>
        <v/>
      </c>
      <c r="NO19">
        <f>IF('計算A'!EB$106=1,IA19,1)</f>
        <v/>
      </c>
      <c r="NP19">
        <f>IF('計算A'!EC$106=1,IB19,1)</f>
        <v/>
      </c>
      <c r="NQ19">
        <f>IF('計算A'!ED$106=1,IC19,1)</f>
        <v/>
      </c>
      <c r="NR19">
        <f>IF('計算A'!EE$106=1,ID19,1)</f>
        <v/>
      </c>
      <c r="NS19">
        <f>IF('計算A'!EF$106=1,IE19,1)</f>
        <v/>
      </c>
      <c r="NT19">
        <f>IF('計算A'!EG$106=1,IF19,1)</f>
        <v/>
      </c>
      <c r="NU19">
        <f>IF('計算A'!EH$106=1,IG19,1)</f>
        <v/>
      </c>
      <c r="NV19">
        <f>IF('計算A'!EI$106=1,IH19,1)</f>
        <v/>
      </c>
      <c r="NW19">
        <f>IF('計算A'!EJ$106=1,II19,1)</f>
        <v/>
      </c>
      <c r="NX19">
        <f>IF('計算A'!EK$106=1,IJ19,1)</f>
        <v/>
      </c>
      <c r="NY19">
        <f>IF('計算A'!EL$106=1,IK19,1)</f>
        <v/>
      </c>
      <c r="NZ19">
        <f>IF('計算A'!EM$106=1,IL19,1)</f>
        <v/>
      </c>
      <c r="OA19">
        <f>IF('計算A'!EN$106=1,IM19,1)</f>
        <v/>
      </c>
      <c r="OB19">
        <f>IF('計算A'!EO$106=1,IN19,1)</f>
        <v/>
      </c>
      <c r="OC19">
        <f>IF('計算A'!EP$106=1,IO19,1)</f>
        <v/>
      </c>
      <c r="OD19" t="n">
        <v>1</v>
      </c>
      <c r="OF19">
        <f>IF($B19=0,1000000,IF(INDEX('計算A'!$D$60:$EQ$104,$B19,1)*DB19=1,IF(AND($E19=2,IQ19=0),1000000,IF($I19&gt;0,IF(1=$J19,IF(OR(AND(1=$I19+1,OR($K19&lt;&gt;'計算A'!$A$3,'計算A'!$A$4=0)),AND(1=$I19-1,OR(1&lt;&gt;'計算A'!$A$3,'計算A'!$A$4=0))),0,IF(1=$K19,200000,ABS(1-$K19)*100)),100000+ABS(1-$J19)*1000+10)+'計算A'!D$5*50+IF(AND($E19=1,IQ19=0),25,0),IF($F19&gt;0,INDEX('計算A'!D$110:D$114,$F19+1)+IF(AND($E19=1,IQ19=0),1000,0),MIN(TU19,20)*400+(IF('計算A'!D$106=1,1-DC19,0))*150+11+'計算A'!D$5*100000+IF(AND($E19=1,IQ19=0),50000,0))+IF($H19=1,(IF('計算A'!D$117=1,INDEX('計算A'!E$10:E$54,$B19),0))*4000,0)-IF(AND($L19=1,'計算A'!D$117=1,DC19=0),2000,0))),1000000))</f>
        <v/>
      </c>
      <c r="OG19">
        <f>IF($B19=0,1000000,IF(INDEX('計算A'!$D$60:$EQ$104,$B19,2)*DC19=1,IF(AND($E19=2,IR19=0),1000000,IF($I19&gt;0,IF(1=$J19,IF(OR(AND(2=$I19+1,OR($K19&lt;&gt;'計算A'!$A$3,'計算A'!$A$4=0)),AND(2=$I19-1,OR(2&lt;&gt;'計算A'!$A$3,'計算A'!$A$4=0))),0,IF(2=$K19,200000,ABS(2-$K19)*100)),100000+ABS(1-$J19)*1000+20)+'計算A'!E$5*50+IF(AND($E19=1,IR19=0),25,0),IF($F19&gt;0,INDEX('計算A'!E$110:E$114,$F19+1)+IF(AND($E19=1,IR19=0),1000,0),MIN(TU19,20)*400+(IF('計算A'!D$106=1,1-DB19,0)+IF('計算A'!E$106=1,1-DD19,0))*150+21+'計算A'!E$5*100000+IF(AND($E19=1,IR19=0),50000,0))+IF($H19=1,(IF('計算A'!D$117=1,INDEX('計算A'!D$10:D$54,$B19),0)+IF('計算A'!E$117=1,INDEX('計算A'!F$10:F$54,$B19),0))*4000,0)-IF(AND('計算A'!D$117=1,UB19&gt;0),2000,0)-IF(AND($L19=1,'計算A'!E$117=1,DD19=0),2000,0))),1000000))</f>
        <v/>
      </c>
      <c r="OH19">
        <f>IF($B19=0,1000000,IF(INDEX('計算A'!$D$60:$EQ$104,$B19,3)*DD19=1,IF(AND($E19=2,IS19=0),1000000,IF($I19&gt;0,IF(1=$J19,IF(OR(AND(3=$I19+1,OR($K19&lt;&gt;'計算A'!$A$3,'計算A'!$A$4=0)),AND(3=$I19-1,OR(3&lt;&gt;'計算A'!$A$3,'計算A'!$A$4=0))),0,IF(3=$K19,200000,ABS(3-$K19)*100)),100000+ABS(1-$J19)*1000+30)+'計算A'!F$5*50+IF(AND($E19=1,IS19=0),25,0),IF($F19&gt;0,INDEX('計算A'!F$110:F$114,$F19+1)+IF(AND($E19=1,IS19=0),1000,0),MIN(TU19,20)*400+(IF('計算A'!E$106=1,1-DC19,0)+IF('計算A'!F$106=1,1-DE19,0))*150+31+'計算A'!F$5*100000+IF(AND($E19=1,IS19=0),50000,0))+IF($H19=1,(IF('計算A'!E$117=1,INDEX('計算A'!E$10:E$54,$B19),0)+IF('計算A'!F$117=1,INDEX('計算A'!G$10:G$54,$B19),0))*4000,0)-IF(AND('計算A'!E$117=1,UC19&gt;0),2000,0)-IF(AND($L19=1,'計算A'!F$117=1,DE19=0),2000,0))),1000000))</f>
        <v/>
      </c>
      <c r="OI19">
        <f>IF($B19=0,1000000,IF(INDEX('計算A'!$D$60:$EQ$104,$B19,4)*DE19=1,IF(AND($E19=2,IT19=0),1000000,IF($I19&gt;0,IF(1=$J19,IF(OR(AND(4=$I19+1,OR($K19&lt;&gt;'計算A'!$A$3,'計算A'!$A$4=0)),AND(4=$I19-1,OR(4&lt;&gt;'計算A'!$A$3,'計算A'!$A$4=0))),0,IF(4=$K19,200000,ABS(4-$K19)*100)),100000+ABS(1-$J19)*1000+40)+'計算A'!G$5*50+IF(AND($E19=1,IT19=0),25,0),IF($F19&gt;0,INDEX('計算A'!G$110:G$114,$F19+1)+IF(AND($E19=1,IT19=0),1000,0),MIN(TU19,20)*400+(IF('計算A'!F$106=1,1-DD19,0)+IF('計算A'!G$106=1,1-DF19,0))*150+41+'計算A'!G$5*100000+IF(AND($E19=1,IT19=0),50000,0))+IF($H19=1,(IF('計算A'!F$117=1,INDEX('計算A'!F$10:F$54,$B19),0)+IF('計算A'!G$117=1,INDEX('計算A'!H$10:H$54,$B19),0))*4000,0)-IF(AND('計算A'!F$117=1,UD19&gt;0),2000,0)-IF(AND($L19=1,'計算A'!G$117=1,DF19=0),2000,0))),1000000))</f>
        <v/>
      </c>
      <c r="OJ19">
        <f>IF($B19=0,1000000,IF(INDEX('計算A'!$D$60:$EQ$104,$B19,5)*DF19=1,IF(AND($E19=2,IU19=0),1000000,IF($I19&gt;0,IF(1=$J19,IF(OR(AND(5=$I19+1,OR($K19&lt;&gt;'計算A'!$A$3,'計算A'!$A$4=0)),AND(5=$I19-1,OR(5&lt;&gt;'計算A'!$A$3,'計算A'!$A$4=0))),0,IF(5=$K19,200000,ABS(5-$K19)*100)),100000+ABS(1-$J19)*1000+50)+'計算A'!H$5*50+IF(AND($E19=1,IU19=0),25,0),IF($F19&gt;0,INDEX('計算A'!H$110:H$114,$F19+1)+IF(AND($E19=1,IU19=0),1000,0),MIN(TU19,20)*400+(IF('計算A'!G$106=1,1-DE19,0)+IF('計算A'!H$106=1,1-DG19,0))*150+51+'計算A'!H$5*100000+IF(AND($E19=1,IU19=0),50000,0))+IF($H19=1,(IF('計算A'!G$117=1,INDEX('計算A'!G$10:G$54,$B19),0)+IF('計算A'!H$117=1,INDEX('計算A'!I$10:I$54,$B19),0))*4000,0)-IF(AND('計算A'!G$117=1,UE19&gt;0),2000,0)-IF(AND($L19=1,'計算A'!H$117=1,DG19=0),2000,0))),1000000))</f>
        <v/>
      </c>
      <c r="OK19">
        <f>IF($B19=0,1000000,IF(INDEX('計算A'!$D$60:$EQ$104,$B19,6)*DG19=1,IF(AND($E19=2,IV19=0),1000000,IF($I19&gt;0,IF(1=$J19,IF(OR(AND(6=$I19+1,OR($K19&lt;&gt;'計算A'!$A$3,'計算A'!$A$4=0)),AND(6=$I19-1,OR(6&lt;&gt;'計算A'!$A$3,'計算A'!$A$4=0))),0,IF(6=$K19,200000,ABS(6-$K19)*100)),100000+ABS(1-$J19)*1000+60)+'計算A'!I$5*50+IF(AND($E19=1,IV19=0),25,0),IF($F19&gt;0,INDEX('計算A'!I$110:I$114,$F19+1)+IF(AND($E19=1,IV19=0),1000,0),MIN(TU19,20)*400+(IF('計算A'!H$106=1,1-DF19,0)+IF('計算A'!I$106=1,1-DH19,0))*150+61+'計算A'!I$5*100000+IF(AND($E19=1,IV19=0),50000,0))+IF($H19=1,(IF('計算A'!H$117=1,INDEX('計算A'!H$10:H$54,$B19),0)+IF('計算A'!I$117=1,INDEX('計算A'!J$10:J$54,$B19),0))*4000,0)-IF(AND('計算A'!H$117=1,UF19&gt;0),2000,0)-IF(AND($L19=1,'計算A'!I$117=1,DH19=0),2000,0))),1000000))</f>
        <v/>
      </c>
      <c r="OL19">
        <f>IF($B19=0,1000000,IF(INDEX('計算A'!$D$60:$EQ$104,$B19,7)*DH19=1,IF(AND($E19=2,IW19=0),1000000,IF($I19&gt;0,IF(1=$J19,IF(OR(AND(7=$I19+1,OR($K19&lt;&gt;'計算A'!$A$3,'計算A'!$A$4=0)),AND(7=$I19-1,OR(7&lt;&gt;'計算A'!$A$3,'計算A'!$A$4=0))),0,IF(7=$K19,200000,ABS(7-$K19)*100)),100000+ABS(1-$J19)*1000+70)+'計算A'!J$5*50+IF(AND($E19=1,IW19=0),25,0),IF($F19&gt;0,INDEX('計算A'!J$110:J$114,$F19+1)+IF(AND($E19=1,IW19=0),1000,0),MIN(TU19,20)*400+(IF('計算A'!I$106=1,1-DG19,0)+IF('計算A'!J$106=1,1-DI19,0))*150+71+'計算A'!J$5*100000+IF(AND($E19=1,IW19=0),50000,0))+IF($H19=1,(IF('計算A'!I$117=1,INDEX('計算A'!I$10:I$54,$B19),0)+IF('計算A'!J$117=1,INDEX('計算A'!K$10:K$54,$B19),0))*4000,0)-IF(AND('計算A'!I$117=1,UG19&gt;0),2000,0)-IF(AND($L19=1,'計算A'!J$117=1,DI19=0),2000,0))),1000000))</f>
        <v/>
      </c>
      <c r="OM19">
        <f>IF($B19=0,1000000,IF(INDEX('計算A'!$D$60:$EQ$104,$B19,8)*DI19=1,IF(AND($E19=2,IX19=0),1000000,IF($I19&gt;0,IF(1=$J19,IF(OR(AND(8=$I19+1,OR($K19&lt;&gt;'計算A'!$A$3,'計算A'!$A$4=0)),AND(8=$I19-1,OR(8&lt;&gt;'計算A'!$A$3,'計算A'!$A$4=0))),0,IF(8=$K19,200000,ABS(8-$K19)*100)),100000+ABS(1-$J19)*1000+80)+'計算A'!K$5*50+IF(AND($E19=1,IX19=0),25,0),IF($F19&gt;0,INDEX('計算A'!K$110:K$114,$F19+1)+IF(AND($E19=1,IX19=0),1000,0),MIN(TU19,20)*400+(IF('計算A'!J$106=1,1-DH19,0)+IF('計算A'!K$106=1,1-DJ19,0))*150+81+'計算A'!K$5*100000+IF(AND($E19=1,IX19=0),50000,0))+IF($H19=1,(IF('計算A'!J$117=1,INDEX('計算A'!J$10:J$54,$B19),0)+IF('計算A'!K$117=1,INDEX('計算A'!L$10:L$54,$B19),0))*4000,0)-IF(AND('計算A'!J$117=1,UH19&gt;0),2000,0)-IF(AND($L19=1,'計算A'!K$117=1,DJ19=0),2000,0))),1000000))</f>
        <v/>
      </c>
      <c r="ON19">
        <f>IF($B19=0,1000000,IF(INDEX('計算A'!$D$60:$EQ$104,$B19,9)*DJ19=1,IF(AND($E19=2,IY19=0),1000000,IF($I19&gt;0,IF(1=$J19,IF(OR(AND(9=$I19+1,OR($K19&lt;&gt;'計算A'!$A$3,'計算A'!$A$4=0)),AND(9=$I19-1,OR(9&lt;&gt;'計算A'!$A$3,'計算A'!$A$4=0))),0,IF(9=$K19,200000,ABS(9-$K19)*100)),100000+ABS(1-$J19)*1000+90)+'計算A'!L$5*50+IF(AND($E19=1,IY19=0),25,0),IF($F19&gt;0,INDEX('計算A'!L$110:L$114,$F19+1)+IF(AND($E19=1,IY19=0),1000,0),MIN(TU19,20)*400+(IF('計算A'!K$106=1,1-DI19,0)+IF('計算A'!L$106=1,1-DK19,0))*150+91+'計算A'!L$5*100000+IF(AND($E19=1,IY19=0),50000,0))+IF($H19=1,(IF('計算A'!K$117=1,INDEX('計算A'!K$10:K$54,$B19),0)+IF('計算A'!L$117=1,INDEX('計算A'!M$10:M$54,$B19),0))*4000,0)-IF(AND('計算A'!K$117=1,UI19&gt;0),2000,0)-IF(AND($L19=1,'計算A'!L$117=1,DK19=0),2000,0))),1000000))</f>
        <v/>
      </c>
      <c r="OO19">
        <f>IF($B19=0,1000000,IF(INDEX('計算A'!$D$60:$EQ$104,$B19,10)*DK19=1,IF(AND($E19=2,IZ19=0),1000000,IF($I19&gt;0,IF(1=$J19,IF(OR(AND(10=$I19+1,OR($K19&lt;&gt;'計算A'!$A$3,'計算A'!$A$4=0)),AND(10=$I19-1,OR(10&lt;&gt;'計算A'!$A$3,'計算A'!$A$4=0))),0,IF(10=$K19,200000,ABS(10-$K19)*100)),100000+ABS(1-$J19)*1000+100)+'計算A'!M$5*50+IF(AND($E19=1,IZ19=0),25,0),IF($F19&gt;0,INDEX('計算A'!M$110:M$114,$F19+1)+IF(AND($E19=1,IZ19=0),1000,0),MIN(TU19,20)*400+(IF('計算A'!L$106=1,1-DJ19,0)+IF('計算A'!M$106=1,1-DL19,0))*150+101+'計算A'!M$5*100000+IF(AND($E19=1,IZ19=0),50000,0))+IF($H19=1,(IF('計算A'!L$117=1,INDEX('計算A'!L$10:L$54,$B19),0)+IF('計算A'!M$117=1,INDEX('計算A'!N$10:N$54,$B19),0))*4000,0)-IF(AND('計算A'!L$117=1,UJ19&gt;0),2000,0)-IF(AND($L19=1,'計算A'!M$117=1,DL19=0),2000,0))),1000000))</f>
        <v/>
      </c>
      <c r="OP19">
        <f>IF($B19=0,1000000,IF(INDEX('計算A'!$D$60:$EQ$104,$B19,11)*DL19=1,IF(AND($E19=2,JA19=0),1000000,IF($I19&gt;0,IF(1=$J19,IF(OR(AND(11=$I19+1,OR($K19&lt;&gt;'計算A'!$A$3,'計算A'!$A$4=0)),AND(11=$I19-1,OR(11&lt;&gt;'計算A'!$A$3,'計算A'!$A$4=0))),0,IF(11=$K19,200000,ABS(11-$K19)*100)),100000+ABS(1-$J19)*1000+110)+'計算A'!N$5*50+IF(AND($E19=1,JA19=0),25,0),IF($F19&gt;0,INDEX('計算A'!N$110:N$114,$F19+1)+IF(AND($E19=1,JA19=0),1000,0),MIN(TU19,20)*400+(IF('計算A'!M$106=1,1-DK19,0)+IF('計算A'!N$106=1,1-DM19,0))*150+111+'計算A'!N$5*100000+IF(AND($E19=1,JA19=0),50000,0))+IF($H19=1,(IF('計算A'!M$117=1,INDEX('計算A'!M$10:M$54,$B19),0)+IF('計算A'!N$117=1,INDEX('計算A'!O$10:O$54,$B19),0))*4000,0)-IF(AND('計算A'!M$117=1,UK19&gt;0),2000,0)-IF(AND($L19=1,'計算A'!N$117=1,DM19=0),2000,0))),1000000))</f>
        <v/>
      </c>
      <c r="OQ19">
        <f>IF($B19=0,1000000,IF(INDEX('計算A'!$D$60:$EQ$104,$B19,12)*DM19=1,IF(AND($E19=2,JB19=0),1000000,IF($I19&gt;0,IF(1=$J19,IF(OR(AND(12=$I19+1,OR($K19&lt;&gt;'計算A'!$A$3,'計算A'!$A$4=0)),AND(12=$I19-1,OR(12&lt;&gt;'計算A'!$A$3,'計算A'!$A$4=0))),0,IF(12=$K19,200000,ABS(12-$K19)*100)),100000+ABS(1-$J19)*1000+120)+'計算A'!O$5*50+IF(AND($E19=1,JB19=0),25,0),IF($F19&gt;0,INDEX('計算A'!O$110:O$114,$F19+1)+IF(AND($E19=1,JB19=0),1000,0),MIN(TU19,20)*400+(IF('計算A'!N$106=1,1-DL19,0)+IF('計算A'!O$106=1,1-DN19,0))*150+121+'計算A'!O$5*100000+IF(AND($E19=1,JB19=0),50000,0))+IF($H19=1,(IF('計算A'!N$117=1,INDEX('計算A'!N$10:N$54,$B19),0)+IF('計算A'!O$117=1,INDEX('計算A'!P$10:P$54,$B19),0))*4000,0)-IF(AND('計算A'!N$117=1,UL19&gt;0),2000,0)-IF(AND($L19=1,'計算A'!O$117=1,DN19=0),2000,0))),1000000))</f>
        <v/>
      </c>
      <c r="OR19">
        <f>IF($B19=0,1000000,IF(INDEX('計算A'!$D$60:$EQ$104,$B19,13)*DN19=1,IF(AND($E19=2,JC19=0),1000000,IF($I19&gt;0,IF(1=$J19,IF(OR(AND(13=$I19+1,OR($K19&lt;&gt;'計算A'!$A$3,'計算A'!$A$4=0)),AND(13=$I19-1,OR(13&lt;&gt;'計算A'!$A$3,'計算A'!$A$4=0))),0,IF(13=$K19,200000,ABS(13-$K19)*100)),100000+ABS(1-$J19)*1000+130)+'計算A'!P$5*50+IF(AND($E19=1,JC19=0),25,0),IF($F19&gt;0,INDEX('計算A'!P$110:P$114,$F19+1)+IF(AND($E19=1,JC19=0),1000,0),MIN(TU19,20)*400+(IF('計算A'!O$106=1,1-DM19,0)+IF('計算A'!P$106=1,1-DO19,0))*150+131+'計算A'!P$5*100000+IF(AND($E19=1,JC19=0),50000,0))+IF($H19=1,(IF('計算A'!O$117=1,INDEX('計算A'!O$10:O$54,$B19),0)+IF('計算A'!P$117=1,INDEX('計算A'!Q$10:Q$54,$B19),0))*4000,0)-IF(AND('計算A'!O$117=1,UM19&gt;0),2000,0)-IF(AND($L19=1,'計算A'!P$117=1,DO19=0),2000,0))),1000000))</f>
        <v/>
      </c>
      <c r="OS19">
        <f>IF($B19=0,1000000,IF(INDEX('計算A'!$D$60:$EQ$104,$B19,14)*DO19=1,IF(AND($E19=2,JD19=0),1000000,IF($I19&gt;0,IF(1=$J19,IF(OR(AND(14=$I19+1,OR($K19&lt;&gt;'計算A'!$A$3,'計算A'!$A$4=0)),AND(14=$I19-1,OR(14&lt;&gt;'計算A'!$A$3,'計算A'!$A$4=0))),0,IF(14=$K19,200000,ABS(14-$K19)*100)),100000+ABS(1-$J19)*1000+140)+'計算A'!Q$5*50+IF(AND($E19=1,JD19=0),25,0),IF($F19&gt;0,INDEX('計算A'!Q$110:Q$114,$F19+1)+IF(AND($E19=1,JD19=0),1000,0),MIN(TU19,20)*400+(IF('計算A'!P$106=1,1-DN19,0)+IF('計算A'!Q$106=1,1-DP19,0))*150+141+'計算A'!Q$5*100000+IF(AND($E19=1,JD19=0),50000,0))+IF($H19=1,(IF('計算A'!P$117=1,INDEX('計算A'!P$10:P$54,$B19),0)+IF('計算A'!Q$117=1,INDEX('計算A'!R$10:R$54,$B19),0))*4000,0)-IF(AND('計算A'!P$117=1,UN19&gt;0),2000,0)-IF(AND($L19=1,'計算A'!Q$117=1,DP19=0),2000,0))),1000000))</f>
        <v/>
      </c>
      <c r="OT19">
        <f>IF($B19=0,1000000,IF(INDEX('計算A'!$D$60:$EQ$104,$B19,15)*DP19=1,IF(AND($E19=2,JE19=0),1000000,IF($I19&gt;0,IF(1=$J19,IF(OR(AND(15=$I19+1,OR($K19&lt;&gt;'計算A'!$A$3,'計算A'!$A$4=0)),AND(15=$I19-1,OR(15&lt;&gt;'計算A'!$A$3,'計算A'!$A$4=0))),0,IF(15=$K19,200000,ABS(15-$K19)*100)),100000+ABS(1-$J19)*1000+150)+'計算A'!R$5*50+IF(AND($E19=1,JE19=0),25,0),IF($F19&gt;0,INDEX('計算A'!R$110:R$114,$F19+1)+IF(AND($E19=1,JE19=0),1000,0),MIN(TU19,20)*400+(IF('計算A'!Q$106=1,1-DO19,0)+IF('計算A'!R$106=1,1-DQ19,0))*150+151+'計算A'!R$5*100000+IF(AND($E19=1,JE19=0),50000,0))+IF($H19=1,(IF('計算A'!Q$117=1,INDEX('計算A'!Q$10:Q$54,$B19),0)+IF('計算A'!R$117=1,INDEX('計算A'!S$10:S$54,$B19),0))*4000,0)-IF(AND('計算A'!Q$117=1,UO19&gt;0),2000,0)-IF(AND($L19=1,'計算A'!R$117=1,DQ19=0),2000,0))),1000000))</f>
        <v/>
      </c>
      <c r="OU19">
        <f>IF($B19=0,1000000,IF(INDEX('計算A'!$D$60:$EQ$104,$B19,16)*DQ19=1,IF(AND($E19=2,JF19=0),1000000,IF($I19&gt;0,IF(1=$J19,IF(OR(AND(16=$I19+1,OR($K19&lt;&gt;'計算A'!$A$3,'計算A'!$A$4=0)),AND(16=$I19-1,OR(16&lt;&gt;'計算A'!$A$3,'計算A'!$A$4=0))),0,IF(16=$K19,200000,ABS(16-$K19)*100)),100000+ABS(1-$J19)*1000+160)+'計算A'!S$5*50+IF(AND($E19=1,JF19=0),25,0),IF($F19&gt;0,INDEX('計算A'!S$110:S$114,$F19+1)+IF(AND($E19=1,JF19=0),1000,0),MIN(TU19,20)*400+(IF('計算A'!R$106=1,1-DP19,0)+IF('計算A'!S$106=1,1-DR19,0))*150+161+'計算A'!S$5*100000+IF(AND($E19=1,JF19=0),50000,0))+IF($H19=1,(IF('計算A'!R$117=1,INDEX('計算A'!R$10:R$54,$B19),0)+IF('計算A'!S$117=1,INDEX('計算A'!T$10:T$54,$B19),0))*4000,0)-IF(AND('計算A'!R$117=1,UP19&gt;0),2000,0)-IF(AND($L19=1,'計算A'!S$117=1,DR19=0),2000,0))),1000000))</f>
        <v/>
      </c>
      <c r="OV19">
        <f>IF($B19=0,1000000,IF(INDEX('計算A'!$D$60:$EQ$104,$B19,17)*DR19=1,IF(AND($E19=2,JG19=0),1000000,IF($I19&gt;0,IF(1=$J19,IF(OR(AND(17=$I19+1,OR($K19&lt;&gt;'計算A'!$A$3,'計算A'!$A$4=0)),AND(17=$I19-1,OR(17&lt;&gt;'計算A'!$A$3,'計算A'!$A$4=0))),0,IF(17=$K19,200000,ABS(17-$K19)*100)),100000+ABS(1-$J19)*1000+170)+'計算A'!T$5*50+IF(AND($E19=1,JG19=0),25,0),IF($F19&gt;0,INDEX('計算A'!T$110:T$114,$F19+1)+IF(AND($E19=1,JG19=0),1000,0),MIN(TU19,20)*400+(IF('計算A'!S$106=1,1-DQ19,0)+IF('計算A'!T$106=1,1-DS19,0))*150+171+'計算A'!T$5*100000+IF(AND($E19=1,JG19=0),50000,0))+IF($H19=1,(IF('計算A'!S$117=1,INDEX('計算A'!S$10:S$54,$B19),0)+IF('計算A'!T$117=1,INDEX('計算A'!U$10:U$54,$B19),0))*4000,0)-IF(AND('計算A'!S$117=1,UQ19&gt;0),2000,0)-IF(AND($L19=1,'計算A'!T$117=1,DS19=0),2000,0))),1000000))</f>
        <v/>
      </c>
      <c r="OW19">
        <f>IF($B19=0,1000000,IF(INDEX('計算A'!$D$60:$EQ$104,$B19,18)*DS19=1,IF(AND($E19=2,JH19=0),1000000,IF($I19&gt;0,IF(1=$J19,IF(OR(AND(18=$I19+1,OR($K19&lt;&gt;'計算A'!$A$3,'計算A'!$A$4=0)),AND(18=$I19-1,OR(18&lt;&gt;'計算A'!$A$3,'計算A'!$A$4=0))),0,IF(18=$K19,200000,ABS(18-$K19)*100)),100000+ABS(1-$J19)*1000+180)+'計算A'!U$5*50+IF(AND($E19=1,JH19=0),25,0),IF($F19&gt;0,INDEX('計算A'!U$110:U$114,$F19+1)+IF(AND($E19=1,JH19=0),1000,0),MIN(TU19,20)*400+(IF('計算A'!T$106=1,1-DR19,0)+IF('計算A'!U$106=1,1-DT19,0))*150+181+'計算A'!U$5*100000+IF(AND($E19=1,JH19=0),50000,0))+IF($H19=1,(IF('計算A'!T$117=1,INDEX('計算A'!T$10:T$54,$B19),0)+IF('計算A'!U$117=1,INDEX('計算A'!V$10:V$54,$B19),0))*4000,0)-IF(AND('計算A'!T$117=1,UR19&gt;0),2000,0)-IF(AND($L19=1,'計算A'!U$117=1,DT19=0),2000,0))),1000000))</f>
        <v/>
      </c>
      <c r="OX19">
        <f>IF($B19=0,1000000,IF(INDEX('計算A'!$D$60:$EQ$104,$B19,19)*DT19=1,IF(AND($E19=2,JI19=0),1000000,IF($I19&gt;0,IF(1=$J19,IF(OR(AND(19=$I19+1,OR($K19&lt;&gt;'計算A'!$A$3,'計算A'!$A$4=0)),AND(19=$I19-1,OR(19&lt;&gt;'計算A'!$A$3,'計算A'!$A$4=0))),0,IF(19=$K19,200000,ABS(19-$K19)*100)),100000+ABS(1-$J19)*1000+190)+'計算A'!V$5*50+IF(AND($E19=1,JI19=0),25,0),IF($F19&gt;0,INDEX('計算A'!V$110:V$114,$F19+1)+IF(AND($E19=1,JI19=0),1000,0),MIN(TU19,20)*400+(IF('計算A'!U$106=1,1-DS19,0)+IF('計算A'!V$106=1,1-DU19,0))*150+191+'計算A'!V$5*100000+IF(AND($E19=1,JI19=0),50000,0))+IF($H19=1,(IF('計算A'!U$117=1,INDEX('計算A'!U$10:U$54,$B19),0)+IF('計算A'!V$117=1,INDEX('計算A'!W$10:W$54,$B19),0))*4000,0)-IF(AND('計算A'!U$117=1,US19&gt;0),2000,0)-IF(AND($L19=1,'計算A'!V$117=1,DU19=0),2000,0))),1000000))</f>
        <v/>
      </c>
      <c r="OY19">
        <f>IF($B19=0,1000000,IF(INDEX('計算A'!$D$60:$EQ$104,$B19,20)*DU19=1,IF(AND($E19=2,JJ19=0),1000000,IF($I19&gt;0,IF(1=$J19,IF(OR(AND(20=$I19+1,OR($K19&lt;&gt;'計算A'!$A$3,'計算A'!$A$4=0)),AND(20=$I19-1,OR(20&lt;&gt;'計算A'!$A$3,'計算A'!$A$4=0))),0,IF(20=$K19,200000,ABS(20-$K19)*100)),100000+ABS(1-$J19)*1000+200)+'計算A'!W$5*50+IF(AND($E19=1,JJ19=0),25,0),IF($F19&gt;0,INDEX('計算A'!W$110:W$114,$F19+1)+IF(AND($E19=1,JJ19=0),1000,0),MIN(TU19,20)*400+(IF('計算A'!V$106=1,1-DT19,0)+IF('計算A'!W$106=1,1-DV19,0))*150+201+'計算A'!W$5*100000+IF(AND($E19=1,JJ19=0),50000,0))+IF($H19=1,(IF('計算A'!V$117=1,INDEX('計算A'!V$10:V$54,$B19),0)+IF('計算A'!W$117=1,INDEX('計算A'!X$10:X$54,$B19),0))*4000,0)-IF(AND('計算A'!V$117=1,UT19&gt;0),2000,0)-IF(AND($L19=1,'計算A'!W$117=1,DV19=0),2000,0))),1000000))</f>
        <v/>
      </c>
      <c r="OZ19">
        <f>IF($B19=0,1000000,IF(INDEX('計算A'!$D$60:$EQ$104,$B19,21)*DV19=1,IF(AND($E19=2,JK19=0),1000000,IF($I19&gt;0,IF(1=$J19,IF(OR(AND(21=$I19+1,OR($K19&lt;&gt;'計算A'!$A$3,'計算A'!$A$4=0)),AND(21=$I19-1,OR(21&lt;&gt;'計算A'!$A$3,'計算A'!$A$4=0))),0,IF(21=$K19,200000,ABS(21-$K19)*100)),100000+ABS(1-$J19)*1000+210)+'計算A'!X$5*50+IF(AND($E19=1,JK19=0),25,0),IF($F19&gt;0,INDEX('計算A'!X$110:X$114,$F19+1)+IF(AND($E19=1,JK19=0),1000,0),MIN(TU19,20)*400+(IF('計算A'!W$106=1,1-DU19,0)+IF('計算A'!X$106=1,1-DW19,0))*150+211+'計算A'!X$5*100000+IF(AND($E19=1,JK19=0),50000,0))+IF($H19=1,(IF('計算A'!W$117=1,INDEX('計算A'!W$10:W$54,$B19),0)+IF('計算A'!X$117=1,INDEX('計算A'!Y$10:Y$54,$B19),0))*4000,0)-IF(AND('計算A'!W$117=1,UU19&gt;0),2000,0)-IF(AND($L19=1,'計算A'!X$117=1,DW19=0),2000,0))),1000000))</f>
        <v/>
      </c>
      <c r="PA19">
        <f>IF($B19=0,1000000,IF(INDEX('計算A'!$D$60:$EQ$104,$B19,22)*DW19=1,IF(AND($E19=2,JL19=0),1000000,IF($I19&gt;0,IF(1=$J19,IF(OR(AND(22=$I19+1,OR($K19&lt;&gt;'計算A'!$A$3,'計算A'!$A$4=0)),AND(22=$I19-1,OR(22&lt;&gt;'計算A'!$A$3,'計算A'!$A$4=0))),0,IF(22=$K19,200000,ABS(22-$K19)*100)),100000+ABS(1-$J19)*1000+220)+'計算A'!Y$5*50+IF(AND($E19=1,JL19=0),25,0),IF($F19&gt;0,INDEX('計算A'!Y$110:Y$114,$F19+1)+IF(AND($E19=1,JL19=0),1000,0),MIN(TU19,20)*400+(IF('計算A'!X$106=1,1-DV19,0)+IF('計算A'!Y$106=1,1-DX19,0))*150+221+'計算A'!Y$5*100000+IF(AND($E19=1,JL19=0),50000,0))+IF($H19=1,(IF('計算A'!X$117=1,INDEX('計算A'!X$10:X$54,$B19),0)+IF('計算A'!Y$117=1,INDEX('計算A'!Z$10:Z$54,$B19),0))*4000,0)-IF(AND('計算A'!X$117=1,UV19&gt;0),2000,0)-IF(AND($L19=1,'計算A'!Y$117=1,DX19=0),2000,0))),1000000))</f>
        <v/>
      </c>
      <c r="PB19">
        <f>IF($B19=0,1000000,IF(INDEX('計算A'!$D$60:$EQ$104,$B19,23)*DX19=1,IF(AND($E19=2,JM19=0),1000000,IF($I19&gt;0,IF(1=$J19,IF(OR(AND(23=$I19+1,OR($K19&lt;&gt;'計算A'!$A$3,'計算A'!$A$4=0)),AND(23=$I19-1,OR(23&lt;&gt;'計算A'!$A$3,'計算A'!$A$4=0))),0,IF(23=$K19,200000,ABS(23-$K19)*100)),100000+ABS(1-$J19)*1000+230)+'計算A'!Z$5*50+IF(AND($E19=1,JM19=0),25,0),IF($F19&gt;0,INDEX('計算A'!Z$110:Z$114,$F19+1)+IF(AND($E19=1,JM19=0),1000,0),MIN(TU19,20)*400+(IF('計算A'!Y$106=1,1-DW19,0)+IF('計算A'!Z$106=1,1-DY19,0))*150+231+'計算A'!Z$5*100000+IF(AND($E19=1,JM19=0),50000,0))+IF($H19=1,(IF('計算A'!Y$117=1,INDEX('計算A'!Y$10:Y$54,$B19),0)+IF('計算A'!Z$117=1,INDEX('計算A'!AA$10:AA$54,$B19),0))*4000,0)-IF(AND('計算A'!Y$117=1,UW19&gt;0),2000,0)-IF(AND($L19=1,'計算A'!Z$117=1,DY19=0),2000,0))),1000000))</f>
        <v/>
      </c>
      <c r="PC19">
        <f>IF($B19=0,1000000,IF(INDEX('計算A'!$D$60:$EQ$104,$B19,24)*DY19=1,IF(AND($E19=2,JN19=0),1000000,IF($I19&gt;0,IF(1=$J19,IF(OR(AND(24=$I19+1,OR($K19&lt;&gt;'計算A'!$A$3,'計算A'!$A$4=0)),AND(24=$I19-1,OR(24&lt;&gt;'計算A'!$A$3,'計算A'!$A$4=0))),0,IF(24=$K19,200000,ABS(24-$K19)*100)),100000+ABS(1-$J19)*1000+240)+'計算A'!AA$5*50+IF(AND($E19=1,JN19=0),25,0),IF($F19&gt;0,INDEX('計算A'!AA$110:AA$114,$F19+1)+IF(AND($E19=1,JN19=0),1000,0),MIN(TU19,20)*400+(IF('計算A'!Z$106=1,1-DX19,0))*150+241+'計算A'!AA$5*100000+IF(AND($E19=1,JN19=0),50000,0))+IF($H19=1,(IF('計算A'!Z$117=1,INDEX('計算A'!Z$10:Z$54,$B19),0))*4000,0)-IF(AND('計算A'!Z$117=1,UX19&gt;0),2000,0))),1000000))</f>
        <v/>
      </c>
      <c r="PD19">
        <f>IF($B19=0,1000000,IF(INDEX('計算A'!$D$60:$EQ$104,$B19,25)*DZ19=1,IF(AND($E19=2,JO19=0),1000000,IF($I19&gt;0,IF(2=$J19,IF(OR(AND(25=$I19+1,OR($K19&lt;&gt;'計算A'!$A$3,'計算A'!$A$4=0)),AND(25=$I19-1,OR(1&lt;&gt;'計算A'!$A$3,'計算A'!$A$4=0))),0,IF(1=$K19,200000,ABS(1-$K19)*100)),100000+ABS(2-$J19)*1000+10)+'計算A'!AB$5*50+IF(AND($E19=1,JO19=0),25,0),IF($F19&gt;0,INDEX('計算A'!AB$110:AB$114,$F19+1)+IF(AND($E19=1,JO19=0),1000,0),MIN(TV19,20)*400+(IF('計算A'!AB$106=1,1-EA19,0))*150+12+'計算A'!AB$5*100000+IF(AND($E19=1,JO19=0),50000,0))+IF($H19=1,(IF('計算A'!AB$117=1,INDEX('計算A'!AC$10:AC$54,$B19),0))*4000,0)-IF(AND($L19=1,'計算A'!AB$117=1,EA19=0),2000,0))),1000000))</f>
        <v/>
      </c>
      <c r="PE19">
        <f>IF($B19=0,1000000,IF(INDEX('計算A'!$D$60:$EQ$104,$B19,26)*EA19=1,IF(AND($E19=2,JP19=0),1000000,IF($I19&gt;0,IF(2=$J19,IF(OR(AND(26=$I19+1,OR($K19&lt;&gt;'計算A'!$A$3,'計算A'!$A$4=0)),AND(26=$I19-1,OR(2&lt;&gt;'計算A'!$A$3,'計算A'!$A$4=0))),0,IF(2=$K19,200000,ABS(2-$K19)*100)),100000+ABS(2-$J19)*1000+20)+'計算A'!AC$5*50+IF(AND($E19=1,JP19=0),25,0),IF($F19&gt;0,INDEX('計算A'!AC$110:AC$114,$F19+1)+IF(AND($E19=1,JP19=0),1000,0),MIN(TV19,20)*400+(IF('計算A'!AB$106=1,1-DZ19,0)+IF('計算A'!AC$106=1,1-EB19,0))*150+22+'計算A'!AC$5*100000+IF(AND($E19=1,JP19=0),50000,0))+IF($H19=1,(IF('計算A'!AB$117=1,INDEX('計算A'!AB$10:AB$54,$B19),0)+IF('計算A'!AC$117=1,INDEX('計算A'!AD$10:AD$54,$B19),0))*4000,0)-IF(AND('計算A'!AB$117=1,UZ19&gt;0),2000,0)-IF(AND($L19=1,'計算A'!AC$117=1,EB19=0),2000,0))),1000000))</f>
        <v/>
      </c>
      <c r="PF19">
        <f>IF($B19=0,1000000,IF(INDEX('計算A'!$D$60:$EQ$104,$B19,27)*EB19=1,IF(AND($E19=2,JQ19=0),1000000,IF($I19&gt;0,IF(2=$J19,IF(OR(AND(27=$I19+1,OR($K19&lt;&gt;'計算A'!$A$3,'計算A'!$A$4=0)),AND(27=$I19-1,OR(3&lt;&gt;'計算A'!$A$3,'計算A'!$A$4=0))),0,IF(3=$K19,200000,ABS(3-$K19)*100)),100000+ABS(2-$J19)*1000+30)+'計算A'!AD$5*50+IF(AND($E19=1,JQ19=0),25,0),IF($F19&gt;0,INDEX('計算A'!AD$110:AD$114,$F19+1)+IF(AND($E19=1,JQ19=0),1000,0),MIN(TV19,20)*400+(IF('計算A'!AC$106=1,1-EA19,0)+IF('計算A'!AD$106=1,1-EC19,0))*150+32+'計算A'!AD$5*100000+IF(AND($E19=1,JQ19=0),50000,0))+IF($H19=1,(IF('計算A'!AC$117=1,INDEX('計算A'!AC$10:AC$54,$B19),0)+IF('計算A'!AD$117=1,INDEX('計算A'!AE$10:AE$54,$B19),0))*4000,0)-IF(AND('計算A'!AC$117=1,VA19&gt;0),2000,0)-IF(AND($L19=1,'計算A'!AD$117=1,EC19=0),2000,0))),1000000))</f>
        <v/>
      </c>
      <c r="PG19">
        <f>IF($B19=0,1000000,IF(INDEX('計算A'!$D$60:$EQ$104,$B19,28)*EC19=1,IF(AND($E19=2,JR19=0),1000000,IF($I19&gt;0,IF(2=$J19,IF(OR(AND(28=$I19+1,OR($K19&lt;&gt;'計算A'!$A$3,'計算A'!$A$4=0)),AND(28=$I19-1,OR(4&lt;&gt;'計算A'!$A$3,'計算A'!$A$4=0))),0,IF(4=$K19,200000,ABS(4-$K19)*100)),100000+ABS(2-$J19)*1000+40)+'計算A'!AE$5*50+IF(AND($E19=1,JR19=0),25,0),IF($F19&gt;0,INDEX('計算A'!AE$110:AE$114,$F19+1)+IF(AND($E19=1,JR19=0),1000,0),MIN(TV19,20)*400+(IF('計算A'!AD$106=1,1-EB19,0)+IF('計算A'!AE$106=1,1-ED19,0))*150+42+'計算A'!AE$5*100000+IF(AND($E19=1,JR19=0),50000,0))+IF($H19=1,(IF('計算A'!AD$117=1,INDEX('計算A'!AD$10:AD$54,$B19),0)+IF('計算A'!AE$117=1,INDEX('計算A'!AF$10:AF$54,$B19),0))*4000,0)-IF(AND('計算A'!AD$117=1,VB19&gt;0),2000,0)-IF(AND($L19=1,'計算A'!AE$117=1,ED19=0),2000,0))),1000000))</f>
        <v/>
      </c>
      <c r="PH19">
        <f>IF($B19=0,1000000,IF(INDEX('計算A'!$D$60:$EQ$104,$B19,29)*ED19=1,IF(AND($E19=2,JS19=0),1000000,IF($I19&gt;0,IF(2=$J19,IF(OR(AND(29=$I19+1,OR($K19&lt;&gt;'計算A'!$A$3,'計算A'!$A$4=0)),AND(29=$I19-1,OR(5&lt;&gt;'計算A'!$A$3,'計算A'!$A$4=0))),0,IF(5=$K19,200000,ABS(5-$K19)*100)),100000+ABS(2-$J19)*1000+50)+'計算A'!AF$5*50+IF(AND($E19=1,JS19=0),25,0),IF($F19&gt;0,INDEX('計算A'!AF$110:AF$114,$F19+1)+IF(AND($E19=1,JS19=0),1000,0),MIN(TV19,20)*400+(IF('計算A'!AE$106=1,1-EC19,0)+IF('計算A'!AF$106=1,1-EE19,0))*150+52+'計算A'!AF$5*100000+IF(AND($E19=1,JS19=0),50000,0))+IF($H19=1,(IF('計算A'!AE$117=1,INDEX('計算A'!AE$10:AE$54,$B19),0)+IF('計算A'!AF$117=1,INDEX('計算A'!AG$10:AG$54,$B19),0))*4000,0)-IF(AND('計算A'!AE$117=1,VC19&gt;0),2000,0)-IF(AND($L19=1,'計算A'!AF$117=1,EE19=0),2000,0))),1000000))</f>
        <v/>
      </c>
      <c r="PI19">
        <f>IF($B19=0,1000000,IF(INDEX('計算A'!$D$60:$EQ$104,$B19,30)*EE19=1,IF(AND($E19=2,JT19=0),1000000,IF($I19&gt;0,IF(2=$J19,IF(OR(AND(30=$I19+1,OR($K19&lt;&gt;'計算A'!$A$3,'計算A'!$A$4=0)),AND(30=$I19-1,OR(6&lt;&gt;'計算A'!$A$3,'計算A'!$A$4=0))),0,IF(6=$K19,200000,ABS(6-$K19)*100)),100000+ABS(2-$J19)*1000+60)+'計算A'!AG$5*50+IF(AND($E19=1,JT19=0),25,0),IF($F19&gt;0,INDEX('計算A'!AG$110:AG$114,$F19+1)+IF(AND($E19=1,JT19=0),1000,0),MIN(TV19,20)*400+(IF('計算A'!AF$106=1,1-ED19,0)+IF('計算A'!AG$106=1,1-EF19,0))*150+62+'計算A'!AG$5*100000+IF(AND($E19=1,JT19=0),50000,0))+IF($H19=1,(IF('計算A'!AF$117=1,INDEX('計算A'!AF$10:AF$54,$B19),0)+IF('計算A'!AG$117=1,INDEX('計算A'!AH$10:AH$54,$B19),0))*4000,0)-IF(AND('計算A'!AF$117=1,VD19&gt;0),2000,0)-IF(AND($L19=1,'計算A'!AG$117=1,EF19=0),2000,0))),1000000))</f>
        <v/>
      </c>
      <c r="PJ19">
        <f>IF($B19=0,1000000,IF(INDEX('計算A'!$D$60:$EQ$104,$B19,31)*EF19=1,IF(AND($E19=2,JU19=0),1000000,IF($I19&gt;0,IF(2=$J19,IF(OR(AND(31=$I19+1,OR($K19&lt;&gt;'計算A'!$A$3,'計算A'!$A$4=0)),AND(31=$I19-1,OR(7&lt;&gt;'計算A'!$A$3,'計算A'!$A$4=0))),0,IF(7=$K19,200000,ABS(7-$K19)*100)),100000+ABS(2-$J19)*1000+70)+'計算A'!AH$5*50+IF(AND($E19=1,JU19=0),25,0),IF($F19&gt;0,INDEX('計算A'!AH$110:AH$114,$F19+1)+IF(AND($E19=1,JU19=0),1000,0),MIN(TV19,20)*400+(IF('計算A'!AG$106=1,1-EE19,0)+IF('計算A'!AH$106=1,1-EG19,0))*150+72+'計算A'!AH$5*100000+IF(AND($E19=1,JU19=0),50000,0))+IF($H19=1,(IF('計算A'!AG$117=1,INDEX('計算A'!AG$10:AG$54,$B19),0)+IF('計算A'!AH$117=1,INDEX('計算A'!AI$10:AI$54,$B19),0))*4000,0)-IF(AND('計算A'!AG$117=1,VE19&gt;0),2000,0)-IF(AND($L19=1,'計算A'!AH$117=1,EG19=0),2000,0))),1000000))</f>
        <v/>
      </c>
      <c r="PK19">
        <f>IF($B19=0,1000000,IF(INDEX('計算A'!$D$60:$EQ$104,$B19,32)*EG19=1,IF(AND($E19=2,JV19=0),1000000,IF($I19&gt;0,IF(2=$J19,IF(OR(AND(32=$I19+1,OR($K19&lt;&gt;'計算A'!$A$3,'計算A'!$A$4=0)),AND(32=$I19-1,OR(8&lt;&gt;'計算A'!$A$3,'計算A'!$A$4=0))),0,IF(8=$K19,200000,ABS(8-$K19)*100)),100000+ABS(2-$J19)*1000+80)+'計算A'!AI$5*50+IF(AND($E19=1,JV19=0),25,0),IF($F19&gt;0,INDEX('計算A'!AI$110:AI$114,$F19+1)+IF(AND($E19=1,JV19=0),1000,0),MIN(TV19,20)*400+(IF('計算A'!AH$106=1,1-EF19,0)+IF('計算A'!AI$106=1,1-EH19,0))*150+82+'計算A'!AI$5*100000+IF(AND($E19=1,JV19=0),50000,0))+IF($H19=1,(IF('計算A'!AH$117=1,INDEX('計算A'!AH$10:AH$54,$B19),0)+IF('計算A'!AI$117=1,INDEX('計算A'!AJ$10:AJ$54,$B19),0))*4000,0)-IF(AND('計算A'!AH$117=1,VF19&gt;0),2000,0)-IF(AND($L19=1,'計算A'!AI$117=1,EH19=0),2000,0))),1000000))</f>
        <v/>
      </c>
      <c r="PL19">
        <f>IF($B19=0,1000000,IF(INDEX('計算A'!$D$60:$EQ$104,$B19,33)*EH19=1,IF(AND($E19=2,JW19=0),1000000,IF($I19&gt;0,IF(2=$J19,IF(OR(AND(33=$I19+1,OR($K19&lt;&gt;'計算A'!$A$3,'計算A'!$A$4=0)),AND(33=$I19-1,OR(9&lt;&gt;'計算A'!$A$3,'計算A'!$A$4=0))),0,IF(9=$K19,200000,ABS(9-$K19)*100)),100000+ABS(2-$J19)*1000+90)+'計算A'!AJ$5*50+IF(AND($E19=1,JW19=0),25,0),IF($F19&gt;0,INDEX('計算A'!AJ$110:AJ$114,$F19+1)+IF(AND($E19=1,JW19=0),1000,0),MIN(TV19,20)*400+(IF('計算A'!AI$106=1,1-EG19,0)+IF('計算A'!AJ$106=1,1-EI19,0))*150+92+'計算A'!AJ$5*100000+IF(AND($E19=1,JW19=0),50000,0))+IF($H19=1,(IF('計算A'!AI$117=1,INDEX('計算A'!AI$10:AI$54,$B19),0)+IF('計算A'!AJ$117=1,INDEX('計算A'!AK$10:AK$54,$B19),0))*4000,0)-IF(AND('計算A'!AI$117=1,VG19&gt;0),2000,0)-IF(AND($L19=1,'計算A'!AJ$117=1,EI19=0),2000,0))),1000000))</f>
        <v/>
      </c>
      <c r="PM19">
        <f>IF($B19=0,1000000,IF(INDEX('計算A'!$D$60:$EQ$104,$B19,34)*EI19=1,IF(AND($E19=2,JX19=0),1000000,IF($I19&gt;0,IF(2=$J19,IF(OR(AND(34=$I19+1,OR($K19&lt;&gt;'計算A'!$A$3,'計算A'!$A$4=0)),AND(34=$I19-1,OR(10&lt;&gt;'計算A'!$A$3,'計算A'!$A$4=0))),0,IF(10=$K19,200000,ABS(10-$K19)*100)),100000+ABS(2-$J19)*1000+100)+'計算A'!AK$5*50+IF(AND($E19=1,JX19=0),25,0),IF($F19&gt;0,INDEX('計算A'!AK$110:AK$114,$F19+1)+IF(AND($E19=1,JX19=0),1000,0),MIN(TV19,20)*400+(IF('計算A'!AJ$106=1,1-EH19,0)+IF('計算A'!AK$106=1,1-EJ19,0))*150+102+'計算A'!AK$5*100000+IF(AND($E19=1,JX19=0),50000,0))+IF($H19=1,(IF('計算A'!AJ$117=1,INDEX('計算A'!AJ$10:AJ$54,$B19),0)+IF('計算A'!AK$117=1,INDEX('計算A'!AL$10:AL$54,$B19),0))*4000,0)-IF(AND('計算A'!AJ$117=1,VH19&gt;0),2000,0)-IF(AND($L19=1,'計算A'!AK$117=1,EJ19=0),2000,0))),1000000))</f>
        <v/>
      </c>
      <c r="PN19">
        <f>IF($B19=0,1000000,IF(INDEX('計算A'!$D$60:$EQ$104,$B19,35)*EJ19=1,IF(AND($E19=2,JY19=0),1000000,IF($I19&gt;0,IF(2=$J19,IF(OR(AND(35=$I19+1,OR($K19&lt;&gt;'計算A'!$A$3,'計算A'!$A$4=0)),AND(35=$I19-1,OR(11&lt;&gt;'計算A'!$A$3,'計算A'!$A$4=0))),0,IF(11=$K19,200000,ABS(11-$K19)*100)),100000+ABS(2-$J19)*1000+110)+'計算A'!AL$5*50+IF(AND($E19=1,JY19=0),25,0),IF($F19&gt;0,INDEX('計算A'!AL$110:AL$114,$F19+1)+IF(AND($E19=1,JY19=0),1000,0),MIN(TV19,20)*400+(IF('計算A'!AK$106=1,1-EI19,0)+IF('計算A'!AL$106=1,1-EK19,0))*150+112+'計算A'!AL$5*100000+IF(AND($E19=1,JY19=0),50000,0))+IF($H19=1,(IF('計算A'!AK$117=1,INDEX('計算A'!AK$10:AK$54,$B19),0)+IF('計算A'!AL$117=1,INDEX('計算A'!AM$10:AM$54,$B19),0))*4000,0)-IF(AND('計算A'!AK$117=1,VI19&gt;0),2000,0)-IF(AND($L19=1,'計算A'!AL$117=1,EK19=0),2000,0))),1000000))</f>
        <v/>
      </c>
      <c r="PO19">
        <f>IF($B19=0,1000000,IF(INDEX('計算A'!$D$60:$EQ$104,$B19,36)*EK19=1,IF(AND($E19=2,JZ19=0),1000000,IF($I19&gt;0,IF(2=$J19,IF(OR(AND(36=$I19+1,OR($K19&lt;&gt;'計算A'!$A$3,'計算A'!$A$4=0)),AND(36=$I19-1,OR(12&lt;&gt;'計算A'!$A$3,'計算A'!$A$4=0))),0,IF(12=$K19,200000,ABS(12-$K19)*100)),100000+ABS(2-$J19)*1000+120)+'計算A'!AM$5*50+IF(AND($E19=1,JZ19=0),25,0),IF($F19&gt;0,INDEX('計算A'!AM$110:AM$114,$F19+1)+IF(AND($E19=1,JZ19=0),1000,0),MIN(TV19,20)*400+(IF('計算A'!AL$106=1,1-EJ19,0)+IF('計算A'!AM$106=1,1-EL19,0))*150+122+'計算A'!AM$5*100000+IF(AND($E19=1,JZ19=0),50000,0))+IF($H19=1,(IF('計算A'!AL$117=1,INDEX('計算A'!AL$10:AL$54,$B19),0)+IF('計算A'!AM$117=1,INDEX('計算A'!AN$10:AN$54,$B19),0))*4000,0)-IF(AND('計算A'!AL$117=1,VJ19&gt;0),2000,0)-IF(AND($L19=1,'計算A'!AM$117=1,EL19=0),2000,0))),1000000))</f>
        <v/>
      </c>
      <c r="PP19">
        <f>IF($B19=0,1000000,IF(INDEX('計算A'!$D$60:$EQ$104,$B19,37)*EL19=1,IF(AND($E19=2,KA19=0),1000000,IF($I19&gt;0,IF(2=$J19,IF(OR(AND(37=$I19+1,OR($K19&lt;&gt;'計算A'!$A$3,'計算A'!$A$4=0)),AND(37=$I19-1,OR(13&lt;&gt;'計算A'!$A$3,'計算A'!$A$4=0))),0,IF(13=$K19,200000,ABS(13-$K19)*100)),100000+ABS(2-$J19)*1000+130)+'計算A'!AN$5*50+IF(AND($E19=1,KA19=0),25,0),IF($F19&gt;0,INDEX('計算A'!AN$110:AN$114,$F19+1)+IF(AND($E19=1,KA19=0),1000,0),MIN(TV19,20)*400+(IF('計算A'!AM$106=1,1-EK19,0)+IF('計算A'!AN$106=1,1-EM19,0))*150+132+'計算A'!AN$5*100000+IF(AND($E19=1,KA19=0),50000,0))+IF($H19=1,(IF('計算A'!AM$117=1,INDEX('計算A'!AM$10:AM$54,$B19),0)+IF('計算A'!AN$117=1,INDEX('計算A'!AO$10:AO$54,$B19),0))*4000,0)-IF(AND('計算A'!AM$117=1,VK19&gt;0),2000,0)-IF(AND($L19=1,'計算A'!AN$117=1,EM19=0),2000,0))),1000000))</f>
        <v/>
      </c>
      <c r="PQ19">
        <f>IF($B19=0,1000000,IF(INDEX('計算A'!$D$60:$EQ$104,$B19,38)*EM19=1,IF(AND($E19=2,KB19=0),1000000,IF($I19&gt;0,IF(2=$J19,IF(OR(AND(38=$I19+1,OR($K19&lt;&gt;'計算A'!$A$3,'計算A'!$A$4=0)),AND(38=$I19-1,OR(14&lt;&gt;'計算A'!$A$3,'計算A'!$A$4=0))),0,IF(14=$K19,200000,ABS(14-$K19)*100)),100000+ABS(2-$J19)*1000+140)+'計算A'!AO$5*50+IF(AND($E19=1,KB19=0),25,0),IF($F19&gt;0,INDEX('計算A'!AO$110:AO$114,$F19+1)+IF(AND($E19=1,KB19=0),1000,0),MIN(TV19,20)*400+(IF('計算A'!AN$106=1,1-EL19,0)+IF('計算A'!AO$106=1,1-EN19,0))*150+142+'計算A'!AO$5*100000+IF(AND($E19=1,KB19=0),50000,0))+IF($H19=1,(IF('計算A'!AN$117=1,INDEX('計算A'!AN$10:AN$54,$B19),0)+IF('計算A'!AO$117=1,INDEX('計算A'!AP$10:AP$54,$B19),0))*4000,0)-IF(AND('計算A'!AN$117=1,VL19&gt;0),2000,0)-IF(AND($L19=1,'計算A'!AO$117=1,EN19=0),2000,0))),1000000))</f>
        <v/>
      </c>
      <c r="PR19">
        <f>IF($B19=0,1000000,IF(INDEX('計算A'!$D$60:$EQ$104,$B19,39)*EN19=1,IF(AND($E19=2,KC19=0),1000000,IF($I19&gt;0,IF(2=$J19,IF(OR(AND(39=$I19+1,OR($K19&lt;&gt;'計算A'!$A$3,'計算A'!$A$4=0)),AND(39=$I19-1,OR(15&lt;&gt;'計算A'!$A$3,'計算A'!$A$4=0))),0,IF(15=$K19,200000,ABS(15-$K19)*100)),100000+ABS(2-$J19)*1000+150)+'計算A'!AP$5*50+IF(AND($E19=1,KC19=0),25,0),IF($F19&gt;0,INDEX('計算A'!AP$110:AP$114,$F19+1)+IF(AND($E19=1,KC19=0),1000,0),MIN(TV19,20)*400+(IF('計算A'!AO$106=1,1-EM19,0)+IF('計算A'!AP$106=1,1-EO19,0))*150+152+'計算A'!AP$5*100000+IF(AND($E19=1,KC19=0),50000,0))+IF($H19=1,(IF('計算A'!AO$117=1,INDEX('計算A'!AO$10:AO$54,$B19),0)+IF('計算A'!AP$117=1,INDEX('計算A'!AQ$10:AQ$54,$B19),0))*4000,0)-IF(AND('計算A'!AO$117=1,VM19&gt;0),2000,0)-IF(AND($L19=1,'計算A'!AP$117=1,EO19=0),2000,0))),1000000))</f>
        <v/>
      </c>
      <c r="PS19">
        <f>IF($B19=0,1000000,IF(INDEX('計算A'!$D$60:$EQ$104,$B19,40)*EO19=1,IF(AND($E19=2,KD19=0),1000000,IF($I19&gt;0,IF(2=$J19,IF(OR(AND(40=$I19+1,OR($K19&lt;&gt;'計算A'!$A$3,'計算A'!$A$4=0)),AND(40=$I19-1,OR(16&lt;&gt;'計算A'!$A$3,'計算A'!$A$4=0))),0,IF(16=$K19,200000,ABS(16-$K19)*100)),100000+ABS(2-$J19)*1000+160)+'計算A'!AQ$5*50+IF(AND($E19=1,KD19=0),25,0),IF($F19&gt;0,INDEX('計算A'!AQ$110:AQ$114,$F19+1)+IF(AND($E19=1,KD19=0),1000,0),MIN(TV19,20)*400+(IF('計算A'!AP$106=1,1-EN19,0)+IF('計算A'!AQ$106=1,1-EP19,0))*150+162+'計算A'!AQ$5*100000+IF(AND($E19=1,KD19=0),50000,0))+IF($H19=1,(IF('計算A'!AP$117=1,INDEX('計算A'!AP$10:AP$54,$B19),0)+IF('計算A'!AQ$117=1,INDEX('計算A'!AR$10:AR$54,$B19),0))*4000,0)-IF(AND('計算A'!AP$117=1,VN19&gt;0),2000,0)-IF(AND($L19=1,'計算A'!AQ$117=1,EP19=0),2000,0))),1000000))</f>
        <v/>
      </c>
      <c r="PT19">
        <f>IF($B19=0,1000000,IF(INDEX('計算A'!$D$60:$EQ$104,$B19,41)*EP19=1,IF(AND($E19=2,KE19=0),1000000,IF($I19&gt;0,IF(2=$J19,IF(OR(AND(41=$I19+1,OR($K19&lt;&gt;'計算A'!$A$3,'計算A'!$A$4=0)),AND(41=$I19-1,OR(17&lt;&gt;'計算A'!$A$3,'計算A'!$A$4=0))),0,IF(17=$K19,200000,ABS(17-$K19)*100)),100000+ABS(2-$J19)*1000+170)+'計算A'!AR$5*50+IF(AND($E19=1,KE19=0),25,0),IF($F19&gt;0,INDEX('計算A'!AR$110:AR$114,$F19+1)+IF(AND($E19=1,KE19=0),1000,0),MIN(TV19,20)*400+(IF('計算A'!AQ$106=1,1-EO19,0)+IF('計算A'!AR$106=1,1-EQ19,0))*150+172+'計算A'!AR$5*100000+IF(AND($E19=1,KE19=0),50000,0))+IF($H19=1,(IF('計算A'!AQ$117=1,INDEX('計算A'!AQ$10:AQ$54,$B19),0)+IF('計算A'!AR$117=1,INDEX('計算A'!AS$10:AS$54,$B19),0))*4000,0)-IF(AND('計算A'!AQ$117=1,VO19&gt;0),2000,0)-IF(AND($L19=1,'計算A'!AR$117=1,EQ19=0),2000,0))),1000000))</f>
        <v/>
      </c>
      <c r="PU19">
        <f>IF($B19=0,1000000,IF(INDEX('計算A'!$D$60:$EQ$104,$B19,42)*EQ19=1,IF(AND($E19=2,KF19=0),1000000,IF($I19&gt;0,IF(2=$J19,IF(OR(AND(42=$I19+1,OR($K19&lt;&gt;'計算A'!$A$3,'計算A'!$A$4=0)),AND(42=$I19-1,OR(18&lt;&gt;'計算A'!$A$3,'計算A'!$A$4=0))),0,IF(18=$K19,200000,ABS(18-$K19)*100)),100000+ABS(2-$J19)*1000+180)+'計算A'!AS$5*50+IF(AND($E19=1,KF19=0),25,0),IF($F19&gt;0,INDEX('計算A'!AS$110:AS$114,$F19+1)+IF(AND($E19=1,KF19=0),1000,0),MIN(TV19,20)*400+(IF('計算A'!AR$106=1,1-EP19,0)+IF('計算A'!AS$106=1,1-ER19,0))*150+182+'計算A'!AS$5*100000+IF(AND($E19=1,KF19=0),50000,0))+IF($H19=1,(IF('計算A'!AR$117=1,INDEX('計算A'!AR$10:AR$54,$B19),0)+IF('計算A'!AS$117=1,INDEX('計算A'!AT$10:AT$54,$B19),0))*4000,0)-IF(AND('計算A'!AR$117=1,VP19&gt;0),2000,0)-IF(AND($L19=1,'計算A'!AS$117=1,ER19=0),2000,0))),1000000))</f>
        <v/>
      </c>
      <c r="PV19">
        <f>IF($B19=0,1000000,IF(INDEX('計算A'!$D$60:$EQ$104,$B19,43)*ER19=1,IF(AND($E19=2,KG19=0),1000000,IF($I19&gt;0,IF(2=$J19,IF(OR(AND(43=$I19+1,OR($K19&lt;&gt;'計算A'!$A$3,'計算A'!$A$4=0)),AND(43=$I19-1,OR(19&lt;&gt;'計算A'!$A$3,'計算A'!$A$4=0))),0,IF(19=$K19,200000,ABS(19-$K19)*100)),100000+ABS(2-$J19)*1000+190)+'計算A'!AT$5*50+IF(AND($E19=1,KG19=0),25,0),IF($F19&gt;0,INDEX('計算A'!AT$110:AT$114,$F19+1)+IF(AND($E19=1,KG19=0),1000,0),MIN(TV19,20)*400+(IF('計算A'!AS$106=1,1-EQ19,0)+IF('計算A'!AT$106=1,1-ES19,0))*150+192+'計算A'!AT$5*100000+IF(AND($E19=1,KG19=0),50000,0))+IF($H19=1,(IF('計算A'!AS$117=1,INDEX('計算A'!AS$10:AS$54,$B19),0)+IF('計算A'!AT$117=1,INDEX('計算A'!AU$10:AU$54,$B19),0))*4000,0)-IF(AND('計算A'!AS$117=1,VQ19&gt;0),2000,0)-IF(AND($L19=1,'計算A'!AT$117=1,ES19=0),2000,0))),1000000))</f>
        <v/>
      </c>
      <c r="PW19">
        <f>IF($B19=0,1000000,IF(INDEX('計算A'!$D$60:$EQ$104,$B19,44)*ES19=1,IF(AND($E19=2,KH19=0),1000000,IF($I19&gt;0,IF(2=$J19,IF(OR(AND(44=$I19+1,OR($K19&lt;&gt;'計算A'!$A$3,'計算A'!$A$4=0)),AND(44=$I19-1,OR(20&lt;&gt;'計算A'!$A$3,'計算A'!$A$4=0))),0,IF(20=$K19,200000,ABS(20-$K19)*100)),100000+ABS(2-$J19)*1000+200)+'計算A'!AU$5*50+IF(AND($E19=1,KH19=0),25,0),IF($F19&gt;0,INDEX('計算A'!AU$110:AU$114,$F19+1)+IF(AND($E19=1,KH19=0),1000,0),MIN(TV19,20)*400+(IF('計算A'!AT$106=1,1-ER19,0)+IF('計算A'!AU$106=1,1-ET19,0))*150+202+'計算A'!AU$5*100000+IF(AND($E19=1,KH19=0),50000,0))+IF($H19=1,(IF('計算A'!AT$117=1,INDEX('計算A'!AT$10:AT$54,$B19),0)+IF('計算A'!AU$117=1,INDEX('計算A'!AV$10:AV$54,$B19),0))*4000,0)-IF(AND('計算A'!AT$117=1,VR19&gt;0),2000,0)-IF(AND($L19=1,'計算A'!AU$117=1,ET19=0),2000,0))),1000000))</f>
        <v/>
      </c>
      <c r="PX19">
        <f>IF($B19=0,1000000,IF(INDEX('計算A'!$D$60:$EQ$104,$B19,45)*ET19=1,IF(AND($E19=2,KI19=0),1000000,IF($I19&gt;0,IF(2=$J19,IF(OR(AND(45=$I19+1,OR($K19&lt;&gt;'計算A'!$A$3,'計算A'!$A$4=0)),AND(45=$I19-1,OR(21&lt;&gt;'計算A'!$A$3,'計算A'!$A$4=0))),0,IF(21=$K19,200000,ABS(21-$K19)*100)),100000+ABS(2-$J19)*1000+210)+'計算A'!AV$5*50+IF(AND($E19=1,KI19=0),25,0),IF($F19&gt;0,INDEX('計算A'!AV$110:AV$114,$F19+1)+IF(AND($E19=1,KI19=0),1000,0),MIN(TV19,20)*400+(IF('計算A'!AU$106=1,1-ES19,0)+IF('計算A'!AV$106=1,1-EU19,0))*150+212+'計算A'!AV$5*100000+IF(AND($E19=1,KI19=0),50000,0))+IF($H19=1,(IF('計算A'!AU$117=1,INDEX('計算A'!AU$10:AU$54,$B19),0)+IF('計算A'!AV$117=1,INDEX('計算A'!AW$10:AW$54,$B19),0))*4000,0)-IF(AND('計算A'!AU$117=1,VS19&gt;0),2000,0)-IF(AND($L19=1,'計算A'!AV$117=1,EU19=0),2000,0))),1000000))</f>
        <v/>
      </c>
      <c r="PY19">
        <f>IF($B19=0,1000000,IF(INDEX('計算A'!$D$60:$EQ$104,$B19,46)*EU19=1,IF(AND($E19=2,KJ19=0),1000000,IF($I19&gt;0,IF(2=$J19,IF(OR(AND(46=$I19+1,OR($K19&lt;&gt;'計算A'!$A$3,'計算A'!$A$4=0)),AND(46=$I19-1,OR(22&lt;&gt;'計算A'!$A$3,'計算A'!$A$4=0))),0,IF(22=$K19,200000,ABS(22-$K19)*100)),100000+ABS(2-$J19)*1000+220)+'計算A'!AW$5*50+IF(AND($E19=1,KJ19=0),25,0),IF($F19&gt;0,INDEX('計算A'!AW$110:AW$114,$F19+1)+IF(AND($E19=1,KJ19=0),1000,0),MIN(TV19,20)*400+(IF('計算A'!AV$106=1,1-ET19,0)+IF('計算A'!AW$106=1,1-EV19,0))*150+222+'計算A'!AW$5*100000+IF(AND($E19=1,KJ19=0),50000,0))+IF($H19=1,(IF('計算A'!AV$117=1,INDEX('計算A'!AV$10:AV$54,$B19),0)+IF('計算A'!AW$117=1,INDEX('計算A'!AX$10:AX$54,$B19),0))*4000,0)-IF(AND('計算A'!AV$117=1,VT19&gt;0),2000,0)-IF(AND($L19=1,'計算A'!AW$117=1,EV19=0),2000,0))),1000000))</f>
        <v/>
      </c>
      <c r="PZ19">
        <f>IF($B19=0,1000000,IF(INDEX('計算A'!$D$60:$EQ$104,$B19,47)*EV19=1,IF(AND($E19=2,KK19=0),1000000,IF($I19&gt;0,IF(2=$J19,IF(OR(AND(47=$I19+1,OR($K19&lt;&gt;'計算A'!$A$3,'計算A'!$A$4=0)),AND(47=$I19-1,OR(23&lt;&gt;'計算A'!$A$3,'計算A'!$A$4=0))),0,IF(23=$K19,200000,ABS(23-$K19)*100)),100000+ABS(2-$J19)*1000+230)+'計算A'!AX$5*50+IF(AND($E19=1,KK19=0),25,0),IF($F19&gt;0,INDEX('計算A'!AX$110:AX$114,$F19+1)+IF(AND($E19=1,KK19=0),1000,0),MIN(TV19,20)*400+(IF('計算A'!AW$106=1,1-EU19,0)+IF('計算A'!AX$106=1,1-EW19,0))*150+232+'計算A'!AX$5*100000+IF(AND($E19=1,KK19=0),50000,0))+IF($H19=1,(IF('計算A'!AW$117=1,INDEX('計算A'!AW$10:AW$54,$B19),0)+IF('計算A'!AX$117=1,INDEX('計算A'!AY$10:AY$54,$B19),0))*4000,0)-IF(AND('計算A'!AW$117=1,VU19&gt;0),2000,0)-IF(AND($L19=1,'計算A'!AX$117=1,EW19=0),2000,0))),1000000))</f>
        <v/>
      </c>
      <c r="QA19">
        <f>IF($B19=0,1000000,IF(INDEX('計算A'!$D$60:$EQ$104,$B19,48)*EW19=1,IF(AND($E19=2,KL19=0),1000000,IF($I19&gt;0,IF(2=$J19,IF(OR(AND(48=$I19+1,OR($K19&lt;&gt;'計算A'!$A$3,'計算A'!$A$4=0)),AND(48=$I19-1,OR(24&lt;&gt;'計算A'!$A$3,'計算A'!$A$4=0))),0,IF(24=$K19,200000,ABS(24-$K19)*100)),100000+ABS(2-$J19)*1000+240)+'計算A'!AY$5*50+IF(AND($E19=1,KL19=0),25,0),IF($F19&gt;0,INDEX('計算A'!AY$110:AY$114,$F19+1)+IF(AND($E19=1,KL19=0),1000,0),MIN(TV19,20)*400+(IF('計算A'!AX$106=1,1-EV19,0))*150+242+'計算A'!AY$5*100000+IF(AND($E19=1,KL19=0),50000,0))+IF($H19=1,(IF('計算A'!AX$117=1,INDEX('計算A'!AX$10:AX$54,$B19),0))*4000,0)-IF(AND('計算A'!AX$117=1,VV19&gt;0),2000,0))),1000000))</f>
        <v/>
      </c>
      <c r="QB19">
        <f>IF($B19=0,1000000,IF(INDEX('計算A'!$D$60:$EQ$104,$B19,49)*EX19=1,IF(AND($E19=2,KM19=0),1000000,IF($I19&gt;0,IF(3=$J19,IF(OR(AND(49=$I19+1,OR($K19&lt;&gt;'計算A'!$A$3,'計算A'!$A$4=0)),AND(49=$I19-1,OR(1&lt;&gt;'計算A'!$A$3,'計算A'!$A$4=0))),0,IF(1=$K19,200000,ABS(1-$K19)*100)),100000+ABS(3-$J19)*1000+10)+'計算A'!AZ$5*50+IF(AND($E19=1,KM19=0),25,0),IF($F19&gt;0,INDEX('計算A'!AZ$110:AZ$114,$F19+1)+IF(AND($E19=1,KM19=0),1000,0),MIN(TW19,20)*400+(IF('計算A'!AZ$106=1,1-EY19,0))*150+13+'計算A'!AZ$5*100000+IF(AND($E19=1,KM19=0),50000,0))+IF($H19=1,(IF('計算A'!AZ$117=1,INDEX('計算A'!BA$10:BA$54,$B19),0))*4000,0)-IF(AND($L19=1,'計算A'!AZ$117=1,EY19=0),2000,0))),1000000))</f>
        <v/>
      </c>
      <c r="QC19">
        <f>IF($B19=0,1000000,IF(INDEX('計算A'!$D$60:$EQ$104,$B19,50)*EY19=1,IF(AND($E19=2,KN19=0),1000000,IF($I19&gt;0,IF(3=$J19,IF(OR(AND(50=$I19+1,OR($K19&lt;&gt;'計算A'!$A$3,'計算A'!$A$4=0)),AND(50=$I19-1,OR(2&lt;&gt;'計算A'!$A$3,'計算A'!$A$4=0))),0,IF(2=$K19,200000,ABS(2-$K19)*100)),100000+ABS(3-$J19)*1000+20)+'計算A'!BA$5*50+IF(AND($E19=1,KN19=0),25,0),IF($F19&gt;0,INDEX('計算A'!BA$110:BA$114,$F19+1)+IF(AND($E19=1,KN19=0),1000,0),MIN(TW19,20)*400+(IF('計算A'!AZ$106=1,1-EX19,0)+IF('計算A'!BA$106=1,1-EZ19,0))*150+23+'計算A'!BA$5*100000+IF(AND($E19=1,KN19=0),50000,0))+IF($H19=1,(IF('計算A'!AZ$117=1,INDEX('計算A'!AZ$10:AZ$54,$B19),0)+IF('計算A'!BA$117=1,INDEX('計算A'!BB$10:BB$54,$B19),0))*4000,0)-IF(AND('計算A'!AZ$117=1,VX19&gt;0),2000,0)-IF(AND($L19=1,'計算A'!BA$117=1,EZ19=0),2000,0))),1000000))</f>
        <v/>
      </c>
      <c r="QD19">
        <f>IF($B19=0,1000000,IF(INDEX('計算A'!$D$60:$EQ$104,$B19,51)*EZ19=1,IF(AND($E19=2,KO19=0),1000000,IF($I19&gt;0,IF(3=$J19,IF(OR(AND(51=$I19+1,OR($K19&lt;&gt;'計算A'!$A$3,'計算A'!$A$4=0)),AND(51=$I19-1,OR(3&lt;&gt;'計算A'!$A$3,'計算A'!$A$4=0))),0,IF(3=$K19,200000,ABS(3-$K19)*100)),100000+ABS(3-$J19)*1000+30)+'計算A'!BB$5*50+IF(AND($E19=1,KO19=0),25,0),IF($F19&gt;0,INDEX('計算A'!BB$110:BB$114,$F19+1)+IF(AND($E19=1,KO19=0),1000,0),MIN(TW19,20)*400+(IF('計算A'!BA$106=1,1-EY19,0)+IF('計算A'!BB$106=1,1-FA19,0))*150+33+'計算A'!BB$5*100000+IF(AND($E19=1,KO19=0),50000,0))+IF($H19=1,(IF('計算A'!BA$117=1,INDEX('計算A'!BA$10:BA$54,$B19),0)+IF('計算A'!BB$117=1,INDEX('計算A'!BC$10:BC$54,$B19),0))*4000,0)-IF(AND('計算A'!BA$117=1,VY19&gt;0),2000,0)-IF(AND($L19=1,'計算A'!BB$117=1,FA19=0),2000,0))),1000000))</f>
        <v/>
      </c>
      <c r="QE19">
        <f>IF($B19=0,1000000,IF(INDEX('計算A'!$D$60:$EQ$104,$B19,52)*FA19=1,IF(AND($E19=2,KP19=0),1000000,IF($I19&gt;0,IF(3=$J19,IF(OR(AND(52=$I19+1,OR($K19&lt;&gt;'計算A'!$A$3,'計算A'!$A$4=0)),AND(52=$I19-1,OR(4&lt;&gt;'計算A'!$A$3,'計算A'!$A$4=0))),0,IF(4=$K19,200000,ABS(4-$K19)*100)),100000+ABS(3-$J19)*1000+40)+'計算A'!BC$5*50+IF(AND($E19=1,KP19=0),25,0),IF($F19&gt;0,INDEX('計算A'!BC$110:BC$114,$F19+1)+IF(AND($E19=1,KP19=0),1000,0),MIN(TW19,20)*400+(IF('計算A'!BB$106=1,1-EZ19,0)+IF('計算A'!BC$106=1,1-FB19,0))*150+43+'計算A'!BC$5*100000+IF(AND($E19=1,KP19=0),50000,0))+IF($H19=1,(IF('計算A'!BB$117=1,INDEX('計算A'!BB$10:BB$54,$B19),0)+IF('計算A'!BC$117=1,INDEX('計算A'!BD$10:BD$54,$B19),0))*4000,0)-IF(AND('計算A'!BB$117=1,VZ19&gt;0),2000,0)-IF(AND($L19=1,'計算A'!BC$117=1,FB19=0),2000,0))),1000000))</f>
        <v/>
      </c>
      <c r="QF19">
        <f>IF($B19=0,1000000,IF(INDEX('計算A'!$D$60:$EQ$104,$B19,53)*FB19=1,IF(AND($E19=2,KQ19=0),1000000,IF($I19&gt;0,IF(3=$J19,IF(OR(AND(53=$I19+1,OR($K19&lt;&gt;'計算A'!$A$3,'計算A'!$A$4=0)),AND(53=$I19-1,OR(5&lt;&gt;'計算A'!$A$3,'計算A'!$A$4=0))),0,IF(5=$K19,200000,ABS(5-$K19)*100)),100000+ABS(3-$J19)*1000+50)+'計算A'!BD$5*50+IF(AND($E19=1,KQ19=0),25,0),IF($F19&gt;0,INDEX('計算A'!BD$110:BD$114,$F19+1)+IF(AND($E19=1,KQ19=0),1000,0),MIN(TW19,20)*400+(IF('計算A'!BC$106=1,1-FA19,0)+IF('計算A'!BD$106=1,1-FC19,0))*150+53+'計算A'!BD$5*100000+IF(AND($E19=1,KQ19=0),50000,0))+IF($H19=1,(IF('計算A'!BC$117=1,INDEX('計算A'!BC$10:BC$54,$B19),0)+IF('計算A'!BD$117=1,INDEX('計算A'!BE$10:BE$54,$B19),0))*4000,0)-IF(AND('計算A'!BC$117=1,WA19&gt;0),2000,0)-IF(AND($L19=1,'計算A'!BD$117=1,FC19=0),2000,0))),1000000))</f>
        <v/>
      </c>
      <c r="QG19">
        <f>IF($B19=0,1000000,IF(INDEX('計算A'!$D$60:$EQ$104,$B19,54)*FC19=1,IF(AND($E19=2,KR19=0),1000000,IF($I19&gt;0,IF(3=$J19,IF(OR(AND(54=$I19+1,OR($K19&lt;&gt;'計算A'!$A$3,'計算A'!$A$4=0)),AND(54=$I19-1,OR(6&lt;&gt;'計算A'!$A$3,'計算A'!$A$4=0))),0,IF(6=$K19,200000,ABS(6-$K19)*100)),100000+ABS(3-$J19)*1000+60)+'計算A'!BE$5*50+IF(AND($E19=1,KR19=0),25,0),IF($F19&gt;0,INDEX('計算A'!BE$110:BE$114,$F19+1)+IF(AND($E19=1,KR19=0),1000,0),MIN(TW19,20)*400+(IF('計算A'!BD$106=1,1-FB19,0)+IF('計算A'!BE$106=1,1-FD19,0))*150+63+'計算A'!BE$5*100000+IF(AND($E19=1,KR19=0),50000,0))+IF($H19=1,(IF('計算A'!BD$117=1,INDEX('計算A'!BD$10:BD$54,$B19),0)+IF('計算A'!BE$117=1,INDEX('計算A'!BF$10:BF$54,$B19),0))*4000,0)-IF(AND('計算A'!BD$117=1,WB19&gt;0),2000,0)-IF(AND($L19=1,'計算A'!BE$117=1,FD19=0),2000,0))),1000000))</f>
        <v/>
      </c>
      <c r="QH19">
        <f>IF($B19=0,1000000,IF(INDEX('計算A'!$D$60:$EQ$104,$B19,55)*FD19=1,IF(AND($E19=2,KS19=0),1000000,IF($I19&gt;0,IF(3=$J19,IF(OR(AND(55=$I19+1,OR($K19&lt;&gt;'計算A'!$A$3,'計算A'!$A$4=0)),AND(55=$I19-1,OR(7&lt;&gt;'計算A'!$A$3,'計算A'!$A$4=0))),0,IF(7=$K19,200000,ABS(7-$K19)*100)),100000+ABS(3-$J19)*1000+70)+'計算A'!BF$5*50+IF(AND($E19=1,KS19=0),25,0),IF($F19&gt;0,INDEX('計算A'!BF$110:BF$114,$F19+1)+IF(AND($E19=1,KS19=0),1000,0),MIN(TW19,20)*400+(IF('計算A'!BE$106=1,1-FC19,0)+IF('計算A'!BF$106=1,1-FE19,0))*150+73+'計算A'!BF$5*100000+IF(AND($E19=1,KS19=0),50000,0))+IF($H19=1,(IF('計算A'!BE$117=1,INDEX('計算A'!BE$10:BE$54,$B19),0)+IF('計算A'!BF$117=1,INDEX('計算A'!BG$10:BG$54,$B19),0))*4000,0)-IF(AND('計算A'!BE$117=1,WC19&gt;0),2000,0)-IF(AND($L19=1,'計算A'!BF$117=1,FE19=0),2000,0))),1000000))</f>
        <v/>
      </c>
      <c r="QI19">
        <f>IF($B19=0,1000000,IF(INDEX('計算A'!$D$60:$EQ$104,$B19,56)*FE19=1,IF(AND($E19=2,KT19=0),1000000,IF($I19&gt;0,IF(3=$J19,IF(OR(AND(56=$I19+1,OR($K19&lt;&gt;'計算A'!$A$3,'計算A'!$A$4=0)),AND(56=$I19-1,OR(8&lt;&gt;'計算A'!$A$3,'計算A'!$A$4=0))),0,IF(8=$K19,200000,ABS(8-$K19)*100)),100000+ABS(3-$J19)*1000+80)+'計算A'!BG$5*50+IF(AND($E19=1,KT19=0),25,0),IF($F19&gt;0,INDEX('計算A'!BG$110:BG$114,$F19+1)+IF(AND($E19=1,KT19=0),1000,0),MIN(TW19,20)*400+(IF('計算A'!BF$106=1,1-FD19,0)+IF('計算A'!BG$106=1,1-FF19,0))*150+83+'計算A'!BG$5*100000+IF(AND($E19=1,KT19=0),50000,0))+IF($H19=1,(IF('計算A'!BF$117=1,INDEX('計算A'!BF$10:BF$54,$B19),0)+IF('計算A'!BG$117=1,INDEX('計算A'!BH$10:BH$54,$B19),0))*4000,0)-IF(AND('計算A'!BF$117=1,WD19&gt;0),2000,0)-IF(AND($L19=1,'計算A'!BG$117=1,FF19=0),2000,0))),1000000))</f>
        <v/>
      </c>
      <c r="QJ19">
        <f>IF($B19=0,1000000,IF(INDEX('計算A'!$D$60:$EQ$104,$B19,57)*FF19=1,IF(AND($E19=2,KU19=0),1000000,IF($I19&gt;0,IF(3=$J19,IF(OR(AND(57=$I19+1,OR($K19&lt;&gt;'計算A'!$A$3,'計算A'!$A$4=0)),AND(57=$I19-1,OR(9&lt;&gt;'計算A'!$A$3,'計算A'!$A$4=0))),0,IF(9=$K19,200000,ABS(9-$K19)*100)),100000+ABS(3-$J19)*1000+90)+'計算A'!BH$5*50+IF(AND($E19=1,KU19=0),25,0),IF($F19&gt;0,INDEX('計算A'!BH$110:BH$114,$F19+1)+IF(AND($E19=1,KU19=0),1000,0),MIN(TW19,20)*400+(IF('計算A'!BG$106=1,1-FE19,0)+IF('計算A'!BH$106=1,1-FG19,0))*150+93+'計算A'!BH$5*100000+IF(AND($E19=1,KU19=0),50000,0))+IF($H19=1,(IF('計算A'!BG$117=1,INDEX('計算A'!BG$10:BG$54,$B19),0)+IF('計算A'!BH$117=1,INDEX('計算A'!BI$10:BI$54,$B19),0))*4000,0)-IF(AND('計算A'!BG$117=1,WE19&gt;0),2000,0)-IF(AND($L19=1,'計算A'!BH$117=1,FG19=0),2000,0))),1000000))</f>
        <v/>
      </c>
      <c r="QK19">
        <f>IF($B19=0,1000000,IF(INDEX('計算A'!$D$60:$EQ$104,$B19,58)*FG19=1,IF(AND($E19=2,KV19=0),1000000,IF($I19&gt;0,IF(3=$J19,IF(OR(AND(58=$I19+1,OR($K19&lt;&gt;'計算A'!$A$3,'計算A'!$A$4=0)),AND(58=$I19-1,OR(10&lt;&gt;'計算A'!$A$3,'計算A'!$A$4=0))),0,IF(10=$K19,200000,ABS(10-$K19)*100)),100000+ABS(3-$J19)*1000+100)+'計算A'!BI$5*50+IF(AND($E19=1,KV19=0),25,0),IF($F19&gt;0,INDEX('計算A'!BI$110:BI$114,$F19+1)+IF(AND($E19=1,KV19=0),1000,0),MIN(TW19,20)*400+(IF('計算A'!BH$106=1,1-FF19,0)+IF('計算A'!BI$106=1,1-FH19,0))*150+103+'計算A'!BI$5*100000+IF(AND($E19=1,KV19=0),50000,0))+IF($H19=1,(IF('計算A'!BH$117=1,INDEX('計算A'!BH$10:BH$54,$B19),0)+IF('計算A'!BI$117=1,INDEX('計算A'!BJ$10:BJ$54,$B19),0))*4000,0)-IF(AND('計算A'!BH$117=1,WF19&gt;0),2000,0)-IF(AND($L19=1,'計算A'!BI$117=1,FH19=0),2000,0))),1000000))</f>
        <v/>
      </c>
      <c r="QL19">
        <f>IF($B19=0,1000000,IF(INDEX('計算A'!$D$60:$EQ$104,$B19,59)*FH19=1,IF(AND($E19=2,KW19=0),1000000,IF($I19&gt;0,IF(3=$J19,IF(OR(AND(59=$I19+1,OR($K19&lt;&gt;'計算A'!$A$3,'計算A'!$A$4=0)),AND(59=$I19-1,OR(11&lt;&gt;'計算A'!$A$3,'計算A'!$A$4=0))),0,IF(11=$K19,200000,ABS(11-$K19)*100)),100000+ABS(3-$J19)*1000+110)+'計算A'!BJ$5*50+IF(AND($E19=1,KW19=0),25,0),IF($F19&gt;0,INDEX('計算A'!BJ$110:BJ$114,$F19+1)+IF(AND($E19=1,KW19=0),1000,0),MIN(TW19,20)*400+(IF('計算A'!BI$106=1,1-FG19,0)+IF('計算A'!BJ$106=1,1-FI19,0))*150+113+'計算A'!BJ$5*100000+IF(AND($E19=1,KW19=0),50000,0))+IF($H19=1,(IF('計算A'!BI$117=1,INDEX('計算A'!BI$10:BI$54,$B19),0)+IF('計算A'!BJ$117=1,INDEX('計算A'!BK$10:BK$54,$B19),0))*4000,0)-IF(AND('計算A'!BI$117=1,WG19&gt;0),2000,0)-IF(AND($L19=1,'計算A'!BJ$117=1,FI19=0),2000,0))),1000000))</f>
        <v/>
      </c>
      <c r="QM19">
        <f>IF($B19=0,1000000,IF(INDEX('計算A'!$D$60:$EQ$104,$B19,60)*FI19=1,IF(AND($E19=2,KX19=0),1000000,IF($I19&gt;0,IF(3=$J19,IF(OR(AND(60=$I19+1,OR($K19&lt;&gt;'計算A'!$A$3,'計算A'!$A$4=0)),AND(60=$I19-1,OR(12&lt;&gt;'計算A'!$A$3,'計算A'!$A$4=0))),0,IF(12=$K19,200000,ABS(12-$K19)*100)),100000+ABS(3-$J19)*1000+120)+'計算A'!BK$5*50+IF(AND($E19=1,KX19=0),25,0),IF($F19&gt;0,INDEX('計算A'!BK$110:BK$114,$F19+1)+IF(AND($E19=1,KX19=0),1000,0),MIN(TW19,20)*400+(IF('計算A'!BJ$106=1,1-FH19,0)+IF('計算A'!BK$106=1,1-FJ19,0))*150+123+'計算A'!BK$5*100000+IF(AND($E19=1,KX19=0),50000,0))+IF($H19=1,(IF('計算A'!BJ$117=1,INDEX('計算A'!BJ$10:BJ$54,$B19),0)+IF('計算A'!BK$117=1,INDEX('計算A'!BL$10:BL$54,$B19),0))*4000,0)-IF(AND('計算A'!BJ$117=1,WH19&gt;0),2000,0)-IF(AND($L19=1,'計算A'!BK$117=1,FJ19=0),2000,0))),1000000))</f>
        <v/>
      </c>
      <c r="QN19">
        <f>IF($B19=0,1000000,IF(INDEX('計算A'!$D$60:$EQ$104,$B19,61)*FJ19=1,IF(AND($E19=2,KY19=0),1000000,IF($I19&gt;0,IF(3=$J19,IF(OR(AND(61=$I19+1,OR($K19&lt;&gt;'計算A'!$A$3,'計算A'!$A$4=0)),AND(61=$I19-1,OR(13&lt;&gt;'計算A'!$A$3,'計算A'!$A$4=0))),0,IF(13=$K19,200000,ABS(13-$K19)*100)),100000+ABS(3-$J19)*1000+130)+'計算A'!BL$5*50+IF(AND($E19=1,KY19=0),25,0),IF($F19&gt;0,INDEX('計算A'!BL$110:BL$114,$F19+1)+IF(AND($E19=1,KY19=0),1000,0),MIN(TW19,20)*400+(IF('計算A'!BK$106=1,1-FI19,0)+IF('計算A'!BL$106=1,1-FK19,0))*150+133+'計算A'!BL$5*100000+IF(AND($E19=1,KY19=0),50000,0))+IF($H19=1,(IF('計算A'!BK$117=1,INDEX('計算A'!BK$10:BK$54,$B19),0)+IF('計算A'!BL$117=1,INDEX('計算A'!BM$10:BM$54,$B19),0))*4000,0)-IF(AND('計算A'!BK$117=1,WI19&gt;0),2000,0)-IF(AND($L19=1,'計算A'!BL$117=1,FK19=0),2000,0))),1000000))</f>
        <v/>
      </c>
      <c r="QO19">
        <f>IF($B19=0,1000000,IF(INDEX('計算A'!$D$60:$EQ$104,$B19,62)*FK19=1,IF(AND($E19=2,KZ19=0),1000000,IF($I19&gt;0,IF(3=$J19,IF(OR(AND(62=$I19+1,OR($K19&lt;&gt;'計算A'!$A$3,'計算A'!$A$4=0)),AND(62=$I19-1,OR(14&lt;&gt;'計算A'!$A$3,'計算A'!$A$4=0))),0,IF(14=$K19,200000,ABS(14-$K19)*100)),100000+ABS(3-$J19)*1000+140)+'計算A'!BM$5*50+IF(AND($E19=1,KZ19=0),25,0),IF($F19&gt;0,INDEX('計算A'!BM$110:BM$114,$F19+1)+IF(AND($E19=1,KZ19=0),1000,0),MIN(TW19,20)*400+(IF('計算A'!BL$106=1,1-FJ19,0)+IF('計算A'!BM$106=1,1-FL19,0))*150+143+'計算A'!BM$5*100000+IF(AND($E19=1,KZ19=0),50000,0))+IF($H19=1,(IF('計算A'!BL$117=1,INDEX('計算A'!BL$10:BL$54,$B19),0)+IF('計算A'!BM$117=1,INDEX('計算A'!BN$10:BN$54,$B19),0))*4000,0)-IF(AND('計算A'!BL$117=1,WJ19&gt;0),2000,0)-IF(AND($L19=1,'計算A'!BM$117=1,FL19=0),2000,0))),1000000))</f>
        <v/>
      </c>
      <c r="QP19">
        <f>IF($B19=0,1000000,IF(INDEX('計算A'!$D$60:$EQ$104,$B19,63)*FL19=1,IF(AND($E19=2,LA19=0),1000000,IF($I19&gt;0,IF(3=$J19,IF(OR(AND(63=$I19+1,OR($K19&lt;&gt;'計算A'!$A$3,'計算A'!$A$4=0)),AND(63=$I19-1,OR(15&lt;&gt;'計算A'!$A$3,'計算A'!$A$4=0))),0,IF(15=$K19,200000,ABS(15-$K19)*100)),100000+ABS(3-$J19)*1000+150)+'計算A'!BN$5*50+IF(AND($E19=1,LA19=0),25,0),IF($F19&gt;0,INDEX('計算A'!BN$110:BN$114,$F19+1)+IF(AND($E19=1,LA19=0),1000,0),MIN(TW19,20)*400+(IF('計算A'!BM$106=1,1-FK19,0)+IF('計算A'!BN$106=1,1-FM19,0))*150+153+'計算A'!BN$5*100000+IF(AND($E19=1,LA19=0),50000,0))+IF($H19=1,(IF('計算A'!BM$117=1,INDEX('計算A'!BM$10:BM$54,$B19),0)+IF('計算A'!BN$117=1,INDEX('計算A'!BO$10:BO$54,$B19),0))*4000,0)-IF(AND('計算A'!BM$117=1,WK19&gt;0),2000,0)-IF(AND($L19=1,'計算A'!BN$117=1,FM19=0),2000,0))),1000000))</f>
        <v/>
      </c>
      <c r="QQ19">
        <f>IF($B19=0,1000000,IF(INDEX('計算A'!$D$60:$EQ$104,$B19,64)*FM19=1,IF(AND($E19=2,LB19=0),1000000,IF($I19&gt;0,IF(3=$J19,IF(OR(AND(64=$I19+1,OR($K19&lt;&gt;'計算A'!$A$3,'計算A'!$A$4=0)),AND(64=$I19-1,OR(16&lt;&gt;'計算A'!$A$3,'計算A'!$A$4=0))),0,IF(16=$K19,200000,ABS(16-$K19)*100)),100000+ABS(3-$J19)*1000+160)+'計算A'!BO$5*50+IF(AND($E19=1,LB19=0),25,0),IF($F19&gt;0,INDEX('計算A'!BO$110:BO$114,$F19+1)+IF(AND($E19=1,LB19=0),1000,0),MIN(TW19,20)*400+(IF('計算A'!BN$106=1,1-FL19,0)+IF('計算A'!BO$106=1,1-FN19,0))*150+163+'計算A'!BO$5*100000+IF(AND($E19=1,LB19=0),50000,0))+IF($H19=1,(IF('計算A'!BN$117=1,INDEX('計算A'!BN$10:BN$54,$B19),0)+IF('計算A'!BO$117=1,INDEX('計算A'!BP$10:BP$54,$B19),0))*4000,0)-IF(AND('計算A'!BN$117=1,WL19&gt;0),2000,0)-IF(AND($L19=1,'計算A'!BO$117=1,FN19=0),2000,0))),1000000))</f>
        <v/>
      </c>
      <c r="QR19">
        <f>IF($B19=0,1000000,IF(INDEX('計算A'!$D$60:$EQ$104,$B19,65)*FN19=1,IF(AND($E19=2,LC19=0),1000000,IF($I19&gt;0,IF(3=$J19,IF(OR(AND(65=$I19+1,OR($K19&lt;&gt;'計算A'!$A$3,'計算A'!$A$4=0)),AND(65=$I19-1,OR(17&lt;&gt;'計算A'!$A$3,'計算A'!$A$4=0))),0,IF(17=$K19,200000,ABS(17-$K19)*100)),100000+ABS(3-$J19)*1000+170)+'計算A'!BP$5*50+IF(AND($E19=1,LC19=0),25,0),IF($F19&gt;0,INDEX('計算A'!BP$110:BP$114,$F19+1)+IF(AND($E19=1,LC19=0),1000,0),MIN(TW19,20)*400+(IF('計算A'!BO$106=1,1-FM19,0)+IF('計算A'!BP$106=1,1-FO19,0))*150+173+'計算A'!BP$5*100000+IF(AND($E19=1,LC19=0),50000,0))+IF($H19=1,(IF('計算A'!BO$117=1,INDEX('計算A'!BO$10:BO$54,$B19),0)+IF('計算A'!BP$117=1,INDEX('計算A'!BQ$10:BQ$54,$B19),0))*4000,0)-IF(AND('計算A'!BO$117=1,WM19&gt;0),2000,0)-IF(AND($L19=1,'計算A'!BP$117=1,FO19=0),2000,0))),1000000))</f>
        <v/>
      </c>
      <c r="QS19">
        <f>IF($B19=0,1000000,IF(INDEX('計算A'!$D$60:$EQ$104,$B19,66)*FO19=1,IF(AND($E19=2,LD19=0),1000000,IF($I19&gt;0,IF(3=$J19,IF(OR(AND(66=$I19+1,OR($K19&lt;&gt;'計算A'!$A$3,'計算A'!$A$4=0)),AND(66=$I19-1,OR(18&lt;&gt;'計算A'!$A$3,'計算A'!$A$4=0))),0,IF(18=$K19,200000,ABS(18-$K19)*100)),100000+ABS(3-$J19)*1000+180)+'計算A'!BQ$5*50+IF(AND($E19=1,LD19=0),25,0),IF($F19&gt;0,INDEX('計算A'!BQ$110:BQ$114,$F19+1)+IF(AND($E19=1,LD19=0),1000,0),MIN(TW19,20)*400+(IF('計算A'!BP$106=1,1-FN19,0)+IF('計算A'!BQ$106=1,1-FP19,0))*150+183+'計算A'!BQ$5*100000+IF(AND($E19=1,LD19=0),50000,0))+IF($H19=1,(IF('計算A'!BP$117=1,INDEX('計算A'!BP$10:BP$54,$B19),0)+IF('計算A'!BQ$117=1,INDEX('計算A'!BR$10:BR$54,$B19),0))*4000,0)-IF(AND('計算A'!BP$117=1,WN19&gt;0),2000,0)-IF(AND($L19=1,'計算A'!BQ$117=1,FP19=0),2000,0))),1000000))</f>
        <v/>
      </c>
      <c r="QT19">
        <f>IF($B19=0,1000000,IF(INDEX('計算A'!$D$60:$EQ$104,$B19,67)*FP19=1,IF(AND($E19=2,LE19=0),1000000,IF($I19&gt;0,IF(3=$J19,IF(OR(AND(67=$I19+1,OR($K19&lt;&gt;'計算A'!$A$3,'計算A'!$A$4=0)),AND(67=$I19-1,OR(19&lt;&gt;'計算A'!$A$3,'計算A'!$A$4=0))),0,IF(19=$K19,200000,ABS(19-$K19)*100)),100000+ABS(3-$J19)*1000+190)+'計算A'!BR$5*50+IF(AND($E19=1,LE19=0),25,0),IF($F19&gt;0,INDEX('計算A'!BR$110:BR$114,$F19+1)+IF(AND($E19=1,LE19=0),1000,0),MIN(TW19,20)*400+(IF('計算A'!BQ$106=1,1-FO19,0)+IF('計算A'!BR$106=1,1-FQ19,0))*150+193+'計算A'!BR$5*100000+IF(AND($E19=1,LE19=0),50000,0))+IF($H19=1,(IF('計算A'!BQ$117=1,INDEX('計算A'!BQ$10:BQ$54,$B19),0)+IF('計算A'!BR$117=1,INDEX('計算A'!BS$10:BS$54,$B19),0))*4000,0)-IF(AND('計算A'!BQ$117=1,WO19&gt;0),2000,0)-IF(AND($L19=1,'計算A'!BR$117=1,FQ19=0),2000,0))),1000000))</f>
        <v/>
      </c>
      <c r="QU19">
        <f>IF($B19=0,1000000,IF(INDEX('計算A'!$D$60:$EQ$104,$B19,68)*FQ19=1,IF(AND($E19=2,LF19=0),1000000,IF($I19&gt;0,IF(3=$J19,IF(OR(AND(68=$I19+1,OR($K19&lt;&gt;'計算A'!$A$3,'計算A'!$A$4=0)),AND(68=$I19-1,OR(20&lt;&gt;'計算A'!$A$3,'計算A'!$A$4=0))),0,IF(20=$K19,200000,ABS(20-$K19)*100)),100000+ABS(3-$J19)*1000+200)+'計算A'!BS$5*50+IF(AND($E19=1,LF19=0),25,0),IF($F19&gt;0,INDEX('計算A'!BS$110:BS$114,$F19+1)+IF(AND($E19=1,LF19=0),1000,0),MIN(TW19,20)*400+(IF('計算A'!BR$106=1,1-FP19,0)+IF('計算A'!BS$106=1,1-FR19,0))*150+203+'計算A'!BS$5*100000+IF(AND($E19=1,LF19=0),50000,0))+IF($H19=1,(IF('計算A'!BR$117=1,INDEX('計算A'!BR$10:BR$54,$B19),0)+IF('計算A'!BS$117=1,INDEX('計算A'!BT$10:BT$54,$B19),0))*4000,0)-IF(AND('計算A'!BR$117=1,WP19&gt;0),2000,0)-IF(AND($L19=1,'計算A'!BS$117=1,FR19=0),2000,0))),1000000))</f>
        <v/>
      </c>
      <c r="QV19">
        <f>IF($B19=0,1000000,IF(INDEX('計算A'!$D$60:$EQ$104,$B19,69)*FR19=1,IF(AND($E19=2,LG19=0),1000000,IF($I19&gt;0,IF(3=$J19,IF(OR(AND(69=$I19+1,OR($K19&lt;&gt;'計算A'!$A$3,'計算A'!$A$4=0)),AND(69=$I19-1,OR(21&lt;&gt;'計算A'!$A$3,'計算A'!$A$4=0))),0,IF(21=$K19,200000,ABS(21-$K19)*100)),100000+ABS(3-$J19)*1000+210)+'計算A'!BT$5*50+IF(AND($E19=1,LG19=0),25,0),IF($F19&gt;0,INDEX('計算A'!BT$110:BT$114,$F19+1)+IF(AND($E19=1,LG19=0),1000,0),MIN(TW19,20)*400+(IF('計算A'!BS$106=1,1-FQ19,0)+IF('計算A'!BT$106=1,1-FS19,0))*150+213+'計算A'!BT$5*100000+IF(AND($E19=1,LG19=0),50000,0))+IF($H19=1,(IF('計算A'!BS$117=1,INDEX('計算A'!BS$10:BS$54,$B19),0)+IF('計算A'!BT$117=1,INDEX('計算A'!BU$10:BU$54,$B19),0))*4000,0)-IF(AND('計算A'!BS$117=1,WQ19&gt;0),2000,0)-IF(AND($L19=1,'計算A'!BT$117=1,FS19=0),2000,0))),1000000))</f>
        <v/>
      </c>
      <c r="QW19">
        <f>IF($B19=0,1000000,IF(INDEX('計算A'!$D$60:$EQ$104,$B19,70)*FS19=1,IF(AND($E19=2,LH19=0),1000000,IF($I19&gt;0,IF(3=$J19,IF(OR(AND(70=$I19+1,OR($K19&lt;&gt;'計算A'!$A$3,'計算A'!$A$4=0)),AND(70=$I19-1,OR(22&lt;&gt;'計算A'!$A$3,'計算A'!$A$4=0))),0,IF(22=$K19,200000,ABS(22-$K19)*100)),100000+ABS(3-$J19)*1000+220)+'計算A'!BU$5*50+IF(AND($E19=1,LH19=0),25,0),IF($F19&gt;0,INDEX('計算A'!BU$110:BU$114,$F19+1)+IF(AND($E19=1,LH19=0),1000,0),MIN(TW19,20)*400+(IF('計算A'!BT$106=1,1-FR19,0)+IF('計算A'!BU$106=1,1-FT19,0))*150+223+'計算A'!BU$5*100000+IF(AND($E19=1,LH19=0),50000,0))+IF($H19=1,(IF('計算A'!BT$117=1,INDEX('計算A'!BT$10:BT$54,$B19),0)+IF('計算A'!BU$117=1,INDEX('計算A'!BV$10:BV$54,$B19),0))*4000,0)-IF(AND('計算A'!BT$117=1,WR19&gt;0),2000,0)-IF(AND($L19=1,'計算A'!BU$117=1,FT19=0),2000,0))),1000000))</f>
        <v/>
      </c>
      <c r="QX19">
        <f>IF($B19=0,1000000,IF(INDEX('計算A'!$D$60:$EQ$104,$B19,71)*FT19=1,IF(AND($E19=2,LI19=0),1000000,IF($I19&gt;0,IF(3=$J19,IF(OR(AND(71=$I19+1,OR($K19&lt;&gt;'計算A'!$A$3,'計算A'!$A$4=0)),AND(71=$I19-1,OR(23&lt;&gt;'計算A'!$A$3,'計算A'!$A$4=0))),0,IF(23=$K19,200000,ABS(23-$K19)*100)),100000+ABS(3-$J19)*1000+230)+'計算A'!BV$5*50+IF(AND($E19=1,LI19=0),25,0),IF($F19&gt;0,INDEX('計算A'!BV$110:BV$114,$F19+1)+IF(AND($E19=1,LI19=0),1000,0),MIN(TW19,20)*400+(IF('計算A'!BU$106=1,1-FS19,0)+IF('計算A'!BV$106=1,1-FU19,0))*150+233+'計算A'!BV$5*100000+IF(AND($E19=1,LI19=0),50000,0))+IF($H19=1,(IF('計算A'!BU$117=1,INDEX('計算A'!BU$10:BU$54,$B19),0)+IF('計算A'!BV$117=1,INDEX('計算A'!BW$10:BW$54,$B19),0))*4000,0)-IF(AND('計算A'!BU$117=1,WS19&gt;0),2000,0)-IF(AND($L19=1,'計算A'!BV$117=1,FU19=0),2000,0))),1000000))</f>
        <v/>
      </c>
      <c r="QY19">
        <f>IF($B19=0,1000000,IF(INDEX('計算A'!$D$60:$EQ$104,$B19,72)*FU19=1,IF(AND($E19=2,LJ19=0),1000000,IF($I19&gt;0,IF(3=$J19,IF(OR(AND(72=$I19+1,OR($K19&lt;&gt;'計算A'!$A$3,'計算A'!$A$4=0)),AND(72=$I19-1,OR(24&lt;&gt;'計算A'!$A$3,'計算A'!$A$4=0))),0,IF(24=$K19,200000,ABS(24-$K19)*100)),100000+ABS(3-$J19)*1000+240)+'計算A'!BW$5*50+IF(AND($E19=1,LJ19=0),25,0),IF($F19&gt;0,INDEX('計算A'!BW$110:BW$114,$F19+1)+IF(AND($E19=1,LJ19=0),1000,0),MIN(TW19,20)*400+(IF('計算A'!BV$106=1,1-FT19,0))*150+243+'計算A'!BW$5*100000+IF(AND($E19=1,LJ19=0),50000,0))+IF($H19=1,(IF('計算A'!BV$117=1,INDEX('計算A'!BV$10:BV$54,$B19),0))*4000,0)-IF(AND('計算A'!BV$117=1,WT19&gt;0),2000,0))),1000000))</f>
        <v/>
      </c>
      <c r="QZ19">
        <f>IF($B19=0,1000000,IF(INDEX('計算A'!$D$60:$EQ$104,$B19,73)*FV19=1,IF(AND($E19=2,LK19=0),1000000,IF($I19&gt;0,IF(4=$J19,IF(OR(AND(73=$I19+1,OR($K19&lt;&gt;'計算A'!$A$3,'計算A'!$A$4=0)),AND(73=$I19-1,OR(1&lt;&gt;'計算A'!$A$3,'計算A'!$A$4=0))),0,IF(1=$K19,200000,ABS(1-$K19)*100)),100000+ABS(4-$J19)*1000+10)+'計算A'!BX$5*50+IF(AND($E19=1,LK19=0),25,0),IF($F19&gt;0,INDEX('計算A'!BX$110:BX$114,$F19+1)+IF(AND($E19=1,LK19=0),1000,0),MIN(TX19,20)*400+(IF('計算A'!BX$106=1,1-FW19,0))*150+14+'計算A'!BX$5*100000+IF(AND($E19=1,LK19=0),50000,0))+IF($H19=1,(IF('計算A'!BX$117=1,INDEX('計算A'!BY$10:BY$54,$B19),0))*4000,0)-IF(AND($L19=1,'計算A'!BX$117=1,FW19=0),2000,0))),1000000))</f>
        <v/>
      </c>
      <c r="RA19">
        <f>IF($B19=0,1000000,IF(INDEX('計算A'!$D$60:$EQ$104,$B19,74)*FW19=1,IF(AND($E19=2,LL19=0),1000000,IF($I19&gt;0,IF(4=$J19,IF(OR(AND(74=$I19+1,OR($K19&lt;&gt;'計算A'!$A$3,'計算A'!$A$4=0)),AND(74=$I19-1,OR(2&lt;&gt;'計算A'!$A$3,'計算A'!$A$4=0))),0,IF(2=$K19,200000,ABS(2-$K19)*100)),100000+ABS(4-$J19)*1000+20)+'計算A'!BY$5*50+IF(AND($E19=1,LL19=0),25,0),IF($F19&gt;0,INDEX('計算A'!BY$110:BY$114,$F19+1)+IF(AND($E19=1,LL19=0),1000,0),MIN(TX19,20)*400+(IF('計算A'!BX$106=1,1-FV19,0)+IF('計算A'!BY$106=1,1-FX19,0))*150+24+'計算A'!BY$5*100000+IF(AND($E19=1,LL19=0),50000,0))+IF($H19=1,(IF('計算A'!BX$117=1,INDEX('計算A'!BX$10:BX$54,$B19),0)+IF('計算A'!BY$117=1,INDEX('計算A'!BZ$10:BZ$54,$B19),0))*4000,0)-IF(AND('計算A'!BX$117=1,WV19&gt;0),2000,0)-IF(AND($L19=1,'計算A'!BY$117=1,FX19=0),2000,0))),1000000))</f>
        <v/>
      </c>
      <c r="RB19">
        <f>IF($B19=0,1000000,IF(INDEX('計算A'!$D$60:$EQ$104,$B19,75)*FX19=1,IF(AND($E19=2,LM19=0),1000000,IF($I19&gt;0,IF(4=$J19,IF(OR(AND(75=$I19+1,OR($K19&lt;&gt;'計算A'!$A$3,'計算A'!$A$4=0)),AND(75=$I19-1,OR(3&lt;&gt;'計算A'!$A$3,'計算A'!$A$4=0))),0,IF(3=$K19,200000,ABS(3-$K19)*100)),100000+ABS(4-$J19)*1000+30)+'計算A'!BZ$5*50+IF(AND($E19=1,LM19=0),25,0),IF($F19&gt;0,INDEX('計算A'!BZ$110:BZ$114,$F19+1)+IF(AND($E19=1,LM19=0),1000,0),MIN(TX19,20)*400+(IF('計算A'!BY$106=1,1-FW19,0)+IF('計算A'!BZ$106=1,1-FY19,0))*150+34+'計算A'!BZ$5*100000+IF(AND($E19=1,LM19=0),50000,0))+IF($H19=1,(IF('計算A'!BY$117=1,INDEX('計算A'!BY$10:BY$54,$B19),0)+IF('計算A'!BZ$117=1,INDEX('計算A'!CA$10:CA$54,$B19),0))*4000,0)-IF(AND('計算A'!BY$117=1,WW19&gt;0),2000,0)-IF(AND($L19=1,'計算A'!BZ$117=1,FY19=0),2000,0))),1000000))</f>
        <v/>
      </c>
      <c r="RC19">
        <f>IF($B19=0,1000000,IF(INDEX('計算A'!$D$60:$EQ$104,$B19,76)*FY19=1,IF(AND($E19=2,LN19=0),1000000,IF($I19&gt;0,IF(4=$J19,IF(OR(AND(76=$I19+1,OR($K19&lt;&gt;'計算A'!$A$3,'計算A'!$A$4=0)),AND(76=$I19-1,OR(4&lt;&gt;'計算A'!$A$3,'計算A'!$A$4=0))),0,IF(4=$K19,200000,ABS(4-$K19)*100)),100000+ABS(4-$J19)*1000+40)+'計算A'!CA$5*50+IF(AND($E19=1,LN19=0),25,0),IF($F19&gt;0,INDEX('計算A'!CA$110:CA$114,$F19+1)+IF(AND($E19=1,LN19=0),1000,0),MIN(TX19,20)*400+(IF('計算A'!BZ$106=1,1-FX19,0)+IF('計算A'!CA$106=1,1-FZ19,0))*150+44+'計算A'!CA$5*100000+IF(AND($E19=1,LN19=0),50000,0))+IF($H19=1,(IF('計算A'!BZ$117=1,INDEX('計算A'!BZ$10:BZ$54,$B19),0)+IF('計算A'!CA$117=1,INDEX('計算A'!CB$10:CB$54,$B19),0))*4000,0)-IF(AND('計算A'!BZ$117=1,WX19&gt;0),2000,0)-IF(AND($L19=1,'計算A'!CA$117=1,FZ19=0),2000,0))),1000000))</f>
        <v/>
      </c>
      <c r="RD19">
        <f>IF($B19=0,1000000,IF(INDEX('計算A'!$D$60:$EQ$104,$B19,77)*FZ19=1,IF(AND($E19=2,LO19=0),1000000,IF($I19&gt;0,IF(4=$J19,IF(OR(AND(77=$I19+1,OR($K19&lt;&gt;'計算A'!$A$3,'計算A'!$A$4=0)),AND(77=$I19-1,OR(5&lt;&gt;'計算A'!$A$3,'計算A'!$A$4=0))),0,IF(5=$K19,200000,ABS(5-$K19)*100)),100000+ABS(4-$J19)*1000+50)+'計算A'!CB$5*50+IF(AND($E19=1,LO19=0),25,0),IF($F19&gt;0,INDEX('計算A'!CB$110:CB$114,$F19+1)+IF(AND($E19=1,LO19=0),1000,0),MIN(TX19,20)*400+(IF('計算A'!CA$106=1,1-FY19,0)+IF('計算A'!CB$106=1,1-GA19,0))*150+54+'計算A'!CB$5*100000+IF(AND($E19=1,LO19=0),50000,0))+IF($H19=1,(IF('計算A'!CA$117=1,INDEX('計算A'!CA$10:CA$54,$B19),0)+IF('計算A'!CB$117=1,INDEX('計算A'!CC$10:CC$54,$B19),0))*4000,0)-IF(AND('計算A'!CA$117=1,WY19&gt;0),2000,0)-IF(AND($L19=1,'計算A'!CB$117=1,GA19=0),2000,0))),1000000))</f>
        <v/>
      </c>
      <c r="RE19">
        <f>IF($B19=0,1000000,IF(INDEX('計算A'!$D$60:$EQ$104,$B19,78)*GA19=1,IF(AND($E19=2,LP19=0),1000000,IF($I19&gt;0,IF(4=$J19,IF(OR(AND(78=$I19+1,OR($K19&lt;&gt;'計算A'!$A$3,'計算A'!$A$4=0)),AND(78=$I19-1,OR(6&lt;&gt;'計算A'!$A$3,'計算A'!$A$4=0))),0,IF(6=$K19,200000,ABS(6-$K19)*100)),100000+ABS(4-$J19)*1000+60)+'計算A'!CC$5*50+IF(AND($E19=1,LP19=0),25,0),IF($F19&gt;0,INDEX('計算A'!CC$110:CC$114,$F19+1)+IF(AND($E19=1,LP19=0),1000,0),MIN(TX19,20)*400+(IF('計算A'!CB$106=1,1-FZ19,0)+IF('計算A'!CC$106=1,1-GB19,0))*150+64+'計算A'!CC$5*100000+IF(AND($E19=1,LP19=0),50000,0))+IF($H19=1,(IF('計算A'!CB$117=1,INDEX('計算A'!CB$10:CB$54,$B19),0)+IF('計算A'!CC$117=1,INDEX('計算A'!CD$10:CD$54,$B19),0))*4000,0)-IF(AND('計算A'!CB$117=1,WZ19&gt;0),2000,0)-IF(AND($L19=1,'計算A'!CC$117=1,GB19=0),2000,0))),1000000))</f>
        <v/>
      </c>
      <c r="RF19">
        <f>IF($B19=0,1000000,IF(INDEX('計算A'!$D$60:$EQ$104,$B19,79)*GB19=1,IF(AND($E19=2,LQ19=0),1000000,IF($I19&gt;0,IF(4=$J19,IF(OR(AND(79=$I19+1,OR($K19&lt;&gt;'計算A'!$A$3,'計算A'!$A$4=0)),AND(79=$I19-1,OR(7&lt;&gt;'計算A'!$A$3,'計算A'!$A$4=0))),0,IF(7=$K19,200000,ABS(7-$K19)*100)),100000+ABS(4-$J19)*1000+70)+'計算A'!CD$5*50+IF(AND($E19=1,LQ19=0),25,0),IF($F19&gt;0,INDEX('計算A'!CD$110:CD$114,$F19+1)+IF(AND($E19=1,LQ19=0),1000,0),MIN(TX19,20)*400+(IF('計算A'!CC$106=1,1-GA19,0)+IF('計算A'!CD$106=1,1-GC19,0))*150+74+'計算A'!CD$5*100000+IF(AND($E19=1,LQ19=0),50000,0))+IF($H19=1,(IF('計算A'!CC$117=1,INDEX('計算A'!CC$10:CC$54,$B19),0)+IF('計算A'!CD$117=1,INDEX('計算A'!CE$10:CE$54,$B19),0))*4000,0)-IF(AND('計算A'!CC$117=1,XA19&gt;0),2000,0)-IF(AND($L19=1,'計算A'!CD$117=1,GC19=0),2000,0))),1000000))</f>
        <v/>
      </c>
      <c r="RG19">
        <f>IF($B19=0,1000000,IF(INDEX('計算A'!$D$60:$EQ$104,$B19,80)*GC19=1,IF(AND($E19=2,LR19=0),1000000,IF($I19&gt;0,IF(4=$J19,IF(OR(AND(80=$I19+1,OR($K19&lt;&gt;'計算A'!$A$3,'計算A'!$A$4=0)),AND(80=$I19-1,OR(8&lt;&gt;'計算A'!$A$3,'計算A'!$A$4=0))),0,IF(8=$K19,200000,ABS(8-$K19)*100)),100000+ABS(4-$J19)*1000+80)+'計算A'!CE$5*50+IF(AND($E19=1,LR19=0),25,0),IF($F19&gt;0,INDEX('計算A'!CE$110:CE$114,$F19+1)+IF(AND($E19=1,LR19=0),1000,0),MIN(TX19,20)*400+(IF('計算A'!CD$106=1,1-GB19,0)+IF('計算A'!CE$106=1,1-GD19,0))*150+84+'計算A'!CE$5*100000+IF(AND($E19=1,LR19=0),50000,0))+IF($H19=1,(IF('計算A'!CD$117=1,INDEX('計算A'!CD$10:CD$54,$B19),0)+IF('計算A'!CE$117=1,INDEX('計算A'!CF$10:CF$54,$B19),0))*4000,0)-IF(AND('計算A'!CD$117=1,XB19&gt;0),2000,0)-IF(AND($L19=1,'計算A'!CE$117=1,GD19=0),2000,0))),1000000))</f>
        <v/>
      </c>
      <c r="RH19">
        <f>IF($B19=0,1000000,IF(INDEX('計算A'!$D$60:$EQ$104,$B19,81)*GD19=1,IF(AND($E19=2,LS19=0),1000000,IF($I19&gt;0,IF(4=$J19,IF(OR(AND(81=$I19+1,OR($K19&lt;&gt;'計算A'!$A$3,'計算A'!$A$4=0)),AND(81=$I19-1,OR(9&lt;&gt;'計算A'!$A$3,'計算A'!$A$4=0))),0,IF(9=$K19,200000,ABS(9-$K19)*100)),100000+ABS(4-$J19)*1000+90)+'計算A'!CF$5*50+IF(AND($E19=1,LS19=0),25,0),IF($F19&gt;0,INDEX('計算A'!CF$110:CF$114,$F19+1)+IF(AND($E19=1,LS19=0),1000,0),MIN(TX19,20)*400+(IF('計算A'!CE$106=1,1-GC19,0)+IF('計算A'!CF$106=1,1-GE19,0))*150+94+'計算A'!CF$5*100000+IF(AND($E19=1,LS19=0),50000,0))+IF($H19=1,(IF('計算A'!CE$117=1,INDEX('計算A'!CE$10:CE$54,$B19),0)+IF('計算A'!CF$117=1,INDEX('計算A'!CG$10:CG$54,$B19),0))*4000,0)-IF(AND('計算A'!CE$117=1,XC19&gt;0),2000,0)-IF(AND($L19=1,'計算A'!CF$117=1,GE19=0),2000,0))),1000000))</f>
        <v/>
      </c>
      <c r="RI19">
        <f>IF($B19=0,1000000,IF(INDEX('計算A'!$D$60:$EQ$104,$B19,82)*GE19=1,IF(AND($E19=2,LT19=0),1000000,IF($I19&gt;0,IF(4=$J19,IF(OR(AND(82=$I19+1,OR($K19&lt;&gt;'計算A'!$A$3,'計算A'!$A$4=0)),AND(82=$I19-1,OR(10&lt;&gt;'計算A'!$A$3,'計算A'!$A$4=0))),0,IF(10=$K19,200000,ABS(10-$K19)*100)),100000+ABS(4-$J19)*1000+100)+'計算A'!CG$5*50+IF(AND($E19=1,LT19=0),25,0),IF($F19&gt;0,INDEX('計算A'!CG$110:CG$114,$F19+1)+IF(AND($E19=1,LT19=0),1000,0),MIN(TX19,20)*400+(IF('計算A'!CF$106=1,1-GD19,0)+IF('計算A'!CG$106=1,1-GF19,0))*150+104+'計算A'!CG$5*100000+IF(AND($E19=1,LT19=0),50000,0))+IF($H19=1,(IF('計算A'!CF$117=1,INDEX('計算A'!CF$10:CF$54,$B19),0)+IF('計算A'!CG$117=1,INDEX('計算A'!CH$10:CH$54,$B19),0))*4000,0)-IF(AND('計算A'!CF$117=1,XD19&gt;0),2000,0)-IF(AND($L19=1,'計算A'!CG$117=1,GF19=0),2000,0))),1000000))</f>
        <v/>
      </c>
      <c r="RJ19">
        <f>IF($B19=0,1000000,IF(INDEX('計算A'!$D$60:$EQ$104,$B19,83)*GF19=1,IF(AND($E19=2,LU19=0),1000000,IF($I19&gt;0,IF(4=$J19,IF(OR(AND(83=$I19+1,OR($K19&lt;&gt;'計算A'!$A$3,'計算A'!$A$4=0)),AND(83=$I19-1,OR(11&lt;&gt;'計算A'!$A$3,'計算A'!$A$4=0))),0,IF(11=$K19,200000,ABS(11-$K19)*100)),100000+ABS(4-$J19)*1000+110)+'計算A'!CH$5*50+IF(AND($E19=1,LU19=0),25,0),IF($F19&gt;0,INDEX('計算A'!CH$110:CH$114,$F19+1)+IF(AND($E19=1,LU19=0),1000,0),MIN(TX19,20)*400+(IF('計算A'!CG$106=1,1-GE19,0)+IF('計算A'!CH$106=1,1-GG19,0))*150+114+'計算A'!CH$5*100000+IF(AND($E19=1,LU19=0),50000,0))+IF($H19=1,(IF('計算A'!CG$117=1,INDEX('計算A'!CG$10:CG$54,$B19),0)+IF('計算A'!CH$117=1,INDEX('計算A'!CI$10:CI$54,$B19),0))*4000,0)-IF(AND('計算A'!CG$117=1,XE19&gt;0),2000,0)-IF(AND($L19=1,'計算A'!CH$117=1,GG19=0),2000,0))),1000000))</f>
        <v/>
      </c>
      <c r="RK19">
        <f>IF($B19=0,1000000,IF(INDEX('計算A'!$D$60:$EQ$104,$B19,84)*GG19=1,IF(AND($E19=2,LV19=0),1000000,IF($I19&gt;0,IF(4=$J19,IF(OR(AND(84=$I19+1,OR($K19&lt;&gt;'計算A'!$A$3,'計算A'!$A$4=0)),AND(84=$I19-1,OR(12&lt;&gt;'計算A'!$A$3,'計算A'!$A$4=0))),0,IF(12=$K19,200000,ABS(12-$K19)*100)),100000+ABS(4-$J19)*1000+120)+'計算A'!CI$5*50+IF(AND($E19=1,LV19=0),25,0),IF($F19&gt;0,INDEX('計算A'!CI$110:CI$114,$F19+1)+IF(AND($E19=1,LV19=0),1000,0),MIN(TX19,20)*400+(IF('計算A'!CH$106=1,1-GF19,0)+IF('計算A'!CI$106=1,1-GH19,0))*150+124+'計算A'!CI$5*100000+IF(AND($E19=1,LV19=0),50000,0))+IF($H19=1,(IF('計算A'!CH$117=1,INDEX('計算A'!CH$10:CH$54,$B19),0)+IF('計算A'!CI$117=1,INDEX('計算A'!CJ$10:CJ$54,$B19),0))*4000,0)-IF(AND('計算A'!CH$117=1,XF19&gt;0),2000,0)-IF(AND($L19=1,'計算A'!CI$117=1,GH19=0),2000,0))),1000000))</f>
        <v/>
      </c>
      <c r="RL19">
        <f>IF($B19=0,1000000,IF(INDEX('計算A'!$D$60:$EQ$104,$B19,85)*GH19=1,IF(AND($E19=2,LW19=0),1000000,IF($I19&gt;0,IF(4=$J19,IF(OR(AND(85=$I19+1,OR($K19&lt;&gt;'計算A'!$A$3,'計算A'!$A$4=0)),AND(85=$I19-1,OR(13&lt;&gt;'計算A'!$A$3,'計算A'!$A$4=0))),0,IF(13=$K19,200000,ABS(13-$K19)*100)),100000+ABS(4-$J19)*1000+130)+'計算A'!CJ$5*50+IF(AND($E19=1,LW19=0),25,0),IF($F19&gt;0,INDEX('計算A'!CJ$110:CJ$114,$F19+1)+IF(AND($E19=1,LW19=0),1000,0),MIN(TX19,20)*400+(IF('計算A'!CI$106=1,1-GG19,0)+IF('計算A'!CJ$106=1,1-GI19,0))*150+134+'計算A'!CJ$5*100000+IF(AND($E19=1,LW19=0),50000,0))+IF($H19=1,(IF('計算A'!CI$117=1,INDEX('計算A'!CI$10:CI$54,$B19),0)+IF('計算A'!CJ$117=1,INDEX('計算A'!CK$10:CK$54,$B19),0))*4000,0)-IF(AND('計算A'!CI$117=1,XG19&gt;0),2000,0)-IF(AND($L19=1,'計算A'!CJ$117=1,GI19=0),2000,0))),1000000))</f>
        <v/>
      </c>
      <c r="RM19">
        <f>IF($B19=0,1000000,IF(INDEX('計算A'!$D$60:$EQ$104,$B19,86)*GI19=1,IF(AND($E19=2,LX19=0),1000000,IF($I19&gt;0,IF(4=$J19,IF(OR(AND(86=$I19+1,OR($K19&lt;&gt;'計算A'!$A$3,'計算A'!$A$4=0)),AND(86=$I19-1,OR(14&lt;&gt;'計算A'!$A$3,'計算A'!$A$4=0))),0,IF(14=$K19,200000,ABS(14-$K19)*100)),100000+ABS(4-$J19)*1000+140)+'計算A'!CK$5*50+IF(AND($E19=1,LX19=0),25,0),IF($F19&gt;0,INDEX('計算A'!CK$110:CK$114,$F19+1)+IF(AND($E19=1,LX19=0),1000,0),MIN(TX19,20)*400+(IF('計算A'!CJ$106=1,1-GH19,0)+IF('計算A'!CK$106=1,1-GJ19,0))*150+144+'計算A'!CK$5*100000+IF(AND($E19=1,LX19=0),50000,0))+IF($H19=1,(IF('計算A'!CJ$117=1,INDEX('計算A'!CJ$10:CJ$54,$B19),0)+IF('計算A'!CK$117=1,INDEX('計算A'!CL$10:CL$54,$B19),0))*4000,0)-IF(AND('計算A'!CJ$117=1,XH19&gt;0),2000,0)-IF(AND($L19=1,'計算A'!CK$117=1,GJ19=0),2000,0))),1000000))</f>
        <v/>
      </c>
      <c r="RN19">
        <f>IF($B19=0,1000000,IF(INDEX('計算A'!$D$60:$EQ$104,$B19,87)*GJ19=1,IF(AND($E19=2,LY19=0),1000000,IF($I19&gt;0,IF(4=$J19,IF(OR(AND(87=$I19+1,OR($K19&lt;&gt;'計算A'!$A$3,'計算A'!$A$4=0)),AND(87=$I19-1,OR(15&lt;&gt;'計算A'!$A$3,'計算A'!$A$4=0))),0,IF(15=$K19,200000,ABS(15-$K19)*100)),100000+ABS(4-$J19)*1000+150)+'計算A'!CL$5*50+IF(AND($E19=1,LY19=0),25,0),IF($F19&gt;0,INDEX('計算A'!CL$110:CL$114,$F19+1)+IF(AND($E19=1,LY19=0),1000,0),MIN(TX19,20)*400+(IF('計算A'!CK$106=1,1-GI19,0)+IF('計算A'!CL$106=1,1-GK19,0))*150+154+'計算A'!CL$5*100000+IF(AND($E19=1,LY19=0),50000,0))+IF($H19=1,(IF('計算A'!CK$117=1,INDEX('計算A'!CK$10:CK$54,$B19),0)+IF('計算A'!CL$117=1,INDEX('計算A'!CM$10:CM$54,$B19),0))*4000,0)-IF(AND('計算A'!CK$117=1,XI19&gt;0),2000,0)-IF(AND($L19=1,'計算A'!CL$117=1,GK19=0),2000,0))),1000000))</f>
        <v/>
      </c>
      <c r="RO19">
        <f>IF($B19=0,1000000,IF(INDEX('計算A'!$D$60:$EQ$104,$B19,88)*GK19=1,IF(AND($E19=2,LZ19=0),1000000,IF($I19&gt;0,IF(4=$J19,IF(OR(AND(88=$I19+1,OR($K19&lt;&gt;'計算A'!$A$3,'計算A'!$A$4=0)),AND(88=$I19-1,OR(16&lt;&gt;'計算A'!$A$3,'計算A'!$A$4=0))),0,IF(16=$K19,200000,ABS(16-$K19)*100)),100000+ABS(4-$J19)*1000+160)+'計算A'!CM$5*50+IF(AND($E19=1,LZ19=0),25,0),IF($F19&gt;0,INDEX('計算A'!CM$110:CM$114,$F19+1)+IF(AND($E19=1,LZ19=0),1000,0),MIN(TX19,20)*400+(IF('計算A'!CL$106=1,1-GJ19,0)+IF('計算A'!CM$106=1,1-GL19,0))*150+164+'計算A'!CM$5*100000+IF(AND($E19=1,LZ19=0),50000,0))+IF($H19=1,(IF('計算A'!CL$117=1,INDEX('計算A'!CL$10:CL$54,$B19),0)+IF('計算A'!CM$117=1,INDEX('計算A'!CN$10:CN$54,$B19),0))*4000,0)-IF(AND('計算A'!CL$117=1,XJ19&gt;0),2000,0)-IF(AND($L19=1,'計算A'!CM$117=1,GL19=0),2000,0))),1000000))</f>
        <v/>
      </c>
      <c r="RP19">
        <f>IF($B19=0,1000000,IF(INDEX('計算A'!$D$60:$EQ$104,$B19,89)*GL19=1,IF(AND($E19=2,MA19=0),1000000,IF($I19&gt;0,IF(4=$J19,IF(OR(AND(89=$I19+1,OR($K19&lt;&gt;'計算A'!$A$3,'計算A'!$A$4=0)),AND(89=$I19-1,OR(17&lt;&gt;'計算A'!$A$3,'計算A'!$A$4=0))),0,IF(17=$K19,200000,ABS(17-$K19)*100)),100000+ABS(4-$J19)*1000+170)+'計算A'!CN$5*50+IF(AND($E19=1,MA19=0),25,0),IF($F19&gt;0,INDEX('計算A'!CN$110:CN$114,$F19+1)+IF(AND($E19=1,MA19=0),1000,0),MIN(TX19,20)*400+(IF('計算A'!CM$106=1,1-GK19,0)+IF('計算A'!CN$106=1,1-GM19,0))*150+174+'計算A'!CN$5*100000+IF(AND($E19=1,MA19=0),50000,0))+IF($H19=1,(IF('計算A'!CM$117=1,INDEX('計算A'!CM$10:CM$54,$B19),0)+IF('計算A'!CN$117=1,INDEX('計算A'!CO$10:CO$54,$B19),0))*4000,0)-IF(AND('計算A'!CM$117=1,XK19&gt;0),2000,0)-IF(AND($L19=1,'計算A'!CN$117=1,GM19=0),2000,0))),1000000))</f>
        <v/>
      </c>
      <c r="RQ19">
        <f>IF($B19=0,1000000,IF(INDEX('計算A'!$D$60:$EQ$104,$B19,90)*GM19=1,IF(AND($E19=2,MB19=0),1000000,IF($I19&gt;0,IF(4=$J19,IF(OR(AND(90=$I19+1,OR($K19&lt;&gt;'計算A'!$A$3,'計算A'!$A$4=0)),AND(90=$I19-1,OR(18&lt;&gt;'計算A'!$A$3,'計算A'!$A$4=0))),0,IF(18=$K19,200000,ABS(18-$K19)*100)),100000+ABS(4-$J19)*1000+180)+'計算A'!CO$5*50+IF(AND($E19=1,MB19=0),25,0),IF($F19&gt;0,INDEX('計算A'!CO$110:CO$114,$F19+1)+IF(AND($E19=1,MB19=0),1000,0),MIN(TX19,20)*400+(IF('計算A'!CN$106=1,1-GL19,0)+IF('計算A'!CO$106=1,1-GN19,0))*150+184+'計算A'!CO$5*100000+IF(AND($E19=1,MB19=0),50000,0))+IF($H19=1,(IF('計算A'!CN$117=1,INDEX('計算A'!CN$10:CN$54,$B19),0)+IF('計算A'!CO$117=1,INDEX('計算A'!CP$10:CP$54,$B19),0))*4000,0)-IF(AND('計算A'!CN$117=1,XL19&gt;0),2000,0)-IF(AND($L19=1,'計算A'!CO$117=1,GN19=0),2000,0))),1000000))</f>
        <v/>
      </c>
      <c r="RR19">
        <f>IF($B19=0,1000000,IF(INDEX('計算A'!$D$60:$EQ$104,$B19,91)*GN19=1,IF(AND($E19=2,MC19=0),1000000,IF($I19&gt;0,IF(4=$J19,IF(OR(AND(91=$I19+1,OR($K19&lt;&gt;'計算A'!$A$3,'計算A'!$A$4=0)),AND(91=$I19-1,OR(19&lt;&gt;'計算A'!$A$3,'計算A'!$A$4=0))),0,IF(19=$K19,200000,ABS(19-$K19)*100)),100000+ABS(4-$J19)*1000+190)+'計算A'!CP$5*50+IF(AND($E19=1,MC19=0),25,0),IF($F19&gt;0,INDEX('計算A'!CP$110:CP$114,$F19+1)+IF(AND($E19=1,MC19=0),1000,0),MIN(TX19,20)*400+(IF('計算A'!CO$106=1,1-GM19,0)+IF('計算A'!CP$106=1,1-GO19,0))*150+194+'計算A'!CP$5*100000+IF(AND($E19=1,MC19=0),50000,0))+IF($H19=1,(IF('計算A'!CO$117=1,INDEX('計算A'!CO$10:CO$54,$B19),0)+IF('計算A'!CP$117=1,INDEX('計算A'!CQ$10:CQ$54,$B19),0))*4000,0)-IF(AND('計算A'!CO$117=1,XM19&gt;0),2000,0)-IF(AND($L19=1,'計算A'!CP$117=1,GO19=0),2000,0))),1000000))</f>
        <v/>
      </c>
      <c r="RS19">
        <f>IF($B19=0,1000000,IF(INDEX('計算A'!$D$60:$EQ$104,$B19,92)*GO19=1,IF(AND($E19=2,MD19=0),1000000,IF($I19&gt;0,IF(4=$J19,IF(OR(AND(92=$I19+1,OR($K19&lt;&gt;'計算A'!$A$3,'計算A'!$A$4=0)),AND(92=$I19-1,OR(20&lt;&gt;'計算A'!$A$3,'計算A'!$A$4=0))),0,IF(20=$K19,200000,ABS(20-$K19)*100)),100000+ABS(4-$J19)*1000+200)+'計算A'!CQ$5*50+IF(AND($E19=1,MD19=0),25,0),IF($F19&gt;0,INDEX('計算A'!CQ$110:CQ$114,$F19+1)+IF(AND($E19=1,MD19=0),1000,0),MIN(TX19,20)*400+(IF('計算A'!CP$106=1,1-GN19,0)+IF('計算A'!CQ$106=1,1-GP19,0))*150+204+'計算A'!CQ$5*100000+IF(AND($E19=1,MD19=0),50000,0))+IF($H19=1,(IF('計算A'!CP$117=1,INDEX('計算A'!CP$10:CP$54,$B19),0)+IF('計算A'!CQ$117=1,INDEX('計算A'!CR$10:CR$54,$B19),0))*4000,0)-IF(AND('計算A'!CP$117=1,XN19&gt;0),2000,0)-IF(AND($L19=1,'計算A'!CQ$117=1,GP19=0),2000,0))),1000000))</f>
        <v/>
      </c>
      <c r="RT19">
        <f>IF($B19=0,1000000,IF(INDEX('計算A'!$D$60:$EQ$104,$B19,93)*GP19=1,IF(AND($E19=2,ME19=0),1000000,IF($I19&gt;0,IF(4=$J19,IF(OR(AND(93=$I19+1,OR($K19&lt;&gt;'計算A'!$A$3,'計算A'!$A$4=0)),AND(93=$I19-1,OR(21&lt;&gt;'計算A'!$A$3,'計算A'!$A$4=0))),0,IF(21=$K19,200000,ABS(21-$K19)*100)),100000+ABS(4-$J19)*1000+210)+'計算A'!CR$5*50+IF(AND($E19=1,ME19=0),25,0),IF($F19&gt;0,INDEX('計算A'!CR$110:CR$114,$F19+1)+IF(AND($E19=1,ME19=0),1000,0),MIN(TX19,20)*400+(IF('計算A'!CQ$106=1,1-GO19,0)+IF('計算A'!CR$106=1,1-GQ19,0))*150+214+'計算A'!CR$5*100000+IF(AND($E19=1,ME19=0),50000,0))+IF($H19=1,(IF('計算A'!CQ$117=1,INDEX('計算A'!CQ$10:CQ$54,$B19),0)+IF('計算A'!CR$117=1,INDEX('計算A'!CS$10:CS$54,$B19),0))*4000,0)-IF(AND('計算A'!CQ$117=1,XO19&gt;0),2000,0)-IF(AND($L19=1,'計算A'!CR$117=1,GQ19=0),2000,0))),1000000))</f>
        <v/>
      </c>
      <c r="RU19">
        <f>IF($B19=0,1000000,IF(INDEX('計算A'!$D$60:$EQ$104,$B19,94)*GQ19=1,IF(AND($E19=2,MF19=0),1000000,IF($I19&gt;0,IF(4=$J19,IF(OR(AND(94=$I19+1,OR($K19&lt;&gt;'計算A'!$A$3,'計算A'!$A$4=0)),AND(94=$I19-1,OR(22&lt;&gt;'計算A'!$A$3,'計算A'!$A$4=0))),0,IF(22=$K19,200000,ABS(22-$K19)*100)),100000+ABS(4-$J19)*1000+220)+'計算A'!CS$5*50+IF(AND($E19=1,MF19=0),25,0),IF($F19&gt;0,INDEX('計算A'!CS$110:CS$114,$F19+1)+IF(AND($E19=1,MF19=0),1000,0),MIN(TX19,20)*400+(IF('計算A'!CR$106=1,1-GP19,0)+IF('計算A'!CS$106=1,1-GR19,0))*150+224+'計算A'!CS$5*100000+IF(AND($E19=1,MF19=0),50000,0))+IF($H19=1,(IF('計算A'!CR$117=1,INDEX('計算A'!CR$10:CR$54,$B19),0)+IF('計算A'!CS$117=1,INDEX('計算A'!CT$10:CT$54,$B19),0))*4000,0)-IF(AND('計算A'!CR$117=1,XP19&gt;0),2000,0)-IF(AND($L19=1,'計算A'!CS$117=1,GR19=0),2000,0))),1000000))</f>
        <v/>
      </c>
      <c r="RV19">
        <f>IF($B19=0,1000000,IF(INDEX('計算A'!$D$60:$EQ$104,$B19,95)*GR19=1,IF(AND($E19=2,MG19=0),1000000,IF($I19&gt;0,IF(4=$J19,IF(OR(AND(95=$I19+1,OR($K19&lt;&gt;'計算A'!$A$3,'計算A'!$A$4=0)),AND(95=$I19-1,OR(23&lt;&gt;'計算A'!$A$3,'計算A'!$A$4=0))),0,IF(23=$K19,200000,ABS(23-$K19)*100)),100000+ABS(4-$J19)*1000+230)+'計算A'!CT$5*50+IF(AND($E19=1,MG19=0),25,0),IF($F19&gt;0,INDEX('計算A'!CT$110:CT$114,$F19+1)+IF(AND($E19=1,MG19=0),1000,0),MIN(TX19,20)*400+(IF('計算A'!CS$106=1,1-GQ19,0)+IF('計算A'!CT$106=1,1-GS19,0))*150+234+'計算A'!CT$5*100000+IF(AND($E19=1,MG19=0),50000,0))+IF($H19=1,(IF('計算A'!CS$117=1,INDEX('計算A'!CS$10:CS$54,$B19),0)+IF('計算A'!CT$117=1,INDEX('計算A'!CU$10:CU$54,$B19),0))*4000,0)-IF(AND('計算A'!CS$117=1,XQ19&gt;0),2000,0)-IF(AND($L19=1,'計算A'!CT$117=1,GS19=0),2000,0))),1000000))</f>
        <v/>
      </c>
      <c r="RW19">
        <f>IF($B19=0,1000000,IF(INDEX('計算A'!$D$60:$EQ$104,$B19,96)*GS19=1,IF(AND($E19=2,MH19=0),1000000,IF($I19&gt;0,IF(4=$J19,IF(OR(AND(96=$I19+1,OR($K19&lt;&gt;'計算A'!$A$3,'計算A'!$A$4=0)),AND(96=$I19-1,OR(24&lt;&gt;'計算A'!$A$3,'計算A'!$A$4=0))),0,IF(24=$K19,200000,ABS(24-$K19)*100)),100000+ABS(4-$J19)*1000+240)+'計算A'!CU$5*50+IF(AND($E19=1,MH19=0),25,0),IF($F19&gt;0,INDEX('計算A'!CU$110:CU$114,$F19+1)+IF(AND($E19=1,MH19=0),1000,0),MIN(TX19,20)*400+(IF('計算A'!CT$106=1,1-GR19,0))*150+244+'計算A'!CU$5*100000+IF(AND($E19=1,MH19=0),50000,0))+IF($H19=1,(IF('計算A'!CT$117=1,INDEX('計算A'!CT$10:CT$54,$B19),0))*4000,0)-IF(AND('計算A'!CT$117=1,XR19&gt;0),2000,0))),1000000))</f>
        <v/>
      </c>
      <c r="RX19">
        <f>IF($B19=0,1000000,IF(INDEX('計算A'!$D$60:$EQ$104,$B19,97)*GT19=1,IF(AND($E19=2,MI19=0),1000000,IF($I19&gt;0,IF(5=$J19,IF(OR(AND(97=$I19+1,OR($K19&lt;&gt;'計算A'!$A$3,'計算A'!$A$4=0)),AND(97=$I19-1,OR(1&lt;&gt;'計算A'!$A$3,'計算A'!$A$4=0))),0,IF(1=$K19,200000,ABS(1-$K19)*100)),100000+ABS(5-$J19)*1000+10)+'計算A'!CV$5*50+IF(AND($E19=1,MI19=0),25,0),IF($F19&gt;0,INDEX('計算A'!CV$110:CV$114,$F19+1)+IF(AND($E19=1,MI19=0),1000,0),MIN(TY19,20)*400+(IF('計算A'!CV$106=1,1-GU19,0))*150+15+'計算A'!CV$5*100000+IF(AND($E19=1,MI19=0),50000,0))+IF($H19=1,(IF('計算A'!CV$117=1,INDEX('計算A'!CW$10:CW$54,$B19),0))*4000,0)-IF(AND($L19=1,'計算A'!CV$117=1,GU19=0),2000,0))),1000000))</f>
        <v/>
      </c>
      <c r="RY19">
        <f>IF($B19=0,1000000,IF(INDEX('計算A'!$D$60:$EQ$104,$B19,98)*GU19=1,IF(AND($E19=2,MJ19=0),1000000,IF($I19&gt;0,IF(5=$J19,IF(OR(AND(98=$I19+1,OR($K19&lt;&gt;'計算A'!$A$3,'計算A'!$A$4=0)),AND(98=$I19-1,OR(2&lt;&gt;'計算A'!$A$3,'計算A'!$A$4=0))),0,IF(2=$K19,200000,ABS(2-$K19)*100)),100000+ABS(5-$J19)*1000+20)+'計算A'!CW$5*50+IF(AND($E19=1,MJ19=0),25,0),IF($F19&gt;0,INDEX('計算A'!CW$110:CW$114,$F19+1)+IF(AND($E19=1,MJ19=0),1000,0),MIN(TY19,20)*400+(IF('計算A'!CV$106=1,1-GT19,0)+IF('計算A'!CW$106=1,1-GV19,0))*150+25+'計算A'!CW$5*100000+IF(AND($E19=1,MJ19=0),50000,0))+IF($H19=1,(IF('計算A'!CV$117=1,INDEX('計算A'!CV$10:CV$54,$B19),0)+IF('計算A'!CW$117=1,INDEX('計算A'!CX$10:CX$54,$B19),0))*4000,0)-IF(AND('計算A'!CV$117=1,XT19&gt;0),2000,0)-IF(AND($L19=1,'計算A'!CW$117=1,GV19=0),2000,0))),1000000))</f>
        <v/>
      </c>
      <c r="RZ19">
        <f>IF($B19=0,1000000,IF(INDEX('計算A'!$D$60:$EQ$104,$B19,99)*GV19=1,IF(AND($E19=2,MK19=0),1000000,IF($I19&gt;0,IF(5=$J19,IF(OR(AND(99=$I19+1,OR($K19&lt;&gt;'計算A'!$A$3,'計算A'!$A$4=0)),AND(99=$I19-1,OR(3&lt;&gt;'計算A'!$A$3,'計算A'!$A$4=0))),0,IF(3=$K19,200000,ABS(3-$K19)*100)),100000+ABS(5-$J19)*1000+30)+'計算A'!CX$5*50+IF(AND($E19=1,MK19=0),25,0),IF($F19&gt;0,INDEX('計算A'!CX$110:CX$114,$F19+1)+IF(AND($E19=1,MK19=0),1000,0),MIN(TY19,20)*400+(IF('計算A'!CW$106=1,1-GU19,0)+IF('計算A'!CX$106=1,1-GW19,0))*150+35+'計算A'!CX$5*100000+IF(AND($E19=1,MK19=0),50000,0))+IF($H19=1,(IF('計算A'!CW$117=1,INDEX('計算A'!CW$10:CW$54,$B19),0)+IF('計算A'!CX$117=1,INDEX('計算A'!CY$10:CY$54,$B19),0))*4000,0)-IF(AND('計算A'!CW$117=1,XU19&gt;0),2000,0)-IF(AND($L19=1,'計算A'!CX$117=1,GW19=0),2000,0))),1000000))</f>
        <v/>
      </c>
      <c r="SA19">
        <f>IF($B19=0,1000000,IF(INDEX('計算A'!$D$60:$EQ$104,$B19,100)*GW19=1,IF(AND($E19=2,ML19=0),1000000,IF($I19&gt;0,IF(5=$J19,IF(OR(AND(100=$I19+1,OR($K19&lt;&gt;'計算A'!$A$3,'計算A'!$A$4=0)),AND(100=$I19-1,OR(4&lt;&gt;'計算A'!$A$3,'計算A'!$A$4=0))),0,IF(4=$K19,200000,ABS(4-$K19)*100)),100000+ABS(5-$J19)*1000+40)+'計算A'!CY$5*50+IF(AND($E19=1,ML19=0),25,0),IF($F19&gt;0,INDEX('計算A'!CY$110:CY$114,$F19+1)+IF(AND($E19=1,ML19=0),1000,0),MIN(TY19,20)*400+(IF('計算A'!CX$106=1,1-GV19,0)+IF('計算A'!CY$106=1,1-GX19,0))*150+45+'計算A'!CY$5*100000+IF(AND($E19=1,ML19=0),50000,0))+IF($H19=1,(IF('計算A'!CX$117=1,INDEX('計算A'!CX$10:CX$54,$B19),0)+IF('計算A'!CY$117=1,INDEX('計算A'!CZ$10:CZ$54,$B19),0))*4000,0)-IF(AND('計算A'!CX$117=1,XV19&gt;0),2000,0)-IF(AND($L19=1,'計算A'!CY$117=1,GX19=0),2000,0))),1000000))</f>
        <v/>
      </c>
      <c r="SB19">
        <f>IF($B19=0,1000000,IF(INDEX('計算A'!$D$60:$EQ$104,$B19,101)*GX19=1,IF(AND($E19=2,MM19=0),1000000,IF($I19&gt;0,IF(5=$J19,IF(OR(AND(101=$I19+1,OR($K19&lt;&gt;'計算A'!$A$3,'計算A'!$A$4=0)),AND(101=$I19-1,OR(5&lt;&gt;'計算A'!$A$3,'計算A'!$A$4=0))),0,IF(5=$K19,200000,ABS(5-$K19)*100)),100000+ABS(5-$J19)*1000+50)+'計算A'!CZ$5*50+IF(AND($E19=1,MM19=0),25,0),IF($F19&gt;0,INDEX('計算A'!CZ$110:CZ$114,$F19+1)+IF(AND($E19=1,MM19=0),1000,0),MIN(TY19,20)*400+(IF('計算A'!CY$106=1,1-GW19,0)+IF('計算A'!CZ$106=1,1-GY19,0))*150+55+'計算A'!CZ$5*100000+IF(AND($E19=1,MM19=0),50000,0))+IF($H19=1,(IF('計算A'!CY$117=1,INDEX('計算A'!CY$10:CY$54,$B19),0)+IF('計算A'!CZ$117=1,INDEX('計算A'!DA$10:DA$54,$B19),0))*4000,0)-IF(AND('計算A'!CY$117=1,XW19&gt;0),2000,0)-IF(AND($L19=1,'計算A'!CZ$117=1,GY19=0),2000,0))),1000000))</f>
        <v/>
      </c>
      <c r="SC19">
        <f>IF($B19=0,1000000,IF(INDEX('計算A'!$D$60:$EQ$104,$B19,102)*GY19=1,IF(AND($E19=2,MN19=0),1000000,IF($I19&gt;0,IF(5=$J19,IF(OR(AND(102=$I19+1,OR($K19&lt;&gt;'計算A'!$A$3,'計算A'!$A$4=0)),AND(102=$I19-1,OR(6&lt;&gt;'計算A'!$A$3,'計算A'!$A$4=0))),0,IF(6=$K19,200000,ABS(6-$K19)*100)),100000+ABS(5-$J19)*1000+60)+'計算A'!DA$5*50+IF(AND($E19=1,MN19=0),25,0),IF($F19&gt;0,INDEX('計算A'!DA$110:DA$114,$F19+1)+IF(AND($E19=1,MN19=0),1000,0),MIN(TY19,20)*400+(IF('計算A'!CZ$106=1,1-GX19,0)+IF('計算A'!DA$106=1,1-GZ19,0))*150+65+'計算A'!DA$5*100000+IF(AND($E19=1,MN19=0),50000,0))+IF($H19=1,(IF('計算A'!CZ$117=1,INDEX('計算A'!CZ$10:CZ$54,$B19),0)+IF('計算A'!DA$117=1,INDEX('計算A'!DB$10:DB$54,$B19),0))*4000,0)-IF(AND('計算A'!CZ$117=1,XX19&gt;0),2000,0)-IF(AND($L19=1,'計算A'!DA$117=1,GZ19=0),2000,0))),1000000))</f>
        <v/>
      </c>
      <c r="SD19">
        <f>IF($B19=0,1000000,IF(INDEX('計算A'!$D$60:$EQ$104,$B19,103)*GZ19=1,IF(AND($E19=2,MO19=0),1000000,IF($I19&gt;0,IF(5=$J19,IF(OR(AND(103=$I19+1,OR($K19&lt;&gt;'計算A'!$A$3,'計算A'!$A$4=0)),AND(103=$I19-1,OR(7&lt;&gt;'計算A'!$A$3,'計算A'!$A$4=0))),0,IF(7=$K19,200000,ABS(7-$K19)*100)),100000+ABS(5-$J19)*1000+70)+'計算A'!DB$5*50+IF(AND($E19=1,MO19=0),25,0),IF($F19&gt;0,INDEX('計算A'!DB$110:DB$114,$F19+1)+IF(AND($E19=1,MO19=0),1000,0),MIN(TY19,20)*400+(IF('計算A'!DA$106=1,1-GY19,0)+IF('計算A'!DB$106=1,1-HA19,0))*150+75+'計算A'!DB$5*100000+IF(AND($E19=1,MO19=0),50000,0))+IF($H19=1,(IF('計算A'!DA$117=1,INDEX('計算A'!DA$10:DA$54,$B19),0)+IF('計算A'!DB$117=1,INDEX('計算A'!DC$10:DC$54,$B19),0))*4000,0)-IF(AND('計算A'!DA$117=1,XY19&gt;0),2000,0)-IF(AND($L19=1,'計算A'!DB$117=1,HA19=0),2000,0))),1000000))</f>
        <v/>
      </c>
      <c r="SE19">
        <f>IF($B19=0,1000000,IF(INDEX('計算A'!$D$60:$EQ$104,$B19,104)*HA19=1,IF(AND($E19=2,MP19=0),1000000,IF($I19&gt;0,IF(5=$J19,IF(OR(AND(104=$I19+1,OR($K19&lt;&gt;'計算A'!$A$3,'計算A'!$A$4=0)),AND(104=$I19-1,OR(8&lt;&gt;'計算A'!$A$3,'計算A'!$A$4=0))),0,IF(8=$K19,200000,ABS(8-$K19)*100)),100000+ABS(5-$J19)*1000+80)+'計算A'!DC$5*50+IF(AND($E19=1,MP19=0),25,0),IF($F19&gt;0,INDEX('計算A'!DC$110:DC$114,$F19+1)+IF(AND($E19=1,MP19=0),1000,0),MIN(TY19,20)*400+(IF('計算A'!DB$106=1,1-GZ19,0)+IF('計算A'!DC$106=1,1-HB19,0))*150+85+'計算A'!DC$5*100000+IF(AND($E19=1,MP19=0),50000,0))+IF($H19=1,(IF('計算A'!DB$117=1,INDEX('計算A'!DB$10:DB$54,$B19),0)+IF('計算A'!DC$117=1,INDEX('計算A'!DD$10:DD$54,$B19),0))*4000,0)-IF(AND('計算A'!DB$117=1,XZ19&gt;0),2000,0)-IF(AND($L19=1,'計算A'!DC$117=1,HB19=0),2000,0))),1000000))</f>
        <v/>
      </c>
      <c r="SF19">
        <f>IF($B19=0,1000000,IF(INDEX('計算A'!$D$60:$EQ$104,$B19,105)*HB19=1,IF(AND($E19=2,MQ19=0),1000000,IF($I19&gt;0,IF(5=$J19,IF(OR(AND(105=$I19+1,OR($K19&lt;&gt;'計算A'!$A$3,'計算A'!$A$4=0)),AND(105=$I19-1,OR(9&lt;&gt;'計算A'!$A$3,'計算A'!$A$4=0))),0,IF(9=$K19,200000,ABS(9-$K19)*100)),100000+ABS(5-$J19)*1000+90)+'計算A'!DD$5*50+IF(AND($E19=1,MQ19=0),25,0),IF($F19&gt;0,INDEX('計算A'!DD$110:DD$114,$F19+1)+IF(AND($E19=1,MQ19=0),1000,0),MIN(TY19,20)*400+(IF('計算A'!DC$106=1,1-HA19,0)+IF('計算A'!DD$106=1,1-HC19,0))*150+95+'計算A'!DD$5*100000+IF(AND($E19=1,MQ19=0),50000,0))+IF($H19=1,(IF('計算A'!DC$117=1,INDEX('計算A'!DC$10:DC$54,$B19),0)+IF('計算A'!DD$117=1,INDEX('計算A'!DE$10:DE$54,$B19),0))*4000,0)-IF(AND('計算A'!DC$117=1,YA19&gt;0),2000,0)-IF(AND($L19=1,'計算A'!DD$117=1,HC19=0),2000,0))),1000000))</f>
        <v/>
      </c>
      <c r="SG19">
        <f>IF($B19=0,1000000,IF(INDEX('計算A'!$D$60:$EQ$104,$B19,106)*HC19=1,IF(AND($E19=2,MR19=0),1000000,IF($I19&gt;0,IF(5=$J19,IF(OR(AND(106=$I19+1,OR($K19&lt;&gt;'計算A'!$A$3,'計算A'!$A$4=0)),AND(106=$I19-1,OR(10&lt;&gt;'計算A'!$A$3,'計算A'!$A$4=0))),0,IF(10=$K19,200000,ABS(10-$K19)*100)),100000+ABS(5-$J19)*1000+100)+'計算A'!DE$5*50+IF(AND($E19=1,MR19=0),25,0),IF($F19&gt;0,INDEX('計算A'!DE$110:DE$114,$F19+1)+IF(AND($E19=1,MR19=0),1000,0),MIN(TY19,20)*400+(IF('計算A'!DD$106=1,1-HB19,0)+IF('計算A'!DE$106=1,1-HD19,0))*150+105+'計算A'!DE$5*100000+IF(AND($E19=1,MR19=0),50000,0))+IF($H19=1,(IF('計算A'!DD$117=1,INDEX('計算A'!DD$10:DD$54,$B19),0)+IF('計算A'!DE$117=1,INDEX('計算A'!DF$10:DF$54,$B19),0))*4000,0)-IF(AND('計算A'!DD$117=1,YB19&gt;0),2000,0)-IF(AND($L19=1,'計算A'!DE$117=1,HD19=0),2000,0))),1000000))</f>
        <v/>
      </c>
      <c r="SH19">
        <f>IF($B19=0,1000000,IF(INDEX('計算A'!$D$60:$EQ$104,$B19,107)*HD19=1,IF(AND($E19=2,MS19=0),1000000,IF($I19&gt;0,IF(5=$J19,IF(OR(AND(107=$I19+1,OR($K19&lt;&gt;'計算A'!$A$3,'計算A'!$A$4=0)),AND(107=$I19-1,OR(11&lt;&gt;'計算A'!$A$3,'計算A'!$A$4=0))),0,IF(11=$K19,200000,ABS(11-$K19)*100)),100000+ABS(5-$J19)*1000+110)+'計算A'!DF$5*50+IF(AND($E19=1,MS19=0),25,0),IF($F19&gt;0,INDEX('計算A'!DF$110:DF$114,$F19+1)+IF(AND($E19=1,MS19=0),1000,0),MIN(TY19,20)*400+(IF('計算A'!DE$106=1,1-HC19,0)+IF('計算A'!DF$106=1,1-HE19,0))*150+115+'計算A'!DF$5*100000+IF(AND($E19=1,MS19=0),50000,0))+IF($H19=1,(IF('計算A'!DE$117=1,INDEX('計算A'!DE$10:DE$54,$B19),0)+IF('計算A'!DF$117=1,INDEX('計算A'!DG$10:DG$54,$B19),0))*4000,0)-IF(AND('計算A'!DE$117=1,YC19&gt;0),2000,0)-IF(AND($L19=1,'計算A'!DF$117=1,HE19=0),2000,0))),1000000))</f>
        <v/>
      </c>
      <c r="SI19">
        <f>IF($B19=0,1000000,IF(INDEX('計算A'!$D$60:$EQ$104,$B19,108)*HE19=1,IF(AND($E19=2,MT19=0),1000000,IF($I19&gt;0,IF(5=$J19,IF(OR(AND(108=$I19+1,OR($K19&lt;&gt;'計算A'!$A$3,'計算A'!$A$4=0)),AND(108=$I19-1,OR(12&lt;&gt;'計算A'!$A$3,'計算A'!$A$4=0))),0,IF(12=$K19,200000,ABS(12-$K19)*100)),100000+ABS(5-$J19)*1000+120)+'計算A'!DG$5*50+IF(AND($E19=1,MT19=0),25,0),IF($F19&gt;0,INDEX('計算A'!DG$110:DG$114,$F19+1)+IF(AND($E19=1,MT19=0),1000,0),MIN(TY19,20)*400+(IF('計算A'!DF$106=1,1-HD19,0)+IF('計算A'!DG$106=1,1-HF19,0))*150+125+'計算A'!DG$5*100000+IF(AND($E19=1,MT19=0),50000,0))+IF($H19=1,(IF('計算A'!DF$117=1,INDEX('計算A'!DF$10:DF$54,$B19),0)+IF('計算A'!DG$117=1,INDEX('計算A'!DH$10:DH$54,$B19),0))*4000,0)-IF(AND('計算A'!DF$117=1,YD19&gt;0),2000,0)-IF(AND($L19=1,'計算A'!DG$117=1,HF19=0),2000,0))),1000000))</f>
        <v/>
      </c>
      <c r="SJ19">
        <f>IF($B19=0,1000000,IF(INDEX('計算A'!$D$60:$EQ$104,$B19,109)*HF19=1,IF(AND($E19=2,MU19=0),1000000,IF($I19&gt;0,IF(5=$J19,IF(OR(AND(109=$I19+1,OR($K19&lt;&gt;'計算A'!$A$3,'計算A'!$A$4=0)),AND(109=$I19-1,OR(13&lt;&gt;'計算A'!$A$3,'計算A'!$A$4=0))),0,IF(13=$K19,200000,ABS(13-$K19)*100)),100000+ABS(5-$J19)*1000+130)+'計算A'!DH$5*50+IF(AND($E19=1,MU19=0),25,0),IF($F19&gt;0,INDEX('計算A'!DH$110:DH$114,$F19+1)+IF(AND($E19=1,MU19=0),1000,0),MIN(TY19,20)*400+(IF('計算A'!DG$106=1,1-HE19,0)+IF('計算A'!DH$106=1,1-HG19,0))*150+135+'計算A'!DH$5*100000+IF(AND($E19=1,MU19=0),50000,0))+IF($H19=1,(IF('計算A'!DG$117=1,INDEX('計算A'!DG$10:DG$54,$B19),0)+IF('計算A'!DH$117=1,INDEX('計算A'!DI$10:DI$54,$B19),0))*4000,0)-IF(AND('計算A'!DG$117=1,YE19&gt;0),2000,0)-IF(AND($L19=1,'計算A'!DH$117=1,HG19=0),2000,0))),1000000))</f>
        <v/>
      </c>
      <c r="SK19">
        <f>IF($B19=0,1000000,IF(INDEX('計算A'!$D$60:$EQ$104,$B19,110)*HG19=1,IF(AND($E19=2,MV19=0),1000000,IF($I19&gt;0,IF(5=$J19,IF(OR(AND(110=$I19+1,OR($K19&lt;&gt;'計算A'!$A$3,'計算A'!$A$4=0)),AND(110=$I19-1,OR(14&lt;&gt;'計算A'!$A$3,'計算A'!$A$4=0))),0,IF(14=$K19,200000,ABS(14-$K19)*100)),100000+ABS(5-$J19)*1000+140)+'計算A'!DI$5*50+IF(AND($E19=1,MV19=0),25,0),IF($F19&gt;0,INDEX('計算A'!DI$110:DI$114,$F19+1)+IF(AND($E19=1,MV19=0),1000,0),MIN(TY19,20)*400+(IF('計算A'!DH$106=1,1-HF19,0)+IF('計算A'!DI$106=1,1-HH19,0))*150+145+'計算A'!DI$5*100000+IF(AND($E19=1,MV19=0),50000,0))+IF($H19=1,(IF('計算A'!DH$117=1,INDEX('計算A'!DH$10:DH$54,$B19),0)+IF('計算A'!DI$117=1,INDEX('計算A'!DJ$10:DJ$54,$B19),0))*4000,0)-IF(AND('計算A'!DH$117=1,YF19&gt;0),2000,0)-IF(AND($L19=1,'計算A'!DI$117=1,HH19=0),2000,0))),1000000))</f>
        <v/>
      </c>
      <c r="SL19">
        <f>IF($B19=0,1000000,IF(INDEX('計算A'!$D$60:$EQ$104,$B19,111)*HH19=1,IF(AND($E19=2,MW19=0),1000000,IF($I19&gt;0,IF(5=$J19,IF(OR(AND(111=$I19+1,OR($K19&lt;&gt;'計算A'!$A$3,'計算A'!$A$4=0)),AND(111=$I19-1,OR(15&lt;&gt;'計算A'!$A$3,'計算A'!$A$4=0))),0,IF(15=$K19,200000,ABS(15-$K19)*100)),100000+ABS(5-$J19)*1000+150)+'計算A'!DJ$5*50+IF(AND($E19=1,MW19=0),25,0),IF($F19&gt;0,INDEX('計算A'!DJ$110:DJ$114,$F19+1)+IF(AND($E19=1,MW19=0),1000,0),MIN(TY19,20)*400+(IF('計算A'!DI$106=1,1-HG19,0)+IF('計算A'!DJ$106=1,1-HI19,0))*150+155+'計算A'!DJ$5*100000+IF(AND($E19=1,MW19=0),50000,0))+IF($H19=1,(IF('計算A'!DI$117=1,INDEX('計算A'!DI$10:DI$54,$B19),0)+IF('計算A'!DJ$117=1,INDEX('計算A'!DK$10:DK$54,$B19),0))*4000,0)-IF(AND('計算A'!DI$117=1,YG19&gt;0),2000,0)-IF(AND($L19=1,'計算A'!DJ$117=1,HI19=0),2000,0))),1000000))</f>
        <v/>
      </c>
      <c r="SM19">
        <f>IF($B19=0,1000000,IF(INDEX('計算A'!$D$60:$EQ$104,$B19,112)*HI19=1,IF(AND($E19=2,MX19=0),1000000,IF($I19&gt;0,IF(5=$J19,IF(OR(AND(112=$I19+1,OR($K19&lt;&gt;'計算A'!$A$3,'計算A'!$A$4=0)),AND(112=$I19-1,OR(16&lt;&gt;'計算A'!$A$3,'計算A'!$A$4=0))),0,IF(16=$K19,200000,ABS(16-$K19)*100)),100000+ABS(5-$J19)*1000+160)+'計算A'!DK$5*50+IF(AND($E19=1,MX19=0),25,0),IF($F19&gt;0,INDEX('計算A'!DK$110:DK$114,$F19+1)+IF(AND($E19=1,MX19=0),1000,0),MIN(TY19,20)*400+(IF('計算A'!DJ$106=1,1-HH19,0)+IF('計算A'!DK$106=1,1-HJ19,0))*150+165+'計算A'!DK$5*100000+IF(AND($E19=1,MX19=0),50000,0))+IF($H19=1,(IF('計算A'!DJ$117=1,INDEX('計算A'!DJ$10:DJ$54,$B19),0)+IF('計算A'!DK$117=1,INDEX('計算A'!DL$10:DL$54,$B19),0))*4000,0)-IF(AND('計算A'!DJ$117=1,YH19&gt;0),2000,0)-IF(AND($L19=1,'計算A'!DK$117=1,HJ19=0),2000,0))),1000000))</f>
        <v/>
      </c>
      <c r="SN19">
        <f>IF($B19=0,1000000,IF(INDEX('計算A'!$D$60:$EQ$104,$B19,113)*HJ19=1,IF(AND($E19=2,MY19=0),1000000,IF($I19&gt;0,IF(5=$J19,IF(OR(AND(113=$I19+1,OR($K19&lt;&gt;'計算A'!$A$3,'計算A'!$A$4=0)),AND(113=$I19-1,OR(17&lt;&gt;'計算A'!$A$3,'計算A'!$A$4=0))),0,IF(17=$K19,200000,ABS(17-$K19)*100)),100000+ABS(5-$J19)*1000+170)+'計算A'!DL$5*50+IF(AND($E19=1,MY19=0),25,0),IF($F19&gt;0,INDEX('計算A'!DL$110:DL$114,$F19+1)+IF(AND($E19=1,MY19=0),1000,0),MIN(TY19,20)*400+(IF('計算A'!DK$106=1,1-HI19,0)+IF('計算A'!DL$106=1,1-HK19,0))*150+175+'計算A'!DL$5*100000+IF(AND($E19=1,MY19=0),50000,0))+IF($H19=1,(IF('計算A'!DK$117=1,INDEX('計算A'!DK$10:DK$54,$B19),0)+IF('計算A'!DL$117=1,INDEX('計算A'!DM$10:DM$54,$B19),0))*4000,0)-IF(AND('計算A'!DK$117=1,YI19&gt;0),2000,0)-IF(AND($L19=1,'計算A'!DL$117=1,HK19=0),2000,0))),1000000))</f>
        <v/>
      </c>
      <c r="SO19">
        <f>IF($B19=0,1000000,IF(INDEX('計算A'!$D$60:$EQ$104,$B19,114)*HK19=1,IF(AND($E19=2,MZ19=0),1000000,IF($I19&gt;0,IF(5=$J19,IF(OR(AND(114=$I19+1,OR($K19&lt;&gt;'計算A'!$A$3,'計算A'!$A$4=0)),AND(114=$I19-1,OR(18&lt;&gt;'計算A'!$A$3,'計算A'!$A$4=0))),0,IF(18=$K19,200000,ABS(18-$K19)*100)),100000+ABS(5-$J19)*1000+180)+'計算A'!DM$5*50+IF(AND($E19=1,MZ19=0),25,0),IF($F19&gt;0,INDEX('計算A'!DM$110:DM$114,$F19+1)+IF(AND($E19=1,MZ19=0),1000,0),MIN(TY19,20)*400+(IF('計算A'!DL$106=1,1-HJ19,0)+IF('計算A'!DM$106=1,1-HL19,0))*150+185+'計算A'!DM$5*100000+IF(AND($E19=1,MZ19=0),50000,0))+IF($H19=1,(IF('計算A'!DL$117=1,INDEX('計算A'!DL$10:DL$54,$B19),0)+IF('計算A'!DM$117=1,INDEX('計算A'!DN$10:DN$54,$B19),0))*4000,0)-IF(AND('計算A'!DL$117=1,YJ19&gt;0),2000,0)-IF(AND($L19=1,'計算A'!DM$117=1,HL19=0),2000,0))),1000000))</f>
        <v/>
      </c>
      <c r="SP19">
        <f>IF($B19=0,1000000,IF(INDEX('計算A'!$D$60:$EQ$104,$B19,115)*HL19=1,IF(AND($E19=2,NA19=0),1000000,IF($I19&gt;0,IF(5=$J19,IF(OR(AND(115=$I19+1,OR($K19&lt;&gt;'計算A'!$A$3,'計算A'!$A$4=0)),AND(115=$I19-1,OR(19&lt;&gt;'計算A'!$A$3,'計算A'!$A$4=0))),0,IF(19=$K19,200000,ABS(19-$K19)*100)),100000+ABS(5-$J19)*1000+190)+'計算A'!DN$5*50+IF(AND($E19=1,NA19=0),25,0),IF($F19&gt;0,INDEX('計算A'!DN$110:DN$114,$F19+1)+IF(AND($E19=1,NA19=0),1000,0),MIN(TY19,20)*400+(IF('計算A'!DM$106=1,1-HK19,0)+IF('計算A'!DN$106=1,1-HM19,0))*150+195+'計算A'!DN$5*100000+IF(AND($E19=1,NA19=0),50000,0))+IF($H19=1,(IF('計算A'!DM$117=1,INDEX('計算A'!DM$10:DM$54,$B19),0)+IF('計算A'!DN$117=1,INDEX('計算A'!DO$10:DO$54,$B19),0))*4000,0)-IF(AND('計算A'!DM$117=1,YK19&gt;0),2000,0)-IF(AND($L19=1,'計算A'!DN$117=1,HM19=0),2000,0))),1000000))</f>
        <v/>
      </c>
      <c r="SQ19">
        <f>IF($B19=0,1000000,IF(INDEX('計算A'!$D$60:$EQ$104,$B19,116)*HM19=1,IF(AND($E19=2,NB19=0),1000000,IF($I19&gt;0,IF(5=$J19,IF(OR(AND(116=$I19+1,OR($K19&lt;&gt;'計算A'!$A$3,'計算A'!$A$4=0)),AND(116=$I19-1,OR(20&lt;&gt;'計算A'!$A$3,'計算A'!$A$4=0))),0,IF(20=$K19,200000,ABS(20-$K19)*100)),100000+ABS(5-$J19)*1000+200)+'計算A'!DO$5*50+IF(AND($E19=1,NB19=0),25,0),IF($F19&gt;0,INDEX('計算A'!DO$110:DO$114,$F19+1)+IF(AND($E19=1,NB19=0),1000,0),MIN(TY19,20)*400+(IF('計算A'!DN$106=1,1-HL19,0)+IF('計算A'!DO$106=1,1-HN19,0))*150+205+'計算A'!DO$5*100000+IF(AND($E19=1,NB19=0),50000,0))+IF($H19=1,(IF('計算A'!DN$117=1,INDEX('計算A'!DN$10:DN$54,$B19),0)+IF('計算A'!DO$117=1,INDEX('計算A'!DP$10:DP$54,$B19),0))*4000,0)-IF(AND('計算A'!DN$117=1,YL19&gt;0),2000,0)-IF(AND($L19=1,'計算A'!DO$117=1,HN19=0),2000,0))),1000000))</f>
        <v/>
      </c>
      <c r="SR19">
        <f>IF($B19=0,1000000,IF(INDEX('計算A'!$D$60:$EQ$104,$B19,117)*HN19=1,IF(AND($E19=2,NC19=0),1000000,IF($I19&gt;0,IF(5=$J19,IF(OR(AND(117=$I19+1,OR($K19&lt;&gt;'計算A'!$A$3,'計算A'!$A$4=0)),AND(117=$I19-1,OR(21&lt;&gt;'計算A'!$A$3,'計算A'!$A$4=0))),0,IF(21=$K19,200000,ABS(21-$K19)*100)),100000+ABS(5-$J19)*1000+210)+'計算A'!DP$5*50+IF(AND($E19=1,NC19=0),25,0),IF($F19&gt;0,INDEX('計算A'!DP$110:DP$114,$F19+1)+IF(AND($E19=1,NC19=0),1000,0),MIN(TY19,20)*400+(IF('計算A'!DO$106=1,1-HM19,0)+IF('計算A'!DP$106=1,1-HO19,0))*150+215+'計算A'!DP$5*100000+IF(AND($E19=1,NC19=0),50000,0))+IF($H19=1,(IF('計算A'!DO$117=1,INDEX('計算A'!DO$10:DO$54,$B19),0)+IF('計算A'!DP$117=1,INDEX('計算A'!DQ$10:DQ$54,$B19),0))*4000,0)-IF(AND('計算A'!DO$117=1,YM19&gt;0),2000,0)-IF(AND($L19=1,'計算A'!DP$117=1,HO19=0),2000,0))),1000000))</f>
        <v/>
      </c>
      <c r="SS19">
        <f>IF($B19=0,1000000,IF(INDEX('計算A'!$D$60:$EQ$104,$B19,118)*HO19=1,IF(AND($E19=2,ND19=0),1000000,IF($I19&gt;0,IF(5=$J19,IF(OR(AND(118=$I19+1,OR($K19&lt;&gt;'計算A'!$A$3,'計算A'!$A$4=0)),AND(118=$I19-1,OR(22&lt;&gt;'計算A'!$A$3,'計算A'!$A$4=0))),0,IF(22=$K19,200000,ABS(22-$K19)*100)),100000+ABS(5-$J19)*1000+220)+'計算A'!DQ$5*50+IF(AND($E19=1,ND19=0),25,0),IF($F19&gt;0,INDEX('計算A'!DQ$110:DQ$114,$F19+1)+IF(AND($E19=1,ND19=0),1000,0),MIN(TY19,20)*400+(IF('計算A'!DP$106=1,1-HN19,0)+IF('計算A'!DQ$106=1,1-HP19,0))*150+225+'計算A'!DQ$5*100000+IF(AND($E19=1,ND19=0),50000,0))+IF($H19=1,(IF('計算A'!DP$117=1,INDEX('計算A'!DP$10:DP$54,$B19),0)+IF('計算A'!DQ$117=1,INDEX('計算A'!DR$10:DR$54,$B19),0))*4000,0)-IF(AND('計算A'!DP$117=1,YN19&gt;0),2000,0)-IF(AND($L19=1,'計算A'!DQ$117=1,HP19=0),2000,0))),1000000))</f>
        <v/>
      </c>
      <c r="ST19">
        <f>IF($B19=0,1000000,IF(INDEX('計算A'!$D$60:$EQ$104,$B19,119)*HP19=1,IF(AND($E19=2,NE19=0),1000000,IF($I19&gt;0,IF(5=$J19,IF(OR(AND(119=$I19+1,OR($K19&lt;&gt;'計算A'!$A$3,'計算A'!$A$4=0)),AND(119=$I19-1,OR(23&lt;&gt;'計算A'!$A$3,'計算A'!$A$4=0))),0,IF(23=$K19,200000,ABS(23-$K19)*100)),100000+ABS(5-$J19)*1000+230)+'計算A'!DR$5*50+IF(AND($E19=1,NE19=0),25,0),IF($F19&gt;0,INDEX('計算A'!DR$110:DR$114,$F19+1)+IF(AND($E19=1,NE19=0),1000,0),MIN(TY19,20)*400+(IF('計算A'!DQ$106=1,1-HO19,0)+IF('計算A'!DR$106=1,1-HQ19,0))*150+235+'計算A'!DR$5*100000+IF(AND($E19=1,NE19=0),50000,0))+IF($H19=1,(IF('計算A'!DQ$117=1,INDEX('計算A'!DQ$10:DQ$54,$B19),0)+IF('計算A'!DR$117=1,INDEX('計算A'!DS$10:DS$54,$B19),0))*4000,0)-IF(AND('計算A'!DQ$117=1,YO19&gt;0),2000,0)-IF(AND($L19=1,'計算A'!DR$117=1,HQ19=0),2000,0))),1000000))</f>
        <v/>
      </c>
      <c r="SU19">
        <f>IF($B19=0,1000000,IF(INDEX('計算A'!$D$60:$EQ$104,$B19,120)*HQ19=1,IF(AND($E19=2,NF19=0),1000000,IF($I19&gt;0,IF(5=$J19,IF(OR(AND(120=$I19+1,OR($K19&lt;&gt;'計算A'!$A$3,'計算A'!$A$4=0)),AND(120=$I19-1,OR(24&lt;&gt;'計算A'!$A$3,'計算A'!$A$4=0))),0,IF(24=$K19,200000,ABS(24-$K19)*100)),100000+ABS(5-$J19)*1000+240)+'計算A'!DS$5*50+IF(AND($E19=1,NF19=0),25,0),IF($F19&gt;0,INDEX('計算A'!DS$110:DS$114,$F19+1)+IF(AND($E19=1,NF19=0),1000,0),MIN(TY19,20)*400+(IF('計算A'!DR$106=1,1-HP19,0))*150+245+'計算A'!DS$5*100000+IF(AND($E19=1,NF19=0),50000,0))+IF($H19=1,(IF('計算A'!DR$117=1,INDEX('計算A'!DR$10:DR$54,$B19),0))*4000,0)-IF(AND('計算A'!DR$117=1,YP19&gt;0),2000,0))),1000000))</f>
        <v/>
      </c>
      <c r="SV19">
        <f>IF($B19=0,1000000,IF(INDEX('計算A'!$D$60:$EQ$104,$B19,121)*HR19=1,IF(AND($E19=2,NG19=0),1000000,IF($I19&gt;0,IF(6=$J19,IF(OR(AND(121=$I19+1,OR($K19&lt;&gt;'計算A'!$A$3,'計算A'!$A$4=0)),AND(121=$I19-1,OR(1&lt;&gt;'計算A'!$A$3,'計算A'!$A$4=0))),0,IF(1=$K19,200000,ABS(1-$K19)*100)),100000+ABS(6-$J19)*1000+10)+'計算A'!DT$5*50+IF(AND($E19=1,NG19=0),25,0),IF($F19&gt;0,INDEX('計算A'!DT$110:DT$114,$F19+1)+IF(AND($E19=1,NG19=0),1000,0),MIN(TZ19,20)*400+(IF('計算A'!DT$106=1,1-HS19,0))*150+16+'計算A'!DT$5*100000+IF(AND($E19=1,NG19=0),50000,0))+IF($H19=1,(IF('計算A'!DT$117=1,INDEX('計算A'!DU$10:DU$54,$B19),0))*4000,0)-IF(AND($L19=1,'計算A'!DT$117=1,HS19=0),2000,0))),1000000))</f>
        <v/>
      </c>
      <c r="SW19">
        <f>IF($B19=0,1000000,IF(INDEX('計算A'!$D$60:$EQ$104,$B19,122)*HS19=1,IF(AND($E19=2,NH19=0),1000000,IF($I19&gt;0,IF(6=$J19,IF(OR(AND(122=$I19+1,OR($K19&lt;&gt;'計算A'!$A$3,'計算A'!$A$4=0)),AND(122=$I19-1,OR(2&lt;&gt;'計算A'!$A$3,'計算A'!$A$4=0))),0,IF(2=$K19,200000,ABS(2-$K19)*100)),100000+ABS(6-$J19)*1000+20)+'計算A'!DU$5*50+IF(AND($E19=1,NH19=0),25,0),IF($F19&gt;0,INDEX('計算A'!DU$110:DU$114,$F19+1)+IF(AND($E19=1,NH19=0),1000,0),MIN(TZ19,20)*400+(IF('計算A'!DT$106=1,1-HR19,0)+IF('計算A'!DU$106=1,1-HT19,0))*150+26+'計算A'!DU$5*100000+IF(AND($E19=1,NH19=0),50000,0))+IF($H19=1,(IF('計算A'!DT$117=1,INDEX('計算A'!DT$10:DT$54,$B19),0)+IF('計算A'!DU$117=1,INDEX('計算A'!DV$10:DV$54,$B19),0))*4000,0)-IF(AND('計算A'!DT$117=1,YR19&gt;0),2000,0)-IF(AND($L19=1,'計算A'!DU$117=1,HT19=0),2000,0))),1000000))</f>
        <v/>
      </c>
      <c r="SX19">
        <f>IF($B19=0,1000000,IF(INDEX('計算A'!$D$60:$EQ$104,$B19,123)*HT19=1,IF(AND($E19=2,NI19=0),1000000,IF($I19&gt;0,IF(6=$J19,IF(OR(AND(123=$I19+1,OR($K19&lt;&gt;'計算A'!$A$3,'計算A'!$A$4=0)),AND(123=$I19-1,OR(3&lt;&gt;'計算A'!$A$3,'計算A'!$A$4=0))),0,IF(3=$K19,200000,ABS(3-$K19)*100)),100000+ABS(6-$J19)*1000+30)+'計算A'!DV$5*50+IF(AND($E19=1,NI19=0),25,0),IF($F19&gt;0,INDEX('計算A'!DV$110:DV$114,$F19+1)+IF(AND($E19=1,NI19=0),1000,0),MIN(TZ19,20)*400+(IF('計算A'!DU$106=1,1-HS19,0)+IF('計算A'!DV$106=1,1-HU19,0))*150+36+'計算A'!DV$5*100000+IF(AND($E19=1,NI19=0),50000,0))+IF($H19=1,(IF('計算A'!DU$117=1,INDEX('計算A'!DU$10:DU$54,$B19),0)+IF('計算A'!DV$117=1,INDEX('計算A'!DW$10:DW$54,$B19),0))*4000,0)-IF(AND('計算A'!DU$117=1,YS19&gt;0),2000,0)-IF(AND($L19=1,'計算A'!DV$117=1,HU19=0),2000,0))),1000000))</f>
        <v/>
      </c>
      <c r="SY19">
        <f>IF($B19=0,1000000,IF(INDEX('計算A'!$D$60:$EQ$104,$B19,124)*HU19=1,IF(AND($E19=2,NJ19=0),1000000,IF($I19&gt;0,IF(6=$J19,IF(OR(AND(124=$I19+1,OR($K19&lt;&gt;'計算A'!$A$3,'計算A'!$A$4=0)),AND(124=$I19-1,OR(4&lt;&gt;'計算A'!$A$3,'計算A'!$A$4=0))),0,IF(4=$K19,200000,ABS(4-$K19)*100)),100000+ABS(6-$J19)*1000+40)+'計算A'!DW$5*50+IF(AND($E19=1,NJ19=0),25,0),IF($F19&gt;0,INDEX('計算A'!DW$110:DW$114,$F19+1)+IF(AND($E19=1,NJ19=0),1000,0),MIN(TZ19,20)*400+(IF('計算A'!DV$106=1,1-HT19,0)+IF('計算A'!DW$106=1,1-HV19,0))*150+46+'計算A'!DW$5*100000+IF(AND($E19=1,NJ19=0),50000,0))+IF($H19=1,(IF('計算A'!DV$117=1,INDEX('計算A'!DV$10:DV$54,$B19),0)+IF('計算A'!DW$117=1,INDEX('計算A'!DX$10:DX$54,$B19),0))*4000,0)-IF(AND('計算A'!DV$117=1,YT19&gt;0),2000,0)-IF(AND($L19=1,'計算A'!DW$117=1,HV19=0),2000,0))),1000000))</f>
        <v/>
      </c>
      <c r="SZ19">
        <f>IF($B19=0,1000000,IF(INDEX('計算A'!$D$60:$EQ$104,$B19,125)*HV19=1,IF(AND($E19=2,NK19=0),1000000,IF($I19&gt;0,IF(6=$J19,IF(OR(AND(125=$I19+1,OR($K19&lt;&gt;'計算A'!$A$3,'計算A'!$A$4=0)),AND(125=$I19-1,OR(5&lt;&gt;'計算A'!$A$3,'計算A'!$A$4=0))),0,IF(5=$K19,200000,ABS(5-$K19)*100)),100000+ABS(6-$J19)*1000+50)+'計算A'!DX$5*50+IF(AND($E19=1,NK19=0),25,0),IF($F19&gt;0,INDEX('計算A'!DX$110:DX$114,$F19+1)+IF(AND($E19=1,NK19=0),1000,0),MIN(TZ19,20)*400+(IF('計算A'!DW$106=1,1-HU19,0)+IF('計算A'!DX$106=1,1-HW19,0))*150+56+'計算A'!DX$5*100000+IF(AND($E19=1,NK19=0),50000,0))+IF($H19=1,(IF('計算A'!DW$117=1,INDEX('計算A'!DW$10:DW$54,$B19),0)+IF('計算A'!DX$117=1,INDEX('計算A'!DY$10:DY$54,$B19),0))*4000,0)-IF(AND('計算A'!DW$117=1,YU19&gt;0),2000,0)-IF(AND($L19=1,'計算A'!DX$117=1,HW19=0),2000,0))),1000000))</f>
        <v/>
      </c>
      <c r="TA19">
        <f>IF($B19=0,1000000,IF(INDEX('計算A'!$D$60:$EQ$104,$B19,126)*HW19=1,IF(AND($E19=2,NL19=0),1000000,IF($I19&gt;0,IF(6=$J19,IF(OR(AND(126=$I19+1,OR($K19&lt;&gt;'計算A'!$A$3,'計算A'!$A$4=0)),AND(126=$I19-1,OR(6&lt;&gt;'計算A'!$A$3,'計算A'!$A$4=0))),0,IF(6=$K19,200000,ABS(6-$K19)*100)),100000+ABS(6-$J19)*1000+60)+'計算A'!DY$5*50+IF(AND($E19=1,NL19=0),25,0),IF($F19&gt;0,INDEX('計算A'!DY$110:DY$114,$F19+1)+IF(AND($E19=1,NL19=0),1000,0),MIN(TZ19,20)*400+(IF('計算A'!DX$106=1,1-HV19,0)+IF('計算A'!DY$106=1,1-HX19,0))*150+66+'計算A'!DY$5*100000+IF(AND($E19=1,NL19=0),50000,0))+IF($H19=1,(IF('計算A'!DX$117=1,INDEX('計算A'!DX$10:DX$54,$B19),0)+IF('計算A'!DY$117=1,INDEX('計算A'!DZ$10:DZ$54,$B19),0))*4000,0)-IF(AND('計算A'!DX$117=1,YV19&gt;0),2000,0)-IF(AND($L19=1,'計算A'!DY$117=1,HX19=0),2000,0))),1000000))</f>
        <v/>
      </c>
      <c r="TB19">
        <f>IF($B19=0,1000000,IF(INDEX('計算A'!$D$60:$EQ$104,$B19,127)*HX19=1,IF(AND($E19=2,NM19=0),1000000,IF($I19&gt;0,IF(6=$J19,IF(OR(AND(127=$I19+1,OR($K19&lt;&gt;'計算A'!$A$3,'計算A'!$A$4=0)),AND(127=$I19-1,OR(7&lt;&gt;'計算A'!$A$3,'計算A'!$A$4=0))),0,IF(7=$K19,200000,ABS(7-$K19)*100)),100000+ABS(6-$J19)*1000+70)+'計算A'!DZ$5*50+IF(AND($E19=1,NM19=0),25,0),IF($F19&gt;0,INDEX('計算A'!DZ$110:DZ$114,$F19+1)+IF(AND($E19=1,NM19=0),1000,0),MIN(TZ19,20)*400+(IF('計算A'!DY$106=1,1-HW19,0)+IF('計算A'!DZ$106=1,1-HY19,0))*150+76+'計算A'!DZ$5*100000+IF(AND($E19=1,NM19=0),50000,0))+IF($H19=1,(IF('計算A'!DY$117=1,INDEX('計算A'!DY$10:DY$54,$B19),0)+IF('計算A'!DZ$117=1,INDEX('計算A'!EA$10:EA$54,$B19),0))*4000,0)-IF(AND('計算A'!DY$117=1,YW19&gt;0),2000,0)-IF(AND($L19=1,'計算A'!DZ$117=1,HY19=0),2000,0))),1000000))</f>
        <v/>
      </c>
      <c r="TC19">
        <f>IF($B19=0,1000000,IF(INDEX('計算A'!$D$60:$EQ$104,$B19,128)*HY19=1,IF(AND($E19=2,NN19=0),1000000,IF($I19&gt;0,IF(6=$J19,IF(OR(AND(128=$I19+1,OR($K19&lt;&gt;'計算A'!$A$3,'計算A'!$A$4=0)),AND(128=$I19-1,OR(8&lt;&gt;'計算A'!$A$3,'計算A'!$A$4=0))),0,IF(8=$K19,200000,ABS(8-$K19)*100)),100000+ABS(6-$J19)*1000+80)+'計算A'!EA$5*50+IF(AND($E19=1,NN19=0),25,0),IF($F19&gt;0,INDEX('計算A'!EA$110:EA$114,$F19+1)+IF(AND($E19=1,NN19=0),1000,0),MIN(TZ19,20)*400+(IF('計算A'!DZ$106=1,1-HX19,0)+IF('計算A'!EA$106=1,1-HZ19,0))*150+86+'計算A'!EA$5*100000+IF(AND($E19=1,NN19=0),50000,0))+IF($H19=1,(IF('計算A'!DZ$117=1,INDEX('計算A'!DZ$10:DZ$54,$B19),0)+IF('計算A'!EA$117=1,INDEX('計算A'!EB$10:EB$54,$B19),0))*4000,0)-IF(AND('計算A'!DZ$117=1,YX19&gt;0),2000,0)-IF(AND($L19=1,'計算A'!EA$117=1,HZ19=0),2000,0))),1000000))</f>
        <v/>
      </c>
      <c r="TD19">
        <f>IF($B19=0,1000000,IF(INDEX('計算A'!$D$60:$EQ$104,$B19,129)*HZ19=1,IF(AND($E19=2,NO19=0),1000000,IF($I19&gt;0,IF(6=$J19,IF(OR(AND(129=$I19+1,OR($K19&lt;&gt;'計算A'!$A$3,'計算A'!$A$4=0)),AND(129=$I19-1,OR(9&lt;&gt;'計算A'!$A$3,'計算A'!$A$4=0))),0,IF(9=$K19,200000,ABS(9-$K19)*100)),100000+ABS(6-$J19)*1000+90)+'計算A'!EB$5*50+IF(AND($E19=1,NO19=0),25,0),IF($F19&gt;0,INDEX('計算A'!EB$110:EB$114,$F19+1)+IF(AND($E19=1,NO19=0),1000,0),MIN(TZ19,20)*400+(IF('計算A'!EA$106=1,1-HY19,0)+IF('計算A'!EB$106=1,1-IA19,0))*150+96+'計算A'!EB$5*100000+IF(AND($E19=1,NO19=0),50000,0))+IF($H19=1,(IF('計算A'!EA$117=1,INDEX('計算A'!EA$10:EA$54,$B19),0)+IF('計算A'!EB$117=1,INDEX('計算A'!EC$10:EC$54,$B19),0))*4000,0)-IF(AND('計算A'!EA$117=1,YY19&gt;0),2000,0)-IF(AND($L19=1,'計算A'!EB$117=1,IA19=0),2000,0))),1000000))</f>
        <v/>
      </c>
      <c r="TE19">
        <f>IF($B19=0,1000000,IF(INDEX('計算A'!$D$60:$EQ$104,$B19,130)*IA19=1,IF(AND($E19=2,NP19=0),1000000,IF($I19&gt;0,IF(6=$J19,IF(OR(AND(130=$I19+1,OR($K19&lt;&gt;'計算A'!$A$3,'計算A'!$A$4=0)),AND(130=$I19-1,OR(10&lt;&gt;'計算A'!$A$3,'計算A'!$A$4=0))),0,IF(10=$K19,200000,ABS(10-$K19)*100)),100000+ABS(6-$J19)*1000+100)+'計算A'!EC$5*50+IF(AND($E19=1,NP19=0),25,0),IF($F19&gt;0,INDEX('計算A'!EC$110:EC$114,$F19+1)+IF(AND($E19=1,NP19=0),1000,0),MIN(TZ19,20)*400+(IF('計算A'!EB$106=1,1-HZ19,0)+IF('計算A'!EC$106=1,1-IB19,0))*150+106+'計算A'!EC$5*100000+IF(AND($E19=1,NP19=0),50000,0))+IF($H19=1,(IF('計算A'!EB$117=1,INDEX('計算A'!EB$10:EB$54,$B19),0)+IF('計算A'!EC$117=1,INDEX('計算A'!ED$10:ED$54,$B19),0))*4000,0)-IF(AND('計算A'!EB$117=1,YZ19&gt;0),2000,0)-IF(AND($L19=1,'計算A'!EC$117=1,IB19=0),2000,0))),1000000))</f>
        <v/>
      </c>
      <c r="TF19">
        <f>IF($B19=0,1000000,IF(INDEX('計算A'!$D$60:$EQ$104,$B19,131)*IB19=1,IF(AND($E19=2,NQ19=0),1000000,IF($I19&gt;0,IF(6=$J19,IF(OR(AND(131=$I19+1,OR($K19&lt;&gt;'計算A'!$A$3,'計算A'!$A$4=0)),AND(131=$I19-1,OR(11&lt;&gt;'計算A'!$A$3,'計算A'!$A$4=0))),0,IF(11=$K19,200000,ABS(11-$K19)*100)),100000+ABS(6-$J19)*1000+110)+'計算A'!ED$5*50+IF(AND($E19=1,NQ19=0),25,0),IF($F19&gt;0,INDEX('計算A'!ED$110:ED$114,$F19+1)+IF(AND($E19=1,NQ19=0),1000,0),MIN(TZ19,20)*400+(IF('計算A'!EC$106=1,1-IA19,0)+IF('計算A'!ED$106=1,1-IC19,0))*150+116+'計算A'!ED$5*100000+IF(AND($E19=1,NQ19=0),50000,0))+IF($H19=1,(IF('計算A'!EC$117=1,INDEX('計算A'!EC$10:EC$54,$B19),0)+IF('計算A'!ED$117=1,INDEX('計算A'!EE$10:EE$54,$B19),0))*4000,0)-IF(AND('計算A'!EC$117=1,ZA19&gt;0),2000,0)-IF(AND($L19=1,'計算A'!ED$117=1,IC19=0),2000,0))),1000000))</f>
        <v/>
      </c>
      <c r="TG19">
        <f>IF($B19=0,1000000,IF(INDEX('計算A'!$D$60:$EQ$104,$B19,132)*IC19=1,IF(AND($E19=2,NR19=0),1000000,IF($I19&gt;0,IF(6=$J19,IF(OR(AND(132=$I19+1,OR($K19&lt;&gt;'計算A'!$A$3,'計算A'!$A$4=0)),AND(132=$I19-1,OR(12&lt;&gt;'計算A'!$A$3,'計算A'!$A$4=0))),0,IF(12=$K19,200000,ABS(12-$K19)*100)),100000+ABS(6-$J19)*1000+120)+'計算A'!EE$5*50+IF(AND($E19=1,NR19=0),25,0),IF($F19&gt;0,INDEX('計算A'!EE$110:EE$114,$F19+1)+IF(AND($E19=1,NR19=0),1000,0),MIN(TZ19,20)*400+(IF('計算A'!ED$106=1,1-IB19,0)+IF('計算A'!EE$106=1,1-ID19,0))*150+126+'計算A'!EE$5*100000+IF(AND($E19=1,NR19=0),50000,0))+IF($H19=1,(IF('計算A'!ED$117=1,INDEX('計算A'!ED$10:ED$54,$B19),0)+IF('計算A'!EE$117=1,INDEX('計算A'!EF$10:EF$54,$B19),0))*4000,0)-IF(AND('計算A'!ED$117=1,ZB19&gt;0),2000,0)-IF(AND($L19=1,'計算A'!EE$117=1,ID19=0),2000,0))),1000000))</f>
        <v/>
      </c>
      <c r="TH19">
        <f>IF($B19=0,1000000,IF(INDEX('計算A'!$D$60:$EQ$104,$B19,133)*ID19=1,IF(AND($E19=2,NS19=0),1000000,IF($I19&gt;0,IF(6=$J19,IF(OR(AND(133=$I19+1,OR($K19&lt;&gt;'計算A'!$A$3,'計算A'!$A$4=0)),AND(133=$I19-1,OR(13&lt;&gt;'計算A'!$A$3,'計算A'!$A$4=0))),0,IF(13=$K19,200000,ABS(13-$K19)*100)),100000+ABS(6-$J19)*1000+130)+'計算A'!EF$5*50+IF(AND($E19=1,NS19=0),25,0),IF($F19&gt;0,INDEX('計算A'!EF$110:EF$114,$F19+1)+IF(AND($E19=1,NS19=0),1000,0),MIN(TZ19,20)*400+(IF('計算A'!EE$106=1,1-IC19,0)+IF('計算A'!EF$106=1,1-IE19,0))*150+136+'計算A'!EF$5*100000+IF(AND($E19=1,NS19=0),50000,0))+IF($H19=1,(IF('計算A'!EE$117=1,INDEX('計算A'!EE$10:EE$54,$B19),0)+IF('計算A'!EF$117=1,INDEX('計算A'!EG$10:EG$54,$B19),0))*4000,0)-IF(AND('計算A'!EE$117=1,ZC19&gt;0),2000,0)-IF(AND($L19=1,'計算A'!EF$117=1,IE19=0),2000,0))),1000000))</f>
        <v/>
      </c>
      <c r="TI19">
        <f>IF($B19=0,1000000,IF(INDEX('計算A'!$D$60:$EQ$104,$B19,134)*IE19=1,IF(AND($E19=2,NT19=0),1000000,IF($I19&gt;0,IF(6=$J19,IF(OR(AND(134=$I19+1,OR($K19&lt;&gt;'計算A'!$A$3,'計算A'!$A$4=0)),AND(134=$I19-1,OR(14&lt;&gt;'計算A'!$A$3,'計算A'!$A$4=0))),0,IF(14=$K19,200000,ABS(14-$K19)*100)),100000+ABS(6-$J19)*1000+140)+'計算A'!EG$5*50+IF(AND($E19=1,NT19=0),25,0),IF($F19&gt;0,INDEX('計算A'!EG$110:EG$114,$F19+1)+IF(AND($E19=1,NT19=0),1000,0),MIN(TZ19,20)*400+(IF('計算A'!EF$106=1,1-ID19,0)+IF('計算A'!EG$106=1,1-IF19,0))*150+146+'計算A'!EG$5*100000+IF(AND($E19=1,NT19=0),50000,0))+IF($H19=1,(IF('計算A'!EF$117=1,INDEX('計算A'!EF$10:EF$54,$B19),0)+IF('計算A'!EG$117=1,INDEX('計算A'!EH$10:EH$54,$B19),0))*4000,0)-IF(AND('計算A'!EF$117=1,ZD19&gt;0),2000,0)-IF(AND($L19=1,'計算A'!EG$117=1,IF19=0),2000,0))),1000000))</f>
        <v/>
      </c>
      <c r="TJ19">
        <f>IF($B19=0,1000000,IF(INDEX('計算A'!$D$60:$EQ$104,$B19,135)*IF19=1,IF(AND($E19=2,NU19=0),1000000,IF($I19&gt;0,IF(6=$J19,IF(OR(AND(135=$I19+1,OR($K19&lt;&gt;'計算A'!$A$3,'計算A'!$A$4=0)),AND(135=$I19-1,OR(15&lt;&gt;'計算A'!$A$3,'計算A'!$A$4=0))),0,IF(15=$K19,200000,ABS(15-$K19)*100)),100000+ABS(6-$J19)*1000+150)+'計算A'!EH$5*50+IF(AND($E19=1,NU19=0),25,0),IF($F19&gt;0,INDEX('計算A'!EH$110:EH$114,$F19+1)+IF(AND($E19=1,NU19=0),1000,0),MIN(TZ19,20)*400+(IF('計算A'!EG$106=1,1-IE19,0)+IF('計算A'!EH$106=1,1-IG19,0))*150+156+'計算A'!EH$5*100000+IF(AND($E19=1,NU19=0),50000,0))+IF($H19=1,(IF('計算A'!EG$117=1,INDEX('計算A'!EG$10:EG$54,$B19),0)+IF('計算A'!EH$117=1,INDEX('計算A'!EI$10:EI$54,$B19),0))*4000,0)-IF(AND('計算A'!EG$117=1,ZE19&gt;0),2000,0)-IF(AND($L19=1,'計算A'!EH$117=1,IG19=0),2000,0))),1000000))</f>
        <v/>
      </c>
      <c r="TK19">
        <f>IF($B19=0,1000000,IF(INDEX('計算A'!$D$60:$EQ$104,$B19,136)*IG19=1,IF(AND($E19=2,NV19=0),1000000,IF($I19&gt;0,IF(6=$J19,IF(OR(AND(136=$I19+1,OR($K19&lt;&gt;'計算A'!$A$3,'計算A'!$A$4=0)),AND(136=$I19-1,OR(16&lt;&gt;'計算A'!$A$3,'計算A'!$A$4=0))),0,IF(16=$K19,200000,ABS(16-$K19)*100)),100000+ABS(6-$J19)*1000+160)+'計算A'!EI$5*50+IF(AND($E19=1,NV19=0),25,0),IF($F19&gt;0,INDEX('計算A'!EI$110:EI$114,$F19+1)+IF(AND($E19=1,NV19=0),1000,0),MIN(TZ19,20)*400+(IF('計算A'!EH$106=1,1-IF19,0)+IF('計算A'!EI$106=1,1-IH19,0))*150+166+'計算A'!EI$5*100000+IF(AND($E19=1,NV19=0),50000,0))+IF($H19=1,(IF('計算A'!EH$117=1,INDEX('計算A'!EH$10:EH$54,$B19),0)+IF('計算A'!EI$117=1,INDEX('計算A'!EJ$10:EJ$54,$B19),0))*4000,0)-IF(AND('計算A'!EH$117=1,ZF19&gt;0),2000,0)-IF(AND($L19=1,'計算A'!EI$117=1,IH19=0),2000,0))),1000000))</f>
        <v/>
      </c>
      <c r="TL19">
        <f>IF($B19=0,1000000,IF(INDEX('計算A'!$D$60:$EQ$104,$B19,137)*IH19=1,IF(AND($E19=2,NW19=0),1000000,IF($I19&gt;0,IF(6=$J19,IF(OR(AND(137=$I19+1,OR($K19&lt;&gt;'計算A'!$A$3,'計算A'!$A$4=0)),AND(137=$I19-1,OR(17&lt;&gt;'計算A'!$A$3,'計算A'!$A$4=0))),0,IF(17=$K19,200000,ABS(17-$K19)*100)),100000+ABS(6-$J19)*1000+170)+'計算A'!EJ$5*50+IF(AND($E19=1,NW19=0),25,0),IF($F19&gt;0,INDEX('計算A'!EJ$110:EJ$114,$F19+1)+IF(AND($E19=1,NW19=0),1000,0),MIN(TZ19,20)*400+(IF('計算A'!EI$106=1,1-IG19,0)+IF('計算A'!EJ$106=1,1-II19,0))*150+176+'計算A'!EJ$5*100000+IF(AND($E19=1,NW19=0),50000,0))+IF($H19=1,(IF('計算A'!EI$117=1,INDEX('計算A'!EI$10:EI$54,$B19),0)+IF('計算A'!EJ$117=1,INDEX('計算A'!EK$10:EK$54,$B19),0))*4000,0)-IF(AND('計算A'!EI$117=1,ZG19&gt;0),2000,0)-IF(AND($L19=1,'計算A'!EJ$117=1,II19=0),2000,0))),1000000))</f>
        <v/>
      </c>
      <c r="TM19">
        <f>IF($B19=0,1000000,IF(INDEX('計算A'!$D$60:$EQ$104,$B19,138)*II19=1,IF(AND($E19=2,NX19=0),1000000,IF($I19&gt;0,IF(6=$J19,IF(OR(AND(138=$I19+1,OR($K19&lt;&gt;'計算A'!$A$3,'計算A'!$A$4=0)),AND(138=$I19-1,OR(18&lt;&gt;'計算A'!$A$3,'計算A'!$A$4=0))),0,IF(18=$K19,200000,ABS(18-$K19)*100)),100000+ABS(6-$J19)*1000+180)+'計算A'!EK$5*50+IF(AND($E19=1,NX19=0),25,0),IF($F19&gt;0,INDEX('計算A'!EK$110:EK$114,$F19+1)+IF(AND($E19=1,NX19=0),1000,0),MIN(TZ19,20)*400+(IF('計算A'!EJ$106=1,1-IH19,0)+IF('計算A'!EK$106=1,1-IJ19,0))*150+186+'計算A'!EK$5*100000+IF(AND($E19=1,NX19=0),50000,0))+IF($H19=1,(IF('計算A'!EJ$117=1,INDEX('計算A'!EJ$10:EJ$54,$B19),0)+IF('計算A'!EK$117=1,INDEX('計算A'!EL$10:EL$54,$B19),0))*4000,0)-IF(AND('計算A'!EJ$117=1,ZH19&gt;0),2000,0)-IF(AND($L19=1,'計算A'!EK$117=1,IJ19=0),2000,0))),1000000))</f>
        <v/>
      </c>
      <c r="TN19">
        <f>IF($B19=0,1000000,IF(INDEX('計算A'!$D$60:$EQ$104,$B19,139)*IJ19=1,IF(AND($E19=2,NY19=0),1000000,IF($I19&gt;0,IF(6=$J19,IF(OR(AND(139=$I19+1,OR($K19&lt;&gt;'計算A'!$A$3,'計算A'!$A$4=0)),AND(139=$I19-1,OR(19&lt;&gt;'計算A'!$A$3,'計算A'!$A$4=0))),0,IF(19=$K19,200000,ABS(19-$K19)*100)),100000+ABS(6-$J19)*1000+190)+'計算A'!EL$5*50+IF(AND($E19=1,NY19=0),25,0),IF($F19&gt;0,INDEX('計算A'!EL$110:EL$114,$F19+1)+IF(AND($E19=1,NY19=0),1000,0),MIN(TZ19,20)*400+(IF('計算A'!EK$106=1,1-II19,0)+IF('計算A'!EL$106=1,1-IK19,0))*150+196+'計算A'!EL$5*100000+IF(AND($E19=1,NY19=0),50000,0))+IF($H19=1,(IF('計算A'!EK$117=1,INDEX('計算A'!EK$10:EK$54,$B19),0)+IF('計算A'!EL$117=1,INDEX('計算A'!EM$10:EM$54,$B19),0))*4000,0)-IF(AND('計算A'!EK$117=1,ZI19&gt;0),2000,0)-IF(AND($L19=1,'計算A'!EL$117=1,IK19=0),2000,0))),1000000))</f>
        <v/>
      </c>
      <c r="TO19">
        <f>IF($B19=0,1000000,IF(INDEX('計算A'!$D$60:$EQ$104,$B19,140)*IK19=1,IF(AND($E19=2,NZ19=0),1000000,IF($I19&gt;0,IF(6=$J19,IF(OR(AND(140=$I19+1,OR($K19&lt;&gt;'計算A'!$A$3,'計算A'!$A$4=0)),AND(140=$I19-1,OR(20&lt;&gt;'計算A'!$A$3,'計算A'!$A$4=0))),0,IF(20=$K19,200000,ABS(20-$K19)*100)),100000+ABS(6-$J19)*1000+200)+'計算A'!EM$5*50+IF(AND($E19=1,NZ19=0),25,0),IF($F19&gt;0,INDEX('計算A'!EM$110:EM$114,$F19+1)+IF(AND($E19=1,NZ19=0),1000,0),MIN(TZ19,20)*400+(IF('計算A'!EL$106=1,1-IJ19,0)+IF('計算A'!EM$106=1,1-IL19,0))*150+206+'計算A'!EM$5*100000+IF(AND($E19=1,NZ19=0),50000,0))+IF($H19=1,(IF('計算A'!EL$117=1,INDEX('計算A'!EL$10:EL$54,$B19),0)+IF('計算A'!EM$117=1,INDEX('計算A'!EN$10:EN$54,$B19),0))*4000,0)-IF(AND('計算A'!EL$117=1,ZJ19&gt;0),2000,0)-IF(AND($L19=1,'計算A'!EM$117=1,IL19=0),2000,0))),1000000))</f>
        <v/>
      </c>
      <c r="TP19">
        <f>IF($B19=0,1000000,IF(INDEX('計算A'!$D$60:$EQ$104,$B19,141)*IL19=1,IF(AND($E19=2,OA19=0),1000000,IF($I19&gt;0,IF(6=$J19,IF(OR(AND(141=$I19+1,OR($K19&lt;&gt;'計算A'!$A$3,'計算A'!$A$4=0)),AND(141=$I19-1,OR(21&lt;&gt;'計算A'!$A$3,'計算A'!$A$4=0))),0,IF(21=$K19,200000,ABS(21-$K19)*100)),100000+ABS(6-$J19)*1000+210)+'計算A'!EN$5*50+IF(AND($E19=1,OA19=0),25,0),IF($F19&gt;0,INDEX('計算A'!EN$110:EN$114,$F19+1)+IF(AND($E19=1,OA19=0),1000,0),MIN(TZ19,20)*400+(IF('計算A'!EM$106=1,1-IK19,0)+IF('計算A'!EN$106=1,1-IM19,0))*150+216+'計算A'!EN$5*100000+IF(AND($E19=1,OA19=0),50000,0))+IF($H19=1,(IF('計算A'!EM$117=1,INDEX('計算A'!EM$10:EM$54,$B19),0)+IF('計算A'!EN$117=1,INDEX('計算A'!EO$10:EO$54,$B19),0))*4000,0)-IF(AND('計算A'!EM$117=1,ZK19&gt;0),2000,0)-IF(AND($L19=1,'計算A'!EN$117=1,IM19=0),2000,0))),1000000))</f>
        <v/>
      </c>
      <c r="TQ19">
        <f>IF($B19=0,1000000,IF(INDEX('計算A'!$D$60:$EQ$104,$B19,142)*IM19=1,IF(AND($E19=2,OB19=0),1000000,IF($I19&gt;0,IF(6=$J19,IF(OR(AND(142=$I19+1,OR($K19&lt;&gt;'計算A'!$A$3,'計算A'!$A$4=0)),AND(142=$I19-1,OR(22&lt;&gt;'計算A'!$A$3,'計算A'!$A$4=0))),0,IF(22=$K19,200000,ABS(22-$K19)*100)),100000+ABS(6-$J19)*1000+220)+'計算A'!EO$5*50+IF(AND($E19=1,OB19=0),25,0),IF($F19&gt;0,INDEX('計算A'!EO$110:EO$114,$F19+1)+IF(AND($E19=1,OB19=0),1000,0),MIN(TZ19,20)*400+(IF('計算A'!EN$106=1,1-IL19,0)+IF('計算A'!EO$106=1,1-IN19,0))*150+226+'計算A'!EO$5*100000+IF(AND($E19=1,OB19=0),50000,0))+IF($H19=1,(IF('計算A'!EN$117=1,INDEX('計算A'!EN$10:EN$54,$B19),0)+IF('計算A'!EO$117=1,INDEX('計算A'!EP$10:EP$54,$B19),0))*4000,0)-IF(AND('計算A'!EN$117=1,ZL19&gt;0),2000,0)-IF(AND($L19=1,'計算A'!EO$117=1,IN19=0),2000,0))),1000000))</f>
        <v/>
      </c>
      <c r="TR19">
        <f>IF($B19=0,1000000,IF(INDEX('計算A'!$D$60:$EQ$104,$B19,143)*IN19=1,IF(AND($E19=2,OC19=0),1000000,IF($I19&gt;0,IF(6=$J19,IF(OR(AND(143=$I19+1,OR($K19&lt;&gt;'計算A'!$A$3,'計算A'!$A$4=0)),AND(143=$I19-1,OR(23&lt;&gt;'計算A'!$A$3,'計算A'!$A$4=0))),0,IF(23=$K19,200000,ABS(23-$K19)*100)),100000+ABS(6-$J19)*1000+230)+'計算A'!EP$5*50+IF(AND($E19=1,OC19=0),25,0),IF($F19&gt;0,INDEX('計算A'!EP$110:EP$114,$F19+1)+IF(AND($E19=1,OC19=0),1000,0),MIN(TZ19,20)*400+(IF('計算A'!EO$106=1,1-IM19,0)+IF('計算A'!EP$106=1,1-IO19,0))*150+236+'計算A'!EP$5*100000+IF(AND($E19=1,OC19=0),50000,0))+IF($H19=1,(IF('計算A'!EO$117=1,INDEX('計算A'!EO$10:EO$54,$B19),0)+IF('計算A'!EP$117=1,INDEX('計算A'!EQ$10:EQ$54,$B19),0))*4000,0)-IF(AND('計算A'!EO$117=1,ZM19&gt;0),2000,0)-IF(AND($L19=1,'計算A'!EP$117=1,IO19=0),2000,0))),1000000))</f>
        <v/>
      </c>
      <c r="TS19">
        <f>IF($B19=0,1000000,IF(INDEX('計算A'!$D$60:$EQ$104,$B19,144)*IO19=1,IF(AND($E19=2,OD19=0),1000000,IF($I19&gt;0,IF(6=$J19,IF(OR(AND(144=$I19+1,OR($K19&lt;&gt;'計算A'!$A$3,'計算A'!$A$4=0)),AND(144=$I19-1,OR(24&lt;&gt;'計算A'!$A$3,'計算A'!$A$4=0))),0,IF(24=$K19,200000,ABS(24-$K19)*100)),100000+ABS(6-$J19)*1000+240)+'計算A'!EQ$5*50+IF(AND($E19=1,OD19=0),25,0),IF($F19&gt;0,INDEX('計算A'!EQ$110:EQ$114,$F19+1)+IF(AND($E19=1,OD19=0),1000,0),MIN(TZ19,20)*400+(IF('計算A'!EP$106=1,1-IN19,0))*150+246+'計算A'!EQ$5*100000+IF(AND($E19=1,OD19=0),50000,0))+IF($H19=1,(IF('計算A'!EP$117=1,INDEX('計算A'!EP$10:EP$54,$B19),0))*4000,0)-IF(AND('計算A'!EP$117=1,ZN19&gt;0),2000,0))),1000000))</f>
        <v/>
      </c>
      <c r="TU19">
        <f>TU18+IF($C18&gt;0,IF(INDEX('計算A'!$D$2:$EQ$2,$C18)=1,1,0),0)</f>
        <v/>
      </c>
      <c r="TV19">
        <f>TV18+IF($C18&gt;0,IF(INDEX('計算A'!$D$2:$EQ$2,$C18)=2,1,0),0)</f>
        <v/>
      </c>
      <c r="TW19">
        <f>TW18+IF($C18&gt;0,IF(INDEX('計算A'!$D$2:$EQ$2,$C18)=3,1,0),0)</f>
        <v/>
      </c>
      <c r="TX19">
        <f>TX18+IF($C18&gt;0,IF(INDEX('計算A'!$D$2:$EQ$2,$C18)=4,1,0),0)</f>
        <v/>
      </c>
      <c r="TY19">
        <f>TY18+IF($C18&gt;0,IF(INDEX('計算A'!$D$2:$EQ$2,$C18)=5,1,0),0)</f>
        <v/>
      </c>
      <c r="TZ19">
        <f>TZ18+IF($C18&gt;0,IF(INDEX('計算A'!$D$2:$EQ$2,$C18)=6,1,0),0)</f>
        <v/>
      </c>
      <c r="UB19">
        <f>UB18+IF(AND($C18=1,$L18=1),1,0)</f>
        <v/>
      </c>
      <c r="UC19">
        <f>UC18+IF(AND($C18=2,$L18=1),1,0)</f>
        <v/>
      </c>
      <c r="UD19">
        <f>UD18+IF(AND($C18=3,$L18=1),1,0)</f>
        <v/>
      </c>
      <c r="UE19">
        <f>UE18+IF(AND($C18=4,$L18=1),1,0)</f>
        <v/>
      </c>
      <c r="UF19">
        <f>UF18+IF(AND($C18=5,$L18=1),1,0)</f>
        <v/>
      </c>
      <c r="UG19">
        <f>UG18+IF(AND($C18=6,$L18=1),1,0)</f>
        <v/>
      </c>
      <c r="UH19">
        <f>UH18+IF(AND($C18=7,$L18=1),1,0)</f>
        <v/>
      </c>
      <c r="UI19">
        <f>UI18+IF(AND($C18=8,$L18=1),1,0)</f>
        <v/>
      </c>
      <c r="UJ19">
        <f>UJ18+IF(AND($C18=9,$L18=1),1,0)</f>
        <v/>
      </c>
      <c r="UK19">
        <f>UK18+IF(AND($C18=10,$L18=1),1,0)</f>
        <v/>
      </c>
      <c r="UL19">
        <f>UL18+IF(AND($C18=11,$L18=1),1,0)</f>
        <v/>
      </c>
      <c r="UM19">
        <f>UM18+IF(AND($C18=12,$L18=1),1,0)</f>
        <v/>
      </c>
      <c r="UN19">
        <f>UN18+IF(AND($C18=13,$L18=1),1,0)</f>
        <v/>
      </c>
      <c r="UO19">
        <f>UO18+IF(AND($C18=14,$L18=1),1,0)</f>
        <v/>
      </c>
      <c r="UP19">
        <f>UP18+IF(AND($C18=15,$L18=1),1,0)</f>
        <v/>
      </c>
      <c r="UQ19">
        <f>UQ18+IF(AND($C18=16,$L18=1),1,0)</f>
        <v/>
      </c>
      <c r="UR19">
        <f>UR18+IF(AND($C18=17,$L18=1),1,0)</f>
        <v/>
      </c>
      <c r="US19">
        <f>US18+IF(AND($C18=18,$L18=1),1,0)</f>
        <v/>
      </c>
      <c r="UT19">
        <f>UT18+IF(AND($C18=19,$L18=1),1,0)</f>
        <v/>
      </c>
      <c r="UU19">
        <f>UU18+IF(AND($C18=20,$L18=1),1,0)</f>
        <v/>
      </c>
      <c r="UV19">
        <f>UV18+IF(AND($C18=21,$L18=1),1,0)</f>
        <v/>
      </c>
      <c r="UW19">
        <f>UW18+IF(AND($C18=22,$L18=1),1,0)</f>
        <v/>
      </c>
      <c r="UX19">
        <f>UX18+IF(AND($C18=23,$L18=1),1,0)</f>
        <v/>
      </c>
      <c r="UY19">
        <f>UY18+IF(AND($C18=24,$L18=1),1,0)</f>
        <v/>
      </c>
      <c r="UZ19">
        <f>UZ18+IF(AND($C18=25,$L18=1),1,0)</f>
        <v/>
      </c>
      <c r="VA19">
        <f>VA18+IF(AND($C18=26,$L18=1),1,0)</f>
        <v/>
      </c>
      <c r="VB19">
        <f>VB18+IF(AND($C18=27,$L18=1),1,0)</f>
        <v/>
      </c>
      <c r="VC19">
        <f>VC18+IF(AND($C18=28,$L18=1),1,0)</f>
        <v/>
      </c>
      <c r="VD19">
        <f>VD18+IF(AND($C18=29,$L18=1),1,0)</f>
        <v/>
      </c>
      <c r="VE19">
        <f>VE18+IF(AND($C18=30,$L18=1),1,0)</f>
        <v/>
      </c>
      <c r="VF19">
        <f>VF18+IF(AND($C18=31,$L18=1),1,0)</f>
        <v/>
      </c>
      <c r="VG19">
        <f>VG18+IF(AND($C18=32,$L18=1),1,0)</f>
        <v/>
      </c>
      <c r="VH19">
        <f>VH18+IF(AND($C18=33,$L18=1),1,0)</f>
        <v/>
      </c>
      <c r="VI19">
        <f>VI18+IF(AND($C18=34,$L18=1),1,0)</f>
        <v/>
      </c>
      <c r="VJ19">
        <f>VJ18+IF(AND($C18=35,$L18=1),1,0)</f>
        <v/>
      </c>
      <c r="VK19">
        <f>VK18+IF(AND($C18=36,$L18=1),1,0)</f>
        <v/>
      </c>
      <c r="VL19">
        <f>VL18+IF(AND($C18=37,$L18=1),1,0)</f>
        <v/>
      </c>
      <c r="VM19">
        <f>VM18+IF(AND($C18=38,$L18=1),1,0)</f>
        <v/>
      </c>
      <c r="VN19">
        <f>VN18+IF(AND($C18=39,$L18=1),1,0)</f>
        <v/>
      </c>
      <c r="VO19">
        <f>VO18+IF(AND($C18=40,$L18=1),1,0)</f>
        <v/>
      </c>
      <c r="VP19">
        <f>VP18+IF(AND($C18=41,$L18=1),1,0)</f>
        <v/>
      </c>
      <c r="VQ19">
        <f>VQ18+IF(AND($C18=42,$L18=1),1,0)</f>
        <v/>
      </c>
      <c r="VR19">
        <f>VR18+IF(AND($C18=43,$L18=1),1,0)</f>
        <v/>
      </c>
      <c r="VS19">
        <f>VS18+IF(AND($C18=44,$L18=1),1,0)</f>
        <v/>
      </c>
      <c r="VT19">
        <f>VT18+IF(AND($C18=45,$L18=1),1,0)</f>
        <v/>
      </c>
      <c r="VU19">
        <f>VU18+IF(AND($C18=46,$L18=1),1,0)</f>
        <v/>
      </c>
      <c r="VV19">
        <f>VV18+IF(AND($C18=47,$L18=1),1,0)</f>
        <v/>
      </c>
      <c r="VW19">
        <f>VW18+IF(AND($C18=48,$L18=1),1,0)</f>
        <v/>
      </c>
      <c r="VX19">
        <f>VX18+IF(AND($C18=49,$L18=1),1,0)</f>
        <v/>
      </c>
      <c r="VY19">
        <f>VY18+IF(AND($C18=50,$L18=1),1,0)</f>
        <v/>
      </c>
      <c r="VZ19">
        <f>VZ18+IF(AND($C18=51,$L18=1),1,0)</f>
        <v/>
      </c>
      <c r="WA19">
        <f>WA18+IF(AND($C18=52,$L18=1),1,0)</f>
        <v/>
      </c>
      <c r="WB19">
        <f>WB18+IF(AND($C18=53,$L18=1),1,0)</f>
        <v/>
      </c>
      <c r="WC19">
        <f>WC18+IF(AND($C18=54,$L18=1),1,0)</f>
        <v/>
      </c>
      <c r="WD19">
        <f>WD18+IF(AND($C18=55,$L18=1),1,0)</f>
        <v/>
      </c>
      <c r="WE19">
        <f>WE18+IF(AND($C18=56,$L18=1),1,0)</f>
        <v/>
      </c>
      <c r="WF19">
        <f>WF18+IF(AND($C18=57,$L18=1),1,0)</f>
        <v/>
      </c>
      <c r="WG19">
        <f>WG18+IF(AND($C18=58,$L18=1),1,0)</f>
        <v/>
      </c>
      <c r="WH19">
        <f>WH18+IF(AND($C18=59,$L18=1),1,0)</f>
        <v/>
      </c>
      <c r="WI19">
        <f>WI18+IF(AND($C18=60,$L18=1),1,0)</f>
        <v/>
      </c>
      <c r="WJ19">
        <f>WJ18+IF(AND($C18=61,$L18=1),1,0)</f>
        <v/>
      </c>
      <c r="WK19">
        <f>WK18+IF(AND($C18=62,$L18=1),1,0)</f>
        <v/>
      </c>
      <c r="WL19">
        <f>WL18+IF(AND($C18=63,$L18=1),1,0)</f>
        <v/>
      </c>
      <c r="WM19">
        <f>WM18+IF(AND($C18=64,$L18=1),1,0)</f>
        <v/>
      </c>
      <c r="WN19">
        <f>WN18+IF(AND($C18=65,$L18=1),1,0)</f>
        <v/>
      </c>
      <c r="WO19">
        <f>WO18+IF(AND($C18=66,$L18=1),1,0)</f>
        <v/>
      </c>
      <c r="WP19">
        <f>WP18+IF(AND($C18=67,$L18=1),1,0)</f>
        <v/>
      </c>
      <c r="WQ19">
        <f>WQ18+IF(AND($C18=68,$L18=1),1,0)</f>
        <v/>
      </c>
      <c r="WR19">
        <f>WR18+IF(AND($C18=69,$L18=1),1,0)</f>
        <v/>
      </c>
      <c r="WS19">
        <f>WS18+IF(AND($C18=70,$L18=1),1,0)</f>
        <v/>
      </c>
      <c r="WT19">
        <f>WT18+IF(AND($C18=71,$L18=1),1,0)</f>
        <v/>
      </c>
      <c r="WU19">
        <f>WU18+IF(AND($C18=72,$L18=1),1,0)</f>
        <v/>
      </c>
      <c r="WV19">
        <f>WV18+IF(AND($C18=73,$L18=1),1,0)</f>
        <v/>
      </c>
      <c r="WW19">
        <f>WW18+IF(AND($C18=74,$L18=1),1,0)</f>
        <v/>
      </c>
      <c r="WX19">
        <f>WX18+IF(AND($C18=75,$L18=1),1,0)</f>
        <v/>
      </c>
      <c r="WY19">
        <f>WY18+IF(AND($C18=76,$L18=1),1,0)</f>
        <v/>
      </c>
      <c r="WZ19">
        <f>WZ18+IF(AND($C18=77,$L18=1),1,0)</f>
        <v/>
      </c>
      <c r="XA19">
        <f>XA18+IF(AND($C18=78,$L18=1),1,0)</f>
        <v/>
      </c>
      <c r="XB19">
        <f>XB18+IF(AND($C18=79,$L18=1),1,0)</f>
        <v/>
      </c>
      <c r="XC19">
        <f>XC18+IF(AND($C18=80,$L18=1),1,0)</f>
        <v/>
      </c>
      <c r="XD19">
        <f>XD18+IF(AND($C18=81,$L18=1),1,0)</f>
        <v/>
      </c>
      <c r="XE19">
        <f>XE18+IF(AND($C18=82,$L18=1),1,0)</f>
        <v/>
      </c>
      <c r="XF19">
        <f>XF18+IF(AND($C18=83,$L18=1),1,0)</f>
        <v/>
      </c>
      <c r="XG19">
        <f>XG18+IF(AND($C18=84,$L18=1),1,0)</f>
        <v/>
      </c>
      <c r="XH19">
        <f>XH18+IF(AND($C18=85,$L18=1),1,0)</f>
        <v/>
      </c>
      <c r="XI19">
        <f>XI18+IF(AND($C18=86,$L18=1),1,0)</f>
        <v/>
      </c>
      <c r="XJ19">
        <f>XJ18+IF(AND($C18=87,$L18=1),1,0)</f>
        <v/>
      </c>
      <c r="XK19">
        <f>XK18+IF(AND($C18=88,$L18=1),1,0)</f>
        <v/>
      </c>
      <c r="XL19">
        <f>XL18+IF(AND($C18=89,$L18=1),1,0)</f>
        <v/>
      </c>
      <c r="XM19">
        <f>XM18+IF(AND($C18=90,$L18=1),1,0)</f>
        <v/>
      </c>
      <c r="XN19">
        <f>XN18+IF(AND($C18=91,$L18=1),1,0)</f>
        <v/>
      </c>
      <c r="XO19">
        <f>XO18+IF(AND($C18=92,$L18=1),1,0)</f>
        <v/>
      </c>
      <c r="XP19">
        <f>XP18+IF(AND($C18=93,$L18=1),1,0)</f>
        <v/>
      </c>
      <c r="XQ19">
        <f>XQ18+IF(AND($C18=94,$L18=1),1,0)</f>
        <v/>
      </c>
      <c r="XR19">
        <f>XR18+IF(AND($C18=95,$L18=1),1,0)</f>
        <v/>
      </c>
      <c r="XS19">
        <f>XS18+IF(AND($C18=96,$L18=1),1,0)</f>
        <v/>
      </c>
      <c r="XT19">
        <f>XT18+IF(AND($C18=97,$L18=1),1,0)</f>
        <v/>
      </c>
      <c r="XU19">
        <f>XU18+IF(AND($C18=98,$L18=1),1,0)</f>
        <v/>
      </c>
      <c r="XV19">
        <f>XV18+IF(AND($C18=99,$L18=1),1,0)</f>
        <v/>
      </c>
      <c r="XW19">
        <f>XW18+IF(AND($C18=100,$L18=1),1,0)</f>
        <v/>
      </c>
      <c r="XX19">
        <f>XX18+IF(AND($C18=101,$L18=1),1,0)</f>
        <v/>
      </c>
      <c r="XY19">
        <f>XY18+IF(AND($C18=102,$L18=1),1,0)</f>
        <v/>
      </c>
      <c r="XZ19">
        <f>XZ18+IF(AND($C18=103,$L18=1),1,0)</f>
        <v/>
      </c>
      <c r="YA19">
        <f>YA18+IF(AND($C18=104,$L18=1),1,0)</f>
        <v/>
      </c>
      <c r="YB19">
        <f>YB18+IF(AND($C18=105,$L18=1),1,0)</f>
        <v/>
      </c>
      <c r="YC19">
        <f>YC18+IF(AND($C18=106,$L18=1),1,0)</f>
        <v/>
      </c>
      <c r="YD19">
        <f>YD18+IF(AND($C18=107,$L18=1),1,0)</f>
        <v/>
      </c>
      <c r="YE19">
        <f>YE18+IF(AND($C18=108,$L18=1),1,0)</f>
        <v/>
      </c>
      <c r="YF19">
        <f>YF18+IF(AND($C18=109,$L18=1),1,0)</f>
        <v/>
      </c>
      <c r="YG19">
        <f>YG18+IF(AND($C18=110,$L18=1),1,0)</f>
        <v/>
      </c>
      <c r="YH19">
        <f>YH18+IF(AND($C18=111,$L18=1),1,0)</f>
        <v/>
      </c>
      <c r="YI19">
        <f>YI18+IF(AND($C18=112,$L18=1),1,0)</f>
        <v/>
      </c>
      <c r="YJ19">
        <f>YJ18+IF(AND($C18=113,$L18=1),1,0)</f>
        <v/>
      </c>
      <c r="YK19">
        <f>YK18+IF(AND($C18=114,$L18=1),1,0)</f>
        <v/>
      </c>
      <c r="YL19">
        <f>YL18+IF(AND($C18=115,$L18=1),1,0)</f>
        <v/>
      </c>
      <c r="YM19">
        <f>YM18+IF(AND($C18=116,$L18=1),1,0)</f>
        <v/>
      </c>
      <c r="YN19">
        <f>YN18+IF(AND($C18=117,$L18=1),1,0)</f>
        <v/>
      </c>
      <c r="YO19">
        <f>YO18+IF(AND($C18=118,$L18=1),1,0)</f>
        <v/>
      </c>
      <c r="YP19">
        <f>YP18+IF(AND($C18=119,$L18=1),1,0)</f>
        <v/>
      </c>
      <c r="YQ19">
        <f>YQ18+IF(AND($C18=120,$L18=1),1,0)</f>
        <v/>
      </c>
      <c r="YR19">
        <f>YR18+IF(AND($C18=121,$L18=1),1,0)</f>
        <v/>
      </c>
      <c r="YS19">
        <f>YS18+IF(AND($C18=122,$L18=1),1,0)</f>
        <v/>
      </c>
      <c r="YT19">
        <f>YT18+IF(AND($C18=123,$L18=1),1,0)</f>
        <v/>
      </c>
      <c r="YU19">
        <f>YU18+IF(AND($C18=124,$L18=1),1,0)</f>
        <v/>
      </c>
      <c r="YV19">
        <f>YV18+IF(AND($C18=125,$L18=1),1,0)</f>
        <v/>
      </c>
      <c r="YW19">
        <f>YW18+IF(AND($C18=126,$L18=1),1,0)</f>
        <v/>
      </c>
      <c r="YX19">
        <f>YX18+IF(AND($C18=127,$L18=1),1,0)</f>
        <v/>
      </c>
      <c r="YY19">
        <f>YY18+IF(AND($C18=128,$L18=1),1,0)</f>
        <v/>
      </c>
      <c r="YZ19">
        <f>YZ18+IF(AND($C18=129,$L18=1),1,0)</f>
        <v/>
      </c>
      <c r="ZA19">
        <f>ZA18+IF(AND($C18=130,$L18=1),1,0)</f>
        <v/>
      </c>
      <c r="ZB19">
        <f>ZB18+IF(AND($C18=131,$L18=1),1,0)</f>
        <v/>
      </c>
      <c r="ZC19">
        <f>ZC18+IF(AND($C18=132,$L18=1),1,0)</f>
        <v/>
      </c>
      <c r="ZD19">
        <f>ZD18+IF(AND($C18=133,$L18=1),1,0)</f>
        <v/>
      </c>
      <c r="ZE19">
        <f>ZE18+IF(AND($C18=134,$L18=1),1,0)</f>
        <v/>
      </c>
      <c r="ZF19">
        <f>ZF18+IF(AND($C18=135,$L18=1),1,0)</f>
        <v/>
      </c>
      <c r="ZG19">
        <f>ZG18+IF(AND($C18=136,$L18=1),1,0)</f>
        <v/>
      </c>
      <c r="ZH19">
        <f>ZH18+IF(AND($C18=137,$L18=1),1,0)</f>
        <v/>
      </c>
      <c r="ZI19">
        <f>ZI18+IF(AND($C18=138,$L18=1),1,0)</f>
        <v/>
      </c>
      <c r="ZJ19">
        <f>ZJ18+IF(AND($C18=139,$L18=1),1,0)</f>
        <v/>
      </c>
      <c r="ZK19">
        <f>ZK18+IF(AND($C18=140,$L18=1),1,0)</f>
        <v/>
      </c>
      <c r="ZL19">
        <f>ZL18+IF(AND($C18=141,$L18=1),1,0)</f>
        <v/>
      </c>
      <c r="ZM19">
        <f>ZM18+IF(AND($C18=142,$L18=1),1,0)</f>
        <v/>
      </c>
      <c r="ZN19">
        <f>ZN18+IF(AND($C18=143,$L18=1),1,0)</f>
        <v/>
      </c>
      <c r="ZO19">
        <f>ZO18+IF(AND($C18=144,$L18=1),1,0)</f>
        <v/>
      </c>
    </row>
    <row r="20">
      <c r="A20" t="n">
        <v>18</v>
      </c>
      <c r="B20">
        <f>IF(MIN(BH20:CZ20)&gt;=1000000,0,MATCH(MIN(BH20:CZ20),BH20:CZ20,0))</f>
        <v/>
      </c>
      <c r="C20">
        <f>IF(MIN(OF20:TS20)&gt;=1000000,0,MATCH(MIN(OF20:TS20),OF20:TS20,0))</f>
        <v/>
      </c>
      <c r="D20">
        <f>IF(C20&gt;0,INDEX('計算A'!$D$5:$EQ$5,C20),0)</f>
        <v/>
      </c>
      <c r="E20">
        <f>IF(B20=0,0,INDEX('計算A'!$IQ$10:$IQ$54,B20))</f>
        <v/>
      </c>
      <c r="F20">
        <f>IF(B20=0,0,INDEX('計算A'!$IP$10:$IP$54,B20))</f>
        <v/>
      </c>
      <c r="G20">
        <f>IF(AND(C20&gt;0,E20&gt;0),IF(AND(INDEX('計算A'!$D$106:$EQ$106,C20)=1,INDEX($IQ20:$OD20,C20)=1),C20+1,0),0)</f>
        <v/>
      </c>
      <c r="H20">
        <f>IF(B20=0,0,INDEX('計算A'!$IW$10:$IW$54,B20))</f>
        <v/>
      </c>
      <c r="I20">
        <f>IF(B20=0,0,MAX(0,INDEX('計算A'!$IT$10:$IT$54,B20)))</f>
        <v/>
      </c>
      <c r="J20">
        <f>IF(I20=0,0,INDEX('計算A'!$D$2:$EQ$2,I20))</f>
        <v/>
      </c>
      <c r="K20">
        <f>IF(I20=0,0,INDEX('計算A'!$D$3:$EQ$3,I20))</f>
        <v/>
      </c>
      <c r="L20">
        <f>IF(B20=0,0,INDEX('計算A'!$IX$10:$IX$54,B20))</f>
        <v/>
      </c>
      <c r="N20">
        <f>MAX(N19,IF($B19=1,1,0))</f>
        <v/>
      </c>
      <c r="O20">
        <f>MAX(O19,IF($B19=2,1,0))</f>
        <v/>
      </c>
      <c r="P20">
        <f>MAX(P19,IF($B19=3,1,0))</f>
        <v/>
      </c>
      <c r="Q20">
        <f>MAX(Q19,IF($B19=4,1,0))</f>
        <v/>
      </c>
      <c r="R20">
        <f>MAX(R19,IF($B19=5,1,0))</f>
        <v/>
      </c>
      <c r="S20">
        <f>MAX(S19,IF($B19=6,1,0))</f>
        <v/>
      </c>
      <c r="T20">
        <f>MAX(T19,IF($B19=7,1,0))</f>
        <v/>
      </c>
      <c r="U20">
        <f>MAX(U19,IF($B19=8,1,0))</f>
        <v/>
      </c>
      <c r="V20">
        <f>MAX(V19,IF($B19=9,1,0))</f>
        <v/>
      </c>
      <c r="W20">
        <f>MAX(W19,IF($B19=10,1,0))</f>
        <v/>
      </c>
      <c r="X20">
        <f>MAX(X19,IF($B19=11,1,0))</f>
        <v/>
      </c>
      <c r="Y20">
        <f>MAX(Y19,IF($B19=12,1,0))</f>
        <v/>
      </c>
      <c r="Z20">
        <f>MAX(Z19,IF($B19=13,1,0))</f>
        <v/>
      </c>
      <c r="AA20">
        <f>MAX(AA19,IF($B19=14,1,0))</f>
        <v/>
      </c>
      <c r="AB20">
        <f>MAX(AB19,IF($B19=15,1,0))</f>
        <v/>
      </c>
      <c r="AC20">
        <f>MAX(AC19,IF($B19=16,1,0))</f>
        <v/>
      </c>
      <c r="AD20">
        <f>MAX(AD19,IF($B19=17,1,0))</f>
        <v/>
      </c>
      <c r="AE20">
        <f>MAX(AE19,IF($B19=18,1,0))</f>
        <v/>
      </c>
      <c r="AF20">
        <f>MAX(AF19,IF($B19=19,1,0))</f>
        <v/>
      </c>
      <c r="AG20">
        <f>MAX(AG19,IF($B19=20,1,0))</f>
        <v/>
      </c>
      <c r="AH20">
        <f>MAX(AH19,IF($B19=21,1,0))</f>
        <v/>
      </c>
      <c r="AI20">
        <f>MAX(AI19,IF($B19=22,1,0))</f>
        <v/>
      </c>
      <c r="AJ20">
        <f>MAX(AJ19,IF($B19=23,1,0))</f>
        <v/>
      </c>
      <c r="AK20">
        <f>MAX(AK19,IF($B19=24,1,0))</f>
        <v/>
      </c>
      <c r="AL20">
        <f>MAX(AL19,IF($B19=25,1,0))</f>
        <v/>
      </c>
      <c r="AM20">
        <f>MAX(AM19,IF($B19=26,1,0))</f>
        <v/>
      </c>
      <c r="AN20">
        <f>MAX(AN19,IF($B19=27,1,0))</f>
        <v/>
      </c>
      <c r="AO20">
        <f>MAX(AO19,IF($B19=28,1,0))</f>
        <v/>
      </c>
      <c r="AP20">
        <f>MAX(AP19,IF($B19=29,1,0))</f>
        <v/>
      </c>
      <c r="AQ20">
        <f>MAX(AQ19,IF($B19=30,1,0))</f>
        <v/>
      </c>
      <c r="AR20">
        <f>MAX(AR19,IF($B19=31,1,0))</f>
        <v/>
      </c>
      <c r="AS20">
        <f>MAX(AS19,IF($B19=32,1,0))</f>
        <v/>
      </c>
      <c r="AT20">
        <f>MAX(AT19,IF($B19=33,1,0))</f>
        <v/>
      </c>
      <c r="AU20">
        <f>MAX(AU19,IF($B19=34,1,0))</f>
        <v/>
      </c>
      <c r="AV20">
        <f>MAX(AV19,IF($B19=35,1,0))</f>
        <v/>
      </c>
      <c r="AW20">
        <f>MAX(AW19,IF($B19=36,1,0))</f>
        <v/>
      </c>
      <c r="AX20">
        <f>MAX(AX19,IF($B19=37,1,0))</f>
        <v/>
      </c>
      <c r="AY20">
        <f>MAX(AY19,IF($B19=38,1,0))</f>
        <v/>
      </c>
      <c r="AZ20">
        <f>MAX(AZ19,IF($B19=39,1,0))</f>
        <v/>
      </c>
      <c r="BA20">
        <f>MAX(BA19,IF($B19=40,1,0))</f>
        <v/>
      </c>
      <c r="BB20">
        <f>MAX(BB19,IF($B19=41,1,0))</f>
        <v/>
      </c>
      <c r="BC20">
        <f>MAX(BC19,IF($B19=42,1,0))</f>
        <v/>
      </c>
      <c r="BD20">
        <f>MAX(BD19,IF($B19=43,1,0))</f>
        <v/>
      </c>
      <c r="BE20">
        <f>MAX(BE19,IF($B19=44,1,0))</f>
        <v/>
      </c>
      <c r="BF20">
        <f>MAX(BF19,IF($B19=45,1,0))</f>
        <v/>
      </c>
      <c r="BH20">
        <f>IF(N20=1,1000000,IF('計算A'!$IT$10&gt;0,0,500000)+IF('計算A'!$IQ$10=2,SUMPRODUCT('計算A'!$D$60:$EQ$60,$DB20:$IO20,$IQ20:$OD20),SUMPRODUCT('計算A'!$D$60:$EQ$60,$DB20:$IO20))*1000+1)</f>
        <v/>
      </c>
      <c r="BI20">
        <f>IF(O20=1,1000000,IF('計算A'!$IT$11&gt;0,0,500000)+IF('計算A'!$IQ$11=2,SUMPRODUCT('計算A'!$D$61:$EQ$61,$DB20:$IO20,$IQ20:$OD20),SUMPRODUCT('計算A'!$D$61:$EQ$61,$DB20:$IO20))*1000+2)</f>
        <v/>
      </c>
      <c r="BJ20">
        <f>IF(P20=1,1000000,IF('計算A'!$IT$12&gt;0,0,500000)+IF('計算A'!$IQ$12=2,SUMPRODUCT('計算A'!$D$62:$EQ$62,$DB20:$IO20,$IQ20:$OD20),SUMPRODUCT('計算A'!$D$62:$EQ$62,$DB20:$IO20))*1000+3)</f>
        <v/>
      </c>
      <c r="BK20">
        <f>IF(Q20=1,1000000,IF('計算A'!$IT$13&gt;0,0,500000)+IF('計算A'!$IQ$13=2,SUMPRODUCT('計算A'!$D$63:$EQ$63,$DB20:$IO20,$IQ20:$OD20),SUMPRODUCT('計算A'!$D$63:$EQ$63,$DB20:$IO20))*1000+4)</f>
        <v/>
      </c>
      <c r="BL20">
        <f>IF(R20=1,1000000,IF('計算A'!$IT$14&gt;0,0,500000)+IF('計算A'!$IQ$14=2,SUMPRODUCT('計算A'!$D$64:$EQ$64,$DB20:$IO20,$IQ20:$OD20),SUMPRODUCT('計算A'!$D$64:$EQ$64,$DB20:$IO20))*1000+5)</f>
        <v/>
      </c>
      <c r="BM20">
        <f>IF(S20=1,1000000,IF('計算A'!$IT$15&gt;0,0,500000)+IF('計算A'!$IQ$15=2,SUMPRODUCT('計算A'!$D$65:$EQ$65,$DB20:$IO20,$IQ20:$OD20),SUMPRODUCT('計算A'!$D$65:$EQ$65,$DB20:$IO20))*1000+6)</f>
        <v/>
      </c>
      <c r="BN20">
        <f>IF(T20=1,1000000,IF('計算A'!$IT$16&gt;0,0,500000)+IF('計算A'!$IQ$16=2,SUMPRODUCT('計算A'!$D$66:$EQ$66,$DB20:$IO20,$IQ20:$OD20),SUMPRODUCT('計算A'!$D$66:$EQ$66,$DB20:$IO20))*1000+7)</f>
        <v/>
      </c>
      <c r="BO20">
        <f>IF(U20=1,1000000,IF('計算A'!$IT$17&gt;0,0,500000)+IF('計算A'!$IQ$17=2,SUMPRODUCT('計算A'!$D$67:$EQ$67,$DB20:$IO20,$IQ20:$OD20),SUMPRODUCT('計算A'!$D$67:$EQ$67,$DB20:$IO20))*1000+8)</f>
        <v/>
      </c>
      <c r="BP20">
        <f>IF(V20=1,1000000,IF('計算A'!$IT$18&gt;0,0,500000)+IF('計算A'!$IQ$18=2,SUMPRODUCT('計算A'!$D$68:$EQ$68,$DB20:$IO20,$IQ20:$OD20),SUMPRODUCT('計算A'!$D$68:$EQ$68,$DB20:$IO20))*1000+9)</f>
        <v/>
      </c>
      <c r="BQ20">
        <f>IF(W20=1,1000000,IF('計算A'!$IT$19&gt;0,0,500000)+IF('計算A'!$IQ$19=2,SUMPRODUCT('計算A'!$D$69:$EQ$69,$DB20:$IO20,$IQ20:$OD20),SUMPRODUCT('計算A'!$D$69:$EQ$69,$DB20:$IO20))*1000+10)</f>
        <v/>
      </c>
      <c r="BR20">
        <f>IF(X20=1,1000000,IF('計算A'!$IT$20&gt;0,0,500000)+IF('計算A'!$IQ$20=2,SUMPRODUCT('計算A'!$D$70:$EQ$70,$DB20:$IO20,$IQ20:$OD20),SUMPRODUCT('計算A'!$D$70:$EQ$70,$DB20:$IO20))*1000+11)</f>
        <v/>
      </c>
      <c r="BS20">
        <f>IF(Y20=1,1000000,IF('計算A'!$IT$21&gt;0,0,500000)+IF('計算A'!$IQ$21=2,SUMPRODUCT('計算A'!$D$71:$EQ$71,$DB20:$IO20,$IQ20:$OD20),SUMPRODUCT('計算A'!$D$71:$EQ$71,$DB20:$IO20))*1000+12)</f>
        <v/>
      </c>
      <c r="BT20">
        <f>IF(Z20=1,1000000,IF('計算A'!$IT$22&gt;0,0,500000)+IF('計算A'!$IQ$22=2,SUMPRODUCT('計算A'!$D$72:$EQ$72,$DB20:$IO20,$IQ20:$OD20),SUMPRODUCT('計算A'!$D$72:$EQ$72,$DB20:$IO20))*1000+13)</f>
        <v/>
      </c>
      <c r="BU20">
        <f>IF(AA20=1,1000000,IF('計算A'!$IT$23&gt;0,0,500000)+IF('計算A'!$IQ$23=2,SUMPRODUCT('計算A'!$D$73:$EQ$73,$DB20:$IO20,$IQ20:$OD20),SUMPRODUCT('計算A'!$D$73:$EQ$73,$DB20:$IO20))*1000+14)</f>
        <v/>
      </c>
      <c r="BV20">
        <f>IF(AB20=1,1000000,IF('計算A'!$IT$24&gt;0,0,500000)+IF('計算A'!$IQ$24=2,SUMPRODUCT('計算A'!$D$74:$EQ$74,$DB20:$IO20,$IQ20:$OD20),SUMPRODUCT('計算A'!$D$74:$EQ$74,$DB20:$IO20))*1000+15)</f>
        <v/>
      </c>
      <c r="BW20">
        <f>IF(AC20=1,1000000,IF('計算A'!$IT$25&gt;0,0,500000)+IF('計算A'!$IQ$25=2,SUMPRODUCT('計算A'!$D$75:$EQ$75,$DB20:$IO20,$IQ20:$OD20),SUMPRODUCT('計算A'!$D$75:$EQ$75,$DB20:$IO20))*1000+16)</f>
        <v/>
      </c>
      <c r="BX20">
        <f>IF(AD20=1,1000000,IF('計算A'!$IT$26&gt;0,0,500000)+IF('計算A'!$IQ$26=2,SUMPRODUCT('計算A'!$D$76:$EQ$76,$DB20:$IO20,$IQ20:$OD20),SUMPRODUCT('計算A'!$D$76:$EQ$76,$DB20:$IO20))*1000+17)</f>
        <v/>
      </c>
      <c r="BY20">
        <f>IF(AE20=1,1000000,IF('計算A'!$IT$27&gt;0,0,500000)+IF('計算A'!$IQ$27=2,SUMPRODUCT('計算A'!$D$77:$EQ$77,$DB20:$IO20,$IQ20:$OD20),SUMPRODUCT('計算A'!$D$77:$EQ$77,$DB20:$IO20))*1000+18)</f>
        <v/>
      </c>
      <c r="BZ20">
        <f>IF(AF20=1,1000000,IF('計算A'!$IT$28&gt;0,0,500000)+IF('計算A'!$IQ$28=2,SUMPRODUCT('計算A'!$D$78:$EQ$78,$DB20:$IO20,$IQ20:$OD20),SUMPRODUCT('計算A'!$D$78:$EQ$78,$DB20:$IO20))*1000+19)</f>
        <v/>
      </c>
      <c r="CA20">
        <f>IF(AG20=1,1000000,IF('計算A'!$IT$29&gt;0,0,500000)+IF('計算A'!$IQ$29=2,SUMPRODUCT('計算A'!$D$79:$EQ$79,$DB20:$IO20,$IQ20:$OD20),SUMPRODUCT('計算A'!$D$79:$EQ$79,$DB20:$IO20))*1000+20)</f>
        <v/>
      </c>
      <c r="CB20">
        <f>IF(AH20=1,1000000,IF('計算A'!$IT$30&gt;0,0,500000)+IF('計算A'!$IQ$30=2,SUMPRODUCT('計算A'!$D$80:$EQ$80,$DB20:$IO20,$IQ20:$OD20),SUMPRODUCT('計算A'!$D$80:$EQ$80,$DB20:$IO20))*1000+21)</f>
        <v/>
      </c>
      <c r="CC20">
        <f>IF(AI20=1,1000000,IF('計算A'!$IT$31&gt;0,0,500000)+IF('計算A'!$IQ$31=2,SUMPRODUCT('計算A'!$D$81:$EQ$81,$DB20:$IO20,$IQ20:$OD20),SUMPRODUCT('計算A'!$D$81:$EQ$81,$DB20:$IO20))*1000+22)</f>
        <v/>
      </c>
      <c r="CD20">
        <f>IF(AJ20=1,1000000,IF('計算A'!$IT$32&gt;0,0,500000)+IF('計算A'!$IQ$32=2,SUMPRODUCT('計算A'!$D$82:$EQ$82,$DB20:$IO20,$IQ20:$OD20),SUMPRODUCT('計算A'!$D$82:$EQ$82,$DB20:$IO20))*1000+23)</f>
        <v/>
      </c>
      <c r="CE20">
        <f>IF(AK20=1,1000000,IF('計算A'!$IT$33&gt;0,0,500000)+IF('計算A'!$IQ$33=2,SUMPRODUCT('計算A'!$D$83:$EQ$83,$DB20:$IO20,$IQ20:$OD20),SUMPRODUCT('計算A'!$D$83:$EQ$83,$DB20:$IO20))*1000+24)</f>
        <v/>
      </c>
      <c r="CF20">
        <f>IF(AL20=1,1000000,IF('計算A'!$IT$34&gt;0,0,500000)+IF('計算A'!$IQ$34=2,SUMPRODUCT('計算A'!$D$84:$EQ$84,$DB20:$IO20,$IQ20:$OD20),SUMPRODUCT('計算A'!$D$84:$EQ$84,$DB20:$IO20))*1000+25)</f>
        <v/>
      </c>
      <c r="CG20">
        <f>IF(AM20=1,1000000,IF('計算A'!$IT$35&gt;0,0,500000)+IF('計算A'!$IQ$35=2,SUMPRODUCT('計算A'!$D$85:$EQ$85,$DB20:$IO20,$IQ20:$OD20),SUMPRODUCT('計算A'!$D$85:$EQ$85,$DB20:$IO20))*1000+26)</f>
        <v/>
      </c>
      <c r="CH20">
        <f>IF(AN20=1,1000000,IF('計算A'!$IT$36&gt;0,0,500000)+IF('計算A'!$IQ$36=2,SUMPRODUCT('計算A'!$D$86:$EQ$86,$DB20:$IO20,$IQ20:$OD20),SUMPRODUCT('計算A'!$D$86:$EQ$86,$DB20:$IO20))*1000+27)</f>
        <v/>
      </c>
      <c r="CI20">
        <f>IF(AO20=1,1000000,IF('計算A'!$IT$37&gt;0,0,500000)+IF('計算A'!$IQ$37=2,SUMPRODUCT('計算A'!$D$87:$EQ$87,$DB20:$IO20,$IQ20:$OD20),SUMPRODUCT('計算A'!$D$87:$EQ$87,$DB20:$IO20))*1000+28)</f>
        <v/>
      </c>
      <c r="CJ20">
        <f>IF(AP20=1,1000000,IF('計算A'!$IT$38&gt;0,0,500000)+IF('計算A'!$IQ$38=2,SUMPRODUCT('計算A'!$D$88:$EQ$88,$DB20:$IO20,$IQ20:$OD20),SUMPRODUCT('計算A'!$D$88:$EQ$88,$DB20:$IO20))*1000+29)</f>
        <v/>
      </c>
      <c r="CK20">
        <f>IF(AQ20=1,1000000,IF('計算A'!$IT$39&gt;0,0,500000)+IF('計算A'!$IQ$39=2,SUMPRODUCT('計算A'!$D$89:$EQ$89,$DB20:$IO20,$IQ20:$OD20),SUMPRODUCT('計算A'!$D$89:$EQ$89,$DB20:$IO20))*1000+30)</f>
        <v/>
      </c>
      <c r="CL20">
        <f>IF(AR20=1,1000000,IF('計算A'!$IT$40&gt;0,0,500000)+IF('計算A'!$IQ$40=2,SUMPRODUCT('計算A'!$D$90:$EQ$90,$DB20:$IO20,$IQ20:$OD20),SUMPRODUCT('計算A'!$D$90:$EQ$90,$DB20:$IO20))*1000+31)</f>
        <v/>
      </c>
      <c r="CM20">
        <f>IF(AS20=1,1000000,IF('計算A'!$IT$41&gt;0,0,500000)+IF('計算A'!$IQ$41=2,SUMPRODUCT('計算A'!$D$91:$EQ$91,$DB20:$IO20,$IQ20:$OD20),SUMPRODUCT('計算A'!$D$91:$EQ$91,$DB20:$IO20))*1000+32)</f>
        <v/>
      </c>
      <c r="CN20">
        <f>IF(AT20=1,1000000,IF('計算A'!$IT$42&gt;0,0,500000)+IF('計算A'!$IQ$42=2,SUMPRODUCT('計算A'!$D$92:$EQ$92,$DB20:$IO20,$IQ20:$OD20),SUMPRODUCT('計算A'!$D$92:$EQ$92,$DB20:$IO20))*1000+33)</f>
        <v/>
      </c>
      <c r="CO20">
        <f>IF(AU20=1,1000000,IF('計算A'!$IT$43&gt;0,0,500000)+IF('計算A'!$IQ$43=2,SUMPRODUCT('計算A'!$D$93:$EQ$93,$DB20:$IO20,$IQ20:$OD20),SUMPRODUCT('計算A'!$D$93:$EQ$93,$DB20:$IO20))*1000+34)</f>
        <v/>
      </c>
      <c r="CP20">
        <f>IF(AV20=1,1000000,IF('計算A'!$IT$44&gt;0,0,500000)+IF('計算A'!$IQ$44=2,SUMPRODUCT('計算A'!$D$94:$EQ$94,$DB20:$IO20,$IQ20:$OD20),SUMPRODUCT('計算A'!$D$94:$EQ$94,$DB20:$IO20))*1000+35)</f>
        <v/>
      </c>
      <c r="CQ20">
        <f>IF(AW20=1,1000000,IF('計算A'!$IT$45&gt;0,0,500000)+IF('計算A'!$IQ$45=2,SUMPRODUCT('計算A'!$D$95:$EQ$95,$DB20:$IO20,$IQ20:$OD20),SUMPRODUCT('計算A'!$D$95:$EQ$95,$DB20:$IO20))*1000+36)</f>
        <v/>
      </c>
      <c r="CR20">
        <f>IF(AX20=1,1000000,IF('計算A'!$IT$46&gt;0,0,500000)+IF('計算A'!$IQ$46=2,SUMPRODUCT('計算A'!$D$96:$EQ$96,$DB20:$IO20,$IQ20:$OD20),SUMPRODUCT('計算A'!$D$96:$EQ$96,$DB20:$IO20))*1000+37)</f>
        <v/>
      </c>
      <c r="CS20">
        <f>IF(AY20=1,1000000,IF('計算A'!$IT$47&gt;0,0,500000)+IF('計算A'!$IQ$47=2,SUMPRODUCT('計算A'!$D$97:$EQ$97,$DB20:$IO20,$IQ20:$OD20),SUMPRODUCT('計算A'!$D$97:$EQ$97,$DB20:$IO20))*1000+38)</f>
        <v/>
      </c>
      <c r="CT20">
        <f>IF(AZ20=1,1000000,IF('計算A'!$IT$48&gt;0,0,500000)+IF('計算A'!$IQ$48=2,SUMPRODUCT('計算A'!$D$98:$EQ$98,$DB20:$IO20,$IQ20:$OD20),SUMPRODUCT('計算A'!$D$98:$EQ$98,$DB20:$IO20))*1000+39)</f>
        <v/>
      </c>
      <c r="CU20">
        <f>IF(BA20=1,1000000,IF('計算A'!$IT$49&gt;0,0,500000)+IF('計算A'!$IQ$49=2,SUMPRODUCT('計算A'!$D$99:$EQ$99,$DB20:$IO20,$IQ20:$OD20),SUMPRODUCT('計算A'!$D$99:$EQ$99,$DB20:$IO20))*1000+40)</f>
        <v/>
      </c>
      <c r="CV20">
        <f>IF(BB20=1,1000000,IF('計算A'!$IT$50&gt;0,0,500000)+IF('計算A'!$IQ$50=2,SUMPRODUCT('計算A'!$D$100:$EQ$100,$DB20:$IO20,$IQ20:$OD20),SUMPRODUCT('計算A'!$D$100:$EQ$100,$DB20:$IO20))*1000+41)</f>
        <v/>
      </c>
      <c r="CW20">
        <f>IF(BC20=1,1000000,IF('計算A'!$IT$51&gt;0,0,500000)+IF('計算A'!$IQ$51=2,SUMPRODUCT('計算A'!$D$101:$EQ$101,$DB20:$IO20,$IQ20:$OD20),SUMPRODUCT('計算A'!$D$101:$EQ$101,$DB20:$IO20))*1000+42)</f>
        <v/>
      </c>
      <c r="CX20">
        <f>IF(BD20=1,1000000,IF('計算A'!$IT$52&gt;0,0,500000)+IF('計算A'!$IQ$52=2,SUMPRODUCT('計算A'!$D$102:$EQ$102,$DB20:$IO20,$IQ20:$OD20),SUMPRODUCT('計算A'!$D$102:$EQ$102,$DB20:$IO20))*1000+43)</f>
        <v/>
      </c>
      <c r="CY20">
        <f>IF(BE20=1,1000000,IF('計算A'!$IT$53&gt;0,0,500000)+IF('計算A'!$IQ$53=2,SUMPRODUCT('計算A'!$D$103:$EQ$103,$DB20:$IO20,$IQ20:$OD20),SUMPRODUCT('計算A'!$D$103:$EQ$103,$DB20:$IO20))*1000+44)</f>
        <v/>
      </c>
      <c r="CZ20">
        <f>IF(BF20=1,1000000,IF('計算A'!$IT$54&gt;0,0,500000)+IF('計算A'!$IQ$54=2,SUMPRODUCT('計算A'!$D$104:$EQ$104,$DB20:$IO20,$IQ20:$OD20),SUMPRODUCT('計算A'!$D$104:$EQ$104,$DB20:$IO20))*1000+45)</f>
        <v/>
      </c>
      <c r="DB20">
        <f>DB19*IF(OR($C19=1,$G19=1),0,1)</f>
        <v/>
      </c>
      <c r="DC20">
        <f>DC19*IF(OR($C19=2,$G19=2),0,1)</f>
        <v/>
      </c>
      <c r="DD20">
        <f>DD19*IF(OR($C19=3,$G19=3),0,1)</f>
        <v/>
      </c>
      <c r="DE20">
        <f>DE19*IF(OR($C19=4,$G19=4),0,1)</f>
        <v/>
      </c>
      <c r="DF20">
        <f>DF19*IF(OR($C19=5,$G19=5),0,1)</f>
        <v/>
      </c>
      <c r="DG20">
        <f>DG19*IF(OR($C19=6,$G19=6),0,1)</f>
        <v/>
      </c>
      <c r="DH20">
        <f>DH19*IF(OR($C19=7,$G19=7),0,1)</f>
        <v/>
      </c>
      <c r="DI20">
        <f>DI19*IF(OR($C19=8,$G19=8),0,1)</f>
        <v/>
      </c>
      <c r="DJ20">
        <f>DJ19*IF(OR($C19=9,$G19=9),0,1)</f>
        <v/>
      </c>
      <c r="DK20">
        <f>DK19*IF(OR($C19=10,$G19=10),0,1)</f>
        <v/>
      </c>
      <c r="DL20">
        <f>DL19*IF(OR($C19=11,$G19=11),0,1)</f>
        <v/>
      </c>
      <c r="DM20">
        <f>DM19*IF(OR($C19=12,$G19=12),0,1)</f>
        <v/>
      </c>
      <c r="DN20">
        <f>DN19*IF(OR($C19=13,$G19=13),0,1)</f>
        <v/>
      </c>
      <c r="DO20">
        <f>DO19*IF(OR($C19=14,$G19=14),0,1)</f>
        <v/>
      </c>
      <c r="DP20">
        <f>DP19*IF(OR($C19=15,$G19=15),0,1)</f>
        <v/>
      </c>
      <c r="DQ20">
        <f>DQ19*IF(OR($C19=16,$G19=16),0,1)</f>
        <v/>
      </c>
      <c r="DR20">
        <f>DR19*IF(OR($C19=17,$G19=17),0,1)</f>
        <v/>
      </c>
      <c r="DS20">
        <f>DS19*IF(OR($C19=18,$G19=18),0,1)</f>
        <v/>
      </c>
      <c r="DT20">
        <f>DT19*IF(OR($C19=19,$G19=19),0,1)</f>
        <v/>
      </c>
      <c r="DU20">
        <f>DU19*IF(OR($C19=20,$G19=20),0,1)</f>
        <v/>
      </c>
      <c r="DV20">
        <f>DV19*IF(OR($C19=21,$G19=21),0,1)</f>
        <v/>
      </c>
      <c r="DW20">
        <f>DW19*IF(OR($C19=22,$G19=22),0,1)</f>
        <v/>
      </c>
      <c r="DX20">
        <f>DX19*IF(OR($C19=23,$G19=23),0,1)</f>
        <v/>
      </c>
      <c r="DY20">
        <f>DY19*IF(OR($C19=24,$G19=24),0,1)</f>
        <v/>
      </c>
      <c r="DZ20">
        <f>DZ19*IF(OR($C19=25,$G19=25),0,1)</f>
        <v/>
      </c>
      <c r="EA20">
        <f>EA19*IF(OR($C19=26,$G19=26),0,1)</f>
        <v/>
      </c>
      <c r="EB20">
        <f>EB19*IF(OR($C19=27,$G19=27),0,1)</f>
        <v/>
      </c>
      <c r="EC20">
        <f>EC19*IF(OR($C19=28,$G19=28),0,1)</f>
        <v/>
      </c>
      <c r="ED20">
        <f>ED19*IF(OR($C19=29,$G19=29),0,1)</f>
        <v/>
      </c>
      <c r="EE20">
        <f>EE19*IF(OR($C19=30,$G19=30),0,1)</f>
        <v/>
      </c>
      <c r="EF20">
        <f>EF19*IF(OR($C19=31,$G19=31),0,1)</f>
        <v/>
      </c>
      <c r="EG20">
        <f>EG19*IF(OR($C19=32,$G19=32),0,1)</f>
        <v/>
      </c>
      <c r="EH20">
        <f>EH19*IF(OR($C19=33,$G19=33),0,1)</f>
        <v/>
      </c>
      <c r="EI20">
        <f>EI19*IF(OR($C19=34,$G19=34),0,1)</f>
        <v/>
      </c>
      <c r="EJ20">
        <f>EJ19*IF(OR($C19=35,$G19=35),0,1)</f>
        <v/>
      </c>
      <c r="EK20">
        <f>EK19*IF(OR($C19=36,$G19=36),0,1)</f>
        <v/>
      </c>
      <c r="EL20">
        <f>EL19*IF(OR($C19=37,$G19=37),0,1)</f>
        <v/>
      </c>
      <c r="EM20">
        <f>EM19*IF(OR($C19=38,$G19=38),0,1)</f>
        <v/>
      </c>
      <c r="EN20">
        <f>EN19*IF(OR($C19=39,$G19=39),0,1)</f>
        <v/>
      </c>
      <c r="EO20">
        <f>EO19*IF(OR($C19=40,$G19=40),0,1)</f>
        <v/>
      </c>
      <c r="EP20">
        <f>EP19*IF(OR($C19=41,$G19=41),0,1)</f>
        <v/>
      </c>
      <c r="EQ20">
        <f>EQ19*IF(OR($C19=42,$G19=42),0,1)</f>
        <v/>
      </c>
      <c r="ER20">
        <f>ER19*IF(OR($C19=43,$G19=43),0,1)</f>
        <v/>
      </c>
      <c r="ES20">
        <f>ES19*IF(OR($C19=44,$G19=44),0,1)</f>
        <v/>
      </c>
      <c r="ET20">
        <f>ET19*IF(OR($C19=45,$G19=45),0,1)</f>
        <v/>
      </c>
      <c r="EU20">
        <f>EU19*IF(OR($C19=46,$G19=46),0,1)</f>
        <v/>
      </c>
      <c r="EV20">
        <f>EV19*IF(OR($C19=47,$G19=47),0,1)</f>
        <v/>
      </c>
      <c r="EW20">
        <f>EW19*IF(OR($C19=48,$G19=48),0,1)</f>
        <v/>
      </c>
      <c r="EX20">
        <f>EX19*IF(OR($C19=49,$G19=49),0,1)</f>
        <v/>
      </c>
      <c r="EY20">
        <f>EY19*IF(OR($C19=50,$G19=50),0,1)</f>
        <v/>
      </c>
      <c r="EZ20">
        <f>EZ19*IF(OR($C19=51,$G19=51),0,1)</f>
        <v/>
      </c>
      <c r="FA20">
        <f>FA19*IF(OR($C19=52,$G19=52),0,1)</f>
        <v/>
      </c>
      <c r="FB20">
        <f>FB19*IF(OR($C19=53,$G19=53),0,1)</f>
        <v/>
      </c>
      <c r="FC20">
        <f>FC19*IF(OR($C19=54,$G19=54),0,1)</f>
        <v/>
      </c>
      <c r="FD20">
        <f>FD19*IF(OR($C19=55,$G19=55),0,1)</f>
        <v/>
      </c>
      <c r="FE20">
        <f>FE19*IF(OR($C19=56,$G19=56),0,1)</f>
        <v/>
      </c>
      <c r="FF20">
        <f>FF19*IF(OR($C19=57,$G19=57),0,1)</f>
        <v/>
      </c>
      <c r="FG20">
        <f>FG19*IF(OR($C19=58,$G19=58),0,1)</f>
        <v/>
      </c>
      <c r="FH20">
        <f>FH19*IF(OR($C19=59,$G19=59),0,1)</f>
        <v/>
      </c>
      <c r="FI20">
        <f>FI19*IF(OR($C19=60,$G19=60),0,1)</f>
        <v/>
      </c>
      <c r="FJ20">
        <f>FJ19*IF(OR($C19=61,$G19=61),0,1)</f>
        <v/>
      </c>
      <c r="FK20">
        <f>FK19*IF(OR($C19=62,$G19=62),0,1)</f>
        <v/>
      </c>
      <c r="FL20">
        <f>FL19*IF(OR($C19=63,$G19=63),0,1)</f>
        <v/>
      </c>
      <c r="FM20">
        <f>FM19*IF(OR($C19=64,$G19=64),0,1)</f>
        <v/>
      </c>
      <c r="FN20">
        <f>FN19*IF(OR($C19=65,$G19=65),0,1)</f>
        <v/>
      </c>
      <c r="FO20">
        <f>FO19*IF(OR($C19=66,$G19=66),0,1)</f>
        <v/>
      </c>
      <c r="FP20">
        <f>FP19*IF(OR($C19=67,$G19=67),0,1)</f>
        <v/>
      </c>
      <c r="FQ20">
        <f>FQ19*IF(OR($C19=68,$G19=68),0,1)</f>
        <v/>
      </c>
      <c r="FR20">
        <f>FR19*IF(OR($C19=69,$G19=69),0,1)</f>
        <v/>
      </c>
      <c r="FS20">
        <f>FS19*IF(OR($C19=70,$G19=70),0,1)</f>
        <v/>
      </c>
      <c r="FT20">
        <f>FT19*IF(OR($C19=71,$G19=71),0,1)</f>
        <v/>
      </c>
      <c r="FU20">
        <f>FU19*IF(OR($C19=72,$G19=72),0,1)</f>
        <v/>
      </c>
      <c r="FV20">
        <f>FV19*IF(OR($C19=73,$G19=73),0,1)</f>
        <v/>
      </c>
      <c r="FW20">
        <f>FW19*IF(OR($C19=74,$G19=74),0,1)</f>
        <v/>
      </c>
      <c r="FX20">
        <f>FX19*IF(OR($C19=75,$G19=75),0,1)</f>
        <v/>
      </c>
      <c r="FY20">
        <f>FY19*IF(OR($C19=76,$G19=76),0,1)</f>
        <v/>
      </c>
      <c r="FZ20">
        <f>FZ19*IF(OR($C19=77,$G19=77),0,1)</f>
        <v/>
      </c>
      <c r="GA20">
        <f>GA19*IF(OR($C19=78,$G19=78),0,1)</f>
        <v/>
      </c>
      <c r="GB20">
        <f>GB19*IF(OR($C19=79,$G19=79),0,1)</f>
        <v/>
      </c>
      <c r="GC20">
        <f>GC19*IF(OR($C19=80,$G19=80),0,1)</f>
        <v/>
      </c>
      <c r="GD20">
        <f>GD19*IF(OR($C19=81,$G19=81),0,1)</f>
        <v/>
      </c>
      <c r="GE20">
        <f>GE19*IF(OR($C19=82,$G19=82),0,1)</f>
        <v/>
      </c>
      <c r="GF20">
        <f>GF19*IF(OR($C19=83,$G19=83),0,1)</f>
        <v/>
      </c>
      <c r="GG20">
        <f>GG19*IF(OR($C19=84,$G19=84),0,1)</f>
        <v/>
      </c>
      <c r="GH20">
        <f>GH19*IF(OR($C19=85,$G19=85),0,1)</f>
        <v/>
      </c>
      <c r="GI20">
        <f>GI19*IF(OR($C19=86,$G19=86),0,1)</f>
        <v/>
      </c>
      <c r="GJ20">
        <f>GJ19*IF(OR($C19=87,$G19=87),0,1)</f>
        <v/>
      </c>
      <c r="GK20">
        <f>GK19*IF(OR($C19=88,$G19=88),0,1)</f>
        <v/>
      </c>
      <c r="GL20">
        <f>GL19*IF(OR($C19=89,$G19=89),0,1)</f>
        <v/>
      </c>
      <c r="GM20">
        <f>GM19*IF(OR($C19=90,$G19=90),0,1)</f>
        <v/>
      </c>
      <c r="GN20">
        <f>GN19*IF(OR($C19=91,$G19=91),0,1)</f>
        <v/>
      </c>
      <c r="GO20">
        <f>GO19*IF(OR($C19=92,$G19=92),0,1)</f>
        <v/>
      </c>
      <c r="GP20">
        <f>GP19*IF(OR($C19=93,$G19=93),0,1)</f>
        <v/>
      </c>
      <c r="GQ20">
        <f>GQ19*IF(OR($C19=94,$G19=94),0,1)</f>
        <v/>
      </c>
      <c r="GR20">
        <f>GR19*IF(OR($C19=95,$G19=95),0,1)</f>
        <v/>
      </c>
      <c r="GS20">
        <f>GS19*IF(OR($C19=96,$G19=96),0,1)</f>
        <v/>
      </c>
      <c r="GT20">
        <f>GT19*IF(OR($C19=97,$G19=97),0,1)</f>
        <v/>
      </c>
      <c r="GU20">
        <f>GU19*IF(OR($C19=98,$G19=98),0,1)</f>
        <v/>
      </c>
      <c r="GV20">
        <f>GV19*IF(OR($C19=99,$G19=99),0,1)</f>
        <v/>
      </c>
      <c r="GW20">
        <f>GW19*IF(OR($C19=100,$G19=100),0,1)</f>
        <v/>
      </c>
      <c r="GX20">
        <f>GX19*IF(OR($C19=101,$G19=101),0,1)</f>
        <v/>
      </c>
      <c r="GY20">
        <f>GY19*IF(OR($C19=102,$G19=102),0,1)</f>
        <v/>
      </c>
      <c r="GZ20">
        <f>GZ19*IF(OR($C19=103,$G19=103),0,1)</f>
        <v/>
      </c>
      <c r="HA20">
        <f>HA19*IF(OR($C19=104,$G19=104),0,1)</f>
        <v/>
      </c>
      <c r="HB20">
        <f>HB19*IF(OR($C19=105,$G19=105),0,1)</f>
        <v/>
      </c>
      <c r="HC20">
        <f>HC19*IF(OR($C19=106,$G19=106),0,1)</f>
        <v/>
      </c>
      <c r="HD20">
        <f>HD19*IF(OR($C19=107,$G19=107),0,1)</f>
        <v/>
      </c>
      <c r="HE20">
        <f>HE19*IF(OR($C19=108,$G19=108),0,1)</f>
        <v/>
      </c>
      <c r="HF20">
        <f>HF19*IF(OR($C19=109,$G19=109),0,1)</f>
        <v/>
      </c>
      <c r="HG20">
        <f>HG19*IF(OR($C19=110,$G19=110),0,1)</f>
        <v/>
      </c>
      <c r="HH20">
        <f>HH19*IF(OR($C19=111,$G19=111),0,1)</f>
        <v/>
      </c>
      <c r="HI20">
        <f>HI19*IF(OR($C19=112,$G19=112),0,1)</f>
        <v/>
      </c>
      <c r="HJ20">
        <f>HJ19*IF(OR($C19=113,$G19=113),0,1)</f>
        <v/>
      </c>
      <c r="HK20">
        <f>HK19*IF(OR($C19=114,$G19=114),0,1)</f>
        <v/>
      </c>
      <c r="HL20">
        <f>HL19*IF(OR($C19=115,$G19=115),0,1)</f>
        <v/>
      </c>
      <c r="HM20">
        <f>HM19*IF(OR($C19=116,$G19=116),0,1)</f>
        <v/>
      </c>
      <c r="HN20">
        <f>HN19*IF(OR($C19=117,$G19=117),0,1)</f>
        <v/>
      </c>
      <c r="HO20">
        <f>HO19*IF(OR($C19=118,$G19=118),0,1)</f>
        <v/>
      </c>
      <c r="HP20">
        <f>HP19*IF(OR($C19=119,$G19=119),0,1)</f>
        <v/>
      </c>
      <c r="HQ20">
        <f>HQ19*IF(OR($C19=120,$G19=120),0,1)</f>
        <v/>
      </c>
      <c r="HR20">
        <f>HR19*IF(OR($C19=121,$G19=121),0,1)</f>
        <v/>
      </c>
      <c r="HS20">
        <f>HS19*IF(OR($C19=122,$G19=122),0,1)</f>
        <v/>
      </c>
      <c r="HT20">
        <f>HT19*IF(OR($C19=123,$G19=123),0,1)</f>
        <v/>
      </c>
      <c r="HU20">
        <f>HU19*IF(OR($C19=124,$G19=124),0,1)</f>
        <v/>
      </c>
      <c r="HV20">
        <f>HV19*IF(OR($C19=125,$G19=125),0,1)</f>
        <v/>
      </c>
      <c r="HW20">
        <f>HW19*IF(OR($C19=126,$G19=126),0,1)</f>
        <v/>
      </c>
      <c r="HX20">
        <f>HX19*IF(OR($C19=127,$G19=127),0,1)</f>
        <v/>
      </c>
      <c r="HY20">
        <f>HY19*IF(OR($C19=128,$G19=128),0,1)</f>
        <v/>
      </c>
      <c r="HZ20">
        <f>HZ19*IF(OR($C19=129,$G19=129),0,1)</f>
        <v/>
      </c>
      <c r="IA20">
        <f>IA19*IF(OR($C19=130,$G19=130),0,1)</f>
        <v/>
      </c>
      <c r="IB20">
        <f>IB19*IF(OR($C19=131,$G19=131),0,1)</f>
        <v/>
      </c>
      <c r="IC20">
        <f>IC19*IF(OR($C19=132,$G19=132),0,1)</f>
        <v/>
      </c>
      <c r="ID20">
        <f>ID19*IF(OR($C19=133,$G19=133),0,1)</f>
        <v/>
      </c>
      <c r="IE20">
        <f>IE19*IF(OR($C19=134,$G19=134),0,1)</f>
        <v/>
      </c>
      <c r="IF20">
        <f>IF19*IF(OR($C19=135,$G19=135),0,1)</f>
        <v/>
      </c>
      <c r="IG20">
        <f>IG19*IF(OR($C19=136,$G19=136),0,1)</f>
        <v/>
      </c>
      <c r="IH20">
        <f>IH19*IF(OR($C19=137,$G19=137),0,1)</f>
        <v/>
      </c>
      <c r="II20">
        <f>II19*IF(OR($C19=138,$G19=138),0,1)</f>
        <v/>
      </c>
      <c r="IJ20">
        <f>IJ19*IF(OR($C19=139,$G19=139),0,1)</f>
        <v/>
      </c>
      <c r="IK20">
        <f>IK19*IF(OR($C19=140,$G19=140),0,1)</f>
        <v/>
      </c>
      <c r="IL20">
        <f>IL19*IF(OR($C19=141,$G19=141),0,1)</f>
        <v/>
      </c>
      <c r="IM20">
        <f>IM19*IF(OR($C19=142,$G19=142),0,1)</f>
        <v/>
      </c>
      <c r="IN20">
        <f>IN19*IF(OR($C19=143,$G19=143),0,1)</f>
        <v/>
      </c>
      <c r="IO20">
        <f>IO19*IF(OR($C19=144,$G19=144),0,1)</f>
        <v/>
      </c>
      <c r="IQ20">
        <f>IF('計算A'!D$106=1,DC20,1)</f>
        <v/>
      </c>
      <c r="IR20">
        <f>IF('計算A'!E$106=1,DD20,1)</f>
        <v/>
      </c>
      <c r="IS20">
        <f>IF('計算A'!F$106=1,DE20,1)</f>
        <v/>
      </c>
      <c r="IT20">
        <f>IF('計算A'!G$106=1,DF20,1)</f>
        <v/>
      </c>
      <c r="IU20">
        <f>IF('計算A'!H$106=1,DG20,1)</f>
        <v/>
      </c>
      <c r="IV20">
        <f>IF('計算A'!I$106=1,DH20,1)</f>
        <v/>
      </c>
      <c r="IW20">
        <f>IF('計算A'!J$106=1,DI20,1)</f>
        <v/>
      </c>
      <c r="IX20">
        <f>IF('計算A'!K$106=1,DJ20,1)</f>
        <v/>
      </c>
      <c r="IY20">
        <f>IF('計算A'!L$106=1,DK20,1)</f>
        <v/>
      </c>
      <c r="IZ20">
        <f>IF('計算A'!M$106=1,DL20,1)</f>
        <v/>
      </c>
      <c r="JA20">
        <f>IF('計算A'!N$106=1,DM20,1)</f>
        <v/>
      </c>
      <c r="JB20">
        <f>IF('計算A'!O$106=1,DN20,1)</f>
        <v/>
      </c>
      <c r="JC20">
        <f>IF('計算A'!P$106=1,DO20,1)</f>
        <v/>
      </c>
      <c r="JD20">
        <f>IF('計算A'!Q$106=1,DP20,1)</f>
        <v/>
      </c>
      <c r="JE20">
        <f>IF('計算A'!R$106=1,DQ20,1)</f>
        <v/>
      </c>
      <c r="JF20">
        <f>IF('計算A'!S$106=1,DR20,1)</f>
        <v/>
      </c>
      <c r="JG20">
        <f>IF('計算A'!T$106=1,DS20,1)</f>
        <v/>
      </c>
      <c r="JH20">
        <f>IF('計算A'!U$106=1,DT20,1)</f>
        <v/>
      </c>
      <c r="JI20">
        <f>IF('計算A'!V$106=1,DU20,1)</f>
        <v/>
      </c>
      <c r="JJ20">
        <f>IF('計算A'!W$106=1,DV20,1)</f>
        <v/>
      </c>
      <c r="JK20">
        <f>IF('計算A'!X$106=1,DW20,1)</f>
        <v/>
      </c>
      <c r="JL20">
        <f>IF('計算A'!Y$106=1,DX20,1)</f>
        <v/>
      </c>
      <c r="JM20">
        <f>IF('計算A'!Z$106=1,DY20,1)</f>
        <v/>
      </c>
      <c r="JN20">
        <f>IF('計算A'!AA$106=1,DZ20,1)</f>
        <v/>
      </c>
      <c r="JO20">
        <f>IF('計算A'!AB$106=1,EA20,1)</f>
        <v/>
      </c>
      <c r="JP20">
        <f>IF('計算A'!AC$106=1,EB20,1)</f>
        <v/>
      </c>
      <c r="JQ20">
        <f>IF('計算A'!AD$106=1,EC20,1)</f>
        <v/>
      </c>
      <c r="JR20">
        <f>IF('計算A'!AE$106=1,ED20,1)</f>
        <v/>
      </c>
      <c r="JS20">
        <f>IF('計算A'!AF$106=1,EE20,1)</f>
        <v/>
      </c>
      <c r="JT20">
        <f>IF('計算A'!AG$106=1,EF20,1)</f>
        <v/>
      </c>
      <c r="JU20">
        <f>IF('計算A'!AH$106=1,EG20,1)</f>
        <v/>
      </c>
      <c r="JV20">
        <f>IF('計算A'!AI$106=1,EH20,1)</f>
        <v/>
      </c>
      <c r="JW20">
        <f>IF('計算A'!AJ$106=1,EI20,1)</f>
        <v/>
      </c>
      <c r="JX20">
        <f>IF('計算A'!AK$106=1,EJ20,1)</f>
        <v/>
      </c>
      <c r="JY20">
        <f>IF('計算A'!AL$106=1,EK20,1)</f>
        <v/>
      </c>
      <c r="JZ20">
        <f>IF('計算A'!AM$106=1,EL20,1)</f>
        <v/>
      </c>
      <c r="KA20">
        <f>IF('計算A'!AN$106=1,EM20,1)</f>
        <v/>
      </c>
      <c r="KB20">
        <f>IF('計算A'!AO$106=1,EN20,1)</f>
        <v/>
      </c>
      <c r="KC20">
        <f>IF('計算A'!AP$106=1,EO20,1)</f>
        <v/>
      </c>
      <c r="KD20">
        <f>IF('計算A'!AQ$106=1,EP20,1)</f>
        <v/>
      </c>
      <c r="KE20">
        <f>IF('計算A'!AR$106=1,EQ20,1)</f>
        <v/>
      </c>
      <c r="KF20">
        <f>IF('計算A'!AS$106=1,ER20,1)</f>
        <v/>
      </c>
      <c r="KG20">
        <f>IF('計算A'!AT$106=1,ES20,1)</f>
        <v/>
      </c>
      <c r="KH20">
        <f>IF('計算A'!AU$106=1,ET20,1)</f>
        <v/>
      </c>
      <c r="KI20">
        <f>IF('計算A'!AV$106=1,EU20,1)</f>
        <v/>
      </c>
      <c r="KJ20">
        <f>IF('計算A'!AW$106=1,EV20,1)</f>
        <v/>
      </c>
      <c r="KK20">
        <f>IF('計算A'!AX$106=1,EW20,1)</f>
        <v/>
      </c>
      <c r="KL20">
        <f>IF('計算A'!AY$106=1,EX20,1)</f>
        <v/>
      </c>
      <c r="KM20">
        <f>IF('計算A'!AZ$106=1,EY20,1)</f>
        <v/>
      </c>
      <c r="KN20">
        <f>IF('計算A'!BA$106=1,EZ20,1)</f>
        <v/>
      </c>
      <c r="KO20">
        <f>IF('計算A'!BB$106=1,FA20,1)</f>
        <v/>
      </c>
      <c r="KP20">
        <f>IF('計算A'!BC$106=1,FB20,1)</f>
        <v/>
      </c>
      <c r="KQ20">
        <f>IF('計算A'!BD$106=1,FC20,1)</f>
        <v/>
      </c>
      <c r="KR20">
        <f>IF('計算A'!BE$106=1,FD20,1)</f>
        <v/>
      </c>
      <c r="KS20">
        <f>IF('計算A'!BF$106=1,FE20,1)</f>
        <v/>
      </c>
      <c r="KT20">
        <f>IF('計算A'!BG$106=1,FF20,1)</f>
        <v/>
      </c>
      <c r="KU20">
        <f>IF('計算A'!BH$106=1,FG20,1)</f>
        <v/>
      </c>
      <c r="KV20">
        <f>IF('計算A'!BI$106=1,FH20,1)</f>
        <v/>
      </c>
      <c r="KW20">
        <f>IF('計算A'!BJ$106=1,FI20,1)</f>
        <v/>
      </c>
      <c r="KX20">
        <f>IF('計算A'!BK$106=1,FJ20,1)</f>
        <v/>
      </c>
      <c r="KY20">
        <f>IF('計算A'!BL$106=1,FK20,1)</f>
        <v/>
      </c>
      <c r="KZ20">
        <f>IF('計算A'!BM$106=1,FL20,1)</f>
        <v/>
      </c>
      <c r="LA20">
        <f>IF('計算A'!BN$106=1,FM20,1)</f>
        <v/>
      </c>
      <c r="LB20">
        <f>IF('計算A'!BO$106=1,FN20,1)</f>
        <v/>
      </c>
      <c r="LC20">
        <f>IF('計算A'!BP$106=1,FO20,1)</f>
        <v/>
      </c>
      <c r="LD20">
        <f>IF('計算A'!BQ$106=1,FP20,1)</f>
        <v/>
      </c>
      <c r="LE20">
        <f>IF('計算A'!BR$106=1,FQ20,1)</f>
        <v/>
      </c>
      <c r="LF20">
        <f>IF('計算A'!BS$106=1,FR20,1)</f>
        <v/>
      </c>
      <c r="LG20">
        <f>IF('計算A'!BT$106=1,FS20,1)</f>
        <v/>
      </c>
      <c r="LH20">
        <f>IF('計算A'!BU$106=1,FT20,1)</f>
        <v/>
      </c>
      <c r="LI20">
        <f>IF('計算A'!BV$106=1,FU20,1)</f>
        <v/>
      </c>
      <c r="LJ20">
        <f>IF('計算A'!BW$106=1,FV20,1)</f>
        <v/>
      </c>
      <c r="LK20">
        <f>IF('計算A'!BX$106=1,FW20,1)</f>
        <v/>
      </c>
      <c r="LL20">
        <f>IF('計算A'!BY$106=1,FX20,1)</f>
        <v/>
      </c>
      <c r="LM20">
        <f>IF('計算A'!BZ$106=1,FY20,1)</f>
        <v/>
      </c>
      <c r="LN20">
        <f>IF('計算A'!CA$106=1,FZ20,1)</f>
        <v/>
      </c>
      <c r="LO20">
        <f>IF('計算A'!CB$106=1,GA20,1)</f>
        <v/>
      </c>
      <c r="LP20">
        <f>IF('計算A'!CC$106=1,GB20,1)</f>
        <v/>
      </c>
      <c r="LQ20">
        <f>IF('計算A'!CD$106=1,GC20,1)</f>
        <v/>
      </c>
      <c r="LR20">
        <f>IF('計算A'!CE$106=1,GD20,1)</f>
        <v/>
      </c>
      <c r="LS20">
        <f>IF('計算A'!CF$106=1,GE20,1)</f>
        <v/>
      </c>
      <c r="LT20">
        <f>IF('計算A'!CG$106=1,GF20,1)</f>
        <v/>
      </c>
      <c r="LU20">
        <f>IF('計算A'!CH$106=1,GG20,1)</f>
        <v/>
      </c>
      <c r="LV20">
        <f>IF('計算A'!CI$106=1,GH20,1)</f>
        <v/>
      </c>
      <c r="LW20">
        <f>IF('計算A'!CJ$106=1,GI20,1)</f>
        <v/>
      </c>
      <c r="LX20">
        <f>IF('計算A'!CK$106=1,GJ20,1)</f>
        <v/>
      </c>
      <c r="LY20">
        <f>IF('計算A'!CL$106=1,GK20,1)</f>
        <v/>
      </c>
      <c r="LZ20">
        <f>IF('計算A'!CM$106=1,GL20,1)</f>
        <v/>
      </c>
      <c r="MA20">
        <f>IF('計算A'!CN$106=1,GM20,1)</f>
        <v/>
      </c>
      <c r="MB20">
        <f>IF('計算A'!CO$106=1,GN20,1)</f>
        <v/>
      </c>
      <c r="MC20">
        <f>IF('計算A'!CP$106=1,GO20,1)</f>
        <v/>
      </c>
      <c r="MD20">
        <f>IF('計算A'!CQ$106=1,GP20,1)</f>
        <v/>
      </c>
      <c r="ME20">
        <f>IF('計算A'!CR$106=1,GQ20,1)</f>
        <v/>
      </c>
      <c r="MF20">
        <f>IF('計算A'!CS$106=1,GR20,1)</f>
        <v/>
      </c>
      <c r="MG20">
        <f>IF('計算A'!CT$106=1,GS20,1)</f>
        <v/>
      </c>
      <c r="MH20">
        <f>IF('計算A'!CU$106=1,GT20,1)</f>
        <v/>
      </c>
      <c r="MI20">
        <f>IF('計算A'!CV$106=1,GU20,1)</f>
        <v/>
      </c>
      <c r="MJ20">
        <f>IF('計算A'!CW$106=1,GV20,1)</f>
        <v/>
      </c>
      <c r="MK20">
        <f>IF('計算A'!CX$106=1,GW20,1)</f>
        <v/>
      </c>
      <c r="ML20">
        <f>IF('計算A'!CY$106=1,GX20,1)</f>
        <v/>
      </c>
      <c r="MM20">
        <f>IF('計算A'!CZ$106=1,GY20,1)</f>
        <v/>
      </c>
      <c r="MN20">
        <f>IF('計算A'!DA$106=1,GZ20,1)</f>
        <v/>
      </c>
      <c r="MO20">
        <f>IF('計算A'!DB$106=1,HA20,1)</f>
        <v/>
      </c>
      <c r="MP20">
        <f>IF('計算A'!DC$106=1,HB20,1)</f>
        <v/>
      </c>
      <c r="MQ20">
        <f>IF('計算A'!DD$106=1,HC20,1)</f>
        <v/>
      </c>
      <c r="MR20">
        <f>IF('計算A'!DE$106=1,HD20,1)</f>
        <v/>
      </c>
      <c r="MS20">
        <f>IF('計算A'!DF$106=1,HE20,1)</f>
        <v/>
      </c>
      <c r="MT20">
        <f>IF('計算A'!DG$106=1,HF20,1)</f>
        <v/>
      </c>
      <c r="MU20">
        <f>IF('計算A'!DH$106=1,HG20,1)</f>
        <v/>
      </c>
      <c r="MV20">
        <f>IF('計算A'!DI$106=1,HH20,1)</f>
        <v/>
      </c>
      <c r="MW20">
        <f>IF('計算A'!DJ$106=1,HI20,1)</f>
        <v/>
      </c>
      <c r="MX20">
        <f>IF('計算A'!DK$106=1,HJ20,1)</f>
        <v/>
      </c>
      <c r="MY20">
        <f>IF('計算A'!DL$106=1,HK20,1)</f>
        <v/>
      </c>
      <c r="MZ20">
        <f>IF('計算A'!DM$106=1,HL20,1)</f>
        <v/>
      </c>
      <c r="NA20">
        <f>IF('計算A'!DN$106=1,HM20,1)</f>
        <v/>
      </c>
      <c r="NB20">
        <f>IF('計算A'!DO$106=1,HN20,1)</f>
        <v/>
      </c>
      <c r="NC20">
        <f>IF('計算A'!DP$106=1,HO20,1)</f>
        <v/>
      </c>
      <c r="ND20">
        <f>IF('計算A'!DQ$106=1,HP20,1)</f>
        <v/>
      </c>
      <c r="NE20">
        <f>IF('計算A'!DR$106=1,HQ20,1)</f>
        <v/>
      </c>
      <c r="NF20">
        <f>IF('計算A'!DS$106=1,HR20,1)</f>
        <v/>
      </c>
      <c r="NG20">
        <f>IF('計算A'!DT$106=1,HS20,1)</f>
        <v/>
      </c>
      <c r="NH20">
        <f>IF('計算A'!DU$106=1,HT20,1)</f>
        <v/>
      </c>
      <c r="NI20">
        <f>IF('計算A'!DV$106=1,HU20,1)</f>
        <v/>
      </c>
      <c r="NJ20">
        <f>IF('計算A'!DW$106=1,HV20,1)</f>
        <v/>
      </c>
      <c r="NK20">
        <f>IF('計算A'!DX$106=1,HW20,1)</f>
        <v/>
      </c>
      <c r="NL20">
        <f>IF('計算A'!DY$106=1,HX20,1)</f>
        <v/>
      </c>
      <c r="NM20">
        <f>IF('計算A'!DZ$106=1,HY20,1)</f>
        <v/>
      </c>
      <c r="NN20">
        <f>IF('計算A'!EA$106=1,HZ20,1)</f>
        <v/>
      </c>
      <c r="NO20">
        <f>IF('計算A'!EB$106=1,IA20,1)</f>
        <v/>
      </c>
      <c r="NP20">
        <f>IF('計算A'!EC$106=1,IB20,1)</f>
        <v/>
      </c>
      <c r="NQ20">
        <f>IF('計算A'!ED$106=1,IC20,1)</f>
        <v/>
      </c>
      <c r="NR20">
        <f>IF('計算A'!EE$106=1,ID20,1)</f>
        <v/>
      </c>
      <c r="NS20">
        <f>IF('計算A'!EF$106=1,IE20,1)</f>
        <v/>
      </c>
      <c r="NT20">
        <f>IF('計算A'!EG$106=1,IF20,1)</f>
        <v/>
      </c>
      <c r="NU20">
        <f>IF('計算A'!EH$106=1,IG20,1)</f>
        <v/>
      </c>
      <c r="NV20">
        <f>IF('計算A'!EI$106=1,IH20,1)</f>
        <v/>
      </c>
      <c r="NW20">
        <f>IF('計算A'!EJ$106=1,II20,1)</f>
        <v/>
      </c>
      <c r="NX20">
        <f>IF('計算A'!EK$106=1,IJ20,1)</f>
        <v/>
      </c>
      <c r="NY20">
        <f>IF('計算A'!EL$106=1,IK20,1)</f>
        <v/>
      </c>
      <c r="NZ20">
        <f>IF('計算A'!EM$106=1,IL20,1)</f>
        <v/>
      </c>
      <c r="OA20">
        <f>IF('計算A'!EN$106=1,IM20,1)</f>
        <v/>
      </c>
      <c r="OB20">
        <f>IF('計算A'!EO$106=1,IN20,1)</f>
        <v/>
      </c>
      <c r="OC20">
        <f>IF('計算A'!EP$106=1,IO20,1)</f>
        <v/>
      </c>
      <c r="OD20" t="n">
        <v>1</v>
      </c>
      <c r="OF20">
        <f>IF($B20=0,1000000,IF(INDEX('計算A'!$D$60:$EQ$104,$B20,1)*DB20=1,IF(AND($E20=2,IQ20=0),1000000,IF($I20&gt;0,IF(1=$J20,IF(OR(AND(1=$I20+1,OR($K20&lt;&gt;'計算A'!$A$3,'計算A'!$A$4=0)),AND(1=$I20-1,OR(1&lt;&gt;'計算A'!$A$3,'計算A'!$A$4=0))),0,IF(1=$K20,200000,ABS(1-$K20)*100)),100000+ABS(1-$J20)*1000+10)+'計算A'!D$5*50+IF(AND($E20=1,IQ20=0),25,0),IF($F20&gt;0,INDEX('計算A'!D$110:D$114,$F20+1)+IF(AND($E20=1,IQ20=0),1000,0),MIN(TU20,20)*400+(IF('計算A'!D$106=1,1-DC20,0))*150+11+'計算A'!D$5*100000+IF(AND($E20=1,IQ20=0),50000,0))+IF($H20=1,(IF('計算A'!D$117=1,INDEX('計算A'!E$10:E$54,$B20),0))*4000,0)-IF(AND($L20=1,'計算A'!D$117=1,DC20=0),2000,0))),1000000))</f>
        <v/>
      </c>
      <c r="OG20">
        <f>IF($B20=0,1000000,IF(INDEX('計算A'!$D$60:$EQ$104,$B20,2)*DC20=1,IF(AND($E20=2,IR20=0),1000000,IF($I20&gt;0,IF(1=$J20,IF(OR(AND(2=$I20+1,OR($K20&lt;&gt;'計算A'!$A$3,'計算A'!$A$4=0)),AND(2=$I20-1,OR(2&lt;&gt;'計算A'!$A$3,'計算A'!$A$4=0))),0,IF(2=$K20,200000,ABS(2-$K20)*100)),100000+ABS(1-$J20)*1000+20)+'計算A'!E$5*50+IF(AND($E20=1,IR20=0),25,0),IF($F20&gt;0,INDEX('計算A'!E$110:E$114,$F20+1)+IF(AND($E20=1,IR20=0),1000,0),MIN(TU20,20)*400+(IF('計算A'!D$106=1,1-DB20,0)+IF('計算A'!E$106=1,1-DD20,0))*150+21+'計算A'!E$5*100000+IF(AND($E20=1,IR20=0),50000,0))+IF($H20=1,(IF('計算A'!D$117=1,INDEX('計算A'!D$10:D$54,$B20),0)+IF('計算A'!E$117=1,INDEX('計算A'!F$10:F$54,$B20),0))*4000,0)-IF(AND('計算A'!D$117=1,UB20&gt;0),2000,0)-IF(AND($L20=1,'計算A'!E$117=1,DD20=0),2000,0))),1000000))</f>
        <v/>
      </c>
      <c r="OH20">
        <f>IF($B20=0,1000000,IF(INDEX('計算A'!$D$60:$EQ$104,$B20,3)*DD20=1,IF(AND($E20=2,IS20=0),1000000,IF($I20&gt;0,IF(1=$J20,IF(OR(AND(3=$I20+1,OR($K20&lt;&gt;'計算A'!$A$3,'計算A'!$A$4=0)),AND(3=$I20-1,OR(3&lt;&gt;'計算A'!$A$3,'計算A'!$A$4=0))),0,IF(3=$K20,200000,ABS(3-$K20)*100)),100000+ABS(1-$J20)*1000+30)+'計算A'!F$5*50+IF(AND($E20=1,IS20=0),25,0),IF($F20&gt;0,INDEX('計算A'!F$110:F$114,$F20+1)+IF(AND($E20=1,IS20=0),1000,0),MIN(TU20,20)*400+(IF('計算A'!E$106=1,1-DC20,0)+IF('計算A'!F$106=1,1-DE20,0))*150+31+'計算A'!F$5*100000+IF(AND($E20=1,IS20=0),50000,0))+IF($H20=1,(IF('計算A'!E$117=1,INDEX('計算A'!E$10:E$54,$B20),0)+IF('計算A'!F$117=1,INDEX('計算A'!G$10:G$54,$B20),0))*4000,0)-IF(AND('計算A'!E$117=1,UC20&gt;0),2000,0)-IF(AND($L20=1,'計算A'!F$117=1,DE20=0),2000,0))),1000000))</f>
        <v/>
      </c>
      <c r="OI20">
        <f>IF($B20=0,1000000,IF(INDEX('計算A'!$D$60:$EQ$104,$B20,4)*DE20=1,IF(AND($E20=2,IT20=0),1000000,IF($I20&gt;0,IF(1=$J20,IF(OR(AND(4=$I20+1,OR($K20&lt;&gt;'計算A'!$A$3,'計算A'!$A$4=0)),AND(4=$I20-1,OR(4&lt;&gt;'計算A'!$A$3,'計算A'!$A$4=0))),0,IF(4=$K20,200000,ABS(4-$K20)*100)),100000+ABS(1-$J20)*1000+40)+'計算A'!G$5*50+IF(AND($E20=1,IT20=0),25,0),IF($F20&gt;0,INDEX('計算A'!G$110:G$114,$F20+1)+IF(AND($E20=1,IT20=0),1000,0),MIN(TU20,20)*400+(IF('計算A'!F$106=1,1-DD20,0)+IF('計算A'!G$106=1,1-DF20,0))*150+41+'計算A'!G$5*100000+IF(AND($E20=1,IT20=0),50000,0))+IF($H20=1,(IF('計算A'!F$117=1,INDEX('計算A'!F$10:F$54,$B20),0)+IF('計算A'!G$117=1,INDEX('計算A'!H$10:H$54,$B20),0))*4000,0)-IF(AND('計算A'!F$117=1,UD20&gt;0),2000,0)-IF(AND($L20=1,'計算A'!G$117=1,DF20=0),2000,0))),1000000))</f>
        <v/>
      </c>
      <c r="OJ20">
        <f>IF($B20=0,1000000,IF(INDEX('計算A'!$D$60:$EQ$104,$B20,5)*DF20=1,IF(AND($E20=2,IU20=0),1000000,IF($I20&gt;0,IF(1=$J20,IF(OR(AND(5=$I20+1,OR($K20&lt;&gt;'計算A'!$A$3,'計算A'!$A$4=0)),AND(5=$I20-1,OR(5&lt;&gt;'計算A'!$A$3,'計算A'!$A$4=0))),0,IF(5=$K20,200000,ABS(5-$K20)*100)),100000+ABS(1-$J20)*1000+50)+'計算A'!H$5*50+IF(AND($E20=1,IU20=0),25,0),IF($F20&gt;0,INDEX('計算A'!H$110:H$114,$F20+1)+IF(AND($E20=1,IU20=0),1000,0),MIN(TU20,20)*400+(IF('計算A'!G$106=1,1-DE20,0)+IF('計算A'!H$106=1,1-DG20,0))*150+51+'計算A'!H$5*100000+IF(AND($E20=1,IU20=0),50000,0))+IF($H20=1,(IF('計算A'!G$117=1,INDEX('計算A'!G$10:G$54,$B20),0)+IF('計算A'!H$117=1,INDEX('計算A'!I$10:I$54,$B20),0))*4000,0)-IF(AND('計算A'!G$117=1,UE20&gt;0),2000,0)-IF(AND($L20=1,'計算A'!H$117=1,DG20=0),2000,0))),1000000))</f>
        <v/>
      </c>
      <c r="OK20">
        <f>IF($B20=0,1000000,IF(INDEX('計算A'!$D$60:$EQ$104,$B20,6)*DG20=1,IF(AND($E20=2,IV20=0),1000000,IF($I20&gt;0,IF(1=$J20,IF(OR(AND(6=$I20+1,OR($K20&lt;&gt;'計算A'!$A$3,'計算A'!$A$4=0)),AND(6=$I20-1,OR(6&lt;&gt;'計算A'!$A$3,'計算A'!$A$4=0))),0,IF(6=$K20,200000,ABS(6-$K20)*100)),100000+ABS(1-$J20)*1000+60)+'計算A'!I$5*50+IF(AND($E20=1,IV20=0),25,0),IF($F20&gt;0,INDEX('計算A'!I$110:I$114,$F20+1)+IF(AND($E20=1,IV20=0),1000,0),MIN(TU20,20)*400+(IF('計算A'!H$106=1,1-DF20,0)+IF('計算A'!I$106=1,1-DH20,0))*150+61+'計算A'!I$5*100000+IF(AND($E20=1,IV20=0),50000,0))+IF($H20=1,(IF('計算A'!H$117=1,INDEX('計算A'!H$10:H$54,$B20),0)+IF('計算A'!I$117=1,INDEX('計算A'!J$10:J$54,$B20),0))*4000,0)-IF(AND('計算A'!H$117=1,UF20&gt;0),2000,0)-IF(AND($L20=1,'計算A'!I$117=1,DH20=0),2000,0))),1000000))</f>
        <v/>
      </c>
      <c r="OL20">
        <f>IF($B20=0,1000000,IF(INDEX('計算A'!$D$60:$EQ$104,$B20,7)*DH20=1,IF(AND($E20=2,IW20=0),1000000,IF($I20&gt;0,IF(1=$J20,IF(OR(AND(7=$I20+1,OR($K20&lt;&gt;'計算A'!$A$3,'計算A'!$A$4=0)),AND(7=$I20-1,OR(7&lt;&gt;'計算A'!$A$3,'計算A'!$A$4=0))),0,IF(7=$K20,200000,ABS(7-$K20)*100)),100000+ABS(1-$J20)*1000+70)+'計算A'!J$5*50+IF(AND($E20=1,IW20=0),25,0),IF($F20&gt;0,INDEX('計算A'!J$110:J$114,$F20+1)+IF(AND($E20=1,IW20=0),1000,0),MIN(TU20,20)*400+(IF('計算A'!I$106=1,1-DG20,0)+IF('計算A'!J$106=1,1-DI20,0))*150+71+'計算A'!J$5*100000+IF(AND($E20=1,IW20=0),50000,0))+IF($H20=1,(IF('計算A'!I$117=1,INDEX('計算A'!I$10:I$54,$B20),0)+IF('計算A'!J$117=1,INDEX('計算A'!K$10:K$54,$B20),0))*4000,0)-IF(AND('計算A'!I$117=1,UG20&gt;0),2000,0)-IF(AND($L20=1,'計算A'!J$117=1,DI20=0),2000,0))),1000000))</f>
        <v/>
      </c>
      <c r="OM20">
        <f>IF($B20=0,1000000,IF(INDEX('計算A'!$D$60:$EQ$104,$B20,8)*DI20=1,IF(AND($E20=2,IX20=0),1000000,IF($I20&gt;0,IF(1=$J20,IF(OR(AND(8=$I20+1,OR($K20&lt;&gt;'計算A'!$A$3,'計算A'!$A$4=0)),AND(8=$I20-1,OR(8&lt;&gt;'計算A'!$A$3,'計算A'!$A$4=0))),0,IF(8=$K20,200000,ABS(8-$K20)*100)),100000+ABS(1-$J20)*1000+80)+'計算A'!K$5*50+IF(AND($E20=1,IX20=0),25,0),IF($F20&gt;0,INDEX('計算A'!K$110:K$114,$F20+1)+IF(AND($E20=1,IX20=0),1000,0),MIN(TU20,20)*400+(IF('計算A'!J$106=1,1-DH20,0)+IF('計算A'!K$106=1,1-DJ20,0))*150+81+'計算A'!K$5*100000+IF(AND($E20=1,IX20=0),50000,0))+IF($H20=1,(IF('計算A'!J$117=1,INDEX('計算A'!J$10:J$54,$B20),0)+IF('計算A'!K$117=1,INDEX('計算A'!L$10:L$54,$B20),0))*4000,0)-IF(AND('計算A'!J$117=1,UH20&gt;0),2000,0)-IF(AND($L20=1,'計算A'!K$117=1,DJ20=0),2000,0))),1000000))</f>
        <v/>
      </c>
      <c r="ON20">
        <f>IF($B20=0,1000000,IF(INDEX('計算A'!$D$60:$EQ$104,$B20,9)*DJ20=1,IF(AND($E20=2,IY20=0),1000000,IF($I20&gt;0,IF(1=$J20,IF(OR(AND(9=$I20+1,OR($K20&lt;&gt;'計算A'!$A$3,'計算A'!$A$4=0)),AND(9=$I20-1,OR(9&lt;&gt;'計算A'!$A$3,'計算A'!$A$4=0))),0,IF(9=$K20,200000,ABS(9-$K20)*100)),100000+ABS(1-$J20)*1000+90)+'計算A'!L$5*50+IF(AND($E20=1,IY20=0),25,0),IF($F20&gt;0,INDEX('計算A'!L$110:L$114,$F20+1)+IF(AND($E20=1,IY20=0),1000,0),MIN(TU20,20)*400+(IF('計算A'!K$106=1,1-DI20,0)+IF('計算A'!L$106=1,1-DK20,0))*150+91+'計算A'!L$5*100000+IF(AND($E20=1,IY20=0),50000,0))+IF($H20=1,(IF('計算A'!K$117=1,INDEX('計算A'!K$10:K$54,$B20),0)+IF('計算A'!L$117=1,INDEX('計算A'!M$10:M$54,$B20),0))*4000,0)-IF(AND('計算A'!K$117=1,UI20&gt;0),2000,0)-IF(AND($L20=1,'計算A'!L$117=1,DK20=0),2000,0))),1000000))</f>
        <v/>
      </c>
      <c r="OO20">
        <f>IF($B20=0,1000000,IF(INDEX('計算A'!$D$60:$EQ$104,$B20,10)*DK20=1,IF(AND($E20=2,IZ20=0),1000000,IF($I20&gt;0,IF(1=$J20,IF(OR(AND(10=$I20+1,OR($K20&lt;&gt;'計算A'!$A$3,'計算A'!$A$4=0)),AND(10=$I20-1,OR(10&lt;&gt;'計算A'!$A$3,'計算A'!$A$4=0))),0,IF(10=$K20,200000,ABS(10-$K20)*100)),100000+ABS(1-$J20)*1000+100)+'計算A'!M$5*50+IF(AND($E20=1,IZ20=0),25,0),IF($F20&gt;0,INDEX('計算A'!M$110:M$114,$F20+1)+IF(AND($E20=1,IZ20=0),1000,0),MIN(TU20,20)*400+(IF('計算A'!L$106=1,1-DJ20,0)+IF('計算A'!M$106=1,1-DL20,0))*150+101+'計算A'!M$5*100000+IF(AND($E20=1,IZ20=0),50000,0))+IF($H20=1,(IF('計算A'!L$117=1,INDEX('計算A'!L$10:L$54,$B20),0)+IF('計算A'!M$117=1,INDEX('計算A'!N$10:N$54,$B20),0))*4000,0)-IF(AND('計算A'!L$117=1,UJ20&gt;0),2000,0)-IF(AND($L20=1,'計算A'!M$117=1,DL20=0),2000,0))),1000000))</f>
        <v/>
      </c>
      <c r="OP20">
        <f>IF($B20=0,1000000,IF(INDEX('計算A'!$D$60:$EQ$104,$B20,11)*DL20=1,IF(AND($E20=2,JA20=0),1000000,IF($I20&gt;0,IF(1=$J20,IF(OR(AND(11=$I20+1,OR($K20&lt;&gt;'計算A'!$A$3,'計算A'!$A$4=0)),AND(11=$I20-1,OR(11&lt;&gt;'計算A'!$A$3,'計算A'!$A$4=0))),0,IF(11=$K20,200000,ABS(11-$K20)*100)),100000+ABS(1-$J20)*1000+110)+'計算A'!N$5*50+IF(AND($E20=1,JA20=0),25,0),IF($F20&gt;0,INDEX('計算A'!N$110:N$114,$F20+1)+IF(AND($E20=1,JA20=0),1000,0),MIN(TU20,20)*400+(IF('計算A'!M$106=1,1-DK20,0)+IF('計算A'!N$106=1,1-DM20,0))*150+111+'計算A'!N$5*100000+IF(AND($E20=1,JA20=0),50000,0))+IF($H20=1,(IF('計算A'!M$117=1,INDEX('計算A'!M$10:M$54,$B20),0)+IF('計算A'!N$117=1,INDEX('計算A'!O$10:O$54,$B20),0))*4000,0)-IF(AND('計算A'!M$117=1,UK20&gt;0),2000,0)-IF(AND($L20=1,'計算A'!N$117=1,DM20=0),2000,0))),1000000))</f>
        <v/>
      </c>
      <c r="OQ20">
        <f>IF($B20=0,1000000,IF(INDEX('計算A'!$D$60:$EQ$104,$B20,12)*DM20=1,IF(AND($E20=2,JB20=0),1000000,IF($I20&gt;0,IF(1=$J20,IF(OR(AND(12=$I20+1,OR($K20&lt;&gt;'計算A'!$A$3,'計算A'!$A$4=0)),AND(12=$I20-1,OR(12&lt;&gt;'計算A'!$A$3,'計算A'!$A$4=0))),0,IF(12=$K20,200000,ABS(12-$K20)*100)),100000+ABS(1-$J20)*1000+120)+'計算A'!O$5*50+IF(AND($E20=1,JB20=0),25,0),IF($F20&gt;0,INDEX('計算A'!O$110:O$114,$F20+1)+IF(AND($E20=1,JB20=0),1000,0),MIN(TU20,20)*400+(IF('計算A'!N$106=1,1-DL20,0)+IF('計算A'!O$106=1,1-DN20,0))*150+121+'計算A'!O$5*100000+IF(AND($E20=1,JB20=0),50000,0))+IF($H20=1,(IF('計算A'!N$117=1,INDEX('計算A'!N$10:N$54,$B20),0)+IF('計算A'!O$117=1,INDEX('計算A'!P$10:P$54,$B20),0))*4000,0)-IF(AND('計算A'!N$117=1,UL20&gt;0),2000,0)-IF(AND($L20=1,'計算A'!O$117=1,DN20=0),2000,0))),1000000))</f>
        <v/>
      </c>
      <c r="OR20">
        <f>IF($B20=0,1000000,IF(INDEX('計算A'!$D$60:$EQ$104,$B20,13)*DN20=1,IF(AND($E20=2,JC20=0),1000000,IF($I20&gt;0,IF(1=$J20,IF(OR(AND(13=$I20+1,OR($K20&lt;&gt;'計算A'!$A$3,'計算A'!$A$4=0)),AND(13=$I20-1,OR(13&lt;&gt;'計算A'!$A$3,'計算A'!$A$4=0))),0,IF(13=$K20,200000,ABS(13-$K20)*100)),100000+ABS(1-$J20)*1000+130)+'計算A'!P$5*50+IF(AND($E20=1,JC20=0),25,0),IF($F20&gt;0,INDEX('計算A'!P$110:P$114,$F20+1)+IF(AND($E20=1,JC20=0),1000,0),MIN(TU20,20)*400+(IF('計算A'!O$106=1,1-DM20,0)+IF('計算A'!P$106=1,1-DO20,0))*150+131+'計算A'!P$5*100000+IF(AND($E20=1,JC20=0),50000,0))+IF($H20=1,(IF('計算A'!O$117=1,INDEX('計算A'!O$10:O$54,$B20),0)+IF('計算A'!P$117=1,INDEX('計算A'!Q$10:Q$54,$B20),0))*4000,0)-IF(AND('計算A'!O$117=1,UM20&gt;0),2000,0)-IF(AND($L20=1,'計算A'!P$117=1,DO20=0),2000,0))),1000000))</f>
        <v/>
      </c>
      <c r="OS20">
        <f>IF($B20=0,1000000,IF(INDEX('計算A'!$D$60:$EQ$104,$B20,14)*DO20=1,IF(AND($E20=2,JD20=0),1000000,IF($I20&gt;0,IF(1=$J20,IF(OR(AND(14=$I20+1,OR($K20&lt;&gt;'計算A'!$A$3,'計算A'!$A$4=0)),AND(14=$I20-1,OR(14&lt;&gt;'計算A'!$A$3,'計算A'!$A$4=0))),0,IF(14=$K20,200000,ABS(14-$K20)*100)),100000+ABS(1-$J20)*1000+140)+'計算A'!Q$5*50+IF(AND($E20=1,JD20=0),25,0),IF($F20&gt;0,INDEX('計算A'!Q$110:Q$114,$F20+1)+IF(AND($E20=1,JD20=0),1000,0),MIN(TU20,20)*400+(IF('計算A'!P$106=1,1-DN20,0)+IF('計算A'!Q$106=1,1-DP20,0))*150+141+'計算A'!Q$5*100000+IF(AND($E20=1,JD20=0),50000,0))+IF($H20=1,(IF('計算A'!P$117=1,INDEX('計算A'!P$10:P$54,$B20),0)+IF('計算A'!Q$117=1,INDEX('計算A'!R$10:R$54,$B20),0))*4000,0)-IF(AND('計算A'!P$117=1,UN20&gt;0),2000,0)-IF(AND($L20=1,'計算A'!Q$117=1,DP20=0),2000,0))),1000000))</f>
        <v/>
      </c>
      <c r="OT20">
        <f>IF($B20=0,1000000,IF(INDEX('計算A'!$D$60:$EQ$104,$B20,15)*DP20=1,IF(AND($E20=2,JE20=0),1000000,IF($I20&gt;0,IF(1=$J20,IF(OR(AND(15=$I20+1,OR($K20&lt;&gt;'計算A'!$A$3,'計算A'!$A$4=0)),AND(15=$I20-1,OR(15&lt;&gt;'計算A'!$A$3,'計算A'!$A$4=0))),0,IF(15=$K20,200000,ABS(15-$K20)*100)),100000+ABS(1-$J20)*1000+150)+'計算A'!R$5*50+IF(AND($E20=1,JE20=0),25,0),IF($F20&gt;0,INDEX('計算A'!R$110:R$114,$F20+1)+IF(AND($E20=1,JE20=0),1000,0),MIN(TU20,20)*400+(IF('計算A'!Q$106=1,1-DO20,0)+IF('計算A'!R$106=1,1-DQ20,0))*150+151+'計算A'!R$5*100000+IF(AND($E20=1,JE20=0),50000,0))+IF($H20=1,(IF('計算A'!Q$117=1,INDEX('計算A'!Q$10:Q$54,$B20),0)+IF('計算A'!R$117=1,INDEX('計算A'!S$10:S$54,$B20),0))*4000,0)-IF(AND('計算A'!Q$117=1,UO20&gt;0),2000,0)-IF(AND($L20=1,'計算A'!R$117=1,DQ20=0),2000,0))),1000000))</f>
        <v/>
      </c>
      <c r="OU20">
        <f>IF($B20=0,1000000,IF(INDEX('計算A'!$D$60:$EQ$104,$B20,16)*DQ20=1,IF(AND($E20=2,JF20=0),1000000,IF($I20&gt;0,IF(1=$J20,IF(OR(AND(16=$I20+1,OR($K20&lt;&gt;'計算A'!$A$3,'計算A'!$A$4=0)),AND(16=$I20-1,OR(16&lt;&gt;'計算A'!$A$3,'計算A'!$A$4=0))),0,IF(16=$K20,200000,ABS(16-$K20)*100)),100000+ABS(1-$J20)*1000+160)+'計算A'!S$5*50+IF(AND($E20=1,JF20=0),25,0),IF($F20&gt;0,INDEX('計算A'!S$110:S$114,$F20+1)+IF(AND($E20=1,JF20=0),1000,0),MIN(TU20,20)*400+(IF('計算A'!R$106=1,1-DP20,0)+IF('計算A'!S$106=1,1-DR20,0))*150+161+'計算A'!S$5*100000+IF(AND($E20=1,JF20=0),50000,0))+IF($H20=1,(IF('計算A'!R$117=1,INDEX('計算A'!R$10:R$54,$B20),0)+IF('計算A'!S$117=1,INDEX('計算A'!T$10:T$54,$B20),0))*4000,0)-IF(AND('計算A'!R$117=1,UP20&gt;0),2000,0)-IF(AND($L20=1,'計算A'!S$117=1,DR20=0),2000,0))),1000000))</f>
        <v/>
      </c>
      <c r="OV20">
        <f>IF($B20=0,1000000,IF(INDEX('計算A'!$D$60:$EQ$104,$B20,17)*DR20=1,IF(AND($E20=2,JG20=0),1000000,IF($I20&gt;0,IF(1=$J20,IF(OR(AND(17=$I20+1,OR($K20&lt;&gt;'計算A'!$A$3,'計算A'!$A$4=0)),AND(17=$I20-1,OR(17&lt;&gt;'計算A'!$A$3,'計算A'!$A$4=0))),0,IF(17=$K20,200000,ABS(17-$K20)*100)),100000+ABS(1-$J20)*1000+170)+'計算A'!T$5*50+IF(AND($E20=1,JG20=0),25,0),IF($F20&gt;0,INDEX('計算A'!T$110:T$114,$F20+1)+IF(AND($E20=1,JG20=0),1000,0),MIN(TU20,20)*400+(IF('計算A'!S$106=1,1-DQ20,0)+IF('計算A'!T$106=1,1-DS20,0))*150+171+'計算A'!T$5*100000+IF(AND($E20=1,JG20=0),50000,0))+IF($H20=1,(IF('計算A'!S$117=1,INDEX('計算A'!S$10:S$54,$B20),0)+IF('計算A'!T$117=1,INDEX('計算A'!U$10:U$54,$B20),0))*4000,0)-IF(AND('計算A'!S$117=1,UQ20&gt;0),2000,0)-IF(AND($L20=1,'計算A'!T$117=1,DS20=0),2000,0))),1000000))</f>
        <v/>
      </c>
      <c r="OW20">
        <f>IF($B20=0,1000000,IF(INDEX('計算A'!$D$60:$EQ$104,$B20,18)*DS20=1,IF(AND($E20=2,JH20=0),1000000,IF($I20&gt;0,IF(1=$J20,IF(OR(AND(18=$I20+1,OR($K20&lt;&gt;'計算A'!$A$3,'計算A'!$A$4=0)),AND(18=$I20-1,OR(18&lt;&gt;'計算A'!$A$3,'計算A'!$A$4=0))),0,IF(18=$K20,200000,ABS(18-$K20)*100)),100000+ABS(1-$J20)*1000+180)+'計算A'!U$5*50+IF(AND($E20=1,JH20=0),25,0),IF($F20&gt;0,INDEX('計算A'!U$110:U$114,$F20+1)+IF(AND($E20=1,JH20=0),1000,0),MIN(TU20,20)*400+(IF('計算A'!T$106=1,1-DR20,0)+IF('計算A'!U$106=1,1-DT20,0))*150+181+'計算A'!U$5*100000+IF(AND($E20=1,JH20=0),50000,0))+IF($H20=1,(IF('計算A'!T$117=1,INDEX('計算A'!T$10:T$54,$B20),0)+IF('計算A'!U$117=1,INDEX('計算A'!V$10:V$54,$B20),0))*4000,0)-IF(AND('計算A'!T$117=1,UR20&gt;0),2000,0)-IF(AND($L20=1,'計算A'!U$117=1,DT20=0),2000,0))),1000000))</f>
        <v/>
      </c>
      <c r="OX20">
        <f>IF($B20=0,1000000,IF(INDEX('計算A'!$D$60:$EQ$104,$B20,19)*DT20=1,IF(AND($E20=2,JI20=0),1000000,IF($I20&gt;0,IF(1=$J20,IF(OR(AND(19=$I20+1,OR($K20&lt;&gt;'計算A'!$A$3,'計算A'!$A$4=0)),AND(19=$I20-1,OR(19&lt;&gt;'計算A'!$A$3,'計算A'!$A$4=0))),0,IF(19=$K20,200000,ABS(19-$K20)*100)),100000+ABS(1-$J20)*1000+190)+'計算A'!V$5*50+IF(AND($E20=1,JI20=0),25,0),IF($F20&gt;0,INDEX('計算A'!V$110:V$114,$F20+1)+IF(AND($E20=1,JI20=0),1000,0),MIN(TU20,20)*400+(IF('計算A'!U$106=1,1-DS20,0)+IF('計算A'!V$106=1,1-DU20,0))*150+191+'計算A'!V$5*100000+IF(AND($E20=1,JI20=0),50000,0))+IF($H20=1,(IF('計算A'!U$117=1,INDEX('計算A'!U$10:U$54,$B20),0)+IF('計算A'!V$117=1,INDEX('計算A'!W$10:W$54,$B20),0))*4000,0)-IF(AND('計算A'!U$117=1,US20&gt;0),2000,0)-IF(AND($L20=1,'計算A'!V$117=1,DU20=0),2000,0))),1000000))</f>
        <v/>
      </c>
      <c r="OY20">
        <f>IF($B20=0,1000000,IF(INDEX('計算A'!$D$60:$EQ$104,$B20,20)*DU20=1,IF(AND($E20=2,JJ20=0),1000000,IF($I20&gt;0,IF(1=$J20,IF(OR(AND(20=$I20+1,OR($K20&lt;&gt;'計算A'!$A$3,'計算A'!$A$4=0)),AND(20=$I20-1,OR(20&lt;&gt;'計算A'!$A$3,'計算A'!$A$4=0))),0,IF(20=$K20,200000,ABS(20-$K20)*100)),100000+ABS(1-$J20)*1000+200)+'計算A'!W$5*50+IF(AND($E20=1,JJ20=0),25,0),IF($F20&gt;0,INDEX('計算A'!W$110:W$114,$F20+1)+IF(AND($E20=1,JJ20=0),1000,0),MIN(TU20,20)*400+(IF('計算A'!V$106=1,1-DT20,0)+IF('計算A'!W$106=1,1-DV20,0))*150+201+'計算A'!W$5*100000+IF(AND($E20=1,JJ20=0),50000,0))+IF($H20=1,(IF('計算A'!V$117=1,INDEX('計算A'!V$10:V$54,$B20),0)+IF('計算A'!W$117=1,INDEX('計算A'!X$10:X$54,$B20),0))*4000,0)-IF(AND('計算A'!V$117=1,UT20&gt;0),2000,0)-IF(AND($L20=1,'計算A'!W$117=1,DV20=0),2000,0))),1000000))</f>
        <v/>
      </c>
      <c r="OZ20">
        <f>IF($B20=0,1000000,IF(INDEX('計算A'!$D$60:$EQ$104,$B20,21)*DV20=1,IF(AND($E20=2,JK20=0),1000000,IF($I20&gt;0,IF(1=$J20,IF(OR(AND(21=$I20+1,OR($K20&lt;&gt;'計算A'!$A$3,'計算A'!$A$4=0)),AND(21=$I20-1,OR(21&lt;&gt;'計算A'!$A$3,'計算A'!$A$4=0))),0,IF(21=$K20,200000,ABS(21-$K20)*100)),100000+ABS(1-$J20)*1000+210)+'計算A'!X$5*50+IF(AND($E20=1,JK20=0),25,0),IF($F20&gt;0,INDEX('計算A'!X$110:X$114,$F20+1)+IF(AND($E20=1,JK20=0),1000,0),MIN(TU20,20)*400+(IF('計算A'!W$106=1,1-DU20,0)+IF('計算A'!X$106=1,1-DW20,0))*150+211+'計算A'!X$5*100000+IF(AND($E20=1,JK20=0),50000,0))+IF($H20=1,(IF('計算A'!W$117=1,INDEX('計算A'!W$10:W$54,$B20),0)+IF('計算A'!X$117=1,INDEX('計算A'!Y$10:Y$54,$B20),0))*4000,0)-IF(AND('計算A'!W$117=1,UU20&gt;0),2000,0)-IF(AND($L20=1,'計算A'!X$117=1,DW20=0),2000,0))),1000000))</f>
        <v/>
      </c>
      <c r="PA20">
        <f>IF($B20=0,1000000,IF(INDEX('計算A'!$D$60:$EQ$104,$B20,22)*DW20=1,IF(AND($E20=2,JL20=0),1000000,IF($I20&gt;0,IF(1=$J20,IF(OR(AND(22=$I20+1,OR($K20&lt;&gt;'計算A'!$A$3,'計算A'!$A$4=0)),AND(22=$I20-1,OR(22&lt;&gt;'計算A'!$A$3,'計算A'!$A$4=0))),0,IF(22=$K20,200000,ABS(22-$K20)*100)),100000+ABS(1-$J20)*1000+220)+'計算A'!Y$5*50+IF(AND($E20=1,JL20=0),25,0),IF($F20&gt;0,INDEX('計算A'!Y$110:Y$114,$F20+1)+IF(AND($E20=1,JL20=0),1000,0),MIN(TU20,20)*400+(IF('計算A'!X$106=1,1-DV20,0)+IF('計算A'!Y$106=1,1-DX20,0))*150+221+'計算A'!Y$5*100000+IF(AND($E20=1,JL20=0),50000,0))+IF($H20=1,(IF('計算A'!X$117=1,INDEX('計算A'!X$10:X$54,$B20),0)+IF('計算A'!Y$117=1,INDEX('計算A'!Z$10:Z$54,$B20),0))*4000,0)-IF(AND('計算A'!X$117=1,UV20&gt;0),2000,0)-IF(AND($L20=1,'計算A'!Y$117=1,DX20=0),2000,0))),1000000))</f>
        <v/>
      </c>
      <c r="PB20">
        <f>IF($B20=0,1000000,IF(INDEX('計算A'!$D$60:$EQ$104,$B20,23)*DX20=1,IF(AND($E20=2,JM20=0),1000000,IF($I20&gt;0,IF(1=$J20,IF(OR(AND(23=$I20+1,OR($K20&lt;&gt;'計算A'!$A$3,'計算A'!$A$4=0)),AND(23=$I20-1,OR(23&lt;&gt;'計算A'!$A$3,'計算A'!$A$4=0))),0,IF(23=$K20,200000,ABS(23-$K20)*100)),100000+ABS(1-$J20)*1000+230)+'計算A'!Z$5*50+IF(AND($E20=1,JM20=0),25,0),IF($F20&gt;0,INDEX('計算A'!Z$110:Z$114,$F20+1)+IF(AND($E20=1,JM20=0),1000,0),MIN(TU20,20)*400+(IF('計算A'!Y$106=1,1-DW20,0)+IF('計算A'!Z$106=1,1-DY20,0))*150+231+'計算A'!Z$5*100000+IF(AND($E20=1,JM20=0),50000,0))+IF($H20=1,(IF('計算A'!Y$117=1,INDEX('計算A'!Y$10:Y$54,$B20),0)+IF('計算A'!Z$117=1,INDEX('計算A'!AA$10:AA$54,$B20),0))*4000,0)-IF(AND('計算A'!Y$117=1,UW20&gt;0),2000,0)-IF(AND($L20=1,'計算A'!Z$117=1,DY20=0),2000,0))),1000000))</f>
        <v/>
      </c>
      <c r="PC20">
        <f>IF($B20=0,1000000,IF(INDEX('計算A'!$D$60:$EQ$104,$B20,24)*DY20=1,IF(AND($E20=2,JN20=0),1000000,IF($I20&gt;0,IF(1=$J20,IF(OR(AND(24=$I20+1,OR($K20&lt;&gt;'計算A'!$A$3,'計算A'!$A$4=0)),AND(24=$I20-1,OR(24&lt;&gt;'計算A'!$A$3,'計算A'!$A$4=0))),0,IF(24=$K20,200000,ABS(24-$K20)*100)),100000+ABS(1-$J20)*1000+240)+'計算A'!AA$5*50+IF(AND($E20=1,JN20=0),25,0),IF($F20&gt;0,INDEX('計算A'!AA$110:AA$114,$F20+1)+IF(AND($E20=1,JN20=0),1000,0),MIN(TU20,20)*400+(IF('計算A'!Z$106=1,1-DX20,0))*150+241+'計算A'!AA$5*100000+IF(AND($E20=1,JN20=0),50000,0))+IF($H20=1,(IF('計算A'!Z$117=1,INDEX('計算A'!Z$10:Z$54,$B20),0))*4000,0)-IF(AND('計算A'!Z$117=1,UX20&gt;0),2000,0))),1000000))</f>
        <v/>
      </c>
      <c r="PD20">
        <f>IF($B20=0,1000000,IF(INDEX('計算A'!$D$60:$EQ$104,$B20,25)*DZ20=1,IF(AND($E20=2,JO20=0),1000000,IF($I20&gt;0,IF(2=$J20,IF(OR(AND(25=$I20+1,OR($K20&lt;&gt;'計算A'!$A$3,'計算A'!$A$4=0)),AND(25=$I20-1,OR(1&lt;&gt;'計算A'!$A$3,'計算A'!$A$4=0))),0,IF(1=$K20,200000,ABS(1-$K20)*100)),100000+ABS(2-$J20)*1000+10)+'計算A'!AB$5*50+IF(AND($E20=1,JO20=0),25,0),IF($F20&gt;0,INDEX('計算A'!AB$110:AB$114,$F20+1)+IF(AND($E20=1,JO20=0),1000,0),MIN(TV20,20)*400+(IF('計算A'!AB$106=1,1-EA20,0))*150+12+'計算A'!AB$5*100000+IF(AND($E20=1,JO20=0),50000,0))+IF($H20=1,(IF('計算A'!AB$117=1,INDEX('計算A'!AC$10:AC$54,$B20),0))*4000,0)-IF(AND($L20=1,'計算A'!AB$117=1,EA20=0),2000,0))),1000000))</f>
        <v/>
      </c>
      <c r="PE20">
        <f>IF($B20=0,1000000,IF(INDEX('計算A'!$D$60:$EQ$104,$B20,26)*EA20=1,IF(AND($E20=2,JP20=0),1000000,IF($I20&gt;0,IF(2=$J20,IF(OR(AND(26=$I20+1,OR($K20&lt;&gt;'計算A'!$A$3,'計算A'!$A$4=0)),AND(26=$I20-1,OR(2&lt;&gt;'計算A'!$A$3,'計算A'!$A$4=0))),0,IF(2=$K20,200000,ABS(2-$K20)*100)),100000+ABS(2-$J20)*1000+20)+'計算A'!AC$5*50+IF(AND($E20=1,JP20=0),25,0),IF($F20&gt;0,INDEX('計算A'!AC$110:AC$114,$F20+1)+IF(AND($E20=1,JP20=0),1000,0),MIN(TV20,20)*400+(IF('計算A'!AB$106=1,1-DZ20,0)+IF('計算A'!AC$106=1,1-EB20,0))*150+22+'計算A'!AC$5*100000+IF(AND($E20=1,JP20=0),50000,0))+IF($H20=1,(IF('計算A'!AB$117=1,INDEX('計算A'!AB$10:AB$54,$B20),0)+IF('計算A'!AC$117=1,INDEX('計算A'!AD$10:AD$54,$B20),0))*4000,0)-IF(AND('計算A'!AB$117=1,UZ20&gt;0),2000,0)-IF(AND($L20=1,'計算A'!AC$117=1,EB20=0),2000,0))),1000000))</f>
        <v/>
      </c>
      <c r="PF20">
        <f>IF($B20=0,1000000,IF(INDEX('計算A'!$D$60:$EQ$104,$B20,27)*EB20=1,IF(AND($E20=2,JQ20=0),1000000,IF($I20&gt;0,IF(2=$J20,IF(OR(AND(27=$I20+1,OR($K20&lt;&gt;'計算A'!$A$3,'計算A'!$A$4=0)),AND(27=$I20-1,OR(3&lt;&gt;'計算A'!$A$3,'計算A'!$A$4=0))),0,IF(3=$K20,200000,ABS(3-$K20)*100)),100000+ABS(2-$J20)*1000+30)+'計算A'!AD$5*50+IF(AND($E20=1,JQ20=0),25,0),IF($F20&gt;0,INDEX('計算A'!AD$110:AD$114,$F20+1)+IF(AND($E20=1,JQ20=0),1000,0),MIN(TV20,20)*400+(IF('計算A'!AC$106=1,1-EA20,0)+IF('計算A'!AD$106=1,1-EC20,0))*150+32+'計算A'!AD$5*100000+IF(AND($E20=1,JQ20=0),50000,0))+IF($H20=1,(IF('計算A'!AC$117=1,INDEX('計算A'!AC$10:AC$54,$B20),0)+IF('計算A'!AD$117=1,INDEX('計算A'!AE$10:AE$54,$B20),0))*4000,0)-IF(AND('計算A'!AC$117=1,VA20&gt;0),2000,0)-IF(AND($L20=1,'計算A'!AD$117=1,EC20=0),2000,0))),1000000))</f>
        <v/>
      </c>
      <c r="PG20">
        <f>IF($B20=0,1000000,IF(INDEX('計算A'!$D$60:$EQ$104,$B20,28)*EC20=1,IF(AND($E20=2,JR20=0),1000000,IF($I20&gt;0,IF(2=$J20,IF(OR(AND(28=$I20+1,OR($K20&lt;&gt;'計算A'!$A$3,'計算A'!$A$4=0)),AND(28=$I20-1,OR(4&lt;&gt;'計算A'!$A$3,'計算A'!$A$4=0))),0,IF(4=$K20,200000,ABS(4-$K20)*100)),100000+ABS(2-$J20)*1000+40)+'計算A'!AE$5*50+IF(AND($E20=1,JR20=0),25,0),IF($F20&gt;0,INDEX('計算A'!AE$110:AE$114,$F20+1)+IF(AND($E20=1,JR20=0),1000,0),MIN(TV20,20)*400+(IF('計算A'!AD$106=1,1-EB20,0)+IF('計算A'!AE$106=1,1-ED20,0))*150+42+'計算A'!AE$5*100000+IF(AND($E20=1,JR20=0),50000,0))+IF($H20=1,(IF('計算A'!AD$117=1,INDEX('計算A'!AD$10:AD$54,$B20),0)+IF('計算A'!AE$117=1,INDEX('計算A'!AF$10:AF$54,$B20),0))*4000,0)-IF(AND('計算A'!AD$117=1,VB20&gt;0),2000,0)-IF(AND($L20=1,'計算A'!AE$117=1,ED20=0),2000,0))),1000000))</f>
        <v/>
      </c>
      <c r="PH20">
        <f>IF($B20=0,1000000,IF(INDEX('計算A'!$D$60:$EQ$104,$B20,29)*ED20=1,IF(AND($E20=2,JS20=0),1000000,IF($I20&gt;0,IF(2=$J20,IF(OR(AND(29=$I20+1,OR($K20&lt;&gt;'計算A'!$A$3,'計算A'!$A$4=0)),AND(29=$I20-1,OR(5&lt;&gt;'計算A'!$A$3,'計算A'!$A$4=0))),0,IF(5=$K20,200000,ABS(5-$K20)*100)),100000+ABS(2-$J20)*1000+50)+'計算A'!AF$5*50+IF(AND($E20=1,JS20=0),25,0),IF($F20&gt;0,INDEX('計算A'!AF$110:AF$114,$F20+1)+IF(AND($E20=1,JS20=0),1000,0),MIN(TV20,20)*400+(IF('計算A'!AE$106=1,1-EC20,0)+IF('計算A'!AF$106=1,1-EE20,0))*150+52+'計算A'!AF$5*100000+IF(AND($E20=1,JS20=0),50000,0))+IF($H20=1,(IF('計算A'!AE$117=1,INDEX('計算A'!AE$10:AE$54,$B20),0)+IF('計算A'!AF$117=1,INDEX('計算A'!AG$10:AG$54,$B20),0))*4000,0)-IF(AND('計算A'!AE$117=1,VC20&gt;0),2000,0)-IF(AND($L20=1,'計算A'!AF$117=1,EE20=0),2000,0))),1000000))</f>
        <v/>
      </c>
      <c r="PI20">
        <f>IF($B20=0,1000000,IF(INDEX('計算A'!$D$60:$EQ$104,$B20,30)*EE20=1,IF(AND($E20=2,JT20=0),1000000,IF($I20&gt;0,IF(2=$J20,IF(OR(AND(30=$I20+1,OR($K20&lt;&gt;'計算A'!$A$3,'計算A'!$A$4=0)),AND(30=$I20-1,OR(6&lt;&gt;'計算A'!$A$3,'計算A'!$A$4=0))),0,IF(6=$K20,200000,ABS(6-$K20)*100)),100000+ABS(2-$J20)*1000+60)+'計算A'!AG$5*50+IF(AND($E20=1,JT20=0),25,0),IF($F20&gt;0,INDEX('計算A'!AG$110:AG$114,$F20+1)+IF(AND($E20=1,JT20=0),1000,0),MIN(TV20,20)*400+(IF('計算A'!AF$106=1,1-ED20,0)+IF('計算A'!AG$106=1,1-EF20,0))*150+62+'計算A'!AG$5*100000+IF(AND($E20=1,JT20=0),50000,0))+IF($H20=1,(IF('計算A'!AF$117=1,INDEX('計算A'!AF$10:AF$54,$B20),0)+IF('計算A'!AG$117=1,INDEX('計算A'!AH$10:AH$54,$B20),0))*4000,0)-IF(AND('計算A'!AF$117=1,VD20&gt;0),2000,0)-IF(AND($L20=1,'計算A'!AG$117=1,EF20=0),2000,0))),1000000))</f>
        <v/>
      </c>
      <c r="PJ20">
        <f>IF($B20=0,1000000,IF(INDEX('計算A'!$D$60:$EQ$104,$B20,31)*EF20=1,IF(AND($E20=2,JU20=0),1000000,IF($I20&gt;0,IF(2=$J20,IF(OR(AND(31=$I20+1,OR($K20&lt;&gt;'計算A'!$A$3,'計算A'!$A$4=0)),AND(31=$I20-1,OR(7&lt;&gt;'計算A'!$A$3,'計算A'!$A$4=0))),0,IF(7=$K20,200000,ABS(7-$K20)*100)),100000+ABS(2-$J20)*1000+70)+'計算A'!AH$5*50+IF(AND($E20=1,JU20=0),25,0),IF($F20&gt;0,INDEX('計算A'!AH$110:AH$114,$F20+1)+IF(AND($E20=1,JU20=0),1000,0),MIN(TV20,20)*400+(IF('計算A'!AG$106=1,1-EE20,0)+IF('計算A'!AH$106=1,1-EG20,0))*150+72+'計算A'!AH$5*100000+IF(AND($E20=1,JU20=0),50000,0))+IF($H20=1,(IF('計算A'!AG$117=1,INDEX('計算A'!AG$10:AG$54,$B20),0)+IF('計算A'!AH$117=1,INDEX('計算A'!AI$10:AI$54,$B20),0))*4000,0)-IF(AND('計算A'!AG$117=1,VE20&gt;0),2000,0)-IF(AND($L20=1,'計算A'!AH$117=1,EG20=0),2000,0))),1000000))</f>
        <v/>
      </c>
      <c r="PK20">
        <f>IF($B20=0,1000000,IF(INDEX('計算A'!$D$60:$EQ$104,$B20,32)*EG20=1,IF(AND($E20=2,JV20=0),1000000,IF($I20&gt;0,IF(2=$J20,IF(OR(AND(32=$I20+1,OR($K20&lt;&gt;'計算A'!$A$3,'計算A'!$A$4=0)),AND(32=$I20-1,OR(8&lt;&gt;'計算A'!$A$3,'計算A'!$A$4=0))),0,IF(8=$K20,200000,ABS(8-$K20)*100)),100000+ABS(2-$J20)*1000+80)+'計算A'!AI$5*50+IF(AND($E20=1,JV20=0),25,0),IF($F20&gt;0,INDEX('計算A'!AI$110:AI$114,$F20+1)+IF(AND($E20=1,JV20=0),1000,0),MIN(TV20,20)*400+(IF('計算A'!AH$106=1,1-EF20,0)+IF('計算A'!AI$106=1,1-EH20,0))*150+82+'計算A'!AI$5*100000+IF(AND($E20=1,JV20=0),50000,0))+IF($H20=1,(IF('計算A'!AH$117=1,INDEX('計算A'!AH$10:AH$54,$B20),0)+IF('計算A'!AI$117=1,INDEX('計算A'!AJ$10:AJ$54,$B20),0))*4000,0)-IF(AND('計算A'!AH$117=1,VF20&gt;0),2000,0)-IF(AND($L20=1,'計算A'!AI$117=1,EH20=0),2000,0))),1000000))</f>
        <v/>
      </c>
      <c r="PL20">
        <f>IF($B20=0,1000000,IF(INDEX('計算A'!$D$60:$EQ$104,$B20,33)*EH20=1,IF(AND($E20=2,JW20=0),1000000,IF($I20&gt;0,IF(2=$J20,IF(OR(AND(33=$I20+1,OR($K20&lt;&gt;'計算A'!$A$3,'計算A'!$A$4=0)),AND(33=$I20-1,OR(9&lt;&gt;'計算A'!$A$3,'計算A'!$A$4=0))),0,IF(9=$K20,200000,ABS(9-$K20)*100)),100000+ABS(2-$J20)*1000+90)+'計算A'!AJ$5*50+IF(AND($E20=1,JW20=0),25,0),IF($F20&gt;0,INDEX('計算A'!AJ$110:AJ$114,$F20+1)+IF(AND($E20=1,JW20=0),1000,0),MIN(TV20,20)*400+(IF('計算A'!AI$106=1,1-EG20,0)+IF('計算A'!AJ$106=1,1-EI20,0))*150+92+'計算A'!AJ$5*100000+IF(AND($E20=1,JW20=0),50000,0))+IF($H20=1,(IF('計算A'!AI$117=1,INDEX('計算A'!AI$10:AI$54,$B20),0)+IF('計算A'!AJ$117=1,INDEX('計算A'!AK$10:AK$54,$B20),0))*4000,0)-IF(AND('計算A'!AI$117=1,VG20&gt;0),2000,0)-IF(AND($L20=1,'計算A'!AJ$117=1,EI20=0),2000,0))),1000000))</f>
        <v/>
      </c>
      <c r="PM20">
        <f>IF($B20=0,1000000,IF(INDEX('計算A'!$D$60:$EQ$104,$B20,34)*EI20=1,IF(AND($E20=2,JX20=0),1000000,IF($I20&gt;0,IF(2=$J20,IF(OR(AND(34=$I20+1,OR($K20&lt;&gt;'計算A'!$A$3,'計算A'!$A$4=0)),AND(34=$I20-1,OR(10&lt;&gt;'計算A'!$A$3,'計算A'!$A$4=0))),0,IF(10=$K20,200000,ABS(10-$K20)*100)),100000+ABS(2-$J20)*1000+100)+'計算A'!AK$5*50+IF(AND($E20=1,JX20=0),25,0),IF($F20&gt;0,INDEX('計算A'!AK$110:AK$114,$F20+1)+IF(AND($E20=1,JX20=0),1000,0),MIN(TV20,20)*400+(IF('計算A'!AJ$106=1,1-EH20,0)+IF('計算A'!AK$106=1,1-EJ20,0))*150+102+'計算A'!AK$5*100000+IF(AND($E20=1,JX20=0),50000,0))+IF($H20=1,(IF('計算A'!AJ$117=1,INDEX('計算A'!AJ$10:AJ$54,$B20),0)+IF('計算A'!AK$117=1,INDEX('計算A'!AL$10:AL$54,$B20),0))*4000,0)-IF(AND('計算A'!AJ$117=1,VH20&gt;0),2000,0)-IF(AND($L20=1,'計算A'!AK$117=1,EJ20=0),2000,0))),1000000))</f>
        <v/>
      </c>
      <c r="PN20">
        <f>IF($B20=0,1000000,IF(INDEX('計算A'!$D$60:$EQ$104,$B20,35)*EJ20=1,IF(AND($E20=2,JY20=0),1000000,IF($I20&gt;0,IF(2=$J20,IF(OR(AND(35=$I20+1,OR($K20&lt;&gt;'計算A'!$A$3,'計算A'!$A$4=0)),AND(35=$I20-1,OR(11&lt;&gt;'計算A'!$A$3,'計算A'!$A$4=0))),0,IF(11=$K20,200000,ABS(11-$K20)*100)),100000+ABS(2-$J20)*1000+110)+'計算A'!AL$5*50+IF(AND($E20=1,JY20=0),25,0),IF($F20&gt;0,INDEX('計算A'!AL$110:AL$114,$F20+1)+IF(AND($E20=1,JY20=0),1000,0),MIN(TV20,20)*400+(IF('計算A'!AK$106=1,1-EI20,0)+IF('計算A'!AL$106=1,1-EK20,0))*150+112+'計算A'!AL$5*100000+IF(AND($E20=1,JY20=0),50000,0))+IF($H20=1,(IF('計算A'!AK$117=1,INDEX('計算A'!AK$10:AK$54,$B20),0)+IF('計算A'!AL$117=1,INDEX('計算A'!AM$10:AM$54,$B20),0))*4000,0)-IF(AND('計算A'!AK$117=1,VI20&gt;0),2000,0)-IF(AND($L20=1,'計算A'!AL$117=1,EK20=0),2000,0))),1000000))</f>
        <v/>
      </c>
      <c r="PO20">
        <f>IF($B20=0,1000000,IF(INDEX('計算A'!$D$60:$EQ$104,$B20,36)*EK20=1,IF(AND($E20=2,JZ20=0),1000000,IF($I20&gt;0,IF(2=$J20,IF(OR(AND(36=$I20+1,OR($K20&lt;&gt;'計算A'!$A$3,'計算A'!$A$4=0)),AND(36=$I20-1,OR(12&lt;&gt;'計算A'!$A$3,'計算A'!$A$4=0))),0,IF(12=$K20,200000,ABS(12-$K20)*100)),100000+ABS(2-$J20)*1000+120)+'計算A'!AM$5*50+IF(AND($E20=1,JZ20=0),25,0),IF($F20&gt;0,INDEX('計算A'!AM$110:AM$114,$F20+1)+IF(AND($E20=1,JZ20=0),1000,0),MIN(TV20,20)*400+(IF('計算A'!AL$106=1,1-EJ20,0)+IF('計算A'!AM$106=1,1-EL20,0))*150+122+'計算A'!AM$5*100000+IF(AND($E20=1,JZ20=0),50000,0))+IF($H20=1,(IF('計算A'!AL$117=1,INDEX('計算A'!AL$10:AL$54,$B20),0)+IF('計算A'!AM$117=1,INDEX('計算A'!AN$10:AN$54,$B20),0))*4000,0)-IF(AND('計算A'!AL$117=1,VJ20&gt;0),2000,0)-IF(AND($L20=1,'計算A'!AM$117=1,EL20=0),2000,0))),1000000))</f>
        <v/>
      </c>
      <c r="PP20">
        <f>IF($B20=0,1000000,IF(INDEX('計算A'!$D$60:$EQ$104,$B20,37)*EL20=1,IF(AND($E20=2,KA20=0),1000000,IF($I20&gt;0,IF(2=$J20,IF(OR(AND(37=$I20+1,OR($K20&lt;&gt;'計算A'!$A$3,'計算A'!$A$4=0)),AND(37=$I20-1,OR(13&lt;&gt;'計算A'!$A$3,'計算A'!$A$4=0))),0,IF(13=$K20,200000,ABS(13-$K20)*100)),100000+ABS(2-$J20)*1000+130)+'計算A'!AN$5*50+IF(AND($E20=1,KA20=0),25,0),IF($F20&gt;0,INDEX('計算A'!AN$110:AN$114,$F20+1)+IF(AND($E20=1,KA20=0),1000,0),MIN(TV20,20)*400+(IF('計算A'!AM$106=1,1-EK20,0)+IF('計算A'!AN$106=1,1-EM20,0))*150+132+'計算A'!AN$5*100000+IF(AND($E20=1,KA20=0),50000,0))+IF($H20=1,(IF('計算A'!AM$117=1,INDEX('計算A'!AM$10:AM$54,$B20),0)+IF('計算A'!AN$117=1,INDEX('計算A'!AO$10:AO$54,$B20),0))*4000,0)-IF(AND('計算A'!AM$117=1,VK20&gt;0),2000,0)-IF(AND($L20=1,'計算A'!AN$117=1,EM20=0),2000,0))),1000000))</f>
        <v/>
      </c>
      <c r="PQ20">
        <f>IF($B20=0,1000000,IF(INDEX('計算A'!$D$60:$EQ$104,$B20,38)*EM20=1,IF(AND($E20=2,KB20=0),1000000,IF($I20&gt;0,IF(2=$J20,IF(OR(AND(38=$I20+1,OR($K20&lt;&gt;'計算A'!$A$3,'計算A'!$A$4=0)),AND(38=$I20-1,OR(14&lt;&gt;'計算A'!$A$3,'計算A'!$A$4=0))),0,IF(14=$K20,200000,ABS(14-$K20)*100)),100000+ABS(2-$J20)*1000+140)+'計算A'!AO$5*50+IF(AND($E20=1,KB20=0),25,0),IF($F20&gt;0,INDEX('計算A'!AO$110:AO$114,$F20+1)+IF(AND($E20=1,KB20=0),1000,0),MIN(TV20,20)*400+(IF('計算A'!AN$106=1,1-EL20,0)+IF('計算A'!AO$106=1,1-EN20,0))*150+142+'計算A'!AO$5*100000+IF(AND($E20=1,KB20=0),50000,0))+IF($H20=1,(IF('計算A'!AN$117=1,INDEX('計算A'!AN$10:AN$54,$B20),0)+IF('計算A'!AO$117=1,INDEX('計算A'!AP$10:AP$54,$B20),0))*4000,0)-IF(AND('計算A'!AN$117=1,VL20&gt;0),2000,0)-IF(AND($L20=1,'計算A'!AO$117=1,EN20=0),2000,0))),1000000))</f>
        <v/>
      </c>
      <c r="PR20">
        <f>IF($B20=0,1000000,IF(INDEX('計算A'!$D$60:$EQ$104,$B20,39)*EN20=1,IF(AND($E20=2,KC20=0),1000000,IF($I20&gt;0,IF(2=$J20,IF(OR(AND(39=$I20+1,OR($K20&lt;&gt;'計算A'!$A$3,'計算A'!$A$4=0)),AND(39=$I20-1,OR(15&lt;&gt;'計算A'!$A$3,'計算A'!$A$4=0))),0,IF(15=$K20,200000,ABS(15-$K20)*100)),100000+ABS(2-$J20)*1000+150)+'計算A'!AP$5*50+IF(AND($E20=1,KC20=0),25,0),IF($F20&gt;0,INDEX('計算A'!AP$110:AP$114,$F20+1)+IF(AND($E20=1,KC20=0),1000,0),MIN(TV20,20)*400+(IF('計算A'!AO$106=1,1-EM20,0)+IF('計算A'!AP$106=1,1-EO20,0))*150+152+'計算A'!AP$5*100000+IF(AND($E20=1,KC20=0),50000,0))+IF($H20=1,(IF('計算A'!AO$117=1,INDEX('計算A'!AO$10:AO$54,$B20),0)+IF('計算A'!AP$117=1,INDEX('計算A'!AQ$10:AQ$54,$B20),0))*4000,0)-IF(AND('計算A'!AO$117=1,VM20&gt;0),2000,0)-IF(AND($L20=1,'計算A'!AP$117=1,EO20=0),2000,0))),1000000))</f>
        <v/>
      </c>
      <c r="PS20">
        <f>IF($B20=0,1000000,IF(INDEX('計算A'!$D$60:$EQ$104,$B20,40)*EO20=1,IF(AND($E20=2,KD20=0),1000000,IF($I20&gt;0,IF(2=$J20,IF(OR(AND(40=$I20+1,OR($K20&lt;&gt;'計算A'!$A$3,'計算A'!$A$4=0)),AND(40=$I20-1,OR(16&lt;&gt;'計算A'!$A$3,'計算A'!$A$4=0))),0,IF(16=$K20,200000,ABS(16-$K20)*100)),100000+ABS(2-$J20)*1000+160)+'計算A'!AQ$5*50+IF(AND($E20=1,KD20=0),25,0),IF($F20&gt;0,INDEX('計算A'!AQ$110:AQ$114,$F20+1)+IF(AND($E20=1,KD20=0),1000,0),MIN(TV20,20)*400+(IF('計算A'!AP$106=1,1-EN20,0)+IF('計算A'!AQ$106=1,1-EP20,0))*150+162+'計算A'!AQ$5*100000+IF(AND($E20=1,KD20=0),50000,0))+IF($H20=1,(IF('計算A'!AP$117=1,INDEX('計算A'!AP$10:AP$54,$B20),0)+IF('計算A'!AQ$117=1,INDEX('計算A'!AR$10:AR$54,$B20),0))*4000,0)-IF(AND('計算A'!AP$117=1,VN20&gt;0),2000,0)-IF(AND($L20=1,'計算A'!AQ$117=1,EP20=0),2000,0))),1000000))</f>
        <v/>
      </c>
      <c r="PT20">
        <f>IF($B20=0,1000000,IF(INDEX('計算A'!$D$60:$EQ$104,$B20,41)*EP20=1,IF(AND($E20=2,KE20=0),1000000,IF($I20&gt;0,IF(2=$J20,IF(OR(AND(41=$I20+1,OR($K20&lt;&gt;'計算A'!$A$3,'計算A'!$A$4=0)),AND(41=$I20-1,OR(17&lt;&gt;'計算A'!$A$3,'計算A'!$A$4=0))),0,IF(17=$K20,200000,ABS(17-$K20)*100)),100000+ABS(2-$J20)*1000+170)+'計算A'!AR$5*50+IF(AND($E20=1,KE20=0),25,0),IF($F20&gt;0,INDEX('計算A'!AR$110:AR$114,$F20+1)+IF(AND($E20=1,KE20=0),1000,0),MIN(TV20,20)*400+(IF('計算A'!AQ$106=1,1-EO20,0)+IF('計算A'!AR$106=1,1-EQ20,0))*150+172+'計算A'!AR$5*100000+IF(AND($E20=1,KE20=0),50000,0))+IF($H20=1,(IF('計算A'!AQ$117=1,INDEX('計算A'!AQ$10:AQ$54,$B20),0)+IF('計算A'!AR$117=1,INDEX('計算A'!AS$10:AS$54,$B20),0))*4000,0)-IF(AND('計算A'!AQ$117=1,VO20&gt;0),2000,0)-IF(AND($L20=1,'計算A'!AR$117=1,EQ20=0),2000,0))),1000000))</f>
        <v/>
      </c>
      <c r="PU20">
        <f>IF($B20=0,1000000,IF(INDEX('計算A'!$D$60:$EQ$104,$B20,42)*EQ20=1,IF(AND($E20=2,KF20=0),1000000,IF($I20&gt;0,IF(2=$J20,IF(OR(AND(42=$I20+1,OR($K20&lt;&gt;'計算A'!$A$3,'計算A'!$A$4=0)),AND(42=$I20-1,OR(18&lt;&gt;'計算A'!$A$3,'計算A'!$A$4=0))),0,IF(18=$K20,200000,ABS(18-$K20)*100)),100000+ABS(2-$J20)*1000+180)+'計算A'!AS$5*50+IF(AND($E20=1,KF20=0),25,0),IF($F20&gt;0,INDEX('計算A'!AS$110:AS$114,$F20+1)+IF(AND($E20=1,KF20=0),1000,0),MIN(TV20,20)*400+(IF('計算A'!AR$106=1,1-EP20,0)+IF('計算A'!AS$106=1,1-ER20,0))*150+182+'計算A'!AS$5*100000+IF(AND($E20=1,KF20=0),50000,0))+IF($H20=1,(IF('計算A'!AR$117=1,INDEX('計算A'!AR$10:AR$54,$B20),0)+IF('計算A'!AS$117=1,INDEX('計算A'!AT$10:AT$54,$B20),0))*4000,0)-IF(AND('計算A'!AR$117=1,VP20&gt;0),2000,0)-IF(AND($L20=1,'計算A'!AS$117=1,ER20=0),2000,0))),1000000))</f>
        <v/>
      </c>
      <c r="PV20">
        <f>IF($B20=0,1000000,IF(INDEX('計算A'!$D$60:$EQ$104,$B20,43)*ER20=1,IF(AND($E20=2,KG20=0),1000000,IF($I20&gt;0,IF(2=$J20,IF(OR(AND(43=$I20+1,OR($K20&lt;&gt;'計算A'!$A$3,'計算A'!$A$4=0)),AND(43=$I20-1,OR(19&lt;&gt;'計算A'!$A$3,'計算A'!$A$4=0))),0,IF(19=$K20,200000,ABS(19-$K20)*100)),100000+ABS(2-$J20)*1000+190)+'計算A'!AT$5*50+IF(AND($E20=1,KG20=0),25,0),IF($F20&gt;0,INDEX('計算A'!AT$110:AT$114,$F20+1)+IF(AND($E20=1,KG20=0),1000,0),MIN(TV20,20)*400+(IF('計算A'!AS$106=1,1-EQ20,0)+IF('計算A'!AT$106=1,1-ES20,0))*150+192+'計算A'!AT$5*100000+IF(AND($E20=1,KG20=0),50000,0))+IF($H20=1,(IF('計算A'!AS$117=1,INDEX('計算A'!AS$10:AS$54,$B20),0)+IF('計算A'!AT$117=1,INDEX('計算A'!AU$10:AU$54,$B20),0))*4000,0)-IF(AND('計算A'!AS$117=1,VQ20&gt;0),2000,0)-IF(AND($L20=1,'計算A'!AT$117=1,ES20=0),2000,0))),1000000))</f>
        <v/>
      </c>
      <c r="PW20">
        <f>IF($B20=0,1000000,IF(INDEX('計算A'!$D$60:$EQ$104,$B20,44)*ES20=1,IF(AND($E20=2,KH20=0),1000000,IF($I20&gt;0,IF(2=$J20,IF(OR(AND(44=$I20+1,OR($K20&lt;&gt;'計算A'!$A$3,'計算A'!$A$4=0)),AND(44=$I20-1,OR(20&lt;&gt;'計算A'!$A$3,'計算A'!$A$4=0))),0,IF(20=$K20,200000,ABS(20-$K20)*100)),100000+ABS(2-$J20)*1000+200)+'計算A'!AU$5*50+IF(AND($E20=1,KH20=0),25,0),IF($F20&gt;0,INDEX('計算A'!AU$110:AU$114,$F20+1)+IF(AND($E20=1,KH20=0),1000,0),MIN(TV20,20)*400+(IF('計算A'!AT$106=1,1-ER20,0)+IF('計算A'!AU$106=1,1-ET20,0))*150+202+'計算A'!AU$5*100000+IF(AND($E20=1,KH20=0),50000,0))+IF($H20=1,(IF('計算A'!AT$117=1,INDEX('計算A'!AT$10:AT$54,$B20),0)+IF('計算A'!AU$117=1,INDEX('計算A'!AV$10:AV$54,$B20),0))*4000,0)-IF(AND('計算A'!AT$117=1,VR20&gt;0),2000,0)-IF(AND($L20=1,'計算A'!AU$117=1,ET20=0),2000,0))),1000000))</f>
        <v/>
      </c>
      <c r="PX20">
        <f>IF($B20=0,1000000,IF(INDEX('計算A'!$D$60:$EQ$104,$B20,45)*ET20=1,IF(AND($E20=2,KI20=0),1000000,IF($I20&gt;0,IF(2=$J20,IF(OR(AND(45=$I20+1,OR($K20&lt;&gt;'計算A'!$A$3,'計算A'!$A$4=0)),AND(45=$I20-1,OR(21&lt;&gt;'計算A'!$A$3,'計算A'!$A$4=0))),0,IF(21=$K20,200000,ABS(21-$K20)*100)),100000+ABS(2-$J20)*1000+210)+'計算A'!AV$5*50+IF(AND($E20=1,KI20=0),25,0),IF($F20&gt;0,INDEX('計算A'!AV$110:AV$114,$F20+1)+IF(AND($E20=1,KI20=0),1000,0),MIN(TV20,20)*400+(IF('計算A'!AU$106=1,1-ES20,0)+IF('計算A'!AV$106=1,1-EU20,0))*150+212+'計算A'!AV$5*100000+IF(AND($E20=1,KI20=0),50000,0))+IF($H20=1,(IF('計算A'!AU$117=1,INDEX('計算A'!AU$10:AU$54,$B20),0)+IF('計算A'!AV$117=1,INDEX('計算A'!AW$10:AW$54,$B20),0))*4000,0)-IF(AND('計算A'!AU$117=1,VS20&gt;0),2000,0)-IF(AND($L20=1,'計算A'!AV$117=1,EU20=0),2000,0))),1000000))</f>
        <v/>
      </c>
      <c r="PY20">
        <f>IF($B20=0,1000000,IF(INDEX('計算A'!$D$60:$EQ$104,$B20,46)*EU20=1,IF(AND($E20=2,KJ20=0),1000000,IF($I20&gt;0,IF(2=$J20,IF(OR(AND(46=$I20+1,OR($K20&lt;&gt;'計算A'!$A$3,'計算A'!$A$4=0)),AND(46=$I20-1,OR(22&lt;&gt;'計算A'!$A$3,'計算A'!$A$4=0))),0,IF(22=$K20,200000,ABS(22-$K20)*100)),100000+ABS(2-$J20)*1000+220)+'計算A'!AW$5*50+IF(AND($E20=1,KJ20=0),25,0),IF($F20&gt;0,INDEX('計算A'!AW$110:AW$114,$F20+1)+IF(AND($E20=1,KJ20=0),1000,0),MIN(TV20,20)*400+(IF('計算A'!AV$106=1,1-ET20,0)+IF('計算A'!AW$106=1,1-EV20,0))*150+222+'計算A'!AW$5*100000+IF(AND($E20=1,KJ20=0),50000,0))+IF($H20=1,(IF('計算A'!AV$117=1,INDEX('計算A'!AV$10:AV$54,$B20),0)+IF('計算A'!AW$117=1,INDEX('計算A'!AX$10:AX$54,$B20),0))*4000,0)-IF(AND('計算A'!AV$117=1,VT20&gt;0),2000,0)-IF(AND($L20=1,'計算A'!AW$117=1,EV20=0),2000,0))),1000000))</f>
        <v/>
      </c>
      <c r="PZ20">
        <f>IF($B20=0,1000000,IF(INDEX('計算A'!$D$60:$EQ$104,$B20,47)*EV20=1,IF(AND($E20=2,KK20=0),1000000,IF($I20&gt;0,IF(2=$J20,IF(OR(AND(47=$I20+1,OR($K20&lt;&gt;'計算A'!$A$3,'計算A'!$A$4=0)),AND(47=$I20-1,OR(23&lt;&gt;'計算A'!$A$3,'計算A'!$A$4=0))),0,IF(23=$K20,200000,ABS(23-$K20)*100)),100000+ABS(2-$J20)*1000+230)+'計算A'!AX$5*50+IF(AND($E20=1,KK20=0),25,0),IF($F20&gt;0,INDEX('計算A'!AX$110:AX$114,$F20+1)+IF(AND($E20=1,KK20=0),1000,0),MIN(TV20,20)*400+(IF('計算A'!AW$106=1,1-EU20,0)+IF('計算A'!AX$106=1,1-EW20,0))*150+232+'計算A'!AX$5*100000+IF(AND($E20=1,KK20=0),50000,0))+IF($H20=1,(IF('計算A'!AW$117=1,INDEX('計算A'!AW$10:AW$54,$B20),0)+IF('計算A'!AX$117=1,INDEX('計算A'!AY$10:AY$54,$B20),0))*4000,0)-IF(AND('計算A'!AW$117=1,VU20&gt;0),2000,0)-IF(AND($L20=1,'計算A'!AX$117=1,EW20=0),2000,0))),1000000))</f>
        <v/>
      </c>
      <c r="QA20">
        <f>IF($B20=0,1000000,IF(INDEX('計算A'!$D$60:$EQ$104,$B20,48)*EW20=1,IF(AND($E20=2,KL20=0),1000000,IF($I20&gt;0,IF(2=$J20,IF(OR(AND(48=$I20+1,OR($K20&lt;&gt;'計算A'!$A$3,'計算A'!$A$4=0)),AND(48=$I20-1,OR(24&lt;&gt;'計算A'!$A$3,'計算A'!$A$4=0))),0,IF(24=$K20,200000,ABS(24-$K20)*100)),100000+ABS(2-$J20)*1000+240)+'計算A'!AY$5*50+IF(AND($E20=1,KL20=0),25,0),IF($F20&gt;0,INDEX('計算A'!AY$110:AY$114,$F20+1)+IF(AND($E20=1,KL20=0),1000,0),MIN(TV20,20)*400+(IF('計算A'!AX$106=1,1-EV20,0))*150+242+'計算A'!AY$5*100000+IF(AND($E20=1,KL20=0),50000,0))+IF($H20=1,(IF('計算A'!AX$117=1,INDEX('計算A'!AX$10:AX$54,$B20),0))*4000,0)-IF(AND('計算A'!AX$117=1,VV20&gt;0),2000,0))),1000000))</f>
        <v/>
      </c>
      <c r="QB20">
        <f>IF($B20=0,1000000,IF(INDEX('計算A'!$D$60:$EQ$104,$B20,49)*EX20=1,IF(AND($E20=2,KM20=0),1000000,IF($I20&gt;0,IF(3=$J20,IF(OR(AND(49=$I20+1,OR($K20&lt;&gt;'計算A'!$A$3,'計算A'!$A$4=0)),AND(49=$I20-1,OR(1&lt;&gt;'計算A'!$A$3,'計算A'!$A$4=0))),0,IF(1=$K20,200000,ABS(1-$K20)*100)),100000+ABS(3-$J20)*1000+10)+'計算A'!AZ$5*50+IF(AND($E20=1,KM20=0),25,0),IF($F20&gt;0,INDEX('計算A'!AZ$110:AZ$114,$F20+1)+IF(AND($E20=1,KM20=0),1000,0),MIN(TW20,20)*400+(IF('計算A'!AZ$106=1,1-EY20,0))*150+13+'計算A'!AZ$5*100000+IF(AND($E20=1,KM20=0),50000,0))+IF($H20=1,(IF('計算A'!AZ$117=1,INDEX('計算A'!BA$10:BA$54,$B20),0))*4000,0)-IF(AND($L20=1,'計算A'!AZ$117=1,EY20=0),2000,0))),1000000))</f>
        <v/>
      </c>
      <c r="QC20">
        <f>IF($B20=0,1000000,IF(INDEX('計算A'!$D$60:$EQ$104,$B20,50)*EY20=1,IF(AND($E20=2,KN20=0),1000000,IF($I20&gt;0,IF(3=$J20,IF(OR(AND(50=$I20+1,OR($K20&lt;&gt;'計算A'!$A$3,'計算A'!$A$4=0)),AND(50=$I20-1,OR(2&lt;&gt;'計算A'!$A$3,'計算A'!$A$4=0))),0,IF(2=$K20,200000,ABS(2-$K20)*100)),100000+ABS(3-$J20)*1000+20)+'計算A'!BA$5*50+IF(AND($E20=1,KN20=0),25,0),IF($F20&gt;0,INDEX('計算A'!BA$110:BA$114,$F20+1)+IF(AND($E20=1,KN20=0),1000,0),MIN(TW20,20)*400+(IF('計算A'!AZ$106=1,1-EX20,0)+IF('計算A'!BA$106=1,1-EZ20,0))*150+23+'計算A'!BA$5*100000+IF(AND($E20=1,KN20=0),50000,0))+IF($H20=1,(IF('計算A'!AZ$117=1,INDEX('計算A'!AZ$10:AZ$54,$B20),0)+IF('計算A'!BA$117=1,INDEX('計算A'!BB$10:BB$54,$B20),0))*4000,0)-IF(AND('計算A'!AZ$117=1,VX20&gt;0),2000,0)-IF(AND($L20=1,'計算A'!BA$117=1,EZ20=0),2000,0))),1000000))</f>
        <v/>
      </c>
      <c r="QD20">
        <f>IF($B20=0,1000000,IF(INDEX('計算A'!$D$60:$EQ$104,$B20,51)*EZ20=1,IF(AND($E20=2,KO20=0),1000000,IF($I20&gt;0,IF(3=$J20,IF(OR(AND(51=$I20+1,OR($K20&lt;&gt;'計算A'!$A$3,'計算A'!$A$4=0)),AND(51=$I20-1,OR(3&lt;&gt;'計算A'!$A$3,'計算A'!$A$4=0))),0,IF(3=$K20,200000,ABS(3-$K20)*100)),100000+ABS(3-$J20)*1000+30)+'計算A'!BB$5*50+IF(AND($E20=1,KO20=0),25,0),IF($F20&gt;0,INDEX('計算A'!BB$110:BB$114,$F20+1)+IF(AND($E20=1,KO20=0),1000,0),MIN(TW20,20)*400+(IF('計算A'!BA$106=1,1-EY20,0)+IF('計算A'!BB$106=1,1-FA20,0))*150+33+'計算A'!BB$5*100000+IF(AND($E20=1,KO20=0),50000,0))+IF($H20=1,(IF('計算A'!BA$117=1,INDEX('計算A'!BA$10:BA$54,$B20),0)+IF('計算A'!BB$117=1,INDEX('計算A'!BC$10:BC$54,$B20),0))*4000,0)-IF(AND('計算A'!BA$117=1,VY20&gt;0),2000,0)-IF(AND($L20=1,'計算A'!BB$117=1,FA20=0),2000,0))),1000000))</f>
        <v/>
      </c>
      <c r="QE20">
        <f>IF($B20=0,1000000,IF(INDEX('計算A'!$D$60:$EQ$104,$B20,52)*FA20=1,IF(AND($E20=2,KP20=0),1000000,IF($I20&gt;0,IF(3=$J20,IF(OR(AND(52=$I20+1,OR($K20&lt;&gt;'計算A'!$A$3,'計算A'!$A$4=0)),AND(52=$I20-1,OR(4&lt;&gt;'計算A'!$A$3,'計算A'!$A$4=0))),0,IF(4=$K20,200000,ABS(4-$K20)*100)),100000+ABS(3-$J20)*1000+40)+'計算A'!BC$5*50+IF(AND($E20=1,KP20=0),25,0),IF($F20&gt;0,INDEX('計算A'!BC$110:BC$114,$F20+1)+IF(AND($E20=1,KP20=0),1000,0),MIN(TW20,20)*400+(IF('計算A'!BB$106=1,1-EZ20,0)+IF('計算A'!BC$106=1,1-FB20,0))*150+43+'計算A'!BC$5*100000+IF(AND($E20=1,KP20=0),50000,0))+IF($H20=1,(IF('計算A'!BB$117=1,INDEX('計算A'!BB$10:BB$54,$B20),0)+IF('計算A'!BC$117=1,INDEX('計算A'!BD$10:BD$54,$B20),0))*4000,0)-IF(AND('計算A'!BB$117=1,VZ20&gt;0),2000,0)-IF(AND($L20=1,'計算A'!BC$117=1,FB20=0),2000,0))),1000000))</f>
        <v/>
      </c>
      <c r="QF20">
        <f>IF($B20=0,1000000,IF(INDEX('計算A'!$D$60:$EQ$104,$B20,53)*FB20=1,IF(AND($E20=2,KQ20=0),1000000,IF($I20&gt;0,IF(3=$J20,IF(OR(AND(53=$I20+1,OR($K20&lt;&gt;'計算A'!$A$3,'計算A'!$A$4=0)),AND(53=$I20-1,OR(5&lt;&gt;'計算A'!$A$3,'計算A'!$A$4=0))),0,IF(5=$K20,200000,ABS(5-$K20)*100)),100000+ABS(3-$J20)*1000+50)+'計算A'!BD$5*50+IF(AND($E20=1,KQ20=0),25,0),IF($F20&gt;0,INDEX('計算A'!BD$110:BD$114,$F20+1)+IF(AND($E20=1,KQ20=0),1000,0),MIN(TW20,20)*400+(IF('計算A'!BC$106=1,1-FA20,0)+IF('計算A'!BD$106=1,1-FC20,0))*150+53+'計算A'!BD$5*100000+IF(AND($E20=1,KQ20=0),50000,0))+IF($H20=1,(IF('計算A'!BC$117=1,INDEX('計算A'!BC$10:BC$54,$B20),0)+IF('計算A'!BD$117=1,INDEX('計算A'!BE$10:BE$54,$B20),0))*4000,0)-IF(AND('計算A'!BC$117=1,WA20&gt;0),2000,0)-IF(AND($L20=1,'計算A'!BD$117=1,FC20=0),2000,0))),1000000))</f>
        <v/>
      </c>
      <c r="QG20">
        <f>IF($B20=0,1000000,IF(INDEX('計算A'!$D$60:$EQ$104,$B20,54)*FC20=1,IF(AND($E20=2,KR20=0),1000000,IF($I20&gt;0,IF(3=$J20,IF(OR(AND(54=$I20+1,OR($K20&lt;&gt;'計算A'!$A$3,'計算A'!$A$4=0)),AND(54=$I20-1,OR(6&lt;&gt;'計算A'!$A$3,'計算A'!$A$4=0))),0,IF(6=$K20,200000,ABS(6-$K20)*100)),100000+ABS(3-$J20)*1000+60)+'計算A'!BE$5*50+IF(AND($E20=1,KR20=0),25,0),IF($F20&gt;0,INDEX('計算A'!BE$110:BE$114,$F20+1)+IF(AND($E20=1,KR20=0),1000,0),MIN(TW20,20)*400+(IF('計算A'!BD$106=1,1-FB20,0)+IF('計算A'!BE$106=1,1-FD20,0))*150+63+'計算A'!BE$5*100000+IF(AND($E20=1,KR20=0),50000,0))+IF($H20=1,(IF('計算A'!BD$117=1,INDEX('計算A'!BD$10:BD$54,$B20),0)+IF('計算A'!BE$117=1,INDEX('計算A'!BF$10:BF$54,$B20),0))*4000,0)-IF(AND('計算A'!BD$117=1,WB20&gt;0),2000,0)-IF(AND($L20=1,'計算A'!BE$117=1,FD20=0),2000,0))),1000000))</f>
        <v/>
      </c>
      <c r="QH20">
        <f>IF($B20=0,1000000,IF(INDEX('計算A'!$D$60:$EQ$104,$B20,55)*FD20=1,IF(AND($E20=2,KS20=0),1000000,IF($I20&gt;0,IF(3=$J20,IF(OR(AND(55=$I20+1,OR($K20&lt;&gt;'計算A'!$A$3,'計算A'!$A$4=0)),AND(55=$I20-1,OR(7&lt;&gt;'計算A'!$A$3,'計算A'!$A$4=0))),0,IF(7=$K20,200000,ABS(7-$K20)*100)),100000+ABS(3-$J20)*1000+70)+'計算A'!BF$5*50+IF(AND($E20=1,KS20=0),25,0),IF($F20&gt;0,INDEX('計算A'!BF$110:BF$114,$F20+1)+IF(AND($E20=1,KS20=0),1000,0),MIN(TW20,20)*400+(IF('計算A'!BE$106=1,1-FC20,0)+IF('計算A'!BF$106=1,1-FE20,0))*150+73+'計算A'!BF$5*100000+IF(AND($E20=1,KS20=0),50000,0))+IF($H20=1,(IF('計算A'!BE$117=1,INDEX('計算A'!BE$10:BE$54,$B20),0)+IF('計算A'!BF$117=1,INDEX('計算A'!BG$10:BG$54,$B20),0))*4000,0)-IF(AND('計算A'!BE$117=1,WC20&gt;0),2000,0)-IF(AND($L20=1,'計算A'!BF$117=1,FE20=0),2000,0))),1000000))</f>
        <v/>
      </c>
      <c r="QI20">
        <f>IF($B20=0,1000000,IF(INDEX('計算A'!$D$60:$EQ$104,$B20,56)*FE20=1,IF(AND($E20=2,KT20=0),1000000,IF($I20&gt;0,IF(3=$J20,IF(OR(AND(56=$I20+1,OR($K20&lt;&gt;'計算A'!$A$3,'計算A'!$A$4=0)),AND(56=$I20-1,OR(8&lt;&gt;'計算A'!$A$3,'計算A'!$A$4=0))),0,IF(8=$K20,200000,ABS(8-$K20)*100)),100000+ABS(3-$J20)*1000+80)+'計算A'!BG$5*50+IF(AND($E20=1,KT20=0),25,0),IF($F20&gt;0,INDEX('計算A'!BG$110:BG$114,$F20+1)+IF(AND($E20=1,KT20=0),1000,0),MIN(TW20,20)*400+(IF('計算A'!BF$106=1,1-FD20,0)+IF('計算A'!BG$106=1,1-FF20,0))*150+83+'計算A'!BG$5*100000+IF(AND($E20=1,KT20=0),50000,0))+IF($H20=1,(IF('計算A'!BF$117=1,INDEX('計算A'!BF$10:BF$54,$B20),0)+IF('計算A'!BG$117=1,INDEX('計算A'!BH$10:BH$54,$B20),0))*4000,0)-IF(AND('計算A'!BF$117=1,WD20&gt;0),2000,0)-IF(AND($L20=1,'計算A'!BG$117=1,FF20=0),2000,0))),1000000))</f>
        <v/>
      </c>
      <c r="QJ20">
        <f>IF($B20=0,1000000,IF(INDEX('計算A'!$D$60:$EQ$104,$B20,57)*FF20=1,IF(AND($E20=2,KU20=0),1000000,IF($I20&gt;0,IF(3=$J20,IF(OR(AND(57=$I20+1,OR($K20&lt;&gt;'計算A'!$A$3,'計算A'!$A$4=0)),AND(57=$I20-1,OR(9&lt;&gt;'計算A'!$A$3,'計算A'!$A$4=0))),0,IF(9=$K20,200000,ABS(9-$K20)*100)),100000+ABS(3-$J20)*1000+90)+'計算A'!BH$5*50+IF(AND($E20=1,KU20=0),25,0),IF($F20&gt;0,INDEX('計算A'!BH$110:BH$114,$F20+1)+IF(AND($E20=1,KU20=0),1000,0),MIN(TW20,20)*400+(IF('計算A'!BG$106=1,1-FE20,0)+IF('計算A'!BH$106=1,1-FG20,0))*150+93+'計算A'!BH$5*100000+IF(AND($E20=1,KU20=0),50000,0))+IF($H20=1,(IF('計算A'!BG$117=1,INDEX('計算A'!BG$10:BG$54,$B20),0)+IF('計算A'!BH$117=1,INDEX('計算A'!BI$10:BI$54,$B20),0))*4000,0)-IF(AND('計算A'!BG$117=1,WE20&gt;0),2000,0)-IF(AND($L20=1,'計算A'!BH$117=1,FG20=0),2000,0))),1000000))</f>
        <v/>
      </c>
      <c r="QK20">
        <f>IF($B20=0,1000000,IF(INDEX('計算A'!$D$60:$EQ$104,$B20,58)*FG20=1,IF(AND($E20=2,KV20=0),1000000,IF($I20&gt;0,IF(3=$J20,IF(OR(AND(58=$I20+1,OR($K20&lt;&gt;'計算A'!$A$3,'計算A'!$A$4=0)),AND(58=$I20-1,OR(10&lt;&gt;'計算A'!$A$3,'計算A'!$A$4=0))),0,IF(10=$K20,200000,ABS(10-$K20)*100)),100000+ABS(3-$J20)*1000+100)+'計算A'!BI$5*50+IF(AND($E20=1,KV20=0),25,0),IF($F20&gt;0,INDEX('計算A'!BI$110:BI$114,$F20+1)+IF(AND($E20=1,KV20=0),1000,0),MIN(TW20,20)*400+(IF('計算A'!BH$106=1,1-FF20,0)+IF('計算A'!BI$106=1,1-FH20,0))*150+103+'計算A'!BI$5*100000+IF(AND($E20=1,KV20=0),50000,0))+IF($H20=1,(IF('計算A'!BH$117=1,INDEX('計算A'!BH$10:BH$54,$B20),0)+IF('計算A'!BI$117=1,INDEX('計算A'!BJ$10:BJ$54,$B20),0))*4000,0)-IF(AND('計算A'!BH$117=1,WF20&gt;0),2000,0)-IF(AND($L20=1,'計算A'!BI$117=1,FH20=0),2000,0))),1000000))</f>
        <v/>
      </c>
      <c r="QL20">
        <f>IF($B20=0,1000000,IF(INDEX('計算A'!$D$60:$EQ$104,$B20,59)*FH20=1,IF(AND($E20=2,KW20=0),1000000,IF($I20&gt;0,IF(3=$J20,IF(OR(AND(59=$I20+1,OR($K20&lt;&gt;'計算A'!$A$3,'計算A'!$A$4=0)),AND(59=$I20-1,OR(11&lt;&gt;'計算A'!$A$3,'計算A'!$A$4=0))),0,IF(11=$K20,200000,ABS(11-$K20)*100)),100000+ABS(3-$J20)*1000+110)+'計算A'!BJ$5*50+IF(AND($E20=1,KW20=0),25,0),IF($F20&gt;0,INDEX('計算A'!BJ$110:BJ$114,$F20+1)+IF(AND($E20=1,KW20=0),1000,0),MIN(TW20,20)*400+(IF('計算A'!BI$106=1,1-FG20,0)+IF('計算A'!BJ$106=1,1-FI20,0))*150+113+'計算A'!BJ$5*100000+IF(AND($E20=1,KW20=0),50000,0))+IF($H20=1,(IF('計算A'!BI$117=1,INDEX('計算A'!BI$10:BI$54,$B20),0)+IF('計算A'!BJ$117=1,INDEX('計算A'!BK$10:BK$54,$B20),0))*4000,0)-IF(AND('計算A'!BI$117=1,WG20&gt;0),2000,0)-IF(AND($L20=1,'計算A'!BJ$117=1,FI20=0),2000,0))),1000000))</f>
        <v/>
      </c>
      <c r="QM20">
        <f>IF($B20=0,1000000,IF(INDEX('計算A'!$D$60:$EQ$104,$B20,60)*FI20=1,IF(AND($E20=2,KX20=0),1000000,IF($I20&gt;0,IF(3=$J20,IF(OR(AND(60=$I20+1,OR($K20&lt;&gt;'計算A'!$A$3,'計算A'!$A$4=0)),AND(60=$I20-1,OR(12&lt;&gt;'計算A'!$A$3,'計算A'!$A$4=0))),0,IF(12=$K20,200000,ABS(12-$K20)*100)),100000+ABS(3-$J20)*1000+120)+'計算A'!BK$5*50+IF(AND($E20=1,KX20=0),25,0),IF($F20&gt;0,INDEX('計算A'!BK$110:BK$114,$F20+1)+IF(AND($E20=1,KX20=0),1000,0),MIN(TW20,20)*400+(IF('計算A'!BJ$106=1,1-FH20,0)+IF('計算A'!BK$106=1,1-FJ20,0))*150+123+'計算A'!BK$5*100000+IF(AND($E20=1,KX20=0),50000,0))+IF($H20=1,(IF('計算A'!BJ$117=1,INDEX('計算A'!BJ$10:BJ$54,$B20),0)+IF('計算A'!BK$117=1,INDEX('計算A'!BL$10:BL$54,$B20),0))*4000,0)-IF(AND('計算A'!BJ$117=1,WH20&gt;0),2000,0)-IF(AND($L20=1,'計算A'!BK$117=1,FJ20=0),2000,0))),1000000))</f>
        <v/>
      </c>
      <c r="QN20">
        <f>IF($B20=0,1000000,IF(INDEX('計算A'!$D$60:$EQ$104,$B20,61)*FJ20=1,IF(AND($E20=2,KY20=0),1000000,IF($I20&gt;0,IF(3=$J20,IF(OR(AND(61=$I20+1,OR($K20&lt;&gt;'計算A'!$A$3,'計算A'!$A$4=0)),AND(61=$I20-1,OR(13&lt;&gt;'計算A'!$A$3,'計算A'!$A$4=0))),0,IF(13=$K20,200000,ABS(13-$K20)*100)),100000+ABS(3-$J20)*1000+130)+'計算A'!BL$5*50+IF(AND($E20=1,KY20=0),25,0),IF($F20&gt;0,INDEX('計算A'!BL$110:BL$114,$F20+1)+IF(AND($E20=1,KY20=0),1000,0),MIN(TW20,20)*400+(IF('計算A'!BK$106=1,1-FI20,0)+IF('計算A'!BL$106=1,1-FK20,0))*150+133+'計算A'!BL$5*100000+IF(AND($E20=1,KY20=0),50000,0))+IF($H20=1,(IF('計算A'!BK$117=1,INDEX('計算A'!BK$10:BK$54,$B20),0)+IF('計算A'!BL$117=1,INDEX('計算A'!BM$10:BM$54,$B20),0))*4000,0)-IF(AND('計算A'!BK$117=1,WI20&gt;0),2000,0)-IF(AND($L20=1,'計算A'!BL$117=1,FK20=0),2000,0))),1000000))</f>
        <v/>
      </c>
      <c r="QO20">
        <f>IF($B20=0,1000000,IF(INDEX('計算A'!$D$60:$EQ$104,$B20,62)*FK20=1,IF(AND($E20=2,KZ20=0),1000000,IF($I20&gt;0,IF(3=$J20,IF(OR(AND(62=$I20+1,OR($K20&lt;&gt;'計算A'!$A$3,'計算A'!$A$4=0)),AND(62=$I20-1,OR(14&lt;&gt;'計算A'!$A$3,'計算A'!$A$4=0))),0,IF(14=$K20,200000,ABS(14-$K20)*100)),100000+ABS(3-$J20)*1000+140)+'計算A'!BM$5*50+IF(AND($E20=1,KZ20=0),25,0),IF($F20&gt;0,INDEX('計算A'!BM$110:BM$114,$F20+1)+IF(AND($E20=1,KZ20=0),1000,0),MIN(TW20,20)*400+(IF('計算A'!BL$106=1,1-FJ20,0)+IF('計算A'!BM$106=1,1-FL20,0))*150+143+'計算A'!BM$5*100000+IF(AND($E20=1,KZ20=0),50000,0))+IF($H20=1,(IF('計算A'!BL$117=1,INDEX('計算A'!BL$10:BL$54,$B20),0)+IF('計算A'!BM$117=1,INDEX('計算A'!BN$10:BN$54,$B20),0))*4000,0)-IF(AND('計算A'!BL$117=1,WJ20&gt;0),2000,0)-IF(AND($L20=1,'計算A'!BM$117=1,FL20=0),2000,0))),1000000))</f>
        <v/>
      </c>
      <c r="QP20">
        <f>IF($B20=0,1000000,IF(INDEX('計算A'!$D$60:$EQ$104,$B20,63)*FL20=1,IF(AND($E20=2,LA20=0),1000000,IF($I20&gt;0,IF(3=$J20,IF(OR(AND(63=$I20+1,OR($K20&lt;&gt;'計算A'!$A$3,'計算A'!$A$4=0)),AND(63=$I20-1,OR(15&lt;&gt;'計算A'!$A$3,'計算A'!$A$4=0))),0,IF(15=$K20,200000,ABS(15-$K20)*100)),100000+ABS(3-$J20)*1000+150)+'計算A'!BN$5*50+IF(AND($E20=1,LA20=0),25,0),IF($F20&gt;0,INDEX('計算A'!BN$110:BN$114,$F20+1)+IF(AND($E20=1,LA20=0),1000,0),MIN(TW20,20)*400+(IF('計算A'!BM$106=1,1-FK20,0)+IF('計算A'!BN$106=1,1-FM20,0))*150+153+'計算A'!BN$5*100000+IF(AND($E20=1,LA20=0),50000,0))+IF($H20=1,(IF('計算A'!BM$117=1,INDEX('計算A'!BM$10:BM$54,$B20),0)+IF('計算A'!BN$117=1,INDEX('計算A'!BO$10:BO$54,$B20),0))*4000,0)-IF(AND('計算A'!BM$117=1,WK20&gt;0),2000,0)-IF(AND($L20=1,'計算A'!BN$117=1,FM20=0),2000,0))),1000000))</f>
        <v/>
      </c>
      <c r="QQ20">
        <f>IF($B20=0,1000000,IF(INDEX('計算A'!$D$60:$EQ$104,$B20,64)*FM20=1,IF(AND($E20=2,LB20=0),1000000,IF($I20&gt;0,IF(3=$J20,IF(OR(AND(64=$I20+1,OR($K20&lt;&gt;'計算A'!$A$3,'計算A'!$A$4=0)),AND(64=$I20-1,OR(16&lt;&gt;'計算A'!$A$3,'計算A'!$A$4=0))),0,IF(16=$K20,200000,ABS(16-$K20)*100)),100000+ABS(3-$J20)*1000+160)+'計算A'!BO$5*50+IF(AND($E20=1,LB20=0),25,0),IF($F20&gt;0,INDEX('計算A'!BO$110:BO$114,$F20+1)+IF(AND($E20=1,LB20=0),1000,0),MIN(TW20,20)*400+(IF('計算A'!BN$106=1,1-FL20,0)+IF('計算A'!BO$106=1,1-FN20,0))*150+163+'計算A'!BO$5*100000+IF(AND($E20=1,LB20=0),50000,0))+IF($H20=1,(IF('計算A'!BN$117=1,INDEX('計算A'!BN$10:BN$54,$B20),0)+IF('計算A'!BO$117=1,INDEX('計算A'!BP$10:BP$54,$B20),0))*4000,0)-IF(AND('計算A'!BN$117=1,WL20&gt;0),2000,0)-IF(AND($L20=1,'計算A'!BO$117=1,FN20=0),2000,0))),1000000))</f>
        <v/>
      </c>
      <c r="QR20">
        <f>IF($B20=0,1000000,IF(INDEX('計算A'!$D$60:$EQ$104,$B20,65)*FN20=1,IF(AND($E20=2,LC20=0),1000000,IF($I20&gt;0,IF(3=$J20,IF(OR(AND(65=$I20+1,OR($K20&lt;&gt;'計算A'!$A$3,'計算A'!$A$4=0)),AND(65=$I20-1,OR(17&lt;&gt;'計算A'!$A$3,'計算A'!$A$4=0))),0,IF(17=$K20,200000,ABS(17-$K20)*100)),100000+ABS(3-$J20)*1000+170)+'計算A'!BP$5*50+IF(AND($E20=1,LC20=0),25,0),IF($F20&gt;0,INDEX('計算A'!BP$110:BP$114,$F20+1)+IF(AND($E20=1,LC20=0),1000,0),MIN(TW20,20)*400+(IF('計算A'!BO$106=1,1-FM20,0)+IF('計算A'!BP$106=1,1-FO20,0))*150+173+'計算A'!BP$5*100000+IF(AND($E20=1,LC20=0),50000,0))+IF($H20=1,(IF('計算A'!BO$117=1,INDEX('計算A'!BO$10:BO$54,$B20),0)+IF('計算A'!BP$117=1,INDEX('計算A'!BQ$10:BQ$54,$B20),0))*4000,0)-IF(AND('計算A'!BO$117=1,WM20&gt;0),2000,0)-IF(AND($L20=1,'計算A'!BP$117=1,FO20=0),2000,0))),1000000))</f>
        <v/>
      </c>
      <c r="QS20">
        <f>IF($B20=0,1000000,IF(INDEX('計算A'!$D$60:$EQ$104,$B20,66)*FO20=1,IF(AND($E20=2,LD20=0),1000000,IF($I20&gt;0,IF(3=$J20,IF(OR(AND(66=$I20+1,OR($K20&lt;&gt;'計算A'!$A$3,'計算A'!$A$4=0)),AND(66=$I20-1,OR(18&lt;&gt;'計算A'!$A$3,'計算A'!$A$4=0))),0,IF(18=$K20,200000,ABS(18-$K20)*100)),100000+ABS(3-$J20)*1000+180)+'計算A'!BQ$5*50+IF(AND($E20=1,LD20=0),25,0),IF($F20&gt;0,INDEX('計算A'!BQ$110:BQ$114,$F20+1)+IF(AND($E20=1,LD20=0),1000,0),MIN(TW20,20)*400+(IF('計算A'!BP$106=1,1-FN20,0)+IF('計算A'!BQ$106=1,1-FP20,0))*150+183+'計算A'!BQ$5*100000+IF(AND($E20=1,LD20=0),50000,0))+IF($H20=1,(IF('計算A'!BP$117=1,INDEX('計算A'!BP$10:BP$54,$B20),0)+IF('計算A'!BQ$117=1,INDEX('計算A'!BR$10:BR$54,$B20),0))*4000,0)-IF(AND('計算A'!BP$117=1,WN20&gt;0),2000,0)-IF(AND($L20=1,'計算A'!BQ$117=1,FP20=0),2000,0))),1000000))</f>
        <v/>
      </c>
      <c r="QT20">
        <f>IF($B20=0,1000000,IF(INDEX('計算A'!$D$60:$EQ$104,$B20,67)*FP20=1,IF(AND($E20=2,LE20=0),1000000,IF($I20&gt;0,IF(3=$J20,IF(OR(AND(67=$I20+1,OR($K20&lt;&gt;'計算A'!$A$3,'計算A'!$A$4=0)),AND(67=$I20-1,OR(19&lt;&gt;'計算A'!$A$3,'計算A'!$A$4=0))),0,IF(19=$K20,200000,ABS(19-$K20)*100)),100000+ABS(3-$J20)*1000+190)+'計算A'!BR$5*50+IF(AND($E20=1,LE20=0),25,0),IF($F20&gt;0,INDEX('計算A'!BR$110:BR$114,$F20+1)+IF(AND($E20=1,LE20=0),1000,0),MIN(TW20,20)*400+(IF('計算A'!BQ$106=1,1-FO20,0)+IF('計算A'!BR$106=1,1-FQ20,0))*150+193+'計算A'!BR$5*100000+IF(AND($E20=1,LE20=0),50000,0))+IF($H20=1,(IF('計算A'!BQ$117=1,INDEX('計算A'!BQ$10:BQ$54,$B20),0)+IF('計算A'!BR$117=1,INDEX('計算A'!BS$10:BS$54,$B20),0))*4000,0)-IF(AND('計算A'!BQ$117=1,WO20&gt;0),2000,0)-IF(AND($L20=1,'計算A'!BR$117=1,FQ20=0),2000,0))),1000000))</f>
        <v/>
      </c>
      <c r="QU20">
        <f>IF($B20=0,1000000,IF(INDEX('計算A'!$D$60:$EQ$104,$B20,68)*FQ20=1,IF(AND($E20=2,LF20=0),1000000,IF($I20&gt;0,IF(3=$J20,IF(OR(AND(68=$I20+1,OR($K20&lt;&gt;'計算A'!$A$3,'計算A'!$A$4=0)),AND(68=$I20-1,OR(20&lt;&gt;'計算A'!$A$3,'計算A'!$A$4=0))),0,IF(20=$K20,200000,ABS(20-$K20)*100)),100000+ABS(3-$J20)*1000+200)+'計算A'!BS$5*50+IF(AND($E20=1,LF20=0),25,0),IF($F20&gt;0,INDEX('計算A'!BS$110:BS$114,$F20+1)+IF(AND($E20=1,LF20=0),1000,0),MIN(TW20,20)*400+(IF('計算A'!BR$106=1,1-FP20,0)+IF('計算A'!BS$106=1,1-FR20,0))*150+203+'計算A'!BS$5*100000+IF(AND($E20=1,LF20=0),50000,0))+IF($H20=1,(IF('計算A'!BR$117=1,INDEX('計算A'!BR$10:BR$54,$B20),0)+IF('計算A'!BS$117=1,INDEX('計算A'!BT$10:BT$54,$B20),0))*4000,0)-IF(AND('計算A'!BR$117=1,WP20&gt;0),2000,0)-IF(AND($L20=1,'計算A'!BS$117=1,FR20=0),2000,0))),1000000))</f>
        <v/>
      </c>
      <c r="QV20">
        <f>IF($B20=0,1000000,IF(INDEX('計算A'!$D$60:$EQ$104,$B20,69)*FR20=1,IF(AND($E20=2,LG20=0),1000000,IF($I20&gt;0,IF(3=$J20,IF(OR(AND(69=$I20+1,OR($K20&lt;&gt;'計算A'!$A$3,'計算A'!$A$4=0)),AND(69=$I20-1,OR(21&lt;&gt;'計算A'!$A$3,'計算A'!$A$4=0))),0,IF(21=$K20,200000,ABS(21-$K20)*100)),100000+ABS(3-$J20)*1000+210)+'計算A'!BT$5*50+IF(AND($E20=1,LG20=0),25,0),IF($F20&gt;0,INDEX('計算A'!BT$110:BT$114,$F20+1)+IF(AND($E20=1,LG20=0),1000,0),MIN(TW20,20)*400+(IF('計算A'!BS$106=1,1-FQ20,0)+IF('計算A'!BT$106=1,1-FS20,0))*150+213+'計算A'!BT$5*100000+IF(AND($E20=1,LG20=0),50000,0))+IF($H20=1,(IF('計算A'!BS$117=1,INDEX('計算A'!BS$10:BS$54,$B20),0)+IF('計算A'!BT$117=1,INDEX('計算A'!BU$10:BU$54,$B20),0))*4000,0)-IF(AND('計算A'!BS$117=1,WQ20&gt;0),2000,0)-IF(AND($L20=1,'計算A'!BT$117=1,FS20=0),2000,0))),1000000))</f>
        <v/>
      </c>
      <c r="QW20">
        <f>IF($B20=0,1000000,IF(INDEX('計算A'!$D$60:$EQ$104,$B20,70)*FS20=1,IF(AND($E20=2,LH20=0),1000000,IF($I20&gt;0,IF(3=$J20,IF(OR(AND(70=$I20+1,OR($K20&lt;&gt;'計算A'!$A$3,'計算A'!$A$4=0)),AND(70=$I20-1,OR(22&lt;&gt;'計算A'!$A$3,'計算A'!$A$4=0))),0,IF(22=$K20,200000,ABS(22-$K20)*100)),100000+ABS(3-$J20)*1000+220)+'計算A'!BU$5*50+IF(AND($E20=1,LH20=0),25,0),IF($F20&gt;0,INDEX('計算A'!BU$110:BU$114,$F20+1)+IF(AND($E20=1,LH20=0),1000,0),MIN(TW20,20)*400+(IF('計算A'!BT$106=1,1-FR20,0)+IF('計算A'!BU$106=1,1-FT20,0))*150+223+'計算A'!BU$5*100000+IF(AND($E20=1,LH20=0),50000,0))+IF($H20=1,(IF('計算A'!BT$117=1,INDEX('計算A'!BT$10:BT$54,$B20),0)+IF('計算A'!BU$117=1,INDEX('計算A'!BV$10:BV$54,$B20),0))*4000,0)-IF(AND('計算A'!BT$117=1,WR20&gt;0),2000,0)-IF(AND($L20=1,'計算A'!BU$117=1,FT20=0),2000,0))),1000000))</f>
        <v/>
      </c>
      <c r="QX20">
        <f>IF($B20=0,1000000,IF(INDEX('計算A'!$D$60:$EQ$104,$B20,71)*FT20=1,IF(AND($E20=2,LI20=0),1000000,IF($I20&gt;0,IF(3=$J20,IF(OR(AND(71=$I20+1,OR($K20&lt;&gt;'計算A'!$A$3,'計算A'!$A$4=0)),AND(71=$I20-1,OR(23&lt;&gt;'計算A'!$A$3,'計算A'!$A$4=0))),0,IF(23=$K20,200000,ABS(23-$K20)*100)),100000+ABS(3-$J20)*1000+230)+'計算A'!BV$5*50+IF(AND($E20=1,LI20=0),25,0),IF($F20&gt;0,INDEX('計算A'!BV$110:BV$114,$F20+1)+IF(AND($E20=1,LI20=0),1000,0),MIN(TW20,20)*400+(IF('計算A'!BU$106=1,1-FS20,0)+IF('計算A'!BV$106=1,1-FU20,0))*150+233+'計算A'!BV$5*100000+IF(AND($E20=1,LI20=0),50000,0))+IF($H20=1,(IF('計算A'!BU$117=1,INDEX('計算A'!BU$10:BU$54,$B20),0)+IF('計算A'!BV$117=1,INDEX('計算A'!BW$10:BW$54,$B20),0))*4000,0)-IF(AND('計算A'!BU$117=1,WS20&gt;0),2000,0)-IF(AND($L20=1,'計算A'!BV$117=1,FU20=0),2000,0))),1000000))</f>
        <v/>
      </c>
      <c r="QY20">
        <f>IF($B20=0,1000000,IF(INDEX('計算A'!$D$60:$EQ$104,$B20,72)*FU20=1,IF(AND($E20=2,LJ20=0),1000000,IF($I20&gt;0,IF(3=$J20,IF(OR(AND(72=$I20+1,OR($K20&lt;&gt;'計算A'!$A$3,'計算A'!$A$4=0)),AND(72=$I20-1,OR(24&lt;&gt;'計算A'!$A$3,'計算A'!$A$4=0))),0,IF(24=$K20,200000,ABS(24-$K20)*100)),100000+ABS(3-$J20)*1000+240)+'計算A'!BW$5*50+IF(AND($E20=1,LJ20=0),25,0),IF($F20&gt;0,INDEX('計算A'!BW$110:BW$114,$F20+1)+IF(AND($E20=1,LJ20=0),1000,0),MIN(TW20,20)*400+(IF('計算A'!BV$106=1,1-FT20,0))*150+243+'計算A'!BW$5*100000+IF(AND($E20=1,LJ20=0),50000,0))+IF($H20=1,(IF('計算A'!BV$117=1,INDEX('計算A'!BV$10:BV$54,$B20),0))*4000,0)-IF(AND('計算A'!BV$117=1,WT20&gt;0),2000,0))),1000000))</f>
        <v/>
      </c>
      <c r="QZ20">
        <f>IF($B20=0,1000000,IF(INDEX('計算A'!$D$60:$EQ$104,$B20,73)*FV20=1,IF(AND($E20=2,LK20=0),1000000,IF($I20&gt;0,IF(4=$J20,IF(OR(AND(73=$I20+1,OR($K20&lt;&gt;'計算A'!$A$3,'計算A'!$A$4=0)),AND(73=$I20-1,OR(1&lt;&gt;'計算A'!$A$3,'計算A'!$A$4=0))),0,IF(1=$K20,200000,ABS(1-$K20)*100)),100000+ABS(4-$J20)*1000+10)+'計算A'!BX$5*50+IF(AND($E20=1,LK20=0),25,0),IF($F20&gt;0,INDEX('計算A'!BX$110:BX$114,$F20+1)+IF(AND($E20=1,LK20=0),1000,0),MIN(TX20,20)*400+(IF('計算A'!BX$106=1,1-FW20,0))*150+14+'計算A'!BX$5*100000+IF(AND($E20=1,LK20=0),50000,0))+IF($H20=1,(IF('計算A'!BX$117=1,INDEX('計算A'!BY$10:BY$54,$B20),0))*4000,0)-IF(AND($L20=1,'計算A'!BX$117=1,FW20=0),2000,0))),1000000))</f>
        <v/>
      </c>
      <c r="RA20">
        <f>IF($B20=0,1000000,IF(INDEX('計算A'!$D$60:$EQ$104,$B20,74)*FW20=1,IF(AND($E20=2,LL20=0),1000000,IF($I20&gt;0,IF(4=$J20,IF(OR(AND(74=$I20+1,OR($K20&lt;&gt;'計算A'!$A$3,'計算A'!$A$4=0)),AND(74=$I20-1,OR(2&lt;&gt;'計算A'!$A$3,'計算A'!$A$4=0))),0,IF(2=$K20,200000,ABS(2-$K20)*100)),100000+ABS(4-$J20)*1000+20)+'計算A'!BY$5*50+IF(AND($E20=1,LL20=0),25,0),IF($F20&gt;0,INDEX('計算A'!BY$110:BY$114,$F20+1)+IF(AND($E20=1,LL20=0),1000,0),MIN(TX20,20)*400+(IF('計算A'!BX$106=1,1-FV20,0)+IF('計算A'!BY$106=1,1-FX20,0))*150+24+'計算A'!BY$5*100000+IF(AND($E20=1,LL20=0),50000,0))+IF($H20=1,(IF('計算A'!BX$117=1,INDEX('計算A'!BX$10:BX$54,$B20),0)+IF('計算A'!BY$117=1,INDEX('計算A'!BZ$10:BZ$54,$B20),0))*4000,0)-IF(AND('計算A'!BX$117=1,WV20&gt;0),2000,0)-IF(AND($L20=1,'計算A'!BY$117=1,FX20=0),2000,0))),1000000))</f>
        <v/>
      </c>
      <c r="RB20">
        <f>IF($B20=0,1000000,IF(INDEX('計算A'!$D$60:$EQ$104,$B20,75)*FX20=1,IF(AND($E20=2,LM20=0),1000000,IF($I20&gt;0,IF(4=$J20,IF(OR(AND(75=$I20+1,OR($K20&lt;&gt;'計算A'!$A$3,'計算A'!$A$4=0)),AND(75=$I20-1,OR(3&lt;&gt;'計算A'!$A$3,'計算A'!$A$4=0))),0,IF(3=$K20,200000,ABS(3-$K20)*100)),100000+ABS(4-$J20)*1000+30)+'計算A'!BZ$5*50+IF(AND($E20=1,LM20=0),25,0),IF($F20&gt;0,INDEX('計算A'!BZ$110:BZ$114,$F20+1)+IF(AND($E20=1,LM20=0),1000,0),MIN(TX20,20)*400+(IF('計算A'!BY$106=1,1-FW20,0)+IF('計算A'!BZ$106=1,1-FY20,0))*150+34+'計算A'!BZ$5*100000+IF(AND($E20=1,LM20=0),50000,0))+IF($H20=1,(IF('計算A'!BY$117=1,INDEX('計算A'!BY$10:BY$54,$B20),0)+IF('計算A'!BZ$117=1,INDEX('計算A'!CA$10:CA$54,$B20),0))*4000,0)-IF(AND('計算A'!BY$117=1,WW20&gt;0),2000,0)-IF(AND($L20=1,'計算A'!BZ$117=1,FY20=0),2000,0))),1000000))</f>
        <v/>
      </c>
      <c r="RC20">
        <f>IF($B20=0,1000000,IF(INDEX('計算A'!$D$60:$EQ$104,$B20,76)*FY20=1,IF(AND($E20=2,LN20=0),1000000,IF($I20&gt;0,IF(4=$J20,IF(OR(AND(76=$I20+1,OR($K20&lt;&gt;'計算A'!$A$3,'計算A'!$A$4=0)),AND(76=$I20-1,OR(4&lt;&gt;'計算A'!$A$3,'計算A'!$A$4=0))),0,IF(4=$K20,200000,ABS(4-$K20)*100)),100000+ABS(4-$J20)*1000+40)+'計算A'!CA$5*50+IF(AND($E20=1,LN20=0),25,0),IF($F20&gt;0,INDEX('計算A'!CA$110:CA$114,$F20+1)+IF(AND($E20=1,LN20=0),1000,0),MIN(TX20,20)*400+(IF('計算A'!BZ$106=1,1-FX20,0)+IF('計算A'!CA$106=1,1-FZ20,0))*150+44+'計算A'!CA$5*100000+IF(AND($E20=1,LN20=0),50000,0))+IF($H20=1,(IF('計算A'!BZ$117=1,INDEX('計算A'!BZ$10:BZ$54,$B20),0)+IF('計算A'!CA$117=1,INDEX('計算A'!CB$10:CB$54,$B20),0))*4000,0)-IF(AND('計算A'!BZ$117=1,WX20&gt;0),2000,0)-IF(AND($L20=1,'計算A'!CA$117=1,FZ20=0),2000,0))),1000000))</f>
        <v/>
      </c>
      <c r="RD20">
        <f>IF($B20=0,1000000,IF(INDEX('計算A'!$D$60:$EQ$104,$B20,77)*FZ20=1,IF(AND($E20=2,LO20=0),1000000,IF($I20&gt;0,IF(4=$J20,IF(OR(AND(77=$I20+1,OR($K20&lt;&gt;'計算A'!$A$3,'計算A'!$A$4=0)),AND(77=$I20-1,OR(5&lt;&gt;'計算A'!$A$3,'計算A'!$A$4=0))),0,IF(5=$K20,200000,ABS(5-$K20)*100)),100000+ABS(4-$J20)*1000+50)+'計算A'!CB$5*50+IF(AND($E20=1,LO20=0),25,0),IF($F20&gt;0,INDEX('計算A'!CB$110:CB$114,$F20+1)+IF(AND($E20=1,LO20=0),1000,0),MIN(TX20,20)*400+(IF('計算A'!CA$106=1,1-FY20,0)+IF('計算A'!CB$106=1,1-GA20,0))*150+54+'計算A'!CB$5*100000+IF(AND($E20=1,LO20=0),50000,0))+IF($H20=1,(IF('計算A'!CA$117=1,INDEX('計算A'!CA$10:CA$54,$B20),0)+IF('計算A'!CB$117=1,INDEX('計算A'!CC$10:CC$54,$B20),0))*4000,0)-IF(AND('計算A'!CA$117=1,WY20&gt;0),2000,0)-IF(AND($L20=1,'計算A'!CB$117=1,GA20=0),2000,0))),1000000))</f>
        <v/>
      </c>
      <c r="RE20">
        <f>IF($B20=0,1000000,IF(INDEX('計算A'!$D$60:$EQ$104,$B20,78)*GA20=1,IF(AND($E20=2,LP20=0),1000000,IF($I20&gt;0,IF(4=$J20,IF(OR(AND(78=$I20+1,OR($K20&lt;&gt;'計算A'!$A$3,'計算A'!$A$4=0)),AND(78=$I20-1,OR(6&lt;&gt;'計算A'!$A$3,'計算A'!$A$4=0))),0,IF(6=$K20,200000,ABS(6-$K20)*100)),100000+ABS(4-$J20)*1000+60)+'計算A'!CC$5*50+IF(AND($E20=1,LP20=0),25,0),IF($F20&gt;0,INDEX('計算A'!CC$110:CC$114,$F20+1)+IF(AND($E20=1,LP20=0),1000,0),MIN(TX20,20)*400+(IF('計算A'!CB$106=1,1-FZ20,0)+IF('計算A'!CC$106=1,1-GB20,0))*150+64+'計算A'!CC$5*100000+IF(AND($E20=1,LP20=0),50000,0))+IF($H20=1,(IF('計算A'!CB$117=1,INDEX('計算A'!CB$10:CB$54,$B20),0)+IF('計算A'!CC$117=1,INDEX('計算A'!CD$10:CD$54,$B20),0))*4000,0)-IF(AND('計算A'!CB$117=1,WZ20&gt;0),2000,0)-IF(AND($L20=1,'計算A'!CC$117=1,GB20=0),2000,0))),1000000))</f>
        <v/>
      </c>
      <c r="RF20">
        <f>IF($B20=0,1000000,IF(INDEX('計算A'!$D$60:$EQ$104,$B20,79)*GB20=1,IF(AND($E20=2,LQ20=0),1000000,IF($I20&gt;0,IF(4=$J20,IF(OR(AND(79=$I20+1,OR($K20&lt;&gt;'計算A'!$A$3,'計算A'!$A$4=0)),AND(79=$I20-1,OR(7&lt;&gt;'計算A'!$A$3,'計算A'!$A$4=0))),0,IF(7=$K20,200000,ABS(7-$K20)*100)),100000+ABS(4-$J20)*1000+70)+'計算A'!CD$5*50+IF(AND($E20=1,LQ20=0),25,0),IF($F20&gt;0,INDEX('計算A'!CD$110:CD$114,$F20+1)+IF(AND($E20=1,LQ20=0),1000,0),MIN(TX20,20)*400+(IF('計算A'!CC$106=1,1-GA20,0)+IF('計算A'!CD$106=1,1-GC20,0))*150+74+'計算A'!CD$5*100000+IF(AND($E20=1,LQ20=0),50000,0))+IF($H20=1,(IF('計算A'!CC$117=1,INDEX('計算A'!CC$10:CC$54,$B20),0)+IF('計算A'!CD$117=1,INDEX('計算A'!CE$10:CE$54,$B20),0))*4000,0)-IF(AND('計算A'!CC$117=1,XA20&gt;0),2000,0)-IF(AND($L20=1,'計算A'!CD$117=1,GC20=0),2000,0))),1000000))</f>
        <v/>
      </c>
      <c r="RG20">
        <f>IF($B20=0,1000000,IF(INDEX('計算A'!$D$60:$EQ$104,$B20,80)*GC20=1,IF(AND($E20=2,LR20=0),1000000,IF($I20&gt;0,IF(4=$J20,IF(OR(AND(80=$I20+1,OR($K20&lt;&gt;'計算A'!$A$3,'計算A'!$A$4=0)),AND(80=$I20-1,OR(8&lt;&gt;'計算A'!$A$3,'計算A'!$A$4=0))),0,IF(8=$K20,200000,ABS(8-$K20)*100)),100000+ABS(4-$J20)*1000+80)+'計算A'!CE$5*50+IF(AND($E20=1,LR20=0),25,0),IF($F20&gt;0,INDEX('計算A'!CE$110:CE$114,$F20+1)+IF(AND($E20=1,LR20=0),1000,0),MIN(TX20,20)*400+(IF('計算A'!CD$106=1,1-GB20,0)+IF('計算A'!CE$106=1,1-GD20,0))*150+84+'計算A'!CE$5*100000+IF(AND($E20=1,LR20=0),50000,0))+IF($H20=1,(IF('計算A'!CD$117=1,INDEX('計算A'!CD$10:CD$54,$B20),0)+IF('計算A'!CE$117=1,INDEX('計算A'!CF$10:CF$54,$B20),0))*4000,0)-IF(AND('計算A'!CD$117=1,XB20&gt;0),2000,0)-IF(AND($L20=1,'計算A'!CE$117=1,GD20=0),2000,0))),1000000))</f>
        <v/>
      </c>
      <c r="RH20">
        <f>IF($B20=0,1000000,IF(INDEX('計算A'!$D$60:$EQ$104,$B20,81)*GD20=1,IF(AND($E20=2,LS20=0),1000000,IF($I20&gt;0,IF(4=$J20,IF(OR(AND(81=$I20+1,OR($K20&lt;&gt;'計算A'!$A$3,'計算A'!$A$4=0)),AND(81=$I20-1,OR(9&lt;&gt;'計算A'!$A$3,'計算A'!$A$4=0))),0,IF(9=$K20,200000,ABS(9-$K20)*100)),100000+ABS(4-$J20)*1000+90)+'計算A'!CF$5*50+IF(AND($E20=1,LS20=0),25,0),IF($F20&gt;0,INDEX('計算A'!CF$110:CF$114,$F20+1)+IF(AND($E20=1,LS20=0),1000,0),MIN(TX20,20)*400+(IF('計算A'!CE$106=1,1-GC20,0)+IF('計算A'!CF$106=1,1-GE20,0))*150+94+'計算A'!CF$5*100000+IF(AND($E20=1,LS20=0),50000,0))+IF($H20=1,(IF('計算A'!CE$117=1,INDEX('計算A'!CE$10:CE$54,$B20),0)+IF('計算A'!CF$117=1,INDEX('計算A'!CG$10:CG$54,$B20),0))*4000,0)-IF(AND('計算A'!CE$117=1,XC20&gt;0),2000,0)-IF(AND($L20=1,'計算A'!CF$117=1,GE20=0),2000,0))),1000000))</f>
        <v/>
      </c>
      <c r="RI20">
        <f>IF($B20=0,1000000,IF(INDEX('計算A'!$D$60:$EQ$104,$B20,82)*GE20=1,IF(AND($E20=2,LT20=0),1000000,IF($I20&gt;0,IF(4=$J20,IF(OR(AND(82=$I20+1,OR($K20&lt;&gt;'計算A'!$A$3,'計算A'!$A$4=0)),AND(82=$I20-1,OR(10&lt;&gt;'計算A'!$A$3,'計算A'!$A$4=0))),0,IF(10=$K20,200000,ABS(10-$K20)*100)),100000+ABS(4-$J20)*1000+100)+'計算A'!CG$5*50+IF(AND($E20=1,LT20=0),25,0),IF($F20&gt;0,INDEX('計算A'!CG$110:CG$114,$F20+1)+IF(AND($E20=1,LT20=0),1000,0),MIN(TX20,20)*400+(IF('計算A'!CF$106=1,1-GD20,0)+IF('計算A'!CG$106=1,1-GF20,0))*150+104+'計算A'!CG$5*100000+IF(AND($E20=1,LT20=0),50000,0))+IF($H20=1,(IF('計算A'!CF$117=1,INDEX('計算A'!CF$10:CF$54,$B20),0)+IF('計算A'!CG$117=1,INDEX('計算A'!CH$10:CH$54,$B20),0))*4000,0)-IF(AND('計算A'!CF$117=1,XD20&gt;0),2000,0)-IF(AND($L20=1,'計算A'!CG$117=1,GF20=0),2000,0))),1000000))</f>
        <v/>
      </c>
      <c r="RJ20">
        <f>IF($B20=0,1000000,IF(INDEX('計算A'!$D$60:$EQ$104,$B20,83)*GF20=1,IF(AND($E20=2,LU20=0),1000000,IF($I20&gt;0,IF(4=$J20,IF(OR(AND(83=$I20+1,OR($K20&lt;&gt;'計算A'!$A$3,'計算A'!$A$4=0)),AND(83=$I20-1,OR(11&lt;&gt;'計算A'!$A$3,'計算A'!$A$4=0))),0,IF(11=$K20,200000,ABS(11-$K20)*100)),100000+ABS(4-$J20)*1000+110)+'計算A'!CH$5*50+IF(AND($E20=1,LU20=0),25,0),IF($F20&gt;0,INDEX('計算A'!CH$110:CH$114,$F20+1)+IF(AND($E20=1,LU20=0),1000,0),MIN(TX20,20)*400+(IF('計算A'!CG$106=1,1-GE20,0)+IF('計算A'!CH$106=1,1-GG20,0))*150+114+'計算A'!CH$5*100000+IF(AND($E20=1,LU20=0),50000,0))+IF($H20=1,(IF('計算A'!CG$117=1,INDEX('計算A'!CG$10:CG$54,$B20),0)+IF('計算A'!CH$117=1,INDEX('計算A'!CI$10:CI$54,$B20),0))*4000,0)-IF(AND('計算A'!CG$117=1,XE20&gt;0),2000,0)-IF(AND($L20=1,'計算A'!CH$117=1,GG20=0),2000,0))),1000000))</f>
        <v/>
      </c>
      <c r="RK20">
        <f>IF($B20=0,1000000,IF(INDEX('計算A'!$D$60:$EQ$104,$B20,84)*GG20=1,IF(AND($E20=2,LV20=0),1000000,IF($I20&gt;0,IF(4=$J20,IF(OR(AND(84=$I20+1,OR($K20&lt;&gt;'計算A'!$A$3,'計算A'!$A$4=0)),AND(84=$I20-1,OR(12&lt;&gt;'計算A'!$A$3,'計算A'!$A$4=0))),0,IF(12=$K20,200000,ABS(12-$K20)*100)),100000+ABS(4-$J20)*1000+120)+'計算A'!CI$5*50+IF(AND($E20=1,LV20=0),25,0),IF($F20&gt;0,INDEX('計算A'!CI$110:CI$114,$F20+1)+IF(AND($E20=1,LV20=0),1000,0),MIN(TX20,20)*400+(IF('計算A'!CH$106=1,1-GF20,0)+IF('計算A'!CI$106=1,1-GH20,0))*150+124+'計算A'!CI$5*100000+IF(AND($E20=1,LV20=0),50000,0))+IF($H20=1,(IF('計算A'!CH$117=1,INDEX('計算A'!CH$10:CH$54,$B20),0)+IF('計算A'!CI$117=1,INDEX('計算A'!CJ$10:CJ$54,$B20),0))*4000,0)-IF(AND('計算A'!CH$117=1,XF20&gt;0),2000,0)-IF(AND($L20=1,'計算A'!CI$117=1,GH20=0),2000,0))),1000000))</f>
        <v/>
      </c>
      <c r="RL20">
        <f>IF($B20=0,1000000,IF(INDEX('計算A'!$D$60:$EQ$104,$B20,85)*GH20=1,IF(AND($E20=2,LW20=0),1000000,IF($I20&gt;0,IF(4=$J20,IF(OR(AND(85=$I20+1,OR($K20&lt;&gt;'計算A'!$A$3,'計算A'!$A$4=0)),AND(85=$I20-1,OR(13&lt;&gt;'計算A'!$A$3,'計算A'!$A$4=0))),0,IF(13=$K20,200000,ABS(13-$K20)*100)),100000+ABS(4-$J20)*1000+130)+'計算A'!CJ$5*50+IF(AND($E20=1,LW20=0),25,0),IF($F20&gt;0,INDEX('計算A'!CJ$110:CJ$114,$F20+1)+IF(AND($E20=1,LW20=0),1000,0),MIN(TX20,20)*400+(IF('計算A'!CI$106=1,1-GG20,0)+IF('計算A'!CJ$106=1,1-GI20,0))*150+134+'計算A'!CJ$5*100000+IF(AND($E20=1,LW20=0),50000,0))+IF($H20=1,(IF('計算A'!CI$117=1,INDEX('計算A'!CI$10:CI$54,$B20),0)+IF('計算A'!CJ$117=1,INDEX('計算A'!CK$10:CK$54,$B20),0))*4000,0)-IF(AND('計算A'!CI$117=1,XG20&gt;0),2000,0)-IF(AND($L20=1,'計算A'!CJ$117=1,GI20=0),2000,0))),1000000))</f>
        <v/>
      </c>
      <c r="RM20">
        <f>IF($B20=0,1000000,IF(INDEX('計算A'!$D$60:$EQ$104,$B20,86)*GI20=1,IF(AND($E20=2,LX20=0),1000000,IF($I20&gt;0,IF(4=$J20,IF(OR(AND(86=$I20+1,OR($K20&lt;&gt;'計算A'!$A$3,'計算A'!$A$4=0)),AND(86=$I20-1,OR(14&lt;&gt;'計算A'!$A$3,'計算A'!$A$4=0))),0,IF(14=$K20,200000,ABS(14-$K20)*100)),100000+ABS(4-$J20)*1000+140)+'計算A'!CK$5*50+IF(AND($E20=1,LX20=0),25,0),IF($F20&gt;0,INDEX('計算A'!CK$110:CK$114,$F20+1)+IF(AND($E20=1,LX20=0),1000,0),MIN(TX20,20)*400+(IF('計算A'!CJ$106=1,1-GH20,0)+IF('計算A'!CK$106=1,1-GJ20,0))*150+144+'計算A'!CK$5*100000+IF(AND($E20=1,LX20=0),50000,0))+IF($H20=1,(IF('計算A'!CJ$117=1,INDEX('計算A'!CJ$10:CJ$54,$B20),0)+IF('計算A'!CK$117=1,INDEX('計算A'!CL$10:CL$54,$B20),0))*4000,0)-IF(AND('計算A'!CJ$117=1,XH20&gt;0),2000,0)-IF(AND($L20=1,'計算A'!CK$117=1,GJ20=0),2000,0))),1000000))</f>
        <v/>
      </c>
      <c r="RN20">
        <f>IF($B20=0,1000000,IF(INDEX('計算A'!$D$60:$EQ$104,$B20,87)*GJ20=1,IF(AND($E20=2,LY20=0),1000000,IF($I20&gt;0,IF(4=$J20,IF(OR(AND(87=$I20+1,OR($K20&lt;&gt;'計算A'!$A$3,'計算A'!$A$4=0)),AND(87=$I20-1,OR(15&lt;&gt;'計算A'!$A$3,'計算A'!$A$4=0))),0,IF(15=$K20,200000,ABS(15-$K20)*100)),100000+ABS(4-$J20)*1000+150)+'計算A'!CL$5*50+IF(AND($E20=1,LY20=0),25,0),IF($F20&gt;0,INDEX('計算A'!CL$110:CL$114,$F20+1)+IF(AND($E20=1,LY20=0),1000,0),MIN(TX20,20)*400+(IF('計算A'!CK$106=1,1-GI20,0)+IF('計算A'!CL$106=1,1-GK20,0))*150+154+'計算A'!CL$5*100000+IF(AND($E20=1,LY20=0),50000,0))+IF($H20=1,(IF('計算A'!CK$117=1,INDEX('計算A'!CK$10:CK$54,$B20),0)+IF('計算A'!CL$117=1,INDEX('計算A'!CM$10:CM$54,$B20),0))*4000,0)-IF(AND('計算A'!CK$117=1,XI20&gt;0),2000,0)-IF(AND($L20=1,'計算A'!CL$117=1,GK20=0),2000,0))),1000000))</f>
        <v/>
      </c>
      <c r="RO20">
        <f>IF($B20=0,1000000,IF(INDEX('計算A'!$D$60:$EQ$104,$B20,88)*GK20=1,IF(AND($E20=2,LZ20=0),1000000,IF($I20&gt;0,IF(4=$J20,IF(OR(AND(88=$I20+1,OR($K20&lt;&gt;'計算A'!$A$3,'計算A'!$A$4=0)),AND(88=$I20-1,OR(16&lt;&gt;'計算A'!$A$3,'計算A'!$A$4=0))),0,IF(16=$K20,200000,ABS(16-$K20)*100)),100000+ABS(4-$J20)*1000+160)+'計算A'!CM$5*50+IF(AND($E20=1,LZ20=0),25,0),IF($F20&gt;0,INDEX('計算A'!CM$110:CM$114,$F20+1)+IF(AND($E20=1,LZ20=0),1000,0),MIN(TX20,20)*400+(IF('計算A'!CL$106=1,1-GJ20,0)+IF('計算A'!CM$106=1,1-GL20,0))*150+164+'計算A'!CM$5*100000+IF(AND($E20=1,LZ20=0),50000,0))+IF($H20=1,(IF('計算A'!CL$117=1,INDEX('計算A'!CL$10:CL$54,$B20),0)+IF('計算A'!CM$117=1,INDEX('計算A'!CN$10:CN$54,$B20),0))*4000,0)-IF(AND('計算A'!CL$117=1,XJ20&gt;0),2000,0)-IF(AND($L20=1,'計算A'!CM$117=1,GL20=0),2000,0))),1000000))</f>
        <v/>
      </c>
      <c r="RP20">
        <f>IF($B20=0,1000000,IF(INDEX('計算A'!$D$60:$EQ$104,$B20,89)*GL20=1,IF(AND($E20=2,MA20=0),1000000,IF($I20&gt;0,IF(4=$J20,IF(OR(AND(89=$I20+1,OR($K20&lt;&gt;'計算A'!$A$3,'計算A'!$A$4=0)),AND(89=$I20-1,OR(17&lt;&gt;'計算A'!$A$3,'計算A'!$A$4=0))),0,IF(17=$K20,200000,ABS(17-$K20)*100)),100000+ABS(4-$J20)*1000+170)+'計算A'!CN$5*50+IF(AND($E20=1,MA20=0),25,0),IF($F20&gt;0,INDEX('計算A'!CN$110:CN$114,$F20+1)+IF(AND($E20=1,MA20=0),1000,0),MIN(TX20,20)*400+(IF('計算A'!CM$106=1,1-GK20,0)+IF('計算A'!CN$106=1,1-GM20,0))*150+174+'計算A'!CN$5*100000+IF(AND($E20=1,MA20=0),50000,0))+IF($H20=1,(IF('計算A'!CM$117=1,INDEX('計算A'!CM$10:CM$54,$B20),0)+IF('計算A'!CN$117=1,INDEX('計算A'!CO$10:CO$54,$B20),0))*4000,0)-IF(AND('計算A'!CM$117=1,XK20&gt;0),2000,0)-IF(AND($L20=1,'計算A'!CN$117=1,GM20=0),2000,0))),1000000))</f>
        <v/>
      </c>
      <c r="RQ20">
        <f>IF($B20=0,1000000,IF(INDEX('計算A'!$D$60:$EQ$104,$B20,90)*GM20=1,IF(AND($E20=2,MB20=0),1000000,IF($I20&gt;0,IF(4=$J20,IF(OR(AND(90=$I20+1,OR($K20&lt;&gt;'計算A'!$A$3,'計算A'!$A$4=0)),AND(90=$I20-1,OR(18&lt;&gt;'計算A'!$A$3,'計算A'!$A$4=0))),0,IF(18=$K20,200000,ABS(18-$K20)*100)),100000+ABS(4-$J20)*1000+180)+'計算A'!CO$5*50+IF(AND($E20=1,MB20=0),25,0),IF($F20&gt;0,INDEX('計算A'!CO$110:CO$114,$F20+1)+IF(AND($E20=1,MB20=0),1000,0),MIN(TX20,20)*400+(IF('計算A'!CN$106=1,1-GL20,0)+IF('計算A'!CO$106=1,1-GN20,0))*150+184+'計算A'!CO$5*100000+IF(AND($E20=1,MB20=0),50000,0))+IF($H20=1,(IF('計算A'!CN$117=1,INDEX('計算A'!CN$10:CN$54,$B20),0)+IF('計算A'!CO$117=1,INDEX('計算A'!CP$10:CP$54,$B20),0))*4000,0)-IF(AND('計算A'!CN$117=1,XL20&gt;0),2000,0)-IF(AND($L20=1,'計算A'!CO$117=1,GN20=0),2000,0))),1000000))</f>
        <v/>
      </c>
      <c r="RR20">
        <f>IF($B20=0,1000000,IF(INDEX('計算A'!$D$60:$EQ$104,$B20,91)*GN20=1,IF(AND($E20=2,MC20=0),1000000,IF($I20&gt;0,IF(4=$J20,IF(OR(AND(91=$I20+1,OR($K20&lt;&gt;'計算A'!$A$3,'計算A'!$A$4=0)),AND(91=$I20-1,OR(19&lt;&gt;'計算A'!$A$3,'計算A'!$A$4=0))),0,IF(19=$K20,200000,ABS(19-$K20)*100)),100000+ABS(4-$J20)*1000+190)+'計算A'!CP$5*50+IF(AND($E20=1,MC20=0),25,0),IF($F20&gt;0,INDEX('計算A'!CP$110:CP$114,$F20+1)+IF(AND($E20=1,MC20=0),1000,0),MIN(TX20,20)*400+(IF('計算A'!CO$106=1,1-GM20,0)+IF('計算A'!CP$106=1,1-GO20,0))*150+194+'計算A'!CP$5*100000+IF(AND($E20=1,MC20=0),50000,0))+IF($H20=1,(IF('計算A'!CO$117=1,INDEX('計算A'!CO$10:CO$54,$B20),0)+IF('計算A'!CP$117=1,INDEX('計算A'!CQ$10:CQ$54,$B20),0))*4000,0)-IF(AND('計算A'!CO$117=1,XM20&gt;0),2000,0)-IF(AND($L20=1,'計算A'!CP$117=1,GO20=0),2000,0))),1000000))</f>
        <v/>
      </c>
      <c r="RS20">
        <f>IF($B20=0,1000000,IF(INDEX('計算A'!$D$60:$EQ$104,$B20,92)*GO20=1,IF(AND($E20=2,MD20=0),1000000,IF($I20&gt;0,IF(4=$J20,IF(OR(AND(92=$I20+1,OR($K20&lt;&gt;'計算A'!$A$3,'計算A'!$A$4=0)),AND(92=$I20-1,OR(20&lt;&gt;'計算A'!$A$3,'計算A'!$A$4=0))),0,IF(20=$K20,200000,ABS(20-$K20)*100)),100000+ABS(4-$J20)*1000+200)+'計算A'!CQ$5*50+IF(AND($E20=1,MD20=0),25,0),IF($F20&gt;0,INDEX('計算A'!CQ$110:CQ$114,$F20+1)+IF(AND($E20=1,MD20=0),1000,0),MIN(TX20,20)*400+(IF('計算A'!CP$106=1,1-GN20,0)+IF('計算A'!CQ$106=1,1-GP20,0))*150+204+'計算A'!CQ$5*100000+IF(AND($E20=1,MD20=0),50000,0))+IF($H20=1,(IF('計算A'!CP$117=1,INDEX('計算A'!CP$10:CP$54,$B20),0)+IF('計算A'!CQ$117=1,INDEX('計算A'!CR$10:CR$54,$B20),0))*4000,0)-IF(AND('計算A'!CP$117=1,XN20&gt;0),2000,0)-IF(AND($L20=1,'計算A'!CQ$117=1,GP20=0),2000,0))),1000000))</f>
        <v/>
      </c>
      <c r="RT20">
        <f>IF($B20=0,1000000,IF(INDEX('計算A'!$D$60:$EQ$104,$B20,93)*GP20=1,IF(AND($E20=2,ME20=0),1000000,IF($I20&gt;0,IF(4=$J20,IF(OR(AND(93=$I20+1,OR($K20&lt;&gt;'計算A'!$A$3,'計算A'!$A$4=0)),AND(93=$I20-1,OR(21&lt;&gt;'計算A'!$A$3,'計算A'!$A$4=0))),0,IF(21=$K20,200000,ABS(21-$K20)*100)),100000+ABS(4-$J20)*1000+210)+'計算A'!CR$5*50+IF(AND($E20=1,ME20=0),25,0),IF($F20&gt;0,INDEX('計算A'!CR$110:CR$114,$F20+1)+IF(AND($E20=1,ME20=0),1000,0),MIN(TX20,20)*400+(IF('計算A'!CQ$106=1,1-GO20,0)+IF('計算A'!CR$106=1,1-GQ20,0))*150+214+'計算A'!CR$5*100000+IF(AND($E20=1,ME20=0),50000,0))+IF($H20=1,(IF('計算A'!CQ$117=1,INDEX('計算A'!CQ$10:CQ$54,$B20),0)+IF('計算A'!CR$117=1,INDEX('計算A'!CS$10:CS$54,$B20),0))*4000,0)-IF(AND('計算A'!CQ$117=1,XO20&gt;0),2000,0)-IF(AND($L20=1,'計算A'!CR$117=1,GQ20=0),2000,0))),1000000))</f>
        <v/>
      </c>
      <c r="RU20">
        <f>IF($B20=0,1000000,IF(INDEX('計算A'!$D$60:$EQ$104,$B20,94)*GQ20=1,IF(AND($E20=2,MF20=0),1000000,IF($I20&gt;0,IF(4=$J20,IF(OR(AND(94=$I20+1,OR($K20&lt;&gt;'計算A'!$A$3,'計算A'!$A$4=0)),AND(94=$I20-1,OR(22&lt;&gt;'計算A'!$A$3,'計算A'!$A$4=0))),0,IF(22=$K20,200000,ABS(22-$K20)*100)),100000+ABS(4-$J20)*1000+220)+'計算A'!CS$5*50+IF(AND($E20=1,MF20=0),25,0),IF($F20&gt;0,INDEX('計算A'!CS$110:CS$114,$F20+1)+IF(AND($E20=1,MF20=0),1000,0),MIN(TX20,20)*400+(IF('計算A'!CR$106=1,1-GP20,0)+IF('計算A'!CS$106=1,1-GR20,0))*150+224+'計算A'!CS$5*100000+IF(AND($E20=1,MF20=0),50000,0))+IF($H20=1,(IF('計算A'!CR$117=1,INDEX('計算A'!CR$10:CR$54,$B20),0)+IF('計算A'!CS$117=1,INDEX('計算A'!CT$10:CT$54,$B20),0))*4000,0)-IF(AND('計算A'!CR$117=1,XP20&gt;0),2000,0)-IF(AND($L20=1,'計算A'!CS$117=1,GR20=0),2000,0))),1000000))</f>
        <v/>
      </c>
      <c r="RV20">
        <f>IF($B20=0,1000000,IF(INDEX('計算A'!$D$60:$EQ$104,$B20,95)*GR20=1,IF(AND($E20=2,MG20=0),1000000,IF($I20&gt;0,IF(4=$J20,IF(OR(AND(95=$I20+1,OR($K20&lt;&gt;'計算A'!$A$3,'計算A'!$A$4=0)),AND(95=$I20-1,OR(23&lt;&gt;'計算A'!$A$3,'計算A'!$A$4=0))),0,IF(23=$K20,200000,ABS(23-$K20)*100)),100000+ABS(4-$J20)*1000+230)+'計算A'!CT$5*50+IF(AND($E20=1,MG20=0),25,0),IF($F20&gt;0,INDEX('計算A'!CT$110:CT$114,$F20+1)+IF(AND($E20=1,MG20=0),1000,0),MIN(TX20,20)*400+(IF('計算A'!CS$106=1,1-GQ20,0)+IF('計算A'!CT$106=1,1-GS20,0))*150+234+'計算A'!CT$5*100000+IF(AND($E20=1,MG20=0),50000,0))+IF($H20=1,(IF('計算A'!CS$117=1,INDEX('計算A'!CS$10:CS$54,$B20),0)+IF('計算A'!CT$117=1,INDEX('計算A'!CU$10:CU$54,$B20),0))*4000,0)-IF(AND('計算A'!CS$117=1,XQ20&gt;0),2000,0)-IF(AND($L20=1,'計算A'!CT$117=1,GS20=0),2000,0))),1000000))</f>
        <v/>
      </c>
      <c r="RW20">
        <f>IF($B20=0,1000000,IF(INDEX('計算A'!$D$60:$EQ$104,$B20,96)*GS20=1,IF(AND($E20=2,MH20=0),1000000,IF($I20&gt;0,IF(4=$J20,IF(OR(AND(96=$I20+1,OR($K20&lt;&gt;'計算A'!$A$3,'計算A'!$A$4=0)),AND(96=$I20-1,OR(24&lt;&gt;'計算A'!$A$3,'計算A'!$A$4=0))),0,IF(24=$K20,200000,ABS(24-$K20)*100)),100000+ABS(4-$J20)*1000+240)+'計算A'!CU$5*50+IF(AND($E20=1,MH20=0),25,0),IF($F20&gt;0,INDEX('計算A'!CU$110:CU$114,$F20+1)+IF(AND($E20=1,MH20=0),1000,0),MIN(TX20,20)*400+(IF('計算A'!CT$106=1,1-GR20,0))*150+244+'計算A'!CU$5*100000+IF(AND($E20=1,MH20=0),50000,0))+IF($H20=1,(IF('計算A'!CT$117=1,INDEX('計算A'!CT$10:CT$54,$B20),0))*4000,0)-IF(AND('計算A'!CT$117=1,XR20&gt;0),2000,0))),1000000))</f>
        <v/>
      </c>
      <c r="RX20">
        <f>IF($B20=0,1000000,IF(INDEX('計算A'!$D$60:$EQ$104,$B20,97)*GT20=1,IF(AND($E20=2,MI20=0),1000000,IF($I20&gt;0,IF(5=$J20,IF(OR(AND(97=$I20+1,OR($K20&lt;&gt;'計算A'!$A$3,'計算A'!$A$4=0)),AND(97=$I20-1,OR(1&lt;&gt;'計算A'!$A$3,'計算A'!$A$4=0))),0,IF(1=$K20,200000,ABS(1-$K20)*100)),100000+ABS(5-$J20)*1000+10)+'計算A'!CV$5*50+IF(AND($E20=1,MI20=0),25,0),IF($F20&gt;0,INDEX('計算A'!CV$110:CV$114,$F20+1)+IF(AND($E20=1,MI20=0),1000,0),MIN(TY20,20)*400+(IF('計算A'!CV$106=1,1-GU20,0))*150+15+'計算A'!CV$5*100000+IF(AND($E20=1,MI20=0),50000,0))+IF($H20=1,(IF('計算A'!CV$117=1,INDEX('計算A'!CW$10:CW$54,$B20),0))*4000,0)-IF(AND($L20=1,'計算A'!CV$117=1,GU20=0),2000,0))),1000000))</f>
        <v/>
      </c>
      <c r="RY20">
        <f>IF($B20=0,1000000,IF(INDEX('計算A'!$D$60:$EQ$104,$B20,98)*GU20=1,IF(AND($E20=2,MJ20=0),1000000,IF($I20&gt;0,IF(5=$J20,IF(OR(AND(98=$I20+1,OR($K20&lt;&gt;'計算A'!$A$3,'計算A'!$A$4=0)),AND(98=$I20-1,OR(2&lt;&gt;'計算A'!$A$3,'計算A'!$A$4=0))),0,IF(2=$K20,200000,ABS(2-$K20)*100)),100000+ABS(5-$J20)*1000+20)+'計算A'!CW$5*50+IF(AND($E20=1,MJ20=0),25,0),IF($F20&gt;0,INDEX('計算A'!CW$110:CW$114,$F20+1)+IF(AND($E20=1,MJ20=0),1000,0),MIN(TY20,20)*400+(IF('計算A'!CV$106=1,1-GT20,0)+IF('計算A'!CW$106=1,1-GV20,0))*150+25+'計算A'!CW$5*100000+IF(AND($E20=1,MJ20=0),50000,0))+IF($H20=1,(IF('計算A'!CV$117=1,INDEX('計算A'!CV$10:CV$54,$B20),0)+IF('計算A'!CW$117=1,INDEX('計算A'!CX$10:CX$54,$B20),0))*4000,0)-IF(AND('計算A'!CV$117=1,XT20&gt;0),2000,0)-IF(AND($L20=1,'計算A'!CW$117=1,GV20=0),2000,0))),1000000))</f>
        <v/>
      </c>
      <c r="RZ20">
        <f>IF($B20=0,1000000,IF(INDEX('計算A'!$D$60:$EQ$104,$B20,99)*GV20=1,IF(AND($E20=2,MK20=0),1000000,IF($I20&gt;0,IF(5=$J20,IF(OR(AND(99=$I20+1,OR($K20&lt;&gt;'計算A'!$A$3,'計算A'!$A$4=0)),AND(99=$I20-1,OR(3&lt;&gt;'計算A'!$A$3,'計算A'!$A$4=0))),0,IF(3=$K20,200000,ABS(3-$K20)*100)),100000+ABS(5-$J20)*1000+30)+'計算A'!CX$5*50+IF(AND($E20=1,MK20=0),25,0),IF($F20&gt;0,INDEX('計算A'!CX$110:CX$114,$F20+1)+IF(AND($E20=1,MK20=0),1000,0),MIN(TY20,20)*400+(IF('計算A'!CW$106=1,1-GU20,0)+IF('計算A'!CX$106=1,1-GW20,0))*150+35+'計算A'!CX$5*100000+IF(AND($E20=1,MK20=0),50000,0))+IF($H20=1,(IF('計算A'!CW$117=1,INDEX('計算A'!CW$10:CW$54,$B20),0)+IF('計算A'!CX$117=1,INDEX('計算A'!CY$10:CY$54,$B20),0))*4000,0)-IF(AND('計算A'!CW$117=1,XU20&gt;0),2000,0)-IF(AND($L20=1,'計算A'!CX$117=1,GW20=0),2000,0))),1000000))</f>
        <v/>
      </c>
      <c r="SA20">
        <f>IF($B20=0,1000000,IF(INDEX('計算A'!$D$60:$EQ$104,$B20,100)*GW20=1,IF(AND($E20=2,ML20=0),1000000,IF($I20&gt;0,IF(5=$J20,IF(OR(AND(100=$I20+1,OR($K20&lt;&gt;'計算A'!$A$3,'計算A'!$A$4=0)),AND(100=$I20-1,OR(4&lt;&gt;'計算A'!$A$3,'計算A'!$A$4=0))),0,IF(4=$K20,200000,ABS(4-$K20)*100)),100000+ABS(5-$J20)*1000+40)+'計算A'!CY$5*50+IF(AND($E20=1,ML20=0),25,0),IF($F20&gt;0,INDEX('計算A'!CY$110:CY$114,$F20+1)+IF(AND($E20=1,ML20=0),1000,0),MIN(TY20,20)*400+(IF('計算A'!CX$106=1,1-GV20,0)+IF('計算A'!CY$106=1,1-GX20,0))*150+45+'計算A'!CY$5*100000+IF(AND($E20=1,ML20=0),50000,0))+IF($H20=1,(IF('計算A'!CX$117=1,INDEX('計算A'!CX$10:CX$54,$B20),0)+IF('計算A'!CY$117=1,INDEX('計算A'!CZ$10:CZ$54,$B20),0))*4000,0)-IF(AND('計算A'!CX$117=1,XV20&gt;0),2000,0)-IF(AND($L20=1,'計算A'!CY$117=1,GX20=0),2000,0))),1000000))</f>
        <v/>
      </c>
      <c r="SB20">
        <f>IF($B20=0,1000000,IF(INDEX('計算A'!$D$60:$EQ$104,$B20,101)*GX20=1,IF(AND($E20=2,MM20=0),1000000,IF($I20&gt;0,IF(5=$J20,IF(OR(AND(101=$I20+1,OR($K20&lt;&gt;'計算A'!$A$3,'計算A'!$A$4=0)),AND(101=$I20-1,OR(5&lt;&gt;'計算A'!$A$3,'計算A'!$A$4=0))),0,IF(5=$K20,200000,ABS(5-$K20)*100)),100000+ABS(5-$J20)*1000+50)+'計算A'!CZ$5*50+IF(AND($E20=1,MM20=0),25,0),IF($F20&gt;0,INDEX('計算A'!CZ$110:CZ$114,$F20+1)+IF(AND($E20=1,MM20=0),1000,0),MIN(TY20,20)*400+(IF('計算A'!CY$106=1,1-GW20,0)+IF('計算A'!CZ$106=1,1-GY20,0))*150+55+'計算A'!CZ$5*100000+IF(AND($E20=1,MM20=0),50000,0))+IF($H20=1,(IF('計算A'!CY$117=1,INDEX('計算A'!CY$10:CY$54,$B20),0)+IF('計算A'!CZ$117=1,INDEX('計算A'!DA$10:DA$54,$B20),0))*4000,0)-IF(AND('計算A'!CY$117=1,XW20&gt;0),2000,0)-IF(AND($L20=1,'計算A'!CZ$117=1,GY20=0),2000,0))),1000000))</f>
        <v/>
      </c>
      <c r="SC20">
        <f>IF($B20=0,1000000,IF(INDEX('計算A'!$D$60:$EQ$104,$B20,102)*GY20=1,IF(AND($E20=2,MN20=0),1000000,IF($I20&gt;0,IF(5=$J20,IF(OR(AND(102=$I20+1,OR($K20&lt;&gt;'計算A'!$A$3,'計算A'!$A$4=0)),AND(102=$I20-1,OR(6&lt;&gt;'計算A'!$A$3,'計算A'!$A$4=0))),0,IF(6=$K20,200000,ABS(6-$K20)*100)),100000+ABS(5-$J20)*1000+60)+'計算A'!DA$5*50+IF(AND($E20=1,MN20=0),25,0),IF($F20&gt;0,INDEX('計算A'!DA$110:DA$114,$F20+1)+IF(AND($E20=1,MN20=0),1000,0),MIN(TY20,20)*400+(IF('計算A'!CZ$106=1,1-GX20,0)+IF('計算A'!DA$106=1,1-GZ20,0))*150+65+'計算A'!DA$5*100000+IF(AND($E20=1,MN20=0),50000,0))+IF($H20=1,(IF('計算A'!CZ$117=1,INDEX('計算A'!CZ$10:CZ$54,$B20),0)+IF('計算A'!DA$117=1,INDEX('計算A'!DB$10:DB$54,$B20),0))*4000,0)-IF(AND('計算A'!CZ$117=1,XX20&gt;0),2000,0)-IF(AND($L20=1,'計算A'!DA$117=1,GZ20=0),2000,0))),1000000))</f>
        <v/>
      </c>
      <c r="SD20">
        <f>IF($B20=0,1000000,IF(INDEX('計算A'!$D$60:$EQ$104,$B20,103)*GZ20=1,IF(AND($E20=2,MO20=0),1000000,IF($I20&gt;0,IF(5=$J20,IF(OR(AND(103=$I20+1,OR($K20&lt;&gt;'計算A'!$A$3,'計算A'!$A$4=0)),AND(103=$I20-1,OR(7&lt;&gt;'計算A'!$A$3,'計算A'!$A$4=0))),0,IF(7=$K20,200000,ABS(7-$K20)*100)),100000+ABS(5-$J20)*1000+70)+'計算A'!DB$5*50+IF(AND($E20=1,MO20=0),25,0),IF($F20&gt;0,INDEX('計算A'!DB$110:DB$114,$F20+1)+IF(AND($E20=1,MO20=0),1000,0),MIN(TY20,20)*400+(IF('計算A'!DA$106=1,1-GY20,0)+IF('計算A'!DB$106=1,1-HA20,0))*150+75+'計算A'!DB$5*100000+IF(AND($E20=1,MO20=0),50000,0))+IF($H20=1,(IF('計算A'!DA$117=1,INDEX('計算A'!DA$10:DA$54,$B20),0)+IF('計算A'!DB$117=1,INDEX('計算A'!DC$10:DC$54,$B20),0))*4000,0)-IF(AND('計算A'!DA$117=1,XY20&gt;0),2000,0)-IF(AND($L20=1,'計算A'!DB$117=1,HA20=0),2000,0))),1000000))</f>
        <v/>
      </c>
      <c r="SE20">
        <f>IF($B20=0,1000000,IF(INDEX('計算A'!$D$60:$EQ$104,$B20,104)*HA20=1,IF(AND($E20=2,MP20=0),1000000,IF($I20&gt;0,IF(5=$J20,IF(OR(AND(104=$I20+1,OR($K20&lt;&gt;'計算A'!$A$3,'計算A'!$A$4=0)),AND(104=$I20-1,OR(8&lt;&gt;'計算A'!$A$3,'計算A'!$A$4=0))),0,IF(8=$K20,200000,ABS(8-$K20)*100)),100000+ABS(5-$J20)*1000+80)+'計算A'!DC$5*50+IF(AND($E20=1,MP20=0),25,0),IF($F20&gt;0,INDEX('計算A'!DC$110:DC$114,$F20+1)+IF(AND($E20=1,MP20=0),1000,0),MIN(TY20,20)*400+(IF('計算A'!DB$106=1,1-GZ20,0)+IF('計算A'!DC$106=1,1-HB20,0))*150+85+'計算A'!DC$5*100000+IF(AND($E20=1,MP20=0),50000,0))+IF($H20=1,(IF('計算A'!DB$117=1,INDEX('計算A'!DB$10:DB$54,$B20),0)+IF('計算A'!DC$117=1,INDEX('計算A'!DD$10:DD$54,$B20),0))*4000,0)-IF(AND('計算A'!DB$117=1,XZ20&gt;0),2000,0)-IF(AND($L20=1,'計算A'!DC$117=1,HB20=0),2000,0))),1000000))</f>
        <v/>
      </c>
      <c r="SF20">
        <f>IF($B20=0,1000000,IF(INDEX('計算A'!$D$60:$EQ$104,$B20,105)*HB20=1,IF(AND($E20=2,MQ20=0),1000000,IF($I20&gt;0,IF(5=$J20,IF(OR(AND(105=$I20+1,OR($K20&lt;&gt;'計算A'!$A$3,'計算A'!$A$4=0)),AND(105=$I20-1,OR(9&lt;&gt;'計算A'!$A$3,'計算A'!$A$4=0))),0,IF(9=$K20,200000,ABS(9-$K20)*100)),100000+ABS(5-$J20)*1000+90)+'計算A'!DD$5*50+IF(AND($E20=1,MQ20=0),25,0),IF($F20&gt;0,INDEX('計算A'!DD$110:DD$114,$F20+1)+IF(AND($E20=1,MQ20=0),1000,0),MIN(TY20,20)*400+(IF('計算A'!DC$106=1,1-HA20,0)+IF('計算A'!DD$106=1,1-HC20,0))*150+95+'計算A'!DD$5*100000+IF(AND($E20=1,MQ20=0),50000,0))+IF($H20=1,(IF('計算A'!DC$117=1,INDEX('計算A'!DC$10:DC$54,$B20),0)+IF('計算A'!DD$117=1,INDEX('計算A'!DE$10:DE$54,$B20),0))*4000,0)-IF(AND('計算A'!DC$117=1,YA20&gt;0),2000,0)-IF(AND($L20=1,'計算A'!DD$117=1,HC20=0),2000,0))),1000000))</f>
        <v/>
      </c>
      <c r="SG20">
        <f>IF($B20=0,1000000,IF(INDEX('計算A'!$D$60:$EQ$104,$B20,106)*HC20=1,IF(AND($E20=2,MR20=0),1000000,IF($I20&gt;0,IF(5=$J20,IF(OR(AND(106=$I20+1,OR($K20&lt;&gt;'計算A'!$A$3,'計算A'!$A$4=0)),AND(106=$I20-1,OR(10&lt;&gt;'計算A'!$A$3,'計算A'!$A$4=0))),0,IF(10=$K20,200000,ABS(10-$K20)*100)),100000+ABS(5-$J20)*1000+100)+'計算A'!DE$5*50+IF(AND($E20=1,MR20=0),25,0),IF($F20&gt;0,INDEX('計算A'!DE$110:DE$114,$F20+1)+IF(AND($E20=1,MR20=0),1000,0),MIN(TY20,20)*400+(IF('計算A'!DD$106=1,1-HB20,0)+IF('計算A'!DE$106=1,1-HD20,0))*150+105+'計算A'!DE$5*100000+IF(AND($E20=1,MR20=0),50000,0))+IF($H20=1,(IF('計算A'!DD$117=1,INDEX('計算A'!DD$10:DD$54,$B20),0)+IF('計算A'!DE$117=1,INDEX('計算A'!DF$10:DF$54,$B20),0))*4000,0)-IF(AND('計算A'!DD$117=1,YB20&gt;0),2000,0)-IF(AND($L20=1,'計算A'!DE$117=1,HD20=0),2000,0))),1000000))</f>
        <v/>
      </c>
      <c r="SH20">
        <f>IF($B20=0,1000000,IF(INDEX('計算A'!$D$60:$EQ$104,$B20,107)*HD20=1,IF(AND($E20=2,MS20=0),1000000,IF($I20&gt;0,IF(5=$J20,IF(OR(AND(107=$I20+1,OR($K20&lt;&gt;'計算A'!$A$3,'計算A'!$A$4=0)),AND(107=$I20-1,OR(11&lt;&gt;'計算A'!$A$3,'計算A'!$A$4=0))),0,IF(11=$K20,200000,ABS(11-$K20)*100)),100000+ABS(5-$J20)*1000+110)+'計算A'!DF$5*50+IF(AND($E20=1,MS20=0),25,0),IF($F20&gt;0,INDEX('計算A'!DF$110:DF$114,$F20+1)+IF(AND($E20=1,MS20=0),1000,0),MIN(TY20,20)*400+(IF('計算A'!DE$106=1,1-HC20,0)+IF('計算A'!DF$106=1,1-HE20,0))*150+115+'計算A'!DF$5*100000+IF(AND($E20=1,MS20=0),50000,0))+IF($H20=1,(IF('計算A'!DE$117=1,INDEX('計算A'!DE$10:DE$54,$B20),0)+IF('計算A'!DF$117=1,INDEX('計算A'!DG$10:DG$54,$B20),0))*4000,0)-IF(AND('計算A'!DE$117=1,YC20&gt;0),2000,0)-IF(AND($L20=1,'計算A'!DF$117=1,HE20=0),2000,0))),1000000))</f>
        <v/>
      </c>
      <c r="SI20">
        <f>IF($B20=0,1000000,IF(INDEX('計算A'!$D$60:$EQ$104,$B20,108)*HE20=1,IF(AND($E20=2,MT20=0),1000000,IF($I20&gt;0,IF(5=$J20,IF(OR(AND(108=$I20+1,OR($K20&lt;&gt;'計算A'!$A$3,'計算A'!$A$4=0)),AND(108=$I20-1,OR(12&lt;&gt;'計算A'!$A$3,'計算A'!$A$4=0))),0,IF(12=$K20,200000,ABS(12-$K20)*100)),100000+ABS(5-$J20)*1000+120)+'計算A'!DG$5*50+IF(AND($E20=1,MT20=0),25,0),IF($F20&gt;0,INDEX('計算A'!DG$110:DG$114,$F20+1)+IF(AND($E20=1,MT20=0),1000,0),MIN(TY20,20)*400+(IF('計算A'!DF$106=1,1-HD20,0)+IF('計算A'!DG$106=1,1-HF20,0))*150+125+'計算A'!DG$5*100000+IF(AND($E20=1,MT20=0),50000,0))+IF($H20=1,(IF('計算A'!DF$117=1,INDEX('計算A'!DF$10:DF$54,$B20),0)+IF('計算A'!DG$117=1,INDEX('計算A'!DH$10:DH$54,$B20),0))*4000,0)-IF(AND('計算A'!DF$117=1,YD20&gt;0),2000,0)-IF(AND($L20=1,'計算A'!DG$117=1,HF20=0),2000,0))),1000000))</f>
        <v/>
      </c>
      <c r="SJ20">
        <f>IF($B20=0,1000000,IF(INDEX('計算A'!$D$60:$EQ$104,$B20,109)*HF20=1,IF(AND($E20=2,MU20=0),1000000,IF($I20&gt;0,IF(5=$J20,IF(OR(AND(109=$I20+1,OR($K20&lt;&gt;'計算A'!$A$3,'計算A'!$A$4=0)),AND(109=$I20-1,OR(13&lt;&gt;'計算A'!$A$3,'計算A'!$A$4=0))),0,IF(13=$K20,200000,ABS(13-$K20)*100)),100000+ABS(5-$J20)*1000+130)+'計算A'!DH$5*50+IF(AND($E20=1,MU20=0),25,0),IF($F20&gt;0,INDEX('計算A'!DH$110:DH$114,$F20+1)+IF(AND($E20=1,MU20=0),1000,0),MIN(TY20,20)*400+(IF('計算A'!DG$106=1,1-HE20,0)+IF('計算A'!DH$106=1,1-HG20,0))*150+135+'計算A'!DH$5*100000+IF(AND($E20=1,MU20=0),50000,0))+IF($H20=1,(IF('計算A'!DG$117=1,INDEX('計算A'!DG$10:DG$54,$B20),0)+IF('計算A'!DH$117=1,INDEX('計算A'!DI$10:DI$54,$B20),0))*4000,0)-IF(AND('計算A'!DG$117=1,YE20&gt;0),2000,0)-IF(AND($L20=1,'計算A'!DH$117=1,HG20=0),2000,0))),1000000))</f>
        <v/>
      </c>
      <c r="SK20">
        <f>IF($B20=0,1000000,IF(INDEX('計算A'!$D$60:$EQ$104,$B20,110)*HG20=1,IF(AND($E20=2,MV20=0),1000000,IF($I20&gt;0,IF(5=$J20,IF(OR(AND(110=$I20+1,OR($K20&lt;&gt;'計算A'!$A$3,'計算A'!$A$4=0)),AND(110=$I20-1,OR(14&lt;&gt;'計算A'!$A$3,'計算A'!$A$4=0))),0,IF(14=$K20,200000,ABS(14-$K20)*100)),100000+ABS(5-$J20)*1000+140)+'計算A'!DI$5*50+IF(AND($E20=1,MV20=0),25,0),IF($F20&gt;0,INDEX('計算A'!DI$110:DI$114,$F20+1)+IF(AND($E20=1,MV20=0),1000,0),MIN(TY20,20)*400+(IF('計算A'!DH$106=1,1-HF20,0)+IF('計算A'!DI$106=1,1-HH20,0))*150+145+'計算A'!DI$5*100000+IF(AND($E20=1,MV20=0),50000,0))+IF($H20=1,(IF('計算A'!DH$117=1,INDEX('計算A'!DH$10:DH$54,$B20),0)+IF('計算A'!DI$117=1,INDEX('計算A'!DJ$10:DJ$54,$B20),0))*4000,0)-IF(AND('計算A'!DH$117=1,YF20&gt;0),2000,0)-IF(AND($L20=1,'計算A'!DI$117=1,HH20=0),2000,0))),1000000))</f>
        <v/>
      </c>
      <c r="SL20">
        <f>IF($B20=0,1000000,IF(INDEX('計算A'!$D$60:$EQ$104,$B20,111)*HH20=1,IF(AND($E20=2,MW20=0),1000000,IF($I20&gt;0,IF(5=$J20,IF(OR(AND(111=$I20+1,OR($K20&lt;&gt;'計算A'!$A$3,'計算A'!$A$4=0)),AND(111=$I20-1,OR(15&lt;&gt;'計算A'!$A$3,'計算A'!$A$4=0))),0,IF(15=$K20,200000,ABS(15-$K20)*100)),100000+ABS(5-$J20)*1000+150)+'計算A'!DJ$5*50+IF(AND($E20=1,MW20=0),25,0),IF($F20&gt;0,INDEX('計算A'!DJ$110:DJ$114,$F20+1)+IF(AND($E20=1,MW20=0),1000,0),MIN(TY20,20)*400+(IF('計算A'!DI$106=1,1-HG20,0)+IF('計算A'!DJ$106=1,1-HI20,0))*150+155+'計算A'!DJ$5*100000+IF(AND($E20=1,MW20=0),50000,0))+IF($H20=1,(IF('計算A'!DI$117=1,INDEX('計算A'!DI$10:DI$54,$B20),0)+IF('計算A'!DJ$117=1,INDEX('計算A'!DK$10:DK$54,$B20),0))*4000,0)-IF(AND('計算A'!DI$117=1,YG20&gt;0),2000,0)-IF(AND($L20=1,'計算A'!DJ$117=1,HI20=0),2000,0))),1000000))</f>
        <v/>
      </c>
      <c r="SM20">
        <f>IF($B20=0,1000000,IF(INDEX('計算A'!$D$60:$EQ$104,$B20,112)*HI20=1,IF(AND($E20=2,MX20=0),1000000,IF($I20&gt;0,IF(5=$J20,IF(OR(AND(112=$I20+1,OR($K20&lt;&gt;'計算A'!$A$3,'計算A'!$A$4=0)),AND(112=$I20-1,OR(16&lt;&gt;'計算A'!$A$3,'計算A'!$A$4=0))),0,IF(16=$K20,200000,ABS(16-$K20)*100)),100000+ABS(5-$J20)*1000+160)+'計算A'!DK$5*50+IF(AND($E20=1,MX20=0),25,0),IF($F20&gt;0,INDEX('計算A'!DK$110:DK$114,$F20+1)+IF(AND($E20=1,MX20=0),1000,0),MIN(TY20,20)*400+(IF('計算A'!DJ$106=1,1-HH20,0)+IF('計算A'!DK$106=1,1-HJ20,0))*150+165+'計算A'!DK$5*100000+IF(AND($E20=1,MX20=0),50000,0))+IF($H20=1,(IF('計算A'!DJ$117=1,INDEX('計算A'!DJ$10:DJ$54,$B20),0)+IF('計算A'!DK$117=1,INDEX('計算A'!DL$10:DL$54,$B20),0))*4000,0)-IF(AND('計算A'!DJ$117=1,YH20&gt;0),2000,0)-IF(AND($L20=1,'計算A'!DK$117=1,HJ20=0),2000,0))),1000000))</f>
        <v/>
      </c>
      <c r="SN20">
        <f>IF($B20=0,1000000,IF(INDEX('計算A'!$D$60:$EQ$104,$B20,113)*HJ20=1,IF(AND($E20=2,MY20=0),1000000,IF($I20&gt;0,IF(5=$J20,IF(OR(AND(113=$I20+1,OR($K20&lt;&gt;'計算A'!$A$3,'計算A'!$A$4=0)),AND(113=$I20-1,OR(17&lt;&gt;'計算A'!$A$3,'計算A'!$A$4=0))),0,IF(17=$K20,200000,ABS(17-$K20)*100)),100000+ABS(5-$J20)*1000+170)+'計算A'!DL$5*50+IF(AND($E20=1,MY20=0),25,0),IF($F20&gt;0,INDEX('計算A'!DL$110:DL$114,$F20+1)+IF(AND($E20=1,MY20=0),1000,0),MIN(TY20,20)*400+(IF('計算A'!DK$106=1,1-HI20,0)+IF('計算A'!DL$106=1,1-HK20,0))*150+175+'計算A'!DL$5*100000+IF(AND($E20=1,MY20=0),50000,0))+IF($H20=1,(IF('計算A'!DK$117=1,INDEX('計算A'!DK$10:DK$54,$B20),0)+IF('計算A'!DL$117=1,INDEX('計算A'!DM$10:DM$54,$B20),0))*4000,0)-IF(AND('計算A'!DK$117=1,YI20&gt;0),2000,0)-IF(AND($L20=1,'計算A'!DL$117=1,HK20=0),2000,0))),1000000))</f>
        <v/>
      </c>
      <c r="SO20">
        <f>IF($B20=0,1000000,IF(INDEX('計算A'!$D$60:$EQ$104,$B20,114)*HK20=1,IF(AND($E20=2,MZ20=0),1000000,IF($I20&gt;0,IF(5=$J20,IF(OR(AND(114=$I20+1,OR($K20&lt;&gt;'計算A'!$A$3,'計算A'!$A$4=0)),AND(114=$I20-1,OR(18&lt;&gt;'計算A'!$A$3,'計算A'!$A$4=0))),0,IF(18=$K20,200000,ABS(18-$K20)*100)),100000+ABS(5-$J20)*1000+180)+'計算A'!DM$5*50+IF(AND($E20=1,MZ20=0),25,0),IF($F20&gt;0,INDEX('計算A'!DM$110:DM$114,$F20+1)+IF(AND($E20=1,MZ20=0),1000,0),MIN(TY20,20)*400+(IF('計算A'!DL$106=1,1-HJ20,0)+IF('計算A'!DM$106=1,1-HL20,0))*150+185+'計算A'!DM$5*100000+IF(AND($E20=1,MZ20=0),50000,0))+IF($H20=1,(IF('計算A'!DL$117=1,INDEX('計算A'!DL$10:DL$54,$B20),0)+IF('計算A'!DM$117=1,INDEX('計算A'!DN$10:DN$54,$B20),0))*4000,0)-IF(AND('計算A'!DL$117=1,YJ20&gt;0),2000,0)-IF(AND($L20=1,'計算A'!DM$117=1,HL20=0),2000,0))),1000000))</f>
        <v/>
      </c>
      <c r="SP20">
        <f>IF($B20=0,1000000,IF(INDEX('計算A'!$D$60:$EQ$104,$B20,115)*HL20=1,IF(AND($E20=2,NA20=0),1000000,IF($I20&gt;0,IF(5=$J20,IF(OR(AND(115=$I20+1,OR($K20&lt;&gt;'計算A'!$A$3,'計算A'!$A$4=0)),AND(115=$I20-1,OR(19&lt;&gt;'計算A'!$A$3,'計算A'!$A$4=0))),0,IF(19=$K20,200000,ABS(19-$K20)*100)),100000+ABS(5-$J20)*1000+190)+'計算A'!DN$5*50+IF(AND($E20=1,NA20=0),25,0),IF($F20&gt;0,INDEX('計算A'!DN$110:DN$114,$F20+1)+IF(AND($E20=1,NA20=0),1000,0),MIN(TY20,20)*400+(IF('計算A'!DM$106=1,1-HK20,0)+IF('計算A'!DN$106=1,1-HM20,0))*150+195+'計算A'!DN$5*100000+IF(AND($E20=1,NA20=0),50000,0))+IF($H20=1,(IF('計算A'!DM$117=1,INDEX('計算A'!DM$10:DM$54,$B20),0)+IF('計算A'!DN$117=1,INDEX('計算A'!DO$10:DO$54,$B20),0))*4000,0)-IF(AND('計算A'!DM$117=1,YK20&gt;0),2000,0)-IF(AND($L20=1,'計算A'!DN$117=1,HM20=0),2000,0))),1000000))</f>
        <v/>
      </c>
      <c r="SQ20">
        <f>IF($B20=0,1000000,IF(INDEX('計算A'!$D$60:$EQ$104,$B20,116)*HM20=1,IF(AND($E20=2,NB20=0),1000000,IF($I20&gt;0,IF(5=$J20,IF(OR(AND(116=$I20+1,OR($K20&lt;&gt;'計算A'!$A$3,'計算A'!$A$4=0)),AND(116=$I20-1,OR(20&lt;&gt;'計算A'!$A$3,'計算A'!$A$4=0))),0,IF(20=$K20,200000,ABS(20-$K20)*100)),100000+ABS(5-$J20)*1000+200)+'計算A'!DO$5*50+IF(AND($E20=1,NB20=0),25,0),IF($F20&gt;0,INDEX('計算A'!DO$110:DO$114,$F20+1)+IF(AND($E20=1,NB20=0),1000,0),MIN(TY20,20)*400+(IF('計算A'!DN$106=1,1-HL20,0)+IF('計算A'!DO$106=1,1-HN20,0))*150+205+'計算A'!DO$5*100000+IF(AND($E20=1,NB20=0),50000,0))+IF($H20=1,(IF('計算A'!DN$117=1,INDEX('計算A'!DN$10:DN$54,$B20),0)+IF('計算A'!DO$117=1,INDEX('計算A'!DP$10:DP$54,$B20),0))*4000,0)-IF(AND('計算A'!DN$117=1,YL20&gt;0),2000,0)-IF(AND($L20=1,'計算A'!DO$117=1,HN20=0),2000,0))),1000000))</f>
        <v/>
      </c>
      <c r="SR20">
        <f>IF($B20=0,1000000,IF(INDEX('計算A'!$D$60:$EQ$104,$B20,117)*HN20=1,IF(AND($E20=2,NC20=0),1000000,IF($I20&gt;0,IF(5=$J20,IF(OR(AND(117=$I20+1,OR($K20&lt;&gt;'計算A'!$A$3,'計算A'!$A$4=0)),AND(117=$I20-1,OR(21&lt;&gt;'計算A'!$A$3,'計算A'!$A$4=0))),0,IF(21=$K20,200000,ABS(21-$K20)*100)),100000+ABS(5-$J20)*1000+210)+'計算A'!DP$5*50+IF(AND($E20=1,NC20=0),25,0),IF($F20&gt;0,INDEX('計算A'!DP$110:DP$114,$F20+1)+IF(AND($E20=1,NC20=0),1000,0),MIN(TY20,20)*400+(IF('計算A'!DO$106=1,1-HM20,0)+IF('計算A'!DP$106=1,1-HO20,0))*150+215+'計算A'!DP$5*100000+IF(AND($E20=1,NC20=0),50000,0))+IF($H20=1,(IF('計算A'!DO$117=1,INDEX('計算A'!DO$10:DO$54,$B20),0)+IF('計算A'!DP$117=1,INDEX('計算A'!DQ$10:DQ$54,$B20),0))*4000,0)-IF(AND('計算A'!DO$117=1,YM20&gt;0),2000,0)-IF(AND($L20=1,'計算A'!DP$117=1,HO20=0),2000,0))),1000000))</f>
        <v/>
      </c>
      <c r="SS20">
        <f>IF($B20=0,1000000,IF(INDEX('計算A'!$D$60:$EQ$104,$B20,118)*HO20=1,IF(AND($E20=2,ND20=0),1000000,IF($I20&gt;0,IF(5=$J20,IF(OR(AND(118=$I20+1,OR($K20&lt;&gt;'計算A'!$A$3,'計算A'!$A$4=0)),AND(118=$I20-1,OR(22&lt;&gt;'計算A'!$A$3,'計算A'!$A$4=0))),0,IF(22=$K20,200000,ABS(22-$K20)*100)),100000+ABS(5-$J20)*1000+220)+'計算A'!DQ$5*50+IF(AND($E20=1,ND20=0),25,0),IF($F20&gt;0,INDEX('計算A'!DQ$110:DQ$114,$F20+1)+IF(AND($E20=1,ND20=0),1000,0),MIN(TY20,20)*400+(IF('計算A'!DP$106=1,1-HN20,0)+IF('計算A'!DQ$106=1,1-HP20,0))*150+225+'計算A'!DQ$5*100000+IF(AND($E20=1,ND20=0),50000,0))+IF($H20=1,(IF('計算A'!DP$117=1,INDEX('計算A'!DP$10:DP$54,$B20),0)+IF('計算A'!DQ$117=1,INDEX('計算A'!DR$10:DR$54,$B20),0))*4000,0)-IF(AND('計算A'!DP$117=1,YN20&gt;0),2000,0)-IF(AND($L20=1,'計算A'!DQ$117=1,HP20=0),2000,0))),1000000))</f>
        <v/>
      </c>
      <c r="ST20">
        <f>IF($B20=0,1000000,IF(INDEX('計算A'!$D$60:$EQ$104,$B20,119)*HP20=1,IF(AND($E20=2,NE20=0),1000000,IF($I20&gt;0,IF(5=$J20,IF(OR(AND(119=$I20+1,OR($K20&lt;&gt;'計算A'!$A$3,'計算A'!$A$4=0)),AND(119=$I20-1,OR(23&lt;&gt;'計算A'!$A$3,'計算A'!$A$4=0))),0,IF(23=$K20,200000,ABS(23-$K20)*100)),100000+ABS(5-$J20)*1000+230)+'計算A'!DR$5*50+IF(AND($E20=1,NE20=0),25,0),IF($F20&gt;0,INDEX('計算A'!DR$110:DR$114,$F20+1)+IF(AND($E20=1,NE20=0),1000,0),MIN(TY20,20)*400+(IF('計算A'!DQ$106=1,1-HO20,0)+IF('計算A'!DR$106=1,1-HQ20,0))*150+235+'計算A'!DR$5*100000+IF(AND($E20=1,NE20=0),50000,0))+IF($H20=1,(IF('計算A'!DQ$117=1,INDEX('計算A'!DQ$10:DQ$54,$B20),0)+IF('計算A'!DR$117=1,INDEX('計算A'!DS$10:DS$54,$B20),0))*4000,0)-IF(AND('計算A'!DQ$117=1,YO20&gt;0),2000,0)-IF(AND($L20=1,'計算A'!DR$117=1,HQ20=0),2000,0))),1000000))</f>
        <v/>
      </c>
      <c r="SU20">
        <f>IF($B20=0,1000000,IF(INDEX('計算A'!$D$60:$EQ$104,$B20,120)*HQ20=1,IF(AND($E20=2,NF20=0),1000000,IF($I20&gt;0,IF(5=$J20,IF(OR(AND(120=$I20+1,OR($K20&lt;&gt;'計算A'!$A$3,'計算A'!$A$4=0)),AND(120=$I20-1,OR(24&lt;&gt;'計算A'!$A$3,'計算A'!$A$4=0))),0,IF(24=$K20,200000,ABS(24-$K20)*100)),100000+ABS(5-$J20)*1000+240)+'計算A'!DS$5*50+IF(AND($E20=1,NF20=0),25,0),IF($F20&gt;0,INDEX('計算A'!DS$110:DS$114,$F20+1)+IF(AND($E20=1,NF20=0),1000,0),MIN(TY20,20)*400+(IF('計算A'!DR$106=1,1-HP20,0))*150+245+'計算A'!DS$5*100000+IF(AND($E20=1,NF20=0),50000,0))+IF($H20=1,(IF('計算A'!DR$117=1,INDEX('計算A'!DR$10:DR$54,$B20),0))*4000,0)-IF(AND('計算A'!DR$117=1,YP20&gt;0),2000,0))),1000000))</f>
        <v/>
      </c>
      <c r="SV20">
        <f>IF($B20=0,1000000,IF(INDEX('計算A'!$D$60:$EQ$104,$B20,121)*HR20=1,IF(AND($E20=2,NG20=0),1000000,IF($I20&gt;0,IF(6=$J20,IF(OR(AND(121=$I20+1,OR($K20&lt;&gt;'計算A'!$A$3,'計算A'!$A$4=0)),AND(121=$I20-1,OR(1&lt;&gt;'計算A'!$A$3,'計算A'!$A$4=0))),0,IF(1=$K20,200000,ABS(1-$K20)*100)),100000+ABS(6-$J20)*1000+10)+'計算A'!DT$5*50+IF(AND($E20=1,NG20=0),25,0),IF($F20&gt;0,INDEX('計算A'!DT$110:DT$114,$F20+1)+IF(AND($E20=1,NG20=0),1000,0),MIN(TZ20,20)*400+(IF('計算A'!DT$106=1,1-HS20,0))*150+16+'計算A'!DT$5*100000+IF(AND($E20=1,NG20=0),50000,0))+IF($H20=1,(IF('計算A'!DT$117=1,INDEX('計算A'!DU$10:DU$54,$B20),0))*4000,0)-IF(AND($L20=1,'計算A'!DT$117=1,HS20=0),2000,0))),1000000))</f>
        <v/>
      </c>
      <c r="SW20">
        <f>IF($B20=0,1000000,IF(INDEX('計算A'!$D$60:$EQ$104,$B20,122)*HS20=1,IF(AND($E20=2,NH20=0),1000000,IF($I20&gt;0,IF(6=$J20,IF(OR(AND(122=$I20+1,OR($K20&lt;&gt;'計算A'!$A$3,'計算A'!$A$4=0)),AND(122=$I20-1,OR(2&lt;&gt;'計算A'!$A$3,'計算A'!$A$4=0))),0,IF(2=$K20,200000,ABS(2-$K20)*100)),100000+ABS(6-$J20)*1000+20)+'計算A'!DU$5*50+IF(AND($E20=1,NH20=0),25,0),IF($F20&gt;0,INDEX('計算A'!DU$110:DU$114,$F20+1)+IF(AND($E20=1,NH20=0),1000,0),MIN(TZ20,20)*400+(IF('計算A'!DT$106=1,1-HR20,0)+IF('計算A'!DU$106=1,1-HT20,0))*150+26+'計算A'!DU$5*100000+IF(AND($E20=1,NH20=0),50000,0))+IF($H20=1,(IF('計算A'!DT$117=1,INDEX('計算A'!DT$10:DT$54,$B20),0)+IF('計算A'!DU$117=1,INDEX('計算A'!DV$10:DV$54,$B20),0))*4000,0)-IF(AND('計算A'!DT$117=1,YR20&gt;0),2000,0)-IF(AND($L20=1,'計算A'!DU$117=1,HT20=0),2000,0))),1000000))</f>
        <v/>
      </c>
      <c r="SX20">
        <f>IF($B20=0,1000000,IF(INDEX('計算A'!$D$60:$EQ$104,$B20,123)*HT20=1,IF(AND($E20=2,NI20=0),1000000,IF($I20&gt;0,IF(6=$J20,IF(OR(AND(123=$I20+1,OR($K20&lt;&gt;'計算A'!$A$3,'計算A'!$A$4=0)),AND(123=$I20-1,OR(3&lt;&gt;'計算A'!$A$3,'計算A'!$A$4=0))),0,IF(3=$K20,200000,ABS(3-$K20)*100)),100000+ABS(6-$J20)*1000+30)+'計算A'!DV$5*50+IF(AND($E20=1,NI20=0),25,0),IF($F20&gt;0,INDEX('計算A'!DV$110:DV$114,$F20+1)+IF(AND($E20=1,NI20=0),1000,0),MIN(TZ20,20)*400+(IF('計算A'!DU$106=1,1-HS20,0)+IF('計算A'!DV$106=1,1-HU20,0))*150+36+'計算A'!DV$5*100000+IF(AND($E20=1,NI20=0),50000,0))+IF($H20=1,(IF('計算A'!DU$117=1,INDEX('計算A'!DU$10:DU$54,$B20),0)+IF('計算A'!DV$117=1,INDEX('計算A'!DW$10:DW$54,$B20),0))*4000,0)-IF(AND('計算A'!DU$117=1,YS20&gt;0),2000,0)-IF(AND($L20=1,'計算A'!DV$117=1,HU20=0),2000,0))),1000000))</f>
        <v/>
      </c>
      <c r="SY20">
        <f>IF($B20=0,1000000,IF(INDEX('計算A'!$D$60:$EQ$104,$B20,124)*HU20=1,IF(AND($E20=2,NJ20=0),1000000,IF($I20&gt;0,IF(6=$J20,IF(OR(AND(124=$I20+1,OR($K20&lt;&gt;'計算A'!$A$3,'計算A'!$A$4=0)),AND(124=$I20-1,OR(4&lt;&gt;'計算A'!$A$3,'計算A'!$A$4=0))),0,IF(4=$K20,200000,ABS(4-$K20)*100)),100000+ABS(6-$J20)*1000+40)+'計算A'!DW$5*50+IF(AND($E20=1,NJ20=0),25,0),IF($F20&gt;0,INDEX('計算A'!DW$110:DW$114,$F20+1)+IF(AND($E20=1,NJ20=0),1000,0),MIN(TZ20,20)*400+(IF('計算A'!DV$106=1,1-HT20,0)+IF('計算A'!DW$106=1,1-HV20,0))*150+46+'計算A'!DW$5*100000+IF(AND($E20=1,NJ20=0),50000,0))+IF($H20=1,(IF('計算A'!DV$117=1,INDEX('計算A'!DV$10:DV$54,$B20),0)+IF('計算A'!DW$117=1,INDEX('計算A'!DX$10:DX$54,$B20),0))*4000,0)-IF(AND('計算A'!DV$117=1,YT20&gt;0),2000,0)-IF(AND($L20=1,'計算A'!DW$117=1,HV20=0),2000,0))),1000000))</f>
        <v/>
      </c>
      <c r="SZ20">
        <f>IF($B20=0,1000000,IF(INDEX('計算A'!$D$60:$EQ$104,$B20,125)*HV20=1,IF(AND($E20=2,NK20=0),1000000,IF($I20&gt;0,IF(6=$J20,IF(OR(AND(125=$I20+1,OR($K20&lt;&gt;'計算A'!$A$3,'計算A'!$A$4=0)),AND(125=$I20-1,OR(5&lt;&gt;'計算A'!$A$3,'計算A'!$A$4=0))),0,IF(5=$K20,200000,ABS(5-$K20)*100)),100000+ABS(6-$J20)*1000+50)+'計算A'!DX$5*50+IF(AND($E20=1,NK20=0),25,0),IF($F20&gt;0,INDEX('計算A'!DX$110:DX$114,$F20+1)+IF(AND($E20=1,NK20=0),1000,0),MIN(TZ20,20)*400+(IF('計算A'!DW$106=1,1-HU20,0)+IF('計算A'!DX$106=1,1-HW20,0))*150+56+'計算A'!DX$5*100000+IF(AND($E20=1,NK20=0),50000,0))+IF($H20=1,(IF('計算A'!DW$117=1,INDEX('計算A'!DW$10:DW$54,$B20),0)+IF('計算A'!DX$117=1,INDEX('計算A'!DY$10:DY$54,$B20),0))*4000,0)-IF(AND('計算A'!DW$117=1,YU20&gt;0),2000,0)-IF(AND($L20=1,'計算A'!DX$117=1,HW20=0),2000,0))),1000000))</f>
        <v/>
      </c>
      <c r="TA20">
        <f>IF($B20=0,1000000,IF(INDEX('計算A'!$D$60:$EQ$104,$B20,126)*HW20=1,IF(AND($E20=2,NL20=0),1000000,IF($I20&gt;0,IF(6=$J20,IF(OR(AND(126=$I20+1,OR($K20&lt;&gt;'計算A'!$A$3,'計算A'!$A$4=0)),AND(126=$I20-1,OR(6&lt;&gt;'計算A'!$A$3,'計算A'!$A$4=0))),0,IF(6=$K20,200000,ABS(6-$K20)*100)),100000+ABS(6-$J20)*1000+60)+'計算A'!DY$5*50+IF(AND($E20=1,NL20=0),25,0),IF($F20&gt;0,INDEX('計算A'!DY$110:DY$114,$F20+1)+IF(AND($E20=1,NL20=0),1000,0),MIN(TZ20,20)*400+(IF('計算A'!DX$106=1,1-HV20,0)+IF('計算A'!DY$106=1,1-HX20,0))*150+66+'計算A'!DY$5*100000+IF(AND($E20=1,NL20=0),50000,0))+IF($H20=1,(IF('計算A'!DX$117=1,INDEX('計算A'!DX$10:DX$54,$B20),0)+IF('計算A'!DY$117=1,INDEX('計算A'!DZ$10:DZ$54,$B20),0))*4000,0)-IF(AND('計算A'!DX$117=1,YV20&gt;0),2000,0)-IF(AND($L20=1,'計算A'!DY$117=1,HX20=0),2000,0))),1000000))</f>
        <v/>
      </c>
      <c r="TB20">
        <f>IF($B20=0,1000000,IF(INDEX('計算A'!$D$60:$EQ$104,$B20,127)*HX20=1,IF(AND($E20=2,NM20=0),1000000,IF($I20&gt;0,IF(6=$J20,IF(OR(AND(127=$I20+1,OR($K20&lt;&gt;'計算A'!$A$3,'計算A'!$A$4=0)),AND(127=$I20-1,OR(7&lt;&gt;'計算A'!$A$3,'計算A'!$A$4=0))),0,IF(7=$K20,200000,ABS(7-$K20)*100)),100000+ABS(6-$J20)*1000+70)+'計算A'!DZ$5*50+IF(AND($E20=1,NM20=0),25,0),IF($F20&gt;0,INDEX('計算A'!DZ$110:DZ$114,$F20+1)+IF(AND($E20=1,NM20=0),1000,0),MIN(TZ20,20)*400+(IF('計算A'!DY$106=1,1-HW20,0)+IF('計算A'!DZ$106=1,1-HY20,0))*150+76+'計算A'!DZ$5*100000+IF(AND($E20=1,NM20=0),50000,0))+IF($H20=1,(IF('計算A'!DY$117=1,INDEX('計算A'!DY$10:DY$54,$B20),0)+IF('計算A'!DZ$117=1,INDEX('計算A'!EA$10:EA$54,$B20),0))*4000,0)-IF(AND('計算A'!DY$117=1,YW20&gt;0),2000,0)-IF(AND($L20=1,'計算A'!DZ$117=1,HY20=0),2000,0))),1000000))</f>
        <v/>
      </c>
      <c r="TC20">
        <f>IF($B20=0,1000000,IF(INDEX('計算A'!$D$60:$EQ$104,$B20,128)*HY20=1,IF(AND($E20=2,NN20=0),1000000,IF($I20&gt;0,IF(6=$J20,IF(OR(AND(128=$I20+1,OR($K20&lt;&gt;'計算A'!$A$3,'計算A'!$A$4=0)),AND(128=$I20-1,OR(8&lt;&gt;'計算A'!$A$3,'計算A'!$A$4=0))),0,IF(8=$K20,200000,ABS(8-$K20)*100)),100000+ABS(6-$J20)*1000+80)+'計算A'!EA$5*50+IF(AND($E20=1,NN20=0),25,0),IF($F20&gt;0,INDEX('計算A'!EA$110:EA$114,$F20+1)+IF(AND($E20=1,NN20=0),1000,0),MIN(TZ20,20)*400+(IF('計算A'!DZ$106=1,1-HX20,0)+IF('計算A'!EA$106=1,1-HZ20,0))*150+86+'計算A'!EA$5*100000+IF(AND($E20=1,NN20=0),50000,0))+IF($H20=1,(IF('計算A'!DZ$117=1,INDEX('計算A'!DZ$10:DZ$54,$B20),0)+IF('計算A'!EA$117=1,INDEX('計算A'!EB$10:EB$54,$B20),0))*4000,0)-IF(AND('計算A'!DZ$117=1,YX20&gt;0),2000,0)-IF(AND($L20=1,'計算A'!EA$117=1,HZ20=0),2000,0))),1000000))</f>
        <v/>
      </c>
      <c r="TD20">
        <f>IF($B20=0,1000000,IF(INDEX('計算A'!$D$60:$EQ$104,$B20,129)*HZ20=1,IF(AND($E20=2,NO20=0),1000000,IF($I20&gt;0,IF(6=$J20,IF(OR(AND(129=$I20+1,OR($K20&lt;&gt;'計算A'!$A$3,'計算A'!$A$4=0)),AND(129=$I20-1,OR(9&lt;&gt;'計算A'!$A$3,'計算A'!$A$4=0))),0,IF(9=$K20,200000,ABS(9-$K20)*100)),100000+ABS(6-$J20)*1000+90)+'計算A'!EB$5*50+IF(AND($E20=1,NO20=0),25,0),IF($F20&gt;0,INDEX('計算A'!EB$110:EB$114,$F20+1)+IF(AND($E20=1,NO20=0),1000,0),MIN(TZ20,20)*400+(IF('計算A'!EA$106=1,1-HY20,0)+IF('計算A'!EB$106=1,1-IA20,0))*150+96+'計算A'!EB$5*100000+IF(AND($E20=1,NO20=0),50000,0))+IF($H20=1,(IF('計算A'!EA$117=1,INDEX('計算A'!EA$10:EA$54,$B20),0)+IF('計算A'!EB$117=1,INDEX('計算A'!EC$10:EC$54,$B20),0))*4000,0)-IF(AND('計算A'!EA$117=1,YY20&gt;0),2000,0)-IF(AND($L20=1,'計算A'!EB$117=1,IA20=0),2000,0))),1000000))</f>
        <v/>
      </c>
      <c r="TE20">
        <f>IF($B20=0,1000000,IF(INDEX('計算A'!$D$60:$EQ$104,$B20,130)*IA20=1,IF(AND($E20=2,NP20=0),1000000,IF($I20&gt;0,IF(6=$J20,IF(OR(AND(130=$I20+1,OR($K20&lt;&gt;'計算A'!$A$3,'計算A'!$A$4=0)),AND(130=$I20-1,OR(10&lt;&gt;'計算A'!$A$3,'計算A'!$A$4=0))),0,IF(10=$K20,200000,ABS(10-$K20)*100)),100000+ABS(6-$J20)*1000+100)+'計算A'!EC$5*50+IF(AND($E20=1,NP20=0),25,0),IF($F20&gt;0,INDEX('計算A'!EC$110:EC$114,$F20+1)+IF(AND($E20=1,NP20=0),1000,0),MIN(TZ20,20)*400+(IF('計算A'!EB$106=1,1-HZ20,0)+IF('計算A'!EC$106=1,1-IB20,0))*150+106+'計算A'!EC$5*100000+IF(AND($E20=1,NP20=0),50000,0))+IF($H20=1,(IF('計算A'!EB$117=1,INDEX('計算A'!EB$10:EB$54,$B20),0)+IF('計算A'!EC$117=1,INDEX('計算A'!ED$10:ED$54,$B20),0))*4000,0)-IF(AND('計算A'!EB$117=1,YZ20&gt;0),2000,0)-IF(AND($L20=1,'計算A'!EC$117=1,IB20=0),2000,0))),1000000))</f>
        <v/>
      </c>
      <c r="TF20">
        <f>IF($B20=0,1000000,IF(INDEX('計算A'!$D$60:$EQ$104,$B20,131)*IB20=1,IF(AND($E20=2,NQ20=0),1000000,IF($I20&gt;0,IF(6=$J20,IF(OR(AND(131=$I20+1,OR($K20&lt;&gt;'計算A'!$A$3,'計算A'!$A$4=0)),AND(131=$I20-1,OR(11&lt;&gt;'計算A'!$A$3,'計算A'!$A$4=0))),0,IF(11=$K20,200000,ABS(11-$K20)*100)),100000+ABS(6-$J20)*1000+110)+'計算A'!ED$5*50+IF(AND($E20=1,NQ20=0),25,0),IF($F20&gt;0,INDEX('計算A'!ED$110:ED$114,$F20+1)+IF(AND($E20=1,NQ20=0),1000,0),MIN(TZ20,20)*400+(IF('計算A'!EC$106=1,1-IA20,0)+IF('計算A'!ED$106=1,1-IC20,0))*150+116+'計算A'!ED$5*100000+IF(AND($E20=1,NQ20=0),50000,0))+IF($H20=1,(IF('計算A'!EC$117=1,INDEX('計算A'!EC$10:EC$54,$B20),0)+IF('計算A'!ED$117=1,INDEX('計算A'!EE$10:EE$54,$B20),0))*4000,0)-IF(AND('計算A'!EC$117=1,ZA20&gt;0),2000,0)-IF(AND($L20=1,'計算A'!ED$117=1,IC20=0),2000,0))),1000000))</f>
        <v/>
      </c>
      <c r="TG20">
        <f>IF($B20=0,1000000,IF(INDEX('計算A'!$D$60:$EQ$104,$B20,132)*IC20=1,IF(AND($E20=2,NR20=0),1000000,IF($I20&gt;0,IF(6=$J20,IF(OR(AND(132=$I20+1,OR($K20&lt;&gt;'計算A'!$A$3,'計算A'!$A$4=0)),AND(132=$I20-1,OR(12&lt;&gt;'計算A'!$A$3,'計算A'!$A$4=0))),0,IF(12=$K20,200000,ABS(12-$K20)*100)),100000+ABS(6-$J20)*1000+120)+'計算A'!EE$5*50+IF(AND($E20=1,NR20=0),25,0),IF($F20&gt;0,INDEX('計算A'!EE$110:EE$114,$F20+1)+IF(AND($E20=1,NR20=0),1000,0),MIN(TZ20,20)*400+(IF('計算A'!ED$106=1,1-IB20,0)+IF('計算A'!EE$106=1,1-ID20,0))*150+126+'計算A'!EE$5*100000+IF(AND($E20=1,NR20=0),50000,0))+IF($H20=1,(IF('計算A'!ED$117=1,INDEX('計算A'!ED$10:ED$54,$B20),0)+IF('計算A'!EE$117=1,INDEX('計算A'!EF$10:EF$54,$B20),0))*4000,0)-IF(AND('計算A'!ED$117=1,ZB20&gt;0),2000,0)-IF(AND($L20=1,'計算A'!EE$117=1,ID20=0),2000,0))),1000000))</f>
        <v/>
      </c>
      <c r="TH20">
        <f>IF($B20=0,1000000,IF(INDEX('計算A'!$D$60:$EQ$104,$B20,133)*ID20=1,IF(AND($E20=2,NS20=0),1000000,IF($I20&gt;0,IF(6=$J20,IF(OR(AND(133=$I20+1,OR($K20&lt;&gt;'計算A'!$A$3,'計算A'!$A$4=0)),AND(133=$I20-1,OR(13&lt;&gt;'計算A'!$A$3,'計算A'!$A$4=0))),0,IF(13=$K20,200000,ABS(13-$K20)*100)),100000+ABS(6-$J20)*1000+130)+'計算A'!EF$5*50+IF(AND($E20=1,NS20=0),25,0),IF($F20&gt;0,INDEX('計算A'!EF$110:EF$114,$F20+1)+IF(AND($E20=1,NS20=0),1000,0),MIN(TZ20,20)*400+(IF('計算A'!EE$106=1,1-IC20,0)+IF('計算A'!EF$106=1,1-IE20,0))*150+136+'計算A'!EF$5*100000+IF(AND($E20=1,NS20=0),50000,0))+IF($H20=1,(IF('計算A'!EE$117=1,INDEX('計算A'!EE$10:EE$54,$B20),0)+IF('計算A'!EF$117=1,INDEX('計算A'!EG$10:EG$54,$B20),0))*4000,0)-IF(AND('計算A'!EE$117=1,ZC20&gt;0),2000,0)-IF(AND($L20=1,'計算A'!EF$117=1,IE20=0),2000,0))),1000000))</f>
        <v/>
      </c>
      <c r="TI20">
        <f>IF($B20=0,1000000,IF(INDEX('計算A'!$D$60:$EQ$104,$B20,134)*IE20=1,IF(AND($E20=2,NT20=0),1000000,IF($I20&gt;0,IF(6=$J20,IF(OR(AND(134=$I20+1,OR($K20&lt;&gt;'計算A'!$A$3,'計算A'!$A$4=0)),AND(134=$I20-1,OR(14&lt;&gt;'計算A'!$A$3,'計算A'!$A$4=0))),0,IF(14=$K20,200000,ABS(14-$K20)*100)),100000+ABS(6-$J20)*1000+140)+'計算A'!EG$5*50+IF(AND($E20=1,NT20=0),25,0),IF($F20&gt;0,INDEX('計算A'!EG$110:EG$114,$F20+1)+IF(AND($E20=1,NT20=0),1000,0),MIN(TZ20,20)*400+(IF('計算A'!EF$106=1,1-ID20,0)+IF('計算A'!EG$106=1,1-IF20,0))*150+146+'計算A'!EG$5*100000+IF(AND($E20=1,NT20=0),50000,0))+IF($H20=1,(IF('計算A'!EF$117=1,INDEX('計算A'!EF$10:EF$54,$B20),0)+IF('計算A'!EG$117=1,INDEX('計算A'!EH$10:EH$54,$B20),0))*4000,0)-IF(AND('計算A'!EF$117=1,ZD20&gt;0),2000,0)-IF(AND($L20=1,'計算A'!EG$117=1,IF20=0),2000,0))),1000000))</f>
        <v/>
      </c>
      <c r="TJ20">
        <f>IF($B20=0,1000000,IF(INDEX('計算A'!$D$60:$EQ$104,$B20,135)*IF20=1,IF(AND($E20=2,NU20=0),1000000,IF($I20&gt;0,IF(6=$J20,IF(OR(AND(135=$I20+1,OR($K20&lt;&gt;'計算A'!$A$3,'計算A'!$A$4=0)),AND(135=$I20-1,OR(15&lt;&gt;'計算A'!$A$3,'計算A'!$A$4=0))),0,IF(15=$K20,200000,ABS(15-$K20)*100)),100000+ABS(6-$J20)*1000+150)+'計算A'!EH$5*50+IF(AND($E20=1,NU20=0),25,0),IF($F20&gt;0,INDEX('計算A'!EH$110:EH$114,$F20+1)+IF(AND($E20=1,NU20=0),1000,0),MIN(TZ20,20)*400+(IF('計算A'!EG$106=1,1-IE20,0)+IF('計算A'!EH$106=1,1-IG20,0))*150+156+'計算A'!EH$5*100000+IF(AND($E20=1,NU20=0),50000,0))+IF($H20=1,(IF('計算A'!EG$117=1,INDEX('計算A'!EG$10:EG$54,$B20),0)+IF('計算A'!EH$117=1,INDEX('計算A'!EI$10:EI$54,$B20),0))*4000,0)-IF(AND('計算A'!EG$117=1,ZE20&gt;0),2000,0)-IF(AND($L20=1,'計算A'!EH$117=1,IG20=0),2000,0))),1000000))</f>
        <v/>
      </c>
      <c r="TK20">
        <f>IF($B20=0,1000000,IF(INDEX('計算A'!$D$60:$EQ$104,$B20,136)*IG20=1,IF(AND($E20=2,NV20=0),1000000,IF($I20&gt;0,IF(6=$J20,IF(OR(AND(136=$I20+1,OR($K20&lt;&gt;'計算A'!$A$3,'計算A'!$A$4=0)),AND(136=$I20-1,OR(16&lt;&gt;'計算A'!$A$3,'計算A'!$A$4=0))),0,IF(16=$K20,200000,ABS(16-$K20)*100)),100000+ABS(6-$J20)*1000+160)+'計算A'!EI$5*50+IF(AND($E20=1,NV20=0),25,0),IF($F20&gt;0,INDEX('計算A'!EI$110:EI$114,$F20+1)+IF(AND($E20=1,NV20=0),1000,0),MIN(TZ20,20)*400+(IF('計算A'!EH$106=1,1-IF20,0)+IF('計算A'!EI$106=1,1-IH20,0))*150+166+'計算A'!EI$5*100000+IF(AND($E20=1,NV20=0),50000,0))+IF($H20=1,(IF('計算A'!EH$117=1,INDEX('計算A'!EH$10:EH$54,$B20),0)+IF('計算A'!EI$117=1,INDEX('計算A'!EJ$10:EJ$54,$B20),0))*4000,0)-IF(AND('計算A'!EH$117=1,ZF20&gt;0),2000,0)-IF(AND($L20=1,'計算A'!EI$117=1,IH20=0),2000,0))),1000000))</f>
        <v/>
      </c>
      <c r="TL20">
        <f>IF($B20=0,1000000,IF(INDEX('計算A'!$D$60:$EQ$104,$B20,137)*IH20=1,IF(AND($E20=2,NW20=0),1000000,IF($I20&gt;0,IF(6=$J20,IF(OR(AND(137=$I20+1,OR($K20&lt;&gt;'計算A'!$A$3,'計算A'!$A$4=0)),AND(137=$I20-1,OR(17&lt;&gt;'計算A'!$A$3,'計算A'!$A$4=0))),0,IF(17=$K20,200000,ABS(17-$K20)*100)),100000+ABS(6-$J20)*1000+170)+'計算A'!EJ$5*50+IF(AND($E20=1,NW20=0),25,0),IF($F20&gt;0,INDEX('計算A'!EJ$110:EJ$114,$F20+1)+IF(AND($E20=1,NW20=0),1000,0),MIN(TZ20,20)*400+(IF('計算A'!EI$106=1,1-IG20,0)+IF('計算A'!EJ$106=1,1-II20,0))*150+176+'計算A'!EJ$5*100000+IF(AND($E20=1,NW20=0),50000,0))+IF($H20=1,(IF('計算A'!EI$117=1,INDEX('計算A'!EI$10:EI$54,$B20),0)+IF('計算A'!EJ$117=1,INDEX('計算A'!EK$10:EK$54,$B20),0))*4000,0)-IF(AND('計算A'!EI$117=1,ZG20&gt;0),2000,0)-IF(AND($L20=1,'計算A'!EJ$117=1,II20=0),2000,0))),1000000))</f>
        <v/>
      </c>
      <c r="TM20">
        <f>IF($B20=0,1000000,IF(INDEX('計算A'!$D$60:$EQ$104,$B20,138)*II20=1,IF(AND($E20=2,NX20=0),1000000,IF($I20&gt;0,IF(6=$J20,IF(OR(AND(138=$I20+1,OR($K20&lt;&gt;'計算A'!$A$3,'計算A'!$A$4=0)),AND(138=$I20-1,OR(18&lt;&gt;'計算A'!$A$3,'計算A'!$A$4=0))),0,IF(18=$K20,200000,ABS(18-$K20)*100)),100000+ABS(6-$J20)*1000+180)+'計算A'!EK$5*50+IF(AND($E20=1,NX20=0),25,0),IF($F20&gt;0,INDEX('計算A'!EK$110:EK$114,$F20+1)+IF(AND($E20=1,NX20=0),1000,0),MIN(TZ20,20)*400+(IF('計算A'!EJ$106=1,1-IH20,0)+IF('計算A'!EK$106=1,1-IJ20,0))*150+186+'計算A'!EK$5*100000+IF(AND($E20=1,NX20=0),50000,0))+IF($H20=1,(IF('計算A'!EJ$117=1,INDEX('計算A'!EJ$10:EJ$54,$B20),0)+IF('計算A'!EK$117=1,INDEX('計算A'!EL$10:EL$54,$B20),0))*4000,0)-IF(AND('計算A'!EJ$117=1,ZH20&gt;0),2000,0)-IF(AND($L20=1,'計算A'!EK$117=1,IJ20=0),2000,0))),1000000))</f>
        <v/>
      </c>
      <c r="TN20">
        <f>IF($B20=0,1000000,IF(INDEX('計算A'!$D$60:$EQ$104,$B20,139)*IJ20=1,IF(AND($E20=2,NY20=0),1000000,IF($I20&gt;0,IF(6=$J20,IF(OR(AND(139=$I20+1,OR($K20&lt;&gt;'計算A'!$A$3,'計算A'!$A$4=0)),AND(139=$I20-1,OR(19&lt;&gt;'計算A'!$A$3,'計算A'!$A$4=0))),0,IF(19=$K20,200000,ABS(19-$K20)*100)),100000+ABS(6-$J20)*1000+190)+'計算A'!EL$5*50+IF(AND($E20=1,NY20=0),25,0),IF($F20&gt;0,INDEX('計算A'!EL$110:EL$114,$F20+1)+IF(AND($E20=1,NY20=0),1000,0),MIN(TZ20,20)*400+(IF('計算A'!EK$106=1,1-II20,0)+IF('計算A'!EL$106=1,1-IK20,0))*150+196+'計算A'!EL$5*100000+IF(AND($E20=1,NY20=0),50000,0))+IF($H20=1,(IF('計算A'!EK$117=1,INDEX('計算A'!EK$10:EK$54,$B20),0)+IF('計算A'!EL$117=1,INDEX('計算A'!EM$10:EM$54,$B20),0))*4000,0)-IF(AND('計算A'!EK$117=1,ZI20&gt;0),2000,0)-IF(AND($L20=1,'計算A'!EL$117=1,IK20=0),2000,0))),1000000))</f>
        <v/>
      </c>
      <c r="TO20">
        <f>IF($B20=0,1000000,IF(INDEX('計算A'!$D$60:$EQ$104,$B20,140)*IK20=1,IF(AND($E20=2,NZ20=0),1000000,IF($I20&gt;0,IF(6=$J20,IF(OR(AND(140=$I20+1,OR($K20&lt;&gt;'計算A'!$A$3,'計算A'!$A$4=0)),AND(140=$I20-1,OR(20&lt;&gt;'計算A'!$A$3,'計算A'!$A$4=0))),0,IF(20=$K20,200000,ABS(20-$K20)*100)),100000+ABS(6-$J20)*1000+200)+'計算A'!EM$5*50+IF(AND($E20=1,NZ20=0),25,0),IF($F20&gt;0,INDEX('計算A'!EM$110:EM$114,$F20+1)+IF(AND($E20=1,NZ20=0),1000,0),MIN(TZ20,20)*400+(IF('計算A'!EL$106=1,1-IJ20,0)+IF('計算A'!EM$106=1,1-IL20,0))*150+206+'計算A'!EM$5*100000+IF(AND($E20=1,NZ20=0),50000,0))+IF($H20=1,(IF('計算A'!EL$117=1,INDEX('計算A'!EL$10:EL$54,$B20),0)+IF('計算A'!EM$117=1,INDEX('計算A'!EN$10:EN$54,$B20),0))*4000,0)-IF(AND('計算A'!EL$117=1,ZJ20&gt;0),2000,0)-IF(AND($L20=1,'計算A'!EM$117=1,IL20=0),2000,0))),1000000))</f>
        <v/>
      </c>
      <c r="TP20">
        <f>IF($B20=0,1000000,IF(INDEX('計算A'!$D$60:$EQ$104,$B20,141)*IL20=1,IF(AND($E20=2,OA20=0),1000000,IF($I20&gt;0,IF(6=$J20,IF(OR(AND(141=$I20+1,OR($K20&lt;&gt;'計算A'!$A$3,'計算A'!$A$4=0)),AND(141=$I20-1,OR(21&lt;&gt;'計算A'!$A$3,'計算A'!$A$4=0))),0,IF(21=$K20,200000,ABS(21-$K20)*100)),100000+ABS(6-$J20)*1000+210)+'計算A'!EN$5*50+IF(AND($E20=1,OA20=0),25,0),IF($F20&gt;0,INDEX('計算A'!EN$110:EN$114,$F20+1)+IF(AND($E20=1,OA20=0),1000,0),MIN(TZ20,20)*400+(IF('計算A'!EM$106=1,1-IK20,0)+IF('計算A'!EN$106=1,1-IM20,0))*150+216+'計算A'!EN$5*100000+IF(AND($E20=1,OA20=0),50000,0))+IF($H20=1,(IF('計算A'!EM$117=1,INDEX('計算A'!EM$10:EM$54,$B20),0)+IF('計算A'!EN$117=1,INDEX('計算A'!EO$10:EO$54,$B20),0))*4000,0)-IF(AND('計算A'!EM$117=1,ZK20&gt;0),2000,0)-IF(AND($L20=1,'計算A'!EN$117=1,IM20=0),2000,0))),1000000))</f>
        <v/>
      </c>
      <c r="TQ20">
        <f>IF($B20=0,1000000,IF(INDEX('計算A'!$D$60:$EQ$104,$B20,142)*IM20=1,IF(AND($E20=2,OB20=0),1000000,IF($I20&gt;0,IF(6=$J20,IF(OR(AND(142=$I20+1,OR($K20&lt;&gt;'計算A'!$A$3,'計算A'!$A$4=0)),AND(142=$I20-1,OR(22&lt;&gt;'計算A'!$A$3,'計算A'!$A$4=0))),0,IF(22=$K20,200000,ABS(22-$K20)*100)),100000+ABS(6-$J20)*1000+220)+'計算A'!EO$5*50+IF(AND($E20=1,OB20=0),25,0),IF($F20&gt;0,INDEX('計算A'!EO$110:EO$114,$F20+1)+IF(AND($E20=1,OB20=0),1000,0),MIN(TZ20,20)*400+(IF('計算A'!EN$106=1,1-IL20,0)+IF('計算A'!EO$106=1,1-IN20,0))*150+226+'計算A'!EO$5*100000+IF(AND($E20=1,OB20=0),50000,0))+IF($H20=1,(IF('計算A'!EN$117=1,INDEX('計算A'!EN$10:EN$54,$B20),0)+IF('計算A'!EO$117=1,INDEX('計算A'!EP$10:EP$54,$B20),0))*4000,0)-IF(AND('計算A'!EN$117=1,ZL20&gt;0),2000,0)-IF(AND($L20=1,'計算A'!EO$117=1,IN20=0),2000,0))),1000000))</f>
        <v/>
      </c>
      <c r="TR20">
        <f>IF($B20=0,1000000,IF(INDEX('計算A'!$D$60:$EQ$104,$B20,143)*IN20=1,IF(AND($E20=2,OC20=0),1000000,IF($I20&gt;0,IF(6=$J20,IF(OR(AND(143=$I20+1,OR($K20&lt;&gt;'計算A'!$A$3,'計算A'!$A$4=0)),AND(143=$I20-1,OR(23&lt;&gt;'計算A'!$A$3,'計算A'!$A$4=0))),0,IF(23=$K20,200000,ABS(23-$K20)*100)),100000+ABS(6-$J20)*1000+230)+'計算A'!EP$5*50+IF(AND($E20=1,OC20=0),25,0),IF($F20&gt;0,INDEX('計算A'!EP$110:EP$114,$F20+1)+IF(AND($E20=1,OC20=0),1000,0),MIN(TZ20,20)*400+(IF('計算A'!EO$106=1,1-IM20,0)+IF('計算A'!EP$106=1,1-IO20,0))*150+236+'計算A'!EP$5*100000+IF(AND($E20=1,OC20=0),50000,0))+IF($H20=1,(IF('計算A'!EO$117=1,INDEX('計算A'!EO$10:EO$54,$B20),0)+IF('計算A'!EP$117=1,INDEX('計算A'!EQ$10:EQ$54,$B20),0))*4000,0)-IF(AND('計算A'!EO$117=1,ZM20&gt;0),2000,0)-IF(AND($L20=1,'計算A'!EP$117=1,IO20=0),2000,0))),1000000))</f>
        <v/>
      </c>
      <c r="TS20">
        <f>IF($B20=0,1000000,IF(INDEX('計算A'!$D$60:$EQ$104,$B20,144)*IO20=1,IF(AND($E20=2,OD20=0),1000000,IF($I20&gt;0,IF(6=$J20,IF(OR(AND(144=$I20+1,OR($K20&lt;&gt;'計算A'!$A$3,'計算A'!$A$4=0)),AND(144=$I20-1,OR(24&lt;&gt;'計算A'!$A$3,'計算A'!$A$4=0))),0,IF(24=$K20,200000,ABS(24-$K20)*100)),100000+ABS(6-$J20)*1000+240)+'計算A'!EQ$5*50+IF(AND($E20=1,OD20=0),25,0),IF($F20&gt;0,INDEX('計算A'!EQ$110:EQ$114,$F20+1)+IF(AND($E20=1,OD20=0),1000,0),MIN(TZ20,20)*400+(IF('計算A'!EP$106=1,1-IN20,0))*150+246+'計算A'!EQ$5*100000+IF(AND($E20=1,OD20=0),50000,0))+IF($H20=1,(IF('計算A'!EP$117=1,INDEX('計算A'!EP$10:EP$54,$B20),0))*4000,0)-IF(AND('計算A'!EP$117=1,ZN20&gt;0),2000,0))),1000000))</f>
        <v/>
      </c>
      <c r="TU20">
        <f>TU19+IF($C19&gt;0,IF(INDEX('計算A'!$D$2:$EQ$2,$C19)=1,1,0),0)</f>
        <v/>
      </c>
      <c r="TV20">
        <f>TV19+IF($C19&gt;0,IF(INDEX('計算A'!$D$2:$EQ$2,$C19)=2,1,0),0)</f>
        <v/>
      </c>
      <c r="TW20">
        <f>TW19+IF($C19&gt;0,IF(INDEX('計算A'!$D$2:$EQ$2,$C19)=3,1,0),0)</f>
        <v/>
      </c>
      <c r="TX20">
        <f>TX19+IF($C19&gt;0,IF(INDEX('計算A'!$D$2:$EQ$2,$C19)=4,1,0),0)</f>
        <v/>
      </c>
      <c r="TY20">
        <f>TY19+IF($C19&gt;0,IF(INDEX('計算A'!$D$2:$EQ$2,$C19)=5,1,0),0)</f>
        <v/>
      </c>
      <c r="TZ20">
        <f>TZ19+IF($C19&gt;0,IF(INDEX('計算A'!$D$2:$EQ$2,$C19)=6,1,0),0)</f>
        <v/>
      </c>
      <c r="UB20">
        <f>UB19+IF(AND($C19=1,$L19=1),1,0)</f>
        <v/>
      </c>
      <c r="UC20">
        <f>UC19+IF(AND($C19=2,$L19=1),1,0)</f>
        <v/>
      </c>
      <c r="UD20">
        <f>UD19+IF(AND($C19=3,$L19=1),1,0)</f>
        <v/>
      </c>
      <c r="UE20">
        <f>UE19+IF(AND($C19=4,$L19=1),1,0)</f>
        <v/>
      </c>
      <c r="UF20">
        <f>UF19+IF(AND($C19=5,$L19=1),1,0)</f>
        <v/>
      </c>
      <c r="UG20">
        <f>UG19+IF(AND($C19=6,$L19=1),1,0)</f>
        <v/>
      </c>
      <c r="UH20">
        <f>UH19+IF(AND($C19=7,$L19=1),1,0)</f>
        <v/>
      </c>
      <c r="UI20">
        <f>UI19+IF(AND($C19=8,$L19=1),1,0)</f>
        <v/>
      </c>
      <c r="UJ20">
        <f>UJ19+IF(AND($C19=9,$L19=1),1,0)</f>
        <v/>
      </c>
      <c r="UK20">
        <f>UK19+IF(AND($C19=10,$L19=1),1,0)</f>
        <v/>
      </c>
      <c r="UL20">
        <f>UL19+IF(AND($C19=11,$L19=1),1,0)</f>
        <v/>
      </c>
      <c r="UM20">
        <f>UM19+IF(AND($C19=12,$L19=1),1,0)</f>
        <v/>
      </c>
      <c r="UN20">
        <f>UN19+IF(AND($C19=13,$L19=1),1,0)</f>
        <v/>
      </c>
      <c r="UO20">
        <f>UO19+IF(AND($C19=14,$L19=1),1,0)</f>
        <v/>
      </c>
      <c r="UP20">
        <f>UP19+IF(AND($C19=15,$L19=1),1,0)</f>
        <v/>
      </c>
      <c r="UQ20">
        <f>UQ19+IF(AND($C19=16,$L19=1),1,0)</f>
        <v/>
      </c>
      <c r="UR20">
        <f>UR19+IF(AND($C19=17,$L19=1),1,0)</f>
        <v/>
      </c>
      <c r="US20">
        <f>US19+IF(AND($C19=18,$L19=1),1,0)</f>
        <v/>
      </c>
      <c r="UT20">
        <f>UT19+IF(AND($C19=19,$L19=1),1,0)</f>
        <v/>
      </c>
      <c r="UU20">
        <f>UU19+IF(AND($C19=20,$L19=1),1,0)</f>
        <v/>
      </c>
      <c r="UV20">
        <f>UV19+IF(AND($C19=21,$L19=1),1,0)</f>
        <v/>
      </c>
      <c r="UW20">
        <f>UW19+IF(AND($C19=22,$L19=1),1,0)</f>
        <v/>
      </c>
      <c r="UX20">
        <f>UX19+IF(AND($C19=23,$L19=1),1,0)</f>
        <v/>
      </c>
      <c r="UY20">
        <f>UY19+IF(AND($C19=24,$L19=1),1,0)</f>
        <v/>
      </c>
      <c r="UZ20">
        <f>UZ19+IF(AND($C19=25,$L19=1),1,0)</f>
        <v/>
      </c>
      <c r="VA20">
        <f>VA19+IF(AND($C19=26,$L19=1),1,0)</f>
        <v/>
      </c>
      <c r="VB20">
        <f>VB19+IF(AND($C19=27,$L19=1),1,0)</f>
        <v/>
      </c>
      <c r="VC20">
        <f>VC19+IF(AND($C19=28,$L19=1),1,0)</f>
        <v/>
      </c>
      <c r="VD20">
        <f>VD19+IF(AND($C19=29,$L19=1),1,0)</f>
        <v/>
      </c>
      <c r="VE20">
        <f>VE19+IF(AND($C19=30,$L19=1),1,0)</f>
        <v/>
      </c>
      <c r="VF20">
        <f>VF19+IF(AND($C19=31,$L19=1),1,0)</f>
        <v/>
      </c>
      <c r="VG20">
        <f>VG19+IF(AND($C19=32,$L19=1),1,0)</f>
        <v/>
      </c>
      <c r="VH20">
        <f>VH19+IF(AND($C19=33,$L19=1),1,0)</f>
        <v/>
      </c>
      <c r="VI20">
        <f>VI19+IF(AND($C19=34,$L19=1),1,0)</f>
        <v/>
      </c>
      <c r="VJ20">
        <f>VJ19+IF(AND($C19=35,$L19=1),1,0)</f>
        <v/>
      </c>
      <c r="VK20">
        <f>VK19+IF(AND($C19=36,$L19=1),1,0)</f>
        <v/>
      </c>
      <c r="VL20">
        <f>VL19+IF(AND($C19=37,$L19=1),1,0)</f>
        <v/>
      </c>
      <c r="VM20">
        <f>VM19+IF(AND($C19=38,$L19=1),1,0)</f>
        <v/>
      </c>
      <c r="VN20">
        <f>VN19+IF(AND($C19=39,$L19=1),1,0)</f>
        <v/>
      </c>
      <c r="VO20">
        <f>VO19+IF(AND($C19=40,$L19=1),1,0)</f>
        <v/>
      </c>
      <c r="VP20">
        <f>VP19+IF(AND($C19=41,$L19=1),1,0)</f>
        <v/>
      </c>
      <c r="VQ20">
        <f>VQ19+IF(AND($C19=42,$L19=1),1,0)</f>
        <v/>
      </c>
      <c r="VR20">
        <f>VR19+IF(AND($C19=43,$L19=1),1,0)</f>
        <v/>
      </c>
      <c r="VS20">
        <f>VS19+IF(AND($C19=44,$L19=1),1,0)</f>
        <v/>
      </c>
      <c r="VT20">
        <f>VT19+IF(AND($C19=45,$L19=1),1,0)</f>
        <v/>
      </c>
      <c r="VU20">
        <f>VU19+IF(AND($C19=46,$L19=1),1,0)</f>
        <v/>
      </c>
      <c r="VV20">
        <f>VV19+IF(AND($C19=47,$L19=1),1,0)</f>
        <v/>
      </c>
      <c r="VW20">
        <f>VW19+IF(AND($C19=48,$L19=1),1,0)</f>
        <v/>
      </c>
      <c r="VX20">
        <f>VX19+IF(AND($C19=49,$L19=1),1,0)</f>
        <v/>
      </c>
      <c r="VY20">
        <f>VY19+IF(AND($C19=50,$L19=1),1,0)</f>
        <v/>
      </c>
      <c r="VZ20">
        <f>VZ19+IF(AND($C19=51,$L19=1),1,0)</f>
        <v/>
      </c>
      <c r="WA20">
        <f>WA19+IF(AND($C19=52,$L19=1),1,0)</f>
        <v/>
      </c>
      <c r="WB20">
        <f>WB19+IF(AND($C19=53,$L19=1),1,0)</f>
        <v/>
      </c>
      <c r="WC20">
        <f>WC19+IF(AND($C19=54,$L19=1),1,0)</f>
        <v/>
      </c>
      <c r="WD20">
        <f>WD19+IF(AND($C19=55,$L19=1),1,0)</f>
        <v/>
      </c>
      <c r="WE20">
        <f>WE19+IF(AND($C19=56,$L19=1),1,0)</f>
        <v/>
      </c>
      <c r="WF20">
        <f>WF19+IF(AND($C19=57,$L19=1),1,0)</f>
        <v/>
      </c>
      <c r="WG20">
        <f>WG19+IF(AND($C19=58,$L19=1),1,0)</f>
        <v/>
      </c>
      <c r="WH20">
        <f>WH19+IF(AND($C19=59,$L19=1),1,0)</f>
        <v/>
      </c>
      <c r="WI20">
        <f>WI19+IF(AND($C19=60,$L19=1),1,0)</f>
        <v/>
      </c>
      <c r="WJ20">
        <f>WJ19+IF(AND($C19=61,$L19=1),1,0)</f>
        <v/>
      </c>
      <c r="WK20">
        <f>WK19+IF(AND($C19=62,$L19=1),1,0)</f>
        <v/>
      </c>
      <c r="WL20">
        <f>WL19+IF(AND($C19=63,$L19=1),1,0)</f>
        <v/>
      </c>
      <c r="WM20">
        <f>WM19+IF(AND($C19=64,$L19=1),1,0)</f>
        <v/>
      </c>
      <c r="WN20">
        <f>WN19+IF(AND($C19=65,$L19=1),1,0)</f>
        <v/>
      </c>
      <c r="WO20">
        <f>WO19+IF(AND($C19=66,$L19=1),1,0)</f>
        <v/>
      </c>
      <c r="WP20">
        <f>WP19+IF(AND($C19=67,$L19=1),1,0)</f>
        <v/>
      </c>
      <c r="WQ20">
        <f>WQ19+IF(AND($C19=68,$L19=1),1,0)</f>
        <v/>
      </c>
      <c r="WR20">
        <f>WR19+IF(AND($C19=69,$L19=1),1,0)</f>
        <v/>
      </c>
      <c r="WS20">
        <f>WS19+IF(AND($C19=70,$L19=1),1,0)</f>
        <v/>
      </c>
      <c r="WT20">
        <f>WT19+IF(AND($C19=71,$L19=1),1,0)</f>
        <v/>
      </c>
      <c r="WU20">
        <f>WU19+IF(AND($C19=72,$L19=1),1,0)</f>
        <v/>
      </c>
      <c r="WV20">
        <f>WV19+IF(AND($C19=73,$L19=1),1,0)</f>
        <v/>
      </c>
      <c r="WW20">
        <f>WW19+IF(AND($C19=74,$L19=1),1,0)</f>
        <v/>
      </c>
      <c r="WX20">
        <f>WX19+IF(AND($C19=75,$L19=1),1,0)</f>
        <v/>
      </c>
      <c r="WY20">
        <f>WY19+IF(AND($C19=76,$L19=1),1,0)</f>
        <v/>
      </c>
      <c r="WZ20">
        <f>WZ19+IF(AND($C19=77,$L19=1),1,0)</f>
        <v/>
      </c>
      <c r="XA20">
        <f>XA19+IF(AND($C19=78,$L19=1),1,0)</f>
        <v/>
      </c>
      <c r="XB20">
        <f>XB19+IF(AND($C19=79,$L19=1),1,0)</f>
        <v/>
      </c>
      <c r="XC20">
        <f>XC19+IF(AND($C19=80,$L19=1),1,0)</f>
        <v/>
      </c>
      <c r="XD20">
        <f>XD19+IF(AND($C19=81,$L19=1),1,0)</f>
        <v/>
      </c>
      <c r="XE20">
        <f>XE19+IF(AND($C19=82,$L19=1),1,0)</f>
        <v/>
      </c>
      <c r="XF20">
        <f>XF19+IF(AND($C19=83,$L19=1),1,0)</f>
        <v/>
      </c>
      <c r="XG20">
        <f>XG19+IF(AND($C19=84,$L19=1),1,0)</f>
        <v/>
      </c>
      <c r="XH20">
        <f>XH19+IF(AND($C19=85,$L19=1),1,0)</f>
        <v/>
      </c>
      <c r="XI20">
        <f>XI19+IF(AND($C19=86,$L19=1),1,0)</f>
        <v/>
      </c>
      <c r="XJ20">
        <f>XJ19+IF(AND($C19=87,$L19=1),1,0)</f>
        <v/>
      </c>
      <c r="XK20">
        <f>XK19+IF(AND($C19=88,$L19=1),1,0)</f>
        <v/>
      </c>
      <c r="XL20">
        <f>XL19+IF(AND($C19=89,$L19=1),1,0)</f>
        <v/>
      </c>
      <c r="XM20">
        <f>XM19+IF(AND($C19=90,$L19=1),1,0)</f>
        <v/>
      </c>
      <c r="XN20">
        <f>XN19+IF(AND($C19=91,$L19=1),1,0)</f>
        <v/>
      </c>
      <c r="XO20">
        <f>XO19+IF(AND($C19=92,$L19=1),1,0)</f>
        <v/>
      </c>
      <c r="XP20">
        <f>XP19+IF(AND($C19=93,$L19=1),1,0)</f>
        <v/>
      </c>
      <c r="XQ20">
        <f>XQ19+IF(AND($C19=94,$L19=1),1,0)</f>
        <v/>
      </c>
      <c r="XR20">
        <f>XR19+IF(AND($C19=95,$L19=1),1,0)</f>
        <v/>
      </c>
      <c r="XS20">
        <f>XS19+IF(AND($C19=96,$L19=1),1,0)</f>
        <v/>
      </c>
      <c r="XT20">
        <f>XT19+IF(AND($C19=97,$L19=1),1,0)</f>
        <v/>
      </c>
      <c r="XU20">
        <f>XU19+IF(AND($C19=98,$L19=1),1,0)</f>
        <v/>
      </c>
      <c r="XV20">
        <f>XV19+IF(AND($C19=99,$L19=1),1,0)</f>
        <v/>
      </c>
      <c r="XW20">
        <f>XW19+IF(AND($C19=100,$L19=1),1,0)</f>
        <v/>
      </c>
      <c r="XX20">
        <f>XX19+IF(AND($C19=101,$L19=1),1,0)</f>
        <v/>
      </c>
      <c r="XY20">
        <f>XY19+IF(AND($C19=102,$L19=1),1,0)</f>
        <v/>
      </c>
      <c r="XZ20">
        <f>XZ19+IF(AND($C19=103,$L19=1),1,0)</f>
        <v/>
      </c>
      <c r="YA20">
        <f>YA19+IF(AND($C19=104,$L19=1),1,0)</f>
        <v/>
      </c>
      <c r="YB20">
        <f>YB19+IF(AND($C19=105,$L19=1),1,0)</f>
        <v/>
      </c>
      <c r="YC20">
        <f>YC19+IF(AND($C19=106,$L19=1),1,0)</f>
        <v/>
      </c>
      <c r="YD20">
        <f>YD19+IF(AND($C19=107,$L19=1),1,0)</f>
        <v/>
      </c>
      <c r="YE20">
        <f>YE19+IF(AND($C19=108,$L19=1),1,0)</f>
        <v/>
      </c>
      <c r="YF20">
        <f>YF19+IF(AND($C19=109,$L19=1),1,0)</f>
        <v/>
      </c>
      <c r="YG20">
        <f>YG19+IF(AND($C19=110,$L19=1),1,0)</f>
        <v/>
      </c>
      <c r="YH20">
        <f>YH19+IF(AND($C19=111,$L19=1),1,0)</f>
        <v/>
      </c>
      <c r="YI20">
        <f>YI19+IF(AND($C19=112,$L19=1),1,0)</f>
        <v/>
      </c>
      <c r="YJ20">
        <f>YJ19+IF(AND($C19=113,$L19=1),1,0)</f>
        <v/>
      </c>
      <c r="YK20">
        <f>YK19+IF(AND($C19=114,$L19=1),1,0)</f>
        <v/>
      </c>
      <c r="YL20">
        <f>YL19+IF(AND($C19=115,$L19=1),1,0)</f>
        <v/>
      </c>
      <c r="YM20">
        <f>YM19+IF(AND($C19=116,$L19=1),1,0)</f>
        <v/>
      </c>
      <c r="YN20">
        <f>YN19+IF(AND($C19=117,$L19=1),1,0)</f>
        <v/>
      </c>
      <c r="YO20">
        <f>YO19+IF(AND($C19=118,$L19=1),1,0)</f>
        <v/>
      </c>
      <c r="YP20">
        <f>YP19+IF(AND($C19=119,$L19=1),1,0)</f>
        <v/>
      </c>
      <c r="YQ20">
        <f>YQ19+IF(AND($C19=120,$L19=1),1,0)</f>
        <v/>
      </c>
      <c r="YR20">
        <f>YR19+IF(AND($C19=121,$L19=1),1,0)</f>
        <v/>
      </c>
      <c r="YS20">
        <f>YS19+IF(AND($C19=122,$L19=1),1,0)</f>
        <v/>
      </c>
      <c r="YT20">
        <f>YT19+IF(AND($C19=123,$L19=1),1,0)</f>
        <v/>
      </c>
      <c r="YU20">
        <f>YU19+IF(AND($C19=124,$L19=1),1,0)</f>
        <v/>
      </c>
      <c r="YV20">
        <f>YV19+IF(AND($C19=125,$L19=1),1,0)</f>
        <v/>
      </c>
      <c r="YW20">
        <f>YW19+IF(AND($C19=126,$L19=1),1,0)</f>
        <v/>
      </c>
      <c r="YX20">
        <f>YX19+IF(AND($C19=127,$L19=1),1,0)</f>
        <v/>
      </c>
      <c r="YY20">
        <f>YY19+IF(AND($C19=128,$L19=1),1,0)</f>
        <v/>
      </c>
      <c r="YZ20">
        <f>YZ19+IF(AND($C19=129,$L19=1),1,0)</f>
        <v/>
      </c>
      <c r="ZA20">
        <f>ZA19+IF(AND($C19=130,$L19=1),1,0)</f>
        <v/>
      </c>
      <c r="ZB20">
        <f>ZB19+IF(AND($C19=131,$L19=1),1,0)</f>
        <v/>
      </c>
      <c r="ZC20">
        <f>ZC19+IF(AND($C19=132,$L19=1),1,0)</f>
        <v/>
      </c>
      <c r="ZD20">
        <f>ZD19+IF(AND($C19=133,$L19=1),1,0)</f>
        <v/>
      </c>
      <c r="ZE20">
        <f>ZE19+IF(AND($C19=134,$L19=1),1,0)</f>
        <v/>
      </c>
      <c r="ZF20">
        <f>ZF19+IF(AND($C19=135,$L19=1),1,0)</f>
        <v/>
      </c>
      <c r="ZG20">
        <f>ZG19+IF(AND($C19=136,$L19=1),1,0)</f>
        <v/>
      </c>
      <c r="ZH20">
        <f>ZH19+IF(AND($C19=137,$L19=1),1,0)</f>
        <v/>
      </c>
      <c r="ZI20">
        <f>ZI19+IF(AND($C19=138,$L19=1),1,0)</f>
        <v/>
      </c>
      <c r="ZJ20">
        <f>ZJ19+IF(AND($C19=139,$L19=1),1,0)</f>
        <v/>
      </c>
      <c r="ZK20">
        <f>ZK19+IF(AND($C19=140,$L19=1),1,0)</f>
        <v/>
      </c>
      <c r="ZL20">
        <f>ZL19+IF(AND($C19=141,$L19=1),1,0)</f>
        <v/>
      </c>
      <c r="ZM20">
        <f>ZM19+IF(AND($C19=142,$L19=1),1,0)</f>
        <v/>
      </c>
      <c r="ZN20">
        <f>ZN19+IF(AND($C19=143,$L19=1),1,0)</f>
        <v/>
      </c>
      <c r="ZO20">
        <f>ZO19+IF(AND($C19=144,$L19=1),1,0)</f>
        <v/>
      </c>
    </row>
    <row r="21">
      <c r="A21" t="n">
        <v>19</v>
      </c>
      <c r="B21">
        <f>IF(MIN(BH21:CZ21)&gt;=1000000,0,MATCH(MIN(BH21:CZ21),BH21:CZ21,0))</f>
        <v/>
      </c>
      <c r="C21">
        <f>IF(MIN(OF21:TS21)&gt;=1000000,0,MATCH(MIN(OF21:TS21),OF21:TS21,0))</f>
        <v/>
      </c>
      <c r="D21">
        <f>IF(C21&gt;0,INDEX('計算A'!$D$5:$EQ$5,C21),0)</f>
        <v/>
      </c>
      <c r="E21">
        <f>IF(B21=0,0,INDEX('計算A'!$IQ$10:$IQ$54,B21))</f>
        <v/>
      </c>
      <c r="F21">
        <f>IF(B21=0,0,INDEX('計算A'!$IP$10:$IP$54,B21))</f>
        <v/>
      </c>
      <c r="G21">
        <f>IF(AND(C21&gt;0,E21&gt;0),IF(AND(INDEX('計算A'!$D$106:$EQ$106,C21)=1,INDEX($IQ21:$OD21,C21)=1),C21+1,0),0)</f>
        <v/>
      </c>
      <c r="H21">
        <f>IF(B21=0,0,INDEX('計算A'!$IW$10:$IW$54,B21))</f>
        <v/>
      </c>
      <c r="I21">
        <f>IF(B21=0,0,MAX(0,INDEX('計算A'!$IT$10:$IT$54,B21)))</f>
        <v/>
      </c>
      <c r="J21">
        <f>IF(I21=0,0,INDEX('計算A'!$D$2:$EQ$2,I21))</f>
        <v/>
      </c>
      <c r="K21">
        <f>IF(I21=0,0,INDEX('計算A'!$D$3:$EQ$3,I21))</f>
        <v/>
      </c>
      <c r="L21">
        <f>IF(B21=0,0,INDEX('計算A'!$IX$10:$IX$54,B21))</f>
        <v/>
      </c>
      <c r="N21">
        <f>MAX(N20,IF($B20=1,1,0))</f>
        <v/>
      </c>
      <c r="O21">
        <f>MAX(O20,IF($B20=2,1,0))</f>
        <v/>
      </c>
      <c r="P21">
        <f>MAX(P20,IF($B20=3,1,0))</f>
        <v/>
      </c>
      <c r="Q21">
        <f>MAX(Q20,IF($B20=4,1,0))</f>
        <v/>
      </c>
      <c r="R21">
        <f>MAX(R20,IF($B20=5,1,0))</f>
        <v/>
      </c>
      <c r="S21">
        <f>MAX(S20,IF($B20=6,1,0))</f>
        <v/>
      </c>
      <c r="T21">
        <f>MAX(T20,IF($B20=7,1,0))</f>
        <v/>
      </c>
      <c r="U21">
        <f>MAX(U20,IF($B20=8,1,0))</f>
        <v/>
      </c>
      <c r="V21">
        <f>MAX(V20,IF($B20=9,1,0))</f>
        <v/>
      </c>
      <c r="W21">
        <f>MAX(W20,IF($B20=10,1,0))</f>
        <v/>
      </c>
      <c r="X21">
        <f>MAX(X20,IF($B20=11,1,0))</f>
        <v/>
      </c>
      <c r="Y21">
        <f>MAX(Y20,IF($B20=12,1,0))</f>
        <v/>
      </c>
      <c r="Z21">
        <f>MAX(Z20,IF($B20=13,1,0))</f>
        <v/>
      </c>
      <c r="AA21">
        <f>MAX(AA20,IF($B20=14,1,0))</f>
        <v/>
      </c>
      <c r="AB21">
        <f>MAX(AB20,IF($B20=15,1,0))</f>
        <v/>
      </c>
      <c r="AC21">
        <f>MAX(AC20,IF($B20=16,1,0))</f>
        <v/>
      </c>
      <c r="AD21">
        <f>MAX(AD20,IF($B20=17,1,0))</f>
        <v/>
      </c>
      <c r="AE21">
        <f>MAX(AE20,IF($B20=18,1,0))</f>
        <v/>
      </c>
      <c r="AF21">
        <f>MAX(AF20,IF($B20=19,1,0))</f>
        <v/>
      </c>
      <c r="AG21">
        <f>MAX(AG20,IF($B20=20,1,0))</f>
        <v/>
      </c>
      <c r="AH21">
        <f>MAX(AH20,IF($B20=21,1,0))</f>
        <v/>
      </c>
      <c r="AI21">
        <f>MAX(AI20,IF($B20=22,1,0))</f>
        <v/>
      </c>
      <c r="AJ21">
        <f>MAX(AJ20,IF($B20=23,1,0))</f>
        <v/>
      </c>
      <c r="AK21">
        <f>MAX(AK20,IF($B20=24,1,0))</f>
        <v/>
      </c>
      <c r="AL21">
        <f>MAX(AL20,IF($B20=25,1,0))</f>
        <v/>
      </c>
      <c r="AM21">
        <f>MAX(AM20,IF($B20=26,1,0))</f>
        <v/>
      </c>
      <c r="AN21">
        <f>MAX(AN20,IF($B20=27,1,0))</f>
        <v/>
      </c>
      <c r="AO21">
        <f>MAX(AO20,IF($B20=28,1,0))</f>
        <v/>
      </c>
      <c r="AP21">
        <f>MAX(AP20,IF($B20=29,1,0))</f>
        <v/>
      </c>
      <c r="AQ21">
        <f>MAX(AQ20,IF($B20=30,1,0))</f>
        <v/>
      </c>
      <c r="AR21">
        <f>MAX(AR20,IF($B20=31,1,0))</f>
        <v/>
      </c>
      <c r="AS21">
        <f>MAX(AS20,IF($B20=32,1,0))</f>
        <v/>
      </c>
      <c r="AT21">
        <f>MAX(AT20,IF($B20=33,1,0))</f>
        <v/>
      </c>
      <c r="AU21">
        <f>MAX(AU20,IF($B20=34,1,0))</f>
        <v/>
      </c>
      <c r="AV21">
        <f>MAX(AV20,IF($B20=35,1,0))</f>
        <v/>
      </c>
      <c r="AW21">
        <f>MAX(AW20,IF($B20=36,1,0))</f>
        <v/>
      </c>
      <c r="AX21">
        <f>MAX(AX20,IF($B20=37,1,0))</f>
        <v/>
      </c>
      <c r="AY21">
        <f>MAX(AY20,IF($B20=38,1,0))</f>
        <v/>
      </c>
      <c r="AZ21">
        <f>MAX(AZ20,IF($B20=39,1,0))</f>
        <v/>
      </c>
      <c r="BA21">
        <f>MAX(BA20,IF($B20=40,1,0))</f>
        <v/>
      </c>
      <c r="BB21">
        <f>MAX(BB20,IF($B20=41,1,0))</f>
        <v/>
      </c>
      <c r="BC21">
        <f>MAX(BC20,IF($B20=42,1,0))</f>
        <v/>
      </c>
      <c r="BD21">
        <f>MAX(BD20,IF($B20=43,1,0))</f>
        <v/>
      </c>
      <c r="BE21">
        <f>MAX(BE20,IF($B20=44,1,0))</f>
        <v/>
      </c>
      <c r="BF21">
        <f>MAX(BF20,IF($B20=45,1,0))</f>
        <v/>
      </c>
      <c r="BH21">
        <f>IF(N21=1,1000000,IF('計算A'!$IT$10&gt;0,0,500000)+IF('計算A'!$IQ$10=2,SUMPRODUCT('計算A'!$D$60:$EQ$60,$DB21:$IO21,$IQ21:$OD21),SUMPRODUCT('計算A'!$D$60:$EQ$60,$DB21:$IO21))*1000+1)</f>
        <v/>
      </c>
      <c r="BI21">
        <f>IF(O21=1,1000000,IF('計算A'!$IT$11&gt;0,0,500000)+IF('計算A'!$IQ$11=2,SUMPRODUCT('計算A'!$D$61:$EQ$61,$DB21:$IO21,$IQ21:$OD21),SUMPRODUCT('計算A'!$D$61:$EQ$61,$DB21:$IO21))*1000+2)</f>
        <v/>
      </c>
      <c r="BJ21">
        <f>IF(P21=1,1000000,IF('計算A'!$IT$12&gt;0,0,500000)+IF('計算A'!$IQ$12=2,SUMPRODUCT('計算A'!$D$62:$EQ$62,$DB21:$IO21,$IQ21:$OD21),SUMPRODUCT('計算A'!$D$62:$EQ$62,$DB21:$IO21))*1000+3)</f>
        <v/>
      </c>
      <c r="BK21">
        <f>IF(Q21=1,1000000,IF('計算A'!$IT$13&gt;0,0,500000)+IF('計算A'!$IQ$13=2,SUMPRODUCT('計算A'!$D$63:$EQ$63,$DB21:$IO21,$IQ21:$OD21),SUMPRODUCT('計算A'!$D$63:$EQ$63,$DB21:$IO21))*1000+4)</f>
        <v/>
      </c>
      <c r="BL21">
        <f>IF(R21=1,1000000,IF('計算A'!$IT$14&gt;0,0,500000)+IF('計算A'!$IQ$14=2,SUMPRODUCT('計算A'!$D$64:$EQ$64,$DB21:$IO21,$IQ21:$OD21),SUMPRODUCT('計算A'!$D$64:$EQ$64,$DB21:$IO21))*1000+5)</f>
        <v/>
      </c>
      <c r="BM21">
        <f>IF(S21=1,1000000,IF('計算A'!$IT$15&gt;0,0,500000)+IF('計算A'!$IQ$15=2,SUMPRODUCT('計算A'!$D$65:$EQ$65,$DB21:$IO21,$IQ21:$OD21),SUMPRODUCT('計算A'!$D$65:$EQ$65,$DB21:$IO21))*1000+6)</f>
        <v/>
      </c>
      <c r="BN21">
        <f>IF(T21=1,1000000,IF('計算A'!$IT$16&gt;0,0,500000)+IF('計算A'!$IQ$16=2,SUMPRODUCT('計算A'!$D$66:$EQ$66,$DB21:$IO21,$IQ21:$OD21),SUMPRODUCT('計算A'!$D$66:$EQ$66,$DB21:$IO21))*1000+7)</f>
        <v/>
      </c>
      <c r="BO21">
        <f>IF(U21=1,1000000,IF('計算A'!$IT$17&gt;0,0,500000)+IF('計算A'!$IQ$17=2,SUMPRODUCT('計算A'!$D$67:$EQ$67,$DB21:$IO21,$IQ21:$OD21),SUMPRODUCT('計算A'!$D$67:$EQ$67,$DB21:$IO21))*1000+8)</f>
        <v/>
      </c>
      <c r="BP21">
        <f>IF(V21=1,1000000,IF('計算A'!$IT$18&gt;0,0,500000)+IF('計算A'!$IQ$18=2,SUMPRODUCT('計算A'!$D$68:$EQ$68,$DB21:$IO21,$IQ21:$OD21),SUMPRODUCT('計算A'!$D$68:$EQ$68,$DB21:$IO21))*1000+9)</f>
        <v/>
      </c>
      <c r="BQ21">
        <f>IF(W21=1,1000000,IF('計算A'!$IT$19&gt;0,0,500000)+IF('計算A'!$IQ$19=2,SUMPRODUCT('計算A'!$D$69:$EQ$69,$DB21:$IO21,$IQ21:$OD21),SUMPRODUCT('計算A'!$D$69:$EQ$69,$DB21:$IO21))*1000+10)</f>
        <v/>
      </c>
      <c r="BR21">
        <f>IF(X21=1,1000000,IF('計算A'!$IT$20&gt;0,0,500000)+IF('計算A'!$IQ$20=2,SUMPRODUCT('計算A'!$D$70:$EQ$70,$DB21:$IO21,$IQ21:$OD21),SUMPRODUCT('計算A'!$D$70:$EQ$70,$DB21:$IO21))*1000+11)</f>
        <v/>
      </c>
      <c r="BS21">
        <f>IF(Y21=1,1000000,IF('計算A'!$IT$21&gt;0,0,500000)+IF('計算A'!$IQ$21=2,SUMPRODUCT('計算A'!$D$71:$EQ$71,$DB21:$IO21,$IQ21:$OD21),SUMPRODUCT('計算A'!$D$71:$EQ$71,$DB21:$IO21))*1000+12)</f>
        <v/>
      </c>
      <c r="BT21">
        <f>IF(Z21=1,1000000,IF('計算A'!$IT$22&gt;0,0,500000)+IF('計算A'!$IQ$22=2,SUMPRODUCT('計算A'!$D$72:$EQ$72,$DB21:$IO21,$IQ21:$OD21),SUMPRODUCT('計算A'!$D$72:$EQ$72,$DB21:$IO21))*1000+13)</f>
        <v/>
      </c>
      <c r="BU21">
        <f>IF(AA21=1,1000000,IF('計算A'!$IT$23&gt;0,0,500000)+IF('計算A'!$IQ$23=2,SUMPRODUCT('計算A'!$D$73:$EQ$73,$DB21:$IO21,$IQ21:$OD21),SUMPRODUCT('計算A'!$D$73:$EQ$73,$DB21:$IO21))*1000+14)</f>
        <v/>
      </c>
      <c r="BV21">
        <f>IF(AB21=1,1000000,IF('計算A'!$IT$24&gt;0,0,500000)+IF('計算A'!$IQ$24=2,SUMPRODUCT('計算A'!$D$74:$EQ$74,$DB21:$IO21,$IQ21:$OD21),SUMPRODUCT('計算A'!$D$74:$EQ$74,$DB21:$IO21))*1000+15)</f>
        <v/>
      </c>
      <c r="BW21">
        <f>IF(AC21=1,1000000,IF('計算A'!$IT$25&gt;0,0,500000)+IF('計算A'!$IQ$25=2,SUMPRODUCT('計算A'!$D$75:$EQ$75,$DB21:$IO21,$IQ21:$OD21),SUMPRODUCT('計算A'!$D$75:$EQ$75,$DB21:$IO21))*1000+16)</f>
        <v/>
      </c>
      <c r="BX21">
        <f>IF(AD21=1,1000000,IF('計算A'!$IT$26&gt;0,0,500000)+IF('計算A'!$IQ$26=2,SUMPRODUCT('計算A'!$D$76:$EQ$76,$DB21:$IO21,$IQ21:$OD21),SUMPRODUCT('計算A'!$D$76:$EQ$76,$DB21:$IO21))*1000+17)</f>
        <v/>
      </c>
      <c r="BY21">
        <f>IF(AE21=1,1000000,IF('計算A'!$IT$27&gt;0,0,500000)+IF('計算A'!$IQ$27=2,SUMPRODUCT('計算A'!$D$77:$EQ$77,$DB21:$IO21,$IQ21:$OD21),SUMPRODUCT('計算A'!$D$77:$EQ$77,$DB21:$IO21))*1000+18)</f>
        <v/>
      </c>
      <c r="BZ21">
        <f>IF(AF21=1,1000000,IF('計算A'!$IT$28&gt;0,0,500000)+IF('計算A'!$IQ$28=2,SUMPRODUCT('計算A'!$D$78:$EQ$78,$DB21:$IO21,$IQ21:$OD21),SUMPRODUCT('計算A'!$D$78:$EQ$78,$DB21:$IO21))*1000+19)</f>
        <v/>
      </c>
      <c r="CA21">
        <f>IF(AG21=1,1000000,IF('計算A'!$IT$29&gt;0,0,500000)+IF('計算A'!$IQ$29=2,SUMPRODUCT('計算A'!$D$79:$EQ$79,$DB21:$IO21,$IQ21:$OD21),SUMPRODUCT('計算A'!$D$79:$EQ$79,$DB21:$IO21))*1000+20)</f>
        <v/>
      </c>
      <c r="CB21">
        <f>IF(AH21=1,1000000,IF('計算A'!$IT$30&gt;0,0,500000)+IF('計算A'!$IQ$30=2,SUMPRODUCT('計算A'!$D$80:$EQ$80,$DB21:$IO21,$IQ21:$OD21),SUMPRODUCT('計算A'!$D$80:$EQ$80,$DB21:$IO21))*1000+21)</f>
        <v/>
      </c>
      <c r="CC21">
        <f>IF(AI21=1,1000000,IF('計算A'!$IT$31&gt;0,0,500000)+IF('計算A'!$IQ$31=2,SUMPRODUCT('計算A'!$D$81:$EQ$81,$DB21:$IO21,$IQ21:$OD21),SUMPRODUCT('計算A'!$D$81:$EQ$81,$DB21:$IO21))*1000+22)</f>
        <v/>
      </c>
      <c r="CD21">
        <f>IF(AJ21=1,1000000,IF('計算A'!$IT$32&gt;0,0,500000)+IF('計算A'!$IQ$32=2,SUMPRODUCT('計算A'!$D$82:$EQ$82,$DB21:$IO21,$IQ21:$OD21),SUMPRODUCT('計算A'!$D$82:$EQ$82,$DB21:$IO21))*1000+23)</f>
        <v/>
      </c>
      <c r="CE21">
        <f>IF(AK21=1,1000000,IF('計算A'!$IT$33&gt;0,0,500000)+IF('計算A'!$IQ$33=2,SUMPRODUCT('計算A'!$D$83:$EQ$83,$DB21:$IO21,$IQ21:$OD21),SUMPRODUCT('計算A'!$D$83:$EQ$83,$DB21:$IO21))*1000+24)</f>
        <v/>
      </c>
      <c r="CF21">
        <f>IF(AL21=1,1000000,IF('計算A'!$IT$34&gt;0,0,500000)+IF('計算A'!$IQ$34=2,SUMPRODUCT('計算A'!$D$84:$EQ$84,$DB21:$IO21,$IQ21:$OD21),SUMPRODUCT('計算A'!$D$84:$EQ$84,$DB21:$IO21))*1000+25)</f>
        <v/>
      </c>
      <c r="CG21">
        <f>IF(AM21=1,1000000,IF('計算A'!$IT$35&gt;0,0,500000)+IF('計算A'!$IQ$35=2,SUMPRODUCT('計算A'!$D$85:$EQ$85,$DB21:$IO21,$IQ21:$OD21),SUMPRODUCT('計算A'!$D$85:$EQ$85,$DB21:$IO21))*1000+26)</f>
        <v/>
      </c>
      <c r="CH21">
        <f>IF(AN21=1,1000000,IF('計算A'!$IT$36&gt;0,0,500000)+IF('計算A'!$IQ$36=2,SUMPRODUCT('計算A'!$D$86:$EQ$86,$DB21:$IO21,$IQ21:$OD21),SUMPRODUCT('計算A'!$D$86:$EQ$86,$DB21:$IO21))*1000+27)</f>
        <v/>
      </c>
      <c r="CI21">
        <f>IF(AO21=1,1000000,IF('計算A'!$IT$37&gt;0,0,500000)+IF('計算A'!$IQ$37=2,SUMPRODUCT('計算A'!$D$87:$EQ$87,$DB21:$IO21,$IQ21:$OD21),SUMPRODUCT('計算A'!$D$87:$EQ$87,$DB21:$IO21))*1000+28)</f>
        <v/>
      </c>
      <c r="CJ21">
        <f>IF(AP21=1,1000000,IF('計算A'!$IT$38&gt;0,0,500000)+IF('計算A'!$IQ$38=2,SUMPRODUCT('計算A'!$D$88:$EQ$88,$DB21:$IO21,$IQ21:$OD21),SUMPRODUCT('計算A'!$D$88:$EQ$88,$DB21:$IO21))*1000+29)</f>
        <v/>
      </c>
      <c r="CK21">
        <f>IF(AQ21=1,1000000,IF('計算A'!$IT$39&gt;0,0,500000)+IF('計算A'!$IQ$39=2,SUMPRODUCT('計算A'!$D$89:$EQ$89,$DB21:$IO21,$IQ21:$OD21),SUMPRODUCT('計算A'!$D$89:$EQ$89,$DB21:$IO21))*1000+30)</f>
        <v/>
      </c>
      <c r="CL21">
        <f>IF(AR21=1,1000000,IF('計算A'!$IT$40&gt;0,0,500000)+IF('計算A'!$IQ$40=2,SUMPRODUCT('計算A'!$D$90:$EQ$90,$DB21:$IO21,$IQ21:$OD21),SUMPRODUCT('計算A'!$D$90:$EQ$90,$DB21:$IO21))*1000+31)</f>
        <v/>
      </c>
      <c r="CM21">
        <f>IF(AS21=1,1000000,IF('計算A'!$IT$41&gt;0,0,500000)+IF('計算A'!$IQ$41=2,SUMPRODUCT('計算A'!$D$91:$EQ$91,$DB21:$IO21,$IQ21:$OD21),SUMPRODUCT('計算A'!$D$91:$EQ$91,$DB21:$IO21))*1000+32)</f>
        <v/>
      </c>
      <c r="CN21">
        <f>IF(AT21=1,1000000,IF('計算A'!$IT$42&gt;0,0,500000)+IF('計算A'!$IQ$42=2,SUMPRODUCT('計算A'!$D$92:$EQ$92,$DB21:$IO21,$IQ21:$OD21),SUMPRODUCT('計算A'!$D$92:$EQ$92,$DB21:$IO21))*1000+33)</f>
        <v/>
      </c>
      <c r="CO21">
        <f>IF(AU21=1,1000000,IF('計算A'!$IT$43&gt;0,0,500000)+IF('計算A'!$IQ$43=2,SUMPRODUCT('計算A'!$D$93:$EQ$93,$DB21:$IO21,$IQ21:$OD21),SUMPRODUCT('計算A'!$D$93:$EQ$93,$DB21:$IO21))*1000+34)</f>
        <v/>
      </c>
      <c r="CP21">
        <f>IF(AV21=1,1000000,IF('計算A'!$IT$44&gt;0,0,500000)+IF('計算A'!$IQ$44=2,SUMPRODUCT('計算A'!$D$94:$EQ$94,$DB21:$IO21,$IQ21:$OD21),SUMPRODUCT('計算A'!$D$94:$EQ$94,$DB21:$IO21))*1000+35)</f>
        <v/>
      </c>
      <c r="CQ21">
        <f>IF(AW21=1,1000000,IF('計算A'!$IT$45&gt;0,0,500000)+IF('計算A'!$IQ$45=2,SUMPRODUCT('計算A'!$D$95:$EQ$95,$DB21:$IO21,$IQ21:$OD21),SUMPRODUCT('計算A'!$D$95:$EQ$95,$DB21:$IO21))*1000+36)</f>
        <v/>
      </c>
      <c r="CR21">
        <f>IF(AX21=1,1000000,IF('計算A'!$IT$46&gt;0,0,500000)+IF('計算A'!$IQ$46=2,SUMPRODUCT('計算A'!$D$96:$EQ$96,$DB21:$IO21,$IQ21:$OD21),SUMPRODUCT('計算A'!$D$96:$EQ$96,$DB21:$IO21))*1000+37)</f>
        <v/>
      </c>
      <c r="CS21">
        <f>IF(AY21=1,1000000,IF('計算A'!$IT$47&gt;0,0,500000)+IF('計算A'!$IQ$47=2,SUMPRODUCT('計算A'!$D$97:$EQ$97,$DB21:$IO21,$IQ21:$OD21),SUMPRODUCT('計算A'!$D$97:$EQ$97,$DB21:$IO21))*1000+38)</f>
        <v/>
      </c>
      <c r="CT21">
        <f>IF(AZ21=1,1000000,IF('計算A'!$IT$48&gt;0,0,500000)+IF('計算A'!$IQ$48=2,SUMPRODUCT('計算A'!$D$98:$EQ$98,$DB21:$IO21,$IQ21:$OD21),SUMPRODUCT('計算A'!$D$98:$EQ$98,$DB21:$IO21))*1000+39)</f>
        <v/>
      </c>
      <c r="CU21">
        <f>IF(BA21=1,1000000,IF('計算A'!$IT$49&gt;0,0,500000)+IF('計算A'!$IQ$49=2,SUMPRODUCT('計算A'!$D$99:$EQ$99,$DB21:$IO21,$IQ21:$OD21),SUMPRODUCT('計算A'!$D$99:$EQ$99,$DB21:$IO21))*1000+40)</f>
        <v/>
      </c>
      <c r="CV21">
        <f>IF(BB21=1,1000000,IF('計算A'!$IT$50&gt;0,0,500000)+IF('計算A'!$IQ$50=2,SUMPRODUCT('計算A'!$D$100:$EQ$100,$DB21:$IO21,$IQ21:$OD21),SUMPRODUCT('計算A'!$D$100:$EQ$100,$DB21:$IO21))*1000+41)</f>
        <v/>
      </c>
      <c r="CW21">
        <f>IF(BC21=1,1000000,IF('計算A'!$IT$51&gt;0,0,500000)+IF('計算A'!$IQ$51=2,SUMPRODUCT('計算A'!$D$101:$EQ$101,$DB21:$IO21,$IQ21:$OD21),SUMPRODUCT('計算A'!$D$101:$EQ$101,$DB21:$IO21))*1000+42)</f>
        <v/>
      </c>
      <c r="CX21">
        <f>IF(BD21=1,1000000,IF('計算A'!$IT$52&gt;0,0,500000)+IF('計算A'!$IQ$52=2,SUMPRODUCT('計算A'!$D$102:$EQ$102,$DB21:$IO21,$IQ21:$OD21),SUMPRODUCT('計算A'!$D$102:$EQ$102,$DB21:$IO21))*1000+43)</f>
        <v/>
      </c>
      <c r="CY21">
        <f>IF(BE21=1,1000000,IF('計算A'!$IT$53&gt;0,0,500000)+IF('計算A'!$IQ$53=2,SUMPRODUCT('計算A'!$D$103:$EQ$103,$DB21:$IO21,$IQ21:$OD21),SUMPRODUCT('計算A'!$D$103:$EQ$103,$DB21:$IO21))*1000+44)</f>
        <v/>
      </c>
      <c r="CZ21">
        <f>IF(BF21=1,1000000,IF('計算A'!$IT$54&gt;0,0,500000)+IF('計算A'!$IQ$54=2,SUMPRODUCT('計算A'!$D$104:$EQ$104,$DB21:$IO21,$IQ21:$OD21),SUMPRODUCT('計算A'!$D$104:$EQ$104,$DB21:$IO21))*1000+45)</f>
        <v/>
      </c>
      <c r="DB21">
        <f>DB20*IF(OR($C20=1,$G20=1),0,1)</f>
        <v/>
      </c>
      <c r="DC21">
        <f>DC20*IF(OR($C20=2,$G20=2),0,1)</f>
        <v/>
      </c>
      <c r="DD21">
        <f>DD20*IF(OR($C20=3,$G20=3),0,1)</f>
        <v/>
      </c>
      <c r="DE21">
        <f>DE20*IF(OR($C20=4,$G20=4),0,1)</f>
        <v/>
      </c>
      <c r="DF21">
        <f>DF20*IF(OR($C20=5,$G20=5),0,1)</f>
        <v/>
      </c>
      <c r="DG21">
        <f>DG20*IF(OR($C20=6,$G20=6),0,1)</f>
        <v/>
      </c>
      <c r="DH21">
        <f>DH20*IF(OR($C20=7,$G20=7),0,1)</f>
        <v/>
      </c>
      <c r="DI21">
        <f>DI20*IF(OR($C20=8,$G20=8),0,1)</f>
        <v/>
      </c>
      <c r="DJ21">
        <f>DJ20*IF(OR($C20=9,$G20=9),0,1)</f>
        <v/>
      </c>
      <c r="DK21">
        <f>DK20*IF(OR($C20=10,$G20=10),0,1)</f>
        <v/>
      </c>
      <c r="DL21">
        <f>DL20*IF(OR($C20=11,$G20=11),0,1)</f>
        <v/>
      </c>
      <c r="DM21">
        <f>DM20*IF(OR($C20=12,$G20=12),0,1)</f>
        <v/>
      </c>
      <c r="DN21">
        <f>DN20*IF(OR($C20=13,$G20=13),0,1)</f>
        <v/>
      </c>
      <c r="DO21">
        <f>DO20*IF(OR($C20=14,$G20=14),0,1)</f>
        <v/>
      </c>
      <c r="DP21">
        <f>DP20*IF(OR($C20=15,$G20=15),0,1)</f>
        <v/>
      </c>
      <c r="DQ21">
        <f>DQ20*IF(OR($C20=16,$G20=16),0,1)</f>
        <v/>
      </c>
      <c r="DR21">
        <f>DR20*IF(OR($C20=17,$G20=17),0,1)</f>
        <v/>
      </c>
      <c r="DS21">
        <f>DS20*IF(OR($C20=18,$G20=18),0,1)</f>
        <v/>
      </c>
      <c r="DT21">
        <f>DT20*IF(OR($C20=19,$G20=19),0,1)</f>
        <v/>
      </c>
      <c r="DU21">
        <f>DU20*IF(OR($C20=20,$G20=20),0,1)</f>
        <v/>
      </c>
      <c r="DV21">
        <f>DV20*IF(OR($C20=21,$G20=21),0,1)</f>
        <v/>
      </c>
      <c r="DW21">
        <f>DW20*IF(OR($C20=22,$G20=22),0,1)</f>
        <v/>
      </c>
      <c r="DX21">
        <f>DX20*IF(OR($C20=23,$G20=23),0,1)</f>
        <v/>
      </c>
      <c r="DY21">
        <f>DY20*IF(OR($C20=24,$G20=24),0,1)</f>
        <v/>
      </c>
      <c r="DZ21">
        <f>DZ20*IF(OR($C20=25,$G20=25),0,1)</f>
        <v/>
      </c>
      <c r="EA21">
        <f>EA20*IF(OR($C20=26,$G20=26),0,1)</f>
        <v/>
      </c>
      <c r="EB21">
        <f>EB20*IF(OR($C20=27,$G20=27),0,1)</f>
        <v/>
      </c>
      <c r="EC21">
        <f>EC20*IF(OR($C20=28,$G20=28),0,1)</f>
        <v/>
      </c>
      <c r="ED21">
        <f>ED20*IF(OR($C20=29,$G20=29),0,1)</f>
        <v/>
      </c>
      <c r="EE21">
        <f>EE20*IF(OR($C20=30,$G20=30),0,1)</f>
        <v/>
      </c>
      <c r="EF21">
        <f>EF20*IF(OR($C20=31,$G20=31),0,1)</f>
        <v/>
      </c>
      <c r="EG21">
        <f>EG20*IF(OR($C20=32,$G20=32),0,1)</f>
        <v/>
      </c>
      <c r="EH21">
        <f>EH20*IF(OR($C20=33,$G20=33),0,1)</f>
        <v/>
      </c>
      <c r="EI21">
        <f>EI20*IF(OR($C20=34,$G20=34),0,1)</f>
        <v/>
      </c>
      <c r="EJ21">
        <f>EJ20*IF(OR($C20=35,$G20=35),0,1)</f>
        <v/>
      </c>
      <c r="EK21">
        <f>EK20*IF(OR($C20=36,$G20=36),0,1)</f>
        <v/>
      </c>
      <c r="EL21">
        <f>EL20*IF(OR($C20=37,$G20=37),0,1)</f>
        <v/>
      </c>
      <c r="EM21">
        <f>EM20*IF(OR($C20=38,$G20=38),0,1)</f>
        <v/>
      </c>
      <c r="EN21">
        <f>EN20*IF(OR($C20=39,$G20=39),0,1)</f>
        <v/>
      </c>
      <c r="EO21">
        <f>EO20*IF(OR($C20=40,$G20=40),0,1)</f>
        <v/>
      </c>
      <c r="EP21">
        <f>EP20*IF(OR($C20=41,$G20=41),0,1)</f>
        <v/>
      </c>
      <c r="EQ21">
        <f>EQ20*IF(OR($C20=42,$G20=42),0,1)</f>
        <v/>
      </c>
      <c r="ER21">
        <f>ER20*IF(OR($C20=43,$G20=43),0,1)</f>
        <v/>
      </c>
      <c r="ES21">
        <f>ES20*IF(OR($C20=44,$G20=44),0,1)</f>
        <v/>
      </c>
      <c r="ET21">
        <f>ET20*IF(OR($C20=45,$G20=45),0,1)</f>
        <v/>
      </c>
      <c r="EU21">
        <f>EU20*IF(OR($C20=46,$G20=46),0,1)</f>
        <v/>
      </c>
      <c r="EV21">
        <f>EV20*IF(OR($C20=47,$G20=47),0,1)</f>
        <v/>
      </c>
      <c r="EW21">
        <f>EW20*IF(OR($C20=48,$G20=48),0,1)</f>
        <v/>
      </c>
      <c r="EX21">
        <f>EX20*IF(OR($C20=49,$G20=49),0,1)</f>
        <v/>
      </c>
      <c r="EY21">
        <f>EY20*IF(OR($C20=50,$G20=50),0,1)</f>
        <v/>
      </c>
      <c r="EZ21">
        <f>EZ20*IF(OR($C20=51,$G20=51),0,1)</f>
        <v/>
      </c>
      <c r="FA21">
        <f>FA20*IF(OR($C20=52,$G20=52),0,1)</f>
        <v/>
      </c>
      <c r="FB21">
        <f>FB20*IF(OR($C20=53,$G20=53),0,1)</f>
        <v/>
      </c>
      <c r="FC21">
        <f>FC20*IF(OR($C20=54,$G20=54),0,1)</f>
        <v/>
      </c>
      <c r="FD21">
        <f>FD20*IF(OR($C20=55,$G20=55),0,1)</f>
        <v/>
      </c>
      <c r="FE21">
        <f>FE20*IF(OR($C20=56,$G20=56),0,1)</f>
        <v/>
      </c>
      <c r="FF21">
        <f>FF20*IF(OR($C20=57,$G20=57),0,1)</f>
        <v/>
      </c>
      <c r="FG21">
        <f>FG20*IF(OR($C20=58,$G20=58),0,1)</f>
        <v/>
      </c>
      <c r="FH21">
        <f>FH20*IF(OR($C20=59,$G20=59),0,1)</f>
        <v/>
      </c>
      <c r="FI21">
        <f>FI20*IF(OR($C20=60,$G20=60),0,1)</f>
        <v/>
      </c>
      <c r="FJ21">
        <f>FJ20*IF(OR($C20=61,$G20=61),0,1)</f>
        <v/>
      </c>
      <c r="FK21">
        <f>FK20*IF(OR($C20=62,$G20=62),0,1)</f>
        <v/>
      </c>
      <c r="FL21">
        <f>FL20*IF(OR($C20=63,$G20=63),0,1)</f>
        <v/>
      </c>
      <c r="FM21">
        <f>FM20*IF(OR($C20=64,$G20=64),0,1)</f>
        <v/>
      </c>
      <c r="FN21">
        <f>FN20*IF(OR($C20=65,$G20=65),0,1)</f>
        <v/>
      </c>
      <c r="FO21">
        <f>FO20*IF(OR($C20=66,$G20=66),0,1)</f>
        <v/>
      </c>
      <c r="FP21">
        <f>FP20*IF(OR($C20=67,$G20=67),0,1)</f>
        <v/>
      </c>
      <c r="FQ21">
        <f>FQ20*IF(OR($C20=68,$G20=68),0,1)</f>
        <v/>
      </c>
      <c r="FR21">
        <f>FR20*IF(OR($C20=69,$G20=69),0,1)</f>
        <v/>
      </c>
      <c r="FS21">
        <f>FS20*IF(OR($C20=70,$G20=70),0,1)</f>
        <v/>
      </c>
      <c r="FT21">
        <f>FT20*IF(OR($C20=71,$G20=71),0,1)</f>
        <v/>
      </c>
      <c r="FU21">
        <f>FU20*IF(OR($C20=72,$G20=72),0,1)</f>
        <v/>
      </c>
      <c r="FV21">
        <f>FV20*IF(OR($C20=73,$G20=73),0,1)</f>
        <v/>
      </c>
      <c r="FW21">
        <f>FW20*IF(OR($C20=74,$G20=74),0,1)</f>
        <v/>
      </c>
      <c r="FX21">
        <f>FX20*IF(OR($C20=75,$G20=75),0,1)</f>
        <v/>
      </c>
      <c r="FY21">
        <f>FY20*IF(OR($C20=76,$G20=76),0,1)</f>
        <v/>
      </c>
      <c r="FZ21">
        <f>FZ20*IF(OR($C20=77,$G20=77),0,1)</f>
        <v/>
      </c>
      <c r="GA21">
        <f>GA20*IF(OR($C20=78,$G20=78),0,1)</f>
        <v/>
      </c>
      <c r="GB21">
        <f>GB20*IF(OR($C20=79,$G20=79),0,1)</f>
        <v/>
      </c>
      <c r="GC21">
        <f>GC20*IF(OR($C20=80,$G20=80),0,1)</f>
        <v/>
      </c>
      <c r="GD21">
        <f>GD20*IF(OR($C20=81,$G20=81),0,1)</f>
        <v/>
      </c>
      <c r="GE21">
        <f>GE20*IF(OR($C20=82,$G20=82),0,1)</f>
        <v/>
      </c>
      <c r="GF21">
        <f>GF20*IF(OR($C20=83,$G20=83),0,1)</f>
        <v/>
      </c>
      <c r="GG21">
        <f>GG20*IF(OR($C20=84,$G20=84),0,1)</f>
        <v/>
      </c>
      <c r="GH21">
        <f>GH20*IF(OR($C20=85,$G20=85),0,1)</f>
        <v/>
      </c>
      <c r="GI21">
        <f>GI20*IF(OR($C20=86,$G20=86),0,1)</f>
        <v/>
      </c>
      <c r="GJ21">
        <f>GJ20*IF(OR($C20=87,$G20=87),0,1)</f>
        <v/>
      </c>
      <c r="GK21">
        <f>GK20*IF(OR($C20=88,$G20=88),0,1)</f>
        <v/>
      </c>
      <c r="GL21">
        <f>GL20*IF(OR($C20=89,$G20=89),0,1)</f>
        <v/>
      </c>
      <c r="GM21">
        <f>GM20*IF(OR($C20=90,$G20=90),0,1)</f>
        <v/>
      </c>
      <c r="GN21">
        <f>GN20*IF(OR($C20=91,$G20=91),0,1)</f>
        <v/>
      </c>
      <c r="GO21">
        <f>GO20*IF(OR($C20=92,$G20=92),0,1)</f>
        <v/>
      </c>
      <c r="GP21">
        <f>GP20*IF(OR($C20=93,$G20=93),0,1)</f>
        <v/>
      </c>
      <c r="GQ21">
        <f>GQ20*IF(OR($C20=94,$G20=94),0,1)</f>
        <v/>
      </c>
      <c r="GR21">
        <f>GR20*IF(OR($C20=95,$G20=95),0,1)</f>
        <v/>
      </c>
      <c r="GS21">
        <f>GS20*IF(OR($C20=96,$G20=96),0,1)</f>
        <v/>
      </c>
      <c r="GT21">
        <f>GT20*IF(OR($C20=97,$G20=97),0,1)</f>
        <v/>
      </c>
      <c r="GU21">
        <f>GU20*IF(OR($C20=98,$G20=98),0,1)</f>
        <v/>
      </c>
      <c r="GV21">
        <f>GV20*IF(OR($C20=99,$G20=99),0,1)</f>
        <v/>
      </c>
      <c r="GW21">
        <f>GW20*IF(OR($C20=100,$G20=100),0,1)</f>
        <v/>
      </c>
      <c r="GX21">
        <f>GX20*IF(OR($C20=101,$G20=101),0,1)</f>
        <v/>
      </c>
      <c r="GY21">
        <f>GY20*IF(OR($C20=102,$G20=102),0,1)</f>
        <v/>
      </c>
      <c r="GZ21">
        <f>GZ20*IF(OR($C20=103,$G20=103),0,1)</f>
        <v/>
      </c>
      <c r="HA21">
        <f>HA20*IF(OR($C20=104,$G20=104),0,1)</f>
        <v/>
      </c>
      <c r="HB21">
        <f>HB20*IF(OR($C20=105,$G20=105),0,1)</f>
        <v/>
      </c>
      <c r="HC21">
        <f>HC20*IF(OR($C20=106,$G20=106),0,1)</f>
        <v/>
      </c>
      <c r="HD21">
        <f>HD20*IF(OR($C20=107,$G20=107),0,1)</f>
        <v/>
      </c>
      <c r="HE21">
        <f>HE20*IF(OR($C20=108,$G20=108),0,1)</f>
        <v/>
      </c>
      <c r="HF21">
        <f>HF20*IF(OR($C20=109,$G20=109),0,1)</f>
        <v/>
      </c>
      <c r="HG21">
        <f>HG20*IF(OR($C20=110,$G20=110),0,1)</f>
        <v/>
      </c>
      <c r="HH21">
        <f>HH20*IF(OR($C20=111,$G20=111),0,1)</f>
        <v/>
      </c>
      <c r="HI21">
        <f>HI20*IF(OR($C20=112,$G20=112),0,1)</f>
        <v/>
      </c>
      <c r="HJ21">
        <f>HJ20*IF(OR($C20=113,$G20=113),0,1)</f>
        <v/>
      </c>
      <c r="HK21">
        <f>HK20*IF(OR($C20=114,$G20=114),0,1)</f>
        <v/>
      </c>
      <c r="HL21">
        <f>HL20*IF(OR($C20=115,$G20=115),0,1)</f>
        <v/>
      </c>
      <c r="HM21">
        <f>HM20*IF(OR($C20=116,$G20=116),0,1)</f>
        <v/>
      </c>
      <c r="HN21">
        <f>HN20*IF(OR($C20=117,$G20=117),0,1)</f>
        <v/>
      </c>
      <c r="HO21">
        <f>HO20*IF(OR($C20=118,$G20=118),0,1)</f>
        <v/>
      </c>
      <c r="HP21">
        <f>HP20*IF(OR($C20=119,$G20=119),0,1)</f>
        <v/>
      </c>
      <c r="HQ21">
        <f>HQ20*IF(OR($C20=120,$G20=120),0,1)</f>
        <v/>
      </c>
      <c r="HR21">
        <f>HR20*IF(OR($C20=121,$G20=121),0,1)</f>
        <v/>
      </c>
      <c r="HS21">
        <f>HS20*IF(OR($C20=122,$G20=122),0,1)</f>
        <v/>
      </c>
      <c r="HT21">
        <f>HT20*IF(OR($C20=123,$G20=123),0,1)</f>
        <v/>
      </c>
      <c r="HU21">
        <f>HU20*IF(OR($C20=124,$G20=124),0,1)</f>
        <v/>
      </c>
      <c r="HV21">
        <f>HV20*IF(OR($C20=125,$G20=125),0,1)</f>
        <v/>
      </c>
      <c r="HW21">
        <f>HW20*IF(OR($C20=126,$G20=126),0,1)</f>
        <v/>
      </c>
      <c r="HX21">
        <f>HX20*IF(OR($C20=127,$G20=127),0,1)</f>
        <v/>
      </c>
      <c r="HY21">
        <f>HY20*IF(OR($C20=128,$G20=128),0,1)</f>
        <v/>
      </c>
      <c r="HZ21">
        <f>HZ20*IF(OR($C20=129,$G20=129),0,1)</f>
        <v/>
      </c>
      <c r="IA21">
        <f>IA20*IF(OR($C20=130,$G20=130),0,1)</f>
        <v/>
      </c>
      <c r="IB21">
        <f>IB20*IF(OR($C20=131,$G20=131),0,1)</f>
        <v/>
      </c>
      <c r="IC21">
        <f>IC20*IF(OR($C20=132,$G20=132),0,1)</f>
        <v/>
      </c>
      <c r="ID21">
        <f>ID20*IF(OR($C20=133,$G20=133),0,1)</f>
        <v/>
      </c>
      <c r="IE21">
        <f>IE20*IF(OR($C20=134,$G20=134),0,1)</f>
        <v/>
      </c>
      <c r="IF21">
        <f>IF20*IF(OR($C20=135,$G20=135),0,1)</f>
        <v/>
      </c>
      <c r="IG21">
        <f>IG20*IF(OR($C20=136,$G20=136),0,1)</f>
        <v/>
      </c>
      <c r="IH21">
        <f>IH20*IF(OR($C20=137,$G20=137),0,1)</f>
        <v/>
      </c>
      <c r="II21">
        <f>II20*IF(OR($C20=138,$G20=138),0,1)</f>
        <v/>
      </c>
      <c r="IJ21">
        <f>IJ20*IF(OR($C20=139,$G20=139),0,1)</f>
        <v/>
      </c>
      <c r="IK21">
        <f>IK20*IF(OR($C20=140,$G20=140),0,1)</f>
        <v/>
      </c>
      <c r="IL21">
        <f>IL20*IF(OR($C20=141,$G20=141),0,1)</f>
        <v/>
      </c>
      <c r="IM21">
        <f>IM20*IF(OR($C20=142,$G20=142),0,1)</f>
        <v/>
      </c>
      <c r="IN21">
        <f>IN20*IF(OR($C20=143,$G20=143),0,1)</f>
        <v/>
      </c>
      <c r="IO21">
        <f>IO20*IF(OR($C20=144,$G20=144),0,1)</f>
        <v/>
      </c>
      <c r="IQ21">
        <f>IF('計算A'!D$106=1,DC21,1)</f>
        <v/>
      </c>
      <c r="IR21">
        <f>IF('計算A'!E$106=1,DD21,1)</f>
        <v/>
      </c>
      <c r="IS21">
        <f>IF('計算A'!F$106=1,DE21,1)</f>
        <v/>
      </c>
      <c r="IT21">
        <f>IF('計算A'!G$106=1,DF21,1)</f>
        <v/>
      </c>
      <c r="IU21">
        <f>IF('計算A'!H$106=1,DG21,1)</f>
        <v/>
      </c>
      <c r="IV21">
        <f>IF('計算A'!I$106=1,DH21,1)</f>
        <v/>
      </c>
      <c r="IW21">
        <f>IF('計算A'!J$106=1,DI21,1)</f>
        <v/>
      </c>
      <c r="IX21">
        <f>IF('計算A'!K$106=1,DJ21,1)</f>
        <v/>
      </c>
      <c r="IY21">
        <f>IF('計算A'!L$106=1,DK21,1)</f>
        <v/>
      </c>
      <c r="IZ21">
        <f>IF('計算A'!M$106=1,DL21,1)</f>
        <v/>
      </c>
      <c r="JA21">
        <f>IF('計算A'!N$106=1,DM21,1)</f>
        <v/>
      </c>
      <c r="JB21">
        <f>IF('計算A'!O$106=1,DN21,1)</f>
        <v/>
      </c>
      <c r="JC21">
        <f>IF('計算A'!P$106=1,DO21,1)</f>
        <v/>
      </c>
      <c r="JD21">
        <f>IF('計算A'!Q$106=1,DP21,1)</f>
        <v/>
      </c>
      <c r="JE21">
        <f>IF('計算A'!R$106=1,DQ21,1)</f>
        <v/>
      </c>
      <c r="JF21">
        <f>IF('計算A'!S$106=1,DR21,1)</f>
        <v/>
      </c>
      <c r="JG21">
        <f>IF('計算A'!T$106=1,DS21,1)</f>
        <v/>
      </c>
      <c r="JH21">
        <f>IF('計算A'!U$106=1,DT21,1)</f>
        <v/>
      </c>
      <c r="JI21">
        <f>IF('計算A'!V$106=1,DU21,1)</f>
        <v/>
      </c>
      <c r="JJ21">
        <f>IF('計算A'!W$106=1,DV21,1)</f>
        <v/>
      </c>
      <c r="JK21">
        <f>IF('計算A'!X$106=1,DW21,1)</f>
        <v/>
      </c>
      <c r="JL21">
        <f>IF('計算A'!Y$106=1,DX21,1)</f>
        <v/>
      </c>
      <c r="JM21">
        <f>IF('計算A'!Z$106=1,DY21,1)</f>
        <v/>
      </c>
      <c r="JN21">
        <f>IF('計算A'!AA$106=1,DZ21,1)</f>
        <v/>
      </c>
      <c r="JO21">
        <f>IF('計算A'!AB$106=1,EA21,1)</f>
        <v/>
      </c>
      <c r="JP21">
        <f>IF('計算A'!AC$106=1,EB21,1)</f>
        <v/>
      </c>
      <c r="JQ21">
        <f>IF('計算A'!AD$106=1,EC21,1)</f>
        <v/>
      </c>
      <c r="JR21">
        <f>IF('計算A'!AE$106=1,ED21,1)</f>
        <v/>
      </c>
      <c r="JS21">
        <f>IF('計算A'!AF$106=1,EE21,1)</f>
        <v/>
      </c>
      <c r="JT21">
        <f>IF('計算A'!AG$106=1,EF21,1)</f>
        <v/>
      </c>
      <c r="JU21">
        <f>IF('計算A'!AH$106=1,EG21,1)</f>
        <v/>
      </c>
      <c r="JV21">
        <f>IF('計算A'!AI$106=1,EH21,1)</f>
        <v/>
      </c>
      <c r="JW21">
        <f>IF('計算A'!AJ$106=1,EI21,1)</f>
        <v/>
      </c>
      <c r="JX21">
        <f>IF('計算A'!AK$106=1,EJ21,1)</f>
        <v/>
      </c>
      <c r="JY21">
        <f>IF('計算A'!AL$106=1,EK21,1)</f>
        <v/>
      </c>
      <c r="JZ21">
        <f>IF('計算A'!AM$106=1,EL21,1)</f>
        <v/>
      </c>
      <c r="KA21">
        <f>IF('計算A'!AN$106=1,EM21,1)</f>
        <v/>
      </c>
      <c r="KB21">
        <f>IF('計算A'!AO$106=1,EN21,1)</f>
        <v/>
      </c>
      <c r="KC21">
        <f>IF('計算A'!AP$106=1,EO21,1)</f>
        <v/>
      </c>
      <c r="KD21">
        <f>IF('計算A'!AQ$106=1,EP21,1)</f>
        <v/>
      </c>
      <c r="KE21">
        <f>IF('計算A'!AR$106=1,EQ21,1)</f>
        <v/>
      </c>
      <c r="KF21">
        <f>IF('計算A'!AS$106=1,ER21,1)</f>
        <v/>
      </c>
      <c r="KG21">
        <f>IF('計算A'!AT$106=1,ES21,1)</f>
        <v/>
      </c>
      <c r="KH21">
        <f>IF('計算A'!AU$106=1,ET21,1)</f>
        <v/>
      </c>
      <c r="KI21">
        <f>IF('計算A'!AV$106=1,EU21,1)</f>
        <v/>
      </c>
      <c r="KJ21">
        <f>IF('計算A'!AW$106=1,EV21,1)</f>
        <v/>
      </c>
      <c r="KK21">
        <f>IF('計算A'!AX$106=1,EW21,1)</f>
        <v/>
      </c>
      <c r="KL21">
        <f>IF('計算A'!AY$106=1,EX21,1)</f>
        <v/>
      </c>
      <c r="KM21">
        <f>IF('計算A'!AZ$106=1,EY21,1)</f>
        <v/>
      </c>
      <c r="KN21">
        <f>IF('計算A'!BA$106=1,EZ21,1)</f>
        <v/>
      </c>
      <c r="KO21">
        <f>IF('計算A'!BB$106=1,FA21,1)</f>
        <v/>
      </c>
      <c r="KP21">
        <f>IF('計算A'!BC$106=1,FB21,1)</f>
        <v/>
      </c>
      <c r="KQ21">
        <f>IF('計算A'!BD$106=1,FC21,1)</f>
        <v/>
      </c>
      <c r="KR21">
        <f>IF('計算A'!BE$106=1,FD21,1)</f>
        <v/>
      </c>
      <c r="KS21">
        <f>IF('計算A'!BF$106=1,FE21,1)</f>
        <v/>
      </c>
      <c r="KT21">
        <f>IF('計算A'!BG$106=1,FF21,1)</f>
        <v/>
      </c>
      <c r="KU21">
        <f>IF('計算A'!BH$106=1,FG21,1)</f>
        <v/>
      </c>
      <c r="KV21">
        <f>IF('計算A'!BI$106=1,FH21,1)</f>
        <v/>
      </c>
      <c r="KW21">
        <f>IF('計算A'!BJ$106=1,FI21,1)</f>
        <v/>
      </c>
      <c r="KX21">
        <f>IF('計算A'!BK$106=1,FJ21,1)</f>
        <v/>
      </c>
      <c r="KY21">
        <f>IF('計算A'!BL$106=1,FK21,1)</f>
        <v/>
      </c>
      <c r="KZ21">
        <f>IF('計算A'!BM$106=1,FL21,1)</f>
        <v/>
      </c>
      <c r="LA21">
        <f>IF('計算A'!BN$106=1,FM21,1)</f>
        <v/>
      </c>
      <c r="LB21">
        <f>IF('計算A'!BO$106=1,FN21,1)</f>
        <v/>
      </c>
      <c r="LC21">
        <f>IF('計算A'!BP$106=1,FO21,1)</f>
        <v/>
      </c>
      <c r="LD21">
        <f>IF('計算A'!BQ$106=1,FP21,1)</f>
        <v/>
      </c>
      <c r="LE21">
        <f>IF('計算A'!BR$106=1,FQ21,1)</f>
        <v/>
      </c>
      <c r="LF21">
        <f>IF('計算A'!BS$106=1,FR21,1)</f>
        <v/>
      </c>
      <c r="LG21">
        <f>IF('計算A'!BT$106=1,FS21,1)</f>
        <v/>
      </c>
      <c r="LH21">
        <f>IF('計算A'!BU$106=1,FT21,1)</f>
        <v/>
      </c>
      <c r="LI21">
        <f>IF('計算A'!BV$106=1,FU21,1)</f>
        <v/>
      </c>
      <c r="LJ21">
        <f>IF('計算A'!BW$106=1,FV21,1)</f>
        <v/>
      </c>
      <c r="LK21">
        <f>IF('計算A'!BX$106=1,FW21,1)</f>
        <v/>
      </c>
      <c r="LL21">
        <f>IF('計算A'!BY$106=1,FX21,1)</f>
        <v/>
      </c>
      <c r="LM21">
        <f>IF('計算A'!BZ$106=1,FY21,1)</f>
        <v/>
      </c>
      <c r="LN21">
        <f>IF('計算A'!CA$106=1,FZ21,1)</f>
        <v/>
      </c>
      <c r="LO21">
        <f>IF('計算A'!CB$106=1,GA21,1)</f>
        <v/>
      </c>
      <c r="LP21">
        <f>IF('計算A'!CC$106=1,GB21,1)</f>
        <v/>
      </c>
      <c r="LQ21">
        <f>IF('計算A'!CD$106=1,GC21,1)</f>
        <v/>
      </c>
      <c r="LR21">
        <f>IF('計算A'!CE$106=1,GD21,1)</f>
        <v/>
      </c>
      <c r="LS21">
        <f>IF('計算A'!CF$106=1,GE21,1)</f>
        <v/>
      </c>
      <c r="LT21">
        <f>IF('計算A'!CG$106=1,GF21,1)</f>
        <v/>
      </c>
      <c r="LU21">
        <f>IF('計算A'!CH$106=1,GG21,1)</f>
        <v/>
      </c>
      <c r="LV21">
        <f>IF('計算A'!CI$106=1,GH21,1)</f>
        <v/>
      </c>
      <c r="LW21">
        <f>IF('計算A'!CJ$106=1,GI21,1)</f>
        <v/>
      </c>
      <c r="LX21">
        <f>IF('計算A'!CK$106=1,GJ21,1)</f>
        <v/>
      </c>
      <c r="LY21">
        <f>IF('計算A'!CL$106=1,GK21,1)</f>
        <v/>
      </c>
      <c r="LZ21">
        <f>IF('計算A'!CM$106=1,GL21,1)</f>
        <v/>
      </c>
      <c r="MA21">
        <f>IF('計算A'!CN$106=1,GM21,1)</f>
        <v/>
      </c>
      <c r="MB21">
        <f>IF('計算A'!CO$106=1,GN21,1)</f>
        <v/>
      </c>
      <c r="MC21">
        <f>IF('計算A'!CP$106=1,GO21,1)</f>
        <v/>
      </c>
      <c r="MD21">
        <f>IF('計算A'!CQ$106=1,GP21,1)</f>
        <v/>
      </c>
      <c r="ME21">
        <f>IF('計算A'!CR$106=1,GQ21,1)</f>
        <v/>
      </c>
      <c r="MF21">
        <f>IF('計算A'!CS$106=1,GR21,1)</f>
        <v/>
      </c>
      <c r="MG21">
        <f>IF('計算A'!CT$106=1,GS21,1)</f>
        <v/>
      </c>
      <c r="MH21">
        <f>IF('計算A'!CU$106=1,GT21,1)</f>
        <v/>
      </c>
      <c r="MI21">
        <f>IF('計算A'!CV$106=1,GU21,1)</f>
        <v/>
      </c>
      <c r="MJ21">
        <f>IF('計算A'!CW$106=1,GV21,1)</f>
        <v/>
      </c>
      <c r="MK21">
        <f>IF('計算A'!CX$106=1,GW21,1)</f>
        <v/>
      </c>
      <c r="ML21">
        <f>IF('計算A'!CY$106=1,GX21,1)</f>
        <v/>
      </c>
      <c r="MM21">
        <f>IF('計算A'!CZ$106=1,GY21,1)</f>
        <v/>
      </c>
      <c r="MN21">
        <f>IF('計算A'!DA$106=1,GZ21,1)</f>
        <v/>
      </c>
      <c r="MO21">
        <f>IF('計算A'!DB$106=1,HA21,1)</f>
        <v/>
      </c>
      <c r="MP21">
        <f>IF('計算A'!DC$106=1,HB21,1)</f>
        <v/>
      </c>
      <c r="MQ21">
        <f>IF('計算A'!DD$106=1,HC21,1)</f>
        <v/>
      </c>
      <c r="MR21">
        <f>IF('計算A'!DE$106=1,HD21,1)</f>
        <v/>
      </c>
      <c r="MS21">
        <f>IF('計算A'!DF$106=1,HE21,1)</f>
        <v/>
      </c>
      <c r="MT21">
        <f>IF('計算A'!DG$106=1,HF21,1)</f>
        <v/>
      </c>
      <c r="MU21">
        <f>IF('計算A'!DH$106=1,HG21,1)</f>
        <v/>
      </c>
      <c r="MV21">
        <f>IF('計算A'!DI$106=1,HH21,1)</f>
        <v/>
      </c>
      <c r="MW21">
        <f>IF('計算A'!DJ$106=1,HI21,1)</f>
        <v/>
      </c>
      <c r="MX21">
        <f>IF('計算A'!DK$106=1,HJ21,1)</f>
        <v/>
      </c>
      <c r="MY21">
        <f>IF('計算A'!DL$106=1,HK21,1)</f>
        <v/>
      </c>
      <c r="MZ21">
        <f>IF('計算A'!DM$106=1,HL21,1)</f>
        <v/>
      </c>
      <c r="NA21">
        <f>IF('計算A'!DN$106=1,HM21,1)</f>
        <v/>
      </c>
      <c r="NB21">
        <f>IF('計算A'!DO$106=1,HN21,1)</f>
        <v/>
      </c>
      <c r="NC21">
        <f>IF('計算A'!DP$106=1,HO21,1)</f>
        <v/>
      </c>
      <c r="ND21">
        <f>IF('計算A'!DQ$106=1,HP21,1)</f>
        <v/>
      </c>
      <c r="NE21">
        <f>IF('計算A'!DR$106=1,HQ21,1)</f>
        <v/>
      </c>
      <c r="NF21">
        <f>IF('計算A'!DS$106=1,HR21,1)</f>
        <v/>
      </c>
      <c r="NG21">
        <f>IF('計算A'!DT$106=1,HS21,1)</f>
        <v/>
      </c>
      <c r="NH21">
        <f>IF('計算A'!DU$106=1,HT21,1)</f>
        <v/>
      </c>
      <c r="NI21">
        <f>IF('計算A'!DV$106=1,HU21,1)</f>
        <v/>
      </c>
      <c r="NJ21">
        <f>IF('計算A'!DW$106=1,HV21,1)</f>
        <v/>
      </c>
      <c r="NK21">
        <f>IF('計算A'!DX$106=1,HW21,1)</f>
        <v/>
      </c>
      <c r="NL21">
        <f>IF('計算A'!DY$106=1,HX21,1)</f>
        <v/>
      </c>
      <c r="NM21">
        <f>IF('計算A'!DZ$106=1,HY21,1)</f>
        <v/>
      </c>
      <c r="NN21">
        <f>IF('計算A'!EA$106=1,HZ21,1)</f>
        <v/>
      </c>
      <c r="NO21">
        <f>IF('計算A'!EB$106=1,IA21,1)</f>
        <v/>
      </c>
      <c r="NP21">
        <f>IF('計算A'!EC$106=1,IB21,1)</f>
        <v/>
      </c>
      <c r="NQ21">
        <f>IF('計算A'!ED$106=1,IC21,1)</f>
        <v/>
      </c>
      <c r="NR21">
        <f>IF('計算A'!EE$106=1,ID21,1)</f>
        <v/>
      </c>
      <c r="NS21">
        <f>IF('計算A'!EF$106=1,IE21,1)</f>
        <v/>
      </c>
      <c r="NT21">
        <f>IF('計算A'!EG$106=1,IF21,1)</f>
        <v/>
      </c>
      <c r="NU21">
        <f>IF('計算A'!EH$106=1,IG21,1)</f>
        <v/>
      </c>
      <c r="NV21">
        <f>IF('計算A'!EI$106=1,IH21,1)</f>
        <v/>
      </c>
      <c r="NW21">
        <f>IF('計算A'!EJ$106=1,II21,1)</f>
        <v/>
      </c>
      <c r="NX21">
        <f>IF('計算A'!EK$106=1,IJ21,1)</f>
        <v/>
      </c>
      <c r="NY21">
        <f>IF('計算A'!EL$106=1,IK21,1)</f>
        <v/>
      </c>
      <c r="NZ21">
        <f>IF('計算A'!EM$106=1,IL21,1)</f>
        <v/>
      </c>
      <c r="OA21">
        <f>IF('計算A'!EN$106=1,IM21,1)</f>
        <v/>
      </c>
      <c r="OB21">
        <f>IF('計算A'!EO$106=1,IN21,1)</f>
        <v/>
      </c>
      <c r="OC21">
        <f>IF('計算A'!EP$106=1,IO21,1)</f>
        <v/>
      </c>
      <c r="OD21" t="n">
        <v>1</v>
      </c>
      <c r="OF21">
        <f>IF($B21=0,1000000,IF(INDEX('計算A'!$D$60:$EQ$104,$B21,1)*DB21=1,IF(AND($E21=2,IQ21=0),1000000,IF($I21&gt;0,IF(1=$J21,IF(OR(AND(1=$I21+1,OR($K21&lt;&gt;'計算A'!$A$3,'計算A'!$A$4=0)),AND(1=$I21-1,OR(1&lt;&gt;'計算A'!$A$3,'計算A'!$A$4=0))),0,IF(1=$K21,200000,ABS(1-$K21)*100)),100000+ABS(1-$J21)*1000+10)+'計算A'!D$5*50+IF(AND($E21=1,IQ21=0),25,0),IF($F21&gt;0,INDEX('計算A'!D$110:D$114,$F21+1)+IF(AND($E21=1,IQ21=0),1000,0),MIN(TU21,20)*400+(IF('計算A'!D$106=1,1-DC21,0))*150+11+'計算A'!D$5*100000+IF(AND($E21=1,IQ21=0),50000,0))+IF($H21=1,(IF('計算A'!D$117=1,INDEX('計算A'!E$10:E$54,$B21),0))*4000,0)-IF(AND($L21=1,'計算A'!D$117=1,DC21=0),2000,0))),1000000))</f>
        <v/>
      </c>
      <c r="OG21">
        <f>IF($B21=0,1000000,IF(INDEX('計算A'!$D$60:$EQ$104,$B21,2)*DC21=1,IF(AND($E21=2,IR21=0),1000000,IF($I21&gt;0,IF(1=$J21,IF(OR(AND(2=$I21+1,OR($K21&lt;&gt;'計算A'!$A$3,'計算A'!$A$4=0)),AND(2=$I21-1,OR(2&lt;&gt;'計算A'!$A$3,'計算A'!$A$4=0))),0,IF(2=$K21,200000,ABS(2-$K21)*100)),100000+ABS(1-$J21)*1000+20)+'計算A'!E$5*50+IF(AND($E21=1,IR21=0),25,0),IF($F21&gt;0,INDEX('計算A'!E$110:E$114,$F21+1)+IF(AND($E21=1,IR21=0),1000,0),MIN(TU21,20)*400+(IF('計算A'!D$106=1,1-DB21,0)+IF('計算A'!E$106=1,1-DD21,0))*150+21+'計算A'!E$5*100000+IF(AND($E21=1,IR21=0),50000,0))+IF($H21=1,(IF('計算A'!D$117=1,INDEX('計算A'!D$10:D$54,$B21),0)+IF('計算A'!E$117=1,INDEX('計算A'!F$10:F$54,$B21),0))*4000,0)-IF(AND('計算A'!D$117=1,UB21&gt;0),2000,0)-IF(AND($L21=1,'計算A'!E$117=1,DD21=0),2000,0))),1000000))</f>
        <v/>
      </c>
      <c r="OH21">
        <f>IF($B21=0,1000000,IF(INDEX('計算A'!$D$60:$EQ$104,$B21,3)*DD21=1,IF(AND($E21=2,IS21=0),1000000,IF($I21&gt;0,IF(1=$J21,IF(OR(AND(3=$I21+1,OR($K21&lt;&gt;'計算A'!$A$3,'計算A'!$A$4=0)),AND(3=$I21-1,OR(3&lt;&gt;'計算A'!$A$3,'計算A'!$A$4=0))),0,IF(3=$K21,200000,ABS(3-$K21)*100)),100000+ABS(1-$J21)*1000+30)+'計算A'!F$5*50+IF(AND($E21=1,IS21=0),25,0),IF($F21&gt;0,INDEX('計算A'!F$110:F$114,$F21+1)+IF(AND($E21=1,IS21=0),1000,0),MIN(TU21,20)*400+(IF('計算A'!E$106=1,1-DC21,0)+IF('計算A'!F$106=1,1-DE21,0))*150+31+'計算A'!F$5*100000+IF(AND($E21=1,IS21=0),50000,0))+IF($H21=1,(IF('計算A'!E$117=1,INDEX('計算A'!E$10:E$54,$B21),0)+IF('計算A'!F$117=1,INDEX('計算A'!G$10:G$54,$B21),0))*4000,0)-IF(AND('計算A'!E$117=1,UC21&gt;0),2000,0)-IF(AND($L21=1,'計算A'!F$117=1,DE21=0),2000,0))),1000000))</f>
        <v/>
      </c>
      <c r="OI21">
        <f>IF($B21=0,1000000,IF(INDEX('計算A'!$D$60:$EQ$104,$B21,4)*DE21=1,IF(AND($E21=2,IT21=0),1000000,IF($I21&gt;0,IF(1=$J21,IF(OR(AND(4=$I21+1,OR($K21&lt;&gt;'計算A'!$A$3,'計算A'!$A$4=0)),AND(4=$I21-1,OR(4&lt;&gt;'計算A'!$A$3,'計算A'!$A$4=0))),0,IF(4=$K21,200000,ABS(4-$K21)*100)),100000+ABS(1-$J21)*1000+40)+'計算A'!G$5*50+IF(AND($E21=1,IT21=0),25,0),IF($F21&gt;0,INDEX('計算A'!G$110:G$114,$F21+1)+IF(AND($E21=1,IT21=0),1000,0),MIN(TU21,20)*400+(IF('計算A'!F$106=1,1-DD21,0)+IF('計算A'!G$106=1,1-DF21,0))*150+41+'計算A'!G$5*100000+IF(AND($E21=1,IT21=0),50000,0))+IF($H21=1,(IF('計算A'!F$117=1,INDEX('計算A'!F$10:F$54,$B21),0)+IF('計算A'!G$117=1,INDEX('計算A'!H$10:H$54,$B21),0))*4000,0)-IF(AND('計算A'!F$117=1,UD21&gt;0),2000,0)-IF(AND($L21=1,'計算A'!G$117=1,DF21=0),2000,0))),1000000))</f>
        <v/>
      </c>
      <c r="OJ21">
        <f>IF($B21=0,1000000,IF(INDEX('計算A'!$D$60:$EQ$104,$B21,5)*DF21=1,IF(AND($E21=2,IU21=0),1000000,IF($I21&gt;0,IF(1=$J21,IF(OR(AND(5=$I21+1,OR($K21&lt;&gt;'計算A'!$A$3,'計算A'!$A$4=0)),AND(5=$I21-1,OR(5&lt;&gt;'計算A'!$A$3,'計算A'!$A$4=0))),0,IF(5=$K21,200000,ABS(5-$K21)*100)),100000+ABS(1-$J21)*1000+50)+'計算A'!H$5*50+IF(AND($E21=1,IU21=0),25,0),IF($F21&gt;0,INDEX('計算A'!H$110:H$114,$F21+1)+IF(AND($E21=1,IU21=0),1000,0),MIN(TU21,20)*400+(IF('計算A'!G$106=1,1-DE21,0)+IF('計算A'!H$106=1,1-DG21,0))*150+51+'計算A'!H$5*100000+IF(AND($E21=1,IU21=0),50000,0))+IF($H21=1,(IF('計算A'!G$117=1,INDEX('計算A'!G$10:G$54,$B21),0)+IF('計算A'!H$117=1,INDEX('計算A'!I$10:I$54,$B21),0))*4000,0)-IF(AND('計算A'!G$117=1,UE21&gt;0),2000,0)-IF(AND($L21=1,'計算A'!H$117=1,DG21=0),2000,0))),1000000))</f>
        <v/>
      </c>
      <c r="OK21">
        <f>IF($B21=0,1000000,IF(INDEX('計算A'!$D$60:$EQ$104,$B21,6)*DG21=1,IF(AND($E21=2,IV21=0),1000000,IF($I21&gt;0,IF(1=$J21,IF(OR(AND(6=$I21+1,OR($K21&lt;&gt;'計算A'!$A$3,'計算A'!$A$4=0)),AND(6=$I21-1,OR(6&lt;&gt;'計算A'!$A$3,'計算A'!$A$4=0))),0,IF(6=$K21,200000,ABS(6-$K21)*100)),100000+ABS(1-$J21)*1000+60)+'計算A'!I$5*50+IF(AND($E21=1,IV21=0),25,0),IF($F21&gt;0,INDEX('計算A'!I$110:I$114,$F21+1)+IF(AND($E21=1,IV21=0),1000,0),MIN(TU21,20)*400+(IF('計算A'!H$106=1,1-DF21,0)+IF('計算A'!I$106=1,1-DH21,0))*150+61+'計算A'!I$5*100000+IF(AND($E21=1,IV21=0),50000,0))+IF($H21=1,(IF('計算A'!H$117=1,INDEX('計算A'!H$10:H$54,$B21),0)+IF('計算A'!I$117=1,INDEX('計算A'!J$10:J$54,$B21),0))*4000,0)-IF(AND('計算A'!H$117=1,UF21&gt;0),2000,0)-IF(AND($L21=1,'計算A'!I$117=1,DH21=0),2000,0))),1000000))</f>
        <v/>
      </c>
      <c r="OL21">
        <f>IF($B21=0,1000000,IF(INDEX('計算A'!$D$60:$EQ$104,$B21,7)*DH21=1,IF(AND($E21=2,IW21=0),1000000,IF($I21&gt;0,IF(1=$J21,IF(OR(AND(7=$I21+1,OR($K21&lt;&gt;'計算A'!$A$3,'計算A'!$A$4=0)),AND(7=$I21-1,OR(7&lt;&gt;'計算A'!$A$3,'計算A'!$A$4=0))),0,IF(7=$K21,200000,ABS(7-$K21)*100)),100000+ABS(1-$J21)*1000+70)+'計算A'!J$5*50+IF(AND($E21=1,IW21=0),25,0),IF($F21&gt;0,INDEX('計算A'!J$110:J$114,$F21+1)+IF(AND($E21=1,IW21=0),1000,0),MIN(TU21,20)*400+(IF('計算A'!I$106=1,1-DG21,0)+IF('計算A'!J$106=1,1-DI21,0))*150+71+'計算A'!J$5*100000+IF(AND($E21=1,IW21=0),50000,0))+IF($H21=1,(IF('計算A'!I$117=1,INDEX('計算A'!I$10:I$54,$B21),0)+IF('計算A'!J$117=1,INDEX('計算A'!K$10:K$54,$B21),0))*4000,0)-IF(AND('計算A'!I$117=1,UG21&gt;0),2000,0)-IF(AND($L21=1,'計算A'!J$117=1,DI21=0),2000,0))),1000000))</f>
        <v/>
      </c>
      <c r="OM21">
        <f>IF($B21=0,1000000,IF(INDEX('計算A'!$D$60:$EQ$104,$B21,8)*DI21=1,IF(AND($E21=2,IX21=0),1000000,IF($I21&gt;0,IF(1=$J21,IF(OR(AND(8=$I21+1,OR($K21&lt;&gt;'計算A'!$A$3,'計算A'!$A$4=0)),AND(8=$I21-1,OR(8&lt;&gt;'計算A'!$A$3,'計算A'!$A$4=0))),0,IF(8=$K21,200000,ABS(8-$K21)*100)),100000+ABS(1-$J21)*1000+80)+'計算A'!K$5*50+IF(AND($E21=1,IX21=0),25,0),IF($F21&gt;0,INDEX('計算A'!K$110:K$114,$F21+1)+IF(AND($E21=1,IX21=0),1000,0),MIN(TU21,20)*400+(IF('計算A'!J$106=1,1-DH21,0)+IF('計算A'!K$106=1,1-DJ21,0))*150+81+'計算A'!K$5*100000+IF(AND($E21=1,IX21=0),50000,0))+IF($H21=1,(IF('計算A'!J$117=1,INDEX('計算A'!J$10:J$54,$B21),0)+IF('計算A'!K$117=1,INDEX('計算A'!L$10:L$54,$B21),0))*4000,0)-IF(AND('計算A'!J$117=1,UH21&gt;0),2000,0)-IF(AND($L21=1,'計算A'!K$117=1,DJ21=0),2000,0))),1000000))</f>
        <v/>
      </c>
      <c r="ON21">
        <f>IF($B21=0,1000000,IF(INDEX('計算A'!$D$60:$EQ$104,$B21,9)*DJ21=1,IF(AND($E21=2,IY21=0),1000000,IF($I21&gt;0,IF(1=$J21,IF(OR(AND(9=$I21+1,OR($K21&lt;&gt;'計算A'!$A$3,'計算A'!$A$4=0)),AND(9=$I21-1,OR(9&lt;&gt;'計算A'!$A$3,'計算A'!$A$4=0))),0,IF(9=$K21,200000,ABS(9-$K21)*100)),100000+ABS(1-$J21)*1000+90)+'計算A'!L$5*50+IF(AND($E21=1,IY21=0),25,0),IF($F21&gt;0,INDEX('計算A'!L$110:L$114,$F21+1)+IF(AND($E21=1,IY21=0),1000,0),MIN(TU21,20)*400+(IF('計算A'!K$106=1,1-DI21,0)+IF('計算A'!L$106=1,1-DK21,0))*150+91+'計算A'!L$5*100000+IF(AND($E21=1,IY21=0),50000,0))+IF($H21=1,(IF('計算A'!K$117=1,INDEX('計算A'!K$10:K$54,$B21),0)+IF('計算A'!L$117=1,INDEX('計算A'!M$10:M$54,$B21),0))*4000,0)-IF(AND('計算A'!K$117=1,UI21&gt;0),2000,0)-IF(AND($L21=1,'計算A'!L$117=1,DK21=0),2000,0))),1000000))</f>
        <v/>
      </c>
      <c r="OO21">
        <f>IF($B21=0,1000000,IF(INDEX('計算A'!$D$60:$EQ$104,$B21,10)*DK21=1,IF(AND($E21=2,IZ21=0),1000000,IF($I21&gt;0,IF(1=$J21,IF(OR(AND(10=$I21+1,OR($K21&lt;&gt;'計算A'!$A$3,'計算A'!$A$4=0)),AND(10=$I21-1,OR(10&lt;&gt;'計算A'!$A$3,'計算A'!$A$4=0))),0,IF(10=$K21,200000,ABS(10-$K21)*100)),100000+ABS(1-$J21)*1000+100)+'計算A'!M$5*50+IF(AND($E21=1,IZ21=0),25,0),IF($F21&gt;0,INDEX('計算A'!M$110:M$114,$F21+1)+IF(AND($E21=1,IZ21=0),1000,0),MIN(TU21,20)*400+(IF('計算A'!L$106=1,1-DJ21,0)+IF('計算A'!M$106=1,1-DL21,0))*150+101+'計算A'!M$5*100000+IF(AND($E21=1,IZ21=0),50000,0))+IF($H21=1,(IF('計算A'!L$117=1,INDEX('計算A'!L$10:L$54,$B21),0)+IF('計算A'!M$117=1,INDEX('計算A'!N$10:N$54,$B21),0))*4000,0)-IF(AND('計算A'!L$117=1,UJ21&gt;0),2000,0)-IF(AND($L21=1,'計算A'!M$117=1,DL21=0),2000,0))),1000000))</f>
        <v/>
      </c>
      <c r="OP21">
        <f>IF($B21=0,1000000,IF(INDEX('計算A'!$D$60:$EQ$104,$B21,11)*DL21=1,IF(AND($E21=2,JA21=0),1000000,IF($I21&gt;0,IF(1=$J21,IF(OR(AND(11=$I21+1,OR($K21&lt;&gt;'計算A'!$A$3,'計算A'!$A$4=0)),AND(11=$I21-1,OR(11&lt;&gt;'計算A'!$A$3,'計算A'!$A$4=0))),0,IF(11=$K21,200000,ABS(11-$K21)*100)),100000+ABS(1-$J21)*1000+110)+'計算A'!N$5*50+IF(AND($E21=1,JA21=0),25,0),IF($F21&gt;0,INDEX('計算A'!N$110:N$114,$F21+1)+IF(AND($E21=1,JA21=0),1000,0),MIN(TU21,20)*400+(IF('計算A'!M$106=1,1-DK21,0)+IF('計算A'!N$106=1,1-DM21,0))*150+111+'計算A'!N$5*100000+IF(AND($E21=1,JA21=0),50000,0))+IF($H21=1,(IF('計算A'!M$117=1,INDEX('計算A'!M$10:M$54,$B21),0)+IF('計算A'!N$117=1,INDEX('計算A'!O$10:O$54,$B21),0))*4000,0)-IF(AND('計算A'!M$117=1,UK21&gt;0),2000,0)-IF(AND($L21=1,'計算A'!N$117=1,DM21=0),2000,0))),1000000))</f>
        <v/>
      </c>
      <c r="OQ21">
        <f>IF($B21=0,1000000,IF(INDEX('計算A'!$D$60:$EQ$104,$B21,12)*DM21=1,IF(AND($E21=2,JB21=0),1000000,IF($I21&gt;0,IF(1=$J21,IF(OR(AND(12=$I21+1,OR($K21&lt;&gt;'計算A'!$A$3,'計算A'!$A$4=0)),AND(12=$I21-1,OR(12&lt;&gt;'計算A'!$A$3,'計算A'!$A$4=0))),0,IF(12=$K21,200000,ABS(12-$K21)*100)),100000+ABS(1-$J21)*1000+120)+'計算A'!O$5*50+IF(AND($E21=1,JB21=0),25,0),IF($F21&gt;0,INDEX('計算A'!O$110:O$114,$F21+1)+IF(AND($E21=1,JB21=0),1000,0),MIN(TU21,20)*400+(IF('計算A'!N$106=1,1-DL21,0)+IF('計算A'!O$106=1,1-DN21,0))*150+121+'計算A'!O$5*100000+IF(AND($E21=1,JB21=0),50000,0))+IF($H21=1,(IF('計算A'!N$117=1,INDEX('計算A'!N$10:N$54,$B21),0)+IF('計算A'!O$117=1,INDEX('計算A'!P$10:P$54,$B21),0))*4000,0)-IF(AND('計算A'!N$117=1,UL21&gt;0),2000,0)-IF(AND($L21=1,'計算A'!O$117=1,DN21=0),2000,0))),1000000))</f>
        <v/>
      </c>
      <c r="OR21">
        <f>IF($B21=0,1000000,IF(INDEX('計算A'!$D$60:$EQ$104,$B21,13)*DN21=1,IF(AND($E21=2,JC21=0),1000000,IF($I21&gt;0,IF(1=$J21,IF(OR(AND(13=$I21+1,OR($K21&lt;&gt;'計算A'!$A$3,'計算A'!$A$4=0)),AND(13=$I21-1,OR(13&lt;&gt;'計算A'!$A$3,'計算A'!$A$4=0))),0,IF(13=$K21,200000,ABS(13-$K21)*100)),100000+ABS(1-$J21)*1000+130)+'計算A'!P$5*50+IF(AND($E21=1,JC21=0),25,0),IF($F21&gt;0,INDEX('計算A'!P$110:P$114,$F21+1)+IF(AND($E21=1,JC21=0),1000,0),MIN(TU21,20)*400+(IF('計算A'!O$106=1,1-DM21,0)+IF('計算A'!P$106=1,1-DO21,0))*150+131+'計算A'!P$5*100000+IF(AND($E21=1,JC21=0),50000,0))+IF($H21=1,(IF('計算A'!O$117=1,INDEX('計算A'!O$10:O$54,$B21),0)+IF('計算A'!P$117=1,INDEX('計算A'!Q$10:Q$54,$B21),0))*4000,0)-IF(AND('計算A'!O$117=1,UM21&gt;0),2000,0)-IF(AND($L21=1,'計算A'!P$117=1,DO21=0),2000,0))),1000000))</f>
        <v/>
      </c>
      <c r="OS21">
        <f>IF($B21=0,1000000,IF(INDEX('計算A'!$D$60:$EQ$104,$B21,14)*DO21=1,IF(AND($E21=2,JD21=0),1000000,IF($I21&gt;0,IF(1=$J21,IF(OR(AND(14=$I21+1,OR($K21&lt;&gt;'計算A'!$A$3,'計算A'!$A$4=0)),AND(14=$I21-1,OR(14&lt;&gt;'計算A'!$A$3,'計算A'!$A$4=0))),0,IF(14=$K21,200000,ABS(14-$K21)*100)),100000+ABS(1-$J21)*1000+140)+'計算A'!Q$5*50+IF(AND($E21=1,JD21=0),25,0),IF($F21&gt;0,INDEX('計算A'!Q$110:Q$114,$F21+1)+IF(AND($E21=1,JD21=0),1000,0),MIN(TU21,20)*400+(IF('計算A'!P$106=1,1-DN21,0)+IF('計算A'!Q$106=1,1-DP21,0))*150+141+'計算A'!Q$5*100000+IF(AND($E21=1,JD21=0),50000,0))+IF($H21=1,(IF('計算A'!P$117=1,INDEX('計算A'!P$10:P$54,$B21),0)+IF('計算A'!Q$117=1,INDEX('計算A'!R$10:R$54,$B21),0))*4000,0)-IF(AND('計算A'!P$117=1,UN21&gt;0),2000,0)-IF(AND($L21=1,'計算A'!Q$117=1,DP21=0),2000,0))),1000000))</f>
        <v/>
      </c>
      <c r="OT21">
        <f>IF($B21=0,1000000,IF(INDEX('計算A'!$D$60:$EQ$104,$B21,15)*DP21=1,IF(AND($E21=2,JE21=0),1000000,IF($I21&gt;0,IF(1=$J21,IF(OR(AND(15=$I21+1,OR($K21&lt;&gt;'計算A'!$A$3,'計算A'!$A$4=0)),AND(15=$I21-1,OR(15&lt;&gt;'計算A'!$A$3,'計算A'!$A$4=0))),0,IF(15=$K21,200000,ABS(15-$K21)*100)),100000+ABS(1-$J21)*1000+150)+'計算A'!R$5*50+IF(AND($E21=1,JE21=0),25,0),IF($F21&gt;0,INDEX('計算A'!R$110:R$114,$F21+1)+IF(AND($E21=1,JE21=0),1000,0),MIN(TU21,20)*400+(IF('計算A'!Q$106=1,1-DO21,0)+IF('計算A'!R$106=1,1-DQ21,0))*150+151+'計算A'!R$5*100000+IF(AND($E21=1,JE21=0),50000,0))+IF($H21=1,(IF('計算A'!Q$117=1,INDEX('計算A'!Q$10:Q$54,$B21),0)+IF('計算A'!R$117=1,INDEX('計算A'!S$10:S$54,$B21),0))*4000,0)-IF(AND('計算A'!Q$117=1,UO21&gt;0),2000,0)-IF(AND($L21=1,'計算A'!R$117=1,DQ21=0),2000,0))),1000000))</f>
        <v/>
      </c>
      <c r="OU21">
        <f>IF($B21=0,1000000,IF(INDEX('計算A'!$D$60:$EQ$104,$B21,16)*DQ21=1,IF(AND($E21=2,JF21=0),1000000,IF($I21&gt;0,IF(1=$J21,IF(OR(AND(16=$I21+1,OR($K21&lt;&gt;'計算A'!$A$3,'計算A'!$A$4=0)),AND(16=$I21-1,OR(16&lt;&gt;'計算A'!$A$3,'計算A'!$A$4=0))),0,IF(16=$K21,200000,ABS(16-$K21)*100)),100000+ABS(1-$J21)*1000+160)+'計算A'!S$5*50+IF(AND($E21=1,JF21=0),25,0),IF($F21&gt;0,INDEX('計算A'!S$110:S$114,$F21+1)+IF(AND($E21=1,JF21=0),1000,0),MIN(TU21,20)*400+(IF('計算A'!R$106=1,1-DP21,0)+IF('計算A'!S$106=1,1-DR21,0))*150+161+'計算A'!S$5*100000+IF(AND($E21=1,JF21=0),50000,0))+IF($H21=1,(IF('計算A'!R$117=1,INDEX('計算A'!R$10:R$54,$B21),0)+IF('計算A'!S$117=1,INDEX('計算A'!T$10:T$54,$B21),0))*4000,0)-IF(AND('計算A'!R$117=1,UP21&gt;0),2000,0)-IF(AND($L21=1,'計算A'!S$117=1,DR21=0),2000,0))),1000000))</f>
        <v/>
      </c>
      <c r="OV21">
        <f>IF($B21=0,1000000,IF(INDEX('計算A'!$D$60:$EQ$104,$B21,17)*DR21=1,IF(AND($E21=2,JG21=0),1000000,IF($I21&gt;0,IF(1=$J21,IF(OR(AND(17=$I21+1,OR($K21&lt;&gt;'計算A'!$A$3,'計算A'!$A$4=0)),AND(17=$I21-1,OR(17&lt;&gt;'計算A'!$A$3,'計算A'!$A$4=0))),0,IF(17=$K21,200000,ABS(17-$K21)*100)),100000+ABS(1-$J21)*1000+170)+'計算A'!T$5*50+IF(AND($E21=1,JG21=0),25,0),IF($F21&gt;0,INDEX('計算A'!T$110:T$114,$F21+1)+IF(AND($E21=1,JG21=0),1000,0),MIN(TU21,20)*400+(IF('計算A'!S$106=1,1-DQ21,0)+IF('計算A'!T$106=1,1-DS21,0))*150+171+'計算A'!T$5*100000+IF(AND($E21=1,JG21=0),50000,0))+IF($H21=1,(IF('計算A'!S$117=1,INDEX('計算A'!S$10:S$54,$B21),0)+IF('計算A'!T$117=1,INDEX('計算A'!U$10:U$54,$B21),0))*4000,0)-IF(AND('計算A'!S$117=1,UQ21&gt;0),2000,0)-IF(AND($L21=1,'計算A'!T$117=1,DS21=0),2000,0))),1000000))</f>
        <v/>
      </c>
      <c r="OW21">
        <f>IF($B21=0,1000000,IF(INDEX('計算A'!$D$60:$EQ$104,$B21,18)*DS21=1,IF(AND($E21=2,JH21=0),1000000,IF($I21&gt;0,IF(1=$J21,IF(OR(AND(18=$I21+1,OR($K21&lt;&gt;'計算A'!$A$3,'計算A'!$A$4=0)),AND(18=$I21-1,OR(18&lt;&gt;'計算A'!$A$3,'計算A'!$A$4=0))),0,IF(18=$K21,200000,ABS(18-$K21)*100)),100000+ABS(1-$J21)*1000+180)+'計算A'!U$5*50+IF(AND($E21=1,JH21=0),25,0),IF($F21&gt;0,INDEX('計算A'!U$110:U$114,$F21+1)+IF(AND($E21=1,JH21=0),1000,0),MIN(TU21,20)*400+(IF('計算A'!T$106=1,1-DR21,0)+IF('計算A'!U$106=1,1-DT21,0))*150+181+'計算A'!U$5*100000+IF(AND($E21=1,JH21=0),50000,0))+IF($H21=1,(IF('計算A'!T$117=1,INDEX('計算A'!T$10:T$54,$B21),0)+IF('計算A'!U$117=1,INDEX('計算A'!V$10:V$54,$B21),0))*4000,0)-IF(AND('計算A'!T$117=1,UR21&gt;0),2000,0)-IF(AND($L21=1,'計算A'!U$117=1,DT21=0),2000,0))),1000000))</f>
        <v/>
      </c>
      <c r="OX21">
        <f>IF($B21=0,1000000,IF(INDEX('計算A'!$D$60:$EQ$104,$B21,19)*DT21=1,IF(AND($E21=2,JI21=0),1000000,IF($I21&gt;0,IF(1=$J21,IF(OR(AND(19=$I21+1,OR($K21&lt;&gt;'計算A'!$A$3,'計算A'!$A$4=0)),AND(19=$I21-1,OR(19&lt;&gt;'計算A'!$A$3,'計算A'!$A$4=0))),0,IF(19=$K21,200000,ABS(19-$K21)*100)),100000+ABS(1-$J21)*1000+190)+'計算A'!V$5*50+IF(AND($E21=1,JI21=0),25,0),IF($F21&gt;0,INDEX('計算A'!V$110:V$114,$F21+1)+IF(AND($E21=1,JI21=0),1000,0),MIN(TU21,20)*400+(IF('計算A'!U$106=1,1-DS21,0)+IF('計算A'!V$106=1,1-DU21,0))*150+191+'計算A'!V$5*100000+IF(AND($E21=1,JI21=0),50000,0))+IF($H21=1,(IF('計算A'!U$117=1,INDEX('計算A'!U$10:U$54,$B21),0)+IF('計算A'!V$117=1,INDEX('計算A'!W$10:W$54,$B21),0))*4000,0)-IF(AND('計算A'!U$117=1,US21&gt;0),2000,0)-IF(AND($L21=1,'計算A'!V$117=1,DU21=0),2000,0))),1000000))</f>
        <v/>
      </c>
      <c r="OY21">
        <f>IF($B21=0,1000000,IF(INDEX('計算A'!$D$60:$EQ$104,$B21,20)*DU21=1,IF(AND($E21=2,JJ21=0),1000000,IF($I21&gt;0,IF(1=$J21,IF(OR(AND(20=$I21+1,OR($K21&lt;&gt;'計算A'!$A$3,'計算A'!$A$4=0)),AND(20=$I21-1,OR(20&lt;&gt;'計算A'!$A$3,'計算A'!$A$4=0))),0,IF(20=$K21,200000,ABS(20-$K21)*100)),100000+ABS(1-$J21)*1000+200)+'計算A'!W$5*50+IF(AND($E21=1,JJ21=0),25,0),IF($F21&gt;0,INDEX('計算A'!W$110:W$114,$F21+1)+IF(AND($E21=1,JJ21=0),1000,0),MIN(TU21,20)*400+(IF('計算A'!V$106=1,1-DT21,0)+IF('計算A'!W$106=1,1-DV21,0))*150+201+'計算A'!W$5*100000+IF(AND($E21=1,JJ21=0),50000,0))+IF($H21=1,(IF('計算A'!V$117=1,INDEX('計算A'!V$10:V$54,$B21),0)+IF('計算A'!W$117=1,INDEX('計算A'!X$10:X$54,$B21),0))*4000,0)-IF(AND('計算A'!V$117=1,UT21&gt;0),2000,0)-IF(AND($L21=1,'計算A'!W$117=1,DV21=0),2000,0))),1000000))</f>
        <v/>
      </c>
      <c r="OZ21">
        <f>IF($B21=0,1000000,IF(INDEX('計算A'!$D$60:$EQ$104,$B21,21)*DV21=1,IF(AND($E21=2,JK21=0),1000000,IF($I21&gt;0,IF(1=$J21,IF(OR(AND(21=$I21+1,OR($K21&lt;&gt;'計算A'!$A$3,'計算A'!$A$4=0)),AND(21=$I21-1,OR(21&lt;&gt;'計算A'!$A$3,'計算A'!$A$4=0))),0,IF(21=$K21,200000,ABS(21-$K21)*100)),100000+ABS(1-$J21)*1000+210)+'計算A'!X$5*50+IF(AND($E21=1,JK21=0),25,0),IF($F21&gt;0,INDEX('計算A'!X$110:X$114,$F21+1)+IF(AND($E21=1,JK21=0),1000,0),MIN(TU21,20)*400+(IF('計算A'!W$106=1,1-DU21,0)+IF('計算A'!X$106=1,1-DW21,0))*150+211+'計算A'!X$5*100000+IF(AND($E21=1,JK21=0),50000,0))+IF($H21=1,(IF('計算A'!W$117=1,INDEX('計算A'!W$10:W$54,$B21),0)+IF('計算A'!X$117=1,INDEX('計算A'!Y$10:Y$54,$B21),0))*4000,0)-IF(AND('計算A'!W$117=1,UU21&gt;0),2000,0)-IF(AND($L21=1,'計算A'!X$117=1,DW21=0),2000,0))),1000000))</f>
        <v/>
      </c>
      <c r="PA21">
        <f>IF($B21=0,1000000,IF(INDEX('計算A'!$D$60:$EQ$104,$B21,22)*DW21=1,IF(AND($E21=2,JL21=0),1000000,IF($I21&gt;0,IF(1=$J21,IF(OR(AND(22=$I21+1,OR($K21&lt;&gt;'計算A'!$A$3,'計算A'!$A$4=0)),AND(22=$I21-1,OR(22&lt;&gt;'計算A'!$A$3,'計算A'!$A$4=0))),0,IF(22=$K21,200000,ABS(22-$K21)*100)),100000+ABS(1-$J21)*1000+220)+'計算A'!Y$5*50+IF(AND($E21=1,JL21=0),25,0),IF($F21&gt;0,INDEX('計算A'!Y$110:Y$114,$F21+1)+IF(AND($E21=1,JL21=0),1000,0),MIN(TU21,20)*400+(IF('計算A'!X$106=1,1-DV21,0)+IF('計算A'!Y$106=1,1-DX21,0))*150+221+'計算A'!Y$5*100000+IF(AND($E21=1,JL21=0),50000,0))+IF($H21=1,(IF('計算A'!X$117=1,INDEX('計算A'!X$10:X$54,$B21),0)+IF('計算A'!Y$117=1,INDEX('計算A'!Z$10:Z$54,$B21),0))*4000,0)-IF(AND('計算A'!X$117=1,UV21&gt;0),2000,0)-IF(AND($L21=1,'計算A'!Y$117=1,DX21=0),2000,0))),1000000))</f>
        <v/>
      </c>
      <c r="PB21">
        <f>IF($B21=0,1000000,IF(INDEX('計算A'!$D$60:$EQ$104,$B21,23)*DX21=1,IF(AND($E21=2,JM21=0),1000000,IF($I21&gt;0,IF(1=$J21,IF(OR(AND(23=$I21+1,OR($K21&lt;&gt;'計算A'!$A$3,'計算A'!$A$4=0)),AND(23=$I21-1,OR(23&lt;&gt;'計算A'!$A$3,'計算A'!$A$4=0))),0,IF(23=$K21,200000,ABS(23-$K21)*100)),100000+ABS(1-$J21)*1000+230)+'計算A'!Z$5*50+IF(AND($E21=1,JM21=0),25,0),IF($F21&gt;0,INDEX('計算A'!Z$110:Z$114,$F21+1)+IF(AND($E21=1,JM21=0),1000,0),MIN(TU21,20)*400+(IF('計算A'!Y$106=1,1-DW21,0)+IF('計算A'!Z$106=1,1-DY21,0))*150+231+'計算A'!Z$5*100000+IF(AND($E21=1,JM21=0),50000,0))+IF($H21=1,(IF('計算A'!Y$117=1,INDEX('計算A'!Y$10:Y$54,$B21),0)+IF('計算A'!Z$117=1,INDEX('計算A'!AA$10:AA$54,$B21),0))*4000,0)-IF(AND('計算A'!Y$117=1,UW21&gt;0),2000,0)-IF(AND($L21=1,'計算A'!Z$117=1,DY21=0),2000,0))),1000000))</f>
        <v/>
      </c>
      <c r="PC21">
        <f>IF($B21=0,1000000,IF(INDEX('計算A'!$D$60:$EQ$104,$B21,24)*DY21=1,IF(AND($E21=2,JN21=0),1000000,IF($I21&gt;0,IF(1=$J21,IF(OR(AND(24=$I21+1,OR($K21&lt;&gt;'計算A'!$A$3,'計算A'!$A$4=0)),AND(24=$I21-1,OR(24&lt;&gt;'計算A'!$A$3,'計算A'!$A$4=0))),0,IF(24=$K21,200000,ABS(24-$K21)*100)),100000+ABS(1-$J21)*1000+240)+'計算A'!AA$5*50+IF(AND($E21=1,JN21=0),25,0),IF($F21&gt;0,INDEX('計算A'!AA$110:AA$114,$F21+1)+IF(AND($E21=1,JN21=0),1000,0),MIN(TU21,20)*400+(IF('計算A'!Z$106=1,1-DX21,0))*150+241+'計算A'!AA$5*100000+IF(AND($E21=1,JN21=0),50000,0))+IF($H21=1,(IF('計算A'!Z$117=1,INDEX('計算A'!Z$10:Z$54,$B21),0))*4000,0)-IF(AND('計算A'!Z$117=1,UX21&gt;0),2000,0))),1000000))</f>
        <v/>
      </c>
      <c r="PD21">
        <f>IF($B21=0,1000000,IF(INDEX('計算A'!$D$60:$EQ$104,$B21,25)*DZ21=1,IF(AND($E21=2,JO21=0),1000000,IF($I21&gt;0,IF(2=$J21,IF(OR(AND(25=$I21+1,OR($K21&lt;&gt;'計算A'!$A$3,'計算A'!$A$4=0)),AND(25=$I21-1,OR(1&lt;&gt;'計算A'!$A$3,'計算A'!$A$4=0))),0,IF(1=$K21,200000,ABS(1-$K21)*100)),100000+ABS(2-$J21)*1000+10)+'計算A'!AB$5*50+IF(AND($E21=1,JO21=0),25,0),IF($F21&gt;0,INDEX('計算A'!AB$110:AB$114,$F21+1)+IF(AND($E21=1,JO21=0),1000,0),MIN(TV21,20)*400+(IF('計算A'!AB$106=1,1-EA21,0))*150+12+'計算A'!AB$5*100000+IF(AND($E21=1,JO21=0),50000,0))+IF($H21=1,(IF('計算A'!AB$117=1,INDEX('計算A'!AC$10:AC$54,$B21),0))*4000,0)-IF(AND($L21=1,'計算A'!AB$117=1,EA21=0),2000,0))),1000000))</f>
        <v/>
      </c>
      <c r="PE21">
        <f>IF($B21=0,1000000,IF(INDEX('計算A'!$D$60:$EQ$104,$B21,26)*EA21=1,IF(AND($E21=2,JP21=0),1000000,IF($I21&gt;0,IF(2=$J21,IF(OR(AND(26=$I21+1,OR($K21&lt;&gt;'計算A'!$A$3,'計算A'!$A$4=0)),AND(26=$I21-1,OR(2&lt;&gt;'計算A'!$A$3,'計算A'!$A$4=0))),0,IF(2=$K21,200000,ABS(2-$K21)*100)),100000+ABS(2-$J21)*1000+20)+'計算A'!AC$5*50+IF(AND($E21=1,JP21=0),25,0),IF($F21&gt;0,INDEX('計算A'!AC$110:AC$114,$F21+1)+IF(AND($E21=1,JP21=0),1000,0),MIN(TV21,20)*400+(IF('計算A'!AB$106=1,1-DZ21,0)+IF('計算A'!AC$106=1,1-EB21,0))*150+22+'計算A'!AC$5*100000+IF(AND($E21=1,JP21=0),50000,0))+IF($H21=1,(IF('計算A'!AB$117=1,INDEX('計算A'!AB$10:AB$54,$B21),0)+IF('計算A'!AC$117=1,INDEX('計算A'!AD$10:AD$54,$B21),0))*4000,0)-IF(AND('計算A'!AB$117=1,UZ21&gt;0),2000,0)-IF(AND($L21=1,'計算A'!AC$117=1,EB21=0),2000,0))),1000000))</f>
        <v/>
      </c>
      <c r="PF21">
        <f>IF($B21=0,1000000,IF(INDEX('計算A'!$D$60:$EQ$104,$B21,27)*EB21=1,IF(AND($E21=2,JQ21=0),1000000,IF($I21&gt;0,IF(2=$J21,IF(OR(AND(27=$I21+1,OR($K21&lt;&gt;'計算A'!$A$3,'計算A'!$A$4=0)),AND(27=$I21-1,OR(3&lt;&gt;'計算A'!$A$3,'計算A'!$A$4=0))),0,IF(3=$K21,200000,ABS(3-$K21)*100)),100000+ABS(2-$J21)*1000+30)+'計算A'!AD$5*50+IF(AND($E21=1,JQ21=0),25,0),IF($F21&gt;0,INDEX('計算A'!AD$110:AD$114,$F21+1)+IF(AND($E21=1,JQ21=0),1000,0),MIN(TV21,20)*400+(IF('計算A'!AC$106=1,1-EA21,0)+IF('計算A'!AD$106=1,1-EC21,0))*150+32+'計算A'!AD$5*100000+IF(AND($E21=1,JQ21=0),50000,0))+IF($H21=1,(IF('計算A'!AC$117=1,INDEX('計算A'!AC$10:AC$54,$B21),0)+IF('計算A'!AD$117=1,INDEX('計算A'!AE$10:AE$54,$B21),0))*4000,0)-IF(AND('計算A'!AC$117=1,VA21&gt;0),2000,0)-IF(AND($L21=1,'計算A'!AD$117=1,EC21=0),2000,0))),1000000))</f>
        <v/>
      </c>
      <c r="PG21">
        <f>IF($B21=0,1000000,IF(INDEX('計算A'!$D$60:$EQ$104,$B21,28)*EC21=1,IF(AND($E21=2,JR21=0),1000000,IF($I21&gt;0,IF(2=$J21,IF(OR(AND(28=$I21+1,OR($K21&lt;&gt;'計算A'!$A$3,'計算A'!$A$4=0)),AND(28=$I21-1,OR(4&lt;&gt;'計算A'!$A$3,'計算A'!$A$4=0))),0,IF(4=$K21,200000,ABS(4-$K21)*100)),100000+ABS(2-$J21)*1000+40)+'計算A'!AE$5*50+IF(AND($E21=1,JR21=0),25,0),IF($F21&gt;0,INDEX('計算A'!AE$110:AE$114,$F21+1)+IF(AND($E21=1,JR21=0),1000,0),MIN(TV21,20)*400+(IF('計算A'!AD$106=1,1-EB21,0)+IF('計算A'!AE$106=1,1-ED21,0))*150+42+'計算A'!AE$5*100000+IF(AND($E21=1,JR21=0),50000,0))+IF($H21=1,(IF('計算A'!AD$117=1,INDEX('計算A'!AD$10:AD$54,$B21),0)+IF('計算A'!AE$117=1,INDEX('計算A'!AF$10:AF$54,$B21),0))*4000,0)-IF(AND('計算A'!AD$117=1,VB21&gt;0),2000,0)-IF(AND($L21=1,'計算A'!AE$117=1,ED21=0),2000,0))),1000000))</f>
        <v/>
      </c>
      <c r="PH21">
        <f>IF($B21=0,1000000,IF(INDEX('計算A'!$D$60:$EQ$104,$B21,29)*ED21=1,IF(AND($E21=2,JS21=0),1000000,IF($I21&gt;0,IF(2=$J21,IF(OR(AND(29=$I21+1,OR($K21&lt;&gt;'計算A'!$A$3,'計算A'!$A$4=0)),AND(29=$I21-1,OR(5&lt;&gt;'計算A'!$A$3,'計算A'!$A$4=0))),0,IF(5=$K21,200000,ABS(5-$K21)*100)),100000+ABS(2-$J21)*1000+50)+'計算A'!AF$5*50+IF(AND($E21=1,JS21=0),25,0),IF($F21&gt;0,INDEX('計算A'!AF$110:AF$114,$F21+1)+IF(AND($E21=1,JS21=0),1000,0),MIN(TV21,20)*400+(IF('計算A'!AE$106=1,1-EC21,0)+IF('計算A'!AF$106=1,1-EE21,0))*150+52+'計算A'!AF$5*100000+IF(AND($E21=1,JS21=0),50000,0))+IF($H21=1,(IF('計算A'!AE$117=1,INDEX('計算A'!AE$10:AE$54,$B21),0)+IF('計算A'!AF$117=1,INDEX('計算A'!AG$10:AG$54,$B21),0))*4000,0)-IF(AND('計算A'!AE$117=1,VC21&gt;0),2000,0)-IF(AND($L21=1,'計算A'!AF$117=1,EE21=0),2000,0))),1000000))</f>
        <v/>
      </c>
      <c r="PI21">
        <f>IF($B21=0,1000000,IF(INDEX('計算A'!$D$60:$EQ$104,$B21,30)*EE21=1,IF(AND($E21=2,JT21=0),1000000,IF($I21&gt;0,IF(2=$J21,IF(OR(AND(30=$I21+1,OR($K21&lt;&gt;'計算A'!$A$3,'計算A'!$A$4=0)),AND(30=$I21-1,OR(6&lt;&gt;'計算A'!$A$3,'計算A'!$A$4=0))),0,IF(6=$K21,200000,ABS(6-$K21)*100)),100000+ABS(2-$J21)*1000+60)+'計算A'!AG$5*50+IF(AND($E21=1,JT21=0),25,0),IF($F21&gt;0,INDEX('計算A'!AG$110:AG$114,$F21+1)+IF(AND($E21=1,JT21=0),1000,0),MIN(TV21,20)*400+(IF('計算A'!AF$106=1,1-ED21,0)+IF('計算A'!AG$106=1,1-EF21,0))*150+62+'計算A'!AG$5*100000+IF(AND($E21=1,JT21=0),50000,0))+IF($H21=1,(IF('計算A'!AF$117=1,INDEX('計算A'!AF$10:AF$54,$B21),0)+IF('計算A'!AG$117=1,INDEX('計算A'!AH$10:AH$54,$B21),0))*4000,0)-IF(AND('計算A'!AF$117=1,VD21&gt;0),2000,0)-IF(AND($L21=1,'計算A'!AG$117=1,EF21=0),2000,0))),1000000))</f>
        <v/>
      </c>
      <c r="PJ21">
        <f>IF($B21=0,1000000,IF(INDEX('計算A'!$D$60:$EQ$104,$B21,31)*EF21=1,IF(AND($E21=2,JU21=0),1000000,IF($I21&gt;0,IF(2=$J21,IF(OR(AND(31=$I21+1,OR($K21&lt;&gt;'計算A'!$A$3,'計算A'!$A$4=0)),AND(31=$I21-1,OR(7&lt;&gt;'計算A'!$A$3,'計算A'!$A$4=0))),0,IF(7=$K21,200000,ABS(7-$K21)*100)),100000+ABS(2-$J21)*1000+70)+'計算A'!AH$5*50+IF(AND($E21=1,JU21=0),25,0),IF($F21&gt;0,INDEX('計算A'!AH$110:AH$114,$F21+1)+IF(AND($E21=1,JU21=0),1000,0),MIN(TV21,20)*400+(IF('計算A'!AG$106=1,1-EE21,0)+IF('計算A'!AH$106=1,1-EG21,0))*150+72+'計算A'!AH$5*100000+IF(AND($E21=1,JU21=0),50000,0))+IF($H21=1,(IF('計算A'!AG$117=1,INDEX('計算A'!AG$10:AG$54,$B21),0)+IF('計算A'!AH$117=1,INDEX('計算A'!AI$10:AI$54,$B21),0))*4000,0)-IF(AND('計算A'!AG$117=1,VE21&gt;0),2000,0)-IF(AND($L21=1,'計算A'!AH$117=1,EG21=0),2000,0))),1000000))</f>
        <v/>
      </c>
      <c r="PK21">
        <f>IF($B21=0,1000000,IF(INDEX('計算A'!$D$60:$EQ$104,$B21,32)*EG21=1,IF(AND($E21=2,JV21=0),1000000,IF($I21&gt;0,IF(2=$J21,IF(OR(AND(32=$I21+1,OR($K21&lt;&gt;'計算A'!$A$3,'計算A'!$A$4=0)),AND(32=$I21-1,OR(8&lt;&gt;'計算A'!$A$3,'計算A'!$A$4=0))),0,IF(8=$K21,200000,ABS(8-$K21)*100)),100000+ABS(2-$J21)*1000+80)+'計算A'!AI$5*50+IF(AND($E21=1,JV21=0),25,0),IF($F21&gt;0,INDEX('計算A'!AI$110:AI$114,$F21+1)+IF(AND($E21=1,JV21=0),1000,0),MIN(TV21,20)*400+(IF('計算A'!AH$106=1,1-EF21,0)+IF('計算A'!AI$106=1,1-EH21,0))*150+82+'計算A'!AI$5*100000+IF(AND($E21=1,JV21=0),50000,0))+IF($H21=1,(IF('計算A'!AH$117=1,INDEX('計算A'!AH$10:AH$54,$B21),0)+IF('計算A'!AI$117=1,INDEX('計算A'!AJ$10:AJ$54,$B21),0))*4000,0)-IF(AND('計算A'!AH$117=1,VF21&gt;0),2000,0)-IF(AND($L21=1,'計算A'!AI$117=1,EH21=0),2000,0))),1000000))</f>
        <v/>
      </c>
      <c r="PL21">
        <f>IF($B21=0,1000000,IF(INDEX('計算A'!$D$60:$EQ$104,$B21,33)*EH21=1,IF(AND($E21=2,JW21=0),1000000,IF($I21&gt;0,IF(2=$J21,IF(OR(AND(33=$I21+1,OR($K21&lt;&gt;'計算A'!$A$3,'計算A'!$A$4=0)),AND(33=$I21-1,OR(9&lt;&gt;'計算A'!$A$3,'計算A'!$A$4=0))),0,IF(9=$K21,200000,ABS(9-$K21)*100)),100000+ABS(2-$J21)*1000+90)+'計算A'!AJ$5*50+IF(AND($E21=1,JW21=0),25,0),IF($F21&gt;0,INDEX('計算A'!AJ$110:AJ$114,$F21+1)+IF(AND($E21=1,JW21=0),1000,0),MIN(TV21,20)*400+(IF('計算A'!AI$106=1,1-EG21,0)+IF('計算A'!AJ$106=1,1-EI21,0))*150+92+'計算A'!AJ$5*100000+IF(AND($E21=1,JW21=0),50000,0))+IF($H21=1,(IF('計算A'!AI$117=1,INDEX('計算A'!AI$10:AI$54,$B21),0)+IF('計算A'!AJ$117=1,INDEX('計算A'!AK$10:AK$54,$B21),0))*4000,0)-IF(AND('計算A'!AI$117=1,VG21&gt;0),2000,0)-IF(AND($L21=1,'計算A'!AJ$117=1,EI21=0),2000,0))),1000000))</f>
        <v/>
      </c>
      <c r="PM21">
        <f>IF($B21=0,1000000,IF(INDEX('計算A'!$D$60:$EQ$104,$B21,34)*EI21=1,IF(AND($E21=2,JX21=0),1000000,IF($I21&gt;0,IF(2=$J21,IF(OR(AND(34=$I21+1,OR($K21&lt;&gt;'計算A'!$A$3,'計算A'!$A$4=0)),AND(34=$I21-1,OR(10&lt;&gt;'計算A'!$A$3,'計算A'!$A$4=0))),0,IF(10=$K21,200000,ABS(10-$K21)*100)),100000+ABS(2-$J21)*1000+100)+'計算A'!AK$5*50+IF(AND($E21=1,JX21=0),25,0),IF($F21&gt;0,INDEX('計算A'!AK$110:AK$114,$F21+1)+IF(AND($E21=1,JX21=0),1000,0),MIN(TV21,20)*400+(IF('計算A'!AJ$106=1,1-EH21,0)+IF('計算A'!AK$106=1,1-EJ21,0))*150+102+'計算A'!AK$5*100000+IF(AND($E21=1,JX21=0),50000,0))+IF($H21=1,(IF('計算A'!AJ$117=1,INDEX('計算A'!AJ$10:AJ$54,$B21),0)+IF('計算A'!AK$117=1,INDEX('計算A'!AL$10:AL$54,$B21),0))*4000,0)-IF(AND('計算A'!AJ$117=1,VH21&gt;0),2000,0)-IF(AND($L21=1,'計算A'!AK$117=1,EJ21=0),2000,0))),1000000))</f>
        <v/>
      </c>
      <c r="PN21">
        <f>IF($B21=0,1000000,IF(INDEX('計算A'!$D$60:$EQ$104,$B21,35)*EJ21=1,IF(AND($E21=2,JY21=0),1000000,IF($I21&gt;0,IF(2=$J21,IF(OR(AND(35=$I21+1,OR($K21&lt;&gt;'計算A'!$A$3,'計算A'!$A$4=0)),AND(35=$I21-1,OR(11&lt;&gt;'計算A'!$A$3,'計算A'!$A$4=0))),0,IF(11=$K21,200000,ABS(11-$K21)*100)),100000+ABS(2-$J21)*1000+110)+'計算A'!AL$5*50+IF(AND($E21=1,JY21=0),25,0),IF($F21&gt;0,INDEX('計算A'!AL$110:AL$114,$F21+1)+IF(AND($E21=1,JY21=0),1000,0),MIN(TV21,20)*400+(IF('計算A'!AK$106=1,1-EI21,0)+IF('計算A'!AL$106=1,1-EK21,0))*150+112+'計算A'!AL$5*100000+IF(AND($E21=1,JY21=0),50000,0))+IF($H21=1,(IF('計算A'!AK$117=1,INDEX('計算A'!AK$10:AK$54,$B21),0)+IF('計算A'!AL$117=1,INDEX('計算A'!AM$10:AM$54,$B21),0))*4000,0)-IF(AND('計算A'!AK$117=1,VI21&gt;0),2000,0)-IF(AND($L21=1,'計算A'!AL$117=1,EK21=0),2000,0))),1000000))</f>
        <v/>
      </c>
      <c r="PO21">
        <f>IF($B21=0,1000000,IF(INDEX('計算A'!$D$60:$EQ$104,$B21,36)*EK21=1,IF(AND($E21=2,JZ21=0),1000000,IF($I21&gt;0,IF(2=$J21,IF(OR(AND(36=$I21+1,OR($K21&lt;&gt;'計算A'!$A$3,'計算A'!$A$4=0)),AND(36=$I21-1,OR(12&lt;&gt;'計算A'!$A$3,'計算A'!$A$4=0))),0,IF(12=$K21,200000,ABS(12-$K21)*100)),100000+ABS(2-$J21)*1000+120)+'計算A'!AM$5*50+IF(AND($E21=1,JZ21=0),25,0),IF($F21&gt;0,INDEX('計算A'!AM$110:AM$114,$F21+1)+IF(AND($E21=1,JZ21=0),1000,0),MIN(TV21,20)*400+(IF('計算A'!AL$106=1,1-EJ21,0)+IF('計算A'!AM$106=1,1-EL21,0))*150+122+'計算A'!AM$5*100000+IF(AND($E21=1,JZ21=0),50000,0))+IF($H21=1,(IF('計算A'!AL$117=1,INDEX('計算A'!AL$10:AL$54,$B21),0)+IF('計算A'!AM$117=1,INDEX('計算A'!AN$10:AN$54,$B21),0))*4000,0)-IF(AND('計算A'!AL$117=1,VJ21&gt;0),2000,0)-IF(AND($L21=1,'計算A'!AM$117=1,EL21=0),2000,0))),1000000))</f>
        <v/>
      </c>
      <c r="PP21">
        <f>IF($B21=0,1000000,IF(INDEX('計算A'!$D$60:$EQ$104,$B21,37)*EL21=1,IF(AND($E21=2,KA21=0),1000000,IF($I21&gt;0,IF(2=$J21,IF(OR(AND(37=$I21+1,OR($K21&lt;&gt;'計算A'!$A$3,'計算A'!$A$4=0)),AND(37=$I21-1,OR(13&lt;&gt;'計算A'!$A$3,'計算A'!$A$4=0))),0,IF(13=$K21,200000,ABS(13-$K21)*100)),100000+ABS(2-$J21)*1000+130)+'計算A'!AN$5*50+IF(AND($E21=1,KA21=0),25,0),IF($F21&gt;0,INDEX('計算A'!AN$110:AN$114,$F21+1)+IF(AND($E21=1,KA21=0),1000,0),MIN(TV21,20)*400+(IF('計算A'!AM$106=1,1-EK21,0)+IF('計算A'!AN$106=1,1-EM21,0))*150+132+'計算A'!AN$5*100000+IF(AND($E21=1,KA21=0),50000,0))+IF($H21=1,(IF('計算A'!AM$117=1,INDEX('計算A'!AM$10:AM$54,$B21),0)+IF('計算A'!AN$117=1,INDEX('計算A'!AO$10:AO$54,$B21),0))*4000,0)-IF(AND('計算A'!AM$117=1,VK21&gt;0),2000,0)-IF(AND($L21=1,'計算A'!AN$117=1,EM21=0),2000,0))),1000000))</f>
        <v/>
      </c>
      <c r="PQ21">
        <f>IF($B21=0,1000000,IF(INDEX('計算A'!$D$60:$EQ$104,$B21,38)*EM21=1,IF(AND($E21=2,KB21=0),1000000,IF($I21&gt;0,IF(2=$J21,IF(OR(AND(38=$I21+1,OR($K21&lt;&gt;'計算A'!$A$3,'計算A'!$A$4=0)),AND(38=$I21-1,OR(14&lt;&gt;'計算A'!$A$3,'計算A'!$A$4=0))),0,IF(14=$K21,200000,ABS(14-$K21)*100)),100000+ABS(2-$J21)*1000+140)+'計算A'!AO$5*50+IF(AND($E21=1,KB21=0),25,0),IF($F21&gt;0,INDEX('計算A'!AO$110:AO$114,$F21+1)+IF(AND($E21=1,KB21=0),1000,0),MIN(TV21,20)*400+(IF('計算A'!AN$106=1,1-EL21,0)+IF('計算A'!AO$106=1,1-EN21,0))*150+142+'計算A'!AO$5*100000+IF(AND($E21=1,KB21=0),50000,0))+IF($H21=1,(IF('計算A'!AN$117=1,INDEX('計算A'!AN$10:AN$54,$B21),0)+IF('計算A'!AO$117=1,INDEX('計算A'!AP$10:AP$54,$B21),0))*4000,0)-IF(AND('計算A'!AN$117=1,VL21&gt;0),2000,0)-IF(AND($L21=1,'計算A'!AO$117=1,EN21=0),2000,0))),1000000))</f>
        <v/>
      </c>
      <c r="PR21">
        <f>IF($B21=0,1000000,IF(INDEX('計算A'!$D$60:$EQ$104,$B21,39)*EN21=1,IF(AND($E21=2,KC21=0),1000000,IF($I21&gt;0,IF(2=$J21,IF(OR(AND(39=$I21+1,OR($K21&lt;&gt;'計算A'!$A$3,'計算A'!$A$4=0)),AND(39=$I21-1,OR(15&lt;&gt;'計算A'!$A$3,'計算A'!$A$4=0))),0,IF(15=$K21,200000,ABS(15-$K21)*100)),100000+ABS(2-$J21)*1000+150)+'計算A'!AP$5*50+IF(AND($E21=1,KC21=0),25,0),IF($F21&gt;0,INDEX('計算A'!AP$110:AP$114,$F21+1)+IF(AND($E21=1,KC21=0),1000,0),MIN(TV21,20)*400+(IF('計算A'!AO$106=1,1-EM21,0)+IF('計算A'!AP$106=1,1-EO21,0))*150+152+'計算A'!AP$5*100000+IF(AND($E21=1,KC21=0),50000,0))+IF($H21=1,(IF('計算A'!AO$117=1,INDEX('計算A'!AO$10:AO$54,$B21),0)+IF('計算A'!AP$117=1,INDEX('計算A'!AQ$10:AQ$54,$B21),0))*4000,0)-IF(AND('計算A'!AO$117=1,VM21&gt;0),2000,0)-IF(AND($L21=1,'計算A'!AP$117=1,EO21=0),2000,0))),1000000))</f>
        <v/>
      </c>
      <c r="PS21">
        <f>IF($B21=0,1000000,IF(INDEX('計算A'!$D$60:$EQ$104,$B21,40)*EO21=1,IF(AND($E21=2,KD21=0),1000000,IF($I21&gt;0,IF(2=$J21,IF(OR(AND(40=$I21+1,OR($K21&lt;&gt;'計算A'!$A$3,'計算A'!$A$4=0)),AND(40=$I21-1,OR(16&lt;&gt;'計算A'!$A$3,'計算A'!$A$4=0))),0,IF(16=$K21,200000,ABS(16-$K21)*100)),100000+ABS(2-$J21)*1000+160)+'計算A'!AQ$5*50+IF(AND($E21=1,KD21=0),25,0),IF($F21&gt;0,INDEX('計算A'!AQ$110:AQ$114,$F21+1)+IF(AND($E21=1,KD21=0),1000,0),MIN(TV21,20)*400+(IF('計算A'!AP$106=1,1-EN21,0)+IF('計算A'!AQ$106=1,1-EP21,0))*150+162+'計算A'!AQ$5*100000+IF(AND($E21=1,KD21=0),50000,0))+IF($H21=1,(IF('計算A'!AP$117=1,INDEX('計算A'!AP$10:AP$54,$B21),0)+IF('計算A'!AQ$117=1,INDEX('計算A'!AR$10:AR$54,$B21),0))*4000,0)-IF(AND('計算A'!AP$117=1,VN21&gt;0),2000,0)-IF(AND($L21=1,'計算A'!AQ$117=1,EP21=0),2000,0))),1000000))</f>
        <v/>
      </c>
      <c r="PT21">
        <f>IF($B21=0,1000000,IF(INDEX('計算A'!$D$60:$EQ$104,$B21,41)*EP21=1,IF(AND($E21=2,KE21=0),1000000,IF($I21&gt;0,IF(2=$J21,IF(OR(AND(41=$I21+1,OR($K21&lt;&gt;'計算A'!$A$3,'計算A'!$A$4=0)),AND(41=$I21-1,OR(17&lt;&gt;'計算A'!$A$3,'計算A'!$A$4=0))),0,IF(17=$K21,200000,ABS(17-$K21)*100)),100000+ABS(2-$J21)*1000+170)+'計算A'!AR$5*50+IF(AND($E21=1,KE21=0),25,0),IF($F21&gt;0,INDEX('計算A'!AR$110:AR$114,$F21+1)+IF(AND($E21=1,KE21=0),1000,0),MIN(TV21,20)*400+(IF('計算A'!AQ$106=1,1-EO21,0)+IF('計算A'!AR$106=1,1-EQ21,0))*150+172+'計算A'!AR$5*100000+IF(AND($E21=1,KE21=0),50000,0))+IF($H21=1,(IF('計算A'!AQ$117=1,INDEX('計算A'!AQ$10:AQ$54,$B21),0)+IF('計算A'!AR$117=1,INDEX('計算A'!AS$10:AS$54,$B21),0))*4000,0)-IF(AND('計算A'!AQ$117=1,VO21&gt;0),2000,0)-IF(AND($L21=1,'計算A'!AR$117=1,EQ21=0),2000,0))),1000000))</f>
        <v/>
      </c>
      <c r="PU21">
        <f>IF($B21=0,1000000,IF(INDEX('計算A'!$D$60:$EQ$104,$B21,42)*EQ21=1,IF(AND($E21=2,KF21=0),1000000,IF($I21&gt;0,IF(2=$J21,IF(OR(AND(42=$I21+1,OR($K21&lt;&gt;'計算A'!$A$3,'計算A'!$A$4=0)),AND(42=$I21-1,OR(18&lt;&gt;'計算A'!$A$3,'計算A'!$A$4=0))),0,IF(18=$K21,200000,ABS(18-$K21)*100)),100000+ABS(2-$J21)*1000+180)+'計算A'!AS$5*50+IF(AND($E21=1,KF21=0),25,0),IF($F21&gt;0,INDEX('計算A'!AS$110:AS$114,$F21+1)+IF(AND($E21=1,KF21=0),1000,0),MIN(TV21,20)*400+(IF('計算A'!AR$106=1,1-EP21,0)+IF('計算A'!AS$106=1,1-ER21,0))*150+182+'計算A'!AS$5*100000+IF(AND($E21=1,KF21=0),50000,0))+IF($H21=1,(IF('計算A'!AR$117=1,INDEX('計算A'!AR$10:AR$54,$B21),0)+IF('計算A'!AS$117=1,INDEX('計算A'!AT$10:AT$54,$B21),0))*4000,0)-IF(AND('計算A'!AR$117=1,VP21&gt;0),2000,0)-IF(AND($L21=1,'計算A'!AS$117=1,ER21=0),2000,0))),1000000))</f>
        <v/>
      </c>
      <c r="PV21">
        <f>IF($B21=0,1000000,IF(INDEX('計算A'!$D$60:$EQ$104,$B21,43)*ER21=1,IF(AND($E21=2,KG21=0),1000000,IF($I21&gt;0,IF(2=$J21,IF(OR(AND(43=$I21+1,OR($K21&lt;&gt;'計算A'!$A$3,'計算A'!$A$4=0)),AND(43=$I21-1,OR(19&lt;&gt;'計算A'!$A$3,'計算A'!$A$4=0))),0,IF(19=$K21,200000,ABS(19-$K21)*100)),100000+ABS(2-$J21)*1000+190)+'計算A'!AT$5*50+IF(AND($E21=1,KG21=0),25,0),IF($F21&gt;0,INDEX('計算A'!AT$110:AT$114,$F21+1)+IF(AND($E21=1,KG21=0),1000,0),MIN(TV21,20)*400+(IF('計算A'!AS$106=1,1-EQ21,0)+IF('計算A'!AT$106=1,1-ES21,0))*150+192+'計算A'!AT$5*100000+IF(AND($E21=1,KG21=0),50000,0))+IF($H21=1,(IF('計算A'!AS$117=1,INDEX('計算A'!AS$10:AS$54,$B21),0)+IF('計算A'!AT$117=1,INDEX('計算A'!AU$10:AU$54,$B21),0))*4000,0)-IF(AND('計算A'!AS$117=1,VQ21&gt;0),2000,0)-IF(AND($L21=1,'計算A'!AT$117=1,ES21=0),2000,0))),1000000))</f>
        <v/>
      </c>
      <c r="PW21">
        <f>IF($B21=0,1000000,IF(INDEX('計算A'!$D$60:$EQ$104,$B21,44)*ES21=1,IF(AND($E21=2,KH21=0),1000000,IF($I21&gt;0,IF(2=$J21,IF(OR(AND(44=$I21+1,OR($K21&lt;&gt;'計算A'!$A$3,'計算A'!$A$4=0)),AND(44=$I21-1,OR(20&lt;&gt;'計算A'!$A$3,'計算A'!$A$4=0))),0,IF(20=$K21,200000,ABS(20-$K21)*100)),100000+ABS(2-$J21)*1000+200)+'計算A'!AU$5*50+IF(AND($E21=1,KH21=0),25,0),IF($F21&gt;0,INDEX('計算A'!AU$110:AU$114,$F21+1)+IF(AND($E21=1,KH21=0),1000,0),MIN(TV21,20)*400+(IF('計算A'!AT$106=1,1-ER21,0)+IF('計算A'!AU$106=1,1-ET21,0))*150+202+'計算A'!AU$5*100000+IF(AND($E21=1,KH21=0),50000,0))+IF($H21=1,(IF('計算A'!AT$117=1,INDEX('計算A'!AT$10:AT$54,$B21),0)+IF('計算A'!AU$117=1,INDEX('計算A'!AV$10:AV$54,$B21),0))*4000,0)-IF(AND('計算A'!AT$117=1,VR21&gt;0),2000,0)-IF(AND($L21=1,'計算A'!AU$117=1,ET21=0),2000,0))),1000000))</f>
        <v/>
      </c>
      <c r="PX21">
        <f>IF($B21=0,1000000,IF(INDEX('計算A'!$D$60:$EQ$104,$B21,45)*ET21=1,IF(AND($E21=2,KI21=0),1000000,IF($I21&gt;0,IF(2=$J21,IF(OR(AND(45=$I21+1,OR($K21&lt;&gt;'計算A'!$A$3,'計算A'!$A$4=0)),AND(45=$I21-1,OR(21&lt;&gt;'計算A'!$A$3,'計算A'!$A$4=0))),0,IF(21=$K21,200000,ABS(21-$K21)*100)),100000+ABS(2-$J21)*1000+210)+'計算A'!AV$5*50+IF(AND($E21=1,KI21=0),25,0),IF($F21&gt;0,INDEX('計算A'!AV$110:AV$114,$F21+1)+IF(AND($E21=1,KI21=0),1000,0),MIN(TV21,20)*400+(IF('計算A'!AU$106=1,1-ES21,0)+IF('計算A'!AV$106=1,1-EU21,0))*150+212+'計算A'!AV$5*100000+IF(AND($E21=1,KI21=0),50000,0))+IF($H21=1,(IF('計算A'!AU$117=1,INDEX('計算A'!AU$10:AU$54,$B21),0)+IF('計算A'!AV$117=1,INDEX('計算A'!AW$10:AW$54,$B21),0))*4000,0)-IF(AND('計算A'!AU$117=1,VS21&gt;0),2000,0)-IF(AND($L21=1,'計算A'!AV$117=1,EU21=0),2000,0))),1000000))</f>
        <v/>
      </c>
      <c r="PY21">
        <f>IF($B21=0,1000000,IF(INDEX('計算A'!$D$60:$EQ$104,$B21,46)*EU21=1,IF(AND($E21=2,KJ21=0),1000000,IF($I21&gt;0,IF(2=$J21,IF(OR(AND(46=$I21+1,OR($K21&lt;&gt;'計算A'!$A$3,'計算A'!$A$4=0)),AND(46=$I21-1,OR(22&lt;&gt;'計算A'!$A$3,'計算A'!$A$4=0))),0,IF(22=$K21,200000,ABS(22-$K21)*100)),100000+ABS(2-$J21)*1000+220)+'計算A'!AW$5*50+IF(AND($E21=1,KJ21=0),25,0),IF($F21&gt;0,INDEX('計算A'!AW$110:AW$114,$F21+1)+IF(AND($E21=1,KJ21=0),1000,0),MIN(TV21,20)*400+(IF('計算A'!AV$106=1,1-ET21,0)+IF('計算A'!AW$106=1,1-EV21,0))*150+222+'計算A'!AW$5*100000+IF(AND($E21=1,KJ21=0),50000,0))+IF($H21=1,(IF('計算A'!AV$117=1,INDEX('計算A'!AV$10:AV$54,$B21),0)+IF('計算A'!AW$117=1,INDEX('計算A'!AX$10:AX$54,$B21),0))*4000,0)-IF(AND('計算A'!AV$117=1,VT21&gt;0),2000,0)-IF(AND($L21=1,'計算A'!AW$117=1,EV21=0),2000,0))),1000000))</f>
        <v/>
      </c>
      <c r="PZ21">
        <f>IF($B21=0,1000000,IF(INDEX('計算A'!$D$60:$EQ$104,$B21,47)*EV21=1,IF(AND($E21=2,KK21=0),1000000,IF($I21&gt;0,IF(2=$J21,IF(OR(AND(47=$I21+1,OR($K21&lt;&gt;'計算A'!$A$3,'計算A'!$A$4=0)),AND(47=$I21-1,OR(23&lt;&gt;'計算A'!$A$3,'計算A'!$A$4=0))),0,IF(23=$K21,200000,ABS(23-$K21)*100)),100000+ABS(2-$J21)*1000+230)+'計算A'!AX$5*50+IF(AND($E21=1,KK21=0),25,0),IF($F21&gt;0,INDEX('計算A'!AX$110:AX$114,$F21+1)+IF(AND($E21=1,KK21=0),1000,0),MIN(TV21,20)*400+(IF('計算A'!AW$106=1,1-EU21,0)+IF('計算A'!AX$106=1,1-EW21,0))*150+232+'計算A'!AX$5*100000+IF(AND($E21=1,KK21=0),50000,0))+IF($H21=1,(IF('計算A'!AW$117=1,INDEX('計算A'!AW$10:AW$54,$B21),0)+IF('計算A'!AX$117=1,INDEX('計算A'!AY$10:AY$54,$B21),0))*4000,0)-IF(AND('計算A'!AW$117=1,VU21&gt;0),2000,0)-IF(AND($L21=1,'計算A'!AX$117=1,EW21=0),2000,0))),1000000))</f>
        <v/>
      </c>
      <c r="QA21">
        <f>IF($B21=0,1000000,IF(INDEX('計算A'!$D$60:$EQ$104,$B21,48)*EW21=1,IF(AND($E21=2,KL21=0),1000000,IF($I21&gt;0,IF(2=$J21,IF(OR(AND(48=$I21+1,OR($K21&lt;&gt;'計算A'!$A$3,'計算A'!$A$4=0)),AND(48=$I21-1,OR(24&lt;&gt;'計算A'!$A$3,'計算A'!$A$4=0))),0,IF(24=$K21,200000,ABS(24-$K21)*100)),100000+ABS(2-$J21)*1000+240)+'計算A'!AY$5*50+IF(AND($E21=1,KL21=0),25,0),IF($F21&gt;0,INDEX('計算A'!AY$110:AY$114,$F21+1)+IF(AND($E21=1,KL21=0),1000,0),MIN(TV21,20)*400+(IF('計算A'!AX$106=1,1-EV21,0))*150+242+'計算A'!AY$5*100000+IF(AND($E21=1,KL21=0),50000,0))+IF($H21=1,(IF('計算A'!AX$117=1,INDEX('計算A'!AX$10:AX$54,$B21),0))*4000,0)-IF(AND('計算A'!AX$117=1,VV21&gt;0),2000,0))),1000000))</f>
        <v/>
      </c>
      <c r="QB21">
        <f>IF($B21=0,1000000,IF(INDEX('計算A'!$D$60:$EQ$104,$B21,49)*EX21=1,IF(AND($E21=2,KM21=0),1000000,IF($I21&gt;0,IF(3=$J21,IF(OR(AND(49=$I21+1,OR($K21&lt;&gt;'計算A'!$A$3,'計算A'!$A$4=0)),AND(49=$I21-1,OR(1&lt;&gt;'計算A'!$A$3,'計算A'!$A$4=0))),0,IF(1=$K21,200000,ABS(1-$K21)*100)),100000+ABS(3-$J21)*1000+10)+'計算A'!AZ$5*50+IF(AND($E21=1,KM21=0),25,0),IF($F21&gt;0,INDEX('計算A'!AZ$110:AZ$114,$F21+1)+IF(AND($E21=1,KM21=0),1000,0),MIN(TW21,20)*400+(IF('計算A'!AZ$106=1,1-EY21,0))*150+13+'計算A'!AZ$5*100000+IF(AND($E21=1,KM21=0),50000,0))+IF($H21=1,(IF('計算A'!AZ$117=1,INDEX('計算A'!BA$10:BA$54,$B21),0))*4000,0)-IF(AND($L21=1,'計算A'!AZ$117=1,EY21=0),2000,0))),1000000))</f>
        <v/>
      </c>
      <c r="QC21">
        <f>IF($B21=0,1000000,IF(INDEX('計算A'!$D$60:$EQ$104,$B21,50)*EY21=1,IF(AND($E21=2,KN21=0),1000000,IF($I21&gt;0,IF(3=$J21,IF(OR(AND(50=$I21+1,OR($K21&lt;&gt;'計算A'!$A$3,'計算A'!$A$4=0)),AND(50=$I21-1,OR(2&lt;&gt;'計算A'!$A$3,'計算A'!$A$4=0))),0,IF(2=$K21,200000,ABS(2-$K21)*100)),100000+ABS(3-$J21)*1000+20)+'計算A'!BA$5*50+IF(AND($E21=1,KN21=0),25,0),IF($F21&gt;0,INDEX('計算A'!BA$110:BA$114,$F21+1)+IF(AND($E21=1,KN21=0),1000,0),MIN(TW21,20)*400+(IF('計算A'!AZ$106=1,1-EX21,0)+IF('計算A'!BA$106=1,1-EZ21,0))*150+23+'計算A'!BA$5*100000+IF(AND($E21=1,KN21=0),50000,0))+IF($H21=1,(IF('計算A'!AZ$117=1,INDEX('計算A'!AZ$10:AZ$54,$B21),0)+IF('計算A'!BA$117=1,INDEX('計算A'!BB$10:BB$54,$B21),0))*4000,0)-IF(AND('計算A'!AZ$117=1,VX21&gt;0),2000,0)-IF(AND($L21=1,'計算A'!BA$117=1,EZ21=0),2000,0))),1000000))</f>
        <v/>
      </c>
      <c r="QD21">
        <f>IF($B21=0,1000000,IF(INDEX('計算A'!$D$60:$EQ$104,$B21,51)*EZ21=1,IF(AND($E21=2,KO21=0),1000000,IF($I21&gt;0,IF(3=$J21,IF(OR(AND(51=$I21+1,OR($K21&lt;&gt;'計算A'!$A$3,'計算A'!$A$4=0)),AND(51=$I21-1,OR(3&lt;&gt;'計算A'!$A$3,'計算A'!$A$4=0))),0,IF(3=$K21,200000,ABS(3-$K21)*100)),100000+ABS(3-$J21)*1000+30)+'計算A'!BB$5*50+IF(AND($E21=1,KO21=0),25,0),IF($F21&gt;0,INDEX('計算A'!BB$110:BB$114,$F21+1)+IF(AND($E21=1,KO21=0),1000,0),MIN(TW21,20)*400+(IF('計算A'!BA$106=1,1-EY21,0)+IF('計算A'!BB$106=1,1-FA21,0))*150+33+'計算A'!BB$5*100000+IF(AND($E21=1,KO21=0),50000,0))+IF($H21=1,(IF('計算A'!BA$117=1,INDEX('計算A'!BA$10:BA$54,$B21),0)+IF('計算A'!BB$117=1,INDEX('計算A'!BC$10:BC$54,$B21),0))*4000,0)-IF(AND('計算A'!BA$117=1,VY21&gt;0),2000,0)-IF(AND($L21=1,'計算A'!BB$117=1,FA21=0),2000,0))),1000000))</f>
        <v/>
      </c>
      <c r="QE21">
        <f>IF($B21=0,1000000,IF(INDEX('計算A'!$D$60:$EQ$104,$B21,52)*FA21=1,IF(AND($E21=2,KP21=0),1000000,IF($I21&gt;0,IF(3=$J21,IF(OR(AND(52=$I21+1,OR($K21&lt;&gt;'計算A'!$A$3,'計算A'!$A$4=0)),AND(52=$I21-1,OR(4&lt;&gt;'計算A'!$A$3,'計算A'!$A$4=0))),0,IF(4=$K21,200000,ABS(4-$K21)*100)),100000+ABS(3-$J21)*1000+40)+'計算A'!BC$5*50+IF(AND($E21=1,KP21=0),25,0),IF($F21&gt;0,INDEX('計算A'!BC$110:BC$114,$F21+1)+IF(AND($E21=1,KP21=0),1000,0),MIN(TW21,20)*400+(IF('計算A'!BB$106=1,1-EZ21,0)+IF('計算A'!BC$106=1,1-FB21,0))*150+43+'計算A'!BC$5*100000+IF(AND($E21=1,KP21=0),50000,0))+IF($H21=1,(IF('計算A'!BB$117=1,INDEX('計算A'!BB$10:BB$54,$B21),0)+IF('計算A'!BC$117=1,INDEX('計算A'!BD$10:BD$54,$B21),0))*4000,0)-IF(AND('計算A'!BB$117=1,VZ21&gt;0),2000,0)-IF(AND($L21=1,'計算A'!BC$117=1,FB21=0),2000,0))),1000000))</f>
        <v/>
      </c>
      <c r="QF21">
        <f>IF($B21=0,1000000,IF(INDEX('計算A'!$D$60:$EQ$104,$B21,53)*FB21=1,IF(AND($E21=2,KQ21=0),1000000,IF($I21&gt;0,IF(3=$J21,IF(OR(AND(53=$I21+1,OR($K21&lt;&gt;'計算A'!$A$3,'計算A'!$A$4=0)),AND(53=$I21-1,OR(5&lt;&gt;'計算A'!$A$3,'計算A'!$A$4=0))),0,IF(5=$K21,200000,ABS(5-$K21)*100)),100000+ABS(3-$J21)*1000+50)+'計算A'!BD$5*50+IF(AND($E21=1,KQ21=0),25,0),IF($F21&gt;0,INDEX('計算A'!BD$110:BD$114,$F21+1)+IF(AND($E21=1,KQ21=0),1000,0),MIN(TW21,20)*400+(IF('計算A'!BC$106=1,1-FA21,0)+IF('計算A'!BD$106=1,1-FC21,0))*150+53+'計算A'!BD$5*100000+IF(AND($E21=1,KQ21=0),50000,0))+IF($H21=1,(IF('計算A'!BC$117=1,INDEX('計算A'!BC$10:BC$54,$B21),0)+IF('計算A'!BD$117=1,INDEX('計算A'!BE$10:BE$54,$B21),0))*4000,0)-IF(AND('計算A'!BC$117=1,WA21&gt;0),2000,0)-IF(AND($L21=1,'計算A'!BD$117=1,FC21=0),2000,0))),1000000))</f>
        <v/>
      </c>
      <c r="QG21">
        <f>IF($B21=0,1000000,IF(INDEX('計算A'!$D$60:$EQ$104,$B21,54)*FC21=1,IF(AND($E21=2,KR21=0),1000000,IF($I21&gt;0,IF(3=$J21,IF(OR(AND(54=$I21+1,OR($K21&lt;&gt;'計算A'!$A$3,'計算A'!$A$4=0)),AND(54=$I21-1,OR(6&lt;&gt;'計算A'!$A$3,'計算A'!$A$4=0))),0,IF(6=$K21,200000,ABS(6-$K21)*100)),100000+ABS(3-$J21)*1000+60)+'計算A'!BE$5*50+IF(AND($E21=1,KR21=0),25,0),IF($F21&gt;0,INDEX('計算A'!BE$110:BE$114,$F21+1)+IF(AND($E21=1,KR21=0),1000,0),MIN(TW21,20)*400+(IF('計算A'!BD$106=1,1-FB21,0)+IF('計算A'!BE$106=1,1-FD21,0))*150+63+'計算A'!BE$5*100000+IF(AND($E21=1,KR21=0),50000,0))+IF($H21=1,(IF('計算A'!BD$117=1,INDEX('計算A'!BD$10:BD$54,$B21),0)+IF('計算A'!BE$117=1,INDEX('計算A'!BF$10:BF$54,$B21),0))*4000,0)-IF(AND('計算A'!BD$117=1,WB21&gt;0),2000,0)-IF(AND($L21=1,'計算A'!BE$117=1,FD21=0),2000,0))),1000000))</f>
        <v/>
      </c>
      <c r="QH21">
        <f>IF($B21=0,1000000,IF(INDEX('計算A'!$D$60:$EQ$104,$B21,55)*FD21=1,IF(AND($E21=2,KS21=0),1000000,IF($I21&gt;0,IF(3=$J21,IF(OR(AND(55=$I21+1,OR($K21&lt;&gt;'計算A'!$A$3,'計算A'!$A$4=0)),AND(55=$I21-1,OR(7&lt;&gt;'計算A'!$A$3,'計算A'!$A$4=0))),0,IF(7=$K21,200000,ABS(7-$K21)*100)),100000+ABS(3-$J21)*1000+70)+'計算A'!BF$5*50+IF(AND($E21=1,KS21=0),25,0),IF($F21&gt;0,INDEX('計算A'!BF$110:BF$114,$F21+1)+IF(AND($E21=1,KS21=0),1000,0),MIN(TW21,20)*400+(IF('計算A'!BE$106=1,1-FC21,0)+IF('計算A'!BF$106=1,1-FE21,0))*150+73+'計算A'!BF$5*100000+IF(AND($E21=1,KS21=0),50000,0))+IF($H21=1,(IF('計算A'!BE$117=1,INDEX('計算A'!BE$10:BE$54,$B21),0)+IF('計算A'!BF$117=1,INDEX('計算A'!BG$10:BG$54,$B21),0))*4000,0)-IF(AND('計算A'!BE$117=1,WC21&gt;0),2000,0)-IF(AND($L21=1,'計算A'!BF$117=1,FE21=0),2000,0))),1000000))</f>
        <v/>
      </c>
      <c r="QI21">
        <f>IF($B21=0,1000000,IF(INDEX('計算A'!$D$60:$EQ$104,$B21,56)*FE21=1,IF(AND($E21=2,KT21=0),1000000,IF($I21&gt;0,IF(3=$J21,IF(OR(AND(56=$I21+1,OR($K21&lt;&gt;'計算A'!$A$3,'計算A'!$A$4=0)),AND(56=$I21-1,OR(8&lt;&gt;'計算A'!$A$3,'計算A'!$A$4=0))),0,IF(8=$K21,200000,ABS(8-$K21)*100)),100000+ABS(3-$J21)*1000+80)+'計算A'!BG$5*50+IF(AND($E21=1,KT21=0),25,0),IF($F21&gt;0,INDEX('計算A'!BG$110:BG$114,$F21+1)+IF(AND($E21=1,KT21=0),1000,0),MIN(TW21,20)*400+(IF('計算A'!BF$106=1,1-FD21,0)+IF('計算A'!BG$106=1,1-FF21,0))*150+83+'計算A'!BG$5*100000+IF(AND($E21=1,KT21=0),50000,0))+IF($H21=1,(IF('計算A'!BF$117=1,INDEX('計算A'!BF$10:BF$54,$B21),0)+IF('計算A'!BG$117=1,INDEX('計算A'!BH$10:BH$54,$B21),0))*4000,0)-IF(AND('計算A'!BF$117=1,WD21&gt;0),2000,0)-IF(AND($L21=1,'計算A'!BG$117=1,FF21=0),2000,0))),1000000))</f>
        <v/>
      </c>
      <c r="QJ21">
        <f>IF($B21=0,1000000,IF(INDEX('計算A'!$D$60:$EQ$104,$B21,57)*FF21=1,IF(AND($E21=2,KU21=0),1000000,IF($I21&gt;0,IF(3=$J21,IF(OR(AND(57=$I21+1,OR($K21&lt;&gt;'計算A'!$A$3,'計算A'!$A$4=0)),AND(57=$I21-1,OR(9&lt;&gt;'計算A'!$A$3,'計算A'!$A$4=0))),0,IF(9=$K21,200000,ABS(9-$K21)*100)),100000+ABS(3-$J21)*1000+90)+'計算A'!BH$5*50+IF(AND($E21=1,KU21=0),25,0),IF($F21&gt;0,INDEX('計算A'!BH$110:BH$114,$F21+1)+IF(AND($E21=1,KU21=0),1000,0),MIN(TW21,20)*400+(IF('計算A'!BG$106=1,1-FE21,0)+IF('計算A'!BH$106=1,1-FG21,0))*150+93+'計算A'!BH$5*100000+IF(AND($E21=1,KU21=0),50000,0))+IF($H21=1,(IF('計算A'!BG$117=1,INDEX('計算A'!BG$10:BG$54,$B21),0)+IF('計算A'!BH$117=1,INDEX('計算A'!BI$10:BI$54,$B21),0))*4000,0)-IF(AND('計算A'!BG$117=1,WE21&gt;0),2000,0)-IF(AND($L21=1,'計算A'!BH$117=1,FG21=0),2000,0))),1000000))</f>
        <v/>
      </c>
      <c r="QK21">
        <f>IF($B21=0,1000000,IF(INDEX('計算A'!$D$60:$EQ$104,$B21,58)*FG21=1,IF(AND($E21=2,KV21=0),1000000,IF($I21&gt;0,IF(3=$J21,IF(OR(AND(58=$I21+1,OR($K21&lt;&gt;'計算A'!$A$3,'計算A'!$A$4=0)),AND(58=$I21-1,OR(10&lt;&gt;'計算A'!$A$3,'計算A'!$A$4=0))),0,IF(10=$K21,200000,ABS(10-$K21)*100)),100000+ABS(3-$J21)*1000+100)+'計算A'!BI$5*50+IF(AND($E21=1,KV21=0),25,0),IF($F21&gt;0,INDEX('計算A'!BI$110:BI$114,$F21+1)+IF(AND($E21=1,KV21=0),1000,0),MIN(TW21,20)*400+(IF('計算A'!BH$106=1,1-FF21,0)+IF('計算A'!BI$106=1,1-FH21,0))*150+103+'計算A'!BI$5*100000+IF(AND($E21=1,KV21=0),50000,0))+IF($H21=1,(IF('計算A'!BH$117=1,INDEX('計算A'!BH$10:BH$54,$B21),0)+IF('計算A'!BI$117=1,INDEX('計算A'!BJ$10:BJ$54,$B21),0))*4000,0)-IF(AND('計算A'!BH$117=1,WF21&gt;0),2000,0)-IF(AND($L21=1,'計算A'!BI$117=1,FH21=0),2000,0))),1000000))</f>
        <v/>
      </c>
      <c r="QL21">
        <f>IF($B21=0,1000000,IF(INDEX('計算A'!$D$60:$EQ$104,$B21,59)*FH21=1,IF(AND($E21=2,KW21=0),1000000,IF($I21&gt;0,IF(3=$J21,IF(OR(AND(59=$I21+1,OR($K21&lt;&gt;'計算A'!$A$3,'計算A'!$A$4=0)),AND(59=$I21-1,OR(11&lt;&gt;'計算A'!$A$3,'計算A'!$A$4=0))),0,IF(11=$K21,200000,ABS(11-$K21)*100)),100000+ABS(3-$J21)*1000+110)+'計算A'!BJ$5*50+IF(AND($E21=1,KW21=0),25,0),IF($F21&gt;0,INDEX('計算A'!BJ$110:BJ$114,$F21+1)+IF(AND($E21=1,KW21=0),1000,0),MIN(TW21,20)*400+(IF('計算A'!BI$106=1,1-FG21,0)+IF('計算A'!BJ$106=1,1-FI21,0))*150+113+'計算A'!BJ$5*100000+IF(AND($E21=1,KW21=0),50000,0))+IF($H21=1,(IF('計算A'!BI$117=1,INDEX('計算A'!BI$10:BI$54,$B21),0)+IF('計算A'!BJ$117=1,INDEX('計算A'!BK$10:BK$54,$B21),0))*4000,0)-IF(AND('計算A'!BI$117=1,WG21&gt;0),2000,0)-IF(AND($L21=1,'計算A'!BJ$117=1,FI21=0),2000,0))),1000000))</f>
        <v/>
      </c>
      <c r="QM21">
        <f>IF($B21=0,1000000,IF(INDEX('計算A'!$D$60:$EQ$104,$B21,60)*FI21=1,IF(AND($E21=2,KX21=0),1000000,IF($I21&gt;0,IF(3=$J21,IF(OR(AND(60=$I21+1,OR($K21&lt;&gt;'計算A'!$A$3,'計算A'!$A$4=0)),AND(60=$I21-1,OR(12&lt;&gt;'計算A'!$A$3,'計算A'!$A$4=0))),0,IF(12=$K21,200000,ABS(12-$K21)*100)),100000+ABS(3-$J21)*1000+120)+'計算A'!BK$5*50+IF(AND($E21=1,KX21=0),25,0),IF($F21&gt;0,INDEX('計算A'!BK$110:BK$114,$F21+1)+IF(AND($E21=1,KX21=0),1000,0),MIN(TW21,20)*400+(IF('計算A'!BJ$106=1,1-FH21,0)+IF('計算A'!BK$106=1,1-FJ21,0))*150+123+'計算A'!BK$5*100000+IF(AND($E21=1,KX21=0),50000,0))+IF($H21=1,(IF('計算A'!BJ$117=1,INDEX('計算A'!BJ$10:BJ$54,$B21),0)+IF('計算A'!BK$117=1,INDEX('計算A'!BL$10:BL$54,$B21),0))*4000,0)-IF(AND('計算A'!BJ$117=1,WH21&gt;0),2000,0)-IF(AND($L21=1,'計算A'!BK$117=1,FJ21=0),2000,0))),1000000))</f>
        <v/>
      </c>
      <c r="QN21">
        <f>IF($B21=0,1000000,IF(INDEX('計算A'!$D$60:$EQ$104,$B21,61)*FJ21=1,IF(AND($E21=2,KY21=0),1000000,IF($I21&gt;0,IF(3=$J21,IF(OR(AND(61=$I21+1,OR($K21&lt;&gt;'計算A'!$A$3,'計算A'!$A$4=0)),AND(61=$I21-1,OR(13&lt;&gt;'計算A'!$A$3,'計算A'!$A$4=0))),0,IF(13=$K21,200000,ABS(13-$K21)*100)),100000+ABS(3-$J21)*1000+130)+'計算A'!BL$5*50+IF(AND($E21=1,KY21=0),25,0),IF($F21&gt;0,INDEX('計算A'!BL$110:BL$114,$F21+1)+IF(AND($E21=1,KY21=0),1000,0),MIN(TW21,20)*400+(IF('計算A'!BK$106=1,1-FI21,0)+IF('計算A'!BL$106=1,1-FK21,0))*150+133+'計算A'!BL$5*100000+IF(AND($E21=1,KY21=0),50000,0))+IF($H21=1,(IF('計算A'!BK$117=1,INDEX('計算A'!BK$10:BK$54,$B21),0)+IF('計算A'!BL$117=1,INDEX('計算A'!BM$10:BM$54,$B21),0))*4000,0)-IF(AND('計算A'!BK$117=1,WI21&gt;0),2000,0)-IF(AND($L21=1,'計算A'!BL$117=1,FK21=0),2000,0))),1000000))</f>
        <v/>
      </c>
      <c r="QO21">
        <f>IF($B21=0,1000000,IF(INDEX('計算A'!$D$60:$EQ$104,$B21,62)*FK21=1,IF(AND($E21=2,KZ21=0),1000000,IF($I21&gt;0,IF(3=$J21,IF(OR(AND(62=$I21+1,OR($K21&lt;&gt;'計算A'!$A$3,'計算A'!$A$4=0)),AND(62=$I21-1,OR(14&lt;&gt;'計算A'!$A$3,'計算A'!$A$4=0))),0,IF(14=$K21,200000,ABS(14-$K21)*100)),100000+ABS(3-$J21)*1000+140)+'計算A'!BM$5*50+IF(AND($E21=1,KZ21=0),25,0),IF($F21&gt;0,INDEX('計算A'!BM$110:BM$114,$F21+1)+IF(AND($E21=1,KZ21=0),1000,0),MIN(TW21,20)*400+(IF('計算A'!BL$106=1,1-FJ21,0)+IF('計算A'!BM$106=1,1-FL21,0))*150+143+'計算A'!BM$5*100000+IF(AND($E21=1,KZ21=0),50000,0))+IF($H21=1,(IF('計算A'!BL$117=1,INDEX('計算A'!BL$10:BL$54,$B21),0)+IF('計算A'!BM$117=1,INDEX('計算A'!BN$10:BN$54,$B21),0))*4000,0)-IF(AND('計算A'!BL$117=1,WJ21&gt;0),2000,0)-IF(AND($L21=1,'計算A'!BM$117=1,FL21=0),2000,0))),1000000))</f>
        <v/>
      </c>
      <c r="QP21">
        <f>IF($B21=0,1000000,IF(INDEX('計算A'!$D$60:$EQ$104,$B21,63)*FL21=1,IF(AND($E21=2,LA21=0),1000000,IF($I21&gt;0,IF(3=$J21,IF(OR(AND(63=$I21+1,OR($K21&lt;&gt;'計算A'!$A$3,'計算A'!$A$4=0)),AND(63=$I21-1,OR(15&lt;&gt;'計算A'!$A$3,'計算A'!$A$4=0))),0,IF(15=$K21,200000,ABS(15-$K21)*100)),100000+ABS(3-$J21)*1000+150)+'計算A'!BN$5*50+IF(AND($E21=1,LA21=0),25,0),IF($F21&gt;0,INDEX('計算A'!BN$110:BN$114,$F21+1)+IF(AND($E21=1,LA21=0),1000,0),MIN(TW21,20)*400+(IF('計算A'!BM$106=1,1-FK21,0)+IF('計算A'!BN$106=1,1-FM21,0))*150+153+'計算A'!BN$5*100000+IF(AND($E21=1,LA21=0),50000,0))+IF($H21=1,(IF('計算A'!BM$117=1,INDEX('計算A'!BM$10:BM$54,$B21),0)+IF('計算A'!BN$117=1,INDEX('計算A'!BO$10:BO$54,$B21),0))*4000,0)-IF(AND('計算A'!BM$117=1,WK21&gt;0),2000,0)-IF(AND($L21=1,'計算A'!BN$117=1,FM21=0),2000,0))),1000000))</f>
        <v/>
      </c>
      <c r="QQ21">
        <f>IF($B21=0,1000000,IF(INDEX('計算A'!$D$60:$EQ$104,$B21,64)*FM21=1,IF(AND($E21=2,LB21=0),1000000,IF($I21&gt;0,IF(3=$J21,IF(OR(AND(64=$I21+1,OR($K21&lt;&gt;'計算A'!$A$3,'計算A'!$A$4=0)),AND(64=$I21-1,OR(16&lt;&gt;'計算A'!$A$3,'計算A'!$A$4=0))),0,IF(16=$K21,200000,ABS(16-$K21)*100)),100000+ABS(3-$J21)*1000+160)+'計算A'!BO$5*50+IF(AND($E21=1,LB21=0),25,0),IF($F21&gt;0,INDEX('計算A'!BO$110:BO$114,$F21+1)+IF(AND($E21=1,LB21=0),1000,0),MIN(TW21,20)*400+(IF('計算A'!BN$106=1,1-FL21,0)+IF('計算A'!BO$106=1,1-FN21,0))*150+163+'計算A'!BO$5*100000+IF(AND($E21=1,LB21=0),50000,0))+IF($H21=1,(IF('計算A'!BN$117=1,INDEX('計算A'!BN$10:BN$54,$B21),0)+IF('計算A'!BO$117=1,INDEX('計算A'!BP$10:BP$54,$B21),0))*4000,0)-IF(AND('計算A'!BN$117=1,WL21&gt;0),2000,0)-IF(AND($L21=1,'計算A'!BO$117=1,FN21=0),2000,0))),1000000))</f>
        <v/>
      </c>
      <c r="QR21">
        <f>IF($B21=0,1000000,IF(INDEX('計算A'!$D$60:$EQ$104,$B21,65)*FN21=1,IF(AND($E21=2,LC21=0),1000000,IF($I21&gt;0,IF(3=$J21,IF(OR(AND(65=$I21+1,OR($K21&lt;&gt;'計算A'!$A$3,'計算A'!$A$4=0)),AND(65=$I21-1,OR(17&lt;&gt;'計算A'!$A$3,'計算A'!$A$4=0))),0,IF(17=$K21,200000,ABS(17-$K21)*100)),100000+ABS(3-$J21)*1000+170)+'計算A'!BP$5*50+IF(AND($E21=1,LC21=0),25,0),IF($F21&gt;0,INDEX('計算A'!BP$110:BP$114,$F21+1)+IF(AND($E21=1,LC21=0),1000,0),MIN(TW21,20)*400+(IF('計算A'!BO$106=1,1-FM21,0)+IF('計算A'!BP$106=1,1-FO21,0))*150+173+'計算A'!BP$5*100000+IF(AND($E21=1,LC21=0),50000,0))+IF($H21=1,(IF('計算A'!BO$117=1,INDEX('計算A'!BO$10:BO$54,$B21),0)+IF('計算A'!BP$117=1,INDEX('計算A'!BQ$10:BQ$54,$B21),0))*4000,0)-IF(AND('計算A'!BO$117=1,WM21&gt;0),2000,0)-IF(AND($L21=1,'計算A'!BP$117=1,FO21=0),2000,0))),1000000))</f>
        <v/>
      </c>
      <c r="QS21">
        <f>IF($B21=0,1000000,IF(INDEX('計算A'!$D$60:$EQ$104,$B21,66)*FO21=1,IF(AND($E21=2,LD21=0),1000000,IF($I21&gt;0,IF(3=$J21,IF(OR(AND(66=$I21+1,OR($K21&lt;&gt;'計算A'!$A$3,'計算A'!$A$4=0)),AND(66=$I21-1,OR(18&lt;&gt;'計算A'!$A$3,'計算A'!$A$4=0))),0,IF(18=$K21,200000,ABS(18-$K21)*100)),100000+ABS(3-$J21)*1000+180)+'計算A'!BQ$5*50+IF(AND($E21=1,LD21=0),25,0),IF($F21&gt;0,INDEX('計算A'!BQ$110:BQ$114,$F21+1)+IF(AND($E21=1,LD21=0),1000,0),MIN(TW21,20)*400+(IF('計算A'!BP$106=1,1-FN21,0)+IF('計算A'!BQ$106=1,1-FP21,0))*150+183+'計算A'!BQ$5*100000+IF(AND($E21=1,LD21=0),50000,0))+IF($H21=1,(IF('計算A'!BP$117=1,INDEX('計算A'!BP$10:BP$54,$B21),0)+IF('計算A'!BQ$117=1,INDEX('計算A'!BR$10:BR$54,$B21),0))*4000,0)-IF(AND('計算A'!BP$117=1,WN21&gt;0),2000,0)-IF(AND($L21=1,'計算A'!BQ$117=1,FP21=0),2000,0))),1000000))</f>
        <v/>
      </c>
      <c r="QT21">
        <f>IF($B21=0,1000000,IF(INDEX('計算A'!$D$60:$EQ$104,$B21,67)*FP21=1,IF(AND($E21=2,LE21=0),1000000,IF($I21&gt;0,IF(3=$J21,IF(OR(AND(67=$I21+1,OR($K21&lt;&gt;'計算A'!$A$3,'計算A'!$A$4=0)),AND(67=$I21-1,OR(19&lt;&gt;'計算A'!$A$3,'計算A'!$A$4=0))),0,IF(19=$K21,200000,ABS(19-$K21)*100)),100000+ABS(3-$J21)*1000+190)+'計算A'!BR$5*50+IF(AND($E21=1,LE21=0),25,0),IF($F21&gt;0,INDEX('計算A'!BR$110:BR$114,$F21+1)+IF(AND($E21=1,LE21=0),1000,0),MIN(TW21,20)*400+(IF('計算A'!BQ$106=1,1-FO21,0)+IF('計算A'!BR$106=1,1-FQ21,0))*150+193+'計算A'!BR$5*100000+IF(AND($E21=1,LE21=0),50000,0))+IF($H21=1,(IF('計算A'!BQ$117=1,INDEX('計算A'!BQ$10:BQ$54,$B21),0)+IF('計算A'!BR$117=1,INDEX('計算A'!BS$10:BS$54,$B21),0))*4000,0)-IF(AND('計算A'!BQ$117=1,WO21&gt;0),2000,0)-IF(AND($L21=1,'計算A'!BR$117=1,FQ21=0),2000,0))),1000000))</f>
        <v/>
      </c>
      <c r="QU21">
        <f>IF($B21=0,1000000,IF(INDEX('計算A'!$D$60:$EQ$104,$B21,68)*FQ21=1,IF(AND($E21=2,LF21=0),1000000,IF($I21&gt;0,IF(3=$J21,IF(OR(AND(68=$I21+1,OR($K21&lt;&gt;'計算A'!$A$3,'計算A'!$A$4=0)),AND(68=$I21-1,OR(20&lt;&gt;'計算A'!$A$3,'計算A'!$A$4=0))),0,IF(20=$K21,200000,ABS(20-$K21)*100)),100000+ABS(3-$J21)*1000+200)+'計算A'!BS$5*50+IF(AND($E21=1,LF21=0),25,0),IF($F21&gt;0,INDEX('計算A'!BS$110:BS$114,$F21+1)+IF(AND($E21=1,LF21=0),1000,0),MIN(TW21,20)*400+(IF('計算A'!BR$106=1,1-FP21,0)+IF('計算A'!BS$106=1,1-FR21,0))*150+203+'計算A'!BS$5*100000+IF(AND($E21=1,LF21=0),50000,0))+IF($H21=1,(IF('計算A'!BR$117=1,INDEX('計算A'!BR$10:BR$54,$B21),0)+IF('計算A'!BS$117=1,INDEX('計算A'!BT$10:BT$54,$B21),0))*4000,0)-IF(AND('計算A'!BR$117=1,WP21&gt;0),2000,0)-IF(AND($L21=1,'計算A'!BS$117=1,FR21=0),2000,0))),1000000))</f>
        <v/>
      </c>
      <c r="QV21">
        <f>IF($B21=0,1000000,IF(INDEX('計算A'!$D$60:$EQ$104,$B21,69)*FR21=1,IF(AND($E21=2,LG21=0),1000000,IF($I21&gt;0,IF(3=$J21,IF(OR(AND(69=$I21+1,OR($K21&lt;&gt;'計算A'!$A$3,'計算A'!$A$4=0)),AND(69=$I21-1,OR(21&lt;&gt;'計算A'!$A$3,'計算A'!$A$4=0))),0,IF(21=$K21,200000,ABS(21-$K21)*100)),100000+ABS(3-$J21)*1000+210)+'計算A'!BT$5*50+IF(AND($E21=1,LG21=0),25,0),IF($F21&gt;0,INDEX('計算A'!BT$110:BT$114,$F21+1)+IF(AND($E21=1,LG21=0),1000,0),MIN(TW21,20)*400+(IF('計算A'!BS$106=1,1-FQ21,0)+IF('計算A'!BT$106=1,1-FS21,0))*150+213+'計算A'!BT$5*100000+IF(AND($E21=1,LG21=0),50000,0))+IF($H21=1,(IF('計算A'!BS$117=1,INDEX('計算A'!BS$10:BS$54,$B21),0)+IF('計算A'!BT$117=1,INDEX('計算A'!BU$10:BU$54,$B21),0))*4000,0)-IF(AND('計算A'!BS$117=1,WQ21&gt;0),2000,0)-IF(AND($L21=1,'計算A'!BT$117=1,FS21=0),2000,0))),1000000))</f>
        <v/>
      </c>
      <c r="QW21">
        <f>IF($B21=0,1000000,IF(INDEX('計算A'!$D$60:$EQ$104,$B21,70)*FS21=1,IF(AND($E21=2,LH21=0),1000000,IF($I21&gt;0,IF(3=$J21,IF(OR(AND(70=$I21+1,OR($K21&lt;&gt;'計算A'!$A$3,'計算A'!$A$4=0)),AND(70=$I21-1,OR(22&lt;&gt;'計算A'!$A$3,'計算A'!$A$4=0))),0,IF(22=$K21,200000,ABS(22-$K21)*100)),100000+ABS(3-$J21)*1000+220)+'計算A'!BU$5*50+IF(AND($E21=1,LH21=0),25,0),IF($F21&gt;0,INDEX('計算A'!BU$110:BU$114,$F21+1)+IF(AND($E21=1,LH21=0),1000,0),MIN(TW21,20)*400+(IF('計算A'!BT$106=1,1-FR21,0)+IF('計算A'!BU$106=1,1-FT21,0))*150+223+'計算A'!BU$5*100000+IF(AND($E21=1,LH21=0),50000,0))+IF($H21=1,(IF('計算A'!BT$117=1,INDEX('計算A'!BT$10:BT$54,$B21),0)+IF('計算A'!BU$117=1,INDEX('計算A'!BV$10:BV$54,$B21),0))*4000,0)-IF(AND('計算A'!BT$117=1,WR21&gt;0),2000,0)-IF(AND($L21=1,'計算A'!BU$117=1,FT21=0),2000,0))),1000000))</f>
        <v/>
      </c>
      <c r="QX21">
        <f>IF($B21=0,1000000,IF(INDEX('計算A'!$D$60:$EQ$104,$B21,71)*FT21=1,IF(AND($E21=2,LI21=0),1000000,IF($I21&gt;0,IF(3=$J21,IF(OR(AND(71=$I21+1,OR($K21&lt;&gt;'計算A'!$A$3,'計算A'!$A$4=0)),AND(71=$I21-1,OR(23&lt;&gt;'計算A'!$A$3,'計算A'!$A$4=0))),0,IF(23=$K21,200000,ABS(23-$K21)*100)),100000+ABS(3-$J21)*1000+230)+'計算A'!BV$5*50+IF(AND($E21=1,LI21=0),25,0),IF($F21&gt;0,INDEX('計算A'!BV$110:BV$114,$F21+1)+IF(AND($E21=1,LI21=0),1000,0),MIN(TW21,20)*400+(IF('計算A'!BU$106=1,1-FS21,0)+IF('計算A'!BV$106=1,1-FU21,0))*150+233+'計算A'!BV$5*100000+IF(AND($E21=1,LI21=0),50000,0))+IF($H21=1,(IF('計算A'!BU$117=1,INDEX('計算A'!BU$10:BU$54,$B21),0)+IF('計算A'!BV$117=1,INDEX('計算A'!BW$10:BW$54,$B21),0))*4000,0)-IF(AND('計算A'!BU$117=1,WS21&gt;0),2000,0)-IF(AND($L21=1,'計算A'!BV$117=1,FU21=0),2000,0))),1000000))</f>
        <v/>
      </c>
      <c r="QY21">
        <f>IF($B21=0,1000000,IF(INDEX('計算A'!$D$60:$EQ$104,$B21,72)*FU21=1,IF(AND($E21=2,LJ21=0),1000000,IF($I21&gt;0,IF(3=$J21,IF(OR(AND(72=$I21+1,OR($K21&lt;&gt;'計算A'!$A$3,'計算A'!$A$4=0)),AND(72=$I21-1,OR(24&lt;&gt;'計算A'!$A$3,'計算A'!$A$4=0))),0,IF(24=$K21,200000,ABS(24-$K21)*100)),100000+ABS(3-$J21)*1000+240)+'計算A'!BW$5*50+IF(AND($E21=1,LJ21=0),25,0),IF($F21&gt;0,INDEX('計算A'!BW$110:BW$114,$F21+1)+IF(AND($E21=1,LJ21=0),1000,0),MIN(TW21,20)*400+(IF('計算A'!BV$106=1,1-FT21,0))*150+243+'計算A'!BW$5*100000+IF(AND($E21=1,LJ21=0),50000,0))+IF($H21=1,(IF('計算A'!BV$117=1,INDEX('計算A'!BV$10:BV$54,$B21),0))*4000,0)-IF(AND('計算A'!BV$117=1,WT21&gt;0),2000,0))),1000000))</f>
        <v/>
      </c>
      <c r="QZ21">
        <f>IF($B21=0,1000000,IF(INDEX('計算A'!$D$60:$EQ$104,$B21,73)*FV21=1,IF(AND($E21=2,LK21=0),1000000,IF($I21&gt;0,IF(4=$J21,IF(OR(AND(73=$I21+1,OR($K21&lt;&gt;'計算A'!$A$3,'計算A'!$A$4=0)),AND(73=$I21-1,OR(1&lt;&gt;'計算A'!$A$3,'計算A'!$A$4=0))),0,IF(1=$K21,200000,ABS(1-$K21)*100)),100000+ABS(4-$J21)*1000+10)+'計算A'!BX$5*50+IF(AND($E21=1,LK21=0),25,0),IF($F21&gt;0,INDEX('計算A'!BX$110:BX$114,$F21+1)+IF(AND($E21=1,LK21=0),1000,0),MIN(TX21,20)*400+(IF('計算A'!BX$106=1,1-FW21,0))*150+14+'計算A'!BX$5*100000+IF(AND($E21=1,LK21=0),50000,0))+IF($H21=1,(IF('計算A'!BX$117=1,INDEX('計算A'!BY$10:BY$54,$B21),0))*4000,0)-IF(AND($L21=1,'計算A'!BX$117=1,FW21=0),2000,0))),1000000))</f>
        <v/>
      </c>
      <c r="RA21">
        <f>IF($B21=0,1000000,IF(INDEX('計算A'!$D$60:$EQ$104,$B21,74)*FW21=1,IF(AND($E21=2,LL21=0),1000000,IF($I21&gt;0,IF(4=$J21,IF(OR(AND(74=$I21+1,OR($K21&lt;&gt;'計算A'!$A$3,'計算A'!$A$4=0)),AND(74=$I21-1,OR(2&lt;&gt;'計算A'!$A$3,'計算A'!$A$4=0))),0,IF(2=$K21,200000,ABS(2-$K21)*100)),100000+ABS(4-$J21)*1000+20)+'計算A'!BY$5*50+IF(AND($E21=1,LL21=0),25,0),IF($F21&gt;0,INDEX('計算A'!BY$110:BY$114,$F21+1)+IF(AND($E21=1,LL21=0),1000,0),MIN(TX21,20)*400+(IF('計算A'!BX$106=1,1-FV21,0)+IF('計算A'!BY$106=1,1-FX21,0))*150+24+'計算A'!BY$5*100000+IF(AND($E21=1,LL21=0),50000,0))+IF($H21=1,(IF('計算A'!BX$117=1,INDEX('計算A'!BX$10:BX$54,$B21),0)+IF('計算A'!BY$117=1,INDEX('計算A'!BZ$10:BZ$54,$B21),0))*4000,0)-IF(AND('計算A'!BX$117=1,WV21&gt;0),2000,0)-IF(AND($L21=1,'計算A'!BY$117=1,FX21=0),2000,0))),1000000))</f>
        <v/>
      </c>
      <c r="RB21">
        <f>IF($B21=0,1000000,IF(INDEX('計算A'!$D$60:$EQ$104,$B21,75)*FX21=1,IF(AND($E21=2,LM21=0),1000000,IF($I21&gt;0,IF(4=$J21,IF(OR(AND(75=$I21+1,OR($K21&lt;&gt;'計算A'!$A$3,'計算A'!$A$4=0)),AND(75=$I21-1,OR(3&lt;&gt;'計算A'!$A$3,'計算A'!$A$4=0))),0,IF(3=$K21,200000,ABS(3-$K21)*100)),100000+ABS(4-$J21)*1000+30)+'計算A'!BZ$5*50+IF(AND($E21=1,LM21=0),25,0),IF($F21&gt;0,INDEX('計算A'!BZ$110:BZ$114,$F21+1)+IF(AND($E21=1,LM21=0),1000,0),MIN(TX21,20)*400+(IF('計算A'!BY$106=1,1-FW21,0)+IF('計算A'!BZ$106=1,1-FY21,0))*150+34+'計算A'!BZ$5*100000+IF(AND($E21=1,LM21=0),50000,0))+IF($H21=1,(IF('計算A'!BY$117=1,INDEX('計算A'!BY$10:BY$54,$B21),0)+IF('計算A'!BZ$117=1,INDEX('計算A'!CA$10:CA$54,$B21),0))*4000,0)-IF(AND('計算A'!BY$117=1,WW21&gt;0),2000,0)-IF(AND($L21=1,'計算A'!BZ$117=1,FY21=0),2000,0))),1000000))</f>
        <v/>
      </c>
      <c r="RC21">
        <f>IF($B21=0,1000000,IF(INDEX('計算A'!$D$60:$EQ$104,$B21,76)*FY21=1,IF(AND($E21=2,LN21=0),1000000,IF($I21&gt;0,IF(4=$J21,IF(OR(AND(76=$I21+1,OR($K21&lt;&gt;'計算A'!$A$3,'計算A'!$A$4=0)),AND(76=$I21-1,OR(4&lt;&gt;'計算A'!$A$3,'計算A'!$A$4=0))),0,IF(4=$K21,200000,ABS(4-$K21)*100)),100000+ABS(4-$J21)*1000+40)+'計算A'!CA$5*50+IF(AND($E21=1,LN21=0),25,0),IF($F21&gt;0,INDEX('計算A'!CA$110:CA$114,$F21+1)+IF(AND($E21=1,LN21=0),1000,0),MIN(TX21,20)*400+(IF('計算A'!BZ$106=1,1-FX21,0)+IF('計算A'!CA$106=1,1-FZ21,0))*150+44+'計算A'!CA$5*100000+IF(AND($E21=1,LN21=0),50000,0))+IF($H21=1,(IF('計算A'!BZ$117=1,INDEX('計算A'!BZ$10:BZ$54,$B21),0)+IF('計算A'!CA$117=1,INDEX('計算A'!CB$10:CB$54,$B21),0))*4000,0)-IF(AND('計算A'!BZ$117=1,WX21&gt;0),2000,0)-IF(AND($L21=1,'計算A'!CA$117=1,FZ21=0),2000,0))),1000000))</f>
        <v/>
      </c>
      <c r="RD21">
        <f>IF($B21=0,1000000,IF(INDEX('計算A'!$D$60:$EQ$104,$B21,77)*FZ21=1,IF(AND($E21=2,LO21=0),1000000,IF($I21&gt;0,IF(4=$J21,IF(OR(AND(77=$I21+1,OR($K21&lt;&gt;'計算A'!$A$3,'計算A'!$A$4=0)),AND(77=$I21-1,OR(5&lt;&gt;'計算A'!$A$3,'計算A'!$A$4=0))),0,IF(5=$K21,200000,ABS(5-$K21)*100)),100000+ABS(4-$J21)*1000+50)+'計算A'!CB$5*50+IF(AND($E21=1,LO21=0),25,0),IF($F21&gt;0,INDEX('計算A'!CB$110:CB$114,$F21+1)+IF(AND($E21=1,LO21=0),1000,0),MIN(TX21,20)*400+(IF('計算A'!CA$106=1,1-FY21,0)+IF('計算A'!CB$106=1,1-GA21,0))*150+54+'計算A'!CB$5*100000+IF(AND($E21=1,LO21=0),50000,0))+IF($H21=1,(IF('計算A'!CA$117=1,INDEX('計算A'!CA$10:CA$54,$B21),0)+IF('計算A'!CB$117=1,INDEX('計算A'!CC$10:CC$54,$B21),0))*4000,0)-IF(AND('計算A'!CA$117=1,WY21&gt;0),2000,0)-IF(AND($L21=1,'計算A'!CB$117=1,GA21=0),2000,0))),1000000))</f>
        <v/>
      </c>
      <c r="RE21">
        <f>IF($B21=0,1000000,IF(INDEX('計算A'!$D$60:$EQ$104,$B21,78)*GA21=1,IF(AND($E21=2,LP21=0),1000000,IF($I21&gt;0,IF(4=$J21,IF(OR(AND(78=$I21+1,OR($K21&lt;&gt;'計算A'!$A$3,'計算A'!$A$4=0)),AND(78=$I21-1,OR(6&lt;&gt;'計算A'!$A$3,'計算A'!$A$4=0))),0,IF(6=$K21,200000,ABS(6-$K21)*100)),100000+ABS(4-$J21)*1000+60)+'計算A'!CC$5*50+IF(AND($E21=1,LP21=0),25,0),IF($F21&gt;0,INDEX('計算A'!CC$110:CC$114,$F21+1)+IF(AND($E21=1,LP21=0),1000,0),MIN(TX21,20)*400+(IF('計算A'!CB$106=1,1-FZ21,0)+IF('計算A'!CC$106=1,1-GB21,0))*150+64+'計算A'!CC$5*100000+IF(AND($E21=1,LP21=0),50000,0))+IF($H21=1,(IF('計算A'!CB$117=1,INDEX('計算A'!CB$10:CB$54,$B21),0)+IF('計算A'!CC$117=1,INDEX('計算A'!CD$10:CD$54,$B21),0))*4000,0)-IF(AND('計算A'!CB$117=1,WZ21&gt;0),2000,0)-IF(AND($L21=1,'計算A'!CC$117=1,GB21=0),2000,0))),1000000))</f>
        <v/>
      </c>
      <c r="RF21">
        <f>IF($B21=0,1000000,IF(INDEX('計算A'!$D$60:$EQ$104,$B21,79)*GB21=1,IF(AND($E21=2,LQ21=0),1000000,IF($I21&gt;0,IF(4=$J21,IF(OR(AND(79=$I21+1,OR($K21&lt;&gt;'計算A'!$A$3,'計算A'!$A$4=0)),AND(79=$I21-1,OR(7&lt;&gt;'計算A'!$A$3,'計算A'!$A$4=0))),0,IF(7=$K21,200000,ABS(7-$K21)*100)),100000+ABS(4-$J21)*1000+70)+'計算A'!CD$5*50+IF(AND($E21=1,LQ21=0),25,0),IF($F21&gt;0,INDEX('計算A'!CD$110:CD$114,$F21+1)+IF(AND($E21=1,LQ21=0),1000,0),MIN(TX21,20)*400+(IF('計算A'!CC$106=1,1-GA21,0)+IF('計算A'!CD$106=1,1-GC21,0))*150+74+'計算A'!CD$5*100000+IF(AND($E21=1,LQ21=0),50000,0))+IF($H21=1,(IF('計算A'!CC$117=1,INDEX('計算A'!CC$10:CC$54,$B21),0)+IF('計算A'!CD$117=1,INDEX('計算A'!CE$10:CE$54,$B21),0))*4000,0)-IF(AND('計算A'!CC$117=1,XA21&gt;0),2000,0)-IF(AND($L21=1,'計算A'!CD$117=1,GC21=0),2000,0))),1000000))</f>
        <v/>
      </c>
      <c r="RG21">
        <f>IF($B21=0,1000000,IF(INDEX('計算A'!$D$60:$EQ$104,$B21,80)*GC21=1,IF(AND($E21=2,LR21=0),1000000,IF($I21&gt;0,IF(4=$J21,IF(OR(AND(80=$I21+1,OR($K21&lt;&gt;'計算A'!$A$3,'計算A'!$A$4=0)),AND(80=$I21-1,OR(8&lt;&gt;'計算A'!$A$3,'計算A'!$A$4=0))),0,IF(8=$K21,200000,ABS(8-$K21)*100)),100000+ABS(4-$J21)*1000+80)+'計算A'!CE$5*50+IF(AND($E21=1,LR21=0),25,0),IF($F21&gt;0,INDEX('計算A'!CE$110:CE$114,$F21+1)+IF(AND($E21=1,LR21=0),1000,0),MIN(TX21,20)*400+(IF('計算A'!CD$106=1,1-GB21,0)+IF('計算A'!CE$106=1,1-GD21,0))*150+84+'計算A'!CE$5*100000+IF(AND($E21=1,LR21=0),50000,0))+IF($H21=1,(IF('計算A'!CD$117=1,INDEX('計算A'!CD$10:CD$54,$B21),0)+IF('計算A'!CE$117=1,INDEX('計算A'!CF$10:CF$54,$B21),0))*4000,0)-IF(AND('計算A'!CD$117=1,XB21&gt;0),2000,0)-IF(AND($L21=1,'計算A'!CE$117=1,GD21=0),2000,0))),1000000))</f>
        <v/>
      </c>
      <c r="RH21">
        <f>IF($B21=0,1000000,IF(INDEX('計算A'!$D$60:$EQ$104,$B21,81)*GD21=1,IF(AND($E21=2,LS21=0),1000000,IF($I21&gt;0,IF(4=$J21,IF(OR(AND(81=$I21+1,OR($K21&lt;&gt;'計算A'!$A$3,'計算A'!$A$4=0)),AND(81=$I21-1,OR(9&lt;&gt;'計算A'!$A$3,'計算A'!$A$4=0))),0,IF(9=$K21,200000,ABS(9-$K21)*100)),100000+ABS(4-$J21)*1000+90)+'計算A'!CF$5*50+IF(AND($E21=1,LS21=0),25,0),IF($F21&gt;0,INDEX('計算A'!CF$110:CF$114,$F21+1)+IF(AND($E21=1,LS21=0),1000,0),MIN(TX21,20)*400+(IF('計算A'!CE$106=1,1-GC21,0)+IF('計算A'!CF$106=1,1-GE21,0))*150+94+'計算A'!CF$5*100000+IF(AND($E21=1,LS21=0),50000,0))+IF($H21=1,(IF('計算A'!CE$117=1,INDEX('計算A'!CE$10:CE$54,$B21),0)+IF('計算A'!CF$117=1,INDEX('計算A'!CG$10:CG$54,$B21),0))*4000,0)-IF(AND('計算A'!CE$117=1,XC21&gt;0),2000,0)-IF(AND($L21=1,'計算A'!CF$117=1,GE21=0),2000,0))),1000000))</f>
        <v/>
      </c>
      <c r="RI21">
        <f>IF($B21=0,1000000,IF(INDEX('計算A'!$D$60:$EQ$104,$B21,82)*GE21=1,IF(AND($E21=2,LT21=0),1000000,IF($I21&gt;0,IF(4=$J21,IF(OR(AND(82=$I21+1,OR($K21&lt;&gt;'計算A'!$A$3,'計算A'!$A$4=0)),AND(82=$I21-1,OR(10&lt;&gt;'計算A'!$A$3,'計算A'!$A$4=0))),0,IF(10=$K21,200000,ABS(10-$K21)*100)),100000+ABS(4-$J21)*1000+100)+'計算A'!CG$5*50+IF(AND($E21=1,LT21=0),25,0),IF($F21&gt;0,INDEX('計算A'!CG$110:CG$114,$F21+1)+IF(AND($E21=1,LT21=0),1000,0),MIN(TX21,20)*400+(IF('計算A'!CF$106=1,1-GD21,0)+IF('計算A'!CG$106=1,1-GF21,0))*150+104+'計算A'!CG$5*100000+IF(AND($E21=1,LT21=0),50000,0))+IF($H21=1,(IF('計算A'!CF$117=1,INDEX('計算A'!CF$10:CF$54,$B21),0)+IF('計算A'!CG$117=1,INDEX('計算A'!CH$10:CH$54,$B21),0))*4000,0)-IF(AND('計算A'!CF$117=1,XD21&gt;0),2000,0)-IF(AND($L21=1,'計算A'!CG$117=1,GF21=0),2000,0))),1000000))</f>
        <v/>
      </c>
      <c r="RJ21">
        <f>IF($B21=0,1000000,IF(INDEX('計算A'!$D$60:$EQ$104,$B21,83)*GF21=1,IF(AND($E21=2,LU21=0),1000000,IF($I21&gt;0,IF(4=$J21,IF(OR(AND(83=$I21+1,OR($K21&lt;&gt;'計算A'!$A$3,'計算A'!$A$4=0)),AND(83=$I21-1,OR(11&lt;&gt;'計算A'!$A$3,'計算A'!$A$4=0))),0,IF(11=$K21,200000,ABS(11-$K21)*100)),100000+ABS(4-$J21)*1000+110)+'計算A'!CH$5*50+IF(AND($E21=1,LU21=0),25,0),IF($F21&gt;0,INDEX('計算A'!CH$110:CH$114,$F21+1)+IF(AND($E21=1,LU21=0),1000,0),MIN(TX21,20)*400+(IF('計算A'!CG$106=1,1-GE21,0)+IF('計算A'!CH$106=1,1-GG21,0))*150+114+'計算A'!CH$5*100000+IF(AND($E21=1,LU21=0),50000,0))+IF($H21=1,(IF('計算A'!CG$117=1,INDEX('計算A'!CG$10:CG$54,$B21),0)+IF('計算A'!CH$117=1,INDEX('計算A'!CI$10:CI$54,$B21),0))*4000,0)-IF(AND('計算A'!CG$117=1,XE21&gt;0),2000,0)-IF(AND($L21=1,'計算A'!CH$117=1,GG21=0),2000,0))),1000000))</f>
        <v/>
      </c>
      <c r="RK21">
        <f>IF($B21=0,1000000,IF(INDEX('計算A'!$D$60:$EQ$104,$B21,84)*GG21=1,IF(AND($E21=2,LV21=0),1000000,IF($I21&gt;0,IF(4=$J21,IF(OR(AND(84=$I21+1,OR($K21&lt;&gt;'計算A'!$A$3,'計算A'!$A$4=0)),AND(84=$I21-1,OR(12&lt;&gt;'計算A'!$A$3,'計算A'!$A$4=0))),0,IF(12=$K21,200000,ABS(12-$K21)*100)),100000+ABS(4-$J21)*1000+120)+'計算A'!CI$5*50+IF(AND($E21=1,LV21=0),25,0),IF($F21&gt;0,INDEX('計算A'!CI$110:CI$114,$F21+1)+IF(AND($E21=1,LV21=0),1000,0),MIN(TX21,20)*400+(IF('計算A'!CH$106=1,1-GF21,0)+IF('計算A'!CI$106=1,1-GH21,0))*150+124+'計算A'!CI$5*100000+IF(AND($E21=1,LV21=0),50000,0))+IF($H21=1,(IF('計算A'!CH$117=1,INDEX('計算A'!CH$10:CH$54,$B21),0)+IF('計算A'!CI$117=1,INDEX('計算A'!CJ$10:CJ$54,$B21),0))*4000,0)-IF(AND('計算A'!CH$117=1,XF21&gt;0),2000,0)-IF(AND($L21=1,'計算A'!CI$117=1,GH21=0),2000,0))),1000000))</f>
        <v/>
      </c>
      <c r="RL21">
        <f>IF($B21=0,1000000,IF(INDEX('計算A'!$D$60:$EQ$104,$B21,85)*GH21=1,IF(AND($E21=2,LW21=0),1000000,IF($I21&gt;0,IF(4=$J21,IF(OR(AND(85=$I21+1,OR($K21&lt;&gt;'計算A'!$A$3,'計算A'!$A$4=0)),AND(85=$I21-1,OR(13&lt;&gt;'計算A'!$A$3,'計算A'!$A$4=0))),0,IF(13=$K21,200000,ABS(13-$K21)*100)),100000+ABS(4-$J21)*1000+130)+'計算A'!CJ$5*50+IF(AND($E21=1,LW21=0),25,0),IF($F21&gt;0,INDEX('計算A'!CJ$110:CJ$114,$F21+1)+IF(AND($E21=1,LW21=0),1000,0),MIN(TX21,20)*400+(IF('計算A'!CI$106=1,1-GG21,0)+IF('計算A'!CJ$106=1,1-GI21,0))*150+134+'計算A'!CJ$5*100000+IF(AND($E21=1,LW21=0),50000,0))+IF($H21=1,(IF('計算A'!CI$117=1,INDEX('計算A'!CI$10:CI$54,$B21),0)+IF('計算A'!CJ$117=1,INDEX('計算A'!CK$10:CK$54,$B21),0))*4000,0)-IF(AND('計算A'!CI$117=1,XG21&gt;0),2000,0)-IF(AND($L21=1,'計算A'!CJ$117=1,GI21=0),2000,0))),1000000))</f>
        <v/>
      </c>
      <c r="RM21">
        <f>IF($B21=0,1000000,IF(INDEX('計算A'!$D$60:$EQ$104,$B21,86)*GI21=1,IF(AND($E21=2,LX21=0),1000000,IF($I21&gt;0,IF(4=$J21,IF(OR(AND(86=$I21+1,OR($K21&lt;&gt;'計算A'!$A$3,'計算A'!$A$4=0)),AND(86=$I21-1,OR(14&lt;&gt;'計算A'!$A$3,'計算A'!$A$4=0))),0,IF(14=$K21,200000,ABS(14-$K21)*100)),100000+ABS(4-$J21)*1000+140)+'計算A'!CK$5*50+IF(AND($E21=1,LX21=0),25,0),IF($F21&gt;0,INDEX('計算A'!CK$110:CK$114,$F21+1)+IF(AND($E21=1,LX21=0),1000,0),MIN(TX21,20)*400+(IF('計算A'!CJ$106=1,1-GH21,0)+IF('計算A'!CK$106=1,1-GJ21,0))*150+144+'計算A'!CK$5*100000+IF(AND($E21=1,LX21=0),50000,0))+IF($H21=1,(IF('計算A'!CJ$117=1,INDEX('計算A'!CJ$10:CJ$54,$B21),0)+IF('計算A'!CK$117=1,INDEX('計算A'!CL$10:CL$54,$B21),0))*4000,0)-IF(AND('計算A'!CJ$117=1,XH21&gt;0),2000,0)-IF(AND($L21=1,'計算A'!CK$117=1,GJ21=0),2000,0))),1000000))</f>
        <v/>
      </c>
      <c r="RN21">
        <f>IF($B21=0,1000000,IF(INDEX('計算A'!$D$60:$EQ$104,$B21,87)*GJ21=1,IF(AND($E21=2,LY21=0),1000000,IF($I21&gt;0,IF(4=$J21,IF(OR(AND(87=$I21+1,OR($K21&lt;&gt;'計算A'!$A$3,'計算A'!$A$4=0)),AND(87=$I21-1,OR(15&lt;&gt;'計算A'!$A$3,'計算A'!$A$4=0))),0,IF(15=$K21,200000,ABS(15-$K21)*100)),100000+ABS(4-$J21)*1000+150)+'計算A'!CL$5*50+IF(AND($E21=1,LY21=0),25,0),IF($F21&gt;0,INDEX('計算A'!CL$110:CL$114,$F21+1)+IF(AND($E21=1,LY21=0),1000,0),MIN(TX21,20)*400+(IF('計算A'!CK$106=1,1-GI21,0)+IF('計算A'!CL$106=1,1-GK21,0))*150+154+'計算A'!CL$5*100000+IF(AND($E21=1,LY21=0),50000,0))+IF($H21=1,(IF('計算A'!CK$117=1,INDEX('計算A'!CK$10:CK$54,$B21),0)+IF('計算A'!CL$117=1,INDEX('計算A'!CM$10:CM$54,$B21),0))*4000,0)-IF(AND('計算A'!CK$117=1,XI21&gt;0),2000,0)-IF(AND($L21=1,'計算A'!CL$117=1,GK21=0),2000,0))),1000000))</f>
        <v/>
      </c>
      <c r="RO21">
        <f>IF($B21=0,1000000,IF(INDEX('計算A'!$D$60:$EQ$104,$B21,88)*GK21=1,IF(AND($E21=2,LZ21=0),1000000,IF($I21&gt;0,IF(4=$J21,IF(OR(AND(88=$I21+1,OR($K21&lt;&gt;'計算A'!$A$3,'計算A'!$A$4=0)),AND(88=$I21-1,OR(16&lt;&gt;'計算A'!$A$3,'計算A'!$A$4=0))),0,IF(16=$K21,200000,ABS(16-$K21)*100)),100000+ABS(4-$J21)*1000+160)+'計算A'!CM$5*50+IF(AND($E21=1,LZ21=0),25,0),IF($F21&gt;0,INDEX('計算A'!CM$110:CM$114,$F21+1)+IF(AND($E21=1,LZ21=0),1000,0),MIN(TX21,20)*400+(IF('計算A'!CL$106=1,1-GJ21,0)+IF('計算A'!CM$106=1,1-GL21,0))*150+164+'計算A'!CM$5*100000+IF(AND($E21=1,LZ21=0),50000,0))+IF($H21=1,(IF('計算A'!CL$117=1,INDEX('計算A'!CL$10:CL$54,$B21),0)+IF('計算A'!CM$117=1,INDEX('計算A'!CN$10:CN$54,$B21),0))*4000,0)-IF(AND('計算A'!CL$117=1,XJ21&gt;0),2000,0)-IF(AND($L21=1,'計算A'!CM$117=1,GL21=0),2000,0))),1000000))</f>
        <v/>
      </c>
      <c r="RP21">
        <f>IF($B21=0,1000000,IF(INDEX('計算A'!$D$60:$EQ$104,$B21,89)*GL21=1,IF(AND($E21=2,MA21=0),1000000,IF($I21&gt;0,IF(4=$J21,IF(OR(AND(89=$I21+1,OR($K21&lt;&gt;'計算A'!$A$3,'計算A'!$A$4=0)),AND(89=$I21-1,OR(17&lt;&gt;'計算A'!$A$3,'計算A'!$A$4=0))),0,IF(17=$K21,200000,ABS(17-$K21)*100)),100000+ABS(4-$J21)*1000+170)+'計算A'!CN$5*50+IF(AND($E21=1,MA21=0),25,0),IF($F21&gt;0,INDEX('計算A'!CN$110:CN$114,$F21+1)+IF(AND($E21=1,MA21=0),1000,0),MIN(TX21,20)*400+(IF('計算A'!CM$106=1,1-GK21,0)+IF('計算A'!CN$106=1,1-GM21,0))*150+174+'計算A'!CN$5*100000+IF(AND($E21=1,MA21=0),50000,0))+IF($H21=1,(IF('計算A'!CM$117=1,INDEX('計算A'!CM$10:CM$54,$B21),0)+IF('計算A'!CN$117=1,INDEX('計算A'!CO$10:CO$54,$B21),0))*4000,0)-IF(AND('計算A'!CM$117=1,XK21&gt;0),2000,0)-IF(AND($L21=1,'計算A'!CN$117=1,GM21=0),2000,0))),1000000))</f>
        <v/>
      </c>
      <c r="RQ21">
        <f>IF($B21=0,1000000,IF(INDEX('計算A'!$D$60:$EQ$104,$B21,90)*GM21=1,IF(AND($E21=2,MB21=0),1000000,IF($I21&gt;0,IF(4=$J21,IF(OR(AND(90=$I21+1,OR($K21&lt;&gt;'計算A'!$A$3,'計算A'!$A$4=0)),AND(90=$I21-1,OR(18&lt;&gt;'計算A'!$A$3,'計算A'!$A$4=0))),0,IF(18=$K21,200000,ABS(18-$K21)*100)),100000+ABS(4-$J21)*1000+180)+'計算A'!CO$5*50+IF(AND($E21=1,MB21=0),25,0),IF($F21&gt;0,INDEX('計算A'!CO$110:CO$114,$F21+1)+IF(AND($E21=1,MB21=0),1000,0),MIN(TX21,20)*400+(IF('計算A'!CN$106=1,1-GL21,0)+IF('計算A'!CO$106=1,1-GN21,0))*150+184+'計算A'!CO$5*100000+IF(AND($E21=1,MB21=0),50000,0))+IF($H21=1,(IF('計算A'!CN$117=1,INDEX('計算A'!CN$10:CN$54,$B21),0)+IF('計算A'!CO$117=1,INDEX('計算A'!CP$10:CP$54,$B21),0))*4000,0)-IF(AND('計算A'!CN$117=1,XL21&gt;0),2000,0)-IF(AND($L21=1,'計算A'!CO$117=1,GN21=0),2000,0))),1000000))</f>
        <v/>
      </c>
      <c r="RR21">
        <f>IF($B21=0,1000000,IF(INDEX('計算A'!$D$60:$EQ$104,$B21,91)*GN21=1,IF(AND($E21=2,MC21=0),1000000,IF($I21&gt;0,IF(4=$J21,IF(OR(AND(91=$I21+1,OR($K21&lt;&gt;'計算A'!$A$3,'計算A'!$A$4=0)),AND(91=$I21-1,OR(19&lt;&gt;'計算A'!$A$3,'計算A'!$A$4=0))),0,IF(19=$K21,200000,ABS(19-$K21)*100)),100000+ABS(4-$J21)*1000+190)+'計算A'!CP$5*50+IF(AND($E21=1,MC21=0),25,0),IF($F21&gt;0,INDEX('計算A'!CP$110:CP$114,$F21+1)+IF(AND($E21=1,MC21=0),1000,0),MIN(TX21,20)*400+(IF('計算A'!CO$106=1,1-GM21,0)+IF('計算A'!CP$106=1,1-GO21,0))*150+194+'計算A'!CP$5*100000+IF(AND($E21=1,MC21=0),50000,0))+IF($H21=1,(IF('計算A'!CO$117=1,INDEX('計算A'!CO$10:CO$54,$B21),0)+IF('計算A'!CP$117=1,INDEX('計算A'!CQ$10:CQ$54,$B21),0))*4000,0)-IF(AND('計算A'!CO$117=1,XM21&gt;0),2000,0)-IF(AND($L21=1,'計算A'!CP$117=1,GO21=0),2000,0))),1000000))</f>
        <v/>
      </c>
      <c r="RS21">
        <f>IF($B21=0,1000000,IF(INDEX('計算A'!$D$60:$EQ$104,$B21,92)*GO21=1,IF(AND($E21=2,MD21=0),1000000,IF($I21&gt;0,IF(4=$J21,IF(OR(AND(92=$I21+1,OR($K21&lt;&gt;'計算A'!$A$3,'計算A'!$A$4=0)),AND(92=$I21-1,OR(20&lt;&gt;'計算A'!$A$3,'計算A'!$A$4=0))),0,IF(20=$K21,200000,ABS(20-$K21)*100)),100000+ABS(4-$J21)*1000+200)+'計算A'!CQ$5*50+IF(AND($E21=1,MD21=0),25,0),IF($F21&gt;0,INDEX('計算A'!CQ$110:CQ$114,$F21+1)+IF(AND($E21=1,MD21=0),1000,0),MIN(TX21,20)*400+(IF('計算A'!CP$106=1,1-GN21,0)+IF('計算A'!CQ$106=1,1-GP21,0))*150+204+'計算A'!CQ$5*100000+IF(AND($E21=1,MD21=0),50000,0))+IF($H21=1,(IF('計算A'!CP$117=1,INDEX('計算A'!CP$10:CP$54,$B21),0)+IF('計算A'!CQ$117=1,INDEX('計算A'!CR$10:CR$54,$B21),0))*4000,0)-IF(AND('計算A'!CP$117=1,XN21&gt;0),2000,0)-IF(AND($L21=1,'計算A'!CQ$117=1,GP21=0),2000,0))),1000000))</f>
        <v/>
      </c>
      <c r="RT21">
        <f>IF($B21=0,1000000,IF(INDEX('計算A'!$D$60:$EQ$104,$B21,93)*GP21=1,IF(AND($E21=2,ME21=0),1000000,IF($I21&gt;0,IF(4=$J21,IF(OR(AND(93=$I21+1,OR($K21&lt;&gt;'計算A'!$A$3,'計算A'!$A$4=0)),AND(93=$I21-1,OR(21&lt;&gt;'計算A'!$A$3,'計算A'!$A$4=0))),0,IF(21=$K21,200000,ABS(21-$K21)*100)),100000+ABS(4-$J21)*1000+210)+'計算A'!CR$5*50+IF(AND($E21=1,ME21=0),25,0),IF($F21&gt;0,INDEX('計算A'!CR$110:CR$114,$F21+1)+IF(AND($E21=1,ME21=0),1000,0),MIN(TX21,20)*400+(IF('計算A'!CQ$106=1,1-GO21,0)+IF('計算A'!CR$106=1,1-GQ21,0))*150+214+'計算A'!CR$5*100000+IF(AND($E21=1,ME21=0),50000,0))+IF($H21=1,(IF('計算A'!CQ$117=1,INDEX('計算A'!CQ$10:CQ$54,$B21),0)+IF('計算A'!CR$117=1,INDEX('計算A'!CS$10:CS$54,$B21),0))*4000,0)-IF(AND('計算A'!CQ$117=1,XO21&gt;0),2000,0)-IF(AND($L21=1,'計算A'!CR$117=1,GQ21=0),2000,0))),1000000))</f>
        <v/>
      </c>
      <c r="RU21">
        <f>IF($B21=0,1000000,IF(INDEX('計算A'!$D$60:$EQ$104,$B21,94)*GQ21=1,IF(AND($E21=2,MF21=0),1000000,IF($I21&gt;0,IF(4=$J21,IF(OR(AND(94=$I21+1,OR($K21&lt;&gt;'計算A'!$A$3,'計算A'!$A$4=0)),AND(94=$I21-1,OR(22&lt;&gt;'計算A'!$A$3,'計算A'!$A$4=0))),0,IF(22=$K21,200000,ABS(22-$K21)*100)),100000+ABS(4-$J21)*1000+220)+'計算A'!CS$5*50+IF(AND($E21=1,MF21=0),25,0),IF($F21&gt;0,INDEX('計算A'!CS$110:CS$114,$F21+1)+IF(AND($E21=1,MF21=0),1000,0),MIN(TX21,20)*400+(IF('計算A'!CR$106=1,1-GP21,0)+IF('計算A'!CS$106=1,1-GR21,0))*150+224+'計算A'!CS$5*100000+IF(AND($E21=1,MF21=0),50000,0))+IF($H21=1,(IF('計算A'!CR$117=1,INDEX('計算A'!CR$10:CR$54,$B21),0)+IF('計算A'!CS$117=1,INDEX('計算A'!CT$10:CT$54,$B21),0))*4000,0)-IF(AND('計算A'!CR$117=1,XP21&gt;0),2000,0)-IF(AND($L21=1,'計算A'!CS$117=1,GR21=0),2000,0))),1000000))</f>
        <v/>
      </c>
      <c r="RV21">
        <f>IF($B21=0,1000000,IF(INDEX('計算A'!$D$60:$EQ$104,$B21,95)*GR21=1,IF(AND($E21=2,MG21=0),1000000,IF($I21&gt;0,IF(4=$J21,IF(OR(AND(95=$I21+1,OR($K21&lt;&gt;'計算A'!$A$3,'計算A'!$A$4=0)),AND(95=$I21-1,OR(23&lt;&gt;'計算A'!$A$3,'計算A'!$A$4=0))),0,IF(23=$K21,200000,ABS(23-$K21)*100)),100000+ABS(4-$J21)*1000+230)+'計算A'!CT$5*50+IF(AND($E21=1,MG21=0),25,0),IF($F21&gt;0,INDEX('計算A'!CT$110:CT$114,$F21+1)+IF(AND($E21=1,MG21=0),1000,0),MIN(TX21,20)*400+(IF('計算A'!CS$106=1,1-GQ21,0)+IF('計算A'!CT$106=1,1-GS21,0))*150+234+'計算A'!CT$5*100000+IF(AND($E21=1,MG21=0),50000,0))+IF($H21=1,(IF('計算A'!CS$117=1,INDEX('計算A'!CS$10:CS$54,$B21),0)+IF('計算A'!CT$117=1,INDEX('計算A'!CU$10:CU$54,$B21),0))*4000,0)-IF(AND('計算A'!CS$117=1,XQ21&gt;0),2000,0)-IF(AND($L21=1,'計算A'!CT$117=1,GS21=0),2000,0))),1000000))</f>
        <v/>
      </c>
      <c r="RW21">
        <f>IF($B21=0,1000000,IF(INDEX('計算A'!$D$60:$EQ$104,$B21,96)*GS21=1,IF(AND($E21=2,MH21=0),1000000,IF($I21&gt;0,IF(4=$J21,IF(OR(AND(96=$I21+1,OR($K21&lt;&gt;'計算A'!$A$3,'計算A'!$A$4=0)),AND(96=$I21-1,OR(24&lt;&gt;'計算A'!$A$3,'計算A'!$A$4=0))),0,IF(24=$K21,200000,ABS(24-$K21)*100)),100000+ABS(4-$J21)*1000+240)+'計算A'!CU$5*50+IF(AND($E21=1,MH21=0),25,0),IF($F21&gt;0,INDEX('計算A'!CU$110:CU$114,$F21+1)+IF(AND($E21=1,MH21=0),1000,0),MIN(TX21,20)*400+(IF('計算A'!CT$106=1,1-GR21,0))*150+244+'計算A'!CU$5*100000+IF(AND($E21=1,MH21=0),50000,0))+IF($H21=1,(IF('計算A'!CT$117=1,INDEX('計算A'!CT$10:CT$54,$B21),0))*4000,0)-IF(AND('計算A'!CT$117=1,XR21&gt;0),2000,0))),1000000))</f>
        <v/>
      </c>
      <c r="RX21">
        <f>IF($B21=0,1000000,IF(INDEX('計算A'!$D$60:$EQ$104,$B21,97)*GT21=1,IF(AND($E21=2,MI21=0),1000000,IF($I21&gt;0,IF(5=$J21,IF(OR(AND(97=$I21+1,OR($K21&lt;&gt;'計算A'!$A$3,'計算A'!$A$4=0)),AND(97=$I21-1,OR(1&lt;&gt;'計算A'!$A$3,'計算A'!$A$4=0))),0,IF(1=$K21,200000,ABS(1-$K21)*100)),100000+ABS(5-$J21)*1000+10)+'計算A'!CV$5*50+IF(AND($E21=1,MI21=0),25,0),IF($F21&gt;0,INDEX('計算A'!CV$110:CV$114,$F21+1)+IF(AND($E21=1,MI21=0),1000,0),MIN(TY21,20)*400+(IF('計算A'!CV$106=1,1-GU21,0))*150+15+'計算A'!CV$5*100000+IF(AND($E21=1,MI21=0),50000,0))+IF($H21=1,(IF('計算A'!CV$117=1,INDEX('計算A'!CW$10:CW$54,$B21),0))*4000,0)-IF(AND($L21=1,'計算A'!CV$117=1,GU21=0),2000,0))),1000000))</f>
        <v/>
      </c>
      <c r="RY21">
        <f>IF($B21=0,1000000,IF(INDEX('計算A'!$D$60:$EQ$104,$B21,98)*GU21=1,IF(AND($E21=2,MJ21=0),1000000,IF($I21&gt;0,IF(5=$J21,IF(OR(AND(98=$I21+1,OR($K21&lt;&gt;'計算A'!$A$3,'計算A'!$A$4=0)),AND(98=$I21-1,OR(2&lt;&gt;'計算A'!$A$3,'計算A'!$A$4=0))),0,IF(2=$K21,200000,ABS(2-$K21)*100)),100000+ABS(5-$J21)*1000+20)+'計算A'!CW$5*50+IF(AND($E21=1,MJ21=0),25,0),IF($F21&gt;0,INDEX('計算A'!CW$110:CW$114,$F21+1)+IF(AND($E21=1,MJ21=0),1000,0),MIN(TY21,20)*400+(IF('計算A'!CV$106=1,1-GT21,0)+IF('計算A'!CW$106=1,1-GV21,0))*150+25+'計算A'!CW$5*100000+IF(AND($E21=1,MJ21=0),50000,0))+IF($H21=1,(IF('計算A'!CV$117=1,INDEX('計算A'!CV$10:CV$54,$B21),0)+IF('計算A'!CW$117=1,INDEX('計算A'!CX$10:CX$54,$B21),0))*4000,0)-IF(AND('計算A'!CV$117=1,XT21&gt;0),2000,0)-IF(AND($L21=1,'計算A'!CW$117=1,GV21=0),2000,0))),1000000))</f>
        <v/>
      </c>
      <c r="RZ21">
        <f>IF($B21=0,1000000,IF(INDEX('計算A'!$D$60:$EQ$104,$B21,99)*GV21=1,IF(AND($E21=2,MK21=0),1000000,IF($I21&gt;0,IF(5=$J21,IF(OR(AND(99=$I21+1,OR($K21&lt;&gt;'計算A'!$A$3,'計算A'!$A$4=0)),AND(99=$I21-1,OR(3&lt;&gt;'計算A'!$A$3,'計算A'!$A$4=0))),0,IF(3=$K21,200000,ABS(3-$K21)*100)),100000+ABS(5-$J21)*1000+30)+'計算A'!CX$5*50+IF(AND($E21=1,MK21=0),25,0),IF($F21&gt;0,INDEX('計算A'!CX$110:CX$114,$F21+1)+IF(AND($E21=1,MK21=0),1000,0),MIN(TY21,20)*400+(IF('計算A'!CW$106=1,1-GU21,0)+IF('計算A'!CX$106=1,1-GW21,0))*150+35+'計算A'!CX$5*100000+IF(AND($E21=1,MK21=0),50000,0))+IF($H21=1,(IF('計算A'!CW$117=1,INDEX('計算A'!CW$10:CW$54,$B21),0)+IF('計算A'!CX$117=1,INDEX('計算A'!CY$10:CY$54,$B21),0))*4000,0)-IF(AND('計算A'!CW$117=1,XU21&gt;0),2000,0)-IF(AND($L21=1,'計算A'!CX$117=1,GW21=0),2000,0))),1000000))</f>
        <v/>
      </c>
      <c r="SA21">
        <f>IF($B21=0,1000000,IF(INDEX('計算A'!$D$60:$EQ$104,$B21,100)*GW21=1,IF(AND($E21=2,ML21=0),1000000,IF($I21&gt;0,IF(5=$J21,IF(OR(AND(100=$I21+1,OR($K21&lt;&gt;'計算A'!$A$3,'計算A'!$A$4=0)),AND(100=$I21-1,OR(4&lt;&gt;'計算A'!$A$3,'計算A'!$A$4=0))),0,IF(4=$K21,200000,ABS(4-$K21)*100)),100000+ABS(5-$J21)*1000+40)+'計算A'!CY$5*50+IF(AND($E21=1,ML21=0),25,0),IF($F21&gt;0,INDEX('計算A'!CY$110:CY$114,$F21+1)+IF(AND($E21=1,ML21=0),1000,0),MIN(TY21,20)*400+(IF('計算A'!CX$106=1,1-GV21,0)+IF('計算A'!CY$106=1,1-GX21,0))*150+45+'計算A'!CY$5*100000+IF(AND($E21=1,ML21=0),50000,0))+IF($H21=1,(IF('計算A'!CX$117=1,INDEX('計算A'!CX$10:CX$54,$B21),0)+IF('計算A'!CY$117=1,INDEX('計算A'!CZ$10:CZ$54,$B21),0))*4000,0)-IF(AND('計算A'!CX$117=1,XV21&gt;0),2000,0)-IF(AND($L21=1,'計算A'!CY$117=1,GX21=0),2000,0))),1000000))</f>
        <v/>
      </c>
      <c r="SB21">
        <f>IF($B21=0,1000000,IF(INDEX('計算A'!$D$60:$EQ$104,$B21,101)*GX21=1,IF(AND($E21=2,MM21=0),1000000,IF($I21&gt;0,IF(5=$J21,IF(OR(AND(101=$I21+1,OR($K21&lt;&gt;'計算A'!$A$3,'計算A'!$A$4=0)),AND(101=$I21-1,OR(5&lt;&gt;'計算A'!$A$3,'計算A'!$A$4=0))),0,IF(5=$K21,200000,ABS(5-$K21)*100)),100000+ABS(5-$J21)*1000+50)+'計算A'!CZ$5*50+IF(AND($E21=1,MM21=0),25,0),IF($F21&gt;0,INDEX('計算A'!CZ$110:CZ$114,$F21+1)+IF(AND($E21=1,MM21=0),1000,0),MIN(TY21,20)*400+(IF('計算A'!CY$106=1,1-GW21,0)+IF('計算A'!CZ$106=1,1-GY21,0))*150+55+'計算A'!CZ$5*100000+IF(AND($E21=1,MM21=0),50000,0))+IF($H21=1,(IF('計算A'!CY$117=1,INDEX('計算A'!CY$10:CY$54,$B21),0)+IF('計算A'!CZ$117=1,INDEX('計算A'!DA$10:DA$54,$B21),0))*4000,0)-IF(AND('計算A'!CY$117=1,XW21&gt;0),2000,0)-IF(AND($L21=1,'計算A'!CZ$117=1,GY21=0),2000,0))),1000000))</f>
        <v/>
      </c>
      <c r="SC21">
        <f>IF($B21=0,1000000,IF(INDEX('計算A'!$D$60:$EQ$104,$B21,102)*GY21=1,IF(AND($E21=2,MN21=0),1000000,IF($I21&gt;0,IF(5=$J21,IF(OR(AND(102=$I21+1,OR($K21&lt;&gt;'計算A'!$A$3,'計算A'!$A$4=0)),AND(102=$I21-1,OR(6&lt;&gt;'計算A'!$A$3,'計算A'!$A$4=0))),0,IF(6=$K21,200000,ABS(6-$K21)*100)),100000+ABS(5-$J21)*1000+60)+'計算A'!DA$5*50+IF(AND($E21=1,MN21=0),25,0),IF($F21&gt;0,INDEX('計算A'!DA$110:DA$114,$F21+1)+IF(AND($E21=1,MN21=0),1000,0),MIN(TY21,20)*400+(IF('計算A'!CZ$106=1,1-GX21,0)+IF('計算A'!DA$106=1,1-GZ21,0))*150+65+'計算A'!DA$5*100000+IF(AND($E21=1,MN21=0),50000,0))+IF($H21=1,(IF('計算A'!CZ$117=1,INDEX('計算A'!CZ$10:CZ$54,$B21),0)+IF('計算A'!DA$117=1,INDEX('計算A'!DB$10:DB$54,$B21),0))*4000,0)-IF(AND('計算A'!CZ$117=1,XX21&gt;0),2000,0)-IF(AND($L21=1,'計算A'!DA$117=1,GZ21=0),2000,0))),1000000))</f>
        <v/>
      </c>
      <c r="SD21">
        <f>IF($B21=0,1000000,IF(INDEX('計算A'!$D$60:$EQ$104,$B21,103)*GZ21=1,IF(AND($E21=2,MO21=0),1000000,IF($I21&gt;0,IF(5=$J21,IF(OR(AND(103=$I21+1,OR($K21&lt;&gt;'計算A'!$A$3,'計算A'!$A$4=0)),AND(103=$I21-1,OR(7&lt;&gt;'計算A'!$A$3,'計算A'!$A$4=0))),0,IF(7=$K21,200000,ABS(7-$K21)*100)),100000+ABS(5-$J21)*1000+70)+'計算A'!DB$5*50+IF(AND($E21=1,MO21=0),25,0),IF($F21&gt;0,INDEX('計算A'!DB$110:DB$114,$F21+1)+IF(AND($E21=1,MO21=0),1000,0),MIN(TY21,20)*400+(IF('計算A'!DA$106=1,1-GY21,0)+IF('計算A'!DB$106=1,1-HA21,0))*150+75+'計算A'!DB$5*100000+IF(AND($E21=1,MO21=0),50000,0))+IF($H21=1,(IF('計算A'!DA$117=1,INDEX('計算A'!DA$10:DA$54,$B21),0)+IF('計算A'!DB$117=1,INDEX('計算A'!DC$10:DC$54,$B21),0))*4000,0)-IF(AND('計算A'!DA$117=1,XY21&gt;0),2000,0)-IF(AND($L21=1,'計算A'!DB$117=1,HA21=0),2000,0))),1000000))</f>
        <v/>
      </c>
      <c r="SE21">
        <f>IF($B21=0,1000000,IF(INDEX('計算A'!$D$60:$EQ$104,$B21,104)*HA21=1,IF(AND($E21=2,MP21=0),1000000,IF($I21&gt;0,IF(5=$J21,IF(OR(AND(104=$I21+1,OR($K21&lt;&gt;'計算A'!$A$3,'計算A'!$A$4=0)),AND(104=$I21-1,OR(8&lt;&gt;'計算A'!$A$3,'計算A'!$A$4=0))),0,IF(8=$K21,200000,ABS(8-$K21)*100)),100000+ABS(5-$J21)*1000+80)+'計算A'!DC$5*50+IF(AND($E21=1,MP21=0),25,0),IF($F21&gt;0,INDEX('計算A'!DC$110:DC$114,$F21+1)+IF(AND($E21=1,MP21=0),1000,0),MIN(TY21,20)*400+(IF('計算A'!DB$106=1,1-GZ21,0)+IF('計算A'!DC$106=1,1-HB21,0))*150+85+'計算A'!DC$5*100000+IF(AND($E21=1,MP21=0),50000,0))+IF($H21=1,(IF('計算A'!DB$117=1,INDEX('計算A'!DB$10:DB$54,$B21),0)+IF('計算A'!DC$117=1,INDEX('計算A'!DD$10:DD$54,$B21),0))*4000,0)-IF(AND('計算A'!DB$117=1,XZ21&gt;0),2000,0)-IF(AND($L21=1,'計算A'!DC$117=1,HB21=0),2000,0))),1000000))</f>
        <v/>
      </c>
      <c r="SF21">
        <f>IF($B21=0,1000000,IF(INDEX('計算A'!$D$60:$EQ$104,$B21,105)*HB21=1,IF(AND($E21=2,MQ21=0),1000000,IF($I21&gt;0,IF(5=$J21,IF(OR(AND(105=$I21+1,OR($K21&lt;&gt;'計算A'!$A$3,'計算A'!$A$4=0)),AND(105=$I21-1,OR(9&lt;&gt;'計算A'!$A$3,'計算A'!$A$4=0))),0,IF(9=$K21,200000,ABS(9-$K21)*100)),100000+ABS(5-$J21)*1000+90)+'計算A'!DD$5*50+IF(AND($E21=1,MQ21=0),25,0),IF($F21&gt;0,INDEX('計算A'!DD$110:DD$114,$F21+1)+IF(AND($E21=1,MQ21=0),1000,0),MIN(TY21,20)*400+(IF('計算A'!DC$106=1,1-HA21,0)+IF('計算A'!DD$106=1,1-HC21,0))*150+95+'計算A'!DD$5*100000+IF(AND($E21=1,MQ21=0),50000,0))+IF($H21=1,(IF('計算A'!DC$117=1,INDEX('計算A'!DC$10:DC$54,$B21),0)+IF('計算A'!DD$117=1,INDEX('計算A'!DE$10:DE$54,$B21),0))*4000,0)-IF(AND('計算A'!DC$117=1,YA21&gt;0),2000,0)-IF(AND($L21=1,'計算A'!DD$117=1,HC21=0),2000,0))),1000000))</f>
        <v/>
      </c>
      <c r="SG21">
        <f>IF($B21=0,1000000,IF(INDEX('計算A'!$D$60:$EQ$104,$B21,106)*HC21=1,IF(AND($E21=2,MR21=0),1000000,IF($I21&gt;0,IF(5=$J21,IF(OR(AND(106=$I21+1,OR($K21&lt;&gt;'計算A'!$A$3,'計算A'!$A$4=0)),AND(106=$I21-1,OR(10&lt;&gt;'計算A'!$A$3,'計算A'!$A$4=0))),0,IF(10=$K21,200000,ABS(10-$K21)*100)),100000+ABS(5-$J21)*1000+100)+'計算A'!DE$5*50+IF(AND($E21=1,MR21=0),25,0),IF($F21&gt;0,INDEX('計算A'!DE$110:DE$114,$F21+1)+IF(AND($E21=1,MR21=0),1000,0),MIN(TY21,20)*400+(IF('計算A'!DD$106=1,1-HB21,0)+IF('計算A'!DE$106=1,1-HD21,0))*150+105+'計算A'!DE$5*100000+IF(AND($E21=1,MR21=0),50000,0))+IF($H21=1,(IF('計算A'!DD$117=1,INDEX('計算A'!DD$10:DD$54,$B21),0)+IF('計算A'!DE$117=1,INDEX('計算A'!DF$10:DF$54,$B21),0))*4000,0)-IF(AND('計算A'!DD$117=1,YB21&gt;0),2000,0)-IF(AND($L21=1,'計算A'!DE$117=1,HD21=0),2000,0))),1000000))</f>
        <v/>
      </c>
      <c r="SH21">
        <f>IF($B21=0,1000000,IF(INDEX('計算A'!$D$60:$EQ$104,$B21,107)*HD21=1,IF(AND($E21=2,MS21=0),1000000,IF($I21&gt;0,IF(5=$J21,IF(OR(AND(107=$I21+1,OR($K21&lt;&gt;'計算A'!$A$3,'計算A'!$A$4=0)),AND(107=$I21-1,OR(11&lt;&gt;'計算A'!$A$3,'計算A'!$A$4=0))),0,IF(11=$K21,200000,ABS(11-$K21)*100)),100000+ABS(5-$J21)*1000+110)+'計算A'!DF$5*50+IF(AND($E21=1,MS21=0),25,0),IF($F21&gt;0,INDEX('計算A'!DF$110:DF$114,$F21+1)+IF(AND($E21=1,MS21=0),1000,0),MIN(TY21,20)*400+(IF('計算A'!DE$106=1,1-HC21,0)+IF('計算A'!DF$106=1,1-HE21,0))*150+115+'計算A'!DF$5*100000+IF(AND($E21=1,MS21=0),50000,0))+IF($H21=1,(IF('計算A'!DE$117=1,INDEX('計算A'!DE$10:DE$54,$B21),0)+IF('計算A'!DF$117=1,INDEX('計算A'!DG$10:DG$54,$B21),0))*4000,0)-IF(AND('計算A'!DE$117=1,YC21&gt;0),2000,0)-IF(AND($L21=1,'計算A'!DF$117=1,HE21=0),2000,0))),1000000))</f>
        <v/>
      </c>
      <c r="SI21">
        <f>IF($B21=0,1000000,IF(INDEX('計算A'!$D$60:$EQ$104,$B21,108)*HE21=1,IF(AND($E21=2,MT21=0),1000000,IF($I21&gt;0,IF(5=$J21,IF(OR(AND(108=$I21+1,OR($K21&lt;&gt;'計算A'!$A$3,'計算A'!$A$4=0)),AND(108=$I21-1,OR(12&lt;&gt;'計算A'!$A$3,'計算A'!$A$4=0))),0,IF(12=$K21,200000,ABS(12-$K21)*100)),100000+ABS(5-$J21)*1000+120)+'計算A'!DG$5*50+IF(AND($E21=1,MT21=0),25,0),IF($F21&gt;0,INDEX('計算A'!DG$110:DG$114,$F21+1)+IF(AND($E21=1,MT21=0),1000,0),MIN(TY21,20)*400+(IF('計算A'!DF$106=1,1-HD21,0)+IF('計算A'!DG$106=1,1-HF21,0))*150+125+'計算A'!DG$5*100000+IF(AND($E21=1,MT21=0),50000,0))+IF($H21=1,(IF('計算A'!DF$117=1,INDEX('計算A'!DF$10:DF$54,$B21),0)+IF('計算A'!DG$117=1,INDEX('計算A'!DH$10:DH$54,$B21),0))*4000,0)-IF(AND('計算A'!DF$117=1,YD21&gt;0),2000,0)-IF(AND($L21=1,'計算A'!DG$117=1,HF21=0),2000,0))),1000000))</f>
        <v/>
      </c>
      <c r="SJ21">
        <f>IF($B21=0,1000000,IF(INDEX('計算A'!$D$60:$EQ$104,$B21,109)*HF21=1,IF(AND($E21=2,MU21=0),1000000,IF($I21&gt;0,IF(5=$J21,IF(OR(AND(109=$I21+1,OR($K21&lt;&gt;'計算A'!$A$3,'計算A'!$A$4=0)),AND(109=$I21-1,OR(13&lt;&gt;'計算A'!$A$3,'計算A'!$A$4=0))),0,IF(13=$K21,200000,ABS(13-$K21)*100)),100000+ABS(5-$J21)*1000+130)+'計算A'!DH$5*50+IF(AND($E21=1,MU21=0),25,0),IF($F21&gt;0,INDEX('計算A'!DH$110:DH$114,$F21+1)+IF(AND($E21=1,MU21=0),1000,0),MIN(TY21,20)*400+(IF('計算A'!DG$106=1,1-HE21,0)+IF('計算A'!DH$106=1,1-HG21,0))*150+135+'計算A'!DH$5*100000+IF(AND($E21=1,MU21=0),50000,0))+IF($H21=1,(IF('計算A'!DG$117=1,INDEX('計算A'!DG$10:DG$54,$B21),0)+IF('計算A'!DH$117=1,INDEX('計算A'!DI$10:DI$54,$B21),0))*4000,0)-IF(AND('計算A'!DG$117=1,YE21&gt;0),2000,0)-IF(AND($L21=1,'計算A'!DH$117=1,HG21=0),2000,0))),1000000))</f>
        <v/>
      </c>
      <c r="SK21">
        <f>IF($B21=0,1000000,IF(INDEX('計算A'!$D$60:$EQ$104,$B21,110)*HG21=1,IF(AND($E21=2,MV21=0),1000000,IF($I21&gt;0,IF(5=$J21,IF(OR(AND(110=$I21+1,OR($K21&lt;&gt;'計算A'!$A$3,'計算A'!$A$4=0)),AND(110=$I21-1,OR(14&lt;&gt;'計算A'!$A$3,'計算A'!$A$4=0))),0,IF(14=$K21,200000,ABS(14-$K21)*100)),100000+ABS(5-$J21)*1000+140)+'計算A'!DI$5*50+IF(AND($E21=1,MV21=0),25,0),IF($F21&gt;0,INDEX('計算A'!DI$110:DI$114,$F21+1)+IF(AND($E21=1,MV21=0),1000,0),MIN(TY21,20)*400+(IF('計算A'!DH$106=1,1-HF21,0)+IF('計算A'!DI$106=1,1-HH21,0))*150+145+'計算A'!DI$5*100000+IF(AND($E21=1,MV21=0),50000,0))+IF($H21=1,(IF('計算A'!DH$117=1,INDEX('計算A'!DH$10:DH$54,$B21),0)+IF('計算A'!DI$117=1,INDEX('計算A'!DJ$10:DJ$54,$B21),0))*4000,0)-IF(AND('計算A'!DH$117=1,YF21&gt;0),2000,0)-IF(AND($L21=1,'計算A'!DI$117=1,HH21=0),2000,0))),1000000))</f>
        <v/>
      </c>
      <c r="SL21">
        <f>IF($B21=0,1000000,IF(INDEX('計算A'!$D$60:$EQ$104,$B21,111)*HH21=1,IF(AND($E21=2,MW21=0),1000000,IF($I21&gt;0,IF(5=$J21,IF(OR(AND(111=$I21+1,OR($K21&lt;&gt;'計算A'!$A$3,'計算A'!$A$4=0)),AND(111=$I21-1,OR(15&lt;&gt;'計算A'!$A$3,'計算A'!$A$4=0))),0,IF(15=$K21,200000,ABS(15-$K21)*100)),100000+ABS(5-$J21)*1000+150)+'計算A'!DJ$5*50+IF(AND($E21=1,MW21=0),25,0),IF($F21&gt;0,INDEX('計算A'!DJ$110:DJ$114,$F21+1)+IF(AND($E21=1,MW21=0),1000,0),MIN(TY21,20)*400+(IF('計算A'!DI$106=1,1-HG21,0)+IF('計算A'!DJ$106=1,1-HI21,0))*150+155+'計算A'!DJ$5*100000+IF(AND($E21=1,MW21=0),50000,0))+IF($H21=1,(IF('計算A'!DI$117=1,INDEX('計算A'!DI$10:DI$54,$B21),0)+IF('計算A'!DJ$117=1,INDEX('計算A'!DK$10:DK$54,$B21),0))*4000,0)-IF(AND('計算A'!DI$117=1,YG21&gt;0),2000,0)-IF(AND($L21=1,'計算A'!DJ$117=1,HI21=0),2000,0))),1000000))</f>
        <v/>
      </c>
      <c r="SM21">
        <f>IF($B21=0,1000000,IF(INDEX('計算A'!$D$60:$EQ$104,$B21,112)*HI21=1,IF(AND($E21=2,MX21=0),1000000,IF($I21&gt;0,IF(5=$J21,IF(OR(AND(112=$I21+1,OR($K21&lt;&gt;'計算A'!$A$3,'計算A'!$A$4=0)),AND(112=$I21-1,OR(16&lt;&gt;'計算A'!$A$3,'計算A'!$A$4=0))),0,IF(16=$K21,200000,ABS(16-$K21)*100)),100000+ABS(5-$J21)*1000+160)+'計算A'!DK$5*50+IF(AND($E21=1,MX21=0),25,0),IF($F21&gt;0,INDEX('計算A'!DK$110:DK$114,$F21+1)+IF(AND($E21=1,MX21=0),1000,0),MIN(TY21,20)*400+(IF('計算A'!DJ$106=1,1-HH21,0)+IF('計算A'!DK$106=1,1-HJ21,0))*150+165+'計算A'!DK$5*100000+IF(AND($E21=1,MX21=0),50000,0))+IF($H21=1,(IF('計算A'!DJ$117=1,INDEX('計算A'!DJ$10:DJ$54,$B21),0)+IF('計算A'!DK$117=1,INDEX('計算A'!DL$10:DL$54,$B21),0))*4000,0)-IF(AND('計算A'!DJ$117=1,YH21&gt;0),2000,0)-IF(AND($L21=1,'計算A'!DK$117=1,HJ21=0),2000,0))),1000000))</f>
        <v/>
      </c>
      <c r="SN21">
        <f>IF($B21=0,1000000,IF(INDEX('計算A'!$D$60:$EQ$104,$B21,113)*HJ21=1,IF(AND($E21=2,MY21=0),1000000,IF($I21&gt;0,IF(5=$J21,IF(OR(AND(113=$I21+1,OR($K21&lt;&gt;'計算A'!$A$3,'計算A'!$A$4=0)),AND(113=$I21-1,OR(17&lt;&gt;'計算A'!$A$3,'計算A'!$A$4=0))),0,IF(17=$K21,200000,ABS(17-$K21)*100)),100000+ABS(5-$J21)*1000+170)+'計算A'!DL$5*50+IF(AND($E21=1,MY21=0),25,0),IF($F21&gt;0,INDEX('計算A'!DL$110:DL$114,$F21+1)+IF(AND($E21=1,MY21=0),1000,0),MIN(TY21,20)*400+(IF('計算A'!DK$106=1,1-HI21,0)+IF('計算A'!DL$106=1,1-HK21,0))*150+175+'計算A'!DL$5*100000+IF(AND($E21=1,MY21=0),50000,0))+IF($H21=1,(IF('計算A'!DK$117=1,INDEX('計算A'!DK$10:DK$54,$B21),0)+IF('計算A'!DL$117=1,INDEX('計算A'!DM$10:DM$54,$B21),0))*4000,0)-IF(AND('計算A'!DK$117=1,YI21&gt;0),2000,0)-IF(AND($L21=1,'計算A'!DL$117=1,HK21=0),2000,0))),1000000))</f>
        <v/>
      </c>
      <c r="SO21">
        <f>IF($B21=0,1000000,IF(INDEX('計算A'!$D$60:$EQ$104,$B21,114)*HK21=1,IF(AND($E21=2,MZ21=0),1000000,IF($I21&gt;0,IF(5=$J21,IF(OR(AND(114=$I21+1,OR($K21&lt;&gt;'計算A'!$A$3,'計算A'!$A$4=0)),AND(114=$I21-1,OR(18&lt;&gt;'計算A'!$A$3,'計算A'!$A$4=0))),0,IF(18=$K21,200000,ABS(18-$K21)*100)),100000+ABS(5-$J21)*1000+180)+'計算A'!DM$5*50+IF(AND($E21=1,MZ21=0),25,0),IF($F21&gt;0,INDEX('計算A'!DM$110:DM$114,$F21+1)+IF(AND($E21=1,MZ21=0),1000,0),MIN(TY21,20)*400+(IF('計算A'!DL$106=1,1-HJ21,0)+IF('計算A'!DM$106=1,1-HL21,0))*150+185+'計算A'!DM$5*100000+IF(AND($E21=1,MZ21=0),50000,0))+IF($H21=1,(IF('計算A'!DL$117=1,INDEX('計算A'!DL$10:DL$54,$B21),0)+IF('計算A'!DM$117=1,INDEX('計算A'!DN$10:DN$54,$B21),0))*4000,0)-IF(AND('計算A'!DL$117=1,YJ21&gt;0),2000,0)-IF(AND($L21=1,'計算A'!DM$117=1,HL21=0),2000,0))),1000000))</f>
        <v/>
      </c>
      <c r="SP21">
        <f>IF($B21=0,1000000,IF(INDEX('計算A'!$D$60:$EQ$104,$B21,115)*HL21=1,IF(AND($E21=2,NA21=0),1000000,IF($I21&gt;0,IF(5=$J21,IF(OR(AND(115=$I21+1,OR($K21&lt;&gt;'計算A'!$A$3,'計算A'!$A$4=0)),AND(115=$I21-1,OR(19&lt;&gt;'計算A'!$A$3,'計算A'!$A$4=0))),0,IF(19=$K21,200000,ABS(19-$K21)*100)),100000+ABS(5-$J21)*1000+190)+'計算A'!DN$5*50+IF(AND($E21=1,NA21=0),25,0),IF($F21&gt;0,INDEX('計算A'!DN$110:DN$114,$F21+1)+IF(AND($E21=1,NA21=0),1000,0),MIN(TY21,20)*400+(IF('計算A'!DM$106=1,1-HK21,0)+IF('計算A'!DN$106=1,1-HM21,0))*150+195+'計算A'!DN$5*100000+IF(AND($E21=1,NA21=0),50000,0))+IF($H21=1,(IF('計算A'!DM$117=1,INDEX('計算A'!DM$10:DM$54,$B21),0)+IF('計算A'!DN$117=1,INDEX('計算A'!DO$10:DO$54,$B21),0))*4000,0)-IF(AND('計算A'!DM$117=1,YK21&gt;0),2000,0)-IF(AND($L21=1,'計算A'!DN$117=1,HM21=0),2000,0))),1000000))</f>
        <v/>
      </c>
      <c r="SQ21">
        <f>IF($B21=0,1000000,IF(INDEX('計算A'!$D$60:$EQ$104,$B21,116)*HM21=1,IF(AND($E21=2,NB21=0),1000000,IF($I21&gt;0,IF(5=$J21,IF(OR(AND(116=$I21+1,OR($K21&lt;&gt;'計算A'!$A$3,'計算A'!$A$4=0)),AND(116=$I21-1,OR(20&lt;&gt;'計算A'!$A$3,'計算A'!$A$4=0))),0,IF(20=$K21,200000,ABS(20-$K21)*100)),100000+ABS(5-$J21)*1000+200)+'計算A'!DO$5*50+IF(AND($E21=1,NB21=0),25,0),IF($F21&gt;0,INDEX('計算A'!DO$110:DO$114,$F21+1)+IF(AND($E21=1,NB21=0),1000,0),MIN(TY21,20)*400+(IF('計算A'!DN$106=1,1-HL21,0)+IF('計算A'!DO$106=1,1-HN21,0))*150+205+'計算A'!DO$5*100000+IF(AND($E21=1,NB21=0),50000,0))+IF($H21=1,(IF('計算A'!DN$117=1,INDEX('計算A'!DN$10:DN$54,$B21),0)+IF('計算A'!DO$117=1,INDEX('計算A'!DP$10:DP$54,$B21),0))*4000,0)-IF(AND('計算A'!DN$117=1,YL21&gt;0),2000,0)-IF(AND($L21=1,'計算A'!DO$117=1,HN21=0),2000,0))),1000000))</f>
        <v/>
      </c>
      <c r="SR21">
        <f>IF($B21=0,1000000,IF(INDEX('計算A'!$D$60:$EQ$104,$B21,117)*HN21=1,IF(AND($E21=2,NC21=0),1000000,IF($I21&gt;0,IF(5=$J21,IF(OR(AND(117=$I21+1,OR($K21&lt;&gt;'計算A'!$A$3,'計算A'!$A$4=0)),AND(117=$I21-1,OR(21&lt;&gt;'計算A'!$A$3,'計算A'!$A$4=0))),0,IF(21=$K21,200000,ABS(21-$K21)*100)),100000+ABS(5-$J21)*1000+210)+'計算A'!DP$5*50+IF(AND($E21=1,NC21=0),25,0),IF($F21&gt;0,INDEX('計算A'!DP$110:DP$114,$F21+1)+IF(AND($E21=1,NC21=0),1000,0),MIN(TY21,20)*400+(IF('計算A'!DO$106=1,1-HM21,0)+IF('計算A'!DP$106=1,1-HO21,0))*150+215+'計算A'!DP$5*100000+IF(AND($E21=1,NC21=0),50000,0))+IF($H21=1,(IF('計算A'!DO$117=1,INDEX('計算A'!DO$10:DO$54,$B21),0)+IF('計算A'!DP$117=1,INDEX('計算A'!DQ$10:DQ$54,$B21),0))*4000,0)-IF(AND('計算A'!DO$117=1,YM21&gt;0),2000,0)-IF(AND($L21=1,'計算A'!DP$117=1,HO21=0),2000,0))),1000000))</f>
        <v/>
      </c>
      <c r="SS21">
        <f>IF($B21=0,1000000,IF(INDEX('計算A'!$D$60:$EQ$104,$B21,118)*HO21=1,IF(AND($E21=2,ND21=0),1000000,IF($I21&gt;0,IF(5=$J21,IF(OR(AND(118=$I21+1,OR($K21&lt;&gt;'計算A'!$A$3,'計算A'!$A$4=0)),AND(118=$I21-1,OR(22&lt;&gt;'計算A'!$A$3,'計算A'!$A$4=0))),0,IF(22=$K21,200000,ABS(22-$K21)*100)),100000+ABS(5-$J21)*1000+220)+'計算A'!DQ$5*50+IF(AND($E21=1,ND21=0),25,0),IF($F21&gt;0,INDEX('計算A'!DQ$110:DQ$114,$F21+1)+IF(AND($E21=1,ND21=0),1000,0),MIN(TY21,20)*400+(IF('計算A'!DP$106=1,1-HN21,0)+IF('計算A'!DQ$106=1,1-HP21,0))*150+225+'計算A'!DQ$5*100000+IF(AND($E21=1,ND21=0),50000,0))+IF($H21=1,(IF('計算A'!DP$117=1,INDEX('計算A'!DP$10:DP$54,$B21),0)+IF('計算A'!DQ$117=1,INDEX('計算A'!DR$10:DR$54,$B21),0))*4000,0)-IF(AND('計算A'!DP$117=1,YN21&gt;0),2000,0)-IF(AND($L21=1,'計算A'!DQ$117=1,HP21=0),2000,0))),1000000))</f>
        <v/>
      </c>
      <c r="ST21">
        <f>IF($B21=0,1000000,IF(INDEX('計算A'!$D$60:$EQ$104,$B21,119)*HP21=1,IF(AND($E21=2,NE21=0),1000000,IF($I21&gt;0,IF(5=$J21,IF(OR(AND(119=$I21+1,OR($K21&lt;&gt;'計算A'!$A$3,'計算A'!$A$4=0)),AND(119=$I21-1,OR(23&lt;&gt;'計算A'!$A$3,'計算A'!$A$4=0))),0,IF(23=$K21,200000,ABS(23-$K21)*100)),100000+ABS(5-$J21)*1000+230)+'計算A'!DR$5*50+IF(AND($E21=1,NE21=0),25,0),IF($F21&gt;0,INDEX('計算A'!DR$110:DR$114,$F21+1)+IF(AND($E21=1,NE21=0),1000,0),MIN(TY21,20)*400+(IF('計算A'!DQ$106=1,1-HO21,0)+IF('計算A'!DR$106=1,1-HQ21,0))*150+235+'計算A'!DR$5*100000+IF(AND($E21=1,NE21=0),50000,0))+IF($H21=1,(IF('計算A'!DQ$117=1,INDEX('計算A'!DQ$10:DQ$54,$B21),0)+IF('計算A'!DR$117=1,INDEX('計算A'!DS$10:DS$54,$B21),0))*4000,0)-IF(AND('計算A'!DQ$117=1,YO21&gt;0),2000,0)-IF(AND($L21=1,'計算A'!DR$117=1,HQ21=0),2000,0))),1000000))</f>
        <v/>
      </c>
      <c r="SU21">
        <f>IF($B21=0,1000000,IF(INDEX('計算A'!$D$60:$EQ$104,$B21,120)*HQ21=1,IF(AND($E21=2,NF21=0),1000000,IF($I21&gt;0,IF(5=$J21,IF(OR(AND(120=$I21+1,OR($K21&lt;&gt;'計算A'!$A$3,'計算A'!$A$4=0)),AND(120=$I21-1,OR(24&lt;&gt;'計算A'!$A$3,'計算A'!$A$4=0))),0,IF(24=$K21,200000,ABS(24-$K21)*100)),100000+ABS(5-$J21)*1000+240)+'計算A'!DS$5*50+IF(AND($E21=1,NF21=0),25,0),IF($F21&gt;0,INDEX('計算A'!DS$110:DS$114,$F21+1)+IF(AND($E21=1,NF21=0),1000,0),MIN(TY21,20)*400+(IF('計算A'!DR$106=1,1-HP21,0))*150+245+'計算A'!DS$5*100000+IF(AND($E21=1,NF21=0),50000,0))+IF($H21=1,(IF('計算A'!DR$117=1,INDEX('計算A'!DR$10:DR$54,$B21),0))*4000,0)-IF(AND('計算A'!DR$117=1,YP21&gt;0),2000,0))),1000000))</f>
        <v/>
      </c>
      <c r="SV21">
        <f>IF($B21=0,1000000,IF(INDEX('計算A'!$D$60:$EQ$104,$B21,121)*HR21=1,IF(AND($E21=2,NG21=0),1000000,IF($I21&gt;0,IF(6=$J21,IF(OR(AND(121=$I21+1,OR($K21&lt;&gt;'計算A'!$A$3,'計算A'!$A$4=0)),AND(121=$I21-1,OR(1&lt;&gt;'計算A'!$A$3,'計算A'!$A$4=0))),0,IF(1=$K21,200000,ABS(1-$K21)*100)),100000+ABS(6-$J21)*1000+10)+'計算A'!DT$5*50+IF(AND($E21=1,NG21=0),25,0),IF($F21&gt;0,INDEX('計算A'!DT$110:DT$114,$F21+1)+IF(AND($E21=1,NG21=0),1000,0),MIN(TZ21,20)*400+(IF('計算A'!DT$106=1,1-HS21,0))*150+16+'計算A'!DT$5*100000+IF(AND($E21=1,NG21=0),50000,0))+IF($H21=1,(IF('計算A'!DT$117=1,INDEX('計算A'!DU$10:DU$54,$B21),0))*4000,0)-IF(AND($L21=1,'計算A'!DT$117=1,HS21=0),2000,0))),1000000))</f>
        <v/>
      </c>
      <c r="SW21">
        <f>IF($B21=0,1000000,IF(INDEX('計算A'!$D$60:$EQ$104,$B21,122)*HS21=1,IF(AND($E21=2,NH21=0),1000000,IF($I21&gt;0,IF(6=$J21,IF(OR(AND(122=$I21+1,OR($K21&lt;&gt;'計算A'!$A$3,'計算A'!$A$4=0)),AND(122=$I21-1,OR(2&lt;&gt;'計算A'!$A$3,'計算A'!$A$4=0))),0,IF(2=$K21,200000,ABS(2-$K21)*100)),100000+ABS(6-$J21)*1000+20)+'計算A'!DU$5*50+IF(AND($E21=1,NH21=0),25,0),IF($F21&gt;0,INDEX('計算A'!DU$110:DU$114,$F21+1)+IF(AND($E21=1,NH21=0),1000,0),MIN(TZ21,20)*400+(IF('計算A'!DT$106=1,1-HR21,0)+IF('計算A'!DU$106=1,1-HT21,0))*150+26+'計算A'!DU$5*100000+IF(AND($E21=1,NH21=0),50000,0))+IF($H21=1,(IF('計算A'!DT$117=1,INDEX('計算A'!DT$10:DT$54,$B21),0)+IF('計算A'!DU$117=1,INDEX('計算A'!DV$10:DV$54,$B21),0))*4000,0)-IF(AND('計算A'!DT$117=1,YR21&gt;0),2000,0)-IF(AND($L21=1,'計算A'!DU$117=1,HT21=0),2000,0))),1000000))</f>
        <v/>
      </c>
      <c r="SX21">
        <f>IF($B21=0,1000000,IF(INDEX('計算A'!$D$60:$EQ$104,$B21,123)*HT21=1,IF(AND($E21=2,NI21=0),1000000,IF($I21&gt;0,IF(6=$J21,IF(OR(AND(123=$I21+1,OR($K21&lt;&gt;'計算A'!$A$3,'計算A'!$A$4=0)),AND(123=$I21-1,OR(3&lt;&gt;'計算A'!$A$3,'計算A'!$A$4=0))),0,IF(3=$K21,200000,ABS(3-$K21)*100)),100000+ABS(6-$J21)*1000+30)+'計算A'!DV$5*50+IF(AND($E21=1,NI21=0),25,0),IF($F21&gt;0,INDEX('計算A'!DV$110:DV$114,$F21+1)+IF(AND($E21=1,NI21=0),1000,0),MIN(TZ21,20)*400+(IF('計算A'!DU$106=1,1-HS21,0)+IF('計算A'!DV$106=1,1-HU21,0))*150+36+'計算A'!DV$5*100000+IF(AND($E21=1,NI21=0),50000,0))+IF($H21=1,(IF('計算A'!DU$117=1,INDEX('計算A'!DU$10:DU$54,$B21),0)+IF('計算A'!DV$117=1,INDEX('計算A'!DW$10:DW$54,$B21),0))*4000,0)-IF(AND('計算A'!DU$117=1,YS21&gt;0),2000,0)-IF(AND($L21=1,'計算A'!DV$117=1,HU21=0),2000,0))),1000000))</f>
        <v/>
      </c>
      <c r="SY21">
        <f>IF($B21=0,1000000,IF(INDEX('計算A'!$D$60:$EQ$104,$B21,124)*HU21=1,IF(AND($E21=2,NJ21=0),1000000,IF($I21&gt;0,IF(6=$J21,IF(OR(AND(124=$I21+1,OR($K21&lt;&gt;'計算A'!$A$3,'計算A'!$A$4=0)),AND(124=$I21-1,OR(4&lt;&gt;'計算A'!$A$3,'計算A'!$A$4=0))),0,IF(4=$K21,200000,ABS(4-$K21)*100)),100000+ABS(6-$J21)*1000+40)+'計算A'!DW$5*50+IF(AND($E21=1,NJ21=0),25,0),IF($F21&gt;0,INDEX('計算A'!DW$110:DW$114,$F21+1)+IF(AND($E21=1,NJ21=0),1000,0),MIN(TZ21,20)*400+(IF('計算A'!DV$106=1,1-HT21,0)+IF('計算A'!DW$106=1,1-HV21,0))*150+46+'計算A'!DW$5*100000+IF(AND($E21=1,NJ21=0),50000,0))+IF($H21=1,(IF('計算A'!DV$117=1,INDEX('計算A'!DV$10:DV$54,$B21),0)+IF('計算A'!DW$117=1,INDEX('計算A'!DX$10:DX$54,$B21),0))*4000,0)-IF(AND('計算A'!DV$117=1,YT21&gt;0),2000,0)-IF(AND($L21=1,'計算A'!DW$117=1,HV21=0),2000,0))),1000000))</f>
        <v/>
      </c>
      <c r="SZ21">
        <f>IF($B21=0,1000000,IF(INDEX('計算A'!$D$60:$EQ$104,$B21,125)*HV21=1,IF(AND($E21=2,NK21=0),1000000,IF($I21&gt;0,IF(6=$J21,IF(OR(AND(125=$I21+1,OR($K21&lt;&gt;'計算A'!$A$3,'計算A'!$A$4=0)),AND(125=$I21-1,OR(5&lt;&gt;'計算A'!$A$3,'計算A'!$A$4=0))),0,IF(5=$K21,200000,ABS(5-$K21)*100)),100000+ABS(6-$J21)*1000+50)+'計算A'!DX$5*50+IF(AND($E21=1,NK21=0),25,0),IF($F21&gt;0,INDEX('計算A'!DX$110:DX$114,$F21+1)+IF(AND($E21=1,NK21=0),1000,0),MIN(TZ21,20)*400+(IF('計算A'!DW$106=1,1-HU21,0)+IF('計算A'!DX$106=1,1-HW21,0))*150+56+'計算A'!DX$5*100000+IF(AND($E21=1,NK21=0),50000,0))+IF($H21=1,(IF('計算A'!DW$117=1,INDEX('計算A'!DW$10:DW$54,$B21),0)+IF('計算A'!DX$117=1,INDEX('計算A'!DY$10:DY$54,$B21),0))*4000,0)-IF(AND('計算A'!DW$117=1,YU21&gt;0),2000,0)-IF(AND($L21=1,'計算A'!DX$117=1,HW21=0),2000,0))),1000000))</f>
        <v/>
      </c>
      <c r="TA21">
        <f>IF($B21=0,1000000,IF(INDEX('計算A'!$D$60:$EQ$104,$B21,126)*HW21=1,IF(AND($E21=2,NL21=0),1000000,IF($I21&gt;0,IF(6=$J21,IF(OR(AND(126=$I21+1,OR($K21&lt;&gt;'計算A'!$A$3,'計算A'!$A$4=0)),AND(126=$I21-1,OR(6&lt;&gt;'計算A'!$A$3,'計算A'!$A$4=0))),0,IF(6=$K21,200000,ABS(6-$K21)*100)),100000+ABS(6-$J21)*1000+60)+'計算A'!DY$5*50+IF(AND($E21=1,NL21=0),25,0),IF($F21&gt;0,INDEX('計算A'!DY$110:DY$114,$F21+1)+IF(AND($E21=1,NL21=0),1000,0),MIN(TZ21,20)*400+(IF('計算A'!DX$106=1,1-HV21,0)+IF('計算A'!DY$106=1,1-HX21,0))*150+66+'計算A'!DY$5*100000+IF(AND($E21=1,NL21=0),50000,0))+IF($H21=1,(IF('計算A'!DX$117=1,INDEX('計算A'!DX$10:DX$54,$B21),0)+IF('計算A'!DY$117=1,INDEX('計算A'!DZ$10:DZ$54,$B21),0))*4000,0)-IF(AND('計算A'!DX$117=1,YV21&gt;0),2000,0)-IF(AND($L21=1,'計算A'!DY$117=1,HX21=0),2000,0))),1000000))</f>
        <v/>
      </c>
      <c r="TB21">
        <f>IF($B21=0,1000000,IF(INDEX('計算A'!$D$60:$EQ$104,$B21,127)*HX21=1,IF(AND($E21=2,NM21=0),1000000,IF($I21&gt;0,IF(6=$J21,IF(OR(AND(127=$I21+1,OR($K21&lt;&gt;'計算A'!$A$3,'計算A'!$A$4=0)),AND(127=$I21-1,OR(7&lt;&gt;'計算A'!$A$3,'計算A'!$A$4=0))),0,IF(7=$K21,200000,ABS(7-$K21)*100)),100000+ABS(6-$J21)*1000+70)+'計算A'!DZ$5*50+IF(AND($E21=1,NM21=0),25,0),IF($F21&gt;0,INDEX('計算A'!DZ$110:DZ$114,$F21+1)+IF(AND($E21=1,NM21=0),1000,0),MIN(TZ21,20)*400+(IF('計算A'!DY$106=1,1-HW21,0)+IF('計算A'!DZ$106=1,1-HY21,0))*150+76+'計算A'!DZ$5*100000+IF(AND($E21=1,NM21=0),50000,0))+IF($H21=1,(IF('計算A'!DY$117=1,INDEX('計算A'!DY$10:DY$54,$B21),0)+IF('計算A'!DZ$117=1,INDEX('計算A'!EA$10:EA$54,$B21),0))*4000,0)-IF(AND('計算A'!DY$117=1,YW21&gt;0),2000,0)-IF(AND($L21=1,'計算A'!DZ$117=1,HY21=0),2000,0))),1000000))</f>
        <v/>
      </c>
      <c r="TC21">
        <f>IF($B21=0,1000000,IF(INDEX('計算A'!$D$60:$EQ$104,$B21,128)*HY21=1,IF(AND($E21=2,NN21=0),1000000,IF($I21&gt;0,IF(6=$J21,IF(OR(AND(128=$I21+1,OR($K21&lt;&gt;'計算A'!$A$3,'計算A'!$A$4=0)),AND(128=$I21-1,OR(8&lt;&gt;'計算A'!$A$3,'計算A'!$A$4=0))),0,IF(8=$K21,200000,ABS(8-$K21)*100)),100000+ABS(6-$J21)*1000+80)+'計算A'!EA$5*50+IF(AND($E21=1,NN21=0),25,0),IF($F21&gt;0,INDEX('計算A'!EA$110:EA$114,$F21+1)+IF(AND($E21=1,NN21=0),1000,0),MIN(TZ21,20)*400+(IF('計算A'!DZ$106=1,1-HX21,0)+IF('計算A'!EA$106=1,1-HZ21,0))*150+86+'計算A'!EA$5*100000+IF(AND($E21=1,NN21=0),50000,0))+IF($H21=1,(IF('計算A'!DZ$117=1,INDEX('計算A'!DZ$10:DZ$54,$B21),0)+IF('計算A'!EA$117=1,INDEX('計算A'!EB$10:EB$54,$B21),0))*4000,0)-IF(AND('計算A'!DZ$117=1,YX21&gt;0),2000,0)-IF(AND($L21=1,'計算A'!EA$117=1,HZ21=0),2000,0))),1000000))</f>
        <v/>
      </c>
      <c r="TD21">
        <f>IF($B21=0,1000000,IF(INDEX('計算A'!$D$60:$EQ$104,$B21,129)*HZ21=1,IF(AND($E21=2,NO21=0),1000000,IF($I21&gt;0,IF(6=$J21,IF(OR(AND(129=$I21+1,OR($K21&lt;&gt;'計算A'!$A$3,'計算A'!$A$4=0)),AND(129=$I21-1,OR(9&lt;&gt;'計算A'!$A$3,'計算A'!$A$4=0))),0,IF(9=$K21,200000,ABS(9-$K21)*100)),100000+ABS(6-$J21)*1000+90)+'計算A'!EB$5*50+IF(AND($E21=1,NO21=0),25,0),IF($F21&gt;0,INDEX('計算A'!EB$110:EB$114,$F21+1)+IF(AND($E21=1,NO21=0),1000,0),MIN(TZ21,20)*400+(IF('計算A'!EA$106=1,1-HY21,0)+IF('計算A'!EB$106=1,1-IA21,0))*150+96+'計算A'!EB$5*100000+IF(AND($E21=1,NO21=0),50000,0))+IF($H21=1,(IF('計算A'!EA$117=1,INDEX('計算A'!EA$10:EA$54,$B21),0)+IF('計算A'!EB$117=1,INDEX('計算A'!EC$10:EC$54,$B21),0))*4000,0)-IF(AND('計算A'!EA$117=1,YY21&gt;0),2000,0)-IF(AND($L21=1,'計算A'!EB$117=1,IA21=0),2000,0))),1000000))</f>
        <v/>
      </c>
      <c r="TE21">
        <f>IF($B21=0,1000000,IF(INDEX('計算A'!$D$60:$EQ$104,$B21,130)*IA21=1,IF(AND($E21=2,NP21=0),1000000,IF($I21&gt;0,IF(6=$J21,IF(OR(AND(130=$I21+1,OR($K21&lt;&gt;'計算A'!$A$3,'計算A'!$A$4=0)),AND(130=$I21-1,OR(10&lt;&gt;'計算A'!$A$3,'計算A'!$A$4=0))),0,IF(10=$K21,200000,ABS(10-$K21)*100)),100000+ABS(6-$J21)*1000+100)+'計算A'!EC$5*50+IF(AND($E21=1,NP21=0),25,0),IF($F21&gt;0,INDEX('計算A'!EC$110:EC$114,$F21+1)+IF(AND($E21=1,NP21=0),1000,0),MIN(TZ21,20)*400+(IF('計算A'!EB$106=1,1-HZ21,0)+IF('計算A'!EC$106=1,1-IB21,0))*150+106+'計算A'!EC$5*100000+IF(AND($E21=1,NP21=0),50000,0))+IF($H21=1,(IF('計算A'!EB$117=1,INDEX('計算A'!EB$10:EB$54,$B21),0)+IF('計算A'!EC$117=1,INDEX('計算A'!ED$10:ED$54,$B21),0))*4000,0)-IF(AND('計算A'!EB$117=1,YZ21&gt;0),2000,0)-IF(AND($L21=1,'計算A'!EC$117=1,IB21=0),2000,0))),1000000))</f>
        <v/>
      </c>
      <c r="TF21">
        <f>IF($B21=0,1000000,IF(INDEX('計算A'!$D$60:$EQ$104,$B21,131)*IB21=1,IF(AND($E21=2,NQ21=0),1000000,IF($I21&gt;0,IF(6=$J21,IF(OR(AND(131=$I21+1,OR($K21&lt;&gt;'計算A'!$A$3,'計算A'!$A$4=0)),AND(131=$I21-1,OR(11&lt;&gt;'計算A'!$A$3,'計算A'!$A$4=0))),0,IF(11=$K21,200000,ABS(11-$K21)*100)),100000+ABS(6-$J21)*1000+110)+'計算A'!ED$5*50+IF(AND($E21=1,NQ21=0),25,0),IF($F21&gt;0,INDEX('計算A'!ED$110:ED$114,$F21+1)+IF(AND($E21=1,NQ21=0),1000,0),MIN(TZ21,20)*400+(IF('計算A'!EC$106=1,1-IA21,0)+IF('計算A'!ED$106=1,1-IC21,0))*150+116+'計算A'!ED$5*100000+IF(AND($E21=1,NQ21=0),50000,0))+IF($H21=1,(IF('計算A'!EC$117=1,INDEX('計算A'!EC$10:EC$54,$B21),0)+IF('計算A'!ED$117=1,INDEX('計算A'!EE$10:EE$54,$B21),0))*4000,0)-IF(AND('計算A'!EC$117=1,ZA21&gt;0),2000,0)-IF(AND($L21=1,'計算A'!ED$117=1,IC21=0),2000,0))),1000000))</f>
        <v/>
      </c>
      <c r="TG21">
        <f>IF($B21=0,1000000,IF(INDEX('計算A'!$D$60:$EQ$104,$B21,132)*IC21=1,IF(AND($E21=2,NR21=0),1000000,IF($I21&gt;0,IF(6=$J21,IF(OR(AND(132=$I21+1,OR($K21&lt;&gt;'計算A'!$A$3,'計算A'!$A$4=0)),AND(132=$I21-1,OR(12&lt;&gt;'計算A'!$A$3,'計算A'!$A$4=0))),0,IF(12=$K21,200000,ABS(12-$K21)*100)),100000+ABS(6-$J21)*1000+120)+'計算A'!EE$5*50+IF(AND($E21=1,NR21=0),25,0),IF($F21&gt;0,INDEX('計算A'!EE$110:EE$114,$F21+1)+IF(AND($E21=1,NR21=0),1000,0),MIN(TZ21,20)*400+(IF('計算A'!ED$106=1,1-IB21,0)+IF('計算A'!EE$106=1,1-ID21,0))*150+126+'計算A'!EE$5*100000+IF(AND($E21=1,NR21=0),50000,0))+IF($H21=1,(IF('計算A'!ED$117=1,INDEX('計算A'!ED$10:ED$54,$B21),0)+IF('計算A'!EE$117=1,INDEX('計算A'!EF$10:EF$54,$B21),0))*4000,0)-IF(AND('計算A'!ED$117=1,ZB21&gt;0),2000,0)-IF(AND($L21=1,'計算A'!EE$117=1,ID21=0),2000,0))),1000000))</f>
        <v/>
      </c>
      <c r="TH21">
        <f>IF($B21=0,1000000,IF(INDEX('計算A'!$D$60:$EQ$104,$B21,133)*ID21=1,IF(AND($E21=2,NS21=0),1000000,IF($I21&gt;0,IF(6=$J21,IF(OR(AND(133=$I21+1,OR($K21&lt;&gt;'計算A'!$A$3,'計算A'!$A$4=0)),AND(133=$I21-1,OR(13&lt;&gt;'計算A'!$A$3,'計算A'!$A$4=0))),0,IF(13=$K21,200000,ABS(13-$K21)*100)),100000+ABS(6-$J21)*1000+130)+'計算A'!EF$5*50+IF(AND($E21=1,NS21=0),25,0),IF($F21&gt;0,INDEX('計算A'!EF$110:EF$114,$F21+1)+IF(AND($E21=1,NS21=0),1000,0),MIN(TZ21,20)*400+(IF('計算A'!EE$106=1,1-IC21,0)+IF('計算A'!EF$106=1,1-IE21,0))*150+136+'計算A'!EF$5*100000+IF(AND($E21=1,NS21=0),50000,0))+IF($H21=1,(IF('計算A'!EE$117=1,INDEX('計算A'!EE$10:EE$54,$B21),0)+IF('計算A'!EF$117=1,INDEX('計算A'!EG$10:EG$54,$B21),0))*4000,0)-IF(AND('計算A'!EE$117=1,ZC21&gt;0),2000,0)-IF(AND($L21=1,'計算A'!EF$117=1,IE21=0),2000,0))),1000000))</f>
        <v/>
      </c>
      <c r="TI21">
        <f>IF($B21=0,1000000,IF(INDEX('計算A'!$D$60:$EQ$104,$B21,134)*IE21=1,IF(AND($E21=2,NT21=0),1000000,IF($I21&gt;0,IF(6=$J21,IF(OR(AND(134=$I21+1,OR($K21&lt;&gt;'計算A'!$A$3,'計算A'!$A$4=0)),AND(134=$I21-1,OR(14&lt;&gt;'計算A'!$A$3,'計算A'!$A$4=0))),0,IF(14=$K21,200000,ABS(14-$K21)*100)),100000+ABS(6-$J21)*1000+140)+'計算A'!EG$5*50+IF(AND($E21=1,NT21=0),25,0),IF($F21&gt;0,INDEX('計算A'!EG$110:EG$114,$F21+1)+IF(AND($E21=1,NT21=0),1000,0),MIN(TZ21,20)*400+(IF('計算A'!EF$106=1,1-ID21,0)+IF('計算A'!EG$106=1,1-IF21,0))*150+146+'計算A'!EG$5*100000+IF(AND($E21=1,NT21=0),50000,0))+IF($H21=1,(IF('計算A'!EF$117=1,INDEX('計算A'!EF$10:EF$54,$B21),0)+IF('計算A'!EG$117=1,INDEX('計算A'!EH$10:EH$54,$B21),0))*4000,0)-IF(AND('計算A'!EF$117=1,ZD21&gt;0),2000,0)-IF(AND($L21=1,'計算A'!EG$117=1,IF21=0),2000,0))),1000000))</f>
        <v/>
      </c>
      <c r="TJ21">
        <f>IF($B21=0,1000000,IF(INDEX('計算A'!$D$60:$EQ$104,$B21,135)*IF21=1,IF(AND($E21=2,NU21=0),1000000,IF($I21&gt;0,IF(6=$J21,IF(OR(AND(135=$I21+1,OR($K21&lt;&gt;'計算A'!$A$3,'計算A'!$A$4=0)),AND(135=$I21-1,OR(15&lt;&gt;'計算A'!$A$3,'計算A'!$A$4=0))),0,IF(15=$K21,200000,ABS(15-$K21)*100)),100000+ABS(6-$J21)*1000+150)+'計算A'!EH$5*50+IF(AND($E21=1,NU21=0),25,0),IF($F21&gt;0,INDEX('計算A'!EH$110:EH$114,$F21+1)+IF(AND($E21=1,NU21=0),1000,0),MIN(TZ21,20)*400+(IF('計算A'!EG$106=1,1-IE21,0)+IF('計算A'!EH$106=1,1-IG21,0))*150+156+'計算A'!EH$5*100000+IF(AND($E21=1,NU21=0),50000,0))+IF($H21=1,(IF('計算A'!EG$117=1,INDEX('計算A'!EG$10:EG$54,$B21),0)+IF('計算A'!EH$117=1,INDEX('計算A'!EI$10:EI$54,$B21),0))*4000,0)-IF(AND('計算A'!EG$117=1,ZE21&gt;0),2000,0)-IF(AND($L21=1,'計算A'!EH$117=1,IG21=0),2000,0))),1000000))</f>
        <v/>
      </c>
      <c r="TK21">
        <f>IF($B21=0,1000000,IF(INDEX('計算A'!$D$60:$EQ$104,$B21,136)*IG21=1,IF(AND($E21=2,NV21=0),1000000,IF($I21&gt;0,IF(6=$J21,IF(OR(AND(136=$I21+1,OR($K21&lt;&gt;'計算A'!$A$3,'計算A'!$A$4=0)),AND(136=$I21-1,OR(16&lt;&gt;'計算A'!$A$3,'計算A'!$A$4=0))),0,IF(16=$K21,200000,ABS(16-$K21)*100)),100000+ABS(6-$J21)*1000+160)+'計算A'!EI$5*50+IF(AND($E21=1,NV21=0),25,0),IF($F21&gt;0,INDEX('計算A'!EI$110:EI$114,$F21+1)+IF(AND($E21=1,NV21=0),1000,0),MIN(TZ21,20)*400+(IF('計算A'!EH$106=1,1-IF21,0)+IF('計算A'!EI$106=1,1-IH21,0))*150+166+'計算A'!EI$5*100000+IF(AND($E21=1,NV21=0),50000,0))+IF($H21=1,(IF('計算A'!EH$117=1,INDEX('計算A'!EH$10:EH$54,$B21),0)+IF('計算A'!EI$117=1,INDEX('計算A'!EJ$10:EJ$54,$B21),0))*4000,0)-IF(AND('計算A'!EH$117=1,ZF21&gt;0),2000,0)-IF(AND($L21=1,'計算A'!EI$117=1,IH21=0),2000,0))),1000000))</f>
        <v/>
      </c>
      <c r="TL21">
        <f>IF($B21=0,1000000,IF(INDEX('計算A'!$D$60:$EQ$104,$B21,137)*IH21=1,IF(AND($E21=2,NW21=0),1000000,IF($I21&gt;0,IF(6=$J21,IF(OR(AND(137=$I21+1,OR($K21&lt;&gt;'計算A'!$A$3,'計算A'!$A$4=0)),AND(137=$I21-1,OR(17&lt;&gt;'計算A'!$A$3,'計算A'!$A$4=0))),0,IF(17=$K21,200000,ABS(17-$K21)*100)),100000+ABS(6-$J21)*1000+170)+'計算A'!EJ$5*50+IF(AND($E21=1,NW21=0),25,0),IF($F21&gt;0,INDEX('計算A'!EJ$110:EJ$114,$F21+1)+IF(AND($E21=1,NW21=0),1000,0),MIN(TZ21,20)*400+(IF('計算A'!EI$106=1,1-IG21,0)+IF('計算A'!EJ$106=1,1-II21,0))*150+176+'計算A'!EJ$5*100000+IF(AND($E21=1,NW21=0),50000,0))+IF($H21=1,(IF('計算A'!EI$117=1,INDEX('計算A'!EI$10:EI$54,$B21),0)+IF('計算A'!EJ$117=1,INDEX('計算A'!EK$10:EK$54,$B21),0))*4000,0)-IF(AND('計算A'!EI$117=1,ZG21&gt;0),2000,0)-IF(AND($L21=1,'計算A'!EJ$117=1,II21=0),2000,0))),1000000))</f>
        <v/>
      </c>
      <c r="TM21">
        <f>IF($B21=0,1000000,IF(INDEX('計算A'!$D$60:$EQ$104,$B21,138)*II21=1,IF(AND($E21=2,NX21=0),1000000,IF($I21&gt;0,IF(6=$J21,IF(OR(AND(138=$I21+1,OR($K21&lt;&gt;'計算A'!$A$3,'計算A'!$A$4=0)),AND(138=$I21-1,OR(18&lt;&gt;'計算A'!$A$3,'計算A'!$A$4=0))),0,IF(18=$K21,200000,ABS(18-$K21)*100)),100000+ABS(6-$J21)*1000+180)+'計算A'!EK$5*50+IF(AND($E21=1,NX21=0),25,0),IF($F21&gt;0,INDEX('計算A'!EK$110:EK$114,$F21+1)+IF(AND($E21=1,NX21=0),1000,0),MIN(TZ21,20)*400+(IF('計算A'!EJ$106=1,1-IH21,0)+IF('計算A'!EK$106=1,1-IJ21,0))*150+186+'計算A'!EK$5*100000+IF(AND($E21=1,NX21=0),50000,0))+IF($H21=1,(IF('計算A'!EJ$117=1,INDEX('計算A'!EJ$10:EJ$54,$B21),0)+IF('計算A'!EK$117=1,INDEX('計算A'!EL$10:EL$54,$B21),0))*4000,0)-IF(AND('計算A'!EJ$117=1,ZH21&gt;0),2000,0)-IF(AND($L21=1,'計算A'!EK$117=1,IJ21=0),2000,0))),1000000))</f>
        <v/>
      </c>
      <c r="TN21">
        <f>IF($B21=0,1000000,IF(INDEX('計算A'!$D$60:$EQ$104,$B21,139)*IJ21=1,IF(AND($E21=2,NY21=0),1000000,IF($I21&gt;0,IF(6=$J21,IF(OR(AND(139=$I21+1,OR($K21&lt;&gt;'計算A'!$A$3,'計算A'!$A$4=0)),AND(139=$I21-1,OR(19&lt;&gt;'計算A'!$A$3,'計算A'!$A$4=0))),0,IF(19=$K21,200000,ABS(19-$K21)*100)),100000+ABS(6-$J21)*1000+190)+'計算A'!EL$5*50+IF(AND($E21=1,NY21=0),25,0),IF($F21&gt;0,INDEX('計算A'!EL$110:EL$114,$F21+1)+IF(AND($E21=1,NY21=0),1000,0),MIN(TZ21,20)*400+(IF('計算A'!EK$106=1,1-II21,0)+IF('計算A'!EL$106=1,1-IK21,0))*150+196+'計算A'!EL$5*100000+IF(AND($E21=1,NY21=0),50000,0))+IF($H21=1,(IF('計算A'!EK$117=1,INDEX('計算A'!EK$10:EK$54,$B21),0)+IF('計算A'!EL$117=1,INDEX('計算A'!EM$10:EM$54,$B21),0))*4000,0)-IF(AND('計算A'!EK$117=1,ZI21&gt;0),2000,0)-IF(AND($L21=1,'計算A'!EL$117=1,IK21=0),2000,0))),1000000))</f>
        <v/>
      </c>
      <c r="TO21">
        <f>IF($B21=0,1000000,IF(INDEX('計算A'!$D$60:$EQ$104,$B21,140)*IK21=1,IF(AND($E21=2,NZ21=0),1000000,IF($I21&gt;0,IF(6=$J21,IF(OR(AND(140=$I21+1,OR($K21&lt;&gt;'計算A'!$A$3,'計算A'!$A$4=0)),AND(140=$I21-1,OR(20&lt;&gt;'計算A'!$A$3,'計算A'!$A$4=0))),0,IF(20=$K21,200000,ABS(20-$K21)*100)),100000+ABS(6-$J21)*1000+200)+'計算A'!EM$5*50+IF(AND($E21=1,NZ21=0),25,0),IF($F21&gt;0,INDEX('計算A'!EM$110:EM$114,$F21+1)+IF(AND($E21=1,NZ21=0),1000,0),MIN(TZ21,20)*400+(IF('計算A'!EL$106=1,1-IJ21,0)+IF('計算A'!EM$106=1,1-IL21,0))*150+206+'計算A'!EM$5*100000+IF(AND($E21=1,NZ21=0),50000,0))+IF($H21=1,(IF('計算A'!EL$117=1,INDEX('計算A'!EL$10:EL$54,$B21),0)+IF('計算A'!EM$117=1,INDEX('計算A'!EN$10:EN$54,$B21),0))*4000,0)-IF(AND('計算A'!EL$117=1,ZJ21&gt;0),2000,0)-IF(AND($L21=1,'計算A'!EM$117=1,IL21=0),2000,0))),1000000))</f>
        <v/>
      </c>
      <c r="TP21">
        <f>IF($B21=0,1000000,IF(INDEX('計算A'!$D$60:$EQ$104,$B21,141)*IL21=1,IF(AND($E21=2,OA21=0),1000000,IF($I21&gt;0,IF(6=$J21,IF(OR(AND(141=$I21+1,OR($K21&lt;&gt;'計算A'!$A$3,'計算A'!$A$4=0)),AND(141=$I21-1,OR(21&lt;&gt;'計算A'!$A$3,'計算A'!$A$4=0))),0,IF(21=$K21,200000,ABS(21-$K21)*100)),100000+ABS(6-$J21)*1000+210)+'計算A'!EN$5*50+IF(AND($E21=1,OA21=0),25,0),IF($F21&gt;0,INDEX('計算A'!EN$110:EN$114,$F21+1)+IF(AND($E21=1,OA21=0),1000,0),MIN(TZ21,20)*400+(IF('計算A'!EM$106=1,1-IK21,0)+IF('計算A'!EN$106=1,1-IM21,0))*150+216+'計算A'!EN$5*100000+IF(AND($E21=1,OA21=0),50000,0))+IF($H21=1,(IF('計算A'!EM$117=1,INDEX('計算A'!EM$10:EM$54,$B21),0)+IF('計算A'!EN$117=1,INDEX('計算A'!EO$10:EO$54,$B21),0))*4000,0)-IF(AND('計算A'!EM$117=1,ZK21&gt;0),2000,0)-IF(AND($L21=1,'計算A'!EN$117=1,IM21=0),2000,0))),1000000))</f>
        <v/>
      </c>
      <c r="TQ21">
        <f>IF($B21=0,1000000,IF(INDEX('計算A'!$D$60:$EQ$104,$B21,142)*IM21=1,IF(AND($E21=2,OB21=0),1000000,IF($I21&gt;0,IF(6=$J21,IF(OR(AND(142=$I21+1,OR($K21&lt;&gt;'計算A'!$A$3,'計算A'!$A$4=0)),AND(142=$I21-1,OR(22&lt;&gt;'計算A'!$A$3,'計算A'!$A$4=0))),0,IF(22=$K21,200000,ABS(22-$K21)*100)),100000+ABS(6-$J21)*1000+220)+'計算A'!EO$5*50+IF(AND($E21=1,OB21=0),25,0),IF($F21&gt;0,INDEX('計算A'!EO$110:EO$114,$F21+1)+IF(AND($E21=1,OB21=0),1000,0),MIN(TZ21,20)*400+(IF('計算A'!EN$106=1,1-IL21,0)+IF('計算A'!EO$106=1,1-IN21,0))*150+226+'計算A'!EO$5*100000+IF(AND($E21=1,OB21=0),50000,0))+IF($H21=1,(IF('計算A'!EN$117=1,INDEX('計算A'!EN$10:EN$54,$B21),0)+IF('計算A'!EO$117=1,INDEX('計算A'!EP$10:EP$54,$B21),0))*4000,0)-IF(AND('計算A'!EN$117=1,ZL21&gt;0),2000,0)-IF(AND($L21=1,'計算A'!EO$117=1,IN21=0),2000,0))),1000000))</f>
        <v/>
      </c>
      <c r="TR21">
        <f>IF($B21=0,1000000,IF(INDEX('計算A'!$D$60:$EQ$104,$B21,143)*IN21=1,IF(AND($E21=2,OC21=0),1000000,IF($I21&gt;0,IF(6=$J21,IF(OR(AND(143=$I21+1,OR($K21&lt;&gt;'計算A'!$A$3,'計算A'!$A$4=0)),AND(143=$I21-1,OR(23&lt;&gt;'計算A'!$A$3,'計算A'!$A$4=0))),0,IF(23=$K21,200000,ABS(23-$K21)*100)),100000+ABS(6-$J21)*1000+230)+'計算A'!EP$5*50+IF(AND($E21=1,OC21=0),25,0),IF($F21&gt;0,INDEX('計算A'!EP$110:EP$114,$F21+1)+IF(AND($E21=1,OC21=0),1000,0),MIN(TZ21,20)*400+(IF('計算A'!EO$106=1,1-IM21,0)+IF('計算A'!EP$106=1,1-IO21,0))*150+236+'計算A'!EP$5*100000+IF(AND($E21=1,OC21=0),50000,0))+IF($H21=1,(IF('計算A'!EO$117=1,INDEX('計算A'!EO$10:EO$54,$B21),0)+IF('計算A'!EP$117=1,INDEX('計算A'!EQ$10:EQ$54,$B21),0))*4000,0)-IF(AND('計算A'!EO$117=1,ZM21&gt;0),2000,0)-IF(AND($L21=1,'計算A'!EP$117=1,IO21=0),2000,0))),1000000))</f>
        <v/>
      </c>
      <c r="TS21">
        <f>IF($B21=0,1000000,IF(INDEX('計算A'!$D$60:$EQ$104,$B21,144)*IO21=1,IF(AND($E21=2,OD21=0),1000000,IF($I21&gt;0,IF(6=$J21,IF(OR(AND(144=$I21+1,OR($K21&lt;&gt;'計算A'!$A$3,'計算A'!$A$4=0)),AND(144=$I21-1,OR(24&lt;&gt;'計算A'!$A$3,'計算A'!$A$4=0))),0,IF(24=$K21,200000,ABS(24-$K21)*100)),100000+ABS(6-$J21)*1000+240)+'計算A'!EQ$5*50+IF(AND($E21=1,OD21=0),25,0),IF($F21&gt;0,INDEX('計算A'!EQ$110:EQ$114,$F21+1)+IF(AND($E21=1,OD21=0),1000,0),MIN(TZ21,20)*400+(IF('計算A'!EP$106=1,1-IN21,0))*150+246+'計算A'!EQ$5*100000+IF(AND($E21=1,OD21=0),50000,0))+IF($H21=1,(IF('計算A'!EP$117=1,INDEX('計算A'!EP$10:EP$54,$B21),0))*4000,0)-IF(AND('計算A'!EP$117=1,ZN21&gt;0),2000,0))),1000000))</f>
        <v/>
      </c>
      <c r="TU21">
        <f>TU20+IF($C20&gt;0,IF(INDEX('計算A'!$D$2:$EQ$2,$C20)=1,1,0),0)</f>
        <v/>
      </c>
      <c r="TV21">
        <f>TV20+IF($C20&gt;0,IF(INDEX('計算A'!$D$2:$EQ$2,$C20)=2,1,0),0)</f>
        <v/>
      </c>
      <c r="TW21">
        <f>TW20+IF($C20&gt;0,IF(INDEX('計算A'!$D$2:$EQ$2,$C20)=3,1,0),0)</f>
        <v/>
      </c>
      <c r="TX21">
        <f>TX20+IF($C20&gt;0,IF(INDEX('計算A'!$D$2:$EQ$2,$C20)=4,1,0),0)</f>
        <v/>
      </c>
      <c r="TY21">
        <f>TY20+IF($C20&gt;0,IF(INDEX('計算A'!$D$2:$EQ$2,$C20)=5,1,0),0)</f>
        <v/>
      </c>
      <c r="TZ21">
        <f>TZ20+IF($C20&gt;0,IF(INDEX('計算A'!$D$2:$EQ$2,$C20)=6,1,0),0)</f>
        <v/>
      </c>
      <c r="UB21">
        <f>UB20+IF(AND($C20=1,$L20=1),1,0)</f>
        <v/>
      </c>
      <c r="UC21">
        <f>UC20+IF(AND($C20=2,$L20=1),1,0)</f>
        <v/>
      </c>
      <c r="UD21">
        <f>UD20+IF(AND($C20=3,$L20=1),1,0)</f>
        <v/>
      </c>
      <c r="UE21">
        <f>UE20+IF(AND($C20=4,$L20=1),1,0)</f>
        <v/>
      </c>
      <c r="UF21">
        <f>UF20+IF(AND($C20=5,$L20=1),1,0)</f>
        <v/>
      </c>
      <c r="UG21">
        <f>UG20+IF(AND($C20=6,$L20=1),1,0)</f>
        <v/>
      </c>
      <c r="UH21">
        <f>UH20+IF(AND($C20=7,$L20=1),1,0)</f>
        <v/>
      </c>
      <c r="UI21">
        <f>UI20+IF(AND($C20=8,$L20=1),1,0)</f>
        <v/>
      </c>
      <c r="UJ21">
        <f>UJ20+IF(AND($C20=9,$L20=1),1,0)</f>
        <v/>
      </c>
      <c r="UK21">
        <f>UK20+IF(AND($C20=10,$L20=1),1,0)</f>
        <v/>
      </c>
      <c r="UL21">
        <f>UL20+IF(AND($C20=11,$L20=1),1,0)</f>
        <v/>
      </c>
      <c r="UM21">
        <f>UM20+IF(AND($C20=12,$L20=1),1,0)</f>
        <v/>
      </c>
      <c r="UN21">
        <f>UN20+IF(AND($C20=13,$L20=1),1,0)</f>
        <v/>
      </c>
      <c r="UO21">
        <f>UO20+IF(AND($C20=14,$L20=1),1,0)</f>
        <v/>
      </c>
      <c r="UP21">
        <f>UP20+IF(AND($C20=15,$L20=1),1,0)</f>
        <v/>
      </c>
      <c r="UQ21">
        <f>UQ20+IF(AND($C20=16,$L20=1),1,0)</f>
        <v/>
      </c>
      <c r="UR21">
        <f>UR20+IF(AND($C20=17,$L20=1),1,0)</f>
        <v/>
      </c>
      <c r="US21">
        <f>US20+IF(AND($C20=18,$L20=1),1,0)</f>
        <v/>
      </c>
      <c r="UT21">
        <f>UT20+IF(AND($C20=19,$L20=1),1,0)</f>
        <v/>
      </c>
      <c r="UU21">
        <f>UU20+IF(AND($C20=20,$L20=1),1,0)</f>
        <v/>
      </c>
      <c r="UV21">
        <f>UV20+IF(AND($C20=21,$L20=1),1,0)</f>
        <v/>
      </c>
      <c r="UW21">
        <f>UW20+IF(AND($C20=22,$L20=1),1,0)</f>
        <v/>
      </c>
      <c r="UX21">
        <f>UX20+IF(AND($C20=23,$L20=1),1,0)</f>
        <v/>
      </c>
      <c r="UY21">
        <f>UY20+IF(AND($C20=24,$L20=1),1,0)</f>
        <v/>
      </c>
      <c r="UZ21">
        <f>UZ20+IF(AND($C20=25,$L20=1),1,0)</f>
        <v/>
      </c>
      <c r="VA21">
        <f>VA20+IF(AND($C20=26,$L20=1),1,0)</f>
        <v/>
      </c>
      <c r="VB21">
        <f>VB20+IF(AND($C20=27,$L20=1),1,0)</f>
        <v/>
      </c>
      <c r="VC21">
        <f>VC20+IF(AND($C20=28,$L20=1),1,0)</f>
        <v/>
      </c>
      <c r="VD21">
        <f>VD20+IF(AND($C20=29,$L20=1),1,0)</f>
        <v/>
      </c>
      <c r="VE21">
        <f>VE20+IF(AND($C20=30,$L20=1),1,0)</f>
        <v/>
      </c>
      <c r="VF21">
        <f>VF20+IF(AND($C20=31,$L20=1),1,0)</f>
        <v/>
      </c>
      <c r="VG21">
        <f>VG20+IF(AND($C20=32,$L20=1),1,0)</f>
        <v/>
      </c>
      <c r="VH21">
        <f>VH20+IF(AND($C20=33,$L20=1),1,0)</f>
        <v/>
      </c>
      <c r="VI21">
        <f>VI20+IF(AND($C20=34,$L20=1),1,0)</f>
        <v/>
      </c>
      <c r="VJ21">
        <f>VJ20+IF(AND($C20=35,$L20=1),1,0)</f>
        <v/>
      </c>
      <c r="VK21">
        <f>VK20+IF(AND($C20=36,$L20=1),1,0)</f>
        <v/>
      </c>
      <c r="VL21">
        <f>VL20+IF(AND($C20=37,$L20=1),1,0)</f>
        <v/>
      </c>
      <c r="VM21">
        <f>VM20+IF(AND($C20=38,$L20=1),1,0)</f>
        <v/>
      </c>
      <c r="VN21">
        <f>VN20+IF(AND($C20=39,$L20=1),1,0)</f>
        <v/>
      </c>
      <c r="VO21">
        <f>VO20+IF(AND($C20=40,$L20=1),1,0)</f>
        <v/>
      </c>
      <c r="VP21">
        <f>VP20+IF(AND($C20=41,$L20=1),1,0)</f>
        <v/>
      </c>
      <c r="VQ21">
        <f>VQ20+IF(AND($C20=42,$L20=1),1,0)</f>
        <v/>
      </c>
      <c r="VR21">
        <f>VR20+IF(AND($C20=43,$L20=1),1,0)</f>
        <v/>
      </c>
      <c r="VS21">
        <f>VS20+IF(AND($C20=44,$L20=1),1,0)</f>
        <v/>
      </c>
      <c r="VT21">
        <f>VT20+IF(AND($C20=45,$L20=1),1,0)</f>
        <v/>
      </c>
      <c r="VU21">
        <f>VU20+IF(AND($C20=46,$L20=1),1,0)</f>
        <v/>
      </c>
      <c r="VV21">
        <f>VV20+IF(AND($C20=47,$L20=1),1,0)</f>
        <v/>
      </c>
      <c r="VW21">
        <f>VW20+IF(AND($C20=48,$L20=1),1,0)</f>
        <v/>
      </c>
      <c r="VX21">
        <f>VX20+IF(AND($C20=49,$L20=1),1,0)</f>
        <v/>
      </c>
      <c r="VY21">
        <f>VY20+IF(AND($C20=50,$L20=1),1,0)</f>
        <v/>
      </c>
      <c r="VZ21">
        <f>VZ20+IF(AND($C20=51,$L20=1),1,0)</f>
        <v/>
      </c>
      <c r="WA21">
        <f>WA20+IF(AND($C20=52,$L20=1),1,0)</f>
        <v/>
      </c>
      <c r="WB21">
        <f>WB20+IF(AND($C20=53,$L20=1),1,0)</f>
        <v/>
      </c>
      <c r="WC21">
        <f>WC20+IF(AND($C20=54,$L20=1),1,0)</f>
        <v/>
      </c>
      <c r="WD21">
        <f>WD20+IF(AND($C20=55,$L20=1),1,0)</f>
        <v/>
      </c>
      <c r="WE21">
        <f>WE20+IF(AND($C20=56,$L20=1),1,0)</f>
        <v/>
      </c>
      <c r="WF21">
        <f>WF20+IF(AND($C20=57,$L20=1),1,0)</f>
        <v/>
      </c>
      <c r="WG21">
        <f>WG20+IF(AND($C20=58,$L20=1),1,0)</f>
        <v/>
      </c>
      <c r="WH21">
        <f>WH20+IF(AND($C20=59,$L20=1),1,0)</f>
        <v/>
      </c>
      <c r="WI21">
        <f>WI20+IF(AND($C20=60,$L20=1),1,0)</f>
        <v/>
      </c>
      <c r="WJ21">
        <f>WJ20+IF(AND($C20=61,$L20=1),1,0)</f>
        <v/>
      </c>
      <c r="WK21">
        <f>WK20+IF(AND($C20=62,$L20=1),1,0)</f>
        <v/>
      </c>
      <c r="WL21">
        <f>WL20+IF(AND($C20=63,$L20=1),1,0)</f>
        <v/>
      </c>
      <c r="WM21">
        <f>WM20+IF(AND($C20=64,$L20=1),1,0)</f>
        <v/>
      </c>
      <c r="WN21">
        <f>WN20+IF(AND($C20=65,$L20=1),1,0)</f>
        <v/>
      </c>
      <c r="WO21">
        <f>WO20+IF(AND($C20=66,$L20=1),1,0)</f>
        <v/>
      </c>
      <c r="WP21">
        <f>WP20+IF(AND($C20=67,$L20=1),1,0)</f>
        <v/>
      </c>
      <c r="WQ21">
        <f>WQ20+IF(AND($C20=68,$L20=1),1,0)</f>
        <v/>
      </c>
      <c r="WR21">
        <f>WR20+IF(AND($C20=69,$L20=1),1,0)</f>
        <v/>
      </c>
      <c r="WS21">
        <f>WS20+IF(AND($C20=70,$L20=1),1,0)</f>
        <v/>
      </c>
      <c r="WT21">
        <f>WT20+IF(AND($C20=71,$L20=1),1,0)</f>
        <v/>
      </c>
      <c r="WU21">
        <f>WU20+IF(AND($C20=72,$L20=1),1,0)</f>
        <v/>
      </c>
      <c r="WV21">
        <f>WV20+IF(AND($C20=73,$L20=1),1,0)</f>
        <v/>
      </c>
      <c r="WW21">
        <f>WW20+IF(AND($C20=74,$L20=1),1,0)</f>
        <v/>
      </c>
      <c r="WX21">
        <f>WX20+IF(AND($C20=75,$L20=1),1,0)</f>
        <v/>
      </c>
      <c r="WY21">
        <f>WY20+IF(AND($C20=76,$L20=1),1,0)</f>
        <v/>
      </c>
      <c r="WZ21">
        <f>WZ20+IF(AND($C20=77,$L20=1),1,0)</f>
        <v/>
      </c>
      <c r="XA21">
        <f>XA20+IF(AND($C20=78,$L20=1),1,0)</f>
        <v/>
      </c>
      <c r="XB21">
        <f>XB20+IF(AND($C20=79,$L20=1),1,0)</f>
        <v/>
      </c>
      <c r="XC21">
        <f>XC20+IF(AND($C20=80,$L20=1),1,0)</f>
        <v/>
      </c>
      <c r="XD21">
        <f>XD20+IF(AND($C20=81,$L20=1),1,0)</f>
        <v/>
      </c>
      <c r="XE21">
        <f>XE20+IF(AND($C20=82,$L20=1),1,0)</f>
        <v/>
      </c>
      <c r="XF21">
        <f>XF20+IF(AND($C20=83,$L20=1),1,0)</f>
        <v/>
      </c>
      <c r="XG21">
        <f>XG20+IF(AND($C20=84,$L20=1),1,0)</f>
        <v/>
      </c>
      <c r="XH21">
        <f>XH20+IF(AND($C20=85,$L20=1),1,0)</f>
        <v/>
      </c>
      <c r="XI21">
        <f>XI20+IF(AND($C20=86,$L20=1),1,0)</f>
        <v/>
      </c>
      <c r="XJ21">
        <f>XJ20+IF(AND($C20=87,$L20=1),1,0)</f>
        <v/>
      </c>
      <c r="XK21">
        <f>XK20+IF(AND($C20=88,$L20=1),1,0)</f>
        <v/>
      </c>
      <c r="XL21">
        <f>XL20+IF(AND($C20=89,$L20=1),1,0)</f>
        <v/>
      </c>
      <c r="XM21">
        <f>XM20+IF(AND($C20=90,$L20=1),1,0)</f>
        <v/>
      </c>
      <c r="XN21">
        <f>XN20+IF(AND($C20=91,$L20=1),1,0)</f>
        <v/>
      </c>
      <c r="XO21">
        <f>XO20+IF(AND($C20=92,$L20=1),1,0)</f>
        <v/>
      </c>
      <c r="XP21">
        <f>XP20+IF(AND($C20=93,$L20=1),1,0)</f>
        <v/>
      </c>
      <c r="XQ21">
        <f>XQ20+IF(AND($C20=94,$L20=1),1,0)</f>
        <v/>
      </c>
      <c r="XR21">
        <f>XR20+IF(AND($C20=95,$L20=1),1,0)</f>
        <v/>
      </c>
      <c r="XS21">
        <f>XS20+IF(AND($C20=96,$L20=1),1,0)</f>
        <v/>
      </c>
      <c r="XT21">
        <f>XT20+IF(AND($C20=97,$L20=1),1,0)</f>
        <v/>
      </c>
      <c r="XU21">
        <f>XU20+IF(AND($C20=98,$L20=1),1,0)</f>
        <v/>
      </c>
      <c r="XV21">
        <f>XV20+IF(AND($C20=99,$L20=1),1,0)</f>
        <v/>
      </c>
      <c r="XW21">
        <f>XW20+IF(AND($C20=100,$L20=1),1,0)</f>
        <v/>
      </c>
      <c r="XX21">
        <f>XX20+IF(AND($C20=101,$L20=1),1,0)</f>
        <v/>
      </c>
      <c r="XY21">
        <f>XY20+IF(AND($C20=102,$L20=1),1,0)</f>
        <v/>
      </c>
      <c r="XZ21">
        <f>XZ20+IF(AND($C20=103,$L20=1),1,0)</f>
        <v/>
      </c>
      <c r="YA21">
        <f>YA20+IF(AND($C20=104,$L20=1),1,0)</f>
        <v/>
      </c>
      <c r="YB21">
        <f>YB20+IF(AND($C20=105,$L20=1),1,0)</f>
        <v/>
      </c>
      <c r="YC21">
        <f>YC20+IF(AND($C20=106,$L20=1),1,0)</f>
        <v/>
      </c>
      <c r="YD21">
        <f>YD20+IF(AND($C20=107,$L20=1),1,0)</f>
        <v/>
      </c>
      <c r="YE21">
        <f>YE20+IF(AND($C20=108,$L20=1),1,0)</f>
        <v/>
      </c>
      <c r="YF21">
        <f>YF20+IF(AND($C20=109,$L20=1),1,0)</f>
        <v/>
      </c>
      <c r="YG21">
        <f>YG20+IF(AND($C20=110,$L20=1),1,0)</f>
        <v/>
      </c>
      <c r="YH21">
        <f>YH20+IF(AND($C20=111,$L20=1),1,0)</f>
        <v/>
      </c>
      <c r="YI21">
        <f>YI20+IF(AND($C20=112,$L20=1),1,0)</f>
        <v/>
      </c>
      <c r="YJ21">
        <f>YJ20+IF(AND($C20=113,$L20=1),1,0)</f>
        <v/>
      </c>
      <c r="YK21">
        <f>YK20+IF(AND($C20=114,$L20=1),1,0)</f>
        <v/>
      </c>
      <c r="YL21">
        <f>YL20+IF(AND($C20=115,$L20=1),1,0)</f>
        <v/>
      </c>
      <c r="YM21">
        <f>YM20+IF(AND($C20=116,$L20=1),1,0)</f>
        <v/>
      </c>
      <c r="YN21">
        <f>YN20+IF(AND($C20=117,$L20=1),1,0)</f>
        <v/>
      </c>
      <c r="YO21">
        <f>YO20+IF(AND($C20=118,$L20=1),1,0)</f>
        <v/>
      </c>
      <c r="YP21">
        <f>YP20+IF(AND($C20=119,$L20=1),1,0)</f>
        <v/>
      </c>
      <c r="YQ21">
        <f>YQ20+IF(AND($C20=120,$L20=1),1,0)</f>
        <v/>
      </c>
      <c r="YR21">
        <f>YR20+IF(AND($C20=121,$L20=1),1,0)</f>
        <v/>
      </c>
      <c r="YS21">
        <f>YS20+IF(AND($C20=122,$L20=1),1,0)</f>
        <v/>
      </c>
      <c r="YT21">
        <f>YT20+IF(AND($C20=123,$L20=1),1,0)</f>
        <v/>
      </c>
      <c r="YU21">
        <f>YU20+IF(AND($C20=124,$L20=1),1,0)</f>
        <v/>
      </c>
      <c r="YV21">
        <f>YV20+IF(AND($C20=125,$L20=1),1,0)</f>
        <v/>
      </c>
      <c r="YW21">
        <f>YW20+IF(AND($C20=126,$L20=1),1,0)</f>
        <v/>
      </c>
      <c r="YX21">
        <f>YX20+IF(AND($C20=127,$L20=1),1,0)</f>
        <v/>
      </c>
      <c r="YY21">
        <f>YY20+IF(AND($C20=128,$L20=1),1,0)</f>
        <v/>
      </c>
      <c r="YZ21">
        <f>YZ20+IF(AND($C20=129,$L20=1),1,0)</f>
        <v/>
      </c>
      <c r="ZA21">
        <f>ZA20+IF(AND($C20=130,$L20=1),1,0)</f>
        <v/>
      </c>
      <c r="ZB21">
        <f>ZB20+IF(AND($C20=131,$L20=1),1,0)</f>
        <v/>
      </c>
      <c r="ZC21">
        <f>ZC20+IF(AND($C20=132,$L20=1),1,0)</f>
        <v/>
      </c>
      <c r="ZD21">
        <f>ZD20+IF(AND($C20=133,$L20=1),1,0)</f>
        <v/>
      </c>
      <c r="ZE21">
        <f>ZE20+IF(AND($C20=134,$L20=1),1,0)</f>
        <v/>
      </c>
      <c r="ZF21">
        <f>ZF20+IF(AND($C20=135,$L20=1),1,0)</f>
        <v/>
      </c>
      <c r="ZG21">
        <f>ZG20+IF(AND($C20=136,$L20=1),1,0)</f>
        <v/>
      </c>
      <c r="ZH21">
        <f>ZH20+IF(AND($C20=137,$L20=1),1,0)</f>
        <v/>
      </c>
      <c r="ZI21">
        <f>ZI20+IF(AND($C20=138,$L20=1),1,0)</f>
        <v/>
      </c>
      <c r="ZJ21">
        <f>ZJ20+IF(AND($C20=139,$L20=1),1,0)</f>
        <v/>
      </c>
      <c r="ZK21">
        <f>ZK20+IF(AND($C20=140,$L20=1),1,0)</f>
        <v/>
      </c>
      <c r="ZL21">
        <f>ZL20+IF(AND($C20=141,$L20=1),1,0)</f>
        <v/>
      </c>
      <c r="ZM21">
        <f>ZM20+IF(AND($C20=142,$L20=1),1,0)</f>
        <v/>
      </c>
      <c r="ZN21">
        <f>ZN20+IF(AND($C20=143,$L20=1),1,0)</f>
        <v/>
      </c>
      <c r="ZO21">
        <f>ZO20+IF(AND($C20=144,$L20=1),1,0)</f>
        <v/>
      </c>
    </row>
    <row r="22">
      <c r="A22" t="n">
        <v>20</v>
      </c>
      <c r="B22">
        <f>IF(MIN(BH22:CZ22)&gt;=1000000,0,MATCH(MIN(BH22:CZ22),BH22:CZ22,0))</f>
        <v/>
      </c>
      <c r="C22">
        <f>IF(MIN(OF22:TS22)&gt;=1000000,0,MATCH(MIN(OF22:TS22),OF22:TS22,0))</f>
        <v/>
      </c>
      <c r="D22">
        <f>IF(C22&gt;0,INDEX('計算A'!$D$5:$EQ$5,C22),0)</f>
        <v/>
      </c>
      <c r="E22">
        <f>IF(B22=0,0,INDEX('計算A'!$IQ$10:$IQ$54,B22))</f>
        <v/>
      </c>
      <c r="F22">
        <f>IF(B22=0,0,INDEX('計算A'!$IP$10:$IP$54,B22))</f>
        <v/>
      </c>
      <c r="G22">
        <f>IF(AND(C22&gt;0,E22&gt;0),IF(AND(INDEX('計算A'!$D$106:$EQ$106,C22)=1,INDEX($IQ22:$OD22,C22)=1),C22+1,0),0)</f>
        <v/>
      </c>
      <c r="H22">
        <f>IF(B22=0,0,INDEX('計算A'!$IW$10:$IW$54,B22))</f>
        <v/>
      </c>
      <c r="I22">
        <f>IF(B22=0,0,MAX(0,INDEX('計算A'!$IT$10:$IT$54,B22)))</f>
        <v/>
      </c>
      <c r="J22">
        <f>IF(I22=0,0,INDEX('計算A'!$D$2:$EQ$2,I22))</f>
        <v/>
      </c>
      <c r="K22">
        <f>IF(I22=0,0,INDEX('計算A'!$D$3:$EQ$3,I22))</f>
        <v/>
      </c>
      <c r="L22">
        <f>IF(B22=0,0,INDEX('計算A'!$IX$10:$IX$54,B22))</f>
        <v/>
      </c>
      <c r="N22">
        <f>MAX(N21,IF($B21=1,1,0))</f>
        <v/>
      </c>
      <c r="O22">
        <f>MAX(O21,IF($B21=2,1,0))</f>
        <v/>
      </c>
      <c r="P22">
        <f>MAX(P21,IF($B21=3,1,0))</f>
        <v/>
      </c>
      <c r="Q22">
        <f>MAX(Q21,IF($B21=4,1,0))</f>
        <v/>
      </c>
      <c r="R22">
        <f>MAX(R21,IF($B21=5,1,0))</f>
        <v/>
      </c>
      <c r="S22">
        <f>MAX(S21,IF($B21=6,1,0))</f>
        <v/>
      </c>
      <c r="T22">
        <f>MAX(T21,IF($B21=7,1,0))</f>
        <v/>
      </c>
      <c r="U22">
        <f>MAX(U21,IF($B21=8,1,0))</f>
        <v/>
      </c>
      <c r="V22">
        <f>MAX(V21,IF($B21=9,1,0))</f>
        <v/>
      </c>
      <c r="W22">
        <f>MAX(W21,IF($B21=10,1,0))</f>
        <v/>
      </c>
      <c r="X22">
        <f>MAX(X21,IF($B21=11,1,0))</f>
        <v/>
      </c>
      <c r="Y22">
        <f>MAX(Y21,IF($B21=12,1,0))</f>
        <v/>
      </c>
      <c r="Z22">
        <f>MAX(Z21,IF($B21=13,1,0))</f>
        <v/>
      </c>
      <c r="AA22">
        <f>MAX(AA21,IF($B21=14,1,0))</f>
        <v/>
      </c>
      <c r="AB22">
        <f>MAX(AB21,IF($B21=15,1,0))</f>
        <v/>
      </c>
      <c r="AC22">
        <f>MAX(AC21,IF($B21=16,1,0))</f>
        <v/>
      </c>
      <c r="AD22">
        <f>MAX(AD21,IF($B21=17,1,0))</f>
        <v/>
      </c>
      <c r="AE22">
        <f>MAX(AE21,IF($B21=18,1,0))</f>
        <v/>
      </c>
      <c r="AF22">
        <f>MAX(AF21,IF($B21=19,1,0))</f>
        <v/>
      </c>
      <c r="AG22">
        <f>MAX(AG21,IF($B21=20,1,0))</f>
        <v/>
      </c>
      <c r="AH22">
        <f>MAX(AH21,IF($B21=21,1,0))</f>
        <v/>
      </c>
      <c r="AI22">
        <f>MAX(AI21,IF($B21=22,1,0))</f>
        <v/>
      </c>
      <c r="AJ22">
        <f>MAX(AJ21,IF($B21=23,1,0))</f>
        <v/>
      </c>
      <c r="AK22">
        <f>MAX(AK21,IF($B21=24,1,0))</f>
        <v/>
      </c>
      <c r="AL22">
        <f>MAX(AL21,IF($B21=25,1,0))</f>
        <v/>
      </c>
      <c r="AM22">
        <f>MAX(AM21,IF($B21=26,1,0))</f>
        <v/>
      </c>
      <c r="AN22">
        <f>MAX(AN21,IF($B21=27,1,0))</f>
        <v/>
      </c>
      <c r="AO22">
        <f>MAX(AO21,IF($B21=28,1,0))</f>
        <v/>
      </c>
      <c r="AP22">
        <f>MAX(AP21,IF($B21=29,1,0))</f>
        <v/>
      </c>
      <c r="AQ22">
        <f>MAX(AQ21,IF($B21=30,1,0))</f>
        <v/>
      </c>
      <c r="AR22">
        <f>MAX(AR21,IF($B21=31,1,0))</f>
        <v/>
      </c>
      <c r="AS22">
        <f>MAX(AS21,IF($B21=32,1,0))</f>
        <v/>
      </c>
      <c r="AT22">
        <f>MAX(AT21,IF($B21=33,1,0))</f>
        <v/>
      </c>
      <c r="AU22">
        <f>MAX(AU21,IF($B21=34,1,0))</f>
        <v/>
      </c>
      <c r="AV22">
        <f>MAX(AV21,IF($B21=35,1,0))</f>
        <v/>
      </c>
      <c r="AW22">
        <f>MAX(AW21,IF($B21=36,1,0))</f>
        <v/>
      </c>
      <c r="AX22">
        <f>MAX(AX21,IF($B21=37,1,0))</f>
        <v/>
      </c>
      <c r="AY22">
        <f>MAX(AY21,IF($B21=38,1,0))</f>
        <v/>
      </c>
      <c r="AZ22">
        <f>MAX(AZ21,IF($B21=39,1,0))</f>
        <v/>
      </c>
      <c r="BA22">
        <f>MAX(BA21,IF($B21=40,1,0))</f>
        <v/>
      </c>
      <c r="BB22">
        <f>MAX(BB21,IF($B21=41,1,0))</f>
        <v/>
      </c>
      <c r="BC22">
        <f>MAX(BC21,IF($B21=42,1,0))</f>
        <v/>
      </c>
      <c r="BD22">
        <f>MAX(BD21,IF($B21=43,1,0))</f>
        <v/>
      </c>
      <c r="BE22">
        <f>MAX(BE21,IF($B21=44,1,0))</f>
        <v/>
      </c>
      <c r="BF22">
        <f>MAX(BF21,IF($B21=45,1,0))</f>
        <v/>
      </c>
      <c r="BH22">
        <f>IF(N22=1,1000000,IF('計算A'!$IT$10&gt;0,0,500000)+IF('計算A'!$IQ$10=2,SUMPRODUCT('計算A'!$D$60:$EQ$60,$DB22:$IO22,$IQ22:$OD22),SUMPRODUCT('計算A'!$D$60:$EQ$60,$DB22:$IO22))*1000+1)</f>
        <v/>
      </c>
      <c r="BI22">
        <f>IF(O22=1,1000000,IF('計算A'!$IT$11&gt;0,0,500000)+IF('計算A'!$IQ$11=2,SUMPRODUCT('計算A'!$D$61:$EQ$61,$DB22:$IO22,$IQ22:$OD22),SUMPRODUCT('計算A'!$D$61:$EQ$61,$DB22:$IO22))*1000+2)</f>
        <v/>
      </c>
      <c r="BJ22">
        <f>IF(P22=1,1000000,IF('計算A'!$IT$12&gt;0,0,500000)+IF('計算A'!$IQ$12=2,SUMPRODUCT('計算A'!$D$62:$EQ$62,$DB22:$IO22,$IQ22:$OD22),SUMPRODUCT('計算A'!$D$62:$EQ$62,$DB22:$IO22))*1000+3)</f>
        <v/>
      </c>
      <c r="BK22">
        <f>IF(Q22=1,1000000,IF('計算A'!$IT$13&gt;0,0,500000)+IF('計算A'!$IQ$13=2,SUMPRODUCT('計算A'!$D$63:$EQ$63,$DB22:$IO22,$IQ22:$OD22),SUMPRODUCT('計算A'!$D$63:$EQ$63,$DB22:$IO22))*1000+4)</f>
        <v/>
      </c>
      <c r="BL22">
        <f>IF(R22=1,1000000,IF('計算A'!$IT$14&gt;0,0,500000)+IF('計算A'!$IQ$14=2,SUMPRODUCT('計算A'!$D$64:$EQ$64,$DB22:$IO22,$IQ22:$OD22),SUMPRODUCT('計算A'!$D$64:$EQ$64,$DB22:$IO22))*1000+5)</f>
        <v/>
      </c>
      <c r="BM22">
        <f>IF(S22=1,1000000,IF('計算A'!$IT$15&gt;0,0,500000)+IF('計算A'!$IQ$15=2,SUMPRODUCT('計算A'!$D$65:$EQ$65,$DB22:$IO22,$IQ22:$OD22),SUMPRODUCT('計算A'!$D$65:$EQ$65,$DB22:$IO22))*1000+6)</f>
        <v/>
      </c>
      <c r="BN22">
        <f>IF(T22=1,1000000,IF('計算A'!$IT$16&gt;0,0,500000)+IF('計算A'!$IQ$16=2,SUMPRODUCT('計算A'!$D$66:$EQ$66,$DB22:$IO22,$IQ22:$OD22),SUMPRODUCT('計算A'!$D$66:$EQ$66,$DB22:$IO22))*1000+7)</f>
        <v/>
      </c>
      <c r="BO22">
        <f>IF(U22=1,1000000,IF('計算A'!$IT$17&gt;0,0,500000)+IF('計算A'!$IQ$17=2,SUMPRODUCT('計算A'!$D$67:$EQ$67,$DB22:$IO22,$IQ22:$OD22),SUMPRODUCT('計算A'!$D$67:$EQ$67,$DB22:$IO22))*1000+8)</f>
        <v/>
      </c>
      <c r="BP22">
        <f>IF(V22=1,1000000,IF('計算A'!$IT$18&gt;0,0,500000)+IF('計算A'!$IQ$18=2,SUMPRODUCT('計算A'!$D$68:$EQ$68,$DB22:$IO22,$IQ22:$OD22),SUMPRODUCT('計算A'!$D$68:$EQ$68,$DB22:$IO22))*1000+9)</f>
        <v/>
      </c>
      <c r="BQ22">
        <f>IF(W22=1,1000000,IF('計算A'!$IT$19&gt;0,0,500000)+IF('計算A'!$IQ$19=2,SUMPRODUCT('計算A'!$D$69:$EQ$69,$DB22:$IO22,$IQ22:$OD22),SUMPRODUCT('計算A'!$D$69:$EQ$69,$DB22:$IO22))*1000+10)</f>
        <v/>
      </c>
      <c r="BR22">
        <f>IF(X22=1,1000000,IF('計算A'!$IT$20&gt;0,0,500000)+IF('計算A'!$IQ$20=2,SUMPRODUCT('計算A'!$D$70:$EQ$70,$DB22:$IO22,$IQ22:$OD22),SUMPRODUCT('計算A'!$D$70:$EQ$70,$DB22:$IO22))*1000+11)</f>
        <v/>
      </c>
      <c r="BS22">
        <f>IF(Y22=1,1000000,IF('計算A'!$IT$21&gt;0,0,500000)+IF('計算A'!$IQ$21=2,SUMPRODUCT('計算A'!$D$71:$EQ$71,$DB22:$IO22,$IQ22:$OD22),SUMPRODUCT('計算A'!$D$71:$EQ$71,$DB22:$IO22))*1000+12)</f>
        <v/>
      </c>
      <c r="BT22">
        <f>IF(Z22=1,1000000,IF('計算A'!$IT$22&gt;0,0,500000)+IF('計算A'!$IQ$22=2,SUMPRODUCT('計算A'!$D$72:$EQ$72,$DB22:$IO22,$IQ22:$OD22),SUMPRODUCT('計算A'!$D$72:$EQ$72,$DB22:$IO22))*1000+13)</f>
        <v/>
      </c>
      <c r="BU22">
        <f>IF(AA22=1,1000000,IF('計算A'!$IT$23&gt;0,0,500000)+IF('計算A'!$IQ$23=2,SUMPRODUCT('計算A'!$D$73:$EQ$73,$DB22:$IO22,$IQ22:$OD22),SUMPRODUCT('計算A'!$D$73:$EQ$73,$DB22:$IO22))*1000+14)</f>
        <v/>
      </c>
      <c r="BV22">
        <f>IF(AB22=1,1000000,IF('計算A'!$IT$24&gt;0,0,500000)+IF('計算A'!$IQ$24=2,SUMPRODUCT('計算A'!$D$74:$EQ$74,$DB22:$IO22,$IQ22:$OD22),SUMPRODUCT('計算A'!$D$74:$EQ$74,$DB22:$IO22))*1000+15)</f>
        <v/>
      </c>
      <c r="BW22">
        <f>IF(AC22=1,1000000,IF('計算A'!$IT$25&gt;0,0,500000)+IF('計算A'!$IQ$25=2,SUMPRODUCT('計算A'!$D$75:$EQ$75,$DB22:$IO22,$IQ22:$OD22),SUMPRODUCT('計算A'!$D$75:$EQ$75,$DB22:$IO22))*1000+16)</f>
        <v/>
      </c>
      <c r="BX22">
        <f>IF(AD22=1,1000000,IF('計算A'!$IT$26&gt;0,0,500000)+IF('計算A'!$IQ$26=2,SUMPRODUCT('計算A'!$D$76:$EQ$76,$DB22:$IO22,$IQ22:$OD22),SUMPRODUCT('計算A'!$D$76:$EQ$76,$DB22:$IO22))*1000+17)</f>
        <v/>
      </c>
      <c r="BY22">
        <f>IF(AE22=1,1000000,IF('計算A'!$IT$27&gt;0,0,500000)+IF('計算A'!$IQ$27=2,SUMPRODUCT('計算A'!$D$77:$EQ$77,$DB22:$IO22,$IQ22:$OD22),SUMPRODUCT('計算A'!$D$77:$EQ$77,$DB22:$IO22))*1000+18)</f>
        <v/>
      </c>
      <c r="BZ22">
        <f>IF(AF22=1,1000000,IF('計算A'!$IT$28&gt;0,0,500000)+IF('計算A'!$IQ$28=2,SUMPRODUCT('計算A'!$D$78:$EQ$78,$DB22:$IO22,$IQ22:$OD22),SUMPRODUCT('計算A'!$D$78:$EQ$78,$DB22:$IO22))*1000+19)</f>
        <v/>
      </c>
      <c r="CA22">
        <f>IF(AG22=1,1000000,IF('計算A'!$IT$29&gt;0,0,500000)+IF('計算A'!$IQ$29=2,SUMPRODUCT('計算A'!$D$79:$EQ$79,$DB22:$IO22,$IQ22:$OD22),SUMPRODUCT('計算A'!$D$79:$EQ$79,$DB22:$IO22))*1000+20)</f>
        <v/>
      </c>
      <c r="CB22">
        <f>IF(AH22=1,1000000,IF('計算A'!$IT$30&gt;0,0,500000)+IF('計算A'!$IQ$30=2,SUMPRODUCT('計算A'!$D$80:$EQ$80,$DB22:$IO22,$IQ22:$OD22),SUMPRODUCT('計算A'!$D$80:$EQ$80,$DB22:$IO22))*1000+21)</f>
        <v/>
      </c>
      <c r="CC22">
        <f>IF(AI22=1,1000000,IF('計算A'!$IT$31&gt;0,0,500000)+IF('計算A'!$IQ$31=2,SUMPRODUCT('計算A'!$D$81:$EQ$81,$DB22:$IO22,$IQ22:$OD22),SUMPRODUCT('計算A'!$D$81:$EQ$81,$DB22:$IO22))*1000+22)</f>
        <v/>
      </c>
      <c r="CD22">
        <f>IF(AJ22=1,1000000,IF('計算A'!$IT$32&gt;0,0,500000)+IF('計算A'!$IQ$32=2,SUMPRODUCT('計算A'!$D$82:$EQ$82,$DB22:$IO22,$IQ22:$OD22),SUMPRODUCT('計算A'!$D$82:$EQ$82,$DB22:$IO22))*1000+23)</f>
        <v/>
      </c>
      <c r="CE22">
        <f>IF(AK22=1,1000000,IF('計算A'!$IT$33&gt;0,0,500000)+IF('計算A'!$IQ$33=2,SUMPRODUCT('計算A'!$D$83:$EQ$83,$DB22:$IO22,$IQ22:$OD22),SUMPRODUCT('計算A'!$D$83:$EQ$83,$DB22:$IO22))*1000+24)</f>
        <v/>
      </c>
      <c r="CF22">
        <f>IF(AL22=1,1000000,IF('計算A'!$IT$34&gt;0,0,500000)+IF('計算A'!$IQ$34=2,SUMPRODUCT('計算A'!$D$84:$EQ$84,$DB22:$IO22,$IQ22:$OD22),SUMPRODUCT('計算A'!$D$84:$EQ$84,$DB22:$IO22))*1000+25)</f>
        <v/>
      </c>
      <c r="CG22">
        <f>IF(AM22=1,1000000,IF('計算A'!$IT$35&gt;0,0,500000)+IF('計算A'!$IQ$35=2,SUMPRODUCT('計算A'!$D$85:$EQ$85,$DB22:$IO22,$IQ22:$OD22),SUMPRODUCT('計算A'!$D$85:$EQ$85,$DB22:$IO22))*1000+26)</f>
        <v/>
      </c>
      <c r="CH22">
        <f>IF(AN22=1,1000000,IF('計算A'!$IT$36&gt;0,0,500000)+IF('計算A'!$IQ$36=2,SUMPRODUCT('計算A'!$D$86:$EQ$86,$DB22:$IO22,$IQ22:$OD22),SUMPRODUCT('計算A'!$D$86:$EQ$86,$DB22:$IO22))*1000+27)</f>
        <v/>
      </c>
      <c r="CI22">
        <f>IF(AO22=1,1000000,IF('計算A'!$IT$37&gt;0,0,500000)+IF('計算A'!$IQ$37=2,SUMPRODUCT('計算A'!$D$87:$EQ$87,$DB22:$IO22,$IQ22:$OD22),SUMPRODUCT('計算A'!$D$87:$EQ$87,$DB22:$IO22))*1000+28)</f>
        <v/>
      </c>
      <c r="CJ22">
        <f>IF(AP22=1,1000000,IF('計算A'!$IT$38&gt;0,0,500000)+IF('計算A'!$IQ$38=2,SUMPRODUCT('計算A'!$D$88:$EQ$88,$DB22:$IO22,$IQ22:$OD22),SUMPRODUCT('計算A'!$D$88:$EQ$88,$DB22:$IO22))*1000+29)</f>
        <v/>
      </c>
      <c r="CK22">
        <f>IF(AQ22=1,1000000,IF('計算A'!$IT$39&gt;0,0,500000)+IF('計算A'!$IQ$39=2,SUMPRODUCT('計算A'!$D$89:$EQ$89,$DB22:$IO22,$IQ22:$OD22),SUMPRODUCT('計算A'!$D$89:$EQ$89,$DB22:$IO22))*1000+30)</f>
        <v/>
      </c>
      <c r="CL22">
        <f>IF(AR22=1,1000000,IF('計算A'!$IT$40&gt;0,0,500000)+IF('計算A'!$IQ$40=2,SUMPRODUCT('計算A'!$D$90:$EQ$90,$DB22:$IO22,$IQ22:$OD22),SUMPRODUCT('計算A'!$D$90:$EQ$90,$DB22:$IO22))*1000+31)</f>
        <v/>
      </c>
      <c r="CM22">
        <f>IF(AS22=1,1000000,IF('計算A'!$IT$41&gt;0,0,500000)+IF('計算A'!$IQ$41=2,SUMPRODUCT('計算A'!$D$91:$EQ$91,$DB22:$IO22,$IQ22:$OD22),SUMPRODUCT('計算A'!$D$91:$EQ$91,$DB22:$IO22))*1000+32)</f>
        <v/>
      </c>
      <c r="CN22">
        <f>IF(AT22=1,1000000,IF('計算A'!$IT$42&gt;0,0,500000)+IF('計算A'!$IQ$42=2,SUMPRODUCT('計算A'!$D$92:$EQ$92,$DB22:$IO22,$IQ22:$OD22),SUMPRODUCT('計算A'!$D$92:$EQ$92,$DB22:$IO22))*1000+33)</f>
        <v/>
      </c>
      <c r="CO22">
        <f>IF(AU22=1,1000000,IF('計算A'!$IT$43&gt;0,0,500000)+IF('計算A'!$IQ$43=2,SUMPRODUCT('計算A'!$D$93:$EQ$93,$DB22:$IO22,$IQ22:$OD22),SUMPRODUCT('計算A'!$D$93:$EQ$93,$DB22:$IO22))*1000+34)</f>
        <v/>
      </c>
      <c r="CP22">
        <f>IF(AV22=1,1000000,IF('計算A'!$IT$44&gt;0,0,500000)+IF('計算A'!$IQ$44=2,SUMPRODUCT('計算A'!$D$94:$EQ$94,$DB22:$IO22,$IQ22:$OD22),SUMPRODUCT('計算A'!$D$94:$EQ$94,$DB22:$IO22))*1000+35)</f>
        <v/>
      </c>
      <c r="CQ22">
        <f>IF(AW22=1,1000000,IF('計算A'!$IT$45&gt;0,0,500000)+IF('計算A'!$IQ$45=2,SUMPRODUCT('計算A'!$D$95:$EQ$95,$DB22:$IO22,$IQ22:$OD22),SUMPRODUCT('計算A'!$D$95:$EQ$95,$DB22:$IO22))*1000+36)</f>
        <v/>
      </c>
      <c r="CR22">
        <f>IF(AX22=1,1000000,IF('計算A'!$IT$46&gt;0,0,500000)+IF('計算A'!$IQ$46=2,SUMPRODUCT('計算A'!$D$96:$EQ$96,$DB22:$IO22,$IQ22:$OD22),SUMPRODUCT('計算A'!$D$96:$EQ$96,$DB22:$IO22))*1000+37)</f>
        <v/>
      </c>
      <c r="CS22">
        <f>IF(AY22=1,1000000,IF('計算A'!$IT$47&gt;0,0,500000)+IF('計算A'!$IQ$47=2,SUMPRODUCT('計算A'!$D$97:$EQ$97,$DB22:$IO22,$IQ22:$OD22),SUMPRODUCT('計算A'!$D$97:$EQ$97,$DB22:$IO22))*1000+38)</f>
        <v/>
      </c>
      <c r="CT22">
        <f>IF(AZ22=1,1000000,IF('計算A'!$IT$48&gt;0,0,500000)+IF('計算A'!$IQ$48=2,SUMPRODUCT('計算A'!$D$98:$EQ$98,$DB22:$IO22,$IQ22:$OD22),SUMPRODUCT('計算A'!$D$98:$EQ$98,$DB22:$IO22))*1000+39)</f>
        <v/>
      </c>
      <c r="CU22">
        <f>IF(BA22=1,1000000,IF('計算A'!$IT$49&gt;0,0,500000)+IF('計算A'!$IQ$49=2,SUMPRODUCT('計算A'!$D$99:$EQ$99,$DB22:$IO22,$IQ22:$OD22),SUMPRODUCT('計算A'!$D$99:$EQ$99,$DB22:$IO22))*1000+40)</f>
        <v/>
      </c>
      <c r="CV22">
        <f>IF(BB22=1,1000000,IF('計算A'!$IT$50&gt;0,0,500000)+IF('計算A'!$IQ$50=2,SUMPRODUCT('計算A'!$D$100:$EQ$100,$DB22:$IO22,$IQ22:$OD22),SUMPRODUCT('計算A'!$D$100:$EQ$100,$DB22:$IO22))*1000+41)</f>
        <v/>
      </c>
      <c r="CW22">
        <f>IF(BC22=1,1000000,IF('計算A'!$IT$51&gt;0,0,500000)+IF('計算A'!$IQ$51=2,SUMPRODUCT('計算A'!$D$101:$EQ$101,$DB22:$IO22,$IQ22:$OD22),SUMPRODUCT('計算A'!$D$101:$EQ$101,$DB22:$IO22))*1000+42)</f>
        <v/>
      </c>
      <c r="CX22">
        <f>IF(BD22=1,1000000,IF('計算A'!$IT$52&gt;0,0,500000)+IF('計算A'!$IQ$52=2,SUMPRODUCT('計算A'!$D$102:$EQ$102,$DB22:$IO22,$IQ22:$OD22),SUMPRODUCT('計算A'!$D$102:$EQ$102,$DB22:$IO22))*1000+43)</f>
        <v/>
      </c>
      <c r="CY22">
        <f>IF(BE22=1,1000000,IF('計算A'!$IT$53&gt;0,0,500000)+IF('計算A'!$IQ$53=2,SUMPRODUCT('計算A'!$D$103:$EQ$103,$DB22:$IO22,$IQ22:$OD22),SUMPRODUCT('計算A'!$D$103:$EQ$103,$DB22:$IO22))*1000+44)</f>
        <v/>
      </c>
      <c r="CZ22">
        <f>IF(BF22=1,1000000,IF('計算A'!$IT$54&gt;0,0,500000)+IF('計算A'!$IQ$54=2,SUMPRODUCT('計算A'!$D$104:$EQ$104,$DB22:$IO22,$IQ22:$OD22),SUMPRODUCT('計算A'!$D$104:$EQ$104,$DB22:$IO22))*1000+45)</f>
        <v/>
      </c>
      <c r="DB22">
        <f>DB21*IF(OR($C21=1,$G21=1),0,1)</f>
        <v/>
      </c>
      <c r="DC22">
        <f>DC21*IF(OR($C21=2,$G21=2),0,1)</f>
        <v/>
      </c>
      <c r="DD22">
        <f>DD21*IF(OR($C21=3,$G21=3),0,1)</f>
        <v/>
      </c>
      <c r="DE22">
        <f>DE21*IF(OR($C21=4,$G21=4),0,1)</f>
        <v/>
      </c>
      <c r="DF22">
        <f>DF21*IF(OR($C21=5,$G21=5),0,1)</f>
        <v/>
      </c>
      <c r="DG22">
        <f>DG21*IF(OR($C21=6,$G21=6),0,1)</f>
        <v/>
      </c>
      <c r="DH22">
        <f>DH21*IF(OR($C21=7,$G21=7),0,1)</f>
        <v/>
      </c>
      <c r="DI22">
        <f>DI21*IF(OR($C21=8,$G21=8),0,1)</f>
        <v/>
      </c>
      <c r="DJ22">
        <f>DJ21*IF(OR($C21=9,$G21=9),0,1)</f>
        <v/>
      </c>
      <c r="DK22">
        <f>DK21*IF(OR($C21=10,$G21=10),0,1)</f>
        <v/>
      </c>
      <c r="DL22">
        <f>DL21*IF(OR($C21=11,$G21=11),0,1)</f>
        <v/>
      </c>
      <c r="DM22">
        <f>DM21*IF(OR($C21=12,$G21=12),0,1)</f>
        <v/>
      </c>
      <c r="DN22">
        <f>DN21*IF(OR($C21=13,$G21=13),0,1)</f>
        <v/>
      </c>
      <c r="DO22">
        <f>DO21*IF(OR($C21=14,$G21=14),0,1)</f>
        <v/>
      </c>
      <c r="DP22">
        <f>DP21*IF(OR($C21=15,$G21=15),0,1)</f>
        <v/>
      </c>
      <c r="DQ22">
        <f>DQ21*IF(OR($C21=16,$G21=16),0,1)</f>
        <v/>
      </c>
      <c r="DR22">
        <f>DR21*IF(OR($C21=17,$G21=17),0,1)</f>
        <v/>
      </c>
      <c r="DS22">
        <f>DS21*IF(OR($C21=18,$G21=18),0,1)</f>
        <v/>
      </c>
      <c r="DT22">
        <f>DT21*IF(OR($C21=19,$G21=19),0,1)</f>
        <v/>
      </c>
      <c r="DU22">
        <f>DU21*IF(OR($C21=20,$G21=20),0,1)</f>
        <v/>
      </c>
      <c r="DV22">
        <f>DV21*IF(OR($C21=21,$G21=21),0,1)</f>
        <v/>
      </c>
      <c r="DW22">
        <f>DW21*IF(OR($C21=22,$G21=22),0,1)</f>
        <v/>
      </c>
      <c r="DX22">
        <f>DX21*IF(OR($C21=23,$G21=23),0,1)</f>
        <v/>
      </c>
      <c r="DY22">
        <f>DY21*IF(OR($C21=24,$G21=24),0,1)</f>
        <v/>
      </c>
      <c r="DZ22">
        <f>DZ21*IF(OR($C21=25,$G21=25),0,1)</f>
        <v/>
      </c>
      <c r="EA22">
        <f>EA21*IF(OR($C21=26,$G21=26),0,1)</f>
        <v/>
      </c>
      <c r="EB22">
        <f>EB21*IF(OR($C21=27,$G21=27),0,1)</f>
        <v/>
      </c>
      <c r="EC22">
        <f>EC21*IF(OR($C21=28,$G21=28),0,1)</f>
        <v/>
      </c>
      <c r="ED22">
        <f>ED21*IF(OR($C21=29,$G21=29),0,1)</f>
        <v/>
      </c>
      <c r="EE22">
        <f>EE21*IF(OR($C21=30,$G21=30),0,1)</f>
        <v/>
      </c>
      <c r="EF22">
        <f>EF21*IF(OR($C21=31,$G21=31),0,1)</f>
        <v/>
      </c>
      <c r="EG22">
        <f>EG21*IF(OR($C21=32,$G21=32),0,1)</f>
        <v/>
      </c>
      <c r="EH22">
        <f>EH21*IF(OR($C21=33,$G21=33),0,1)</f>
        <v/>
      </c>
      <c r="EI22">
        <f>EI21*IF(OR($C21=34,$G21=34),0,1)</f>
        <v/>
      </c>
      <c r="EJ22">
        <f>EJ21*IF(OR($C21=35,$G21=35),0,1)</f>
        <v/>
      </c>
      <c r="EK22">
        <f>EK21*IF(OR($C21=36,$G21=36),0,1)</f>
        <v/>
      </c>
      <c r="EL22">
        <f>EL21*IF(OR($C21=37,$G21=37),0,1)</f>
        <v/>
      </c>
      <c r="EM22">
        <f>EM21*IF(OR($C21=38,$G21=38),0,1)</f>
        <v/>
      </c>
      <c r="EN22">
        <f>EN21*IF(OR($C21=39,$G21=39),0,1)</f>
        <v/>
      </c>
      <c r="EO22">
        <f>EO21*IF(OR($C21=40,$G21=40),0,1)</f>
        <v/>
      </c>
      <c r="EP22">
        <f>EP21*IF(OR($C21=41,$G21=41),0,1)</f>
        <v/>
      </c>
      <c r="EQ22">
        <f>EQ21*IF(OR($C21=42,$G21=42),0,1)</f>
        <v/>
      </c>
      <c r="ER22">
        <f>ER21*IF(OR($C21=43,$G21=43),0,1)</f>
        <v/>
      </c>
      <c r="ES22">
        <f>ES21*IF(OR($C21=44,$G21=44),0,1)</f>
        <v/>
      </c>
      <c r="ET22">
        <f>ET21*IF(OR($C21=45,$G21=45),0,1)</f>
        <v/>
      </c>
      <c r="EU22">
        <f>EU21*IF(OR($C21=46,$G21=46),0,1)</f>
        <v/>
      </c>
      <c r="EV22">
        <f>EV21*IF(OR($C21=47,$G21=47),0,1)</f>
        <v/>
      </c>
      <c r="EW22">
        <f>EW21*IF(OR($C21=48,$G21=48),0,1)</f>
        <v/>
      </c>
      <c r="EX22">
        <f>EX21*IF(OR($C21=49,$G21=49),0,1)</f>
        <v/>
      </c>
      <c r="EY22">
        <f>EY21*IF(OR($C21=50,$G21=50),0,1)</f>
        <v/>
      </c>
      <c r="EZ22">
        <f>EZ21*IF(OR($C21=51,$G21=51),0,1)</f>
        <v/>
      </c>
      <c r="FA22">
        <f>FA21*IF(OR($C21=52,$G21=52),0,1)</f>
        <v/>
      </c>
      <c r="FB22">
        <f>FB21*IF(OR($C21=53,$G21=53),0,1)</f>
        <v/>
      </c>
      <c r="FC22">
        <f>FC21*IF(OR($C21=54,$G21=54),0,1)</f>
        <v/>
      </c>
      <c r="FD22">
        <f>FD21*IF(OR($C21=55,$G21=55),0,1)</f>
        <v/>
      </c>
      <c r="FE22">
        <f>FE21*IF(OR($C21=56,$G21=56),0,1)</f>
        <v/>
      </c>
      <c r="FF22">
        <f>FF21*IF(OR($C21=57,$G21=57),0,1)</f>
        <v/>
      </c>
      <c r="FG22">
        <f>FG21*IF(OR($C21=58,$G21=58),0,1)</f>
        <v/>
      </c>
      <c r="FH22">
        <f>FH21*IF(OR($C21=59,$G21=59),0,1)</f>
        <v/>
      </c>
      <c r="FI22">
        <f>FI21*IF(OR($C21=60,$G21=60),0,1)</f>
        <v/>
      </c>
      <c r="FJ22">
        <f>FJ21*IF(OR($C21=61,$G21=61),0,1)</f>
        <v/>
      </c>
      <c r="FK22">
        <f>FK21*IF(OR($C21=62,$G21=62),0,1)</f>
        <v/>
      </c>
      <c r="FL22">
        <f>FL21*IF(OR($C21=63,$G21=63),0,1)</f>
        <v/>
      </c>
      <c r="FM22">
        <f>FM21*IF(OR($C21=64,$G21=64),0,1)</f>
        <v/>
      </c>
      <c r="FN22">
        <f>FN21*IF(OR($C21=65,$G21=65),0,1)</f>
        <v/>
      </c>
      <c r="FO22">
        <f>FO21*IF(OR($C21=66,$G21=66),0,1)</f>
        <v/>
      </c>
      <c r="FP22">
        <f>FP21*IF(OR($C21=67,$G21=67),0,1)</f>
        <v/>
      </c>
      <c r="FQ22">
        <f>FQ21*IF(OR($C21=68,$G21=68),0,1)</f>
        <v/>
      </c>
      <c r="FR22">
        <f>FR21*IF(OR($C21=69,$G21=69),0,1)</f>
        <v/>
      </c>
      <c r="FS22">
        <f>FS21*IF(OR($C21=70,$G21=70),0,1)</f>
        <v/>
      </c>
      <c r="FT22">
        <f>FT21*IF(OR($C21=71,$G21=71),0,1)</f>
        <v/>
      </c>
      <c r="FU22">
        <f>FU21*IF(OR($C21=72,$G21=72),0,1)</f>
        <v/>
      </c>
      <c r="FV22">
        <f>FV21*IF(OR($C21=73,$G21=73),0,1)</f>
        <v/>
      </c>
      <c r="FW22">
        <f>FW21*IF(OR($C21=74,$G21=74),0,1)</f>
        <v/>
      </c>
      <c r="FX22">
        <f>FX21*IF(OR($C21=75,$G21=75),0,1)</f>
        <v/>
      </c>
      <c r="FY22">
        <f>FY21*IF(OR($C21=76,$G21=76),0,1)</f>
        <v/>
      </c>
      <c r="FZ22">
        <f>FZ21*IF(OR($C21=77,$G21=77),0,1)</f>
        <v/>
      </c>
      <c r="GA22">
        <f>GA21*IF(OR($C21=78,$G21=78),0,1)</f>
        <v/>
      </c>
      <c r="GB22">
        <f>GB21*IF(OR($C21=79,$G21=79),0,1)</f>
        <v/>
      </c>
      <c r="GC22">
        <f>GC21*IF(OR($C21=80,$G21=80),0,1)</f>
        <v/>
      </c>
      <c r="GD22">
        <f>GD21*IF(OR($C21=81,$G21=81),0,1)</f>
        <v/>
      </c>
      <c r="GE22">
        <f>GE21*IF(OR($C21=82,$G21=82),0,1)</f>
        <v/>
      </c>
      <c r="GF22">
        <f>GF21*IF(OR($C21=83,$G21=83),0,1)</f>
        <v/>
      </c>
      <c r="GG22">
        <f>GG21*IF(OR($C21=84,$G21=84),0,1)</f>
        <v/>
      </c>
      <c r="GH22">
        <f>GH21*IF(OR($C21=85,$G21=85),0,1)</f>
        <v/>
      </c>
      <c r="GI22">
        <f>GI21*IF(OR($C21=86,$G21=86),0,1)</f>
        <v/>
      </c>
      <c r="GJ22">
        <f>GJ21*IF(OR($C21=87,$G21=87),0,1)</f>
        <v/>
      </c>
      <c r="GK22">
        <f>GK21*IF(OR($C21=88,$G21=88),0,1)</f>
        <v/>
      </c>
      <c r="GL22">
        <f>GL21*IF(OR($C21=89,$G21=89),0,1)</f>
        <v/>
      </c>
      <c r="GM22">
        <f>GM21*IF(OR($C21=90,$G21=90),0,1)</f>
        <v/>
      </c>
      <c r="GN22">
        <f>GN21*IF(OR($C21=91,$G21=91),0,1)</f>
        <v/>
      </c>
      <c r="GO22">
        <f>GO21*IF(OR($C21=92,$G21=92),0,1)</f>
        <v/>
      </c>
      <c r="GP22">
        <f>GP21*IF(OR($C21=93,$G21=93),0,1)</f>
        <v/>
      </c>
      <c r="GQ22">
        <f>GQ21*IF(OR($C21=94,$G21=94),0,1)</f>
        <v/>
      </c>
      <c r="GR22">
        <f>GR21*IF(OR($C21=95,$G21=95),0,1)</f>
        <v/>
      </c>
      <c r="GS22">
        <f>GS21*IF(OR($C21=96,$G21=96),0,1)</f>
        <v/>
      </c>
      <c r="GT22">
        <f>GT21*IF(OR($C21=97,$G21=97),0,1)</f>
        <v/>
      </c>
      <c r="GU22">
        <f>GU21*IF(OR($C21=98,$G21=98),0,1)</f>
        <v/>
      </c>
      <c r="GV22">
        <f>GV21*IF(OR($C21=99,$G21=99),0,1)</f>
        <v/>
      </c>
      <c r="GW22">
        <f>GW21*IF(OR($C21=100,$G21=100),0,1)</f>
        <v/>
      </c>
      <c r="GX22">
        <f>GX21*IF(OR($C21=101,$G21=101),0,1)</f>
        <v/>
      </c>
      <c r="GY22">
        <f>GY21*IF(OR($C21=102,$G21=102),0,1)</f>
        <v/>
      </c>
      <c r="GZ22">
        <f>GZ21*IF(OR($C21=103,$G21=103),0,1)</f>
        <v/>
      </c>
      <c r="HA22">
        <f>HA21*IF(OR($C21=104,$G21=104),0,1)</f>
        <v/>
      </c>
      <c r="HB22">
        <f>HB21*IF(OR($C21=105,$G21=105),0,1)</f>
        <v/>
      </c>
      <c r="HC22">
        <f>HC21*IF(OR($C21=106,$G21=106),0,1)</f>
        <v/>
      </c>
      <c r="HD22">
        <f>HD21*IF(OR($C21=107,$G21=107),0,1)</f>
        <v/>
      </c>
      <c r="HE22">
        <f>HE21*IF(OR($C21=108,$G21=108),0,1)</f>
        <v/>
      </c>
      <c r="HF22">
        <f>HF21*IF(OR($C21=109,$G21=109),0,1)</f>
        <v/>
      </c>
      <c r="HG22">
        <f>HG21*IF(OR($C21=110,$G21=110),0,1)</f>
        <v/>
      </c>
      <c r="HH22">
        <f>HH21*IF(OR($C21=111,$G21=111),0,1)</f>
        <v/>
      </c>
      <c r="HI22">
        <f>HI21*IF(OR($C21=112,$G21=112),0,1)</f>
        <v/>
      </c>
      <c r="HJ22">
        <f>HJ21*IF(OR($C21=113,$G21=113),0,1)</f>
        <v/>
      </c>
      <c r="HK22">
        <f>HK21*IF(OR($C21=114,$G21=114),0,1)</f>
        <v/>
      </c>
      <c r="HL22">
        <f>HL21*IF(OR($C21=115,$G21=115),0,1)</f>
        <v/>
      </c>
      <c r="HM22">
        <f>HM21*IF(OR($C21=116,$G21=116),0,1)</f>
        <v/>
      </c>
      <c r="HN22">
        <f>HN21*IF(OR($C21=117,$G21=117),0,1)</f>
        <v/>
      </c>
      <c r="HO22">
        <f>HO21*IF(OR($C21=118,$G21=118),0,1)</f>
        <v/>
      </c>
      <c r="HP22">
        <f>HP21*IF(OR($C21=119,$G21=119),0,1)</f>
        <v/>
      </c>
      <c r="HQ22">
        <f>HQ21*IF(OR($C21=120,$G21=120),0,1)</f>
        <v/>
      </c>
      <c r="HR22">
        <f>HR21*IF(OR($C21=121,$G21=121),0,1)</f>
        <v/>
      </c>
      <c r="HS22">
        <f>HS21*IF(OR($C21=122,$G21=122),0,1)</f>
        <v/>
      </c>
      <c r="HT22">
        <f>HT21*IF(OR($C21=123,$G21=123),0,1)</f>
        <v/>
      </c>
      <c r="HU22">
        <f>HU21*IF(OR($C21=124,$G21=124),0,1)</f>
        <v/>
      </c>
      <c r="HV22">
        <f>HV21*IF(OR($C21=125,$G21=125),0,1)</f>
        <v/>
      </c>
      <c r="HW22">
        <f>HW21*IF(OR($C21=126,$G21=126),0,1)</f>
        <v/>
      </c>
      <c r="HX22">
        <f>HX21*IF(OR($C21=127,$G21=127),0,1)</f>
        <v/>
      </c>
      <c r="HY22">
        <f>HY21*IF(OR($C21=128,$G21=128),0,1)</f>
        <v/>
      </c>
      <c r="HZ22">
        <f>HZ21*IF(OR($C21=129,$G21=129),0,1)</f>
        <v/>
      </c>
      <c r="IA22">
        <f>IA21*IF(OR($C21=130,$G21=130),0,1)</f>
        <v/>
      </c>
      <c r="IB22">
        <f>IB21*IF(OR($C21=131,$G21=131),0,1)</f>
        <v/>
      </c>
      <c r="IC22">
        <f>IC21*IF(OR($C21=132,$G21=132),0,1)</f>
        <v/>
      </c>
      <c r="ID22">
        <f>ID21*IF(OR($C21=133,$G21=133),0,1)</f>
        <v/>
      </c>
      <c r="IE22">
        <f>IE21*IF(OR($C21=134,$G21=134),0,1)</f>
        <v/>
      </c>
      <c r="IF22">
        <f>IF21*IF(OR($C21=135,$G21=135),0,1)</f>
        <v/>
      </c>
      <c r="IG22">
        <f>IG21*IF(OR($C21=136,$G21=136),0,1)</f>
        <v/>
      </c>
      <c r="IH22">
        <f>IH21*IF(OR($C21=137,$G21=137),0,1)</f>
        <v/>
      </c>
      <c r="II22">
        <f>II21*IF(OR($C21=138,$G21=138),0,1)</f>
        <v/>
      </c>
      <c r="IJ22">
        <f>IJ21*IF(OR($C21=139,$G21=139),0,1)</f>
        <v/>
      </c>
      <c r="IK22">
        <f>IK21*IF(OR($C21=140,$G21=140),0,1)</f>
        <v/>
      </c>
      <c r="IL22">
        <f>IL21*IF(OR($C21=141,$G21=141),0,1)</f>
        <v/>
      </c>
      <c r="IM22">
        <f>IM21*IF(OR($C21=142,$G21=142),0,1)</f>
        <v/>
      </c>
      <c r="IN22">
        <f>IN21*IF(OR($C21=143,$G21=143),0,1)</f>
        <v/>
      </c>
      <c r="IO22">
        <f>IO21*IF(OR($C21=144,$G21=144),0,1)</f>
        <v/>
      </c>
      <c r="IQ22">
        <f>IF('計算A'!D$106=1,DC22,1)</f>
        <v/>
      </c>
      <c r="IR22">
        <f>IF('計算A'!E$106=1,DD22,1)</f>
        <v/>
      </c>
      <c r="IS22">
        <f>IF('計算A'!F$106=1,DE22,1)</f>
        <v/>
      </c>
      <c r="IT22">
        <f>IF('計算A'!G$106=1,DF22,1)</f>
        <v/>
      </c>
      <c r="IU22">
        <f>IF('計算A'!H$106=1,DG22,1)</f>
        <v/>
      </c>
      <c r="IV22">
        <f>IF('計算A'!I$106=1,DH22,1)</f>
        <v/>
      </c>
      <c r="IW22">
        <f>IF('計算A'!J$106=1,DI22,1)</f>
        <v/>
      </c>
      <c r="IX22">
        <f>IF('計算A'!K$106=1,DJ22,1)</f>
        <v/>
      </c>
      <c r="IY22">
        <f>IF('計算A'!L$106=1,DK22,1)</f>
        <v/>
      </c>
      <c r="IZ22">
        <f>IF('計算A'!M$106=1,DL22,1)</f>
        <v/>
      </c>
      <c r="JA22">
        <f>IF('計算A'!N$106=1,DM22,1)</f>
        <v/>
      </c>
      <c r="JB22">
        <f>IF('計算A'!O$106=1,DN22,1)</f>
        <v/>
      </c>
      <c r="JC22">
        <f>IF('計算A'!P$106=1,DO22,1)</f>
        <v/>
      </c>
      <c r="JD22">
        <f>IF('計算A'!Q$106=1,DP22,1)</f>
        <v/>
      </c>
      <c r="JE22">
        <f>IF('計算A'!R$106=1,DQ22,1)</f>
        <v/>
      </c>
      <c r="JF22">
        <f>IF('計算A'!S$106=1,DR22,1)</f>
        <v/>
      </c>
      <c r="JG22">
        <f>IF('計算A'!T$106=1,DS22,1)</f>
        <v/>
      </c>
      <c r="JH22">
        <f>IF('計算A'!U$106=1,DT22,1)</f>
        <v/>
      </c>
      <c r="JI22">
        <f>IF('計算A'!V$106=1,DU22,1)</f>
        <v/>
      </c>
      <c r="JJ22">
        <f>IF('計算A'!W$106=1,DV22,1)</f>
        <v/>
      </c>
      <c r="JK22">
        <f>IF('計算A'!X$106=1,DW22,1)</f>
        <v/>
      </c>
      <c r="JL22">
        <f>IF('計算A'!Y$106=1,DX22,1)</f>
        <v/>
      </c>
      <c r="JM22">
        <f>IF('計算A'!Z$106=1,DY22,1)</f>
        <v/>
      </c>
      <c r="JN22">
        <f>IF('計算A'!AA$106=1,DZ22,1)</f>
        <v/>
      </c>
      <c r="JO22">
        <f>IF('計算A'!AB$106=1,EA22,1)</f>
        <v/>
      </c>
      <c r="JP22">
        <f>IF('計算A'!AC$106=1,EB22,1)</f>
        <v/>
      </c>
      <c r="JQ22">
        <f>IF('計算A'!AD$106=1,EC22,1)</f>
        <v/>
      </c>
      <c r="JR22">
        <f>IF('計算A'!AE$106=1,ED22,1)</f>
        <v/>
      </c>
      <c r="JS22">
        <f>IF('計算A'!AF$106=1,EE22,1)</f>
        <v/>
      </c>
      <c r="JT22">
        <f>IF('計算A'!AG$106=1,EF22,1)</f>
        <v/>
      </c>
      <c r="JU22">
        <f>IF('計算A'!AH$106=1,EG22,1)</f>
        <v/>
      </c>
      <c r="JV22">
        <f>IF('計算A'!AI$106=1,EH22,1)</f>
        <v/>
      </c>
      <c r="JW22">
        <f>IF('計算A'!AJ$106=1,EI22,1)</f>
        <v/>
      </c>
      <c r="JX22">
        <f>IF('計算A'!AK$106=1,EJ22,1)</f>
        <v/>
      </c>
      <c r="JY22">
        <f>IF('計算A'!AL$106=1,EK22,1)</f>
        <v/>
      </c>
      <c r="JZ22">
        <f>IF('計算A'!AM$106=1,EL22,1)</f>
        <v/>
      </c>
      <c r="KA22">
        <f>IF('計算A'!AN$106=1,EM22,1)</f>
        <v/>
      </c>
      <c r="KB22">
        <f>IF('計算A'!AO$106=1,EN22,1)</f>
        <v/>
      </c>
      <c r="KC22">
        <f>IF('計算A'!AP$106=1,EO22,1)</f>
        <v/>
      </c>
      <c r="KD22">
        <f>IF('計算A'!AQ$106=1,EP22,1)</f>
        <v/>
      </c>
      <c r="KE22">
        <f>IF('計算A'!AR$106=1,EQ22,1)</f>
        <v/>
      </c>
      <c r="KF22">
        <f>IF('計算A'!AS$106=1,ER22,1)</f>
        <v/>
      </c>
      <c r="KG22">
        <f>IF('計算A'!AT$106=1,ES22,1)</f>
        <v/>
      </c>
      <c r="KH22">
        <f>IF('計算A'!AU$106=1,ET22,1)</f>
        <v/>
      </c>
      <c r="KI22">
        <f>IF('計算A'!AV$106=1,EU22,1)</f>
        <v/>
      </c>
      <c r="KJ22">
        <f>IF('計算A'!AW$106=1,EV22,1)</f>
        <v/>
      </c>
      <c r="KK22">
        <f>IF('計算A'!AX$106=1,EW22,1)</f>
        <v/>
      </c>
      <c r="KL22">
        <f>IF('計算A'!AY$106=1,EX22,1)</f>
        <v/>
      </c>
      <c r="KM22">
        <f>IF('計算A'!AZ$106=1,EY22,1)</f>
        <v/>
      </c>
      <c r="KN22">
        <f>IF('計算A'!BA$106=1,EZ22,1)</f>
        <v/>
      </c>
      <c r="KO22">
        <f>IF('計算A'!BB$106=1,FA22,1)</f>
        <v/>
      </c>
      <c r="KP22">
        <f>IF('計算A'!BC$106=1,FB22,1)</f>
        <v/>
      </c>
      <c r="KQ22">
        <f>IF('計算A'!BD$106=1,FC22,1)</f>
        <v/>
      </c>
      <c r="KR22">
        <f>IF('計算A'!BE$106=1,FD22,1)</f>
        <v/>
      </c>
      <c r="KS22">
        <f>IF('計算A'!BF$106=1,FE22,1)</f>
        <v/>
      </c>
      <c r="KT22">
        <f>IF('計算A'!BG$106=1,FF22,1)</f>
        <v/>
      </c>
      <c r="KU22">
        <f>IF('計算A'!BH$106=1,FG22,1)</f>
        <v/>
      </c>
      <c r="KV22">
        <f>IF('計算A'!BI$106=1,FH22,1)</f>
        <v/>
      </c>
      <c r="KW22">
        <f>IF('計算A'!BJ$106=1,FI22,1)</f>
        <v/>
      </c>
      <c r="KX22">
        <f>IF('計算A'!BK$106=1,FJ22,1)</f>
        <v/>
      </c>
      <c r="KY22">
        <f>IF('計算A'!BL$106=1,FK22,1)</f>
        <v/>
      </c>
      <c r="KZ22">
        <f>IF('計算A'!BM$106=1,FL22,1)</f>
        <v/>
      </c>
      <c r="LA22">
        <f>IF('計算A'!BN$106=1,FM22,1)</f>
        <v/>
      </c>
      <c r="LB22">
        <f>IF('計算A'!BO$106=1,FN22,1)</f>
        <v/>
      </c>
      <c r="LC22">
        <f>IF('計算A'!BP$106=1,FO22,1)</f>
        <v/>
      </c>
      <c r="LD22">
        <f>IF('計算A'!BQ$106=1,FP22,1)</f>
        <v/>
      </c>
      <c r="LE22">
        <f>IF('計算A'!BR$106=1,FQ22,1)</f>
        <v/>
      </c>
      <c r="LF22">
        <f>IF('計算A'!BS$106=1,FR22,1)</f>
        <v/>
      </c>
      <c r="LG22">
        <f>IF('計算A'!BT$106=1,FS22,1)</f>
        <v/>
      </c>
      <c r="LH22">
        <f>IF('計算A'!BU$106=1,FT22,1)</f>
        <v/>
      </c>
      <c r="LI22">
        <f>IF('計算A'!BV$106=1,FU22,1)</f>
        <v/>
      </c>
      <c r="LJ22">
        <f>IF('計算A'!BW$106=1,FV22,1)</f>
        <v/>
      </c>
      <c r="LK22">
        <f>IF('計算A'!BX$106=1,FW22,1)</f>
        <v/>
      </c>
      <c r="LL22">
        <f>IF('計算A'!BY$106=1,FX22,1)</f>
        <v/>
      </c>
      <c r="LM22">
        <f>IF('計算A'!BZ$106=1,FY22,1)</f>
        <v/>
      </c>
      <c r="LN22">
        <f>IF('計算A'!CA$106=1,FZ22,1)</f>
        <v/>
      </c>
      <c r="LO22">
        <f>IF('計算A'!CB$106=1,GA22,1)</f>
        <v/>
      </c>
      <c r="LP22">
        <f>IF('計算A'!CC$106=1,GB22,1)</f>
        <v/>
      </c>
      <c r="LQ22">
        <f>IF('計算A'!CD$106=1,GC22,1)</f>
        <v/>
      </c>
      <c r="LR22">
        <f>IF('計算A'!CE$106=1,GD22,1)</f>
        <v/>
      </c>
      <c r="LS22">
        <f>IF('計算A'!CF$106=1,GE22,1)</f>
        <v/>
      </c>
      <c r="LT22">
        <f>IF('計算A'!CG$106=1,GF22,1)</f>
        <v/>
      </c>
      <c r="LU22">
        <f>IF('計算A'!CH$106=1,GG22,1)</f>
        <v/>
      </c>
      <c r="LV22">
        <f>IF('計算A'!CI$106=1,GH22,1)</f>
        <v/>
      </c>
      <c r="LW22">
        <f>IF('計算A'!CJ$106=1,GI22,1)</f>
        <v/>
      </c>
      <c r="LX22">
        <f>IF('計算A'!CK$106=1,GJ22,1)</f>
        <v/>
      </c>
      <c r="LY22">
        <f>IF('計算A'!CL$106=1,GK22,1)</f>
        <v/>
      </c>
      <c r="LZ22">
        <f>IF('計算A'!CM$106=1,GL22,1)</f>
        <v/>
      </c>
      <c r="MA22">
        <f>IF('計算A'!CN$106=1,GM22,1)</f>
        <v/>
      </c>
      <c r="MB22">
        <f>IF('計算A'!CO$106=1,GN22,1)</f>
        <v/>
      </c>
      <c r="MC22">
        <f>IF('計算A'!CP$106=1,GO22,1)</f>
        <v/>
      </c>
      <c r="MD22">
        <f>IF('計算A'!CQ$106=1,GP22,1)</f>
        <v/>
      </c>
      <c r="ME22">
        <f>IF('計算A'!CR$106=1,GQ22,1)</f>
        <v/>
      </c>
      <c r="MF22">
        <f>IF('計算A'!CS$106=1,GR22,1)</f>
        <v/>
      </c>
      <c r="MG22">
        <f>IF('計算A'!CT$106=1,GS22,1)</f>
        <v/>
      </c>
      <c r="MH22">
        <f>IF('計算A'!CU$106=1,GT22,1)</f>
        <v/>
      </c>
      <c r="MI22">
        <f>IF('計算A'!CV$106=1,GU22,1)</f>
        <v/>
      </c>
      <c r="MJ22">
        <f>IF('計算A'!CW$106=1,GV22,1)</f>
        <v/>
      </c>
      <c r="MK22">
        <f>IF('計算A'!CX$106=1,GW22,1)</f>
        <v/>
      </c>
      <c r="ML22">
        <f>IF('計算A'!CY$106=1,GX22,1)</f>
        <v/>
      </c>
      <c r="MM22">
        <f>IF('計算A'!CZ$106=1,GY22,1)</f>
        <v/>
      </c>
      <c r="MN22">
        <f>IF('計算A'!DA$106=1,GZ22,1)</f>
        <v/>
      </c>
      <c r="MO22">
        <f>IF('計算A'!DB$106=1,HA22,1)</f>
        <v/>
      </c>
      <c r="MP22">
        <f>IF('計算A'!DC$106=1,HB22,1)</f>
        <v/>
      </c>
      <c r="MQ22">
        <f>IF('計算A'!DD$106=1,HC22,1)</f>
        <v/>
      </c>
      <c r="MR22">
        <f>IF('計算A'!DE$106=1,HD22,1)</f>
        <v/>
      </c>
      <c r="MS22">
        <f>IF('計算A'!DF$106=1,HE22,1)</f>
        <v/>
      </c>
      <c r="MT22">
        <f>IF('計算A'!DG$106=1,HF22,1)</f>
        <v/>
      </c>
      <c r="MU22">
        <f>IF('計算A'!DH$106=1,HG22,1)</f>
        <v/>
      </c>
      <c r="MV22">
        <f>IF('計算A'!DI$106=1,HH22,1)</f>
        <v/>
      </c>
      <c r="MW22">
        <f>IF('計算A'!DJ$106=1,HI22,1)</f>
        <v/>
      </c>
      <c r="MX22">
        <f>IF('計算A'!DK$106=1,HJ22,1)</f>
        <v/>
      </c>
      <c r="MY22">
        <f>IF('計算A'!DL$106=1,HK22,1)</f>
        <v/>
      </c>
      <c r="MZ22">
        <f>IF('計算A'!DM$106=1,HL22,1)</f>
        <v/>
      </c>
      <c r="NA22">
        <f>IF('計算A'!DN$106=1,HM22,1)</f>
        <v/>
      </c>
      <c r="NB22">
        <f>IF('計算A'!DO$106=1,HN22,1)</f>
        <v/>
      </c>
      <c r="NC22">
        <f>IF('計算A'!DP$106=1,HO22,1)</f>
        <v/>
      </c>
      <c r="ND22">
        <f>IF('計算A'!DQ$106=1,HP22,1)</f>
        <v/>
      </c>
      <c r="NE22">
        <f>IF('計算A'!DR$106=1,HQ22,1)</f>
        <v/>
      </c>
      <c r="NF22">
        <f>IF('計算A'!DS$106=1,HR22,1)</f>
        <v/>
      </c>
      <c r="NG22">
        <f>IF('計算A'!DT$106=1,HS22,1)</f>
        <v/>
      </c>
      <c r="NH22">
        <f>IF('計算A'!DU$106=1,HT22,1)</f>
        <v/>
      </c>
      <c r="NI22">
        <f>IF('計算A'!DV$106=1,HU22,1)</f>
        <v/>
      </c>
      <c r="NJ22">
        <f>IF('計算A'!DW$106=1,HV22,1)</f>
        <v/>
      </c>
      <c r="NK22">
        <f>IF('計算A'!DX$106=1,HW22,1)</f>
        <v/>
      </c>
      <c r="NL22">
        <f>IF('計算A'!DY$106=1,HX22,1)</f>
        <v/>
      </c>
      <c r="NM22">
        <f>IF('計算A'!DZ$106=1,HY22,1)</f>
        <v/>
      </c>
      <c r="NN22">
        <f>IF('計算A'!EA$106=1,HZ22,1)</f>
        <v/>
      </c>
      <c r="NO22">
        <f>IF('計算A'!EB$106=1,IA22,1)</f>
        <v/>
      </c>
      <c r="NP22">
        <f>IF('計算A'!EC$106=1,IB22,1)</f>
        <v/>
      </c>
      <c r="NQ22">
        <f>IF('計算A'!ED$106=1,IC22,1)</f>
        <v/>
      </c>
      <c r="NR22">
        <f>IF('計算A'!EE$106=1,ID22,1)</f>
        <v/>
      </c>
      <c r="NS22">
        <f>IF('計算A'!EF$106=1,IE22,1)</f>
        <v/>
      </c>
      <c r="NT22">
        <f>IF('計算A'!EG$106=1,IF22,1)</f>
        <v/>
      </c>
      <c r="NU22">
        <f>IF('計算A'!EH$106=1,IG22,1)</f>
        <v/>
      </c>
      <c r="NV22">
        <f>IF('計算A'!EI$106=1,IH22,1)</f>
        <v/>
      </c>
      <c r="NW22">
        <f>IF('計算A'!EJ$106=1,II22,1)</f>
        <v/>
      </c>
      <c r="NX22">
        <f>IF('計算A'!EK$106=1,IJ22,1)</f>
        <v/>
      </c>
      <c r="NY22">
        <f>IF('計算A'!EL$106=1,IK22,1)</f>
        <v/>
      </c>
      <c r="NZ22">
        <f>IF('計算A'!EM$106=1,IL22,1)</f>
        <v/>
      </c>
      <c r="OA22">
        <f>IF('計算A'!EN$106=1,IM22,1)</f>
        <v/>
      </c>
      <c r="OB22">
        <f>IF('計算A'!EO$106=1,IN22,1)</f>
        <v/>
      </c>
      <c r="OC22">
        <f>IF('計算A'!EP$106=1,IO22,1)</f>
        <v/>
      </c>
      <c r="OD22" t="n">
        <v>1</v>
      </c>
      <c r="OF22">
        <f>IF($B22=0,1000000,IF(INDEX('計算A'!$D$60:$EQ$104,$B22,1)*DB22=1,IF(AND($E22=2,IQ22=0),1000000,IF($I22&gt;0,IF(1=$J22,IF(OR(AND(1=$I22+1,OR($K22&lt;&gt;'計算A'!$A$3,'計算A'!$A$4=0)),AND(1=$I22-1,OR(1&lt;&gt;'計算A'!$A$3,'計算A'!$A$4=0))),0,IF(1=$K22,200000,ABS(1-$K22)*100)),100000+ABS(1-$J22)*1000+10)+'計算A'!D$5*50+IF(AND($E22=1,IQ22=0),25,0),IF($F22&gt;0,INDEX('計算A'!D$110:D$114,$F22+1)+IF(AND($E22=1,IQ22=0),1000,0),MIN(TU22,20)*400+(IF('計算A'!D$106=1,1-DC22,0))*150+11+'計算A'!D$5*100000+IF(AND($E22=1,IQ22=0),50000,0))+IF($H22=1,(IF('計算A'!D$117=1,INDEX('計算A'!E$10:E$54,$B22),0))*4000,0)-IF(AND($L22=1,'計算A'!D$117=1,DC22=0),2000,0))),1000000))</f>
        <v/>
      </c>
      <c r="OG22">
        <f>IF($B22=0,1000000,IF(INDEX('計算A'!$D$60:$EQ$104,$B22,2)*DC22=1,IF(AND($E22=2,IR22=0),1000000,IF($I22&gt;0,IF(1=$J22,IF(OR(AND(2=$I22+1,OR($K22&lt;&gt;'計算A'!$A$3,'計算A'!$A$4=0)),AND(2=$I22-1,OR(2&lt;&gt;'計算A'!$A$3,'計算A'!$A$4=0))),0,IF(2=$K22,200000,ABS(2-$K22)*100)),100000+ABS(1-$J22)*1000+20)+'計算A'!E$5*50+IF(AND($E22=1,IR22=0),25,0),IF($F22&gt;0,INDEX('計算A'!E$110:E$114,$F22+1)+IF(AND($E22=1,IR22=0),1000,0),MIN(TU22,20)*400+(IF('計算A'!D$106=1,1-DB22,0)+IF('計算A'!E$106=1,1-DD22,0))*150+21+'計算A'!E$5*100000+IF(AND($E22=1,IR22=0),50000,0))+IF($H22=1,(IF('計算A'!D$117=1,INDEX('計算A'!D$10:D$54,$B22),0)+IF('計算A'!E$117=1,INDEX('計算A'!F$10:F$54,$B22),0))*4000,0)-IF(AND('計算A'!D$117=1,UB22&gt;0),2000,0)-IF(AND($L22=1,'計算A'!E$117=1,DD22=0),2000,0))),1000000))</f>
        <v/>
      </c>
      <c r="OH22">
        <f>IF($B22=0,1000000,IF(INDEX('計算A'!$D$60:$EQ$104,$B22,3)*DD22=1,IF(AND($E22=2,IS22=0),1000000,IF($I22&gt;0,IF(1=$J22,IF(OR(AND(3=$I22+1,OR($K22&lt;&gt;'計算A'!$A$3,'計算A'!$A$4=0)),AND(3=$I22-1,OR(3&lt;&gt;'計算A'!$A$3,'計算A'!$A$4=0))),0,IF(3=$K22,200000,ABS(3-$K22)*100)),100000+ABS(1-$J22)*1000+30)+'計算A'!F$5*50+IF(AND($E22=1,IS22=0),25,0),IF($F22&gt;0,INDEX('計算A'!F$110:F$114,$F22+1)+IF(AND($E22=1,IS22=0),1000,0),MIN(TU22,20)*400+(IF('計算A'!E$106=1,1-DC22,0)+IF('計算A'!F$106=1,1-DE22,0))*150+31+'計算A'!F$5*100000+IF(AND($E22=1,IS22=0),50000,0))+IF($H22=1,(IF('計算A'!E$117=1,INDEX('計算A'!E$10:E$54,$B22),0)+IF('計算A'!F$117=1,INDEX('計算A'!G$10:G$54,$B22),0))*4000,0)-IF(AND('計算A'!E$117=1,UC22&gt;0),2000,0)-IF(AND($L22=1,'計算A'!F$117=1,DE22=0),2000,0))),1000000))</f>
        <v/>
      </c>
      <c r="OI22">
        <f>IF($B22=0,1000000,IF(INDEX('計算A'!$D$60:$EQ$104,$B22,4)*DE22=1,IF(AND($E22=2,IT22=0),1000000,IF($I22&gt;0,IF(1=$J22,IF(OR(AND(4=$I22+1,OR($K22&lt;&gt;'計算A'!$A$3,'計算A'!$A$4=0)),AND(4=$I22-1,OR(4&lt;&gt;'計算A'!$A$3,'計算A'!$A$4=0))),0,IF(4=$K22,200000,ABS(4-$K22)*100)),100000+ABS(1-$J22)*1000+40)+'計算A'!G$5*50+IF(AND($E22=1,IT22=0),25,0),IF($F22&gt;0,INDEX('計算A'!G$110:G$114,$F22+1)+IF(AND($E22=1,IT22=0),1000,0),MIN(TU22,20)*400+(IF('計算A'!F$106=1,1-DD22,0)+IF('計算A'!G$106=1,1-DF22,0))*150+41+'計算A'!G$5*100000+IF(AND($E22=1,IT22=0),50000,0))+IF($H22=1,(IF('計算A'!F$117=1,INDEX('計算A'!F$10:F$54,$B22),0)+IF('計算A'!G$117=1,INDEX('計算A'!H$10:H$54,$B22),0))*4000,0)-IF(AND('計算A'!F$117=1,UD22&gt;0),2000,0)-IF(AND($L22=1,'計算A'!G$117=1,DF22=0),2000,0))),1000000))</f>
        <v/>
      </c>
      <c r="OJ22">
        <f>IF($B22=0,1000000,IF(INDEX('計算A'!$D$60:$EQ$104,$B22,5)*DF22=1,IF(AND($E22=2,IU22=0),1000000,IF($I22&gt;0,IF(1=$J22,IF(OR(AND(5=$I22+1,OR($K22&lt;&gt;'計算A'!$A$3,'計算A'!$A$4=0)),AND(5=$I22-1,OR(5&lt;&gt;'計算A'!$A$3,'計算A'!$A$4=0))),0,IF(5=$K22,200000,ABS(5-$K22)*100)),100000+ABS(1-$J22)*1000+50)+'計算A'!H$5*50+IF(AND($E22=1,IU22=0),25,0),IF($F22&gt;0,INDEX('計算A'!H$110:H$114,$F22+1)+IF(AND($E22=1,IU22=0),1000,0),MIN(TU22,20)*400+(IF('計算A'!G$106=1,1-DE22,0)+IF('計算A'!H$106=1,1-DG22,0))*150+51+'計算A'!H$5*100000+IF(AND($E22=1,IU22=0),50000,0))+IF($H22=1,(IF('計算A'!G$117=1,INDEX('計算A'!G$10:G$54,$B22),0)+IF('計算A'!H$117=1,INDEX('計算A'!I$10:I$54,$B22),0))*4000,0)-IF(AND('計算A'!G$117=1,UE22&gt;0),2000,0)-IF(AND($L22=1,'計算A'!H$117=1,DG22=0),2000,0))),1000000))</f>
        <v/>
      </c>
      <c r="OK22">
        <f>IF($B22=0,1000000,IF(INDEX('計算A'!$D$60:$EQ$104,$B22,6)*DG22=1,IF(AND($E22=2,IV22=0),1000000,IF($I22&gt;0,IF(1=$J22,IF(OR(AND(6=$I22+1,OR($K22&lt;&gt;'計算A'!$A$3,'計算A'!$A$4=0)),AND(6=$I22-1,OR(6&lt;&gt;'計算A'!$A$3,'計算A'!$A$4=0))),0,IF(6=$K22,200000,ABS(6-$K22)*100)),100000+ABS(1-$J22)*1000+60)+'計算A'!I$5*50+IF(AND($E22=1,IV22=0),25,0),IF($F22&gt;0,INDEX('計算A'!I$110:I$114,$F22+1)+IF(AND($E22=1,IV22=0),1000,0),MIN(TU22,20)*400+(IF('計算A'!H$106=1,1-DF22,0)+IF('計算A'!I$106=1,1-DH22,0))*150+61+'計算A'!I$5*100000+IF(AND($E22=1,IV22=0),50000,0))+IF($H22=1,(IF('計算A'!H$117=1,INDEX('計算A'!H$10:H$54,$B22),0)+IF('計算A'!I$117=1,INDEX('計算A'!J$10:J$54,$B22),0))*4000,0)-IF(AND('計算A'!H$117=1,UF22&gt;0),2000,0)-IF(AND($L22=1,'計算A'!I$117=1,DH22=0),2000,0))),1000000))</f>
        <v/>
      </c>
      <c r="OL22">
        <f>IF($B22=0,1000000,IF(INDEX('計算A'!$D$60:$EQ$104,$B22,7)*DH22=1,IF(AND($E22=2,IW22=0),1000000,IF($I22&gt;0,IF(1=$J22,IF(OR(AND(7=$I22+1,OR($K22&lt;&gt;'計算A'!$A$3,'計算A'!$A$4=0)),AND(7=$I22-1,OR(7&lt;&gt;'計算A'!$A$3,'計算A'!$A$4=0))),0,IF(7=$K22,200000,ABS(7-$K22)*100)),100000+ABS(1-$J22)*1000+70)+'計算A'!J$5*50+IF(AND($E22=1,IW22=0),25,0),IF($F22&gt;0,INDEX('計算A'!J$110:J$114,$F22+1)+IF(AND($E22=1,IW22=0),1000,0),MIN(TU22,20)*400+(IF('計算A'!I$106=1,1-DG22,0)+IF('計算A'!J$106=1,1-DI22,0))*150+71+'計算A'!J$5*100000+IF(AND($E22=1,IW22=0),50000,0))+IF($H22=1,(IF('計算A'!I$117=1,INDEX('計算A'!I$10:I$54,$B22),0)+IF('計算A'!J$117=1,INDEX('計算A'!K$10:K$54,$B22),0))*4000,0)-IF(AND('計算A'!I$117=1,UG22&gt;0),2000,0)-IF(AND($L22=1,'計算A'!J$117=1,DI22=0),2000,0))),1000000))</f>
        <v/>
      </c>
      <c r="OM22">
        <f>IF($B22=0,1000000,IF(INDEX('計算A'!$D$60:$EQ$104,$B22,8)*DI22=1,IF(AND($E22=2,IX22=0),1000000,IF($I22&gt;0,IF(1=$J22,IF(OR(AND(8=$I22+1,OR($K22&lt;&gt;'計算A'!$A$3,'計算A'!$A$4=0)),AND(8=$I22-1,OR(8&lt;&gt;'計算A'!$A$3,'計算A'!$A$4=0))),0,IF(8=$K22,200000,ABS(8-$K22)*100)),100000+ABS(1-$J22)*1000+80)+'計算A'!K$5*50+IF(AND($E22=1,IX22=0),25,0),IF($F22&gt;0,INDEX('計算A'!K$110:K$114,$F22+1)+IF(AND($E22=1,IX22=0),1000,0),MIN(TU22,20)*400+(IF('計算A'!J$106=1,1-DH22,0)+IF('計算A'!K$106=1,1-DJ22,0))*150+81+'計算A'!K$5*100000+IF(AND($E22=1,IX22=0),50000,0))+IF($H22=1,(IF('計算A'!J$117=1,INDEX('計算A'!J$10:J$54,$B22),0)+IF('計算A'!K$117=1,INDEX('計算A'!L$10:L$54,$B22),0))*4000,0)-IF(AND('計算A'!J$117=1,UH22&gt;0),2000,0)-IF(AND($L22=1,'計算A'!K$117=1,DJ22=0),2000,0))),1000000))</f>
        <v/>
      </c>
      <c r="ON22">
        <f>IF($B22=0,1000000,IF(INDEX('計算A'!$D$60:$EQ$104,$B22,9)*DJ22=1,IF(AND($E22=2,IY22=0),1000000,IF($I22&gt;0,IF(1=$J22,IF(OR(AND(9=$I22+1,OR($K22&lt;&gt;'計算A'!$A$3,'計算A'!$A$4=0)),AND(9=$I22-1,OR(9&lt;&gt;'計算A'!$A$3,'計算A'!$A$4=0))),0,IF(9=$K22,200000,ABS(9-$K22)*100)),100000+ABS(1-$J22)*1000+90)+'計算A'!L$5*50+IF(AND($E22=1,IY22=0),25,0),IF($F22&gt;0,INDEX('計算A'!L$110:L$114,$F22+1)+IF(AND($E22=1,IY22=0),1000,0),MIN(TU22,20)*400+(IF('計算A'!K$106=1,1-DI22,0)+IF('計算A'!L$106=1,1-DK22,0))*150+91+'計算A'!L$5*100000+IF(AND($E22=1,IY22=0),50000,0))+IF($H22=1,(IF('計算A'!K$117=1,INDEX('計算A'!K$10:K$54,$B22),0)+IF('計算A'!L$117=1,INDEX('計算A'!M$10:M$54,$B22),0))*4000,0)-IF(AND('計算A'!K$117=1,UI22&gt;0),2000,0)-IF(AND($L22=1,'計算A'!L$117=1,DK22=0),2000,0))),1000000))</f>
        <v/>
      </c>
      <c r="OO22">
        <f>IF($B22=0,1000000,IF(INDEX('計算A'!$D$60:$EQ$104,$B22,10)*DK22=1,IF(AND($E22=2,IZ22=0),1000000,IF($I22&gt;0,IF(1=$J22,IF(OR(AND(10=$I22+1,OR($K22&lt;&gt;'計算A'!$A$3,'計算A'!$A$4=0)),AND(10=$I22-1,OR(10&lt;&gt;'計算A'!$A$3,'計算A'!$A$4=0))),0,IF(10=$K22,200000,ABS(10-$K22)*100)),100000+ABS(1-$J22)*1000+100)+'計算A'!M$5*50+IF(AND($E22=1,IZ22=0),25,0),IF($F22&gt;0,INDEX('計算A'!M$110:M$114,$F22+1)+IF(AND($E22=1,IZ22=0),1000,0),MIN(TU22,20)*400+(IF('計算A'!L$106=1,1-DJ22,0)+IF('計算A'!M$106=1,1-DL22,0))*150+101+'計算A'!M$5*100000+IF(AND($E22=1,IZ22=0),50000,0))+IF($H22=1,(IF('計算A'!L$117=1,INDEX('計算A'!L$10:L$54,$B22),0)+IF('計算A'!M$117=1,INDEX('計算A'!N$10:N$54,$B22),0))*4000,0)-IF(AND('計算A'!L$117=1,UJ22&gt;0),2000,0)-IF(AND($L22=1,'計算A'!M$117=1,DL22=0),2000,0))),1000000))</f>
        <v/>
      </c>
      <c r="OP22">
        <f>IF($B22=0,1000000,IF(INDEX('計算A'!$D$60:$EQ$104,$B22,11)*DL22=1,IF(AND($E22=2,JA22=0),1000000,IF($I22&gt;0,IF(1=$J22,IF(OR(AND(11=$I22+1,OR($K22&lt;&gt;'計算A'!$A$3,'計算A'!$A$4=0)),AND(11=$I22-1,OR(11&lt;&gt;'計算A'!$A$3,'計算A'!$A$4=0))),0,IF(11=$K22,200000,ABS(11-$K22)*100)),100000+ABS(1-$J22)*1000+110)+'計算A'!N$5*50+IF(AND($E22=1,JA22=0),25,0),IF($F22&gt;0,INDEX('計算A'!N$110:N$114,$F22+1)+IF(AND($E22=1,JA22=0),1000,0),MIN(TU22,20)*400+(IF('計算A'!M$106=1,1-DK22,0)+IF('計算A'!N$106=1,1-DM22,0))*150+111+'計算A'!N$5*100000+IF(AND($E22=1,JA22=0),50000,0))+IF($H22=1,(IF('計算A'!M$117=1,INDEX('計算A'!M$10:M$54,$B22),0)+IF('計算A'!N$117=1,INDEX('計算A'!O$10:O$54,$B22),0))*4000,0)-IF(AND('計算A'!M$117=1,UK22&gt;0),2000,0)-IF(AND($L22=1,'計算A'!N$117=1,DM22=0),2000,0))),1000000))</f>
        <v/>
      </c>
      <c r="OQ22">
        <f>IF($B22=0,1000000,IF(INDEX('計算A'!$D$60:$EQ$104,$B22,12)*DM22=1,IF(AND($E22=2,JB22=0),1000000,IF($I22&gt;0,IF(1=$J22,IF(OR(AND(12=$I22+1,OR($K22&lt;&gt;'計算A'!$A$3,'計算A'!$A$4=0)),AND(12=$I22-1,OR(12&lt;&gt;'計算A'!$A$3,'計算A'!$A$4=0))),0,IF(12=$K22,200000,ABS(12-$K22)*100)),100000+ABS(1-$J22)*1000+120)+'計算A'!O$5*50+IF(AND($E22=1,JB22=0),25,0),IF($F22&gt;0,INDEX('計算A'!O$110:O$114,$F22+1)+IF(AND($E22=1,JB22=0),1000,0),MIN(TU22,20)*400+(IF('計算A'!N$106=1,1-DL22,0)+IF('計算A'!O$106=1,1-DN22,0))*150+121+'計算A'!O$5*100000+IF(AND($E22=1,JB22=0),50000,0))+IF($H22=1,(IF('計算A'!N$117=1,INDEX('計算A'!N$10:N$54,$B22),0)+IF('計算A'!O$117=1,INDEX('計算A'!P$10:P$54,$B22),0))*4000,0)-IF(AND('計算A'!N$117=1,UL22&gt;0),2000,0)-IF(AND($L22=1,'計算A'!O$117=1,DN22=0),2000,0))),1000000))</f>
        <v/>
      </c>
      <c r="OR22">
        <f>IF($B22=0,1000000,IF(INDEX('計算A'!$D$60:$EQ$104,$B22,13)*DN22=1,IF(AND($E22=2,JC22=0),1000000,IF($I22&gt;0,IF(1=$J22,IF(OR(AND(13=$I22+1,OR($K22&lt;&gt;'計算A'!$A$3,'計算A'!$A$4=0)),AND(13=$I22-1,OR(13&lt;&gt;'計算A'!$A$3,'計算A'!$A$4=0))),0,IF(13=$K22,200000,ABS(13-$K22)*100)),100000+ABS(1-$J22)*1000+130)+'計算A'!P$5*50+IF(AND($E22=1,JC22=0),25,0),IF($F22&gt;0,INDEX('計算A'!P$110:P$114,$F22+1)+IF(AND($E22=1,JC22=0),1000,0),MIN(TU22,20)*400+(IF('計算A'!O$106=1,1-DM22,0)+IF('計算A'!P$106=1,1-DO22,0))*150+131+'計算A'!P$5*100000+IF(AND($E22=1,JC22=0),50000,0))+IF($H22=1,(IF('計算A'!O$117=1,INDEX('計算A'!O$10:O$54,$B22),0)+IF('計算A'!P$117=1,INDEX('計算A'!Q$10:Q$54,$B22),0))*4000,0)-IF(AND('計算A'!O$117=1,UM22&gt;0),2000,0)-IF(AND($L22=1,'計算A'!P$117=1,DO22=0),2000,0))),1000000))</f>
        <v/>
      </c>
      <c r="OS22">
        <f>IF($B22=0,1000000,IF(INDEX('計算A'!$D$60:$EQ$104,$B22,14)*DO22=1,IF(AND($E22=2,JD22=0),1000000,IF($I22&gt;0,IF(1=$J22,IF(OR(AND(14=$I22+1,OR($K22&lt;&gt;'計算A'!$A$3,'計算A'!$A$4=0)),AND(14=$I22-1,OR(14&lt;&gt;'計算A'!$A$3,'計算A'!$A$4=0))),0,IF(14=$K22,200000,ABS(14-$K22)*100)),100000+ABS(1-$J22)*1000+140)+'計算A'!Q$5*50+IF(AND($E22=1,JD22=0),25,0),IF($F22&gt;0,INDEX('計算A'!Q$110:Q$114,$F22+1)+IF(AND($E22=1,JD22=0),1000,0),MIN(TU22,20)*400+(IF('計算A'!P$106=1,1-DN22,0)+IF('計算A'!Q$106=1,1-DP22,0))*150+141+'計算A'!Q$5*100000+IF(AND($E22=1,JD22=0),50000,0))+IF($H22=1,(IF('計算A'!P$117=1,INDEX('計算A'!P$10:P$54,$B22),0)+IF('計算A'!Q$117=1,INDEX('計算A'!R$10:R$54,$B22),0))*4000,0)-IF(AND('計算A'!P$117=1,UN22&gt;0),2000,0)-IF(AND($L22=1,'計算A'!Q$117=1,DP22=0),2000,0))),1000000))</f>
        <v/>
      </c>
      <c r="OT22">
        <f>IF($B22=0,1000000,IF(INDEX('計算A'!$D$60:$EQ$104,$B22,15)*DP22=1,IF(AND($E22=2,JE22=0),1000000,IF($I22&gt;0,IF(1=$J22,IF(OR(AND(15=$I22+1,OR($K22&lt;&gt;'計算A'!$A$3,'計算A'!$A$4=0)),AND(15=$I22-1,OR(15&lt;&gt;'計算A'!$A$3,'計算A'!$A$4=0))),0,IF(15=$K22,200000,ABS(15-$K22)*100)),100000+ABS(1-$J22)*1000+150)+'計算A'!R$5*50+IF(AND($E22=1,JE22=0),25,0),IF($F22&gt;0,INDEX('計算A'!R$110:R$114,$F22+1)+IF(AND($E22=1,JE22=0),1000,0),MIN(TU22,20)*400+(IF('計算A'!Q$106=1,1-DO22,0)+IF('計算A'!R$106=1,1-DQ22,0))*150+151+'計算A'!R$5*100000+IF(AND($E22=1,JE22=0),50000,0))+IF($H22=1,(IF('計算A'!Q$117=1,INDEX('計算A'!Q$10:Q$54,$B22),0)+IF('計算A'!R$117=1,INDEX('計算A'!S$10:S$54,$B22),0))*4000,0)-IF(AND('計算A'!Q$117=1,UO22&gt;0),2000,0)-IF(AND($L22=1,'計算A'!R$117=1,DQ22=0),2000,0))),1000000))</f>
        <v/>
      </c>
      <c r="OU22">
        <f>IF($B22=0,1000000,IF(INDEX('計算A'!$D$60:$EQ$104,$B22,16)*DQ22=1,IF(AND($E22=2,JF22=0),1000000,IF($I22&gt;0,IF(1=$J22,IF(OR(AND(16=$I22+1,OR($K22&lt;&gt;'計算A'!$A$3,'計算A'!$A$4=0)),AND(16=$I22-1,OR(16&lt;&gt;'計算A'!$A$3,'計算A'!$A$4=0))),0,IF(16=$K22,200000,ABS(16-$K22)*100)),100000+ABS(1-$J22)*1000+160)+'計算A'!S$5*50+IF(AND($E22=1,JF22=0),25,0),IF($F22&gt;0,INDEX('計算A'!S$110:S$114,$F22+1)+IF(AND($E22=1,JF22=0),1000,0),MIN(TU22,20)*400+(IF('計算A'!R$106=1,1-DP22,0)+IF('計算A'!S$106=1,1-DR22,0))*150+161+'計算A'!S$5*100000+IF(AND($E22=1,JF22=0),50000,0))+IF($H22=1,(IF('計算A'!R$117=1,INDEX('計算A'!R$10:R$54,$B22),0)+IF('計算A'!S$117=1,INDEX('計算A'!T$10:T$54,$B22),0))*4000,0)-IF(AND('計算A'!R$117=1,UP22&gt;0),2000,0)-IF(AND($L22=1,'計算A'!S$117=1,DR22=0),2000,0))),1000000))</f>
        <v/>
      </c>
      <c r="OV22">
        <f>IF($B22=0,1000000,IF(INDEX('計算A'!$D$60:$EQ$104,$B22,17)*DR22=1,IF(AND($E22=2,JG22=0),1000000,IF($I22&gt;0,IF(1=$J22,IF(OR(AND(17=$I22+1,OR($K22&lt;&gt;'計算A'!$A$3,'計算A'!$A$4=0)),AND(17=$I22-1,OR(17&lt;&gt;'計算A'!$A$3,'計算A'!$A$4=0))),0,IF(17=$K22,200000,ABS(17-$K22)*100)),100000+ABS(1-$J22)*1000+170)+'計算A'!T$5*50+IF(AND($E22=1,JG22=0),25,0),IF($F22&gt;0,INDEX('計算A'!T$110:T$114,$F22+1)+IF(AND($E22=1,JG22=0),1000,0),MIN(TU22,20)*400+(IF('計算A'!S$106=1,1-DQ22,0)+IF('計算A'!T$106=1,1-DS22,0))*150+171+'計算A'!T$5*100000+IF(AND($E22=1,JG22=0),50000,0))+IF($H22=1,(IF('計算A'!S$117=1,INDEX('計算A'!S$10:S$54,$B22),0)+IF('計算A'!T$117=1,INDEX('計算A'!U$10:U$54,$B22),0))*4000,0)-IF(AND('計算A'!S$117=1,UQ22&gt;0),2000,0)-IF(AND($L22=1,'計算A'!T$117=1,DS22=0),2000,0))),1000000))</f>
        <v/>
      </c>
      <c r="OW22">
        <f>IF($B22=0,1000000,IF(INDEX('計算A'!$D$60:$EQ$104,$B22,18)*DS22=1,IF(AND($E22=2,JH22=0),1000000,IF($I22&gt;0,IF(1=$J22,IF(OR(AND(18=$I22+1,OR($K22&lt;&gt;'計算A'!$A$3,'計算A'!$A$4=0)),AND(18=$I22-1,OR(18&lt;&gt;'計算A'!$A$3,'計算A'!$A$4=0))),0,IF(18=$K22,200000,ABS(18-$K22)*100)),100000+ABS(1-$J22)*1000+180)+'計算A'!U$5*50+IF(AND($E22=1,JH22=0),25,0),IF($F22&gt;0,INDEX('計算A'!U$110:U$114,$F22+1)+IF(AND($E22=1,JH22=0),1000,0),MIN(TU22,20)*400+(IF('計算A'!T$106=1,1-DR22,0)+IF('計算A'!U$106=1,1-DT22,0))*150+181+'計算A'!U$5*100000+IF(AND($E22=1,JH22=0),50000,0))+IF($H22=1,(IF('計算A'!T$117=1,INDEX('計算A'!T$10:T$54,$B22),0)+IF('計算A'!U$117=1,INDEX('計算A'!V$10:V$54,$B22),0))*4000,0)-IF(AND('計算A'!T$117=1,UR22&gt;0),2000,0)-IF(AND($L22=1,'計算A'!U$117=1,DT22=0),2000,0))),1000000))</f>
        <v/>
      </c>
      <c r="OX22">
        <f>IF($B22=0,1000000,IF(INDEX('計算A'!$D$60:$EQ$104,$B22,19)*DT22=1,IF(AND($E22=2,JI22=0),1000000,IF($I22&gt;0,IF(1=$J22,IF(OR(AND(19=$I22+1,OR($K22&lt;&gt;'計算A'!$A$3,'計算A'!$A$4=0)),AND(19=$I22-1,OR(19&lt;&gt;'計算A'!$A$3,'計算A'!$A$4=0))),0,IF(19=$K22,200000,ABS(19-$K22)*100)),100000+ABS(1-$J22)*1000+190)+'計算A'!V$5*50+IF(AND($E22=1,JI22=0),25,0),IF($F22&gt;0,INDEX('計算A'!V$110:V$114,$F22+1)+IF(AND($E22=1,JI22=0),1000,0),MIN(TU22,20)*400+(IF('計算A'!U$106=1,1-DS22,0)+IF('計算A'!V$106=1,1-DU22,0))*150+191+'計算A'!V$5*100000+IF(AND($E22=1,JI22=0),50000,0))+IF($H22=1,(IF('計算A'!U$117=1,INDEX('計算A'!U$10:U$54,$B22),0)+IF('計算A'!V$117=1,INDEX('計算A'!W$10:W$54,$B22),0))*4000,0)-IF(AND('計算A'!U$117=1,US22&gt;0),2000,0)-IF(AND($L22=1,'計算A'!V$117=1,DU22=0),2000,0))),1000000))</f>
        <v/>
      </c>
      <c r="OY22">
        <f>IF($B22=0,1000000,IF(INDEX('計算A'!$D$60:$EQ$104,$B22,20)*DU22=1,IF(AND($E22=2,JJ22=0),1000000,IF($I22&gt;0,IF(1=$J22,IF(OR(AND(20=$I22+1,OR($K22&lt;&gt;'計算A'!$A$3,'計算A'!$A$4=0)),AND(20=$I22-1,OR(20&lt;&gt;'計算A'!$A$3,'計算A'!$A$4=0))),0,IF(20=$K22,200000,ABS(20-$K22)*100)),100000+ABS(1-$J22)*1000+200)+'計算A'!W$5*50+IF(AND($E22=1,JJ22=0),25,0),IF($F22&gt;0,INDEX('計算A'!W$110:W$114,$F22+1)+IF(AND($E22=1,JJ22=0),1000,0),MIN(TU22,20)*400+(IF('計算A'!V$106=1,1-DT22,0)+IF('計算A'!W$106=1,1-DV22,0))*150+201+'計算A'!W$5*100000+IF(AND($E22=1,JJ22=0),50000,0))+IF($H22=1,(IF('計算A'!V$117=1,INDEX('計算A'!V$10:V$54,$B22),0)+IF('計算A'!W$117=1,INDEX('計算A'!X$10:X$54,$B22),0))*4000,0)-IF(AND('計算A'!V$117=1,UT22&gt;0),2000,0)-IF(AND($L22=1,'計算A'!W$117=1,DV22=0),2000,0))),1000000))</f>
        <v/>
      </c>
      <c r="OZ22">
        <f>IF($B22=0,1000000,IF(INDEX('計算A'!$D$60:$EQ$104,$B22,21)*DV22=1,IF(AND($E22=2,JK22=0),1000000,IF($I22&gt;0,IF(1=$J22,IF(OR(AND(21=$I22+1,OR($K22&lt;&gt;'計算A'!$A$3,'計算A'!$A$4=0)),AND(21=$I22-1,OR(21&lt;&gt;'計算A'!$A$3,'計算A'!$A$4=0))),0,IF(21=$K22,200000,ABS(21-$K22)*100)),100000+ABS(1-$J22)*1000+210)+'計算A'!X$5*50+IF(AND($E22=1,JK22=0),25,0),IF($F22&gt;0,INDEX('計算A'!X$110:X$114,$F22+1)+IF(AND($E22=1,JK22=0),1000,0),MIN(TU22,20)*400+(IF('計算A'!W$106=1,1-DU22,0)+IF('計算A'!X$106=1,1-DW22,0))*150+211+'計算A'!X$5*100000+IF(AND($E22=1,JK22=0),50000,0))+IF($H22=1,(IF('計算A'!W$117=1,INDEX('計算A'!W$10:W$54,$B22),0)+IF('計算A'!X$117=1,INDEX('計算A'!Y$10:Y$54,$B22),0))*4000,0)-IF(AND('計算A'!W$117=1,UU22&gt;0),2000,0)-IF(AND($L22=1,'計算A'!X$117=1,DW22=0),2000,0))),1000000))</f>
        <v/>
      </c>
      <c r="PA22">
        <f>IF($B22=0,1000000,IF(INDEX('計算A'!$D$60:$EQ$104,$B22,22)*DW22=1,IF(AND($E22=2,JL22=0),1000000,IF($I22&gt;0,IF(1=$J22,IF(OR(AND(22=$I22+1,OR($K22&lt;&gt;'計算A'!$A$3,'計算A'!$A$4=0)),AND(22=$I22-1,OR(22&lt;&gt;'計算A'!$A$3,'計算A'!$A$4=0))),0,IF(22=$K22,200000,ABS(22-$K22)*100)),100000+ABS(1-$J22)*1000+220)+'計算A'!Y$5*50+IF(AND($E22=1,JL22=0),25,0),IF($F22&gt;0,INDEX('計算A'!Y$110:Y$114,$F22+1)+IF(AND($E22=1,JL22=0),1000,0),MIN(TU22,20)*400+(IF('計算A'!X$106=1,1-DV22,0)+IF('計算A'!Y$106=1,1-DX22,0))*150+221+'計算A'!Y$5*100000+IF(AND($E22=1,JL22=0),50000,0))+IF($H22=1,(IF('計算A'!X$117=1,INDEX('計算A'!X$10:X$54,$B22),0)+IF('計算A'!Y$117=1,INDEX('計算A'!Z$10:Z$54,$B22),0))*4000,0)-IF(AND('計算A'!X$117=1,UV22&gt;0),2000,0)-IF(AND($L22=1,'計算A'!Y$117=1,DX22=0),2000,0))),1000000))</f>
        <v/>
      </c>
      <c r="PB22">
        <f>IF($B22=0,1000000,IF(INDEX('計算A'!$D$60:$EQ$104,$B22,23)*DX22=1,IF(AND($E22=2,JM22=0),1000000,IF($I22&gt;0,IF(1=$J22,IF(OR(AND(23=$I22+1,OR($K22&lt;&gt;'計算A'!$A$3,'計算A'!$A$4=0)),AND(23=$I22-1,OR(23&lt;&gt;'計算A'!$A$3,'計算A'!$A$4=0))),0,IF(23=$K22,200000,ABS(23-$K22)*100)),100000+ABS(1-$J22)*1000+230)+'計算A'!Z$5*50+IF(AND($E22=1,JM22=0),25,0),IF($F22&gt;0,INDEX('計算A'!Z$110:Z$114,$F22+1)+IF(AND($E22=1,JM22=0),1000,0),MIN(TU22,20)*400+(IF('計算A'!Y$106=1,1-DW22,0)+IF('計算A'!Z$106=1,1-DY22,0))*150+231+'計算A'!Z$5*100000+IF(AND($E22=1,JM22=0),50000,0))+IF($H22=1,(IF('計算A'!Y$117=1,INDEX('計算A'!Y$10:Y$54,$B22),0)+IF('計算A'!Z$117=1,INDEX('計算A'!AA$10:AA$54,$B22),0))*4000,0)-IF(AND('計算A'!Y$117=1,UW22&gt;0),2000,0)-IF(AND($L22=1,'計算A'!Z$117=1,DY22=0),2000,0))),1000000))</f>
        <v/>
      </c>
      <c r="PC22">
        <f>IF($B22=0,1000000,IF(INDEX('計算A'!$D$60:$EQ$104,$B22,24)*DY22=1,IF(AND($E22=2,JN22=0),1000000,IF($I22&gt;0,IF(1=$J22,IF(OR(AND(24=$I22+1,OR($K22&lt;&gt;'計算A'!$A$3,'計算A'!$A$4=0)),AND(24=$I22-1,OR(24&lt;&gt;'計算A'!$A$3,'計算A'!$A$4=0))),0,IF(24=$K22,200000,ABS(24-$K22)*100)),100000+ABS(1-$J22)*1000+240)+'計算A'!AA$5*50+IF(AND($E22=1,JN22=0),25,0),IF($F22&gt;0,INDEX('計算A'!AA$110:AA$114,$F22+1)+IF(AND($E22=1,JN22=0),1000,0),MIN(TU22,20)*400+(IF('計算A'!Z$106=1,1-DX22,0))*150+241+'計算A'!AA$5*100000+IF(AND($E22=1,JN22=0),50000,0))+IF($H22=1,(IF('計算A'!Z$117=1,INDEX('計算A'!Z$10:Z$54,$B22),0))*4000,0)-IF(AND('計算A'!Z$117=1,UX22&gt;0),2000,0))),1000000))</f>
        <v/>
      </c>
      <c r="PD22">
        <f>IF($B22=0,1000000,IF(INDEX('計算A'!$D$60:$EQ$104,$B22,25)*DZ22=1,IF(AND($E22=2,JO22=0),1000000,IF($I22&gt;0,IF(2=$J22,IF(OR(AND(25=$I22+1,OR($K22&lt;&gt;'計算A'!$A$3,'計算A'!$A$4=0)),AND(25=$I22-1,OR(1&lt;&gt;'計算A'!$A$3,'計算A'!$A$4=0))),0,IF(1=$K22,200000,ABS(1-$K22)*100)),100000+ABS(2-$J22)*1000+10)+'計算A'!AB$5*50+IF(AND($E22=1,JO22=0),25,0),IF($F22&gt;0,INDEX('計算A'!AB$110:AB$114,$F22+1)+IF(AND($E22=1,JO22=0),1000,0),MIN(TV22,20)*400+(IF('計算A'!AB$106=1,1-EA22,0))*150+12+'計算A'!AB$5*100000+IF(AND($E22=1,JO22=0),50000,0))+IF($H22=1,(IF('計算A'!AB$117=1,INDEX('計算A'!AC$10:AC$54,$B22),0))*4000,0)-IF(AND($L22=1,'計算A'!AB$117=1,EA22=0),2000,0))),1000000))</f>
        <v/>
      </c>
      <c r="PE22">
        <f>IF($B22=0,1000000,IF(INDEX('計算A'!$D$60:$EQ$104,$B22,26)*EA22=1,IF(AND($E22=2,JP22=0),1000000,IF($I22&gt;0,IF(2=$J22,IF(OR(AND(26=$I22+1,OR($K22&lt;&gt;'計算A'!$A$3,'計算A'!$A$4=0)),AND(26=$I22-1,OR(2&lt;&gt;'計算A'!$A$3,'計算A'!$A$4=0))),0,IF(2=$K22,200000,ABS(2-$K22)*100)),100000+ABS(2-$J22)*1000+20)+'計算A'!AC$5*50+IF(AND($E22=1,JP22=0),25,0),IF($F22&gt;0,INDEX('計算A'!AC$110:AC$114,$F22+1)+IF(AND($E22=1,JP22=0),1000,0),MIN(TV22,20)*400+(IF('計算A'!AB$106=1,1-DZ22,0)+IF('計算A'!AC$106=1,1-EB22,0))*150+22+'計算A'!AC$5*100000+IF(AND($E22=1,JP22=0),50000,0))+IF($H22=1,(IF('計算A'!AB$117=1,INDEX('計算A'!AB$10:AB$54,$B22),0)+IF('計算A'!AC$117=1,INDEX('計算A'!AD$10:AD$54,$B22),0))*4000,0)-IF(AND('計算A'!AB$117=1,UZ22&gt;0),2000,0)-IF(AND($L22=1,'計算A'!AC$117=1,EB22=0),2000,0))),1000000))</f>
        <v/>
      </c>
      <c r="PF22">
        <f>IF($B22=0,1000000,IF(INDEX('計算A'!$D$60:$EQ$104,$B22,27)*EB22=1,IF(AND($E22=2,JQ22=0),1000000,IF($I22&gt;0,IF(2=$J22,IF(OR(AND(27=$I22+1,OR($K22&lt;&gt;'計算A'!$A$3,'計算A'!$A$4=0)),AND(27=$I22-1,OR(3&lt;&gt;'計算A'!$A$3,'計算A'!$A$4=0))),0,IF(3=$K22,200000,ABS(3-$K22)*100)),100000+ABS(2-$J22)*1000+30)+'計算A'!AD$5*50+IF(AND($E22=1,JQ22=0),25,0),IF($F22&gt;0,INDEX('計算A'!AD$110:AD$114,$F22+1)+IF(AND($E22=1,JQ22=0),1000,0),MIN(TV22,20)*400+(IF('計算A'!AC$106=1,1-EA22,0)+IF('計算A'!AD$106=1,1-EC22,0))*150+32+'計算A'!AD$5*100000+IF(AND($E22=1,JQ22=0),50000,0))+IF($H22=1,(IF('計算A'!AC$117=1,INDEX('計算A'!AC$10:AC$54,$B22),0)+IF('計算A'!AD$117=1,INDEX('計算A'!AE$10:AE$54,$B22),0))*4000,0)-IF(AND('計算A'!AC$117=1,VA22&gt;0),2000,0)-IF(AND($L22=1,'計算A'!AD$117=1,EC22=0),2000,0))),1000000))</f>
        <v/>
      </c>
      <c r="PG22">
        <f>IF($B22=0,1000000,IF(INDEX('計算A'!$D$60:$EQ$104,$B22,28)*EC22=1,IF(AND($E22=2,JR22=0),1000000,IF($I22&gt;0,IF(2=$J22,IF(OR(AND(28=$I22+1,OR($K22&lt;&gt;'計算A'!$A$3,'計算A'!$A$4=0)),AND(28=$I22-1,OR(4&lt;&gt;'計算A'!$A$3,'計算A'!$A$4=0))),0,IF(4=$K22,200000,ABS(4-$K22)*100)),100000+ABS(2-$J22)*1000+40)+'計算A'!AE$5*50+IF(AND($E22=1,JR22=0),25,0),IF($F22&gt;0,INDEX('計算A'!AE$110:AE$114,$F22+1)+IF(AND($E22=1,JR22=0),1000,0),MIN(TV22,20)*400+(IF('計算A'!AD$106=1,1-EB22,0)+IF('計算A'!AE$106=1,1-ED22,0))*150+42+'計算A'!AE$5*100000+IF(AND($E22=1,JR22=0),50000,0))+IF($H22=1,(IF('計算A'!AD$117=1,INDEX('計算A'!AD$10:AD$54,$B22),0)+IF('計算A'!AE$117=1,INDEX('計算A'!AF$10:AF$54,$B22),0))*4000,0)-IF(AND('計算A'!AD$117=1,VB22&gt;0),2000,0)-IF(AND($L22=1,'計算A'!AE$117=1,ED22=0),2000,0))),1000000))</f>
        <v/>
      </c>
      <c r="PH22">
        <f>IF($B22=0,1000000,IF(INDEX('計算A'!$D$60:$EQ$104,$B22,29)*ED22=1,IF(AND($E22=2,JS22=0),1000000,IF($I22&gt;0,IF(2=$J22,IF(OR(AND(29=$I22+1,OR($K22&lt;&gt;'計算A'!$A$3,'計算A'!$A$4=0)),AND(29=$I22-1,OR(5&lt;&gt;'計算A'!$A$3,'計算A'!$A$4=0))),0,IF(5=$K22,200000,ABS(5-$K22)*100)),100000+ABS(2-$J22)*1000+50)+'計算A'!AF$5*50+IF(AND($E22=1,JS22=0),25,0),IF($F22&gt;0,INDEX('計算A'!AF$110:AF$114,$F22+1)+IF(AND($E22=1,JS22=0),1000,0),MIN(TV22,20)*400+(IF('計算A'!AE$106=1,1-EC22,0)+IF('計算A'!AF$106=1,1-EE22,0))*150+52+'計算A'!AF$5*100000+IF(AND($E22=1,JS22=0),50000,0))+IF($H22=1,(IF('計算A'!AE$117=1,INDEX('計算A'!AE$10:AE$54,$B22),0)+IF('計算A'!AF$117=1,INDEX('計算A'!AG$10:AG$54,$B22),0))*4000,0)-IF(AND('計算A'!AE$117=1,VC22&gt;0),2000,0)-IF(AND($L22=1,'計算A'!AF$117=1,EE22=0),2000,0))),1000000))</f>
        <v/>
      </c>
      <c r="PI22">
        <f>IF($B22=0,1000000,IF(INDEX('計算A'!$D$60:$EQ$104,$B22,30)*EE22=1,IF(AND($E22=2,JT22=0),1000000,IF($I22&gt;0,IF(2=$J22,IF(OR(AND(30=$I22+1,OR($K22&lt;&gt;'計算A'!$A$3,'計算A'!$A$4=0)),AND(30=$I22-1,OR(6&lt;&gt;'計算A'!$A$3,'計算A'!$A$4=0))),0,IF(6=$K22,200000,ABS(6-$K22)*100)),100000+ABS(2-$J22)*1000+60)+'計算A'!AG$5*50+IF(AND($E22=1,JT22=0),25,0),IF($F22&gt;0,INDEX('計算A'!AG$110:AG$114,$F22+1)+IF(AND($E22=1,JT22=0),1000,0),MIN(TV22,20)*400+(IF('計算A'!AF$106=1,1-ED22,0)+IF('計算A'!AG$106=1,1-EF22,0))*150+62+'計算A'!AG$5*100000+IF(AND($E22=1,JT22=0),50000,0))+IF($H22=1,(IF('計算A'!AF$117=1,INDEX('計算A'!AF$10:AF$54,$B22),0)+IF('計算A'!AG$117=1,INDEX('計算A'!AH$10:AH$54,$B22),0))*4000,0)-IF(AND('計算A'!AF$117=1,VD22&gt;0),2000,0)-IF(AND($L22=1,'計算A'!AG$117=1,EF22=0),2000,0))),1000000))</f>
        <v/>
      </c>
      <c r="PJ22">
        <f>IF($B22=0,1000000,IF(INDEX('計算A'!$D$60:$EQ$104,$B22,31)*EF22=1,IF(AND($E22=2,JU22=0),1000000,IF($I22&gt;0,IF(2=$J22,IF(OR(AND(31=$I22+1,OR($K22&lt;&gt;'計算A'!$A$3,'計算A'!$A$4=0)),AND(31=$I22-1,OR(7&lt;&gt;'計算A'!$A$3,'計算A'!$A$4=0))),0,IF(7=$K22,200000,ABS(7-$K22)*100)),100000+ABS(2-$J22)*1000+70)+'計算A'!AH$5*50+IF(AND($E22=1,JU22=0),25,0),IF($F22&gt;0,INDEX('計算A'!AH$110:AH$114,$F22+1)+IF(AND($E22=1,JU22=0),1000,0),MIN(TV22,20)*400+(IF('計算A'!AG$106=1,1-EE22,0)+IF('計算A'!AH$106=1,1-EG22,0))*150+72+'計算A'!AH$5*100000+IF(AND($E22=1,JU22=0),50000,0))+IF($H22=1,(IF('計算A'!AG$117=1,INDEX('計算A'!AG$10:AG$54,$B22),0)+IF('計算A'!AH$117=1,INDEX('計算A'!AI$10:AI$54,$B22),0))*4000,0)-IF(AND('計算A'!AG$117=1,VE22&gt;0),2000,0)-IF(AND($L22=1,'計算A'!AH$117=1,EG22=0),2000,0))),1000000))</f>
        <v/>
      </c>
      <c r="PK22">
        <f>IF($B22=0,1000000,IF(INDEX('計算A'!$D$60:$EQ$104,$B22,32)*EG22=1,IF(AND($E22=2,JV22=0),1000000,IF($I22&gt;0,IF(2=$J22,IF(OR(AND(32=$I22+1,OR($K22&lt;&gt;'計算A'!$A$3,'計算A'!$A$4=0)),AND(32=$I22-1,OR(8&lt;&gt;'計算A'!$A$3,'計算A'!$A$4=0))),0,IF(8=$K22,200000,ABS(8-$K22)*100)),100000+ABS(2-$J22)*1000+80)+'計算A'!AI$5*50+IF(AND($E22=1,JV22=0),25,0),IF($F22&gt;0,INDEX('計算A'!AI$110:AI$114,$F22+1)+IF(AND($E22=1,JV22=0),1000,0),MIN(TV22,20)*400+(IF('計算A'!AH$106=1,1-EF22,0)+IF('計算A'!AI$106=1,1-EH22,0))*150+82+'計算A'!AI$5*100000+IF(AND($E22=1,JV22=0),50000,0))+IF($H22=1,(IF('計算A'!AH$117=1,INDEX('計算A'!AH$10:AH$54,$B22),0)+IF('計算A'!AI$117=1,INDEX('計算A'!AJ$10:AJ$54,$B22),0))*4000,0)-IF(AND('計算A'!AH$117=1,VF22&gt;0),2000,0)-IF(AND($L22=1,'計算A'!AI$117=1,EH22=0),2000,0))),1000000))</f>
        <v/>
      </c>
      <c r="PL22">
        <f>IF($B22=0,1000000,IF(INDEX('計算A'!$D$60:$EQ$104,$B22,33)*EH22=1,IF(AND($E22=2,JW22=0),1000000,IF($I22&gt;0,IF(2=$J22,IF(OR(AND(33=$I22+1,OR($K22&lt;&gt;'計算A'!$A$3,'計算A'!$A$4=0)),AND(33=$I22-1,OR(9&lt;&gt;'計算A'!$A$3,'計算A'!$A$4=0))),0,IF(9=$K22,200000,ABS(9-$K22)*100)),100000+ABS(2-$J22)*1000+90)+'計算A'!AJ$5*50+IF(AND($E22=1,JW22=0),25,0),IF($F22&gt;0,INDEX('計算A'!AJ$110:AJ$114,$F22+1)+IF(AND($E22=1,JW22=0),1000,0),MIN(TV22,20)*400+(IF('計算A'!AI$106=1,1-EG22,0)+IF('計算A'!AJ$106=1,1-EI22,0))*150+92+'計算A'!AJ$5*100000+IF(AND($E22=1,JW22=0),50000,0))+IF($H22=1,(IF('計算A'!AI$117=1,INDEX('計算A'!AI$10:AI$54,$B22),0)+IF('計算A'!AJ$117=1,INDEX('計算A'!AK$10:AK$54,$B22),0))*4000,0)-IF(AND('計算A'!AI$117=1,VG22&gt;0),2000,0)-IF(AND($L22=1,'計算A'!AJ$117=1,EI22=0),2000,0))),1000000))</f>
        <v/>
      </c>
      <c r="PM22">
        <f>IF($B22=0,1000000,IF(INDEX('計算A'!$D$60:$EQ$104,$B22,34)*EI22=1,IF(AND($E22=2,JX22=0),1000000,IF($I22&gt;0,IF(2=$J22,IF(OR(AND(34=$I22+1,OR($K22&lt;&gt;'計算A'!$A$3,'計算A'!$A$4=0)),AND(34=$I22-1,OR(10&lt;&gt;'計算A'!$A$3,'計算A'!$A$4=0))),0,IF(10=$K22,200000,ABS(10-$K22)*100)),100000+ABS(2-$J22)*1000+100)+'計算A'!AK$5*50+IF(AND($E22=1,JX22=0),25,0),IF($F22&gt;0,INDEX('計算A'!AK$110:AK$114,$F22+1)+IF(AND($E22=1,JX22=0),1000,0),MIN(TV22,20)*400+(IF('計算A'!AJ$106=1,1-EH22,0)+IF('計算A'!AK$106=1,1-EJ22,0))*150+102+'計算A'!AK$5*100000+IF(AND($E22=1,JX22=0),50000,0))+IF($H22=1,(IF('計算A'!AJ$117=1,INDEX('計算A'!AJ$10:AJ$54,$B22),0)+IF('計算A'!AK$117=1,INDEX('計算A'!AL$10:AL$54,$B22),0))*4000,0)-IF(AND('計算A'!AJ$117=1,VH22&gt;0),2000,0)-IF(AND($L22=1,'計算A'!AK$117=1,EJ22=0),2000,0))),1000000))</f>
        <v/>
      </c>
      <c r="PN22">
        <f>IF($B22=0,1000000,IF(INDEX('計算A'!$D$60:$EQ$104,$B22,35)*EJ22=1,IF(AND($E22=2,JY22=0),1000000,IF($I22&gt;0,IF(2=$J22,IF(OR(AND(35=$I22+1,OR($K22&lt;&gt;'計算A'!$A$3,'計算A'!$A$4=0)),AND(35=$I22-1,OR(11&lt;&gt;'計算A'!$A$3,'計算A'!$A$4=0))),0,IF(11=$K22,200000,ABS(11-$K22)*100)),100000+ABS(2-$J22)*1000+110)+'計算A'!AL$5*50+IF(AND($E22=1,JY22=0),25,0),IF($F22&gt;0,INDEX('計算A'!AL$110:AL$114,$F22+1)+IF(AND($E22=1,JY22=0),1000,0),MIN(TV22,20)*400+(IF('計算A'!AK$106=1,1-EI22,0)+IF('計算A'!AL$106=1,1-EK22,0))*150+112+'計算A'!AL$5*100000+IF(AND($E22=1,JY22=0),50000,0))+IF($H22=1,(IF('計算A'!AK$117=1,INDEX('計算A'!AK$10:AK$54,$B22),0)+IF('計算A'!AL$117=1,INDEX('計算A'!AM$10:AM$54,$B22),0))*4000,0)-IF(AND('計算A'!AK$117=1,VI22&gt;0),2000,0)-IF(AND($L22=1,'計算A'!AL$117=1,EK22=0),2000,0))),1000000))</f>
        <v/>
      </c>
      <c r="PO22">
        <f>IF($B22=0,1000000,IF(INDEX('計算A'!$D$60:$EQ$104,$B22,36)*EK22=1,IF(AND($E22=2,JZ22=0),1000000,IF($I22&gt;0,IF(2=$J22,IF(OR(AND(36=$I22+1,OR($K22&lt;&gt;'計算A'!$A$3,'計算A'!$A$4=0)),AND(36=$I22-1,OR(12&lt;&gt;'計算A'!$A$3,'計算A'!$A$4=0))),0,IF(12=$K22,200000,ABS(12-$K22)*100)),100000+ABS(2-$J22)*1000+120)+'計算A'!AM$5*50+IF(AND($E22=1,JZ22=0),25,0),IF($F22&gt;0,INDEX('計算A'!AM$110:AM$114,$F22+1)+IF(AND($E22=1,JZ22=0),1000,0),MIN(TV22,20)*400+(IF('計算A'!AL$106=1,1-EJ22,0)+IF('計算A'!AM$106=1,1-EL22,0))*150+122+'計算A'!AM$5*100000+IF(AND($E22=1,JZ22=0),50000,0))+IF($H22=1,(IF('計算A'!AL$117=1,INDEX('計算A'!AL$10:AL$54,$B22),0)+IF('計算A'!AM$117=1,INDEX('計算A'!AN$10:AN$54,$B22),0))*4000,0)-IF(AND('計算A'!AL$117=1,VJ22&gt;0),2000,0)-IF(AND($L22=1,'計算A'!AM$117=1,EL22=0),2000,0))),1000000))</f>
        <v/>
      </c>
      <c r="PP22">
        <f>IF($B22=0,1000000,IF(INDEX('計算A'!$D$60:$EQ$104,$B22,37)*EL22=1,IF(AND($E22=2,KA22=0),1000000,IF($I22&gt;0,IF(2=$J22,IF(OR(AND(37=$I22+1,OR($K22&lt;&gt;'計算A'!$A$3,'計算A'!$A$4=0)),AND(37=$I22-1,OR(13&lt;&gt;'計算A'!$A$3,'計算A'!$A$4=0))),0,IF(13=$K22,200000,ABS(13-$K22)*100)),100000+ABS(2-$J22)*1000+130)+'計算A'!AN$5*50+IF(AND($E22=1,KA22=0),25,0),IF($F22&gt;0,INDEX('計算A'!AN$110:AN$114,$F22+1)+IF(AND($E22=1,KA22=0),1000,0),MIN(TV22,20)*400+(IF('計算A'!AM$106=1,1-EK22,0)+IF('計算A'!AN$106=1,1-EM22,0))*150+132+'計算A'!AN$5*100000+IF(AND($E22=1,KA22=0),50000,0))+IF($H22=1,(IF('計算A'!AM$117=1,INDEX('計算A'!AM$10:AM$54,$B22),0)+IF('計算A'!AN$117=1,INDEX('計算A'!AO$10:AO$54,$B22),0))*4000,0)-IF(AND('計算A'!AM$117=1,VK22&gt;0),2000,0)-IF(AND($L22=1,'計算A'!AN$117=1,EM22=0),2000,0))),1000000))</f>
        <v/>
      </c>
      <c r="PQ22">
        <f>IF($B22=0,1000000,IF(INDEX('計算A'!$D$60:$EQ$104,$B22,38)*EM22=1,IF(AND($E22=2,KB22=0),1000000,IF($I22&gt;0,IF(2=$J22,IF(OR(AND(38=$I22+1,OR($K22&lt;&gt;'計算A'!$A$3,'計算A'!$A$4=0)),AND(38=$I22-1,OR(14&lt;&gt;'計算A'!$A$3,'計算A'!$A$4=0))),0,IF(14=$K22,200000,ABS(14-$K22)*100)),100000+ABS(2-$J22)*1000+140)+'計算A'!AO$5*50+IF(AND($E22=1,KB22=0),25,0),IF($F22&gt;0,INDEX('計算A'!AO$110:AO$114,$F22+1)+IF(AND($E22=1,KB22=0),1000,0),MIN(TV22,20)*400+(IF('計算A'!AN$106=1,1-EL22,0)+IF('計算A'!AO$106=1,1-EN22,0))*150+142+'計算A'!AO$5*100000+IF(AND($E22=1,KB22=0),50000,0))+IF($H22=1,(IF('計算A'!AN$117=1,INDEX('計算A'!AN$10:AN$54,$B22),0)+IF('計算A'!AO$117=1,INDEX('計算A'!AP$10:AP$54,$B22),0))*4000,0)-IF(AND('計算A'!AN$117=1,VL22&gt;0),2000,0)-IF(AND($L22=1,'計算A'!AO$117=1,EN22=0),2000,0))),1000000))</f>
        <v/>
      </c>
      <c r="PR22">
        <f>IF($B22=0,1000000,IF(INDEX('計算A'!$D$60:$EQ$104,$B22,39)*EN22=1,IF(AND($E22=2,KC22=0),1000000,IF($I22&gt;0,IF(2=$J22,IF(OR(AND(39=$I22+1,OR($K22&lt;&gt;'計算A'!$A$3,'計算A'!$A$4=0)),AND(39=$I22-1,OR(15&lt;&gt;'計算A'!$A$3,'計算A'!$A$4=0))),0,IF(15=$K22,200000,ABS(15-$K22)*100)),100000+ABS(2-$J22)*1000+150)+'計算A'!AP$5*50+IF(AND($E22=1,KC22=0),25,0),IF($F22&gt;0,INDEX('計算A'!AP$110:AP$114,$F22+1)+IF(AND($E22=1,KC22=0),1000,0),MIN(TV22,20)*400+(IF('計算A'!AO$106=1,1-EM22,0)+IF('計算A'!AP$106=1,1-EO22,0))*150+152+'計算A'!AP$5*100000+IF(AND($E22=1,KC22=0),50000,0))+IF($H22=1,(IF('計算A'!AO$117=1,INDEX('計算A'!AO$10:AO$54,$B22),0)+IF('計算A'!AP$117=1,INDEX('計算A'!AQ$10:AQ$54,$B22),0))*4000,0)-IF(AND('計算A'!AO$117=1,VM22&gt;0),2000,0)-IF(AND($L22=1,'計算A'!AP$117=1,EO22=0),2000,0))),1000000))</f>
        <v/>
      </c>
      <c r="PS22">
        <f>IF($B22=0,1000000,IF(INDEX('計算A'!$D$60:$EQ$104,$B22,40)*EO22=1,IF(AND($E22=2,KD22=0),1000000,IF($I22&gt;0,IF(2=$J22,IF(OR(AND(40=$I22+1,OR($K22&lt;&gt;'計算A'!$A$3,'計算A'!$A$4=0)),AND(40=$I22-1,OR(16&lt;&gt;'計算A'!$A$3,'計算A'!$A$4=0))),0,IF(16=$K22,200000,ABS(16-$K22)*100)),100000+ABS(2-$J22)*1000+160)+'計算A'!AQ$5*50+IF(AND($E22=1,KD22=0),25,0),IF($F22&gt;0,INDEX('計算A'!AQ$110:AQ$114,$F22+1)+IF(AND($E22=1,KD22=0),1000,0),MIN(TV22,20)*400+(IF('計算A'!AP$106=1,1-EN22,0)+IF('計算A'!AQ$106=1,1-EP22,0))*150+162+'計算A'!AQ$5*100000+IF(AND($E22=1,KD22=0),50000,0))+IF($H22=1,(IF('計算A'!AP$117=1,INDEX('計算A'!AP$10:AP$54,$B22),0)+IF('計算A'!AQ$117=1,INDEX('計算A'!AR$10:AR$54,$B22),0))*4000,0)-IF(AND('計算A'!AP$117=1,VN22&gt;0),2000,0)-IF(AND($L22=1,'計算A'!AQ$117=1,EP22=0),2000,0))),1000000))</f>
        <v/>
      </c>
      <c r="PT22">
        <f>IF($B22=0,1000000,IF(INDEX('計算A'!$D$60:$EQ$104,$B22,41)*EP22=1,IF(AND($E22=2,KE22=0),1000000,IF($I22&gt;0,IF(2=$J22,IF(OR(AND(41=$I22+1,OR($K22&lt;&gt;'計算A'!$A$3,'計算A'!$A$4=0)),AND(41=$I22-1,OR(17&lt;&gt;'計算A'!$A$3,'計算A'!$A$4=0))),0,IF(17=$K22,200000,ABS(17-$K22)*100)),100000+ABS(2-$J22)*1000+170)+'計算A'!AR$5*50+IF(AND($E22=1,KE22=0),25,0),IF($F22&gt;0,INDEX('計算A'!AR$110:AR$114,$F22+1)+IF(AND($E22=1,KE22=0),1000,0),MIN(TV22,20)*400+(IF('計算A'!AQ$106=1,1-EO22,0)+IF('計算A'!AR$106=1,1-EQ22,0))*150+172+'計算A'!AR$5*100000+IF(AND($E22=1,KE22=0),50000,0))+IF($H22=1,(IF('計算A'!AQ$117=1,INDEX('計算A'!AQ$10:AQ$54,$B22),0)+IF('計算A'!AR$117=1,INDEX('計算A'!AS$10:AS$54,$B22),0))*4000,0)-IF(AND('計算A'!AQ$117=1,VO22&gt;0),2000,0)-IF(AND($L22=1,'計算A'!AR$117=1,EQ22=0),2000,0))),1000000))</f>
        <v/>
      </c>
      <c r="PU22">
        <f>IF($B22=0,1000000,IF(INDEX('計算A'!$D$60:$EQ$104,$B22,42)*EQ22=1,IF(AND($E22=2,KF22=0),1000000,IF($I22&gt;0,IF(2=$J22,IF(OR(AND(42=$I22+1,OR($K22&lt;&gt;'計算A'!$A$3,'計算A'!$A$4=0)),AND(42=$I22-1,OR(18&lt;&gt;'計算A'!$A$3,'計算A'!$A$4=0))),0,IF(18=$K22,200000,ABS(18-$K22)*100)),100000+ABS(2-$J22)*1000+180)+'計算A'!AS$5*50+IF(AND($E22=1,KF22=0),25,0),IF($F22&gt;0,INDEX('計算A'!AS$110:AS$114,$F22+1)+IF(AND($E22=1,KF22=0),1000,0),MIN(TV22,20)*400+(IF('計算A'!AR$106=1,1-EP22,0)+IF('計算A'!AS$106=1,1-ER22,0))*150+182+'計算A'!AS$5*100000+IF(AND($E22=1,KF22=0),50000,0))+IF($H22=1,(IF('計算A'!AR$117=1,INDEX('計算A'!AR$10:AR$54,$B22),0)+IF('計算A'!AS$117=1,INDEX('計算A'!AT$10:AT$54,$B22),0))*4000,0)-IF(AND('計算A'!AR$117=1,VP22&gt;0),2000,0)-IF(AND($L22=1,'計算A'!AS$117=1,ER22=0),2000,0))),1000000))</f>
        <v/>
      </c>
      <c r="PV22">
        <f>IF($B22=0,1000000,IF(INDEX('計算A'!$D$60:$EQ$104,$B22,43)*ER22=1,IF(AND($E22=2,KG22=0),1000000,IF($I22&gt;0,IF(2=$J22,IF(OR(AND(43=$I22+1,OR($K22&lt;&gt;'計算A'!$A$3,'計算A'!$A$4=0)),AND(43=$I22-1,OR(19&lt;&gt;'計算A'!$A$3,'計算A'!$A$4=0))),0,IF(19=$K22,200000,ABS(19-$K22)*100)),100000+ABS(2-$J22)*1000+190)+'計算A'!AT$5*50+IF(AND($E22=1,KG22=0),25,0),IF($F22&gt;0,INDEX('計算A'!AT$110:AT$114,$F22+1)+IF(AND($E22=1,KG22=0),1000,0),MIN(TV22,20)*400+(IF('計算A'!AS$106=1,1-EQ22,0)+IF('計算A'!AT$106=1,1-ES22,0))*150+192+'計算A'!AT$5*100000+IF(AND($E22=1,KG22=0),50000,0))+IF($H22=1,(IF('計算A'!AS$117=1,INDEX('計算A'!AS$10:AS$54,$B22),0)+IF('計算A'!AT$117=1,INDEX('計算A'!AU$10:AU$54,$B22),0))*4000,0)-IF(AND('計算A'!AS$117=1,VQ22&gt;0),2000,0)-IF(AND($L22=1,'計算A'!AT$117=1,ES22=0),2000,0))),1000000))</f>
        <v/>
      </c>
      <c r="PW22">
        <f>IF($B22=0,1000000,IF(INDEX('計算A'!$D$60:$EQ$104,$B22,44)*ES22=1,IF(AND($E22=2,KH22=0),1000000,IF($I22&gt;0,IF(2=$J22,IF(OR(AND(44=$I22+1,OR($K22&lt;&gt;'計算A'!$A$3,'計算A'!$A$4=0)),AND(44=$I22-1,OR(20&lt;&gt;'計算A'!$A$3,'計算A'!$A$4=0))),0,IF(20=$K22,200000,ABS(20-$K22)*100)),100000+ABS(2-$J22)*1000+200)+'計算A'!AU$5*50+IF(AND($E22=1,KH22=0),25,0),IF($F22&gt;0,INDEX('計算A'!AU$110:AU$114,$F22+1)+IF(AND($E22=1,KH22=0),1000,0),MIN(TV22,20)*400+(IF('計算A'!AT$106=1,1-ER22,0)+IF('計算A'!AU$106=1,1-ET22,0))*150+202+'計算A'!AU$5*100000+IF(AND($E22=1,KH22=0),50000,0))+IF($H22=1,(IF('計算A'!AT$117=1,INDEX('計算A'!AT$10:AT$54,$B22),0)+IF('計算A'!AU$117=1,INDEX('計算A'!AV$10:AV$54,$B22),0))*4000,0)-IF(AND('計算A'!AT$117=1,VR22&gt;0),2000,0)-IF(AND($L22=1,'計算A'!AU$117=1,ET22=0),2000,0))),1000000))</f>
        <v/>
      </c>
      <c r="PX22">
        <f>IF($B22=0,1000000,IF(INDEX('計算A'!$D$60:$EQ$104,$B22,45)*ET22=1,IF(AND($E22=2,KI22=0),1000000,IF($I22&gt;0,IF(2=$J22,IF(OR(AND(45=$I22+1,OR($K22&lt;&gt;'計算A'!$A$3,'計算A'!$A$4=0)),AND(45=$I22-1,OR(21&lt;&gt;'計算A'!$A$3,'計算A'!$A$4=0))),0,IF(21=$K22,200000,ABS(21-$K22)*100)),100000+ABS(2-$J22)*1000+210)+'計算A'!AV$5*50+IF(AND($E22=1,KI22=0),25,0),IF($F22&gt;0,INDEX('計算A'!AV$110:AV$114,$F22+1)+IF(AND($E22=1,KI22=0),1000,0),MIN(TV22,20)*400+(IF('計算A'!AU$106=1,1-ES22,0)+IF('計算A'!AV$106=1,1-EU22,0))*150+212+'計算A'!AV$5*100000+IF(AND($E22=1,KI22=0),50000,0))+IF($H22=1,(IF('計算A'!AU$117=1,INDEX('計算A'!AU$10:AU$54,$B22),0)+IF('計算A'!AV$117=1,INDEX('計算A'!AW$10:AW$54,$B22),0))*4000,0)-IF(AND('計算A'!AU$117=1,VS22&gt;0),2000,0)-IF(AND($L22=1,'計算A'!AV$117=1,EU22=0),2000,0))),1000000))</f>
        <v/>
      </c>
      <c r="PY22">
        <f>IF($B22=0,1000000,IF(INDEX('計算A'!$D$60:$EQ$104,$B22,46)*EU22=1,IF(AND($E22=2,KJ22=0),1000000,IF($I22&gt;0,IF(2=$J22,IF(OR(AND(46=$I22+1,OR($K22&lt;&gt;'計算A'!$A$3,'計算A'!$A$4=0)),AND(46=$I22-1,OR(22&lt;&gt;'計算A'!$A$3,'計算A'!$A$4=0))),0,IF(22=$K22,200000,ABS(22-$K22)*100)),100000+ABS(2-$J22)*1000+220)+'計算A'!AW$5*50+IF(AND($E22=1,KJ22=0),25,0),IF($F22&gt;0,INDEX('計算A'!AW$110:AW$114,$F22+1)+IF(AND($E22=1,KJ22=0),1000,0),MIN(TV22,20)*400+(IF('計算A'!AV$106=1,1-ET22,0)+IF('計算A'!AW$106=1,1-EV22,0))*150+222+'計算A'!AW$5*100000+IF(AND($E22=1,KJ22=0),50000,0))+IF($H22=1,(IF('計算A'!AV$117=1,INDEX('計算A'!AV$10:AV$54,$B22),0)+IF('計算A'!AW$117=1,INDEX('計算A'!AX$10:AX$54,$B22),0))*4000,0)-IF(AND('計算A'!AV$117=1,VT22&gt;0),2000,0)-IF(AND($L22=1,'計算A'!AW$117=1,EV22=0),2000,0))),1000000))</f>
        <v/>
      </c>
      <c r="PZ22">
        <f>IF($B22=0,1000000,IF(INDEX('計算A'!$D$60:$EQ$104,$B22,47)*EV22=1,IF(AND($E22=2,KK22=0),1000000,IF($I22&gt;0,IF(2=$J22,IF(OR(AND(47=$I22+1,OR($K22&lt;&gt;'計算A'!$A$3,'計算A'!$A$4=0)),AND(47=$I22-1,OR(23&lt;&gt;'計算A'!$A$3,'計算A'!$A$4=0))),0,IF(23=$K22,200000,ABS(23-$K22)*100)),100000+ABS(2-$J22)*1000+230)+'計算A'!AX$5*50+IF(AND($E22=1,KK22=0),25,0),IF($F22&gt;0,INDEX('計算A'!AX$110:AX$114,$F22+1)+IF(AND($E22=1,KK22=0),1000,0),MIN(TV22,20)*400+(IF('計算A'!AW$106=1,1-EU22,0)+IF('計算A'!AX$106=1,1-EW22,0))*150+232+'計算A'!AX$5*100000+IF(AND($E22=1,KK22=0),50000,0))+IF($H22=1,(IF('計算A'!AW$117=1,INDEX('計算A'!AW$10:AW$54,$B22),0)+IF('計算A'!AX$117=1,INDEX('計算A'!AY$10:AY$54,$B22),0))*4000,0)-IF(AND('計算A'!AW$117=1,VU22&gt;0),2000,0)-IF(AND($L22=1,'計算A'!AX$117=1,EW22=0),2000,0))),1000000))</f>
        <v/>
      </c>
      <c r="QA22">
        <f>IF($B22=0,1000000,IF(INDEX('計算A'!$D$60:$EQ$104,$B22,48)*EW22=1,IF(AND($E22=2,KL22=0),1000000,IF($I22&gt;0,IF(2=$J22,IF(OR(AND(48=$I22+1,OR($K22&lt;&gt;'計算A'!$A$3,'計算A'!$A$4=0)),AND(48=$I22-1,OR(24&lt;&gt;'計算A'!$A$3,'計算A'!$A$4=0))),0,IF(24=$K22,200000,ABS(24-$K22)*100)),100000+ABS(2-$J22)*1000+240)+'計算A'!AY$5*50+IF(AND($E22=1,KL22=0),25,0),IF($F22&gt;0,INDEX('計算A'!AY$110:AY$114,$F22+1)+IF(AND($E22=1,KL22=0),1000,0),MIN(TV22,20)*400+(IF('計算A'!AX$106=1,1-EV22,0))*150+242+'計算A'!AY$5*100000+IF(AND($E22=1,KL22=0),50000,0))+IF($H22=1,(IF('計算A'!AX$117=1,INDEX('計算A'!AX$10:AX$54,$B22),0))*4000,0)-IF(AND('計算A'!AX$117=1,VV22&gt;0),2000,0))),1000000))</f>
        <v/>
      </c>
      <c r="QB22">
        <f>IF($B22=0,1000000,IF(INDEX('計算A'!$D$60:$EQ$104,$B22,49)*EX22=1,IF(AND($E22=2,KM22=0),1000000,IF($I22&gt;0,IF(3=$J22,IF(OR(AND(49=$I22+1,OR($K22&lt;&gt;'計算A'!$A$3,'計算A'!$A$4=0)),AND(49=$I22-1,OR(1&lt;&gt;'計算A'!$A$3,'計算A'!$A$4=0))),0,IF(1=$K22,200000,ABS(1-$K22)*100)),100000+ABS(3-$J22)*1000+10)+'計算A'!AZ$5*50+IF(AND($E22=1,KM22=0),25,0),IF($F22&gt;0,INDEX('計算A'!AZ$110:AZ$114,$F22+1)+IF(AND($E22=1,KM22=0),1000,0),MIN(TW22,20)*400+(IF('計算A'!AZ$106=1,1-EY22,0))*150+13+'計算A'!AZ$5*100000+IF(AND($E22=1,KM22=0),50000,0))+IF($H22=1,(IF('計算A'!AZ$117=1,INDEX('計算A'!BA$10:BA$54,$B22),0))*4000,0)-IF(AND($L22=1,'計算A'!AZ$117=1,EY22=0),2000,0))),1000000))</f>
        <v/>
      </c>
      <c r="QC22">
        <f>IF($B22=0,1000000,IF(INDEX('計算A'!$D$60:$EQ$104,$B22,50)*EY22=1,IF(AND($E22=2,KN22=0),1000000,IF($I22&gt;0,IF(3=$J22,IF(OR(AND(50=$I22+1,OR($K22&lt;&gt;'計算A'!$A$3,'計算A'!$A$4=0)),AND(50=$I22-1,OR(2&lt;&gt;'計算A'!$A$3,'計算A'!$A$4=0))),0,IF(2=$K22,200000,ABS(2-$K22)*100)),100000+ABS(3-$J22)*1000+20)+'計算A'!BA$5*50+IF(AND($E22=1,KN22=0),25,0),IF($F22&gt;0,INDEX('計算A'!BA$110:BA$114,$F22+1)+IF(AND($E22=1,KN22=0),1000,0),MIN(TW22,20)*400+(IF('計算A'!AZ$106=1,1-EX22,0)+IF('計算A'!BA$106=1,1-EZ22,0))*150+23+'計算A'!BA$5*100000+IF(AND($E22=1,KN22=0),50000,0))+IF($H22=1,(IF('計算A'!AZ$117=1,INDEX('計算A'!AZ$10:AZ$54,$B22),0)+IF('計算A'!BA$117=1,INDEX('計算A'!BB$10:BB$54,$B22),0))*4000,0)-IF(AND('計算A'!AZ$117=1,VX22&gt;0),2000,0)-IF(AND($L22=1,'計算A'!BA$117=1,EZ22=0),2000,0))),1000000))</f>
        <v/>
      </c>
      <c r="QD22">
        <f>IF($B22=0,1000000,IF(INDEX('計算A'!$D$60:$EQ$104,$B22,51)*EZ22=1,IF(AND($E22=2,KO22=0),1000000,IF($I22&gt;0,IF(3=$J22,IF(OR(AND(51=$I22+1,OR($K22&lt;&gt;'計算A'!$A$3,'計算A'!$A$4=0)),AND(51=$I22-1,OR(3&lt;&gt;'計算A'!$A$3,'計算A'!$A$4=0))),0,IF(3=$K22,200000,ABS(3-$K22)*100)),100000+ABS(3-$J22)*1000+30)+'計算A'!BB$5*50+IF(AND($E22=1,KO22=0),25,0),IF($F22&gt;0,INDEX('計算A'!BB$110:BB$114,$F22+1)+IF(AND($E22=1,KO22=0),1000,0),MIN(TW22,20)*400+(IF('計算A'!BA$106=1,1-EY22,0)+IF('計算A'!BB$106=1,1-FA22,0))*150+33+'計算A'!BB$5*100000+IF(AND($E22=1,KO22=0),50000,0))+IF($H22=1,(IF('計算A'!BA$117=1,INDEX('計算A'!BA$10:BA$54,$B22),0)+IF('計算A'!BB$117=1,INDEX('計算A'!BC$10:BC$54,$B22),0))*4000,0)-IF(AND('計算A'!BA$117=1,VY22&gt;0),2000,0)-IF(AND($L22=1,'計算A'!BB$117=1,FA22=0),2000,0))),1000000))</f>
        <v/>
      </c>
      <c r="QE22">
        <f>IF($B22=0,1000000,IF(INDEX('計算A'!$D$60:$EQ$104,$B22,52)*FA22=1,IF(AND($E22=2,KP22=0),1000000,IF($I22&gt;0,IF(3=$J22,IF(OR(AND(52=$I22+1,OR($K22&lt;&gt;'計算A'!$A$3,'計算A'!$A$4=0)),AND(52=$I22-1,OR(4&lt;&gt;'計算A'!$A$3,'計算A'!$A$4=0))),0,IF(4=$K22,200000,ABS(4-$K22)*100)),100000+ABS(3-$J22)*1000+40)+'計算A'!BC$5*50+IF(AND($E22=1,KP22=0),25,0),IF($F22&gt;0,INDEX('計算A'!BC$110:BC$114,$F22+1)+IF(AND($E22=1,KP22=0),1000,0),MIN(TW22,20)*400+(IF('計算A'!BB$106=1,1-EZ22,0)+IF('計算A'!BC$106=1,1-FB22,0))*150+43+'計算A'!BC$5*100000+IF(AND($E22=1,KP22=0),50000,0))+IF($H22=1,(IF('計算A'!BB$117=1,INDEX('計算A'!BB$10:BB$54,$B22),0)+IF('計算A'!BC$117=1,INDEX('計算A'!BD$10:BD$54,$B22),0))*4000,0)-IF(AND('計算A'!BB$117=1,VZ22&gt;0),2000,0)-IF(AND($L22=1,'計算A'!BC$117=1,FB22=0),2000,0))),1000000))</f>
        <v/>
      </c>
      <c r="QF22">
        <f>IF($B22=0,1000000,IF(INDEX('計算A'!$D$60:$EQ$104,$B22,53)*FB22=1,IF(AND($E22=2,KQ22=0),1000000,IF($I22&gt;0,IF(3=$J22,IF(OR(AND(53=$I22+1,OR($K22&lt;&gt;'計算A'!$A$3,'計算A'!$A$4=0)),AND(53=$I22-1,OR(5&lt;&gt;'計算A'!$A$3,'計算A'!$A$4=0))),0,IF(5=$K22,200000,ABS(5-$K22)*100)),100000+ABS(3-$J22)*1000+50)+'計算A'!BD$5*50+IF(AND($E22=1,KQ22=0),25,0),IF($F22&gt;0,INDEX('計算A'!BD$110:BD$114,$F22+1)+IF(AND($E22=1,KQ22=0),1000,0),MIN(TW22,20)*400+(IF('計算A'!BC$106=1,1-FA22,0)+IF('計算A'!BD$106=1,1-FC22,0))*150+53+'計算A'!BD$5*100000+IF(AND($E22=1,KQ22=0),50000,0))+IF($H22=1,(IF('計算A'!BC$117=1,INDEX('計算A'!BC$10:BC$54,$B22),0)+IF('計算A'!BD$117=1,INDEX('計算A'!BE$10:BE$54,$B22),0))*4000,0)-IF(AND('計算A'!BC$117=1,WA22&gt;0),2000,0)-IF(AND($L22=1,'計算A'!BD$117=1,FC22=0),2000,0))),1000000))</f>
        <v/>
      </c>
      <c r="QG22">
        <f>IF($B22=0,1000000,IF(INDEX('計算A'!$D$60:$EQ$104,$B22,54)*FC22=1,IF(AND($E22=2,KR22=0),1000000,IF($I22&gt;0,IF(3=$J22,IF(OR(AND(54=$I22+1,OR($K22&lt;&gt;'計算A'!$A$3,'計算A'!$A$4=0)),AND(54=$I22-1,OR(6&lt;&gt;'計算A'!$A$3,'計算A'!$A$4=0))),0,IF(6=$K22,200000,ABS(6-$K22)*100)),100000+ABS(3-$J22)*1000+60)+'計算A'!BE$5*50+IF(AND($E22=1,KR22=0),25,0),IF($F22&gt;0,INDEX('計算A'!BE$110:BE$114,$F22+1)+IF(AND($E22=1,KR22=0),1000,0),MIN(TW22,20)*400+(IF('計算A'!BD$106=1,1-FB22,0)+IF('計算A'!BE$106=1,1-FD22,0))*150+63+'計算A'!BE$5*100000+IF(AND($E22=1,KR22=0),50000,0))+IF($H22=1,(IF('計算A'!BD$117=1,INDEX('計算A'!BD$10:BD$54,$B22),0)+IF('計算A'!BE$117=1,INDEX('計算A'!BF$10:BF$54,$B22),0))*4000,0)-IF(AND('計算A'!BD$117=1,WB22&gt;0),2000,0)-IF(AND($L22=1,'計算A'!BE$117=1,FD22=0),2000,0))),1000000))</f>
        <v/>
      </c>
      <c r="QH22">
        <f>IF($B22=0,1000000,IF(INDEX('計算A'!$D$60:$EQ$104,$B22,55)*FD22=1,IF(AND($E22=2,KS22=0),1000000,IF($I22&gt;0,IF(3=$J22,IF(OR(AND(55=$I22+1,OR($K22&lt;&gt;'計算A'!$A$3,'計算A'!$A$4=0)),AND(55=$I22-1,OR(7&lt;&gt;'計算A'!$A$3,'計算A'!$A$4=0))),0,IF(7=$K22,200000,ABS(7-$K22)*100)),100000+ABS(3-$J22)*1000+70)+'計算A'!BF$5*50+IF(AND($E22=1,KS22=0),25,0),IF($F22&gt;0,INDEX('計算A'!BF$110:BF$114,$F22+1)+IF(AND($E22=1,KS22=0),1000,0),MIN(TW22,20)*400+(IF('計算A'!BE$106=1,1-FC22,0)+IF('計算A'!BF$106=1,1-FE22,0))*150+73+'計算A'!BF$5*100000+IF(AND($E22=1,KS22=0),50000,0))+IF($H22=1,(IF('計算A'!BE$117=1,INDEX('計算A'!BE$10:BE$54,$B22),0)+IF('計算A'!BF$117=1,INDEX('計算A'!BG$10:BG$54,$B22),0))*4000,0)-IF(AND('計算A'!BE$117=1,WC22&gt;0),2000,0)-IF(AND($L22=1,'計算A'!BF$117=1,FE22=0),2000,0))),1000000))</f>
        <v/>
      </c>
      <c r="QI22">
        <f>IF($B22=0,1000000,IF(INDEX('計算A'!$D$60:$EQ$104,$B22,56)*FE22=1,IF(AND($E22=2,KT22=0),1000000,IF($I22&gt;0,IF(3=$J22,IF(OR(AND(56=$I22+1,OR($K22&lt;&gt;'計算A'!$A$3,'計算A'!$A$4=0)),AND(56=$I22-1,OR(8&lt;&gt;'計算A'!$A$3,'計算A'!$A$4=0))),0,IF(8=$K22,200000,ABS(8-$K22)*100)),100000+ABS(3-$J22)*1000+80)+'計算A'!BG$5*50+IF(AND($E22=1,KT22=0),25,0),IF($F22&gt;0,INDEX('計算A'!BG$110:BG$114,$F22+1)+IF(AND($E22=1,KT22=0),1000,0),MIN(TW22,20)*400+(IF('計算A'!BF$106=1,1-FD22,0)+IF('計算A'!BG$106=1,1-FF22,0))*150+83+'計算A'!BG$5*100000+IF(AND($E22=1,KT22=0),50000,0))+IF($H22=1,(IF('計算A'!BF$117=1,INDEX('計算A'!BF$10:BF$54,$B22),0)+IF('計算A'!BG$117=1,INDEX('計算A'!BH$10:BH$54,$B22),0))*4000,0)-IF(AND('計算A'!BF$117=1,WD22&gt;0),2000,0)-IF(AND($L22=1,'計算A'!BG$117=1,FF22=0),2000,0))),1000000))</f>
        <v/>
      </c>
      <c r="QJ22">
        <f>IF($B22=0,1000000,IF(INDEX('計算A'!$D$60:$EQ$104,$B22,57)*FF22=1,IF(AND($E22=2,KU22=0),1000000,IF($I22&gt;0,IF(3=$J22,IF(OR(AND(57=$I22+1,OR($K22&lt;&gt;'計算A'!$A$3,'計算A'!$A$4=0)),AND(57=$I22-1,OR(9&lt;&gt;'計算A'!$A$3,'計算A'!$A$4=0))),0,IF(9=$K22,200000,ABS(9-$K22)*100)),100000+ABS(3-$J22)*1000+90)+'計算A'!BH$5*50+IF(AND($E22=1,KU22=0),25,0),IF($F22&gt;0,INDEX('計算A'!BH$110:BH$114,$F22+1)+IF(AND($E22=1,KU22=0),1000,0),MIN(TW22,20)*400+(IF('計算A'!BG$106=1,1-FE22,0)+IF('計算A'!BH$106=1,1-FG22,0))*150+93+'計算A'!BH$5*100000+IF(AND($E22=1,KU22=0),50000,0))+IF($H22=1,(IF('計算A'!BG$117=1,INDEX('計算A'!BG$10:BG$54,$B22),0)+IF('計算A'!BH$117=1,INDEX('計算A'!BI$10:BI$54,$B22),0))*4000,0)-IF(AND('計算A'!BG$117=1,WE22&gt;0),2000,0)-IF(AND($L22=1,'計算A'!BH$117=1,FG22=0),2000,0))),1000000))</f>
        <v/>
      </c>
      <c r="QK22">
        <f>IF($B22=0,1000000,IF(INDEX('計算A'!$D$60:$EQ$104,$B22,58)*FG22=1,IF(AND($E22=2,KV22=0),1000000,IF($I22&gt;0,IF(3=$J22,IF(OR(AND(58=$I22+1,OR($K22&lt;&gt;'計算A'!$A$3,'計算A'!$A$4=0)),AND(58=$I22-1,OR(10&lt;&gt;'計算A'!$A$3,'計算A'!$A$4=0))),0,IF(10=$K22,200000,ABS(10-$K22)*100)),100000+ABS(3-$J22)*1000+100)+'計算A'!BI$5*50+IF(AND($E22=1,KV22=0),25,0),IF($F22&gt;0,INDEX('計算A'!BI$110:BI$114,$F22+1)+IF(AND($E22=1,KV22=0),1000,0),MIN(TW22,20)*400+(IF('計算A'!BH$106=1,1-FF22,0)+IF('計算A'!BI$106=1,1-FH22,0))*150+103+'計算A'!BI$5*100000+IF(AND($E22=1,KV22=0),50000,0))+IF($H22=1,(IF('計算A'!BH$117=1,INDEX('計算A'!BH$10:BH$54,$B22),0)+IF('計算A'!BI$117=1,INDEX('計算A'!BJ$10:BJ$54,$B22),0))*4000,0)-IF(AND('計算A'!BH$117=1,WF22&gt;0),2000,0)-IF(AND($L22=1,'計算A'!BI$117=1,FH22=0),2000,0))),1000000))</f>
        <v/>
      </c>
      <c r="QL22">
        <f>IF($B22=0,1000000,IF(INDEX('計算A'!$D$60:$EQ$104,$B22,59)*FH22=1,IF(AND($E22=2,KW22=0),1000000,IF($I22&gt;0,IF(3=$J22,IF(OR(AND(59=$I22+1,OR($K22&lt;&gt;'計算A'!$A$3,'計算A'!$A$4=0)),AND(59=$I22-1,OR(11&lt;&gt;'計算A'!$A$3,'計算A'!$A$4=0))),0,IF(11=$K22,200000,ABS(11-$K22)*100)),100000+ABS(3-$J22)*1000+110)+'計算A'!BJ$5*50+IF(AND($E22=1,KW22=0),25,0),IF($F22&gt;0,INDEX('計算A'!BJ$110:BJ$114,$F22+1)+IF(AND($E22=1,KW22=0),1000,0),MIN(TW22,20)*400+(IF('計算A'!BI$106=1,1-FG22,0)+IF('計算A'!BJ$106=1,1-FI22,0))*150+113+'計算A'!BJ$5*100000+IF(AND($E22=1,KW22=0),50000,0))+IF($H22=1,(IF('計算A'!BI$117=1,INDEX('計算A'!BI$10:BI$54,$B22),0)+IF('計算A'!BJ$117=1,INDEX('計算A'!BK$10:BK$54,$B22),0))*4000,0)-IF(AND('計算A'!BI$117=1,WG22&gt;0),2000,0)-IF(AND($L22=1,'計算A'!BJ$117=1,FI22=0),2000,0))),1000000))</f>
        <v/>
      </c>
      <c r="QM22">
        <f>IF($B22=0,1000000,IF(INDEX('計算A'!$D$60:$EQ$104,$B22,60)*FI22=1,IF(AND($E22=2,KX22=0),1000000,IF($I22&gt;0,IF(3=$J22,IF(OR(AND(60=$I22+1,OR($K22&lt;&gt;'計算A'!$A$3,'計算A'!$A$4=0)),AND(60=$I22-1,OR(12&lt;&gt;'計算A'!$A$3,'計算A'!$A$4=0))),0,IF(12=$K22,200000,ABS(12-$K22)*100)),100000+ABS(3-$J22)*1000+120)+'計算A'!BK$5*50+IF(AND($E22=1,KX22=0),25,0),IF($F22&gt;0,INDEX('計算A'!BK$110:BK$114,$F22+1)+IF(AND($E22=1,KX22=0),1000,0),MIN(TW22,20)*400+(IF('計算A'!BJ$106=1,1-FH22,0)+IF('計算A'!BK$106=1,1-FJ22,0))*150+123+'計算A'!BK$5*100000+IF(AND($E22=1,KX22=0),50000,0))+IF($H22=1,(IF('計算A'!BJ$117=1,INDEX('計算A'!BJ$10:BJ$54,$B22),0)+IF('計算A'!BK$117=1,INDEX('計算A'!BL$10:BL$54,$B22),0))*4000,0)-IF(AND('計算A'!BJ$117=1,WH22&gt;0),2000,0)-IF(AND($L22=1,'計算A'!BK$117=1,FJ22=0),2000,0))),1000000))</f>
        <v/>
      </c>
      <c r="QN22">
        <f>IF($B22=0,1000000,IF(INDEX('計算A'!$D$60:$EQ$104,$B22,61)*FJ22=1,IF(AND($E22=2,KY22=0),1000000,IF($I22&gt;0,IF(3=$J22,IF(OR(AND(61=$I22+1,OR($K22&lt;&gt;'計算A'!$A$3,'計算A'!$A$4=0)),AND(61=$I22-1,OR(13&lt;&gt;'計算A'!$A$3,'計算A'!$A$4=0))),0,IF(13=$K22,200000,ABS(13-$K22)*100)),100000+ABS(3-$J22)*1000+130)+'計算A'!BL$5*50+IF(AND($E22=1,KY22=0),25,0),IF($F22&gt;0,INDEX('計算A'!BL$110:BL$114,$F22+1)+IF(AND($E22=1,KY22=0),1000,0),MIN(TW22,20)*400+(IF('計算A'!BK$106=1,1-FI22,0)+IF('計算A'!BL$106=1,1-FK22,0))*150+133+'計算A'!BL$5*100000+IF(AND($E22=1,KY22=0),50000,0))+IF($H22=1,(IF('計算A'!BK$117=1,INDEX('計算A'!BK$10:BK$54,$B22),0)+IF('計算A'!BL$117=1,INDEX('計算A'!BM$10:BM$54,$B22),0))*4000,0)-IF(AND('計算A'!BK$117=1,WI22&gt;0),2000,0)-IF(AND($L22=1,'計算A'!BL$117=1,FK22=0),2000,0))),1000000))</f>
        <v/>
      </c>
      <c r="QO22">
        <f>IF($B22=0,1000000,IF(INDEX('計算A'!$D$60:$EQ$104,$B22,62)*FK22=1,IF(AND($E22=2,KZ22=0),1000000,IF($I22&gt;0,IF(3=$J22,IF(OR(AND(62=$I22+1,OR($K22&lt;&gt;'計算A'!$A$3,'計算A'!$A$4=0)),AND(62=$I22-1,OR(14&lt;&gt;'計算A'!$A$3,'計算A'!$A$4=0))),0,IF(14=$K22,200000,ABS(14-$K22)*100)),100000+ABS(3-$J22)*1000+140)+'計算A'!BM$5*50+IF(AND($E22=1,KZ22=0),25,0),IF($F22&gt;0,INDEX('計算A'!BM$110:BM$114,$F22+1)+IF(AND($E22=1,KZ22=0),1000,0),MIN(TW22,20)*400+(IF('計算A'!BL$106=1,1-FJ22,0)+IF('計算A'!BM$106=1,1-FL22,0))*150+143+'計算A'!BM$5*100000+IF(AND($E22=1,KZ22=0),50000,0))+IF($H22=1,(IF('計算A'!BL$117=1,INDEX('計算A'!BL$10:BL$54,$B22),0)+IF('計算A'!BM$117=1,INDEX('計算A'!BN$10:BN$54,$B22),0))*4000,0)-IF(AND('計算A'!BL$117=1,WJ22&gt;0),2000,0)-IF(AND($L22=1,'計算A'!BM$117=1,FL22=0),2000,0))),1000000))</f>
        <v/>
      </c>
      <c r="QP22">
        <f>IF($B22=0,1000000,IF(INDEX('計算A'!$D$60:$EQ$104,$B22,63)*FL22=1,IF(AND($E22=2,LA22=0),1000000,IF($I22&gt;0,IF(3=$J22,IF(OR(AND(63=$I22+1,OR($K22&lt;&gt;'計算A'!$A$3,'計算A'!$A$4=0)),AND(63=$I22-1,OR(15&lt;&gt;'計算A'!$A$3,'計算A'!$A$4=0))),0,IF(15=$K22,200000,ABS(15-$K22)*100)),100000+ABS(3-$J22)*1000+150)+'計算A'!BN$5*50+IF(AND($E22=1,LA22=0),25,0),IF($F22&gt;0,INDEX('計算A'!BN$110:BN$114,$F22+1)+IF(AND($E22=1,LA22=0),1000,0),MIN(TW22,20)*400+(IF('計算A'!BM$106=1,1-FK22,0)+IF('計算A'!BN$106=1,1-FM22,0))*150+153+'計算A'!BN$5*100000+IF(AND($E22=1,LA22=0),50000,0))+IF($H22=1,(IF('計算A'!BM$117=1,INDEX('計算A'!BM$10:BM$54,$B22),0)+IF('計算A'!BN$117=1,INDEX('計算A'!BO$10:BO$54,$B22),0))*4000,0)-IF(AND('計算A'!BM$117=1,WK22&gt;0),2000,0)-IF(AND($L22=1,'計算A'!BN$117=1,FM22=0),2000,0))),1000000))</f>
        <v/>
      </c>
      <c r="QQ22">
        <f>IF($B22=0,1000000,IF(INDEX('計算A'!$D$60:$EQ$104,$B22,64)*FM22=1,IF(AND($E22=2,LB22=0),1000000,IF($I22&gt;0,IF(3=$J22,IF(OR(AND(64=$I22+1,OR($K22&lt;&gt;'計算A'!$A$3,'計算A'!$A$4=0)),AND(64=$I22-1,OR(16&lt;&gt;'計算A'!$A$3,'計算A'!$A$4=0))),0,IF(16=$K22,200000,ABS(16-$K22)*100)),100000+ABS(3-$J22)*1000+160)+'計算A'!BO$5*50+IF(AND($E22=1,LB22=0),25,0),IF($F22&gt;0,INDEX('計算A'!BO$110:BO$114,$F22+1)+IF(AND($E22=1,LB22=0),1000,0),MIN(TW22,20)*400+(IF('計算A'!BN$106=1,1-FL22,0)+IF('計算A'!BO$106=1,1-FN22,0))*150+163+'計算A'!BO$5*100000+IF(AND($E22=1,LB22=0),50000,0))+IF($H22=1,(IF('計算A'!BN$117=1,INDEX('計算A'!BN$10:BN$54,$B22),0)+IF('計算A'!BO$117=1,INDEX('計算A'!BP$10:BP$54,$B22),0))*4000,0)-IF(AND('計算A'!BN$117=1,WL22&gt;0),2000,0)-IF(AND($L22=1,'計算A'!BO$117=1,FN22=0),2000,0))),1000000))</f>
        <v/>
      </c>
      <c r="QR22">
        <f>IF($B22=0,1000000,IF(INDEX('計算A'!$D$60:$EQ$104,$B22,65)*FN22=1,IF(AND($E22=2,LC22=0),1000000,IF($I22&gt;0,IF(3=$J22,IF(OR(AND(65=$I22+1,OR($K22&lt;&gt;'計算A'!$A$3,'計算A'!$A$4=0)),AND(65=$I22-1,OR(17&lt;&gt;'計算A'!$A$3,'計算A'!$A$4=0))),0,IF(17=$K22,200000,ABS(17-$K22)*100)),100000+ABS(3-$J22)*1000+170)+'計算A'!BP$5*50+IF(AND($E22=1,LC22=0),25,0),IF($F22&gt;0,INDEX('計算A'!BP$110:BP$114,$F22+1)+IF(AND($E22=1,LC22=0),1000,0),MIN(TW22,20)*400+(IF('計算A'!BO$106=1,1-FM22,0)+IF('計算A'!BP$106=1,1-FO22,0))*150+173+'計算A'!BP$5*100000+IF(AND($E22=1,LC22=0),50000,0))+IF($H22=1,(IF('計算A'!BO$117=1,INDEX('計算A'!BO$10:BO$54,$B22),0)+IF('計算A'!BP$117=1,INDEX('計算A'!BQ$10:BQ$54,$B22),0))*4000,0)-IF(AND('計算A'!BO$117=1,WM22&gt;0),2000,0)-IF(AND($L22=1,'計算A'!BP$117=1,FO22=0),2000,0))),1000000))</f>
        <v/>
      </c>
      <c r="QS22">
        <f>IF($B22=0,1000000,IF(INDEX('計算A'!$D$60:$EQ$104,$B22,66)*FO22=1,IF(AND($E22=2,LD22=0),1000000,IF($I22&gt;0,IF(3=$J22,IF(OR(AND(66=$I22+1,OR($K22&lt;&gt;'計算A'!$A$3,'計算A'!$A$4=0)),AND(66=$I22-1,OR(18&lt;&gt;'計算A'!$A$3,'計算A'!$A$4=0))),0,IF(18=$K22,200000,ABS(18-$K22)*100)),100000+ABS(3-$J22)*1000+180)+'計算A'!BQ$5*50+IF(AND($E22=1,LD22=0),25,0),IF($F22&gt;0,INDEX('計算A'!BQ$110:BQ$114,$F22+1)+IF(AND($E22=1,LD22=0),1000,0),MIN(TW22,20)*400+(IF('計算A'!BP$106=1,1-FN22,0)+IF('計算A'!BQ$106=1,1-FP22,0))*150+183+'計算A'!BQ$5*100000+IF(AND($E22=1,LD22=0),50000,0))+IF($H22=1,(IF('計算A'!BP$117=1,INDEX('計算A'!BP$10:BP$54,$B22),0)+IF('計算A'!BQ$117=1,INDEX('計算A'!BR$10:BR$54,$B22),0))*4000,0)-IF(AND('計算A'!BP$117=1,WN22&gt;0),2000,0)-IF(AND($L22=1,'計算A'!BQ$117=1,FP22=0),2000,0))),1000000))</f>
        <v/>
      </c>
      <c r="QT22">
        <f>IF($B22=0,1000000,IF(INDEX('計算A'!$D$60:$EQ$104,$B22,67)*FP22=1,IF(AND($E22=2,LE22=0),1000000,IF($I22&gt;0,IF(3=$J22,IF(OR(AND(67=$I22+1,OR($K22&lt;&gt;'計算A'!$A$3,'計算A'!$A$4=0)),AND(67=$I22-1,OR(19&lt;&gt;'計算A'!$A$3,'計算A'!$A$4=0))),0,IF(19=$K22,200000,ABS(19-$K22)*100)),100000+ABS(3-$J22)*1000+190)+'計算A'!BR$5*50+IF(AND($E22=1,LE22=0),25,0),IF($F22&gt;0,INDEX('計算A'!BR$110:BR$114,$F22+1)+IF(AND($E22=1,LE22=0),1000,0),MIN(TW22,20)*400+(IF('計算A'!BQ$106=1,1-FO22,0)+IF('計算A'!BR$106=1,1-FQ22,0))*150+193+'計算A'!BR$5*100000+IF(AND($E22=1,LE22=0),50000,0))+IF($H22=1,(IF('計算A'!BQ$117=1,INDEX('計算A'!BQ$10:BQ$54,$B22),0)+IF('計算A'!BR$117=1,INDEX('計算A'!BS$10:BS$54,$B22),0))*4000,0)-IF(AND('計算A'!BQ$117=1,WO22&gt;0),2000,0)-IF(AND($L22=1,'計算A'!BR$117=1,FQ22=0),2000,0))),1000000))</f>
        <v/>
      </c>
      <c r="QU22">
        <f>IF($B22=0,1000000,IF(INDEX('計算A'!$D$60:$EQ$104,$B22,68)*FQ22=1,IF(AND($E22=2,LF22=0),1000000,IF($I22&gt;0,IF(3=$J22,IF(OR(AND(68=$I22+1,OR($K22&lt;&gt;'計算A'!$A$3,'計算A'!$A$4=0)),AND(68=$I22-1,OR(20&lt;&gt;'計算A'!$A$3,'計算A'!$A$4=0))),0,IF(20=$K22,200000,ABS(20-$K22)*100)),100000+ABS(3-$J22)*1000+200)+'計算A'!BS$5*50+IF(AND($E22=1,LF22=0),25,0),IF($F22&gt;0,INDEX('計算A'!BS$110:BS$114,$F22+1)+IF(AND($E22=1,LF22=0),1000,0),MIN(TW22,20)*400+(IF('計算A'!BR$106=1,1-FP22,0)+IF('計算A'!BS$106=1,1-FR22,0))*150+203+'計算A'!BS$5*100000+IF(AND($E22=1,LF22=0),50000,0))+IF($H22=1,(IF('計算A'!BR$117=1,INDEX('計算A'!BR$10:BR$54,$B22),0)+IF('計算A'!BS$117=1,INDEX('計算A'!BT$10:BT$54,$B22),0))*4000,0)-IF(AND('計算A'!BR$117=1,WP22&gt;0),2000,0)-IF(AND($L22=1,'計算A'!BS$117=1,FR22=0),2000,0))),1000000))</f>
        <v/>
      </c>
      <c r="QV22">
        <f>IF($B22=0,1000000,IF(INDEX('計算A'!$D$60:$EQ$104,$B22,69)*FR22=1,IF(AND($E22=2,LG22=0),1000000,IF($I22&gt;0,IF(3=$J22,IF(OR(AND(69=$I22+1,OR($K22&lt;&gt;'計算A'!$A$3,'計算A'!$A$4=0)),AND(69=$I22-1,OR(21&lt;&gt;'計算A'!$A$3,'計算A'!$A$4=0))),0,IF(21=$K22,200000,ABS(21-$K22)*100)),100000+ABS(3-$J22)*1000+210)+'計算A'!BT$5*50+IF(AND($E22=1,LG22=0),25,0),IF($F22&gt;0,INDEX('計算A'!BT$110:BT$114,$F22+1)+IF(AND($E22=1,LG22=0),1000,0),MIN(TW22,20)*400+(IF('計算A'!BS$106=1,1-FQ22,0)+IF('計算A'!BT$106=1,1-FS22,0))*150+213+'計算A'!BT$5*100000+IF(AND($E22=1,LG22=0),50000,0))+IF($H22=1,(IF('計算A'!BS$117=1,INDEX('計算A'!BS$10:BS$54,$B22),0)+IF('計算A'!BT$117=1,INDEX('計算A'!BU$10:BU$54,$B22),0))*4000,0)-IF(AND('計算A'!BS$117=1,WQ22&gt;0),2000,0)-IF(AND($L22=1,'計算A'!BT$117=1,FS22=0),2000,0))),1000000))</f>
        <v/>
      </c>
      <c r="QW22">
        <f>IF($B22=0,1000000,IF(INDEX('計算A'!$D$60:$EQ$104,$B22,70)*FS22=1,IF(AND($E22=2,LH22=0),1000000,IF($I22&gt;0,IF(3=$J22,IF(OR(AND(70=$I22+1,OR($K22&lt;&gt;'計算A'!$A$3,'計算A'!$A$4=0)),AND(70=$I22-1,OR(22&lt;&gt;'計算A'!$A$3,'計算A'!$A$4=0))),0,IF(22=$K22,200000,ABS(22-$K22)*100)),100000+ABS(3-$J22)*1000+220)+'計算A'!BU$5*50+IF(AND($E22=1,LH22=0),25,0),IF($F22&gt;0,INDEX('計算A'!BU$110:BU$114,$F22+1)+IF(AND($E22=1,LH22=0),1000,0),MIN(TW22,20)*400+(IF('計算A'!BT$106=1,1-FR22,0)+IF('計算A'!BU$106=1,1-FT22,0))*150+223+'計算A'!BU$5*100000+IF(AND($E22=1,LH22=0),50000,0))+IF($H22=1,(IF('計算A'!BT$117=1,INDEX('計算A'!BT$10:BT$54,$B22),0)+IF('計算A'!BU$117=1,INDEX('計算A'!BV$10:BV$54,$B22),0))*4000,0)-IF(AND('計算A'!BT$117=1,WR22&gt;0),2000,0)-IF(AND($L22=1,'計算A'!BU$117=1,FT22=0),2000,0))),1000000))</f>
        <v/>
      </c>
      <c r="QX22">
        <f>IF($B22=0,1000000,IF(INDEX('計算A'!$D$60:$EQ$104,$B22,71)*FT22=1,IF(AND($E22=2,LI22=0),1000000,IF($I22&gt;0,IF(3=$J22,IF(OR(AND(71=$I22+1,OR($K22&lt;&gt;'計算A'!$A$3,'計算A'!$A$4=0)),AND(71=$I22-1,OR(23&lt;&gt;'計算A'!$A$3,'計算A'!$A$4=0))),0,IF(23=$K22,200000,ABS(23-$K22)*100)),100000+ABS(3-$J22)*1000+230)+'計算A'!BV$5*50+IF(AND($E22=1,LI22=0),25,0),IF($F22&gt;0,INDEX('計算A'!BV$110:BV$114,$F22+1)+IF(AND($E22=1,LI22=0),1000,0),MIN(TW22,20)*400+(IF('計算A'!BU$106=1,1-FS22,0)+IF('計算A'!BV$106=1,1-FU22,0))*150+233+'計算A'!BV$5*100000+IF(AND($E22=1,LI22=0),50000,0))+IF($H22=1,(IF('計算A'!BU$117=1,INDEX('計算A'!BU$10:BU$54,$B22),0)+IF('計算A'!BV$117=1,INDEX('計算A'!BW$10:BW$54,$B22),0))*4000,0)-IF(AND('計算A'!BU$117=1,WS22&gt;0),2000,0)-IF(AND($L22=1,'計算A'!BV$117=1,FU22=0),2000,0))),1000000))</f>
        <v/>
      </c>
      <c r="QY22">
        <f>IF($B22=0,1000000,IF(INDEX('計算A'!$D$60:$EQ$104,$B22,72)*FU22=1,IF(AND($E22=2,LJ22=0),1000000,IF($I22&gt;0,IF(3=$J22,IF(OR(AND(72=$I22+1,OR($K22&lt;&gt;'計算A'!$A$3,'計算A'!$A$4=0)),AND(72=$I22-1,OR(24&lt;&gt;'計算A'!$A$3,'計算A'!$A$4=0))),0,IF(24=$K22,200000,ABS(24-$K22)*100)),100000+ABS(3-$J22)*1000+240)+'計算A'!BW$5*50+IF(AND($E22=1,LJ22=0),25,0),IF($F22&gt;0,INDEX('計算A'!BW$110:BW$114,$F22+1)+IF(AND($E22=1,LJ22=0),1000,0),MIN(TW22,20)*400+(IF('計算A'!BV$106=1,1-FT22,0))*150+243+'計算A'!BW$5*100000+IF(AND($E22=1,LJ22=0),50000,0))+IF($H22=1,(IF('計算A'!BV$117=1,INDEX('計算A'!BV$10:BV$54,$B22),0))*4000,0)-IF(AND('計算A'!BV$117=1,WT22&gt;0),2000,0))),1000000))</f>
        <v/>
      </c>
      <c r="QZ22">
        <f>IF($B22=0,1000000,IF(INDEX('計算A'!$D$60:$EQ$104,$B22,73)*FV22=1,IF(AND($E22=2,LK22=0),1000000,IF($I22&gt;0,IF(4=$J22,IF(OR(AND(73=$I22+1,OR($K22&lt;&gt;'計算A'!$A$3,'計算A'!$A$4=0)),AND(73=$I22-1,OR(1&lt;&gt;'計算A'!$A$3,'計算A'!$A$4=0))),0,IF(1=$K22,200000,ABS(1-$K22)*100)),100000+ABS(4-$J22)*1000+10)+'計算A'!BX$5*50+IF(AND($E22=1,LK22=0),25,0),IF($F22&gt;0,INDEX('計算A'!BX$110:BX$114,$F22+1)+IF(AND($E22=1,LK22=0),1000,0),MIN(TX22,20)*400+(IF('計算A'!BX$106=1,1-FW22,0))*150+14+'計算A'!BX$5*100000+IF(AND($E22=1,LK22=0),50000,0))+IF($H22=1,(IF('計算A'!BX$117=1,INDEX('計算A'!BY$10:BY$54,$B22),0))*4000,0)-IF(AND($L22=1,'計算A'!BX$117=1,FW22=0),2000,0))),1000000))</f>
        <v/>
      </c>
      <c r="RA22">
        <f>IF($B22=0,1000000,IF(INDEX('計算A'!$D$60:$EQ$104,$B22,74)*FW22=1,IF(AND($E22=2,LL22=0),1000000,IF($I22&gt;0,IF(4=$J22,IF(OR(AND(74=$I22+1,OR($K22&lt;&gt;'計算A'!$A$3,'計算A'!$A$4=0)),AND(74=$I22-1,OR(2&lt;&gt;'計算A'!$A$3,'計算A'!$A$4=0))),0,IF(2=$K22,200000,ABS(2-$K22)*100)),100000+ABS(4-$J22)*1000+20)+'計算A'!BY$5*50+IF(AND($E22=1,LL22=0),25,0),IF($F22&gt;0,INDEX('計算A'!BY$110:BY$114,$F22+1)+IF(AND($E22=1,LL22=0),1000,0),MIN(TX22,20)*400+(IF('計算A'!BX$106=1,1-FV22,0)+IF('計算A'!BY$106=1,1-FX22,0))*150+24+'計算A'!BY$5*100000+IF(AND($E22=1,LL22=0),50000,0))+IF($H22=1,(IF('計算A'!BX$117=1,INDEX('計算A'!BX$10:BX$54,$B22),0)+IF('計算A'!BY$117=1,INDEX('計算A'!BZ$10:BZ$54,$B22),0))*4000,0)-IF(AND('計算A'!BX$117=1,WV22&gt;0),2000,0)-IF(AND($L22=1,'計算A'!BY$117=1,FX22=0),2000,0))),1000000))</f>
        <v/>
      </c>
      <c r="RB22">
        <f>IF($B22=0,1000000,IF(INDEX('計算A'!$D$60:$EQ$104,$B22,75)*FX22=1,IF(AND($E22=2,LM22=0),1000000,IF($I22&gt;0,IF(4=$J22,IF(OR(AND(75=$I22+1,OR($K22&lt;&gt;'計算A'!$A$3,'計算A'!$A$4=0)),AND(75=$I22-1,OR(3&lt;&gt;'計算A'!$A$3,'計算A'!$A$4=0))),0,IF(3=$K22,200000,ABS(3-$K22)*100)),100000+ABS(4-$J22)*1000+30)+'計算A'!BZ$5*50+IF(AND($E22=1,LM22=0),25,0),IF($F22&gt;0,INDEX('計算A'!BZ$110:BZ$114,$F22+1)+IF(AND($E22=1,LM22=0),1000,0),MIN(TX22,20)*400+(IF('計算A'!BY$106=1,1-FW22,0)+IF('計算A'!BZ$106=1,1-FY22,0))*150+34+'計算A'!BZ$5*100000+IF(AND($E22=1,LM22=0),50000,0))+IF($H22=1,(IF('計算A'!BY$117=1,INDEX('計算A'!BY$10:BY$54,$B22),0)+IF('計算A'!BZ$117=1,INDEX('計算A'!CA$10:CA$54,$B22),0))*4000,0)-IF(AND('計算A'!BY$117=1,WW22&gt;0),2000,0)-IF(AND($L22=1,'計算A'!BZ$117=1,FY22=0),2000,0))),1000000))</f>
        <v/>
      </c>
      <c r="RC22">
        <f>IF($B22=0,1000000,IF(INDEX('計算A'!$D$60:$EQ$104,$B22,76)*FY22=1,IF(AND($E22=2,LN22=0),1000000,IF($I22&gt;0,IF(4=$J22,IF(OR(AND(76=$I22+1,OR($K22&lt;&gt;'計算A'!$A$3,'計算A'!$A$4=0)),AND(76=$I22-1,OR(4&lt;&gt;'計算A'!$A$3,'計算A'!$A$4=0))),0,IF(4=$K22,200000,ABS(4-$K22)*100)),100000+ABS(4-$J22)*1000+40)+'計算A'!CA$5*50+IF(AND($E22=1,LN22=0),25,0),IF($F22&gt;0,INDEX('計算A'!CA$110:CA$114,$F22+1)+IF(AND($E22=1,LN22=0),1000,0),MIN(TX22,20)*400+(IF('計算A'!BZ$106=1,1-FX22,0)+IF('計算A'!CA$106=1,1-FZ22,0))*150+44+'計算A'!CA$5*100000+IF(AND($E22=1,LN22=0),50000,0))+IF($H22=1,(IF('計算A'!BZ$117=1,INDEX('計算A'!BZ$10:BZ$54,$B22),0)+IF('計算A'!CA$117=1,INDEX('計算A'!CB$10:CB$54,$B22),0))*4000,0)-IF(AND('計算A'!BZ$117=1,WX22&gt;0),2000,0)-IF(AND($L22=1,'計算A'!CA$117=1,FZ22=0),2000,0))),1000000))</f>
        <v/>
      </c>
      <c r="RD22">
        <f>IF($B22=0,1000000,IF(INDEX('計算A'!$D$60:$EQ$104,$B22,77)*FZ22=1,IF(AND($E22=2,LO22=0),1000000,IF($I22&gt;0,IF(4=$J22,IF(OR(AND(77=$I22+1,OR($K22&lt;&gt;'計算A'!$A$3,'計算A'!$A$4=0)),AND(77=$I22-1,OR(5&lt;&gt;'計算A'!$A$3,'計算A'!$A$4=0))),0,IF(5=$K22,200000,ABS(5-$K22)*100)),100000+ABS(4-$J22)*1000+50)+'計算A'!CB$5*50+IF(AND($E22=1,LO22=0),25,0),IF($F22&gt;0,INDEX('計算A'!CB$110:CB$114,$F22+1)+IF(AND($E22=1,LO22=0),1000,0),MIN(TX22,20)*400+(IF('計算A'!CA$106=1,1-FY22,0)+IF('計算A'!CB$106=1,1-GA22,0))*150+54+'計算A'!CB$5*100000+IF(AND($E22=1,LO22=0),50000,0))+IF($H22=1,(IF('計算A'!CA$117=1,INDEX('計算A'!CA$10:CA$54,$B22),0)+IF('計算A'!CB$117=1,INDEX('計算A'!CC$10:CC$54,$B22),0))*4000,0)-IF(AND('計算A'!CA$117=1,WY22&gt;0),2000,0)-IF(AND($L22=1,'計算A'!CB$117=1,GA22=0),2000,0))),1000000))</f>
        <v/>
      </c>
      <c r="RE22">
        <f>IF($B22=0,1000000,IF(INDEX('計算A'!$D$60:$EQ$104,$B22,78)*GA22=1,IF(AND($E22=2,LP22=0),1000000,IF($I22&gt;0,IF(4=$J22,IF(OR(AND(78=$I22+1,OR($K22&lt;&gt;'計算A'!$A$3,'計算A'!$A$4=0)),AND(78=$I22-1,OR(6&lt;&gt;'計算A'!$A$3,'計算A'!$A$4=0))),0,IF(6=$K22,200000,ABS(6-$K22)*100)),100000+ABS(4-$J22)*1000+60)+'計算A'!CC$5*50+IF(AND($E22=1,LP22=0),25,0),IF($F22&gt;0,INDEX('計算A'!CC$110:CC$114,$F22+1)+IF(AND($E22=1,LP22=0),1000,0),MIN(TX22,20)*400+(IF('計算A'!CB$106=1,1-FZ22,0)+IF('計算A'!CC$106=1,1-GB22,0))*150+64+'計算A'!CC$5*100000+IF(AND($E22=1,LP22=0),50000,0))+IF($H22=1,(IF('計算A'!CB$117=1,INDEX('計算A'!CB$10:CB$54,$B22),0)+IF('計算A'!CC$117=1,INDEX('計算A'!CD$10:CD$54,$B22),0))*4000,0)-IF(AND('計算A'!CB$117=1,WZ22&gt;0),2000,0)-IF(AND($L22=1,'計算A'!CC$117=1,GB22=0),2000,0))),1000000))</f>
        <v/>
      </c>
      <c r="RF22">
        <f>IF($B22=0,1000000,IF(INDEX('計算A'!$D$60:$EQ$104,$B22,79)*GB22=1,IF(AND($E22=2,LQ22=0),1000000,IF($I22&gt;0,IF(4=$J22,IF(OR(AND(79=$I22+1,OR($K22&lt;&gt;'計算A'!$A$3,'計算A'!$A$4=0)),AND(79=$I22-1,OR(7&lt;&gt;'計算A'!$A$3,'計算A'!$A$4=0))),0,IF(7=$K22,200000,ABS(7-$K22)*100)),100000+ABS(4-$J22)*1000+70)+'計算A'!CD$5*50+IF(AND($E22=1,LQ22=0),25,0),IF($F22&gt;0,INDEX('計算A'!CD$110:CD$114,$F22+1)+IF(AND($E22=1,LQ22=0),1000,0),MIN(TX22,20)*400+(IF('計算A'!CC$106=1,1-GA22,0)+IF('計算A'!CD$106=1,1-GC22,0))*150+74+'計算A'!CD$5*100000+IF(AND($E22=1,LQ22=0),50000,0))+IF($H22=1,(IF('計算A'!CC$117=1,INDEX('計算A'!CC$10:CC$54,$B22),0)+IF('計算A'!CD$117=1,INDEX('計算A'!CE$10:CE$54,$B22),0))*4000,0)-IF(AND('計算A'!CC$117=1,XA22&gt;0),2000,0)-IF(AND($L22=1,'計算A'!CD$117=1,GC22=0),2000,0))),1000000))</f>
        <v/>
      </c>
      <c r="RG22">
        <f>IF($B22=0,1000000,IF(INDEX('計算A'!$D$60:$EQ$104,$B22,80)*GC22=1,IF(AND($E22=2,LR22=0),1000000,IF($I22&gt;0,IF(4=$J22,IF(OR(AND(80=$I22+1,OR($K22&lt;&gt;'計算A'!$A$3,'計算A'!$A$4=0)),AND(80=$I22-1,OR(8&lt;&gt;'計算A'!$A$3,'計算A'!$A$4=0))),0,IF(8=$K22,200000,ABS(8-$K22)*100)),100000+ABS(4-$J22)*1000+80)+'計算A'!CE$5*50+IF(AND($E22=1,LR22=0),25,0),IF($F22&gt;0,INDEX('計算A'!CE$110:CE$114,$F22+1)+IF(AND($E22=1,LR22=0),1000,0),MIN(TX22,20)*400+(IF('計算A'!CD$106=1,1-GB22,0)+IF('計算A'!CE$106=1,1-GD22,0))*150+84+'計算A'!CE$5*100000+IF(AND($E22=1,LR22=0),50000,0))+IF($H22=1,(IF('計算A'!CD$117=1,INDEX('計算A'!CD$10:CD$54,$B22),0)+IF('計算A'!CE$117=1,INDEX('計算A'!CF$10:CF$54,$B22),0))*4000,0)-IF(AND('計算A'!CD$117=1,XB22&gt;0),2000,0)-IF(AND($L22=1,'計算A'!CE$117=1,GD22=0),2000,0))),1000000))</f>
        <v/>
      </c>
      <c r="RH22">
        <f>IF($B22=0,1000000,IF(INDEX('計算A'!$D$60:$EQ$104,$B22,81)*GD22=1,IF(AND($E22=2,LS22=0),1000000,IF($I22&gt;0,IF(4=$J22,IF(OR(AND(81=$I22+1,OR($K22&lt;&gt;'計算A'!$A$3,'計算A'!$A$4=0)),AND(81=$I22-1,OR(9&lt;&gt;'計算A'!$A$3,'計算A'!$A$4=0))),0,IF(9=$K22,200000,ABS(9-$K22)*100)),100000+ABS(4-$J22)*1000+90)+'計算A'!CF$5*50+IF(AND($E22=1,LS22=0),25,0),IF($F22&gt;0,INDEX('計算A'!CF$110:CF$114,$F22+1)+IF(AND($E22=1,LS22=0),1000,0),MIN(TX22,20)*400+(IF('計算A'!CE$106=1,1-GC22,0)+IF('計算A'!CF$106=1,1-GE22,0))*150+94+'計算A'!CF$5*100000+IF(AND($E22=1,LS22=0),50000,0))+IF($H22=1,(IF('計算A'!CE$117=1,INDEX('計算A'!CE$10:CE$54,$B22),0)+IF('計算A'!CF$117=1,INDEX('計算A'!CG$10:CG$54,$B22),0))*4000,0)-IF(AND('計算A'!CE$117=1,XC22&gt;0),2000,0)-IF(AND($L22=1,'計算A'!CF$117=1,GE22=0),2000,0))),1000000))</f>
        <v/>
      </c>
      <c r="RI22">
        <f>IF($B22=0,1000000,IF(INDEX('計算A'!$D$60:$EQ$104,$B22,82)*GE22=1,IF(AND($E22=2,LT22=0),1000000,IF($I22&gt;0,IF(4=$J22,IF(OR(AND(82=$I22+1,OR($K22&lt;&gt;'計算A'!$A$3,'計算A'!$A$4=0)),AND(82=$I22-1,OR(10&lt;&gt;'計算A'!$A$3,'計算A'!$A$4=0))),0,IF(10=$K22,200000,ABS(10-$K22)*100)),100000+ABS(4-$J22)*1000+100)+'計算A'!CG$5*50+IF(AND($E22=1,LT22=0),25,0),IF($F22&gt;0,INDEX('計算A'!CG$110:CG$114,$F22+1)+IF(AND($E22=1,LT22=0),1000,0),MIN(TX22,20)*400+(IF('計算A'!CF$106=1,1-GD22,0)+IF('計算A'!CG$106=1,1-GF22,0))*150+104+'計算A'!CG$5*100000+IF(AND($E22=1,LT22=0),50000,0))+IF($H22=1,(IF('計算A'!CF$117=1,INDEX('計算A'!CF$10:CF$54,$B22),0)+IF('計算A'!CG$117=1,INDEX('計算A'!CH$10:CH$54,$B22),0))*4000,0)-IF(AND('計算A'!CF$117=1,XD22&gt;0),2000,0)-IF(AND($L22=1,'計算A'!CG$117=1,GF22=0),2000,0))),1000000))</f>
        <v/>
      </c>
      <c r="RJ22">
        <f>IF($B22=0,1000000,IF(INDEX('計算A'!$D$60:$EQ$104,$B22,83)*GF22=1,IF(AND($E22=2,LU22=0),1000000,IF($I22&gt;0,IF(4=$J22,IF(OR(AND(83=$I22+1,OR($K22&lt;&gt;'計算A'!$A$3,'計算A'!$A$4=0)),AND(83=$I22-1,OR(11&lt;&gt;'計算A'!$A$3,'計算A'!$A$4=0))),0,IF(11=$K22,200000,ABS(11-$K22)*100)),100000+ABS(4-$J22)*1000+110)+'計算A'!CH$5*50+IF(AND($E22=1,LU22=0),25,0),IF($F22&gt;0,INDEX('計算A'!CH$110:CH$114,$F22+1)+IF(AND($E22=1,LU22=0),1000,0),MIN(TX22,20)*400+(IF('計算A'!CG$106=1,1-GE22,0)+IF('計算A'!CH$106=1,1-GG22,0))*150+114+'計算A'!CH$5*100000+IF(AND($E22=1,LU22=0),50000,0))+IF($H22=1,(IF('計算A'!CG$117=1,INDEX('計算A'!CG$10:CG$54,$B22),0)+IF('計算A'!CH$117=1,INDEX('計算A'!CI$10:CI$54,$B22),0))*4000,0)-IF(AND('計算A'!CG$117=1,XE22&gt;0),2000,0)-IF(AND($L22=1,'計算A'!CH$117=1,GG22=0),2000,0))),1000000))</f>
        <v/>
      </c>
      <c r="RK22">
        <f>IF($B22=0,1000000,IF(INDEX('計算A'!$D$60:$EQ$104,$B22,84)*GG22=1,IF(AND($E22=2,LV22=0),1000000,IF($I22&gt;0,IF(4=$J22,IF(OR(AND(84=$I22+1,OR($K22&lt;&gt;'計算A'!$A$3,'計算A'!$A$4=0)),AND(84=$I22-1,OR(12&lt;&gt;'計算A'!$A$3,'計算A'!$A$4=0))),0,IF(12=$K22,200000,ABS(12-$K22)*100)),100000+ABS(4-$J22)*1000+120)+'計算A'!CI$5*50+IF(AND($E22=1,LV22=0),25,0),IF($F22&gt;0,INDEX('計算A'!CI$110:CI$114,$F22+1)+IF(AND($E22=1,LV22=0),1000,0),MIN(TX22,20)*400+(IF('計算A'!CH$106=1,1-GF22,0)+IF('計算A'!CI$106=1,1-GH22,0))*150+124+'計算A'!CI$5*100000+IF(AND($E22=1,LV22=0),50000,0))+IF($H22=1,(IF('計算A'!CH$117=1,INDEX('計算A'!CH$10:CH$54,$B22),0)+IF('計算A'!CI$117=1,INDEX('計算A'!CJ$10:CJ$54,$B22),0))*4000,0)-IF(AND('計算A'!CH$117=1,XF22&gt;0),2000,0)-IF(AND($L22=1,'計算A'!CI$117=1,GH22=0),2000,0))),1000000))</f>
        <v/>
      </c>
      <c r="RL22">
        <f>IF($B22=0,1000000,IF(INDEX('計算A'!$D$60:$EQ$104,$B22,85)*GH22=1,IF(AND($E22=2,LW22=0),1000000,IF($I22&gt;0,IF(4=$J22,IF(OR(AND(85=$I22+1,OR($K22&lt;&gt;'計算A'!$A$3,'計算A'!$A$4=0)),AND(85=$I22-1,OR(13&lt;&gt;'計算A'!$A$3,'計算A'!$A$4=0))),0,IF(13=$K22,200000,ABS(13-$K22)*100)),100000+ABS(4-$J22)*1000+130)+'計算A'!CJ$5*50+IF(AND($E22=1,LW22=0),25,0),IF($F22&gt;0,INDEX('計算A'!CJ$110:CJ$114,$F22+1)+IF(AND($E22=1,LW22=0),1000,0),MIN(TX22,20)*400+(IF('計算A'!CI$106=1,1-GG22,0)+IF('計算A'!CJ$106=1,1-GI22,0))*150+134+'計算A'!CJ$5*100000+IF(AND($E22=1,LW22=0),50000,0))+IF($H22=1,(IF('計算A'!CI$117=1,INDEX('計算A'!CI$10:CI$54,$B22),0)+IF('計算A'!CJ$117=1,INDEX('計算A'!CK$10:CK$54,$B22),0))*4000,0)-IF(AND('計算A'!CI$117=1,XG22&gt;0),2000,0)-IF(AND($L22=1,'計算A'!CJ$117=1,GI22=0),2000,0))),1000000))</f>
        <v/>
      </c>
      <c r="RM22">
        <f>IF($B22=0,1000000,IF(INDEX('計算A'!$D$60:$EQ$104,$B22,86)*GI22=1,IF(AND($E22=2,LX22=0),1000000,IF($I22&gt;0,IF(4=$J22,IF(OR(AND(86=$I22+1,OR($K22&lt;&gt;'計算A'!$A$3,'計算A'!$A$4=0)),AND(86=$I22-1,OR(14&lt;&gt;'計算A'!$A$3,'計算A'!$A$4=0))),0,IF(14=$K22,200000,ABS(14-$K22)*100)),100000+ABS(4-$J22)*1000+140)+'計算A'!CK$5*50+IF(AND($E22=1,LX22=0),25,0),IF($F22&gt;0,INDEX('計算A'!CK$110:CK$114,$F22+1)+IF(AND($E22=1,LX22=0),1000,0),MIN(TX22,20)*400+(IF('計算A'!CJ$106=1,1-GH22,0)+IF('計算A'!CK$106=1,1-GJ22,0))*150+144+'計算A'!CK$5*100000+IF(AND($E22=1,LX22=0),50000,0))+IF($H22=1,(IF('計算A'!CJ$117=1,INDEX('計算A'!CJ$10:CJ$54,$B22),0)+IF('計算A'!CK$117=1,INDEX('計算A'!CL$10:CL$54,$B22),0))*4000,0)-IF(AND('計算A'!CJ$117=1,XH22&gt;0),2000,0)-IF(AND($L22=1,'計算A'!CK$117=1,GJ22=0),2000,0))),1000000))</f>
        <v/>
      </c>
      <c r="RN22">
        <f>IF($B22=0,1000000,IF(INDEX('計算A'!$D$60:$EQ$104,$B22,87)*GJ22=1,IF(AND($E22=2,LY22=0),1000000,IF($I22&gt;0,IF(4=$J22,IF(OR(AND(87=$I22+1,OR($K22&lt;&gt;'計算A'!$A$3,'計算A'!$A$4=0)),AND(87=$I22-1,OR(15&lt;&gt;'計算A'!$A$3,'計算A'!$A$4=0))),0,IF(15=$K22,200000,ABS(15-$K22)*100)),100000+ABS(4-$J22)*1000+150)+'計算A'!CL$5*50+IF(AND($E22=1,LY22=0),25,0),IF($F22&gt;0,INDEX('計算A'!CL$110:CL$114,$F22+1)+IF(AND($E22=1,LY22=0),1000,0),MIN(TX22,20)*400+(IF('計算A'!CK$106=1,1-GI22,0)+IF('計算A'!CL$106=1,1-GK22,0))*150+154+'計算A'!CL$5*100000+IF(AND($E22=1,LY22=0),50000,0))+IF($H22=1,(IF('計算A'!CK$117=1,INDEX('計算A'!CK$10:CK$54,$B22),0)+IF('計算A'!CL$117=1,INDEX('計算A'!CM$10:CM$54,$B22),0))*4000,0)-IF(AND('計算A'!CK$117=1,XI22&gt;0),2000,0)-IF(AND($L22=1,'計算A'!CL$117=1,GK22=0),2000,0))),1000000))</f>
        <v/>
      </c>
      <c r="RO22">
        <f>IF($B22=0,1000000,IF(INDEX('計算A'!$D$60:$EQ$104,$B22,88)*GK22=1,IF(AND($E22=2,LZ22=0),1000000,IF($I22&gt;0,IF(4=$J22,IF(OR(AND(88=$I22+1,OR($K22&lt;&gt;'計算A'!$A$3,'計算A'!$A$4=0)),AND(88=$I22-1,OR(16&lt;&gt;'計算A'!$A$3,'計算A'!$A$4=0))),0,IF(16=$K22,200000,ABS(16-$K22)*100)),100000+ABS(4-$J22)*1000+160)+'計算A'!CM$5*50+IF(AND($E22=1,LZ22=0),25,0),IF($F22&gt;0,INDEX('計算A'!CM$110:CM$114,$F22+1)+IF(AND($E22=1,LZ22=0),1000,0),MIN(TX22,20)*400+(IF('計算A'!CL$106=1,1-GJ22,0)+IF('計算A'!CM$106=1,1-GL22,0))*150+164+'計算A'!CM$5*100000+IF(AND($E22=1,LZ22=0),50000,0))+IF($H22=1,(IF('計算A'!CL$117=1,INDEX('計算A'!CL$10:CL$54,$B22),0)+IF('計算A'!CM$117=1,INDEX('計算A'!CN$10:CN$54,$B22),0))*4000,0)-IF(AND('計算A'!CL$117=1,XJ22&gt;0),2000,0)-IF(AND($L22=1,'計算A'!CM$117=1,GL22=0),2000,0))),1000000))</f>
        <v/>
      </c>
      <c r="RP22">
        <f>IF($B22=0,1000000,IF(INDEX('計算A'!$D$60:$EQ$104,$B22,89)*GL22=1,IF(AND($E22=2,MA22=0),1000000,IF($I22&gt;0,IF(4=$J22,IF(OR(AND(89=$I22+1,OR($K22&lt;&gt;'計算A'!$A$3,'計算A'!$A$4=0)),AND(89=$I22-1,OR(17&lt;&gt;'計算A'!$A$3,'計算A'!$A$4=0))),0,IF(17=$K22,200000,ABS(17-$K22)*100)),100000+ABS(4-$J22)*1000+170)+'計算A'!CN$5*50+IF(AND($E22=1,MA22=0),25,0),IF($F22&gt;0,INDEX('計算A'!CN$110:CN$114,$F22+1)+IF(AND($E22=1,MA22=0),1000,0),MIN(TX22,20)*400+(IF('計算A'!CM$106=1,1-GK22,0)+IF('計算A'!CN$106=1,1-GM22,0))*150+174+'計算A'!CN$5*100000+IF(AND($E22=1,MA22=0),50000,0))+IF($H22=1,(IF('計算A'!CM$117=1,INDEX('計算A'!CM$10:CM$54,$B22),0)+IF('計算A'!CN$117=1,INDEX('計算A'!CO$10:CO$54,$B22),0))*4000,0)-IF(AND('計算A'!CM$117=1,XK22&gt;0),2000,0)-IF(AND($L22=1,'計算A'!CN$117=1,GM22=0),2000,0))),1000000))</f>
        <v/>
      </c>
      <c r="RQ22">
        <f>IF($B22=0,1000000,IF(INDEX('計算A'!$D$60:$EQ$104,$B22,90)*GM22=1,IF(AND($E22=2,MB22=0),1000000,IF($I22&gt;0,IF(4=$J22,IF(OR(AND(90=$I22+1,OR($K22&lt;&gt;'計算A'!$A$3,'計算A'!$A$4=0)),AND(90=$I22-1,OR(18&lt;&gt;'計算A'!$A$3,'計算A'!$A$4=0))),0,IF(18=$K22,200000,ABS(18-$K22)*100)),100000+ABS(4-$J22)*1000+180)+'計算A'!CO$5*50+IF(AND($E22=1,MB22=0),25,0),IF($F22&gt;0,INDEX('計算A'!CO$110:CO$114,$F22+1)+IF(AND($E22=1,MB22=0),1000,0),MIN(TX22,20)*400+(IF('計算A'!CN$106=1,1-GL22,0)+IF('計算A'!CO$106=1,1-GN22,0))*150+184+'計算A'!CO$5*100000+IF(AND($E22=1,MB22=0),50000,0))+IF($H22=1,(IF('計算A'!CN$117=1,INDEX('計算A'!CN$10:CN$54,$B22),0)+IF('計算A'!CO$117=1,INDEX('計算A'!CP$10:CP$54,$B22),0))*4000,0)-IF(AND('計算A'!CN$117=1,XL22&gt;0),2000,0)-IF(AND($L22=1,'計算A'!CO$117=1,GN22=0),2000,0))),1000000))</f>
        <v/>
      </c>
      <c r="RR22">
        <f>IF($B22=0,1000000,IF(INDEX('計算A'!$D$60:$EQ$104,$B22,91)*GN22=1,IF(AND($E22=2,MC22=0),1000000,IF($I22&gt;0,IF(4=$J22,IF(OR(AND(91=$I22+1,OR($K22&lt;&gt;'計算A'!$A$3,'計算A'!$A$4=0)),AND(91=$I22-1,OR(19&lt;&gt;'計算A'!$A$3,'計算A'!$A$4=0))),0,IF(19=$K22,200000,ABS(19-$K22)*100)),100000+ABS(4-$J22)*1000+190)+'計算A'!CP$5*50+IF(AND($E22=1,MC22=0),25,0),IF($F22&gt;0,INDEX('計算A'!CP$110:CP$114,$F22+1)+IF(AND($E22=1,MC22=0),1000,0),MIN(TX22,20)*400+(IF('計算A'!CO$106=1,1-GM22,0)+IF('計算A'!CP$106=1,1-GO22,0))*150+194+'計算A'!CP$5*100000+IF(AND($E22=1,MC22=0),50000,0))+IF($H22=1,(IF('計算A'!CO$117=1,INDEX('計算A'!CO$10:CO$54,$B22),0)+IF('計算A'!CP$117=1,INDEX('計算A'!CQ$10:CQ$54,$B22),0))*4000,0)-IF(AND('計算A'!CO$117=1,XM22&gt;0),2000,0)-IF(AND($L22=1,'計算A'!CP$117=1,GO22=0),2000,0))),1000000))</f>
        <v/>
      </c>
      <c r="RS22">
        <f>IF($B22=0,1000000,IF(INDEX('計算A'!$D$60:$EQ$104,$B22,92)*GO22=1,IF(AND($E22=2,MD22=0),1000000,IF($I22&gt;0,IF(4=$J22,IF(OR(AND(92=$I22+1,OR($K22&lt;&gt;'計算A'!$A$3,'計算A'!$A$4=0)),AND(92=$I22-1,OR(20&lt;&gt;'計算A'!$A$3,'計算A'!$A$4=0))),0,IF(20=$K22,200000,ABS(20-$K22)*100)),100000+ABS(4-$J22)*1000+200)+'計算A'!CQ$5*50+IF(AND($E22=1,MD22=0),25,0),IF($F22&gt;0,INDEX('計算A'!CQ$110:CQ$114,$F22+1)+IF(AND($E22=1,MD22=0),1000,0),MIN(TX22,20)*400+(IF('計算A'!CP$106=1,1-GN22,0)+IF('計算A'!CQ$106=1,1-GP22,0))*150+204+'計算A'!CQ$5*100000+IF(AND($E22=1,MD22=0),50000,0))+IF($H22=1,(IF('計算A'!CP$117=1,INDEX('計算A'!CP$10:CP$54,$B22),0)+IF('計算A'!CQ$117=1,INDEX('計算A'!CR$10:CR$54,$B22),0))*4000,0)-IF(AND('計算A'!CP$117=1,XN22&gt;0),2000,0)-IF(AND($L22=1,'計算A'!CQ$117=1,GP22=0),2000,0))),1000000))</f>
        <v/>
      </c>
      <c r="RT22">
        <f>IF($B22=0,1000000,IF(INDEX('計算A'!$D$60:$EQ$104,$B22,93)*GP22=1,IF(AND($E22=2,ME22=0),1000000,IF($I22&gt;0,IF(4=$J22,IF(OR(AND(93=$I22+1,OR($K22&lt;&gt;'計算A'!$A$3,'計算A'!$A$4=0)),AND(93=$I22-1,OR(21&lt;&gt;'計算A'!$A$3,'計算A'!$A$4=0))),0,IF(21=$K22,200000,ABS(21-$K22)*100)),100000+ABS(4-$J22)*1000+210)+'計算A'!CR$5*50+IF(AND($E22=1,ME22=0),25,0),IF($F22&gt;0,INDEX('計算A'!CR$110:CR$114,$F22+1)+IF(AND($E22=1,ME22=0),1000,0),MIN(TX22,20)*400+(IF('計算A'!CQ$106=1,1-GO22,0)+IF('計算A'!CR$106=1,1-GQ22,0))*150+214+'計算A'!CR$5*100000+IF(AND($E22=1,ME22=0),50000,0))+IF($H22=1,(IF('計算A'!CQ$117=1,INDEX('計算A'!CQ$10:CQ$54,$B22),0)+IF('計算A'!CR$117=1,INDEX('計算A'!CS$10:CS$54,$B22),0))*4000,0)-IF(AND('計算A'!CQ$117=1,XO22&gt;0),2000,0)-IF(AND($L22=1,'計算A'!CR$117=1,GQ22=0),2000,0))),1000000))</f>
        <v/>
      </c>
      <c r="RU22">
        <f>IF($B22=0,1000000,IF(INDEX('計算A'!$D$60:$EQ$104,$B22,94)*GQ22=1,IF(AND($E22=2,MF22=0),1000000,IF($I22&gt;0,IF(4=$J22,IF(OR(AND(94=$I22+1,OR($K22&lt;&gt;'計算A'!$A$3,'計算A'!$A$4=0)),AND(94=$I22-1,OR(22&lt;&gt;'計算A'!$A$3,'計算A'!$A$4=0))),0,IF(22=$K22,200000,ABS(22-$K22)*100)),100000+ABS(4-$J22)*1000+220)+'計算A'!CS$5*50+IF(AND($E22=1,MF22=0),25,0),IF($F22&gt;0,INDEX('計算A'!CS$110:CS$114,$F22+1)+IF(AND($E22=1,MF22=0),1000,0),MIN(TX22,20)*400+(IF('計算A'!CR$106=1,1-GP22,0)+IF('計算A'!CS$106=1,1-GR22,0))*150+224+'計算A'!CS$5*100000+IF(AND($E22=1,MF22=0),50000,0))+IF($H22=1,(IF('計算A'!CR$117=1,INDEX('計算A'!CR$10:CR$54,$B22),0)+IF('計算A'!CS$117=1,INDEX('計算A'!CT$10:CT$54,$B22),0))*4000,0)-IF(AND('計算A'!CR$117=1,XP22&gt;0),2000,0)-IF(AND($L22=1,'計算A'!CS$117=1,GR22=0),2000,0))),1000000))</f>
        <v/>
      </c>
      <c r="RV22">
        <f>IF($B22=0,1000000,IF(INDEX('計算A'!$D$60:$EQ$104,$B22,95)*GR22=1,IF(AND($E22=2,MG22=0),1000000,IF($I22&gt;0,IF(4=$J22,IF(OR(AND(95=$I22+1,OR($K22&lt;&gt;'計算A'!$A$3,'計算A'!$A$4=0)),AND(95=$I22-1,OR(23&lt;&gt;'計算A'!$A$3,'計算A'!$A$4=0))),0,IF(23=$K22,200000,ABS(23-$K22)*100)),100000+ABS(4-$J22)*1000+230)+'計算A'!CT$5*50+IF(AND($E22=1,MG22=0),25,0),IF($F22&gt;0,INDEX('計算A'!CT$110:CT$114,$F22+1)+IF(AND($E22=1,MG22=0),1000,0),MIN(TX22,20)*400+(IF('計算A'!CS$106=1,1-GQ22,0)+IF('計算A'!CT$106=1,1-GS22,0))*150+234+'計算A'!CT$5*100000+IF(AND($E22=1,MG22=0),50000,0))+IF($H22=1,(IF('計算A'!CS$117=1,INDEX('計算A'!CS$10:CS$54,$B22),0)+IF('計算A'!CT$117=1,INDEX('計算A'!CU$10:CU$54,$B22),0))*4000,0)-IF(AND('計算A'!CS$117=1,XQ22&gt;0),2000,0)-IF(AND($L22=1,'計算A'!CT$117=1,GS22=0),2000,0))),1000000))</f>
        <v/>
      </c>
      <c r="RW22">
        <f>IF($B22=0,1000000,IF(INDEX('計算A'!$D$60:$EQ$104,$B22,96)*GS22=1,IF(AND($E22=2,MH22=0),1000000,IF($I22&gt;0,IF(4=$J22,IF(OR(AND(96=$I22+1,OR($K22&lt;&gt;'計算A'!$A$3,'計算A'!$A$4=0)),AND(96=$I22-1,OR(24&lt;&gt;'計算A'!$A$3,'計算A'!$A$4=0))),0,IF(24=$K22,200000,ABS(24-$K22)*100)),100000+ABS(4-$J22)*1000+240)+'計算A'!CU$5*50+IF(AND($E22=1,MH22=0),25,0),IF($F22&gt;0,INDEX('計算A'!CU$110:CU$114,$F22+1)+IF(AND($E22=1,MH22=0),1000,0),MIN(TX22,20)*400+(IF('計算A'!CT$106=1,1-GR22,0))*150+244+'計算A'!CU$5*100000+IF(AND($E22=1,MH22=0),50000,0))+IF($H22=1,(IF('計算A'!CT$117=1,INDEX('計算A'!CT$10:CT$54,$B22),0))*4000,0)-IF(AND('計算A'!CT$117=1,XR22&gt;0),2000,0))),1000000))</f>
        <v/>
      </c>
      <c r="RX22">
        <f>IF($B22=0,1000000,IF(INDEX('計算A'!$D$60:$EQ$104,$B22,97)*GT22=1,IF(AND($E22=2,MI22=0),1000000,IF($I22&gt;0,IF(5=$J22,IF(OR(AND(97=$I22+1,OR($K22&lt;&gt;'計算A'!$A$3,'計算A'!$A$4=0)),AND(97=$I22-1,OR(1&lt;&gt;'計算A'!$A$3,'計算A'!$A$4=0))),0,IF(1=$K22,200000,ABS(1-$K22)*100)),100000+ABS(5-$J22)*1000+10)+'計算A'!CV$5*50+IF(AND($E22=1,MI22=0),25,0),IF($F22&gt;0,INDEX('計算A'!CV$110:CV$114,$F22+1)+IF(AND($E22=1,MI22=0),1000,0),MIN(TY22,20)*400+(IF('計算A'!CV$106=1,1-GU22,0))*150+15+'計算A'!CV$5*100000+IF(AND($E22=1,MI22=0),50000,0))+IF($H22=1,(IF('計算A'!CV$117=1,INDEX('計算A'!CW$10:CW$54,$B22),0))*4000,0)-IF(AND($L22=1,'計算A'!CV$117=1,GU22=0),2000,0))),1000000))</f>
        <v/>
      </c>
      <c r="RY22">
        <f>IF($B22=0,1000000,IF(INDEX('計算A'!$D$60:$EQ$104,$B22,98)*GU22=1,IF(AND($E22=2,MJ22=0),1000000,IF($I22&gt;0,IF(5=$J22,IF(OR(AND(98=$I22+1,OR($K22&lt;&gt;'計算A'!$A$3,'計算A'!$A$4=0)),AND(98=$I22-1,OR(2&lt;&gt;'計算A'!$A$3,'計算A'!$A$4=0))),0,IF(2=$K22,200000,ABS(2-$K22)*100)),100000+ABS(5-$J22)*1000+20)+'計算A'!CW$5*50+IF(AND($E22=1,MJ22=0),25,0),IF($F22&gt;0,INDEX('計算A'!CW$110:CW$114,$F22+1)+IF(AND($E22=1,MJ22=0),1000,0),MIN(TY22,20)*400+(IF('計算A'!CV$106=1,1-GT22,0)+IF('計算A'!CW$106=1,1-GV22,0))*150+25+'計算A'!CW$5*100000+IF(AND($E22=1,MJ22=0),50000,0))+IF($H22=1,(IF('計算A'!CV$117=1,INDEX('計算A'!CV$10:CV$54,$B22),0)+IF('計算A'!CW$117=1,INDEX('計算A'!CX$10:CX$54,$B22),0))*4000,0)-IF(AND('計算A'!CV$117=1,XT22&gt;0),2000,0)-IF(AND($L22=1,'計算A'!CW$117=1,GV22=0),2000,0))),1000000))</f>
        <v/>
      </c>
      <c r="RZ22">
        <f>IF($B22=0,1000000,IF(INDEX('計算A'!$D$60:$EQ$104,$B22,99)*GV22=1,IF(AND($E22=2,MK22=0),1000000,IF($I22&gt;0,IF(5=$J22,IF(OR(AND(99=$I22+1,OR($K22&lt;&gt;'計算A'!$A$3,'計算A'!$A$4=0)),AND(99=$I22-1,OR(3&lt;&gt;'計算A'!$A$3,'計算A'!$A$4=0))),0,IF(3=$K22,200000,ABS(3-$K22)*100)),100000+ABS(5-$J22)*1000+30)+'計算A'!CX$5*50+IF(AND($E22=1,MK22=0),25,0),IF($F22&gt;0,INDEX('計算A'!CX$110:CX$114,$F22+1)+IF(AND($E22=1,MK22=0),1000,0),MIN(TY22,20)*400+(IF('計算A'!CW$106=1,1-GU22,0)+IF('計算A'!CX$106=1,1-GW22,0))*150+35+'計算A'!CX$5*100000+IF(AND($E22=1,MK22=0),50000,0))+IF($H22=1,(IF('計算A'!CW$117=1,INDEX('計算A'!CW$10:CW$54,$B22),0)+IF('計算A'!CX$117=1,INDEX('計算A'!CY$10:CY$54,$B22),0))*4000,0)-IF(AND('計算A'!CW$117=1,XU22&gt;0),2000,0)-IF(AND($L22=1,'計算A'!CX$117=1,GW22=0),2000,0))),1000000))</f>
        <v/>
      </c>
      <c r="SA22">
        <f>IF($B22=0,1000000,IF(INDEX('計算A'!$D$60:$EQ$104,$B22,100)*GW22=1,IF(AND($E22=2,ML22=0),1000000,IF($I22&gt;0,IF(5=$J22,IF(OR(AND(100=$I22+1,OR($K22&lt;&gt;'計算A'!$A$3,'計算A'!$A$4=0)),AND(100=$I22-1,OR(4&lt;&gt;'計算A'!$A$3,'計算A'!$A$4=0))),0,IF(4=$K22,200000,ABS(4-$K22)*100)),100000+ABS(5-$J22)*1000+40)+'計算A'!CY$5*50+IF(AND($E22=1,ML22=0),25,0),IF($F22&gt;0,INDEX('計算A'!CY$110:CY$114,$F22+1)+IF(AND($E22=1,ML22=0),1000,0),MIN(TY22,20)*400+(IF('計算A'!CX$106=1,1-GV22,0)+IF('計算A'!CY$106=1,1-GX22,0))*150+45+'計算A'!CY$5*100000+IF(AND($E22=1,ML22=0),50000,0))+IF($H22=1,(IF('計算A'!CX$117=1,INDEX('計算A'!CX$10:CX$54,$B22),0)+IF('計算A'!CY$117=1,INDEX('計算A'!CZ$10:CZ$54,$B22),0))*4000,0)-IF(AND('計算A'!CX$117=1,XV22&gt;0),2000,0)-IF(AND($L22=1,'計算A'!CY$117=1,GX22=0),2000,0))),1000000))</f>
        <v/>
      </c>
      <c r="SB22">
        <f>IF($B22=0,1000000,IF(INDEX('計算A'!$D$60:$EQ$104,$B22,101)*GX22=1,IF(AND($E22=2,MM22=0),1000000,IF($I22&gt;0,IF(5=$J22,IF(OR(AND(101=$I22+1,OR($K22&lt;&gt;'計算A'!$A$3,'計算A'!$A$4=0)),AND(101=$I22-1,OR(5&lt;&gt;'計算A'!$A$3,'計算A'!$A$4=0))),0,IF(5=$K22,200000,ABS(5-$K22)*100)),100000+ABS(5-$J22)*1000+50)+'計算A'!CZ$5*50+IF(AND($E22=1,MM22=0),25,0),IF($F22&gt;0,INDEX('計算A'!CZ$110:CZ$114,$F22+1)+IF(AND($E22=1,MM22=0),1000,0),MIN(TY22,20)*400+(IF('計算A'!CY$106=1,1-GW22,0)+IF('計算A'!CZ$106=1,1-GY22,0))*150+55+'計算A'!CZ$5*100000+IF(AND($E22=1,MM22=0),50000,0))+IF($H22=1,(IF('計算A'!CY$117=1,INDEX('計算A'!CY$10:CY$54,$B22),0)+IF('計算A'!CZ$117=1,INDEX('計算A'!DA$10:DA$54,$B22),0))*4000,0)-IF(AND('計算A'!CY$117=1,XW22&gt;0),2000,0)-IF(AND($L22=1,'計算A'!CZ$117=1,GY22=0),2000,0))),1000000))</f>
        <v/>
      </c>
      <c r="SC22">
        <f>IF($B22=0,1000000,IF(INDEX('計算A'!$D$60:$EQ$104,$B22,102)*GY22=1,IF(AND($E22=2,MN22=0),1000000,IF($I22&gt;0,IF(5=$J22,IF(OR(AND(102=$I22+1,OR($K22&lt;&gt;'計算A'!$A$3,'計算A'!$A$4=0)),AND(102=$I22-1,OR(6&lt;&gt;'計算A'!$A$3,'計算A'!$A$4=0))),0,IF(6=$K22,200000,ABS(6-$K22)*100)),100000+ABS(5-$J22)*1000+60)+'計算A'!DA$5*50+IF(AND($E22=1,MN22=0),25,0),IF($F22&gt;0,INDEX('計算A'!DA$110:DA$114,$F22+1)+IF(AND($E22=1,MN22=0),1000,0),MIN(TY22,20)*400+(IF('計算A'!CZ$106=1,1-GX22,0)+IF('計算A'!DA$106=1,1-GZ22,0))*150+65+'計算A'!DA$5*100000+IF(AND($E22=1,MN22=0),50000,0))+IF($H22=1,(IF('計算A'!CZ$117=1,INDEX('計算A'!CZ$10:CZ$54,$B22),0)+IF('計算A'!DA$117=1,INDEX('計算A'!DB$10:DB$54,$B22),0))*4000,0)-IF(AND('計算A'!CZ$117=1,XX22&gt;0),2000,0)-IF(AND($L22=1,'計算A'!DA$117=1,GZ22=0),2000,0))),1000000))</f>
        <v/>
      </c>
      <c r="SD22">
        <f>IF($B22=0,1000000,IF(INDEX('計算A'!$D$60:$EQ$104,$B22,103)*GZ22=1,IF(AND($E22=2,MO22=0),1000000,IF($I22&gt;0,IF(5=$J22,IF(OR(AND(103=$I22+1,OR($K22&lt;&gt;'計算A'!$A$3,'計算A'!$A$4=0)),AND(103=$I22-1,OR(7&lt;&gt;'計算A'!$A$3,'計算A'!$A$4=0))),0,IF(7=$K22,200000,ABS(7-$K22)*100)),100000+ABS(5-$J22)*1000+70)+'計算A'!DB$5*50+IF(AND($E22=1,MO22=0),25,0),IF($F22&gt;0,INDEX('計算A'!DB$110:DB$114,$F22+1)+IF(AND($E22=1,MO22=0),1000,0),MIN(TY22,20)*400+(IF('計算A'!DA$106=1,1-GY22,0)+IF('計算A'!DB$106=1,1-HA22,0))*150+75+'計算A'!DB$5*100000+IF(AND($E22=1,MO22=0),50000,0))+IF($H22=1,(IF('計算A'!DA$117=1,INDEX('計算A'!DA$10:DA$54,$B22),0)+IF('計算A'!DB$117=1,INDEX('計算A'!DC$10:DC$54,$B22),0))*4000,0)-IF(AND('計算A'!DA$117=1,XY22&gt;0),2000,0)-IF(AND($L22=1,'計算A'!DB$117=1,HA22=0),2000,0))),1000000))</f>
        <v/>
      </c>
      <c r="SE22">
        <f>IF($B22=0,1000000,IF(INDEX('計算A'!$D$60:$EQ$104,$B22,104)*HA22=1,IF(AND($E22=2,MP22=0),1000000,IF($I22&gt;0,IF(5=$J22,IF(OR(AND(104=$I22+1,OR($K22&lt;&gt;'計算A'!$A$3,'計算A'!$A$4=0)),AND(104=$I22-1,OR(8&lt;&gt;'計算A'!$A$3,'計算A'!$A$4=0))),0,IF(8=$K22,200000,ABS(8-$K22)*100)),100000+ABS(5-$J22)*1000+80)+'計算A'!DC$5*50+IF(AND($E22=1,MP22=0),25,0),IF($F22&gt;0,INDEX('計算A'!DC$110:DC$114,$F22+1)+IF(AND($E22=1,MP22=0),1000,0),MIN(TY22,20)*400+(IF('計算A'!DB$106=1,1-GZ22,0)+IF('計算A'!DC$106=1,1-HB22,0))*150+85+'計算A'!DC$5*100000+IF(AND($E22=1,MP22=0),50000,0))+IF($H22=1,(IF('計算A'!DB$117=1,INDEX('計算A'!DB$10:DB$54,$B22),0)+IF('計算A'!DC$117=1,INDEX('計算A'!DD$10:DD$54,$B22),0))*4000,0)-IF(AND('計算A'!DB$117=1,XZ22&gt;0),2000,0)-IF(AND($L22=1,'計算A'!DC$117=1,HB22=0),2000,0))),1000000))</f>
        <v/>
      </c>
      <c r="SF22">
        <f>IF($B22=0,1000000,IF(INDEX('計算A'!$D$60:$EQ$104,$B22,105)*HB22=1,IF(AND($E22=2,MQ22=0),1000000,IF($I22&gt;0,IF(5=$J22,IF(OR(AND(105=$I22+1,OR($K22&lt;&gt;'計算A'!$A$3,'計算A'!$A$4=0)),AND(105=$I22-1,OR(9&lt;&gt;'計算A'!$A$3,'計算A'!$A$4=0))),0,IF(9=$K22,200000,ABS(9-$K22)*100)),100000+ABS(5-$J22)*1000+90)+'計算A'!DD$5*50+IF(AND($E22=1,MQ22=0),25,0),IF($F22&gt;0,INDEX('計算A'!DD$110:DD$114,$F22+1)+IF(AND($E22=1,MQ22=0),1000,0),MIN(TY22,20)*400+(IF('計算A'!DC$106=1,1-HA22,0)+IF('計算A'!DD$106=1,1-HC22,0))*150+95+'計算A'!DD$5*100000+IF(AND($E22=1,MQ22=0),50000,0))+IF($H22=1,(IF('計算A'!DC$117=1,INDEX('計算A'!DC$10:DC$54,$B22),0)+IF('計算A'!DD$117=1,INDEX('計算A'!DE$10:DE$54,$B22),0))*4000,0)-IF(AND('計算A'!DC$117=1,YA22&gt;0),2000,0)-IF(AND($L22=1,'計算A'!DD$117=1,HC22=0),2000,0))),1000000))</f>
        <v/>
      </c>
      <c r="SG22">
        <f>IF($B22=0,1000000,IF(INDEX('計算A'!$D$60:$EQ$104,$B22,106)*HC22=1,IF(AND($E22=2,MR22=0),1000000,IF($I22&gt;0,IF(5=$J22,IF(OR(AND(106=$I22+1,OR($K22&lt;&gt;'計算A'!$A$3,'計算A'!$A$4=0)),AND(106=$I22-1,OR(10&lt;&gt;'計算A'!$A$3,'計算A'!$A$4=0))),0,IF(10=$K22,200000,ABS(10-$K22)*100)),100000+ABS(5-$J22)*1000+100)+'計算A'!DE$5*50+IF(AND($E22=1,MR22=0),25,0),IF($F22&gt;0,INDEX('計算A'!DE$110:DE$114,$F22+1)+IF(AND($E22=1,MR22=0),1000,0),MIN(TY22,20)*400+(IF('計算A'!DD$106=1,1-HB22,0)+IF('計算A'!DE$106=1,1-HD22,0))*150+105+'計算A'!DE$5*100000+IF(AND($E22=1,MR22=0),50000,0))+IF($H22=1,(IF('計算A'!DD$117=1,INDEX('計算A'!DD$10:DD$54,$B22),0)+IF('計算A'!DE$117=1,INDEX('計算A'!DF$10:DF$54,$B22),0))*4000,0)-IF(AND('計算A'!DD$117=1,YB22&gt;0),2000,0)-IF(AND($L22=1,'計算A'!DE$117=1,HD22=0),2000,0))),1000000))</f>
        <v/>
      </c>
      <c r="SH22">
        <f>IF($B22=0,1000000,IF(INDEX('計算A'!$D$60:$EQ$104,$B22,107)*HD22=1,IF(AND($E22=2,MS22=0),1000000,IF($I22&gt;0,IF(5=$J22,IF(OR(AND(107=$I22+1,OR($K22&lt;&gt;'計算A'!$A$3,'計算A'!$A$4=0)),AND(107=$I22-1,OR(11&lt;&gt;'計算A'!$A$3,'計算A'!$A$4=0))),0,IF(11=$K22,200000,ABS(11-$K22)*100)),100000+ABS(5-$J22)*1000+110)+'計算A'!DF$5*50+IF(AND($E22=1,MS22=0),25,0),IF($F22&gt;0,INDEX('計算A'!DF$110:DF$114,$F22+1)+IF(AND($E22=1,MS22=0),1000,0),MIN(TY22,20)*400+(IF('計算A'!DE$106=1,1-HC22,0)+IF('計算A'!DF$106=1,1-HE22,0))*150+115+'計算A'!DF$5*100000+IF(AND($E22=1,MS22=0),50000,0))+IF($H22=1,(IF('計算A'!DE$117=1,INDEX('計算A'!DE$10:DE$54,$B22),0)+IF('計算A'!DF$117=1,INDEX('計算A'!DG$10:DG$54,$B22),0))*4000,0)-IF(AND('計算A'!DE$117=1,YC22&gt;0),2000,0)-IF(AND($L22=1,'計算A'!DF$117=1,HE22=0),2000,0))),1000000))</f>
        <v/>
      </c>
      <c r="SI22">
        <f>IF($B22=0,1000000,IF(INDEX('計算A'!$D$60:$EQ$104,$B22,108)*HE22=1,IF(AND($E22=2,MT22=0),1000000,IF($I22&gt;0,IF(5=$J22,IF(OR(AND(108=$I22+1,OR($K22&lt;&gt;'計算A'!$A$3,'計算A'!$A$4=0)),AND(108=$I22-1,OR(12&lt;&gt;'計算A'!$A$3,'計算A'!$A$4=0))),0,IF(12=$K22,200000,ABS(12-$K22)*100)),100000+ABS(5-$J22)*1000+120)+'計算A'!DG$5*50+IF(AND($E22=1,MT22=0),25,0),IF($F22&gt;0,INDEX('計算A'!DG$110:DG$114,$F22+1)+IF(AND($E22=1,MT22=0),1000,0),MIN(TY22,20)*400+(IF('計算A'!DF$106=1,1-HD22,0)+IF('計算A'!DG$106=1,1-HF22,0))*150+125+'計算A'!DG$5*100000+IF(AND($E22=1,MT22=0),50000,0))+IF($H22=1,(IF('計算A'!DF$117=1,INDEX('計算A'!DF$10:DF$54,$B22),0)+IF('計算A'!DG$117=1,INDEX('計算A'!DH$10:DH$54,$B22),0))*4000,0)-IF(AND('計算A'!DF$117=1,YD22&gt;0),2000,0)-IF(AND($L22=1,'計算A'!DG$117=1,HF22=0),2000,0))),1000000))</f>
        <v/>
      </c>
      <c r="SJ22">
        <f>IF($B22=0,1000000,IF(INDEX('計算A'!$D$60:$EQ$104,$B22,109)*HF22=1,IF(AND($E22=2,MU22=0),1000000,IF($I22&gt;0,IF(5=$J22,IF(OR(AND(109=$I22+1,OR($K22&lt;&gt;'計算A'!$A$3,'計算A'!$A$4=0)),AND(109=$I22-1,OR(13&lt;&gt;'計算A'!$A$3,'計算A'!$A$4=0))),0,IF(13=$K22,200000,ABS(13-$K22)*100)),100000+ABS(5-$J22)*1000+130)+'計算A'!DH$5*50+IF(AND($E22=1,MU22=0),25,0),IF($F22&gt;0,INDEX('計算A'!DH$110:DH$114,$F22+1)+IF(AND($E22=1,MU22=0),1000,0),MIN(TY22,20)*400+(IF('計算A'!DG$106=1,1-HE22,0)+IF('計算A'!DH$106=1,1-HG22,0))*150+135+'計算A'!DH$5*100000+IF(AND($E22=1,MU22=0),50000,0))+IF($H22=1,(IF('計算A'!DG$117=1,INDEX('計算A'!DG$10:DG$54,$B22),0)+IF('計算A'!DH$117=1,INDEX('計算A'!DI$10:DI$54,$B22),0))*4000,0)-IF(AND('計算A'!DG$117=1,YE22&gt;0),2000,0)-IF(AND($L22=1,'計算A'!DH$117=1,HG22=0),2000,0))),1000000))</f>
        <v/>
      </c>
      <c r="SK22">
        <f>IF($B22=0,1000000,IF(INDEX('計算A'!$D$60:$EQ$104,$B22,110)*HG22=1,IF(AND($E22=2,MV22=0),1000000,IF($I22&gt;0,IF(5=$J22,IF(OR(AND(110=$I22+1,OR($K22&lt;&gt;'計算A'!$A$3,'計算A'!$A$4=0)),AND(110=$I22-1,OR(14&lt;&gt;'計算A'!$A$3,'計算A'!$A$4=0))),0,IF(14=$K22,200000,ABS(14-$K22)*100)),100000+ABS(5-$J22)*1000+140)+'計算A'!DI$5*50+IF(AND($E22=1,MV22=0),25,0),IF($F22&gt;0,INDEX('計算A'!DI$110:DI$114,$F22+1)+IF(AND($E22=1,MV22=0),1000,0),MIN(TY22,20)*400+(IF('計算A'!DH$106=1,1-HF22,0)+IF('計算A'!DI$106=1,1-HH22,0))*150+145+'計算A'!DI$5*100000+IF(AND($E22=1,MV22=0),50000,0))+IF($H22=1,(IF('計算A'!DH$117=1,INDEX('計算A'!DH$10:DH$54,$B22),0)+IF('計算A'!DI$117=1,INDEX('計算A'!DJ$10:DJ$54,$B22),0))*4000,0)-IF(AND('計算A'!DH$117=1,YF22&gt;0),2000,0)-IF(AND($L22=1,'計算A'!DI$117=1,HH22=0),2000,0))),1000000))</f>
        <v/>
      </c>
      <c r="SL22">
        <f>IF($B22=0,1000000,IF(INDEX('計算A'!$D$60:$EQ$104,$B22,111)*HH22=1,IF(AND($E22=2,MW22=0),1000000,IF($I22&gt;0,IF(5=$J22,IF(OR(AND(111=$I22+1,OR($K22&lt;&gt;'計算A'!$A$3,'計算A'!$A$4=0)),AND(111=$I22-1,OR(15&lt;&gt;'計算A'!$A$3,'計算A'!$A$4=0))),0,IF(15=$K22,200000,ABS(15-$K22)*100)),100000+ABS(5-$J22)*1000+150)+'計算A'!DJ$5*50+IF(AND($E22=1,MW22=0),25,0),IF($F22&gt;0,INDEX('計算A'!DJ$110:DJ$114,$F22+1)+IF(AND($E22=1,MW22=0),1000,0),MIN(TY22,20)*400+(IF('計算A'!DI$106=1,1-HG22,0)+IF('計算A'!DJ$106=1,1-HI22,0))*150+155+'計算A'!DJ$5*100000+IF(AND($E22=1,MW22=0),50000,0))+IF($H22=1,(IF('計算A'!DI$117=1,INDEX('計算A'!DI$10:DI$54,$B22),0)+IF('計算A'!DJ$117=1,INDEX('計算A'!DK$10:DK$54,$B22),0))*4000,0)-IF(AND('計算A'!DI$117=1,YG22&gt;0),2000,0)-IF(AND($L22=1,'計算A'!DJ$117=1,HI22=0),2000,0))),1000000))</f>
        <v/>
      </c>
      <c r="SM22">
        <f>IF($B22=0,1000000,IF(INDEX('計算A'!$D$60:$EQ$104,$B22,112)*HI22=1,IF(AND($E22=2,MX22=0),1000000,IF($I22&gt;0,IF(5=$J22,IF(OR(AND(112=$I22+1,OR($K22&lt;&gt;'計算A'!$A$3,'計算A'!$A$4=0)),AND(112=$I22-1,OR(16&lt;&gt;'計算A'!$A$3,'計算A'!$A$4=0))),0,IF(16=$K22,200000,ABS(16-$K22)*100)),100000+ABS(5-$J22)*1000+160)+'計算A'!DK$5*50+IF(AND($E22=1,MX22=0),25,0),IF($F22&gt;0,INDEX('計算A'!DK$110:DK$114,$F22+1)+IF(AND($E22=1,MX22=0),1000,0),MIN(TY22,20)*400+(IF('計算A'!DJ$106=1,1-HH22,0)+IF('計算A'!DK$106=1,1-HJ22,0))*150+165+'計算A'!DK$5*100000+IF(AND($E22=1,MX22=0),50000,0))+IF($H22=1,(IF('計算A'!DJ$117=1,INDEX('計算A'!DJ$10:DJ$54,$B22),0)+IF('計算A'!DK$117=1,INDEX('計算A'!DL$10:DL$54,$B22),0))*4000,0)-IF(AND('計算A'!DJ$117=1,YH22&gt;0),2000,0)-IF(AND($L22=1,'計算A'!DK$117=1,HJ22=0),2000,0))),1000000))</f>
        <v/>
      </c>
      <c r="SN22">
        <f>IF($B22=0,1000000,IF(INDEX('計算A'!$D$60:$EQ$104,$B22,113)*HJ22=1,IF(AND($E22=2,MY22=0),1000000,IF($I22&gt;0,IF(5=$J22,IF(OR(AND(113=$I22+1,OR($K22&lt;&gt;'計算A'!$A$3,'計算A'!$A$4=0)),AND(113=$I22-1,OR(17&lt;&gt;'計算A'!$A$3,'計算A'!$A$4=0))),0,IF(17=$K22,200000,ABS(17-$K22)*100)),100000+ABS(5-$J22)*1000+170)+'計算A'!DL$5*50+IF(AND($E22=1,MY22=0),25,0),IF($F22&gt;0,INDEX('計算A'!DL$110:DL$114,$F22+1)+IF(AND($E22=1,MY22=0),1000,0),MIN(TY22,20)*400+(IF('計算A'!DK$106=1,1-HI22,0)+IF('計算A'!DL$106=1,1-HK22,0))*150+175+'計算A'!DL$5*100000+IF(AND($E22=1,MY22=0),50000,0))+IF($H22=1,(IF('計算A'!DK$117=1,INDEX('計算A'!DK$10:DK$54,$B22),0)+IF('計算A'!DL$117=1,INDEX('計算A'!DM$10:DM$54,$B22),0))*4000,0)-IF(AND('計算A'!DK$117=1,YI22&gt;0),2000,0)-IF(AND($L22=1,'計算A'!DL$117=1,HK22=0),2000,0))),1000000))</f>
        <v/>
      </c>
      <c r="SO22">
        <f>IF($B22=0,1000000,IF(INDEX('計算A'!$D$60:$EQ$104,$B22,114)*HK22=1,IF(AND($E22=2,MZ22=0),1000000,IF($I22&gt;0,IF(5=$J22,IF(OR(AND(114=$I22+1,OR($K22&lt;&gt;'計算A'!$A$3,'計算A'!$A$4=0)),AND(114=$I22-1,OR(18&lt;&gt;'計算A'!$A$3,'計算A'!$A$4=0))),0,IF(18=$K22,200000,ABS(18-$K22)*100)),100000+ABS(5-$J22)*1000+180)+'計算A'!DM$5*50+IF(AND($E22=1,MZ22=0),25,0),IF($F22&gt;0,INDEX('計算A'!DM$110:DM$114,$F22+1)+IF(AND($E22=1,MZ22=0),1000,0),MIN(TY22,20)*400+(IF('計算A'!DL$106=1,1-HJ22,0)+IF('計算A'!DM$106=1,1-HL22,0))*150+185+'計算A'!DM$5*100000+IF(AND($E22=1,MZ22=0),50000,0))+IF($H22=1,(IF('計算A'!DL$117=1,INDEX('計算A'!DL$10:DL$54,$B22),0)+IF('計算A'!DM$117=1,INDEX('計算A'!DN$10:DN$54,$B22),0))*4000,0)-IF(AND('計算A'!DL$117=1,YJ22&gt;0),2000,0)-IF(AND($L22=1,'計算A'!DM$117=1,HL22=0),2000,0))),1000000))</f>
        <v/>
      </c>
      <c r="SP22">
        <f>IF($B22=0,1000000,IF(INDEX('計算A'!$D$60:$EQ$104,$B22,115)*HL22=1,IF(AND($E22=2,NA22=0),1000000,IF($I22&gt;0,IF(5=$J22,IF(OR(AND(115=$I22+1,OR($K22&lt;&gt;'計算A'!$A$3,'計算A'!$A$4=0)),AND(115=$I22-1,OR(19&lt;&gt;'計算A'!$A$3,'計算A'!$A$4=0))),0,IF(19=$K22,200000,ABS(19-$K22)*100)),100000+ABS(5-$J22)*1000+190)+'計算A'!DN$5*50+IF(AND($E22=1,NA22=0),25,0),IF($F22&gt;0,INDEX('計算A'!DN$110:DN$114,$F22+1)+IF(AND($E22=1,NA22=0),1000,0),MIN(TY22,20)*400+(IF('計算A'!DM$106=1,1-HK22,0)+IF('計算A'!DN$106=1,1-HM22,0))*150+195+'計算A'!DN$5*100000+IF(AND($E22=1,NA22=0),50000,0))+IF($H22=1,(IF('計算A'!DM$117=1,INDEX('計算A'!DM$10:DM$54,$B22),0)+IF('計算A'!DN$117=1,INDEX('計算A'!DO$10:DO$54,$B22),0))*4000,0)-IF(AND('計算A'!DM$117=1,YK22&gt;0),2000,0)-IF(AND($L22=1,'計算A'!DN$117=1,HM22=0),2000,0))),1000000))</f>
        <v/>
      </c>
      <c r="SQ22">
        <f>IF($B22=0,1000000,IF(INDEX('計算A'!$D$60:$EQ$104,$B22,116)*HM22=1,IF(AND($E22=2,NB22=0),1000000,IF($I22&gt;0,IF(5=$J22,IF(OR(AND(116=$I22+1,OR($K22&lt;&gt;'計算A'!$A$3,'計算A'!$A$4=0)),AND(116=$I22-1,OR(20&lt;&gt;'計算A'!$A$3,'計算A'!$A$4=0))),0,IF(20=$K22,200000,ABS(20-$K22)*100)),100000+ABS(5-$J22)*1000+200)+'計算A'!DO$5*50+IF(AND($E22=1,NB22=0),25,0),IF($F22&gt;0,INDEX('計算A'!DO$110:DO$114,$F22+1)+IF(AND($E22=1,NB22=0),1000,0),MIN(TY22,20)*400+(IF('計算A'!DN$106=1,1-HL22,0)+IF('計算A'!DO$106=1,1-HN22,0))*150+205+'計算A'!DO$5*100000+IF(AND($E22=1,NB22=0),50000,0))+IF($H22=1,(IF('計算A'!DN$117=1,INDEX('計算A'!DN$10:DN$54,$B22),0)+IF('計算A'!DO$117=1,INDEX('計算A'!DP$10:DP$54,$B22),0))*4000,0)-IF(AND('計算A'!DN$117=1,YL22&gt;0),2000,0)-IF(AND($L22=1,'計算A'!DO$117=1,HN22=0),2000,0))),1000000))</f>
        <v/>
      </c>
      <c r="SR22">
        <f>IF($B22=0,1000000,IF(INDEX('計算A'!$D$60:$EQ$104,$B22,117)*HN22=1,IF(AND($E22=2,NC22=0),1000000,IF($I22&gt;0,IF(5=$J22,IF(OR(AND(117=$I22+1,OR($K22&lt;&gt;'計算A'!$A$3,'計算A'!$A$4=0)),AND(117=$I22-1,OR(21&lt;&gt;'計算A'!$A$3,'計算A'!$A$4=0))),0,IF(21=$K22,200000,ABS(21-$K22)*100)),100000+ABS(5-$J22)*1000+210)+'計算A'!DP$5*50+IF(AND($E22=1,NC22=0),25,0),IF($F22&gt;0,INDEX('計算A'!DP$110:DP$114,$F22+1)+IF(AND($E22=1,NC22=0),1000,0),MIN(TY22,20)*400+(IF('計算A'!DO$106=1,1-HM22,0)+IF('計算A'!DP$106=1,1-HO22,0))*150+215+'計算A'!DP$5*100000+IF(AND($E22=1,NC22=0),50000,0))+IF($H22=1,(IF('計算A'!DO$117=1,INDEX('計算A'!DO$10:DO$54,$B22),0)+IF('計算A'!DP$117=1,INDEX('計算A'!DQ$10:DQ$54,$B22),0))*4000,0)-IF(AND('計算A'!DO$117=1,YM22&gt;0),2000,0)-IF(AND($L22=1,'計算A'!DP$117=1,HO22=0),2000,0))),1000000))</f>
        <v/>
      </c>
      <c r="SS22">
        <f>IF($B22=0,1000000,IF(INDEX('計算A'!$D$60:$EQ$104,$B22,118)*HO22=1,IF(AND($E22=2,ND22=0),1000000,IF($I22&gt;0,IF(5=$J22,IF(OR(AND(118=$I22+1,OR($K22&lt;&gt;'計算A'!$A$3,'計算A'!$A$4=0)),AND(118=$I22-1,OR(22&lt;&gt;'計算A'!$A$3,'計算A'!$A$4=0))),0,IF(22=$K22,200000,ABS(22-$K22)*100)),100000+ABS(5-$J22)*1000+220)+'計算A'!DQ$5*50+IF(AND($E22=1,ND22=0),25,0),IF($F22&gt;0,INDEX('計算A'!DQ$110:DQ$114,$F22+1)+IF(AND($E22=1,ND22=0),1000,0),MIN(TY22,20)*400+(IF('計算A'!DP$106=1,1-HN22,0)+IF('計算A'!DQ$106=1,1-HP22,0))*150+225+'計算A'!DQ$5*100000+IF(AND($E22=1,ND22=0),50000,0))+IF($H22=1,(IF('計算A'!DP$117=1,INDEX('計算A'!DP$10:DP$54,$B22),0)+IF('計算A'!DQ$117=1,INDEX('計算A'!DR$10:DR$54,$B22),0))*4000,0)-IF(AND('計算A'!DP$117=1,YN22&gt;0),2000,0)-IF(AND($L22=1,'計算A'!DQ$117=1,HP22=0),2000,0))),1000000))</f>
        <v/>
      </c>
      <c r="ST22">
        <f>IF($B22=0,1000000,IF(INDEX('計算A'!$D$60:$EQ$104,$B22,119)*HP22=1,IF(AND($E22=2,NE22=0),1000000,IF($I22&gt;0,IF(5=$J22,IF(OR(AND(119=$I22+1,OR($K22&lt;&gt;'計算A'!$A$3,'計算A'!$A$4=0)),AND(119=$I22-1,OR(23&lt;&gt;'計算A'!$A$3,'計算A'!$A$4=0))),0,IF(23=$K22,200000,ABS(23-$K22)*100)),100000+ABS(5-$J22)*1000+230)+'計算A'!DR$5*50+IF(AND($E22=1,NE22=0),25,0),IF($F22&gt;0,INDEX('計算A'!DR$110:DR$114,$F22+1)+IF(AND($E22=1,NE22=0),1000,0),MIN(TY22,20)*400+(IF('計算A'!DQ$106=1,1-HO22,0)+IF('計算A'!DR$106=1,1-HQ22,0))*150+235+'計算A'!DR$5*100000+IF(AND($E22=1,NE22=0),50000,0))+IF($H22=1,(IF('計算A'!DQ$117=1,INDEX('計算A'!DQ$10:DQ$54,$B22),0)+IF('計算A'!DR$117=1,INDEX('計算A'!DS$10:DS$54,$B22),0))*4000,0)-IF(AND('計算A'!DQ$117=1,YO22&gt;0),2000,0)-IF(AND($L22=1,'計算A'!DR$117=1,HQ22=0),2000,0))),1000000))</f>
        <v/>
      </c>
      <c r="SU22">
        <f>IF($B22=0,1000000,IF(INDEX('計算A'!$D$60:$EQ$104,$B22,120)*HQ22=1,IF(AND($E22=2,NF22=0),1000000,IF($I22&gt;0,IF(5=$J22,IF(OR(AND(120=$I22+1,OR($K22&lt;&gt;'計算A'!$A$3,'計算A'!$A$4=0)),AND(120=$I22-1,OR(24&lt;&gt;'計算A'!$A$3,'計算A'!$A$4=0))),0,IF(24=$K22,200000,ABS(24-$K22)*100)),100000+ABS(5-$J22)*1000+240)+'計算A'!DS$5*50+IF(AND($E22=1,NF22=0),25,0),IF($F22&gt;0,INDEX('計算A'!DS$110:DS$114,$F22+1)+IF(AND($E22=1,NF22=0),1000,0),MIN(TY22,20)*400+(IF('計算A'!DR$106=1,1-HP22,0))*150+245+'計算A'!DS$5*100000+IF(AND($E22=1,NF22=0),50000,0))+IF($H22=1,(IF('計算A'!DR$117=1,INDEX('計算A'!DR$10:DR$54,$B22),0))*4000,0)-IF(AND('計算A'!DR$117=1,YP22&gt;0),2000,0))),1000000))</f>
        <v/>
      </c>
      <c r="SV22">
        <f>IF($B22=0,1000000,IF(INDEX('計算A'!$D$60:$EQ$104,$B22,121)*HR22=1,IF(AND($E22=2,NG22=0),1000000,IF($I22&gt;0,IF(6=$J22,IF(OR(AND(121=$I22+1,OR($K22&lt;&gt;'計算A'!$A$3,'計算A'!$A$4=0)),AND(121=$I22-1,OR(1&lt;&gt;'計算A'!$A$3,'計算A'!$A$4=0))),0,IF(1=$K22,200000,ABS(1-$K22)*100)),100000+ABS(6-$J22)*1000+10)+'計算A'!DT$5*50+IF(AND($E22=1,NG22=0),25,0),IF($F22&gt;0,INDEX('計算A'!DT$110:DT$114,$F22+1)+IF(AND($E22=1,NG22=0),1000,0),MIN(TZ22,20)*400+(IF('計算A'!DT$106=1,1-HS22,0))*150+16+'計算A'!DT$5*100000+IF(AND($E22=1,NG22=0),50000,0))+IF($H22=1,(IF('計算A'!DT$117=1,INDEX('計算A'!DU$10:DU$54,$B22),0))*4000,0)-IF(AND($L22=1,'計算A'!DT$117=1,HS22=0),2000,0))),1000000))</f>
        <v/>
      </c>
      <c r="SW22">
        <f>IF($B22=0,1000000,IF(INDEX('計算A'!$D$60:$EQ$104,$B22,122)*HS22=1,IF(AND($E22=2,NH22=0),1000000,IF($I22&gt;0,IF(6=$J22,IF(OR(AND(122=$I22+1,OR($K22&lt;&gt;'計算A'!$A$3,'計算A'!$A$4=0)),AND(122=$I22-1,OR(2&lt;&gt;'計算A'!$A$3,'計算A'!$A$4=0))),0,IF(2=$K22,200000,ABS(2-$K22)*100)),100000+ABS(6-$J22)*1000+20)+'計算A'!DU$5*50+IF(AND($E22=1,NH22=0),25,0),IF($F22&gt;0,INDEX('計算A'!DU$110:DU$114,$F22+1)+IF(AND($E22=1,NH22=0),1000,0),MIN(TZ22,20)*400+(IF('計算A'!DT$106=1,1-HR22,0)+IF('計算A'!DU$106=1,1-HT22,0))*150+26+'計算A'!DU$5*100000+IF(AND($E22=1,NH22=0),50000,0))+IF($H22=1,(IF('計算A'!DT$117=1,INDEX('計算A'!DT$10:DT$54,$B22),0)+IF('計算A'!DU$117=1,INDEX('計算A'!DV$10:DV$54,$B22),0))*4000,0)-IF(AND('計算A'!DT$117=1,YR22&gt;0),2000,0)-IF(AND($L22=1,'計算A'!DU$117=1,HT22=0),2000,0))),1000000))</f>
        <v/>
      </c>
      <c r="SX22">
        <f>IF($B22=0,1000000,IF(INDEX('計算A'!$D$60:$EQ$104,$B22,123)*HT22=1,IF(AND($E22=2,NI22=0),1000000,IF($I22&gt;0,IF(6=$J22,IF(OR(AND(123=$I22+1,OR($K22&lt;&gt;'計算A'!$A$3,'計算A'!$A$4=0)),AND(123=$I22-1,OR(3&lt;&gt;'計算A'!$A$3,'計算A'!$A$4=0))),0,IF(3=$K22,200000,ABS(3-$K22)*100)),100000+ABS(6-$J22)*1000+30)+'計算A'!DV$5*50+IF(AND($E22=1,NI22=0),25,0),IF($F22&gt;0,INDEX('計算A'!DV$110:DV$114,$F22+1)+IF(AND($E22=1,NI22=0),1000,0),MIN(TZ22,20)*400+(IF('計算A'!DU$106=1,1-HS22,0)+IF('計算A'!DV$106=1,1-HU22,0))*150+36+'計算A'!DV$5*100000+IF(AND($E22=1,NI22=0),50000,0))+IF($H22=1,(IF('計算A'!DU$117=1,INDEX('計算A'!DU$10:DU$54,$B22),0)+IF('計算A'!DV$117=1,INDEX('計算A'!DW$10:DW$54,$B22),0))*4000,0)-IF(AND('計算A'!DU$117=1,YS22&gt;0),2000,0)-IF(AND($L22=1,'計算A'!DV$117=1,HU22=0),2000,0))),1000000))</f>
        <v/>
      </c>
      <c r="SY22">
        <f>IF($B22=0,1000000,IF(INDEX('計算A'!$D$60:$EQ$104,$B22,124)*HU22=1,IF(AND($E22=2,NJ22=0),1000000,IF($I22&gt;0,IF(6=$J22,IF(OR(AND(124=$I22+1,OR($K22&lt;&gt;'計算A'!$A$3,'計算A'!$A$4=0)),AND(124=$I22-1,OR(4&lt;&gt;'計算A'!$A$3,'計算A'!$A$4=0))),0,IF(4=$K22,200000,ABS(4-$K22)*100)),100000+ABS(6-$J22)*1000+40)+'計算A'!DW$5*50+IF(AND($E22=1,NJ22=0),25,0),IF($F22&gt;0,INDEX('計算A'!DW$110:DW$114,$F22+1)+IF(AND($E22=1,NJ22=0),1000,0),MIN(TZ22,20)*400+(IF('計算A'!DV$106=1,1-HT22,0)+IF('計算A'!DW$106=1,1-HV22,0))*150+46+'計算A'!DW$5*100000+IF(AND($E22=1,NJ22=0),50000,0))+IF($H22=1,(IF('計算A'!DV$117=1,INDEX('計算A'!DV$10:DV$54,$B22),0)+IF('計算A'!DW$117=1,INDEX('計算A'!DX$10:DX$54,$B22),0))*4000,0)-IF(AND('計算A'!DV$117=1,YT22&gt;0),2000,0)-IF(AND($L22=1,'計算A'!DW$117=1,HV22=0),2000,0))),1000000))</f>
        <v/>
      </c>
      <c r="SZ22">
        <f>IF($B22=0,1000000,IF(INDEX('計算A'!$D$60:$EQ$104,$B22,125)*HV22=1,IF(AND($E22=2,NK22=0),1000000,IF($I22&gt;0,IF(6=$J22,IF(OR(AND(125=$I22+1,OR($K22&lt;&gt;'計算A'!$A$3,'計算A'!$A$4=0)),AND(125=$I22-1,OR(5&lt;&gt;'計算A'!$A$3,'計算A'!$A$4=0))),0,IF(5=$K22,200000,ABS(5-$K22)*100)),100000+ABS(6-$J22)*1000+50)+'計算A'!DX$5*50+IF(AND($E22=1,NK22=0),25,0),IF($F22&gt;0,INDEX('計算A'!DX$110:DX$114,$F22+1)+IF(AND($E22=1,NK22=0),1000,0),MIN(TZ22,20)*400+(IF('計算A'!DW$106=1,1-HU22,0)+IF('計算A'!DX$106=1,1-HW22,0))*150+56+'計算A'!DX$5*100000+IF(AND($E22=1,NK22=0),50000,0))+IF($H22=1,(IF('計算A'!DW$117=1,INDEX('計算A'!DW$10:DW$54,$B22),0)+IF('計算A'!DX$117=1,INDEX('計算A'!DY$10:DY$54,$B22),0))*4000,0)-IF(AND('計算A'!DW$117=1,YU22&gt;0),2000,0)-IF(AND($L22=1,'計算A'!DX$117=1,HW22=0),2000,0))),1000000))</f>
        <v/>
      </c>
      <c r="TA22">
        <f>IF($B22=0,1000000,IF(INDEX('計算A'!$D$60:$EQ$104,$B22,126)*HW22=1,IF(AND($E22=2,NL22=0),1000000,IF($I22&gt;0,IF(6=$J22,IF(OR(AND(126=$I22+1,OR($K22&lt;&gt;'計算A'!$A$3,'計算A'!$A$4=0)),AND(126=$I22-1,OR(6&lt;&gt;'計算A'!$A$3,'計算A'!$A$4=0))),0,IF(6=$K22,200000,ABS(6-$K22)*100)),100000+ABS(6-$J22)*1000+60)+'計算A'!DY$5*50+IF(AND($E22=1,NL22=0),25,0),IF($F22&gt;0,INDEX('計算A'!DY$110:DY$114,$F22+1)+IF(AND($E22=1,NL22=0),1000,0),MIN(TZ22,20)*400+(IF('計算A'!DX$106=1,1-HV22,0)+IF('計算A'!DY$106=1,1-HX22,0))*150+66+'計算A'!DY$5*100000+IF(AND($E22=1,NL22=0),50000,0))+IF($H22=1,(IF('計算A'!DX$117=1,INDEX('計算A'!DX$10:DX$54,$B22),0)+IF('計算A'!DY$117=1,INDEX('計算A'!DZ$10:DZ$54,$B22),0))*4000,0)-IF(AND('計算A'!DX$117=1,YV22&gt;0),2000,0)-IF(AND($L22=1,'計算A'!DY$117=1,HX22=0),2000,0))),1000000))</f>
        <v/>
      </c>
      <c r="TB22">
        <f>IF($B22=0,1000000,IF(INDEX('計算A'!$D$60:$EQ$104,$B22,127)*HX22=1,IF(AND($E22=2,NM22=0),1000000,IF($I22&gt;0,IF(6=$J22,IF(OR(AND(127=$I22+1,OR($K22&lt;&gt;'計算A'!$A$3,'計算A'!$A$4=0)),AND(127=$I22-1,OR(7&lt;&gt;'計算A'!$A$3,'計算A'!$A$4=0))),0,IF(7=$K22,200000,ABS(7-$K22)*100)),100000+ABS(6-$J22)*1000+70)+'計算A'!DZ$5*50+IF(AND($E22=1,NM22=0),25,0),IF($F22&gt;0,INDEX('計算A'!DZ$110:DZ$114,$F22+1)+IF(AND($E22=1,NM22=0),1000,0),MIN(TZ22,20)*400+(IF('計算A'!DY$106=1,1-HW22,0)+IF('計算A'!DZ$106=1,1-HY22,0))*150+76+'計算A'!DZ$5*100000+IF(AND($E22=1,NM22=0),50000,0))+IF($H22=1,(IF('計算A'!DY$117=1,INDEX('計算A'!DY$10:DY$54,$B22),0)+IF('計算A'!DZ$117=1,INDEX('計算A'!EA$10:EA$54,$B22),0))*4000,0)-IF(AND('計算A'!DY$117=1,YW22&gt;0),2000,0)-IF(AND($L22=1,'計算A'!DZ$117=1,HY22=0),2000,0))),1000000))</f>
        <v/>
      </c>
      <c r="TC22">
        <f>IF($B22=0,1000000,IF(INDEX('計算A'!$D$60:$EQ$104,$B22,128)*HY22=1,IF(AND($E22=2,NN22=0),1000000,IF($I22&gt;0,IF(6=$J22,IF(OR(AND(128=$I22+1,OR($K22&lt;&gt;'計算A'!$A$3,'計算A'!$A$4=0)),AND(128=$I22-1,OR(8&lt;&gt;'計算A'!$A$3,'計算A'!$A$4=0))),0,IF(8=$K22,200000,ABS(8-$K22)*100)),100000+ABS(6-$J22)*1000+80)+'計算A'!EA$5*50+IF(AND($E22=1,NN22=0),25,0),IF($F22&gt;0,INDEX('計算A'!EA$110:EA$114,$F22+1)+IF(AND($E22=1,NN22=0),1000,0),MIN(TZ22,20)*400+(IF('計算A'!DZ$106=1,1-HX22,0)+IF('計算A'!EA$106=1,1-HZ22,0))*150+86+'計算A'!EA$5*100000+IF(AND($E22=1,NN22=0),50000,0))+IF($H22=1,(IF('計算A'!DZ$117=1,INDEX('計算A'!DZ$10:DZ$54,$B22),0)+IF('計算A'!EA$117=1,INDEX('計算A'!EB$10:EB$54,$B22),0))*4000,0)-IF(AND('計算A'!DZ$117=1,YX22&gt;0),2000,0)-IF(AND($L22=1,'計算A'!EA$117=1,HZ22=0),2000,0))),1000000))</f>
        <v/>
      </c>
      <c r="TD22">
        <f>IF($B22=0,1000000,IF(INDEX('計算A'!$D$60:$EQ$104,$B22,129)*HZ22=1,IF(AND($E22=2,NO22=0),1000000,IF($I22&gt;0,IF(6=$J22,IF(OR(AND(129=$I22+1,OR($K22&lt;&gt;'計算A'!$A$3,'計算A'!$A$4=0)),AND(129=$I22-1,OR(9&lt;&gt;'計算A'!$A$3,'計算A'!$A$4=0))),0,IF(9=$K22,200000,ABS(9-$K22)*100)),100000+ABS(6-$J22)*1000+90)+'計算A'!EB$5*50+IF(AND($E22=1,NO22=0),25,0),IF($F22&gt;0,INDEX('計算A'!EB$110:EB$114,$F22+1)+IF(AND($E22=1,NO22=0),1000,0),MIN(TZ22,20)*400+(IF('計算A'!EA$106=1,1-HY22,0)+IF('計算A'!EB$106=1,1-IA22,0))*150+96+'計算A'!EB$5*100000+IF(AND($E22=1,NO22=0),50000,0))+IF($H22=1,(IF('計算A'!EA$117=1,INDEX('計算A'!EA$10:EA$54,$B22),0)+IF('計算A'!EB$117=1,INDEX('計算A'!EC$10:EC$54,$B22),0))*4000,0)-IF(AND('計算A'!EA$117=1,YY22&gt;0),2000,0)-IF(AND($L22=1,'計算A'!EB$117=1,IA22=0),2000,0))),1000000))</f>
        <v/>
      </c>
      <c r="TE22">
        <f>IF($B22=0,1000000,IF(INDEX('計算A'!$D$60:$EQ$104,$B22,130)*IA22=1,IF(AND($E22=2,NP22=0),1000000,IF($I22&gt;0,IF(6=$J22,IF(OR(AND(130=$I22+1,OR($K22&lt;&gt;'計算A'!$A$3,'計算A'!$A$4=0)),AND(130=$I22-1,OR(10&lt;&gt;'計算A'!$A$3,'計算A'!$A$4=0))),0,IF(10=$K22,200000,ABS(10-$K22)*100)),100000+ABS(6-$J22)*1000+100)+'計算A'!EC$5*50+IF(AND($E22=1,NP22=0),25,0),IF($F22&gt;0,INDEX('計算A'!EC$110:EC$114,$F22+1)+IF(AND($E22=1,NP22=0),1000,0),MIN(TZ22,20)*400+(IF('計算A'!EB$106=1,1-HZ22,0)+IF('計算A'!EC$106=1,1-IB22,0))*150+106+'計算A'!EC$5*100000+IF(AND($E22=1,NP22=0),50000,0))+IF($H22=1,(IF('計算A'!EB$117=1,INDEX('計算A'!EB$10:EB$54,$B22),0)+IF('計算A'!EC$117=1,INDEX('計算A'!ED$10:ED$54,$B22),0))*4000,0)-IF(AND('計算A'!EB$117=1,YZ22&gt;0),2000,0)-IF(AND($L22=1,'計算A'!EC$117=1,IB22=0),2000,0))),1000000))</f>
        <v/>
      </c>
      <c r="TF22">
        <f>IF($B22=0,1000000,IF(INDEX('計算A'!$D$60:$EQ$104,$B22,131)*IB22=1,IF(AND($E22=2,NQ22=0),1000000,IF($I22&gt;0,IF(6=$J22,IF(OR(AND(131=$I22+1,OR($K22&lt;&gt;'計算A'!$A$3,'計算A'!$A$4=0)),AND(131=$I22-1,OR(11&lt;&gt;'計算A'!$A$3,'計算A'!$A$4=0))),0,IF(11=$K22,200000,ABS(11-$K22)*100)),100000+ABS(6-$J22)*1000+110)+'計算A'!ED$5*50+IF(AND($E22=1,NQ22=0),25,0),IF($F22&gt;0,INDEX('計算A'!ED$110:ED$114,$F22+1)+IF(AND($E22=1,NQ22=0),1000,0),MIN(TZ22,20)*400+(IF('計算A'!EC$106=1,1-IA22,0)+IF('計算A'!ED$106=1,1-IC22,0))*150+116+'計算A'!ED$5*100000+IF(AND($E22=1,NQ22=0),50000,0))+IF($H22=1,(IF('計算A'!EC$117=1,INDEX('計算A'!EC$10:EC$54,$B22),0)+IF('計算A'!ED$117=1,INDEX('計算A'!EE$10:EE$54,$B22),0))*4000,0)-IF(AND('計算A'!EC$117=1,ZA22&gt;0),2000,0)-IF(AND($L22=1,'計算A'!ED$117=1,IC22=0),2000,0))),1000000))</f>
        <v/>
      </c>
      <c r="TG22">
        <f>IF($B22=0,1000000,IF(INDEX('計算A'!$D$60:$EQ$104,$B22,132)*IC22=1,IF(AND($E22=2,NR22=0),1000000,IF($I22&gt;0,IF(6=$J22,IF(OR(AND(132=$I22+1,OR($K22&lt;&gt;'計算A'!$A$3,'計算A'!$A$4=0)),AND(132=$I22-1,OR(12&lt;&gt;'計算A'!$A$3,'計算A'!$A$4=0))),0,IF(12=$K22,200000,ABS(12-$K22)*100)),100000+ABS(6-$J22)*1000+120)+'計算A'!EE$5*50+IF(AND($E22=1,NR22=0),25,0),IF($F22&gt;0,INDEX('計算A'!EE$110:EE$114,$F22+1)+IF(AND($E22=1,NR22=0),1000,0),MIN(TZ22,20)*400+(IF('計算A'!ED$106=1,1-IB22,0)+IF('計算A'!EE$106=1,1-ID22,0))*150+126+'計算A'!EE$5*100000+IF(AND($E22=1,NR22=0),50000,0))+IF($H22=1,(IF('計算A'!ED$117=1,INDEX('計算A'!ED$10:ED$54,$B22),0)+IF('計算A'!EE$117=1,INDEX('計算A'!EF$10:EF$54,$B22),0))*4000,0)-IF(AND('計算A'!ED$117=1,ZB22&gt;0),2000,0)-IF(AND($L22=1,'計算A'!EE$117=1,ID22=0),2000,0))),1000000))</f>
        <v/>
      </c>
      <c r="TH22">
        <f>IF($B22=0,1000000,IF(INDEX('計算A'!$D$60:$EQ$104,$B22,133)*ID22=1,IF(AND($E22=2,NS22=0),1000000,IF($I22&gt;0,IF(6=$J22,IF(OR(AND(133=$I22+1,OR($K22&lt;&gt;'計算A'!$A$3,'計算A'!$A$4=0)),AND(133=$I22-1,OR(13&lt;&gt;'計算A'!$A$3,'計算A'!$A$4=0))),0,IF(13=$K22,200000,ABS(13-$K22)*100)),100000+ABS(6-$J22)*1000+130)+'計算A'!EF$5*50+IF(AND($E22=1,NS22=0),25,0),IF($F22&gt;0,INDEX('計算A'!EF$110:EF$114,$F22+1)+IF(AND($E22=1,NS22=0),1000,0),MIN(TZ22,20)*400+(IF('計算A'!EE$106=1,1-IC22,0)+IF('計算A'!EF$106=1,1-IE22,0))*150+136+'計算A'!EF$5*100000+IF(AND($E22=1,NS22=0),50000,0))+IF($H22=1,(IF('計算A'!EE$117=1,INDEX('計算A'!EE$10:EE$54,$B22),0)+IF('計算A'!EF$117=1,INDEX('計算A'!EG$10:EG$54,$B22),0))*4000,0)-IF(AND('計算A'!EE$117=1,ZC22&gt;0),2000,0)-IF(AND($L22=1,'計算A'!EF$117=1,IE22=0),2000,0))),1000000))</f>
        <v/>
      </c>
      <c r="TI22">
        <f>IF($B22=0,1000000,IF(INDEX('計算A'!$D$60:$EQ$104,$B22,134)*IE22=1,IF(AND($E22=2,NT22=0),1000000,IF($I22&gt;0,IF(6=$J22,IF(OR(AND(134=$I22+1,OR($K22&lt;&gt;'計算A'!$A$3,'計算A'!$A$4=0)),AND(134=$I22-1,OR(14&lt;&gt;'計算A'!$A$3,'計算A'!$A$4=0))),0,IF(14=$K22,200000,ABS(14-$K22)*100)),100000+ABS(6-$J22)*1000+140)+'計算A'!EG$5*50+IF(AND($E22=1,NT22=0),25,0),IF($F22&gt;0,INDEX('計算A'!EG$110:EG$114,$F22+1)+IF(AND($E22=1,NT22=0),1000,0),MIN(TZ22,20)*400+(IF('計算A'!EF$106=1,1-ID22,0)+IF('計算A'!EG$106=1,1-IF22,0))*150+146+'計算A'!EG$5*100000+IF(AND($E22=1,NT22=0),50000,0))+IF($H22=1,(IF('計算A'!EF$117=1,INDEX('計算A'!EF$10:EF$54,$B22),0)+IF('計算A'!EG$117=1,INDEX('計算A'!EH$10:EH$54,$B22),0))*4000,0)-IF(AND('計算A'!EF$117=1,ZD22&gt;0),2000,0)-IF(AND($L22=1,'計算A'!EG$117=1,IF22=0),2000,0))),1000000))</f>
        <v/>
      </c>
      <c r="TJ22">
        <f>IF($B22=0,1000000,IF(INDEX('計算A'!$D$60:$EQ$104,$B22,135)*IF22=1,IF(AND($E22=2,NU22=0),1000000,IF($I22&gt;0,IF(6=$J22,IF(OR(AND(135=$I22+1,OR($K22&lt;&gt;'計算A'!$A$3,'計算A'!$A$4=0)),AND(135=$I22-1,OR(15&lt;&gt;'計算A'!$A$3,'計算A'!$A$4=0))),0,IF(15=$K22,200000,ABS(15-$K22)*100)),100000+ABS(6-$J22)*1000+150)+'計算A'!EH$5*50+IF(AND($E22=1,NU22=0),25,0),IF($F22&gt;0,INDEX('計算A'!EH$110:EH$114,$F22+1)+IF(AND($E22=1,NU22=0),1000,0),MIN(TZ22,20)*400+(IF('計算A'!EG$106=1,1-IE22,0)+IF('計算A'!EH$106=1,1-IG22,0))*150+156+'計算A'!EH$5*100000+IF(AND($E22=1,NU22=0),50000,0))+IF($H22=1,(IF('計算A'!EG$117=1,INDEX('計算A'!EG$10:EG$54,$B22),0)+IF('計算A'!EH$117=1,INDEX('計算A'!EI$10:EI$54,$B22),0))*4000,0)-IF(AND('計算A'!EG$117=1,ZE22&gt;0),2000,0)-IF(AND($L22=1,'計算A'!EH$117=1,IG22=0),2000,0))),1000000))</f>
        <v/>
      </c>
      <c r="TK22">
        <f>IF($B22=0,1000000,IF(INDEX('計算A'!$D$60:$EQ$104,$B22,136)*IG22=1,IF(AND($E22=2,NV22=0),1000000,IF($I22&gt;0,IF(6=$J22,IF(OR(AND(136=$I22+1,OR($K22&lt;&gt;'計算A'!$A$3,'計算A'!$A$4=0)),AND(136=$I22-1,OR(16&lt;&gt;'計算A'!$A$3,'計算A'!$A$4=0))),0,IF(16=$K22,200000,ABS(16-$K22)*100)),100000+ABS(6-$J22)*1000+160)+'計算A'!EI$5*50+IF(AND($E22=1,NV22=0),25,0),IF($F22&gt;0,INDEX('計算A'!EI$110:EI$114,$F22+1)+IF(AND($E22=1,NV22=0),1000,0),MIN(TZ22,20)*400+(IF('計算A'!EH$106=1,1-IF22,0)+IF('計算A'!EI$106=1,1-IH22,0))*150+166+'計算A'!EI$5*100000+IF(AND($E22=1,NV22=0),50000,0))+IF($H22=1,(IF('計算A'!EH$117=1,INDEX('計算A'!EH$10:EH$54,$B22),0)+IF('計算A'!EI$117=1,INDEX('計算A'!EJ$10:EJ$54,$B22),0))*4000,0)-IF(AND('計算A'!EH$117=1,ZF22&gt;0),2000,0)-IF(AND($L22=1,'計算A'!EI$117=1,IH22=0),2000,0))),1000000))</f>
        <v/>
      </c>
      <c r="TL22">
        <f>IF($B22=0,1000000,IF(INDEX('計算A'!$D$60:$EQ$104,$B22,137)*IH22=1,IF(AND($E22=2,NW22=0),1000000,IF($I22&gt;0,IF(6=$J22,IF(OR(AND(137=$I22+1,OR($K22&lt;&gt;'計算A'!$A$3,'計算A'!$A$4=0)),AND(137=$I22-1,OR(17&lt;&gt;'計算A'!$A$3,'計算A'!$A$4=0))),0,IF(17=$K22,200000,ABS(17-$K22)*100)),100000+ABS(6-$J22)*1000+170)+'計算A'!EJ$5*50+IF(AND($E22=1,NW22=0),25,0),IF($F22&gt;0,INDEX('計算A'!EJ$110:EJ$114,$F22+1)+IF(AND($E22=1,NW22=0),1000,0),MIN(TZ22,20)*400+(IF('計算A'!EI$106=1,1-IG22,0)+IF('計算A'!EJ$106=1,1-II22,0))*150+176+'計算A'!EJ$5*100000+IF(AND($E22=1,NW22=0),50000,0))+IF($H22=1,(IF('計算A'!EI$117=1,INDEX('計算A'!EI$10:EI$54,$B22),0)+IF('計算A'!EJ$117=1,INDEX('計算A'!EK$10:EK$54,$B22),0))*4000,0)-IF(AND('計算A'!EI$117=1,ZG22&gt;0),2000,0)-IF(AND($L22=1,'計算A'!EJ$117=1,II22=0),2000,0))),1000000))</f>
        <v/>
      </c>
      <c r="TM22">
        <f>IF($B22=0,1000000,IF(INDEX('計算A'!$D$60:$EQ$104,$B22,138)*II22=1,IF(AND($E22=2,NX22=0),1000000,IF($I22&gt;0,IF(6=$J22,IF(OR(AND(138=$I22+1,OR($K22&lt;&gt;'計算A'!$A$3,'計算A'!$A$4=0)),AND(138=$I22-1,OR(18&lt;&gt;'計算A'!$A$3,'計算A'!$A$4=0))),0,IF(18=$K22,200000,ABS(18-$K22)*100)),100000+ABS(6-$J22)*1000+180)+'計算A'!EK$5*50+IF(AND($E22=1,NX22=0),25,0),IF($F22&gt;0,INDEX('計算A'!EK$110:EK$114,$F22+1)+IF(AND($E22=1,NX22=0),1000,0),MIN(TZ22,20)*400+(IF('計算A'!EJ$106=1,1-IH22,0)+IF('計算A'!EK$106=1,1-IJ22,0))*150+186+'計算A'!EK$5*100000+IF(AND($E22=1,NX22=0),50000,0))+IF($H22=1,(IF('計算A'!EJ$117=1,INDEX('計算A'!EJ$10:EJ$54,$B22),0)+IF('計算A'!EK$117=1,INDEX('計算A'!EL$10:EL$54,$B22),0))*4000,0)-IF(AND('計算A'!EJ$117=1,ZH22&gt;0),2000,0)-IF(AND($L22=1,'計算A'!EK$117=1,IJ22=0),2000,0))),1000000))</f>
        <v/>
      </c>
      <c r="TN22">
        <f>IF($B22=0,1000000,IF(INDEX('計算A'!$D$60:$EQ$104,$B22,139)*IJ22=1,IF(AND($E22=2,NY22=0),1000000,IF($I22&gt;0,IF(6=$J22,IF(OR(AND(139=$I22+1,OR($K22&lt;&gt;'計算A'!$A$3,'計算A'!$A$4=0)),AND(139=$I22-1,OR(19&lt;&gt;'計算A'!$A$3,'計算A'!$A$4=0))),0,IF(19=$K22,200000,ABS(19-$K22)*100)),100000+ABS(6-$J22)*1000+190)+'計算A'!EL$5*50+IF(AND($E22=1,NY22=0),25,0),IF($F22&gt;0,INDEX('計算A'!EL$110:EL$114,$F22+1)+IF(AND($E22=1,NY22=0),1000,0),MIN(TZ22,20)*400+(IF('計算A'!EK$106=1,1-II22,0)+IF('計算A'!EL$106=1,1-IK22,0))*150+196+'計算A'!EL$5*100000+IF(AND($E22=1,NY22=0),50000,0))+IF($H22=1,(IF('計算A'!EK$117=1,INDEX('計算A'!EK$10:EK$54,$B22),0)+IF('計算A'!EL$117=1,INDEX('計算A'!EM$10:EM$54,$B22),0))*4000,0)-IF(AND('計算A'!EK$117=1,ZI22&gt;0),2000,0)-IF(AND($L22=1,'計算A'!EL$117=1,IK22=0),2000,0))),1000000))</f>
        <v/>
      </c>
      <c r="TO22">
        <f>IF($B22=0,1000000,IF(INDEX('計算A'!$D$60:$EQ$104,$B22,140)*IK22=1,IF(AND($E22=2,NZ22=0),1000000,IF($I22&gt;0,IF(6=$J22,IF(OR(AND(140=$I22+1,OR($K22&lt;&gt;'計算A'!$A$3,'計算A'!$A$4=0)),AND(140=$I22-1,OR(20&lt;&gt;'計算A'!$A$3,'計算A'!$A$4=0))),0,IF(20=$K22,200000,ABS(20-$K22)*100)),100000+ABS(6-$J22)*1000+200)+'計算A'!EM$5*50+IF(AND($E22=1,NZ22=0),25,0),IF($F22&gt;0,INDEX('計算A'!EM$110:EM$114,$F22+1)+IF(AND($E22=1,NZ22=0),1000,0),MIN(TZ22,20)*400+(IF('計算A'!EL$106=1,1-IJ22,0)+IF('計算A'!EM$106=1,1-IL22,0))*150+206+'計算A'!EM$5*100000+IF(AND($E22=1,NZ22=0),50000,0))+IF($H22=1,(IF('計算A'!EL$117=1,INDEX('計算A'!EL$10:EL$54,$B22),0)+IF('計算A'!EM$117=1,INDEX('計算A'!EN$10:EN$54,$B22),0))*4000,0)-IF(AND('計算A'!EL$117=1,ZJ22&gt;0),2000,0)-IF(AND($L22=1,'計算A'!EM$117=1,IL22=0),2000,0))),1000000))</f>
        <v/>
      </c>
      <c r="TP22">
        <f>IF($B22=0,1000000,IF(INDEX('計算A'!$D$60:$EQ$104,$B22,141)*IL22=1,IF(AND($E22=2,OA22=0),1000000,IF($I22&gt;0,IF(6=$J22,IF(OR(AND(141=$I22+1,OR($K22&lt;&gt;'計算A'!$A$3,'計算A'!$A$4=0)),AND(141=$I22-1,OR(21&lt;&gt;'計算A'!$A$3,'計算A'!$A$4=0))),0,IF(21=$K22,200000,ABS(21-$K22)*100)),100000+ABS(6-$J22)*1000+210)+'計算A'!EN$5*50+IF(AND($E22=1,OA22=0),25,0),IF($F22&gt;0,INDEX('計算A'!EN$110:EN$114,$F22+1)+IF(AND($E22=1,OA22=0),1000,0),MIN(TZ22,20)*400+(IF('計算A'!EM$106=1,1-IK22,0)+IF('計算A'!EN$106=1,1-IM22,0))*150+216+'計算A'!EN$5*100000+IF(AND($E22=1,OA22=0),50000,0))+IF($H22=1,(IF('計算A'!EM$117=1,INDEX('計算A'!EM$10:EM$54,$B22),0)+IF('計算A'!EN$117=1,INDEX('計算A'!EO$10:EO$54,$B22),0))*4000,0)-IF(AND('計算A'!EM$117=1,ZK22&gt;0),2000,0)-IF(AND($L22=1,'計算A'!EN$117=1,IM22=0),2000,0))),1000000))</f>
        <v/>
      </c>
      <c r="TQ22">
        <f>IF($B22=0,1000000,IF(INDEX('計算A'!$D$60:$EQ$104,$B22,142)*IM22=1,IF(AND($E22=2,OB22=0),1000000,IF($I22&gt;0,IF(6=$J22,IF(OR(AND(142=$I22+1,OR($K22&lt;&gt;'計算A'!$A$3,'計算A'!$A$4=0)),AND(142=$I22-1,OR(22&lt;&gt;'計算A'!$A$3,'計算A'!$A$4=0))),0,IF(22=$K22,200000,ABS(22-$K22)*100)),100000+ABS(6-$J22)*1000+220)+'計算A'!EO$5*50+IF(AND($E22=1,OB22=0),25,0),IF($F22&gt;0,INDEX('計算A'!EO$110:EO$114,$F22+1)+IF(AND($E22=1,OB22=0),1000,0),MIN(TZ22,20)*400+(IF('計算A'!EN$106=1,1-IL22,0)+IF('計算A'!EO$106=1,1-IN22,0))*150+226+'計算A'!EO$5*100000+IF(AND($E22=1,OB22=0),50000,0))+IF($H22=1,(IF('計算A'!EN$117=1,INDEX('計算A'!EN$10:EN$54,$B22),0)+IF('計算A'!EO$117=1,INDEX('計算A'!EP$10:EP$54,$B22),0))*4000,0)-IF(AND('計算A'!EN$117=1,ZL22&gt;0),2000,0)-IF(AND($L22=1,'計算A'!EO$117=1,IN22=0),2000,0))),1000000))</f>
        <v/>
      </c>
      <c r="TR22">
        <f>IF($B22=0,1000000,IF(INDEX('計算A'!$D$60:$EQ$104,$B22,143)*IN22=1,IF(AND($E22=2,OC22=0),1000000,IF($I22&gt;0,IF(6=$J22,IF(OR(AND(143=$I22+1,OR($K22&lt;&gt;'計算A'!$A$3,'計算A'!$A$4=0)),AND(143=$I22-1,OR(23&lt;&gt;'計算A'!$A$3,'計算A'!$A$4=0))),0,IF(23=$K22,200000,ABS(23-$K22)*100)),100000+ABS(6-$J22)*1000+230)+'計算A'!EP$5*50+IF(AND($E22=1,OC22=0),25,0),IF($F22&gt;0,INDEX('計算A'!EP$110:EP$114,$F22+1)+IF(AND($E22=1,OC22=0),1000,0),MIN(TZ22,20)*400+(IF('計算A'!EO$106=1,1-IM22,0)+IF('計算A'!EP$106=1,1-IO22,0))*150+236+'計算A'!EP$5*100000+IF(AND($E22=1,OC22=0),50000,0))+IF($H22=1,(IF('計算A'!EO$117=1,INDEX('計算A'!EO$10:EO$54,$B22),0)+IF('計算A'!EP$117=1,INDEX('計算A'!EQ$10:EQ$54,$B22),0))*4000,0)-IF(AND('計算A'!EO$117=1,ZM22&gt;0),2000,0)-IF(AND($L22=1,'計算A'!EP$117=1,IO22=0),2000,0))),1000000))</f>
        <v/>
      </c>
      <c r="TS22">
        <f>IF($B22=0,1000000,IF(INDEX('計算A'!$D$60:$EQ$104,$B22,144)*IO22=1,IF(AND($E22=2,OD22=0),1000000,IF($I22&gt;0,IF(6=$J22,IF(OR(AND(144=$I22+1,OR($K22&lt;&gt;'計算A'!$A$3,'計算A'!$A$4=0)),AND(144=$I22-1,OR(24&lt;&gt;'計算A'!$A$3,'計算A'!$A$4=0))),0,IF(24=$K22,200000,ABS(24-$K22)*100)),100000+ABS(6-$J22)*1000+240)+'計算A'!EQ$5*50+IF(AND($E22=1,OD22=0),25,0),IF($F22&gt;0,INDEX('計算A'!EQ$110:EQ$114,$F22+1)+IF(AND($E22=1,OD22=0),1000,0),MIN(TZ22,20)*400+(IF('計算A'!EP$106=1,1-IN22,0))*150+246+'計算A'!EQ$5*100000+IF(AND($E22=1,OD22=0),50000,0))+IF($H22=1,(IF('計算A'!EP$117=1,INDEX('計算A'!EP$10:EP$54,$B22),0))*4000,0)-IF(AND('計算A'!EP$117=1,ZN22&gt;0),2000,0))),1000000))</f>
        <v/>
      </c>
      <c r="TU22">
        <f>TU21+IF($C21&gt;0,IF(INDEX('計算A'!$D$2:$EQ$2,$C21)=1,1,0),0)</f>
        <v/>
      </c>
      <c r="TV22">
        <f>TV21+IF($C21&gt;0,IF(INDEX('計算A'!$D$2:$EQ$2,$C21)=2,1,0),0)</f>
        <v/>
      </c>
      <c r="TW22">
        <f>TW21+IF($C21&gt;0,IF(INDEX('計算A'!$D$2:$EQ$2,$C21)=3,1,0),0)</f>
        <v/>
      </c>
      <c r="TX22">
        <f>TX21+IF($C21&gt;0,IF(INDEX('計算A'!$D$2:$EQ$2,$C21)=4,1,0),0)</f>
        <v/>
      </c>
      <c r="TY22">
        <f>TY21+IF($C21&gt;0,IF(INDEX('計算A'!$D$2:$EQ$2,$C21)=5,1,0),0)</f>
        <v/>
      </c>
      <c r="TZ22">
        <f>TZ21+IF($C21&gt;0,IF(INDEX('計算A'!$D$2:$EQ$2,$C21)=6,1,0),0)</f>
        <v/>
      </c>
      <c r="UB22">
        <f>UB21+IF(AND($C21=1,$L21=1),1,0)</f>
        <v/>
      </c>
      <c r="UC22">
        <f>UC21+IF(AND($C21=2,$L21=1),1,0)</f>
        <v/>
      </c>
      <c r="UD22">
        <f>UD21+IF(AND($C21=3,$L21=1),1,0)</f>
        <v/>
      </c>
      <c r="UE22">
        <f>UE21+IF(AND($C21=4,$L21=1),1,0)</f>
        <v/>
      </c>
      <c r="UF22">
        <f>UF21+IF(AND($C21=5,$L21=1),1,0)</f>
        <v/>
      </c>
      <c r="UG22">
        <f>UG21+IF(AND($C21=6,$L21=1),1,0)</f>
        <v/>
      </c>
      <c r="UH22">
        <f>UH21+IF(AND($C21=7,$L21=1),1,0)</f>
        <v/>
      </c>
      <c r="UI22">
        <f>UI21+IF(AND($C21=8,$L21=1),1,0)</f>
        <v/>
      </c>
      <c r="UJ22">
        <f>UJ21+IF(AND($C21=9,$L21=1),1,0)</f>
        <v/>
      </c>
      <c r="UK22">
        <f>UK21+IF(AND($C21=10,$L21=1),1,0)</f>
        <v/>
      </c>
      <c r="UL22">
        <f>UL21+IF(AND($C21=11,$L21=1),1,0)</f>
        <v/>
      </c>
      <c r="UM22">
        <f>UM21+IF(AND($C21=12,$L21=1),1,0)</f>
        <v/>
      </c>
      <c r="UN22">
        <f>UN21+IF(AND($C21=13,$L21=1),1,0)</f>
        <v/>
      </c>
      <c r="UO22">
        <f>UO21+IF(AND($C21=14,$L21=1),1,0)</f>
        <v/>
      </c>
      <c r="UP22">
        <f>UP21+IF(AND($C21=15,$L21=1),1,0)</f>
        <v/>
      </c>
      <c r="UQ22">
        <f>UQ21+IF(AND($C21=16,$L21=1),1,0)</f>
        <v/>
      </c>
      <c r="UR22">
        <f>UR21+IF(AND($C21=17,$L21=1),1,0)</f>
        <v/>
      </c>
      <c r="US22">
        <f>US21+IF(AND($C21=18,$L21=1),1,0)</f>
        <v/>
      </c>
      <c r="UT22">
        <f>UT21+IF(AND($C21=19,$L21=1),1,0)</f>
        <v/>
      </c>
      <c r="UU22">
        <f>UU21+IF(AND($C21=20,$L21=1),1,0)</f>
        <v/>
      </c>
      <c r="UV22">
        <f>UV21+IF(AND($C21=21,$L21=1),1,0)</f>
        <v/>
      </c>
      <c r="UW22">
        <f>UW21+IF(AND($C21=22,$L21=1),1,0)</f>
        <v/>
      </c>
      <c r="UX22">
        <f>UX21+IF(AND($C21=23,$L21=1),1,0)</f>
        <v/>
      </c>
      <c r="UY22">
        <f>UY21+IF(AND($C21=24,$L21=1),1,0)</f>
        <v/>
      </c>
      <c r="UZ22">
        <f>UZ21+IF(AND($C21=25,$L21=1),1,0)</f>
        <v/>
      </c>
      <c r="VA22">
        <f>VA21+IF(AND($C21=26,$L21=1),1,0)</f>
        <v/>
      </c>
      <c r="VB22">
        <f>VB21+IF(AND($C21=27,$L21=1),1,0)</f>
        <v/>
      </c>
      <c r="VC22">
        <f>VC21+IF(AND($C21=28,$L21=1),1,0)</f>
        <v/>
      </c>
      <c r="VD22">
        <f>VD21+IF(AND($C21=29,$L21=1),1,0)</f>
        <v/>
      </c>
      <c r="VE22">
        <f>VE21+IF(AND($C21=30,$L21=1),1,0)</f>
        <v/>
      </c>
      <c r="VF22">
        <f>VF21+IF(AND($C21=31,$L21=1),1,0)</f>
        <v/>
      </c>
      <c r="VG22">
        <f>VG21+IF(AND($C21=32,$L21=1),1,0)</f>
        <v/>
      </c>
      <c r="VH22">
        <f>VH21+IF(AND($C21=33,$L21=1),1,0)</f>
        <v/>
      </c>
      <c r="VI22">
        <f>VI21+IF(AND($C21=34,$L21=1),1,0)</f>
        <v/>
      </c>
      <c r="VJ22">
        <f>VJ21+IF(AND($C21=35,$L21=1),1,0)</f>
        <v/>
      </c>
      <c r="VK22">
        <f>VK21+IF(AND($C21=36,$L21=1),1,0)</f>
        <v/>
      </c>
      <c r="VL22">
        <f>VL21+IF(AND($C21=37,$L21=1),1,0)</f>
        <v/>
      </c>
      <c r="VM22">
        <f>VM21+IF(AND($C21=38,$L21=1),1,0)</f>
        <v/>
      </c>
      <c r="VN22">
        <f>VN21+IF(AND($C21=39,$L21=1),1,0)</f>
        <v/>
      </c>
      <c r="VO22">
        <f>VO21+IF(AND($C21=40,$L21=1),1,0)</f>
        <v/>
      </c>
      <c r="VP22">
        <f>VP21+IF(AND($C21=41,$L21=1),1,0)</f>
        <v/>
      </c>
      <c r="VQ22">
        <f>VQ21+IF(AND($C21=42,$L21=1),1,0)</f>
        <v/>
      </c>
      <c r="VR22">
        <f>VR21+IF(AND($C21=43,$L21=1),1,0)</f>
        <v/>
      </c>
      <c r="VS22">
        <f>VS21+IF(AND($C21=44,$L21=1),1,0)</f>
        <v/>
      </c>
      <c r="VT22">
        <f>VT21+IF(AND($C21=45,$L21=1),1,0)</f>
        <v/>
      </c>
      <c r="VU22">
        <f>VU21+IF(AND($C21=46,$L21=1),1,0)</f>
        <v/>
      </c>
      <c r="VV22">
        <f>VV21+IF(AND($C21=47,$L21=1),1,0)</f>
        <v/>
      </c>
      <c r="VW22">
        <f>VW21+IF(AND($C21=48,$L21=1),1,0)</f>
        <v/>
      </c>
      <c r="VX22">
        <f>VX21+IF(AND($C21=49,$L21=1),1,0)</f>
        <v/>
      </c>
      <c r="VY22">
        <f>VY21+IF(AND($C21=50,$L21=1),1,0)</f>
        <v/>
      </c>
      <c r="VZ22">
        <f>VZ21+IF(AND($C21=51,$L21=1),1,0)</f>
        <v/>
      </c>
      <c r="WA22">
        <f>WA21+IF(AND($C21=52,$L21=1),1,0)</f>
        <v/>
      </c>
      <c r="WB22">
        <f>WB21+IF(AND($C21=53,$L21=1),1,0)</f>
        <v/>
      </c>
      <c r="WC22">
        <f>WC21+IF(AND($C21=54,$L21=1),1,0)</f>
        <v/>
      </c>
      <c r="WD22">
        <f>WD21+IF(AND($C21=55,$L21=1),1,0)</f>
        <v/>
      </c>
      <c r="WE22">
        <f>WE21+IF(AND($C21=56,$L21=1),1,0)</f>
        <v/>
      </c>
      <c r="WF22">
        <f>WF21+IF(AND($C21=57,$L21=1),1,0)</f>
        <v/>
      </c>
      <c r="WG22">
        <f>WG21+IF(AND($C21=58,$L21=1),1,0)</f>
        <v/>
      </c>
      <c r="WH22">
        <f>WH21+IF(AND($C21=59,$L21=1),1,0)</f>
        <v/>
      </c>
      <c r="WI22">
        <f>WI21+IF(AND($C21=60,$L21=1),1,0)</f>
        <v/>
      </c>
      <c r="WJ22">
        <f>WJ21+IF(AND($C21=61,$L21=1),1,0)</f>
        <v/>
      </c>
      <c r="WK22">
        <f>WK21+IF(AND($C21=62,$L21=1),1,0)</f>
        <v/>
      </c>
      <c r="WL22">
        <f>WL21+IF(AND($C21=63,$L21=1),1,0)</f>
        <v/>
      </c>
      <c r="WM22">
        <f>WM21+IF(AND($C21=64,$L21=1),1,0)</f>
        <v/>
      </c>
      <c r="WN22">
        <f>WN21+IF(AND($C21=65,$L21=1),1,0)</f>
        <v/>
      </c>
      <c r="WO22">
        <f>WO21+IF(AND($C21=66,$L21=1),1,0)</f>
        <v/>
      </c>
      <c r="WP22">
        <f>WP21+IF(AND($C21=67,$L21=1),1,0)</f>
        <v/>
      </c>
      <c r="WQ22">
        <f>WQ21+IF(AND($C21=68,$L21=1),1,0)</f>
        <v/>
      </c>
      <c r="WR22">
        <f>WR21+IF(AND($C21=69,$L21=1),1,0)</f>
        <v/>
      </c>
      <c r="WS22">
        <f>WS21+IF(AND($C21=70,$L21=1),1,0)</f>
        <v/>
      </c>
      <c r="WT22">
        <f>WT21+IF(AND($C21=71,$L21=1),1,0)</f>
        <v/>
      </c>
      <c r="WU22">
        <f>WU21+IF(AND($C21=72,$L21=1),1,0)</f>
        <v/>
      </c>
      <c r="WV22">
        <f>WV21+IF(AND($C21=73,$L21=1),1,0)</f>
        <v/>
      </c>
      <c r="WW22">
        <f>WW21+IF(AND($C21=74,$L21=1),1,0)</f>
        <v/>
      </c>
      <c r="WX22">
        <f>WX21+IF(AND($C21=75,$L21=1),1,0)</f>
        <v/>
      </c>
      <c r="WY22">
        <f>WY21+IF(AND($C21=76,$L21=1),1,0)</f>
        <v/>
      </c>
      <c r="WZ22">
        <f>WZ21+IF(AND($C21=77,$L21=1),1,0)</f>
        <v/>
      </c>
      <c r="XA22">
        <f>XA21+IF(AND($C21=78,$L21=1),1,0)</f>
        <v/>
      </c>
      <c r="XB22">
        <f>XB21+IF(AND($C21=79,$L21=1),1,0)</f>
        <v/>
      </c>
      <c r="XC22">
        <f>XC21+IF(AND($C21=80,$L21=1),1,0)</f>
        <v/>
      </c>
      <c r="XD22">
        <f>XD21+IF(AND($C21=81,$L21=1),1,0)</f>
        <v/>
      </c>
      <c r="XE22">
        <f>XE21+IF(AND($C21=82,$L21=1),1,0)</f>
        <v/>
      </c>
      <c r="XF22">
        <f>XF21+IF(AND($C21=83,$L21=1),1,0)</f>
        <v/>
      </c>
      <c r="XG22">
        <f>XG21+IF(AND($C21=84,$L21=1),1,0)</f>
        <v/>
      </c>
      <c r="XH22">
        <f>XH21+IF(AND($C21=85,$L21=1),1,0)</f>
        <v/>
      </c>
      <c r="XI22">
        <f>XI21+IF(AND($C21=86,$L21=1),1,0)</f>
        <v/>
      </c>
      <c r="XJ22">
        <f>XJ21+IF(AND($C21=87,$L21=1),1,0)</f>
        <v/>
      </c>
      <c r="XK22">
        <f>XK21+IF(AND($C21=88,$L21=1),1,0)</f>
        <v/>
      </c>
      <c r="XL22">
        <f>XL21+IF(AND($C21=89,$L21=1),1,0)</f>
        <v/>
      </c>
      <c r="XM22">
        <f>XM21+IF(AND($C21=90,$L21=1),1,0)</f>
        <v/>
      </c>
      <c r="XN22">
        <f>XN21+IF(AND($C21=91,$L21=1),1,0)</f>
        <v/>
      </c>
      <c r="XO22">
        <f>XO21+IF(AND($C21=92,$L21=1),1,0)</f>
        <v/>
      </c>
      <c r="XP22">
        <f>XP21+IF(AND($C21=93,$L21=1),1,0)</f>
        <v/>
      </c>
      <c r="XQ22">
        <f>XQ21+IF(AND($C21=94,$L21=1),1,0)</f>
        <v/>
      </c>
      <c r="XR22">
        <f>XR21+IF(AND($C21=95,$L21=1),1,0)</f>
        <v/>
      </c>
      <c r="XS22">
        <f>XS21+IF(AND($C21=96,$L21=1),1,0)</f>
        <v/>
      </c>
      <c r="XT22">
        <f>XT21+IF(AND($C21=97,$L21=1),1,0)</f>
        <v/>
      </c>
      <c r="XU22">
        <f>XU21+IF(AND($C21=98,$L21=1),1,0)</f>
        <v/>
      </c>
      <c r="XV22">
        <f>XV21+IF(AND($C21=99,$L21=1),1,0)</f>
        <v/>
      </c>
      <c r="XW22">
        <f>XW21+IF(AND($C21=100,$L21=1),1,0)</f>
        <v/>
      </c>
      <c r="XX22">
        <f>XX21+IF(AND($C21=101,$L21=1),1,0)</f>
        <v/>
      </c>
      <c r="XY22">
        <f>XY21+IF(AND($C21=102,$L21=1),1,0)</f>
        <v/>
      </c>
      <c r="XZ22">
        <f>XZ21+IF(AND($C21=103,$L21=1),1,0)</f>
        <v/>
      </c>
      <c r="YA22">
        <f>YA21+IF(AND($C21=104,$L21=1),1,0)</f>
        <v/>
      </c>
      <c r="YB22">
        <f>YB21+IF(AND($C21=105,$L21=1),1,0)</f>
        <v/>
      </c>
      <c r="YC22">
        <f>YC21+IF(AND($C21=106,$L21=1),1,0)</f>
        <v/>
      </c>
      <c r="YD22">
        <f>YD21+IF(AND($C21=107,$L21=1),1,0)</f>
        <v/>
      </c>
      <c r="YE22">
        <f>YE21+IF(AND($C21=108,$L21=1),1,0)</f>
        <v/>
      </c>
      <c r="YF22">
        <f>YF21+IF(AND($C21=109,$L21=1),1,0)</f>
        <v/>
      </c>
      <c r="YG22">
        <f>YG21+IF(AND($C21=110,$L21=1),1,0)</f>
        <v/>
      </c>
      <c r="YH22">
        <f>YH21+IF(AND($C21=111,$L21=1),1,0)</f>
        <v/>
      </c>
      <c r="YI22">
        <f>YI21+IF(AND($C21=112,$L21=1),1,0)</f>
        <v/>
      </c>
      <c r="YJ22">
        <f>YJ21+IF(AND($C21=113,$L21=1),1,0)</f>
        <v/>
      </c>
      <c r="YK22">
        <f>YK21+IF(AND($C21=114,$L21=1),1,0)</f>
        <v/>
      </c>
      <c r="YL22">
        <f>YL21+IF(AND($C21=115,$L21=1),1,0)</f>
        <v/>
      </c>
      <c r="YM22">
        <f>YM21+IF(AND($C21=116,$L21=1),1,0)</f>
        <v/>
      </c>
      <c r="YN22">
        <f>YN21+IF(AND($C21=117,$L21=1),1,0)</f>
        <v/>
      </c>
      <c r="YO22">
        <f>YO21+IF(AND($C21=118,$L21=1),1,0)</f>
        <v/>
      </c>
      <c r="YP22">
        <f>YP21+IF(AND($C21=119,$L21=1),1,0)</f>
        <v/>
      </c>
      <c r="YQ22">
        <f>YQ21+IF(AND($C21=120,$L21=1),1,0)</f>
        <v/>
      </c>
      <c r="YR22">
        <f>YR21+IF(AND($C21=121,$L21=1),1,0)</f>
        <v/>
      </c>
      <c r="YS22">
        <f>YS21+IF(AND($C21=122,$L21=1),1,0)</f>
        <v/>
      </c>
      <c r="YT22">
        <f>YT21+IF(AND($C21=123,$L21=1),1,0)</f>
        <v/>
      </c>
      <c r="YU22">
        <f>YU21+IF(AND($C21=124,$L21=1),1,0)</f>
        <v/>
      </c>
      <c r="YV22">
        <f>YV21+IF(AND($C21=125,$L21=1),1,0)</f>
        <v/>
      </c>
      <c r="YW22">
        <f>YW21+IF(AND($C21=126,$L21=1),1,0)</f>
        <v/>
      </c>
      <c r="YX22">
        <f>YX21+IF(AND($C21=127,$L21=1),1,0)</f>
        <v/>
      </c>
      <c r="YY22">
        <f>YY21+IF(AND($C21=128,$L21=1),1,0)</f>
        <v/>
      </c>
      <c r="YZ22">
        <f>YZ21+IF(AND($C21=129,$L21=1),1,0)</f>
        <v/>
      </c>
      <c r="ZA22">
        <f>ZA21+IF(AND($C21=130,$L21=1),1,0)</f>
        <v/>
      </c>
      <c r="ZB22">
        <f>ZB21+IF(AND($C21=131,$L21=1),1,0)</f>
        <v/>
      </c>
      <c r="ZC22">
        <f>ZC21+IF(AND($C21=132,$L21=1),1,0)</f>
        <v/>
      </c>
      <c r="ZD22">
        <f>ZD21+IF(AND($C21=133,$L21=1),1,0)</f>
        <v/>
      </c>
      <c r="ZE22">
        <f>ZE21+IF(AND($C21=134,$L21=1),1,0)</f>
        <v/>
      </c>
      <c r="ZF22">
        <f>ZF21+IF(AND($C21=135,$L21=1),1,0)</f>
        <v/>
      </c>
      <c r="ZG22">
        <f>ZG21+IF(AND($C21=136,$L21=1),1,0)</f>
        <v/>
      </c>
      <c r="ZH22">
        <f>ZH21+IF(AND($C21=137,$L21=1),1,0)</f>
        <v/>
      </c>
      <c r="ZI22">
        <f>ZI21+IF(AND($C21=138,$L21=1),1,0)</f>
        <v/>
      </c>
      <c r="ZJ22">
        <f>ZJ21+IF(AND($C21=139,$L21=1),1,0)</f>
        <v/>
      </c>
      <c r="ZK22">
        <f>ZK21+IF(AND($C21=140,$L21=1),1,0)</f>
        <v/>
      </c>
      <c r="ZL22">
        <f>ZL21+IF(AND($C21=141,$L21=1),1,0)</f>
        <v/>
      </c>
      <c r="ZM22">
        <f>ZM21+IF(AND($C21=142,$L21=1),1,0)</f>
        <v/>
      </c>
      <c r="ZN22">
        <f>ZN21+IF(AND($C21=143,$L21=1),1,0)</f>
        <v/>
      </c>
      <c r="ZO22">
        <f>ZO21+IF(AND($C21=144,$L21=1),1,0)</f>
        <v/>
      </c>
    </row>
    <row r="23">
      <c r="A23" t="n">
        <v>21</v>
      </c>
      <c r="B23">
        <f>IF(MIN(BH23:CZ23)&gt;=1000000,0,MATCH(MIN(BH23:CZ23),BH23:CZ23,0))</f>
        <v/>
      </c>
      <c r="C23">
        <f>IF(MIN(OF23:TS23)&gt;=1000000,0,MATCH(MIN(OF23:TS23),OF23:TS23,0))</f>
        <v/>
      </c>
      <c r="D23">
        <f>IF(C23&gt;0,INDEX('計算A'!$D$5:$EQ$5,C23),0)</f>
        <v/>
      </c>
      <c r="E23">
        <f>IF(B23=0,0,INDEX('計算A'!$IQ$10:$IQ$54,B23))</f>
        <v/>
      </c>
      <c r="F23">
        <f>IF(B23=0,0,INDEX('計算A'!$IP$10:$IP$54,B23))</f>
        <v/>
      </c>
      <c r="G23">
        <f>IF(AND(C23&gt;0,E23&gt;0),IF(AND(INDEX('計算A'!$D$106:$EQ$106,C23)=1,INDEX($IQ23:$OD23,C23)=1),C23+1,0),0)</f>
        <v/>
      </c>
      <c r="H23">
        <f>IF(B23=0,0,INDEX('計算A'!$IW$10:$IW$54,B23))</f>
        <v/>
      </c>
      <c r="I23">
        <f>IF(B23=0,0,MAX(0,INDEX('計算A'!$IT$10:$IT$54,B23)))</f>
        <v/>
      </c>
      <c r="J23">
        <f>IF(I23=0,0,INDEX('計算A'!$D$2:$EQ$2,I23))</f>
        <v/>
      </c>
      <c r="K23">
        <f>IF(I23=0,0,INDEX('計算A'!$D$3:$EQ$3,I23))</f>
        <v/>
      </c>
      <c r="L23">
        <f>IF(B23=0,0,INDEX('計算A'!$IX$10:$IX$54,B23))</f>
        <v/>
      </c>
      <c r="N23">
        <f>MAX(N22,IF($B22=1,1,0))</f>
        <v/>
      </c>
      <c r="O23">
        <f>MAX(O22,IF($B22=2,1,0))</f>
        <v/>
      </c>
      <c r="P23">
        <f>MAX(P22,IF($B22=3,1,0))</f>
        <v/>
      </c>
      <c r="Q23">
        <f>MAX(Q22,IF($B22=4,1,0))</f>
        <v/>
      </c>
      <c r="R23">
        <f>MAX(R22,IF($B22=5,1,0))</f>
        <v/>
      </c>
      <c r="S23">
        <f>MAX(S22,IF($B22=6,1,0))</f>
        <v/>
      </c>
      <c r="T23">
        <f>MAX(T22,IF($B22=7,1,0))</f>
        <v/>
      </c>
      <c r="U23">
        <f>MAX(U22,IF($B22=8,1,0))</f>
        <v/>
      </c>
      <c r="V23">
        <f>MAX(V22,IF($B22=9,1,0))</f>
        <v/>
      </c>
      <c r="W23">
        <f>MAX(W22,IF($B22=10,1,0))</f>
        <v/>
      </c>
      <c r="X23">
        <f>MAX(X22,IF($B22=11,1,0))</f>
        <v/>
      </c>
      <c r="Y23">
        <f>MAX(Y22,IF($B22=12,1,0))</f>
        <v/>
      </c>
      <c r="Z23">
        <f>MAX(Z22,IF($B22=13,1,0))</f>
        <v/>
      </c>
      <c r="AA23">
        <f>MAX(AA22,IF($B22=14,1,0))</f>
        <v/>
      </c>
      <c r="AB23">
        <f>MAX(AB22,IF($B22=15,1,0))</f>
        <v/>
      </c>
      <c r="AC23">
        <f>MAX(AC22,IF($B22=16,1,0))</f>
        <v/>
      </c>
      <c r="AD23">
        <f>MAX(AD22,IF($B22=17,1,0))</f>
        <v/>
      </c>
      <c r="AE23">
        <f>MAX(AE22,IF($B22=18,1,0))</f>
        <v/>
      </c>
      <c r="AF23">
        <f>MAX(AF22,IF($B22=19,1,0))</f>
        <v/>
      </c>
      <c r="AG23">
        <f>MAX(AG22,IF($B22=20,1,0))</f>
        <v/>
      </c>
      <c r="AH23">
        <f>MAX(AH22,IF($B22=21,1,0))</f>
        <v/>
      </c>
      <c r="AI23">
        <f>MAX(AI22,IF($B22=22,1,0))</f>
        <v/>
      </c>
      <c r="AJ23">
        <f>MAX(AJ22,IF($B22=23,1,0))</f>
        <v/>
      </c>
      <c r="AK23">
        <f>MAX(AK22,IF($B22=24,1,0))</f>
        <v/>
      </c>
      <c r="AL23">
        <f>MAX(AL22,IF($B22=25,1,0))</f>
        <v/>
      </c>
      <c r="AM23">
        <f>MAX(AM22,IF($B22=26,1,0))</f>
        <v/>
      </c>
      <c r="AN23">
        <f>MAX(AN22,IF($B22=27,1,0))</f>
        <v/>
      </c>
      <c r="AO23">
        <f>MAX(AO22,IF($B22=28,1,0))</f>
        <v/>
      </c>
      <c r="AP23">
        <f>MAX(AP22,IF($B22=29,1,0))</f>
        <v/>
      </c>
      <c r="AQ23">
        <f>MAX(AQ22,IF($B22=30,1,0))</f>
        <v/>
      </c>
      <c r="AR23">
        <f>MAX(AR22,IF($B22=31,1,0))</f>
        <v/>
      </c>
      <c r="AS23">
        <f>MAX(AS22,IF($B22=32,1,0))</f>
        <v/>
      </c>
      <c r="AT23">
        <f>MAX(AT22,IF($B22=33,1,0))</f>
        <v/>
      </c>
      <c r="AU23">
        <f>MAX(AU22,IF($B22=34,1,0))</f>
        <v/>
      </c>
      <c r="AV23">
        <f>MAX(AV22,IF($B22=35,1,0))</f>
        <v/>
      </c>
      <c r="AW23">
        <f>MAX(AW22,IF($B22=36,1,0))</f>
        <v/>
      </c>
      <c r="AX23">
        <f>MAX(AX22,IF($B22=37,1,0))</f>
        <v/>
      </c>
      <c r="AY23">
        <f>MAX(AY22,IF($B22=38,1,0))</f>
        <v/>
      </c>
      <c r="AZ23">
        <f>MAX(AZ22,IF($B22=39,1,0))</f>
        <v/>
      </c>
      <c r="BA23">
        <f>MAX(BA22,IF($B22=40,1,0))</f>
        <v/>
      </c>
      <c r="BB23">
        <f>MAX(BB22,IF($B22=41,1,0))</f>
        <v/>
      </c>
      <c r="BC23">
        <f>MAX(BC22,IF($B22=42,1,0))</f>
        <v/>
      </c>
      <c r="BD23">
        <f>MAX(BD22,IF($B22=43,1,0))</f>
        <v/>
      </c>
      <c r="BE23">
        <f>MAX(BE22,IF($B22=44,1,0))</f>
        <v/>
      </c>
      <c r="BF23">
        <f>MAX(BF22,IF($B22=45,1,0))</f>
        <v/>
      </c>
      <c r="BH23">
        <f>IF(N23=1,1000000,IF('計算A'!$IT$10&gt;0,0,500000)+IF('計算A'!$IQ$10=2,SUMPRODUCT('計算A'!$D$60:$EQ$60,$DB23:$IO23,$IQ23:$OD23),SUMPRODUCT('計算A'!$D$60:$EQ$60,$DB23:$IO23))*1000+1)</f>
        <v/>
      </c>
      <c r="BI23">
        <f>IF(O23=1,1000000,IF('計算A'!$IT$11&gt;0,0,500000)+IF('計算A'!$IQ$11=2,SUMPRODUCT('計算A'!$D$61:$EQ$61,$DB23:$IO23,$IQ23:$OD23),SUMPRODUCT('計算A'!$D$61:$EQ$61,$DB23:$IO23))*1000+2)</f>
        <v/>
      </c>
      <c r="BJ23">
        <f>IF(P23=1,1000000,IF('計算A'!$IT$12&gt;0,0,500000)+IF('計算A'!$IQ$12=2,SUMPRODUCT('計算A'!$D$62:$EQ$62,$DB23:$IO23,$IQ23:$OD23),SUMPRODUCT('計算A'!$D$62:$EQ$62,$DB23:$IO23))*1000+3)</f>
        <v/>
      </c>
      <c r="BK23">
        <f>IF(Q23=1,1000000,IF('計算A'!$IT$13&gt;0,0,500000)+IF('計算A'!$IQ$13=2,SUMPRODUCT('計算A'!$D$63:$EQ$63,$DB23:$IO23,$IQ23:$OD23),SUMPRODUCT('計算A'!$D$63:$EQ$63,$DB23:$IO23))*1000+4)</f>
        <v/>
      </c>
      <c r="BL23">
        <f>IF(R23=1,1000000,IF('計算A'!$IT$14&gt;0,0,500000)+IF('計算A'!$IQ$14=2,SUMPRODUCT('計算A'!$D$64:$EQ$64,$DB23:$IO23,$IQ23:$OD23),SUMPRODUCT('計算A'!$D$64:$EQ$64,$DB23:$IO23))*1000+5)</f>
        <v/>
      </c>
      <c r="BM23">
        <f>IF(S23=1,1000000,IF('計算A'!$IT$15&gt;0,0,500000)+IF('計算A'!$IQ$15=2,SUMPRODUCT('計算A'!$D$65:$EQ$65,$DB23:$IO23,$IQ23:$OD23),SUMPRODUCT('計算A'!$D$65:$EQ$65,$DB23:$IO23))*1000+6)</f>
        <v/>
      </c>
      <c r="BN23">
        <f>IF(T23=1,1000000,IF('計算A'!$IT$16&gt;0,0,500000)+IF('計算A'!$IQ$16=2,SUMPRODUCT('計算A'!$D$66:$EQ$66,$DB23:$IO23,$IQ23:$OD23),SUMPRODUCT('計算A'!$D$66:$EQ$66,$DB23:$IO23))*1000+7)</f>
        <v/>
      </c>
      <c r="BO23">
        <f>IF(U23=1,1000000,IF('計算A'!$IT$17&gt;0,0,500000)+IF('計算A'!$IQ$17=2,SUMPRODUCT('計算A'!$D$67:$EQ$67,$DB23:$IO23,$IQ23:$OD23),SUMPRODUCT('計算A'!$D$67:$EQ$67,$DB23:$IO23))*1000+8)</f>
        <v/>
      </c>
      <c r="BP23">
        <f>IF(V23=1,1000000,IF('計算A'!$IT$18&gt;0,0,500000)+IF('計算A'!$IQ$18=2,SUMPRODUCT('計算A'!$D$68:$EQ$68,$DB23:$IO23,$IQ23:$OD23),SUMPRODUCT('計算A'!$D$68:$EQ$68,$DB23:$IO23))*1000+9)</f>
        <v/>
      </c>
      <c r="BQ23">
        <f>IF(W23=1,1000000,IF('計算A'!$IT$19&gt;0,0,500000)+IF('計算A'!$IQ$19=2,SUMPRODUCT('計算A'!$D$69:$EQ$69,$DB23:$IO23,$IQ23:$OD23),SUMPRODUCT('計算A'!$D$69:$EQ$69,$DB23:$IO23))*1000+10)</f>
        <v/>
      </c>
      <c r="BR23">
        <f>IF(X23=1,1000000,IF('計算A'!$IT$20&gt;0,0,500000)+IF('計算A'!$IQ$20=2,SUMPRODUCT('計算A'!$D$70:$EQ$70,$DB23:$IO23,$IQ23:$OD23),SUMPRODUCT('計算A'!$D$70:$EQ$70,$DB23:$IO23))*1000+11)</f>
        <v/>
      </c>
      <c r="BS23">
        <f>IF(Y23=1,1000000,IF('計算A'!$IT$21&gt;0,0,500000)+IF('計算A'!$IQ$21=2,SUMPRODUCT('計算A'!$D$71:$EQ$71,$DB23:$IO23,$IQ23:$OD23),SUMPRODUCT('計算A'!$D$71:$EQ$71,$DB23:$IO23))*1000+12)</f>
        <v/>
      </c>
      <c r="BT23">
        <f>IF(Z23=1,1000000,IF('計算A'!$IT$22&gt;0,0,500000)+IF('計算A'!$IQ$22=2,SUMPRODUCT('計算A'!$D$72:$EQ$72,$DB23:$IO23,$IQ23:$OD23),SUMPRODUCT('計算A'!$D$72:$EQ$72,$DB23:$IO23))*1000+13)</f>
        <v/>
      </c>
      <c r="BU23">
        <f>IF(AA23=1,1000000,IF('計算A'!$IT$23&gt;0,0,500000)+IF('計算A'!$IQ$23=2,SUMPRODUCT('計算A'!$D$73:$EQ$73,$DB23:$IO23,$IQ23:$OD23),SUMPRODUCT('計算A'!$D$73:$EQ$73,$DB23:$IO23))*1000+14)</f>
        <v/>
      </c>
      <c r="BV23">
        <f>IF(AB23=1,1000000,IF('計算A'!$IT$24&gt;0,0,500000)+IF('計算A'!$IQ$24=2,SUMPRODUCT('計算A'!$D$74:$EQ$74,$DB23:$IO23,$IQ23:$OD23),SUMPRODUCT('計算A'!$D$74:$EQ$74,$DB23:$IO23))*1000+15)</f>
        <v/>
      </c>
      <c r="BW23">
        <f>IF(AC23=1,1000000,IF('計算A'!$IT$25&gt;0,0,500000)+IF('計算A'!$IQ$25=2,SUMPRODUCT('計算A'!$D$75:$EQ$75,$DB23:$IO23,$IQ23:$OD23),SUMPRODUCT('計算A'!$D$75:$EQ$75,$DB23:$IO23))*1000+16)</f>
        <v/>
      </c>
      <c r="BX23">
        <f>IF(AD23=1,1000000,IF('計算A'!$IT$26&gt;0,0,500000)+IF('計算A'!$IQ$26=2,SUMPRODUCT('計算A'!$D$76:$EQ$76,$DB23:$IO23,$IQ23:$OD23),SUMPRODUCT('計算A'!$D$76:$EQ$76,$DB23:$IO23))*1000+17)</f>
        <v/>
      </c>
      <c r="BY23">
        <f>IF(AE23=1,1000000,IF('計算A'!$IT$27&gt;0,0,500000)+IF('計算A'!$IQ$27=2,SUMPRODUCT('計算A'!$D$77:$EQ$77,$DB23:$IO23,$IQ23:$OD23),SUMPRODUCT('計算A'!$D$77:$EQ$77,$DB23:$IO23))*1000+18)</f>
        <v/>
      </c>
      <c r="BZ23">
        <f>IF(AF23=1,1000000,IF('計算A'!$IT$28&gt;0,0,500000)+IF('計算A'!$IQ$28=2,SUMPRODUCT('計算A'!$D$78:$EQ$78,$DB23:$IO23,$IQ23:$OD23),SUMPRODUCT('計算A'!$D$78:$EQ$78,$DB23:$IO23))*1000+19)</f>
        <v/>
      </c>
      <c r="CA23">
        <f>IF(AG23=1,1000000,IF('計算A'!$IT$29&gt;0,0,500000)+IF('計算A'!$IQ$29=2,SUMPRODUCT('計算A'!$D$79:$EQ$79,$DB23:$IO23,$IQ23:$OD23),SUMPRODUCT('計算A'!$D$79:$EQ$79,$DB23:$IO23))*1000+20)</f>
        <v/>
      </c>
      <c r="CB23">
        <f>IF(AH23=1,1000000,IF('計算A'!$IT$30&gt;0,0,500000)+IF('計算A'!$IQ$30=2,SUMPRODUCT('計算A'!$D$80:$EQ$80,$DB23:$IO23,$IQ23:$OD23),SUMPRODUCT('計算A'!$D$80:$EQ$80,$DB23:$IO23))*1000+21)</f>
        <v/>
      </c>
      <c r="CC23">
        <f>IF(AI23=1,1000000,IF('計算A'!$IT$31&gt;0,0,500000)+IF('計算A'!$IQ$31=2,SUMPRODUCT('計算A'!$D$81:$EQ$81,$DB23:$IO23,$IQ23:$OD23),SUMPRODUCT('計算A'!$D$81:$EQ$81,$DB23:$IO23))*1000+22)</f>
        <v/>
      </c>
      <c r="CD23">
        <f>IF(AJ23=1,1000000,IF('計算A'!$IT$32&gt;0,0,500000)+IF('計算A'!$IQ$32=2,SUMPRODUCT('計算A'!$D$82:$EQ$82,$DB23:$IO23,$IQ23:$OD23),SUMPRODUCT('計算A'!$D$82:$EQ$82,$DB23:$IO23))*1000+23)</f>
        <v/>
      </c>
      <c r="CE23">
        <f>IF(AK23=1,1000000,IF('計算A'!$IT$33&gt;0,0,500000)+IF('計算A'!$IQ$33=2,SUMPRODUCT('計算A'!$D$83:$EQ$83,$DB23:$IO23,$IQ23:$OD23),SUMPRODUCT('計算A'!$D$83:$EQ$83,$DB23:$IO23))*1000+24)</f>
        <v/>
      </c>
      <c r="CF23">
        <f>IF(AL23=1,1000000,IF('計算A'!$IT$34&gt;0,0,500000)+IF('計算A'!$IQ$34=2,SUMPRODUCT('計算A'!$D$84:$EQ$84,$DB23:$IO23,$IQ23:$OD23),SUMPRODUCT('計算A'!$D$84:$EQ$84,$DB23:$IO23))*1000+25)</f>
        <v/>
      </c>
      <c r="CG23">
        <f>IF(AM23=1,1000000,IF('計算A'!$IT$35&gt;0,0,500000)+IF('計算A'!$IQ$35=2,SUMPRODUCT('計算A'!$D$85:$EQ$85,$DB23:$IO23,$IQ23:$OD23),SUMPRODUCT('計算A'!$D$85:$EQ$85,$DB23:$IO23))*1000+26)</f>
        <v/>
      </c>
      <c r="CH23">
        <f>IF(AN23=1,1000000,IF('計算A'!$IT$36&gt;0,0,500000)+IF('計算A'!$IQ$36=2,SUMPRODUCT('計算A'!$D$86:$EQ$86,$DB23:$IO23,$IQ23:$OD23),SUMPRODUCT('計算A'!$D$86:$EQ$86,$DB23:$IO23))*1000+27)</f>
        <v/>
      </c>
      <c r="CI23">
        <f>IF(AO23=1,1000000,IF('計算A'!$IT$37&gt;0,0,500000)+IF('計算A'!$IQ$37=2,SUMPRODUCT('計算A'!$D$87:$EQ$87,$DB23:$IO23,$IQ23:$OD23),SUMPRODUCT('計算A'!$D$87:$EQ$87,$DB23:$IO23))*1000+28)</f>
        <v/>
      </c>
      <c r="CJ23">
        <f>IF(AP23=1,1000000,IF('計算A'!$IT$38&gt;0,0,500000)+IF('計算A'!$IQ$38=2,SUMPRODUCT('計算A'!$D$88:$EQ$88,$DB23:$IO23,$IQ23:$OD23),SUMPRODUCT('計算A'!$D$88:$EQ$88,$DB23:$IO23))*1000+29)</f>
        <v/>
      </c>
      <c r="CK23">
        <f>IF(AQ23=1,1000000,IF('計算A'!$IT$39&gt;0,0,500000)+IF('計算A'!$IQ$39=2,SUMPRODUCT('計算A'!$D$89:$EQ$89,$DB23:$IO23,$IQ23:$OD23),SUMPRODUCT('計算A'!$D$89:$EQ$89,$DB23:$IO23))*1000+30)</f>
        <v/>
      </c>
      <c r="CL23">
        <f>IF(AR23=1,1000000,IF('計算A'!$IT$40&gt;0,0,500000)+IF('計算A'!$IQ$40=2,SUMPRODUCT('計算A'!$D$90:$EQ$90,$DB23:$IO23,$IQ23:$OD23),SUMPRODUCT('計算A'!$D$90:$EQ$90,$DB23:$IO23))*1000+31)</f>
        <v/>
      </c>
      <c r="CM23">
        <f>IF(AS23=1,1000000,IF('計算A'!$IT$41&gt;0,0,500000)+IF('計算A'!$IQ$41=2,SUMPRODUCT('計算A'!$D$91:$EQ$91,$DB23:$IO23,$IQ23:$OD23),SUMPRODUCT('計算A'!$D$91:$EQ$91,$DB23:$IO23))*1000+32)</f>
        <v/>
      </c>
      <c r="CN23">
        <f>IF(AT23=1,1000000,IF('計算A'!$IT$42&gt;0,0,500000)+IF('計算A'!$IQ$42=2,SUMPRODUCT('計算A'!$D$92:$EQ$92,$DB23:$IO23,$IQ23:$OD23),SUMPRODUCT('計算A'!$D$92:$EQ$92,$DB23:$IO23))*1000+33)</f>
        <v/>
      </c>
      <c r="CO23">
        <f>IF(AU23=1,1000000,IF('計算A'!$IT$43&gt;0,0,500000)+IF('計算A'!$IQ$43=2,SUMPRODUCT('計算A'!$D$93:$EQ$93,$DB23:$IO23,$IQ23:$OD23),SUMPRODUCT('計算A'!$D$93:$EQ$93,$DB23:$IO23))*1000+34)</f>
        <v/>
      </c>
      <c r="CP23">
        <f>IF(AV23=1,1000000,IF('計算A'!$IT$44&gt;0,0,500000)+IF('計算A'!$IQ$44=2,SUMPRODUCT('計算A'!$D$94:$EQ$94,$DB23:$IO23,$IQ23:$OD23),SUMPRODUCT('計算A'!$D$94:$EQ$94,$DB23:$IO23))*1000+35)</f>
        <v/>
      </c>
      <c r="CQ23">
        <f>IF(AW23=1,1000000,IF('計算A'!$IT$45&gt;0,0,500000)+IF('計算A'!$IQ$45=2,SUMPRODUCT('計算A'!$D$95:$EQ$95,$DB23:$IO23,$IQ23:$OD23),SUMPRODUCT('計算A'!$D$95:$EQ$95,$DB23:$IO23))*1000+36)</f>
        <v/>
      </c>
      <c r="CR23">
        <f>IF(AX23=1,1000000,IF('計算A'!$IT$46&gt;0,0,500000)+IF('計算A'!$IQ$46=2,SUMPRODUCT('計算A'!$D$96:$EQ$96,$DB23:$IO23,$IQ23:$OD23),SUMPRODUCT('計算A'!$D$96:$EQ$96,$DB23:$IO23))*1000+37)</f>
        <v/>
      </c>
      <c r="CS23">
        <f>IF(AY23=1,1000000,IF('計算A'!$IT$47&gt;0,0,500000)+IF('計算A'!$IQ$47=2,SUMPRODUCT('計算A'!$D$97:$EQ$97,$DB23:$IO23,$IQ23:$OD23),SUMPRODUCT('計算A'!$D$97:$EQ$97,$DB23:$IO23))*1000+38)</f>
        <v/>
      </c>
      <c r="CT23">
        <f>IF(AZ23=1,1000000,IF('計算A'!$IT$48&gt;0,0,500000)+IF('計算A'!$IQ$48=2,SUMPRODUCT('計算A'!$D$98:$EQ$98,$DB23:$IO23,$IQ23:$OD23),SUMPRODUCT('計算A'!$D$98:$EQ$98,$DB23:$IO23))*1000+39)</f>
        <v/>
      </c>
      <c r="CU23">
        <f>IF(BA23=1,1000000,IF('計算A'!$IT$49&gt;0,0,500000)+IF('計算A'!$IQ$49=2,SUMPRODUCT('計算A'!$D$99:$EQ$99,$DB23:$IO23,$IQ23:$OD23),SUMPRODUCT('計算A'!$D$99:$EQ$99,$DB23:$IO23))*1000+40)</f>
        <v/>
      </c>
      <c r="CV23">
        <f>IF(BB23=1,1000000,IF('計算A'!$IT$50&gt;0,0,500000)+IF('計算A'!$IQ$50=2,SUMPRODUCT('計算A'!$D$100:$EQ$100,$DB23:$IO23,$IQ23:$OD23),SUMPRODUCT('計算A'!$D$100:$EQ$100,$DB23:$IO23))*1000+41)</f>
        <v/>
      </c>
      <c r="CW23">
        <f>IF(BC23=1,1000000,IF('計算A'!$IT$51&gt;0,0,500000)+IF('計算A'!$IQ$51=2,SUMPRODUCT('計算A'!$D$101:$EQ$101,$DB23:$IO23,$IQ23:$OD23),SUMPRODUCT('計算A'!$D$101:$EQ$101,$DB23:$IO23))*1000+42)</f>
        <v/>
      </c>
      <c r="CX23">
        <f>IF(BD23=1,1000000,IF('計算A'!$IT$52&gt;0,0,500000)+IF('計算A'!$IQ$52=2,SUMPRODUCT('計算A'!$D$102:$EQ$102,$DB23:$IO23,$IQ23:$OD23),SUMPRODUCT('計算A'!$D$102:$EQ$102,$DB23:$IO23))*1000+43)</f>
        <v/>
      </c>
      <c r="CY23">
        <f>IF(BE23=1,1000000,IF('計算A'!$IT$53&gt;0,0,500000)+IF('計算A'!$IQ$53=2,SUMPRODUCT('計算A'!$D$103:$EQ$103,$DB23:$IO23,$IQ23:$OD23),SUMPRODUCT('計算A'!$D$103:$EQ$103,$DB23:$IO23))*1000+44)</f>
        <v/>
      </c>
      <c r="CZ23">
        <f>IF(BF23=1,1000000,IF('計算A'!$IT$54&gt;0,0,500000)+IF('計算A'!$IQ$54=2,SUMPRODUCT('計算A'!$D$104:$EQ$104,$DB23:$IO23,$IQ23:$OD23),SUMPRODUCT('計算A'!$D$104:$EQ$104,$DB23:$IO23))*1000+45)</f>
        <v/>
      </c>
      <c r="DB23">
        <f>DB22*IF(OR($C22=1,$G22=1),0,1)</f>
        <v/>
      </c>
      <c r="DC23">
        <f>DC22*IF(OR($C22=2,$G22=2),0,1)</f>
        <v/>
      </c>
      <c r="DD23">
        <f>DD22*IF(OR($C22=3,$G22=3),0,1)</f>
        <v/>
      </c>
      <c r="DE23">
        <f>DE22*IF(OR($C22=4,$G22=4),0,1)</f>
        <v/>
      </c>
      <c r="DF23">
        <f>DF22*IF(OR($C22=5,$G22=5),0,1)</f>
        <v/>
      </c>
      <c r="DG23">
        <f>DG22*IF(OR($C22=6,$G22=6),0,1)</f>
        <v/>
      </c>
      <c r="DH23">
        <f>DH22*IF(OR($C22=7,$G22=7),0,1)</f>
        <v/>
      </c>
      <c r="DI23">
        <f>DI22*IF(OR($C22=8,$G22=8),0,1)</f>
        <v/>
      </c>
      <c r="DJ23">
        <f>DJ22*IF(OR($C22=9,$G22=9),0,1)</f>
        <v/>
      </c>
      <c r="DK23">
        <f>DK22*IF(OR($C22=10,$G22=10),0,1)</f>
        <v/>
      </c>
      <c r="DL23">
        <f>DL22*IF(OR($C22=11,$G22=11),0,1)</f>
        <v/>
      </c>
      <c r="DM23">
        <f>DM22*IF(OR($C22=12,$G22=12),0,1)</f>
        <v/>
      </c>
      <c r="DN23">
        <f>DN22*IF(OR($C22=13,$G22=13),0,1)</f>
        <v/>
      </c>
      <c r="DO23">
        <f>DO22*IF(OR($C22=14,$G22=14),0,1)</f>
        <v/>
      </c>
      <c r="DP23">
        <f>DP22*IF(OR($C22=15,$G22=15),0,1)</f>
        <v/>
      </c>
      <c r="DQ23">
        <f>DQ22*IF(OR($C22=16,$G22=16),0,1)</f>
        <v/>
      </c>
      <c r="DR23">
        <f>DR22*IF(OR($C22=17,$G22=17),0,1)</f>
        <v/>
      </c>
      <c r="DS23">
        <f>DS22*IF(OR($C22=18,$G22=18),0,1)</f>
        <v/>
      </c>
      <c r="DT23">
        <f>DT22*IF(OR($C22=19,$G22=19),0,1)</f>
        <v/>
      </c>
      <c r="DU23">
        <f>DU22*IF(OR($C22=20,$G22=20),0,1)</f>
        <v/>
      </c>
      <c r="DV23">
        <f>DV22*IF(OR($C22=21,$G22=21),0,1)</f>
        <v/>
      </c>
      <c r="DW23">
        <f>DW22*IF(OR($C22=22,$G22=22),0,1)</f>
        <v/>
      </c>
      <c r="DX23">
        <f>DX22*IF(OR($C22=23,$G22=23),0,1)</f>
        <v/>
      </c>
      <c r="DY23">
        <f>DY22*IF(OR($C22=24,$G22=24),0,1)</f>
        <v/>
      </c>
      <c r="DZ23">
        <f>DZ22*IF(OR($C22=25,$G22=25),0,1)</f>
        <v/>
      </c>
      <c r="EA23">
        <f>EA22*IF(OR($C22=26,$G22=26),0,1)</f>
        <v/>
      </c>
      <c r="EB23">
        <f>EB22*IF(OR($C22=27,$G22=27),0,1)</f>
        <v/>
      </c>
      <c r="EC23">
        <f>EC22*IF(OR($C22=28,$G22=28),0,1)</f>
        <v/>
      </c>
      <c r="ED23">
        <f>ED22*IF(OR($C22=29,$G22=29),0,1)</f>
        <v/>
      </c>
      <c r="EE23">
        <f>EE22*IF(OR($C22=30,$G22=30),0,1)</f>
        <v/>
      </c>
      <c r="EF23">
        <f>EF22*IF(OR($C22=31,$G22=31),0,1)</f>
        <v/>
      </c>
      <c r="EG23">
        <f>EG22*IF(OR($C22=32,$G22=32),0,1)</f>
        <v/>
      </c>
      <c r="EH23">
        <f>EH22*IF(OR($C22=33,$G22=33),0,1)</f>
        <v/>
      </c>
      <c r="EI23">
        <f>EI22*IF(OR($C22=34,$G22=34),0,1)</f>
        <v/>
      </c>
      <c r="EJ23">
        <f>EJ22*IF(OR($C22=35,$G22=35),0,1)</f>
        <v/>
      </c>
      <c r="EK23">
        <f>EK22*IF(OR($C22=36,$G22=36),0,1)</f>
        <v/>
      </c>
      <c r="EL23">
        <f>EL22*IF(OR($C22=37,$G22=37),0,1)</f>
        <v/>
      </c>
      <c r="EM23">
        <f>EM22*IF(OR($C22=38,$G22=38),0,1)</f>
        <v/>
      </c>
      <c r="EN23">
        <f>EN22*IF(OR($C22=39,$G22=39),0,1)</f>
        <v/>
      </c>
      <c r="EO23">
        <f>EO22*IF(OR($C22=40,$G22=40),0,1)</f>
        <v/>
      </c>
      <c r="EP23">
        <f>EP22*IF(OR($C22=41,$G22=41),0,1)</f>
        <v/>
      </c>
      <c r="EQ23">
        <f>EQ22*IF(OR($C22=42,$G22=42),0,1)</f>
        <v/>
      </c>
      <c r="ER23">
        <f>ER22*IF(OR($C22=43,$G22=43),0,1)</f>
        <v/>
      </c>
      <c r="ES23">
        <f>ES22*IF(OR($C22=44,$G22=44),0,1)</f>
        <v/>
      </c>
      <c r="ET23">
        <f>ET22*IF(OR($C22=45,$G22=45),0,1)</f>
        <v/>
      </c>
      <c r="EU23">
        <f>EU22*IF(OR($C22=46,$G22=46),0,1)</f>
        <v/>
      </c>
      <c r="EV23">
        <f>EV22*IF(OR($C22=47,$G22=47),0,1)</f>
        <v/>
      </c>
      <c r="EW23">
        <f>EW22*IF(OR($C22=48,$G22=48),0,1)</f>
        <v/>
      </c>
      <c r="EX23">
        <f>EX22*IF(OR($C22=49,$G22=49),0,1)</f>
        <v/>
      </c>
      <c r="EY23">
        <f>EY22*IF(OR($C22=50,$G22=50),0,1)</f>
        <v/>
      </c>
      <c r="EZ23">
        <f>EZ22*IF(OR($C22=51,$G22=51),0,1)</f>
        <v/>
      </c>
      <c r="FA23">
        <f>FA22*IF(OR($C22=52,$G22=52),0,1)</f>
        <v/>
      </c>
      <c r="FB23">
        <f>FB22*IF(OR($C22=53,$G22=53),0,1)</f>
        <v/>
      </c>
      <c r="FC23">
        <f>FC22*IF(OR($C22=54,$G22=54),0,1)</f>
        <v/>
      </c>
      <c r="FD23">
        <f>FD22*IF(OR($C22=55,$G22=55),0,1)</f>
        <v/>
      </c>
      <c r="FE23">
        <f>FE22*IF(OR($C22=56,$G22=56),0,1)</f>
        <v/>
      </c>
      <c r="FF23">
        <f>FF22*IF(OR($C22=57,$G22=57),0,1)</f>
        <v/>
      </c>
      <c r="FG23">
        <f>FG22*IF(OR($C22=58,$G22=58),0,1)</f>
        <v/>
      </c>
      <c r="FH23">
        <f>FH22*IF(OR($C22=59,$G22=59),0,1)</f>
        <v/>
      </c>
      <c r="FI23">
        <f>FI22*IF(OR($C22=60,$G22=60),0,1)</f>
        <v/>
      </c>
      <c r="FJ23">
        <f>FJ22*IF(OR($C22=61,$G22=61),0,1)</f>
        <v/>
      </c>
      <c r="FK23">
        <f>FK22*IF(OR($C22=62,$G22=62),0,1)</f>
        <v/>
      </c>
      <c r="FL23">
        <f>FL22*IF(OR($C22=63,$G22=63),0,1)</f>
        <v/>
      </c>
      <c r="FM23">
        <f>FM22*IF(OR($C22=64,$G22=64),0,1)</f>
        <v/>
      </c>
      <c r="FN23">
        <f>FN22*IF(OR($C22=65,$G22=65),0,1)</f>
        <v/>
      </c>
      <c r="FO23">
        <f>FO22*IF(OR($C22=66,$G22=66),0,1)</f>
        <v/>
      </c>
      <c r="FP23">
        <f>FP22*IF(OR($C22=67,$G22=67),0,1)</f>
        <v/>
      </c>
      <c r="FQ23">
        <f>FQ22*IF(OR($C22=68,$G22=68),0,1)</f>
        <v/>
      </c>
      <c r="FR23">
        <f>FR22*IF(OR($C22=69,$G22=69),0,1)</f>
        <v/>
      </c>
      <c r="FS23">
        <f>FS22*IF(OR($C22=70,$G22=70),0,1)</f>
        <v/>
      </c>
      <c r="FT23">
        <f>FT22*IF(OR($C22=71,$G22=71),0,1)</f>
        <v/>
      </c>
      <c r="FU23">
        <f>FU22*IF(OR($C22=72,$G22=72),0,1)</f>
        <v/>
      </c>
      <c r="FV23">
        <f>FV22*IF(OR($C22=73,$G22=73),0,1)</f>
        <v/>
      </c>
      <c r="FW23">
        <f>FW22*IF(OR($C22=74,$G22=74),0,1)</f>
        <v/>
      </c>
      <c r="FX23">
        <f>FX22*IF(OR($C22=75,$G22=75),0,1)</f>
        <v/>
      </c>
      <c r="FY23">
        <f>FY22*IF(OR($C22=76,$G22=76),0,1)</f>
        <v/>
      </c>
      <c r="FZ23">
        <f>FZ22*IF(OR($C22=77,$G22=77),0,1)</f>
        <v/>
      </c>
      <c r="GA23">
        <f>GA22*IF(OR($C22=78,$G22=78),0,1)</f>
        <v/>
      </c>
      <c r="GB23">
        <f>GB22*IF(OR($C22=79,$G22=79),0,1)</f>
        <v/>
      </c>
      <c r="GC23">
        <f>GC22*IF(OR($C22=80,$G22=80),0,1)</f>
        <v/>
      </c>
      <c r="GD23">
        <f>GD22*IF(OR($C22=81,$G22=81),0,1)</f>
        <v/>
      </c>
      <c r="GE23">
        <f>GE22*IF(OR($C22=82,$G22=82),0,1)</f>
        <v/>
      </c>
      <c r="GF23">
        <f>GF22*IF(OR($C22=83,$G22=83),0,1)</f>
        <v/>
      </c>
      <c r="GG23">
        <f>GG22*IF(OR($C22=84,$G22=84),0,1)</f>
        <v/>
      </c>
      <c r="GH23">
        <f>GH22*IF(OR($C22=85,$G22=85),0,1)</f>
        <v/>
      </c>
      <c r="GI23">
        <f>GI22*IF(OR($C22=86,$G22=86),0,1)</f>
        <v/>
      </c>
      <c r="GJ23">
        <f>GJ22*IF(OR($C22=87,$G22=87),0,1)</f>
        <v/>
      </c>
      <c r="GK23">
        <f>GK22*IF(OR($C22=88,$G22=88),0,1)</f>
        <v/>
      </c>
      <c r="GL23">
        <f>GL22*IF(OR($C22=89,$G22=89),0,1)</f>
        <v/>
      </c>
      <c r="GM23">
        <f>GM22*IF(OR($C22=90,$G22=90),0,1)</f>
        <v/>
      </c>
      <c r="GN23">
        <f>GN22*IF(OR($C22=91,$G22=91),0,1)</f>
        <v/>
      </c>
      <c r="GO23">
        <f>GO22*IF(OR($C22=92,$G22=92),0,1)</f>
        <v/>
      </c>
      <c r="GP23">
        <f>GP22*IF(OR($C22=93,$G22=93),0,1)</f>
        <v/>
      </c>
      <c r="GQ23">
        <f>GQ22*IF(OR($C22=94,$G22=94),0,1)</f>
        <v/>
      </c>
      <c r="GR23">
        <f>GR22*IF(OR($C22=95,$G22=95),0,1)</f>
        <v/>
      </c>
      <c r="GS23">
        <f>GS22*IF(OR($C22=96,$G22=96),0,1)</f>
        <v/>
      </c>
      <c r="GT23">
        <f>GT22*IF(OR($C22=97,$G22=97),0,1)</f>
        <v/>
      </c>
      <c r="GU23">
        <f>GU22*IF(OR($C22=98,$G22=98),0,1)</f>
        <v/>
      </c>
      <c r="GV23">
        <f>GV22*IF(OR($C22=99,$G22=99),0,1)</f>
        <v/>
      </c>
      <c r="GW23">
        <f>GW22*IF(OR($C22=100,$G22=100),0,1)</f>
        <v/>
      </c>
      <c r="GX23">
        <f>GX22*IF(OR($C22=101,$G22=101),0,1)</f>
        <v/>
      </c>
      <c r="GY23">
        <f>GY22*IF(OR($C22=102,$G22=102),0,1)</f>
        <v/>
      </c>
      <c r="GZ23">
        <f>GZ22*IF(OR($C22=103,$G22=103),0,1)</f>
        <v/>
      </c>
      <c r="HA23">
        <f>HA22*IF(OR($C22=104,$G22=104),0,1)</f>
        <v/>
      </c>
      <c r="HB23">
        <f>HB22*IF(OR($C22=105,$G22=105),0,1)</f>
        <v/>
      </c>
      <c r="HC23">
        <f>HC22*IF(OR($C22=106,$G22=106),0,1)</f>
        <v/>
      </c>
      <c r="HD23">
        <f>HD22*IF(OR($C22=107,$G22=107),0,1)</f>
        <v/>
      </c>
      <c r="HE23">
        <f>HE22*IF(OR($C22=108,$G22=108),0,1)</f>
        <v/>
      </c>
      <c r="HF23">
        <f>HF22*IF(OR($C22=109,$G22=109),0,1)</f>
        <v/>
      </c>
      <c r="HG23">
        <f>HG22*IF(OR($C22=110,$G22=110),0,1)</f>
        <v/>
      </c>
      <c r="HH23">
        <f>HH22*IF(OR($C22=111,$G22=111),0,1)</f>
        <v/>
      </c>
      <c r="HI23">
        <f>HI22*IF(OR($C22=112,$G22=112),0,1)</f>
        <v/>
      </c>
      <c r="HJ23">
        <f>HJ22*IF(OR($C22=113,$G22=113),0,1)</f>
        <v/>
      </c>
      <c r="HK23">
        <f>HK22*IF(OR($C22=114,$G22=114),0,1)</f>
        <v/>
      </c>
      <c r="HL23">
        <f>HL22*IF(OR($C22=115,$G22=115),0,1)</f>
        <v/>
      </c>
      <c r="HM23">
        <f>HM22*IF(OR($C22=116,$G22=116),0,1)</f>
        <v/>
      </c>
      <c r="HN23">
        <f>HN22*IF(OR($C22=117,$G22=117),0,1)</f>
        <v/>
      </c>
      <c r="HO23">
        <f>HO22*IF(OR($C22=118,$G22=118),0,1)</f>
        <v/>
      </c>
      <c r="HP23">
        <f>HP22*IF(OR($C22=119,$G22=119),0,1)</f>
        <v/>
      </c>
      <c r="HQ23">
        <f>HQ22*IF(OR($C22=120,$G22=120),0,1)</f>
        <v/>
      </c>
      <c r="HR23">
        <f>HR22*IF(OR($C22=121,$G22=121),0,1)</f>
        <v/>
      </c>
      <c r="HS23">
        <f>HS22*IF(OR($C22=122,$G22=122),0,1)</f>
        <v/>
      </c>
      <c r="HT23">
        <f>HT22*IF(OR($C22=123,$G22=123),0,1)</f>
        <v/>
      </c>
      <c r="HU23">
        <f>HU22*IF(OR($C22=124,$G22=124),0,1)</f>
        <v/>
      </c>
      <c r="HV23">
        <f>HV22*IF(OR($C22=125,$G22=125),0,1)</f>
        <v/>
      </c>
      <c r="HW23">
        <f>HW22*IF(OR($C22=126,$G22=126),0,1)</f>
        <v/>
      </c>
      <c r="HX23">
        <f>HX22*IF(OR($C22=127,$G22=127),0,1)</f>
        <v/>
      </c>
      <c r="HY23">
        <f>HY22*IF(OR($C22=128,$G22=128),0,1)</f>
        <v/>
      </c>
      <c r="HZ23">
        <f>HZ22*IF(OR($C22=129,$G22=129),0,1)</f>
        <v/>
      </c>
      <c r="IA23">
        <f>IA22*IF(OR($C22=130,$G22=130),0,1)</f>
        <v/>
      </c>
      <c r="IB23">
        <f>IB22*IF(OR($C22=131,$G22=131),0,1)</f>
        <v/>
      </c>
      <c r="IC23">
        <f>IC22*IF(OR($C22=132,$G22=132),0,1)</f>
        <v/>
      </c>
      <c r="ID23">
        <f>ID22*IF(OR($C22=133,$G22=133),0,1)</f>
        <v/>
      </c>
      <c r="IE23">
        <f>IE22*IF(OR($C22=134,$G22=134),0,1)</f>
        <v/>
      </c>
      <c r="IF23">
        <f>IF22*IF(OR($C22=135,$G22=135),0,1)</f>
        <v/>
      </c>
      <c r="IG23">
        <f>IG22*IF(OR($C22=136,$G22=136),0,1)</f>
        <v/>
      </c>
      <c r="IH23">
        <f>IH22*IF(OR($C22=137,$G22=137),0,1)</f>
        <v/>
      </c>
      <c r="II23">
        <f>II22*IF(OR($C22=138,$G22=138),0,1)</f>
        <v/>
      </c>
      <c r="IJ23">
        <f>IJ22*IF(OR($C22=139,$G22=139),0,1)</f>
        <v/>
      </c>
      <c r="IK23">
        <f>IK22*IF(OR($C22=140,$G22=140),0,1)</f>
        <v/>
      </c>
      <c r="IL23">
        <f>IL22*IF(OR($C22=141,$G22=141),0,1)</f>
        <v/>
      </c>
      <c r="IM23">
        <f>IM22*IF(OR($C22=142,$G22=142),0,1)</f>
        <v/>
      </c>
      <c r="IN23">
        <f>IN22*IF(OR($C22=143,$G22=143),0,1)</f>
        <v/>
      </c>
      <c r="IO23">
        <f>IO22*IF(OR($C22=144,$G22=144),0,1)</f>
        <v/>
      </c>
      <c r="IQ23">
        <f>IF('計算A'!D$106=1,DC23,1)</f>
        <v/>
      </c>
      <c r="IR23">
        <f>IF('計算A'!E$106=1,DD23,1)</f>
        <v/>
      </c>
      <c r="IS23">
        <f>IF('計算A'!F$106=1,DE23,1)</f>
        <v/>
      </c>
      <c r="IT23">
        <f>IF('計算A'!G$106=1,DF23,1)</f>
        <v/>
      </c>
      <c r="IU23">
        <f>IF('計算A'!H$106=1,DG23,1)</f>
        <v/>
      </c>
      <c r="IV23">
        <f>IF('計算A'!I$106=1,DH23,1)</f>
        <v/>
      </c>
      <c r="IW23">
        <f>IF('計算A'!J$106=1,DI23,1)</f>
        <v/>
      </c>
      <c r="IX23">
        <f>IF('計算A'!K$106=1,DJ23,1)</f>
        <v/>
      </c>
      <c r="IY23">
        <f>IF('計算A'!L$106=1,DK23,1)</f>
        <v/>
      </c>
      <c r="IZ23">
        <f>IF('計算A'!M$106=1,DL23,1)</f>
        <v/>
      </c>
      <c r="JA23">
        <f>IF('計算A'!N$106=1,DM23,1)</f>
        <v/>
      </c>
      <c r="JB23">
        <f>IF('計算A'!O$106=1,DN23,1)</f>
        <v/>
      </c>
      <c r="JC23">
        <f>IF('計算A'!P$106=1,DO23,1)</f>
        <v/>
      </c>
      <c r="JD23">
        <f>IF('計算A'!Q$106=1,DP23,1)</f>
        <v/>
      </c>
      <c r="JE23">
        <f>IF('計算A'!R$106=1,DQ23,1)</f>
        <v/>
      </c>
      <c r="JF23">
        <f>IF('計算A'!S$106=1,DR23,1)</f>
        <v/>
      </c>
      <c r="JG23">
        <f>IF('計算A'!T$106=1,DS23,1)</f>
        <v/>
      </c>
      <c r="JH23">
        <f>IF('計算A'!U$106=1,DT23,1)</f>
        <v/>
      </c>
      <c r="JI23">
        <f>IF('計算A'!V$106=1,DU23,1)</f>
        <v/>
      </c>
      <c r="JJ23">
        <f>IF('計算A'!W$106=1,DV23,1)</f>
        <v/>
      </c>
      <c r="JK23">
        <f>IF('計算A'!X$106=1,DW23,1)</f>
        <v/>
      </c>
      <c r="JL23">
        <f>IF('計算A'!Y$106=1,DX23,1)</f>
        <v/>
      </c>
      <c r="JM23">
        <f>IF('計算A'!Z$106=1,DY23,1)</f>
        <v/>
      </c>
      <c r="JN23">
        <f>IF('計算A'!AA$106=1,DZ23,1)</f>
        <v/>
      </c>
      <c r="JO23">
        <f>IF('計算A'!AB$106=1,EA23,1)</f>
        <v/>
      </c>
      <c r="JP23">
        <f>IF('計算A'!AC$106=1,EB23,1)</f>
        <v/>
      </c>
      <c r="JQ23">
        <f>IF('計算A'!AD$106=1,EC23,1)</f>
        <v/>
      </c>
      <c r="JR23">
        <f>IF('計算A'!AE$106=1,ED23,1)</f>
        <v/>
      </c>
      <c r="JS23">
        <f>IF('計算A'!AF$106=1,EE23,1)</f>
        <v/>
      </c>
      <c r="JT23">
        <f>IF('計算A'!AG$106=1,EF23,1)</f>
        <v/>
      </c>
      <c r="JU23">
        <f>IF('計算A'!AH$106=1,EG23,1)</f>
        <v/>
      </c>
      <c r="JV23">
        <f>IF('計算A'!AI$106=1,EH23,1)</f>
        <v/>
      </c>
      <c r="JW23">
        <f>IF('計算A'!AJ$106=1,EI23,1)</f>
        <v/>
      </c>
      <c r="JX23">
        <f>IF('計算A'!AK$106=1,EJ23,1)</f>
        <v/>
      </c>
      <c r="JY23">
        <f>IF('計算A'!AL$106=1,EK23,1)</f>
        <v/>
      </c>
      <c r="JZ23">
        <f>IF('計算A'!AM$106=1,EL23,1)</f>
        <v/>
      </c>
      <c r="KA23">
        <f>IF('計算A'!AN$106=1,EM23,1)</f>
        <v/>
      </c>
      <c r="KB23">
        <f>IF('計算A'!AO$106=1,EN23,1)</f>
        <v/>
      </c>
      <c r="KC23">
        <f>IF('計算A'!AP$106=1,EO23,1)</f>
        <v/>
      </c>
      <c r="KD23">
        <f>IF('計算A'!AQ$106=1,EP23,1)</f>
        <v/>
      </c>
      <c r="KE23">
        <f>IF('計算A'!AR$106=1,EQ23,1)</f>
        <v/>
      </c>
      <c r="KF23">
        <f>IF('計算A'!AS$106=1,ER23,1)</f>
        <v/>
      </c>
      <c r="KG23">
        <f>IF('計算A'!AT$106=1,ES23,1)</f>
        <v/>
      </c>
      <c r="KH23">
        <f>IF('計算A'!AU$106=1,ET23,1)</f>
        <v/>
      </c>
      <c r="KI23">
        <f>IF('計算A'!AV$106=1,EU23,1)</f>
        <v/>
      </c>
      <c r="KJ23">
        <f>IF('計算A'!AW$106=1,EV23,1)</f>
        <v/>
      </c>
      <c r="KK23">
        <f>IF('計算A'!AX$106=1,EW23,1)</f>
        <v/>
      </c>
      <c r="KL23">
        <f>IF('計算A'!AY$106=1,EX23,1)</f>
        <v/>
      </c>
      <c r="KM23">
        <f>IF('計算A'!AZ$106=1,EY23,1)</f>
        <v/>
      </c>
      <c r="KN23">
        <f>IF('計算A'!BA$106=1,EZ23,1)</f>
        <v/>
      </c>
      <c r="KO23">
        <f>IF('計算A'!BB$106=1,FA23,1)</f>
        <v/>
      </c>
      <c r="KP23">
        <f>IF('計算A'!BC$106=1,FB23,1)</f>
        <v/>
      </c>
      <c r="KQ23">
        <f>IF('計算A'!BD$106=1,FC23,1)</f>
        <v/>
      </c>
      <c r="KR23">
        <f>IF('計算A'!BE$106=1,FD23,1)</f>
        <v/>
      </c>
      <c r="KS23">
        <f>IF('計算A'!BF$106=1,FE23,1)</f>
        <v/>
      </c>
      <c r="KT23">
        <f>IF('計算A'!BG$106=1,FF23,1)</f>
        <v/>
      </c>
      <c r="KU23">
        <f>IF('計算A'!BH$106=1,FG23,1)</f>
        <v/>
      </c>
      <c r="KV23">
        <f>IF('計算A'!BI$106=1,FH23,1)</f>
        <v/>
      </c>
      <c r="KW23">
        <f>IF('計算A'!BJ$106=1,FI23,1)</f>
        <v/>
      </c>
      <c r="KX23">
        <f>IF('計算A'!BK$106=1,FJ23,1)</f>
        <v/>
      </c>
      <c r="KY23">
        <f>IF('計算A'!BL$106=1,FK23,1)</f>
        <v/>
      </c>
      <c r="KZ23">
        <f>IF('計算A'!BM$106=1,FL23,1)</f>
        <v/>
      </c>
      <c r="LA23">
        <f>IF('計算A'!BN$106=1,FM23,1)</f>
        <v/>
      </c>
      <c r="LB23">
        <f>IF('計算A'!BO$106=1,FN23,1)</f>
        <v/>
      </c>
      <c r="LC23">
        <f>IF('計算A'!BP$106=1,FO23,1)</f>
        <v/>
      </c>
      <c r="LD23">
        <f>IF('計算A'!BQ$106=1,FP23,1)</f>
        <v/>
      </c>
      <c r="LE23">
        <f>IF('計算A'!BR$106=1,FQ23,1)</f>
        <v/>
      </c>
      <c r="LF23">
        <f>IF('計算A'!BS$106=1,FR23,1)</f>
        <v/>
      </c>
      <c r="LG23">
        <f>IF('計算A'!BT$106=1,FS23,1)</f>
        <v/>
      </c>
      <c r="LH23">
        <f>IF('計算A'!BU$106=1,FT23,1)</f>
        <v/>
      </c>
      <c r="LI23">
        <f>IF('計算A'!BV$106=1,FU23,1)</f>
        <v/>
      </c>
      <c r="LJ23">
        <f>IF('計算A'!BW$106=1,FV23,1)</f>
        <v/>
      </c>
      <c r="LK23">
        <f>IF('計算A'!BX$106=1,FW23,1)</f>
        <v/>
      </c>
      <c r="LL23">
        <f>IF('計算A'!BY$106=1,FX23,1)</f>
        <v/>
      </c>
      <c r="LM23">
        <f>IF('計算A'!BZ$106=1,FY23,1)</f>
        <v/>
      </c>
      <c r="LN23">
        <f>IF('計算A'!CA$106=1,FZ23,1)</f>
        <v/>
      </c>
      <c r="LO23">
        <f>IF('計算A'!CB$106=1,GA23,1)</f>
        <v/>
      </c>
      <c r="LP23">
        <f>IF('計算A'!CC$106=1,GB23,1)</f>
        <v/>
      </c>
      <c r="LQ23">
        <f>IF('計算A'!CD$106=1,GC23,1)</f>
        <v/>
      </c>
      <c r="LR23">
        <f>IF('計算A'!CE$106=1,GD23,1)</f>
        <v/>
      </c>
      <c r="LS23">
        <f>IF('計算A'!CF$106=1,GE23,1)</f>
        <v/>
      </c>
      <c r="LT23">
        <f>IF('計算A'!CG$106=1,GF23,1)</f>
        <v/>
      </c>
      <c r="LU23">
        <f>IF('計算A'!CH$106=1,GG23,1)</f>
        <v/>
      </c>
      <c r="LV23">
        <f>IF('計算A'!CI$106=1,GH23,1)</f>
        <v/>
      </c>
      <c r="LW23">
        <f>IF('計算A'!CJ$106=1,GI23,1)</f>
        <v/>
      </c>
      <c r="LX23">
        <f>IF('計算A'!CK$106=1,GJ23,1)</f>
        <v/>
      </c>
      <c r="LY23">
        <f>IF('計算A'!CL$106=1,GK23,1)</f>
        <v/>
      </c>
      <c r="LZ23">
        <f>IF('計算A'!CM$106=1,GL23,1)</f>
        <v/>
      </c>
      <c r="MA23">
        <f>IF('計算A'!CN$106=1,GM23,1)</f>
        <v/>
      </c>
      <c r="MB23">
        <f>IF('計算A'!CO$106=1,GN23,1)</f>
        <v/>
      </c>
      <c r="MC23">
        <f>IF('計算A'!CP$106=1,GO23,1)</f>
        <v/>
      </c>
      <c r="MD23">
        <f>IF('計算A'!CQ$106=1,GP23,1)</f>
        <v/>
      </c>
      <c r="ME23">
        <f>IF('計算A'!CR$106=1,GQ23,1)</f>
        <v/>
      </c>
      <c r="MF23">
        <f>IF('計算A'!CS$106=1,GR23,1)</f>
        <v/>
      </c>
      <c r="MG23">
        <f>IF('計算A'!CT$106=1,GS23,1)</f>
        <v/>
      </c>
      <c r="MH23">
        <f>IF('計算A'!CU$106=1,GT23,1)</f>
        <v/>
      </c>
      <c r="MI23">
        <f>IF('計算A'!CV$106=1,GU23,1)</f>
        <v/>
      </c>
      <c r="MJ23">
        <f>IF('計算A'!CW$106=1,GV23,1)</f>
        <v/>
      </c>
      <c r="MK23">
        <f>IF('計算A'!CX$106=1,GW23,1)</f>
        <v/>
      </c>
      <c r="ML23">
        <f>IF('計算A'!CY$106=1,GX23,1)</f>
        <v/>
      </c>
      <c r="MM23">
        <f>IF('計算A'!CZ$106=1,GY23,1)</f>
        <v/>
      </c>
      <c r="MN23">
        <f>IF('計算A'!DA$106=1,GZ23,1)</f>
        <v/>
      </c>
      <c r="MO23">
        <f>IF('計算A'!DB$106=1,HA23,1)</f>
        <v/>
      </c>
      <c r="MP23">
        <f>IF('計算A'!DC$106=1,HB23,1)</f>
        <v/>
      </c>
      <c r="MQ23">
        <f>IF('計算A'!DD$106=1,HC23,1)</f>
        <v/>
      </c>
      <c r="MR23">
        <f>IF('計算A'!DE$106=1,HD23,1)</f>
        <v/>
      </c>
      <c r="MS23">
        <f>IF('計算A'!DF$106=1,HE23,1)</f>
        <v/>
      </c>
      <c r="MT23">
        <f>IF('計算A'!DG$106=1,HF23,1)</f>
        <v/>
      </c>
      <c r="MU23">
        <f>IF('計算A'!DH$106=1,HG23,1)</f>
        <v/>
      </c>
      <c r="MV23">
        <f>IF('計算A'!DI$106=1,HH23,1)</f>
        <v/>
      </c>
      <c r="MW23">
        <f>IF('計算A'!DJ$106=1,HI23,1)</f>
        <v/>
      </c>
      <c r="MX23">
        <f>IF('計算A'!DK$106=1,HJ23,1)</f>
        <v/>
      </c>
      <c r="MY23">
        <f>IF('計算A'!DL$106=1,HK23,1)</f>
        <v/>
      </c>
      <c r="MZ23">
        <f>IF('計算A'!DM$106=1,HL23,1)</f>
        <v/>
      </c>
      <c r="NA23">
        <f>IF('計算A'!DN$106=1,HM23,1)</f>
        <v/>
      </c>
      <c r="NB23">
        <f>IF('計算A'!DO$106=1,HN23,1)</f>
        <v/>
      </c>
      <c r="NC23">
        <f>IF('計算A'!DP$106=1,HO23,1)</f>
        <v/>
      </c>
      <c r="ND23">
        <f>IF('計算A'!DQ$106=1,HP23,1)</f>
        <v/>
      </c>
      <c r="NE23">
        <f>IF('計算A'!DR$106=1,HQ23,1)</f>
        <v/>
      </c>
      <c r="NF23">
        <f>IF('計算A'!DS$106=1,HR23,1)</f>
        <v/>
      </c>
      <c r="NG23">
        <f>IF('計算A'!DT$106=1,HS23,1)</f>
        <v/>
      </c>
      <c r="NH23">
        <f>IF('計算A'!DU$106=1,HT23,1)</f>
        <v/>
      </c>
      <c r="NI23">
        <f>IF('計算A'!DV$106=1,HU23,1)</f>
        <v/>
      </c>
      <c r="NJ23">
        <f>IF('計算A'!DW$106=1,HV23,1)</f>
        <v/>
      </c>
      <c r="NK23">
        <f>IF('計算A'!DX$106=1,HW23,1)</f>
        <v/>
      </c>
      <c r="NL23">
        <f>IF('計算A'!DY$106=1,HX23,1)</f>
        <v/>
      </c>
      <c r="NM23">
        <f>IF('計算A'!DZ$106=1,HY23,1)</f>
        <v/>
      </c>
      <c r="NN23">
        <f>IF('計算A'!EA$106=1,HZ23,1)</f>
        <v/>
      </c>
      <c r="NO23">
        <f>IF('計算A'!EB$106=1,IA23,1)</f>
        <v/>
      </c>
      <c r="NP23">
        <f>IF('計算A'!EC$106=1,IB23,1)</f>
        <v/>
      </c>
      <c r="NQ23">
        <f>IF('計算A'!ED$106=1,IC23,1)</f>
        <v/>
      </c>
      <c r="NR23">
        <f>IF('計算A'!EE$106=1,ID23,1)</f>
        <v/>
      </c>
      <c r="NS23">
        <f>IF('計算A'!EF$106=1,IE23,1)</f>
        <v/>
      </c>
      <c r="NT23">
        <f>IF('計算A'!EG$106=1,IF23,1)</f>
        <v/>
      </c>
      <c r="NU23">
        <f>IF('計算A'!EH$106=1,IG23,1)</f>
        <v/>
      </c>
      <c r="NV23">
        <f>IF('計算A'!EI$106=1,IH23,1)</f>
        <v/>
      </c>
      <c r="NW23">
        <f>IF('計算A'!EJ$106=1,II23,1)</f>
        <v/>
      </c>
      <c r="NX23">
        <f>IF('計算A'!EK$106=1,IJ23,1)</f>
        <v/>
      </c>
      <c r="NY23">
        <f>IF('計算A'!EL$106=1,IK23,1)</f>
        <v/>
      </c>
      <c r="NZ23">
        <f>IF('計算A'!EM$106=1,IL23,1)</f>
        <v/>
      </c>
      <c r="OA23">
        <f>IF('計算A'!EN$106=1,IM23,1)</f>
        <v/>
      </c>
      <c r="OB23">
        <f>IF('計算A'!EO$106=1,IN23,1)</f>
        <v/>
      </c>
      <c r="OC23">
        <f>IF('計算A'!EP$106=1,IO23,1)</f>
        <v/>
      </c>
      <c r="OD23" t="n">
        <v>1</v>
      </c>
      <c r="OF23">
        <f>IF($B23=0,1000000,IF(INDEX('計算A'!$D$60:$EQ$104,$B23,1)*DB23=1,IF(AND($E23=2,IQ23=0),1000000,IF($I23&gt;0,IF(1=$J23,IF(OR(AND(1=$I23+1,OR($K23&lt;&gt;'計算A'!$A$3,'計算A'!$A$4=0)),AND(1=$I23-1,OR(1&lt;&gt;'計算A'!$A$3,'計算A'!$A$4=0))),0,IF(1=$K23,200000,ABS(1-$K23)*100)),100000+ABS(1-$J23)*1000+10)+'計算A'!D$5*50+IF(AND($E23=1,IQ23=0),25,0),IF($F23&gt;0,INDEX('計算A'!D$110:D$114,$F23+1)+IF(AND($E23=1,IQ23=0),1000,0),MIN(TU23,20)*400+(IF('計算A'!D$106=1,1-DC23,0))*150+11+'計算A'!D$5*100000+IF(AND($E23=1,IQ23=0),50000,0))+IF($H23=1,(IF('計算A'!D$117=1,INDEX('計算A'!E$10:E$54,$B23),0))*4000,0)-IF(AND($L23=1,'計算A'!D$117=1,DC23=0),2000,0))),1000000))</f>
        <v/>
      </c>
      <c r="OG23">
        <f>IF($B23=0,1000000,IF(INDEX('計算A'!$D$60:$EQ$104,$B23,2)*DC23=1,IF(AND($E23=2,IR23=0),1000000,IF($I23&gt;0,IF(1=$J23,IF(OR(AND(2=$I23+1,OR($K23&lt;&gt;'計算A'!$A$3,'計算A'!$A$4=0)),AND(2=$I23-1,OR(2&lt;&gt;'計算A'!$A$3,'計算A'!$A$4=0))),0,IF(2=$K23,200000,ABS(2-$K23)*100)),100000+ABS(1-$J23)*1000+20)+'計算A'!E$5*50+IF(AND($E23=1,IR23=0),25,0),IF($F23&gt;0,INDEX('計算A'!E$110:E$114,$F23+1)+IF(AND($E23=1,IR23=0),1000,0),MIN(TU23,20)*400+(IF('計算A'!D$106=1,1-DB23,0)+IF('計算A'!E$106=1,1-DD23,0))*150+21+'計算A'!E$5*100000+IF(AND($E23=1,IR23=0),50000,0))+IF($H23=1,(IF('計算A'!D$117=1,INDEX('計算A'!D$10:D$54,$B23),0)+IF('計算A'!E$117=1,INDEX('計算A'!F$10:F$54,$B23),0))*4000,0)-IF(AND('計算A'!D$117=1,UB23&gt;0),2000,0)-IF(AND($L23=1,'計算A'!E$117=1,DD23=0),2000,0))),1000000))</f>
        <v/>
      </c>
      <c r="OH23">
        <f>IF($B23=0,1000000,IF(INDEX('計算A'!$D$60:$EQ$104,$B23,3)*DD23=1,IF(AND($E23=2,IS23=0),1000000,IF($I23&gt;0,IF(1=$J23,IF(OR(AND(3=$I23+1,OR($K23&lt;&gt;'計算A'!$A$3,'計算A'!$A$4=0)),AND(3=$I23-1,OR(3&lt;&gt;'計算A'!$A$3,'計算A'!$A$4=0))),0,IF(3=$K23,200000,ABS(3-$K23)*100)),100000+ABS(1-$J23)*1000+30)+'計算A'!F$5*50+IF(AND($E23=1,IS23=0),25,0),IF($F23&gt;0,INDEX('計算A'!F$110:F$114,$F23+1)+IF(AND($E23=1,IS23=0),1000,0),MIN(TU23,20)*400+(IF('計算A'!E$106=1,1-DC23,0)+IF('計算A'!F$106=1,1-DE23,0))*150+31+'計算A'!F$5*100000+IF(AND($E23=1,IS23=0),50000,0))+IF($H23=1,(IF('計算A'!E$117=1,INDEX('計算A'!E$10:E$54,$B23),0)+IF('計算A'!F$117=1,INDEX('計算A'!G$10:G$54,$B23),0))*4000,0)-IF(AND('計算A'!E$117=1,UC23&gt;0),2000,0)-IF(AND($L23=1,'計算A'!F$117=1,DE23=0),2000,0))),1000000))</f>
        <v/>
      </c>
      <c r="OI23">
        <f>IF($B23=0,1000000,IF(INDEX('計算A'!$D$60:$EQ$104,$B23,4)*DE23=1,IF(AND($E23=2,IT23=0),1000000,IF($I23&gt;0,IF(1=$J23,IF(OR(AND(4=$I23+1,OR($K23&lt;&gt;'計算A'!$A$3,'計算A'!$A$4=0)),AND(4=$I23-1,OR(4&lt;&gt;'計算A'!$A$3,'計算A'!$A$4=0))),0,IF(4=$K23,200000,ABS(4-$K23)*100)),100000+ABS(1-$J23)*1000+40)+'計算A'!G$5*50+IF(AND($E23=1,IT23=0),25,0),IF($F23&gt;0,INDEX('計算A'!G$110:G$114,$F23+1)+IF(AND($E23=1,IT23=0),1000,0),MIN(TU23,20)*400+(IF('計算A'!F$106=1,1-DD23,0)+IF('計算A'!G$106=1,1-DF23,0))*150+41+'計算A'!G$5*100000+IF(AND($E23=1,IT23=0),50000,0))+IF($H23=1,(IF('計算A'!F$117=1,INDEX('計算A'!F$10:F$54,$B23),0)+IF('計算A'!G$117=1,INDEX('計算A'!H$10:H$54,$B23),0))*4000,0)-IF(AND('計算A'!F$117=1,UD23&gt;0),2000,0)-IF(AND($L23=1,'計算A'!G$117=1,DF23=0),2000,0))),1000000))</f>
        <v/>
      </c>
      <c r="OJ23">
        <f>IF($B23=0,1000000,IF(INDEX('計算A'!$D$60:$EQ$104,$B23,5)*DF23=1,IF(AND($E23=2,IU23=0),1000000,IF($I23&gt;0,IF(1=$J23,IF(OR(AND(5=$I23+1,OR($K23&lt;&gt;'計算A'!$A$3,'計算A'!$A$4=0)),AND(5=$I23-1,OR(5&lt;&gt;'計算A'!$A$3,'計算A'!$A$4=0))),0,IF(5=$K23,200000,ABS(5-$K23)*100)),100000+ABS(1-$J23)*1000+50)+'計算A'!H$5*50+IF(AND($E23=1,IU23=0),25,0),IF($F23&gt;0,INDEX('計算A'!H$110:H$114,$F23+1)+IF(AND($E23=1,IU23=0),1000,0),MIN(TU23,20)*400+(IF('計算A'!G$106=1,1-DE23,0)+IF('計算A'!H$106=1,1-DG23,0))*150+51+'計算A'!H$5*100000+IF(AND($E23=1,IU23=0),50000,0))+IF($H23=1,(IF('計算A'!G$117=1,INDEX('計算A'!G$10:G$54,$B23),0)+IF('計算A'!H$117=1,INDEX('計算A'!I$10:I$54,$B23),0))*4000,0)-IF(AND('計算A'!G$117=1,UE23&gt;0),2000,0)-IF(AND($L23=1,'計算A'!H$117=1,DG23=0),2000,0))),1000000))</f>
        <v/>
      </c>
      <c r="OK23">
        <f>IF($B23=0,1000000,IF(INDEX('計算A'!$D$60:$EQ$104,$B23,6)*DG23=1,IF(AND($E23=2,IV23=0),1000000,IF($I23&gt;0,IF(1=$J23,IF(OR(AND(6=$I23+1,OR($K23&lt;&gt;'計算A'!$A$3,'計算A'!$A$4=0)),AND(6=$I23-1,OR(6&lt;&gt;'計算A'!$A$3,'計算A'!$A$4=0))),0,IF(6=$K23,200000,ABS(6-$K23)*100)),100000+ABS(1-$J23)*1000+60)+'計算A'!I$5*50+IF(AND($E23=1,IV23=0),25,0),IF($F23&gt;0,INDEX('計算A'!I$110:I$114,$F23+1)+IF(AND($E23=1,IV23=0),1000,0),MIN(TU23,20)*400+(IF('計算A'!H$106=1,1-DF23,0)+IF('計算A'!I$106=1,1-DH23,0))*150+61+'計算A'!I$5*100000+IF(AND($E23=1,IV23=0),50000,0))+IF($H23=1,(IF('計算A'!H$117=1,INDEX('計算A'!H$10:H$54,$B23),0)+IF('計算A'!I$117=1,INDEX('計算A'!J$10:J$54,$B23),0))*4000,0)-IF(AND('計算A'!H$117=1,UF23&gt;0),2000,0)-IF(AND($L23=1,'計算A'!I$117=1,DH23=0),2000,0))),1000000))</f>
        <v/>
      </c>
      <c r="OL23">
        <f>IF($B23=0,1000000,IF(INDEX('計算A'!$D$60:$EQ$104,$B23,7)*DH23=1,IF(AND($E23=2,IW23=0),1000000,IF($I23&gt;0,IF(1=$J23,IF(OR(AND(7=$I23+1,OR($K23&lt;&gt;'計算A'!$A$3,'計算A'!$A$4=0)),AND(7=$I23-1,OR(7&lt;&gt;'計算A'!$A$3,'計算A'!$A$4=0))),0,IF(7=$K23,200000,ABS(7-$K23)*100)),100000+ABS(1-$J23)*1000+70)+'計算A'!J$5*50+IF(AND($E23=1,IW23=0),25,0),IF($F23&gt;0,INDEX('計算A'!J$110:J$114,$F23+1)+IF(AND($E23=1,IW23=0),1000,0),MIN(TU23,20)*400+(IF('計算A'!I$106=1,1-DG23,0)+IF('計算A'!J$106=1,1-DI23,0))*150+71+'計算A'!J$5*100000+IF(AND($E23=1,IW23=0),50000,0))+IF($H23=1,(IF('計算A'!I$117=1,INDEX('計算A'!I$10:I$54,$B23),0)+IF('計算A'!J$117=1,INDEX('計算A'!K$10:K$54,$B23),0))*4000,0)-IF(AND('計算A'!I$117=1,UG23&gt;0),2000,0)-IF(AND($L23=1,'計算A'!J$117=1,DI23=0),2000,0))),1000000))</f>
        <v/>
      </c>
      <c r="OM23">
        <f>IF($B23=0,1000000,IF(INDEX('計算A'!$D$60:$EQ$104,$B23,8)*DI23=1,IF(AND($E23=2,IX23=0),1000000,IF($I23&gt;0,IF(1=$J23,IF(OR(AND(8=$I23+1,OR($K23&lt;&gt;'計算A'!$A$3,'計算A'!$A$4=0)),AND(8=$I23-1,OR(8&lt;&gt;'計算A'!$A$3,'計算A'!$A$4=0))),0,IF(8=$K23,200000,ABS(8-$K23)*100)),100000+ABS(1-$J23)*1000+80)+'計算A'!K$5*50+IF(AND($E23=1,IX23=0),25,0),IF($F23&gt;0,INDEX('計算A'!K$110:K$114,$F23+1)+IF(AND($E23=1,IX23=0),1000,0),MIN(TU23,20)*400+(IF('計算A'!J$106=1,1-DH23,0)+IF('計算A'!K$106=1,1-DJ23,0))*150+81+'計算A'!K$5*100000+IF(AND($E23=1,IX23=0),50000,0))+IF($H23=1,(IF('計算A'!J$117=1,INDEX('計算A'!J$10:J$54,$B23),0)+IF('計算A'!K$117=1,INDEX('計算A'!L$10:L$54,$B23),0))*4000,0)-IF(AND('計算A'!J$117=1,UH23&gt;0),2000,0)-IF(AND($L23=1,'計算A'!K$117=1,DJ23=0),2000,0))),1000000))</f>
        <v/>
      </c>
      <c r="ON23">
        <f>IF($B23=0,1000000,IF(INDEX('計算A'!$D$60:$EQ$104,$B23,9)*DJ23=1,IF(AND($E23=2,IY23=0),1000000,IF($I23&gt;0,IF(1=$J23,IF(OR(AND(9=$I23+1,OR($K23&lt;&gt;'計算A'!$A$3,'計算A'!$A$4=0)),AND(9=$I23-1,OR(9&lt;&gt;'計算A'!$A$3,'計算A'!$A$4=0))),0,IF(9=$K23,200000,ABS(9-$K23)*100)),100000+ABS(1-$J23)*1000+90)+'計算A'!L$5*50+IF(AND($E23=1,IY23=0),25,0),IF($F23&gt;0,INDEX('計算A'!L$110:L$114,$F23+1)+IF(AND($E23=1,IY23=0),1000,0),MIN(TU23,20)*400+(IF('計算A'!K$106=1,1-DI23,0)+IF('計算A'!L$106=1,1-DK23,0))*150+91+'計算A'!L$5*100000+IF(AND($E23=1,IY23=0),50000,0))+IF($H23=1,(IF('計算A'!K$117=1,INDEX('計算A'!K$10:K$54,$B23),0)+IF('計算A'!L$117=1,INDEX('計算A'!M$10:M$54,$B23),0))*4000,0)-IF(AND('計算A'!K$117=1,UI23&gt;0),2000,0)-IF(AND($L23=1,'計算A'!L$117=1,DK23=0),2000,0))),1000000))</f>
        <v/>
      </c>
      <c r="OO23">
        <f>IF($B23=0,1000000,IF(INDEX('計算A'!$D$60:$EQ$104,$B23,10)*DK23=1,IF(AND($E23=2,IZ23=0),1000000,IF($I23&gt;0,IF(1=$J23,IF(OR(AND(10=$I23+1,OR($K23&lt;&gt;'計算A'!$A$3,'計算A'!$A$4=0)),AND(10=$I23-1,OR(10&lt;&gt;'計算A'!$A$3,'計算A'!$A$4=0))),0,IF(10=$K23,200000,ABS(10-$K23)*100)),100000+ABS(1-$J23)*1000+100)+'計算A'!M$5*50+IF(AND($E23=1,IZ23=0),25,0),IF($F23&gt;0,INDEX('計算A'!M$110:M$114,$F23+1)+IF(AND($E23=1,IZ23=0),1000,0),MIN(TU23,20)*400+(IF('計算A'!L$106=1,1-DJ23,0)+IF('計算A'!M$106=1,1-DL23,0))*150+101+'計算A'!M$5*100000+IF(AND($E23=1,IZ23=0),50000,0))+IF($H23=1,(IF('計算A'!L$117=1,INDEX('計算A'!L$10:L$54,$B23),0)+IF('計算A'!M$117=1,INDEX('計算A'!N$10:N$54,$B23),0))*4000,0)-IF(AND('計算A'!L$117=1,UJ23&gt;0),2000,0)-IF(AND($L23=1,'計算A'!M$117=1,DL23=0),2000,0))),1000000))</f>
        <v/>
      </c>
      <c r="OP23">
        <f>IF($B23=0,1000000,IF(INDEX('計算A'!$D$60:$EQ$104,$B23,11)*DL23=1,IF(AND($E23=2,JA23=0),1000000,IF($I23&gt;0,IF(1=$J23,IF(OR(AND(11=$I23+1,OR($K23&lt;&gt;'計算A'!$A$3,'計算A'!$A$4=0)),AND(11=$I23-1,OR(11&lt;&gt;'計算A'!$A$3,'計算A'!$A$4=0))),0,IF(11=$K23,200000,ABS(11-$K23)*100)),100000+ABS(1-$J23)*1000+110)+'計算A'!N$5*50+IF(AND($E23=1,JA23=0),25,0),IF($F23&gt;0,INDEX('計算A'!N$110:N$114,$F23+1)+IF(AND($E23=1,JA23=0),1000,0),MIN(TU23,20)*400+(IF('計算A'!M$106=1,1-DK23,0)+IF('計算A'!N$106=1,1-DM23,0))*150+111+'計算A'!N$5*100000+IF(AND($E23=1,JA23=0),50000,0))+IF($H23=1,(IF('計算A'!M$117=1,INDEX('計算A'!M$10:M$54,$B23),0)+IF('計算A'!N$117=1,INDEX('計算A'!O$10:O$54,$B23),0))*4000,0)-IF(AND('計算A'!M$117=1,UK23&gt;0),2000,0)-IF(AND($L23=1,'計算A'!N$117=1,DM23=0),2000,0))),1000000))</f>
        <v/>
      </c>
      <c r="OQ23">
        <f>IF($B23=0,1000000,IF(INDEX('計算A'!$D$60:$EQ$104,$B23,12)*DM23=1,IF(AND($E23=2,JB23=0),1000000,IF($I23&gt;0,IF(1=$J23,IF(OR(AND(12=$I23+1,OR($K23&lt;&gt;'計算A'!$A$3,'計算A'!$A$4=0)),AND(12=$I23-1,OR(12&lt;&gt;'計算A'!$A$3,'計算A'!$A$4=0))),0,IF(12=$K23,200000,ABS(12-$K23)*100)),100000+ABS(1-$J23)*1000+120)+'計算A'!O$5*50+IF(AND($E23=1,JB23=0),25,0),IF($F23&gt;0,INDEX('計算A'!O$110:O$114,$F23+1)+IF(AND($E23=1,JB23=0),1000,0),MIN(TU23,20)*400+(IF('計算A'!N$106=1,1-DL23,0)+IF('計算A'!O$106=1,1-DN23,0))*150+121+'計算A'!O$5*100000+IF(AND($E23=1,JB23=0),50000,0))+IF($H23=1,(IF('計算A'!N$117=1,INDEX('計算A'!N$10:N$54,$B23),0)+IF('計算A'!O$117=1,INDEX('計算A'!P$10:P$54,$B23),0))*4000,0)-IF(AND('計算A'!N$117=1,UL23&gt;0),2000,0)-IF(AND($L23=1,'計算A'!O$117=1,DN23=0),2000,0))),1000000))</f>
        <v/>
      </c>
      <c r="OR23">
        <f>IF($B23=0,1000000,IF(INDEX('計算A'!$D$60:$EQ$104,$B23,13)*DN23=1,IF(AND($E23=2,JC23=0),1000000,IF($I23&gt;0,IF(1=$J23,IF(OR(AND(13=$I23+1,OR($K23&lt;&gt;'計算A'!$A$3,'計算A'!$A$4=0)),AND(13=$I23-1,OR(13&lt;&gt;'計算A'!$A$3,'計算A'!$A$4=0))),0,IF(13=$K23,200000,ABS(13-$K23)*100)),100000+ABS(1-$J23)*1000+130)+'計算A'!P$5*50+IF(AND($E23=1,JC23=0),25,0),IF($F23&gt;0,INDEX('計算A'!P$110:P$114,$F23+1)+IF(AND($E23=1,JC23=0),1000,0),MIN(TU23,20)*400+(IF('計算A'!O$106=1,1-DM23,0)+IF('計算A'!P$106=1,1-DO23,0))*150+131+'計算A'!P$5*100000+IF(AND($E23=1,JC23=0),50000,0))+IF($H23=1,(IF('計算A'!O$117=1,INDEX('計算A'!O$10:O$54,$B23),0)+IF('計算A'!P$117=1,INDEX('計算A'!Q$10:Q$54,$B23),0))*4000,0)-IF(AND('計算A'!O$117=1,UM23&gt;0),2000,0)-IF(AND($L23=1,'計算A'!P$117=1,DO23=0),2000,0))),1000000))</f>
        <v/>
      </c>
      <c r="OS23">
        <f>IF($B23=0,1000000,IF(INDEX('計算A'!$D$60:$EQ$104,$B23,14)*DO23=1,IF(AND($E23=2,JD23=0),1000000,IF($I23&gt;0,IF(1=$J23,IF(OR(AND(14=$I23+1,OR($K23&lt;&gt;'計算A'!$A$3,'計算A'!$A$4=0)),AND(14=$I23-1,OR(14&lt;&gt;'計算A'!$A$3,'計算A'!$A$4=0))),0,IF(14=$K23,200000,ABS(14-$K23)*100)),100000+ABS(1-$J23)*1000+140)+'計算A'!Q$5*50+IF(AND($E23=1,JD23=0),25,0),IF($F23&gt;0,INDEX('計算A'!Q$110:Q$114,$F23+1)+IF(AND($E23=1,JD23=0),1000,0),MIN(TU23,20)*400+(IF('計算A'!P$106=1,1-DN23,0)+IF('計算A'!Q$106=1,1-DP23,0))*150+141+'計算A'!Q$5*100000+IF(AND($E23=1,JD23=0),50000,0))+IF($H23=1,(IF('計算A'!P$117=1,INDEX('計算A'!P$10:P$54,$B23),0)+IF('計算A'!Q$117=1,INDEX('計算A'!R$10:R$54,$B23),0))*4000,0)-IF(AND('計算A'!P$117=1,UN23&gt;0),2000,0)-IF(AND($L23=1,'計算A'!Q$117=1,DP23=0),2000,0))),1000000))</f>
        <v/>
      </c>
      <c r="OT23">
        <f>IF($B23=0,1000000,IF(INDEX('計算A'!$D$60:$EQ$104,$B23,15)*DP23=1,IF(AND($E23=2,JE23=0),1000000,IF($I23&gt;0,IF(1=$J23,IF(OR(AND(15=$I23+1,OR($K23&lt;&gt;'計算A'!$A$3,'計算A'!$A$4=0)),AND(15=$I23-1,OR(15&lt;&gt;'計算A'!$A$3,'計算A'!$A$4=0))),0,IF(15=$K23,200000,ABS(15-$K23)*100)),100000+ABS(1-$J23)*1000+150)+'計算A'!R$5*50+IF(AND($E23=1,JE23=0),25,0),IF($F23&gt;0,INDEX('計算A'!R$110:R$114,$F23+1)+IF(AND($E23=1,JE23=0),1000,0),MIN(TU23,20)*400+(IF('計算A'!Q$106=1,1-DO23,0)+IF('計算A'!R$106=1,1-DQ23,0))*150+151+'計算A'!R$5*100000+IF(AND($E23=1,JE23=0),50000,0))+IF($H23=1,(IF('計算A'!Q$117=1,INDEX('計算A'!Q$10:Q$54,$B23),0)+IF('計算A'!R$117=1,INDEX('計算A'!S$10:S$54,$B23),0))*4000,0)-IF(AND('計算A'!Q$117=1,UO23&gt;0),2000,0)-IF(AND($L23=1,'計算A'!R$117=1,DQ23=0),2000,0))),1000000))</f>
        <v/>
      </c>
      <c r="OU23">
        <f>IF($B23=0,1000000,IF(INDEX('計算A'!$D$60:$EQ$104,$B23,16)*DQ23=1,IF(AND($E23=2,JF23=0),1000000,IF($I23&gt;0,IF(1=$J23,IF(OR(AND(16=$I23+1,OR($K23&lt;&gt;'計算A'!$A$3,'計算A'!$A$4=0)),AND(16=$I23-1,OR(16&lt;&gt;'計算A'!$A$3,'計算A'!$A$4=0))),0,IF(16=$K23,200000,ABS(16-$K23)*100)),100000+ABS(1-$J23)*1000+160)+'計算A'!S$5*50+IF(AND($E23=1,JF23=0),25,0),IF($F23&gt;0,INDEX('計算A'!S$110:S$114,$F23+1)+IF(AND($E23=1,JF23=0),1000,0),MIN(TU23,20)*400+(IF('計算A'!R$106=1,1-DP23,0)+IF('計算A'!S$106=1,1-DR23,0))*150+161+'計算A'!S$5*100000+IF(AND($E23=1,JF23=0),50000,0))+IF($H23=1,(IF('計算A'!R$117=1,INDEX('計算A'!R$10:R$54,$B23),0)+IF('計算A'!S$117=1,INDEX('計算A'!T$10:T$54,$B23),0))*4000,0)-IF(AND('計算A'!R$117=1,UP23&gt;0),2000,0)-IF(AND($L23=1,'計算A'!S$117=1,DR23=0),2000,0))),1000000))</f>
        <v/>
      </c>
      <c r="OV23">
        <f>IF($B23=0,1000000,IF(INDEX('計算A'!$D$60:$EQ$104,$B23,17)*DR23=1,IF(AND($E23=2,JG23=0),1000000,IF($I23&gt;0,IF(1=$J23,IF(OR(AND(17=$I23+1,OR($K23&lt;&gt;'計算A'!$A$3,'計算A'!$A$4=0)),AND(17=$I23-1,OR(17&lt;&gt;'計算A'!$A$3,'計算A'!$A$4=0))),0,IF(17=$K23,200000,ABS(17-$K23)*100)),100000+ABS(1-$J23)*1000+170)+'計算A'!T$5*50+IF(AND($E23=1,JG23=0),25,0),IF($F23&gt;0,INDEX('計算A'!T$110:T$114,$F23+1)+IF(AND($E23=1,JG23=0),1000,0),MIN(TU23,20)*400+(IF('計算A'!S$106=1,1-DQ23,0)+IF('計算A'!T$106=1,1-DS23,0))*150+171+'計算A'!T$5*100000+IF(AND($E23=1,JG23=0),50000,0))+IF($H23=1,(IF('計算A'!S$117=1,INDEX('計算A'!S$10:S$54,$B23),0)+IF('計算A'!T$117=1,INDEX('計算A'!U$10:U$54,$B23),0))*4000,0)-IF(AND('計算A'!S$117=1,UQ23&gt;0),2000,0)-IF(AND($L23=1,'計算A'!T$117=1,DS23=0),2000,0))),1000000))</f>
        <v/>
      </c>
      <c r="OW23">
        <f>IF($B23=0,1000000,IF(INDEX('計算A'!$D$60:$EQ$104,$B23,18)*DS23=1,IF(AND($E23=2,JH23=0),1000000,IF($I23&gt;0,IF(1=$J23,IF(OR(AND(18=$I23+1,OR($K23&lt;&gt;'計算A'!$A$3,'計算A'!$A$4=0)),AND(18=$I23-1,OR(18&lt;&gt;'計算A'!$A$3,'計算A'!$A$4=0))),0,IF(18=$K23,200000,ABS(18-$K23)*100)),100000+ABS(1-$J23)*1000+180)+'計算A'!U$5*50+IF(AND($E23=1,JH23=0),25,0),IF($F23&gt;0,INDEX('計算A'!U$110:U$114,$F23+1)+IF(AND($E23=1,JH23=0),1000,0),MIN(TU23,20)*400+(IF('計算A'!T$106=1,1-DR23,0)+IF('計算A'!U$106=1,1-DT23,0))*150+181+'計算A'!U$5*100000+IF(AND($E23=1,JH23=0),50000,0))+IF($H23=1,(IF('計算A'!T$117=1,INDEX('計算A'!T$10:T$54,$B23),0)+IF('計算A'!U$117=1,INDEX('計算A'!V$10:V$54,$B23),0))*4000,0)-IF(AND('計算A'!T$117=1,UR23&gt;0),2000,0)-IF(AND($L23=1,'計算A'!U$117=1,DT23=0),2000,0))),1000000))</f>
        <v/>
      </c>
      <c r="OX23">
        <f>IF($B23=0,1000000,IF(INDEX('計算A'!$D$60:$EQ$104,$B23,19)*DT23=1,IF(AND($E23=2,JI23=0),1000000,IF($I23&gt;0,IF(1=$J23,IF(OR(AND(19=$I23+1,OR($K23&lt;&gt;'計算A'!$A$3,'計算A'!$A$4=0)),AND(19=$I23-1,OR(19&lt;&gt;'計算A'!$A$3,'計算A'!$A$4=0))),0,IF(19=$K23,200000,ABS(19-$K23)*100)),100000+ABS(1-$J23)*1000+190)+'計算A'!V$5*50+IF(AND($E23=1,JI23=0),25,0),IF($F23&gt;0,INDEX('計算A'!V$110:V$114,$F23+1)+IF(AND($E23=1,JI23=0),1000,0),MIN(TU23,20)*400+(IF('計算A'!U$106=1,1-DS23,0)+IF('計算A'!V$106=1,1-DU23,0))*150+191+'計算A'!V$5*100000+IF(AND($E23=1,JI23=0),50000,0))+IF($H23=1,(IF('計算A'!U$117=1,INDEX('計算A'!U$10:U$54,$B23),0)+IF('計算A'!V$117=1,INDEX('計算A'!W$10:W$54,$B23),0))*4000,0)-IF(AND('計算A'!U$117=1,US23&gt;0),2000,0)-IF(AND($L23=1,'計算A'!V$117=1,DU23=0),2000,0))),1000000))</f>
        <v/>
      </c>
      <c r="OY23">
        <f>IF($B23=0,1000000,IF(INDEX('計算A'!$D$60:$EQ$104,$B23,20)*DU23=1,IF(AND($E23=2,JJ23=0),1000000,IF($I23&gt;0,IF(1=$J23,IF(OR(AND(20=$I23+1,OR($K23&lt;&gt;'計算A'!$A$3,'計算A'!$A$4=0)),AND(20=$I23-1,OR(20&lt;&gt;'計算A'!$A$3,'計算A'!$A$4=0))),0,IF(20=$K23,200000,ABS(20-$K23)*100)),100000+ABS(1-$J23)*1000+200)+'計算A'!W$5*50+IF(AND($E23=1,JJ23=0),25,0),IF($F23&gt;0,INDEX('計算A'!W$110:W$114,$F23+1)+IF(AND($E23=1,JJ23=0),1000,0),MIN(TU23,20)*400+(IF('計算A'!V$106=1,1-DT23,0)+IF('計算A'!W$106=1,1-DV23,0))*150+201+'計算A'!W$5*100000+IF(AND($E23=1,JJ23=0),50000,0))+IF($H23=1,(IF('計算A'!V$117=1,INDEX('計算A'!V$10:V$54,$B23),0)+IF('計算A'!W$117=1,INDEX('計算A'!X$10:X$54,$B23),0))*4000,0)-IF(AND('計算A'!V$117=1,UT23&gt;0),2000,0)-IF(AND($L23=1,'計算A'!W$117=1,DV23=0),2000,0))),1000000))</f>
        <v/>
      </c>
      <c r="OZ23">
        <f>IF($B23=0,1000000,IF(INDEX('計算A'!$D$60:$EQ$104,$B23,21)*DV23=1,IF(AND($E23=2,JK23=0),1000000,IF($I23&gt;0,IF(1=$J23,IF(OR(AND(21=$I23+1,OR($K23&lt;&gt;'計算A'!$A$3,'計算A'!$A$4=0)),AND(21=$I23-1,OR(21&lt;&gt;'計算A'!$A$3,'計算A'!$A$4=0))),0,IF(21=$K23,200000,ABS(21-$K23)*100)),100000+ABS(1-$J23)*1000+210)+'計算A'!X$5*50+IF(AND($E23=1,JK23=0),25,0),IF($F23&gt;0,INDEX('計算A'!X$110:X$114,$F23+1)+IF(AND($E23=1,JK23=0),1000,0),MIN(TU23,20)*400+(IF('計算A'!W$106=1,1-DU23,0)+IF('計算A'!X$106=1,1-DW23,0))*150+211+'計算A'!X$5*100000+IF(AND($E23=1,JK23=0),50000,0))+IF($H23=1,(IF('計算A'!W$117=1,INDEX('計算A'!W$10:W$54,$B23),0)+IF('計算A'!X$117=1,INDEX('計算A'!Y$10:Y$54,$B23),0))*4000,0)-IF(AND('計算A'!W$117=1,UU23&gt;0),2000,0)-IF(AND($L23=1,'計算A'!X$117=1,DW23=0),2000,0))),1000000))</f>
        <v/>
      </c>
      <c r="PA23">
        <f>IF($B23=0,1000000,IF(INDEX('計算A'!$D$60:$EQ$104,$B23,22)*DW23=1,IF(AND($E23=2,JL23=0),1000000,IF($I23&gt;0,IF(1=$J23,IF(OR(AND(22=$I23+1,OR($K23&lt;&gt;'計算A'!$A$3,'計算A'!$A$4=0)),AND(22=$I23-1,OR(22&lt;&gt;'計算A'!$A$3,'計算A'!$A$4=0))),0,IF(22=$K23,200000,ABS(22-$K23)*100)),100000+ABS(1-$J23)*1000+220)+'計算A'!Y$5*50+IF(AND($E23=1,JL23=0),25,0),IF($F23&gt;0,INDEX('計算A'!Y$110:Y$114,$F23+1)+IF(AND($E23=1,JL23=0),1000,0),MIN(TU23,20)*400+(IF('計算A'!X$106=1,1-DV23,0)+IF('計算A'!Y$106=1,1-DX23,0))*150+221+'計算A'!Y$5*100000+IF(AND($E23=1,JL23=0),50000,0))+IF($H23=1,(IF('計算A'!X$117=1,INDEX('計算A'!X$10:X$54,$B23),0)+IF('計算A'!Y$117=1,INDEX('計算A'!Z$10:Z$54,$B23),0))*4000,0)-IF(AND('計算A'!X$117=1,UV23&gt;0),2000,0)-IF(AND($L23=1,'計算A'!Y$117=1,DX23=0),2000,0))),1000000))</f>
        <v/>
      </c>
      <c r="PB23">
        <f>IF($B23=0,1000000,IF(INDEX('計算A'!$D$60:$EQ$104,$B23,23)*DX23=1,IF(AND($E23=2,JM23=0),1000000,IF($I23&gt;0,IF(1=$J23,IF(OR(AND(23=$I23+1,OR($K23&lt;&gt;'計算A'!$A$3,'計算A'!$A$4=0)),AND(23=$I23-1,OR(23&lt;&gt;'計算A'!$A$3,'計算A'!$A$4=0))),0,IF(23=$K23,200000,ABS(23-$K23)*100)),100000+ABS(1-$J23)*1000+230)+'計算A'!Z$5*50+IF(AND($E23=1,JM23=0),25,0),IF($F23&gt;0,INDEX('計算A'!Z$110:Z$114,$F23+1)+IF(AND($E23=1,JM23=0),1000,0),MIN(TU23,20)*400+(IF('計算A'!Y$106=1,1-DW23,0)+IF('計算A'!Z$106=1,1-DY23,0))*150+231+'計算A'!Z$5*100000+IF(AND($E23=1,JM23=0),50000,0))+IF($H23=1,(IF('計算A'!Y$117=1,INDEX('計算A'!Y$10:Y$54,$B23),0)+IF('計算A'!Z$117=1,INDEX('計算A'!AA$10:AA$54,$B23),0))*4000,0)-IF(AND('計算A'!Y$117=1,UW23&gt;0),2000,0)-IF(AND($L23=1,'計算A'!Z$117=1,DY23=0),2000,0))),1000000))</f>
        <v/>
      </c>
      <c r="PC23">
        <f>IF($B23=0,1000000,IF(INDEX('計算A'!$D$60:$EQ$104,$B23,24)*DY23=1,IF(AND($E23=2,JN23=0),1000000,IF($I23&gt;0,IF(1=$J23,IF(OR(AND(24=$I23+1,OR($K23&lt;&gt;'計算A'!$A$3,'計算A'!$A$4=0)),AND(24=$I23-1,OR(24&lt;&gt;'計算A'!$A$3,'計算A'!$A$4=0))),0,IF(24=$K23,200000,ABS(24-$K23)*100)),100000+ABS(1-$J23)*1000+240)+'計算A'!AA$5*50+IF(AND($E23=1,JN23=0),25,0),IF($F23&gt;0,INDEX('計算A'!AA$110:AA$114,$F23+1)+IF(AND($E23=1,JN23=0),1000,0),MIN(TU23,20)*400+(IF('計算A'!Z$106=1,1-DX23,0))*150+241+'計算A'!AA$5*100000+IF(AND($E23=1,JN23=0),50000,0))+IF($H23=1,(IF('計算A'!Z$117=1,INDEX('計算A'!Z$10:Z$54,$B23),0))*4000,0)-IF(AND('計算A'!Z$117=1,UX23&gt;0),2000,0))),1000000))</f>
        <v/>
      </c>
      <c r="PD23">
        <f>IF($B23=0,1000000,IF(INDEX('計算A'!$D$60:$EQ$104,$B23,25)*DZ23=1,IF(AND($E23=2,JO23=0),1000000,IF($I23&gt;0,IF(2=$J23,IF(OR(AND(25=$I23+1,OR($K23&lt;&gt;'計算A'!$A$3,'計算A'!$A$4=0)),AND(25=$I23-1,OR(1&lt;&gt;'計算A'!$A$3,'計算A'!$A$4=0))),0,IF(1=$K23,200000,ABS(1-$K23)*100)),100000+ABS(2-$J23)*1000+10)+'計算A'!AB$5*50+IF(AND($E23=1,JO23=0),25,0),IF($F23&gt;0,INDEX('計算A'!AB$110:AB$114,$F23+1)+IF(AND($E23=1,JO23=0),1000,0),MIN(TV23,20)*400+(IF('計算A'!AB$106=1,1-EA23,0))*150+12+'計算A'!AB$5*100000+IF(AND($E23=1,JO23=0),50000,0))+IF($H23=1,(IF('計算A'!AB$117=1,INDEX('計算A'!AC$10:AC$54,$B23),0))*4000,0)-IF(AND($L23=1,'計算A'!AB$117=1,EA23=0),2000,0))),1000000))</f>
        <v/>
      </c>
      <c r="PE23">
        <f>IF($B23=0,1000000,IF(INDEX('計算A'!$D$60:$EQ$104,$B23,26)*EA23=1,IF(AND($E23=2,JP23=0),1000000,IF($I23&gt;0,IF(2=$J23,IF(OR(AND(26=$I23+1,OR($K23&lt;&gt;'計算A'!$A$3,'計算A'!$A$4=0)),AND(26=$I23-1,OR(2&lt;&gt;'計算A'!$A$3,'計算A'!$A$4=0))),0,IF(2=$K23,200000,ABS(2-$K23)*100)),100000+ABS(2-$J23)*1000+20)+'計算A'!AC$5*50+IF(AND($E23=1,JP23=0),25,0),IF($F23&gt;0,INDEX('計算A'!AC$110:AC$114,$F23+1)+IF(AND($E23=1,JP23=0),1000,0),MIN(TV23,20)*400+(IF('計算A'!AB$106=1,1-DZ23,0)+IF('計算A'!AC$106=1,1-EB23,0))*150+22+'計算A'!AC$5*100000+IF(AND($E23=1,JP23=0),50000,0))+IF($H23=1,(IF('計算A'!AB$117=1,INDEX('計算A'!AB$10:AB$54,$B23),0)+IF('計算A'!AC$117=1,INDEX('計算A'!AD$10:AD$54,$B23),0))*4000,0)-IF(AND('計算A'!AB$117=1,UZ23&gt;0),2000,0)-IF(AND($L23=1,'計算A'!AC$117=1,EB23=0),2000,0))),1000000))</f>
        <v/>
      </c>
      <c r="PF23">
        <f>IF($B23=0,1000000,IF(INDEX('計算A'!$D$60:$EQ$104,$B23,27)*EB23=1,IF(AND($E23=2,JQ23=0),1000000,IF($I23&gt;0,IF(2=$J23,IF(OR(AND(27=$I23+1,OR($K23&lt;&gt;'計算A'!$A$3,'計算A'!$A$4=0)),AND(27=$I23-1,OR(3&lt;&gt;'計算A'!$A$3,'計算A'!$A$4=0))),0,IF(3=$K23,200000,ABS(3-$K23)*100)),100000+ABS(2-$J23)*1000+30)+'計算A'!AD$5*50+IF(AND($E23=1,JQ23=0),25,0),IF($F23&gt;0,INDEX('計算A'!AD$110:AD$114,$F23+1)+IF(AND($E23=1,JQ23=0),1000,0),MIN(TV23,20)*400+(IF('計算A'!AC$106=1,1-EA23,0)+IF('計算A'!AD$106=1,1-EC23,0))*150+32+'計算A'!AD$5*100000+IF(AND($E23=1,JQ23=0),50000,0))+IF($H23=1,(IF('計算A'!AC$117=1,INDEX('計算A'!AC$10:AC$54,$B23),0)+IF('計算A'!AD$117=1,INDEX('計算A'!AE$10:AE$54,$B23),0))*4000,0)-IF(AND('計算A'!AC$117=1,VA23&gt;0),2000,0)-IF(AND($L23=1,'計算A'!AD$117=1,EC23=0),2000,0))),1000000))</f>
        <v/>
      </c>
      <c r="PG23">
        <f>IF($B23=0,1000000,IF(INDEX('計算A'!$D$60:$EQ$104,$B23,28)*EC23=1,IF(AND($E23=2,JR23=0),1000000,IF($I23&gt;0,IF(2=$J23,IF(OR(AND(28=$I23+1,OR($K23&lt;&gt;'計算A'!$A$3,'計算A'!$A$4=0)),AND(28=$I23-1,OR(4&lt;&gt;'計算A'!$A$3,'計算A'!$A$4=0))),0,IF(4=$K23,200000,ABS(4-$K23)*100)),100000+ABS(2-$J23)*1000+40)+'計算A'!AE$5*50+IF(AND($E23=1,JR23=0),25,0),IF($F23&gt;0,INDEX('計算A'!AE$110:AE$114,$F23+1)+IF(AND($E23=1,JR23=0),1000,0),MIN(TV23,20)*400+(IF('計算A'!AD$106=1,1-EB23,0)+IF('計算A'!AE$106=1,1-ED23,0))*150+42+'計算A'!AE$5*100000+IF(AND($E23=1,JR23=0),50000,0))+IF($H23=1,(IF('計算A'!AD$117=1,INDEX('計算A'!AD$10:AD$54,$B23),0)+IF('計算A'!AE$117=1,INDEX('計算A'!AF$10:AF$54,$B23),0))*4000,0)-IF(AND('計算A'!AD$117=1,VB23&gt;0),2000,0)-IF(AND($L23=1,'計算A'!AE$117=1,ED23=0),2000,0))),1000000))</f>
        <v/>
      </c>
      <c r="PH23">
        <f>IF($B23=0,1000000,IF(INDEX('計算A'!$D$60:$EQ$104,$B23,29)*ED23=1,IF(AND($E23=2,JS23=0),1000000,IF($I23&gt;0,IF(2=$J23,IF(OR(AND(29=$I23+1,OR($K23&lt;&gt;'計算A'!$A$3,'計算A'!$A$4=0)),AND(29=$I23-1,OR(5&lt;&gt;'計算A'!$A$3,'計算A'!$A$4=0))),0,IF(5=$K23,200000,ABS(5-$K23)*100)),100000+ABS(2-$J23)*1000+50)+'計算A'!AF$5*50+IF(AND($E23=1,JS23=0),25,0),IF($F23&gt;0,INDEX('計算A'!AF$110:AF$114,$F23+1)+IF(AND($E23=1,JS23=0),1000,0),MIN(TV23,20)*400+(IF('計算A'!AE$106=1,1-EC23,0)+IF('計算A'!AF$106=1,1-EE23,0))*150+52+'計算A'!AF$5*100000+IF(AND($E23=1,JS23=0),50000,0))+IF($H23=1,(IF('計算A'!AE$117=1,INDEX('計算A'!AE$10:AE$54,$B23),0)+IF('計算A'!AF$117=1,INDEX('計算A'!AG$10:AG$54,$B23),0))*4000,0)-IF(AND('計算A'!AE$117=1,VC23&gt;0),2000,0)-IF(AND($L23=1,'計算A'!AF$117=1,EE23=0),2000,0))),1000000))</f>
        <v/>
      </c>
      <c r="PI23">
        <f>IF($B23=0,1000000,IF(INDEX('計算A'!$D$60:$EQ$104,$B23,30)*EE23=1,IF(AND($E23=2,JT23=0),1000000,IF($I23&gt;0,IF(2=$J23,IF(OR(AND(30=$I23+1,OR($K23&lt;&gt;'計算A'!$A$3,'計算A'!$A$4=0)),AND(30=$I23-1,OR(6&lt;&gt;'計算A'!$A$3,'計算A'!$A$4=0))),0,IF(6=$K23,200000,ABS(6-$K23)*100)),100000+ABS(2-$J23)*1000+60)+'計算A'!AG$5*50+IF(AND($E23=1,JT23=0),25,0),IF($F23&gt;0,INDEX('計算A'!AG$110:AG$114,$F23+1)+IF(AND($E23=1,JT23=0),1000,0),MIN(TV23,20)*400+(IF('計算A'!AF$106=1,1-ED23,0)+IF('計算A'!AG$106=1,1-EF23,0))*150+62+'計算A'!AG$5*100000+IF(AND($E23=1,JT23=0),50000,0))+IF($H23=1,(IF('計算A'!AF$117=1,INDEX('計算A'!AF$10:AF$54,$B23),0)+IF('計算A'!AG$117=1,INDEX('計算A'!AH$10:AH$54,$B23),0))*4000,0)-IF(AND('計算A'!AF$117=1,VD23&gt;0),2000,0)-IF(AND($L23=1,'計算A'!AG$117=1,EF23=0),2000,0))),1000000))</f>
        <v/>
      </c>
      <c r="PJ23">
        <f>IF($B23=0,1000000,IF(INDEX('計算A'!$D$60:$EQ$104,$B23,31)*EF23=1,IF(AND($E23=2,JU23=0),1000000,IF($I23&gt;0,IF(2=$J23,IF(OR(AND(31=$I23+1,OR($K23&lt;&gt;'計算A'!$A$3,'計算A'!$A$4=0)),AND(31=$I23-1,OR(7&lt;&gt;'計算A'!$A$3,'計算A'!$A$4=0))),0,IF(7=$K23,200000,ABS(7-$K23)*100)),100000+ABS(2-$J23)*1000+70)+'計算A'!AH$5*50+IF(AND($E23=1,JU23=0),25,0),IF($F23&gt;0,INDEX('計算A'!AH$110:AH$114,$F23+1)+IF(AND($E23=1,JU23=0),1000,0),MIN(TV23,20)*400+(IF('計算A'!AG$106=1,1-EE23,0)+IF('計算A'!AH$106=1,1-EG23,0))*150+72+'計算A'!AH$5*100000+IF(AND($E23=1,JU23=0),50000,0))+IF($H23=1,(IF('計算A'!AG$117=1,INDEX('計算A'!AG$10:AG$54,$B23),0)+IF('計算A'!AH$117=1,INDEX('計算A'!AI$10:AI$54,$B23),0))*4000,0)-IF(AND('計算A'!AG$117=1,VE23&gt;0),2000,0)-IF(AND($L23=1,'計算A'!AH$117=1,EG23=0),2000,0))),1000000))</f>
        <v/>
      </c>
      <c r="PK23">
        <f>IF($B23=0,1000000,IF(INDEX('計算A'!$D$60:$EQ$104,$B23,32)*EG23=1,IF(AND($E23=2,JV23=0),1000000,IF($I23&gt;0,IF(2=$J23,IF(OR(AND(32=$I23+1,OR($K23&lt;&gt;'計算A'!$A$3,'計算A'!$A$4=0)),AND(32=$I23-1,OR(8&lt;&gt;'計算A'!$A$3,'計算A'!$A$4=0))),0,IF(8=$K23,200000,ABS(8-$K23)*100)),100000+ABS(2-$J23)*1000+80)+'計算A'!AI$5*50+IF(AND($E23=1,JV23=0),25,0),IF($F23&gt;0,INDEX('計算A'!AI$110:AI$114,$F23+1)+IF(AND($E23=1,JV23=0),1000,0),MIN(TV23,20)*400+(IF('計算A'!AH$106=1,1-EF23,0)+IF('計算A'!AI$106=1,1-EH23,0))*150+82+'計算A'!AI$5*100000+IF(AND($E23=1,JV23=0),50000,0))+IF($H23=1,(IF('計算A'!AH$117=1,INDEX('計算A'!AH$10:AH$54,$B23),0)+IF('計算A'!AI$117=1,INDEX('計算A'!AJ$10:AJ$54,$B23),0))*4000,0)-IF(AND('計算A'!AH$117=1,VF23&gt;0),2000,0)-IF(AND($L23=1,'計算A'!AI$117=1,EH23=0),2000,0))),1000000))</f>
        <v/>
      </c>
      <c r="PL23">
        <f>IF($B23=0,1000000,IF(INDEX('計算A'!$D$60:$EQ$104,$B23,33)*EH23=1,IF(AND($E23=2,JW23=0),1000000,IF($I23&gt;0,IF(2=$J23,IF(OR(AND(33=$I23+1,OR($K23&lt;&gt;'計算A'!$A$3,'計算A'!$A$4=0)),AND(33=$I23-1,OR(9&lt;&gt;'計算A'!$A$3,'計算A'!$A$4=0))),0,IF(9=$K23,200000,ABS(9-$K23)*100)),100000+ABS(2-$J23)*1000+90)+'計算A'!AJ$5*50+IF(AND($E23=1,JW23=0),25,0),IF($F23&gt;0,INDEX('計算A'!AJ$110:AJ$114,$F23+1)+IF(AND($E23=1,JW23=0),1000,0),MIN(TV23,20)*400+(IF('計算A'!AI$106=1,1-EG23,0)+IF('計算A'!AJ$106=1,1-EI23,0))*150+92+'計算A'!AJ$5*100000+IF(AND($E23=1,JW23=0),50000,0))+IF($H23=1,(IF('計算A'!AI$117=1,INDEX('計算A'!AI$10:AI$54,$B23),0)+IF('計算A'!AJ$117=1,INDEX('計算A'!AK$10:AK$54,$B23),0))*4000,0)-IF(AND('計算A'!AI$117=1,VG23&gt;0),2000,0)-IF(AND($L23=1,'計算A'!AJ$117=1,EI23=0),2000,0))),1000000))</f>
        <v/>
      </c>
      <c r="PM23">
        <f>IF($B23=0,1000000,IF(INDEX('計算A'!$D$60:$EQ$104,$B23,34)*EI23=1,IF(AND($E23=2,JX23=0),1000000,IF($I23&gt;0,IF(2=$J23,IF(OR(AND(34=$I23+1,OR($K23&lt;&gt;'計算A'!$A$3,'計算A'!$A$4=0)),AND(34=$I23-1,OR(10&lt;&gt;'計算A'!$A$3,'計算A'!$A$4=0))),0,IF(10=$K23,200000,ABS(10-$K23)*100)),100000+ABS(2-$J23)*1000+100)+'計算A'!AK$5*50+IF(AND($E23=1,JX23=0),25,0),IF($F23&gt;0,INDEX('計算A'!AK$110:AK$114,$F23+1)+IF(AND($E23=1,JX23=0),1000,0),MIN(TV23,20)*400+(IF('計算A'!AJ$106=1,1-EH23,0)+IF('計算A'!AK$106=1,1-EJ23,0))*150+102+'計算A'!AK$5*100000+IF(AND($E23=1,JX23=0),50000,0))+IF($H23=1,(IF('計算A'!AJ$117=1,INDEX('計算A'!AJ$10:AJ$54,$B23),0)+IF('計算A'!AK$117=1,INDEX('計算A'!AL$10:AL$54,$B23),0))*4000,0)-IF(AND('計算A'!AJ$117=1,VH23&gt;0),2000,0)-IF(AND($L23=1,'計算A'!AK$117=1,EJ23=0),2000,0))),1000000))</f>
        <v/>
      </c>
      <c r="PN23">
        <f>IF($B23=0,1000000,IF(INDEX('計算A'!$D$60:$EQ$104,$B23,35)*EJ23=1,IF(AND($E23=2,JY23=0),1000000,IF($I23&gt;0,IF(2=$J23,IF(OR(AND(35=$I23+1,OR($K23&lt;&gt;'計算A'!$A$3,'計算A'!$A$4=0)),AND(35=$I23-1,OR(11&lt;&gt;'計算A'!$A$3,'計算A'!$A$4=0))),0,IF(11=$K23,200000,ABS(11-$K23)*100)),100000+ABS(2-$J23)*1000+110)+'計算A'!AL$5*50+IF(AND($E23=1,JY23=0),25,0),IF($F23&gt;0,INDEX('計算A'!AL$110:AL$114,$F23+1)+IF(AND($E23=1,JY23=0),1000,0),MIN(TV23,20)*400+(IF('計算A'!AK$106=1,1-EI23,0)+IF('計算A'!AL$106=1,1-EK23,0))*150+112+'計算A'!AL$5*100000+IF(AND($E23=1,JY23=0),50000,0))+IF($H23=1,(IF('計算A'!AK$117=1,INDEX('計算A'!AK$10:AK$54,$B23),0)+IF('計算A'!AL$117=1,INDEX('計算A'!AM$10:AM$54,$B23),0))*4000,0)-IF(AND('計算A'!AK$117=1,VI23&gt;0),2000,0)-IF(AND($L23=1,'計算A'!AL$117=1,EK23=0),2000,0))),1000000))</f>
        <v/>
      </c>
      <c r="PO23">
        <f>IF($B23=0,1000000,IF(INDEX('計算A'!$D$60:$EQ$104,$B23,36)*EK23=1,IF(AND($E23=2,JZ23=0),1000000,IF($I23&gt;0,IF(2=$J23,IF(OR(AND(36=$I23+1,OR($K23&lt;&gt;'計算A'!$A$3,'計算A'!$A$4=0)),AND(36=$I23-1,OR(12&lt;&gt;'計算A'!$A$3,'計算A'!$A$4=0))),0,IF(12=$K23,200000,ABS(12-$K23)*100)),100000+ABS(2-$J23)*1000+120)+'計算A'!AM$5*50+IF(AND($E23=1,JZ23=0),25,0),IF($F23&gt;0,INDEX('計算A'!AM$110:AM$114,$F23+1)+IF(AND($E23=1,JZ23=0),1000,0),MIN(TV23,20)*400+(IF('計算A'!AL$106=1,1-EJ23,0)+IF('計算A'!AM$106=1,1-EL23,0))*150+122+'計算A'!AM$5*100000+IF(AND($E23=1,JZ23=0),50000,0))+IF($H23=1,(IF('計算A'!AL$117=1,INDEX('計算A'!AL$10:AL$54,$B23),0)+IF('計算A'!AM$117=1,INDEX('計算A'!AN$10:AN$54,$B23),0))*4000,0)-IF(AND('計算A'!AL$117=1,VJ23&gt;0),2000,0)-IF(AND($L23=1,'計算A'!AM$117=1,EL23=0),2000,0))),1000000))</f>
        <v/>
      </c>
      <c r="PP23">
        <f>IF($B23=0,1000000,IF(INDEX('計算A'!$D$60:$EQ$104,$B23,37)*EL23=1,IF(AND($E23=2,KA23=0),1000000,IF($I23&gt;0,IF(2=$J23,IF(OR(AND(37=$I23+1,OR($K23&lt;&gt;'計算A'!$A$3,'計算A'!$A$4=0)),AND(37=$I23-1,OR(13&lt;&gt;'計算A'!$A$3,'計算A'!$A$4=0))),0,IF(13=$K23,200000,ABS(13-$K23)*100)),100000+ABS(2-$J23)*1000+130)+'計算A'!AN$5*50+IF(AND($E23=1,KA23=0),25,0),IF($F23&gt;0,INDEX('計算A'!AN$110:AN$114,$F23+1)+IF(AND($E23=1,KA23=0),1000,0),MIN(TV23,20)*400+(IF('計算A'!AM$106=1,1-EK23,0)+IF('計算A'!AN$106=1,1-EM23,0))*150+132+'計算A'!AN$5*100000+IF(AND($E23=1,KA23=0),50000,0))+IF($H23=1,(IF('計算A'!AM$117=1,INDEX('計算A'!AM$10:AM$54,$B23),0)+IF('計算A'!AN$117=1,INDEX('計算A'!AO$10:AO$54,$B23),0))*4000,0)-IF(AND('計算A'!AM$117=1,VK23&gt;0),2000,0)-IF(AND($L23=1,'計算A'!AN$117=1,EM23=0),2000,0))),1000000))</f>
        <v/>
      </c>
      <c r="PQ23">
        <f>IF($B23=0,1000000,IF(INDEX('計算A'!$D$60:$EQ$104,$B23,38)*EM23=1,IF(AND($E23=2,KB23=0),1000000,IF($I23&gt;0,IF(2=$J23,IF(OR(AND(38=$I23+1,OR($K23&lt;&gt;'計算A'!$A$3,'計算A'!$A$4=0)),AND(38=$I23-1,OR(14&lt;&gt;'計算A'!$A$3,'計算A'!$A$4=0))),0,IF(14=$K23,200000,ABS(14-$K23)*100)),100000+ABS(2-$J23)*1000+140)+'計算A'!AO$5*50+IF(AND($E23=1,KB23=0),25,0),IF($F23&gt;0,INDEX('計算A'!AO$110:AO$114,$F23+1)+IF(AND($E23=1,KB23=0),1000,0),MIN(TV23,20)*400+(IF('計算A'!AN$106=1,1-EL23,0)+IF('計算A'!AO$106=1,1-EN23,0))*150+142+'計算A'!AO$5*100000+IF(AND($E23=1,KB23=0),50000,0))+IF($H23=1,(IF('計算A'!AN$117=1,INDEX('計算A'!AN$10:AN$54,$B23),0)+IF('計算A'!AO$117=1,INDEX('計算A'!AP$10:AP$54,$B23),0))*4000,0)-IF(AND('計算A'!AN$117=1,VL23&gt;0),2000,0)-IF(AND($L23=1,'計算A'!AO$117=1,EN23=0),2000,0))),1000000))</f>
        <v/>
      </c>
      <c r="PR23">
        <f>IF($B23=0,1000000,IF(INDEX('計算A'!$D$60:$EQ$104,$B23,39)*EN23=1,IF(AND($E23=2,KC23=0),1000000,IF($I23&gt;0,IF(2=$J23,IF(OR(AND(39=$I23+1,OR($K23&lt;&gt;'計算A'!$A$3,'計算A'!$A$4=0)),AND(39=$I23-1,OR(15&lt;&gt;'計算A'!$A$3,'計算A'!$A$4=0))),0,IF(15=$K23,200000,ABS(15-$K23)*100)),100000+ABS(2-$J23)*1000+150)+'計算A'!AP$5*50+IF(AND($E23=1,KC23=0),25,0),IF($F23&gt;0,INDEX('計算A'!AP$110:AP$114,$F23+1)+IF(AND($E23=1,KC23=0),1000,0),MIN(TV23,20)*400+(IF('計算A'!AO$106=1,1-EM23,0)+IF('計算A'!AP$106=1,1-EO23,0))*150+152+'計算A'!AP$5*100000+IF(AND($E23=1,KC23=0),50000,0))+IF($H23=1,(IF('計算A'!AO$117=1,INDEX('計算A'!AO$10:AO$54,$B23),0)+IF('計算A'!AP$117=1,INDEX('計算A'!AQ$10:AQ$54,$B23),0))*4000,0)-IF(AND('計算A'!AO$117=1,VM23&gt;0),2000,0)-IF(AND($L23=1,'計算A'!AP$117=1,EO23=0),2000,0))),1000000))</f>
        <v/>
      </c>
      <c r="PS23">
        <f>IF($B23=0,1000000,IF(INDEX('計算A'!$D$60:$EQ$104,$B23,40)*EO23=1,IF(AND($E23=2,KD23=0),1000000,IF($I23&gt;0,IF(2=$J23,IF(OR(AND(40=$I23+1,OR($K23&lt;&gt;'計算A'!$A$3,'計算A'!$A$4=0)),AND(40=$I23-1,OR(16&lt;&gt;'計算A'!$A$3,'計算A'!$A$4=0))),0,IF(16=$K23,200000,ABS(16-$K23)*100)),100000+ABS(2-$J23)*1000+160)+'計算A'!AQ$5*50+IF(AND($E23=1,KD23=0),25,0),IF($F23&gt;0,INDEX('計算A'!AQ$110:AQ$114,$F23+1)+IF(AND($E23=1,KD23=0),1000,0),MIN(TV23,20)*400+(IF('計算A'!AP$106=1,1-EN23,0)+IF('計算A'!AQ$106=1,1-EP23,0))*150+162+'計算A'!AQ$5*100000+IF(AND($E23=1,KD23=0),50000,0))+IF($H23=1,(IF('計算A'!AP$117=1,INDEX('計算A'!AP$10:AP$54,$B23),0)+IF('計算A'!AQ$117=1,INDEX('計算A'!AR$10:AR$54,$B23),0))*4000,0)-IF(AND('計算A'!AP$117=1,VN23&gt;0),2000,0)-IF(AND($L23=1,'計算A'!AQ$117=1,EP23=0),2000,0))),1000000))</f>
        <v/>
      </c>
      <c r="PT23">
        <f>IF($B23=0,1000000,IF(INDEX('計算A'!$D$60:$EQ$104,$B23,41)*EP23=1,IF(AND($E23=2,KE23=0),1000000,IF($I23&gt;0,IF(2=$J23,IF(OR(AND(41=$I23+1,OR($K23&lt;&gt;'計算A'!$A$3,'計算A'!$A$4=0)),AND(41=$I23-1,OR(17&lt;&gt;'計算A'!$A$3,'計算A'!$A$4=0))),0,IF(17=$K23,200000,ABS(17-$K23)*100)),100000+ABS(2-$J23)*1000+170)+'計算A'!AR$5*50+IF(AND($E23=1,KE23=0),25,0),IF($F23&gt;0,INDEX('計算A'!AR$110:AR$114,$F23+1)+IF(AND($E23=1,KE23=0),1000,0),MIN(TV23,20)*400+(IF('計算A'!AQ$106=1,1-EO23,0)+IF('計算A'!AR$106=1,1-EQ23,0))*150+172+'計算A'!AR$5*100000+IF(AND($E23=1,KE23=0),50000,0))+IF($H23=1,(IF('計算A'!AQ$117=1,INDEX('計算A'!AQ$10:AQ$54,$B23),0)+IF('計算A'!AR$117=1,INDEX('計算A'!AS$10:AS$54,$B23),0))*4000,0)-IF(AND('計算A'!AQ$117=1,VO23&gt;0),2000,0)-IF(AND($L23=1,'計算A'!AR$117=1,EQ23=0),2000,0))),1000000))</f>
        <v/>
      </c>
      <c r="PU23">
        <f>IF($B23=0,1000000,IF(INDEX('計算A'!$D$60:$EQ$104,$B23,42)*EQ23=1,IF(AND($E23=2,KF23=0),1000000,IF($I23&gt;0,IF(2=$J23,IF(OR(AND(42=$I23+1,OR($K23&lt;&gt;'計算A'!$A$3,'計算A'!$A$4=0)),AND(42=$I23-1,OR(18&lt;&gt;'計算A'!$A$3,'計算A'!$A$4=0))),0,IF(18=$K23,200000,ABS(18-$K23)*100)),100000+ABS(2-$J23)*1000+180)+'計算A'!AS$5*50+IF(AND($E23=1,KF23=0),25,0),IF($F23&gt;0,INDEX('計算A'!AS$110:AS$114,$F23+1)+IF(AND($E23=1,KF23=0),1000,0),MIN(TV23,20)*400+(IF('計算A'!AR$106=1,1-EP23,0)+IF('計算A'!AS$106=1,1-ER23,0))*150+182+'計算A'!AS$5*100000+IF(AND($E23=1,KF23=0),50000,0))+IF($H23=1,(IF('計算A'!AR$117=1,INDEX('計算A'!AR$10:AR$54,$B23),0)+IF('計算A'!AS$117=1,INDEX('計算A'!AT$10:AT$54,$B23),0))*4000,0)-IF(AND('計算A'!AR$117=1,VP23&gt;0),2000,0)-IF(AND($L23=1,'計算A'!AS$117=1,ER23=0),2000,0))),1000000))</f>
        <v/>
      </c>
      <c r="PV23">
        <f>IF($B23=0,1000000,IF(INDEX('計算A'!$D$60:$EQ$104,$B23,43)*ER23=1,IF(AND($E23=2,KG23=0),1000000,IF($I23&gt;0,IF(2=$J23,IF(OR(AND(43=$I23+1,OR($K23&lt;&gt;'計算A'!$A$3,'計算A'!$A$4=0)),AND(43=$I23-1,OR(19&lt;&gt;'計算A'!$A$3,'計算A'!$A$4=0))),0,IF(19=$K23,200000,ABS(19-$K23)*100)),100000+ABS(2-$J23)*1000+190)+'計算A'!AT$5*50+IF(AND($E23=1,KG23=0),25,0),IF($F23&gt;0,INDEX('計算A'!AT$110:AT$114,$F23+1)+IF(AND($E23=1,KG23=0),1000,0),MIN(TV23,20)*400+(IF('計算A'!AS$106=1,1-EQ23,0)+IF('計算A'!AT$106=1,1-ES23,0))*150+192+'計算A'!AT$5*100000+IF(AND($E23=1,KG23=0),50000,0))+IF($H23=1,(IF('計算A'!AS$117=1,INDEX('計算A'!AS$10:AS$54,$B23),0)+IF('計算A'!AT$117=1,INDEX('計算A'!AU$10:AU$54,$B23),0))*4000,0)-IF(AND('計算A'!AS$117=1,VQ23&gt;0),2000,0)-IF(AND($L23=1,'計算A'!AT$117=1,ES23=0),2000,0))),1000000))</f>
        <v/>
      </c>
      <c r="PW23">
        <f>IF($B23=0,1000000,IF(INDEX('計算A'!$D$60:$EQ$104,$B23,44)*ES23=1,IF(AND($E23=2,KH23=0),1000000,IF($I23&gt;0,IF(2=$J23,IF(OR(AND(44=$I23+1,OR($K23&lt;&gt;'計算A'!$A$3,'計算A'!$A$4=0)),AND(44=$I23-1,OR(20&lt;&gt;'計算A'!$A$3,'計算A'!$A$4=0))),0,IF(20=$K23,200000,ABS(20-$K23)*100)),100000+ABS(2-$J23)*1000+200)+'計算A'!AU$5*50+IF(AND($E23=1,KH23=0),25,0),IF($F23&gt;0,INDEX('計算A'!AU$110:AU$114,$F23+1)+IF(AND($E23=1,KH23=0),1000,0),MIN(TV23,20)*400+(IF('計算A'!AT$106=1,1-ER23,0)+IF('計算A'!AU$106=1,1-ET23,0))*150+202+'計算A'!AU$5*100000+IF(AND($E23=1,KH23=0),50000,0))+IF($H23=1,(IF('計算A'!AT$117=1,INDEX('計算A'!AT$10:AT$54,$B23),0)+IF('計算A'!AU$117=1,INDEX('計算A'!AV$10:AV$54,$B23),0))*4000,0)-IF(AND('計算A'!AT$117=1,VR23&gt;0),2000,0)-IF(AND($L23=1,'計算A'!AU$117=1,ET23=0),2000,0))),1000000))</f>
        <v/>
      </c>
      <c r="PX23">
        <f>IF($B23=0,1000000,IF(INDEX('計算A'!$D$60:$EQ$104,$B23,45)*ET23=1,IF(AND($E23=2,KI23=0),1000000,IF($I23&gt;0,IF(2=$J23,IF(OR(AND(45=$I23+1,OR($K23&lt;&gt;'計算A'!$A$3,'計算A'!$A$4=0)),AND(45=$I23-1,OR(21&lt;&gt;'計算A'!$A$3,'計算A'!$A$4=0))),0,IF(21=$K23,200000,ABS(21-$K23)*100)),100000+ABS(2-$J23)*1000+210)+'計算A'!AV$5*50+IF(AND($E23=1,KI23=0),25,0),IF($F23&gt;0,INDEX('計算A'!AV$110:AV$114,$F23+1)+IF(AND($E23=1,KI23=0),1000,0),MIN(TV23,20)*400+(IF('計算A'!AU$106=1,1-ES23,0)+IF('計算A'!AV$106=1,1-EU23,0))*150+212+'計算A'!AV$5*100000+IF(AND($E23=1,KI23=0),50000,0))+IF($H23=1,(IF('計算A'!AU$117=1,INDEX('計算A'!AU$10:AU$54,$B23),0)+IF('計算A'!AV$117=1,INDEX('計算A'!AW$10:AW$54,$B23),0))*4000,0)-IF(AND('計算A'!AU$117=1,VS23&gt;0),2000,0)-IF(AND($L23=1,'計算A'!AV$117=1,EU23=0),2000,0))),1000000))</f>
        <v/>
      </c>
      <c r="PY23">
        <f>IF($B23=0,1000000,IF(INDEX('計算A'!$D$60:$EQ$104,$B23,46)*EU23=1,IF(AND($E23=2,KJ23=0),1000000,IF($I23&gt;0,IF(2=$J23,IF(OR(AND(46=$I23+1,OR($K23&lt;&gt;'計算A'!$A$3,'計算A'!$A$4=0)),AND(46=$I23-1,OR(22&lt;&gt;'計算A'!$A$3,'計算A'!$A$4=0))),0,IF(22=$K23,200000,ABS(22-$K23)*100)),100000+ABS(2-$J23)*1000+220)+'計算A'!AW$5*50+IF(AND($E23=1,KJ23=0),25,0),IF($F23&gt;0,INDEX('計算A'!AW$110:AW$114,$F23+1)+IF(AND($E23=1,KJ23=0),1000,0),MIN(TV23,20)*400+(IF('計算A'!AV$106=1,1-ET23,0)+IF('計算A'!AW$106=1,1-EV23,0))*150+222+'計算A'!AW$5*100000+IF(AND($E23=1,KJ23=0),50000,0))+IF($H23=1,(IF('計算A'!AV$117=1,INDEX('計算A'!AV$10:AV$54,$B23),0)+IF('計算A'!AW$117=1,INDEX('計算A'!AX$10:AX$54,$B23),0))*4000,0)-IF(AND('計算A'!AV$117=1,VT23&gt;0),2000,0)-IF(AND($L23=1,'計算A'!AW$117=1,EV23=0),2000,0))),1000000))</f>
        <v/>
      </c>
      <c r="PZ23">
        <f>IF($B23=0,1000000,IF(INDEX('計算A'!$D$60:$EQ$104,$B23,47)*EV23=1,IF(AND($E23=2,KK23=0),1000000,IF($I23&gt;0,IF(2=$J23,IF(OR(AND(47=$I23+1,OR($K23&lt;&gt;'計算A'!$A$3,'計算A'!$A$4=0)),AND(47=$I23-1,OR(23&lt;&gt;'計算A'!$A$3,'計算A'!$A$4=0))),0,IF(23=$K23,200000,ABS(23-$K23)*100)),100000+ABS(2-$J23)*1000+230)+'計算A'!AX$5*50+IF(AND($E23=1,KK23=0),25,0),IF($F23&gt;0,INDEX('計算A'!AX$110:AX$114,$F23+1)+IF(AND($E23=1,KK23=0),1000,0),MIN(TV23,20)*400+(IF('計算A'!AW$106=1,1-EU23,0)+IF('計算A'!AX$106=1,1-EW23,0))*150+232+'計算A'!AX$5*100000+IF(AND($E23=1,KK23=0),50000,0))+IF($H23=1,(IF('計算A'!AW$117=1,INDEX('計算A'!AW$10:AW$54,$B23),0)+IF('計算A'!AX$117=1,INDEX('計算A'!AY$10:AY$54,$B23),0))*4000,0)-IF(AND('計算A'!AW$117=1,VU23&gt;0),2000,0)-IF(AND($L23=1,'計算A'!AX$117=1,EW23=0),2000,0))),1000000))</f>
        <v/>
      </c>
      <c r="QA23">
        <f>IF($B23=0,1000000,IF(INDEX('計算A'!$D$60:$EQ$104,$B23,48)*EW23=1,IF(AND($E23=2,KL23=0),1000000,IF($I23&gt;0,IF(2=$J23,IF(OR(AND(48=$I23+1,OR($K23&lt;&gt;'計算A'!$A$3,'計算A'!$A$4=0)),AND(48=$I23-1,OR(24&lt;&gt;'計算A'!$A$3,'計算A'!$A$4=0))),0,IF(24=$K23,200000,ABS(24-$K23)*100)),100000+ABS(2-$J23)*1000+240)+'計算A'!AY$5*50+IF(AND($E23=1,KL23=0),25,0),IF($F23&gt;0,INDEX('計算A'!AY$110:AY$114,$F23+1)+IF(AND($E23=1,KL23=0),1000,0),MIN(TV23,20)*400+(IF('計算A'!AX$106=1,1-EV23,0))*150+242+'計算A'!AY$5*100000+IF(AND($E23=1,KL23=0),50000,0))+IF($H23=1,(IF('計算A'!AX$117=1,INDEX('計算A'!AX$10:AX$54,$B23),0))*4000,0)-IF(AND('計算A'!AX$117=1,VV23&gt;0),2000,0))),1000000))</f>
        <v/>
      </c>
      <c r="QB23">
        <f>IF($B23=0,1000000,IF(INDEX('計算A'!$D$60:$EQ$104,$B23,49)*EX23=1,IF(AND($E23=2,KM23=0),1000000,IF($I23&gt;0,IF(3=$J23,IF(OR(AND(49=$I23+1,OR($K23&lt;&gt;'計算A'!$A$3,'計算A'!$A$4=0)),AND(49=$I23-1,OR(1&lt;&gt;'計算A'!$A$3,'計算A'!$A$4=0))),0,IF(1=$K23,200000,ABS(1-$K23)*100)),100000+ABS(3-$J23)*1000+10)+'計算A'!AZ$5*50+IF(AND($E23=1,KM23=0),25,0),IF($F23&gt;0,INDEX('計算A'!AZ$110:AZ$114,$F23+1)+IF(AND($E23=1,KM23=0),1000,0),MIN(TW23,20)*400+(IF('計算A'!AZ$106=1,1-EY23,0))*150+13+'計算A'!AZ$5*100000+IF(AND($E23=1,KM23=0),50000,0))+IF($H23=1,(IF('計算A'!AZ$117=1,INDEX('計算A'!BA$10:BA$54,$B23),0))*4000,0)-IF(AND($L23=1,'計算A'!AZ$117=1,EY23=0),2000,0))),1000000))</f>
        <v/>
      </c>
      <c r="QC23">
        <f>IF($B23=0,1000000,IF(INDEX('計算A'!$D$60:$EQ$104,$B23,50)*EY23=1,IF(AND($E23=2,KN23=0),1000000,IF($I23&gt;0,IF(3=$J23,IF(OR(AND(50=$I23+1,OR($K23&lt;&gt;'計算A'!$A$3,'計算A'!$A$4=0)),AND(50=$I23-1,OR(2&lt;&gt;'計算A'!$A$3,'計算A'!$A$4=0))),0,IF(2=$K23,200000,ABS(2-$K23)*100)),100000+ABS(3-$J23)*1000+20)+'計算A'!BA$5*50+IF(AND($E23=1,KN23=0),25,0),IF($F23&gt;0,INDEX('計算A'!BA$110:BA$114,$F23+1)+IF(AND($E23=1,KN23=0),1000,0),MIN(TW23,20)*400+(IF('計算A'!AZ$106=1,1-EX23,0)+IF('計算A'!BA$106=1,1-EZ23,0))*150+23+'計算A'!BA$5*100000+IF(AND($E23=1,KN23=0),50000,0))+IF($H23=1,(IF('計算A'!AZ$117=1,INDEX('計算A'!AZ$10:AZ$54,$B23),0)+IF('計算A'!BA$117=1,INDEX('計算A'!BB$10:BB$54,$B23),0))*4000,0)-IF(AND('計算A'!AZ$117=1,VX23&gt;0),2000,0)-IF(AND($L23=1,'計算A'!BA$117=1,EZ23=0),2000,0))),1000000))</f>
        <v/>
      </c>
      <c r="QD23">
        <f>IF($B23=0,1000000,IF(INDEX('計算A'!$D$60:$EQ$104,$B23,51)*EZ23=1,IF(AND($E23=2,KO23=0),1000000,IF($I23&gt;0,IF(3=$J23,IF(OR(AND(51=$I23+1,OR($K23&lt;&gt;'計算A'!$A$3,'計算A'!$A$4=0)),AND(51=$I23-1,OR(3&lt;&gt;'計算A'!$A$3,'計算A'!$A$4=0))),0,IF(3=$K23,200000,ABS(3-$K23)*100)),100000+ABS(3-$J23)*1000+30)+'計算A'!BB$5*50+IF(AND($E23=1,KO23=0),25,0),IF($F23&gt;0,INDEX('計算A'!BB$110:BB$114,$F23+1)+IF(AND($E23=1,KO23=0),1000,0),MIN(TW23,20)*400+(IF('計算A'!BA$106=1,1-EY23,0)+IF('計算A'!BB$106=1,1-FA23,0))*150+33+'計算A'!BB$5*100000+IF(AND($E23=1,KO23=0),50000,0))+IF($H23=1,(IF('計算A'!BA$117=1,INDEX('計算A'!BA$10:BA$54,$B23),0)+IF('計算A'!BB$117=1,INDEX('計算A'!BC$10:BC$54,$B23),0))*4000,0)-IF(AND('計算A'!BA$117=1,VY23&gt;0),2000,0)-IF(AND($L23=1,'計算A'!BB$117=1,FA23=0),2000,0))),1000000))</f>
        <v/>
      </c>
      <c r="QE23">
        <f>IF($B23=0,1000000,IF(INDEX('計算A'!$D$60:$EQ$104,$B23,52)*FA23=1,IF(AND($E23=2,KP23=0),1000000,IF($I23&gt;0,IF(3=$J23,IF(OR(AND(52=$I23+1,OR($K23&lt;&gt;'計算A'!$A$3,'計算A'!$A$4=0)),AND(52=$I23-1,OR(4&lt;&gt;'計算A'!$A$3,'計算A'!$A$4=0))),0,IF(4=$K23,200000,ABS(4-$K23)*100)),100000+ABS(3-$J23)*1000+40)+'計算A'!BC$5*50+IF(AND($E23=1,KP23=0),25,0),IF($F23&gt;0,INDEX('計算A'!BC$110:BC$114,$F23+1)+IF(AND($E23=1,KP23=0),1000,0),MIN(TW23,20)*400+(IF('計算A'!BB$106=1,1-EZ23,0)+IF('計算A'!BC$106=1,1-FB23,0))*150+43+'計算A'!BC$5*100000+IF(AND($E23=1,KP23=0),50000,0))+IF($H23=1,(IF('計算A'!BB$117=1,INDEX('計算A'!BB$10:BB$54,$B23),0)+IF('計算A'!BC$117=1,INDEX('計算A'!BD$10:BD$54,$B23),0))*4000,0)-IF(AND('計算A'!BB$117=1,VZ23&gt;0),2000,0)-IF(AND($L23=1,'計算A'!BC$117=1,FB23=0),2000,0))),1000000))</f>
        <v/>
      </c>
      <c r="QF23">
        <f>IF($B23=0,1000000,IF(INDEX('計算A'!$D$60:$EQ$104,$B23,53)*FB23=1,IF(AND($E23=2,KQ23=0),1000000,IF($I23&gt;0,IF(3=$J23,IF(OR(AND(53=$I23+1,OR($K23&lt;&gt;'計算A'!$A$3,'計算A'!$A$4=0)),AND(53=$I23-1,OR(5&lt;&gt;'計算A'!$A$3,'計算A'!$A$4=0))),0,IF(5=$K23,200000,ABS(5-$K23)*100)),100000+ABS(3-$J23)*1000+50)+'計算A'!BD$5*50+IF(AND($E23=1,KQ23=0),25,0),IF($F23&gt;0,INDEX('計算A'!BD$110:BD$114,$F23+1)+IF(AND($E23=1,KQ23=0),1000,0),MIN(TW23,20)*400+(IF('計算A'!BC$106=1,1-FA23,0)+IF('計算A'!BD$106=1,1-FC23,0))*150+53+'計算A'!BD$5*100000+IF(AND($E23=1,KQ23=0),50000,0))+IF($H23=1,(IF('計算A'!BC$117=1,INDEX('計算A'!BC$10:BC$54,$B23),0)+IF('計算A'!BD$117=1,INDEX('計算A'!BE$10:BE$54,$B23),0))*4000,0)-IF(AND('計算A'!BC$117=1,WA23&gt;0),2000,0)-IF(AND($L23=1,'計算A'!BD$117=1,FC23=0),2000,0))),1000000))</f>
        <v/>
      </c>
      <c r="QG23">
        <f>IF($B23=0,1000000,IF(INDEX('計算A'!$D$60:$EQ$104,$B23,54)*FC23=1,IF(AND($E23=2,KR23=0),1000000,IF($I23&gt;0,IF(3=$J23,IF(OR(AND(54=$I23+1,OR($K23&lt;&gt;'計算A'!$A$3,'計算A'!$A$4=0)),AND(54=$I23-1,OR(6&lt;&gt;'計算A'!$A$3,'計算A'!$A$4=0))),0,IF(6=$K23,200000,ABS(6-$K23)*100)),100000+ABS(3-$J23)*1000+60)+'計算A'!BE$5*50+IF(AND($E23=1,KR23=0),25,0),IF($F23&gt;0,INDEX('計算A'!BE$110:BE$114,$F23+1)+IF(AND($E23=1,KR23=0),1000,0),MIN(TW23,20)*400+(IF('計算A'!BD$106=1,1-FB23,0)+IF('計算A'!BE$106=1,1-FD23,0))*150+63+'計算A'!BE$5*100000+IF(AND($E23=1,KR23=0),50000,0))+IF($H23=1,(IF('計算A'!BD$117=1,INDEX('計算A'!BD$10:BD$54,$B23),0)+IF('計算A'!BE$117=1,INDEX('計算A'!BF$10:BF$54,$B23),0))*4000,0)-IF(AND('計算A'!BD$117=1,WB23&gt;0),2000,0)-IF(AND($L23=1,'計算A'!BE$117=1,FD23=0),2000,0))),1000000))</f>
        <v/>
      </c>
      <c r="QH23">
        <f>IF($B23=0,1000000,IF(INDEX('計算A'!$D$60:$EQ$104,$B23,55)*FD23=1,IF(AND($E23=2,KS23=0),1000000,IF($I23&gt;0,IF(3=$J23,IF(OR(AND(55=$I23+1,OR($K23&lt;&gt;'計算A'!$A$3,'計算A'!$A$4=0)),AND(55=$I23-1,OR(7&lt;&gt;'計算A'!$A$3,'計算A'!$A$4=0))),0,IF(7=$K23,200000,ABS(7-$K23)*100)),100000+ABS(3-$J23)*1000+70)+'計算A'!BF$5*50+IF(AND($E23=1,KS23=0),25,0),IF($F23&gt;0,INDEX('計算A'!BF$110:BF$114,$F23+1)+IF(AND($E23=1,KS23=0),1000,0),MIN(TW23,20)*400+(IF('計算A'!BE$106=1,1-FC23,0)+IF('計算A'!BF$106=1,1-FE23,0))*150+73+'計算A'!BF$5*100000+IF(AND($E23=1,KS23=0),50000,0))+IF($H23=1,(IF('計算A'!BE$117=1,INDEX('計算A'!BE$10:BE$54,$B23),0)+IF('計算A'!BF$117=1,INDEX('計算A'!BG$10:BG$54,$B23),0))*4000,0)-IF(AND('計算A'!BE$117=1,WC23&gt;0),2000,0)-IF(AND($L23=1,'計算A'!BF$117=1,FE23=0),2000,0))),1000000))</f>
        <v/>
      </c>
      <c r="QI23">
        <f>IF($B23=0,1000000,IF(INDEX('計算A'!$D$60:$EQ$104,$B23,56)*FE23=1,IF(AND($E23=2,KT23=0),1000000,IF($I23&gt;0,IF(3=$J23,IF(OR(AND(56=$I23+1,OR($K23&lt;&gt;'計算A'!$A$3,'計算A'!$A$4=0)),AND(56=$I23-1,OR(8&lt;&gt;'計算A'!$A$3,'計算A'!$A$4=0))),0,IF(8=$K23,200000,ABS(8-$K23)*100)),100000+ABS(3-$J23)*1000+80)+'計算A'!BG$5*50+IF(AND($E23=1,KT23=0),25,0),IF($F23&gt;0,INDEX('計算A'!BG$110:BG$114,$F23+1)+IF(AND($E23=1,KT23=0),1000,0),MIN(TW23,20)*400+(IF('計算A'!BF$106=1,1-FD23,0)+IF('計算A'!BG$106=1,1-FF23,0))*150+83+'計算A'!BG$5*100000+IF(AND($E23=1,KT23=0),50000,0))+IF($H23=1,(IF('計算A'!BF$117=1,INDEX('計算A'!BF$10:BF$54,$B23),0)+IF('計算A'!BG$117=1,INDEX('計算A'!BH$10:BH$54,$B23),0))*4000,0)-IF(AND('計算A'!BF$117=1,WD23&gt;0),2000,0)-IF(AND($L23=1,'計算A'!BG$117=1,FF23=0),2000,0))),1000000))</f>
        <v/>
      </c>
      <c r="QJ23">
        <f>IF($B23=0,1000000,IF(INDEX('計算A'!$D$60:$EQ$104,$B23,57)*FF23=1,IF(AND($E23=2,KU23=0),1000000,IF($I23&gt;0,IF(3=$J23,IF(OR(AND(57=$I23+1,OR($K23&lt;&gt;'計算A'!$A$3,'計算A'!$A$4=0)),AND(57=$I23-1,OR(9&lt;&gt;'計算A'!$A$3,'計算A'!$A$4=0))),0,IF(9=$K23,200000,ABS(9-$K23)*100)),100000+ABS(3-$J23)*1000+90)+'計算A'!BH$5*50+IF(AND($E23=1,KU23=0),25,0),IF($F23&gt;0,INDEX('計算A'!BH$110:BH$114,$F23+1)+IF(AND($E23=1,KU23=0),1000,0),MIN(TW23,20)*400+(IF('計算A'!BG$106=1,1-FE23,0)+IF('計算A'!BH$106=1,1-FG23,0))*150+93+'計算A'!BH$5*100000+IF(AND($E23=1,KU23=0),50000,0))+IF($H23=1,(IF('計算A'!BG$117=1,INDEX('計算A'!BG$10:BG$54,$B23),0)+IF('計算A'!BH$117=1,INDEX('計算A'!BI$10:BI$54,$B23),0))*4000,0)-IF(AND('計算A'!BG$117=1,WE23&gt;0),2000,0)-IF(AND($L23=1,'計算A'!BH$117=1,FG23=0),2000,0))),1000000))</f>
        <v/>
      </c>
      <c r="QK23">
        <f>IF($B23=0,1000000,IF(INDEX('計算A'!$D$60:$EQ$104,$B23,58)*FG23=1,IF(AND($E23=2,KV23=0),1000000,IF($I23&gt;0,IF(3=$J23,IF(OR(AND(58=$I23+1,OR($K23&lt;&gt;'計算A'!$A$3,'計算A'!$A$4=0)),AND(58=$I23-1,OR(10&lt;&gt;'計算A'!$A$3,'計算A'!$A$4=0))),0,IF(10=$K23,200000,ABS(10-$K23)*100)),100000+ABS(3-$J23)*1000+100)+'計算A'!BI$5*50+IF(AND($E23=1,KV23=0),25,0),IF($F23&gt;0,INDEX('計算A'!BI$110:BI$114,$F23+1)+IF(AND($E23=1,KV23=0),1000,0),MIN(TW23,20)*400+(IF('計算A'!BH$106=1,1-FF23,0)+IF('計算A'!BI$106=1,1-FH23,0))*150+103+'計算A'!BI$5*100000+IF(AND($E23=1,KV23=0),50000,0))+IF($H23=1,(IF('計算A'!BH$117=1,INDEX('計算A'!BH$10:BH$54,$B23),0)+IF('計算A'!BI$117=1,INDEX('計算A'!BJ$10:BJ$54,$B23),0))*4000,0)-IF(AND('計算A'!BH$117=1,WF23&gt;0),2000,0)-IF(AND($L23=1,'計算A'!BI$117=1,FH23=0),2000,0))),1000000))</f>
        <v/>
      </c>
      <c r="QL23">
        <f>IF($B23=0,1000000,IF(INDEX('計算A'!$D$60:$EQ$104,$B23,59)*FH23=1,IF(AND($E23=2,KW23=0),1000000,IF($I23&gt;0,IF(3=$J23,IF(OR(AND(59=$I23+1,OR($K23&lt;&gt;'計算A'!$A$3,'計算A'!$A$4=0)),AND(59=$I23-1,OR(11&lt;&gt;'計算A'!$A$3,'計算A'!$A$4=0))),0,IF(11=$K23,200000,ABS(11-$K23)*100)),100000+ABS(3-$J23)*1000+110)+'計算A'!BJ$5*50+IF(AND($E23=1,KW23=0),25,0),IF($F23&gt;0,INDEX('計算A'!BJ$110:BJ$114,$F23+1)+IF(AND($E23=1,KW23=0),1000,0),MIN(TW23,20)*400+(IF('計算A'!BI$106=1,1-FG23,0)+IF('計算A'!BJ$106=1,1-FI23,0))*150+113+'計算A'!BJ$5*100000+IF(AND($E23=1,KW23=0),50000,0))+IF($H23=1,(IF('計算A'!BI$117=1,INDEX('計算A'!BI$10:BI$54,$B23),0)+IF('計算A'!BJ$117=1,INDEX('計算A'!BK$10:BK$54,$B23),0))*4000,0)-IF(AND('計算A'!BI$117=1,WG23&gt;0),2000,0)-IF(AND($L23=1,'計算A'!BJ$117=1,FI23=0),2000,0))),1000000))</f>
        <v/>
      </c>
      <c r="QM23">
        <f>IF($B23=0,1000000,IF(INDEX('計算A'!$D$60:$EQ$104,$B23,60)*FI23=1,IF(AND($E23=2,KX23=0),1000000,IF($I23&gt;0,IF(3=$J23,IF(OR(AND(60=$I23+1,OR($K23&lt;&gt;'計算A'!$A$3,'計算A'!$A$4=0)),AND(60=$I23-1,OR(12&lt;&gt;'計算A'!$A$3,'計算A'!$A$4=0))),0,IF(12=$K23,200000,ABS(12-$K23)*100)),100000+ABS(3-$J23)*1000+120)+'計算A'!BK$5*50+IF(AND($E23=1,KX23=0),25,0),IF($F23&gt;0,INDEX('計算A'!BK$110:BK$114,$F23+1)+IF(AND($E23=1,KX23=0),1000,0),MIN(TW23,20)*400+(IF('計算A'!BJ$106=1,1-FH23,0)+IF('計算A'!BK$106=1,1-FJ23,0))*150+123+'計算A'!BK$5*100000+IF(AND($E23=1,KX23=0),50000,0))+IF($H23=1,(IF('計算A'!BJ$117=1,INDEX('計算A'!BJ$10:BJ$54,$B23),0)+IF('計算A'!BK$117=1,INDEX('計算A'!BL$10:BL$54,$B23),0))*4000,0)-IF(AND('計算A'!BJ$117=1,WH23&gt;0),2000,0)-IF(AND($L23=1,'計算A'!BK$117=1,FJ23=0),2000,0))),1000000))</f>
        <v/>
      </c>
      <c r="QN23">
        <f>IF($B23=0,1000000,IF(INDEX('計算A'!$D$60:$EQ$104,$B23,61)*FJ23=1,IF(AND($E23=2,KY23=0),1000000,IF($I23&gt;0,IF(3=$J23,IF(OR(AND(61=$I23+1,OR($K23&lt;&gt;'計算A'!$A$3,'計算A'!$A$4=0)),AND(61=$I23-1,OR(13&lt;&gt;'計算A'!$A$3,'計算A'!$A$4=0))),0,IF(13=$K23,200000,ABS(13-$K23)*100)),100000+ABS(3-$J23)*1000+130)+'計算A'!BL$5*50+IF(AND($E23=1,KY23=0),25,0),IF($F23&gt;0,INDEX('計算A'!BL$110:BL$114,$F23+1)+IF(AND($E23=1,KY23=0),1000,0),MIN(TW23,20)*400+(IF('計算A'!BK$106=1,1-FI23,0)+IF('計算A'!BL$106=1,1-FK23,0))*150+133+'計算A'!BL$5*100000+IF(AND($E23=1,KY23=0),50000,0))+IF($H23=1,(IF('計算A'!BK$117=1,INDEX('計算A'!BK$10:BK$54,$B23),0)+IF('計算A'!BL$117=1,INDEX('計算A'!BM$10:BM$54,$B23),0))*4000,0)-IF(AND('計算A'!BK$117=1,WI23&gt;0),2000,0)-IF(AND($L23=1,'計算A'!BL$117=1,FK23=0),2000,0))),1000000))</f>
        <v/>
      </c>
      <c r="QO23">
        <f>IF($B23=0,1000000,IF(INDEX('計算A'!$D$60:$EQ$104,$B23,62)*FK23=1,IF(AND($E23=2,KZ23=0),1000000,IF($I23&gt;0,IF(3=$J23,IF(OR(AND(62=$I23+1,OR($K23&lt;&gt;'計算A'!$A$3,'計算A'!$A$4=0)),AND(62=$I23-1,OR(14&lt;&gt;'計算A'!$A$3,'計算A'!$A$4=0))),0,IF(14=$K23,200000,ABS(14-$K23)*100)),100000+ABS(3-$J23)*1000+140)+'計算A'!BM$5*50+IF(AND($E23=1,KZ23=0),25,0),IF($F23&gt;0,INDEX('計算A'!BM$110:BM$114,$F23+1)+IF(AND($E23=1,KZ23=0),1000,0),MIN(TW23,20)*400+(IF('計算A'!BL$106=1,1-FJ23,0)+IF('計算A'!BM$106=1,1-FL23,0))*150+143+'計算A'!BM$5*100000+IF(AND($E23=1,KZ23=0),50000,0))+IF($H23=1,(IF('計算A'!BL$117=1,INDEX('計算A'!BL$10:BL$54,$B23),0)+IF('計算A'!BM$117=1,INDEX('計算A'!BN$10:BN$54,$B23),0))*4000,0)-IF(AND('計算A'!BL$117=1,WJ23&gt;0),2000,0)-IF(AND($L23=1,'計算A'!BM$117=1,FL23=0),2000,0))),1000000))</f>
        <v/>
      </c>
      <c r="QP23">
        <f>IF($B23=0,1000000,IF(INDEX('計算A'!$D$60:$EQ$104,$B23,63)*FL23=1,IF(AND($E23=2,LA23=0),1000000,IF($I23&gt;0,IF(3=$J23,IF(OR(AND(63=$I23+1,OR($K23&lt;&gt;'計算A'!$A$3,'計算A'!$A$4=0)),AND(63=$I23-1,OR(15&lt;&gt;'計算A'!$A$3,'計算A'!$A$4=0))),0,IF(15=$K23,200000,ABS(15-$K23)*100)),100000+ABS(3-$J23)*1000+150)+'計算A'!BN$5*50+IF(AND($E23=1,LA23=0),25,0),IF($F23&gt;0,INDEX('計算A'!BN$110:BN$114,$F23+1)+IF(AND($E23=1,LA23=0),1000,0),MIN(TW23,20)*400+(IF('計算A'!BM$106=1,1-FK23,0)+IF('計算A'!BN$106=1,1-FM23,0))*150+153+'計算A'!BN$5*100000+IF(AND($E23=1,LA23=0),50000,0))+IF($H23=1,(IF('計算A'!BM$117=1,INDEX('計算A'!BM$10:BM$54,$B23),0)+IF('計算A'!BN$117=1,INDEX('計算A'!BO$10:BO$54,$B23),0))*4000,0)-IF(AND('計算A'!BM$117=1,WK23&gt;0),2000,0)-IF(AND($L23=1,'計算A'!BN$117=1,FM23=0),2000,0))),1000000))</f>
        <v/>
      </c>
      <c r="QQ23">
        <f>IF($B23=0,1000000,IF(INDEX('計算A'!$D$60:$EQ$104,$B23,64)*FM23=1,IF(AND($E23=2,LB23=0),1000000,IF($I23&gt;0,IF(3=$J23,IF(OR(AND(64=$I23+1,OR($K23&lt;&gt;'計算A'!$A$3,'計算A'!$A$4=0)),AND(64=$I23-1,OR(16&lt;&gt;'計算A'!$A$3,'計算A'!$A$4=0))),0,IF(16=$K23,200000,ABS(16-$K23)*100)),100000+ABS(3-$J23)*1000+160)+'計算A'!BO$5*50+IF(AND($E23=1,LB23=0),25,0),IF($F23&gt;0,INDEX('計算A'!BO$110:BO$114,$F23+1)+IF(AND($E23=1,LB23=0),1000,0),MIN(TW23,20)*400+(IF('計算A'!BN$106=1,1-FL23,0)+IF('計算A'!BO$106=1,1-FN23,0))*150+163+'計算A'!BO$5*100000+IF(AND($E23=1,LB23=0),50000,0))+IF($H23=1,(IF('計算A'!BN$117=1,INDEX('計算A'!BN$10:BN$54,$B23),0)+IF('計算A'!BO$117=1,INDEX('計算A'!BP$10:BP$54,$B23),0))*4000,0)-IF(AND('計算A'!BN$117=1,WL23&gt;0),2000,0)-IF(AND($L23=1,'計算A'!BO$117=1,FN23=0),2000,0))),1000000))</f>
        <v/>
      </c>
      <c r="QR23">
        <f>IF($B23=0,1000000,IF(INDEX('計算A'!$D$60:$EQ$104,$B23,65)*FN23=1,IF(AND($E23=2,LC23=0),1000000,IF($I23&gt;0,IF(3=$J23,IF(OR(AND(65=$I23+1,OR($K23&lt;&gt;'計算A'!$A$3,'計算A'!$A$4=0)),AND(65=$I23-1,OR(17&lt;&gt;'計算A'!$A$3,'計算A'!$A$4=0))),0,IF(17=$K23,200000,ABS(17-$K23)*100)),100000+ABS(3-$J23)*1000+170)+'計算A'!BP$5*50+IF(AND($E23=1,LC23=0),25,0),IF($F23&gt;0,INDEX('計算A'!BP$110:BP$114,$F23+1)+IF(AND($E23=1,LC23=0),1000,0),MIN(TW23,20)*400+(IF('計算A'!BO$106=1,1-FM23,0)+IF('計算A'!BP$106=1,1-FO23,0))*150+173+'計算A'!BP$5*100000+IF(AND($E23=1,LC23=0),50000,0))+IF($H23=1,(IF('計算A'!BO$117=1,INDEX('計算A'!BO$10:BO$54,$B23),0)+IF('計算A'!BP$117=1,INDEX('計算A'!BQ$10:BQ$54,$B23),0))*4000,0)-IF(AND('計算A'!BO$117=1,WM23&gt;0),2000,0)-IF(AND($L23=1,'計算A'!BP$117=1,FO23=0),2000,0))),1000000))</f>
        <v/>
      </c>
      <c r="QS23">
        <f>IF($B23=0,1000000,IF(INDEX('計算A'!$D$60:$EQ$104,$B23,66)*FO23=1,IF(AND($E23=2,LD23=0),1000000,IF($I23&gt;0,IF(3=$J23,IF(OR(AND(66=$I23+1,OR($K23&lt;&gt;'計算A'!$A$3,'計算A'!$A$4=0)),AND(66=$I23-1,OR(18&lt;&gt;'計算A'!$A$3,'計算A'!$A$4=0))),0,IF(18=$K23,200000,ABS(18-$K23)*100)),100000+ABS(3-$J23)*1000+180)+'計算A'!BQ$5*50+IF(AND($E23=1,LD23=0),25,0),IF($F23&gt;0,INDEX('計算A'!BQ$110:BQ$114,$F23+1)+IF(AND($E23=1,LD23=0),1000,0),MIN(TW23,20)*400+(IF('計算A'!BP$106=1,1-FN23,0)+IF('計算A'!BQ$106=1,1-FP23,0))*150+183+'計算A'!BQ$5*100000+IF(AND($E23=1,LD23=0),50000,0))+IF($H23=1,(IF('計算A'!BP$117=1,INDEX('計算A'!BP$10:BP$54,$B23),0)+IF('計算A'!BQ$117=1,INDEX('計算A'!BR$10:BR$54,$B23),0))*4000,0)-IF(AND('計算A'!BP$117=1,WN23&gt;0),2000,0)-IF(AND($L23=1,'計算A'!BQ$117=1,FP23=0),2000,0))),1000000))</f>
        <v/>
      </c>
      <c r="QT23">
        <f>IF($B23=0,1000000,IF(INDEX('計算A'!$D$60:$EQ$104,$B23,67)*FP23=1,IF(AND($E23=2,LE23=0),1000000,IF($I23&gt;0,IF(3=$J23,IF(OR(AND(67=$I23+1,OR($K23&lt;&gt;'計算A'!$A$3,'計算A'!$A$4=0)),AND(67=$I23-1,OR(19&lt;&gt;'計算A'!$A$3,'計算A'!$A$4=0))),0,IF(19=$K23,200000,ABS(19-$K23)*100)),100000+ABS(3-$J23)*1000+190)+'計算A'!BR$5*50+IF(AND($E23=1,LE23=0),25,0),IF($F23&gt;0,INDEX('計算A'!BR$110:BR$114,$F23+1)+IF(AND($E23=1,LE23=0),1000,0),MIN(TW23,20)*400+(IF('計算A'!BQ$106=1,1-FO23,0)+IF('計算A'!BR$106=1,1-FQ23,0))*150+193+'計算A'!BR$5*100000+IF(AND($E23=1,LE23=0),50000,0))+IF($H23=1,(IF('計算A'!BQ$117=1,INDEX('計算A'!BQ$10:BQ$54,$B23),0)+IF('計算A'!BR$117=1,INDEX('計算A'!BS$10:BS$54,$B23),0))*4000,0)-IF(AND('計算A'!BQ$117=1,WO23&gt;0),2000,0)-IF(AND($L23=1,'計算A'!BR$117=1,FQ23=0),2000,0))),1000000))</f>
        <v/>
      </c>
      <c r="QU23">
        <f>IF($B23=0,1000000,IF(INDEX('計算A'!$D$60:$EQ$104,$B23,68)*FQ23=1,IF(AND($E23=2,LF23=0),1000000,IF($I23&gt;0,IF(3=$J23,IF(OR(AND(68=$I23+1,OR($K23&lt;&gt;'計算A'!$A$3,'計算A'!$A$4=0)),AND(68=$I23-1,OR(20&lt;&gt;'計算A'!$A$3,'計算A'!$A$4=0))),0,IF(20=$K23,200000,ABS(20-$K23)*100)),100000+ABS(3-$J23)*1000+200)+'計算A'!BS$5*50+IF(AND($E23=1,LF23=0),25,0),IF($F23&gt;0,INDEX('計算A'!BS$110:BS$114,$F23+1)+IF(AND($E23=1,LF23=0),1000,0),MIN(TW23,20)*400+(IF('計算A'!BR$106=1,1-FP23,0)+IF('計算A'!BS$106=1,1-FR23,0))*150+203+'計算A'!BS$5*100000+IF(AND($E23=1,LF23=0),50000,0))+IF($H23=1,(IF('計算A'!BR$117=1,INDEX('計算A'!BR$10:BR$54,$B23),0)+IF('計算A'!BS$117=1,INDEX('計算A'!BT$10:BT$54,$B23),0))*4000,0)-IF(AND('計算A'!BR$117=1,WP23&gt;0),2000,0)-IF(AND($L23=1,'計算A'!BS$117=1,FR23=0),2000,0))),1000000))</f>
        <v/>
      </c>
      <c r="QV23">
        <f>IF($B23=0,1000000,IF(INDEX('計算A'!$D$60:$EQ$104,$B23,69)*FR23=1,IF(AND($E23=2,LG23=0),1000000,IF($I23&gt;0,IF(3=$J23,IF(OR(AND(69=$I23+1,OR($K23&lt;&gt;'計算A'!$A$3,'計算A'!$A$4=0)),AND(69=$I23-1,OR(21&lt;&gt;'計算A'!$A$3,'計算A'!$A$4=0))),0,IF(21=$K23,200000,ABS(21-$K23)*100)),100000+ABS(3-$J23)*1000+210)+'計算A'!BT$5*50+IF(AND($E23=1,LG23=0),25,0),IF($F23&gt;0,INDEX('計算A'!BT$110:BT$114,$F23+1)+IF(AND($E23=1,LG23=0),1000,0),MIN(TW23,20)*400+(IF('計算A'!BS$106=1,1-FQ23,0)+IF('計算A'!BT$106=1,1-FS23,0))*150+213+'計算A'!BT$5*100000+IF(AND($E23=1,LG23=0),50000,0))+IF($H23=1,(IF('計算A'!BS$117=1,INDEX('計算A'!BS$10:BS$54,$B23),0)+IF('計算A'!BT$117=1,INDEX('計算A'!BU$10:BU$54,$B23),0))*4000,0)-IF(AND('計算A'!BS$117=1,WQ23&gt;0),2000,0)-IF(AND($L23=1,'計算A'!BT$117=1,FS23=0),2000,0))),1000000))</f>
        <v/>
      </c>
      <c r="QW23">
        <f>IF($B23=0,1000000,IF(INDEX('計算A'!$D$60:$EQ$104,$B23,70)*FS23=1,IF(AND($E23=2,LH23=0),1000000,IF($I23&gt;0,IF(3=$J23,IF(OR(AND(70=$I23+1,OR($K23&lt;&gt;'計算A'!$A$3,'計算A'!$A$4=0)),AND(70=$I23-1,OR(22&lt;&gt;'計算A'!$A$3,'計算A'!$A$4=0))),0,IF(22=$K23,200000,ABS(22-$K23)*100)),100000+ABS(3-$J23)*1000+220)+'計算A'!BU$5*50+IF(AND($E23=1,LH23=0),25,0),IF($F23&gt;0,INDEX('計算A'!BU$110:BU$114,$F23+1)+IF(AND($E23=1,LH23=0),1000,0),MIN(TW23,20)*400+(IF('計算A'!BT$106=1,1-FR23,0)+IF('計算A'!BU$106=1,1-FT23,0))*150+223+'計算A'!BU$5*100000+IF(AND($E23=1,LH23=0),50000,0))+IF($H23=1,(IF('計算A'!BT$117=1,INDEX('計算A'!BT$10:BT$54,$B23),0)+IF('計算A'!BU$117=1,INDEX('計算A'!BV$10:BV$54,$B23),0))*4000,0)-IF(AND('計算A'!BT$117=1,WR23&gt;0),2000,0)-IF(AND($L23=1,'計算A'!BU$117=1,FT23=0),2000,0))),1000000))</f>
        <v/>
      </c>
      <c r="QX23">
        <f>IF($B23=0,1000000,IF(INDEX('計算A'!$D$60:$EQ$104,$B23,71)*FT23=1,IF(AND($E23=2,LI23=0),1000000,IF($I23&gt;0,IF(3=$J23,IF(OR(AND(71=$I23+1,OR($K23&lt;&gt;'計算A'!$A$3,'計算A'!$A$4=0)),AND(71=$I23-1,OR(23&lt;&gt;'計算A'!$A$3,'計算A'!$A$4=0))),0,IF(23=$K23,200000,ABS(23-$K23)*100)),100000+ABS(3-$J23)*1000+230)+'計算A'!BV$5*50+IF(AND($E23=1,LI23=0),25,0),IF($F23&gt;0,INDEX('計算A'!BV$110:BV$114,$F23+1)+IF(AND($E23=1,LI23=0),1000,0),MIN(TW23,20)*400+(IF('計算A'!BU$106=1,1-FS23,0)+IF('計算A'!BV$106=1,1-FU23,0))*150+233+'計算A'!BV$5*100000+IF(AND($E23=1,LI23=0),50000,0))+IF($H23=1,(IF('計算A'!BU$117=1,INDEX('計算A'!BU$10:BU$54,$B23),0)+IF('計算A'!BV$117=1,INDEX('計算A'!BW$10:BW$54,$B23),0))*4000,0)-IF(AND('計算A'!BU$117=1,WS23&gt;0),2000,0)-IF(AND($L23=1,'計算A'!BV$117=1,FU23=0),2000,0))),1000000))</f>
        <v/>
      </c>
      <c r="QY23">
        <f>IF($B23=0,1000000,IF(INDEX('計算A'!$D$60:$EQ$104,$B23,72)*FU23=1,IF(AND($E23=2,LJ23=0),1000000,IF($I23&gt;0,IF(3=$J23,IF(OR(AND(72=$I23+1,OR($K23&lt;&gt;'計算A'!$A$3,'計算A'!$A$4=0)),AND(72=$I23-1,OR(24&lt;&gt;'計算A'!$A$3,'計算A'!$A$4=0))),0,IF(24=$K23,200000,ABS(24-$K23)*100)),100000+ABS(3-$J23)*1000+240)+'計算A'!BW$5*50+IF(AND($E23=1,LJ23=0),25,0),IF($F23&gt;0,INDEX('計算A'!BW$110:BW$114,$F23+1)+IF(AND($E23=1,LJ23=0),1000,0),MIN(TW23,20)*400+(IF('計算A'!BV$106=1,1-FT23,0))*150+243+'計算A'!BW$5*100000+IF(AND($E23=1,LJ23=0),50000,0))+IF($H23=1,(IF('計算A'!BV$117=1,INDEX('計算A'!BV$10:BV$54,$B23),0))*4000,0)-IF(AND('計算A'!BV$117=1,WT23&gt;0),2000,0))),1000000))</f>
        <v/>
      </c>
      <c r="QZ23">
        <f>IF($B23=0,1000000,IF(INDEX('計算A'!$D$60:$EQ$104,$B23,73)*FV23=1,IF(AND($E23=2,LK23=0),1000000,IF($I23&gt;0,IF(4=$J23,IF(OR(AND(73=$I23+1,OR($K23&lt;&gt;'計算A'!$A$3,'計算A'!$A$4=0)),AND(73=$I23-1,OR(1&lt;&gt;'計算A'!$A$3,'計算A'!$A$4=0))),0,IF(1=$K23,200000,ABS(1-$K23)*100)),100000+ABS(4-$J23)*1000+10)+'計算A'!BX$5*50+IF(AND($E23=1,LK23=0),25,0),IF($F23&gt;0,INDEX('計算A'!BX$110:BX$114,$F23+1)+IF(AND($E23=1,LK23=0),1000,0),MIN(TX23,20)*400+(IF('計算A'!BX$106=1,1-FW23,0))*150+14+'計算A'!BX$5*100000+IF(AND($E23=1,LK23=0),50000,0))+IF($H23=1,(IF('計算A'!BX$117=1,INDEX('計算A'!BY$10:BY$54,$B23),0))*4000,0)-IF(AND($L23=1,'計算A'!BX$117=1,FW23=0),2000,0))),1000000))</f>
        <v/>
      </c>
      <c r="RA23">
        <f>IF($B23=0,1000000,IF(INDEX('計算A'!$D$60:$EQ$104,$B23,74)*FW23=1,IF(AND($E23=2,LL23=0),1000000,IF($I23&gt;0,IF(4=$J23,IF(OR(AND(74=$I23+1,OR($K23&lt;&gt;'計算A'!$A$3,'計算A'!$A$4=0)),AND(74=$I23-1,OR(2&lt;&gt;'計算A'!$A$3,'計算A'!$A$4=0))),0,IF(2=$K23,200000,ABS(2-$K23)*100)),100000+ABS(4-$J23)*1000+20)+'計算A'!BY$5*50+IF(AND($E23=1,LL23=0),25,0),IF($F23&gt;0,INDEX('計算A'!BY$110:BY$114,$F23+1)+IF(AND($E23=1,LL23=0),1000,0),MIN(TX23,20)*400+(IF('計算A'!BX$106=1,1-FV23,0)+IF('計算A'!BY$106=1,1-FX23,0))*150+24+'計算A'!BY$5*100000+IF(AND($E23=1,LL23=0),50000,0))+IF($H23=1,(IF('計算A'!BX$117=1,INDEX('計算A'!BX$10:BX$54,$B23),0)+IF('計算A'!BY$117=1,INDEX('計算A'!BZ$10:BZ$54,$B23),0))*4000,0)-IF(AND('計算A'!BX$117=1,WV23&gt;0),2000,0)-IF(AND($L23=1,'計算A'!BY$117=1,FX23=0),2000,0))),1000000))</f>
        <v/>
      </c>
      <c r="RB23">
        <f>IF($B23=0,1000000,IF(INDEX('計算A'!$D$60:$EQ$104,$B23,75)*FX23=1,IF(AND($E23=2,LM23=0),1000000,IF($I23&gt;0,IF(4=$J23,IF(OR(AND(75=$I23+1,OR($K23&lt;&gt;'計算A'!$A$3,'計算A'!$A$4=0)),AND(75=$I23-1,OR(3&lt;&gt;'計算A'!$A$3,'計算A'!$A$4=0))),0,IF(3=$K23,200000,ABS(3-$K23)*100)),100000+ABS(4-$J23)*1000+30)+'計算A'!BZ$5*50+IF(AND($E23=1,LM23=0),25,0),IF($F23&gt;0,INDEX('計算A'!BZ$110:BZ$114,$F23+1)+IF(AND($E23=1,LM23=0),1000,0),MIN(TX23,20)*400+(IF('計算A'!BY$106=1,1-FW23,0)+IF('計算A'!BZ$106=1,1-FY23,0))*150+34+'計算A'!BZ$5*100000+IF(AND($E23=1,LM23=0),50000,0))+IF($H23=1,(IF('計算A'!BY$117=1,INDEX('計算A'!BY$10:BY$54,$B23),0)+IF('計算A'!BZ$117=1,INDEX('計算A'!CA$10:CA$54,$B23),0))*4000,0)-IF(AND('計算A'!BY$117=1,WW23&gt;0),2000,0)-IF(AND($L23=1,'計算A'!BZ$117=1,FY23=0),2000,0))),1000000))</f>
        <v/>
      </c>
      <c r="RC23">
        <f>IF($B23=0,1000000,IF(INDEX('計算A'!$D$60:$EQ$104,$B23,76)*FY23=1,IF(AND($E23=2,LN23=0),1000000,IF($I23&gt;0,IF(4=$J23,IF(OR(AND(76=$I23+1,OR($K23&lt;&gt;'計算A'!$A$3,'計算A'!$A$4=0)),AND(76=$I23-1,OR(4&lt;&gt;'計算A'!$A$3,'計算A'!$A$4=0))),0,IF(4=$K23,200000,ABS(4-$K23)*100)),100000+ABS(4-$J23)*1000+40)+'計算A'!CA$5*50+IF(AND($E23=1,LN23=0),25,0),IF($F23&gt;0,INDEX('計算A'!CA$110:CA$114,$F23+1)+IF(AND($E23=1,LN23=0),1000,0),MIN(TX23,20)*400+(IF('計算A'!BZ$106=1,1-FX23,0)+IF('計算A'!CA$106=1,1-FZ23,0))*150+44+'計算A'!CA$5*100000+IF(AND($E23=1,LN23=0),50000,0))+IF($H23=1,(IF('計算A'!BZ$117=1,INDEX('計算A'!BZ$10:BZ$54,$B23),0)+IF('計算A'!CA$117=1,INDEX('計算A'!CB$10:CB$54,$B23),0))*4000,0)-IF(AND('計算A'!BZ$117=1,WX23&gt;0),2000,0)-IF(AND($L23=1,'計算A'!CA$117=1,FZ23=0),2000,0))),1000000))</f>
        <v/>
      </c>
      <c r="RD23">
        <f>IF($B23=0,1000000,IF(INDEX('計算A'!$D$60:$EQ$104,$B23,77)*FZ23=1,IF(AND($E23=2,LO23=0),1000000,IF($I23&gt;0,IF(4=$J23,IF(OR(AND(77=$I23+1,OR($K23&lt;&gt;'計算A'!$A$3,'計算A'!$A$4=0)),AND(77=$I23-1,OR(5&lt;&gt;'計算A'!$A$3,'計算A'!$A$4=0))),0,IF(5=$K23,200000,ABS(5-$K23)*100)),100000+ABS(4-$J23)*1000+50)+'計算A'!CB$5*50+IF(AND($E23=1,LO23=0),25,0),IF($F23&gt;0,INDEX('計算A'!CB$110:CB$114,$F23+1)+IF(AND($E23=1,LO23=0),1000,0),MIN(TX23,20)*400+(IF('計算A'!CA$106=1,1-FY23,0)+IF('計算A'!CB$106=1,1-GA23,0))*150+54+'計算A'!CB$5*100000+IF(AND($E23=1,LO23=0),50000,0))+IF($H23=1,(IF('計算A'!CA$117=1,INDEX('計算A'!CA$10:CA$54,$B23),0)+IF('計算A'!CB$117=1,INDEX('計算A'!CC$10:CC$54,$B23),0))*4000,0)-IF(AND('計算A'!CA$117=1,WY23&gt;0),2000,0)-IF(AND($L23=1,'計算A'!CB$117=1,GA23=0),2000,0))),1000000))</f>
        <v/>
      </c>
      <c r="RE23">
        <f>IF($B23=0,1000000,IF(INDEX('計算A'!$D$60:$EQ$104,$B23,78)*GA23=1,IF(AND($E23=2,LP23=0),1000000,IF($I23&gt;0,IF(4=$J23,IF(OR(AND(78=$I23+1,OR($K23&lt;&gt;'計算A'!$A$3,'計算A'!$A$4=0)),AND(78=$I23-1,OR(6&lt;&gt;'計算A'!$A$3,'計算A'!$A$4=0))),0,IF(6=$K23,200000,ABS(6-$K23)*100)),100000+ABS(4-$J23)*1000+60)+'計算A'!CC$5*50+IF(AND($E23=1,LP23=0),25,0),IF($F23&gt;0,INDEX('計算A'!CC$110:CC$114,$F23+1)+IF(AND($E23=1,LP23=0),1000,0),MIN(TX23,20)*400+(IF('計算A'!CB$106=1,1-FZ23,0)+IF('計算A'!CC$106=1,1-GB23,0))*150+64+'計算A'!CC$5*100000+IF(AND($E23=1,LP23=0),50000,0))+IF($H23=1,(IF('計算A'!CB$117=1,INDEX('計算A'!CB$10:CB$54,$B23),0)+IF('計算A'!CC$117=1,INDEX('計算A'!CD$10:CD$54,$B23),0))*4000,0)-IF(AND('計算A'!CB$117=1,WZ23&gt;0),2000,0)-IF(AND($L23=1,'計算A'!CC$117=1,GB23=0),2000,0))),1000000))</f>
        <v/>
      </c>
      <c r="RF23">
        <f>IF($B23=0,1000000,IF(INDEX('計算A'!$D$60:$EQ$104,$B23,79)*GB23=1,IF(AND($E23=2,LQ23=0),1000000,IF($I23&gt;0,IF(4=$J23,IF(OR(AND(79=$I23+1,OR($K23&lt;&gt;'計算A'!$A$3,'計算A'!$A$4=0)),AND(79=$I23-1,OR(7&lt;&gt;'計算A'!$A$3,'計算A'!$A$4=0))),0,IF(7=$K23,200000,ABS(7-$K23)*100)),100000+ABS(4-$J23)*1000+70)+'計算A'!CD$5*50+IF(AND($E23=1,LQ23=0),25,0),IF($F23&gt;0,INDEX('計算A'!CD$110:CD$114,$F23+1)+IF(AND($E23=1,LQ23=0),1000,0),MIN(TX23,20)*400+(IF('計算A'!CC$106=1,1-GA23,0)+IF('計算A'!CD$106=1,1-GC23,0))*150+74+'計算A'!CD$5*100000+IF(AND($E23=1,LQ23=0),50000,0))+IF($H23=1,(IF('計算A'!CC$117=1,INDEX('計算A'!CC$10:CC$54,$B23),0)+IF('計算A'!CD$117=1,INDEX('計算A'!CE$10:CE$54,$B23),0))*4000,0)-IF(AND('計算A'!CC$117=1,XA23&gt;0),2000,0)-IF(AND($L23=1,'計算A'!CD$117=1,GC23=0),2000,0))),1000000))</f>
        <v/>
      </c>
      <c r="RG23">
        <f>IF($B23=0,1000000,IF(INDEX('計算A'!$D$60:$EQ$104,$B23,80)*GC23=1,IF(AND($E23=2,LR23=0),1000000,IF($I23&gt;0,IF(4=$J23,IF(OR(AND(80=$I23+1,OR($K23&lt;&gt;'計算A'!$A$3,'計算A'!$A$4=0)),AND(80=$I23-1,OR(8&lt;&gt;'計算A'!$A$3,'計算A'!$A$4=0))),0,IF(8=$K23,200000,ABS(8-$K23)*100)),100000+ABS(4-$J23)*1000+80)+'計算A'!CE$5*50+IF(AND($E23=1,LR23=0),25,0),IF($F23&gt;0,INDEX('計算A'!CE$110:CE$114,$F23+1)+IF(AND($E23=1,LR23=0),1000,0),MIN(TX23,20)*400+(IF('計算A'!CD$106=1,1-GB23,0)+IF('計算A'!CE$106=1,1-GD23,0))*150+84+'計算A'!CE$5*100000+IF(AND($E23=1,LR23=0),50000,0))+IF($H23=1,(IF('計算A'!CD$117=1,INDEX('計算A'!CD$10:CD$54,$B23),0)+IF('計算A'!CE$117=1,INDEX('計算A'!CF$10:CF$54,$B23),0))*4000,0)-IF(AND('計算A'!CD$117=1,XB23&gt;0),2000,0)-IF(AND($L23=1,'計算A'!CE$117=1,GD23=0),2000,0))),1000000))</f>
        <v/>
      </c>
      <c r="RH23">
        <f>IF($B23=0,1000000,IF(INDEX('計算A'!$D$60:$EQ$104,$B23,81)*GD23=1,IF(AND($E23=2,LS23=0),1000000,IF($I23&gt;0,IF(4=$J23,IF(OR(AND(81=$I23+1,OR($K23&lt;&gt;'計算A'!$A$3,'計算A'!$A$4=0)),AND(81=$I23-1,OR(9&lt;&gt;'計算A'!$A$3,'計算A'!$A$4=0))),0,IF(9=$K23,200000,ABS(9-$K23)*100)),100000+ABS(4-$J23)*1000+90)+'計算A'!CF$5*50+IF(AND($E23=1,LS23=0),25,0),IF($F23&gt;0,INDEX('計算A'!CF$110:CF$114,$F23+1)+IF(AND($E23=1,LS23=0),1000,0),MIN(TX23,20)*400+(IF('計算A'!CE$106=1,1-GC23,0)+IF('計算A'!CF$106=1,1-GE23,0))*150+94+'計算A'!CF$5*100000+IF(AND($E23=1,LS23=0),50000,0))+IF($H23=1,(IF('計算A'!CE$117=1,INDEX('計算A'!CE$10:CE$54,$B23),0)+IF('計算A'!CF$117=1,INDEX('計算A'!CG$10:CG$54,$B23),0))*4000,0)-IF(AND('計算A'!CE$117=1,XC23&gt;0),2000,0)-IF(AND($L23=1,'計算A'!CF$117=1,GE23=0),2000,0))),1000000))</f>
        <v/>
      </c>
      <c r="RI23">
        <f>IF($B23=0,1000000,IF(INDEX('計算A'!$D$60:$EQ$104,$B23,82)*GE23=1,IF(AND($E23=2,LT23=0),1000000,IF($I23&gt;0,IF(4=$J23,IF(OR(AND(82=$I23+1,OR($K23&lt;&gt;'計算A'!$A$3,'計算A'!$A$4=0)),AND(82=$I23-1,OR(10&lt;&gt;'計算A'!$A$3,'計算A'!$A$4=0))),0,IF(10=$K23,200000,ABS(10-$K23)*100)),100000+ABS(4-$J23)*1000+100)+'計算A'!CG$5*50+IF(AND($E23=1,LT23=0),25,0),IF($F23&gt;0,INDEX('計算A'!CG$110:CG$114,$F23+1)+IF(AND($E23=1,LT23=0),1000,0),MIN(TX23,20)*400+(IF('計算A'!CF$106=1,1-GD23,0)+IF('計算A'!CG$106=1,1-GF23,0))*150+104+'計算A'!CG$5*100000+IF(AND($E23=1,LT23=0),50000,0))+IF($H23=1,(IF('計算A'!CF$117=1,INDEX('計算A'!CF$10:CF$54,$B23),0)+IF('計算A'!CG$117=1,INDEX('計算A'!CH$10:CH$54,$B23),0))*4000,0)-IF(AND('計算A'!CF$117=1,XD23&gt;0),2000,0)-IF(AND($L23=1,'計算A'!CG$117=1,GF23=0),2000,0))),1000000))</f>
        <v/>
      </c>
      <c r="RJ23">
        <f>IF($B23=0,1000000,IF(INDEX('計算A'!$D$60:$EQ$104,$B23,83)*GF23=1,IF(AND($E23=2,LU23=0),1000000,IF($I23&gt;0,IF(4=$J23,IF(OR(AND(83=$I23+1,OR($K23&lt;&gt;'計算A'!$A$3,'計算A'!$A$4=0)),AND(83=$I23-1,OR(11&lt;&gt;'計算A'!$A$3,'計算A'!$A$4=0))),0,IF(11=$K23,200000,ABS(11-$K23)*100)),100000+ABS(4-$J23)*1000+110)+'計算A'!CH$5*50+IF(AND($E23=1,LU23=0),25,0),IF($F23&gt;0,INDEX('計算A'!CH$110:CH$114,$F23+1)+IF(AND($E23=1,LU23=0),1000,0),MIN(TX23,20)*400+(IF('計算A'!CG$106=1,1-GE23,0)+IF('計算A'!CH$106=1,1-GG23,0))*150+114+'計算A'!CH$5*100000+IF(AND($E23=1,LU23=0),50000,0))+IF($H23=1,(IF('計算A'!CG$117=1,INDEX('計算A'!CG$10:CG$54,$B23),0)+IF('計算A'!CH$117=1,INDEX('計算A'!CI$10:CI$54,$B23),0))*4000,0)-IF(AND('計算A'!CG$117=1,XE23&gt;0),2000,0)-IF(AND($L23=1,'計算A'!CH$117=1,GG23=0),2000,0))),1000000))</f>
        <v/>
      </c>
      <c r="RK23">
        <f>IF($B23=0,1000000,IF(INDEX('計算A'!$D$60:$EQ$104,$B23,84)*GG23=1,IF(AND($E23=2,LV23=0),1000000,IF($I23&gt;0,IF(4=$J23,IF(OR(AND(84=$I23+1,OR($K23&lt;&gt;'計算A'!$A$3,'計算A'!$A$4=0)),AND(84=$I23-1,OR(12&lt;&gt;'計算A'!$A$3,'計算A'!$A$4=0))),0,IF(12=$K23,200000,ABS(12-$K23)*100)),100000+ABS(4-$J23)*1000+120)+'計算A'!CI$5*50+IF(AND($E23=1,LV23=0),25,0),IF($F23&gt;0,INDEX('計算A'!CI$110:CI$114,$F23+1)+IF(AND($E23=1,LV23=0),1000,0),MIN(TX23,20)*400+(IF('計算A'!CH$106=1,1-GF23,0)+IF('計算A'!CI$106=1,1-GH23,0))*150+124+'計算A'!CI$5*100000+IF(AND($E23=1,LV23=0),50000,0))+IF($H23=1,(IF('計算A'!CH$117=1,INDEX('計算A'!CH$10:CH$54,$B23),0)+IF('計算A'!CI$117=1,INDEX('計算A'!CJ$10:CJ$54,$B23),0))*4000,0)-IF(AND('計算A'!CH$117=1,XF23&gt;0),2000,0)-IF(AND($L23=1,'計算A'!CI$117=1,GH23=0),2000,0))),1000000))</f>
        <v/>
      </c>
      <c r="RL23">
        <f>IF($B23=0,1000000,IF(INDEX('計算A'!$D$60:$EQ$104,$B23,85)*GH23=1,IF(AND($E23=2,LW23=0),1000000,IF($I23&gt;0,IF(4=$J23,IF(OR(AND(85=$I23+1,OR($K23&lt;&gt;'計算A'!$A$3,'計算A'!$A$4=0)),AND(85=$I23-1,OR(13&lt;&gt;'計算A'!$A$3,'計算A'!$A$4=0))),0,IF(13=$K23,200000,ABS(13-$K23)*100)),100000+ABS(4-$J23)*1000+130)+'計算A'!CJ$5*50+IF(AND($E23=1,LW23=0),25,0),IF($F23&gt;0,INDEX('計算A'!CJ$110:CJ$114,$F23+1)+IF(AND($E23=1,LW23=0),1000,0),MIN(TX23,20)*400+(IF('計算A'!CI$106=1,1-GG23,0)+IF('計算A'!CJ$106=1,1-GI23,0))*150+134+'計算A'!CJ$5*100000+IF(AND($E23=1,LW23=0),50000,0))+IF($H23=1,(IF('計算A'!CI$117=1,INDEX('計算A'!CI$10:CI$54,$B23),0)+IF('計算A'!CJ$117=1,INDEX('計算A'!CK$10:CK$54,$B23),0))*4000,0)-IF(AND('計算A'!CI$117=1,XG23&gt;0),2000,0)-IF(AND($L23=1,'計算A'!CJ$117=1,GI23=0),2000,0))),1000000))</f>
        <v/>
      </c>
      <c r="RM23">
        <f>IF($B23=0,1000000,IF(INDEX('計算A'!$D$60:$EQ$104,$B23,86)*GI23=1,IF(AND($E23=2,LX23=0),1000000,IF($I23&gt;0,IF(4=$J23,IF(OR(AND(86=$I23+1,OR($K23&lt;&gt;'計算A'!$A$3,'計算A'!$A$4=0)),AND(86=$I23-1,OR(14&lt;&gt;'計算A'!$A$3,'計算A'!$A$4=0))),0,IF(14=$K23,200000,ABS(14-$K23)*100)),100000+ABS(4-$J23)*1000+140)+'計算A'!CK$5*50+IF(AND($E23=1,LX23=0),25,0),IF($F23&gt;0,INDEX('計算A'!CK$110:CK$114,$F23+1)+IF(AND($E23=1,LX23=0),1000,0),MIN(TX23,20)*400+(IF('計算A'!CJ$106=1,1-GH23,0)+IF('計算A'!CK$106=1,1-GJ23,0))*150+144+'計算A'!CK$5*100000+IF(AND($E23=1,LX23=0),50000,0))+IF($H23=1,(IF('計算A'!CJ$117=1,INDEX('計算A'!CJ$10:CJ$54,$B23),0)+IF('計算A'!CK$117=1,INDEX('計算A'!CL$10:CL$54,$B23),0))*4000,0)-IF(AND('計算A'!CJ$117=1,XH23&gt;0),2000,0)-IF(AND($L23=1,'計算A'!CK$117=1,GJ23=0),2000,0))),1000000))</f>
        <v/>
      </c>
      <c r="RN23">
        <f>IF($B23=0,1000000,IF(INDEX('計算A'!$D$60:$EQ$104,$B23,87)*GJ23=1,IF(AND($E23=2,LY23=0),1000000,IF($I23&gt;0,IF(4=$J23,IF(OR(AND(87=$I23+1,OR($K23&lt;&gt;'計算A'!$A$3,'計算A'!$A$4=0)),AND(87=$I23-1,OR(15&lt;&gt;'計算A'!$A$3,'計算A'!$A$4=0))),0,IF(15=$K23,200000,ABS(15-$K23)*100)),100000+ABS(4-$J23)*1000+150)+'計算A'!CL$5*50+IF(AND($E23=1,LY23=0),25,0),IF($F23&gt;0,INDEX('計算A'!CL$110:CL$114,$F23+1)+IF(AND($E23=1,LY23=0),1000,0),MIN(TX23,20)*400+(IF('計算A'!CK$106=1,1-GI23,0)+IF('計算A'!CL$106=1,1-GK23,0))*150+154+'計算A'!CL$5*100000+IF(AND($E23=1,LY23=0),50000,0))+IF($H23=1,(IF('計算A'!CK$117=1,INDEX('計算A'!CK$10:CK$54,$B23),0)+IF('計算A'!CL$117=1,INDEX('計算A'!CM$10:CM$54,$B23),0))*4000,0)-IF(AND('計算A'!CK$117=1,XI23&gt;0),2000,0)-IF(AND($L23=1,'計算A'!CL$117=1,GK23=0),2000,0))),1000000))</f>
        <v/>
      </c>
      <c r="RO23">
        <f>IF($B23=0,1000000,IF(INDEX('計算A'!$D$60:$EQ$104,$B23,88)*GK23=1,IF(AND($E23=2,LZ23=0),1000000,IF($I23&gt;0,IF(4=$J23,IF(OR(AND(88=$I23+1,OR($K23&lt;&gt;'計算A'!$A$3,'計算A'!$A$4=0)),AND(88=$I23-1,OR(16&lt;&gt;'計算A'!$A$3,'計算A'!$A$4=0))),0,IF(16=$K23,200000,ABS(16-$K23)*100)),100000+ABS(4-$J23)*1000+160)+'計算A'!CM$5*50+IF(AND($E23=1,LZ23=0),25,0),IF($F23&gt;0,INDEX('計算A'!CM$110:CM$114,$F23+1)+IF(AND($E23=1,LZ23=0),1000,0),MIN(TX23,20)*400+(IF('計算A'!CL$106=1,1-GJ23,0)+IF('計算A'!CM$106=1,1-GL23,0))*150+164+'計算A'!CM$5*100000+IF(AND($E23=1,LZ23=0),50000,0))+IF($H23=1,(IF('計算A'!CL$117=1,INDEX('計算A'!CL$10:CL$54,$B23),0)+IF('計算A'!CM$117=1,INDEX('計算A'!CN$10:CN$54,$B23),0))*4000,0)-IF(AND('計算A'!CL$117=1,XJ23&gt;0),2000,0)-IF(AND($L23=1,'計算A'!CM$117=1,GL23=0),2000,0))),1000000))</f>
        <v/>
      </c>
      <c r="RP23">
        <f>IF($B23=0,1000000,IF(INDEX('計算A'!$D$60:$EQ$104,$B23,89)*GL23=1,IF(AND($E23=2,MA23=0),1000000,IF($I23&gt;0,IF(4=$J23,IF(OR(AND(89=$I23+1,OR($K23&lt;&gt;'計算A'!$A$3,'計算A'!$A$4=0)),AND(89=$I23-1,OR(17&lt;&gt;'計算A'!$A$3,'計算A'!$A$4=0))),0,IF(17=$K23,200000,ABS(17-$K23)*100)),100000+ABS(4-$J23)*1000+170)+'計算A'!CN$5*50+IF(AND($E23=1,MA23=0),25,0),IF($F23&gt;0,INDEX('計算A'!CN$110:CN$114,$F23+1)+IF(AND($E23=1,MA23=0),1000,0),MIN(TX23,20)*400+(IF('計算A'!CM$106=1,1-GK23,0)+IF('計算A'!CN$106=1,1-GM23,0))*150+174+'計算A'!CN$5*100000+IF(AND($E23=1,MA23=0),50000,0))+IF($H23=1,(IF('計算A'!CM$117=1,INDEX('計算A'!CM$10:CM$54,$B23),0)+IF('計算A'!CN$117=1,INDEX('計算A'!CO$10:CO$54,$B23),0))*4000,0)-IF(AND('計算A'!CM$117=1,XK23&gt;0),2000,0)-IF(AND($L23=1,'計算A'!CN$117=1,GM23=0),2000,0))),1000000))</f>
        <v/>
      </c>
      <c r="RQ23">
        <f>IF($B23=0,1000000,IF(INDEX('計算A'!$D$60:$EQ$104,$B23,90)*GM23=1,IF(AND($E23=2,MB23=0),1000000,IF($I23&gt;0,IF(4=$J23,IF(OR(AND(90=$I23+1,OR($K23&lt;&gt;'計算A'!$A$3,'計算A'!$A$4=0)),AND(90=$I23-1,OR(18&lt;&gt;'計算A'!$A$3,'計算A'!$A$4=0))),0,IF(18=$K23,200000,ABS(18-$K23)*100)),100000+ABS(4-$J23)*1000+180)+'計算A'!CO$5*50+IF(AND($E23=1,MB23=0),25,0),IF($F23&gt;0,INDEX('計算A'!CO$110:CO$114,$F23+1)+IF(AND($E23=1,MB23=0),1000,0),MIN(TX23,20)*400+(IF('計算A'!CN$106=1,1-GL23,0)+IF('計算A'!CO$106=1,1-GN23,0))*150+184+'計算A'!CO$5*100000+IF(AND($E23=1,MB23=0),50000,0))+IF($H23=1,(IF('計算A'!CN$117=1,INDEX('計算A'!CN$10:CN$54,$B23),0)+IF('計算A'!CO$117=1,INDEX('計算A'!CP$10:CP$54,$B23),0))*4000,0)-IF(AND('計算A'!CN$117=1,XL23&gt;0),2000,0)-IF(AND($L23=1,'計算A'!CO$117=1,GN23=0),2000,0))),1000000))</f>
        <v/>
      </c>
      <c r="RR23">
        <f>IF($B23=0,1000000,IF(INDEX('計算A'!$D$60:$EQ$104,$B23,91)*GN23=1,IF(AND($E23=2,MC23=0),1000000,IF($I23&gt;0,IF(4=$J23,IF(OR(AND(91=$I23+1,OR($K23&lt;&gt;'計算A'!$A$3,'計算A'!$A$4=0)),AND(91=$I23-1,OR(19&lt;&gt;'計算A'!$A$3,'計算A'!$A$4=0))),0,IF(19=$K23,200000,ABS(19-$K23)*100)),100000+ABS(4-$J23)*1000+190)+'計算A'!CP$5*50+IF(AND($E23=1,MC23=0),25,0),IF($F23&gt;0,INDEX('計算A'!CP$110:CP$114,$F23+1)+IF(AND($E23=1,MC23=0),1000,0),MIN(TX23,20)*400+(IF('計算A'!CO$106=1,1-GM23,0)+IF('計算A'!CP$106=1,1-GO23,0))*150+194+'計算A'!CP$5*100000+IF(AND($E23=1,MC23=0),50000,0))+IF($H23=1,(IF('計算A'!CO$117=1,INDEX('計算A'!CO$10:CO$54,$B23),0)+IF('計算A'!CP$117=1,INDEX('計算A'!CQ$10:CQ$54,$B23),0))*4000,0)-IF(AND('計算A'!CO$117=1,XM23&gt;0),2000,0)-IF(AND($L23=1,'計算A'!CP$117=1,GO23=0),2000,0))),1000000))</f>
        <v/>
      </c>
      <c r="RS23">
        <f>IF($B23=0,1000000,IF(INDEX('計算A'!$D$60:$EQ$104,$B23,92)*GO23=1,IF(AND($E23=2,MD23=0),1000000,IF($I23&gt;0,IF(4=$J23,IF(OR(AND(92=$I23+1,OR($K23&lt;&gt;'計算A'!$A$3,'計算A'!$A$4=0)),AND(92=$I23-1,OR(20&lt;&gt;'計算A'!$A$3,'計算A'!$A$4=0))),0,IF(20=$K23,200000,ABS(20-$K23)*100)),100000+ABS(4-$J23)*1000+200)+'計算A'!CQ$5*50+IF(AND($E23=1,MD23=0),25,0),IF($F23&gt;0,INDEX('計算A'!CQ$110:CQ$114,$F23+1)+IF(AND($E23=1,MD23=0),1000,0),MIN(TX23,20)*400+(IF('計算A'!CP$106=1,1-GN23,0)+IF('計算A'!CQ$106=1,1-GP23,0))*150+204+'計算A'!CQ$5*100000+IF(AND($E23=1,MD23=0),50000,0))+IF($H23=1,(IF('計算A'!CP$117=1,INDEX('計算A'!CP$10:CP$54,$B23),0)+IF('計算A'!CQ$117=1,INDEX('計算A'!CR$10:CR$54,$B23),0))*4000,0)-IF(AND('計算A'!CP$117=1,XN23&gt;0),2000,0)-IF(AND($L23=1,'計算A'!CQ$117=1,GP23=0),2000,0))),1000000))</f>
        <v/>
      </c>
      <c r="RT23">
        <f>IF($B23=0,1000000,IF(INDEX('計算A'!$D$60:$EQ$104,$B23,93)*GP23=1,IF(AND($E23=2,ME23=0),1000000,IF($I23&gt;0,IF(4=$J23,IF(OR(AND(93=$I23+1,OR($K23&lt;&gt;'計算A'!$A$3,'計算A'!$A$4=0)),AND(93=$I23-1,OR(21&lt;&gt;'計算A'!$A$3,'計算A'!$A$4=0))),0,IF(21=$K23,200000,ABS(21-$K23)*100)),100000+ABS(4-$J23)*1000+210)+'計算A'!CR$5*50+IF(AND($E23=1,ME23=0),25,0),IF($F23&gt;0,INDEX('計算A'!CR$110:CR$114,$F23+1)+IF(AND($E23=1,ME23=0),1000,0),MIN(TX23,20)*400+(IF('計算A'!CQ$106=1,1-GO23,0)+IF('計算A'!CR$106=1,1-GQ23,0))*150+214+'計算A'!CR$5*100000+IF(AND($E23=1,ME23=0),50000,0))+IF($H23=1,(IF('計算A'!CQ$117=1,INDEX('計算A'!CQ$10:CQ$54,$B23),0)+IF('計算A'!CR$117=1,INDEX('計算A'!CS$10:CS$54,$B23),0))*4000,0)-IF(AND('計算A'!CQ$117=1,XO23&gt;0),2000,0)-IF(AND($L23=1,'計算A'!CR$117=1,GQ23=0),2000,0))),1000000))</f>
        <v/>
      </c>
      <c r="RU23">
        <f>IF($B23=0,1000000,IF(INDEX('計算A'!$D$60:$EQ$104,$B23,94)*GQ23=1,IF(AND($E23=2,MF23=0),1000000,IF($I23&gt;0,IF(4=$J23,IF(OR(AND(94=$I23+1,OR($K23&lt;&gt;'計算A'!$A$3,'計算A'!$A$4=0)),AND(94=$I23-1,OR(22&lt;&gt;'計算A'!$A$3,'計算A'!$A$4=0))),0,IF(22=$K23,200000,ABS(22-$K23)*100)),100000+ABS(4-$J23)*1000+220)+'計算A'!CS$5*50+IF(AND($E23=1,MF23=0),25,0),IF($F23&gt;0,INDEX('計算A'!CS$110:CS$114,$F23+1)+IF(AND($E23=1,MF23=0),1000,0),MIN(TX23,20)*400+(IF('計算A'!CR$106=1,1-GP23,0)+IF('計算A'!CS$106=1,1-GR23,0))*150+224+'計算A'!CS$5*100000+IF(AND($E23=1,MF23=0),50000,0))+IF($H23=1,(IF('計算A'!CR$117=1,INDEX('計算A'!CR$10:CR$54,$B23),0)+IF('計算A'!CS$117=1,INDEX('計算A'!CT$10:CT$54,$B23),0))*4000,0)-IF(AND('計算A'!CR$117=1,XP23&gt;0),2000,0)-IF(AND($L23=1,'計算A'!CS$117=1,GR23=0),2000,0))),1000000))</f>
        <v/>
      </c>
      <c r="RV23">
        <f>IF($B23=0,1000000,IF(INDEX('計算A'!$D$60:$EQ$104,$B23,95)*GR23=1,IF(AND($E23=2,MG23=0),1000000,IF($I23&gt;0,IF(4=$J23,IF(OR(AND(95=$I23+1,OR($K23&lt;&gt;'計算A'!$A$3,'計算A'!$A$4=0)),AND(95=$I23-1,OR(23&lt;&gt;'計算A'!$A$3,'計算A'!$A$4=0))),0,IF(23=$K23,200000,ABS(23-$K23)*100)),100000+ABS(4-$J23)*1000+230)+'計算A'!CT$5*50+IF(AND($E23=1,MG23=0),25,0),IF($F23&gt;0,INDEX('計算A'!CT$110:CT$114,$F23+1)+IF(AND($E23=1,MG23=0),1000,0),MIN(TX23,20)*400+(IF('計算A'!CS$106=1,1-GQ23,0)+IF('計算A'!CT$106=1,1-GS23,0))*150+234+'計算A'!CT$5*100000+IF(AND($E23=1,MG23=0),50000,0))+IF($H23=1,(IF('計算A'!CS$117=1,INDEX('計算A'!CS$10:CS$54,$B23),0)+IF('計算A'!CT$117=1,INDEX('計算A'!CU$10:CU$54,$B23),0))*4000,0)-IF(AND('計算A'!CS$117=1,XQ23&gt;0),2000,0)-IF(AND($L23=1,'計算A'!CT$117=1,GS23=0),2000,0))),1000000))</f>
        <v/>
      </c>
      <c r="RW23">
        <f>IF($B23=0,1000000,IF(INDEX('計算A'!$D$60:$EQ$104,$B23,96)*GS23=1,IF(AND($E23=2,MH23=0),1000000,IF($I23&gt;0,IF(4=$J23,IF(OR(AND(96=$I23+1,OR($K23&lt;&gt;'計算A'!$A$3,'計算A'!$A$4=0)),AND(96=$I23-1,OR(24&lt;&gt;'計算A'!$A$3,'計算A'!$A$4=0))),0,IF(24=$K23,200000,ABS(24-$K23)*100)),100000+ABS(4-$J23)*1000+240)+'計算A'!CU$5*50+IF(AND($E23=1,MH23=0),25,0),IF($F23&gt;0,INDEX('計算A'!CU$110:CU$114,$F23+1)+IF(AND($E23=1,MH23=0),1000,0),MIN(TX23,20)*400+(IF('計算A'!CT$106=1,1-GR23,0))*150+244+'計算A'!CU$5*100000+IF(AND($E23=1,MH23=0),50000,0))+IF($H23=1,(IF('計算A'!CT$117=1,INDEX('計算A'!CT$10:CT$54,$B23),0))*4000,0)-IF(AND('計算A'!CT$117=1,XR23&gt;0),2000,0))),1000000))</f>
        <v/>
      </c>
      <c r="RX23">
        <f>IF($B23=0,1000000,IF(INDEX('計算A'!$D$60:$EQ$104,$B23,97)*GT23=1,IF(AND($E23=2,MI23=0),1000000,IF($I23&gt;0,IF(5=$J23,IF(OR(AND(97=$I23+1,OR($K23&lt;&gt;'計算A'!$A$3,'計算A'!$A$4=0)),AND(97=$I23-1,OR(1&lt;&gt;'計算A'!$A$3,'計算A'!$A$4=0))),0,IF(1=$K23,200000,ABS(1-$K23)*100)),100000+ABS(5-$J23)*1000+10)+'計算A'!CV$5*50+IF(AND($E23=1,MI23=0),25,0),IF($F23&gt;0,INDEX('計算A'!CV$110:CV$114,$F23+1)+IF(AND($E23=1,MI23=0),1000,0),MIN(TY23,20)*400+(IF('計算A'!CV$106=1,1-GU23,0))*150+15+'計算A'!CV$5*100000+IF(AND($E23=1,MI23=0),50000,0))+IF($H23=1,(IF('計算A'!CV$117=1,INDEX('計算A'!CW$10:CW$54,$B23),0))*4000,0)-IF(AND($L23=1,'計算A'!CV$117=1,GU23=0),2000,0))),1000000))</f>
        <v/>
      </c>
      <c r="RY23">
        <f>IF($B23=0,1000000,IF(INDEX('計算A'!$D$60:$EQ$104,$B23,98)*GU23=1,IF(AND($E23=2,MJ23=0),1000000,IF($I23&gt;0,IF(5=$J23,IF(OR(AND(98=$I23+1,OR($K23&lt;&gt;'計算A'!$A$3,'計算A'!$A$4=0)),AND(98=$I23-1,OR(2&lt;&gt;'計算A'!$A$3,'計算A'!$A$4=0))),0,IF(2=$K23,200000,ABS(2-$K23)*100)),100000+ABS(5-$J23)*1000+20)+'計算A'!CW$5*50+IF(AND($E23=1,MJ23=0),25,0),IF($F23&gt;0,INDEX('計算A'!CW$110:CW$114,$F23+1)+IF(AND($E23=1,MJ23=0),1000,0),MIN(TY23,20)*400+(IF('計算A'!CV$106=1,1-GT23,0)+IF('計算A'!CW$106=1,1-GV23,0))*150+25+'計算A'!CW$5*100000+IF(AND($E23=1,MJ23=0),50000,0))+IF($H23=1,(IF('計算A'!CV$117=1,INDEX('計算A'!CV$10:CV$54,$B23),0)+IF('計算A'!CW$117=1,INDEX('計算A'!CX$10:CX$54,$B23),0))*4000,0)-IF(AND('計算A'!CV$117=1,XT23&gt;0),2000,0)-IF(AND($L23=1,'計算A'!CW$117=1,GV23=0),2000,0))),1000000))</f>
        <v/>
      </c>
      <c r="RZ23">
        <f>IF($B23=0,1000000,IF(INDEX('計算A'!$D$60:$EQ$104,$B23,99)*GV23=1,IF(AND($E23=2,MK23=0),1000000,IF($I23&gt;0,IF(5=$J23,IF(OR(AND(99=$I23+1,OR($K23&lt;&gt;'計算A'!$A$3,'計算A'!$A$4=0)),AND(99=$I23-1,OR(3&lt;&gt;'計算A'!$A$3,'計算A'!$A$4=0))),0,IF(3=$K23,200000,ABS(3-$K23)*100)),100000+ABS(5-$J23)*1000+30)+'計算A'!CX$5*50+IF(AND($E23=1,MK23=0),25,0),IF($F23&gt;0,INDEX('計算A'!CX$110:CX$114,$F23+1)+IF(AND($E23=1,MK23=0),1000,0),MIN(TY23,20)*400+(IF('計算A'!CW$106=1,1-GU23,0)+IF('計算A'!CX$106=1,1-GW23,0))*150+35+'計算A'!CX$5*100000+IF(AND($E23=1,MK23=0),50000,0))+IF($H23=1,(IF('計算A'!CW$117=1,INDEX('計算A'!CW$10:CW$54,$B23),0)+IF('計算A'!CX$117=1,INDEX('計算A'!CY$10:CY$54,$B23),0))*4000,0)-IF(AND('計算A'!CW$117=1,XU23&gt;0),2000,0)-IF(AND($L23=1,'計算A'!CX$117=1,GW23=0),2000,0))),1000000))</f>
        <v/>
      </c>
      <c r="SA23">
        <f>IF($B23=0,1000000,IF(INDEX('計算A'!$D$60:$EQ$104,$B23,100)*GW23=1,IF(AND($E23=2,ML23=0),1000000,IF($I23&gt;0,IF(5=$J23,IF(OR(AND(100=$I23+1,OR($K23&lt;&gt;'計算A'!$A$3,'計算A'!$A$4=0)),AND(100=$I23-1,OR(4&lt;&gt;'計算A'!$A$3,'計算A'!$A$4=0))),0,IF(4=$K23,200000,ABS(4-$K23)*100)),100000+ABS(5-$J23)*1000+40)+'計算A'!CY$5*50+IF(AND($E23=1,ML23=0),25,0),IF($F23&gt;0,INDEX('計算A'!CY$110:CY$114,$F23+1)+IF(AND($E23=1,ML23=0),1000,0),MIN(TY23,20)*400+(IF('計算A'!CX$106=1,1-GV23,0)+IF('計算A'!CY$106=1,1-GX23,0))*150+45+'計算A'!CY$5*100000+IF(AND($E23=1,ML23=0),50000,0))+IF($H23=1,(IF('計算A'!CX$117=1,INDEX('計算A'!CX$10:CX$54,$B23),0)+IF('計算A'!CY$117=1,INDEX('計算A'!CZ$10:CZ$54,$B23),0))*4000,0)-IF(AND('計算A'!CX$117=1,XV23&gt;0),2000,0)-IF(AND($L23=1,'計算A'!CY$117=1,GX23=0),2000,0))),1000000))</f>
        <v/>
      </c>
      <c r="SB23">
        <f>IF($B23=0,1000000,IF(INDEX('計算A'!$D$60:$EQ$104,$B23,101)*GX23=1,IF(AND($E23=2,MM23=0),1000000,IF($I23&gt;0,IF(5=$J23,IF(OR(AND(101=$I23+1,OR($K23&lt;&gt;'計算A'!$A$3,'計算A'!$A$4=0)),AND(101=$I23-1,OR(5&lt;&gt;'計算A'!$A$3,'計算A'!$A$4=0))),0,IF(5=$K23,200000,ABS(5-$K23)*100)),100000+ABS(5-$J23)*1000+50)+'計算A'!CZ$5*50+IF(AND($E23=1,MM23=0),25,0),IF($F23&gt;0,INDEX('計算A'!CZ$110:CZ$114,$F23+1)+IF(AND($E23=1,MM23=0),1000,0),MIN(TY23,20)*400+(IF('計算A'!CY$106=1,1-GW23,0)+IF('計算A'!CZ$106=1,1-GY23,0))*150+55+'計算A'!CZ$5*100000+IF(AND($E23=1,MM23=0),50000,0))+IF($H23=1,(IF('計算A'!CY$117=1,INDEX('計算A'!CY$10:CY$54,$B23),0)+IF('計算A'!CZ$117=1,INDEX('計算A'!DA$10:DA$54,$B23),0))*4000,0)-IF(AND('計算A'!CY$117=1,XW23&gt;0),2000,0)-IF(AND($L23=1,'計算A'!CZ$117=1,GY23=0),2000,0))),1000000))</f>
        <v/>
      </c>
      <c r="SC23">
        <f>IF($B23=0,1000000,IF(INDEX('計算A'!$D$60:$EQ$104,$B23,102)*GY23=1,IF(AND($E23=2,MN23=0),1000000,IF($I23&gt;0,IF(5=$J23,IF(OR(AND(102=$I23+1,OR($K23&lt;&gt;'計算A'!$A$3,'計算A'!$A$4=0)),AND(102=$I23-1,OR(6&lt;&gt;'計算A'!$A$3,'計算A'!$A$4=0))),0,IF(6=$K23,200000,ABS(6-$K23)*100)),100000+ABS(5-$J23)*1000+60)+'計算A'!DA$5*50+IF(AND($E23=1,MN23=0),25,0),IF($F23&gt;0,INDEX('計算A'!DA$110:DA$114,$F23+1)+IF(AND($E23=1,MN23=0),1000,0),MIN(TY23,20)*400+(IF('計算A'!CZ$106=1,1-GX23,0)+IF('計算A'!DA$106=1,1-GZ23,0))*150+65+'計算A'!DA$5*100000+IF(AND($E23=1,MN23=0),50000,0))+IF($H23=1,(IF('計算A'!CZ$117=1,INDEX('計算A'!CZ$10:CZ$54,$B23),0)+IF('計算A'!DA$117=1,INDEX('計算A'!DB$10:DB$54,$B23),0))*4000,0)-IF(AND('計算A'!CZ$117=1,XX23&gt;0),2000,0)-IF(AND($L23=1,'計算A'!DA$117=1,GZ23=0),2000,0))),1000000))</f>
        <v/>
      </c>
      <c r="SD23">
        <f>IF($B23=0,1000000,IF(INDEX('計算A'!$D$60:$EQ$104,$B23,103)*GZ23=1,IF(AND($E23=2,MO23=0),1000000,IF($I23&gt;0,IF(5=$J23,IF(OR(AND(103=$I23+1,OR($K23&lt;&gt;'計算A'!$A$3,'計算A'!$A$4=0)),AND(103=$I23-1,OR(7&lt;&gt;'計算A'!$A$3,'計算A'!$A$4=0))),0,IF(7=$K23,200000,ABS(7-$K23)*100)),100000+ABS(5-$J23)*1000+70)+'計算A'!DB$5*50+IF(AND($E23=1,MO23=0),25,0),IF($F23&gt;0,INDEX('計算A'!DB$110:DB$114,$F23+1)+IF(AND($E23=1,MO23=0),1000,0),MIN(TY23,20)*400+(IF('計算A'!DA$106=1,1-GY23,0)+IF('計算A'!DB$106=1,1-HA23,0))*150+75+'計算A'!DB$5*100000+IF(AND($E23=1,MO23=0),50000,0))+IF($H23=1,(IF('計算A'!DA$117=1,INDEX('計算A'!DA$10:DA$54,$B23),0)+IF('計算A'!DB$117=1,INDEX('計算A'!DC$10:DC$54,$B23),0))*4000,0)-IF(AND('計算A'!DA$117=1,XY23&gt;0),2000,0)-IF(AND($L23=1,'計算A'!DB$117=1,HA23=0),2000,0))),1000000))</f>
        <v/>
      </c>
      <c r="SE23">
        <f>IF($B23=0,1000000,IF(INDEX('計算A'!$D$60:$EQ$104,$B23,104)*HA23=1,IF(AND($E23=2,MP23=0),1000000,IF($I23&gt;0,IF(5=$J23,IF(OR(AND(104=$I23+1,OR($K23&lt;&gt;'計算A'!$A$3,'計算A'!$A$4=0)),AND(104=$I23-1,OR(8&lt;&gt;'計算A'!$A$3,'計算A'!$A$4=0))),0,IF(8=$K23,200000,ABS(8-$K23)*100)),100000+ABS(5-$J23)*1000+80)+'計算A'!DC$5*50+IF(AND($E23=1,MP23=0),25,0),IF($F23&gt;0,INDEX('計算A'!DC$110:DC$114,$F23+1)+IF(AND($E23=1,MP23=0),1000,0),MIN(TY23,20)*400+(IF('計算A'!DB$106=1,1-GZ23,0)+IF('計算A'!DC$106=1,1-HB23,0))*150+85+'計算A'!DC$5*100000+IF(AND($E23=1,MP23=0),50000,0))+IF($H23=1,(IF('計算A'!DB$117=1,INDEX('計算A'!DB$10:DB$54,$B23),0)+IF('計算A'!DC$117=1,INDEX('計算A'!DD$10:DD$54,$B23),0))*4000,0)-IF(AND('計算A'!DB$117=1,XZ23&gt;0),2000,0)-IF(AND($L23=1,'計算A'!DC$117=1,HB23=0),2000,0))),1000000))</f>
        <v/>
      </c>
      <c r="SF23">
        <f>IF($B23=0,1000000,IF(INDEX('計算A'!$D$60:$EQ$104,$B23,105)*HB23=1,IF(AND($E23=2,MQ23=0),1000000,IF($I23&gt;0,IF(5=$J23,IF(OR(AND(105=$I23+1,OR($K23&lt;&gt;'計算A'!$A$3,'計算A'!$A$4=0)),AND(105=$I23-1,OR(9&lt;&gt;'計算A'!$A$3,'計算A'!$A$4=0))),0,IF(9=$K23,200000,ABS(9-$K23)*100)),100000+ABS(5-$J23)*1000+90)+'計算A'!DD$5*50+IF(AND($E23=1,MQ23=0),25,0),IF($F23&gt;0,INDEX('計算A'!DD$110:DD$114,$F23+1)+IF(AND($E23=1,MQ23=0),1000,0),MIN(TY23,20)*400+(IF('計算A'!DC$106=1,1-HA23,0)+IF('計算A'!DD$106=1,1-HC23,0))*150+95+'計算A'!DD$5*100000+IF(AND($E23=1,MQ23=0),50000,0))+IF($H23=1,(IF('計算A'!DC$117=1,INDEX('計算A'!DC$10:DC$54,$B23),0)+IF('計算A'!DD$117=1,INDEX('計算A'!DE$10:DE$54,$B23),0))*4000,0)-IF(AND('計算A'!DC$117=1,YA23&gt;0),2000,0)-IF(AND($L23=1,'計算A'!DD$117=1,HC23=0),2000,0))),1000000))</f>
        <v/>
      </c>
      <c r="SG23">
        <f>IF($B23=0,1000000,IF(INDEX('計算A'!$D$60:$EQ$104,$B23,106)*HC23=1,IF(AND($E23=2,MR23=0),1000000,IF($I23&gt;0,IF(5=$J23,IF(OR(AND(106=$I23+1,OR($K23&lt;&gt;'計算A'!$A$3,'計算A'!$A$4=0)),AND(106=$I23-1,OR(10&lt;&gt;'計算A'!$A$3,'計算A'!$A$4=0))),0,IF(10=$K23,200000,ABS(10-$K23)*100)),100000+ABS(5-$J23)*1000+100)+'計算A'!DE$5*50+IF(AND($E23=1,MR23=0),25,0),IF($F23&gt;0,INDEX('計算A'!DE$110:DE$114,$F23+1)+IF(AND($E23=1,MR23=0),1000,0),MIN(TY23,20)*400+(IF('計算A'!DD$106=1,1-HB23,0)+IF('計算A'!DE$106=1,1-HD23,0))*150+105+'計算A'!DE$5*100000+IF(AND($E23=1,MR23=0),50000,0))+IF($H23=1,(IF('計算A'!DD$117=1,INDEX('計算A'!DD$10:DD$54,$B23),0)+IF('計算A'!DE$117=1,INDEX('計算A'!DF$10:DF$54,$B23),0))*4000,0)-IF(AND('計算A'!DD$117=1,YB23&gt;0),2000,0)-IF(AND($L23=1,'計算A'!DE$117=1,HD23=0),2000,0))),1000000))</f>
        <v/>
      </c>
      <c r="SH23">
        <f>IF($B23=0,1000000,IF(INDEX('計算A'!$D$60:$EQ$104,$B23,107)*HD23=1,IF(AND($E23=2,MS23=0),1000000,IF($I23&gt;0,IF(5=$J23,IF(OR(AND(107=$I23+1,OR($K23&lt;&gt;'計算A'!$A$3,'計算A'!$A$4=0)),AND(107=$I23-1,OR(11&lt;&gt;'計算A'!$A$3,'計算A'!$A$4=0))),0,IF(11=$K23,200000,ABS(11-$K23)*100)),100000+ABS(5-$J23)*1000+110)+'計算A'!DF$5*50+IF(AND($E23=1,MS23=0),25,0),IF($F23&gt;0,INDEX('計算A'!DF$110:DF$114,$F23+1)+IF(AND($E23=1,MS23=0),1000,0),MIN(TY23,20)*400+(IF('計算A'!DE$106=1,1-HC23,0)+IF('計算A'!DF$106=1,1-HE23,0))*150+115+'計算A'!DF$5*100000+IF(AND($E23=1,MS23=0),50000,0))+IF($H23=1,(IF('計算A'!DE$117=1,INDEX('計算A'!DE$10:DE$54,$B23),0)+IF('計算A'!DF$117=1,INDEX('計算A'!DG$10:DG$54,$B23),0))*4000,0)-IF(AND('計算A'!DE$117=1,YC23&gt;0),2000,0)-IF(AND($L23=1,'計算A'!DF$117=1,HE23=0),2000,0))),1000000))</f>
        <v/>
      </c>
      <c r="SI23">
        <f>IF($B23=0,1000000,IF(INDEX('計算A'!$D$60:$EQ$104,$B23,108)*HE23=1,IF(AND($E23=2,MT23=0),1000000,IF($I23&gt;0,IF(5=$J23,IF(OR(AND(108=$I23+1,OR($K23&lt;&gt;'計算A'!$A$3,'計算A'!$A$4=0)),AND(108=$I23-1,OR(12&lt;&gt;'計算A'!$A$3,'計算A'!$A$4=0))),0,IF(12=$K23,200000,ABS(12-$K23)*100)),100000+ABS(5-$J23)*1000+120)+'計算A'!DG$5*50+IF(AND($E23=1,MT23=0),25,0),IF($F23&gt;0,INDEX('計算A'!DG$110:DG$114,$F23+1)+IF(AND($E23=1,MT23=0),1000,0),MIN(TY23,20)*400+(IF('計算A'!DF$106=1,1-HD23,0)+IF('計算A'!DG$106=1,1-HF23,0))*150+125+'計算A'!DG$5*100000+IF(AND($E23=1,MT23=0),50000,0))+IF($H23=1,(IF('計算A'!DF$117=1,INDEX('計算A'!DF$10:DF$54,$B23),0)+IF('計算A'!DG$117=1,INDEX('計算A'!DH$10:DH$54,$B23),0))*4000,0)-IF(AND('計算A'!DF$117=1,YD23&gt;0),2000,0)-IF(AND($L23=1,'計算A'!DG$117=1,HF23=0),2000,0))),1000000))</f>
        <v/>
      </c>
      <c r="SJ23">
        <f>IF($B23=0,1000000,IF(INDEX('計算A'!$D$60:$EQ$104,$B23,109)*HF23=1,IF(AND($E23=2,MU23=0),1000000,IF($I23&gt;0,IF(5=$J23,IF(OR(AND(109=$I23+1,OR($K23&lt;&gt;'計算A'!$A$3,'計算A'!$A$4=0)),AND(109=$I23-1,OR(13&lt;&gt;'計算A'!$A$3,'計算A'!$A$4=0))),0,IF(13=$K23,200000,ABS(13-$K23)*100)),100000+ABS(5-$J23)*1000+130)+'計算A'!DH$5*50+IF(AND($E23=1,MU23=0),25,0),IF($F23&gt;0,INDEX('計算A'!DH$110:DH$114,$F23+1)+IF(AND($E23=1,MU23=0),1000,0),MIN(TY23,20)*400+(IF('計算A'!DG$106=1,1-HE23,0)+IF('計算A'!DH$106=1,1-HG23,0))*150+135+'計算A'!DH$5*100000+IF(AND($E23=1,MU23=0),50000,0))+IF($H23=1,(IF('計算A'!DG$117=1,INDEX('計算A'!DG$10:DG$54,$B23),0)+IF('計算A'!DH$117=1,INDEX('計算A'!DI$10:DI$54,$B23),0))*4000,0)-IF(AND('計算A'!DG$117=1,YE23&gt;0),2000,0)-IF(AND($L23=1,'計算A'!DH$117=1,HG23=0),2000,0))),1000000))</f>
        <v/>
      </c>
      <c r="SK23">
        <f>IF($B23=0,1000000,IF(INDEX('計算A'!$D$60:$EQ$104,$B23,110)*HG23=1,IF(AND($E23=2,MV23=0),1000000,IF($I23&gt;0,IF(5=$J23,IF(OR(AND(110=$I23+1,OR($K23&lt;&gt;'計算A'!$A$3,'計算A'!$A$4=0)),AND(110=$I23-1,OR(14&lt;&gt;'計算A'!$A$3,'計算A'!$A$4=0))),0,IF(14=$K23,200000,ABS(14-$K23)*100)),100000+ABS(5-$J23)*1000+140)+'計算A'!DI$5*50+IF(AND($E23=1,MV23=0),25,0),IF($F23&gt;0,INDEX('計算A'!DI$110:DI$114,$F23+1)+IF(AND($E23=1,MV23=0),1000,0),MIN(TY23,20)*400+(IF('計算A'!DH$106=1,1-HF23,0)+IF('計算A'!DI$106=1,1-HH23,0))*150+145+'計算A'!DI$5*100000+IF(AND($E23=1,MV23=0),50000,0))+IF($H23=1,(IF('計算A'!DH$117=1,INDEX('計算A'!DH$10:DH$54,$B23),0)+IF('計算A'!DI$117=1,INDEX('計算A'!DJ$10:DJ$54,$B23),0))*4000,0)-IF(AND('計算A'!DH$117=1,YF23&gt;0),2000,0)-IF(AND($L23=1,'計算A'!DI$117=1,HH23=0),2000,0))),1000000))</f>
        <v/>
      </c>
      <c r="SL23">
        <f>IF($B23=0,1000000,IF(INDEX('計算A'!$D$60:$EQ$104,$B23,111)*HH23=1,IF(AND($E23=2,MW23=0),1000000,IF($I23&gt;0,IF(5=$J23,IF(OR(AND(111=$I23+1,OR($K23&lt;&gt;'計算A'!$A$3,'計算A'!$A$4=0)),AND(111=$I23-1,OR(15&lt;&gt;'計算A'!$A$3,'計算A'!$A$4=0))),0,IF(15=$K23,200000,ABS(15-$K23)*100)),100000+ABS(5-$J23)*1000+150)+'計算A'!DJ$5*50+IF(AND($E23=1,MW23=0),25,0),IF($F23&gt;0,INDEX('計算A'!DJ$110:DJ$114,$F23+1)+IF(AND($E23=1,MW23=0),1000,0),MIN(TY23,20)*400+(IF('計算A'!DI$106=1,1-HG23,0)+IF('計算A'!DJ$106=1,1-HI23,0))*150+155+'計算A'!DJ$5*100000+IF(AND($E23=1,MW23=0),50000,0))+IF($H23=1,(IF('計算A'!DI$117=1,INDEX('計算A'!DI$10:DI$54,$B23),0)+IF('計算A'!DJ$117=1,INDEX('計算A'!DK$10:DK$54,$B23),0))*4000,0)-IF(AND('計算A'!DI$117=1,YG23&gt;0),2000,0)-IF(AND($L23=1,'計算A'!DJ$117=1,HI23=0),2000,0))),1000000))</f>
        <v/>
      </c>
      <c r="SM23">
        <f>IF($B23=0,1000000,IF(INDEX('計算A'!$D$60:$EQ$104,$B23,112)*HI23=1,IF(AND($E23=2,MX23=0),1000000,IF($I23&gt;0,IF(5=$J23,IF(OR(AND(112=$I23+1,OR($K23&lt;&gt;'計算A'!$A$3,'計算A'!$A$4=0)),AND(112=$I23-1,OR(16&lt;&gt;'計算A'!$A$3,'計算A'!$A$4=0))),0,IF(16=$K23,200000,ABS(16-$K23)*100)),100000+ABS(5-$J23)*1000+160)+'計算A'!DK$5*50+IF(AND($E23=1,MX23=0),25,0),IF($F23&gt;0,INDEX('計算A'!DK$110:DK$114,$F23+1)+IF(AND($E23=1,MX23=0),1000,0),MIN(TY23,20)*400+(IF('計算A'!DJ$106=1,1-HH23,0)+IF('計算A'!DK$106=1,1-HJ23,0))*150+165+'計算A'!DK$5*100000+IF(AND($E23=1,MX23=0),50000,0))+IF($H23=1,(IF('計算A'!DJ$117=1,INDEX('計算A'!DJ$10:DJ$54,$B23),0)+IF('計算A'!DK$117=1,INDEX('計算A'!DL$10:DL$54,$B23),0))*4000,0)-IF(AND('計算A'!DJ$117=1,YH23&gt;0),2000,0)-IF(AND($L23=1,'計算A'!DK$117=1,HJ23=0),2000,0))),1000000))</f>
        <v/>
      </c>
      <c r="SN23">
        <f>IF($B23=0,1000000,IF(INDEX('計算A'!$D$60:$EQ$104,$B23,113)*HJ23=1,IF(AND($E23=2,MY23=0),1000000,IF($I23&gt;0,IF(5=$J23,IF(OR(AND(113=$I23+1,OR($K23&lt;&gt;'計算A'!$A$3,'計算A'!$A$4=0)),AND(113=$I23-1,OR(17&lt;&gt;'計算A'!$A$3,'計算A'!$A$4=0))),0,IF(17=$K23,200000,ABS(17-$K23)*100)),100000+ABS(5-$J23)*1000+170)+'計算A'!DL$5*50+IF(AND($E23=1,MY23=0),25,0),IF($F23&gt;0,INDEX('計算A'!DL$110:DL$114,$F23+1)+IF(AND($E23=1,MY23=0),1000,0),MIN(TY23,20)*400+(IF('計算A'!DK$106=1,1-HI23,0)+IF('計算A'!DL$106=1,1-HK23,0))*150+175+'計算A'!DL$5*100000+IF(AND($E23=1,MY23=0),50000,0))+IF($H23=1,(IF('計算A'!DK$117=1,INDEX('計算A'!DK$10:DK$54,$B23),0)+IF('計算A'!DL$117=1,INDEX('計算A'!DM$10:DM$54,$B23),0))*4000,0)-IF(AND('計算A'!DK$117=1,YI23&gt;0),2000,0)-IF(AND($L23=1,'計算A'!DL$117=1,HK23=0),2000,0))),1000000))</f>
        <v/>
      </c>
      <c r="SO23">
        <f>IF($B23=0,1000000,IF(INDEX('計算A'!$D$60:$EQ$104,$B23,114)*HK23=1,IF(AND($E23=2,MZ23=0),1000000,IF($I23&gt;0,IF(5=$J23,IF(OR(AND(114=$I23+1,OR($K23&lt;&gt;'計算A'!$A$3,'計算A'!$A$4=0)),AND(114=$I23-1,OR(18&lt;&gt;'計算A'!$A$3,'計算A'!$A$4=0))),0,IF(18=$K23,200000,ABS(18-$K23)*100)),100000+ABS(5-$J23)*1000+180)+'計算A'!DM$5*50+IF(AND($E23=1,MZ23=0),25,0),IF($F23&gt;0,INDEX('計算A'!DM$110:DM$114,$F23+1)+IF(AND($E23=1,MZ23=0),1000,0),MIN(TY23,20)*400+(IF('計算A'!DL$106=1,1-HJ23,0)+IF('計算A'!DM$106=1,1-HL23,0))*150+185+'計算A'!DM$5*100000+IF(AND($E23=1,MZ23=0),50000,0))+IF($H23=1,(IF('計算A'!DL$117=1,INDEX('計算A'!DL$10:DL$54,$B23),0)+IF('計算A'!DM$117=1,INDEX('計算A'!DN$10:DN$54,$B23),0))*4000,0)-IF(AND('計算A'!DL$117=1,YJ23&gt;0),2000,0)-IF(AND($L23=1,'計算A'!DM$117=1,HL23=0),2000,0))),1000000))</f>
        <v/>
      </c>
      <c r="SP23">
        <f>IF($B23=0,1000000,IF(INDEX('計算A'!$D$60:$EQ$104,$B23,115)*HL23=1,IF(AND($E23=2,NA23=0),1000000,IF($I23&gt;0,IF(5=$J23,IF(OR(AND(115=$I23+1,OR($K23&lt;&gt;'計算A'!$A$3,'計算A'!$A$4=0)),AND(115=$I23-1,OR(19&lt;&gt;'計算A'!$A$3,'計算A'!$A$4=0))),0,IF(19=$K23,200000,ABS(19-$K23)*100)),100000+ABS(5-$J23)*1000+190)+'計算A'!DN$5*50+IF(AND($E23=1,NA23=0),25,0),IF($F23&gt;0,INDEX('計算A'!DN$110:DN$114,$F23+1)+IF(AND($E23=1,NA23=0),1000,0),MIN(TY23,20)*400+(IF('計算A'!DM$106=1,1-HK23,0)+IF('計算A'!DN$106=1,1-HM23,0))*150+195+'計算A'!DN$5*100000+IF(AND($E23=1,NA23=0),50000,0))+IF($H23=1,(IF('計算A'!DM$117=1,INDEX('計算A'!DM$10:DM$54,$B23),0)+IF('計算A'!DN$117=1,INDEX('計算A'!DO$10:DO$54,$B23),0))*4000,0)-IF(AND('計算A'!DM$117=1,YK23&gt;0),2000,0)-IF(AND($L23=1,'計算A'!DN$117=1,HM23=0),2000,0))),1000000))</f>
        <v/>
      </c>
      <c r="SQ23">
        <f>IF($B23=0,1000000,IF(INDEX('計算A'!$D$60:$EQ$104,$B23,116)*HM23=1,IF(AND($E23=2,NB23=0),1000000,IF($I23&gt;0,IF(5=$J23,IF(OR(AND(116=$I23+1,OR($K23&lt;&gt;'計算A'!$A$3,'計算A'!$A$4=0)),AND(116=$I23-1,OR(20&lt;&gt;'計算A'!$A$3,'計算A'!$A$4=0))),0,IF(20=$K23,200000,ABS(20-$K23)*100)),100000+ABS(5-$J23)*1000+200)+'計算A'!DO$5*50+IF(AND($E23=1,NB23=0),25,0),IF($F23&gt;0,INDEX('計算A'!DO$110:DO$114,$F23+1)+IF(AND($E23=1,NB23=0),1000,0),MIN(TY23,20)*400+(IF('計算A'!DN$106=1,1-HL23,0)+IF('計算A'!DO$106=1,1-HN23,0))*150+205+'計算A'!DO$5*100000+IF(AND($E23=1,NB23=0),50000,0))+IF($H23=1,(IF('計算A'!DN$117=1,INDEX('計算A'!DN$10:DN$54,$B23),0)+IF('計算A'!DO$117=1,INDEX('計算A'!DP$10:DP$54,$B23),0))*4000,0)-IF(AND('計算A'!DN$117=1,YL23&gt;0),2000,0)-IF(AND($L23=1,'計算A'!DO$117=1,HN23=0),2000,0))),1000000))</f>
        <v/>
      </c>
      <c r="SR23">
        <f>IF($B23=0,1000000,IF(INDEX('計算A'!$D$60:$EQ$104,$B23,117)*HN23=1,IF(AND($E23=2,NC23=0),1000000,IF($I23&gt;0,IF(5=$J23,IF(OR(AND(117=$I23+1,OR($K23&lt;&gt;'計算A'!$A$3,'計算A'!$A$4=0)),AND(117=$I23-1,OR(21&lt;&gt;'計算A'!$A$3,'計算A'!$A$4=0))),0,IF(21=$K23,200000,ABS(21-$K23)*100)),100000+ABS(5-$J23)*1000+210)+'計算A'!DP$5*50+IF(AND($E23=1,NC23=0),25,0),IF($F23&gt;0,INDEX('計算A'!DP$110:DP$114,$F23+1)+IF(AND($E23=1,NC23=0),1000,0),MIN(TY23,20)*400+(IF('計算A'!DO$106=1,1-HM23,0)+IF('計算A'!DP$106=1,1-HO23,0))*150+215+'計算A'!DP$5*100000+IF(AND($E23=1,NC23=0),50000,0))+IF($H23=1,(IF('計算A'!DO$117=1,INDEX('計算A'!DO$10:DO$54,$B23),0)+IF('計算A'!DP$117=1,INDEX('計算A'!DQ$10:DQ$54,$B23),0))*4000,0)-IF(AND('計算A'!DO$117=1,YM23&gt;0),2000,0)-IF(AND($L23=1,'計算A'!DP$117=1,HO23=0),2000,0))),1000000))</f>
        <v/>
      </c>
      <c r="SS23">
        <f>IF($B23=0,1000000,IF(INDEX('計算A'!$D$60:$EQ$104,$B23,118)*HO23=1,IF(AND($E23=2,ND23=0),1000000,IF($I23&gt;0,IF(5=$J23,IF(OR(AND(118=$I23+1,OR($K23&lt;&gt;'計算A'!$A$3,'計算A'!$A$4=0)),AND(118=$I23-1,OR(22&lt;&gt;'計算A'!$A$3,'計算A'!$A$4=0))),0,IF(22=$K23,200000,ABS(22-$K23)*100)),100000+ABS(5-$J23)*1000+220)+'計算A'!DQ$5*50+IF(AND($E23=1,ND23=0),25,0),IF($F23&gt;0,INDEX('計算A'!DQ$110:DQ$114,$F23+1)+IF(AND($E23=1,ND23=0),1000,0),MIN(TY23,20)*400+(IF('計算A'!DP$106=1,1-HN23,0)+IF('計算A'!DQ$106=1,1-HP23,0))*150+225+'計算A'!DQ$5*100000+IF(AND($E23=1,ND23=0),50000,0))+IF($H23=1,(IF('計算A'!DP$117=1,INDEX('計算A'!DP$10:DP$54,$B23),0)+IF('計算A'!DQ$117=1,INDEX('計算A'!DR$10:DR$54,$B23),0))*4000,0)-IF(AND('計算A'!DP$117=1,YN23&gt;0),2000,0)-IF(AND($L23=1,'計算A'!DQ$117=1,HP23=0),2000,0))),1000000))</f>
        <v/>
      </c>
      <c r="ST23">
        <f>IF($B23=0,1000000,IF(INDEX('計算A'!$D$60:$EQ$104,$B23,119)*HP23=1,IF(AND($E23=2,NE23=0),1000000,IF($I23&gt;0,IF(5=$J23,IF(OR(AND(119=$I23+1,OR($K23&lt;&gt;'計算A'!$A$3,'計算A'!$A$4=0)),AND(119=$I23-1,OR(23&lt;&gt;'計算A'!$A$3,'計算A'!$A$4=0))),0,IF(23=$K23,200000,ABS(23-$K23)*100)),100000+ABS(5-$J23)*1000+230)+'計算A'!DR$5*50+IF(AND($E23=1,NE23=0),25,0),IF($F23&gt;0,INDEX('計算A'!DR$110:DR$114,$F23+1)+IF(AND($E23=1,NE23=0),1000,0),MIN(TY23,20)*400+(IF('計算A'!DQ$106=1,1-HO23,0)+IF('計算A'!DR$106=1,1-HQ23,0))*150+235+'計算A'!DR$5*100000+IF(AND($E23=1,NE23=0),50000,0))+IF($H23=1,(IF('計算A'!DQ$117=1,INDEX('計算A'!DQ$10:DQ$54,$B23),0)+IF('計算A'!DR$117=1,INDEX('計算A'!DS$10:DS$54,$B23),0))*4000,0)-IF(AND('計算A'!DQ$117=1,YO23&gt;0),2000,0)-IF(AND($L23=1,'計算A'!DR$117=1,HQ23=0),2000,0))),1000000))</f>
        <v/>
      </c>
      <c r="SU23">
        <f>IF($B23=0,1000000,IF(INDEX('計算A'!$D$60:$EQ$104,$B23,120)*HQ23=1,IF(AND($E23=2,NF23=0),1000000,IF($I23&gt;0,IF(5=$J23,IF(OR(AND(120=$I23+1,OR($K23&lt;&gt;'計算A'!$A$3,'計算A'!$A$4=0)),AND(120=$I23-1,OR(24&lt;&gt;'計算A'!$A$3,'計算A'!$A$4=0))),0,IF(24=$K23,200000,ABS(24-$K23)*100)),100000+ABS(5-$J23)*1000+240)+'計算A'!DS$5*50+IF(AND($E23=1,NF23=0),25,0),IF($F23&gt;0,INDEX('計算A'!DS$110:DS$114,$F23+1)+IF(AND($E23=1,NF23=0),1000,0),MIN(TY23,20)*400+(IF('計算A'!DR$106=1,1-HP23,0))*150+245+'計算A'!DS$5*100000+IF(AND($E23=1,NF23=0),50000,0))+IF($H23=1,(IF('計算A'!DR$117=1,INDEX('計算A'!DR$10:DR$54,$B23),0))*4000,0)-IF(AND('計算A'!DR$117=1,YP23&gt;0),2000,0))),1000000))</f>
        <v/>
      </c>
      <c r="SV23">
        <f>IF($B23=0,1000000,IF(INDEX('計算A'!$D$60:$EQ$104,$B23,121)*HR23=1,IF(AND($E23=2,NG23=0),1000000,IF($I23&gt;0,IF(6=$J23,IF(OR(AND(121=$I23+1,OR($K23&lt;&gt;'計算A'!$A$3,'計算A'!$A$4=0)),AND(121=$I23-1,OR(1&lt;&gt;'計算A'!$A$3,'計算A'!$A$4=0))),0,IF(1=$K23,200000,ABS(1-$K23)*100)),100000+ABS(6-$J23)*1000+10)+'計算A'!DT$5*50+IF(AND($E23=1,NG23=0),25,0),IF($F23&gt;0,INDEX('計算A'!DT$110:DT$114,$F23+1)+IF(AND($E23=1,NG23=0),1000,0),MIN(TZ23,20)*400+(IF('計算A'!DT$106=1,1-HS23,0))*150+16+'計算A'!DT$5*100000+IF(AND($E23=1,NG23=0),50000,0))+IF($H23=1,(IF('計算A'!DT$117=1,INDEX('計算A'!DU$10:DU$54,$B23),0))*4000,0)-IF(AND($L23=1,'計算A'!DT$117=1,HS23=0),2000,0))),1000000))</f>
        <v/>
      </c>
      <c r="SW23">
        <f>IF($B23=0,1000000,IF(INDEX('計算A'!$D$60:$EQ$104,$B23,122)*HS23=1,IF(AND($E23=2,NH23=0),1000000,IF($I23&gt;0,IF(6=$J23,IF(OR(AND(122=$I23+1,OR($K23&lt;&gt;'計算A'!$A$3,'計算A'!$A$4=0)),AND(122=$I23-1,OR(2&lt;&gt;'計算A'!$A$3,'計算A'!$A$4=0))),0,IF(2=$K23,200000,ABS(2-$K23)*100)),100000+ABS(6-$J23)*1000+20)+'計算A'!DU$5*50+IF(AND($E23=1,NH23=0),25,0),IF($F23&gt;0,INDEX('計算A'!DU$110:DU$114,$F23+1)+IF(AND($E23=1,NH23=0),1000,0),MIN(TZ23,20)*400+(IF('計算A'!DT$106=1,1-HR23,0)+IF('計算A'!DU$106=1,1-HT23,0))*150+26+'計算A'!DU$5*100000+IF(AND($E23=1,NH23=0),50000,0))+IF($H23=1,(IF('計算A'!DT$117=1,INDEX('計算A'!DT$10:DT$54,$B23),0)+IF('計算A'!DU$117=1,INDEX('計算A'!DV$10:DV$54,$B23),0))*4000,0)-IF(AND('計算A'!DT$117=1,YR23&gt;0),2000,0)-IF(AND($L23=1,'計算A'!DU$117=1,HT23=0),2000,0))),1000000))</f>
        <v/>
      </c>
      <c r="SX23">
        <f>IF($B23=0,1000000,IF(INDEX('計算A'!$D$60:$EQ$104,$B23,123)*HT23=1,IF(AND($E23=2,NI23=0),1000000,IF($I23&gt;0,IF(6=$J23,IF(OR(AND(123=$I23+1,OR($K23&lt;&gt;'計算A'!$A$3,'計算A'!$A$4=0)),AND(123=$I23-1,OR(3&lt;&gt;'計算A'!$A$3,'計算A'!$A$4=0))),0,IF(3=$K23,200000,ABS(3-$K23)*100)),100000+ABS(6-$J23)*1000+30)+'計算A'!DV$5*50+IF(AND($E23=1,NI23=0),25,0),IF($F23&gt;0,INDEX('計算A'!DV$110:DV$114,$F23+1)+IF(AND($E23=1,NI23=0),1000,0),MIN(TZ23,20)*400+(IF('計算A'!DU$106=1,1-HS23,0)+IF('計算A'!DV$106=1,1-HU23,0))*150+36+'計算A'!DV$5*100000+IF(AND($E23=1,NI23=0),50000,0))+IF($H23=1,(IF('計算A'!DU$117=1,INDEX('計算A'!DU$10:DU$54,$B23),0)+IF('計算A'!DV$117=1,INDEX('計算A'!DW$10:DW$54,$B23),0))*4000,0)-IF(AND('計算A'!DU$117=1,YS23&gt;0),2000,0)-IF(AND($L23=1,'計算A'!DV$117=1,HU23=0),2000,0))),1000000))</f>
        <v/>
      </c>
      <c r="SY23">
        <f>IF($B23=0,1000000,IF(INDEX('計算A'!$D$60:$EQ$104,$B23,124)*HU23=1,IF(AND($E23=2,NJ23=0),1000000,IF($I23&gt;0,IF(6=$J23,IF(OR(AND(124=$I23+1,OR($K23&lt;&gt;'計算A'!$A$3,'計算A'!$A$4=0)),AND(124=$I23-1,OR(4&lt;&gt;'計算A'!$A$3,'計算A'!$A$4=0))),0,IF(4=$K23,200000,ABS(4-$K23)*100)),100000+ABS(6-$J23)*1000+40)+'計算A'!DW$5*50+IF(AND($E23=1,NJ23=0),25,0),IF($F23&gt;0,INDEX('計算A'!DW$110:DW$114,$F23+1)+IF(AND($E23=1,NJ23=0),1000,0),MIN(TZ23,20)*400+(IF('計算A'!DV$106=1,1-HT23,0)+IF('計算A'!DW$106=1,1-HV23,0))*150+46+'計算A'!DW$5*100000+IF(AND($E23=1,NJ23=0),50000,0))+IF($H23=1,(IF('計算A'!DV$117=1,INDEX('計算A'!DV$10:DV$54,$B23),0)+IF('計算A'!DW$117=1,INDEX('計算A'!DX$10:DX$54,$B23),0))*4000,0)-IF(AND('計算A'!DV$117=1,YT23&gt;0),2000,0)-IF(AND($L23=1,'計算A'!DW$117=1,HV23=0),2000,0))),1000000))</f>
        <v/>
      </c>
      <c r="SZ23">
        <f>IF($B23=0,1000000,IF(INDEX('計算A'!$D$60:$EQ$104,$B23,125)*HV23=1,IF(AND($E23=2,NK23=0),1000000,IF($I23&gt;0,IF(6=$J23,IF(OR(AND(125=$I23+1,OR($K23&lt;&gt;'計算A'!$A$3,'計算A'!$A$4=0)),AND(125=$I23-1,OR(5&lt;&gt;'計算A'!$A$3,'計算A'!$A$4=0))),0,IF(5=$K23,200000,ABS(5-$K23)*100)),100000+ABS(6-$J23)*1000+50)+'計算A'!DX$5*50+IF(AND($E23=1,NK23=0),25,0),IF($F23&gt;0,INDEX('計算A'!DX$110:DX$114,$F23+1)+IF(AND($E23=1,NK23=0),1000,0),MIN(TZ23,20)*400+(IF('計算A'!DW$106=1,1-HU23,0)+IF('計算A'!DX$106=1,1-HW23,0))*150+56+'計算A'!DX$5*100000+IF(AND($E23=1,NK23=0),50000,0))+IF($H23=1,(IF('計算A'!DW$117=1,INDEX('計算A'!DW$10:DW$54,$B23),0)+IF('計算A'!DX$117=1,INDEX('計算A'!DY$10:DY$54,$B23),0))*4000,0)-IF(AND('計算A'!DW$117=1,YU23&gt;0),2000,0)-IF(AND($L23=1,'計算A'!DX$117=1,HW23=0),2000,0))),1000000))</f>
        <v/>
      </c>
      <c r="TA23">
        <f>IF($B23=0,1000000,IF(INDEX('計算A'!$D$60:$EQ$104,$B23,126)*HW23=1,IF(AND($E23=2,NL23=0),1000000,IF($I23&gt;0,IF(6=$J23,IF(OR(AND(126=$I23+1,OR($K23&lt;&gt;'計算A'!$A$3,'計算A'!$A$4=0)),AND(126=$I23-1,OR(6&lt;&gt;'計算A'!$A$3,'計算A'!$A$4=0))),0,IF(6=$K23,200000,ABS(6-$K23)*100)),100000+ABS(6-$J23)*1000+60)+'計算A'!DY$5*50+IF(AND($E23=1,NL23=0),25,0),IF($F23&gt;0,INDEX('計算A'!DY$110:DY$114,$F23+1)+IF(AND($E23=1,NL23=0),1000,0),MIN(TZ23,20)*400+(IF('計算A'!DX$106=1,1-HV23,0)+IF('計算A'!DY$106=1,1-HX23,0))*150+66+'計算A'!DY$5*100000+IF(AND($E23=1,NL23=0),50000,0))+IF($H23=1,(IF('計算A'!DX$117=1,INDEX('計算A'!DX$10:DX$54,$B23),0)+IF('計算A'!DY$117=1,INDEX('計算A'!DZ$10:DZ$54,$B23),0))*4000,0)-IF(AND('計算A'!DX$117=1,YV23&gt;0),2000,0)-IF(AND($L23=1,'計算A'!DY$117=1,HX23=0),2000,0))),1000000))</f>
        <v/>
      </c>
      <c r="TB23">
        <f>IF($B23=0,1000000,IF(INDEX('計算A'!$D$60:$EQ$104,$B23,127)*HX23=1,IF(AND($E23=2,NM23=0),1000000,IF($I23&gt;0,IF(6=$J23,IF(OR(AND(127=$I23+1,OR($K23&lt;&gt;'計算A'!$A$3,'計算A'!$A$4=0)),AND(127=$I23-1,OR(7&lt;&gt;'計算A'!$A$3,'計算A'!$A$4=0))),0,IF(7=$K23,200000,ABS(7-$K23)*100)),100000+ABS(6-$J23)*1000+70)+'計算A'!DZ$5*50+IF(AND($E23=1,NM23=0),25,0),IF($F23&gt;0,INDEX('計算A'!DZ$110:DZ$114,$F23+1)+IF(AND($E23=1,NM23=0),1000,0),MIN(TZ23,20)*400+(IF('計算A'!DY$106=1,1-HW23,0)+IF('計算A'!DZ$106=1,1-HY23,0))*150+76+'計算A'!DZ$5*100000+IF(AND($E23=1,NM23=0),50000,0))+IF($H23=1,(IF('計算A'!DY$117=1,INDEX('計算A'!DY$10:DY$54,$B23),0)+IF('計算A'!DZ$117=1,INDEX('計算A'!EA$10:EA$54,$B23),0))*4000,0)-IF(AND('計算A'!DY$117=1,YW23&gt;0),2000,0)-IF(AND($L23=1,'計算A'!DZ$117=1,HY23=0),2000,0))),1000000))</f>
        <v/>
      </c>
      <c r="TC23">
        <f>IF($B23=0,1000000,IF(INDEX('計算A'!$D$60:$EQ$104,$B23,128)*HY23=1,IF(AND($E23=2,NN23=0),1000000,IF($I23&gt;0,IF(6=$J23,IF(OR(AND(128=$I23+1,OR($K23&lt;&gt;'計算A'!$A$3,'計算A'!$A$4=0)),AND(128=$I23-1,OR(8&lt;&gt;'計算A'!$A$3,'計算A'!$A$4=0))),0,IF(8=$K23,200000,ABS(8-$K23)*100)),100000+ABS(6-$J23)*1000+80)+'計算A'!EA$5*50+IF(AND($E23=1,NN23=0),25,0),IF($F23&gt;0,INDEX('計算A'!EA$110:EA$114,$F23+1)+IF(AND($E23=1,NN23=0),1000,0),MIN(TZ23,20)*400+(IF('計算A'!DZ$106=1,1-HX23,0)+IF('計算A'!EA$106=1,1-HZ23,0))*150+86+'計算A'!EA$5*100000+IF(AND($E23=1,NN23=0),50000,0))+IF($H23=1,(IF('計算A'!DZ$117=1,INDEX('計算A'!DZ$10:DZ$54,$B23),0)+IF('計算A'!EA$117=1,INDEX('計算A'!EB$10:EB$54,$B23),0))*4000,0)-IF(AND('計算A'!DZ$117=1,YX23&gt;0),2000,0)-IF(AND($L23=1,'計算A'!EA$117=1,HZ23=0),2000,0))),1000000))</f>
        <v/>
      </c>
      <c r="TD23">
        <f>IF($B23=0,1000000,IF(INDEX('計算A'!$D$60:$EQ$104,$B23,129)*HZ23=1,IF(AND($E23=2,NO23=0),1000000,IF($I23&gt;0,IF(6=$J23,IF(OR(AND(129=$I23+1,OR($K23&lt;&gt;'計算A'!$A$3,'計算A'!$A$4=0)),AND(129=$I23-1,OR(9&lt;&gt;'計算A'!$A$3,'計算A'!$A$4=0))),0,IF(9=$K23,200000,ABS(9-$K23)*100)),100000+ABS(6-$J23)*1000+90)+'計算A'!EB$5*50+IF(AND($E23=1,NO23=0),25,0),IF($F23&gt;0,INDEX('計算A'!EB$110:EB$114,$F23+1)+IF(AND($E23=1,NO23=0),1000,0),MIN(TZ23,20)*400+(IF('計算A'!EA$106=1,1-HY23,0)+IF('計算A'!EB$106=1,1-IA23,0))*150+96+'計算A'!EB$5*100000+IF(AND($E23=1,NO23=0),50000,0))+IF($H23=1,(IF('計算A'!EA$117=1,INDEX('計算A'!EA$10:EA$54,$B23),0)+IF('計算A'!EB$117=1,INDEX('計算A'!EC$10:EC$54,$B23),0))*4000,0)-IF(AND('計算A'!EA$117=1,YY23&gt;0),2000,0)-IF(AND($L23=1,'計算A'!EB$117=1,IA23=0),2000,0))),1000000))</f>
        <v/>
      </c>
      <c r="TE23">
        <f>IF($B23=0,1000000,IF(INDEX('計算A'!$D$60:$EQ$104,$B23,130)*IA23=1,IF(AND($E23=2,NP23=0),1000000,IF($I23&gt;0,IF(6=$J23,IF(OR(AND(130=$I23+1,OR($K23&lt;&gt;'計算A'!$A$3,'計算A'!$A$4=0)),AND(130=$I23-1,OR(10&lt;&gt;'計算A'!$A$3,'計算A'!$A$4=0))),0,IF(10=$K23,200000,ABS(10-$K23)*100)),100000+ABS(6-$J23)*1000+100)+'計算A'!EC$5*50+IF(AND($E23=1,NP23=0),25,0),IF($F23&gt;0,INDEX('計算A'!EC$110:EC$114,$F23+1)+IF(AND($E23=1,NP23=0),1000,0),MIN(TZ23,20)*400+(IF('計算A'!EB$106=1,1-HZ23,0)+IF('計算A'!EC$106=1,1-IB23,0))*150+106+'計算A'!EC$5*100000+IF(AND($E23=1,NP23=0),50000,0))+IF($H23=1,(IF('計算A'!EB$117=1,INDEX('計算A'!EB$10:EB$54,$B23),0)+IF('計算A'!EC$117=1,INDEX('計算A'!ED$10:ED$54,$B23),0))*4000,0)-IF(AND('計算A'!EB$117=1,YZ23&gt;0),2000,0)-IF(AND($L23=1,'計算A'!EC$117=1,IB23=0),2000,0))),1000000))</f>
        <v/>
      </c>
      <c r="TF23">
        <f>IF($B23=0,1000000,IF(INDEX('計算A'!$D$60:$EQ$104,$B23,131)*IB23=1,IF(AND($E23=2,NQ23=0),1000000,IF($I23&gt;0,IF(6=$J23,IF(OR(AND(131=$I23+1,OR($K23&lt;&gt;'計算A'!$A$3,'計算A'!$A$4=0)),AND(131=$I23-1,OR(11&lt;&gt;'計算A'!$A$3,'計算A'!$A$4=0))),0,IF(11=$K23,200000,ABS(11-$K23)*100)),100000+ABS(6-$J23)*1000+110)+'計算A'!ED$5*50+IF(AND($E23=1,NQ23=0),25,0),IF($F23&gt;0,INDEX('計算A'!ED$110:ED$114,$F23+1)+IF(AND($E23=1,NQ23=0),1000,0),MIN(TZ23,20)*400+(IF('計算A'!EC$106=1,1-IA23,0)+IF('計算A'!ED$106=1,1-IC23,0))*150+116+'計算A'!ED$5*100000+IF(AND($E23=1,NQ23=0),50000,0))+IF($H23=1,(IF('計算A'!EC$117=1,INDEX('計算A'!EC$10:EC$54,$B23),0)+IF('計算A'!ED$117=1,INDEX('計算A'!EE$10:EE$54,$B23),0))*4000,0)-IF(AND('計算A'!EC$117=1,ZA23&gt;0),2000,0)-IF(AND($L23=1,'計算A'!ED$117=1,IC23=0),2000,0))),1000000))</f>
        <v/>
      </c>
      <c r="TG23">
        <f>IF($B23=0,1000000,IF(INDEX('計算A'!$D$60:$EQ$104,$B23,132)*IC23=1,IF(AND($E23=2,NR23=0),1000000,IF($I23&gt;0,IF(6=$J23,IF(OR(AND(132=$I23+1,OR($K23&lt;&gt;'計算A'!$A$3,'計算A'!$A$4=0)),AND(132=$I23-1,OR(12&lt;&gt;'計算A'!$A$3,'計算A'!$A$4=0))),0,IF(12=$K23,200000,ABS(12-$K23)*100)),100000+ABS(6-$J23)*1000+120)+'計算A'!EE$5*50+IF(AND($E23=1,NR23=0),25,0),IF($F23&gt;0,INDEX('計算A'!EE$110:EE$114,$F23+1)+IF(AND($E23=1,NR23=0),1000,0),MIN(TZ23,20)*400+(IF('計算A'!ED$106=1,1-IB23,0)+IF('計算A'!EE$106=1,1-ID23,0))*150+126+'計算A'!EE$5*100000+IF(AND($E23=1,NR23=0),50000,0))+IF($H23=1,(IF('計算A'!ED$117=1,INDEX('計算A'!ED$10:ED$54,$B23),0)+IF('計算A'!EE$117=1,INDEX('計算A'!EF$10:EF$54,$B23),0))*4000,0)-IF(AND('計算A'!ED$117=1,ZB23&gt;0),2000,0)-IF(AND($L23=1,'計算A'!EE$117=1,ID23=0),2000,0))),1000000))</f>
        <v/>
      </c>
      <c r="TH23">
        <f>IF($B23=0,1000000,IF(INDEX('計算A'!$D$60:$EQ$104,$B23,133)*ID23=1,IF(AND($E23=2,NS23=0),1000000,IF($I23&gt;0,IF(6=$J23,IF(OR(AND(133=$I23+1,OR($K23&lt;&gt;'計算A'!$A$3,'計算A'!$A$4=0)),AND(133=$I23-1,OR(13&lt;&gt;'計算A'!$A$3,'計算A'!$A$4=0))),0,IF(13=$K23,200000,ABS(13-$K23)*100)),100000+ABS(6-$J23)*1000+130)+'計算A'!EF$5*50+IF(AND($E23=1,NS23=0),25,0),IF($F23&gt;0,INDEX('計算A'!EF$110:EF$114,$F23+1)+IF(AND($E23=1,NS23=0),1000,0),MIN(TZ23,20)*400+(IF('計算A'!EE$106=1,1-IC23,0)+IF('計算A'!EF$106=1,1-IE23,0))*150+136+'計算A'!EF$5*100000+IF(AND($E23=1,NS23=0),50000,0))+IF($H23=1,(IF('計算A'!EE$117=1,INDEX('計算A'!EE$10:EE$54,$B23),0)+IF('計算A'!EF$117=1,INDEX('計算A'!EG$10:EG$54,$B23),0))*4000,0)-IF(AND('計算A'!EE$117=1,ZC23&gt;0),2000,0)-IF(AND($L23=1,'計算A'!EF$117=1,IE23=0),2000,0))),1000000))</f>
        <v/>
      </c>
      <c r="TI23">
        <f>IF($B23=0,1000000,IF(INDEX('計算A'!$D$60:$EQ$104,$B23,134)*IE23=1,IF(AND($E23=2,NT23=0),1000000,IF($I23&gt;0,IF(6=$J23,IF(OR(AND(134=$I23+1,OR($K23&lt;&gt;'計算A'!$A$3,'計算A'!$A$4=0)),AND(134=$I23-1,OR(14&lt;&gt;'計算A'!$A$3,'計算A'!$A$4=0))),0,IF(14=$K23,200000,ABS(14-$K23)*100)),100000+ABS(6-$J23)*1000+140)+'計算A'!EG$5*50+IF(AND($E23=1,NT23=0),25,0),IF($F23&gt;0,INDEX('計算A'!EG$110:EG$114,$F23+1)+IF(AND($E23=1,NT23=0),1000,0),MIN(TZ23,20)*400+(IF('計算A'!EF$106=1,1-ID23,0)+IF('計算A'!EG$106=1,1-IF23,0))*150+146+'計算A'!EG$5*100000+IF(AND($E23=1,NT23=0),50000,0))+IF($H23=1,(IF('計算A'!EF$117=1,INDEX('計算A'!EF$10:EF$54,$B23),0)+IF('計算A'!EG$117=1,INDEX('計算A'!EH$10:EH$54,$B23),0))*4000,0)-IF(AND('計算A'!EF$117=1,ZD23&gt;0),2000,0)-IF(AND($L23=1,'計算A'!EG$117=1,IF23=0),2000,0))),1000000))</f>
        <v/>
      </c>
      <c r="TJ23">
        <f>IF($B23=0,1000000,IF(INDEX('計算A'!$D$60:$EQ$104,$B23,135)*IF23=1,IF(AND($E23=2,NU23=0),1000000,IF($I23&gt;0,IF(6=$J23,IF(OR(AND(135=$I23+1,OR($K23&lt;&gt;'計算A'!$A$3,'計算A'!$A$4=0)),AND(135=$I23-1,OR(15&lt;&gt;'計算A'!$A$3,'計算A'!$A$4=0))),0,IF(15=$K23,200000,ABS(15-$K23)*100)),100000+ABS(6-$J23)*1000+150)+'計算A'!EH$5*50+IF(AND($E23=1,NU23=0),25,0),IF($F23&gt;0,INDEX('計算A'!EH$110:EH$114,$F23+1)+IF(AND($E23=1,NU23=0),1000,0),MIN(TZ23,20)*400+(IF('計算A'!EG$106=1,1-IE23,0)+IF('計算A'!EH$106=1,1-IG23,0))*150+156+'計算A'!EH$5*100000+IF(AND($E23=1,NU23=0),50000,0))+IF($H23=1,(IF('計算A'!EG$117=1,INDEX('計算A'!EG$10:EG$54,$B23),0)+IF('計算A'!EH$117=1,INDEX('計算A'!EI$10:EI$54,$B23),0))*4000,0)-IF(AND('計算A'!EG$117=1,ZE23&gt;0),2000,0)-IF(AND($L23=1,'計算A'!EH$117=1,IG23=0),2000,0))),1000000))</f>
        <v/>
      </c>
      <c r="TK23">
        <f>IF($B23=0,1000000,IF(INDEX('計算A'!$D$60:$EQ$104,$B23,136)*IG23=1,IF(AND($E23=2,NV23=0),1000000,IF($I23&gt;0,IF(6=$J23,IF(OR(AND(136=$I23+1,OR($K23&lt;&gt;'計算A'!$A$3,'計算A'!$A$4=0)),AND(136=$I23-1,OR(16&lt;&gt;'計算A'!$A$3,'計算A'!$A$4=0))),0,IF(16=$K23,200000,ABS(16-$K23)*100)),100000+ABS(6-$J23)*1000+160)+'計算A'!EI$5*50+IF(AND($E23=1,NV23=0),25,0),IF($F23&gt;0,INDEX('計算A'!EI$110:EI$114,$F23+1)+IF(AND($E23=1,NV23=0),1000,0),MIN(TZ23,20)*400+(IF('計算A'!EH$106=1,1-IF23,0)+IF('計算A'!EI$106=1,1-IH23,0))*150+166+'計算A'!EI$5*100000+IF(AND($E23=1,NV23=0),50000,0))+IF($H23=1,(IF('計算A'!EH$117=1,INDEX('計算A'!EH$10:EH$54,$B23),0)+IF('計算A'!EI$117=1,INDEX('計算A'!EJ$10:EJ$54,$B23),0))*4000,0)-IF(AND('計算A'!EH$117=1,ZF23&gt;0),2000,0)-IF(AND($L23=1,'計算A'!EI$117=1,IH23=0),2000,0))),1000000))</f>
        <v/>
      </c>
      <c r="TL23">
        <f>IF($B23=0,1000000,IF(INDEX('計算A'!$D$60:$EQ$104,$B23,137)*IH23=1,IF(AND($E23=2,NW23=0),1000000,IF($I23&gt;0,IF(6=$J23,IF(OR(AND(137=$I23+1,OR($K23&lt;&gt;'計算A'!$A$3,'計算A'!$A$4=0)),AND(137=$I23-1,OR(17&lt;&gt;'計算A'!$A$3,'計算A'!$A$4=0))),0,IF(17=$K23,200000,ABS(17-$K23)*100)),100000+ABS(6-$J23)*1000+170)+'計算A'!EJ$5*50+IF(AND($E23=1,NW23=0),25,0),IF($F23&gt;0,INDEX('計算A'!EJ$110:EJ$114,$F23+1)+IF(AND($E23=1,NW23=0),1000,0),MIN(TZ23,20)*400+(IF('計算A'!EI$106=1,1-IG23,0)+IF('計算A'!EJ$106=1,1-II23,0))*150+176+'計算A'!EJ$5*100000+IF(AND($E23=1,NW23=0),50000,0))+IF($H23=1,(IF('計算A'!EI$117=1,INDEX('計算A'!EI$10:EI$54,$B23),0)+IF('計算A'!EJ$117=1,INDEX('計算A'!EK$10:EK$54,$B23),0))*4000,0)-IF(AND('計算A'!EI$117=1,ZG23&gt;0),2000,0)-IF(AND($L23=1,'計算A'!EJ$117=1,II23=0),2000,0))),1000000))</f>
        <v/>
      </c>
      <c r="TM23">
        <f>IF($B23=0,1000000,IF(INDEX('計算A'!$D$60:$EQ$104,$B23,138)*II23=1,IF(AND($E23=2,NX23=0),1000000,IF($I23&gt;0,IF(6=$J23,IF(OR(AND(138=$I23+1,OR($K23&lt;&gt;'計算A'!$A$3,'計算A'!$A$4=0)),AND(138=$I23-1,OR(18&lt;&gt;'計算A'!$A$3,'計算A'!$A$4=0))),0,IF(18=$K23,200000,ABS(18-$K23)*100)),100000+ABS(6-$J23)*1000+180)+'計算A'!EK$5*50+IF(AND($E23=1,NX23=0),25,0),IF($F23&gt;0,INDEX('計算A'!EK$110:EK$114,$F23+1)+IF(AND($E23=1,NX23=0),1000,0),MIN(TZ23,20)*400+(IF('計算A'!EJ$106=1,1-IH23,0)+IF('計算A'!EK$106=1,1-IJ23,0))*150+186+'計算A'!EK$5*100000+IF(AND($E23=1,NX23=0),50000,0))+IF($H23=1,(IF('計算A'!EJ$117=1,INDEX('計算A'!EJ$10:EJ$54,$B23),0)+IF('計算A'!EK$117=1,INDEX('計算A'!EL$10:EL$54,$B23),0))*4000,0)-IF(AND('計算A'!EJ$117=1,ZH23&gt;0),2000,0)-IF(AND($L23=1,'計算A'!EK$117=1,IJ23=0),2000,0))),1000000))</f>
        <v/>
      </c>
      <c r="TN23">
        <f>IF($B23=0,1000000,IF(INDEX('計算A'!$D$60:$EQ$104,$B23,139)*IJ23=1,IF(AND($E23=2,NY23=0),1000000,IF($I23&gt;0,IF(6=$J23,IF(OR(AND(139=$I23+1,OR($K23&lt;&gt;'計算A'!$A$3,'計算A'!$A$4=0)),AND(139=$I23-1,OR(19&lt;&gt;'計算A'!$A$3,'計算A'!$A$4=0))),0,IF(19=$K23,200000,ABS(19-$K23)*100)),100000+ABS(6-$J23)*1000+190)+'計算A'!EL$5*50+IF(AND($E23=1,NY23=0),25,0),IF($F23&gt;0,INDEX('計算A'!EL$110:EL$114,$F23+1)+IF(AND($E23=1,NY23=0),1000,0),MIN(TZ23,20)*400+(IF('計算A'!EK$106=1,1-II23,0)+IF('計算A'!EL$106=1,1-IK23,0))*150+196+'計算A'!EL$5*100000+IF(AND($E23=1,NY23=0),50000,0))+IF($H23=1,(IF('計算A'!EK$117=1,INDEX('計算A'!EK$10:EK$54,$B23),0)+IF('計算A'!EL$117=1,INDEX('計算A'!EM$10:EM$54,$B23),0))*4000,0)-IF(AND('計算A'!EK$117=1,ZI23&gt;0),2000,0)-IF(AND($L23=1,'計算A'!EL$117=1,IK23=0),2000,0))),1000000))</f>
        <v/>
      </c>
      <c r="TO23">
        <f>IF($B23=0,1000000,IF(INDEX('計算A'!$D$60:$EQ$104,$B23,140)*IK23=1,IF(AND($E23=2,NZ23=0),1000000,IF($I23&gt;0,IF(6=$J23,IF(OR(AND(140=$I23+1,OR($K23&lt;&gt;'計算A'!$A$3,'計算A'!$A$4=0)),AND(140=$I23-1,OR(20&lt;&gt;'計算A'!$A$3,'計算A'!$A$4=0))),0,IF(20=$K23,200000,ABS(20-$K23)*100)),100000+ABS(6-$J23)*1000+200)+'計算A'!EM$5*50+IF(AND($E23=1,NZ23=0),25,0),IF($F23&gt;0,INDEX('計算A'!EM$110:EM$114,$F23+1)+IF(AND($E23=1,NZ23=0),1000,0),MIN(TZ23,20)*400+(IF('計算A'!EL$106=1,1-IJ23,0)+IF('計算A'!EM$106=1,1-IL23,0))*150+206+'計算A'!EM$5*100000+IF(AND($E23=1,NZ23=0),50000,0))+IF($H23=1,(IF('計算A'!EL$117=1,INDEX('計算A'!EL$10:EL$54,$B23),0)+IF('計算A'!EM$117=1,INDEX('計算A'!EN$10:EN$54,$B23),0))*4000,0)-IF(AND('計算A'!EL$117=1,ZJ23&gt;0),2000,0)-IF(AND($L23=1,'計算A'!EM$117=1,IL23=0),2000,0))),1000000))</f>
        <v/>
      </c>
      <c r="TP23">
        <f>IF($B23=0,1000000,IF(INDEX('計算A'!$D$60:$EQ$104,$B23,141)*IL23=1,IF(AND($E23=2,OA23=0),1000000,IF($I23&gt;0,IF(6=$J23,IF(OR(AND(141=$I23+1,OR($K23&lt;&gt;'計算A'!$A$3,'計算A'!$A$4=0)),AND(141=$I23-1,OR(21&lt;&gt;'計算A'!$A$3,'計算A'!$A$4=0))),0,IF(21=$K23,200000,ABS(21-$K23)*100)),100000+ABS(6-$J23)*1000+210)+'計算A'!EN$5*50+IF(AND($E23=1,OA23=0),25,0),IF($F23&gt;0,INDEX('計算A'!EN$110:EN$114,$F23+1)+IF(AND($E23=1,OA23=0),1000,0),MIN(TZ23,20)*400+(IF('計算A'!EM$106=1,1-IK23,0)+IF('計算A'!EN$106=1,1-IM23,0))*150+216+'計算A'!EN$5*100000+IF(AND($E23=1,OA23=0),50000,0))+IF($H23=1,(IF('計算A'!EM$117=1,INDEX('計算A'!EM$10:EM$54,$B23),0)+IF('計算A'!EN$117=1,INDEX('計算A'!EO$10:EO$54,$B23),0))*4000,0)-IF(AND('計算A'!EM$117=1,ZK23&gt;0),2000,0)-IF(AND($L23=1,'計算A'!EN$117=1,IM23=0),2000,0))),1000000))</f>
        <v/>
      </c>
      <c r="TQ23">
        <f>IF($B23=0,1000000,IF(INDEX('計算A'!$D$60:$EQ$104,$B23,142)*IM23=1,IF(AND($E23=2,OB23=0),1000000,IF($I23&gt;0,IF(6=$J23,IF(OR(AND(142=$I23+1,OR($K23&lt;&gt;'計算A'!$A$3,'計算A'!$A$4=0)),AND(142=$I23-1,OR(22&lt;&gt;'計算A'!$A$3,'計算A'!$A$4=0))),0,IF(22=$K23,200000,ABS(22-$K23)*100)),100000+ABS(6-$J23)*1000+220)+'計算A'!EO$5*50+IF(AND($E23=1,OB23=0),25,0),IF($F23&gt;0,INDEX('計算A'!EO$110:EO$114,$F23+1)+IF(AND($E23=1,OB23=0),1000,0),MIN(TZ23,20)*400+(IF('計算A'!EN$106=1,1-IL23,0)+IF('計算A'!EO$106=1,1-IN23,0))*150+226+'計算A'!EO$5*100000+IF(AND($E23=1,OB23=0),50000,0))+IF($H23=1,(IF('計算A'!EN$117=1,INDEX('計算A'!EN$10:EN$54,$B23),0)+IF('計算A'!EO$117=1,INDEX('計算A'!EP$10:EP$54,$B23),0))*4000,0)-IF(AND('計算A'!EN$117=1,ZL23&gt;0),2000,0)-IF(AND($L23=1,'計算A'!EO$117=1,IN23=0),2000,0))),1000000))</f>
        <v/>
      </c>
      <c r="TR23">
        <f>IF($B23=0,1000000,IF(INDEX('計算A'!$D$60:$EQ$104,$B23,143)*IN23=1,IF(AND($E23=2,OC23=0),1000000,IF($I23&gt;0,IF(6=$J23,IF(OR(AND(143=$I23+1,OR($K23&lt;&gt;'計算A'!$A$3,'計算A'!$A$4=0)),AND(143=$I23-1,OR(23&lt;&gt;'計算A'!$A$3,'計算A'!$A$4=0))),0,IF(23=$K23,200000,ABS(23-$K23)*100)),100000+ABS(6-$J23)*1000+230)+'計算A'!EP$5*50+IF(AND($E23=1,OC23=0),25,0),IF($F23&gt;0,INDEX('計算A'!EP$110:EP$114,$F23+1)+IF(AND($E23=1,OC23=0),1000,0),MIN(TZ23,20)*400+(IF('計算A'!EO$106=1,1-IM23,0)+IF('計算A'!EP$106=1,1-IO23,0))*150+236+'計算A'!EP$5*100000+IF(AND($E23=1,OC23=0),50000,0))+IF($H23=1,(IF('計算A'!EO$117=1,INDEX('計算A'!EO$10:EO$54,$B23),0)+IF('計算A'!EP$117=1,INDEX('計算A'!EQ$10:EQ$54,$B23),0))*4000,0)-IF(AND('計算A'!EO$117=1,ZM23&gt;0),2000,0)-IF(AND($L23=1,'計算A'!EP$117=1,IO23=0),2000,0))),1000000))</f>
        <v/>
      </c>
      <c r="TS23">
        <f>IF($B23=0,1000000,IF(INDEX('計算A'!$D$60:$EQ$104,$B23,144)*IO23=1,IF(AND($E23=2,OD23=0),1000000,IF($I23&gt;0,IF(6=$J23,IF(OR(AND(144=$I23+1,OR($K23&lt;&gt;'計算A'!$A$3,'計算A'!$A$4=0)),AND(144=$I23-1,OR(24&lt;&gt;'計算A'!$A$3,'計算A'!$A$4=0))),0,IF(24=$K23,200000,ABS(24-$K23)*100)),100000+ABS(6-$J23)*1000+240)+'計算A'!EQ$5*50+IF(AND($E23=1,OD23=0),25,0),IF($F23&gt;0,INDEX('計算A'!EQ$110:EQ$114,$F23+1)+IF(AND($E23=1,OD23=0),1000,0),MIN(TZ23,20)*400+(IF('計算A'!EP$106=1,1-IN23,0))*150+246+'計算A'!EQ$5*100000+IF(AND($E23=1,OD23=0),50000,0))+IF($H23=1,(IF('計算A'!EP$117=1,INDEX('計算A'!EP$10:EP$54,$B23),0))*4000,0)-IF(AND('計算A'!EP$117=1,ZN23&gt;0),2000,0))),1000000))</f>
        <v/>
      </c>
      <c r="TU23">
        <f>TU22+IF($C22&gt;0,IF(INDEX('計算A'!$D$2:$EQ$2,$C22)=1,1,0),0)</f>
        <v/>
      </c>
      <c r="TV23">
        <f>TV22+IF($C22&gt;0,IF(INDEX('計算A'!$D$2:$EQ$2,$C22)=2,1,0),0)</f>
        <v/>
      </c>
      <c r="TW23">
        <f>TW22+IF($C22&gt;0,IF(INDEX('計算A'!$D$2:$EQ$2,$C22)=3,1,0),0)</f>
        <v/>
      </c>
      <c r="TX23">
        <f>TX22+IF($C22&gt;0,IF(INDEX('計算A'!$D$2:$EQ$2,$C22)=4,1,0),0)</f>
        <v/>
      </c>
      <c r="TY23">
        <f>TY22+IF($C22&gt;0,IF(INDEX('計算A'!$D$2:$EQ$2,$C22)=5,1,0),0)</f>
        <v/>
      </c>
      <c r="TZ23">
        <f>TZ22+IF($C22&gt;0,IF(INDEX('計算A'!$D$2:$EQ$2,$C22)=6,1,0),0)</f>
        <v/>
      </c>
      <c r="UB23">
        <f>UB22+IF(AND($C22=1,$L22=1),1,0)</f>
        <v/>
      </c>
      <c r="UC23">
        <f>UC22+IF(AND($C22=2,$L22=1),1,0)</f>
        <v/>
      </c>
      <c r="UD23">
        <f>UD22+IF(AND($C22=3,$L22=1),1,0)</f>
        <v/>
      </c>
      <c r="UE23">
        <f>UE22+IF(AND($C22=4,$L22=1),1,0)</f>
        <v/>
      </c>
      <c r="UF23">
        <f>UF22+IF(AND($C22=5,$L22=1),1,0)</f>
        <v/>
      </c>
      <c r="UG23">
        <f>UG22+IF(AND($C22=6,$L22=1),1,0)</f>
        <v/>
      </c>
      <c r="UH23">
        <f>UH22+IF(AND($C22=7,$L22=1),1,0)</f>
        <v/>
      </c>
      <c r="UI23">
        <f>UI22+IF(AND($C22=8,$L22=1),1,0)</f>
        <v/>
      </c>
      <c r="UJ23">
        <f>UJ22+IF(AND($C22=9,$L22=1),1,0)</f>
        <v/>
      </c>
      <c r="UK23">
        <f>UK22+IF(AND($C22=10,$L22=1),1,0)</f>
        <v/>
      </c>
      <c r="UL23">
        <f>UL22+IF(AND($C22=11,$L22=1),1,0)</f>
        <v/>
      </c>
      <c r="UM23">
        <f>UM22+IF(AND($C22=12,$L22=1),1,0)</f>
        <v/>
      </c>
      <c r="UN23">
        <f>UN22+IF(AND($C22=13,$L22=1),1,0)</f>
        <v/>
      </c>
      <c r="UO23">
        <f>UO22+IF(AND($C22=14,$L22=1),1,0)</f>
        <v/>
      </c>
      <c r="UP23">
        <f>UP22+IF(AND($C22=15,$L22=1),1,0)</f>
        <v/>
      </c>
      <c r="UQ23">
        <f>UQ22+IF(AND($C22=16,$L22=1),1,0)</f>
        <v/>
      </c>
      <c r="UR23">
        <f>UR22+IF(AND($C22=17,$L22=1),1,0)</f>
        <v/>
      </c>
      <c r="US23">
        <f>US22+IF(AND($C22=18,$L22=1),1,0)</f>
        <v/>
      </c>
      <c r="UT23">
        <f>UT22+IF(AND($C22=19,$L22=1),1,0)</f>
        <v/>
      </c>
      <c r="UU23">
        <f>UU22+IF(AND($C22=20,$L22=1),1,0)</f>
        <v/>
      </c>
      <c r="UV23">
        <f>UV22+IF(AND($C22=21,$L22=1),1,0)</f>
        <v/>
      </c>
      <c r="UW23">
        <f>UW22+IF(AND($C22=22,$L22=1),1,0)</f>
        <v/>
      </c>
      <c r="UX23">
        <f>UX22+IF(AND($C22=23,$L22=1),1,0)</f>
        <v/>
      </c>
      <c r="UY23">
        <f>UY22+IF(AND($C22=24,$L22=1),1,0)</f>
        <v/>
      </c>
      <c r="UZ23">
        <f>UZ22+IF(AND($C22=25,$L22=1),1,0)</f>
        <v/>
      </c>
      <c r="VA23">
        <f>VA22+IF(AND($C22=26,$L22=1),1,0)</f>
        <v/>
      </c>
      <c r="VB23">
        <f>VB22+IF(AND($C22=27,$L22=1),1,0)</f>
        <v/>
      </c>
      <c r="VC23">
        <f>VC22+IF(AND($C22=28,$L22=1),1,0)</f>
        <v/>
      </c>
      <c r="VD23">
        <f>VD22+IF(AND($C22=29,$L22=1),1,0)</f>
        <v/>
      </c>
      <c r="VE23">
        <f>VE22+IF(AND($C22=30,$L22=1),1,0)</f>
        <v/>
      </c>
      <c r="VF23">
        <f>VF22+IF(AND($C22=31,$L22=1),1,0)</f>
        <v/>
      </c>
      <c r="VG23">
        <f>VG22+IF(AND($C22=32,$L22=1),1,0)</f>
        <v/>
      </c>
      <c r="VH23">
        <f>VH22+IF(AND($C22=33,$L22=1),1,0)</f>
        <v/>
      </c>
      <c r="VI23">
        <f>VI22+IF(AND($C22=34,$L22=1),1,0)</f>
        <v/>
      </c>
      <c r="VJ23">
        <f>VJ22+IF(AND($C22=35,$L22=1),1,0)</f>
        <v/>
      </c>
      <c r="VK23">
        <f>VK22+IF(AND($C22=36,$L22=1),1,0)</f>
        <v/>
      </c>
      <c r="VL23">
        <f>VL22+IF(AND($C22=37,$L22=1),1,0)</f>
        <v/>
      </c>
      <c r="VM23">
        <f>VM22+IF(AND($C22=38,$L22=1),1,0)</f>
        <v/>
      </c>
      <c r="VN23">
        <f>VN22+IF(AND($C22=39,$L22=1),1,0)</f>
        <v/>
      </c>
      <c r="VO23">
        <f>VO22+IF(AND($C22=40,$L22=1),1,0)</f>
        <v/>
      </c>
      <c r="VP23">
        <f>VP22+IF(AND($C22=41,$L22=1),1,0)</f>
        <v/>
      </c>
      <c r="VQ23">
        <f>VQ22+IF(AND($C22=42,$L22=1),1,0)</f>
        <v/>
      </c>
      <c r="VR23">
        <f>VR22+IF(AND($C22=43,$L22=1),1,0)</f>
        <v/>
      </c>
      <c r="VS23">
        <f>VS22+IF(AND($C22=44,$L22=1),1,0)</f>
        <v/>
      </c>
      <c r="VT23">
        <f>VT22+IF(AND($C22=45,$L22=1),1,0)</f>
        <v/>
      </c>
      <c r="VU23">
        <f>VU22+IF(AND($C22=46,$L22=1),1,0)</f>
        <v/>
      </c>
      <c r="VV23">
        <f>VV22+IF(AND($C22=47,$L22=1),1,0)</f>
        <v/>
      </c>
      <c r="VW23">
        <f>VW22+IF(AND($C22=48,$L22=1),1,0)</f>
        <v/>
      </c>
      <c r="VX23">
        <f>VX22+IF(AND($C22=49,$L22=1),1,0)</f>
        <v/>
      </c>
      <c r="VY23">
        <f>VY22+IF(AND($C22=50,$L22=1),1,0)</f>
        <v/>
      </c>
      <c r="VZ23">
        <f>VZ22+IF(AND($C22=51,$L22=1),1,0)</f>
        <v/>
      </c>
      <c r="WA23">
        <f>WA22+IF(AND($C22=52,$L22=1),1,0)</f>
        <v/>
      </c>
      <c r="WB23">
        <f>WB22+IF(AND($C22=53,$L22=1),1,0)</f>
        <v/>
      </c>
      <c r="WC23">
        <f>WC22+IF(AND($C22=54,$L22=1),1,0)</f>
        <v/>
      </c>
      <c r="WD23">
        <f>WD22+IF(AND($C22=55,$L22=1),1,0)</f>
        <v/>
      </c>
      <c r="WE23">
        <f>WE22+IF(AND($C22=56,$L22=1),1,0)</f>
        <v/>
      </c>
      <c r="WF23">
        <f>WF22+IF(AND($C22=57,$L22=1),1,0)</f>
        <v/>
      </c>
      <c r="WG23">
        <f>WG22+IF(AND($C22=58,$L22=1),1,0)</f>
        <v/>
      </c>
      <c r="WH23">
        <f>WH22+IF(AND($C22=59,$L22=1),1,0)</f>
        <v/>
      </c>
      <c r="WI23">
        <f>WI22+IF(AND($C22=60,$L22=1),1,0)</f>
        <v/>
      </c>
      <c r="WJ23">
        <f>WJ22+IF(AND($C22=61,$L22=1),1,0)</f>
        <v/>
      </c>
      <c r="WK23">
        <f>WK22+IF(AND($C22=62,$L22=1),1,0)</f>
        <v/>
      </c>
      <c r="WL23">
        <f>WL22+IF(AND($C22=63,$L22=1),1,0)</f>
        <v/>
      </c>
      <c r="WM23">
        <f>WM22+IF(AND($C22=64,$L22=1),1,0)</f>
        <v/>
      </c>
      <c r="WN23">
        <f>WN22+IF(AND($C22=65,$L22=1),1,0)</f>
        <v/>
      </c>
      <c r="WO23">
        <f>WO22+IF(AND($C22=66,$L22=1),1,0)</f>
        <v/>
      </c>
      <c r="WP23">
        <f>WP22+IF(AND($C22=67,$L22=1),1,0)</f>
        <v/>
      </c>
      <c r="WQ23">
        <f>WQ22+IF(AND($C22=68,$L22=1),1,0)</f>
        <v/>
      </c>
      <c r="WR23">
        <f>WR22+IF(AND($C22=69,$L22=1),1,0)</f>
        <v/>
      </c>
      <c r="WS23">
        <f>WS22+IF(AND($C22=70,$L22=1),1,0)</f>
        <v/>
      </c>
      <c r="WT23">
        <f>WT22+IF(AND($C22=71,$L22=1),1,0)</f>
        <v/>
      </c>
      <c r="WU23">
        <f>WU22+IF(AND($C22=72,$L22=1),1,0)</f>
        <v/>
      </c>
      <c r="WV23">
        <f>WV22+IF(AND($C22=73,$L22=1),1,0)</f>
        <v/>
      </c>
      <c r="WW23">
        <f>WW22+IF(AND($C22=74,$L22=1),1,0)</f>
        <v/>
      </c>
      <c r="WX23">
        <f>WX22+IF(AND($C22=75,$L22=1),1,0)</f>
        <v/>
      </c>
      <c r="WY23">
        <f>WY22+IF(AND($C22=76,$L22=1),1,0)</f>
        <v/>
      </c>
      <c r="WZ23">
        <f>WZ22+IF(AND($C22=77,$L22=1),1,0)</f>
        <v/>
      </c>
      <c r="XA23">
        <f>XA22+IF(AND($C22=78,$L22=1),1,0)</f>
        <v/>
      </c>
      <c r="XB23">
        <f>XB22+IF(AND($C22=79,$L22=1),1,0)</f>
        <v/>
      </c>
      <c r="XC23">
        <f>XC22+IF(AND($C22=80,$L22=1),1,0)</f>
        <v/>
      </c>
      <c r="XD23">
        <f>XD22+IF(AND($C22=81,$L22=1),1,0)</f>
        <v/>
      </c>
      <c r="XE23">
        <f>XE22+IF(AND($C22=82,$L22=1),1,0)</f>
        <v/>
      </c>
      <c r="XF23">
        <f>XF22+IF(AND($C22=83,$L22=1),1,0)</f>
        <v/>
      </c>
      <c r="XG23">
        <f>XG22+IF(AND($C22=84,$L22=1),1,0)</f>
        <v/>
      </c>
      <c r="XH23">
        <f>XH22+IF(AND($C22=85,$L22=1),1,0)</f>
        <v/>
      </c>
      <c r="XI23">
        <f>XI22+IF(AND($C22=86,$L22=1),1,0)</f>
        <v/>
      </c>
      <c r="XJ23">
        <f>XJ22+IF(AND($C22=87,$L22=1),1,0)</f>
        <v/>
      </c>
      <c r="XK23">
        <f>XK22+IF(AND($C22=88,$L22=1),1,0)</f>
        <v/>
      </c>
      <c r="XL23">
        <f>XL22+IF(AND($C22=89,$L22=1),1,0)</f>
        <v/>
      </c>
      <c r="XM23">
        <f>XM22+IF(AND($C22=90,$L22=1),1,0)</f>
        <v/>
      </c>
      <c r="XN23">
        <f>XN22+IF(AND($C22=91,$L22=1),1,0)</f>
        <v/>
      </c>
      <c r="XO23">
        <f>XO22+IF(AND($C22=92,$L22=1),1,0)</f>
        <v/>
      </c>
      <c r="XP23">
        <f>XP22+IF(AND($C22=93,$L22=1),1,0)</f>
        <v/>
      </c>
      <c r="XQ23">
        <f>XQ22+IF(AND($C22=94,$L22=1),1,0)</f>
        <v/>
      </c>
      <c r="XR23">
        <f>XR22+IF(AND($C22=95,$L22=1),1,0)</f>
        <v/>
      </c>
      <c r="XS23">
        <f>XS22+IF(AND($C22=96,$L22=1),1,0)</f>
        <v/>
      </c>
      <c r="XT23">
        <f>XT22+IF(AND($C22=97,$L22=1),1,0)</f>
        <v/>
      </c>
      <c r="XU23">
        <f>XU22+IF(AND($C22=98,$L22=1),1,0)</f>
        <v/>
      </c>
      <c r="XV23">
        <f>XV22+IF(AND($C22=99,$L22=1),1,0)</f>
        <v/>
      </c>
      <c r="XW23">
        <f>XW22+IF(AND($C22=100,$L22=1),1,0)</f>
        <v/>
      </c>
      <c r="XX23">
        <f>XX22+IF(AND($C22=101,$L22=1),1,0)</f>
        <v/>
      </c>
      <c r="XY23">
        <f>XY22+IF(AND($C22=102,$L22=1),1,0)</f>
        <v/>
      </c>
      <c r="XZ23">
        <f>XZ22+IF(AND($C22=103,$L22=1),1,0)</f>
        <v/>
      </c>
      <c r="YA23">
        <f>YA22+IF(AND($C22=104,$L22=1),1,0)</f>
        <v/>
      </c>
      <c r="YB23">
        <f>YB22+IF(AND($C22=105,$L22=1),1,0)</f>
        <v/>
      </c>
      <c r="YC23">
        <f>YC22+IF(AND($C22=106,$L22=1),1,0)</f>
        <v/>
      </c>
      <c r="YD23">
        <f>YD22+IF(AND($C22=107,$L22=1),1,0)</f>
        <v/>
      </c>
      <c r="YE23">
        <f>YE22+IF(AND($C22=108,$L22=1),1,0)</f>
        <v/>
      </c>
      <c r="YF23">
        <f>YF22+IF(AND($C22=109,$L22=1),1,0)</f>
        <v/>
      </c>
      <c r="YG23">
        <f>YG22+IF(AND($C22=110,$L22=1),1,0)</f>
        <v/>
      </c>
      <c r="YH23">
        <f>YH22+IF(AND($C22=111,$L22=1),1,0)</f>
        <v/>
      </c>
      <c r="YI23">
        <f>YI22+IF(AND($C22=112,$L22=1),1,0)</f>
        <v/>
      </c>
      <c r="YJ23">
        <f>YJ22+IF(AND($C22=113,$L22=1),1,0)</f>
        <v/>
      </c>
      <c r="YK23">
        <f>YK22+IF(AND($C22=114,$L22=1),1,0)</f>
        <v/>
      </c>
      <c r="YL23">
        <f>YL22+IF(AND($C22=115,$L22=1),1,0)</f>
        <v/>
      </c>
      <c r="YM23">
        <f>YM22+IF(AND($C22=116,$L22=1),1,0)</f>
        <v/>
      </c>
      <c r="YN23">
        <f>YN22+IF(AND($C22=117,$L22=1),1,0)</f>
        <v/>
      </c>
      <c r="YO23">
        <f>YO22+IF(AND($C22=118,$L22=1),1,0)</f>
        <v/>
      </c>
      <c r="YP23">
        <f>YP22+IF(AND($C22=119,$L22=1),1,0)</f>
        <v/>
      </c>
      <c r="YQ23">
        <f>YQ22+IF(AND($C22=120,$L22=1),1,0)</f>
        <v/>
      </c>
      <c r="YR23">
        <f>YR22+IF(AND($C22=121,$L22=1),1,0)</f>
        <v/>
      </c>
      <c r="YS23">
        <f>YS22+IF(AND($C22=122,$L22=1),1,0)</f>
        <v/>
      </c>
      <c r="YT23">
        <f>YT22+IF(AND($C22=123,$L22=1),1,0)</f>
        <v/>
      </c>
      <c r="YU23">
        <f>YU22+IF(AND($C22=124,$L22=1),1,0)</f>
        <v/>
      </c>
      <c r="YV23">
        <f>YV22+IF(AND($C22=125,$L22=1),1,0)</f>
        <v/>
      </c>
      <c r="YW23">
        <f>YW22+IF(AND($C22=126,$L22=1),1,0)</f>
        <v/>
      </c>
      <c r="YX23">
        <f>YX22+IF(AND($C22=127,$L22=1),1,0)</f>
        <v/>
      </c>
      <c r="YY23">
        <f>YY22+IF(AND($C22=128,$L22=1),1,0)</f>
        <v/>
      </c>
      <c r="YZ23">
        <f>YZ22+IF(AND($C22=129,$L22=1),1,0)</f>
        <v/>
      </c>
      <c r="ZA23">
        <f>ZA22+IF(AND($C22=130,$L22=1),1,0)</f>
        <v/>
      </c>
      <c r="ZB23">
        <f>ZB22+IF(AND($C22=131,$L22=1),1,0)</f>
        <v/>
      </c>
      <c r="ZC23">
        <f>ZC22+IF(AND($C22=132,$L22=1),1,0)</f>
        <v/>
      </c>
      <c r="ZD23">
        <f>ZD22+IF(AND($C22=133,$L22=1),1,0)</f>
        <v/>
      </c>
      <c r="ZE23">
        <f>ZE22+IF(AND($C22=134,$L22=1),1,0)</f>
        <v/>
      </c>
      <c r="ZF23">
        <f>ZF22+IF(AND($C22=135,$L22=1),1,0)</f>
        <v/>
      </c>
      <c r="ZG23">
        <f>ZG22+IF(AND($C22=136,$L22=1),1,0)</f>
        <v/>
      </c>
      <c r="ZH23">
        <f>ZH22+IF(AND($C22=137,$L22=1),1,0)</f>
        <v/>
      </c>
      <c r="ZI23">
        <f>ZI22+IF(AND($C22=138,$L22=1),1,0)</f>
        <v/>
      </c>
      <c r="ZJ23">
        <f>ZJ22+IF(AND($C22=139,$L22=1),1,0)</f>
        <v/>
      </c>
      <c r="ZK23">
        <f>ZK22+IF(AND($C22=140,$L22=1),1,0)</f>
        <v/>
      </c>
      <c r="ZL23">
        <f>ZL22+IF(AND($C22=141,$L22=1),1,0)</f>
        <v/>
      </c>
      <c r="ZM23">
        <f>ZM22+IF(AND($C22=142,$L22=1),1,0)</f>
        <v/>
      </c>
      <c r="ZN23">
        <f>ZN22+IF(AND($C22=143,$L22=1),1,0)</f>
        <v/>
      </c>
      <c r="ZO23">
        <f>ZO22+IF(AND($C22=144,$L22=1),1,0)</f>
        <v/>
      </c>
    </row>
    <row r="24">
      <c r="A24" t="n">
        <v>22</v>
      </c>
      <c r="B24">
        <f>IF(MIN(BH24:CZ24)&gt;=1000000,0,MATCH(MIN(BH24:CZ24),BH24:CZ24,0))</f>
        <v/>
      </c>
      <c r="C24">
        <f>IF(MIN(OF24:TS24)&gt;=1000000,0,MATCH(MIN(OF24:TS24),OF24:TS24,0))</f>
        <v/>
      </c>
      <c r="D24">
        <f>IF(C24&gt;0,INDEX('計算A'!$D$5:$EQ$5,C24),0)</f>
        <v/>
      </c>
      <c r="E24">
        <f>IF(B24=0,0,INDEX('計算A'!$IQ$10:$IQ$54,B24))</f>
        <v/>
      </c>
      <c r="F24">
        <f>IF(B24=0,0,INDEX('計算A'!$IP$10:$IP$54,B24))</f>
        <v/>
      </c>
      <c r="G24">
        <f>IF(AND(C24&gt;0,E24&gt;0),IF(AND(INDEX('計算A'!$D$106:$EQ$106,C24)=1,INDEX($IQ24:$OD24,C24)=1),C24+1,0),0)</f>
        <v/>
      </c>
      <c r="H24">
        <f>IF(B24=0,0,INDEX('計算A'!$IW$10:$IW$54,B24))</f>
        <v/>
      </c>
      <c r="I24">
        <f>IF(B24=0,0,MAX(0,INDEX('計算A'!$IT$10:$IT$54,B24)))</f>
        <v/>
      </c>
      <c r="J24">
        <f>IF(I24=0,0,INDEX('計算A'!$D$2:$EQ$2,I24))</f>
        <v/>
      </c>
      <c r="K24">
        <f>IF(I24=0,0,INDEX('計算A'!$D$3:$EQ$3,I24))</f>
        <v/>
      </c>
      <c r="L24">
        <f>IF(B24=0,0,INDEX('計算A'!$IX$10:$IX$54,B24))</f>
        <v/>
      </c>
      <c r="N24">
        <f>MAX(N23,IF($B23=1,1,0))</f>
        <v/>
      </c>
      <c r="O24">
        <f>MAX(O23,IF($B23=2,1,0))</f>
        <v/>
      </c>
      <c r="P24">
        <f>MAX(P23,IF($B23=3,1,0))</f>
        <v/>
      </c>
      <c r="Q24">
        <f>MAX(Q23,IF($B23=4,1,0))</f>
        <v/>
      </c>
      <c r="R24">
        <f>MAX(R23,IF($B23=5,1,0))</f>
        <v/>
      </c>
      <c r="S24">
        <f>MAX(S23,IF($B23=6,1,0))</f>
        <v/>
      </c>
      <c r="T24">
        <f>MAX(T23,IF($B23=7,1,0))</f>
        <v/>
      </c>
      <c r="U24">
        <f>MAX(U23,IF($B23=8,1,0))</f>
        <v/>
      </c>
      <c r="V24">
        <f>MAX(V23,IF($B23=9,1,0))</f>
        <v/>
      </c>
      <c r="W24">
        <f>MAX(W23,IF($B23=10,1,0))</f>
        <v/>
      </c>
      <c r="X24">
        <f>MAX(X23,IF($B23=11,1,0))</f>
        <v/>
      </c>
      <c r="Y24">
        <f>MAX(Y23,IF($B23=12,1,0))</f>
        <v/>
      </c>
      <c r="Z24">
        <f>MAX(Z23,IF($B23=13,1,0))</f>
        <v/>
      </c>
      <c r="AA24">
        <f>MAX(AA23,IF($B23=14,1,0))</f>
        <v/>
      </c>
      <c r="AB24">
        <f>MAX(AB23,IF($B23=15,1,0))</f>
        <v/>
      </c>
      <c r="AC24">
        <f>MAX(AC23,IF($B23=16,1,0))</f>
        <v/>
      </c>
      <c r="AD24">
        <f>MAX(AD23,IF($B23=17,1,0))</f>
        <v/>
      </c>
      <c r="AE24">
        <f>MAX(AE23,IF($B23=18,1,0))</f>
        <v/>
      </c>
      <c r="AF24">
        <f>MAX(AF23,IF($B23=19,1,0))</f>
        <v/>
      </c>
      <c r="AG24">
        <f>MAX(AG23,IF($B23=20,1,0))</f>
        <v/>
      </c>
      <c r="AH24">
        <f>MAX(AH23,IF($B23=21,1,0))</f>
        <v/>
      </c>
      <c r="AI24">
        <f>MAX(AI23,IF($B23=22,1,0))</f>
        <v/>
      </c>
      <c r="AJ24">
        <f>MAX(AJ23,IF($B23=23,1,0))</f>
        <v/>
      </c>
      <c r="AK24">
        <f>MAX(AK23,IF($B23=24,1,0))</f>
        <v/>
      </c>
      <c r="AL24">
        <f>MAX(AL23,IF($B23=25,1,0))</f>
        <v/>
      </c>
      <c r="AM24">
        <f>MAX(AM23,IF($B23=26,1,0))</f>
        <v/>
      </c>
      <c r="AN24">
        <f>MAX(AN23,IF($B23=27,1,0))</f>
        <v/>
      </c>
      <c r="AO24">
        <f>MAX(AO23,IF($B23=28,1,0))</f>
        <v/>
      </c>
      <c r="AP24">
        <f>MAX(AP23,IF($B23=29,1,0))</f>
        <v/>
      </c>
      <c r="AQ24">
        <f>MAX(AQ23,IF($B23=30,1,0))</f>
        <v/>
      </c>
      <c r="AR24">
        <f>MAX(AR23,IF($B23=31,1,0))</f>
        <v/>
      </c>
      <c r="AS24">
        <f>MAX(AS23,IF($B23=32,1,0))</f>
        <v/>
      </c>
      <c r="AT24">
        <f>MAX(AT23,IF($B23=33,1,0))</f>
        <v/>
      </c>
      <c r="AU24">
        <f>MAX(AU23,IF($B23=34,1,0))</f>
        <v/>
      </c>
      <c r="AV24">
        <f>MAX(AV23,IF($B23=35,1,0))</f>
        <v/>
      </c>
      <c r="AW24">
        <f>MAX(AW23,IF($B23=36,1,0))</f>
        <v/>
      </c>
      <c r="AX24">
        <f>MAX(AX23,IF($B23=37,1,0))</f>
        <v/>
      </c>
      <c r="AY24">
        <f>MAX(AY23,IF($B23=38,1,0))</f>
        <v/>
      </c>
      <c r="AZ24">
        <f>MAX(AZ23,IF($B23=39,1,0))</f>
        <v/>
      </c>
      <c r="BA24">
        <f>MAX(BA23,IF($B23=40,1,0))</f>
        <v/>
      </c>
      <c r="BB24">
        <f>MAX(BB23,IF($B23=41,1,0))</f>
        <v/>
      </c>
      <c r="BC24">
        <f>MAX(BC23,IF($B23=42,1,0))</f>
        <v/>
      </c>
      <c r="BD24">
        <f>MAX(BD23,IF($B23=43,1,0))</f>
        <v/>
      </c>
      <c r="BE24">
        <f>MAX(BE23,IF($B23=44,1,0))</f>
        <v/>
      </c>
      <c r="BF24">
        <f>MAX(BF23,IF($B23=45,1,0))</f>
        <v/>
      </c>
      <c r="BH24">
        <f>IF(N24=1,1000000,IF('計算A'!$IT$10&gt;0,0,500000)+IF('計算A'!$IQ$10=2,SUMPRODUCT('計算A'!$D$60:$EQ$60,$DB24:$IO24,$IQ24:$OD24),SUMPRODUCT('計算A'!$D$60:$EQ$60,$DB24:$IO24))*1000+1)</f>
        <v/>
      </c>
      <c r="BI24">
        <f>IF(O24=1,1000000,IF('計算A'!$IT$11&gt;0,0,500000)+IF('計算A'!$IQ$11=2,SUMPRODUCT('計算A'!$D$61:$EQ$61,$DB24:$IO24,$IQ24:$OD24),SUMPRODUCT('計算A'!$D$61:$EQ$61,$DB24:$IO24))*1000+2)</f>
        <v/>
      </c>
      <c r="BJ24">
        <f>IF(P24=1,1000000,IF('計算A'!$IT$12&gt;0,0,500000)+IF('計算A'!$IQ$12=2,SUMPRODUCT('計算A'!$D$62:$EQ$62,$DB24:$IO24,$IQ24:$OD24),SUMPRODUCT('計算A'!$D$62:$EQ$62,$DB24:$IO24))*1000+3)</f>
        <v/>
      </c>
      <c r="BK24">
        <f>IF(Q24=1,1000000,IF('計算A'!$IT$13&gt;0,0,500000)+IF('計算A'!$IQ$13=2,SUMPRODUCT('計算A'!$D$63:$EQ$63,$DB24:$IO24,$IQ24:$OD24),SUMPRODUCT('計算A'!$D$63:$EQ$63,$DB24:$IO24))*1000+4)</f>
        <v/>
      </c>
      <c r="BL24">
        <f>IF(R24=1,1000000,IF('計算A'!$IT$14&gt;0,0,500000)+IF('計算A'!$IQ$14=2,SUMPRODUCT('計算A'!$D$64:$EQ$64,$DB24:$IO24,$IQ24:$OD24),SUMPRODUCT('計算A'!$D$64:$EQ$64,$DB24:$IO24))*1000+5)</f>
        <v/>
      </c>
      <c r="BM24">
        <f>IF(S24=1,1000000,IF('計算A'!$IT$15&gt;0,0,500000)+IF('計算A'!$IQ$15=2,SUMPRODUCT('計算A'!$D$65:$EQ$65,$DB24:$IO24,$IQ24:$OD24),SUMPRODUCT('計算A'!$D$65:$EQ$65,$DB24:$IO24))*1000+6)</f>
        <v/>
      </c>
      <c r="BN24">
        <f>IF(T24=1,1000000,IF('計算A'!$IT$16&gt;0,0,500000)+IF('計算A'!$IQ$16=2,SUMPRODUCT('計算A'!$D$66:$EQ$66,$DB24:$IO24,$IQ24:$OD24),SUMPRODUCT('計算A'!$D$66:$EQ$66,$DB24:$IO24))*1000+7)</f>
        <v/>
      </c>
      <c r="BO24">
        <f>IF(U24=1,1000000,IF('計算A'!$IT$17&gt;0,0,500000)+IF('計算A'!$IQ$17=2,SUMPRODUCT('計算A'!$D$67:$EQ$67,$DB24:$IO24,$IQ24:$OD24),SUMPRODUCT('計算A'!$D$67:$EQ$67,$DB24:$IO24))*1000+8)</f>
        <v/>
      </c>
      <c r="BP24">
        <f>IF(V24=1,1000000,IF('計算A'!$IT$18&gt;0,0,500000)+IF('計算A'!$IQ$18=2,SUMPRODUCT('計算A'!$D$68:$EQ$68,$DB24:$IO24,$IQ24:$OD24),SUMPRODUCT('計算A'!$D$68:$EQ$68,$DB24:$IO24))*1000+9)</f>
        <v/>
      </c>
      <c r="BQ24">
        <f>IF(W24=1,1000000,IF('計算A'!$IT$19&gt;0,0,500000)+IF('計算A'!$IQ$19=2,SUMPRODUCT('計算A'!$D$69:$EQ$69,$DB24:$IO24,$IQ24:$OD24),SUMPRODUCT('計算A'!$D$69:$EQ$69,$DB24:$IO24))*1000+10)</f>
        <v/>
      </c>
      <c r="BR24">
        <f>IF(X24=1,1000000,IF('計算A'!$IT$20&gt;0,0,500000)+IF('計算A'!$IQ$20=2,SUMPRODUCT('計算A'!$D$70:$EQ$70,$DB24:$IO24,$IQ24:$OD24),SUMPRODUCT('計算A'!$D$70:$EQ$70,$DB24:$IO24))*1000+11)</f>
        <v/>
      </c>
      <c r="BS24">
        <f>IF(Y24=1,1000000,IF('計算A'!$IT$21&gt;0,0,500000)+IF('計算A'!$IQ$21=2,SUMPRODUCT('計算A'!$D$71:$EQ$71,$DB24:$IO24,$IQ24:$OD24),SUMPRODUCT('計算A'!$D$71:$EQ$71,$DB24:$IO24))*1000+12)</f>
        <v/>
      </c>
      <c r="BT24">
        <f>IF(Z24=1,1000000,IF('計算A'!$IT$22&gt;0,0,500000)+IF('計算A'!$IQ$22=2,SUMPRODUCT('計算A'!$D$72:$EQ$72,$DB24:$IO24,$IQ24:$OD24),SUMPRODUCT('計算A'!$D$72:$EQ$72,$DB24:$IO24))*1000+13)</f>
        <v/>
      </c>
      <c r="BU24">
        <f>IF(AA24=1,1000000,IF('計算A'!$IT$23&gt;0,0,500000)+IF('計算A'!$IQ$23=2,SUMPRODUCT('計算A'!$D$73:$EQ$73,$DB24:$IO24,$IQ24:$OD24),SUMPRODUCT('計算A'!$D$73:$EQ$73,$DB24:$IO24))*1000+14)</f>
        <v/>
      </c>
      <c r="BV24">
        <f>IF(AB24=1,1000000,IF('計算A'!$IT$24&gt;0,0,500000)+IF('計算A'!$IQ$24=2,SUMPRODUCT('計算A'!$D$74:$EQ$74,$DB24:$IO24,$IQ24:$OD24),SUMPRODUCT('計算A'!$D$74:$EQ$74,$DB24:$IO24))*1000+15)</f>
        <v/>
      </c>
      <c r="BW24">
        <f>IF(AC24=1,1000000,IF('計算A'!$IT$25&gt;0,0,500000)+IF('計算A'!$IQ$25=2,SUMPRODUCT('計算A'!$D$75:$EQ$75,$DB24:$IO24,$IQ24:$OD24),SUMPRODUCT('計算A'!$D$75:$EQ$75,$DB24:$IO24))*1000+16)</f>
        <v/>
      </c>
      <c r="BX24">
        <f>IF(AD24=1,1000000,IF('計算A'!$IT$26&gt;0,0,500000)+IF('計算A'!$IQ$26=2,SUMPRODUCT('計算A'!$D$76:$EQ$76,$DB24:$IO24,$IQ24:$OD24),SUMPRODUCT('計算A'!$D$76:$EQ$76,$DB24:$IO24))*1000+17)</f>
        <v/>
      </c>
      <c r="BY24">
        <f>IF(AE24=1,1000000,IF('計算A'!$IT$27&gt;0,0,500000)+IF('計算A'!$IQ$27=2,SUMPRODUCT('計算A'!$D$77:$EQ$77,$DB24:$IO24,$IQ24:$OD24),SUMPRODUCT('計算A'!$D$77:$EQ$77,$DB24:$IO24))*1000+18)</f>
        <v/>
      </c>
      <c r="BZ24">
        <f>IF(AF24=1,1000000,IF('計算A'!$IT$28&gt;0,0,500000)+IF('計算A'!$IQ$28=2,SUMPRODUCT('計算A'!$D$78:$EQ$78,$DB24:$IO24,$IQ24:$OD24),SUMPRODUCT('計算A'!$D$78:$EQ$78,$DB24:$IO24))*1000+19)</f>
        <v/>
      </c>
      <c r="CA24">
        <f>IF(AG24=1,1000000,IF('計算A'!$IT$29&gt;0,0,500000)+IF('計算A'!$IQ$29=2,SUMPRODUCT('計算A'!$D$79:$EQ$79,$DB24:$IO24,$IQ24:$OD24),SUMPRODUCT('計算A'!$D$79:$EQ$79,$DB24:$IO24))*1000+20)</f>
        <v/>
      </c>
      <c r="CB24">
        <f>IF(AH24=1,1000000,IF('計算A'!$IT$30&gt;0,0,500000)+IF('計算A'!$IQ$30=2,SUMPRODUCT('計算A'!$D$80:$EQ$80,$DB24:$IO24,$IQ24:$OD24),SUMPRODUCT('計算A'!$D$80:$EQ$80,$DB24:$IO24))*1000+21)</f>
        <v/>
      </c>
      <c r="CC24">
        <f>IF(AI24=1,1000000,IF('計算A'!$IT$31&gt;0,0,500000)+IF('計算A'!$IQ$31=2,SUMPRODUCT('計算A'!$D$81:$EQ$81,$DB24:$IO24,$IQ24:$OD24),SUMPRODUCT('計算A'!$D$81:$EQ$81,$DB24:$IO24))*1000+22)</f>
        <v/>
      </c>
      <c r="CD24">
        <f>IF(AJ24=1,1000000,IF('計算A'!$IT$32&gt;0,0,500000)+IF('計算A'!$IQ$32=2,SUMPRODUCT('計算A'!$D$82:$EQ$82,$DB24:$IO24,$IQ24:$OD24),SUMPRODUCT('計算A'!$D$82:$EQ$82,$DB24:$IO24))*1000+23)</f>
        <v/>
      </c>
      <c r="CE24">
        <f>IF(AK24=1,1000000,IF('計算A'!$IT$33&gt;0,0,500000)+IF('計算A'!$IQ$33=2,SUMPRODUCT('計算A'!$D$83:$EQ$83,$DB24:$IO24,$IQ24:$OD24),SUMPRODUCT('計算A'!$D$83:$EQ$83,$DB24:$IO24))*1000+24)</f>
        <v/>
      </c>
      <c r="CF24">
        <f>IF(AL24=1,1000000,IF('計算A'!$IT$34&gt;0,0,500000)+IF('計算A'!$IQ$34=2,SUMPRODUCT('計算A'!$D$84:$EQ$84,$DB24:$IO24,$IQ24:$OD24),SUMPRODUCT('計算A'!$D$84:$EQ$84,$DB24:$IO24))*1000+25)</f>
        <v/>
      </c>
      <c r="CG24">
        <f>IF(AM24=1,1000000,IF('計算A'!$IT$35&gt;0,0,500000)+IF('計算A'!$IQ$35=2,SUMPRODUCT('計算A'!$D$85:$EQ$85,$DB24:$IO24,$IQ24:$OD24),SUMPRODUCT('計算A'!$D$85:$EQ$85,$DB24:$IO24))*1000+26)</f>
        <v/>
      </c>
      <c r="CH24">
        <f>IF(AN24=1,1000000,IF('計算A'!$IT$36&gt;0,0,500000)+IF('計算A'!$IQ$36=2,SUMPRODUCT('計算A'!$D$86:$EQ$86,$DB24:$IO24,$IQ24:$OD24),SUMPRODUCT('計算A'!$D$86:$EQ$86,$DB24:$IO24))*1000+27)</f>
        <v/>
      </c>
      <c r="CI24">
        <f>IF(AO24=1,1000000,IF('計算A'!$IT$37&gt;0,0,500000)+IF('計算A'!$IQ$37=2,SUMPRODUCT('計算A'!$D$87:$EQ$87,$DB24:$IO24,$IQ24:$OD24),SUMPRODUCT('計算A'!$D$87:$EQ$87,$DB24:$IO24))*1000+28)</f>
        <v/>
      </c>
      <c r="CJ24">
        <f>IF(AP24=1,1000000,IF('計算A'!$IT$38&gt;0,0,500000)+IF('計算A'!$IQ$38=2,SUMPRODUCT('計算A'!$D$88:$EQ$88,$DB24:$IO24,$IQ24:$OD24),SUMPRODUCT('計算A'!$D$88:$EQ$88,$DB24:$IO24))*1000+29)</f>
        <v/>
      </c>
      <c r="CK24">
        <f>IF(AQ24=1,1000000,IF('計算A'!$IT$39&gt;0,0,500000)+IF('計算A'!$IQ$39=2,SUMPRODUCT('計算A'!$D$89:$EQ$89,$DB24:$IO24,$IQ24:$OD24),SUMPRODUCT('計算A'!$D$89:$EQ$89,$DB24:$IO24))*1000+30)</f>
        <v/>
      </c>
      <c r="CL24">
        <f>IF(AR24=1,1000000,IF('計算A'!$IT$40&gt;0,0,500000)+IF('計算A'!$IQ$40=2,SUMPRODUCT('計算A'!$D$90:$EQ$90,$DB24:$IO24,$IQ24:$OD24),SUMPRODUCT('計算A'!$D$90:$EQ$90,$DB24:$IO24))*1000+31)</f>
        <v/>
      </c>
      <c r="CM24">
        <f>IF(AS24=1,1000000,IF('計算A'!$IT$41&gt;0,0,500000)+IF('計算A'!$IQ$41=2,SUMPRODUCT('計算A'!$D$91:$EQ$91,$DB24:$IO24,$IQ24:$OD24),SUMPRODUCT('計算A'!$D$91:$EQ$91,$DB24:$IO24))*1000+32)</f>
        <v/>
      </c>
      <c r="CN24">
        <f>IF(AT24=1,1000000,IF('計算A'!$IT$42&gt;0,0,500000)+IF('計算A'!$IQ$42=2,SUMPRODUCT('計算A'!$D$92:$EQ$92,$DB24:$IO24,$IQ24:$OD24),SUMPRODUCT('計算A'!$D$92:$EQ$92,$DB24:$IO24))*1000+33)</f>
        <v/>
      </c>
      <c r="CO24">
        <f>IF(AU24=1,1000000,IF('計算A'!$IT$43&gt;0,0,500000)+IF('計算A'!$IQ$43=2,SUMPRODUCT('計算A'!$D$93:$EQ$93,$DB24:$IO24,$IQ24:$OD24),SUMPRODUCT('計算A'!$D$93:$EQ$93,$DB24:$IO24))*1000+34)</f>
        <v/>
      </c>
      <c r="CP24">
        <f>IF(AV24=1,1000000,IF('計算A'!$IT$44&gt;0,0,500000)+IF('計算A'!$IQ$44=2,SUMPRODUCT('計算A'!$D$94:$EQ$94,$DB24:$IO24,$IQ24:$OD24),SUMPRODUCT('計算A'!$D$94:$EQ$94,$DB24:$IO24))*1000+35)</f>
        <v/>
      </c>
      <c r="CQ24">
        <f>IF(AW24=1,1000000,IF('計算A'!$IT$45&gt;0,0,500000)+IF('計算A'!$IQ$45=2,SUMPRODUCT('計算A'!$D$95:$EQ$95,$DB24:$IO24,$IQ24:$OD24),SUMPRODUCT('計算A'!$D$95:$EQ$95,$DB24:$IO24))*1000+36)</f>
        <v/>
      </c>
      <c r="CR24">
        <f>IF(AX24=1,1000000,IF('計算A'!$IT$46&gt;0,0,500000)+IF('計算A'!$IQ$46=2,SUMPRODUCT('計算A'!$D$96:$EQ$96,$DB24:$IO24,$IQ24:$OD24),SUMPRODUCT('計算A'!$D$96:$EQ$96,$DB24:$IO24))*1000+37)</f>
        <v/>
      </c>
      <c r="CS24">
        <f>IF(AY24=1,1000000,IF('計算A'!$IT$47&gt;0,0,500000)+IF('計算A'!$IQ$47=2,SUMPRODUCT('計算A'!$D$97:$EQ$97,$DB24:$IO24,$IQ24:$OD24),SUMPRODUCT('計算A'!$D$97:$EQ$97,$DB24:$IO24))*1000+38)</f>
        <v/>
      </c>
      <c r="CT24">
        <f>IF(AZ24=1,1000000,IF('計算A'!$IT$48&gt;0,0,500000)+IF('計算A'!$IQ$48=2,SUMPRODUCT('計算A'!$D$98:$EQ$98,$DB24:$IO24,$IQ24:$OD24),SUMPRODUCT('計算A'!$D$98:$EQ$98,$DB24:$IO24))*1000+39)</f>
        <v/>
      </c>
      <c r="CU24">
        <f>IF(BA24=1,1000000,IF('計算A'!$IT$49&gt;0,0,500000)+IF('計算A'!$IQ$49=2,SUMPRODUCT('計算A'!$D$99:$EQ$99,$DB24:$IO24,$IQ24:$OD24),SUMPRODUCT('計算A'!$D$99:$EQ$99,$DB24:$IO24))*1000+40)</f>
        <v/>
      </c>
      <c r="CV24">
        <f>IF(BB24=1,1000000,IF('計算A'!$IT$50&gt;0,0,500000)+IF('計算A'!$IQ$50=2,SUMPRODUCT('計算A'!$D$100:$EQ$100,$DB24:$IO24,$IQ24:$OD24),SUMPRODUCT('計算A'!$D$100:$EQ$100,$DB24:$IO24))*1000+41)</f>
        <v/>
      </c>
      <c r="CW24">
        <f>IF(BC24=1,1000000,IF('計算A'!$IT$51&gt;0,0,500000)+IF('計算A'!$IQ$51=2,SUMPRODUCT('計算A'!$D$101:$EQ$101,$DB24:$IO24,$IQ24:$OD24),SUMPRODUCT('計算A'!$D$101:$EQ$101,$DB24:$IO24))*1000+42)</f>
        <v/>
      </c>
      <c r="CX24">
        <f>IF(BD24=1,1000000,IF('計算A'!$IT$52&gt;0,0,500000)+IF('計算A'!$IQ$52=2,SUMPRODUCT('計算A'!$D$102:$EQ$102,$DB24:$IO24,$IQ24:$OD24),SUMPRODUCT('計算A'!$D$102:$EQ$102,$DB24:$IO24))*1000+43)</f>
        <v/>
      </c>
      <c r="CY24">
        <f>IF(BE24=1,1000000,IF('計算A'!$IT$53&gt;0,0,500000)+IF('計算A'!$IQ$53=2,SUMPRODUCT('計算A'!$D$103:$EQ$103,$DB24:$IO24,$IQ24:$OD24),SUMPRODUCT('計算A'!$D$103:$EQ$103,$DB24:$IO24))*1000+44)</f>
        <v/>
      </c>
      <c r="CZ24">
        <f>IF(BF24=1,1000000,IF('計算A'!$IT$54&gt;0,0,500000)+IF('計算A'!$IQ$54=2,SUMPRODUCT('計算A'!$D$104:$EQ$104,$DB24:$IO24,$IQ24:$OD24),SUMPRODUCT('計算A'!$D$104:$EQ$104,$DB24:$IO24))*1000+45)</f>
        <v/>
      </c>
      <c r="DB24">
        <f>DB23*IF(OR($C23=1,$G23=1),0,1)</f>
        <v/>
      </c>
      <c r="DC24">
        <f>DC23*IF(OR($C23=2,$G23=2),0,1)</f>
        <v/>
      </c>
      <c r="DD24">
        <f>DD23*IF(OR($C23=3,$G23=3),0,1)</f>
        <v/>
      </c>
      <c r="DE24">
        <f>DE23*IF(OR($C23=4,$G23=4),0,1)</f>
        <v/>
      </c>
      <c r="DF24">
        <f>DF23*IF(OR($C23=5,$G23=5),0,1)</f>
        <v/>
      </c>
      <c r="DG24">
        <f>DG23*IF(OR($C23=6,$G23=6),0,1)</f>
        <v/>
      </c>
      <c r="DH24">
        <f>DH23*IF(OR($C23=7,$G23=7),0,1)</f>
        <v/>
      </c>
      <c r="DI24">
        <f>DI23*IF(OR($C23=8,$G23=8),0,1)</f>
        <v/>
      </c>
      <c r="DJ24">
        <f>DJ23*IF(OR($C23=9,$G23=9),0,1)</f>
        <v/>
      </c>
      <c r="DK24">
        <f>DK23*IF(OR($C23=10,$G23=10),0,1)</f>
        <v/>
      </c>
      <c r="DL24">
        <f>DL23*IF(OR($C23=11,$G23=11),0,1)</f>
        <v/>
      </c>
      <c r="DM24">
        <f>DM23*IF(OR($C23=12,$G23=12),0,1)</f>
        <v/>
      </c>
      <c r="DN24">
        <f>DN23*IF(OR($C23=13,$G23=13),0,1)</f>
        <v/>
      </c>
      <c r="DO24">
        <f>DO23*IF(OR($C23=14,$G23=14),0,1)</f>
        <v/>
      </c>
      <c r="DP24">
        <f>DP23*IF(OR($C23=15,$G23=15),0,1)</f>
        <v/>
      </c>
      <c r="DQ24">
        <f>DQ23*IF(OR($C23=16,$G23=16),0,1)</f>
        <v/>
      </c>
      <c r="DR24">
        <f>DR23*IF(OR($C23=17,$G23=17),0,1)</f>
        <v/>
      </c>
      <c r="DS24">
        <f>DS23*IF(OR($C23=18,$G23=18),0,1)</f>
        <v/>
      </c>
      <c r="DT24">
        <f>DT23*IF(OR($C23=19,$G23=19),0,1)</f>
        <v/>
      </c>
      <c r="DU24">
        <f>DU23*IF(OR($C23=20,$G23=20),0,1)</f>
        <v/>
      </c>
      <c r="DV24">
        <f>DV23*IF(OR($C23=21,$G23=21),0,1)</f>
        <v/>
      </c>
      <c r="DW24">
        <f>DW23*IF(OR($C23=22,$G23=22),0,1)</f>
        <v/>
      </c>
      <c r="DX24">
        <f>DX23*IF(OR($C23=23,$G23=23),0,1)</f>
        <v/>
      </c>
      <c r="DY24">
        <f>DY23*IF(OR($C23=24,$G23=24),0,1)</f>
        <v/>
      </c>
      <c r="DZ24">
        <f>DZ23*IF(OR($C23=25,$G23=25),0,1)</f>
        <v/>
      </c>
      <c r="EA24">
        <f>EA23*IF(OR($C23=26,$G23=26),0,1)</f>
        <v/>
      </c>
      <c r="EB24">
        <f>EB23*IF(OR($C23=27,$G23=27),0,1)</f>
        <v/>
      </c>
      <c r="EC24">
        <f>EC23*IF(OR($C23=28,$G23=28),0,1)</f>
        <v/>
      </c>
      <c r="ED24">
        <f>ED23*IF(OR($C23=29,$G23=29),0,1)</f>
        <v/>
      </c>
      <c r="EE24">
        <f>EE23*IF(OR($C23=30,$G23=30),0,1)</f>
        <v/>
      </c>
      <c r="EF24">
        <f>EF23*IF(OR($C23=31,$G23=31),0,1)</f>
        <v/>
      </c>
      <c r="EG24">
        <f>EG23*IF(OR($C23=32,$G23=32),0,1)</f>
        <v/>
      </c>
      <c r="EH24">
        <f>EH23*IF(OR($C23=33,$G23=33),0,1)</f>
        <v/>
      </c>
      <c r="EI24">
        <f>EI23*IF(OR($C23=34,$G23=34),0,1)</f>
        <v/>
      </c>
      <c r="EJ24">
        <f>EJ23*IF(OR($C23=35,$G23=35),0,1)</f>
        <v/>
      </c>
      <c r="EK24">
        <f>EK23*IF(OR($C23=36,$G23=36),0,1)</f>
        <v/>
      </c>
      <c r="EL24">
        <f>EL23*IF(OR($C23=37,$G23=37),0,1)</f>
        <v/>
      </c>
      <c r="EM24">
        <f>EM23*IF(OR($C23=38,$G23=38),0,1)</f>
        <v/>
      </c>
      <c r="EN24">
        <f>EN23*IF(OR($C23=39,$G23=39),0,1)</f>
        <v/>
      </c>
      <c r="EO24">
        <f>EO23*IF(OR($C23=40,$G23=40),0,1)</f>
        <v/>
      </c>
      <c r="EP24">
        <f>EP23*IF(OR($C23=41,$G23=41),0,1)</f>
        <v/>
      </c>
      <c r="EQ24">
        <f>EQ23*IF(OR($C23=42,$G23=42),0,1)</f>
        <v/>
      </c>
      <c r="ER24">
        <f>ER23*IF(OR($C23=43,$G23=43),0,1)</f>
        <v/>
      </c>
      <c r="ES24">
        <f>ES23*IF(OR($C23=44,$G23=44),0,1)</f>
        <v/>
      </c>
      <c r="ET24">
        <f>ET23*IF(OR($C23=45,$G23=45),0,1)</f>
        <v/>
      </c>
      <c r="EU24">
        <f>EU23*IF(OR($C23=46,$G23=46),0,1)</f>
        <v/>
      </c>
      <c r="EV24">
        <f>EV23*IF(OR($C23=47,$G23=47),0,1)</f>
        <v/>
      </c>
      <c r="EW24">
        <f>EW23*IF(OR($C23=48,$G23=48),0,1)</f>
        <v/>
      </c>
      <c r="EX24">
        <f>EX23*IF(OR($C23=49,$G23=49),0,1)</f>
        <v/>
      </c>
      <c r="EY24">
        <f>EY23*IF(OR($C23=50,$G23=50),0,1)</f>
        <v/>
      </c>
      <c r="EZ24">
        <f>EZ23*IF(OR($C23=51,$G23=51),0,1)</f>
        <v/>
      </c>
      <c r="FA24">
        <f>FA23*IF(OR($C23=52,$G23=52),0,1)</f>
        <v/>
      </c>
      <c r="FB24">
        <f>FB23*IF(OR($C23=53,$G23=53),0,1)</f>
        <v/>
      </c>
      <c r="FC24">
        <f>FC23*IF(OR($C23=54,$G23=54),0,1)</f>
        <v/>
      </c>
      <c r="FD24">
        <f>FD23*IF(OR($C23=55,$G23=55),0,1)</f>
        <v/>
      </c>
      <c r="FE24">
        <f>FE23*IF(OR($C23=56,$G23=56),0,1)</f>
        <v/>
      </c>
      <c r="FF24">
        <f>FF23*IF(OR($C23=57,$G23=57),0,1)</f>
        <v/>
      </c>
      <c r="FG24">
        <f>FG23*IF(OR($C23=58,$G23=58),0,1)</f>
        <v/>
      </c>
      <c r="FH24">
        <f>FH23*IF(OR($C23=59,$G23=59),0,1)</f>
        <v/>
      </c>
      <c r="FI24">
        <f>FI23*IF(OR($C23=60,$G23=60),0,1)</f>
        <v/>
      </c>
      <c r="FJ24">
        <f>FJ23*IF(OR($C23=61,$G23=61),0,1)</f>
        <v/>
      </c>
      <c r="FK24">
        <f>FK23*IF(OR($C23=62,$G23=62),0,1)</f>
        <v/>
      </c>
      <c r="FL24">
        <f>FL23*IF(OR($C23=63,$G23=63),0,1)</f>
        <v/>
      </c>
      <c r="FM24">
        <f>FM23*IF(OR($C23=64,$G23=64),0,1)</f>
        <v/>
      </c>
      <c r="FN24">
        <f>FN23*IF(OR($C23=65,$G23=65),0,1)</f>
        <v/>
      </c>
      <c r="FO24">
        <f>FO23*IF(OR($C23=66,$G23=66),0,1)</f>
        <v/>
      </c>
      <c r="FP24">
        <f>FP23*IF(OR($C23=67,$G23=67),0,1)</f>
        <v/>
      </c>
      <c r="FQ24">
        <f>FQ23*IF(OR($C23=68,$G23=68),0,1)</f>
        <v/>
      </c>
      <c r="FR24">
        <f>FR23*IF(OR($C23=69,$G23=69),0,1)</f>
        <v/>
      </c>
      <c r="FS24">
        <f>FS23*IF(OR($C23=70,$G23=70),0,1)</f>
        <v/>
      </c>
      <c r="FT24">
        <f>FT23*IF(OR($C23=71,$G23=71),0,1)</f>
        <v/>
      </c>
      <c r="FU24">
        <f>FU23*IF(OR($C23=72,$G23=72),0,1)</f>
        <v/>
      </c>
      <c r="FV24">
        <f>FV23*IF(OR($C23=73,$G23=73),0,1)</f>
        <v/>
      </c>
      <c r="FW24">
        <f>FW23*IF(OR($C23=74,$G23=74),0,1)</f>
        <v/>
      </c>
      <c r="FX24">
        <f>FX23*IF(OR($C23=75,$G23=75),0,1)</f>
        <v/>
      </c>
      <c r="FY24">
        <f>FY23*IF(OR($C23=76,$G23=76),0,1)</f>
        <v/>
      </c>
      <c r="FZ24">
        <f>FZ23*IF(OR($C23=77,$G23=77),0,1)</f>
        <v/>
      </c>
      <c r="GA24">
        <f>GA23*IF(OR($C23=78,$G23=78),0,1)</f>
        <v/>
      </c>
      <c r="GB24">
        <f>GB23*IF(OR($C23=79,$G23=79),0,1)</f>
        <v/>
      </c>
      <c r="GC24">
        <f>GC23*IF(OR($C23=80,$G23=80),0,1)</f>
        <v/>
      </c>
      <c r="GD24">
        <f>GD23*IF(OR($C23=81,$G23=81),0,1)</f>
        <v/>
      </c>
      <c r="GE24">
        <f>GE23*IF(OR($C23=82,$G23=82),0,1)</f>
        <v/>
      </c>
      <c r="GF24">
        <f>GF23*IF(OR($C23=83,$G23=83),0,1)</f>
        <v/>
      </c>
      <c r="GG24">
        <f>GG23*IF(OR($C23=84,$G23=84),0,1)</f>
        <v/>
      </c>
      <c r="GH24">
        <f>GH23*IF(OR($C23=85,$G23=85),0,1)</f>
        <v/>
      </c>
      <c r="GI24">
        <f>GI23*IF(OR($C23=86,$G23=86),0,1)</f>
        <v/>
      </c>
      <c r="GJ24">
        <f>GJ23*IF(OR($C23=87,$G23=87),0,1)</f>
        <v/>
      </c>
      <c r="GK24">
        <f>GK23*IF(OR($C23=88,$G23=88),0,1)</f>
        <v/>
      </c>
      <c r="GL24">
        <f>GL23*IF(OR($C23=89,$G23=89),0,1)</f>
        <v/>
      </c>
      <c r="GM24">
        <f>GM23*IF(OR($C23=90,$G23=90),0,1)</f>
        <v/>
      </c>
      <c r="GN24">
        <f>GN23*IF(OR($C23=91,$G23=91),0,1)</f>
        <v/>
      </c>
      <c r="GO24">
        <f>GO23*IF(OR($C23=92,$G23=92),0,1)</f>
        <v/>
      </c>
      <c r="GP24">
        <f>GP23*IF(OR($C23=93,$G23=93),0,1)</f>
        <v/>
      </c>
      <c r="GQ24">
        <f>GQ23*IF(OR($C23=94,$G23=94),0,1)</f>
        <v/>
      </c>
      <c r="GR24">
        <f>GR23*IF(OR($C23=95,$G23=95),0,1)</f>
        <v/>
      </c>
      <c r="GS24">
        <f>GS23*IF(OR($C23=96,$G23=96),0,1)</f>
        <v/>
      </c>
      <c r="GT24">
        <f>GT23*IF(OR($C23=97,$G23=97),0,1)</f>
        <v/>
      </c>
      <c r="GU24">
        <f>GU23*IF(OR($C23=98,$G23=98),0,1)</f>
        <v/>
      </c>
      <c r="GV24">
        <f>GV23*IF(OR($C23=99,$G23=99),0,1)</f>
        <v/>
      </c>
      <c r="GW24">
        <f>GW23*IF(OR($C23=100,$G23=100),0,1)</f>
        <v/>
      </c>
      <c r="GX24">
        <f>GX23*IF(OR($C23=101,$G23=101),0,1)</f>
        <v/>
      </c>
      <c r="GY24">
        <f>GY23*IF(OR($C23=102,$G23=102),0,1)</f>
        <v/>
      </c>
      <c r="GZ24">
        <f>GZ23*IF(OR($C23=103,$G23=103),0,1)</f>
        <v/>
      </c>
      <c r="HA24">
        <f>HA23*IF(OR($C23=104,$G23=104),0,1)</f>
        <v/>
      </c>
      <c r="HB24">
        <f>HB23*IF(OR($C23=105,$G23=105),0,1)</f>
        <v/>
      </c>
      <c r="HC24">
        <f>HC23*IF(OR($C23=106,$G23=106),0,1)</f>
        <v/>
      </c>
      <c r="HD24">
        <f>HD23*IF(OR($C23=107,$G23=107),0,1)</f>
        <v/>
      </c>
      <c r="HE24">
        <f>HE23*IF(OR($C23=108,$G23=108),0,1)</f>
        <v/>
      </c>
      <c r="HF24">
        <f>HF23*IF(OR($C23=109,$G23=109),0,1)</f>
        <v/>
      </c>
      <c r="HG24">
        <f>HG23*IF(OR($C23=110,$G23=110),0,1)</f>
        <v/>
      </c>
      <c r="HH24">
        <f>HH23*IF(OR($C23=111,$G23=111),0,1)</f>
        <v/>
      </c>
      <c r="HI24">
        <f>HI23*IF(OR($C23=112,$G23=112),0,1)</f>
        <v/>
      </c>
      <c r="HJ24">
        <f>HJ23*IF(OR($C23=113,$G23=113),0,1)</f>
        <v/>
      </c>
      <c r="HK24">
        <f>HK23*IF(OR($C23=114,$G23=114),0,1)</f>
        <v/>
      </c>
      <c r="HL24">
        <f>HL23*IF(OR($C23=115,$G23=115),0,1)</f>
        <v/>
      </c>
      <c r="HM24">
        <f>HM23*IF(OR($C23=116,$G23=116),0,1)</f>
        <v/>
      </c>
      <c r="HN24">
        <f>HN23*IF(OR($C23=117,$G23=117),0,1)</f>
        <v/>
      </c>
      <c r="HO24">
        <f>HO23*IF(OR($C23=118,$G23=118),0,1)</f>
        <v/>
      </c>
      <c r="HP24">
        <f>HP23*IF(OR($C23=119,$G23=119),0,1)</f>
        <v/>
      </c>
      <c r="HQ24">
        <f>HQ23*IF(OR($C23=120,$G23=120),0,1)</f>
        <v/>
      </c>
      <c r="HR24">
        <f>HR23*IF(OR($C23=121,$G23=121),0,1)</f>
        <v/>
      </c>
      <c r="HS24">
        <f>HS23*IF(OR($C23=122,$G23=122),0,1)</f>
        <v/>
      </c>
      <c r="HT24">
        <f>HT23*IF(OR($C23=123,$G23=123),0,1)</f>
        <v/>
      </c>
      <c r="HU24">
        <f>HU23*IF(OR($C23=124,$G23=124),0,1)</f>
        <v/>
      </c>
      <c r="HV24">
        <f>HV23*IF(OR($C23=125,$G23=125),0,1)</f>
        <v/>
      </c>
      <c r="HW24">
        <f>HW23*IF(OR($C23=126,$G23=126),0,1)</f>
        <v/>
      </c>
      <c r="HX24">
        <f>HX23*IF(OR($C23=127,$G23=127),0,1)</f>
        <v/>
      </c>
      <c r="HY24">
        <f>HY23*IF(OR($C23=128,$G23=128),0,1)</f>
        <v/>
      </c>
      <c r="HZ24">
        <f>HZ23*IF(OR($C23=129,$G23=129),0,1)</f>
        <v/>
      </c>
      <c r="IA24">
        <f>IA23*IF(OR($C23=130,$G23=130),0,1)</f>
        <v/>
      </c>
      <c r="IB24">
        <f>IB23*IF(OR($C23=131,$G23=131),0,1)</f>
        <v/>
      </c>
      <c r="IC24">
        <f>IC23*IF(OR($C23=132,$G23=132),0,1)</f>
        <v/>
      </c>
      <c r="ID24">
        <f>ID23*IF(OR($C23=133,$G23=133),0,1)</f>
        <v/>
      </c>
      <c r="IE24">
        <f>IE23*IF(OR($C23=134,$G23=134),0,1)</f>
        <v/>
      </c>
      <c r="IF24">
        <f>IF23*IF(OR($C23=135,$G23=135),0,1)</f>
        <v/>
      </c>
      <c r="IG24">
        <f>IG23*IF(OR($C23=136,$G23=136),0,1)</f>
        <v/>
      </c>
      <c r="IH24">
        <f>IH23*IF(OR($C23=137,$G23=137),0,1)</f>
        <v/>
      </c>
      <c r="II24">
        <f>II23*IF(OR($C23=138,$G23=138),0,1)</f>
        <v/>
      </c>
      <c r="IJ24">
        <f>IJ23*IF(OR($C23=139,$G23=139),0,1)</f>
        <v/>
      </c>
      <c r="IK24">
        <f>IK23*IF(OR($C23=140,$G23=140),0,1)</f>
        <v/>
      </c>
      <c r="IL24">
        <f>IL23*IF(OR($C23=141,$G23=141),0,1)</f>
        <v/>
      </c>
      <c r="IM24">
        <f>IM23*IF(OR($C23=142,$G23=142),0,1)</f>
        <v/>
      </c>
      <c r="IN24">
        <f>IN23*IF(OR($C23=143,$G23=143),0,1)</f>
        <v/>
      </c>
      <c r="IO24">
        <f>IO23*IF(OR($C23=144,$G23=144),0,1)</f>
        <v/>
      </c>
      <c r="IQ24">
        <f>IF('計算A'!D$106=1,DC24,1)</f>
        <v/>
      </c>
      <c r="IR24">
        <f>IF('計算A'!E$106=1,DD24,1)</f>
        <v/>
      </c>
      <c r="IS24">
        <f>IF('計算A'!F$106=1,DE24,1)</f>
        <v/>
      </c>
      <c r="IT24">
        <f>IF('計算A'!G$106=1,DF24,1)</f>
        <v/>
      </c>
      <c r="IU24">
        <f>IF('計算A'!H$106=1,DG24,1)</f>
        <v/>
      </c>
      <c r="IV24">
        <f>IF('計算A'!I$106=1,DH24,1)</f>
        <v/>
      </c>
      <c r="IW24">
        <f>IF('計算A'!J$106=1,DI24,1)</f>
        <v/>
      </c>
      <c r="IX24">
        <f>IF('計算A'!K$106=1,DJ24,1)</f>
        <v/>
      </c>
      <c r="IY24">
        <f>IF('計算A'!L$106=1,DK24,1)</f>
        <v/>
      </c>
      <c r="IZ24">
        <f>IF('計算A'!M$106=1,DL24,1)</f>
        <v/>
      </c>
      <c r="JA24">
        <f>IF('計算A'!N$106=1,DM24,1)</f>
        <v/>
      </c>
      <c r="JB24">
        <f>IF('計算A'!O$106=1,DN24,1)</f>
        <v/>
      </c>
      <c r="JC24">
        <f>IF('計算A'!P$106=1,DO24,1)</f>
        <v/>
      </c>
      <c r="JD24">
        <f>IF('計算A'!Q$106=1,DP24,1)</f>
        <v/>
      </c>
      <c r="JE24">
        <f>IF('計算A'!R$106=1,DQ24,1)</f>
        <v/>
      </c>
      <c r="JF24">
        <f>IF('計算A'!S$106=1,DR24,1)</f>
        <v/>
      </c>
      <c r="JG24">
        <f>IF('計算A'!T$106=1,DS24,1)</f>
        <v/>
      </c>
      <c r="JH24">
        <f>IF('計算A'!U$106=1,DT24,1)</f>
        <v/>
      </c>
      <c r="JI24">
        <f>IF('計算A'!V$106=1,DU24,1)</f>
        <v/>
      </c>
      <c r="JJ24">
        <f>IF('計算A'!W$106=1,DV24,1)</f>
        <v/>
      </c>
      <c r="JK24">
        <f>IF('計算A'!X$106=1,DW24,1)</f>
        <v/>
      </c>
      <c r="JL24">
        <f>IF('計算A'!Y$106=1,DX24,1)</f>
        <v/>
      </c>
      <c r="JM24">
        <f>IF('計算A'!Z$106=1,DY24,1)</f>
        <v/>
      </c>
      <c r="JN24">
        <f>IF('計算A'!AA$106=1,DZ24,1)</f>
        <v/>
      </c>
      <c r="JO24">
        <f>IF('計算A'!AB$106=1,EA24,1)</f>
        <v/>
      </c>
      <c r="JP24">
        <f>IF('計算A'!AC$106=1,EB24,1)</f>
        <v/>
      </c>
      <c r="JQ24">
        <f>IF('計算A'!AD$106=1,EC24,1)</f>
        <v/>
      </c>
      <c r="JR24">
        <f>IF('計算A'!AE$106=1,ED24,1)</f>
        <v/>
      </c>
      <c r="JS24">
        <f>IF('計算A'!AF$106=1,EE24,1)</f>
        <v/>
      </c>
      <c r="JT24">
        <f>IF('計算A'!AG$106=1,EF24,1)</f>
        <v/>
      </c>
      <c r="JU24">
        <f>IF('計算A'!AH$106=1,EG24,1)</f>
        <v/>
      </c>
      <c r="JV24">
        <f>IF('計算A'!AI$106=1,EH24,1)</f>
        <v/>
      </c>
      <c r="JW24">
        <f>IF('計算A'!AJ$106=1,EI24,1)</f>
        <v/>
      </c>
      <c r="JX24">
        <f>IF('計算A'!AK$106=1,EJ24,1)</f>
        <v/>
      </c>
      <c r="JY24">
        <f>IF('計算A'!AL$106=1,EK24,1)</f>
        <v/>
      </c>
      <c r="JZ24">
        <f>IF('計算A'!AM$106=1,EL24,1)</f>
        <v/>
      </c>
      <c r="KA24">
        <f>IF('計算A'!AN$106=1,EM24,1)</f>
        <v/>
      </c>
      <c r="KB24">
        <f>IF('計算A'!AO$106=1,EN24,1)</f>
        <v/>
      </c>
      <c r="KC24">
        <f>IF('計算A'!AP$106=1,EO24,1)</f>
        <v/>
      </c>
      <c r="KD24">
        <f>IF('計算A'!AQ$106=1,EP24,1)</f>
        <v/>
      </c>
      <c r="KE24">
        <f>IF('計算A'!AR$106=1,EQ24,1)</f>
        <v/>
      </c>
      <c r="KF24">
        <f>IF('計算A'!AS$106=1,ER24,1)</f>
        <v/>
      </c>
      <c r="KG24">
        <f>IF('計算A'!AT$106=1,ES24,1)</f>
        <v/>
      </c>
      <c r="KH24">
        <f>IF('計算A'!AU$106=1,ET24,1)</f>
        <v/>
      </c>
      <c r="KI24">
        <f>IF('計算A'!AV$106=1,EU24,1)</f>
        <v/>
      </c>
      <c r="KJ24">
        <f>IF('計算A'!AW$106=1,EV24,1)</f>
        <v/>
      </c>
      <c r="KK24">
        <f>IF('計算A'!AX$106=1,EW24,1)</f>
        <v/>
      </c>
      <c r="KL24">
        <f>IF('計算A'!AY$106=1,EX24,1)</f>
        <v/>
      </c>
      <c r="KM24">
        <f>IF('計算A'!AZ$106=1,EY24,1)</f>
        <v/>
      </c>
      <c r="KN24">
        <f>IF('計算A'!BA$106=1,EZ24,1)</f>
        <v/>
      </c>
      <c r="KO24">
        <f>IF('計算A'!BB$106=1,FA24,1)</f>
        <v/>
      </c>
      <c r="KP24">
        <f>IF('計算A'!BC$106=1,FB24,1)</f>
        <v/>
      </c>
      <c r="KQ24">
        <f>IF('計算A'!BD$106=1,FC24,1)</f>
        <v/>
      </c>
      <c r="KR24">
        <f>IF('計算A'!BE$106=1,FD24,1)</f>
        <v/>
      </c>
      <c r="KS24">
        <f>IF('計算A'!BF$106=1,FE24,1)</f>
        <v/>
      </c>
      <c r="KT24">
        <f>IF('計算A'!BG$106=1,FF24,1)</f>
        <v/>
      </c>
      <c r="KU24">
        <f>IF('計算A'!BH$106=1,FG24,1)</f>
        <v/>
      </c>
      <c r="KV24">
        <f>IF('計算A'!BI$106=1,FH24,1)</f>
        <v/>
      </c>
      <c r="KW24">
        <f>IF('計算A'!BJ$106=1,FI24,1)</f>
        <v/>
      </c>
      <c r="KX24">
        <f>IF('計算A'!BK$106=1,FJ24,1)</f>
        <v/>
      </c>
      <c r="KY24">
        <f>IF('計算A'!BL$106=1,FK24,1)</f>
        <v/>
      </c>
      <c r="KZ24">
        <f>IF('計算A'!BM$106=1,FL24,1)</f>
        <v/>
      </c>
      <c r="LA24">
        <f>IF('計算A'!BN$106=1,FM24,1)</f>
        <v/>
      </c>
      <c r="LB24">
        <f>IF('計算A'!BO$106=1,FN24,1)</f>
        <v/>
      </c>
      <c r="LC24">
        <f>IF('計算A'!BP$106=1,FO24,1)</f>
        <v/>
      </c>
      <c r="LD24">
        <f>IF('計算A'!BQ$106=1,FP24,1)</f>
        <v/>
      </c>
      <c r="LE24">
        <f>IF('計算A'!BR$106=1,FQ24,1)</f>
        <v/>
      </c>
      <c r="LF24">
        <f>IF('計算A'!BS$106=1,FR24,1)</f>
        <v/>
      </c>
      <c r="LG24">
        <f>IF('計算A'!BT$106=1,FS24,1)</f>
        <v/>
      </c>
      <c r="LH24">
        <f>IF('計算A'!BU$106=1,FT24,1)</f>
        <v/>
      </c>
      <c r="LI24">
        <f>IF('計算A'!BV$106=1,FU24,1)</f>
        <v/>
      </c>
      <c r="LJ24">
        <f>IF('計算A'!BW$106=1,FV24,1)</f>
        <v/>
      </c>
      <c r="LK24">
        <f>IF('計算A'!BX$106=1,FW24,1)</f>
        <v/>
      </c>
      <c r="LL24">
        <f>IF('計算A'!BY$106=1,FX24,1)</f>
        <v/>
      </c>
      <c r="LM24">
        <f>IF('計算A'!BZ$106=1,FY24,1)</f>
        <v/>
      </c>
      <c r="LN24">
        <f>IF('計算A'!CA$106=1,FZ24,1)</f>
        <v/>
      </c>
      <c r="LO24">
        <f>IF('計算A'!CB$106=1,GA24,1)</f>
        <v/>
      </c>
      <c r="LP24">
        <f>IF('計算A'!CC$106=1,GB24,1)</f>
        <v/>
      </c>
      <c r="LQ24">
        <f>IF('計算A'!CD$106=1,GC24,1)</f>
        <v/>
      </c>
      <c r="LR24">
        <f>IF('計算A'!CE$106=1,GD24,1)</f>
        <v/>
      </c>
      <c r="LS24">
        <f>IF('計算A'!CF$106=1,GE24,1)</f>
        <v/>
      </c>
      <c r="LT24">
        <f>IF('計算A'!CG$106=1,GF24,1)</f>
        <v/>
      </c>
      <c r="LU24">
        <f>IF('計算A'!CH$106=1,GG24,1)</f>
        <v/>
      </c>
      <c r="LV24">
        <f>IF('計算A'!CI$106=1,GH24,1)</f>
        <v/>
      </c>
      <c r="LW24">
        <f>IF('計算A'!CJ$106=1,GI24,1)</f>
        <v/>
      </c>
      <c r="LX24">
        <f>IF('計算A'!CK$106=1,GJ24,1)</f>
        <v/>
      </c>
      <c r="LY24">
        <f>IF('計算A'!CL$106=1,GK24,1)</f>
        <v/>
      </c>
      <c r="LZ24">
        <f>IF('計算A'!CM$106=1,GL24,1)</f>
        <v/>
      </c>
      <c r="MA24">
        <f>IF('計算A'!CN$106=1,GM24,1)</f>
        <v/>
      </c>
      <c r="MB24">
        <f>IF('計算A'!CO$106=1,GN24,1)</f>
        <v/>
      </c>
      <c r="MC24">
        <f>IF('計算A'!CP$106=1,GO24,1)</f>
        <v/>
      </c>
      <c r="MD24">
        <f>IF('計算A'!CQ$106=1,GP24,1)</f>
        <v/>
      </c>
      <c r="ME24">
        <f>IF('計算A'!CR$106=1,GQ24,1)</f>
        <v/>
      </c>
      <c r="MF24">
        <f>IF('計算A'!CS$106=1,GR24,1)</f>
        <v/>
      </c>
      <c r="MG24">
        <f>IF('計算A'!CT$106=1,GS24,1)</f>
        <v/>
      </c>
      <c r="MH24">
        <f>IF('計算A'!CU$106=1,GT24,1)</f>
        <v/>
      </c>
      <c r="MI24">
        <f>IF('計算A'!CV$106=1,GU24,1)</f>
        <v/>
      </c>
      <c r="MJ24">
        <f>IF('計算A'!CW$106=1,GV24,1)</f>
        <v/>
      </c>
      <c r="MK24">
        <f>IF('計算A'!CX$106=1,GW24,1)</f>
        <v/>
      </c>
      <c r="ML24">
        <f>IF('計算A'!CY$106=1,GX24,1)</f>
        <v/>
      </c>
      <c r="MM24">
        <f>IF('計算A'!CZ$106=1,GY24,1)</f>
        <v/>
      </c>
      <c r="MN24">
        <f>IF('計算A'!DA$106=1,GZ24,1)</f>
        <v/>
      </c>
      <c r="MO24">
        <f>IF('計算A'!DB$106=1,HA24,1)</f>
        <v/>
      </c>
      <c r="MP24">
        <f>IF('計算A'!DC$106=1,HB24,1)</f>
        <v/>
      </c>
      <c r="MQ24">
        <f>IF('計算A'!DD$106=1,HC24,1)</f>
        <v/>
      </c>
      <c r="MR24">
        <f>IF('計算A'!DE$106=1,HD24,1)</f>
        <v/>
      </c>
      <c r="MS24">
        <f>IF('計算A'!DF$106=1,HE24,1)</f>
        <v/>
      </c>
      <c r="MT24">
        <f>IF('計算A'!DG$106=1,HF24,1)</f>
        <v/>
      </c>
      <c r="MU24">
        <f>IF('計算A'!DH$106=1,HG24,1)</f>
        <v/>
      </c>
      <c r="MV24">
        <f>IF('計算A'!DI$106=1,HH24,1)</f>
        <v/>
      </c>
      <c r="MW24">
        <f>IF('計算A'!DJ$106=1,HI24,1)</f>
        <v/>
      </c>
      <c r="MX24">
        <f>IF('計算A'!DK$106=1,HJ24,1)</f>
        <v/>
      </c>
      <c r="MY24">
        <f>IF('計算A'!DL$106=1,HK24,1)</f>
        <v/>
      </c>
      <c r="MZ24">
        <f>IF('計算A'!DM$106=1,HL24,1)</f>
        <v/>
      </c>
      <c r="NA24">
        <f>IF('計算A'!DN$106=1,HM24,1)</f>
        <v/>
      </c>
      <c r="NB24">
        <f>IF('計算A'!DO$106=1,HN24,1)</f>
        <v/>
      </c>
      <c r="NC24">
        <f>IF('計算A'!DP$106=1,HO24,1)</f>
        <v/>
      </c>
      <c r="ND24">
        <f>IF('計算A'!DQ$106=1,HP24,1)</f>
        <v/>
      </c>
      <c r="NE24">
        <f>IF('計算A'!DR$106=1,HQ24,1)</f>
        <v/>
      </c>
      <c r="NF24">
        <f>IF('計算A'!DS$106=1,HR24,1)</f>
        <v/>
      </c>
      <c r="NG24">
        <f>IF('計算A'!DT$106=1,HS24,1)</f>
        <v/>
      </c>
      <c r="NH24">
        <f>IF('計算A'!DU$106=1,HT24,1)</f>
        <v/>
      </c>
      <c r="NI24">
        <f>IF('計算A'!DV$106=1,HU24,1)</f>
        <v/>
      </c>
      <c r="NJ24">
        <f>IF('計算A'!DW$106=1,HV24,1)</f>
        <v/>
      </c>
      <c r="NK24">
        <f>IF('計算A'!DX$106=1,HW24,1)</f>
        <v/>
      </c>
      <c r="NL24">
        <f>IF('計算A'!DY$106=1,HX24,1)</f>
        <v/>
      </c>
      <c r="NM24">
        <f>IF('計算A'!DZ$106=1,HY24,1)</f>
        <v/>
      </c>
      <c r="NN24">
        <f>IF('計算A'!EA$106=1,HZ24,1)</f>
        <v/>
      </c>
      <c r="NO24">
        <f>IF('計算A'!EB$106=1,IA24,1)</f>
        <v/>
      </c>
      <c r="NP24">
        <f>IF('計算A'!EC$106=1,IB24,1)</f>
        <v/>
      </c>
      <c r="NQ24">
        <f>IF('計算A'!ED$106=1,IC24,1)</f>
        <v/>
      </c>
      <c r="NR24">
        <f>IF('計算A'!EE$106=1,ID24,1)</f>
        <v/>
      </c>
      <c r="NS24">
        <f>IF('計算A'!EF$106=1,IE24,1)</f>
        <v/>
      </c>
      <c r="NT24">
        <f>IF('計算A'!EG$106=1,IF24,1)</f>
        <v/>
      </c>
      <c r="NU24">
        <f>IF('計算A'!EH$106=1,IG24,1)</f>
        <v/>
      </c>
      <c r="NV24">
        <f>IF('計算A'!EI$106=1,IH24,1)</f>
        <v/>
      </c>
      <c r="NW24">
        <f>IF('計算A'!EJ$106=1,II24,1)</f>
        <v/>
      </c>
      <c r="NX24">
        <f>IF('計算A'!EK$106=1,IJ24,1)</f>
        <v/>
      </c>
      <c r="NY24">
        <f>IF('計算A'!EL$106=1,IK24,1)</f>
        <v/>
      </c>
      <c r="NZ24">
        <f>IF('計算A'!EM$106=1,IL24,1)</f>
        <v/>
      </c>
      <c r="OA24">
        <f>IF('計算A'!EN$106=1,IM24,1)</f>
        <v/>
      </c>
      <c r="OB24">
        <f>IF('計算A'!EO$106=1,IN24,1)</f>
        <v/>
      </c>
      <c r="OC24">
        <f>IF('計算A'!EP$106=1,IO24,1)</f>
        <v/>
      </c>
      <c r="OD24" t="n">
        <v>1</v>
      </c>
      <c r="OF24">
        <f>IF($B24=0,1000000,IF(INDEX('計算A'!$D$60:$EQ$104,$B24,1)*DB24=1,IF(AND($E24=2,IQ24=0),1000000,IF($I24&gt;0,IF(1=$J24,IF(OR(AND(1=$I24+1,OR($K24&lt;&gt;'計算A'!$A$3,'計算A'!$A$4=0)),AND(1=$I24-1,OR(1&lt;&gt;'計算A'!$A$3,'計算A'!$A$4=0))),0,IF(1=$K24,200000,ABS(1-$K24)*100)),100000+ABS(1-$J24)*1000+10)+'計算A'!D$5*50+IF(AND($E24=1,IQ24=0),25,0),IF($F24&gt;0,INDEX('計算A'!D$110:D$114,$F24+1)+IF(AND($E24=1,IQ24=0),1000,0),MIN(TU24,20)*400+(IF('計算A'!D$106=1,1-DC24,0))*150+11+'計算A'!D$5*100000+IF(AND($E24=1,IQ24=0),50000,0))+IF($H24=1,(IF('計算A'!D$117=1,INDEX('計算A'!E$10:E$54,$B24),0))*4000,0)-IF(AND($L24=1,'計算A'!D$117=1,DC24=0),2000,0))),1000000))</f>
        <v/>
      </c>
      <c r="OG24">
        <f>IF($B24=0,1000000,IF(INDEX('計算A'!$D$60:$EQ$104,$B24,2)*DC24=1,IF(AND($E24=2,IR24=0),1000000,IF($I24&gt;0,IF(1=$J24,IF(OR(AND(2=$I24+1,OR($K24&lt;&gt;'計算A'!$A$3,'計算A'!$A$4=0)),AND(2=$I24-1,OR(2&lt;&gt;'計算A'!$A$3,'計算A'!$A$4=0))),0,IF(2=$K24,200000,ABS(2-$K24)*100)),100000+ABS(1-$J24)*1000+20)+'計算A'!E$5*50+IF(AND($E24=1,IR24=0),25,0),IF($F24&gt;0,INDEX('計算A'!E$110:E$114,$F24+1)+IF(AND($E24=1,IR24=0),1000,0),MIN(TU24,20)*400+(IF('計算A'!D$106=1,1-DB24,0)+IF('計算A'!E$106=1,1-DD24,0))*150+21+'計算A'!E$5*100000+IF(AND($E24=1,IR24=0),50000,0))+IF($H24=1,(IF('計算A'!D$117=1,INDEX('計算A'!D$10:D$54,$B24),0)+IF('計算A'!E$117=1,INDEX('計算A'!F$10:F$54,$B24),0))*4000,0)-IF(AND('計算A'!D$117=1,UB24&gt;0),2000,0)-IF(AND($L24=1,'計算A'!E$117=1,DD24=0),2000,0))),1000000))</f>
        <v/>
      </c>
      <c r="OH24">
        <f>IF($B24=0,1000000,IF(INDEX('計算A'!$D$60:$EQ$104,$B24,3)*DD24=1,IF(AND($E24=2,IS24=0),1000000,IF($I24&gt;0,IF(1=$J24,IF(OR(AND(3=$I24+1,OR($K24&lt;&gt;'計算A'!$A$3,'計算A'!$A$4=0)),AND(3=$I24-1,OR(3&lt;&gt;'計算A'!$A$3,'計算A'!$A$4=0))),0,IF(3=$K24,200000,ABS(3-$K24)*100)),100000+ABS(1-$J24)*1000+30)+'計算A'!F$5*50+IF(AND($E24=1,IS24=0),25,0),IF($F24&gt;0,INDEX('計算A'!F$110:F$114,$F24+1)+IF(AND($E24=1,IS24=0),1000,0),MIN(TU24,20)*400+(IF('計算A'!E$106=1,1-DC24,0)+IF('計算A'!F$106=1,1-DE24,0))*150+31+'計算A'!F$5*100000+IF(AND($E24=1,IS24=0),50000,0))+IF($H24=1,(IF('計算A'!E$117=1,INDEX('計算A'!E$10:E$54,$B24),0)+IF('計算A'!F$117=1,INDEX('計算A'!G$10:G$54,$B24),0))*4000,0)-IF(AND('計算A'!E$117=1,UC24&gt;0),2000,0)-IF(AND($L24=1,'計算A'!F$117=1,DE24=0),2000,0))),1000000))</f>
        <v/>
      </c>
      <c r="OI24">
        <f>IF($B24=0,1000000,IF(INDEX('計算A'!$D$60:$EQ$104,$B24,4)*DE24=1,IF(AND($E24=2,IT24=0),1000000,IF($I24&gt;0,IF(1=$J24,IF(OR(AND(4=$I24+1,OR($K24&lt;&gt;'計算A'!$A$3,'計算A'!$A$4=0)),AND(4=$I24-1,OR(4&lt;&gt;'計算A'!$A$3,'計算A'!$A$4=0))),0,IF(4=$K24,200000,ABS(4-$K24)*100)),100000+ABS(1-$J24)*1000+40)+'計算A'!G$5*50+IF(AND($E24=1,IT24=0),25,0),IF($F24&gt;0,INDEX('計算A'!G$110:G$114,$F24+1)+IF(AND($E24=1,IT24=0),1000,0),MIN(TU24,20)*400+(IF('計算A'!F$106=1,1-DD24,0)+IF('計算A'!G$106=1,1-DF24,0))*150+41+'計算A'!G$5*100000+IF(AND($E24=1,IT24=0),50000,0))+IF($H24=1,(IF('計算A'!F$117=1,INDEX('計算A'!F$10:F$54,$B24),0)+IF('計算A'!G$117=1,INDEX('計算A'!H$10:H$54,$B24),0))*4000,0)-IF(AND('計算A'!F$117=1,UD24&gt;0),2000,0)-IF(AND($L24=1,'計算A'!G$117=1,DF24=0),2000,0))),1000000))</f>
        <v/>
      </c>
      <c r="OJ24">
        <f>IF($B24=0,1000000,IF(INDEX('計算A'!$D$60:$EQ$104,$B24,5)*DF24=1,IF(AND($E24=2,IU24=0),1000000,IF($I24&gt;0,IF(1=$J24,IF(OR(AND(5=$I24+1,OR($K24&lt;&gt;'計算A'!$A$3,'計算A'!$A$4=0)),AND(5=$I24-1,OR(5&lt;&gt;'計算A'!$A$3,'計算A'!$A$4=0))),0,IF(5=$K24,200000,ABS(5-$K24)*100)),100000+ABS(1-$J24)*1000+50)+'計算A'!H$5*50+IF(AND($E24=1,IU24=0),25,0),IF($F24&gt;0,INDEX('計算A'!H$110:H$114,$F24+1)+IF(AND($E24=1,IU24=0),1000,0),MIN(TU24,20)*400+(IF('計算A'!G$106=1,1-DE24,0)+IF('計算A'!H$106=1,1-DG24,0))*150+51+'計算A'!H$5*100000+IF(AND($E24=1,IU24=0),50000,0))+IF($H24=1,(IF('計算A'!G$117=1,INDEX('計算A'!G$10:G$54,$B24),0)+IF('計算A'!H$117=1,INDEX('計算A'!I$10:I$54,$B24),0))*4000,0)-IF(AND('計算A'!G$117=1,UE24&gt;0),2000,0)-IF(AND($L24=1,'計算A'!H$117=1,DG24=0),2000,0))),1000000))</f>
        <v/>
      </c>
      <c r="OK24">
        <f>IF($B24=0,1000000,IF(INDEX('計算A'!$D$60:$EQ$104,$B24,6)*DG24=1,IF(AND($E24=2,IV24=0),1000000,IF($I24&gt;0,IF(1=$J24,IF(OR(AND(6=$I24+1,OR($K24&lt;&gt;'計算A'!$A$3,'計算A'!$A$4=0)),AND(6=$I24-1,OR(6&lt;&gt;'計算A'!$A$3,'計算A'!$A$4=0))),0,IF(6=$K24,200000,ABS(6-$K24)*100)),100000+ABS(1-$J24)*1000+60)+'計算A'!I$5*50+IF(AND($E24=1,IV24=0),25,0),IF($F24&gt;0,INDEX('計算A'!I$110:I$114,$F24+1)+IF(AND($E24=1,IV24=0),1000,0),MIN(TU24,20)*400+(IF('計算A'!H$106=1,1-DF24,0)+IF('計算A'!I$106=1,1-DH24,0))*150+61+'計算A'!I$5*100000+IF(AND($E24=1,IV24=0),50000,0))+IF($H24=1,(IF('計算A'!H$117=1,INDEX('計算A'!H$10:H$54,$B24),0)+IF('計算A'!I$117=1,INDEX('計算A'!J$10:J$54,$B24),0))*4000,0)-IF(AND('計算A'!H$117=1,UF24&gt;0),2000,0)-IF(AND($L24=1,'計算A'!I$117=1,DH24=0),2000,0))),1000000))</f>
        <v/>
      </c>
      <c r="OL24">
        <f>IF($B24=0,1000000,IF(INDEX('計算A'!$D$60:$EQ$104,$B24,7)*DH24=1,IF(AND($E24=2,IW24=0),1000000,IF($I24&gt;0,IF(1=$J24,IF(OR(AND(7=$I24+1,OR($K24&lt;&gt;'計算A'!$A$3,'計算A'!$A$4=0)),AND(7=$I24-1,OR(7&lt;&gt;'計算A'!$A$3,'計算A'!$A$4=0))),0,IF(7=$K24,200000,ABS(7-$K24)*100)),100000+ABS(1-$J24)*1000+70)+'計算A'!J$5*50+IF(AND($E24=1,IW24=0),25,0),IF($F24&gt;0,INDEX('計算A'!J$110:J$114,$F24+1)+IF(AND($E24=1,IW24=0),1000,0),MIN(TU24,20)*400+(IF('計算A'!I$106=1,1-DG24,0)+IF('計算A'!J$106=1,1-DI24,0))*150+71+'計算A'!J$5*100000+IF(AND($E24=1,IW24=0),50000,0))+IF($H24=1,(IF('計算A'!I$117=1,INDEX('計算A'!I$10:I$54,$B24),0)+IF('計算A'!J$117=1,INDEX('計算A'!K$10:K$54,$B24),0))*4000,0)-IF(AND('計算A'!I$117=1,UG24&gt;0),2000,0)-IF(AND($L24=1,'計算A'!J$117=1,DI24=0),2000,0))),1000000))</f>
        <v/>
      </c>
      <c r="OM24">
        <f>IF($B24=0,1000000,IF(INDEX('計算A'!$D$60:$EQ$104,$B24,8)*DI24=1,IF(AND($E24=2,IX24=0),1000000,IF($I24&gt;0,IF(1=$J24,IF(OR(AND(8=$I24+1,OR($K24&lt;&gt;'計算A'!$A$3,'計算A'!$A$4=0)),AND(8=$I24-1,OR(8&lt;&gt;'計算A'!$A$3,'計算A'!$A$4=0))),0,IF(8=$K24,200000,ABS(8-$K24)*100)),100000+ABS(1-$J24)*1000+80)+'計算A'!K$5*50+IF(AND($E24=1,IX24=0),25,0),IF($F24&gt;0,INDEX('計算A'!K$110:K$114,$F24+1)+IF(AND($E24=1,IX24=0),1000,0),MIN(TU24,20)*400+(IF('計算A'!J$106=1,1-DH24,0)+IF('計算A'!K$106=1,1-DJ24,0))*150+81+'計算A'!K$5*100000+IF(AND($E24=1,IX24=0),50000,0))+IF($H24=1,(IF('計算A'!J$117=1,INDEX('計算A'!J$10:J$54,$B24),0)+IF('計算A'!K$117=1,INDEX('計算A'!L$10:L$54,$B24),0))*4000,0)-IF(AND('計算A'!J$117=1,UH24&gt;0),2000,0)-IF(AND($L24=1,'計算A'!K$117=1,DJ24=0),2000,0))),1000000))</f>
        <v/>
      </c>
      <c r="ON24">
        <f>IF($B24=0,1000000,IF(INDEX('計算A'!$D$60:$EQ$104,$B24,9)*DJ24=1,IF(AND($E24=2,IY24=0),1000000,IF($I24&gt;0,IF(1=$J24,IF(OR(AND(9=$I24+1,OR($K24&lt;&gt;'計算A'!$A$3,'計算A'!$A$4=0)),AND(9=$I24-1,OR(9&lt;&gt;'計算A'!$A$3,'計算A'!$A$4=0))),0,IF(9=$K24,200000,ABS(9-$K24)*100)),100000+ABS(1-$J24)*1000+90)+'計算A'!L$5*50+IF(AND($E24=1,IY24=0),25,0),IF($F24&gt;0,INDEX('計算A'!L$110:L$114,$F24+1)+IF(AND($E24=1,IY24=0),1000,0),MIN(TU24,20)*400+(IF('計算A'!K$106=1,1-DI24,0)+IF('計算A'!L$106=1,1-DK24,0))*150+91+'計算A'!L$5*100000+IF(AND($E24=1,IY24=0),50000,0))+IF($H24=1,(IF('計算A'!K$117=1,INDEX('計算A'!K$10:K$54,$B24),0)+IF('計算A'!L$117=1,INDEX('計算A'!M$10:M$54,$B24),0))*4000,0)-IF(AND('計算A'!K$117=1,UI24&gt;0),2000,0)-IF(AND($L24=1,'計算A'!L$117=1,DK24=0),2000,0))),1000000))</f>
        <v/>
      </c>
      <c r="OO24">
        <f>IF($B24=0,1000000,IF(INDEX('計算A'!$D$60:$EQ$104,$B24,10)*DK24=1,IF(AND($E24=2,IZ24=0),1000000,IF($I24&gt;0,IF(1=$J24,IF(OR(AND(10=$I24+1,OR($K24&lt;&gt;'計算A'!$A$3,'計算A'!$A$4=0)),AND(10=$I24-1,OR(10&lt;&gt;'計算A'!$A$3,'計算A'!$A$4=0))),0,IF(10=$K24,200000,ABS(10-$K24)*100)),100000+ABS(1-$J24)*1000+100)+'計算A'!M$5*50+IF(AND($E24=1,IZ24=0),25,0),IF($F24&gt;0,INDEX('計算A'!M$110:M$114,$F24+1)+IF(AND($E24=1,IZ24=0),1000,0),MIN(TU24,20)*400+(IF('計算A'!L$106=1,1-DJ24,0)+IF('計算A'!M$106=1,1-DL24,0))*150+101+'計算A'!M$5*100000+IF(AND($E24=1,IZ24=0),50000,0))+IF($H24=1,(IF('計算A'!L$117=1,INDEX('計算A'!L$10:L$54,$B24),0)+IF('計算A'!M$117=1,INDEX('計算A'!N$10:N$54,$B24),0))*4000,0)-IF(AND('計算A'!L$117=1,UJ24&gt;0),2000,0)-IF(AND($L24=1,'計算A'!M$117=1,DL24=0),2000,0))),1000000))</f>
        <v/>
      </c>
      <c r="OP24">
        <f>IF($B24=0,1000000,IF(INDEX('計算A'!$D$60:$EQ$104,$B24,11)*DL24=1,IF(AND($E24=2,JA24=0),1000000,IF($I24&gt;0,IF(1=$J24,IF(OR(AND(11=$I24+1,OR($K24&lt;&gt;'計算A'!$A$3,'計算A'!$A$4=0)),AND(11=$I24-1,OR(11&lt;&gt;'計算A'!$A$3,'計算A'!$A$4=0))),0,IF(11=$K24,200000,ABS(11-$K24)*100)),100000+ABS(1-$J24)*1000+110)+'計算A'!N$5*50+IF(AND($E24=1,JA24=0),25,0),IF($F24&gt;0,INDEX('計算A'!N$110:N$114,$F24+1)+IF(AND($E24=1,JA24=0),1000,0),MIN(TU24,20)*400+(IF('計算A'!M$106=1,1-DK24,0)+IF('計算A'!N$106=1,1-DM24,0))*150+111+'計算A'!N$5*100000+IF(AND($E24=1,JA24=0),50000,0))+IF($H24=1,(IF('計算A'!M$117=1,INDEX('計算A'!M$10:M$54,$B24),0)+IF('計算A'!N$117=1,INDEX('計算A'!O$10:O$54,$B24),0))*4000,0)-IF(AND('計算A'!M$117=1,UK24&gt;0),2000,0)-IF(AND($L24=1,'計算A'!N$117=1,DM24=0),2000,0))),1000000))</f>
        <v/>
      </c>
      <c r="OQ24">
        <f>IF($B24=0,1000000,IF(INDEX('計算A'!$D$60:$EQ$104,$B24,12)*DM24=1,IF(AND($E24=2,JB24=0),1000000,IF($I24&gt;0,IF(1=$J24,IF(OR(AND(12=$I24+1,OR($K24&lt;&gt;'計算A'!$A$3,'計算A'!$A$4=0)),AND(12=$I24-1,OR(12&lt;&gt;'計算A'!$A$3,'計算A'!$A$4=0))),0,IF(12=$K24,200000,ABS(12-$K24)*100)),100000+ABS(1-$J24)*1000+120)+'計算A'!O$5*50+IF(AND($E24=1,JB24=0),25,0),IF($F24&gt;0,INDEX('計算A'!O$110:O$114,$F24+1)+IF(AND($E24=1,JB24=0),1000,0),MIN(TU24,20)*400+(IF('計算A'!N$106=1,1-DL24,0)+IF('計算A'!O$106=1,1-DN24,0))*150+121+'計算A'!O$5*100000+IF(AND($E24=1,JB24=0),50000,0))+IF($H24=1,(IF('計算A'!N$117=1,INDEX('計算A'!N$10:N$54,$B24),0)+IF('計算A'!O$117=1,INDEX('計算A'!P$10:P$54,$B24),0))*4000,0)-IF(AND('計算A'!N$117=1,UL24&gt;0),2000,0)-IF(AND($L24=1,'計算A'!O$117=1,DN24=0),2000,0))),1000000))</f>
        <v/>
      </c>
      <c r="OR24">
        <f>IF($B24=0,1000000,IF(INDEX('計算A'!$D$60:$EQ$104,$B24,13)*DN24=1,IF(AND($E24=2,JC24=0),1000000,IF($I24&gt;0,IF(1=$J24,IF(OR(AND(13=$I24+1,OR($K24&lt;&gt;'計算A'!$A$3,'計算A'!$A$4=0)),AND(13=$I24-1,OR(13&lt;&gt;'計算A'!$A$3,'計算A'!$A$4=0))),0,IF(13=$K24,200000,ABS(13-$K24)*100)),100000+ABS(1-$J24)*1000+130)+'計算A'!P$5*50+IF(AND($E24=1,JC24=0),25,0),IF($F24&gt;0,INDEX('計算A'!P$110:P$114,$F24+1)+IF(AND($E24=1,JC24=0),1000,0),MIN(TU24,20)*400+(IF('計算A'!O$106=1,1-DM24,0)+IF('計算A'!P$106=1,1-DO24,0))*150+131+'計算A'!P$5*100000+IF(AND($E24=1,JC24=0),50000,0))+IF($H24=1,(IF('計算A'!O$117=1,INDEX('計算A'!O$10:O$54,$B24),0)+IF('計算A'!P$117=1,INDEX('計算A'!Q$10:Q$54,$B24),0))*4000,0)-IF(AND('計算A'!O$117=1,UM24&gt;0),2000,0)-IF(AND($L24=1,'計算A'!P$117=1,DO24=0),2000,0))),1000000))</f>
        <v/>
      </c>
      <c r="OS24">
        <f>IF($B24=0,1000000,IF(INDEX('計算A'!$D$60:$EQ$104,$B24,14)*DO24=1,IF(AND($E24=2,JD24=0),1000000,IF($I24&gt;0,IF(1=$J24,IF(OR(AND(14=$I24+1,OR($K24&lt;&gt;'計算A'!$A$3,'計算A'!$A$4=0)),AND(14=$I24-1,OR(14&lt;&gt;'計算A'!$A$3,'計算A'!$A$4=0))),0,IF(14=$K24,200000,ABS(14-$K24)*100)),100000+ABS(1-$J24)*1000+140)+'計算A'!Q$5*50+IF(AND($E24=1,JD24=0),25,0),IF($F24&gt;0,INDEX('計算A'!Q$110:Q$114,$F24+1)+IF(AND($E24=1,JD24=0),1000,0),MIN(TU24,20)*400+(IF('計算A'!P$106=1,1-DN24,0)+IF('計算A'!Q$106=1,1-DP24,0))*150+141+'計算A'!Q$5*100000+IF(AND($E24=1,JD24=0),50000,0))+IF($H24=1,(IF('計算A'!P$117=1,INDEX('計算A'!P$10:P$54,$B24),0)+IF('計算A'!Q$117=1,INDEX('計算A'!R$10:R$54,$B24),0))*4000,0)-IF(AND('計算A'!P$117=1,UN24&gt;0),2000,0)-IF(AND($L24=1,'計算A'!Q$117=1,DP24=0),2000,0))),1000000))</f>
        <v/>
      </c>
      <c r="OT24">
        <f>IF($B24=0,1000000,IF(INDEX('計算A'!$D$60:$EQ$104,$B24,15)*DP24=1,IF(AND($E24=2,JE24=0),1000000,IF($I24&gt;0,IF(1=$J24,IF(OR(AND(15=$I24+1,OR($K24&lt;&gt;'計算A'!$A$3,'計算A'!$A$4=0)),AND(15=$I24-1,OR(15&lt;&gt;'計算A'!$A$3,'計算A'!$A$4=0))),0,IF(15=$K24,200000,ABS(15-$K24)*100)),100000+ABS(1-$J24)*1000+150)+'計算A'!R$5*50+IF(AND($E24=1,JE24=0),25,0),IF($F24&gt;0,INDEX('計算A'!R$110:R$114,$F24+1)+IF(AND($E24=1,JE24=0),1000,0),MIN(TU24,20)*400+(IF('計算A'!Q$106=1,1-DO24,0)+IF('計算A'!R$106=1,1-DQ24,0))*150+151+'計算A'!R$5*100000+IF(AND($E24=1,JE24=0),50000,0))+IF($H24=1,(IF('計算A'!Q$117=1,INDEX('計算A'!Q$10:Q$54,$B24),0)+IF('計算A'!R$117=1,INDEX('計算A'!S$10:S$54,$B24),0))*4000,0)-IF(AND('計算A'!Q$117=1,UO24&gt;0),2000,0)-IF(AND($L24=1,'計算A'!R$117=1,DQ24=0),2000,0))),1000000))</f>
        <v/>
      </c>
      <c r="OU24">
        <f>IF($B24=0,1000000,IF(INDEX('計算A'!$D$60:$EQ$104,$B24,16)*DQ24=1,IF(AND($E24=2,JF24=0),1000000,IF($I24&gt;0,IF(1=$J24,IF(OR(AND(16=$I24+1,OR($K24&lt;&gt;'計算A'!$A$3,'計算A'!$A$4=0)),AND(16=$I24-1,OR(16&lt;&gt;'計算A'!$A$3,'計算A'!$A$4=0))),0,IF(16=$K24,200000,ABS(16-$K24)*100)),100000+ABS(1-$J24)*1000+160)+'計算A'!S$5*50+IF(AND($E24=1,JF24=0),25,0),IF($F24&gt;0,INDEX('計算A'!S$110:S$114,$F24+1)+IF(AND($E24=1,JF24=0),1000,0),MIN(TU24,20)*400+(IF('計算A'!R$106=1,1-DP24,0)+IF('計算A'!S$106=1,1-DR24,0))*150+161+'計算A'!S$5*100000+IF(AND($E24=1,JF24=0),50000,0))+IF($H24=1,(IF('計算A'!R$117=1,INDEX('計算A'!R$10:R$54,$B24),0)+IF('計算A'!S$117=1,INDEX('計算A'!T$10:T$54,$B24),0))*4000,0)-IF(AND('計算A'!R$117=1,UP24&gt;0),2000,0)-IF(AND($L24=1,'計算A'!S$117=1,DR24=0),2000,0))),1000000))</f>
        <v/>
      </c>
      <c r="OV24">
        <f>IF($B24=0,1000000,IF(INDEX('計算A'!$D$60:$EQ$104,$B24,17)*DR24=1,IF(AND($E24=2,JG24=0),1000000,IF($I24&gt;0,IF(1=$J24,IF(OR(AND(17=$I24+1,OR($K24&lt;&gt;'計算A'!$A$3,'計算A'!$A$4=0)),AND(17=$I24-1,OR(17&lt;&gt;'計算A'!$A$3,'計算A'!$A$4=0))),0,IF(17=$K24,200000,ABS(17-$K24)*100)),100000+ABS(1-$J24)*1000+170)+'計算A'!T$5*50+IF(AND($E24=1,JG24=0),25,0),IF($F24&gt;0,INDEX('計算A'!T$110:T$114,$F24+1)+IF(AND($E24=1,JG24=0),1000,0),MIN(TU24,20)*400+(IF('計算A'!S$106=1,1-DQ24,0)+IF('計算A'!T$106=1,1-DS24,0))*150+171+'計算A'!T$5*100000+IF(AND($E24=1,JG24=0),50000,0))+IF($H24=1,(IF('計算A'!S$117=1,INDEX('計算A'!S$10:S$54,$B24),0)+IF('計算A'!T$117=1,INDEX('計算A'!U$10:U$54,$B24),0))*4000,0)-IF(AND('計算A'!S$117=1,UQ24&gt;0),2000,0)-IF(AND($L24=1,'計算A'!T$117=1,DS24=0),2000,0))),1000000))</f>
        <v/>
      </c>
      <c r="OW24">
        <f>IF($B24=0,1000000,IF(INDEX('計算A'!$D$60:$EQ$104,$B24,18)*DS24=1,IF(AND($E24=2,JH24=0),1000000,IF($I24&gt;0,IF(1=$J24,IF(OR(AND(18=$I24+1,OR($K24&lt;&gt;'計算A'!$A$3,'計算A'!$A$4=0)),AND(18=$I24-1,OR(18&lt;&gt;'計算A'!$A$3,'計算A'!$A$4=0))),0,IF(18=$K24,200000,ABS(18-$K24)*100)),100000+ABS(1-$J24)*1000+180)+'計算A'!U$5*50+IF(AND($E24=1,JH24=0),25,0),IF($F24&gt;0,INDEX('計算A'!U$110:U$114,$F24+1)+IF(AND($E24=1,JH24=0),1000,0),MIN(TU24,20)*400+(IF('計算A'!T$106=1,1-DR24,0)+IF('計算A'!U$106=1,1-DT24,0))*150+181+'計算A'!U$5*100000+IF(AND($E24=1,JH24=0),50000,0))+IF($H24=1,(IF('計算A'!T$117=1,INDEX('計算A'!T$10:T$54,$B24),0)+IF('計算A'!U$117=1,INDEX('計算A'!V$10:V$54,$B24),0))*4000,0)-IF(AND('計算A'!T$117=1,UR24&gt;0),2000,0)-IF(AND($L24=1,'計算A'!U$117=1,DT24=0),2000,0))),1000000))</f>
        <v/>
      </c>
      <c r="OX24">
        <f>IF($B24=0,1000000,IF(INDEX('計算A'!$D$60:$EQ$104,$B24,19)*DT24=1,IF(AND($E24=2,JI24=0),1000000,IF($I24&gt;0,IF(1=$J24,IF(OR(AND(19=$I24+1,OR($K24&lt;&gt;'計算A'!$A$3,'計算A'!$A$4=0)),AND(19=$I24-1,OR(19&lt;&gt;'計算A'!$A$3,'計算A'!$A$4=0))),0,IF(19=$K24,200000,ABS(19-$K24)*100)),100000+ABS(1-$J24)*1000+190)+'計算A'!V$5*50+IF(AND($E24=1,JI24=0),25,0),IF($F24&gt;0,INDEX('計算A'!V$110:V$114,$F24+1)+IF(AND($E24=1,JI24=0),1000,0),MIN(TU24,20)*400+(IF('計算A'!U$106=1,1-DS24,0)+IF('計算A'!V$106=1,1-DU24,0))*150+191+'計算A'!V$5*100000+IF(AND($E24=1,JI24=0),50000,0))+IF($H24=1,(IF('計算A'!U$117=1,INDEX('計算A'!U$10:U$54,$B24),0)+IF('計算A'!V$117=1,INDEX('計算A'!W$10:W$54,$B24),0))*4000,0)-IF(AND('計算A'!U$117=1,US24&gt;0),2000,0)-IF(AND($L24=1,'計算A'!V$117=1,DU24=0),2000,0))),1000000))</f>
        <v/>
      </c>
      <c r="OY24">
        <f>IF($B24=0,1000000,IF(INDEX('計算A'!$D$60:$EQ$104,$B24,20)*DU24=1,IF(AND($E24=2,JJ24=0),1000000,IF($I24&gt;0,IF(1=$J24,IF(OR(AND(20=$I24+1,OR($K24&lt;&gt;'計算A'!$A$3,'計算A'!$A$4=0)),AND(20=$I24-1,OR(20&lt;&gt;'計算A'!$A$3,'計算A'!$A$4=0))),0,IF(20=$K24,200000,ABS(20-$K24)*100)),100000+ABS(1-$J24)*1000+200)+'計算A'!W$5*50+IF(AND($E24=1,JJ24=0),25,0),IF($F24&gt;0,INDEX('計算A'!W$110:W$114,$F24+1)+IF(AND($E24=1,JJ24=0),1000,0),MIN(TU24,20)*400+(IF('計算A'!V$106=1,1-DT24,0)+IF('計算A'!W$106=1,1-DV24,0))*150+201+'計算A'!W$5*100000+IF(AND($E24=1,JJ24=0),50000,0))+IF($H24=1,(IF('計算A'!V$117=1,INDEX('計算A'!V$10:V$54,$B24),0)+IF('計算A'!W$117=1,INDEX('計算A'!X$10:X$54,$B24),0))*4000,0)-IF(AND('計算A'!V$117=1,UT24&gt;0),2000,0)-IF(AND($L24=1,'計算A'!W$117=1,DV24=0),2000,0))),1000000))</f>
        <v/>
      </c>
      <c r="OZ24">
        <f>IF($B24=0,1000000,IF(INDEX('計算A'!$D$60:$EQ$104,$B24,21)*DV24=1,IF(AND($E24=2,JK24=0),1000000,IF($I24&gt;0,IF(1=$J24,IF(OR(AND(21=$I24+1,OR($K24&lt;&gt;'計算A'!$A$3,'計算A'!$A$4=0)),AND(21=$I24-1,OR(21&lt;&gt;'計算A'!$A$3,'計算A'!$A$4=0))),0,IF(21=$K24,200000,ABS(21-$K24)*100)),100000+ABS(1-$J24)*1000+210)+'計算A'!X$5*50+IF(AND($E24=1,JK24=0),25,0),IF($F24&gt;0,INDEX('計算A'!X$110:X$114,$F24+1)+IF(AND($E24=1,JK24=0),1000,0),MIN(TU24,20)*400+(IF('計算A'!W$106=1,1-DU24,0)+IF('計算A'!X$106=1,1-DW24,0))*150+211+'計算A'!X$5*100000+IF(AND($E24=1,JK24=0),50000,0))+IF($H24=1,(IF('計算A'!W$117=1,INDEX('計算A'!W$10:W$54,$B24),0)+IF('計算A'!X$117=1,INDEX('計算A'!Y$10:Y$54,$B24),0))*4000,0)-IF(AND('計算A'!W$117=1,UU24&gt;0),2000,0)-IF(AND($L24=1,'計算A'!X$117=1,DW24=0),2000,0))),1000000))</f>
        <v/>
      </c>
      <c r="PA24">
        <f>IF($B24=0,1000000,IF(INDEX('計算A'!$D$60:$EQ$104,$B24,22)*DW24=1,IF(AND($E24=2,JL24=0),1000000,IF($I24&gt;0,IF(1=$J24,IF(OR(AND(22=$I24+1,OR($K24&lt;&gt;'計算A'!$A$3,'計算A'!$A$4=0)),AND(22=$I24-1,OR(22&lt;&gt;'計算A'!$A$3,'計算A'!$A$4=0))),0,IF(22=$K24,200000,ABS(22-$K24)*100)),100000+ABS(1-$J24)*1000+220)+'計算A'!Y$5*50+IF(AND($E24=1,JL24=0),25,0),IF($F24&gt;0,INDEX('計算A'!Y$110:Y$114,$F24+1)+IF(AND($E24=1,JL24=0),1000,0),MIN(TU24,20)*400+(IF('計算A'!X$106=1,1-DV24,0)+IF('計算A'!Y$106=1,1-DX24,0))*150+221+'計算A'!Y$5*100000+IF(AND($E24=1,JL24=0),50000,0))+IF($H24=1,(IF('計算A'!X$117=1,INDEX('計算A'!X$10:X$54,$B24),0)+IF('計算A'!Y$117=1,INDEX('計算A'!Z$10:Z$54,$B24),0))*4000,0)-IF(AND('計算A'!X$117=1,UV24&gt;0),2000,0)-IF(AND($L24=1,'計算A'!Y$117=1,DX24=0),2000,0))),1000000))</f>
        <v/>
      </c>
      <c r="PB24">
        <f>IF($B24=0,1000000,IF(INDEX('計算A'!$D$60:$EQ$104,$B24,23)*DX24=1,IF(AND($E24=2,JM24=0),1000000,IF($I24&gt;0,IF(1=$J24,IF(OR(AND(23=$I24+1,OR($K24&lt;&gt;'計算A'!$A$3,'計算A'!$A$4=0)),AND(23=$I24-1,OR(23&lt;&gt;'計算A'!$A$3,'計算A'!$A$4=0))),0,IF(23=$K24,200000,ABS(23-$K24)*100)),100000+ABS(1-$J24)*1000+230)+'計算A'!Z$5*50+IF(AND($E24=1,JM24=0),25,0),IF($F24&gt;0,INDEX('計算A'!Z$110:Z$114,$F24+1)+IF(AND($E24=1,JM24=0),1000,0),MIN(TU24,20)*400+(IF('計算A'!Y$106=1,1-DW24,0)+IF('計算A'!Z$106=1,1-DY24,0))*150+231+'計算A'!Z$5*100000+IF(AND($E24=1,JM24=0),50000,0))+IF($H24=1,(IF('計算A'!Y$117=1,INDEX('計算A'!Y$10:Y$54,$B24),0)+IF('計算A'!Z$117=1,INDEX('計算A'!AA$10:AA$54,$B24),0))*4000,0)-IF(AND('計算A'!Y$117=1,UW24&gt;0),2000,0)-IF(AND($L24=1,'計算A'!Z$117=1,DY24=0),2000,0))),1000000))</f>
        <v/>
      </c>
      <c r="PC24">
        <f>IF($B24=0,1000000,IF(INDEX('計算A'!$D$60:$EQ$104,$B24,24)*DY24=1,IF(AND($E24=2,JN24=0),1000000,IF($I24&gt;0,IF(1=$J24,IF(OR(AND(24=$I24+1,OR($K24&lt;&gt;'計算A'!$A$3,'計算A'!$A$4=0)),AND(24=$I24-1,OR(24&lt;&gt;'計算A'!$A$3,'計算A'!$A$4=0))),0,IF(24=$K24,200000,ABS(24-$K24)*100)),100000+ABS(1-$J24)*1000+240)+'計算A'!AA$5*50+IF(AND($E24=1,JN24=0),25,0),IF($F24&gt;0,INDEX('計算A'!AA$110:AA$114,$F24+1)+IF(AND($E24=1,JN24=0),1000,0),MIN(TU24,20)*400+(IF('計算A'!Z$106=1,1-DX24,0))*150+241+'計算A'!AA$5*100000+IF(AND($E24=1,JN24=0),50000,0))+IF($H24=1,(IF('計算A'!Z$117=1,INDEX('計算A'!Z$10:Z$54,$B24),0))*4000,0)-IF(AND('計算A'!Z$117=1,UX24&gt;0),2000,0))),1000000))</f>
        <v/>
      </c>
      <c r="PD24">
        <f>IF($B24=0,1000000,IF(INDEX('計算A'!$D$60:$EQ$104,$B24,25)*DZ24=1,IF(AND($E24=2,JO24=0),1000000,IF($I24&gt;0,IF(2=$J24,IF(OR(AND(25=$I24+1,OR($K24&lt;&gt;'計算A'!$A$3,'計算A'!$A$4=0)),AND(25=$I24-1,OR(1&lt;&gt;'計算A'!$A$3,'計算A'!$A$4=0))),0,IF(1=$K24,200000,ABS(1-$K24)*100)),100000+ABS(2-$J24)*1000+10)+'計算A'!AB$5*50+IF(AND($E24=1,JO24=0),25,0),IF($F24&gt;0,INDEX('計算A'!AB$110:AB$114,$F24+1)+IF(AND($E24=1,JO24=0),1000,0),MIN(TV24,20)*400+(IF('計算A'!AB$106=1,1-EA24,0))*150+12+'計算A'!AB$5*100000+IF(AND($E24=1,JO24=0),50000,0))+IF($H24=1,(IF('計算A'!AB$117=1,INDEX('計算A'!AC$10:AC$54,$B24),0))*4000,0)-IF(AND($L24=1,'計算A'!AB$117=1,EA24=0),2000,0))),1000000))</f>
        <v/>
      </c>
      <c r="PE24">
        <f>IF($B24=0,1000000,IF(INDEX('計算A'!$D$60:$EQ$104,$B24,26)*EA24=1,IF(AND($E24=2,JP24=0),1000000,IF($I24&gt;0,IF(2=$J24,IF(OR(AND(26=$I24+1,OR($K24&lt;&gt;'計算A'!$A$3,'計算A'!$A$4=0)),AND(26=$I24-1,OR(2&lt;&gt;'計算A'!$A$3,'計算A'!$A$4=0))),0,IF(2=$K24,200000,ABS(2-$K24)*100)),100000+ABS(2-$J24)*1000+20)+'計算A'!AC$5*50+IF(AND($E24=1,JP24=0),25,0),IF($F24&gt;0,INDEX('計算A'!AC$110:AC$114,$F24+1)+IF(AND($E24=1,JP24=0),1000,0),MIN(TV24,20)*400+(IF('計算A'!AB$106=1,1-DZ24,0)+IF('計算A'!AC$106=1,1-EB24,0))*150+22+'計算A'!AC$5*100000+IF(AND($E24=1,JP24=0),50000,0))+IF($H24=1,(IF('計算A'!AB$117=1,INDEX('計算A'!AB$10:AB$54,$B24),0)+IF('計算A'!AC$117=1,INDEX('計算A'!AD$10:AD$54,$B24),0))*4000,0)-IF(AND('計算A'!AB$117=1,UZ24&gt;0),2000,0)-IF(AND($L24=1,'計算A'!AC$117=1,EB24=0),2000,0))),1000000))</f>
        <v/>
      </c>
      <c r="PF24">
        <f>IF($B24=0,1000000,IF(INDEX('計算A'!$D$60:$EQ$104,$B24,27)*EB24=1,IF(AND($E24=2,JQ24=0),1000000,IF($I24&gt;0,IF(2=$J24,IF(OR(AND(27=$I24+1,OR($K24&lt;&gt;'計算A'!$A$3,'計算A'!$A$4=0)),AND(27=$I24-1,OR(3&lt;&gt;'計算A'!$A$3,'計算A'!$A$4=0))),0,IF(3=$K24,200000,ABS(3-$K24)*100)),100000+ABS(2-$J24)*1000+30)+'計算A'!AD$5*50+IF(AND($E24=1,JQ24=0),25,0),IF($F24&gt;0,INDEX('計算A'!AD$110:AD$114,$F24+1)+IF(AND($E24=1,JQ24=0),1000,0),MIN(TV24,20)*400+(IF('計算A'!AC$106=1,1-EA24,0)+IF('計算A'!AD$106=1,1-EC24,0))*150+32+'計算A'!AD$5*100000+IF(AND($E24=1,JQ24=0),50000,0))+IF($H24=1,(IF('計算A'!AC$117=1,INDEX('計算A'!AC$10:AC$54,$B24),0)+IF('計算A'!AD$117=1,INDEX('計算A'!AE$10:AE$54,$B24),0))*4000,0)-IF(AND('計算A'!AC$117=1,VA24&gt;0),2000,0)-IF(AND($L24=1,'計算A'!AD$117=1,EC24=0),2000,0))),1000000))</f>
        <v/>
      </c>
      <c r="PG24">
        <f>IF($B24=0,1000000,IF(INDEX('計算A'!$D$60:$EQ$104,$B24,28)*EC24=1,IF(AND($E24=2,JR24=0),1000000,IF($I24&gt;0,IF(2=$J24,IF(OR(AND(28=$I24+1,OR($K24&lt;&gt;'計算A'!$A$3,'計算A'!$A$4=0)),AND(28=$I24-1,OR(4&lt;&gt;'計算A'!$A$3,'計算A'!$A$4=0))),0,IF(4=$K24,200000,ABS(4-$K24)*100)),100000+ABS(2-$J24)*1000+40)+'計算A'!AE$5*50+IF(AND($E24=1,JR24=0),25,0),IF($F24&gt;0,INDEX('計算A'!AE$110:AE$114,$F24+1)+IF(AND($E24=1,JR24=0),1000,0),MIN(TV24,20)*400+(IF('計算A'!AD$106=1,1-EB24,0)+IF('計算A'!AE$106=1,1-ED24,0))*150+42+'計算A'!AE$5*100000+IF(AND($E24=1,JR24=0),50000,0))+IF($H24=1,(IF('計算A'!AD$117=1,INDEX('計算A'!AD$10:AD$54,$B24),0)+IF('計算A'!AE$117=1,INDEX('計算A'!AF$10:AF$54,$B24),0))*4000,0)-IF(AND('計算A'!AD$117=1,VB24&gt;0),2000,0)-IF(AND($L24=1,'計算A'!AE$117=1,ED24=0),2000,0))),1000000))</f>
        <v/>
      </c>
      <c r="PH24">
        <f>IF($B24=0,1000000,IF(INDEX('計算A'!$D$60:$EQ$104,$B24,29)*ED24=1,IF(AND($E24=2,JS24=0),1000000,IF($I24&gt;0,IF(2=$J24,IF(OR(AND(29=$I24+1,OR($K24&lt;&gt;'計算A'!$A$3,'計算A'!$A$4=0)),AND(29=$I24-1,OR(5&lt;&gt;'計算A'!$A$3,'計算A'!$A$4=0))),0,IF(5=$K24,200000,ABS(5-$K24)*100)),100000+ABS(2-$J24)*1000+50)+'計算A'!AF$5*50+IF(AND($E24=1,JS24=0),25,0),IF($F24&gt;0,INDEX('計算A'!AF$110:AF$114,$F24+1)+IF(AND($E24=1,JS24=0),1000,0),MIN(TV24,20)*400+(IF('計算A'!AE$106=1,1-EC24,0)+IF('計算A'!AF$106=1,1-EE24,0))*150+52+'計算A'!AF$5*100000+IF(AND($E24=1,JS24=0),50000,0))+IF($H24=1,(IF('計算A'!AE$117=1,INDEX('計算A'!AE$10:AE$54,$B24),0)+IF('計算A'!AF$117=1,INDEX('計算A'!AG$10:AG$54,$B24),0))*4000,0)-IF(AND('計算A'!AE$117=1,VC24&gt;0),2000,0)-IF(AND($L24=1,'計算A'!AF$117=1,EE24=0),2000,0))),1000000))</f>
        <v/>
      </c>
      <c r="PI24">
        <f>IF($B24=0,1000000,IF(INDEX('計算A'!$D$60:$EQ$104,$B24,30)*EE24=1,IF(AND($E24=2,JT24=0),1000000,IF($I24&gt;0,IF(2=$J24,IF(OR(AND(30=$I24+1,OR($K24&lt;&gt;'計算A'!$A$3,'計算A'!$A$4=0)),AND(30=$I24-1,OR(6&lt;&gt;'計算A'!$A$3,'計算A'!$A$4=0))),0,IF(6=$K24,200000,ABS(6-$K24)*100)),100000+ABS(2-$J24)*1000+60)+'計算A'!AG$5*50+IF(AND($E24=1,JT24=0),25,0),IF($F24&gt;0,INDEX('計算A'!AG$110:AG$114,$F24+1)+IF(AND($E24=1,JT24=0),1000,0),MIN(TV24,20)*400+(IF('計算A'!AF$106=1,1-ED24,0)+IF('計算A'!AG$106=1,1-EF24,0))*150+62+'計算A'!AG$5*100000+IF(AND($E24=1,JT24=0),50000,0))+IF($H24=1,(IF('計算A'!AF$117=1,INDEX('計算A'!AF$10:AF$54,$B24),0)+IF('計算A'!AG$117=1,INDEX('計算A'!AH$10:AH$54,$B24),0))*4000,0)-IF(AND('計算A'!AF$117=1,VD24&gt;0),2000,0)-IF(AND($L24=1,'計算A'!AG$117=1,EF24=0),2000,0))),1000000))</f>
        <v/>
      </c>
      <c r="PJ24">
        <f>IF($B24=0,1000000,IF(INDEX('計算A'!$D$60:$EQ$104,$B24,31)*EF24=1,IF(AND($E24=2,JU24=0),1000000,IF($I24&gt;0,IF(2=$J24,IF(OR(AND(31=$I24+1,OR($K24&lt;&gt;'計算A'!$A$3,'計算A'!$A$4=0)),AND(31=$I24-1,OR(7&lt;&gt;'計算A'!$A$3,'計算A'!$A$4=0))),0,IF(7=$K24,200000,ABS(7-$K24)*100)),100000+ABS(2-$J24)*1000+70)+'計算A'!AH$5*50+IF(AND($E24=1,JU24=0),25,0),IF($F24&gt;0,INDEX('計算A'!AH$110:AH$114,$F24+1)+IF(AND($E24=1,JU24=0),1000,0),MIN(TV24,20)*400+(IF('計算A'!AG$106=1,1-EE24,0)+IF('計算A'!AH$106=1,1-EG24,0))*150+72+'計算A'!AH$5*100000+IF(AND($E24=1,JU24=0),50000,0))+IF($H24=1,(IF('計算A'!AG$117=1,INDEX('計算A'!AG$10:AG$54,$B24),0)+IF('計算A'!AH$117=1,INDEX('計算A'!AI$10:AI$54,$B24),0))*4000,0)-IF(AND('計算A'!AG$117=1,VE24&gt;0),2000,0)-IF(AND($L24=1,'計算A'!AH$117=1,EG24=0),2000,0))),1000000))</f>
        <v/>
      </c>
      <c r="PK24">
        <f>IF($B24=0,1000000,IF(INDEX('計算A'!$D$60:$EQ$104,$B24,32)*EG24=1,IF(AND($E24=2,JV24=0),1000000,IF($I24&gt;0,IF(2=$J24,IF(OR(AND(32=$I24+1,OR($K24&lt;&gt;'計算A'!$A$3,'計算A'!$A$4=0)),AND(32=$I24-1,OR(8&lt;&gt;'計算A'!$A$3,'計算A'!$A$4=0))),0,IF(8=$K24,200000,ABS(8-$K24)*100)),100000+ABS(2-$J24)*1000+80)+'計算A'!AI$5*50+IF(AND($E24=1,JV24=0),25,0),IF($F24&gt;0,INDEX('計算A'!AI$110:AI$114,$F24+1)+IF(AND($E24=1,JV24=0),1000,0),MIN(TV24,20)*400+(IF('計算A'!AH$106=1,1-EF24,0)+IF('計算A'!AI$106=1,1-EH24,0))*150+82+'計算A'!AI$5*100000+IF(AND($E24=1,JV24=0),50000,0))+IF($H24=1,(IF('計算A'!AH$117=1,INDEX('計算A'!AH$10:AH$54,$B24),0)+IF('計算A'!AI$117=1,INDEX('計算A'!AJ$10:AJ$54,$B24),0))*4000,0)-IF(AND('計算A'!AH$117=1,VF24&gt;0),2000,0)-IF(AND($L24=1,'計算A'!AI$117=1,EH24=0),2000,0))),1000000))</f>
        <v/>
      </c>
      <c r="PL24">
        <f>IF($B24=0,1000000,IF(INDEX('計算A'!$D$60:$EQ$104,$B24,33)*EH24=1,IF(AND($E24=2,JW24=0),1000000,IF($I24&gt;0,IF(2=$J24,IF(OR(AND(33=$I24+1,OR($K24&lt;&gt;'計算A'!$A$3,'計算A'!$A$4=0)),AND(33=$I24-1,OR(9&lt;&gt;'計算A'!$A$3,'計算A'!$A$4=0))),0,IF(9=$K24,200000,ABS(9-$K24)*100)),100000+ABS(2-$J24)*1000+90)+'計算A'!AJ$5*50+IF(AND($E24=1,JW24=0),25,0),IF($F24&gt;0,INDEX('計算A'!AJ$110:AJ$114,$F24+1)+IF(AND($E24=1,JW24=0),1000,0),MIN(TV24,20)*400+(IF('計算A'!AI$106=1,1-EG24,0)+IF('計算A'!AJ$106=1,1-EI24,0))*150+92+'計算A'!AJ$5*100000+IF(AND($E24=1,JW24=0),50000,0))+IF($H24=1,(IF('計算A'!AI$117=1,INDEX('計算A'!AI$10:AI$54,$B24),0)+IF('計算A'!AJ$117=1,INDEX('計算A'!AK$10:AK$54,$B24),0))*4000,0)-IF(AND('計算A'!AI$117=1,VG24&gt;0),2000,0)-IF(AND($L24=1,'計算A'!AJ$117=1,EI24=0),2000,0))),1000000))</f>
        <v/>
      </c>
      <c r="PM24">
        <f>IF($B24=0,1000000,IF(INDEX('計算A'!$D$60:$EQ$104,$B24,34)*EI24=1,IF(AND($E24=2,JX24=0),1000000,IF($I24&gt;0,IF(2=$J24,IF(OR(AND(34=$I24+1,OR($K24&lt;&gt;'計算A'!$A$3,'計算A'!$A$4=0)),AND(34=$I24-1,OR(10&lt;&gt;'計算A'!$A$3,'計算A'!$A$4=0))),0,IF(10=$K24,200000,ABS(10-$K24)*100)),100000+ABS(2-$J24)*1000+100)+'計算A'!AK$5*50+IF(AND($E24=1,JX24=0),25,0),IF($F24&gt;0,INDEX('計算A'!AK$110:AK$114,$F24+1)+IF(AND($E24=1,JX24=0),1000,0),MIN(TV24,20)*400+(IF('計算A'!AJ$106=1,1-EH24,0)+IF('計算A'!AK$106=1,1-EJ24,0))*150+102+'計算A'!AK$5*100000+IF(AND($E24=1,JX24=0),50000,0))+IF($H24=1,(IF('計算A'!AJ$117=1,INDEX('計算A'!AJ$10:AJ$54,$B24),0)+IF('計算A'!AK$117=1,INDEX('計算A'!AL$10:AL$54,$B24),0))*4000,0)-IF(AND('計算A'!AJ$117=1,VH24&gt;0),2000,0)-IF(AND($L24=1,'計算A'!AK$117=1,EJ24=0),2000,0))),1000000))</f>
        <v/>
      </c>
      <c r="PN24">
        <f>IF($B24=0,1000000,IF(INDEX('計算A'!$D$60:$EQ$104,$B24,35)*EJ24=1,IF(AND($E24=2,JY24=0),1000000,IF($I24&gt;0,IF(2=$J24,IF(OR(AND(35=$I24+1,OR($K24&lt;&gt;'計算A'!$A$3,'計算A'!$A$4=0)),AND(35=$I24-1,OR(11&lt;&gt;'計算A'!$A$3,'計算A'!$A$4=0))),0,IF(11=$K24,200000,ABS(11-$K24)*100)),100000+ABS(2-$J24)*1000+110)+'計算A'!AL$5*50+IF(AND($E24=1,JY24=0),25,0),IF($F24&gt;0,INDEX('計算A'!AL$110:AL$114,$F24+1)+IF(AND($E24=1,JY24=0),1000,0),MIN(TV24,20)*400+(IF('計算A'!AK$106=1,1-EI24,0)+IF('計算A'!AL$106=1,1-EK24,0))*150+112+'計算A'!AL$5*100000+IF(AND($E24=1,JY24=0),50000,0))+IF($H24=1,(IF('計算A'!AK$117=1,INDEX('計算A'!AK$10:AK$54,$B24),0)+IF('計算A'!AL$117=1,INDEX('計算A'!AM$10:AM$54,$B24),0))*4000,0)-IF(AND('計算A'!AK$117=1,VI24&gt;0),2000,0)-IF(AND($L24=1,'計算A'!AL$117=1,EK24=0),2000,0))),1000000))</f>
        <v/>
      </c>
      <c r="PO24">
        <f>IF($B24=0,1000000,IF(INDEX('計算A'!$D$60:$EQ$104,$B24,36)*EK24=1,IF(AND($E24=2,JZ24=0),1000000,IF($I24&gt;0,IF(2=$J24,IF(OR(AND(36=$I24+1,OR($K24&lt;&gt;'計算A'!$A$3,'計算A'!$A$4=0)),AND(36=$I24-1,OR(12&lt;&gt;'計算A'!$A$3,'計算A'!$A$4=0))),0,IF(12=$K24,200000,ABS(12-$K24)*100)),100000+ABS(2-$J24)*1000+120)+'計算A'!AM$5*50+IF(AND($E24=1,JZ24=0),25,0),IF($F24&gt;0,INDEX('計算A'!AM$110:AM$114,$F24+1)+IF(AND($E24=1,JZ24=0),1000,0),MIN(TV24,20)*400+(IF('計算A'!AL$106=1,1-EJ24,0)+IF('計算A'!AM$106=1,1-EL24,0))*150+122+'計算A'!AM$5*100000+IF(AND($E24=1,JZ24=0),50000,0))+IF($H24=1,(IF('計算A'!AL$117=1,INDEX('計算A'!AL$10:AL$54,$B24),0)+IF('計算A'!AM$117=1,INDEX('計算A'!AN$10:AN$54,$B24),0))*4000,0)-IF(AND('計算A'!AL$117=1,VJ24&gt;0),2000,0)-IF(AND($L24=1,'計算A'!AM$117=1,EL24=0),2000,0))),1000000))</f>
        <v/>
      </c>
      <c r="PP24">
        <f>IF($B24=0,1000000,IF(INDEX('計算A'!$D$60:$EQ$104,$B24,37)*EL24=1,IF(AND($E24=2,KA24=0),1000000,IF($I24&gt;0,IF(2=$J24,IF(OR(AND(37=$I24+1,OR($K24&lt;&gt;'計算A'!$A$3,'計算A'!$A$4=0)),AND(37=$I24-1,OR(13&lt;&gt;'計算A'!$A$3,'計算A'!$A$4=0))),0,IF(13=$K24,200000,ABS(13-$K24)*100)),100000+ABS(2-$J24)*1000+130)+'計算A'!AN$5*50+IF(AND($E24=1,KA24=0),25,0),IF($F24&gt;0,INDEX('計算A'!AN$110:AN$114,$F24+1)+IF(AND($E24=1,KA24=0),1000,0),MIN(TV24,20)*400+(IF('計算A'!AM$106=1,1-EK24,0)+IF('計算A'!AN$106=1,1-EM24,0))*150+132+'計算A'!AN$5*100000+IF(AND($E24=1,KA24=0),50000,0))+IF($H24=1,(IF('計算A'!AM$117=1,INDEX('計算A'!AM$10:AM$54,$B24),0)+IF('計算A'!AN$117=1,INDEX('計算A'!AO$10:AO$54,$B24),0))*4000,0)-IF(AND('計算A'!AM$117=1,VK24&gt;0),2000,0)-IF(AND($L24=1,'計算A'!AN$117=1,EM24=0),2000,0))),1000000))</f>
        <v/>
      </c>
      <c r="PQ24">
        <f>IF($B24=0,1000000,IF(INDEX('計算A'!$D$60:$EQ$104,$B24,38)*EM24=1,IF(AND($E24=2,KB24=0),1000000,IF($I24&gt;0,IF(2=$J24,IF(OR(AND(38=$I24+1,OR($K24&lt;&gt;'計算A'!$A$3,'計算A'!$A$4=0)),AND(38=$I24-1,OR(14&lt;&gt;'計算A'!$A$3,'計算A'!$A$4=0))),0,IF(14=$K24,200000,ABS(14-$K24)*100)),100000+ABS(2-$J24)*1000+140)+'計算A'!AO$5*50+IF(AND($E24=1,KB24=0),25,0),IF($F24&gt;0,INDEX('計算A'!AO$110:AO$114,$F24+1)+IF(AND($E24=1,KB24=0),1000,0),MIN(TV24,20)*400+(IF('計算A'!AN$106=1,1-EL24,0)+IF('計算A'!AO$106=1,1-EN24,0))*150+142+'計算A'!AO$5*100000+IF(AND($E24=1,KB24=0),50000,0))+IF($H24=1,(IF('計算A'!AN$117=1,INDEX('計算A'!AN$10:AN$54,$B24),0)+IF('計算A'!AO$117=1,INDEX('計算A'!AP$10:AP$54,$B24),0))*4000,0)-IF(AND('計算A'!AN$117=1,VL24&gt;0),2000,0)-IF(AND($L24=1,'計算A'!AO$117=1,EN24=0),2000,0))),1000000))</f>
        <v/>
      </c>
      <c r="PR24">
        <f>IF($B24=0,1000000,IF(INDEX('計算A'!$D$60:$EQ$104,$B24,39)*EN24=1,IF(AND($E24=2,KC24=0),1000000,IF($I24&gt;0,IF(2=$J24,IF(OR(AND(39=$I24+1,OR($K24&lt;&gt;'計算A'!$A$3,'計算A'!$A$4=0)),AND(39=$I24-1,OR(15&lt;&gt;'計算A'!$A$3,'計算A'!$A$4=0))),0,IF(15=$K24,200000,ABS(15-$K24)*100)),100000+ABS(2-$J24)*1000+150)+'計算A'!AP$5*50+IF(AND($E24=1,KC24=0),25,0),IF($F24&gt;0,INDEX('計算A'!AP$110:AP$114,$F24+1)+IF(AND($E24=1,KC24=0),1000,0),MIN(TV24,20)*400+(IF('計算A'!AO$106=1,1-EM24,0)+IF('計算A'!AP$106=1,1-EO24,0))*150+152+'計算A'!AP$5*100000+IF(AND($E24=1,KC24=0),50000,0))+IF($H24=1,(IF('計算A'!AO$117=1,INDEX('計算A'!AO$10:AO$54,$B24),0)+IF('計算A'!AP$117=1,INDEX('計算A'!AQ$10:AQ$54,$B24),0))*4000,0)-IF(AND('計算A'!AO$117=1,VM24&gt;0),2000,0)-IF(AND($L24=1,'計算A'!AP$117=1,EO24=0),2000,0))),1000000))</f>
        <v/>
      </c>
      <c r="PS24">
        <f>IF($B24=0,1000000,IF(INDEX('計算A'!$D$60:$EQ$104,$B24,40)*EO24=1,IF(AND($E24=2,KD24=0),1000000,IF($I24&gt;0,IF(2=$J24,IF(OR(AND(40=$I24+1,OR($K24&lt;&gt;'計算A'!$A$3,'計算A'!$A$4=0)),AND(40=$I24-1,OR(16&lt;&gt;'計算A'!$A$3,'計算A'!$A$4=0))),0,IF(16=$K24,200000,ABS(16-$K24)*100)),100000+ABS(2-$J24)*1000+160)+'計算A'!AQ$5*50+IF(AND($E24=1,KD24=0),25,0),IF($F24&gt;0,INDEX('計算A'!AQ$110:AQ$114,$F24+1)+IF(AND($E24=1,KD24=0),1000,0),MIN(TV24,20)*400+(IF('計算A'!AP$106=1,1-EN24,0)+IF('計算A'!AQ$106=1,1-EP24,0))*150+162+'計算A'!AQ$5*100000+IF(AND($E24=1,KD24=0),50000,0))+IF($H24=1,(IF('計算A'!AP$117=1,INDEX('計算A'!AP$10:AP$54,$B24),0)+IF('計算A'!AQ$117=1,INDEX('計算A'!AR$10:AR$54,$B24),0))*4000,0)-IF(AND('計算A'!AP$117=1,VN24&gt;0),2000,0)-IF(AND($L24=1,'計算A'!AQ$117=1,EP24=0),2000,0))),1000000))</f>
        <v/>
      </c>
      <c r="PT24">
        <f>IF($B24=0,1000000,IF(INDEX('計算A'!$D$60:$EQ$104,$B24,41)*EP24=1,IF(AND($E24=2,KE24=0),1000000,IF($I24&gt;0,IF(2=$J24,IF(OR(AND(41=$I24+1,OR($K24&lt;&gt;'計算A'!$A$3,'計算A'!$A$4=0)),AND(41=$I24-1,OR(17&lt;&gt;'計算A'!$A$3,'計算A'!$A$4=0))),0,IF(17=$K24,200000,ABS(17-$K24)*100)),100000+ABS(2-$J24)*1000+170)+'計算A'!AR$5*50+IF(AND($E24=1,KE24=0),25,0),IF($F24&gt;0,INDEX('計算A'!AR$110:AR$114,$F24+1)+IF(AND($E24=1,KE24=0),1000,0),MIN(TV24,20)*400+(IF('計算A'!AQ$106=1,1-EO24,0)+IF('計算A'!AR$106=1,1-EQ24,0))*150+172+'計算A'!AR$5*100000+IF(AND($E24=1,KE24=0),50000,0))+IF($H24=1,(IF('計算A'!AQ$117=1,INDEX('計算A'!AQ$10:AQ$54,$B24),0)+IF('計算A'!AR$117=1,INDEX('計算A'!AS$10:AS$54,$B24),0))*4000,0)-IF(AND('計算A'!AQ$117=1,VO24&gt;0),2000,0)-IF(AND($L24=1,'計算A'!AR$117=1,EQ24=0),2000,0))),1000000))</f>
        <v/>
      </c>
      <c r="PU24">
        <f>IF($B24=0,1000000,IF(INDEX('計算A'!$D$60:$EQ$104,$B24,42)*EQ24=1,IF(AND($E24=2,KF24=0),1000000,IF($I24&gt;0,IF(2=$J24,IF(OR(AND(42=$I24+1,OR($K24&lt;&gt;'計算A'!$A$3,'計算A'!$A$4=0)),AND(42=$I24-1,OR(18&lt;&gt;'計算A'!$A$3,'計算A'!$A$4=0))),0,IF(18=$K24,200000,ABS(18-$K24)*100)),100000+ABS(2-$J24)*1000+180)+'計算A'!AS$5*50+IF(AND($E24=1,KF24=0),25,0),IF($F24&gt;0,INDEX('計算A'!AS$110:AS$114,$F24+1)+IF(AND($E24=1,KF24=0),1000,0),MIN(TV24,20)*400+(IF('計算A'!AR$106=1,1-EP24,0)+IF('計算A'!AS$106=1,1-ER24,0))*150+182+'計算A'!AS$5*100000+IF(AND($E24=1,KF24=0),50000,0))+IF($H24=1,(IF('計算A'!AR$117=1,INDEX('計算A'!AR$10:AR$54,$B24),0)+IF('計算A'!AS$117=1,INDEX('計算A'!AT$10:AT$54,$B24),0))*4000,0)-IF(AND('計算A'!AR$117=1,VP24&gt;0),2000,0)-IF(AND($L24=1,'計算A'!AS$117=1,ER24=0),2000,0))),1000000))</f>
        <v/>
      </c>
      <c r="PV24">
        <f>IF($B24=0,1000000,IF(INDEX('計算A'!$D$60:$EQ$104,$B24,43)*ER24=1,IF(AND($E24=2,KG24=0),1000000,IF($I24&gt;0,IF(2=$J24,IF(OR(AND(43=$I24+1,OR($K24&lt;&gt;'計算A'!$A$3,'計算A'!$A$4=0)),AND(43=$I24-1,OR(19&lt;&gt;'計算A'!$A$3,'計算A'!$A$4=0))),0,IF(19=$K24,200000,ABS(19-$K24)*100)),100000+ABS(2-$J24)*1000+190)+'計算A'!AT$5*50+IF(AND($E24=1,KG24=0),25,0),IF($F24&gt;0,INDEX('計算A'!AT$110:AT$114,$F24+1)+IF(AND($E24=1,KG24=0),1000,0),MIN(TV24,20)*400+(IF('計算A'!AS$106=1,1-EQ24,0)+IF('計算A'!AT$106=1,1-ES24,0))*150+192+'計算A'!AT$5*100000+IF(AND($E24=1,KG24=0),50000,0))+IF($H24=1,(IF('計算A'!AS$117=1,INDEX('計算A'!AS$10:AS$54,$B24),0)+IF('計算A'!AT$117=1,INDEX('計算A'!AU$10:AU$54,$B24),0))*4000,0)-IF(AND('計算A'!AS$117=1,VQ24&gt;0),2000,0)-IF(AND($L24=1,'計算A'!AT$117=1,ES24=0),2000,0))),1000000))</f>
        <v/>
      </c>
      <c r="PW24">
        <f>IF($B24=0,1000000,IF(INDEX('計算A'!$D$60:$EQ$104,$B24,44)*ES24=1,IF(AND($E24=2,KH24=0),1000000,IF($I24&gt;0,IF(2=$J24,IF(OR(AND(44=$I24+1,OR($K24&lt;&gt;'計算A'!$A$3,'計算A'!$A$4=0)),AND(44=$I24-1,OR(20&lt;&gt;'計算A'!$A$3,'計算A'!$A$4=0))),0,IF(20=$K24,200000,ABS(20-$K24)*100)),100000+ABS(2-$J24)*1000+200)+'計算A'!AU$5*50+IF(AND($E24=1,KH24=0),25,0),IF($F24&gt;0,INDEX('計算A'!AU$110:AU$114,$F24+1)+IF(AND($E24=1,KH24=0),1000,0),MIN(TV24,20)*400+(IF('計算A'!AT$106=1,1-ER24,0)+IF('計算A'!AU$106=1,1-ET24,0))*150+202+'計算A'!AU$5*100000+IF(AND($E24=1,KH24=0),50000,0))+IF($H24=1,(IF('計算A'!AT$117=1,INDEX('計算A'!AT$10:AT$54,$B24),0)+IF('計算A'!AU$117=1,INDEX('計算A'!AV$10:AV$54,$B24),0))*4000,0)-IF(AND('計算A'!AT$117=1,VR24&gt;0),2000,0)-IF(AND($L24=1,'計算A'!AU$117=1,ET24=0),2000,0))),1000000))</f>
        <v/>
      </c>
      <c r="PX24">
        <f>IF($B24=0,1000000,IF(INDEX('計算A'!$D$60:$EQ$104,$B24,45)*ET24=1,IF(AND($E24=2,KI24=0),1000000,IF($I24&gt;0,IF(2=$J24,IF(OR(AND(45=$I24+1,OR($K24&lt;&gt;'計算A'!$A$3,'計算A'!$A$4=0)),AND(45=$I24-1,OR(21&lt;&gt;'計算A'!$A$3,'計算A'!$A$4=0))),0,IF(21=$K24,200000,ABS(21-$K24)*100)),100000+ABS(2-$J24)*1000+210)+'計算A'!AV$5*50+IF(AND($E24=1,KI24=0),25,0),IF($F24&gt;0,INDEX('計算A'!AV$110:AV$114,$F24+1)+IF(AND($E24=1,KI24=0),1000,0),MIN(TV24,20)*400+(IF('計算A'!AU$106=1,1-ES24,0)+IF('計算A'!AV$106=1,1-EU24,0))*150+212+'計算A'!AV$5*100000+IF(AND($E24=1,KI24=0),50000,0))+IF($H24=1,(IF('計算A'!AU$117=1,INDEX('計算A'!AU$10:AU$54,$B24),0)+IF('計算A'!AV$117=1,INDEX('計算A'!AW$10:AW$54,$B24),0))*4000,0)-IF(AND('計算A'!AU$117=1,VS24&gt;0),2000,0)-IF(AND($L24=1,'計算A'!AV$117=1,EU24=0),2000,0))),1000000))</f>
        <v/>
      </c>
      <c r="PY24">
        <f>IF($B24=0,1000000,IF(INDEX('計算A'!$D$60:$EQ$104,$B24,46)*EU24=1,IF(AND($E24=2,KJ24=0),1000000,IF($I24&gt;0,IF(2=$J24,IF(OR(AND(46=$I24+1,OR($K24&lt;&gt;'計算A'!$A$3,'計算A'!$A$4=0)),AND(46=$I24-1,OR(22&lt;&gt;'計算A'!$A$3,'計算A'!$A$4=0))),0,IF(22=$K24,200000,ABS(22-$K24)*100)),100000+ABS(2-$J24)*1000+220)+'計算A'!AW$5*50+IF(AND($E24=1,KJ24=0),25,0),IF($F24&gt;0,INDEX('計算A'!AW$110:AW$114,$F24+1)+IF(AND($E24=1,KJ24=0),1000,0),MIN(TV24,20)*400+(IF('計算A'!AV$106=1,1-ET24,0)+IF('計算A'!AW$106=1,1-EV24,0))*150+222+'計算A'!AW$5*100000+IF(AND($E24=1,KJ24=0),50000,0))+IF($H24=1,(IF('計算A'!AV$117=1,INDEX('計算A'!AV$10:AV$54,$B24),0)+IF('計算A'!AW$117=1,INDEX('計算A'!AX$10:AX$54,$B24),0))*4000,0)-IF(AND('計算A'!AV$117=1,VT24&gt;0),2000,0)-IF(AND($L24=1,'計算A'!AW$117=1,EV24=0),2000,0))),1000000))</f>
        <v/>
      </c>
      <c r="PZ24">
        <f>IF($B24=0,1000000,IF(INDEX('計算A'!$D$60:$EQ$104,$B24,47)*EV24=1,IF(AND($E24=2,KK24=0),1000000,IF($I24&gt;0,IF(2=$J24,IF(OR(AND(47=$I24+1,OR($K24&lt;&gt;'計算A'!$A$3,'計算A'!$A$4=0)),AND(47=$I24-1,OR(23&lt;&gt;'計算A'!$A$3,'計算A'!$A$4=0))),0,IF(23=$K24,200000,ABS(23-$K24)*100)),100000+ABS(2-$J24)*1000+230)+'計算A'!AX$5*50+IF(AND($E24=1,KK24=0),25,0),IF($F24&gt;0,INDEX('計算A'!AX$110:AX$114,$F24+1)+IF(AND($E24=1,KK24=0),1000,0),MIN(TV24,20)*400+(IF('計算A'!AW$106=1,1-EU24,0)+IF('計算A'!AX$106=1,1-EW24,0))*150+232+'計算A'!AX$5*100000+IF(AND($E24=1,KK24=0),50000,0))+IF($H24=1,(IF('計算A'!AW$117=1,INDEX('計算A'!AW$10:AW$54,$B24),0)+IF('計算A'!AX$117=1,INDEX('計算A'!AY$10:AY$54,$B24),0))*4000,0)-IF(AND('計算A'!AW$117=1,VU24&gt;0),2000,0)-IF(AND($L24=1,'計算A'!AX$117=1,EW24=0),2000,0))),1000000))</f>
        <v/>
      </c>
      <c r="QA24">
        <f>IF($B24=0,1000000,IF(INDEX('計算A'!$D$60:$EQ$104,$B24,48)*EW24=1,IF(AND($E24=2,KL24=0),1000000,IF($I24&gt;0,IF(2=$J24,IF(OR(AND(48=$I24+1,OR($K24&lt;&gt;'計算A'!$A$3,'計算A'!$A$4=0)),AND(48=$I24-1,OR(24&lt;&gt;'計算A'!$A$3,'計算A'!$A$4=0))),0,IF(24=$K24,200000,ABS(24-$K24)*100)),100000+ABS(2-$J24)*1000+240)+'計算A'!AY$5*50+IF(AND($E24=1,KL24=0),25,0),IF($F24&gt;0,INDEX('計算A'!AY$110:AY$114,$F24+1)+IF(AND($E24=1,KL24=0),1000,0),MIN(TV24,20)*400+(IF('計算A'!AX$106=1,1-EV24,0))*150+242+'計算A'!AY$5*100000+IF(AND($E24=1,KL24=0),50000,0))+IF($H24=1,(IF('計算A'!AX$117=1,INDEX('計算A'!AX$10:AX$54,$B24),0))*4000,0)-IF(AND('計算A'!AX$117=1,VV24&gt;0),2000,0))),1000000))</f>
        <v/>
      </c>
      <c r="QB24">
        <f>IF($B24=0,1000000,IF(INDEX('計算A'!$D$60:$EQ$104,$B24,49)*EX24=1,IF(AND($E24=2,KM24=0),1000000,IF($I24&gt;0,IF(3=$J24,IF(OR(AND(49=$I24+1,OR($K24&lt;&gt;'計算A'!$A$3,'計算A'!$A$4=0)),AND(49=$I24-1,OR(1&lt;&gt;'計算A'!$A$3,'計算A'!$A$4=0))),0,IF(1=$K24,200000,ABS(1-$K24)*100)),100000+ABS(3-$J24)*1000+10)+'計算A'!AZ$5*50+IF(AND($E24=1,KM24=0),25,0),IF($F24&gt;0,INDEX('計算A'!AZ$110:AZ$114,$F24+1)+IF(AND($E24=1,KM24=0),1000,0),MIN(TW24,20)*400+(IF('計算A'!AZ$106=1,1-EY24,0))*150+13+'計算A'!AZ$5*100000+IF(AND($E24=1,KM24=0),50000,0))+IF($H24=1,(IF('計算A'!AZ$117=1,INDEX('計算A'!BA$10:BA$54,$B24),0))*4000,0)-IF(AND($L24=1,'計算A'!AZ$117=1,EY24=0),2000,0))),1000000))</f>
        <v/>
      </c>
      <c r="QC24">
        <f>IF($B24=0,1000000,IF(INDEX('計算A'!$D$60:$EQ$104,$B24,50)*EY24=1,IF(AND($E24=2,KN24=0),1000000,IF($I24&gt;0,IF(3=$J24,IF(OR(AND(50=$I24+1,OR($K24&lt;&gt;'計算A'!$A$3,'計算A'!$A$4=0)),AND(50=$I24-1,OR(2&lt;&gt;'計算A'!$A$3,'計算A'!$A$4=0))),0,IF(2=$K24,200000,ABS(2-$K24)*100)),100000+ABS(3-$J24)*1000+20)+'計算A'!BA$5*50+IF(AND($E24=1,KN24=0),25,0),IF($F24&gt;0,INDEX('計算A'!BA$110:BA$114,$F24+1)+IF(AND($E24=1,KN24=0),1000,0),MIN(TW24,20)*400+(IF('計算A'!AZ$106=1,1-EX24,0)+IF('計算A'!BA$106=1,1-EZ24,0))*150+23+'計算A'!BA$5*100000+IF(AND($E24=1,KN24=0),50000,0))+IF($H24=1,(IF('計算A'!AZ$117=1,INDEX('計算A'!AZ$10:AZ$54,$B24),0)+IF('計算A'!BA$117=1,INDEX('計算A'!BB$10:BB$54,$B24),0))*4000,0)-IF(AND('計算A'!AZ$117=1,VX24&gt;0),2000,0)-IF(AND($L24=1,'計算A'!BA$117=1,EZ24=0),2000,0))),1000000))</f>
        <v/>
      </c>
      <c r="QD24">
        <f>IF($B24=0,1000000,IF(INDEX('計算A'!$D$60:$EQ$104,$B24,51)*EZ24=1,IF(AND($E24=2,KO24=0),1000000,IF($I24&gt;0,IF(3=$J24,IF(OR(AND(51=$I24+1,OR($K24&lt;&gt;'計算A'!$A$3,'計算A'!$A$4=0)),AND(51=$I24-1,OR(3&lt;&gt;'計算A'!$A$3,'計算A'!$A$4=0))),0,IF(3=$K24,200000,ABS(3-$K24)*100)),100000+ABS(3-$J24)*1000+30)+'計算A'!BB$5*50+IF(AND($E24=1,KO24=0),25,0),IF($F24&gt;0,INDEX('計算A'!BB$110:BB$114,$F24+1)+IF(AND($E24=1,KO24=0),1000,0),MIN(TW24,20)*400+(IF('計算A'!BA$106=1,1-EY24,0)+IF('計算A'!BB$106=1,1-FA24,0))*150+33+'計算A'!BB$5*100000+IF(AND($E24=1,KO24=0),50000,0))+IF($H24=1,(IF('計算A'!BA$117=1,INDEX('計算A'!BA$10:BA$54,$B24),0)+IF('計算A'!BB$117=1,INDEX('計算A'!BC$10:BC$54,$B24),0))*4000,0)-IF(AND('計算A'!BA$117=1,VY24&gt;0),2000,0)-IF(AND($L24=1,'計算A'!BB$117=1,FA24=0),2000,0))),1000000))</f>
        <v/>
      </c>
      <c r="QE24">
        <f>IF($B24=0,1000000,IF(INDEX('計算A'!$D$60:$EQ$104,$B24,52)*FA24=1,IF(AND($E24=2,KP24=0),1000000,IF($I24&gt;0,IF(3=$J24,IF(OR(AND(52=$I24+1,OR($K24&lt;&gt;'計算A'!$A$3,'計算A'!$A$4=0)),AND(52=$I24-1,OR(4&lt;&gt;'計算A'!$A$3,'計算A'!$A$4=0))),0,IF(4=$K24,200000,ABS(4-$K24)*100)),100000+ABS(3-$J24)*1000+40)+'計算A'!BC$5*50+IF(AND($E24=1,KP24=0),25,0),IF($F24&gt;0,INDEX('計算A'!BC$110:BC$114,$F24+1)+IF(AND($E24=1,KP24=0),1000,0),MIN(TW24,20)*400+(IF('計算A'!BB$106=1,1-EZ24,0)+IF('計算A'!BC$106=1,1-FB24,0))*150+43+'計算A'!BC$5*100000+IF(AND($E24=1,KP24=0),50000,0))+IF($H24=1,(IF('計算A'!BB$117=1,INDEX('計算A'!BB$10:BB$54,$B24),0)+IF('計算A'!BC$117=1,INDEX('計算A'!BD$10:BD$54,$B24),0))*4000,0)-IF(AND('計算A'!BB$117=1,VZ24&gt;0),2000,0)-IF(AND($L24=1,'計算A'!BC$117=1,FB24=0),2000,0))),1000000))</f>
        <v/>
      </c>
      <c r="QF24">
        <f>IF($B24=0,1000000,IF(INDEX('計算A'!$D$60:$EQ$104,$B24,53)*FB24=1,IF(AND($E24=2,KQ24=0),1000000,IF($I24&gt;0,IF(3=$J24,IF(OR(AND(53=$I24+1,OR($K24&lt;&gt;'計算A'!$A$3,'計算A'!$A$4=0)),AND(53=$I24-1,OR(5&lt;&gt;'計算A'!$A$3,'計算A'!$A$4=0))),0,IF(5=$K24,200000,ABS(5-$K24)*100)),100000+ABS(3-$J24)*1000+50)+'計算A'!BD$5*50+IF(AND($E24=1,KQ24=0),25,0),IF($F24&gt;0,INDEX('計算A'!BD$110:BD$114,$F24+1)+IF(AND($E24=1,KQ24=0),1000,0),MIN(TW24,20)*400+(IF('計算A'!BC$106=1,1-FA24,0)+IF('計算A'!BD$106=1,1-FC24,0))*150+53+'計算A'!BD$5*100000+IF(AND($E24=1,KQ24=0),50000,0))+IF($H24=1,(IF('計算A'!BC$117=1,INDEX('計算A'!BC$10:BC$54,$B24),0)+IF('計算A'!BD$117=1,INDEX('計算A'!BE$10:BE$54,$B24),0))*4000,0)-IF(AND('計算A'!BC$117=1,WA24&gt;0),2000,0)-IF(AND($L24=1,'計算A'!BD$117=1,FC24=0),2000,0))),1000000))</f>
        <v/>
      </c>
      <c r="QG24">
        <f>IF($B24=0,1000000,IF(INDEX('計算A'!$D$60:$EQ$104,$B24,54)*FC24=1,IF(AND($E24=2,KR24=0),1000000,IF($I24&gt;0,IF(3=$J24,IF(OR(AND(54=$I24+1,OR($K24&lt;&gt;'計算A'!$A$3,'計算A'!$A$4=0)),AND(54=$I24-1,OR(6&lt;&gt;'計算A'!$A$3,'計算A'!$A$4=0))),0,IF(6=$K24,200000,ABS(6-$K24)*100)),100000+ABS(3-$J24)*1000+60)+'計算A'!BE$5*50+IF(AND($E24=1,KR24=0),25,0),IF($F24&gt;0,INDEX('計算A'!BE$110:BE$114,$F24+1)+IF(AND($E24=1,KR24=0),1000,0),MIN(TW24,20)*400+(IF('計算A'!BD$106=1,1-FB24,0)+IF('計算A'!BE$106=1,1-FD24,0))*150+63+'計算A'!BE$5*100000+IF(AND($E24=1,KR24=0),50000,0))+IF($H24=1,(IF('計算A'!BD$117=1,INDEX('計算A'!BD$10:BD$54,$B24),0)+IF('計算A'!BE$117=1,INDEX('計算A'!BF$10:BF$54,$B24),0))*4000,0)-IF(AND('計算A'!BD$117=1,WB24&gt;0),2000,0)-IF(AND($L24=1,'計算A'!BE$117=1,FD24=0),2000,0))),1000000))</f>
        <v/>
      </c>
      <c r="QH24">
        <f>IF($B24=0,1000000,IF(INDEX('計算A'!$D$60:$EQ$104,$B24,55)*FD24=1,IF(AND($E24=2,KS24=0),1000000,IF($I24&gt;0,IF(3=$J24,IF(OR(AND(55=$I24+1,OR($K24&lt;&gt;'計算A'!$A$3,'計算A'!$A$4=0)),AND(55=$I24-1,OR(7&lt;&gt;'計算A'!$A$3,'計算A'!$A$4=0))),0,IF(7=$K24,200000,ABS(7-$K24)*100)),100000+ABS(3-$J24)*1000+70)+'計算A'!BF$5*50+IF(AND($E24=1,KS24=0),25,0),IF($F24&gt;0,INDEX('計算A'!BF$110:BF$114,$F24+1)+IF(AND($E24=1,KS24=0),1000,0),MIN(TW24,20)*400+(IF('計算A'!BE$106=1,1-FC24,0)+IF('計算A'!BF$106=1,1-FE24,0))*150+73+'計算A'!BF$5*100000+IF(AND($E24=1,KS24=0),50000,0))+IF($H24=1,(IF('計算A'!BE$117=1,INDEX('計算A'!BE$10:BE$54,$B24),0)+IF('計算A'!BF$117=1,INDEX('計算A'!BG$10:BG$54,$B24),0))*4000,0)-IF(AND('計算A'!BE$117=1,WC24&gt;0),2000,0)-IF(AND($L24=1,'計算A'!BF$117=1,FE24=0),2000,0))),1000000))</f>
        <v/>
      </c>
      <c r="QI24">
        <f>IF($B24=0,1000000,IF(INDEX('計算A'!$D$60:$EQ$104,$B24,56)*FE24=1,IF(AND($E24=2,KT24=0),1000000,IF($I24&gt;0,IF(3=$J24,IF(OR(AND(56=$I24+1,OR($K24&lt;&gt;'計算A'!$A$3,'計算A'!$A$4=0)),AND(56=$I24-1,OR(8&lt;&gt;'計算A'!$A$3,'計算A'!$A$4=0))),0,IF(8=$K24,200000,ABS(8-$K24)*100)),100000+ABS(3-$J24)*1000+80)+'計算A'!BG$5*50+IF(AND($E24=1,KT24=0),25,0),IF($F24&gt;0,INDEX('計算A'!BG$110:BG$114,$F24+1)+IF(AND($E24=1,KT24=0),1000,0),MIN(TW24,20)*400+(IF('計算A'!BF$106=1,1-FD24,0)+IF('計算A'!BG$106=1,1-FF24,0))*150+83+'計算A'!BG$5*100000+IF(AND($E24=1,KT24=0),50000,0))+IF($H24=1,(IF('計算A'!BF$117=1,INDEX('計算A'!BF$10:BF$54,$B24),0)+IF('計算A'!BG$117=1,INDEX('計算A'!BH$10:BH$54,$B24),0))*4000,0)-IF(AND('計算A'!BF$117=1,WD24&gt;0),2000,0)-IF(AND($L24=1,'計算A'!BG$117=1,FF24=0),2000,0))),1000000))</f>
        <v/>
      </c>
      <c r="QJ24">
        <f>IF($B24=0,1000000,IF(INDEX('計算A'!$D$60:$EQ$104,$B24,57)*FF24=1,IF(AND($E24=2,KU24=0),1000000,IF($I24&gt;0,IF(3=$J24,IF(OR(AND(57=$I24+1,OR($K24&lt;&gt;'計算A'!$A$3,'計算A'!$A$4=0)),AND(57=$I24-1,OR(9&lt;&gt;'計算A'!$A$3,'計算A'!$A$4=0))),0,IF(9=$K24,200000,ABS(9-$K24)*100)),100000+ABS(3-$J24)*1000+90)+'計算A'!BH$5*50+IF(AND($E24=1,KU24=0),25,0),IF($F24&gt;0,INDEX('計算A'!BH$110:BH$114,$F24+1)+IF(AND($E24=1,KU24=0),1000,0),MIN(TW24,20)*400+(IF('計算A'!BG$106=1,1-FE24,0)+IF('計算A'!BH$106=1,1-FG24,0))*150+93+'計算A'!BH$5*100000+IF(AND($E24=1,KU24=0),50000,0))+IF($H24=1,(IF('計算A'!BG$117=1,INDEX('計算A'!BG$10:BG$54,$B24),0)+IF('計算A'!BH$117=1,INDEX('計算A'!BI$10:BI$54,$B24),0))*4000,0)-IF(AND('計算A'!BG$117=1,WE24&gt;0),2000,0)-IF(AND($L24=1,'計算A'!BH$117=1,FG24=0),2000,0))),1000000))</f>
        <v/>
      </c>
      <c r="QK24">
        <f>IF($B24=0,1000000,IF(INDEX('計算A'!$D$60:$EQ$104,$B24,58)*FG24=1,IF(AND($E24=2,KV24=0),1000000,IF($I24&gt;0,IF(3=$J24,IF(OR(AND(58=$I24+1,OR($K24&lt;&gt;'計算A'!$A$3,'計算A'!$A$4=0)),AND(58=$I24-1,OR(10&lt;&gt;'計算A'!$A$3,'計算A'!$A$4=0))),0,IF(10=$K24,200000,ABS(10-$K24)*100)),100000+ABS(3-$J24)*1000+100)+'計算A'!BI$5*50+IF(AND($E24=1,KV24=0),25,0),IF($F24&gt;0,INDEX('計算A'!BI$110:BI$114,$F24+1)+IF(AND($E24=1,KV24=0),1000,0),MIN(TW24,20)*400+(IF('計算A'!BH$106=1,1-FF24,0)+IF('計算A'!BI$106=1,1-FH24,0))*150+103+'計算A'!BI$5*100000+IF(AND($E24=1,KV24=0),50000,0))+IF($H24=1,(IF('計算A'!BH$117=1,INDEX('計算A'!BH$10:BH$54,$B24),0)+IF('計算A'!BI$117=1,INDEX('計算A'!BJ$10:BJ$54,$B24),0))*4000,0)-IF(AND('計算A'!BH$117=1,WF24&gt;0),2000,0)-IF(AND($L24=1,'計算A'!BI$117=1,FH24=0),2000,0))),1000000))</f>
        <v/>
      </c>
      <c r="QL24">
        <f>IF($B24=0,1000000,IF(INDEX('計算A'!$D$60:$EQ$104,$B24,59)*FH24=1,IF(AND($E24=2,KW24=0),1000000,IF($I24&gt;0,IF(3=$J24,IF(OR(AND(59=$I24+1,OR($K24&lt;&gt;'計算A'!$A$3,'計算A'!$A$4=0)),AND(59=$I24-1,OR(11&lt;&gt;'計算A'!$A$3,'計算A'!$A$4=0))),0,IF(11=$K24,200000,ABS(11-$K24)*100)),100000+ABS(3-$J24)*1000+110)+'計算A'!BJ$5*50+IF(AND($E24=1,KW24=0),25,0),IF($F24&gt;0,INDEX('計算A'!BJ$110:BJ$114,$F24+1)+IF(AND($E24=1,KW24=0),1000,0),MIN(TW24,20)*400+(IF('計算A'!BI$106=1,1-FG24,0)+IF('計算A'!BJ$106=1,1-FI24,0))*150+113+'計算A'!BJ$5*100000+IF(AND($E24=1,KW24=0),50000,0))+IF($H24=1,(IF('計算A'!BI$117=1,INDEX('計算A'!BI$10:BI$54,$B24),0)+IF('計算A'!BJ$117=1,INDEX('計算A'!BK$10:BK$54,$B24),0))*4000,0)-IF(AND('計算A'!BI$117=1,WG24&gt;0),2000,0)-IF(AND($L24=1,'計算A'!BJ$117=1,FI24=0),2000,0))),1000000))</f>
        <v/>
      </c>
      <c r="QM24">
        <f>IF($B24=0,1000000,IF(INDEX('計算A'!$D$60:$EQ$104,$B24,60)*FI24=1,IF(AND($E24=2,KX24=0),1000000,IF($I24&gt;0,IF(3=$J24,IF(OR(AND(60=$I24+1,OR($K24&lt;&gt;'計算A'!$A$3,'計算A'!$A$4=0)),AND(60=$I24-1,OR(12&lt;&gt;'計算A'!$A$3,'計算A'!$A$4=0))),0,IF(12=$K24,200000,ABS(12-$K24)*100)),100000+ABS(3-$J24)*1000+120)+'計算A'!BK$5*50+IF(AND($E24=1,KX24=0),25,0),IF($F24&gt;0,INDEX('計算A'!BK$110:BK$114,$F24+1)+IF(AND($E24=1,KX24=0),1000,0),MIN(TW24,20)*400+(IF('計算A'!BJ$106=1,1-FH24,0)+IF('計算A'!BK$106=1,1-FJ24,0))*150+123+'計算A'!BK$5*100000+IF(AND($E24=1,KX24=0),50000,0))+IF($H24=1,(IF('計算A'!BJ$117=1,INDEX('計算A'!BJ$10:BJ$54,$B24),0)+IF('計算A'!BK$117=1,INDEX('計算A'!BL$10:BL$54,$B24),0))*4000,0)-IF(AND('計算A'!BJ$117=1,WH24&gt;0),2000,0)-IF(AND($L24=1,'計算A'!BK$117=1,FJ24=0),2000,0))),1000000))</f>
        <v/>
      </c>
      <c r="QN24">
        <f>IF($B24=0,1000000,IF(INDEX('計算A'!$D$60:$EQ$104,$B24,61)*FJ24=1,IF(AND($E24=2,KY24=0),1000000,IF($I24&gt;0,IF(3=$J24,IF(OR(AND(61=$I24+1,OR($K24&lt;&gt;'計算A'!$A$3,'計算A'!$A$4=0)),AND(61=$I24-1,OR(13&lt;&gt;'計算A'!$A$3,'計算A'!$A$4=0))),0,IF(13=$K24,200000,ABS(13-$K24)*100)),100000+ABS(3-$J24)*1000+130)+'計算A'!BL$5*50+IF(AND($E24=1,KY24=0),25,0),IF($F24&gt;0,INDEX('計算A'!BL$110:BL$114,$F24+1)+IF(AND($E24=1,KY24=0),1000,0),MIN(TW24,20)*400+(IF('計算A'!BK$106=1,1-FI24,0)+IF('計算A'!BL$106=1,1-FK24,0))*150+133+'計算A'!BL$5*100000+IF(AND($E24=1,KY24=0),50000,0))+IF($H24=1,(IF('計算A'!BK$117=1,INDEX('計算A'!BK$10:BK$54,$B24),0)+IF('計算A'!BL$117=1,INDEX('計算A'!BM$10:BM$54,$B24),0))*4000,0)-IF(AND('計算A'!BK$117=1,WI24&gt;0),2000,0)-IF(AND($L24=1,'計算A'!BL$117=1,FK24=0),2000,0))),1000000))</f>
        <v/>
      </c>
      <c r="QO24">
        <f>IF($B24=0,1000000,IF(INDEX('計算A'!$D$60:$EQ$104,$B24,62)*FK24=1,IF(AND($E24=2,KZ24=0),1000000,IF($I24&gt;0,IF(3=$J24,IF(OR(AND(62=$I24+1,OR($K24&lt;&gt;'計算A'!$A$3,'計算A'!$A$4=0)),AND(62=$I24-1,OR(14&lt;&gt;'計算A'!$A$3,'計算A'!$A$4=0))),0,IF(14=$K24,200000,ABS(14-$K24)*100)),100000+ABS(3-$J24)*1000+140)+'計算A'!BM$5*50+IF(AND($E24=1,KZ24=0),25,0),IF($F24&gt;0,INDEX('計算A'!BM$110:BM$114,$F24+1)+IF(AND($E24=1,KZ24=0),1000,0),MIN(TW24,20)*400+(IF('計算A'!BL$106=1,1-FJ24,0)+IF('計算A'!BM$106=1,1-FL24,0))*150+143+'計算A'!BM$5*100000+IF(AND($E24=1,KZ24=0),50000,0))+IF($H24=1,(IF('計算A'!BL$117=1,INDEX('計算A'!BL$10:BL$54,$B24),0)+IF('計算A'!BM$117=1,INDEX('計算A'!BN$10:BN$54,$B24),0))*4000,0)-IF(AND('計算A'!BL$117=1,WJ24&gt;0),2000,0)-IF(AND($L24=1,'計算A'!BM$117=1,FL24=0),2000,0))),1000000))</f>
        <v/>
      </c>
      <c r="QP24">
        <f>IF($B24=0,1000000,IF(INDEX('計算A'!$D$60:$EQ$104,$B24,63)*FL24=1,IF(AND($E24=2,LA24=0),1000000,IF($I24&gt;0,IF(3=$J24,IF(OR(AND(63=$I24+1,OR($K24&lt;&gt;'計算A'!$A$3,'計算A'!$A$4=0)),AND(63=$I24-1,OR(15&lt;&gt;'計算A'!$A$3,'計算A'!$A$4=0))),0,IF(15=$K24,200000,ABS(15-$K24)*100)),100000+ABS(3-$J24)*1000+150)+'計算A'!BN$5*50+IF(AND($E24=1,LA24=0),25,0),IF($F24&gt;0,INDEX('計算A'!BN$110:BN$114,$F24+1)+IF(AND($E24=1,LA24=0),1000,0),MIN(TW24,20)*400+(IF('計算A'!BM$106=1,1-FK24,0)+IF('計算A'!BN$106=1,1-FM24,0))*150+153+'計算A'!BN$5*100000+IF(AND($E24=1,LA24=0),50000,0))+IF($H24=1,(IF('計算A'!BM$117=1,INDEX('計算A'!BM$10:BM$54,$B24),0)+IF('計算A'!BN$117=1,INDEX('計算A'!BO$10:BO$54,$B24),0))*4000,0)-IF(AND('計算A'!BM$117=1,WK24&gt;0),2000,0)-IF(AND($L24=1,'計算A'!BN$117=1,FM24=0),2000,0))),1000000))</f>
        <v/>
      </c>
      <c r="QQ24">
        <f>IF($B24=0,1000000,IF(INDEX('計算A'!$D$60:$EQ$104,$B24,64)*FM24=1,IF(AND($E24=2,LB24=0),1000000,IF($I24&gt;0,IF(3=$J24,IF(OR(AND(64=$I24+1,OR($K24&lt;&gt;'計算A'!$A$3,'計算A'!$A$4=0)),AND(64=$I24-1,OR(16&lt;&gt;'計算A'!$A$3,'計算A'!$A$4=0))),0,IF(16=$K24,200000,ABS(16-$K24)*100)),100000+ABS(3-$J24)*1000+160)+'計算A'!BO$5*50+IF(AND($E24=1,LB24=0),25,0),IF($F24&gt;0,INDEX('計算A'!BO$110:BO$114,$F24+1)+IF(AND($E24=1,LB24=0),1000,0),MIN(TW24,20)*400+(IF('計算A'!BN$106=1,1-FL24,0)+IF('計算A'!BO$106=1,1-FN24,0))*150+163+'計算A'!BO$5*100000+IF(AND($E24=1,LB24=0),50000,0))+IF($H24=1,(IF('計算A'!BN$117=1,INDEX('計算A'!BN$10:BN$54,$B24),0)+IF('計算A'!BO$117=1,INDEX('計算A'!BP$10:BP$54,$B24),0))*4000,0)-IF(AND('計算A'!BN$117=1,WL24&gt;0),2000,0)-IF(AND($L24=1,'計算A'!BO$117=1,FN24=0),2000,0))),1000000))</f>
        <v/>
      </c>
      <c r="QR24">
        <f>IF($B24=0,1000000,IF(INDEX('計算A'!$D$60:$EQ$104,$B24,65)*FN24=1,IF(AND($E24=2,LC24=0),1000000,IF($I24&gt;0,IF(3=$J24,IF(OR(AND(65=$I24+1,OR($K24&lt;&gt;'計算A'!$A$3,'計算A'!$A$4=0)),AND(65=$I24-1,OR(17&lt;&gt;'計算A'!$A$3,'計算A'!$A$4=0))),0,IF(17=$K24,200000,ABS(17-$K24)*100)),100000+ABS(3-$J24)*1000+170)+'計算A'!BP$5*50+IF(AND($E24=1,LC24=0),25,0),IF($F24&gt;0,INDEX('計算A'!BP$110:BP$114,$F24+1)+IF(AND($E24=1,LC24=0),1000,0),MIN(TW24,20)*400+(IF('計算A'!BO$106=1,1-FM24,0)+IF('計算A'!BP$106=1,1-FO24,0))*150+173+'計算A'!BP$5*100000+IF(AND($E24=1,LC24=0),50000,0))+IF($H24=1,(IF('計算A'!BO$117=1,INDEX('計算A'!BO$10:BO$54,$B24),0)+IF('計算A'!BP$117=1,INDEX('計算A'!BQ$10:BQ$54,$B24),0))*4000,0)-IF(AND('計算A'!BO$117=1,WM24&gt;0),2000,0)-IF(AND($L24=1,'計算A'!BP$117=1,FO24=0),2000,0))),1000000))</f>
        <v/>
      </c>
      <c r="QS24">
        <f>IF($B24=0,1000000,IF(INDEX('計算A'!$D$60:$EQ$104,$B24,66)*FO24=1,IF(AND($E24=2,LD24=0),1000000,IF($I24&gt;0,IF(3=$J24,IF(OR(AND(66=$I24+1,OR($K24&lt;&gt;'計算A'!$A$3,'計算A'!$A$4=0)),AND(66=$I24-1,OR(18&lt;&gt;'計算A'!$A$3,'計算A'!$A$4=0))),0,IF(18=$K24,200000,ABS(18-$K24)*100)),100000+ABS(3-$J24)*1000+180)+'計算A'!BQ$5*50+IF(AND($E24=1,LD24=0),25,0),IF($F24&gt;0,INDEX('計算A'!BQ$110:BQ$114,$F24+1)+IF(AND($E24=1,LD24=0),1000,0),MIN(TW24,20)*400+(IF('計算A'!BP$106=1,1-FN24,0)+IF('計算A'!BQ$106=1,1-FP24,0))*150+183+'計算A'!BQ$5*100000+IF(AND($E24=1,LD24=0),50000,0))+IF($H24=1,(IF('計算A'!BP$117=1,INDEX('計算A'!BP$10:BP$54,$B24),0)+IF('計算A'!BQ$117=1,INDEX('計算A'!BR$10:BR$54,$B24),0))*4000,0)-IF(AND('計算A'!BP$117=1,WN24&gt;0),2000,0)-IF(AND($L24=1,'計算A'!BQ$117=1,FP24=0),2000,0))),1000000))</f>
        <v/>
      </c>
      <c r="QT24">
        <f>IF($B24=0,1000000,IF(INDEX('計算A'!$D$60:$EQ$104,$B24,67)*FP24=1,IF(AND($E24=2,LE24=0),1000000,IF($I24&gt;0,IF(3=$J24,IF(OR(AND(67=$I24+1,OR($K24&lt;&gt;'計算A'!$A$3,'計算A'!$A$4=0)),AND(67=$I24-1,OR(19&lt;&gt;'計算A'!$A$3,'計算A'!$A$4=0))),0,IF(19=$K24,200000,ABS(19-$K24)*100)),100000+ABS(3-$J24)*1000+190)+'計算A'!BR$5*50+IF(AND($E24=1,LE24=0),25,0),IF($F24&gt;0,INDEX('計算A'!BR$110:BR$114,$F24+1)+IF(AND($E24=1,LE24=0),1000,0),MIN(TW24,20)*400+(IF('計算A'!BQ$106=1,1-FO24,0)+IF('計算A'!BR$106=1,1-FQ24,0))*150+193+'計算A'!BR$5*100000+IF(AND($E24=1,LE24=0),50000,0))+IF($H24=1,(IF('計算A'!BQ$117=1,INDEX('計算A'!BQ$10:BQ$54,$B24),0)+IF('計算A'!BR$117=1,INDEX('計算A'!BS$10:BS$54,$B24),0))*4000,0)-IF(AND('計算A'!BQ$117=1,WO24&gt;0),2000,0)-IF(AND($L24=1,'計算A'!BR$117=1,FQ24=0),2000,0))),1000000))</f>
        <v/>
      </c>
      <c r="QU24">
        <f>IF($B24=0,1000000,IF(INDEX('計算A'!$D$60:$EQ$104,$B24,68)*FQ24=1,IF(AND($E24=2,LF24=0),1000000,IF($I24&gt;0,IF(3=$J24,IF(OR(AND(68=$I24+1,OR($K24&lt;&gt;'計算A'!$A$3,'計算A'!$A$4=0)),AND(68=$I24-1,OR(20&lt;&gt;'計算A'!$A$3,'計算A'!$A$4=0))),0,IF(20=$K24,200000,ABS(20-$K24)*100)),100000+ABS(3-$J24)*1000+200)+'計算A'!BS$5*50+IF(AND($E24=1,LF24=0),25,0),IF($F24&gt;0,INDEX('計算A'!BS$110:BS$114,$F24+1)+IF(AND($E24=1,LF24=0),1000,0),MIN(TW24,20)*400+(IF('計算A'!BR$106=1,1-FP24,0)+IF('計算A'!BS$106=1,1-FR24,0))*150+203+'計算A'!BS$5*100000+IF(AND($E24=1,LF24=0),50000,0))+IF($H24=1,(IF('計算A'!BR$117=1,INDEX('計算A'!BR$10:BR$54,$B24),0)+IF('計算A'!BS$117=1,INDEX('計算A'!BT$10:BT$54,$B24),0))*4000,0)-IF(AND('計算A'!BR$117=1,WP24&gt;0),2000,0)-IF(AND($L24=1,'計算A'!BS$117=1,FR24=0),2000,0))),1000000))</f>
        <v/>
      </c>
      <c r="QV24">
        <f>IF($B24=0,1000000,IF(INDEX('計算A'!$D$60:$EQ$104,$B24,69)*FR24=1,IF(AND($E24=2,LG24=0),1000000,IF($I24&gt;0,IF(3=$J24,IF(OR(AND(69=$I24+1,OR($K24&lt;&gt;'計算A'!$A$3,'計算A'!$A$4=0)),AND(69=$I24-1,OR(21&lt;&gt;'計算A'!$A$3,'計算A'!$A$4=0))),0,IF(21=$K24,200000,ABS(21-$K24)*100)),100000+ABS(3-$J24)*1000+210)+'計算A'!BT$5*50+IF(AND($E24=1,LG24=0),25,0),IF($F24&gt;0,INDEX('計算A'!BT$110:BT$114,$F24+1)+IF(AND($E24=1,LG24=0),1000,0),MIN(TW24,20)*400+(IF('計算A'!BS$106=1,1-FQ24,0)+IF('計算A'!BT$106=1,1-FS24,0))*150+213+'計算A'!BT$5*100000+IF(AND($E24=1,LG24=0),50000,0))+IF($H24=1,(IF('計算A'!BS$117=1,INDEX('計算A'!BS$10:BS$54,$B24),0)+IF('計算A'!BT$117=1,INDEX('計算A'!BU$10:BU$54,$B24),0))*4000,0)-IF(AND('計算A'!BS$117=1,WQ24&gt;0),2000,0)-IF(AND($L24=1,'計算A'!BT$117=1,FS24=0),2000,0))),1000000))</f>
        <v/>
      </c>
      <c r="QW24">
        <f>IF($B24=0,1000000,IF(INDEX('計算A'!$D$60:$EQ$104,$B24,70)*FS24=1,IF(AND($E24=2,LH24=0),1000000,IF($I24&gt;0,IF(3=$J24,IF(OR(AND(70=$I24+1,OR($K24&lt;&gt;'計算A'!$A$3,'計算A'!$A$4=0)),AND(70=$I24-1,OR(22&lt;&gt;'計算A'!$A$3,'計算A'!$A$4=0))),0,IF(22=$K24,200000,ABS(22-$K24)*100)),100000+ABS(3-$J24)*1000+220)+'計算A'!BU$5*50+IF(AND($E24=1,LH24=0),25,0),IF($F24&gt;0,INDEX('計算A'!BU$110:BU$114,$F24+1)+IF(AND($E24=1,LH24=0),1000,0),MIN(TW24,20)*400+(IF('計算A'!BT$106=1,1-FR24,0)+IF('計算A'!BU$106=1,1-FT24,0))*150+223+'計算A'!BU$5*100000+IF(AND($E24=1,LH24=0),50000,0))+IF($H24=1,(IF('計算A'!BT$117=1,INDEX('計算A'!BT$10:BT$54,$B24),0)+IF('計算A'!BU$117=1,INDEX('計算A'!BV$10:BV$54,$B24),0))*4000,0)-IF(AND('計算A'!BT$117=1,WR24&gt;0),2000,0)-IF(AND($L24=1,'計算A'!BU$117=1,FT24=0),2000,0))),1000000))</f>
        <v/>
      </c>
      <c r="QX24">
        <f>IF($B24=0,1000000,IF(INDEX('計算A'!$D$60:$EQ$104,$B24,71)*FT24=1,IF(AND($E24=2,LI24=0),1000000,IF($I24&gt;0,IF(3=$J24,IF(OR(AND(71=$I24+1,OR($K24&lt;&gt;'計算A'!$A$3,'計算A'!$A$4=0)),AND(71=$I24-1,OR(23&lt;&gt;'計算A'!$A$3,'計算A'!$A$4=0))),0,IF(23=$K24,200000,ABS(23-$K24)*100)),100000+ABS(3-$J24)*1000+230)+'計算A'!BV$5*50+IF(AND($E24=1,LI24=0),25,0),IF($F24&gt;0,INDEX('計算A'!BV$110:BV$114,$F24+1)+IF(AND($E24=1,LI24=0),1000,0),MIN(TW24,20)*400+(IF('計算A'!BU$106=1,1-FS24,0)+IF('計算A'!BV$106=1,1-FU24,0))*150+233+'計算A'!BV$5*100000+IF(AND($E24=1,LI24=0),50000,0))+IF($H24=1,(IF('計算A'!BU$117=1,INDEX('計算A'!BU$10:BU$54,$B24),0)+IF('計算A'!BV$117=1,INDEX('計算A'!BW$10:BW$54,$B24),0))*4000,0)-IF(AND('計算A'!BU$117=1,WS24&gt;0),2000,0)-IF(AND($L24=1,'計算A'!BV$117=1,FU24=0),2000,0))),1000000))</f>
        <v/>
      </c>
      <c r="QY24">
        <f>IF($B24=0,1000000,IF(INDEX('計算A'!$D$60:$EQ$104,$B24,72)*FU24=1,IF(AND($E24=2,LJ24=0),1000000,IF($I24&gt;0,IF(3=$J24,IF(OR(AND(72=$I24+1,OR($K24&lt;&gt;'計算A'!$A$3,'計算A'!$A$4=0)),AND(72=$I24-1,OR(24&lt;&gt;'計算A'!$A$3,'計算A'!$A$4=0))),0,IF(24=$K24,200000,ABS(24-$K24)*100)),100000+ABS(3-$J24)*1000+240)+'計算A'!BW$5*50+IF(AND($E24=1,LJ24=0),25,0),IF($F24&gt;0,INDEX('計算A'!BW$110:BW$114,$F24+1)+IF(AND($E24=1,LJ24=0),1000,0),MIN(TW24,20)*400+(IF('計算A'!BV$106=1,1-FT24,0))*150+243+'計算A'!BW$5*100000+IF(AND($E24=1,LJ24=0),50000,0))+IF($H24=1,(IF('計算A'!BV$117=1,INDEX('計算A'!BV$10:BV$54,$B24),0))*4000,0)-IF(AND('計算A'!BV$117=1,WT24&gt;0),2000,0))),1000000))</f>
        <v/>
      </c>
      <c r="QZ24">
        <f>IF($B24=0,1000000,IF(INDEX('計算A'!$D$60:$EQ$104,$B24,73)*FV24=1,IF(AND($E24=2,LK24=0),1000000,IF($I24&gt;0,IF(4=$J24,IF(OR(AND(73=$I24+1,OR($K24&lt;&gt;'計算A'!$A$3,'計算A'!$A$4=0)),AND(73=$I24-1,OR(1&lt;&gt;'計算A'!$A$3,'計算A'!$A$4=0))),0,IF(1=$K24,200000,ABS(1-$K24)*100)),100000+ABS(4-$J24)*1000+10)+'計算A'!BX$5*50+IF(AND($E24=1,LK24=0),25,0),IF($F24&gt;0,INDEX('計算A'!BX$110:BX$114,$F24+1)+IF(AND($E24=1,LK24=0),1000,0),MIN(TX24,20)*400+(IF('計算A'!BX$106=1,1-FW24,0))*150+14+'計算A'!BX$5*100000+IF(AND($E24=1,LK24=0),50000,0))+IF($H24=1,(IF('計算A'!BX$117=1,INDEX('計算A'!BY$10:BY$54,$B24),0))*4000,0)-IF(AND($L24=1,'計算A'!BX$117=1,FW24=0),2000,0))),1000000))</f>
        <v/>
      </c>
      <c r="RA24">
        <f>IF($B24=0,1000000,IF(INDEX('計算A'!$D$60:$EQ$104,$B24,74)*FW24=1,IF(AND($E24=2,LL24=0),1000000,IF($I24&gt;0,IF(4=$J24,IF(OR(AND(74=$I24+1,OR($K24&lt;&gt;'計算A'!$A$3,'計算A'!$A$4=0)),AND(74=$I24-1,OR(2&lt;&gt;'計算A'!$A$3,'計算A'!$A$4=0))),0,IF(2=$K24,200000,ABS(2-$K24)*100)),100000+ABS(4-$J24)*1000+20)+'計算A'!BY$5*50+IF(AND($E24=1,LL24=0),25,0),IF($F24&gt;0,INDEX('計算A'!BY$110:BY$114,$F24+1)+IF(AND($E24=1,LL24=0),1000,0),MIN(TX24,20)*400+(IF('計算A'!BX$106=1,1-FV24,0)+IF('計算A'!BY$106=1,1-FX24,0))*150+24+'計算A'!BY$5*100000+IF(AND($E24=1,LL24=0),50000,0))+IF($H24=1,(IF('計算A'!BX$117=1,INDEX('計算A'!BX$10:BX$54,$B24),0)+IF('計算A'!BY$117=1,INDEX('計算A'!BZ$10:BZ$54,$B24),0))*4000,0)-IF(AND('計算A'!BX$117=1,WV24&gt;0),2000,0)-IF(AND($L24=1,'計算A'!BY$117=1,FX24=0),2000,0))),1000000))</f>
        <v/>
      </c>
      <c r="RB24">
        <f>IF($B24=0,1000000,IF(INDEX('計算A'!$D$60:$EQ$104,$B24,75)*FX24=1,IF(AND($E24=2,LM24=0),1000000,IF($I24&gt;0,IF(4=$J24,IF(OR(AND(75=$I24+1,OR($K24&lt;&gt;'計算A'!$A$3,'計算A'!$A$4=0)),AND(75=$I24-1,OR(3&lt;&gt;'計算A'!$A$3,'計算A'!$A$4=0))),0,IF(3=$K24,200000,ABS(3-$K24)*100)),100000+ABS(4-$J24)*1000+30)+'計算A'!BZ$5*50+IF(AND($E24=1,LM24=0),25,0),IF($F24&gt;0,INDEX('計算A'!BZ$110:BZ$114,$F24+1)+IF(AND($E24=1,LM24=0),1000,0),MIN(TX24,20)*400+(IF('計算A'!BY$106=1,1-FW24,0)+IF('計算A'!BZ$106=1,1-FY24,0))*150+34+'計算A'!BZ$5*100000+IF(AND($E24=1,LM24=0),50000,0))+IF($H24=1,(IF('計算A'!BY$117=1,INDEX('計算A'!BY$10:BY$54,$B24),0)+IF('計算A'!BZ$117=1,INDEX('計算A'!CA$10:CA$54,$B24),0))*4000,0)-IF(AND('計算A'!BY$117=1,WW24&gt;0),2000,0)-IF(AND($L24=1,'計算A'!BZ$117=1,FY24=0),2000,0))),1000000))</f>
        <v/>
      </c>
      <c r="RC24">
        <f>IF($B24=0,1000000,IF(INDEX('計算A'!$D$60:$EQ$104,$B24,76)*FY24=1,IF(AND($E24=2,LN24=0),1000000,IF($I24&gt;0,IF(4=$J24,IF(OR(AND(76=$I24+1,OR($K24&lt;&gt;'計算A'!$A$3,'計算A'!$A$4=0)),AND(76=$I24-1,OR(4&lt;&gt;'計算A'!$A$3,'計算A'!$A$4=0))),0,IF(4=$K24,200000,ABS(4-$K24)*100)),100000+ABS(4-$J24)*1000+40)+'計算A'!CA$5*50+IF(AND($E24=1,LN24=0),25,0),IF($F24&gt;0,INDEX('計算A'!CA$110:CA$114,$F24+1)+IF(AND($E24=1,LN24=0),1000,0),MIN(TX24,20)*400+(IF('計算A'!BZ$106=1,1-FX24,0)+IF('計算A'!CA$106=1,1-FZ24,0))*150+44+'計算A'!CA$5*100000+IF(AND($E24=1,LN24=0),50000,0))+IF($H24=1,(IF('計算A'!BZ$117=1,INDEX('計算A'!BZ$10:BZ$54,$B24),0)+IF('計算A'!CA$117=1,INDEX('計算A'!CB$10:CB$54,$B24),0))*4000,0)-IF(AND('計算A'!BZ$117=1,WX24&gt;0),2000,0)-IF(AND($L24=1,'計算A'!CA$117=1,FZ24=0),2000,0))),1000000))</f>
        <v/>
      </c>
      <c r="RD24">
        <f>IF($B24=0,1000000,IF(INDEX('計算A'!$D$60:$EQ$104,$B24,77)*FZ24=1,IF(AND($E24=2,LO24=0),1000000,IF($I24&gt;0,IF(4=$J24,IF(OR(AND(77=$I24+1,OR($K24&lt;&gt;'計算A'!$A$3,'計算A'!$A$4=0)),AND(77=$I24-1,OR(5&lt;&gt;'計算A'!$A$3,'計算A'!$A$4=0))),0,IF(5=$K24,200000,ABS(5-$K24)*100)),100000+ABS(4-$J24)*1000+50)+'計算A'!CB$5*50+IF(AND($E24=1,LO24=0),25,0),IF($F24&gt;0,INDEX('計算A'!CB$110:CB$114,$F24+1)+IF(AND($E24=1,LO24=0),1000,0),MIN(TX24,20)*400+(IF('計算A'!CA$106=1,1-FY24,0)+IF('計算A'!CB$106=1,1-GA24,0))*150+54+'計算A'!CB$5*100000+IF(AND($E24=1,LO24=0),50000,0))+IF($H24=1,(IF('計算A'!CA$117=1,INDEX('計算A'!CA$10:CA$54,$B24),0)+IF('計算A'!CB$117=1,INDEX('計算A'!CC$10:CC$54,$B24),0))*4000,0)-IF(AND('計算A'!CA$117=1,WY24&gt;0),2000,0)-IF(AND($L24=1,'計算A'!CB$117=1,GA24=0),2000,0))),1000000))</f>
        <v/>
      </c>
      <c r="RE24">
        <f>IF($B24=0,1000000,IF(INDEX('計算A'!$D$60:$EQ$104,$B24,78)*GA24=1,IF(AND($E24=2,LP24=0),1000000,IF($I24&gt;0,IF(4=$J24,IF(OR(AND(78=$I24+1,OR($K24&lt;&gt;'計算A'!$A$3,'計算A'!$A$4=0)),AND(78=$I24-1,OR(6&lt;&gt;'計算A'!$A$3,'計算A'!$A$4=0))),0,IF(6=$K24,200000,ABS(6-$K24)*100)),100000+ABS(4-$J24)*1000+60)+'計算A'!CC$5*50+IF(AND($E24=1,LP24=0),25,0),IF($F24&gt;0,INDEX('計算A'!CC$110:CC$114,$F24+1)+IF(AND($E24=1,LP24=0),1000,0),MIN(TX24,20)*400+(IF('計算A'!CB$106=1,1-FZ24,0)+IF('計算A'!CC$106=1,1-GB24,0))*150+64+'計算A'!CC$5*100000+IF(AND($E24=1,LP24=0),50000,0))+IF($H24=1,(IF('計算A'!CB$117=1,INDEX('計算A'!CB$10:CB$54,$B24),0)+IF('計算A'!CC$117=1,INDEX('計算A'!CD$10:CD$54,$B24),0))*4000,0)-IF(AND('計算A'!CB$117=1,WZ24&gt;0),2000,0)-IF(AND($L24=1,'計算A'!CC$117=1,GB24=0),2000,0))),1000000))</f>
        <v/>
      </c>
      <c r="RF24">
        <f>IF($B24=0,1000000,IF(INDEX('計算A'!$D$60:$EQ$104,$B24,79)*GB24=1,IF(AND($E24=2,LQ24=0),1000000,IF($I24&gt;0,IF(4=$J24,IF(OR(AND(79=$I24+1,OR($K24&lt;&gt;'計算A'!$A$3,'計算A'!$A$4=0)),AND(79=$I24-1,OR(7&lt;&gt;'計算A'!$A$3,'計算A'!$A$4=0))),0,IF(7=$K24,200000,ABS(7-$K24)*100)),100000+ABS(4-$J24)*1000+70)+'計算A'!CD$5*50+IF(AND($E24=1,LQ24=0),25,0),IF($F24&gt;0,INDEX('計算A'!CD$110:CD$114,$F24+1)+IF(AND($E24=1,LQ24=0),1000,0),MIN(TX24,20)*400+(IF('計算A'!CC$106=1,1-GA24,0)+IF('計算A'!CD$106=1,1-GC24,0))*150+74+'計算A'!CD$5*100000+IF(AND($E24=1,LQ24=0),50000,0))+IF($H24=1,(IF('計算A'!CC$117=1,INDEX('計算A'!CC$10:CC$54,$B24),0)+IF('計算A'!CD$117=1,INDEX('計算A'!CE$10:CE$54,$B24),0))*4000,0)-IF(AND('計算A'!CC$117=1,XA24&gt;0),2000,0)-IF(AND($L24=1,'計算A'!CD$117=1,GC24=0),2000,0))),1000000))</f>
        <v/>
      </c>
      <c r="RG24">
        <f>IF($B24=0,1000000,IF(INDEX('計算A'!$D$60:$EQ$104,$B24,80)*GC24=1,IF(AND($E24=2,LR24=0),1000000,IF($I24&gt;0,IF(4=$J24,IF(OR(AND(80=$I24+1,OR($K24&lt;&gt;'計算A'!$A$3,'計算A'!$A$4=0)),AND(80=$I24-1,OR(8&lt;&gt;'計算A'!$A$3,'計算A'!$A$4=0))),0,IF(8=$K24,200000,ABS(8-$K24)*100)),100000+ABS(4-$J24)*1000+80)+'計算A'!CE$5*50+IF(AND($E24=1,LR24=0),25,0),IF($F24&gt;0,INDEX('計算A'!CE$110:CE$114,$F24+1)+IF(AND($E24=1,LR24=0),1000,0),MIN(TX24,20)*400+(IF('計算A'!CD$106=1,1-GB24,0)+IF('計算A'!CE$106=1,1-GD24,0))*150+84+'計算A'!CE$5*100000+IF(AND($E24=1,LR24=0),50000,0))+IF($H24=1,(IF('計算A'!CD$117=1,INDEX('計算A'!CD$10:CD$54,$B24),0)+IF('計算A'!CE$117=1,INDEX('計算A'!CF$10:CF$54,$B24),0))*4000,0)-IF(AND('計算A'!CD$117=1,XB24&gt;0),2000,0)-IF(AND($L24=1,'計算A'!CE$117=1,GD24=0),2000,0))),1000000))</f>
        <v/>
      </c>
      <c r="RH24">
        <f>IF($B24=0,1000000,IF(INDEX('計算A'!$D$60:$EQ$104,$B24,81)*GD24=1,IF(AND($E24=2,LS24=0),1000000,IF($I24&gt;0,IF(4=$J24,IF(OR(AND(81=$I24+1,OR($K24&lt;&gt;'計算A'!$A$3,'計算A'!$A$4=0)),AND(81=$I24-1,OR(9&lt;&gt;'計算A'!$A$3,'計算A'!$A$4=0))),0,IF(9=$K24,200000,ABS(9-$K24)*100)),100000+ABS(4-$J24)*1000+90)+'計算A'!CF$5*50+IF(AND($E24=1,LS24=0),25,0),IF($F24&gt;0,INDEX('計算A'!CF$110:CF$114,$F24+1)+IF(AND($E24=1,LS24=0),1000,0),MIN(TX24,20)*400+(IF('計算A'!CE$106=1,1-GC24,0)+IF('計算A'!CF$106=1,1-GE24,0))*150+94+'計算A'!CF$5*100000+IF(AND($E24=1,LS24=0),50000,0))+IF($H24=1,(IF('計算A'!CE$117=1,INDEX('計算A'!CE$10:CE$54,$B24),0)+IF('計算A'!CF$117=1,INDEX('計算A'!CG$10:CG$54,$B24),0))*4000,0)-IF(AND('計算A'!CE$117=1,XC24&gt;0),2000,0)-IF(AND($L24=1,'計算A'!CF$117=1,GE24=0),2000,0))),1000000))</f>
        <v/>
      </c>
      <c r="RI24">
        <f>IF($B24=0,1000000,IF(INDEX('計算A'!$D$60:$EQ$104,$B24,82)*GE24=1,IF(AND($E24=2,LT24=0),1000000,IF($I24&gt;0,IF(4=$J24,IF(OR(AND(82=$I24+1,OR($K24&lt;&gt;'計算A'!$A$3,'計算A'!$A$4=0)),AND(82=$I24-1,OR(10&lt;&gt;'計算A'!$A$3,'計算A'!$A$4=0))),0,IF(10=$K24,200000,ABS(10-$K24)*100)),100000+ABS(4-$J24)*1000+100)+'計算A'!CG$5*50+IF(AND($E24=1,LT24=0),25,0),IF($F24&gt;0,INDEX('計算A'!CG$110:CG$114,$F24+1)+IF(AND($E24=1,LT24=0),1000,0),MIN(TX24,20)*400+(IF('計算A'!CF$106=1,1-GD24,0)+IF('計算A'!CG$106=1,1-GF24,0))*150+104+'計算A'!CG$5*100000+IF(AND($E24=1,LT24=0),50000,0))+IF($H24=1,(IF('計算A'!CF$117=1,INDEX('計算A'!CF$10:CF$54,$B24),0)+IF('計算A'!CG$117=1,INDEX('計算A'!CH$10:CH$54,$B24),0))*4000,0)-IF(AND('計算A'!CF$117=1,XD24&gt;0),2000,0)-IF(AND($L24=1,'計算A'!CG$117=1,GF24=0),2000,0))),1000000))</f>
        <v/>
      </c>
      <c r="RJ24">
        <f>IF($B24=0,1000000,IF(INDEX('計算A'!$D$60:$EQ$104,$B24,83)*GF24=1,IF(AND($E24=2,LU24=0),1000000,IF($I24&gt;0,IF(4=$J24,IF(OR(AND(83=$I24+1,OR($K24&lt;&gt;'計算A'!$A$3,'計算A'!$A$4=0)),AND(83=$I24-1,OR(11&lt;&gt;'計算A'!$A$3,'計算A'!$A$4=0))),0,IF(11=$K24,200000,ABS(11-$K24)*100)),100000+ABS(4-$J24)*1000+110)+'計算A'!CH$5*50+IF(AND($E24=1,LU24=0),25,0),IF($F24&gt;0,INDEX('計算A'!CH$110:CH$114,$F24+1)+IF(AND($E24=1,LU24=0),1000,0),MIN(TX24,20)*400+(IF('計算A'!CG$106=1,1-GE24,0)+IF('計算A'!CH$106=1,1-GG24,0))*150+114+'計算A'!CH$5*100000+IF(AND($E24=1,LU24=0),50000,0))+IF($H24=1,(IF('計算A'!CG$117=1,INDEX('計算A'!CG$10:CG$54,$B24),0)+IF('計算A'!CH$117=1,INDEX('計算A'!CI$10:CI$54,$B24),0))*4000,0)-IF(AND('計算A'!CG$117=1,XE24&gt;0),2000,0)-IF(AND($L24=1,'計算A'!CH$117=1,GG24=0),2000,0))),1000000))</f>
        <v/>
      </c>
      <c r="RK24">
        <f>IF($B24=0,1000000,IF(INDEX('計算A'!$D$60:$EQ$104,$B24,84)*GG24=1,IF(AND($E24=2,LV24=0),1000000,IF($I24&gt;0,IF(4=$J24,IF(OR(AND(84=$I24+1,OR($K24&lt;&gt;'計算A'!$A$3,'計算A'!$A$4=0)),AND(84=$I24-1,OR(12&lt;&gt;'計算A'!$A$3,'計算A'!$A$4=0))),0,IF(12=$K24,200000,ABS(12-$K24)*100)),100000+ABS(4-$J24)*1000+120)+'計算A'!CI$5*50+IF(AND($E24=1,LV24=0),25,0),IF($F24&gt;0,INDEX('計算A'!CI$110:CI$114,$F24+1)+IF(AND($E24=1,LV24=0),1000,0),MIN(TX24,20)*400+(IF('計算A'!CH$106=1,1-GF24,0)+IF('計算A'!CI$106=1,1-GH24,0))*150+124+'計算A'!CI$5*100000+IF(AND($E24=1,LV24=0),50000,0))+IF($H24=1,(IF('計算A'!CH$117=1,INDEX('計算A'!CH$10:CH$54,$B24),0)+IF('計算A'!CI$117=1,INDEX('計算A'!CJ$10:CJ$54,$B24),0))*4000,0)-IF(AND('計算A'!CH$117=1,XF24&gt;0),2000,0)-IF(AND($L24=1,'計算A'!CI$117=1,GH24=0),2000,0))),1000000))</f>
        <v/>
      </c>
      <c r="RL24">
        <f>IF($B24=0,1000000,IF(INDEX('計算A'!$D$60:$EQ$104,$B24,85)*GH24=1,IF(AND($E24=2,LW24=0),1000000,IF($I24&gt;0,IF(4=$J24,IF(OR(AND(85=$I24+1,OR($K24&lt;&gt;'計算A'!$A$3,'計算A'!$A$4=0)),AND(85=$I24-1,OR(13&lt;&gt;'計算A'!$A$3,'計算A'!$A$4=0))),0,IF(13=$K24,200000,ABS(13-$K24)*100)),100000+ABS(4-$J24)*1000+130)+'計算A'!CJ$5*50+IF(AND($E24=1,LW24=0),25,0),IF($F24&gt;0,INDEX('計算A'!CJ$110:CJ$114,$F24+1)+IF(AND($E24=1,LW24=0),1000,0),MIN(TX24,20)*400+(IF('計算A'!CI$106=1,1-GG24,0)+IF('計算A'!CJ$106=1,1-GI24,0))*150+134+'計算A'!CJ$5*100000+IF(AND($E24=1,LW24=0),50000,0))+IF($H24=1,(IF('計算A'!CI$117=1,INDEX('計算A'!CI$10:CI$54,$B24),0)+IF('計算A'!CJ$117=1,INDEX('計算A'!CK$10:CK$54,$B24),0))*4000,0)-IF(AND('計算A'!CI$117=1,XG24&gt;0),2000,0)-IF(AND($L24=1,'計算A'!CJ$117=1,GI24=0),2000,0))),1000000))</f>
        <v/>
      </c>
      <c r="RM24">
        <f>IF($B24=0,1000000,IF(INDEX('計算A'!$D$60:$EQ$104,$B24,86)*GI24=1,IF(AND($E24=2,LX24=0),1000000,IF($I24&gt;0,IF(4=$J24,IF(OR(AND(86=$I24+1,OR($K24&lt;&gt;'計算A'!$A$3,'計算A'!$A$4=0)),AND(86=$I24-1,OR(14&lt;&gt;'計算A'!$A$3,'計算A'!$A$4=0))),0,IF(14=$K24,200000,ABS(14-$K24)*100)),100000+ABS(4-$J24)*1000+140)+'計算A'!CK$5*50+IF(AND($E24=1,LX24=0),25,0),IF($F24&gt;0,INDEX('計算A'!CK$110:CK$114,$F24+1)+IF(AND($E24=1,LX24=0),1000,0),MIN(TX24,20)*400+(IF('計算A'!CJ$106=1,1-GH24,0)+IF('計算A'!CK$106=1,1-GJ24,0))*150+144+'計算A'!CK$5*100000+IF(AND($E24=1,LX24=0),50000,0))+IF($H24=1,(IF('計算A'!CJ$117=1,INDEX('計算A'!CJ$10:CJ$54,$B24),0)+IF('計算A'!CK$117=1,INDEX('計算A'!CL$10:CL$54,$B24),0))*4000,0)-IF(AND('計算A'!CJ$117=1,XH24&gt;0),2000,0)-IF(AND($L24=1,'計算A'!CK$117=1,GJ24=0),2000,0))),1000000))</f>
        <v/>
      </c>
      <c r="RN24">
        <f>IF($B24=0,1000000,IF(INDEX('計算A'!$D$60:$EQ$104,$B24,87)*GJ24=1,IF(AND($E24=2,LY24=0),1000000,IF($I24&gt;0,IF(4=$J24,IF(OR(AND(87=$I24+1,OR($K24&lt;&gt;'計算A'!$A$3,'計算A'!$A$4=0)),AND(87=$I24-1,OR(15&lt;&gt;'計算A'!$A$3,'計算A'!$A$4=0))),0,IF(15=$K24,200000,ABS(15-$K24)*100)),100000+ABS(4-$J24)*1000+150)+'計算A'!CL$5*50+IF(AND($E24=1,LY24=0),25,0),IF($F24&gt;0,INDEX('計算A'!CL$110:CL$114,$F24+1)+IF(AND($E24=1,LY24=0),1000,0),MIN(TX24,20)*400+(IF('計算A'!CK$106=1,1-GI24,0)+IF('計算A'!CL$106=1,1-GK24,0))*150+154+'計算A'!CL$5*100000+IF(AND($E24=1,LY24=0),50000,0))+IF($H24=1,(IF('計算A'!CK$117=1,INDEX('計算A'!CK$10:CK$54,$B24),0)+IF('計算A'!CL$117=1,INDEX('計算A'!CM$10:CM$54,$B24),0))*4000,0)-IF(AND('計算A'!CK$117=1,XI24&gt;0),2000,0)-IF(AND($L24=1,'計算A'!CL$117=1,GK24=0),2000,0))),1000000))</f>
        <v/>
      </c>
      <c r="RO24">
        <f>IF($B24=0,1000000,IF(INDEX('計算A'!$D$60:$EQ$104,$B24,88)*GK24=1,IF(AND($E24=2,LZ24=0),1000000,IF($I24&gt;0,IF(4=$J24,IF(OR(AND(88=$I24+1,OR($K24&lt;&gt;'計算A'!$A$3,'計算A'!$A$4=0)),AND(88=$I24-1,OR(16&lt;&gt;'計算A'!$A$3,'計算A'!$A$4=0))),0,IF(16=$K24,200000,ABS(16-$K24)*100)),100000+ABS(4-$J24)*1000+160)+'計算A'!CM$5*50+IF(AND($E24=1,LZ24=0),25,0),IF($F24&gt;0,INDEX('計算A'!CM$110:CM$114,$F24+1)+IF(AND($E24=1,LZ24=0),1000,0),MIN(TX24,20)*400+(IF('計算A'!CL$106=1,1-GJ24,0)+IF('計算A'!CM$106=1,1-GL24,0))*150+164+'計算A'!CM$5*100000+IF(AND($E24=1,LZ24=0),50000,0))+IF($H24=1,(IF('計算A'!CL$117=1,INDEX('計算A'!CL$10:CL$54,$B24),0)+IF('計算A'!CM$117=1,INDEX('計算A'!CN$10:CN$54,$B24),0))*4000,0)-IF(AND('計算A'!CL$117=1,XJ24&gt;0),2000,0)-IF(AND($L24=1,'計算A'!CM$117=1,GL24=0),2000,0))),1000000))</f>
        <v/>
      </c>
      <c r="RP24">
        <f>IF($B24=0,1000000,IF(INDEX('計算A'!$D$60:$EQ$104,$B24,89)*GL24=1,IF(AND($E24=2,MA24=0),1000000,IF($I24&gt;0,IF(4=$J24,IF(OR(AND(89=$I24+1,OR($K24&lt;&gt;'計算A'!$A$3,'計算A'!$A$4=0)),AND(89=$I24-1,OR(17&lt;&gt;'計算A'!$A$3,'計算A'!$A$4=0))),0,IF(17=$K24,200000,ABS(17-$K24)*100)),100000+ABS(4-$J24)*1000+170)+'計算A'!CN$5*50+IF(AND($E24=1,MA24=0),25,0),IF($F24&gt;0,INDEX('計算A'!CN$110:CN$114,$F24+1)+IF(AND($E24=1,MA24=0),1000,0),MIN(TX24,20)*400+(IF('計算A'!CM$106=1,1-GK24,0)+IF('計算A'!CN$106=1,1-GM24,0))*150+174+'計算A'!CN$5*100000+IF(AND($E24=1,MA24=0),50000,0))+IF($H24=1,(IF('計算A'!CM$117=1,INDEX('計算A'!CM$10:CM$54,$B24),0)+IF('計算A'!CN$117=1,INDEX('計算A'!CO$10:CO$54,$B24),0))*4000,0)-IF(AND('計算A'!CM$117=1,XK24&gt;0),2000,0)-IF(AND($L24=1,'計算A'!CN$117=1,GM24=0),2000,0))),1000000))</f>
        <v/>
      </c>
      <c r="RQ24">
        <f>IF($B24=0,1000000,IF(INDEX('計算A'!$D$60:$EQ$104,$B24,90)*GM24=1,IF(AND($E24=2,MB24=0),1000000,IF($I24&gt;0,IF(4=$J24,IF(OR(AND(90=$I24+1,OR($K24&lt;&gt;'計算A'!$A$3,'計算A'!$A$4=0)),AND(90=$I24-1,OR(18&lt;&gt;'計算A'!$A$3,'計算A'!$A$4=0))),0,IF(18=$K24,200000,ABS(18-$K24)*100)),100000+ABS(4-$J24)*1000+180)+'計算A'!CO$5*50+IF(AND($E24=1,MB24=0),25,0),IF($F24&gt;0,INDEX('計算A'!CO$110:CO$114,$F24+1)+IF(AND($E24=1,MB24=0),1000,0),MIN(TX24,20)*400+(IF('計算A'!CN$106=1,1-GL24,0)+IF('計算A'!CO$106=1,1-GN24,0))*150+184+'計算A'!CO$5*100000+IF(AND($E24=1,MB24=0),50000,0))+IF($H24=1,(IF('計算A'!CN$117=1,INDEX('計算A'!CN$10:CN$54,$B24),0)+IF('計算A'!CO$117=1,INDEX('計算A'!CP$10:CP$54,$B24),0))*4000,0)-IF(AND('計算A'!CN$117=1,XL24&gt;0),2000,0)-IF(AND($L24=1,'計算A'!CO$117=1,GN24=0),2000,0))),1000000))</f>
        <v/>
      </c>
      <c r="RR24">
        <f>IF($B24=0,1000000,IF(INDEX('計算A'!$D$60:$EQ$104,$B24,91)*GN24=1,IF(AND($E24=2,MC24=0),1000000,IF($I24&gt;0,IF(4=$J24,IF(OR(AND(91=$I24+1,OR($K24&lt;&gt;'計算A'!$A$3,'計算A'!$A$4=0)),AND(91=$I24-1,OR(19&lt;&gt;'計算A'!$A$3,'計算A'!$A$4=0))),0,IF(19=$K24,200000,ABS(19-$K24)*100)),100000+ABS(4-$J24)*1000+190)+'計算A'!CP$5*50+IF(AND($E24=1,MC24=0),25,0),IF($F24&gt;0,INDEX('計算A'!CP$110:CP$114,$F24+1)+IF(AND($E24=1,MC24=0),1000,0),MIN(TX24,20)*400+(IF('計算A'!CO$106=1,1-GM24,0)+IF('計算A'!CP$106=1,1-GO24,0))*150+194+'計算A'!CP$5*100000+IF(AND($E24=1,MC24=0),50000,0))+IF($H24=1,(IF('計算A'!CO$117=1,INDEX('計算A'!CO$10:CO$54,$B24),0)+IF('計算A'!CP$117=1,INDEX('計算A'!CQ$10:CQ$54,$B24),0))*4000,0)-IF(AND('計算A'!CO$117=1,XM24&gt;0),2000,0)-IF(AND($L24=1,'計算A'!CP$117=1,GO24=0),2000,0))),1000000))</f>
        <v/>
      </c>
      <c r="RS24">
        <f>IF($B24=0,1000000,IF(INDEX('計算A'!$D$60:$EQ$104,$B24,92)*GO24=1,IF(AND($E24=2,MD24=0),1000000,IF($I24&gt;0,IF(4=$J24,IF(OR(AND(92=$I24+1,OR($K24&lt;&gt;'計算A'!$A$3,'計算A'!$A$4=0)),AND(92=$I24-1,OR(20&lt;&gt;'計算A'!$A$3,'計算A'!$A$4=0))),0,IF(20=$K24,200000,ABS(20-$K24)*100)),100000+ABS(4-$J24)*1000+200)+'計算A'!CQ$5*50+IF(AND($E24=1,MD24=0),25,0),IF($F24&gt;0,INDEX('計算A'!CQ$110:CQ$114,$F24+1)+IF(AND($E24=1,MD24=0),1000,0),MIN(TX24,20)*400+(IF('計算A'!CP$106=1,1-GN24,0)+IF('計算A'!CQ$106=1,1-GP24,0))*150+204+'計算A'!CQ$5*100000+IF(AND($E24=1,MD24=0),50000,0))+IF($H24=1,(IF('計算A'!CP$117=1,INDEX('計算A'!CP$10:CP$54,$B24),0)+IF('計算A'!CQ$117=1,INDEX('計算A'!CR$10:CR$54,$B24),0))*4000,0)-IF(AND('計算A'!CP$117=1,XN24&gt;0),2000,0)-IF(AND($L24=1,'計算A'!CQ$117=1,GP24=0),2000,0))),1000000))</f>
        <v/>
      </c>
      <c r="RT24">
        <f>IF($B24=0,1000000,IF(INDEX('計算A'!$D$60:$EQ$104,$B24,93)*GP24=1,IF(AND($E24=2,ME24=0),1000000,IF($I24&gt;0,IF(4=$J24,IF(OR(AND(93=$I24+1,OR($K24&lt;&gt;'計算A'!$A$3,'計算A'!$A$4=0)),AND(93=$I24-1,OR(21&lt;&gt;'計算A'!$A$3,'計算A'!$A$4=0))),0,IF(21=$K24,200000,ABS(21-$K24)*100)),100000+ABS(4-$J24)*1000+210)+'計算A'!CR$5*50+IF(AND($E24=1,ME24=0),25,0),IF($F24&gt;0,INDEX('計算A'!CR$110:CR$114,$F24+1)+IF(AND($E24=1,ME24=0),1000,0),MIN(TX24,20)*400+(IF('計算A'!CQ$106=1,1-GO24,0)+IF('計算A'!CR$106=1,1-GQ24,0))*150+214+'計算A'!CR$5*100000+IF(AND($E24=1,ME24=0),50000,0))+IF($H24=1,(IF('計算A'!CQ$117=1,INDEX('計算A'!CQ$10:CQ$54,$B24),0)+IF('計算A'!CR$117=1,INDEX('計算A'!CS$10:CS$54,$B24),0))*4000,0)-IF(AND('計算A'!CQ$117=1,XO24&gt;0),2000,0)-IF(AND($L24=1,'計算A'!CR$117=1,GQ24=0),2000,0))),1000000))</f>
        <v/>
      </c>
      <c r="RU24">
        <f>IF($B24=0,1000000,IF(INDEX('計算A'!$D$60:$EQ$104,$B24,94)*GQ24=1,IF(AND($E24=2,MF24=0),1000000,IF($I24&gt;0,IF(4=$J24,IF(OR(AND(94=$I24+1,OR($K24&lt;&gt;'計算A'!$A$3,'計算A'!$A$4=0)),AND(94=$I24-1,OR(22&lt;&gt;'計算A'!$A$3,'計算A'!$A$4=0))),0,IF(22=$K24,200000,ABS(22-$K24)*100)),100000+ABS(4-$J24)*1000+220)+'計算A'!CS$5*50+IF(AND($E24=1,MF24=0),25,0),IF($F24&gt;0,INDEX('計算A'!CS$110:CS$114,$F24+1)+IF(AND($E24=1,MF24=0),1000,0),MIN(TX24,20)*400+(IF('計算A'!CR$106=1,1-GP24,0)+IF('計算A'!CS$106=1,1-GR24,0))*150+224+'計算A'!CS$5*100000+IF(AND($E24=1,MF24=0),50000,0))+IF($H24=1,(IF('計算A'!CR$117=1,INDEX('計算A'!CR$10:CR$54,$B24),0)+IF('計算A'!CS$117=1,INDEX('計算A'!CT$10:CT$54,$B24),0))*4000,0)-IF(AND('計算A'!CR$117=1,XP24&gt;0),2000,0)-IF(AND($L24=1,'計算A'!CS$117=1,GR24=0),2000,0))),1000000))</f>
        <v/>
      </c>
      <c r="RV24">
        <f>IF($B24=0,1000000,IF(INDEX('計算A'!$D$60:$EQ$104,$B24,95)*GR24=1,IF(AND($E24=2,MG24=0),1000000,IF($I24&gt;0,IF(4=$J24,IF(OR(AND(95=$I24+1,OR($K24&lt;&gt;'計算A'!$A$3,'計算A'!$A$4=0)),AND(95=$I24-1,OR(23&lt;&gt;'計算A'!$A$3,'計算A'!$A$4=0))),0,IF(23=$K24,200000,ABS(23-$K24)*100)),100000+ABS(4-$J24)*1000+230)+'計算A'!CT$5*50+IF(AND($E24=1,MG24=0),25,0),IF($F24&gt;0,INDEX('計算A'!CT$110:CT$114,$F24+1)+IF(AND($E24=1,MG24=0),1000,0),MIN(TX24,20)*400+(IF('計算A'!CS$106=1,1-GQ24,0)+IF('計算A'!CT$106=1,1-GS24,0))*150+234+'計算A'!CT$5*100000+IF(AND($E24=1,MG24=0),50000,0))+IF($H24=1,(IF('計算A'!CS$117=1,INDEX('計算A'!CS$10:CS$54,$B24),0)+IF('計算A'!CT$117=1,INDEX('計算A'!CU$10:CU$54,$B24),0))*4000,0)-IF(AND('計算A'!CS$117=1,XQ24&gt;0),2000,0)-IF(AND($L24=1,'計算A'!CT$117=1,GS24=0),2000,0))),1000000))</f>
        <v/>
      </c>
      <c r="RW24">
        <f>IF($B24=0,1000000,IF(INDEX('計算A'!$D$60:$EQ$104,$B24,96)*GS24=1,IF(AND($E24=2,MH24=0),1000000,IF($I24&gt;0,IF(4=$J24,IF(OR(AND(96=$I24+1,OR($K24&lt;&gt;'計算A'!$A$3,'計算A'!$A$4=0)),AND(96=$I24-1,OR(24&lt;&gt;'計算A'!$A$3,'計算A'!$A$4=0))),0,IF(24=$K24,200000,ABS(24-$K24)*100)),100000+ABS(4-$J24)*1000+240)+'計算A'!CU$5*50+IF(AND($E24=1,MH24=0),25,0),IF($F24&gt;0,INDEX('計算A'!CU$110:CU$114,$F24+1)+IF(AND($E24=1,MH24=0),1000,0),MIN(TX24,20)*400+(IF('計算A'!CT$106=1,1-GR24,0))*150+244+'計算A'!CU$5*100000+IF(AND($E24=1,MH24=0),50000,0))+IF($H24=1,(IF('計算A'!CT$117=1,INDEX('計算A'!CT$10:CT$54,$B24),0))*4000,0)-IF(AND('計算A'!CT$117=1,XR24&gt;0),2000,0))),1000000))</f>
        <v/>
      </c>
      <c r="RX24">
        <f>IF($B24=0,1000000,IF(INDEX('計算A'!$D$60:$EQ$104,$B24,97)*GT24=1,IF(AND($E24=2,MI24=0),1000000,IF($I24&gt;0,IF(5=$J24,IF(OR(AND(97=$I24+1,OR($K24&lt;&gt;'計算A'!$A$3,'計算A'!$A$4=0)),AND(97=$I24-1,OR(1&lt;&gt;'計算A'!$A$3,'計算A'!$A$4=0))),0,IF(1=$K24,200000,ABS(1-$K24)*100)),100000+ABS(5-$J24)*1000+10)+'計算A'!CV$5*50+IF(AND($E24=1,MI24=0),25,0),IF($F24&gt;0,INDEX('計算A'!CV$110:CV$114,$F24+1)+IF(AND($E24=1,MI24=0),1000,0),MIN(TY24,20)*400+(IF('計算A'!CV$106=1,1-GU24,0))*150+15+'計算A'!CV$5*100000+IF(AND($E24=1,MI24=0),50000,0))+IF($H24=1,(IF('計算A'!CV$117=1,INDEX('計算A'!CW$10:CW$54,$B24),0))*4000,0)-IF(AND($L24=1,'計算A'!CV$117=1,GU24=0),2000,0))),1000000))</f>
        <v/>
      </c>
      <c r="RY24">
        <f>IF($B24=0,1000000,IF(INDEX('計算A'!$D$60:$EQ$104,$B24,98)*GU24=1,IF(AND($E24=2,MJ24=0),1000000,IF($I24&gt;0,IF(5=$J24,IF(OR(AND(98=$I24+1,OR($K24&lt;&gt;'計算A'!$A$3,'計算A'!$A$4=0)),AND(98=$I24-1,OR(2&lt;&gt;'計算A'!$A$3,'計算A'!$A$4=0))),0,IF(2=$K24,200000,ABS(2-$K24)*100)),100000+ABS(5-$J24)*1000+20)+'計算A'!CW$5*50+IF(AND($E24=1,MJ24=0),25,0),IF($F24&gt;0,INDEX('計算A'!CW$110:CW$114,$F24+1)+IF(AND($E24=1,MJ24=0),1000,0),MIN(TY24,20)*400+(IF('計算A'!CV$106=1,1-GT24,0)+IF('計算A'!CW$106=1,1-GV24,0))*150+25+'計算A'!CW$5*100000+IF(AND($E24=1,MJ24=0),50000,0))+IF($H24=1,(IF('計算A'!CV$117=1,INDEX('計算A'!CV$10:CV$54,$B24),0)+IF('計算A'!CW$117=1,INDEX('計算A'!CX$10:CX$54,$B24),0))*4000,0)-IF(AND('計算A'!CV$117=1,XT24&gt;0),2000,0)-IF(AND($L24=1,'計算A'!CW$117=1,GV24=0),2000,0))),1000000))</f>
        <v/>
      </c>
      <c r="RZ24">
        <f>IF($B24=0,1000000,IF(INDEX('計算A'!$D$60:$EQ$104,$B24,99)*GV24=1,IF(AND($E24=2,MK24=0),1000000,IF($I24&gt;0,IF(5=$J24,IF(OR(AND(99=$I24+1,OR($K24&lt;&gt;'計算A'!$A$3,'計算A'!$A$4=0)),AND(99=$I24-1,OR(3&lt;&gt;'計算A'!$A$3,'計算A'!$A$4=0))),0,IF(3=$K24,200000,ABS(3-$K24)*100)),100000+ABS(5-$J24)*1000+30)+'計算A'!CX$5*50+IF(AND($E24=1,MK24=0),25,0),IF($F24&gt;0,INDEX('計算A'!CX$110:CX$114,$F24+1)+IF(AND($E24=1,MK24=0),1000,0),MIN(TY24,20)*400+(IF('計算A'!CW$106=1,1-GU24,0)+IF('計算A'!CX$106=1,1-GW24,0))*150+35+'計算A'!CX$5*100000+IF(AND($E24=1,MK24=0),50000,0))+IF($H24=1,(IF('計算A'!CW$117=1,INDEX('計算A'!CW$10:CW$54,$B24),0)+IF('計算A'!CX$117=1,INDEX('計算A'!CY$10:CY$54,$B24),0))*4000,0)-IF(AND('計算A'!CW$117=1,XU24&gt;0),2000,0)-IF(AND($L24=1,'計算A'!CX$117=1,GW24=0),2000,0))),1000000))</f>
        <v/>
      </c>
      <c r="SA24">
        <f>IF($B24=0,1000000,IF(INDEX('計算A'!$D$60:$EQ$104,$B24,100)*GW24=1,IF(AND($E24=2,ML24=0),1000000,IF($I24&gt;0,IF(5=$J24,IF(OR(AND(100=$I24+1,OR($K24&lt;&gt;'計算A'!$A$3,'計算A'!$A$4=0)),AND(100=$I24-1,OR(4&lt;&gt;'計算A'!$A$3,'計算A'!$A$4=0))),0,IF(4=$K24,200000,ABS(4-$K24)*100)),100000+ABS(5-$J24)*1000+40)+'計算A'!CY$5*50+IF(AND($E24=1,ML24=0),25,0),IF($F24&gt;0,INDEX('計算A'!CY$110:CY$114,$F24+1)+IF(AND($E24=1,ML24=0),1000,0),MIN(TY24,20)*400+(IF('計算A'!CX$106=1,1-GV24,0)+IF('計算A'!CY$106=1,1-GX24,0))*150+45+'計算A'!CY$5*100000+IF(AND($E24=1,ML24=0),50000,0))+IF($H24=1,(IF('計算A'!CX$117=1,INDEX('計算A'!CX$10:CX$54,$B24),0)+IF('計算A'!CY$117=1,INDEX('計算A'!CZ$10:CZ$54,$B24),0))*4000,0)-IF(AND('計算A'!CX$117=1,XV24&gt;0),2000,0)-IF(AND($L24=1,'計算A'!CY$117=1,GX24=0),2000,0))),1000000))</f>
        <v/>
      </c>
      <c r="SB24">
        <f>IF($B24=0,1000000,IF(INDEX('計算A'!$D$60:$EQ$104,$B24,101)*GX24=1,IF(AND($E24=2,MM24=0),1000000,IF($I24&gt;0,IF(5=$J24,IF(OR(AND(101=$I24+1,OR($K24&lt;&gt;'計算A'!$A$3,'計算A'!$A$4=0)),AND(101=$I24-1,OR(5&lt;&gt;'計算A'!$A$3,'計算A'!$A$4=0))),0,IF(5=$K24,200000,ABS(5-$K24)*100)),100000+ABS(5-$J24)*1000+50)+'計算A'!CZ$5*50+IF(AND($E24=1,MM24=0),25,0),IF($F24&gt;0,INDEX('計算A'!CZ$110:CZ$114,$F24+1)+IF(AND($E24=1,MM24=0),1000,0),MIN(TY24,20)*400+(IF('計算A'!CY$106=1,1-GW24,0)+IF('計算A'!CZ$106=1,1-GY24,0))*150+55+'計算A'!CZ$5*100000+IF(AND($E24=1,MM24=0),50000,0))+IF($H24=1,(IF('計算A'!CY$117=1,INDEX('計算A'!CY$10:CY$54,$B24),0)+IF('計算A'!CZ$117=1,INDEX('計算A'!DA$10:DA$54,$B24),0))*4000,0)-IF(AND('計算A'!CY$117=1,XW24&gt;0),2000,0)-IF(AND($L24=1,'計算A'!CZ$117=1,GY24=0),2000,0))),1000000))</f>
        <v/>
      </c>
      <c r="SC24">
        <f>IF($B24=0,1000000,IF(INDEX('計算A'!$D$60:$EQ$104,$B24,102)*GY24=1,IF(AND($E24=2,MN24=0),1000000,IF($I24&gt;0,IF(5=$J24,IF(OR(AND(102=$I24+1,OR($K24&lt;&gt;'計算A'!$A$3,'計算A'!$A$4=0)),AND(102=$I24-1,OR(6&lt;&gt;'計算A'!$A$3,'計算A'!$A$4=0))),0,IF(6=$K24,200000,ABS(6-$K24)*100)),100000+ABS(5-$J24)*1000+60)+'計算A'!DA$5*50+IF(AND($E24=1,MN24=0),25,0),IF($F24&gt;0,INDEX('計算A'!DA$110:DA$114,$F24+1)+IF(AND($E24=1,MN24=0),1000,0),MIN(TY24,20)*400+(IF('計算A'!CZ$106=1,1-GX24,0)+IF('計算A'!DA$106=1,1-GZ24,0))*150+65+'計算A'!DA$5*100000+IF(AND($E24=1,MN24=0),50000,0))+IF($H24=1,(IF('計算A'!CZ$117=1,INDEX('計算A'!CZ$10:CZ$54,$B24),0)+IF('計算A'!DA$117=1,INDEX('計算A'!DB$10:DB$54,$B24),0))*4000,0)-IF(AND('計算A'!CZ$117=1,XX24&gt;0),2000,0)-IF(AND($L24=1,'計算A'!DA$117=1,GZ24=0),2000,0))),1000000))</f>
        <v/>
      </c>
      <c r="SD24">
        <f>IF($B24=0,1000000,IF(INDEX('計算A'!$D$60:$EQ$104,$B24,103)*GZ24=1,IF(AND($E24=2,MO24=0),1000000,IF($I24&gt;0,IF(5=$J24,IF(OR(AND(103=$I24+1,OR($K24&lt;&gt;'計算A'!$A$3,'計算A'!$A$4=0)),AND(103=$I24-1,OR(7&lt;&gt;'計算A'!$A$3,'計算A'!$A$4=0))),0,IF(7=$K24,200000,ABS(7-$K24)*100)),100000+ABS(5-$J24)*1000+70)+'計算A'!DB$5*50+IF(AND($E24=1,MO24=0),25,0),IF($F24&gt;0,INDEX('計算A'!DB$110:DB$114,$F24+1)+IF(AND($E24=1,MO24=0),1000,0),MIN(TY24,20)*400+(IF('計算A'!DA$106=1,1-GY24,0)+IF('計算A'!DB$106=1,1-HA24,0))*150+75+'計算A'!DB$5*100000+IF(AND($E24=1,MO24=0),50000,0))+IF($H24=1,(IF('計算A'!DA$117=1,INDEX('計算A'!DA$10:DA$54,$B24),0)+IF('計算A'!DB$117=1,INDEX('計算A'!DC$10:DC$54,$B24),0))*4000,0)-IF(AND('計算A'!DA$117=1,XY24&gt;0),2000,0)-IF(AND($L24=1,'計算A'!DB$117=1,HA24=0),2000,0))),1000000))</f>
        <v/>
      </c>
      <c r="SE24">
        <f>IF($B24=0,1000000,IF(INDEX('計算A'!$D$60:$EQ$104,$B24,104)*HA24=1,IF(AND($E24=2,MP24=0),1000000,IF($I24&gt;0,IF(5=$J24,IF(OR(AND(104=$I24+1,OR($K24&lt;&gt;'計算A'!$A$3,'計算A'!$A$4=0)),AND(104=$I24-1,OR(8&lt;&gt;'計算A'!$A$3,'計算A'!$A$4=0))),0,IF(8=$K24,200000,ABS(8-$K24)*100)),100000+ABS(5-$J24)*1000+80)+'計算A'!DC$5*50+IF(AND($E24=1,MP24=0),25,0),IF($F24&gt;0,INDEX('計算A'!DC$110:DC$114,$F24+1)+IF(AND($E24=1,MP24=0),1000,0),MIN(TY24,20)*400+(IF('計算A'!DB$106=1,1-GZ24,0)+IF('計算A'!DC$106=1,1-HB24,0))*150+85+'計算A'!DC$5*100000+IF(AND($E24=1,MP24=0),50000,0))+IF($H24=1,(IF('計算A'!DB$117=1,INDEX('計算A'!DB$10:DB$54,$B24),0)+IF('計算A'!DC$117=1,INDEX('計算A'!DD$10:DD$54,$B24),0))*4000,0)-IF(AND('計算A'!DB$117=1,XZ24&gt;0),2000,0)-IF(AND($L24=1,'計算A'!DC$117=1,HB24=0),2000,0))),1000000))</f>
        <v/>
      </c>
      <c r="SF24">
        <f>IF($B24=0,1000000,IF(INDEX('計算A'!$D$60:$EQ$104,$B24,105)*HB24=1,IF(AND($E24=2,MQ24=0),1000000,IF($I24&gt;0,IF(5=$J24,IF(OR(AND(105=$I24+1,OR($K24&lt;&gt;'計算A'!$A$3,'計算A'!$A$4=0)),AND(105=$I24-1,OR(9&lt;&gt;'計算A'!$A$3,'計算A'!$A$4=0))),0,IF(9=$K24,200000,ABS(9-$K24)*100)),100000+ABS(5-$J24)*1000+90)+'計算A'!DD$5*50+IF(AND($E24=1,MQ24=0),25,0),IF($F24&gt;0,INDEX('計算A'!DD$110:DD$114,$F24+1)+IF(AND($E24=1,MQ24=0),1000,0),MIN(TY24,20)*400+(IF('計算A'!DC$106=1,1-HA24,0)+IF('計算A'!DD$106=1,1-HC24,0))*150+95+'計算A'!DD$5*100000+IF(AND($E24=1,MQ24=0),50000,0))+IF($H24=1,(IF('計算A'!DC$117=1,INDEX('計算A'!DC$10:DC$54,$B24),0)+IF('計算A'!DD$117=1,INDEX('計算A'!DE$10:DE$54,$B24),0))*4000,0)-IF(AND('計算A'!DC$117=1,YA24&gt;0),2000,0)-IF(AND($L24=1,'計算A'!DD$117=1,HC24=0),2000,0))),1000000))</f>
        <v/>
      </c>
      <c r="SG24">
        <f>IF($B24=0,1000000,IF(INDEX('計算A'!$D$60:$EQ$104,$B24,106)*HC24=1,IF(AND($E24=2,MR24=0),1000000,IF($I24&gt;0,IF(5=$J24,IF(OR(AND(106=$I24+1,OR($K24&lt;&gt;'計算A'!$A$3,'計算A'!$A$4=0)),AND(106=$I24-1,OR(10&lt;&gt;'計算A'!$A$3,'計算A'!$A$4=0))),0,IF(10=$K24,200000,ABS(10-$K24)*100)),100000+ABS(5-$J24)*1000+100)+'計算A'!DE$5*50+IF(AND($E24=1,MR24=0),25,0),IF($F24&gt;0,INDEX('計算A'!DE$110:DE$114,$F24+1)+IF(AND($E24=1,MR24=0),1000,0),MIN(TY24,20)*400+(IF('計算A'!DD$106=1,1-HB24,0)+IF('計算A'!DE$106=1,1-HD24,0))*150+105+'計算A'!DE$5*100000+IF(AND($E24=1,MR24=0),50000,0))+IF($H24=1,(IF('計算A'!DD$117=1,INDEX('計算A'!DD$10:DD$54,$B24),0)+IF('計算A'!DE$117=1,INDEX('計算A'!DF$10:DF$54,$B24),0))*4000,0)-IF(AND('計算A'!DD$117=1,YB24&gt;0),2000,0)-IF(AND($L24=1,'計算A'!DE$117=1,HD24=0),2000,0))),1000000))</f>
        <v/>
      </c>
      <c r="SH24">
        <f>IF($B24=0,1000000,IF(INDEX('計算A'!$D$60:$EQ$104,$B24,107)*HD24=1,IF(AND($E24=2,MS24=0),1000000,IF($I24&gt;0,IF(5=$J24,IF(OR(AND(107=$I24+1,OR($K24&lt;&gt;'計算A'!$A$3,'計算A'!$A$4=0)),AND(107=$I24-1,OR(11&lt;&gt;'計算A'!$A$3,'計算A'!$A$4=0))),0,IF(11=$K24,200000,ABS(11-$K24)*100)),100000+ABS(5-$J24)*1000+110)+'計算A'!DF$5*50+IF(AND($E24=1,MS24=0),25,0),IF($F24&gt;0,INDEX('計算A'!DF$110:DF$114,$F24+1)+IF(AND($E24=1,MS24=0),1000,0),MIN(TY24,20)*400+(IF('計算A'!DE$106=1,1-HC24,0)+IF('計算A'!DF$106=1,1-HE24,0))*150+115+'計算A'!DF$5*100000+IF(AND($E24=1,MS24=0),50000,0))+IF($H24=1,(IF('計算A'!DE$117=1,INDEX('計算A'!DE$10:DE$54,$B24),0)+IF('計算A'!DF$117=1,INDEX('計算A'!DG$10:DG$54,$B24),0))*4000,0)-IF(AND('計算A'!DE$117=1,YC24&gt;0),2000,0)-IF(AND($L24=1,'計算A'!DF$117=1,HE24=0),2000,0))),1000000))</f>
        <v/>
      </c>
      <c r="SI24">
        <f>IF($B24=0,1000000,IF(INDEX('計算A'!$D$60:$EQ$104,$B24,108)*HE24=1,IF(AND($E24=2,MT24=0),1000000,IF($I24&gt;0,IF(5=$J24,IF(OR(AND(108=$I24+1,OR($K24&lt;&gt;'計算A'!$A$3,'計算A'!$A$4=0)),AND(108=$I24-1,OR(12&lt;&gt;'計算A'!$A$3,'計算A'!$A$4=0))),0,IF(12=$K24,200000,ABS(12-$K24)*100)),100000+ABS(5-$J24)*1000+120)+'計算A'!DG$5*50+IF(AND($E24=1,MT24=0),25,0),IF($F24&gt;0,INDEX('計算A'!DG$110:DG$114,$F24+1)+IF(AND($E24=1,MT24=0),1000,0),MIN(TY24,20)*400+(IF('計算A'!DF$106=1,1-HD24,0)+IF('計算A'!DG$106=1,1-HF24,0))*150+125+'計算A'!DG$5*100000+IF(AND($E24=1,MT24=0),50000,0))+IF($H24=1,(IF('計算A'!DF$117=1,INDEX('計算A'!DF$10:DF$54,$B24),0)+IF('計算A'!DG$117=1,INDEX('計算A'!DH$10:DH$54,$B24),0))*4000,0)-IF(AND('計算A'!DF$117=1,YD24&gt;0),2000,0)-IF(AND($L24=1,'計算A'!DG$117=1,HF24=0),2000,0))),1000000))</f>
        <v/>
      </c>
      <c r="SJ24">
        <f>IF($B24=0,1000000,IF(INDEX('計算A'!$D$60:$EQ$104,$B24,109)*HF24=1,IF(AND($E24=2,MU24=0),1000000,IF($I24&gt;0,IF(5=$J24,IF(OR(AND(109=$I24+1,OR($K24&lt;&gt;'計算A'!$A$3,'計算A'!$A$4=0)),AND(109=$I24-1,OR(13&lt;&gt;'計算A'!$A$3,'計算A'!$A$4=0))),0,IF(13=$K24,200000,ABS(13-$K24)*100)),100000+ABS(5-$J24)*1000+130)+'計算A'!DH$5*50+IF(AND($E24=1,MU24=0),25,0),IF($F24&gt;0,INDEX('計算A'!DH$110:DH$114,$F24+1)+IF(AND($E24=1,MU24=0),1000,0),MIN(TY24,20)*400+(IF('計算A'!DG$106=1,1-HE24,0)+IF('計算A'!DH$106=1,1-HG24,0))*150+135+'計算A'!DH$5*100000+IF(AND($E24=1,MU24=0),50000,0))+IF($H24=1,(IF('計算A'!DG$117=1,INDEX('計算A'!DG$10:DG$54,$B24),0)+IF('計算A'!DH$117=1,INDEX('計算A'!DI$10:DI$54,$B24),0))*4000,0)-IF(AND('計算A'!DG$117=1,YE24&gt;0),2000,0)-IF(AND($L24=1,'計算A'!DH$117=1,HG24=0),2000,0))),1000000))</f>
        <v/>
      </c>
      <c r="SK24">
        <f>IF($B24=0,1000000,IF(INDEX('計算A'!$D$60:$EQ$104,$B24,110)*HG24=1,IF(AND($E24=2,MV24=0),1000000,IF($I24&gt;0,IF(5=$J24,IF(OR(AND(110=$I24+1,OR($K24&lt;&gt;'計算A'!$A$3,'計算A'!$A$4=0)),AND(110=$I24-1,OR(14&lt;&gt;'計算A'!$A$3,'計算A'!$A$4=0))),0,IF(14=$K24,200000,ABS(14-$K24)*100)),100000+ABS(5-$J24)*1000+140)+'計算A'!DI$5*50+IF(AND($E24=1,MV24=0),25,0),IF($F24&gt;0,INDEX('計算A'!DI$110:DI$114,$F24+1)+IF(AND($E24=1,MV24=0),1000,0),MIN(TY24,20)*400+(IF('計算A'!DH$106=1,1-HF24,0)+IF('計算A'!DI$106=1,1-HH24,0))*150+145+'計算A'!DI$5*100000+IF(AND($E24=1,MV24=0),50000,0))+IF($H24=1,(IF('計算A'!DH$117=1,INDEX('計算A'!DH$10:DH$54,$B24),0)+IF('計算A'!DI$117=1,INDEX('計算A'!DJ$10:DJ$54,$B24),0))*4000,0)-IF(AND('計算A'!DH$117=1,YF24&gt;0),2000,0)-IF(AND($L24=1,'計算A'!DI$117=1,HH24=0),2000,0))),1000000))</f>
        <v/>
      </c>
      <c r="SL24">
        <f>IF($B24=0,1000000,IF(INDEX('計算A'!$D$60:$EQ$104,$B24,111)*HH24=1,IF(AND($E24=2,MW24=0),1000000,IF($I24&gt;0,IF(5=$J24,IF(OR(AND(111=$I24+1,OR($K24&lt;&gt;'計算A'!$A$3,'計算A'!$A$4=0)),AND(111=$I24-1,OR(15&lt;&gt;'計算A'!$A$3,'計算A'!$A$4=0))),0,IF(15=$K24,200000,ABS(15-$K24)*100)),100000+ABS(5-$J24)*1000+150)+'計算A'!DJ$5*50+IF(AND($E24=1,MW24=0),25,0),IF($F24&gt;0,INDEX('計算A'!DJ$110:DJ$114,$F24+1)+IF(AND($E24=1,MW24=0),1000,0),MIN(TY24,20)*400+(IF('計算A'!DI$106=1,1-HG24,0)+IF('計算A'!DJ$106=1,1-HI24,0))*150+155+'計算A'!DJ$5*100000+IF(AND($E24=1,MW24=0),50000,0))+IF($H24=1,(IF('計算A'!DI$117=1,INDEX('計算A'!DI$10:DI$54,$B24),0)+IF('計算A'!DJ$117=1,INDEX('計算A'!DK$10:DK$54,$B24),0))*4000,0)-IF(AND('計算A'!DI$117=1,YG24&gt;0),2000,0)-IF(AND($L24=1,'計算A'!DJ$117=1,HI24=0),2000,0))),1000000))</f>
        <v/>
      </c>
      <c r="SM24">
        <f>IF($B24=0,1000000,IF(INDEX('計算A'!$D$60:$EQ$104,$B24,112)*HI24=1,IF(AND($E24=2,MX24=0),1000000,IF($I24&gt;0,IF(5=$J24,IF(OR(AND(112=$I24+1,OR($K24&lt;&gt;'計算A'!$A$3,'計算A'!$A$4=0)),AND(112=$I24-1,OR(16&lt;&gt;'計算A'!$A$3,'計算A'!$A$4=0))),0,IF(16=$K24,200000,ABS(16-$K24)*100)),100000+ABS(5-$J24)*1000+160)+'計算A'!DK$5*50+IF(AND($E24=1,MX24=0),25,0),IF($F24&gt;0,INDEX('計算A'!DK$110:DK$114,$F24+1)+IF(AND($E24=1,MX24=0),1000,0),MIN(TY24,20)*400+(IF('計算A'!DJ$106=1,1-HH24,0)+IF('計算A'!DK$106=1,1-HJ24,0))*150+165+'計算A'!DK$5*100000+IF(AND($E24=1,MX24=0),50000,0))+IF($H24=1,(IF('計算A'!DJ$117=1,INDEX('計算A'!DJ$10:DJ$54,$B24),0)+IF('計算A'!DK$117=1,INDEX('計算A'!DL$10:DL$54,$B24),0))*4000,0)-IF(AND('計算A'!DJ$117=1,YH24&gt;0),2000,0)-IF(AND($L24=1,'計算A'!DK$117=1,HJ24=0),2000,0))),1000000))</f>
        <v/>
      </c>
      <c r="SN24">
        <f>IF($B24=0,1000000,IF(INDEX('計算A'!$D$60:$EQ$104,$B24,113)*HJ24=1,IF(AND($E24=2,MY24=0),1000000,IF($I24&gt;0,IF(5=$J24,IF(OR(AND(113=$I24+1,OR($K24&lt;&gt;'計算A'!$A$3,'計算A'!$A$4=0)),AND(113=$I24-1,OR(17&lt;&gt;'計算A'!$A$3,'計算A'!$A$4=0))),0,IF(17=$K24,200000,ABS(17-$K24)*100)),100000+ABS(5-$J24)*1000+170)+'計算A'!DL$5*50+IF(AND($E24=1,MY24=0),25,0),IF($F24&gt;0,INDEX('計算A'!DL$110:DL$114,$F24+1)+IF(AND($E24=1,MY24=0),1000,0),MIN(TY24,20)*400+(IF('計算A'!DK$106=1,1-HI24,0)+IF('計算A'!DL$106=1,1-HK24,0))*150+175+'計算A'!DL$5*100000+IF(AND($E24=1,MY24=0),50000,0))+IF($H24=1,(IF('計算A'!DK$117=1,INDEX('計算A'!DK$10:DK$54,$B24),0)+IF('計算A'!DL$117=1,INDEX('計算A'!DM$10:DM$54,$B24),0))*4000,0)-IF(AND('計算A'!DK$117=1,YI24&gt;0),2000,0)-IF(AND($L24=1,'計算A'!DL$117=1,HK24=0),2000,0))),1000000))</f>
        <v/>
      </c>
      <c r="SO24">
        <f>IF($B24=0,1000000,IF(INDEX('計算A'!$D$60:$EQ$104,$B24,114)*HK24=1,IF(AND($E24=2,MZ24=0),1000000,IF($I24&gt;0,IF(5=$J24,IF(OR(AND(114=$I24+1,OR($K24&lt;&gt;'計算A'!$A$3,'計算A'!$A$4=0)),AND(114=$I24-1,OR(18&lt;&gt;'計算A'!$A$3,'計算A'!$A$4=0))),0,IF(18=$K24,200000,ABS(18-$K24)*100)),100000+ABS(5-$J24)*1000+180)+'計算A'!DM$5*50+IF(AND($E24=1,MZ24=0),25,0),IF($F24&gt;0,INDEX('計算A'!DM$110:DM$114,$F24+1)+IF(AND($E24=1,MZ24=0),1000,0),MIN(TY24,20)*400+(IF('計算A'!DL$106=1,1-HJ24,0)+IF('計算A'!DM$106=1,1-HL24,0))*150+185+'計算A'!DM$5*100000+IF(AND($E24=1,MZ24=0),50000,0))+IF($H24=1,(IF('計算A'!DL$117=1,INDEX('計算A'!DL$10:DL$54,$B24),0)+IF('計算A'!DM$117=1,INDEX('計算A'!DN$10:DN$54,$B24),0))*4000,0)-IF(AND('計算A'!DL$117=1,YJ24&gt;0),2000,0)-IF(AND($L24=1,'計算A'!DM$117=1,HL24=0),2000,0))),1000000))</f>
        <v/>
      </c>
      <c r="SP24">
        <f>IF($B24=0,1000000,IF(INDEX('計算A'!$D$60:$EQ$104,$B24,115)*HL24=1,IF(AND($E24=2,NA24=0),1000000,IF($I24&gt;0,IF(5=$J24,IF(OR(AND(115=$I24+1,OR($K24&lt;&gt;'計算A'!$A$3,'計算A'!$A$4=0)),AND(115=$I24-1,OR(19&lt;&gt;'計算A'!$A$3,'計算A'!$A$4=0))),0,IF(19=$K24,200000,ABS(19-$K24)*100)),100000+ABS(5-$J24)*1000+190)+'計算A'!DN$5*50+IF(AND($E24=1,NA24=0),25,0),IF($F24&gt;0,INDEX('計算A'!DN$110:DN$114,$F24+1)+IF(AND($E24=1,NA24=0),1000,0),MIN(TY24,20)*400+(IF('計算A'!DM$106=1,1-HK24,0)+IF('計算A'!DN$106=1,1-HM24,0))*150+195+'計算A'!DN$5*100000+IF(AND($E24=1,NA24=0),50000,0))+IF($H24=1,(IF('計算A'!DM$117=1,INDEX('計算A'!DM$10:DM$54,$B24),0)+IF('計算A'!DN$117=1,INDEX('計算A'!DO$10:DO$54,$B24),0))*4000,0)-IF(AND('計算A'!DM$117=1,YK24&gt;0),2000,0)-IF(AND($L24=1,'計算A'!DN$117=1,HM24=0),2000,0))),1000000))</f>
        <v/>
      </c>
      <c r="SQ24">
        <f>IF($B24=0,1000000,IF(INDEX('計算A'!$D$60:$EQ$104,$B24,116)*HM24=1,IF(AND($E24=2,NB24=0),1000000,IF($I24&gt;0,IF(5=$J24,IF(OR(AND(116=$I24+1,OR($K24&lt;&gt;'計算A'!$A$3,'計算A'!$A$4=0)),AND(116=$I24-1,OR(20&lt;&gt;'計算A'!$A$3,'計算A'!$A$4=0))),0,IF(20=$K24,200000,ABS(20-$K24)*100)),100000+ABS(5-$J24)*1000+200)+'計算A'!DO$5*50+IF(AND($E24=1,NB24=0),25,0),IF($F24&gt;0,INDEX('計算A'!DO$110:DO$114,$F24+1)+IF(AND($E24=1,NB24=0),1000,0),MIN(TY24,20)*400+(IF('計算A'!DN$106=1,1-HL24,0)+IF('計算A'!DO$106=1,1-HN24,0))*150+205+'計算A'!DO$5*100000+IF(AND($E24=1,NB24=0),50000,0))+IF($H24=1,(IF('計算A'!DN$117=1,INDEX('計算A'!DN$10:DN$54,$B24),0)+IF('計算A'!DO$117=1,INDEX('計算A'!DP$10:DP$54,$B24),0))*4000,0)-IF(AND('計算A'!DN$117=1,YL24&gt;0),2000,0)-IF(AND($L24=1,'計算A'!DO$117=1,HN24=0),2000,0))),1000000))</f>
        <v/>
      </c>
      <c r="SR24">
        <f>IF($B24=0,1000000,IF(INDEX('計算A'!$D$60:$EQ$104,$B24,117)*HN24=1,IF(AND($E24=2,NC24=0),1000000,IF($I24&gt;0,IF(5=$J24,IF(OR(AND(117=$I24+1,OR($K24&lt;&gt;'計算A'!$A$3,'計算A'!$A$4=0)),AND(117=$I24-1,OR(21&lt;&gt;'計算A'!$A$3,'計算A'!$A$4=0))),0,IF(21=$K24,200000,ABS(21-$K24)*100)),100000+ABS(5-$J24)*1000+210)+'計算A'!DP$5*50+IF(AND($E24=1,NC24=0),25,0),IF($F24&gt;0,INDEX('計算A'!DP$110:DP$114,$F24+1)+IF(AND($E24=1,NC24=0),1000,0),MIN(TY24,20)*400+(IF('計算A'!DO$106=1,1-HM24,0)+IF('計算A'!DP$106=1,1-HO24,0))*150+215+'計算A'!DP$5*100000+IF(AND($E24=1,NC24=0),50000,0))+IF($H24=1,(IF('計算A'!DO$117=1,INDEX('計算A'!DO$10:DO$54,$B24),0)+IF('計算A'!DP$117=1,INDEX('計算A'!DQ$10:DQ$54,$B24),0))*4000,0)-IF(AND('計算A'!DO$117=1,YM24&gt;0),2000,0)-IF(AND($L24=1,'計算A'!DP$117=1,HO24=0),2000,0))),1000000))</f>
        <v/>
      </c>
      <c r="SS24">
        <f>IF($B24=0,1000000,IF(INDEX('計算A'!$D$60:$EQ$104,$B24,118)*HO24=1,IF(AND($E24=2,ND24=0),1000000,IF($I24&gt;0,IF(5=$J24,IF(OR(AND(118=$I24+1,OR($K24&lt;&gt;'計算A'!$A$3,'計算A'!$A$4=0)),AND(118=$I24-1,OR(22&lt;&gt;'計算A'!$A$3,'計算A'!$A$4=0))),0,IF(22=$K24,200000,ABS(22-$K24)*100)),100000+ABS(5-$J24)*1000+220)+'計算A'!DQ$5*50+IF(AND($E24=1,ND24=0),25,0),IF($F24&gt;0,INDEX('計算A'!DQ$110:DQ$114,$F24+1)+IF(AND($E24=1,ND24=0),1000,0),MIN(TY24,20)*400+(IF('計算A'!DP$106=1,1-HN24,0)+IF('計算A'!DQ$106=1,1-HP24,0))*150+225+'計算A'!DQ$5*100000+IF(AND($E24=1,ND24=0),50000,0))+IF($H24=1,(IF('計算A'!DP$117=1,INDEX('計算A'!DP$10:DP$54,$B24),0)+IF('計算A'!DQ$117=1,INDEX('計算A'!DR$10:DR$54,$B24),0))*4000,0)-IF(AND('計算A'!DP$117=1,YN24&gt;0),2000,0)-IF(AND($L24=1,'計算A'!DQ$117=1,HP24=0),2000,0))),1000000))</f>
        <v/>
      </c>
      <c r="ST24">
        <f>IF($B24=0,1000000,IF(INDEX('計算A'!$D$60:$EQ$104,$B24,119)*HP24=1,IF(AND($E24=2,NE24=0),1000000,IF($I24&gt;0,IF(5=$J24,IF(OR(AND(119=$I24+1,OR($K24&lt;&gt;'計算A'!$A$3,'計算A'!$A$4=0)),AND(119=$I24-1,OR(23&lt;&gt;'計算A'!$A$3,'計算A'!$A$4=0))),0,IF(23=$K24,200000,ABS(23-$K24)*100)),100000+ABS(5-$J24)*1000+230)+'計算A'!DR$5*50+IF(AND($E24=1,NE24=0),25,0),IF($F24&gt;0,INDEX('計算A'!DR$110:DR$114,$F24+1)+IF(AND($E24=1,NE24=0),1000,0),MIN(TY24,20)*400+(IF('計算A'!DQ$106=1,1-HO24,0)+IF('計算A'!DR$106=1,1-HQ24,0))*150+235+'計算A'!DR$5*100000+IF(AND($E24=1,NE24=0),50000,0))+IF($H24=1,(IF('計算A'!DQ$117=1,INDEX('計算A'!DQ$10:DQ$54,$B24),0)+IF('計算A'!DR$117=1,INDEX('計算A'!DS$10:DS$54,$B24),0))*4000,0)-IF(AND('計算A'!DQ$117=1,YO24&gt;0),2000,0)-IF(AND($L24=1,'計算A'!DR$117=1,HQ24=0),2000,0))),1000000))</f>
        <v/>
      </c>
      <c r="SU24">
        <f>IF($B24=0,1000000,IF(INDEX('計算A'!$D$60:$EQ$104,$B24,120)*HQ24=1,IF(AND($E24=2,NF24=0),1000000,IF($I24&gt;0,IF(5=$J24,IF(OR(AND(120=$I24+1,OR($K24&lt;&gt;'計算A'!$A$3,'計算A'!$A$4=0)),AND(120=$I24-1,OR(24&lt;&gt;'計算A'!$A$3,'計算A'!$A$4=0))),0,IF(24=$K24,200000,ABS(24-$K24)*100)),100000+ABS(5-$J24)*1000+240)+'計算A'!DS$5*50+IF(AND($E24=1,NF24=0),25,0),IF($F24&gt;0,INDEX('計算A'!DS$110:DS$114,$F24+1)+IF(AND($E24=1,NF24=0),1000,0),MIN(TY24,20)*400+(IF('計算A'!DR$106=1,1-HP24,0))*150+245+'計算A'!DS$5*100000+IF(AND($E24=1,NF24=0),50000,0))+IF($H24=1,(IF('計算A'!DR$117=1,INDEX('計算A'!DR$10:DR$54,$B24),0))*4000,0)-IF(AND('計算A'!DR$117=1,YP24&gt;0),2000,0))),1000000))</f>
        <v/>
      </c>
      <c r="SV24">
        <f>IF($B24=0,1000000,IF(INDEX('計算A'!$D$60:$EQ$104,$B24,121)*HR24=1,IF(AND($E24=2,NG24=0),1000000,IF($I24&gt;0,IF(6=$J24,IF(OR(AND(121=$I24+1,OR($K24&lt;&gt;'計算A'!$A$3,'計算A'!$A$4=0)),AND(121=$I24-1,OR(1&lt;&gt;'計算A'!$A$3,'計算A'!$A$4=0))),0,IF(1=$K24,200000,ABS(1-$K24)*100)),100000+ABS(6-$J24)*1000+10)+'計算A'!DT$5*50+IF(AND($E24=1,NG24=0),25,0),IF($F24&gt;0,INDEX('計算A'!DT$110:DT$114,$F24+1)+IF(AND($E24=1,NG24=0),1000,0),MIN(TZ24,20)*400+(IF('計算A'!DT$106=1,1-HS24,0))*150+16+'計算A'!DT$5*100000+IF(AND($E24=1,NG24=0),50000,0))+IF($H24=1,(IF('計算A'!DT$117=1,INDEX('計算A'!DU$10:DU$54,$B24),0))*4000,0)-IF(AND($L24=1,'計算A'!DT$117=1,HS24=0),2000,0))),1000000))</f>
        <v/>
      </c>
      <c r="SW24">
        <f>IF($B24=0,1000000,IF(INDEX('計算A'!$D$60:$EQ$104,$B24,122)*HS24=1,IF(AND($E24=2,NH24=0),1000000,IF($I24&gt;0,IF(6=$J24,IF(OR(AND(122=$I24+1,OR($K24&lt;&gt;'計算A'!$A$3,'計算A'!$A$4=0)),AND(122=$I24-1,OR(2&lt;&gt;'計算A'!$A$3,'計算A'!$A$4=0))),0,IF(2=$K24,200000,ABS(2-$K24)*100)),100000+ABS(6-$J24)*1000+20)+'計算A'!DU$5*50+IF(AND($E24=1,NH24=0),25,0),IF($F24&gt;0,INDEX('計算A'!DU$110:DU$114,$F24+1)+IF(AND($E24=1,NH24=0),1000,0),MIN(TZ24,20)*400+(IF('計算A'!DT$106=1,1-HR24,0)+IF('計算A'!DU$106=1,1-HT24,0))*150+26+'計算A'!DU$5*100000+IF(AND($E24=1,NH24=0),50000,0))+IF($H24=1,(IF('計算A'!DT$117=1,INDEX('計算A'!DT$10:DT$54,$B24),0)+IF('計算A'!DU$117=1,INDEX('計算A'!DV$10:DV$54,$B24),0))*4000,0)-IF(AND('計算A'!DT$117=1,YR24&gt;0),2000,0)-IF(AND($L24=1,'計算A'!DU$117=1,HT24=0),2000,0))),1000000))</f>
        <v/>
      </c>
      <c r="SX24">
        <f>IF($B24=0,1000000,IF(INDEX('計算A'!$D$60:$EQ$104,$B24,123)*HT24=1,IF(AND($E24=2,NI24=0),1000000,IF($I24&gt;0,IF(6=$J24,IF(OR(AND(123=$I24+1,OR($K24&lt;&gt;'計算A'!$A$3,'計算A'!$A$4=0)),AND(123=$I24-1,OR(3&lt;&gt;'計算A'!$A$3,'計算A'!$A$4=0))),0,IF(3=$K24,200000,ABS(3-$K24)*100)),100000+ABS(6-$J24)*1000+30)+'計算A'!DV$5*50+IF(AND($E24=1,NI24=0),25,0),IF($F24&gt;0,INDEX('計算A'!DV$110:DV$114,$F24+1)+IF(AND($E24=1,NI24=0),1000,0),MIN(TZ24,20)*400+(IF('計算A'!DU$106=1,1-HS24,0)+IF('計算A'!DV$106=1,1-HU24,0))*150+36+'計算A'!DV$5*100000+IF(AND($E24=1,NI24=0),50000,0))+IF($H24=1,(IF('計算A'!DU$117=1,INDEX('計算A'!DU$10:DU$54,$B24),0)+IF('計算A'!DV$117=1,INDEX('計算A'!DW$10:DW$54,$B24),0))*4000,0)-IF(AND('計算A'!DU$117=1,YS24&gt;0),2000,0)-IF(AND($L24=1,'計算A'!DV$117=1,HU24=0),2000,0))),1000000))</f>
        <v/>
      </c>
      <c r="SY24">
        <f>IF($B24=0,1000000,IF(INDEX('計算A'!$D$60:$EQ$104,$B24,124)*HU24=1,IF(AND($E24=2,NJ24=0),1000000,IF($I24&gt;0,IF(6=$J24,IF(OR(AND(124=$I24+1,OR($K24&lt;&gt;'計算A'!$A$3,'計算A'!$A$4=0)),AND(124=$I24-1,OR(4&lt;&gt;'計算A'!$A$3,'計算A'!$A$4=0))),0,IF(4=$K24,200000,ABS(4-$K24)*100)),100000+ABS(6-$J24)*1000+40)+'計算A'!DW$5*50+IF(AND($E24=1,NJ24=0),25,0),IF($F24&gt;0,INDEX('計算A'!DW$110:DW$114,$F24+1)+IF(AND($E24=1,NJ24=0),1000,0),MIN(TZ24,20)*400+(IF('計算A'!DV$106=1,1-HT24,0)+IF('計算A'!DW$106=1,1-HV24,0))*150+46+'計算A'!DW$5*100000+IF(AND($E24=1,NJ24=0),50000,0))+IF($H24=1,(IF('計算A'!DV$117=1,INDEX('計算A'!DV$10:DV$54,$B24),0)+IF('計算A'!DW$117=1,INDEX('計算A'!DX$10:DX$54,$B24),0))*4000,0)-IF(AND('計算A'!DV$117=1,YT24&gt;0),2000,0)-IF(AND($L24=1,'計算A'!DW$117=1,HV24=0),2000,0))),1000000))</f>
        <v/>
      </c>
      <c r="SZ24">
        <f>IF($B24=0,1000000,IF(INDEX('計算A'!$D$60:$EQ$104,$B24,125)*HV24=1,IF(AND($E24=2,NK24=0),1000000,IF($I24&gt;0,IF(6=$J24,IF(OR(AND(125=$I24+1,OR($K24&lt;&gt;'計算A'!$A$3,'計算A'!$A$4=0)),AND(125=$I24-1,OR(5&lt;&gt;'計算A'!$A$3,'計算A'!$A$4=0))),0,IF(5=$K24,200000,ABS(5-$K24)*100)),100000+ABS(6-$J24)*1000+50)+'計算A'!DX$5*50+IF(AND($E24=1,NK24=0),25,0),IF($F24&gt;0,INDEX('計算A'!DX$110:DX$114,$F24+1)+IF(AND($E24=1,NK24=0),1000,0),MIN(TZ24,20)*400+(IF('計算A'!DW$106=1,1-HU24,0)+IF('計算A'!DX$106=1,1-HW24,0))*150+56+'計算A'!DX$5*100000+IF(AND($E24=1,NK24=0),50000,0))+IF($H24=1,(IF('計算A'!DW$117=1,INDEX('計算A'!DW$10:DW$54,$B24),0)+IF('計算A'!DX$117=1,INDEX('計算A'!DY$10:DY$54,$B24),0))*4000,0)-IF(AND('計算A'!DW$117=1,YU24&gt;0),2000,0)-IF(AND($L24=1,'計算A'!DX$117=1,HW24=0),2000,0))),1000000))</f>
        <v/>
      </c>
      <c r="TA24">
        <f>IF($B24=0,1000000,IF(INDEX('計算A'!$D$60:$EQ$104,$B24,126)*HW24=1,IF(AND($E24=2,NL24=0),1000000,IF($I24&gt;0,IF(6=$J24,IF(OR(AND(126=$I24+1,OR($K24&lt;&gt;'計算A'!$A$3,'計算A'!$A$4=0)),AND(126=$I24-1,OR(6&lt;&gt;'計算A'!$A$3,'計算A'!$A$4=0))),0,IF(6=$K24,200000,ABS(6-$K24)*100)),100000+ABS(6-$J24)*1000+60)+'計算A'!DY$5*50+IF(AND($E24=1,NL24=0),25,0),IF($F24&gt;0,INDEX('計算A'!DY$110:DY$114,$F24+1)+IF(AND($E24=1,NL24=0),1000,0),MIN(TZ24,20)*400+(IF('計算A'!DX$106=1,1-HV24,0)+IF('計算A'!DY$106=1,1-HX24,0))*150+66+'計算A'!DY$5*100000+IF(AND($E24=1,NL24=0),50000,0))+IF($H24=1,(IF('計算A'!DX$117=1,INDEX('計算A'!DX$10:DX$54,$B24),0)+IF('計算A'!DY$117=1,INDEX('計算A'!DZ$10:DZ$54,$B24),0))*4000,0)-IF(AND('計算A'!DX$117=1,YV24&gt;0),2000,0)-IF(AND($L24=1,'計算A'!DY$117=1,HX24=0),2000,0))),1000000))</f>
        <v/>
      </c>
      <c r="TB24">
        <f>IF($B24=0,1000000,IF(INDEX('計算A'!$D$60:$EQ$104,$B24,127)*HX24=1,IF(AND($E24=2,NM24=0),1000000,IF($I24&gt;0,IF(6=$J24,IF(OR(AND(127=$I24+1,OR($K24&lt;&gt;'計算A'!$A$3,'計算A'!$A$4=0)),AND(127=$I24-1,OR(7&lt;&gt;'計算A'!$A$3,'計算A'!$A$4=0))),0,IF(7=$K24,200000,ABS(7-$K24)*100)),100000+ABS(6-$J24)*1000+70)+'計算A'!DZ$5*50+IF(AND($E24=1,NM24=0),25,0),IF($F24&gt;0,INDEX('計算A'!DZ$110:DZ$114,$F24+1)+IF(AND($E24=1,NM24=0),1000,0),MIN(TZ24,20)*400+(IF('計算A'!DY$106=1,1-HW24,0)+IF('計算A'!DZ$106=1,1-HY24,0))*150+76+'計算A'!DZ$5*100000+IF(AND($E24=1,NM24=0),50000,0))+IF($H24=1,(IF('計算A'!DY$117=1,INDEX('計算A'!DY$10:DY$54,$B24),0)+IF('計算A'!DZ$117=1,INDEX('計算A'!EA$10:EA$54,$B24),0))*4000,0)-IF(AND('計算A'!DY$117=1,YW24&gt;0),2000,0)-IF(AND($L24=1,'計算A'!DZ$117=1,HY24=0),2000,0))),1000000))</f>
        <v/>
      </c>
      <c r="TC24">
        <f>IF($B24=0,1000000,IF(INDEX('計算A'!$D$60:$EQ$104,$B24,128)*HY24=1,IF(AND($E24=2,NN24=0),1000000,IF($I24&gt;0,IF(6=$J24,IF(OR(AND(128=$I24+1,OR($K24&lt;&gt;'計算A'!$A$3,'計算A'!$A$4=0)),AND(128=$I24-1,OR(8&lt;&gt;'計算A'!$A$3,'計算A'!$A$4=0))),0,IF(8=$K24,200000,ABS(8-$K24)*100)),100000+ABS(6-$J24)*1000+80)+'計算A'!EA$5*50+IF(AND($E24=1,NN24=0),25,0),IF($F24&gt;0,INDEX('計算A'!EA$110:EA$114,$F24+1)+IF(AND($E24=1,NN24=0),1000,0),MIN(TZ24,20)*400+(IF('計算A'!DZ$106=1,1-HX24,0)+IF('計算A'!EA$106=1,1-HZ24,0))*150+86+'計算A'!EA$5*100000+IF(AND($E24=1,NN24=0),50000,0))+IF($H24=1,(IF('計算A'!DZ$117=1,INDEX('計算A'!DZ$10:DZ$54,$B24),0)+IF('計算A'!EA$117=1,INDEX('計算A'!EB$10:EB$54,$B24),0))*4000,0)-IF(AND('計算A'!DZ$117=1,YX24&gt;0),2000,0)-IF(AND($L24=1,'計算A'!EA$117=1,HZ24=0),2000,0))),1000000))</f>
        <v/>
      </c>
      <c r="TD24">
        <f>IF($B24=0,1000000,IF(INDEX('計算A'!$D$60:$EQ$104,$B24,129)*HZ24=1,IF(AND($E24=2,NO24=0),1000000,IF($I24&gt;0,IF(6=$J24,IF(OR(AND(129=$I24+1,OR($K24&lt;&gt;'計算A'!$A$3,'計算A'!$A$4=0)),AND(129=$I24-1,OR(9&lt;&gt;'計算A'!$A$3,'計算A'!$A$4=0))),0,IF(9=$K24,200000,ABS(9-$K24)*100)),100000+ABS(6-$J24)*1000+90)+'計算A'!EB$5*50+IF(AND($E24=1,NO24=0),25,0),IF($F24&gt;0,INDEX('計算A'!EB$110:EB$114,$F24+1)+IF(AND($E24=1,NO24=0),1000,0),MIN(TZ24,20)*400+(IF('計算A'!EA$106=1,1-HY24,0)+IF('計算A'!EB$106=1,1-IA24,0))*150+96+'計算A'!EB$5*100000+IF(AND($E24=1,NO24=0),50000,0))+IF($H24=1,(IF('計算A'!EA$117=1,INDEX('計算A'!EA$10:EA$54,$B24),0)+IF('計算A'!EB$117=1,INDEX('計算A'!EC$10:EC$54,$B24),0))*4000,0)-IF(AND('計算A'!EA$117=1,YY24&gt;0),2000,0)-IF(AND($L24=1,'計算A'!EB$117=1,IA24=0),2000,0))),1000000))</f>
        <v/>
      </c>
      <c r="TE24">
        <f>IF($B24=0,1000000,IF(INDEX('計算A'!$D$60:$EQ$104,$B24,130)*IA24=1,IF(AND($E24=2,NP24=0),1000000,IF($I24&gt;0,IF(6=$J24,IF(OR(AND(130=$I24+1,OR($K24&lt;&gt;'計算A'!$A$3,'計算A'!$A$4=0)),AND(130=$I24-1,OR(10&lt;&gt;'計算A'!$A$3,'計算A'!$A$4=0))),0,IF(10=$K24,200000,ABS(10-$K24)*100)),100000+ABS(6-$J24)*1000+100)+'計算A'!EC$5*50+IF(AND($E24=1,NP24=0),25,0),IF($F24&gt;0,INDEX('計算A'!EC$110:EC$114,$F24+1)+IF(AND($E24=1,NP24=0),1000,0),MIN(TZ24,20)*400+(IF('計算A'!EB$106=1,1-HZ24,0)+IF('計算A'!EC$106=1,1-IB24,0))*150+106+'計算A'!EC$5*100000+IF(AND($E24=1,NP24=0),50000,0))+IF($H24=1,(IF('計算A'!EB$117=1,INDEX('計算A'!EB$10:EB$54,$B24),0)+IF('計算A'!EC$117=1,INDEX('計算A'!ED$10:ED$54,$B24),0))*4000,0)-IF(AND('計算A'!EB$117=1,YZ24&gt;0),2000,0)-IF(AND($L24=1,'計算A'!EC$117=1,IB24=0),2000,0))),1000000))</f>
        <v/>
      </c>
      <c r="TF24">
        <f>IF($B24=0,1000000,IF(INDEX('計算A'!$D$60:$EQ$104,$B24,131)*IB24=1,IF(AND($E24=2,NQ24=0),1000000,IF($I24&gt;0,IF(6=$J24,IF(OR(AND(131=$I24+1,OR($K24&lt;&gt;'計算A'!$A$3,'計算A'!$A$4=0)),AND(131=$I24-1,OR(11&lt;&gt;'計算A'!$A$3,'計算A'!$A$4=0))),0,IF(11=$K24,200000,ABS(11-$K24)*100)),100000+ABS(6-$J24)*1000+110)+'計算A'!ED$5*50+IF(AND($E24=1,NQ24=0),25,0),IF($F24&gt;0,INDEX('計算A'!ED$110:ED$114,$F24+1)+IF(AND($E24=1,NQ24=0),1000,0),MIN(TZ24,20)*400+(IF('計算A'!EC$106=1,1-IA24,0)+IF('計算A'!ED$106=1,1-IC24,0))*150+116+'計算A'!ED$5*100000+IF(AND($E24=1,NQ24=0),50000,0))+IF($H24=1,(IF('計算A'!EC$117=1,INDEX('計算A'!EC$10:EC$54,$B24),0)+IF('計算A'!ED$117=1,INDEX('計算A'!EE$10:EE$54,$B24),0))*4000,0)-IF(AND('計算A'!EC$117=1,ZA24&gt;0),2000,0)-IF(AND($L24=1,'計算A'!ED$117=1,IC24=0),2000,0))),1000000))</f>
        <v/>
      </c>
      <c r="TG24">
        <f>IF($B24=0,1000000,IF(INDEX('計算A'!$D$60:$EQ$104,$B24,132)*IC24=1,IF(AND($E24=2,NR24=0),1000000,IF($I24&gt;0,IF(6=$J24,IF(OR(AND(132=$I24+1,OR($K24&lt;&gt;'計算A'!$A$3,'計算A'!$A$4=0)),AND(132=$I24-1,OR(12&lt;&gt;'計算A'!$A$3,'計算A'!$A$4=0))),0,IF(12=$K24,200000,ABS(12-$K24)*100)),100000+ABS(6-$J24)*1000+120)+'計算A'!EE$5*50+IF(AND($E24=1,NR24=0),25,0),IF($F24&gt;0,INDEX('計算A'!EE$110:EE$114,$F24+1)+IF(AND($E24=1,NR24=0),1000,0),MIN(TZ24,20)*400+(IF('計算A'!ED$106=1,1-IB24,0)+IF('計算A'!EE$106=1,1-ID24,0))*150+126+'計算A'!EE$5*100000+IF(AND($E24=1,NR24=0),50000,0))+IF($H24=1,(IF('計算A'!ED$117=1,INDEX('計算A'!ED$10:ED$54,$B24),0)+IF('計算A'!EE$117=1,INDEX('計算A'!EF$10:EF$54,$B24),0))*4000,0)-IF(AND('計算A'!ED$117=1,ZB24&gt;0),2000,0)-IF(AND($L24=1,'計算A'!EE$117=1,ID24=0),2000,0))),1000000))</f>
        <v/>
      </c>
      <c r="TH24">
        <f>IF($B24=0,1000000,IF(INDEX('計算A'!$D$60:$EQ$104,$B24,133)*ID24=1,IF(AND($E24=2,NS24=0),1000000,IF($I24&gt;0,IF(6=$J24,IF(OR(AND(133=$I24+1,OR($K24&lt;&gt;'計算A'!$A$3,'計算A'!$A$4=0)),AND(133=$I24-1,OR(13&lt;&gt;'計算A'!$A$3,'計算A'!$A$4=0))),0,IF(13=$K24,200000,ABS(13-$K24)*100)),100000+ABS(6-$J24)*1000+130)+'計算A'!EF$5*50+IF(AND($E24=1,NS24=0),25,0),IF($F24&gt;0,INDEX('計算A'!EF$110:EF$114,$F24+1)+IF(AND($E24=1,NS24=0),1000,0),MIN(TZ24,20)*400+(IF('計算A'!EE$106=1,1-IC24,0)+IF('計算A'!EF$106=1,1-IE24,0))*150+136+'計算A'!EF$5*100000+IF(AND($E24=1,NS24=0),50000,0))+IF($H24=1,(IF('計算A'!EE$117=1,INDEX('計算A'!EE$10:EE$54,$B24),0)+IF('計算A'!EF$117=1,INDEX('計算A'!EG$10:EG$54,$B24),0))*4000,0)-IF(AND('計算A'!EE$117=1,ZC24&gt;0),2000,0)-IF(AND($L24=1,'計算A'!EF$117=1,IE24=0),2000,0))),1000000))</f>
        <v/>
      </c>
      <c r="TI24">
        <f>IF($B24=0,1000000,IF(INDEX('計算A'!$D$60:$EQ$104,$B24,134)*IE24=1,IF(AND($E24=2,NT24=0),1000000,IF($I24&gt;0,IF(6=$J24,IF(OR(AND(134=$I24+1,OR($K24&lt;&gt;'計算A'!$A$3,'計算A'!$A$4=0)),AND(134=$I24-1,OR(14&lt;&gt;'計算A'!$A$3,'計算A'!$A$4=0))),0,IF(14=$K24,200000,ABS(14-$K24)*100)),100000+ABS(6-$J24)*1000+140)+'計算A'!EG$5*50+IF(AND($E24=1,NT24=0),25,0),IF($F24&gt;0,INDEX('計算A'!EG$110:EG$114,$F24+1)+IF(AND($E24=1,NT24=0),1000,0),MIN(TZ24,20)*400+(IF('計算A'!EF$106=1,1-ID24,0)+IF('計算A'!EG$106=1,1-IF24,0))*150+146+'計算A'!EG$5*100000+IF(AND($E24=1,NT24=0),50000,0))+IF($H24=1,(IF('計算A'!EF$117=1,INDEX('計算A'!EF$10:EF$54,$B24),0)+IF('計算A'!EG$117=1,INDEX('計算A'!EH$10:EH$54,$B24),0))*4000,0)-IF(AND('計算A'!EF$117=1,ZD24&gt;0),2000,0)-IF(AND($L24=1,'計算A'!EG$117=1,IF24=0),2000,0))),1000000))</f>
        <v/>
      </c>
      <c r="TJ24">
        <f>IF($B24=0,1000000,IF(INDEX('計算A'!$D$60:$EQ$104,$B24,135)*IF24=1,IF(AND($E24=2,NU24=0),1000000,IF($I24&gt;0,IF(6=$J24,IF(OR(AND(135=$I24+1,OR($K24&lt;&gt;'計算A'!$A$3,'計算A'!$A$4=0)),AND(135=$I24-1,OR(15&lt;&gt;'計算A'!$A$3,'計算A'!$A$4=0))),0,IF(15=$K24,200000,ABS(15-$K24)*100)),100000+ABS(6-$J24)*1000+150)+'計算A'!EH$5*50+IF(AND($E24=1,NU24=0),25,0),IF($F24&gt;0,INDEX('計算A'!EH$110:EH$114,$F24+1)+IF(AND($E24=1,NU24=0),1000,0),MIN(TZ24,20)*400+(IF('計算A'!EG$106=1,1-IE24,0)+IF('計算A'!EH$106=1,1-IG24,0))*150+156+'計算A'!EH$5*100000+IF(AND($E24=1,NU24=0),50000,0))+IF($H24=1,(IF('計算A'!EG$117=1,INDEX('計算A'!EG$10:EG$54,$B24),0)+IF('計算A'!EH$117=1,INDEX('計算A'!EI$10:EI$54,$B24),0))*4000,0)-IF(AND('計算A'!EG$117=1,ZE24&gt;0),2000,0)-IF(AND($L24=1,'計算A'!EH$117=1,IG24=0),2000,0))),1000000))</f>
        <v/>
      </c>
      <c r="TK24">
        <f>IF($B24=0,1000000,IF(INDEX('計算A'!$D$60:$EQ$104,$B24,136)*IG24=1,IF(AND($E24=2,NV24=0),1000000,IF($I24&gt;0,IF(6=$J24,IF(OR(AND(136=$I24+1,OR($K24&lt;&gt;'計算A'!$A$3,'計算A'!$A$4=0)),AND(136=$I24-1,OR(16&lt;&gt;'計算A'!$A$3,'計算A'!$A$4=0))),0,IF(16=$K24,200000,ABS(16-$K24)*100)),100000+ABS(6-$J24)*1000+160)+'計算A'!EI$5*50+IF(AND($E24=1,NV24=0),25,0),IF($F24&gt;0,INDEX('計算A'!EI$110:EI$114,$F24+1)+IF(AND($E24=1,NV24=0),1000,0),MIN(TZ24,20)*400+(IF('計算A'!EH$106=1,1-IF24,0)+IF('計算A'!EI$106=1,1-IH24,0))*150+166+'計算A'!EI$5*100000+IF(AND($E24=1,NV24=0),50000,0))+IF($H24=1,(IF('計算A'!EH$117=1,INDEX('計算A'!EH$10:EH$54,$B24),0)+IF('計算A'!EI$117=1,INDEX('計算A'!EJ$10:EJ$54,$B24),0))*4000,0)-IF(AND('計算A'!EH$117=1,ZF24&gt;0),2000,0)-IF(AND($L24=1,'計算A'!EI$117=1,IH24=0),2000,0))),1000000))</f>
        <v/>
      </c>
      <c r="TL24">
        <f>IF($B24=0,1000000,IF(INDEX('計算A'!$D$60:$EQ$104,$B24,137)*IH24=1,IF(AND($E24=2,NW24=0),1000000,IF($I24&gt;0,IF(6=$J24,IF(OR(AND(137=$I24+1,OR($K24&lt;&gt;'計算A'!$A$3,'計算A'!$A$4=0)),AND(137=$I24-1,OR(17&lt;&gt;'計算A'!$A$3,'計算A'!$A$4=0))),0,IF(17=$K24,200000,ABS(17-$K24)*100)),100000+ABS(6-$J24)*1000+170)+'計算A'!EJ$5*50+IF(AND($E24=1,NW24=0),25,0),IF($F24&gt;0,INDEX('計算A'!EJ$110:EJ$114,$F24+1)+IF(AND($E24=1,NW24=0),1000,0),MIN(TZ24,20)*400+(IF('計算A'!EI$106=1,1-IG24,0)+IF('計算A'!EJ$106=1,1-II24,0))*150+176+'計算A'!EJ$5*100000+IF(AND($E24=1,NW24=0),50000,0))+IF($H24=1,(IF('計算A'!EI$117=1,INDEX('計算A'!EI$10:EI$54,$B24),0)+IF('計算A'!EJ$117=1,INDEX('計算A'!EK$10:EK$54,$B24),0))*4000,0)-IF(AND('計算A'!EI$117=1,ZG24&gt;0),2000,0)-IF(AND($L24=1,'計算A'!EJ$117=1,II24=0),2000,0))),1000000))</f>
        <v/>
      </c>
      <c r="TM24">
        <f>IF($B24=0,1000000,IF(INDEX('計算A'!$D$60:$EQ$104,$B24,138)*II24=1,IF(AND($E24=2,NX24=0),1000000,IF($I24&gt;0,IF(6=$J24,IF(OR(AND(138=$I24+1,OR($K24&lt;&gt;'計算A'!$A$3,'計算A'!$A$4=0)),AND(138=$I24-1,OR(18&lt;&gt;'計算A'!$A$3,'計算A'!$A$4=0))),0,IF(18=$K24,200000,ABS(18-$K24)*100)),100000+ABS(6-$J24)*1000+180)+'計算A'!EK$5*50+IF(AND($E24=1,NX24=0),25,0),IF($F24&gt;0,INDEX('計算A'!EK$110:EK$114,$F24+1)+IF(AND($E24=1,NX24=0),1000,0),MIN(TZ24,20)*400+(IF('計算A'!EJ$106=1,1-IH24,0)+IF('計算A'!EK$106=1,1-IJ24,0))*150+186+'計算A'!EK$5*100000+IF(AND($E24=1,NX24=0),50000,0))+IF($H24=1,(IF('計算A'!EJ$117=1,INDEX('計算A'!EJ$10:EJ$54,$B24),0)+IF('計算A'!EK$117=1,INDEX('計算A'!EL$10:EL$54,$B24),0))*4000,0)-IF(AND('計算A'!EJ$117=1,ZH24&gt;0),2000,0)-IF(AND($L24=1,'計算A'!EK$117=1,IJ24=0),2000,0))),1000000))</f>
        <v/>
      </c>
      <c r="TN24">
        <f>IF($B24=0,1000000,IF(INDEX('計算A'!$D$60:$EQ$104,$B24,139)*IJ24=1,IF(AND($E24=2,NY24=0),1000000,IF($I24&gt;0,IF(6=$J24,IF(OR(AND(139=$I24+1,OR($K24&lt;&gt;'計算A'!$A$3,'計算A'!$A$4=0)),AND(139=$I24-1,OR(19&lt;&gt;'計算A'!$A$3,'計算A'!$A$4=0))),0,IF(19=$K24,200000,ABS(19-$K24)*100)),100000+ABS(6-$J24)*1000+190)+'計算A'!EL$5*50+IF(AND($E24=1,NY24=0),25,0),IF($F24&gt;0,INDEX('計算A'!EL$110:EL$114,$F24+1)+IF(AND($E24=1,NY24=0),1000,0),MIN(TZ24,20)*400+(IF('計算A'!EK$106=1,1-II24,0)+IF('計算A'!EL$106=1,1-IK24,0))*150+196+'計算A'!EL$5*100000+IF(AND($E24=1,NY24=0),50000,0))+IF($H24=1,(IF('計算A'!EK$117=1,INDEX('計算A'!EK$10:EK$54,$B24),0)+IF('計算A'!EL$117=1,INDEX('計算A'!EM$10:EM$54,$B24),0))*4000,0)-IF(AND('計算A'!EK$117=1,ZI24&gt;0),2000,0)-IF(AND($L24=1,'計算A'!EL$117=1,IK24=0),2000,0))),1000000))</f>
        <v/>
      </c>
      <c r="TO24">
        <f>IF($B24=0,1000000,IF(INDEX('計算A'!$D$60:$EQ$104,$B24,140)*IK24=1,IF(AND($E24=2,NZ24=0),1000000,IF($I24&gt;0,IF(6=$J24,IF(OR(AND(140=$I24+1,OR($K24&lt;&gt;'計算A'!$A$3,'計算A'!$A$4=0)),AND(140=$I24-1,OR(20&lt;&gt;'計算A'!$A$3,'計算A'!$A$4=0))),0,IF(20=$K24,200000,ABS(20-$K24)*100)),100000+ABS(6-$J24)*1000+200)+'計算A'!EM$5*50+IF(AND($E24=1,NZ24=0),25,0),IF($F24&gt;0,INDEX('計算A'!EM$110:EM$114,$F24+1)+IF(AND($E24=1,NZ24=0),1000,0),MIN(TZ24,20)*400+(IF('計算A'!EL$106=1,1-IJ24,0)+IF('計算A'!EM$106=1,1-IL24,0))*150+206+'計算A'!EM$5*100000+IF(AND($E24=1,NZ24=0),50000,0))+IF($H24=1,(IF('計算A'!EL$117=1,INDEX('計算A'!EL$10:EL$54,$B24),0)+IF('計算A'!EM$117=1,INDEX('計算A'!EN$10:EN$54,$B24),0))*4000,0)-IF(AND('計算A'!EL$117=1,ZJ24&gt;0),2000,0)-IF(AND($L24=1,'計算A'!EM$117=1,IL24=0),2000,0))),1000000))</f>
        <v/>
      </c>
      <c r="TP24">
        <f>IF($B24=0,1000000,IF(INDEX('計算A'!$D$60:$EQ$104,$B24,141)*IL24=1,IF(AND($E24=2,OA24=0),1000000,IF($I24&gt;0,IF(6=$J24,IF(OR(AND(141=$I24+1,OR($K24&lt;&gt;'計算A'!$A$3,'計算A'!$A$4=0)),AND(141=$I24-1,OR(21&lt;&gt;'計算A'!$A$3,'計算A'!$A$4=0))),0,IF(21=$K24,200000,ABS(21-$K24)*100)),100000+ABS(6-$J24)*1000+210)+'計算A'!EN$5*50+IF(AND($E24=1,OA24=0),25,0),IF($F24&gt;0,INDEX('計算A'!EN$110:EN$114,$F24+1)+IF(AND($E24=1,OA24=0),1000,0),MIN(TZ24,20)*400+(IF('計算A'!EM$106=1,1-IK24,0)+IF('計算A'!EN$106=1,1-IM24,0))*150+216+'計算A'!EN$5*100000+IF(AND($E24=1,OA24=0),50000,0))+IF($H24=1,(IF('計算A'!EM$117=1,INDEX('計算A'!EM$10:EM$54,$B24),0)+IF('計算A'!EN$117=1,INDEX('計算A'!EO$10:EO$54,$B24),0))*4000,0)-IF(AND('計算A'!EM$117=1,ZK24&gt;0),2000,0)-IF(AND($L24=1,'計算A'!EN$117=1,IM24=0),2000,0))),1000000))</f>
        <v/>
      </c>
      <c r="TQ24">
        <f>IF($B24=0,1000000,IF(INDEX('計算A'!$D$60:$EQ$104,$B24,142)*IM24=1,IF(AND($E24=2,OB24=0),1000000,IF($I24&gt;0,IF(6=$J24,IF(OR(AND(142=$I24+1,OR($K24&lt;&gt;'計算A'!$A$3,'計算A'!$A$4=0)),AND(142=$I24-1,OR(22&lt;&gt;'計算A'!$A$3,'計算A'!$A$4=0))),0,IF(22=$K24,200000,ABS(22-$K24)*100)),100000+ABS(6-$J24)*1000+220)+'計算A'!EO$5*50+IF(AND($E24=1,OB24=0),25,0),IF($F24&gt;0,INDEX('計算A'!EO$110:EO$114,$F24+1)+IF(AND($E24=1,OB24=0),1000,0),MIN(TZ24,20)*400+(IF('計算A'!EN$106=1,1-IL24,0)+IF('計算A'!EO$106=1,1-IN24,0))*150+226+'計算A'!EO$5*100000+IF(AND($E24=1,OB24=0),50000,0))+IF($H24=1,(IF('計算A'!EN$117=1,INDEX('計算A'!EN$10:EN$54,$B24),0)+IF('計算A'!EO$117=1,INDEX('計算A'!EP$10:EP$54,$B24),0))*4000,0)-IF(AND('計算A'!EN$117=1,ZL24&gt;0),2000,0)-IF(AND($L24=1,'計算A'!EO$117=1,IN24=0),2000,0))),1000000))</f>
        <v/>
      </c>
      <c r="TR24">
        <f>IF($B24=0,1000000,IF(INDEX('計算A'!$D$60:$EQ$104,$B24,143)*IN24=1,IF(AND($E24=2,OC24=0),1000000,IF($I24&gt;0,IF(6=$J24,IF(OR(AND(143=$I24+1,OR($K24&lt;&gt;'計算A'!$A$3,'計算A'!$A$4=0)),AND(143=$I24-1,OR(23&lt;&gt;'計算A'!$A$3,'計算A'!$A$4=0))),0,IF(23=$K24,200000,ABS(23-$K24)*100)),100000+ABS(6-$J24)*1000+230)+'計算A'!EP$5*50+IF(AND($E24=1,OC24=0),25,0),IF($F24&gt;0,INDEX('計算A'!EP$110:EP$114,$F24+1)+IF(AND($E24=1,OC24=0),1000,0),MIN(TZ24,20)*400+(IF('計算A'!EO$106=1,1-IM24,0)+IF('計算A'!EP$106=1,1-IO24,0))*150+236+'計算A'!EP$5*100000+IF(AND($E24=1,OC24=0),50000,0))+IF($H24=1,(IF('計算A'!EO$117=1,INDEX('計算A'!EO$10:EO$54,$B24),0)+IF('計算A'!EP$117=1,INDEX('計算A'!EQ$10:EQ$54,$B24),0))*4000,0)-IF(AND('計算A'!EO$117=1,ZM24&gt;0),2000,0)-IF(AND($L24=1,'計算A'!EP$117=1,IO24=0),2000,0))),1000000))</f>
        <v/>
      </c>
      <c r="TS24">
        <f>IF($B24=0,1000000,IF(INDEX('計算A'!$D$60:$EQ$104,$B24,144)*IO24=1,IF(AND($E24=2,OD24=0),1000000,IF($I24&gt;0,IF(6=$J24,IF(OR(AND(144=$I24+1,OR($K24&lt;&gt;'計算A'!$A$3,'計算A'!$A$4=0)),AND(144=$I24-1,OR(24&lt;&gt;'計算A'!$A$3,'計算A'!$A$4=0))),0,IF(24=$K24,200000,ABS(24-$K24)*100)),100000+ABS(6-$J24)*1000+240)+'計算A'!EQ$5*50+IF(AND($E24=1,OD24=0),25,0),IF($F24&gt;0,INDEX('計算A'!EQ$110:EQ$114,$F24+1)+IF(AND($E24=1,OD24=0),1000,0),MIN(TZ24,20)*400+(IF('計算A'!EP$106=1,1-IN24,0))*150+246+'計算A'!EQ$5*100000+IF(AND($E24=1,OD24=0),50000,0))+IF($H24=1,(IF('計算A'!EP$117=1,INDEX('計算A'!EP$10:EP$54,$B24),0))*4000,0)-IF(AND('計算A'!EP$117=1,ZN24&gt;0),2000,0))),1000000))</f>
        <v/>
      </c>
      <c r="TU24">
        <f>TU23+IF($C23&gt;0,IF(INDEX('計算A'!$D$2:$EQ$2,$C23)=1,1,0),0)</f>
        <v/>
      </c>
      <c r="TV24">
        <f>TV23+IF($C23&gt;0,IF(INDEX('計算A'!$D$2:$EQ$2,$C23)=2,1,0),0)</f>
        <v/>
      </c>
      <c r="TW24">
        <f>TW23+IF($C23&gt;0,IF(INDEX('計算A'!$D$2:$EQ$2,$C23)=3,1,0),0)</f>
        <v/>
      </c>
      <c r="TX24">
        <f>TX23+IF($C23&gt;0,IF(INDEX('計算A'!$D$2:$EQ$2,$C23)=4,1,0),0)</f>
        <v/>
      </c>
      <c r="TY24">
        <f>TY23+IF($C23&gt;0,IF(INDEX('計算A'!$D$2:$EQ$2,$C23)=5,1,0),0)</f>
        <v/>
      </c>
      <c r="TZ24">
        <f>TZ23+IF($C23&gt;0,IF(INDEX('計算A'!$D$2:$EQ$2,$C23)=6,1,0),0)</f>
        <v/>
      </c>
      <c r="UB24">
        <f>UB23+IF(AND($C23=1,$L23=1),1,0)</f>
        <v/>
      </c>
      <c r="UC24">
        <f>UC23+IF(AND($C23=2,$L23=1),1,0)</f>
        <v/>
      </c>
      <c r="UD24">
        <f>UD23+IF(AND($C23=3,$L23=1),1,0)</f>
        <v/>
      </c>
      <c r="UE24">
        <f>UE23+IF(AND($C23=4,$L23=1),1,0)</f>
        <v/>
      </c>
      <c r="UF24">
        <f>UF23+IF(AND($C23=5,$L23=1),1,0)</f>
        <v/>
      </c>
      <c r="UG24">
        <f>UG23+IF(AND($C23=6,$L23=1),1,0)</f>
        <v/>
      </c>
      <c r="UH24">
        <f>UH23+IF(AND($C23=7,$L23=1),1,0)</f>
        <v/>
      </c>
      <c r="UI24">
        <f>UI23+IF(AND($C23=8,$L23=1),1,0)</f>
        <v/>
      </c>
      <c r="UJ24">
        <f>UJ23+IF(AND($C23=9,$L23=1),1,0)</f>
        <v/>
      </c>
      <c r="UK24">
        <f>UK23+IF(AND($C23=10,$L23=1),1,0)</f>
        <v/>
      </c>
      <c r="UL24">
        <f>UL23+IF(AND($C23=11,$L23=1),1,0)</f>
        <v/>
      </c>
      <c r="UM24">
        <f>UM23+IF(AND($C23=12,$L23=1),1,0)</f>
        <v/>
      </c>
      <c r="UN24">
        <f>UN23+IF(AND($C23=13,$L23=1),1,0)</f>
        <v/>
      </c>
      <c r="UO24">
        <f>UO23+IF(AND($C23=14,$L23=1),1,0)</f>
        <v/>
      </c>
      <c r="UP24">
        <f>UP23+IF(AND($C23=15,$L23=1),1,0)</f>
        <v/>
      </c>
      <c r="UQ24">
        <f>UQ23+IF(AND($C23=16,$L23=1),1,0)</f>
        <v/>
      </c>
      <c r="UR24">
        <f>UR23+IF(AND($C23=17,$L23=1),1,0)</f>
        <v/>
      </c>
      <c r="US24">
        <f>US23+IF(AND($C23=18,$L23=1),1,0)</f>
        <v/>
      </c>
      <c r="UT24">
        <f>UT23+IF(AND($C23=19,$L23=1),1,0)</f>
        <v/>
      </c>
      <c r="UU24">
        <f>UU23+IF(AND($C23=20,$L23=1),1,0)</f>
        <v/>
      </c>
      <c r="UV24">
        <f>UV23+IF(AND($C23=21,$L23=1),1,0)</f>
        <v/>
      </c>
      <c r="UW24">
        <f>UW23+IF(AND($C23=22,$L23=1),1,0)</f>
        <v/>
      </c>
      <c r="UX24">
        <f>UX23+IF(AND($C23=23,$L23=1),1,0)</f>
        <v/>
      </c>
      <c r="UY24">
        <f>UY23+IF(AND($C23=24,$L23=1),1,0)</f>
        <v/>
      </c>
      <c r="UZ24">
        <f>UZ23+IF(AND($C23=25,$L23=1),1,0)</f>
        <v/>
      </c>
      <c r="VA24">
        <f>VA23+IF(AND($C23=26,$L23=1),1,0)</f>
        <v/>
      </c>
      <c r="VB24">
        <f>VB23+IF(AND($C23=27,$L23=1),1,0)</f>
        <v/>
      </c>
      <c r="VC24">
        <f>VC23+IF(AND($C23=28,$L23=1),1,0)</f>
        <v/>
      </c>
      <c r="VD24">
        <f>VD23+IF(AND($C23=29,$L23=1),1,0)</f>
        <v/>
      </c>
      <c r="VE24">
        <f>VE23+IF(AND($C23=30,$L23=1),1,0)</f>
        <v/>
      </c>
      <c r="VF24">
        <f>VF23+IF(AND($C23=31,$L23=1),1,0)</f>
        <v/>
      </c>
      <c r="VG24">
        <f>VG23+IF(AND($C23=32,$L23=1),1,0)</f>
        <v/>
      </c>
      <c r="VH24">
        <f>VH23+IF(AND($C23=33,$L23=1),1,0)</f>
        <v/>
      </c>
      <c r="VI24">
        <f>VI23+IF(AND($C23=34,$L23=1),1,0)</f>
        <v/>
      </c>
      <c r="VJ24">
        <f>VJ23+IF(AND($C23=35,$L23=1),1,0)</f>
        <v/>
      </c>
      <c r="VK24">
        <f>VK23+IF(AND($C23=36,$L23=1),1,0)</f>
        <v/>
      </c>
      <c r="VL24">
        <f>VL23+IF(AND($C23=37,$L23=1),1,0)</f>
        <v/>
      </c>
      <c r="VM24">
        <f>VM23+IF(AND($C23=38,$L23=1),1,0)</f>
        <v/>
      </c>
      <c r="VN24">
        <f>VN23+IF(AND($C23=39,$L23=1),1,0)</f>
        <v/>
      </c>
      <c r="VO24">
        <f>VO23+IF(AND($C23=40,$L23=1),1,0)</f>
        <v/>
      </c>
      <c r="VP24">
        <f>VP23+IF(AND($C23=41,$L23=1),1,0)</f>
        <v/>
      </c>
      <c r="VQ24">
        <f>VQ23+IF(AND($C23=42,$L23=1),1,0)</f>
        <v/>
      </c>
      <c r="VR24">
        <f>VR23+IF(AND($C23=43,$L23=1),1,0)</f>
        <v/>
      </c>
      <c r="VS24">
        <f>VS23+IF(AND($C23=44,$L23=1),1,0)</f>
        <v/>
      </c>
      <c r="VT24">
        <f>VT23+IF(AND($C23=45,$L23=1),1,0)</f>
        <v/>
      </c>
      <c r="VU24">
        <f>VU23+IF(AND($C23=46,$L23=1),1,0)</f>
        <v/>
      </c>
      <c r="VV24">
        <f>VV23+IF(AND($C23=47,$L23=1),1,0)</f>
        <v/>
      </c>
      <c r="VW24">
        <f>VW23+IF(AND($C23=48,$L23=1),1,0)</f>
        <v/>
      </c>
      <c r="VX24">
        <f>VX23+IF(AND($C23=49,$L23=1),1,0)</f>
        <v/>
      </c>
      <c r="VY24">
        <f>VY23+IF(AND($C23=50,$L23=1),1,0)</f>
        <v/>
      </c>
      <c r="VZ24">
        <f>VZ23+IF(AND($C23=51,$L23=1),1,0)</f>
        <v/>
      </c>
      <c r="WA24">
        <f>WA23+IF(AND($C23=52,$L23=1),1,0)</f>
        <v/>
      </c>
      <c r="WB24">
        <f>WB23+IF(AND($C23=53,$L23=1),1,0)</f>
        <v/>
      </c>
      <c r="WC24">
        <f>WC23+IF(AND($C23=54,$L23=1),1,0)</f>
        <v/>
      </c>
      <c r="WD24">
        <f>WD23+IF(AND($C23=55,$L23=1),1,0)</f>
        <v/>
      </c>
      <c r="WE24">
        <f>WE23+IF(AND($C23=56,$L23=1),1,0)</f>
        <v/>
      </c>
      <c r="WF24">
        <f>WF23+IF(AND($C23=57,$L23=1),1,0)</f>
        <v/>
      </c>
      <c r="WG24">
        <f>WG23+IF(AND($C23=58,$L23=1),1,0)</f>
        <v/>
      </c>
      <c r="WH24">
        <f>WH23+IF(AND($C23=59,$L23=1),1,0)</f>
        <v/>
      </c>
      <c r="WI24">
        <f>WI23+IF(AND($C23=60,$L23=1),1,0)</f>
        <v/>
      </c>
      <c r="WJ24">
        <f>WJ23+IF(AND($C23=61,$L23=1),1,0)</f>
        <v/>
      </c>
      <c r="WK24">
        <f>WK23+IF(AND($C23=62,$L23=1),1,0)</f>
        <v/>
      </c>
      <c r="WL24">
        <f>WL23+IF(AND($C23=63,$L23=1),1,0)</f>
        <v/>
      </c>
      <c r="WM24">
        <f>WM23+IF(AND($C23=64,$L23=1),1,0)</f>
        <v/>
      </c>
      <c r="WN24">
        <f>WN23+IF(AND($C23=65,$L23=1),1,0)</f>
        <v/>
      </c>
      <c r="WO24">
        <f>WO23+IF(AND($C23=66,$L23=1),1,0)</f>
        <v/>
      </c>
      <c r="WP24">
        <f>WP23+IF(AND($C23=67,$L23=1),1,0)</f>
        <v/>
      </c>
      <c r="WQ24">
        <f>WQ23+IF(AND($C23=68,$L23=1),1,0)</f>
        <v/>
      </c>
      <c r="WR24">
        <f>WR23+IF(AND($C23=69,$L23=1),1,0)</f>
        <v/>
      </c>
      <c r="WS24">
        <f>WS23+IF(AND($C23=70,$L23=1),1,0)</f>
        <v/>
      </c>
      <c r="WT24">
        <f>WT23+IF(AND($C23=71,$L23=1),1,0)</f>
        <v/>
      </c>
      <c r="WU24">
        <f>WU23+IF(AND($C23=72,$L23=1),1,0)</f>
        <v/>
      </c>
      <c r="WV24">
        <f>WV23+IF(AND($C23=73,$L23=1),1,0)</f>
        <v/>
      </c>
      <c r="WW24">
        <f>WW23+IF(AND($C23=74,$L23=1),1,0)</f>
        <v/>
      </c>
      <c r="WX24">
        <f>WX23+IF(AND($C23=75,$L23=1),1,0)</f>
        <v/>
      </c>
      <c r="WY24">
        <f>WY23+IF(AND($C23=76,$L23=1),1,0)</f>
        <v/>
      </c>
      <c r="WZ24">
        <f>WZ23+IF(AND($C23=77,$L23=1),1,0)</f>
        <v/>
      </c>
      <c r="XA24">
        <f>XA23+IF(AND($C23=78,$L23=1),1,0)</f>
        <v/>
      </c>
      <c r="XB24">
        <f>XB23+IF(AND($C23=79,$L23=1),1,0)</f>
        <v/>
      </c>
      <c r="XC24">
        <f>XC23+IF(AND($C23=80,$L23=1),1,0)</f>
        <v/>
      </c>
      <c r="XD24">
        <f>XD23+IF(AND($C23=81,$L23=1),1,0)</f>
        <v/>
      </c>
      <c r="XE24">
        <f>XE23+IF(AND($C23=82,$L23=1),1,0)</f>
        <v/>
      </c>
      <c r="XF24">
        <f>XF23+IF(AND($C23=83,$L23=1),1,0)</f>
        <v/>
      </c>
      <c r="XG24">
        <f>XG23+IF(AND($C23=84,$L23=1),1,0)</f>
        <v/>
      </c>
      <c r="XH24">
        <f>XH23+IF(AND($C23=85,$L23=1),1,0)</f>
        <v/>
      </c>
      <c r="XI24">
        <f>XI23+IF(AND($C23=86,$L23=1),1,0)</f>
        <v/>
      </c>
      <c r="XJ24">
        <f>XJ23+IF(AND($C23=87,$L23=1),1,0)</f>
        <v/>
      </c>
      <c r="XK24">
        <f>XK23+IF(AND($C23=88,$L23=1),1,0)</f>
        <v/>
      </c>
      <c r="XL24">
        <f>XL23+IF(AND($C23=89,$L23=1),1,0)</f>
        <v/>
      </c>
      <c r="XM24">
        <f>XM23+IF(AND($C23=90,$L23=1),1,0)</f>
        <v/>
      </c>
      <c r="XN24">
        <f>XN23+IF(AND($C23=91,$L23=1),1,0)</f>
        <v/>
      </c>
      <c r="XO24">
        <f>XO23+IF(AND($C23=92,$L23=1),1,0)</f>
        <v/>
      </c>
      <c r="XP24">
        <f>XP23+IF(AND($C23=93,$L23=1),1,0)</f>
        <v/>
      </c>
      <c r="XQ24">
        <f>XQ23+IF(AND($C23=94,$L23=1),1,0)</f>
        <v/>
      </c>
      <c r="XR24">
        <f>XR23+IF(AND($C23=95,$L23=1),1,0)</f>
        <v/>
      </c>
      <c r="XS24">
        <f>XS23+IF(AND($C23=96,$L23=1),1,0)</f>
        <v/>
      </c>
      <c r="XT24">
        <f>XT23+IF(AND($C23=97,$L23=1),1,0)</f>
        <v/>
      </c>
      <c r="XU24">
        <f>XU23+IF(AND($C23=98,$L23=1),1,0)</f>
        <v/>
      </c>
      <c r="XV24">
        <f>XV23+IF(AND($C23=99,$L23=1),1,0)</f>
        <v/>
      </c>
      <c r="XW24">
        <f>XW23+IF(AND($C23=100,$L23=1),1,0)</f>
        <v/>
      </c>
      <c r="XX24">
        <f>XX23+IF(AND($C23=101,$L23=1),1,0)</f>
        <v/>
      </c>
      <c r="XY24">
        <f>XY23+IF(AND($C23=102,$L23=1),1,0)</f>
        <v/>
      </c>
      <c r="XZ24">
        <f>XZ23+IF(AND($C23=103,$L23=1),1,0)</f>
        <v/>
      </c>
      <c r="YA24">
        <f>YA23+IF(AND($C23=104,$L23=1),1,0)</f>
        <v/>
      </c>
      <c r="YB24">
        <f>YB23+IF(AND($C23=105,$L23=1),1,0)</f>
        <v/>
      </c>
      <c r="YC24">
        <f>YC23+IF(AND($C23=106,$L23=1),1,0)</f>
        <v/>
      </c>
      <c r="YD24">
        <f>YD23+IF(AND($C23=107,$L23=1),1,0)</f>
        <v/>
      </c>
      <c r="YE24">
        <f>YE23+IF(AND($C23=108,$L23=1),1,0)</f>
        <v/>
      </c>
      <c r="YF24">
        <f>YF23+IF(AND($C23=109,$L23=1),1,0)</f>
        <v/>
      </c>
      <c r="YG24">
        <f>YG23+IF(AND($C23=110,$L23=1),1,0)</f>
        <v/>
      </c>
      <c r="YH24">
        <f>YH23+IF(AND($C23=111,$L23=1),1,0)</f>
        <v/>
      </c>
      <c r="YI24">
        <f>YI23+IF(AND($C23=112,$L23=1),1,0)</f>
        <v/>
      </c>
      <c r="YJ24">
        <f>YJ23+IF(AND($C23=113,$L23=1),1,0)</f>
        <v/>
      </c>
      <c r="YK24">
        <f>YK23+IF(AND($C23=114,$L23=1),1,0)</f>
        <v/>
      </c>
      <c r="YL24">
        <f>YL23+IF(AND($C23=115,$L23=1),1,0)</f>
        <v/>
      </c>
      <c r="YM24">
        <f>YM23+IF(AND($C23=116,$L23=1),1,0)</f>
        <v/>
      </c>
      <c r="YN24">
        <f>YN23+IF(AND($C23=117,$L23=1),1,0)</f>
        <v/>
      </c>
      <c r="YO24">
        <f>YO23+IF(AND($C23=118,$L23=1),1,0)</f>
        <v/>
      </c>
      <c r="YP24">
        <f>YP23+IF(AND($C23=119,$L23=1),1,0)</f>
        <v/>
      </c>
      <c r="YQ24">
        <f>YQ23+IF(AND($C23=120,$L23=1),1,0)</f>
        <v/>
      </c>
      <c r="YR24">
        <f>YR23+IF(AND($C23=121,$L23=1),1,0)</f>
        <v/>
      </c>
      <c r="YS24">
        <f>YS23+IF(AND($C23=122,$L23=1),1,0)</f>
        <v/>
      </c>
      <c r="YT24">
        <f>YT23+IF(AND($C23=123,$L23=1),1,0)</f>
        <v/>
      </c>
      <c r="YU24">
        <f>YU23+IF(AND($C23=124,$L23=1),1,0)</f>
        <v/>
      </c>
      <c r="YV24">
        <f>YV23+IF(AND($C23=125,$L23=1),1,0)</f>
        <v/>
      </c>
      <c r="YW24">
        <f>YW23+IF(AND($C23=126,$L23=1),1,0)</f>
        <v/>
      </c>
      <c r="YX24">
        <f>YX23+IF(AND($C23=127,$L23=1),1,0)</f>
        <v/>
      </c>
      <c r="YY24">
        <f>YY23+IF(AND($C23=128,$L23=1),1,0)</f>
        <v/>
      </c>
      <c r="YZ24">
        <f>YZ23+IF(AND($C23=129,$L23=1),1,0)</f>
        <v/>
      </c>
      <c r="ZA24">
        <f>ZA23+IF(AND($C23=130,$L23=1),1,0)</f>
        <v/>
      </c>
      <c r="ZB24">
        <f>ZB23+IF(AND($C23=131,$L23=1),1,0)</f>
        <v/>
      </c>
      <c r="ZC24">
        <f>ZC23+IF(AND($C23=132,$L23=1),1,0)</f>
        <v/>
      </c>
      <c r="ZD24">
        <f>ZD23+IF(AND($C23=133,$L23=1),1,0)</f>
        <v/>
      </c>
      <c r="ZE24">
        <f>ZE23+IF(AND($C23=134,$L23=1),1,0)</f>
        <v/>
      </c>
      <c r="ZF24">
        <f>ZF23+IF(AND($C23=135,$L23=1),1,0)</f>
        <v/>
      </c>
      <c r="ZG24">
        <f>ZG23+IF(AND($C23=136,$L23=1),1,0)</f>
        <v/>
      </c>
      <c r="ZH24">
        <f>ZH23+IF(AND($C23=137,$L23=1),1,0)</f>
        <v/>
      </c>
      <c r="ZI24">
        <f>ZI23+IF(AND($C23=138,$L23=1),1,0)</f>
        <v/>
      </c>
      <c r="ZJ24">
        <f>ZJ23+IF(AND($C23=139,$L23=1),1,0)</f>
        <v/>
      </c>
      <c r="ZK24">
        <f>ZK23+IF(AND($C23=140,$L23=1),1,0)</f>
        <v/>
      </c>
      <c r="ZL24">
        <f>ZL23+IF(AND($C23=141,$L23=1),1,0)</f>
        <v/>
      </c>
      <c r="ZM24">
        <f>ZM23+IF(AND($C23=142,$L23=1),1,0)</f>
        <v/>
      </c>
      <c r="ZN24">
        <f>ZN23+IF(AND($C23=143,$L23=1),1,0)</f>
        <v/>
      </c>
      <c r="ZO24">
        <f>ZO23+IF(AND($C23=144,$L23=1),1,0)</f>
        <v/>
      </c>
    </row>
    <row r="25">
      <c r="A25" t="n">
        <v>23</v>
      </c>
      <c r="B25">
        <f>IF(MIN(BH25:CZ25)&gt;=1000000,0,MATCH(MIN(BH25:CZ25),BH25:CZ25,0))</f>
        <v/>
      </c>
      <c r="C25">
        <f>IF(MIN(OF25:TS25)&gt;=1000000,0,MATCH(MIN(OF25:TS25),OF25:TS25,0))</f>
        <v/>
      </c>
      <c r="D25">
        <f>IF(C25&gt;0,INDEX('計算A'!$D$5:$EQ$5,C25),0)</f>
        <v/>
      </c>
      <c r="E25">
        <f>IF(B25=0,0,INDEX('計算A'!$IQ$10:$IQ$54,B25))</f>
        <v/>
      </c>
      <c r="F25">
        <f>IF(B25=0,0,INDEX('計算A'!$IP$10:$IP$54,B25))</f>
        <v/>
      </c>
      <c r="G25">
        <f>IF(AND(C25&gt;0,E25&gt;0),IF(AND(INDEX('計算A'!$D$106:$EQ$106,C25)=1,INDEX($IQ25:$OD25,C25)=1),C25+1,0),0)</f>
        <v/>
      </c>
      <c r="H25">
        <f>IF(B25=0,0,INDEX('計算A'!$IW$10:$IW$54,B25))</f>
        <v/>
      </c>
      <c r="I25">
        <f>IF(B25=0,0,MAX(0,INDEX('計算A'!$IT$10:$IT$54,B25)))</f>
        <v/>
      </c>
      <c r="J25">
        <f>IF(I25=0,0,INDEX('計算A'!$D$2:$EQ$2,I25))</f>
        <v/>
      </c>
      <c r="K25">
        <f>IF(I25=0,0,INDEX('計算A'!$D$3:$EQ$3,I25))</f>
        <v/>
      </c>
      <c r="L25">
        <f>IF(B25=0,0,INDEX('計算A'!$IX$10:$IX$54,B25))</f>
        <v/>
      </c>
      <c r="N25">
        <f>MAX(N24,IF($B24=1,1,0))</f>
        <v/>
      </c>
      <c r="O25">
        <f>MAX(O24,IF($B24=2,1,0))</f>
        <v/>
      </c>
      <c r="P25">
        <f>MAX(P24,IF($B24=3,1,0))</f>
        <v/>
      </c>
      <c r="Q25">
        <f>MAX(Q24,IF($B24=4,1,0))</f>
        <v/>
      </c>
      <c r="R25">
        <f>MAX(R24,IF($B24=5,1,0))</f>
        <v/>
      </c>
      <c r="S25">
        <f>MAX(S24,IF($B24=6,1,0))</f>
        <v/>
      </c>
      <c r="T25">
        <f>MAX(T24,IF($B24=7,1,0))</f>
        <v/>
      </c>
      <c r="U25">
        <f>MAX(U24,IF($B24=8,1,0))</f>
        <v/>
      </c>
      <c r="V25">
        <f>MAX(V24,IF($B24=9,1,0))</f>
        <v/>
      </c>
      <c r="W25">
        <f>MAX(W24,IF($B24=10,1,0))</f>
        <v/>
      </c>
      <c r="X25">
        <f>MAX(X24,IF($B24=11,1,0))</f>
        <v/>
      </c>
      <c r="Y25">
        <f>MAX(Y24,IF($B24=12,1,0))</f>
        <v/>
      </c>
      <c r="Z25">
        <f>MAX(Z24,IF($B24=13,1,0))</f>
        <v/>
      </c>
      <c r="AA25">
        <f>MAX(AA24,IF($B24=14,1,0))</f>
        <v/>
      </c>
      <c r="AB25">
        <f>MAX(AB24,IF($B24=15,1,0))</f>
        <v/>
      </c>
      <c r="AC25">
        <f>MAX(AC24,IF($B24=16,1,0))</f>
        <v/>
      </c>
      <c r="AD25">
        <f>MAX(AD24,IF($B24=17,1,0))</f>
        <v/>
      </c>
      <c r="AE25">
        <f>MAX(AE24,IF($B24=18,1,0))</f>
        <v/>
      </c>
      <c r="AF25">
        <f>MAX(AF24,IF($B24=19,1,0))</f>
        <v/>
      </c>
      <c r="AG25">
        <f>MAX(AG24,IF($B24=20,1,0))</f>
        <v/>
      </c>
      <c r="AH25">
        <f>MAX(AH24,IF($B24=21,1,0))</f>
        <v/>
      </c>
      <c r="AI25">
        <f>MAX(AI24,IF($B24=22,1,0))</f>
        <v/>
      </c>
      <c r="AJ25">
        <f>MAX(AJ24,IF($B24=23,1,0))</f>
        <v/>
      </c>
      <c r="AK25">
        <f>MAX(AK24,IF($B24=24,1,0))</f>
        <v/>
      </c>
      <c r="AL25">
        <f>MAX(AL24,IF($B24=25,1,0))</f>
        <v/>
      </c>
      <c r="AM25">
        <f>MAX(AM24,IF($B24=26,1,0))</f>
        <v/>
      </c>
      <c r="AN25">
        <f>MAX(AN24,IF($B24=27,1,0))</f>
        <v/>
      </c>
      <c r="AO25">
        <f>MAX(AO24,IF($B24=28,1,0))</f>
        <v/>
      </c>
      <c r="AP25">
        <f>MAX(AP24,IF($B24=29,1,0))</f>
        <v/>
      </c>
      <c r="AQ25">
        <f>MAX(AQ24,IF($B24=30,1,0))</f>
        <v/>
      </c>
      <c r="AR25">
        <f>MAX(AR24,IF($B24=31,1,0))</f>
        <v/>
      </c>
      <c r="AS25">
        <f>MAX(AS24,IF($B24=32,1,0))</f>
        <v/>
      </c>
      <c r="AT25">
        <f>MAX(AT24,IF($B24=33,1,0))</f>
        <v/>
      </c>
      <c r="AU25">
        <f>MAX(AU24,IF($B24=34,1,0))</f>
        <v/>
      </c>
      <c r="AV25">
        <f>MAX(AV24,IF($B24=35,1,0))</f>
        <v/>
      </c>
      <c r="AW25">
        <f>MAX(AW24,IF($B24=36,1,0))</f>
        <v/>
      </c>
      <c r="AX25">
        <f>MAX(AX24,IF($B24=37,1,0))</f>
        <v/>
      </c>
      <c r="AY25">
        <f>MAX(AY24,IF($B24=38,1,0))</f>
        <v/>
      </c>
      <c r="AZ25">
        <f>MAX(AZ24,IF($B24=39,1,0))</f>
        <v/>
      </c>
      <c r="BA25">
        <f>MAX(BA24,IF($B24=40,1,0))</f>
        <v/>
      </c>
      <c r="BB25">
        <f>MAX(BB24,IF($B24=41,1,0))</f>
        <v/>
      </c>
      <c r="BC25">
        <f>MAX(BC24,IF($B24=42,1,0))</f>
        <v/>
      </c>
      <c r="BD25">
        <f>MAX(BD24,IF($B24=43,1,0))</f>
        <v/>
      </c>
      <c r="BE25">
        <f>MAX(BE24,IF($B24=44,1,0))</f>
        <v/>
      </c>
      <c r="BF25">
        <f>MAX(BF24,IF($B24=45,1,0))</f>
        <v/>
      </c>
      <c r="BH25">
        <f>IF(N25=1,1000000,IF('計算A'!$IT$10&gt;0,0,500000)+IF('計算A'!$IQ$10=2,SUMPRODUCT('計算A'!$D$60:$EQ$60,$DB25:$IO25,$IQ25:$OD25),SUMPRODUCT('計算A'!$D$60:$EQ$60,$DB25:$IO25))*1000+1)</f>
        <v/>
      </c>
      <c r="BI25">
        <f>IF(O25=1,1000000,IF('計算A'!$IT$11&gt;0,0,500000)+IF('計算A'!$IQ$11=2,SUMPRODUCT('計算A'!$D$61:$EQ$61,$DB25:$IO25,$IQ25:$OD25),SUMPRODUCT('計算A'!$D$61:$EQ$61,$DB25:$IO25))*1000+2)</f>
        <v/>
      </c>
      <c r="BJ25">
        <f>IF(P25=1,1000000,IF('計算A'!$IT$12&gt;0,0,500000)+IF('計算A'!$IQ$12=2,SUMPRODUCT('計算A'!$D$62:$EQ$62,$DB25:$IO25,$IQ25:$OD25),SUMPRODUCT('計算A'!$D$62:$EQ$62,$DB25:$IO25))*1000+3)</f>
        <v/>
      </c>
      <c r="BK25">
        <f>IF(Q25=1,1000000,IF('計算A'!$IT$13&gt;0,0,500000)+IF('計算A'!$IQ$13=2,SUMPRODUCT('計算A'!$D$63:$EQ$63,$DB25:$IO25,$IQ25:$OD25),SUMPRODUCT('計算A'!$D$63:$EQ$63,$DB25:$IO25))*1000+4)</f>
        <v/>
      </c>
      <c r="BL25">
        <f>IF(R25=1,1000000,IF('計算A'!$IT$14&gt;0,0,500000)+IF('計算A'!$IQ$14=2,SUMPRODUCT('計算A'!$D$64:$EQ$64,$DB25:$IO25,$IQ25:$OD25),SUMPRODUCT('計算A'!$D$64:$EQ$64,$DB25:$IO25))*1000+5)</f>
        <v/>
      </c>
      <c r="BM25">
        <f>IF(S25=1,1000000,IF('計算A'!$IT$15&gt;0,0,500000)+IF('計算A'!$IQ$15=2,SUMPRODUCT('計算A'!$D$65:$EQ$65,$DB25:$IO25,$IQ25:$OD25),SUMPRODUCT('計算A'!$D$65:$EQ$65,$DB25:$IO25))*1000+6)</f>
        <v/>
      </c>
      <c r="BN25">
        <f>IF(T25=1,1000000,IF('計算A'!$IT$16&gt;0,0,500000)+IF('計算A'!$IQ$16=2,SUMPRODUCT('計算A'!$D$66:$EQ$66,$DB25:$IO25,$IQ25:$OD25),SUMPRODUCT('計算A'!$D$66:$EQ$66,$DB25:$IO25))*1000+7)</f>
        <v/>
      </c>
      <c r="BO25">
        <f>IF(U25=1,1000000,IF('計算A'!$IT$17&gt;0,0,500000)+IF('計算A'!$IQ$17=2,SUMPRODUCT('計算A'!$D$67:$EQ$67,$DB25:$IO25,$IQ25:$OD25),SUMPRODUCT('計算A'!$D$67:$EQ$67,$DB25:$IO25))*1000+8)</f>
        <v/>
      </c>
      <c r="BP25">
        <f>IF(V25=1,1000000,IF('計算A'!$IT$18&gt;0,0,500000)+IF('計算A'!$IQ$18=2,SUMPRODUCT('計算A'!$D$68:$EQ$68,$DB25:$IO25,$IQ25:$OD25),SUMPRODUCT('計算A'!$D$68:$EQ$68,$DB25:$IO25))*1000+9)</f>
        <v/>
      </c>
      <c r="BQ25">
        <f>IF(W25=1,1000000,IF('計算A'!$IT$19&gt;0,0,500000)+IF('計算A'!$IQ$19=2,SUMPRODUCT('計算A'!$D$69:$EQ$69,$DB25:$IO25,$IQ25:$OD25),SUMPRODUCT('計算A'!$D$69:$EQ$69,$DB25:$IO25))*1000+10)</f>
        <v/>
      </c>
      <c r="BR25">
        <f>IF(X25=1,1000000,IF('計算A'!$IT$20&gt;0,0,500000)+IF('計算A'!$IQ$20=2,SUMPRODUCT('計算A'!$D$70:$EQ$70,$DB25:$IO25,$IQ25:$OD25),SUMPRODUCT('計算A'!$D$70:$EQ$70,$DB25:$IO25))*1000+11)</f>
        <v/>
      </c>
      <c r="BS25">
        <f>IF(Y25=1,1000000,IF('計算A'!$IT$21&gt;0,0,500000)+IF('計算A'!$IQ$21=2,SUMPRODUCT('計算A'!$D$71:$EQ$71,$DB25:$IO25,$IQ25:$OD25),SUMPRODUCT('計算A'!$D$71:$EQ$71,$DB25:$IO25))*1000+12)</f>
        <v/>
      </c>
      <c r="BT25">
        <f>IF(Z25=1,1000000,IF('計算A'!$IT$22&gt;0,0,500000)+IF('計算A'!$IQ$22=2,SUMPRODUCT('計算A'!$D$72:$EQ$72,$DB25:$IO25,$IQ25:$OD25),SUMPRODUCT('計算A'!$D$72:$EQ$72,$DB25:$IO25))*1000+13)</f>
        <v/>
      </c>
      <c r="BU25">
        <f>IF(AA25=1,1000000,IF('計算A'!$IT$23&gt;0,0,500000)+IF('計算A'!$IQ$23=2,SUMPRODUCT('計算A'!$D$73:$EQ$73,$DB25:$IO25,$IQ25:$OD25),SUMPRODUCT('計算A'!$D$73:$EQ$73,$DB25:$IO25))*1000+14)</f>
        <v/>
      </c>
      <c r="BV25">
        <f>IF(AB25=1,1000000,IF('計算A'!$IT$24&gt;0,0,500000)+IF('計算A'!$IQ$24=2,SUMPRODUCT('計算A'!$D$74:$EQ$74,$DB25:$IO25,$IQ25:$OD25),SUMPRODUCT('計算A'!$D$74:$EQ$74,$DB25:$IO25))*1000+15)</f>
        <v/>
      </c>
      <c r="BW25">
        <f>IF(AC25=1,1000000,IF('計算A'!$IT$25&gt;0,0,500000)+IF('計算A'!$IQ$25=2,SUMPRODUCT('計算A'!$D$75:$EQ$75,$DB25:$IO25,$IQ25:$OD25),SUMPRODUCT('計算A'!$D$75:$EQ$75,$DB25:$IO25))*1000+16)</f>
        <v/>
      </c>
      <c r="BX25">
        <f>IF(AD25=1,1000000,IF('計算A'!$IT$26&gt;0,0,500000)+IF('計算A'!$IQ$26=2,SUMPRODUCT('計算A'!$D$76:$EQ$76,$DB25:$IO25,$IQ25:$OD25),SUMPRODUCT('計算A'!$D$76:$EQ$76,$DB25:$IO25))*1000+17)</f>
        <v/>
      </c>
      <c r="BY25">
        <f>IF(AE25=1,1000000,IF('計算A'!$IT$27&gt;0,0,500000)+IF('計算A'!$IQ$27=2,SUMPRODUCT('計算A'!$D$77:$EQ$77,$DB25:$IO25,$IQ25:$OD25),SUMPRODUCT('計算A'!$D$77:$EQ$77,$DB25:$IO25))*1000+18)</f>
        <v/>
      </c>
      <c r="BZ25">
        <f>IF(AF25=1,1000000,IF('計算A'!$IT$28&gt;0,0,500000)+IF('計算A'!$IQ$28=2,SUMPRODUCT('計算A'!$D$78:$EQ$78,$DB25:$IO25,$IQ25:$OD25),SUMPRODUCT('計算A'!$D$78:$EQ$78,$DB25:$IO25))*1000+19)</f>
        <v/>
      </c>
      <c r="CA25">
        <f>IF(AG25=1,1000000,IF('計算A'!$IT$29&gt;0,0,500000)+IF('計算A'!$IQ$29=2,SUMPRODUCT('計算A'!$D$79:$EQ$79,$DB25:$IO25,$IQ25:$OD25),SUMPRODUCT('計算A'!$D$79:$EQ$79,$DB25:$IO25))*1000+20)</f>
        <v/>
      </c>
      <c r="CB25">
        <f>IF(AH25=1,1000000,IF('計算A'!$IT$30&gt;0,0,500000)+IF('計算A'!$IQ$30=2,SUMPRODUCT('計算A'!$D$80:$EQ$80,$DB25:$IO25,$IQ25:$OD25),SUMPRODUCT('計算A'!$D$80:$EQ$80,$DB25:$IO25))*1000+21)</f>
        <v/>
      </c>
      <c r="CC25">
        <f>IF(AI25=1,1000000,IF('計算A'!$IT$31&gt;0,0,500000)+IF('計算A'!$IQ$31=2,SUMPRODUCT('計算A'!$D$81:$EQ$81,$DB25:$IO25,$IQ25:$OD25),SUMPRODUCT('計算A'!$D$81:$EQ$81,$DB25:$IO25))*1000+22)</f>
        <v/>
      </c>
      <c r="CD25">
        <f>IF(AJ25=1,1000000,IF('計算A'!$IT$32&gt;0,0,500000)+IF('計算A'!$IQ$32=2,SUMPRODUCT('計算A'!$D$82:$EQ$82,$DB25:$IO25,$IQ25:$OD25),SUMPRODUCT('計算A'!$D$82:$EQ$82,$DB25:$IO25))*1000+23)</f>
        <v/>
      </c>
      <c r="CE25">
        <f>IF(AK25=1,1000000,IF('計算A'!$IT$33&gt;0,0,500000)+IF('計算A'!$IQ$33=2,SUMPRODUCT('計算A'!$D$83:$EQ$83,$DB25:$IO25,$IQ25:$OD25),SUMPRODUCT('計算A'!$D$83:$EQ$83,$DB25:$IO25))*1000+24)</f>
        <v/>
      </c>
      <c r="CF25">
        <f>IF(AL25=1,1000000,IF('計算A'!$IT$34&gt;0,0,500000)+IF('計算A'!$IQ$34=2,SUMPRODUCT('計算A'!$D$84:$EQ$84,$DB25:$IO25,$IQ25:$OD25),SUMPRODUCT('計算A'!$D$84:$EQ$84,$DB25:$IO25))*1000+25)</f>
        <v/>
      </c>
      <c r="CG25">
        <f>IF(AM25=1,1000000,IF('計算A'!$IT$35&gt;0,0,500000)+IF('計算A'!$IQ$35=2,SUMPRODUCT('計算A'!$D$85:$EQ$85,$DB25:$IO25,$IQ25:$OD25),SUMPRODUCT('計算A'!$D$85:$EQ$85,$DB25:$IO25))*1000+26)</f>
        <v/>
      </c>
      <c r="CH25">
        <f>IF(AN25=1,1000000,IF('計算A'!$IT$36&gt;0,0,500000)+IF('計算A'!$IQ$36=2,SUMPRODUCT('計算A'!$D$86:$EQ$86,$DB25:$IO25,$IQ25:$OD25),SUMPRODUCT('計算A'!$D$86:$EQ$86,$DB25:$IO25))*1000+27)</f>
        <v/>
      </c>
      <c r="CI25">
        <f>IF(AO25=1,1000000,IF('計算A'!$IT$37&gt;0,0,500000)+IF('計算A'!$IQ$37=2,SUMPRODUCT('計算A'!$D$87:$EQ$87,$DB25:$IO25,$IQ25:$OD25),SUMPRODUCT('計算A'!$D$87:$EQ$87,$DB25:$IO25))*1000+28)</f>
        <v/>
      </c>
      <c r="CJ25">
        <f>IF(AP25=1,1000000,IF('計算A'!$IT$38&gt;0,0,500000)+IF('計算A'!$IQ$38=2,SUMPRODUCT('計算A'!$D$88:$EQ$88,$DB25:$IO25,$IQ25:$OD25),SUMPRODUCT('計算A'!$D$88:$EQ$88,$DB25:$IO25))*1000+29)</f>
        <v/>
      </c>
      <c r="CK25">
        <f>IF(AQ25=1,1000000,IF('計算A'!$IT$39&gt;0,0,500000)+IF('計算A'!$IQ$39=2,SUMPRODUCT('計算A'!$D$89:$EQ$89,$DB25:$IO25,$IQ25:$OD25),SUMPRODUCT('計算A'!$D$89:$EQ$89,$DB25:$IO25))*1000+30)</f>
        <v/>
      </c>
      <c r="CL25">
        <f>IF(AR25=1,1000000,IF('計算A'!$IT$40&gt;0,0,500000)+IF('計算A'!$IQ$40=2,SUMPRODUCT('計算A'!$D$90:$EQ$90,$DB25:$IO25,$IQ25:$OD25),SUMPRODUCT('計算A'!$D$90:$EQ$90,$DB25:$IO25))*1000+31)</f>
        <v/>
      </c>
      <c r="CM25">
        <f>IF(AS25=1,1000000,IF('計算A'!$IT$41&gt;0,0,500000)+IF('計算A'!$IQ$41=2,SUMPRODUCT('計算A'!$D$91:$EQ$91,$DB25:$IO25,$IQ25:$OD25),SUMPRODUCT('計算A'!$D$91:$EQ$91,$DB25:$IO25))*1000+32)</f>
        <v/>
      </c>
      <c r="CN25">
        <f>IF(AT25=1,1000000,IF('計算A'!$IT$42&gt;0,0,500000)+IF('計算A'!$IQ$42=2,SUMPRODUCT('計算A'!$D$92:$EQ$92,$DB25:$IO25,$IQ25:$OD25),SUMPRODUCT('計算A'!$D$92:$EQ$92,$DB25:$IO25))*1000+33)</f>
        <v/>
      </c>
      <c r="CO25">
        <f>IF(AU25=1,1000000,IF('計算A'!$IT$43&gt;0,0,500000)+IF('計算A'!$IQ$43=2,SUMPRODUCT('計算A'!$D$93:$EQ$93,$DB25:$IO25,$IQ25:$OD25),SUMPRODUCT('計算A'!$D$93:$EQ$93,$DB25:$IO25))*1000+34)</f>
        <v/>
      </c>
      <c r="CP25">
        <f>IF(AV25=1,1000000,IF('計算A'!$IT$44&gt;0,0,500000)+IF('計算A'!$IQ$44=2,SUMPRODUCT('計算A'!$D$94:$EQ$94,$DB25:$IO25,$IQ25:$OD25),SUMPRODUCT('計算A'!$D$94:$EQ$94,$DB25:$IO25))*1000+35)</f>
        <v/>
      </c>
      <c r="CQ25">
        <f>IF(AW25=1,1000000,IF('計算A'!$IT$45&gt;0,0,500000)+IF('計算A'!$IQ$45=2,SUMPRODUCT('計算A'!$D$95:$EQ$95,$DB25:$IO25,$IQ25:$OD25),SUMPRODUCT('計算A'!$D$95:$EQ$95,$DB25:$IO25))*1000+36)</f>
        <v/>
      </c>
      <c r="CR25">
        <f>IF(AX25=1,1000000,IF('計算A'!$IT$46&gt;0,0,500000)+IF('計算A'!$IQ$46=2,SUMPRODUCT('計算A'!$D$96:$EQ$96,$DB25:$IO25,$IQ25:$OD25),SUMPRODUCT('計算A'!$D$96:$EQ$96,$DB25:$IO25))*1000+37)</f>
        <v/>
      </c>
      <c r="CS25">
        <f>IF(AY25=1,1000000,IF('計算A'!$IT$47&gt;0,0,500000)+IF('計算A'!$IQ$47=2,SUMPRODUCT('計算A'!$D$97:$EQ$97,$DB25:$IO25,$IQ25:$OD25),SUMPRODUCT('計算A'!$D$97:$EQ$97,$DB25:$IO25))*1000+38)</f>
        <v/>
      </c>
      <c r="CT25">
        <f>IF(AZ25=1,1000000,IF('計算A'!$IT$48&gt;0,0,500000)+IF('計算A'!$IQ$48=2,SUMPRODUCT('計算A'!$D$98:$EQ$98,$DB25:$IO25,$IQ25:$OD25),SUMPRODUCT('計算A'!$D$98:$EQ$98,$DB25:$IO25))*1000+39)</f>
        <v/>
      </c>
      <c r="CU25">
        <f>IF(BA25=1,1000000,IF('計算A'!$IT$49&gt;0,0,500000)+IF('計算A'!$IQ$49=2,SUMPRODUCT('計算A'!$D$99:$EQ$99,$DB25:$IO25,$IQ25:$OD25),SUMPRODUCT('計算A'!$D$99:$EQ$99,$DB25:$IO25))*1000+40)</f>
        <v/>
      </c>
      <c r="CV25">
        <f>IF(BB25=1,1000000,IF('計算A'!$IT$50&gt;0,0,500000)+IF('計算A'!$IQ$50=2,SUMPRODUCT('計算A'!$D$100:$EQ$100,$DB25:$IO25,$IQ25:$OD25),SUMPRODUCT('計算A'!$D$100:$EQ$100,$DB25:$IO25))*1000+41)</f>
        <v/>
      </c>
      <c r="CW25">
        <f>IF(BC25=1,1000000,IF('計算A'!$IT$51&gt;0,0,500000)+IF('計算A'!$IQ$51=2,SUMPRODUCT('計算A'!$D$101:$EQ$101,$DB25:$IO25,$IQ25:$OD25),SUMPRODUCT('計算A'!$D$101:$EQ$101,$DB25:$IO25))*1000+42)</f>
        <v/>
      </c>
      <c r="CX25">
        <f>IF(BD25=1,1000000,IF('計算A'!$IT$52&gt;0,0,500000)+IF('計算A'!$IQ$52=2,SUMPRODUCT('計算A'!$D$102:$EQ$102,$DB25:$IO25,$IQ25:$OD25),SUMPRODUCT('計算A'!$D$102:$EQ$102,$DB25:$IO25))*1000+43)</f>
        <v/>
      </c>
      <c r="CY25">
        <f>IF(BE25=1,1000000,IF('計算A'!$IT$53&gt;0,0,500000)+IF('計算A'!$IQ$53=2,SUMPRODUCT('計算A'!$D$103:$EQ$103,$DB25:$IO25,$IQ25:$OD25),SUMPRODUCT('計算A'!$D$103:$EQ$103,$DB25:$IO25))*1000+44)</f>
        <v/>
      </c>
      <c r="CZ25">
        <f>IF(BF25=1,1000000,IF('計算A'!$IT$54&gt;0,0,500000)+IF('計算A'!$IQ$54=2,SUMPRODUCT('計算A'!$D$104:$EQ$104,$DB25:$IO25,$IQ25:$OD25),SUMPRODUCT('計算A'!$D$104:$EQ$104,$DB25:$IO25))*1000+45)</f>
        <v/>
      </c>
      <c r="DB25">
        <f>DB24*IF(OR($C24=1,$G24=1),0,1)</f>
        <v/>
      </c>
      <c r="DC25">
        <f>DC24*IF(OR($C24=2,$G24=2),0,1)</f>
        <v/>
      </c>
      <c r="DD25">
        <f>DD24*IF(OR($C24=3,$G24=3),0,1)</f>
        <v/>
      </c>
      <c r="DE25">
        <f>DE24*IF(OR($C24=4,$G24=4),0,1)</f>
        <v/>
      </c>
      <c r="DF25">
        <f>DF24*IF(OR($C24=5,$G24=5),0,1)</f>
        <v/>
      </c>
      <c r="DG25">
        <f>DG24*IF(OR($C24=6,$G24=6),0,1)</f>
        <v/>
      </c>
      <c r="DH25">
        <f>DH24*IF(OR($C24=7,$G24=7),0,1)</f>
        <v/>
      </c>
      <c r="DI25">
        <f>DI24*IF(OR($C24=8,$G24=8),0,1)</f>
        <v/>
      </c>
      <c r="DJ25">
        <f>DJ24*IF(OR($C24=9,$G24=9),0,1)</f>
        <v/>
      </c>
      <c r="DK25">
        <f>DK24*IF(OR($C24=10,$G24=10),0,1)</f>
        <v/>
      </c>
      <c r="DL25">
        <f>DL24*IF(OR($C24=11,$G24=11),0,1)</f>
        <v/>
      </c>
      <c r="DM25">
        <f>DM24*IF(OR($C24=12,$G24=12),0,1)</f>
        <v/>
      </c>
      <c r="DN25">
        <f>DN24*IF(OR($C24=13,$G24=13),0,1)</f>
        <v/>
      </c>
      <c r="DO25">
        <f>DO24*IF(OR($C24=14,$G24=14),0,1)</f>
        <v/>
      </c>
      <c r="DP25">
        <f>DP24*IF(OR($C24=15,$G24=15),0,1)</f>
        <v/>
      </c>
      <c r="DQ25">
        <f>DQ24*IF(OR($C24=16,$G24=16),0,1)</f>
        <v/>
      </c>
      <c r="DR25">
        <f>DR24*IF(OR($C24=17,$G24=17),0,1)</f>
        <v/>
      </c>
      <c r="DS25">
        <f>DS24*IF(OR($C24=18,$G24=18),0,1)</f>
        <v/>
      </c>
      <c r="DT25">
        <f>DT24*IF(OR($C24=19,$G24=19),0,1)</f>
        <v/>
      </c>
      <c r="DU25">
        <f>DU24*IF(OR($C24=20,$G24=20),0,1)</f>
        <v/>
      </c>
      <c r="DV25">
        <f>DV24*IF(OR($C24=21,$G24=21),0,1)</f>
        <v/>
      </c>
      <c r="DW25">
        <f>DW24*IF(OR($C24=22,$G24=22),0,1)</f>
        <v/>
      </c>
      <c r="DX25">
        <f>DX24*IF(OR($C24=23,$G24=23),0,1)</f>
        <v/>
      </c>
      <c r="DY25">
        <f>DY24*IF(OR($C24=24,$G24=24),0,1)</f>
        <v/>
      </c>
      <c r="DZ25">
        <f>DZ24*IF(OR($C24=25,$G24=25),0,1)</f>
        <v/>
      </c>
      <c r="EA25">
        <f>EA24*IF(OR($C24=26,$G24=26),0,1)</f>
        <v/>
      </c>
      <c r="EB25">
        <f>EB24*IF(OR($C24=27,$G24=27),0,1)</f>
        <v/>
      </c>
      <c r="EC25">
        <f>EC24*IF(OR($C24=28,$G24=28),0,1)</f>
        <v/>
      </c>
      <c r="ED25">
        <f>ED24*IF(OR($C24=29,$G24=29),0,1)</f>
        <v/>
      </c>
      <c r="EE25">
        <f>EE24*IF(OR($C24=30,$G24=30),0,1)</f>
        <v/>
      </c>
      <c r="EF25">
        <f>EF24*IF(OR($C24=31,$G24=31),0,1)</f>
        <v/>
      </c>
      <c r="EG25">
        <f>EG24*IF(OR($C24=32,$G24=32),0,1)</f>
        <v/>
      </c>
      <c r="EH25">
        <f>EH24*IF(OR($C24=33,$G24=33),0,1)</f>
        <v/>
      </c>
      <c r="EI25">
        <f>EI24*IF(OR($C24=34,$G24=34),0,1)</f>
        <v/>
      </c>
      <c r="EJ25">
        <f>EJ24*IF(OR($C24=35,$G24=35),0,1)</f>
        <v/>
      </c>
      <c r="EK25">
        <f>EK24*IF(OR($C24=36,$G24=36),0,1)</f>
        <v/>
      </c>
      <c r="EL25">
        <f>EL24*IF(OR($C24=37,$G24=37),0,1)</f>
        <v/>
      </c>
      <c r="EM25">
        <f>EM24*IF(OR($C24=38,$G24=38),0,1)</f>
        <v/>
      </c>
      <c r="EN25">
        <f>EN24*IF(OR($C24=39,$G24=39),0,1)</f>
        <v/>
      </c>
      <c r="EO25">
        <f>EO24*IF(OR($C24=40,$G24=40),0,1)</f>
        <v/>
      </c>
      <c r="EP25">
        <f>EP24*IF(OR($C24=41,$G24=41),0,1)</f>
        <v/>
      </c>
      <c r="EQ25">
        <f>EQ24*IF(OR($C24=42,$G24=42),0,1)</f>
        <v/>
      </c>
      <c r="ER25">
        <f>ER24*IF(OR($C24=43,$G24=43),0,1)</f>
        <v/>
      </c>
      <c r="ES25">
        <f>ES24*IF(OR($C24=44,$G24=44),0,1)</f>
        <v/>
      </c>
      <c r="ET25">
        <f>ET24*IF(OR($C24=45,$G24=45),0,1)</f>
        <v/>
      </c>
      <c r="EU25">
        <f>EU24*IF(OR($C24=46,$G24=46),0,1)</f>
        <v/>
      </c>
      <c r="EV25">
        <f>EV24*IF(OR($C24=47,$G24=47),0,1)</f>
        <v/>
      </c>
      <c r="EW25">
        <f>EW24*IF(OR($C24=48,$G24=48),0,1)</f>
        <v/>
      </c>
      <c r="EX25">
        <f>EX24*IF(OR($C24=49,$G24=49),0,1)</f>
        <v/>
      </c>
      <c r="EY25">
        <f>EY24*IF(OR($C24=50,$G24=50),0,1)</f>
        <v/>
      </c>
      <c r="EZ25">
        <f>EZ24*IF(OR($C24=51,$G24=51),0,1)</f>
        <v/>
      </c>
      <c r="FA25">
        <f>FA24*IF(OR($C24=52,$G24=52),0,1)</f>
        <v/>
      </c>
      <c r="FB25">
        <f>FB24*IF(OR($C24=53,$G24=53),0,1)</f>
        <v/>
      </c>
      <c r="FC25">
        <f>FC24*IF(OR($C24=54,$G24=54),0,1)</f>
        <v/>
      </c>
      <c r="FD25">
        <f>FD24*IF(OR($C24=55,$G24=55),0,1)</f>
        <v/>
      </c>
      <c r="FE25">
        <f>FE24*IF(OR($C24=56,$G24=56),0,1)</f>
        <v/>
      </c>
      <c r="FF25">
        <f>FF24*IF(OR($C24=57,$G24=57),0,1)</f>
        <v/>
      </c>
      <c r="FG25">
        <f>FG24*IF(OR($C24=58,$G24=58),0,1)</f>
        <v/>
      </c>
      <c r="FH25">
        <f>FH24*IF(OR($C24=59,$G24=59),0,1)</f>
        <v/>
      </c>
      <c r="FI25">
        <f>FI24*IF(OR($C24=60,$G24=60),0,1)</f>
        <v/>
      </c>
      <c r="FJ25">
        <f>FJ24*IF(OR($C24=61,$G24=61),0,1)</f>
        <v/>
      </c>
      <c r="FK25">
        <f>FK24*IF(OR($C24=62,$G24=62),0,1)</f>
        <v/>
      </c>
      <c r="FL25">
        <f>FL24*IF(OR($C24=63,$G24=63),0,1)</f>
        <v/>
      </c>
      <c r="FM25">
        <f>FM24*IF(OR($C24=64,$G24=64),0,1)</f>
        <v/>
      </c>
      <c r="FN25">
        <f>FN24*IF(OR($C24=65,$G24=65),0,1)</f>
        <v/>
      </c>
      <c r="FO25">
        <f>FO24*IF(OR($C24=66,$G24=66),0,1)</f>
        <v/>
      </c>
      <c r="FP25">
        <f>FP24*IF(OR($C24=67,$G24=67),0,1)</f>
        <v/>
      </c>
      <c r="FQ25">
        <f>FQ24*IF(OR($C24=68,$G24=68),0,1)</f>
        <v/>
      </c>
      <c r="FR25">
        <f>FR24*IF(OR($C24=69,$G24=69),0,1)</f>
        <v/>
      </c>
      <c r="FS25">
        <f>FS24*IF(OR($C24=70,$G24=70),0,1)</f>
        <v/>
      </c>
      <c r="FT25">
        <f>FT24*IF(OR($C24=71,$G24=71),0,1)</f>
        <v/>
      </c>
      <c r="FU25">
        <f>FU24*IF(OR($C24=72,$G24=72),0,1)</f>
        <v/>
      </c>
      <c r="FV25">
        <f>FV24*IF(OR($C24=73,$G24=73),0,1)</f>
        <v/>
      </c>
      <c r="FW25">
        <f>FW24*IF(OR($C24=74,$G24=74),0,1)</f>
        <v/>
      </c>
      <c r="FX25">
        <f>FX24*IF(OR($C24=75,$G24=75),0,1)</f>
        <v/>
      </c>
      <c r="FY25">
        <f>FY24*IF(OR($C24=76,$G24=76),0,1)</f>
        <v/>
      </c>
      <c r="FZ25">
        <f>FZ24*IF(OR($C24=77,$G24=77),0,1)</f>
        <v/>
      </c>
      <c r="GA25">
        <f>GA24*IF(OR($C24=78,$G24=78),0,1)</f>
        <v/>
      </c>
      <c r="GB25">
        <f>GB24*IF(OR($C24=79,$G24=79),0,1)</f>
        <v/>
      </c>
      <c r="GC25">
        <f>GC24*IF(OR($C24=80,$G24=80),0,1)</f>
        <v/>
      </c>
      <c r="GD25">
        <f>GD24*IF(OR($C24=81,$G24=81),0,1)</f>
        <v/>
      </c>
      <c r="GE25">
        <f>GE24*IF(OR($C24=82,$G24=82),0,1)</f>
        <v/>
      </c>
      <c r="GF25">
        <f>GF24*IF(OR($C24=83,$G24=83),0,1)</f>
        <v/>
      </c>
      <c r="GG25">
        <f>GG24*IF(OR($C24=84,$G24=84),0,1)</f>
        <v/>
      </c>
      <c r="GH25">
        <f>GH24*IF(OR($C24=85,$G24=85),0,1)</f>
        <v/>
      </c>
      <c r="GI25">
        <f>GI24*IF(OR($C24=86,$G24=86),0,1)</f>
        <v/>
      </c>
      <c r="GJ25">
        <f>GJ24*IF(OR($C24=87,$G24=87),0,1)</f>
        <v/>
      </c>
      <c r="GK25">
        <f>GK24*IF(OR($C24=88,$G24=88),0,1)</f>
        <v/>
      </c>
      <c r="GL25">
        <f>GL24*IF(OR($C24=89,$G24=89),0,1)</f>
        <v/>
      </c>
      <c r="GM25">
        <f>GM24*IF(OR($C24=90,$G24=90),0,1)</f>
        <v/>
      </c>
      <c r="GN25">
        <f>GN24*IF(OR($C24=91,$G24=91),0,1)</f>
        <v/>
      </c>
      <c r="GO25">
        <f>GO24*IF(OR($C24=92,$G24=92),0,1)</f>
        <v/>
      </c>
      <c r="GP25">
        <f>GP24*IF(OR($C24=93,$G24=93),0,1)</f>
        <v/>
      </c>
      <c r="GQ25">
        <f>GQ24*IF(OR($C24=94,$G24=94),0,1)</f>
        <v/>
      </c>
      <c r="GR25">
        <f>GR24*IF(OR($C24=95,$G24=95),0,1)</f>
        <v/>
      </c>
      <c r="GS25">
        <f>GS24*IF(OR($C24=96,$G24=96),0,1)</f>
        <v/>
      </c>
      <c r="GT25">
        <f>GT24*IF(OR($C24=97,$G24=97),0,1)</f>
        <v/>
      </c>
      <c r="GU25">
        <f>GU24*IF(OR($C24=98,$G24=98),0,1)</f>
        <v/>
      </c>
      <c r="GV25">
        <f>GV24*IF(OR($C24=99,$G24=99),0,1)</f>
        <v/>
      </c>
      <c r="GW25">
        <f>GW24*IF(OR($C24=100,$G24=100),0,1)</f>
        <v/>
      </c>
      <c r="GX25">
        <f>GX24*IF(OR($C24=101,$G24=101),0,1)</f>
        <v/>
      </c>
      <c r="GY25">
        <f>GY24*IF(OR($C24=102,$G24=102),0,1)</f>
        <v/>
      </c>
      <c r="GZ25">
        <f>GZ24*IF(OR($C24=103,$G24=103),0,1)</f>
        <v/>
      </c>
      <c r="HA25">
        <f>HA24*IF(OR($C24=104,$G24=104),0,1)</f>
        <v/>
      </c>
      <c r="HB25">
        <f>HB24*IF(OR($C24=105,$G24=105),0,1)</f>
        <v/>
      </c>
      <c r="HC25">
        <f>HC24*IF(OR($C24=106,$G24=106),0,1)</f>
        <v/>
      </c>
      <c r="HD25">
        <f>HD24*IF(OR($C24=107,$G24=107),0,1)</f>
        <v/>
      </c>
      <c r="HE25">
        <f>HE24*IF(OR($C24=108,$G24=108),0,1)</f>
        <v/>
      </c>
      <c r="HF25">
        <f>HF24*IF(OR($C24=109,$G24=109),0,1)</f>
        <v/>
      </c>
      <c r="HG25">
        <f>HG24*IF(OR($C24=110,$G24=110),0,1)</f>
        <v/>
      </c>
      <c r="HH25">
        <f>HH24*IF(OR($C24=111,$G24=111),0,1)</f>
        <v/>
      </c>
      <c r="HI25">
        <f>HI24*IF(OR($C24=112,$G24=112),0,1)</f>
        <v/>
      </c>
      <c r="HJ25">
        <f>HJ24*IF(OR($C24=113,$G24=113),0,1)</f>
        <v/>
      </c>
      <c r="HK25">
        <f>HK24*IF(OR($C24=114,$G24=114),0,1)</f>
        <v/>
      </c>
      <c r="HL25">
        <f>HL24*IF(OR($C24=115,$G24=115),0,1)</f>
        <v/>
      </c>
      <c r="HM25">
        <f>HM24*IF(OR($C24=116,$G24=116),0,1)</f>
        <v/>
      </c>
      <c r="HN25">
        <f>HN24*IF(OR($C24=117,$G24=117),0,1)</f>
        <v/>
      </c>
      <c r="HO25">
        <f>HO24*IF(OR($C24=118,$G24=118),0,1)</f>
        <v/>
      </c>
      <c r="HP25">
        <f>HP24*IF(OR($C24=119,$G24=119),0,1)</f>
        <v/>
      </c>
      <c r="HQ25">
        <f>HQ24*IF(OR($C24=120,$G24=120),0,1)</f>
        <v/>
      </c>
      <c r="HR25">
        <f>HR24*IF(OR($C24=121,$G24=121),0,1)</f>
        <v/>
      </c>
      <c r="HS25">
        <f>HS24*IF(OR($C24=122,$G24=122),0,1)</f>
        <v/>
      </c>
      <c r="HT25">
        <f>HT24*IF(OR($C24=123,$G24=123),0,1)</f>
        <v/>
      </c>
      <c r="HU25">
        <f>HU24*IF(OR($C24=124,$G24=124),0,1)</f>
        <v/>
      </c>
      <c r="HV25">
        <f>HV24*IF(OR($C24=125,$G24=125),0,1)</f>
        <v/>
      </c>
      <c r="HW25">
        <f>HW24*IF(OR($C24=126,$G24=126),0,1)</f>
        <v/>
      </c>
      <c r="HX25">
        <f>HX24*IF(OR($C24=127,$G24=127),0,1)</f>
        <v/>
      </c>
      <c r="HY25">
        <f>HY24*IF(OR($C24=128,$G24=128),0,1)</f>
        <v/>
      </c>
      <c r="HZ25">
        <f>HZ24*IF(OR($C24=129,$G24=129),0,1)</f>
        <v/>
      </c>
      <c r="IA25">
        <f>IA24*IF(OR($C24=130,$G24=130),0,1)</f>
        <v/>
      </c>
      <c r="IB25">
        <f>IB24*IF(OR($C24=131,$G24=131),0,1)</f>
        <v/>
      </c>
      <c r="IC25">
        <f>IC24*IF(OR($C24=132,$G24=132),0,1)</f>
        <v/>
      </c>
      <c r="ID25">
        <f>ID24*IF(OR($C24=133,$G24=133),0,1)</f>
        <v/>
      </c>
      <c r="IE25">
        <f>IE24*IF(OR($C24=134,$G24=134),0,1)</f>
        <v/>
      </c>
      <c r="IF25">
        <f>IF24*IF(OR($C24=135,$G24=135),0,1)</f>
        <v/>
      </c>
      <c r="IG25">
        <f>IG24*IF(OR($C24=136,$G24=136),0,1)</f>
        <v/>
      </c>
      <c r="IH25">
        <f>IH24*IF(OR($C24=137,$G24=137),0,1)</f>
        <v/>
      </c>
      <c r="II25">
        <f>II24*IF(OR($C24=138,$G24=138),0,1)</f>
        <v/>
      </c>
      <c r="IJ25">
        <f>IJ24*IF(OR($C24=139,$G24=139),0,1)</f>
        <v/>
      </c>
      <c r="IK25">
        <f>IK24*IF(OR($C24=140,$G24=140),0,1)</f>
        <v/>
      </c>
      <c r="IL25">
        <f>IL24*IF(OR($C24=141,$G24=141),0,1)</f>
        <v/>
      </c>
      <c r="IM25">
        <f>IM24*IF(OR($C24=142,$G24=142),0,1)</f>
        <v/>
      </c>
      <c r="IN25">
        <f>IN24*IF(OR($C24=143,$G24=143),0,1)</f>
        <v/>
      </c>
      <c r="IO25">
        <f>IO24*IF(OR($C24=144,$G24=144),0,1)</f>
        <v/>
      </c>
      <c r="IQ25">
        <f>IF('計算A'!D$106=1,DC25,1)</f>
        <v/>
      </c>
      <c r="IR25">
        <f>IF('計算A'!E$106=1,DD25,1)</f>
        <v/>
      </c>
      <c r="IS25">
        <f>IF('計算A'!F$106=1,DE25,1)</f>
        <v/>
      </c>
      <c r="IT25">
        <f>IF('計算A'!G$106=1,DF25,1)</f>
        <v/>
      </c>
      <c r="IU25">
        <f>IF('計算A'!H$106=1,DG25,1)</f>
        <v/>
      </c>
      <c r="IV25">
        <f>IF('計算A'!I$106=1,DH25,1)</f>
        <v/>
      </c>
      <c r="IW25">
        <f>IF('計算A'!J$106=1,DI25,1)</f>
        <v/>
      </c>
      <c r="IX25">
        <f>IF('計算A'!K$106=1,DJ25,1)</f>
        <v/>
      </c>
      <c r="IY25">
        <f>IF('計算A'!L$106=1,DK25,1)</f>
        <v/>
      </c>
      <c r="IZ25">
        <f>IF('計算A'!M$106=1,DL25,1)</f>
        <v/>
      </c>
      <c r="JA25">
        <f>IF('計算A'!N$106=1,DM25,1)</f>
        <v/>
      </c>
      <c r="JB25">
        <f>IF('計算A'!O$106=1,DN25,1)</f>
        <v/>
      </c>
      <c r="JC25">
        <f>IF('計算A'!P$106=1,DO25,1)</f>
        <v/>
      </c>
      <c r="JD25">
        <f>IF('計算A'!Q$106=1,DP25,1)</f>
        <v/>
      </c>
      <c r="JE25">
        <f>IF('計算A'!R$106=1,DQ25,1)</f>
        <v/>
      </c>
      <c r="JF25">
        <f>IF('計算A'!S$106=1,DR25,1)</f>
        <v/>
      </c>
      <c r="JG25">
        <f>IF('計算A'!T$106=1,DS25,1)</f>
        <v/>
      </c>
      <c r="JH25">
        <f>IF('計算A'!U$106=1,DT25,1)</f>
        <v/>
      </c>
      <c r="JI25">
        <f>IF('計算A'!V$106=1,DU25,1)</f>
        <v/>
      </c>
      <c r="JJ25">
        <f>IF('計算A'!W$106=1,DV25,1)</f>
        <v/>
      </c>
      <c r="JK25">
        <f>IF('計算A'!X$106=1,DW25,1)</f>
        <v/>
      </c>
      <c r="JL25">
        <f>IF('計算A'!Y$106=1,DX25,1)</f>
        <v/>
      </c>
      <c r="JM25">
        <f>IF('計算A'!Z$106=1,DY25,1)</f>
        <v/>
      </c>
      <c r="JN25">
        <f>IF('計算A'!AA$106=1,DZ25,1)</f>
        <v/>
      </c>
      <c r="JO25">
        <f>IF('計算A'!AB$106=1,EA25,1)</f>
        <v/>
      </c>
      <c r="JP25">
        <f>IF('計算A'!AC$106=1,EB25,1)</f>
        <v/>
      </c>
      <c r="JQ25">
        <f>IF('計算A'!AD$106=1,EC25,1)</f>
        <v/>
      </c>
      <c r="JR25">
        <f>IF('計算A'!AE$106=1,ED25,1)</f>
        <v/>
      </c>
      <c r="JS25">
        <f>IF('計算A'!AF$106=1,EE25,1)</f>
        <v/>
      </c>
      <c r="JT25">
        <f>IF('計算A'!AG$106=1,EF25,1)</f>
        <v/>
      </c>
      <c r="JU25">
        <f>IF('計算A'!AH$106=1,EG25,1)</f>
        <v/>
      </c>
      <c r="JV25">
        <f>IF('計算A'!AI$106=1,EH25,1)</f>
        <v/>
      </c>
      <c r="JW25">
        <f>IF('計算A'!AJ$106=1,EI25,1)</f>
        <v/>
      </c>
      <c r="JX25">
        <f>IF('計算A'!AK$106=1,EJ25,1)</f>
        <v/>
      </c>
      <c r="JY25">
        <f>IF('計算A'!AL$106=1,EK25,1)</f>
        <v/>
      </c>
      <c r="JZ25">
        <f>IF('計算A'!AM$106=1,EL25,1)</f>
        <v/>
      </c>
      <c r="KA25">
        <f>IF('計算A'!AN$106=1,EM25,1)</f>
        <v/>
      </c>
      <c r="KB25">
        <f>IF('計算A'!AO$106=1,EN25,1)</f>
        <v/>
      </c>
      <c r="KC25">
        <f>IF('計算A'!AP$106=1,EO25,1)</f>
        <v/>
      </c>
      <c r="KD25">
        <f>IF('計算A'!AQ$106=1,EP25,1)</f>
        <v/>
      </c>
      <c r="KE25">
        <f>IF('計算A'!AR$106=1,EQ25,1)</f>
        <v/>
      </c>
      <c r="KF25">
        <f>IF('計算A'!AS$106=1,ER25,1)</f>
        <v/>
      </c>
      <c r="KG25">
        <f>IF('計算A'!AT$106=1,ES25,1)</f>
        <v/>
      </c>
      <c r="KH25">
        <f>IF('計算A'!AU$106=1,ET25,1)</f>
        <v/>
      </c>
      <c r="KI25">
        <f>IF('計算A'!AV$106=1,EU25,1)</f>
        <v/>
      </c>
      <c r="KJ25">
        <f>IF('計算A'!AW$106=1,EV25,1)</f>
        <v/>
      </c>
      <c r="KK25">
        <f>IF('計算A'!AX$106=1,EW25,1)</f>
        <v/>
      </c>
      <c r="KL25">
        <f>IF('計算A'!AY$106=1,EX25,1)</f>
        <v/>
      </c>
      <c r="KM25">
        <f>IF('計算A'!AZ$106=1,EY25,1)</f>
        <v/>
      </c>
      <c r="KN25">
        <f>IF('計算A'!BA$106=1,EZ25,1)</f>
        <v/>
      </c>
      <c r="KO25">
        <f>IF('計算A'!BB$106=1,FA25,1)</f>
        <v/>
      </c>
      <c r="KP25">
        <f>IF('計算A'!BC$106=1,FB25,1)</f>
        <v/>
      </c>
      <c r="KQ25">
        <f>IF('計算A'!BD$106=1,FC25,1)</f>
        <v/>
      </c>
      <c r="KR25">
        <f>IF('計算A'!BE$106=1,FD25,1)</f>
        <v/>
      </c>
      <c r="KS25">
        <f>IF('計算A'!BF$106=1,FE25,1)</f>
        <v/>
      </c>
      <c r="KT25">
        <f>IF('計算A'!BG$106=1,FF25,1)</f>
        <v/>
      </c>
      <c r="KU25">
        <f>IF('計算A'!BH$106=1,FG25,1)</f>
        <v/>
      </c>
      <c r="KV25">
        <f>IF('計算A'!BI$106=1,FH25,1)</f>
        <v/>
      </c>
      <c r="KW25">
        <f>IF('計算A'!BJ$106=1,FI25,1)</f>
        <v/>
      </c>
      <c r="KX25">
        <f>IF('計算A'!BK$106=1,FJ25,1)</f>
        <v/>
      </c>
      <c r="KY25">
        <f>IF('計算A'!BL$106=1,FK25,1)</f>
        <v/>
      </c>
      <c r="KZ25">
        <f>IF('計算A'!BM$106=1,FL25,1)</f>
        <v/>
      </c>
      <c r="LA25">
        <f>IF('計算A'!BN$106=1,FM25,1)</f>
        <v/>
      </c>
      <c r="LB25">
        <f>IF('計算A'!BO$106=1,FN25,1)</f>
        <v/>
      </c>
      <c r="LC25">
        <f>IF('計算A'!BP$106=1,FO25,1)</f>
        <v/>
      </c>
      <c r="LD25">
        <f>IF('計算A'!BQ$106=1,FP25,1)</f>
        <v/>
      </c>
      <c r="LE25">
        <f>IF('計算A'!BR$106=1,FQ25,1)</f>
        <v/>
      </c>
      <c r="LF25">
        <f>IF('計算A'!BS$106=1,FR25,1)</f>
        <v/>
      </c>
      <c r="LG25">
        <f>IF('計算A'!BT$106=1,FS25,1)</f>
        <v/>
      </c>
      <c r="LH25">
        <f>IF('計算A'!BU$106=1,FT25,1)</f>
        <v/>
      </c>
      <c r="LI25">
        <f>IF('計算A'!BV$106=1,FU25,1)</f>
        <v/>
      </c>
      <c r="LJ25">
        <f>IF('計算A'!BW$106=1,FV25,1)</f>
        <v/>
      </c>
      <c r="LK25">
        <f>IF('計算A'!BX$106=1,FW25,1)</f>
        <v/>
      </c>
      <c r="LL25">
        <f>IF('計算A'!BY$106=1,FX25,1)</f>
        <v/>
      </c>
      <c r="LM25">
        <f>IF('計算A'!BZ$106=1,FY25,1)</f>
        <v/>
      </c>
      <c r="LN25">
        <f>IF('計算A'!CA$106=1,FZ25,1)</f>
        <v/>
      </c>
      <c r="LO25">
        <f>IF('計算A'!CB$106=1,GA25,1)</f>
        <v/>
      </c>
      <c r="LP25">
        <f>IF('計算A'!CC$106=1,GB25,1)</f>
        <v/>
      </c>
      <c r="LQ25">
        <f>IF('計算A'!CD$106=1,GC25,1)</f>
        <v/>
      </c>
      <c r="LR25">
        <f>IF('計算A'!CE$106=1,GD25,1)</f>
        <v/>
      </c>
      <c r="LS25">
        <f>IF('計算A'!CF$106=1,GE25,1)</f>
        <v/>
      </c>
      <c r="LT25">
        <f>IF('計算A'!CG$106=1,GF25,1)</f>
        <v/>
      </c>
      <c r="LU25">
        <f>IF('計算A'!CH$106=1,GG25,1)</f>
        <v/>
      </c>
      <c r="LV25">
        <f>IF('計算A'!CI$106=1,GH25,1)</f>
        <v/>
      </c>
      <c r="LW25">
        <f>IF('計算A'!CJ$106=1,GI25,1)</f>
        <v/>
      </c>
      <c r="LX25">
        <f>IF('計算A'!CK$106=1,GJ25,1)</f>
        <v/>
      </c>
      <c r="LY25">
        <f>IF('計算A'!CL$106=1,GK25,1)</f>
        <v/>
      </c>
      <c r="LZ25">
        <f>IF('計算A'!CM$106=1,GL25,1)</f>
        <v/>
      </c>
      <c r="MA25">
        <f>IF('計算A'!CN$106=1,GM25,1)</f>
        <v/>
      </c>
      <c r="MB25">
        <f>IF('計算A'!CO$106=1,GN25,1)</f>
        <v/>
      </c>
      <c r="MC25">
        <f>IF('計算A'!CP$106=1,GO25,1)</f>
        <v/>
      </c>
      <c r="MD25">
        <f>IF('計算A'!CQ$106=1,GP25,1)</f>
        <v/>
      </c>
      <c r="ME25">
        <f>IF('計算A'!CR$106=1,GQ25,1)</f>
        <v/>
      </c>
      <c r="MF25">
        <f>IF('計算A'!CS$106=1,GR25,1)</f>
        <v/>
      </c>
      <c r="MG25">
        <f>IF('計算A'!CT$106=1,GS25,1)</f>
        <v/>
      </c>
      <c r="MH25">
        <f>IF('計算A'!CU$106=1,GT25,1)</f>
        <v/>
      </c>
      <c r="MI25">
        <f>IF('計算A'!CV$106=1,GU25,1)</f>
        <v/>
      </c>
      <c r="MJ25">
        <f>IF('計算A'!CW$106=1,GV25,1)</f>
        <v/>
      </c>
      <c r="MK25">
        <f>IF('計算A'!CX$106=1,GW25,1)</f>
        <v/>
      </c>
      <c r="ML25">
        <f>IF('計算A'!CY$106=1,GX25,1)</f>
        <v/>
      </c>
      <c r="MM25">
        <f>IF('計算A'!CZ$106=1,GY25,1)</f>
        <v/>
      </c>
      <c r="MN25">
        <f>IF('計算A'!DA$106=1,GZ25,1)</f>
        <v/>
      </c>
      <c r="MO25">
        <f>IF('計算A'!DB$106=1,HA25,1)</f>
        <v/>
      </c>
      <c r="MP25">
        <f>IF('計算A'!DC$106=1,HB25,1)</f>
        <v/>
      </c>
      <c r="MQ25">
        <f>IF('計算A'!DD$106=1,HC25,1)</f>
        <v/>
      </c>
      <c r="MR25">
        <f>IF('計算A'!DE$106=1,HD25,1)</f>
        <v/>
      </c>
      <c r="MS25">
        <f>IF('計算A'!DF$106=1,HE25,1)</f>
        <v/>
      </c>
      <c r="MT25">
        <f>IF('計算A'!DG$106=1,HF25,1)</f>
        <v/>
      </c>
      <c r="MU25">
        <f>IF('計算A'!DH$106=1,HG25,1)</f>
        <v/>
      </c>
      <c r="MV25">
        <f>IF('計算A'!DI$106=1,HH25,1)</f>
        <v/>
      </c>
      <c r="MW25">
        <f>IF('計算A'!DJ$106=1,HI25,1)</f>
        <v/>
      </c>
      <c r="MX25">
        <f>IF('計算A'!DK$106=1,HJ25,1)</f>
        <v/>
      </c>
      <c r="MY25">
        <f>IF('計算A'!DL$106=1,HK25,1)</f>
        <v/>
      </c>
      <c r="MZ25">
        <f>IF('計算A'!DM$106=1,HL25,1)</f>
        <v/>
      </c>
      <c r="NA25">
        <f>IF('計算A'!DN$106=1,HM25,1)</f>
        <v/>
      </c>
      <c r="NB25">
        <f>IF('計算A'!DO$106=1,HN25,1)</f>
        <v/>
      </c>
      <c r="NC25">
        <f>IF('計算A'!DP$106=1,HO25,1)</f>
        <v/>
      </c>
      <c r="ND25">
        <f>IF('計算A'!DQ$106=1,HP25,1)</f>
        <v/>
      </c>
      <c r="NE25">
        <f>IF('計算A'!DR$106=1,HQ25,1)</f>
        <v/>
      </c>
      <c r="NF25">
        <f>IF('計算A'!DS$106=1,HR25,1)</f>
        <v/>
      </c>
      <c r="NG25">
        <f>IF('計算A'!DT$106=1,HS25,1)</f>
        <v/>
      </c>
      <c r="NH25">
        <f>IF('計算A'!DU$106=1,HT25,1)</f>
        <v/>
      </c>
      <c r="NI25">
        <f>IF('計算A'!DV$106=1,HU25,1)</f>
        <v/>
      </c>
      <c r="NJ25">
        <f>IF('計算A'!DW$106=1,HV25,1)</f>
        <v/>
      </c>
      <c r="NK25">
        <f>IF('計算A'!DX$106=1,HW25,1)</f>
        <v/>
      </c>
      <c r="NL25">
        <f>IF('計算A'!DY$106=1,HX25,1)</f>
        <v/>
      </c>
      <c r="NM25">
        <f>IF('計算A'!DZ$106=1,HY25,1)</f>
        <v/>
      </c>
      <c r="NN25">
        <f>IF('計算A'!EA$106=1,HZ25,1)</f>
        <v/>
      </c>
      <c r="NO25">
        <f>IF('計算A'!EB$106=1,IA25,1)</f>
        <v/>
      </c>
      <c r="NP25">
        <f>IF('計算A'!EC$106=1,IB25,1)</f>
        <v/>
      </c>
      <c r="NQ25">
        <f>IF('計算A'!ED$106=1,IC25,1)</f>
        <v/>
      </c>
      <c r="NR25">
        <f>IF('計算A'!EE$106=1,ID25,1)</f>
        <v/>
      </c>
      <c r="NS25">
        <f>IF('計算A'!EF$106=1,IE25,1)</f>
        <v/>
      </c>
      <c r="NT25">
        <f>IF('計算A'!EG$106=1,IF25,1)</f>
        <v/>
      </c>
      <c r="NU25">
        <f>IF('計算A'!EH$106=1,IG25,1)</f>
        <v/>
      </c>
      <c r="NV25">
        <f>IF('計算A'!EI$106=1,IH25,1)</f>
        <v/>
      </c>
      <c r="NW25">
        <f>IF('計算A'!EJ$106=1,II25,1)</f>
        <v/>
      </c>
      <c r="NX25">
        <f>IF('計算A'!EK$106=1,IJ25,1)</f>
        <v/>
      </c>
      <c r="NY25">
        <f>IF('計算A'!EL$106=1,IK25,1)</f>
        <v/>
      </c>
      <c r="NZ25">
        <f>IF('計算A'!EM$106=1,IL25,1)</f>
        <v/>
      </c>
      <c r="OA25">
        <f>IF('計算A'!EN$106=1,IM25,1)</f>
        <v/>
      </c>
      <c r="OB25">
        <f>IF('計算A'!EO$106=1,IN25,1)</f>
        <v/>
      </c>
      <c r="OC25">
        <f>IF('計算A'!EP$106=1,IO25,1)</f>
        <v/>
      </c>
      <c r="OD25" t="n">
        <v>1</v>
      </c>
      <c r="OF25">
        <f>IF($B25=0,1000000,IF(INDEX('計算A'!$D$60:$EQ$104,$B25,1)*DB25=1,IF(AND($E25=2,IQ25=0),1000000,IF($I25&gt;0,IF(1=$J25,IF(OR(AND(1=$I25+1,OR($K25&lt;&gt;'計算A'!$A$3,'計算A'!$A$4=0)),AND(1=$I25-1,OR(1&lt;&gt;'計算A'!$A$3,'計算A'!$A$4=0))),0,IF(1=$K25,200000,ABS(1-$K25)*100)),100000+ABS(1-$J25)*1000+10)+'計算A'!D$5*50+IF(AND($E25=1,IQ25=0),25,0),IF($F25&gt;0,INDEX('計算A'!D$110:D$114,$F25+1)+IF(AND($E25=1,IQ25=0),1000,0),MIN(TU25,20)*400+(IF('計算A'!D$106=1,1-DC25,0))*150+11+'計算A'!D$5*100000+IF(AND($E25=1,IQ25=0),50000,0))+IF($H25=1,(IF('計算A'!D$117=1,INDEX('計算A'!E$10:E$54,$B25),0))*4000,0)-IF(AND($L25=1,'計算A'!D$117=1,DC25=0),2000,0))),1000000))</f>
        <v/>
      </c>
      <c r="OG25">
        <f>IF($B25=0,1000000,IF(INDEX('計算A'!$D$60:$EQ$104,$B25,2)*DC25=1,IF(AND($E25=2,IR25=0),1000000,IF($I25&gt;0,IF(1=$J25,IF(OR(AND(2=$I25+1,OR($K25&lt;&gt;'計算A'!$A$3,'計算A'!$A$4=0)),AND(2=$I25-1,OR(2&lt;&gt;'計算A'!$A$3,'計算A'!$A$4=0))),0,IF(2=$K25,200000,ABS(2-$K25)*100)),100000+ABS(1-$J25)*1000+20)+'計算A'!E$5*50+IF(AND($E25=1,IR25=0),25,0),IF($F25&gt;0,INDEX('計算A'!E$110:E$114,$F25+1)+IF(AND($E25=1,IR25=0),1000,0),MIN(TU25,20)*400+(IF('計算A'!D$106=1,1-DB25,0)+IF('計算A'!E$106=1,1-DD25,0))*150+21+'計算A'!E$5*100000+IF(AND($E25=1,IR25=0),50000,0))+IF($H25=1,(IF('計算A'!D$117=1,INDEX('計算A'!D$10:D$54,$B25),0)+IF('計算A'!E$117=1,INDEX('計算A'!F$10:F$54,$B25),0))*4000,0)-IF(AND('計算A'!D$117=1,UB25&gt;0),2000,0)-IF(AND($L25=1,'計算A'!E$117=1,DD25=0),2000,0))),1000000))</f>
        <v/>
      </c>
      <c r="OH25">
        <f>IF($B25=0,1000000,IF(INDEX('計算A'!$D$60:$EQ$104,$B25,3)*DD25=1,IF(AND($E25=2,IS25=0),1000000,IF($I25&gt;0,IF(1=$J25,IF(OR(AND(3=$I25+1,OR($K25&lt;&gt;'計算A'!$A$3,'計算A'!$A$4=0)),AND(3=$I25-1,OR(3&lt;&gt;'計算A'!$A$3,'計算A'!$A$4=0))),0,IF(3=$K25,200000,ABS(3-$K25)*100)),100000+ABS(1-$J25)*1000+30)+'計算A'!F$5*50+IF(AND($E25=1,IS25=0),25,0),IF($F25&gt;0,INDEX('計算A'!F$110:F$114,$F25+1)+IF(AND($E25=1,IS25=0),1000,0),MIN(TU25,20)*400+(IF('計算A'!E$106=1,1-DC25,0)+IF('計算A'!F$106=1,1-DE25,0))*150+31+'計算A'!F$5*100000+IF(AND($E25=1,IS25=0),50000,0))+IF($H25=1,(IF('計算A'!E$117=1,INDEX('計算A'!E$10:E$54,$B25),0)+IF('計算A'!F$117=1,INDEX('計算A'!G$10:G$54,$B25),0))*4000,0)-IF(AND('計算A'!E$117=1,UC25&gt;0),2000,0)-IF(AND($L25=1,'計算A'!F$117=1,DE25=0),2000,0))),1000000))</f>
        <v/>
      </c>
      <c r="OI25">
        <f>IF($B25=0,1000000,IF(INDEX('計算A'!$D$60:$EQ$104,$B25,4)*DE25=1,IF(AND($E25=2,IT25=0),1000000,IF($I25&gt;0,IF(1=$J25,IF(OR(AND(4=$I25+1,OR($K25&lt;&gt;'計算A'!$A$3,'計算A'!$A$4=0)),AND(4=$I25-1,OR(4&lt;&gt;'計算A'!$A$3,'計算A'!$A$4=0))),0,IF(4=$K25,200000,ABS(4-$K25)*100)),100000+ABS(1-$J25)*1000+40)+'計算A'!G$5*50+IF(AND($E25=1,IT25=0),25,0),IF($F25&gt;0,INDEX('計算A'!G$110:G$114,$F25+1)+IF(AND($E25=1,IT25=0),1000,0),MIN(TU25,20)*400+(IF('計算A'!F$106=1,1-DD25,0)+IF('計算A'!G$106=1,1-DF25,0))*150+41+'計算A'!G$5*100000+IF(AND($E25=1,IT25=0),50000,0))+IF($H25=1,(IF('計算A'!F$117=1,INDEX('計算A'!F$10:F$54,$B25),0)+IF('計算A'!G$117=1,INDEX('計算A'!H$10:H$54,$B25),0))*4000,0)-IF(AND('計算A'!F$117=1,UD25&gt;0),2000,0)-IF(AND($L25=1,'計算A'!G$117=1,DF25=0),2000,0))),1000000))</f>
        <v/>
      </c>
      <c r="OJ25">
        <f>IF($B25=0,1000000,IF(INDEX('計算A'!$D$60:$EQ$104,$B25,5)*DF25=1,IF(AND($E25=2,IU25=0),1000000,IF($I25&gt;0,IF(1=$J25,IF(OR(AND(5=$I25+1,OR($K25&lt;&gt;'計算A'!$A$3,'計算A'!$A$4=0)),AND(5=$I25-1,OR(5&lt;&gt;'計算A'!$A$3,'計算A'!$A$4=0))),0,IF(5=$K25,200000,ABS(5-$K25)*100)),100000+ABS(1-$J25)*1000+50)+'計算A'!H$5*50+IF(AND($E25=1,IU25=0),25,0),IF($F25&gt;0,INDEX('計算A'!H$110:H$114,$F25+1)+IF(AND($E25=1,IU25=0),1000,0),MIN(TU25,20)*400+(IF('計算A'!G$106=1,1-DE25,0)+IF('計算A'!H$106=1,1-DG25,0))*150+51+'計算A'!H$5*100000+IF(AND($E25=1,IU25=0),50000,0))+IF($H25=1,(IF('計算A'!G$117=1,INDEX('計算A'!G$10:G$54,$B25),0)+IF('計算A'!H$117=1,INDEX('計算A'!I$10:I$54,$B25),0))*4000,0)-IF(AND('計算A'!G$117=1,UE25&gt;0),2000,0)-IF(AND($L25=1,'計算A'!H$117=1,DG25=0),2000,0))),1000000))</f>
        <v/>
      </c>
      <c r="OK25">
        <f>IF($B25=0,1000000,IF(INDEX('計算A'!$D$60:$EQ$104,$B25,6)*DG25=1,IF(AND($E25=2,IV25=0),1000000,IF($I25&gt;0,IF(1=$J25,IF(OR(AND(6=$I25+1,OR($K25&lt;&gt;'計算A'!$A$3,'計算A'!$A$4=0)),AND(6=$I25-1,OR(6&lt;&gt;'計算A'!$A$3,'計算A'!$A$4=0))),0,IF(6=$K25,200000,ABS(6-$K25)*100)),100000+ABS(1-$J25)*1000+60)+'計算A'!I$5*50+IF(AND($E25=1,IV25=0),25,0),IF($F25&gt;0,INDEX('計算A'!I$110:I$114,$F25+1)+IF(AND($E25=1,IV25=0),1000,0),MIN(TU25,20)*400+(IF('計算A'!H$106=1,1-DF25,0)+IF('計算A'!I$106=1,1-DH25,0))*150+61+'計算A'!I$5*100000+IF(AND($E25=1,IV25=0),50000,0))+IF($H25=1,(IF('計算A'!H$117=1,INDEX('計算A'!H$10:H$54,$B25),0)+IF('計算A'!I$117=1,INDEX('計算A'!J$10:J$54,$B25),0))*4000,0)-IF(AND('計算A'!H$117=1,UF25&gt;0),2000,0)-IF(AND($L25=1,'計算A'!I$117=1,DH25=0),2000,0))),1000000))</f>
        <v/>
      </c>
      <c r="OL25">
        <f>IF($B25=0,1000000,IF(INDEX('計算A'!$D$60:$EQ$104,$B25,7)*DH25=1,IF(AND($E25=2,IW25=0),1000000,IF($I25&gt;0,IF(1=$J25,IF(OR(AND(7=$I25+1,OR($K25&lt;&gt;'計算A'!$A$3,'計算A'!$A$4=0)),AND(7=$I25-1,OR(7&lt;&gt;'計算A'!$A$3,'計算A'!$A$4=0))),0,IF(7=$K25,200000,ABS(7-$K25)*100)),100000+ABS(1-$J25)*1000+70)+'計算A'!J$5*50+IF(AND($E25=1,IW25=0),25,0),IF($F25&gt;0,INDEX('計算A'!J$110:J$114,$F25+1)+IF(AND($E25=1,IW25=0),1000,0),MIN(TU25,20)*400+(IF('計算A'!I$106=1,1-DG25,0)+IF('計算A'!J$106=1,1-DI25,0))*150+71+'計算A'!J$5*100000+IF(AND($E25=1,IW25=0),50000,0))+IF($H25=1,(IF('計算A'!I$117=1,INDEX('計算A'!I$10:I$54,$B25),0)+IF('計算A'!J$117=1,INDEX('計算A'!K$10:K$54,$B25),0))*4000,0)-IF(AND('計算A'!I$117=1,UG25&gt;0),2000,0)-IF(AND($L25=1,'計算A'!J$117=1,DI25=0),2000,0))),1000000))</f>
        <v/>
      </c>
      <c r="OM25">
        <f>IF($B25=0,1000000,IF(INDEX('計算A'!$D$60:$EQ$104,$B25,8)*DI25=1,IF(AND($E25=2,IX25=0),1000000,IF($I25&gt;0,IF(1=$J25,IF(OR(AND(8=$I25+1,OR($K25&lt;&gt;'計算A'!$A$3,'計算A'!$A$4=0)),AND(8=$I25-1,OR(8&lt;&gt;'計算A'!$A$3,'計算A'!$A$4=0))),0,IF(8=$K25,200000,ABS(8-$K25)*100)),100000+ABS(1-$J25)*1000+80)+'計算A'!K$5*50+IF(AND($E25=1,IX25=0),25,0),IF($F25&gt;0,INDEX('計算A'!K$110:K$114,$F25+1)+IF(AND($E25=1,IX25=0),1000,0),MIN(TU25,20)*400+(IF('計算A'!J$106=1,1-DH25,0)+IF('計算A'!K$106=1,1-DJ25,0))*150+81+'計算A'!K$5*100000+IF(AND($E25=1,IX25=0),50000,0))+IF($H25=1,(IF('計算A'!J$117=1,INDEX('計算A'!J$10:J$54,$B25),0)+IF('計算A'!K$117=1,INDEX('計算A'!L$10:L$54,$B25),0))*4000,0)-IF(AND('計算A'!J$117=1,UH25&gt;0),2000,0)-IF(AND($L25=1,'計算A'!K$117=1,DJ25=0),2000,0))),1000000))</f>
        <v/>
      </c>
      <c r="ON25">
        <f>IF($B25=0,1000000,IF(INDEX('計算A'!$D$60:$EQ$104,$B25,9)*DJ25=1,IF(AND($E25=2,IY25=0),1000000,IF($I25&gt;0,IF(1=$J25,IF(OR(AND(9=$I25+1,OR($K25&lt;&gt;'計算A'!$A$3,'計算A'!$A$4=0)),AND(9=$I25-1,OR(9&lt;&gt;'計算A'!$A$3,'計算A'!$A$4=0))),0,IF(9=$K25,200000,ABS(9-$K25)*100)),100000+ABS(1-$J25)*1000+90)+'計算A'!L$5*50+IF(AND($E25=1,IY25=0),25,0),IF($F25&gt;0,INDEX('計算A'!L$110:L$114,$F25+1)+IF(AND($E25=1,IY25=0),1000,0),MIN(TU25,20)*400+(IF('計算A'!K$106=1,1-DI25,0)+IF('計算A'!L$106=1,1-DK25,0))*150+91+'計算A'!L$5*100000+IF(AND($E25=1,IY25=0),50000,0))+IF($H25=1,(IF('計算A'!K$117=1,INDEX('計算A'!K$10:K$54,$B25),0)+IF('計算A'!L$117=1,INDEX('計算A'!M$10:M$54,$B25),0))*4000,0)-IF(AND('計算A'!K$117=1,UI25&gt;0),2000,0)-IF(AND($L25=1,'計算A'!L$117=1,DK25=0),2000,0))),1000000))</f>
        <v/>
      </c>
      <c r="OO25">
        <f>IF($B25=0,1000000,IF(INDEX('計算A'!$D$60:$EQ$104,$B25,10)*DK25=1,IF(AND($E25=2,IZ25=0),1000000,IF($I25&gt;0,IF(1=$J25,IF(OR(AND(10=$I25+1,OR($K25&lt;&gt;'計算A'!$A$3,'計算A'!$A$4=0)),AND(10=$I25-1,OR(10&lt;&gt;'計算A'!$A$3,'計算A'!$A$4=0))),0,IF(10=$K25,200000,ABS(10-$K25)*100)),100000+ABS(1-$J25)*1000+100)+'計算A'!M$5*50+IF(AND($E25=1,IZ25=0),25,0),IF($F25&gt;0,INDEX('計算A'!M$110:M$114,$F25+1)+IF(AND($E25=1,IZ25=0),1000,0),MIN(TU25,20)*400+(IF('計算A'!L$106=1,1-DJ25,0)+IF('計算A'!M$106=1,1-DL25,0))*150+101+'計算A'!M$5*100000+IF(AND($E25=1,IZ25=0),50000,0))+IF($H25=1,(IF('計算A'!L$117=1,INDEX('計算A'!L$10:L$54,$B25),0)+IF('計算A'!M$117=1,INDEX('計算A'!N$10:N$54,$B25),0))*4000,0)-IF(AND('計算A'!L$117=1,UJ25&gt;0),2000,0)-IF(AND($L25=1,'計算A'!M$117=1,DL25=0),2000,0))),1000000))</f>
        <v/>
      </c>
      <c r="OP25">
        <f>IF($B25=0,1000000,IF(INDEX('計算A'!$D$60:$EQ$104,$B25,11)*DL25=1,IF(AND($E25=2,JA25=0),1000000,IF($I25&gt;0,IF(1=$J25,IF(OR(AND(11=$I25+1,OR($K25&lt;&gt;'計算A'!$A$3,'計算A'!$A$4=0)),AND(11=$I25-1,OR(11&lt;&gt;'計算A'!$A$3,'計算A'!$A$4=0))),0,IF(11=$K25,200000,ABS(11-$K25)*100)),100000+ABS(1-$J25)*1000+110)+'計算A'!N$5*50+IF(AND($E25=1,JA25=0),25,0),IF($F25&gt;0,INDEX('計算A'!N$110:N$114,$F25+1)+IF(AND($E25=1,JA25=0),1000,0),MIN(TU25,20)*400+(IF('計算A'!M$106=1,1-DK25,0)+IF('計算A'!N$106=1,1-DM25,0))*150+111+'計算A'!N$5*100000+IF(AND($E25=1,JA25=0),50000,0))+IF($H25=1,(IF('計算A'!M$117=1,INDEX('計算A'!M$10:M$54,$B25),0)+IF('計算A'!N$117=1,INDEX('計算A'!O$10:O$54,$B25),0))*4000,0)-IF(AND('計算A'!M$117=1,UK25&gt;0),2000,0)-IF(AND($L25=1,'計算A'!N$117=1,DM25=0),2000,0))),1000000))</f>
        <v/>
      </c>
      <c r="OQ25">
        <f>IF($B25=0,1000000,IF(INDEX('計算A'!$D$60:$EQ$104,$B25,12)*DM25=1,IF(AND($E25=2,JB25=0),1000000,IF($I25&gt;0,IF(1=$J25,IF(OR(AND(12=$I25+1,OR($K25&lt;&gt;'計算A'!$A$3,'計算A'!$A$4=0)),AND(12=$I25-1,OR(12&lt;&gt;'計算A'!$A$3,'計算A'!$A$4=0))),0,IF(12=$K25,200000,ABS(12-$K25)*100)),100000+ABS(1-$J25)*1000+120)+'計算A'!O$5*50+IF(AND($E25=1,JB25=0),25,0),IF($F25&gt;0,INDEX('計算A'!O$110:O$114,$F25+1)+IF(AND($E25=1,JB25=0),1000,0),MIN(TU25,20)*400+(IF('計算A'!N$106=1,1-DL25,0)+IF('計算A'!O$106=1,1-DN25,0))*150+121+'計算A'!O$5*100000+IF(AND($E25=1,JB25=0),50000,0))+IF($H25=1,(IF('計算A'!N$117=1,INDEX('計算A'!N$10:N$54,$B25),0)+IF('計算A'!O$117=1,INDEX('計算A'!P$10:P$54,$B25),0))*4000,0)-IF(AND('計算A'!N$117=1,UL25&gt;0),2000,0)-IF(AND($L25=1,'計算A'!O$117=1,DN25=0),2000,0))),1000000))</f>
        <v/>
      </c>
      <c r="OR25">
        <f>IF($B25=0,1000000,IF(INDEX('計算A'!$D$60:$EQ$104,$B25,13)*DN25=1,IF(AND($E25=2,JC25=0),1000000,IF($I25&gt;0,IF(1=$J25,IF(OR(AND(13=$I25+1,OR($K25&lt;&gt;'計算A'!$A$3,'計算A'!$A$4=0)),AND(13=$I25-1,OR(13&lt;&gt;'計算A'!$A$3,'計算A'!$A$4=0))),0,IF(13=$K25,200000,ABS(13-$K25)*100)),100000+ABS(1-$J25)*1000+130)+'計算A'!P$5*50+IF(AND($E25=1,JC25=0),25,0),IF($F25&gt;0,INDEX('計算A'!P$110:P$114,$F25+1)+IF(AND($E25=1,JC25=0),1000,0),MIN(TU25,20)*400+(IF('計算A'!O$106=1,1-DM25,0)+IF('計算A'!P$106=1,1-DO25,0))*150+131+'計算A'!P$5*100000+IF(AND($E25=1,JC25=0),50000,0))+IF($H25=1,(IF('計算A'!O$117=1,INDEX('計算A'!O$10:O$54,$B25),0)+IF('計算A'!P$117=1,INDEX('計算A'!Q$10:Q$54,$B25),0))*4000,0)-IF(AND('計算A'!O$117=1,UM25&gt;0),2000,0)-IF(AND($L25=1,'計算A'!P$117=1,DO25=0),2000,0))),1000000))</f>
        <v/>
      </c>
      <c r="OS25">
        <f>IF($B25=0,1000000,IF(INDEX('計算A'!$D$60:$EQ$104,$B25,14)*DO25=1,IF(AND($E25=2,JD25=0),1000000,IF($I25&gt;0,IF(1=$J25,IF(OR(AND(14=$I25+1,OR($K25&lt;&gt;'計算A'!$A$3,'計算A'!$A$4=0)),AND(14=$I25-1,OR(14&lt;&gt;'計算A'!$A$3,'計算A'!$A$4=0))),0,IF(14=$K25,200000,ABS(14-$K25)*100)),100000+ABS(1-$J25)*1000+140)+'計算A'!Q$5*50+IF(AND($E25=1,JD25=0),25,0),IF($F25&gt;0,INDEX('計算A'!Q$110:Q$114,$F25+1)+IF(AND($E25=1,JD25=0),1000,0),MIN(TU25,20)*400+(IF('計算A'!P$106=1,1-DN25,0)+IF('計算A'!Q$106=1,1-DP25,0))*150+141+'計算A'!Q$5*100000+IF(AND($E25=1,JD25=0),50000,0))+IF($H25=1,(IF('計算A'!P$117=1,INDEX('計算A'!P$10:P$54,$B25),0)+IF('計算A'!Q$117=1,INDEX('計算A'!R$10:R$54,$B25),0))*4000,0)-IF(AND('計算A'!P$117=1,UN25&gt;0),2000,0)-IF(AND($L25=1,'計算A'!Q$117=1,DP25=0),2000,0))),1000000))</f>
        <v/>
      </c>
      <c r="OT25">
        <f>IF($B25=0,1000000,IF(INDEX('計算A'!$D$60:$EQ$104,$B25,15)*DP25=1,IF(AND($E25=2,JE25=0),1000000,IF($I25&gt;0,IF(1=$J25,IF(OR(AND(15=$I25+1,OR($K25&lt;&gt;'計算A'!$A$3,'計算A'!$A$4=0)),AND(15=$I25-1,OR(15&lt;&gt;'計算A'!$A$3,'計算A'!$A$4=0))),0,IF(15=$K25,200000,ABS(15-$K25)*100)),100000+ABS(1-$J25)*1000+150)+'計算A'!R$5*50+IF(AND($E25=1,JE25=0),25,0),IF($F25&gt;0,INDEX('計算A'!R$110:R$114,$F25+1)+IF(AND($E25=1,JE25=0),1000,0),MIN(TU25,20)*400+(IF('計算A'!Q$106=1,1-DO25,0)+IF('計算A'!R$106=1,1-DQ25,0))*150+151+'計算A'!R$5*100000+IF(AND($E25=1,JE25=0),50000,0))+IF($H25=1,(IF('計算A'!Q$117=1,INDEX('計算A'!Q$10:Q$54,$B25),0)+IF('計算A'!R$117=1,INDEX('計算A'!S$10:S$54,$B25),0))*4000,0)-IF(AND('計算A'!Q$117=1,UO25&gt;0),2000,0)-IF(AND($L25=1,'計算A'!R$117=1,DQ25=0),2000,0))),1000000))</f>
        <v/>
      </c>
      <c r="OU25">
        <f>IF($B25=0,1000000,IF(INDEX('計算A'!$D$60:$EQ$104,$B25,16)*DQ25=1,IF(AND($E25=2,JF25=0),1000000,IF($I25&gt;0,IF(1=$J25,IF(OR(AND(16=$I25+1,OR($K25&lt;&gt;'計算A'!$A$3,'計算A'!$A$4=0)),AND(16=$I25-1,OR(16&lt;&gt;'計算A'!$A$3,'計算A'!$A$4=0))),0,IF(16=$K25,200000,ABS(16-$K25)*100)),100000+ABS(1-$J25)*1000+160)+'計算A'!S$5*50+IF(AND($E25=1,JF25=0),25,0),IF($F25&gt;0,INDEX('計算A'!S$110:S$114,$F25+1)+IF(AND($E25=1,JF25=0),1000,0),MIN(TU25,20)*400+(IF('計算A'!R$106=1,1-DP25,0)+IF('計算A'!S$106=1,1-DR25,0))*150+161+'計算A'!S$5*100000+IF(AND($E25=1,JF25=0),50000,0))+IF($H25=1,(IF('計算A'!R$117=1,INDEX('計算A'!R$10:R$54,$B25),0)+IF('計算A'!S$117=1,INDEX('計算A'!T$10:T$54,$B25),0))*4000,0)-IF(AND('計算A'!R$117=1,UP25&gt;0),2000,0)-IF(AND($L25=1,'計算A'!S$117=1,DR25=0),2000,0))),1000000))</f>
        <v/>
      </c>
      <c r="OV25">
        <f>IF($B25=0,1000000,IF(INDEX('計算A'!$D$60:$EQ$104,$B25,17)*DR25=1,IF(AND($E25=2,JG25=0),1000000,IF($I25&gt;0,IF(1=$J25,IF(OR(AND(17=$I25+1,OR($K25&lt;&gt;'計算A'!$A$3,'計算A'!$A$4=0)),AND(17=$I25-1,OR(17&lt;&gt;'計算A'!$A$3,'計算A'!$A$4=0))),0,IF(17=$K25,200000,ABS(17-$K25)*100)),100000+ABS(1-$J25)*1000+170)+'計算A'!T$5*50+IF(AND($E25=1,JG25=0),25,0),IF($F25&gt;0,INDEX('計算A'!T$110:T$114,$F25+1)+IF(AND($E25=1,JG25=0),1000,0),MIN(TU25,20)*400+(IF('計算A'!S$106=1,1-DQ25,0)+IF('計算A'!T$106=1,1-DS25,0))*150+171+'計算A'!T$5*100000+IF(AND($E25=1,JG25=0),50000,0))+IF($H25=1,(IF('計算A'!S$117=1,INDEX('計算A'!S$10:S$54,$B25),0)+IF('計算A'!T$117=1,INDEX('計算A'!U$10:U$54,$B25),0))*4000,0)-IF(AND('計算A'!S$117=1,UQ25&gt;0),2000,0)-IF(AND($L25=1,'計算A'!T$117=1,DS25=0),2000,0))),1000000))</f>
        <v/>
      </c>
      <c r="OW25">
        <f>IF($B25=0,1000000,IF(INDEX('計算A'!$D$60:$EQ$104,$B25,18)*DS25=1,IF(AND($E25=2,JH25=0),1000000,IF($I25&gt;0,IF(1=$J25,IF(OR(AND(18=$I25+1,OR($K25&lt;&gt;'計算A'!$A$3,'計算A'!$A$4=0)),AND(18=$I25-1,OR(18&lt;&gt;'計算A'!$A$3,'計算A'!$A$4=0))),0,IF(18=$K25,200000,ABS(18-$K25)*100)),100000+ABS(1-$J25)*1000+180)+'計算A'!U$5*50+IF(AND($E25=1,JH25=0),25,0),IF($F25&gt;0,INDEX('計算A'!U$110:U$114,$F25+1)+IF(AND($E25=1,JH25=0),1000,0),MIN(TU25,20)*400+(IF('計算A'!T$106=1,1-DR25,0)+IF('計算A'!U$106=1,1-DT25,0))*150+181+'計算A'!U$5*100000+IF(AND($E25=1,JH25=0),50000,0))+IF($H25=1,(IF('計算A'!T$117=1,INDEX('計算A'!T$10:T$54,$B25),0)+IF('計算A'!U$117=1,INDEX('計算A'!V$10:V$54,$B25),0))*4000,0)-IF(AND('計算A'!T$117=1,UR25&gt;0),2000,0)-IF(AND($L25=1,'計算A'!U$117=1,DT25=0),2000,0))),1000000))</f>
        <v/>
      </c>
      <c r="OX25">
        <f>IF($B25=0,1000000,IF(INDEX('計算A'!$D$60:$EQ$104,$B25,19)*DT25=1,IF(AND($E25=2,JI25=0),1000000,IF($I25&gt;0,IF(1=$J25,IF(OR(AND(19=$I25+1,OR($K25&lt;&gt;'計算A'!$A$3,'計算A'!$A$4=0)),AND(19=$I25-1,OR(19&lt;&gt;'計算A'!$A$3,'計算A'!$A$4=0))),0,IF(19=$K25,200000,ABS(19-$K25)*100)),100000+ABS(1-$J25)*1000+190)+'計算A'!V$5*50+IF(AND($E25=1,JI25=0),25,0),IF($F25&gt;0,INDEX('計算A'!V$110:V$114,$F25+1)+IF(AND($E25=1,JI25=0),1000,0),MIN(TU25,20)*400+(IF('計算A'!U$106=1,1-DS25,0)+IF('計算A'!V$106=1,1-DU25,0))*150+191+'計算A'!V$5*100000+IF(AND($E25=1,JI25=0),50000,0))+IF($H25=1,(IF('計算A'!U$117=1,INDEX('計算A'!U$10:U$54,$B25),0)+IF('計算A'!V$117=1,INDEX('計算A'!W$10:W$54,$B25),0))*4000,0)-IF(AND('計算A'!U$117=1,US25&gt;0),2000,0)-IF(AND($L25=1,'計算A'!V$117=1,DU25=0),2000,0))),1000000))</f>
        <v/>
      </c>
      <c r="OY25">
        <f>IF($B25=0,1000000,IF(INDEX('計算A'!$D$60:$EQ$104,$B25,20)*DU25=1,IF(AND($E25=2,JJ25=0),1000000,IF($I25&gt;0,IF(1=$J25,IF(OR(AND(20=$I25+1,OR($K25&lt;&gt;'計算A'!$A$3,'計算A'!$A$4=0)),AND(20=$I25-1,OR(20&lt;&gt;'計算A'!$A$3,'計算A'!$A$4=0))),0,IF(20=$K25,200000,ABS(20-$K25)*100)),100000+ABS(1-$J25)*1000+200)+'計算A'!W$5*50+IF(AND($E25=1,JJ25=0),25,0),IF($F25&gt;0,INDEX('計算A'!W$110:W$114,$F25+1)+IF(AND($E25=1,JJ25=0),1000,0),MIN(TU25,20)*400+(IF('計算A'!V$106=1,1-DT25,0)+IF('計算A'!W$106=1,1-DV25,0))*150+201+'計算A'!W$5*100000+IF(AND($E25=1,JJ25=0),50000,0))+IF($H25=1,(IF('計算A'!V$117=1,INDEX('計算A'!V$10:V$54,$B25),0)+IF('計算A'!W$117=1,INDEX('計算A'!X$10:X$54,$B25),0))*4000,0)-IF(AND('計算A'!V$117=1,UT25&gt;0),2000,0)-IF(AND($L25=1,'計算A'!W$117=1,DV25=0),2000,0))),1000000))</f>
        <v/>
      </c>
      <c r="OZ25">
        <f>IF($B25=0,1000000,IF(INDEX('計算A'!$D$60:$EQ$104,$B25,21)*DV25=1,IF(AND($E25=2,JK25=0),1000000,IF($I25&gt;0,IF(1=$J25,IF(OR(AND(21=$I25+1,OR($K25&lt;&gt;'計算A'!$A$3,'計算A'!$A$4=0)),AND(21=$I25-1,OR(21&lt;&gt;'計算A'!$A$3,'計算A'!$A$4=0))),0,IF(21=$K25,200000,ABS(21-$K25)*100)),100000+ABS(1-$J25)*1000+210)+'計算A'!X$5*50+IF(AND($E25=1,JK25=0),25,0),IF($F25&gt;0,INDEX('計算A'!X$110:X$114,$F25+1)+IF(AND($E25=1,JK25=0),1000,0),MIN(TU25,20)*400+(IF('計算A'!W$106=1,1-DU25,0)+IF('計算A'!X$106=1,1-DW25,0))*150+211+'計算A'!X$5*100000+IF(AND($E25=1,JK25=0),50000,0))+IF($H25=1,(IF('計算A'!W$117=1,INDEX('計算A'!W$10:W$54,$B25),0)+IF('計算A'!X$117=1,INDEX('計算A'!Y$10:Y$54,$B25),0))*4000,0)-IF(AND('計算A'!W$117=1,UU25&gt;0),2000,0)-IF(AND($L25=1,'計算A'!X$117=1,DW25=0),2000,0))),1000000))</f>
        <v/>
      </c>
      <c r="PA25">
        <f>IF($B25=0,1000000,IF(INDEX('計算A'!$D$60:$EQ$104,$B25,22)*DW25=1,IF(AND($E25=2,JL25=0),1000000,IF($I25&gt;0,IF(1=$J25,IF(OR(AND(22=$I25+1,OR($K25&lt;&gt;'計算A'!$A$3,'計算A'!$A$4=0)),AND(22=$I25-1,OR(22&lt;&gt;'計算A'!$A$3,'計算A'!$A$4=0))),0,IF(22=$K25,200000,ABS(22-$K25)*100)),100000+ABS(1-$J25)*1000+220)+'計算A'!Y$5*50+IF(AND($E25=1,JL25=0),25,0),IF($F25&gt;0,INDEX('計算A'!Y$110:Y$114,$F25+1)+IF(AND($E25=1,JL25=0),1000,0),MIN(TU25,20)*400+(IF('計算A'!X$106=1,1-DV25,0)+IF('計算A'!Y$106=1,1-DX25,0))*150+221+'計算A'!Y$5*100000+IF(AND($E25=1,JL25=0),50000,0))+IF($H25=1,(IF('計算A'!X$117=1,INDEX('計算A'!X$10:X$54,$B25),0)+IF('計算A'!Y$117=1,INDEX('計算A'!Z$10:Z$54,$B25),0))*4000,0)-IF(AND('計算A'!X$117=1,UV25&gt;0),2000,0)-IF(AND($L25=1,'計算A'!Y$117=1,DX25=0),2000,0))),1000000))</f>
        <v/>
      </c>
      <c r="PB25">
        <f>IF($B25=0,1000000,IF(INDEX('計算A'!$D$60:$EQ$104,$B25,23)*DX25=1,IF(AND($E25=2,JM25=0),1000000,IF($I25&gt;0,IF(1=$J25,IF(OR(AND(23=$I25+1,OR($K25&lt;&gt;'計算A'!$A$3,'計算A'!$A$4=0)),AND(23=$I25-1,OR(23&lt;&gt;'計算A'!$A$3,'計算A'!$A$4=0))),0,IF(23=$K25,200000,ABS(23-$K25)*100)),100000+ABS(1-$J25)*1000+230)+'計算A'!Z$5*50+IF(AND($E25=1,JM25=0),25,0),IF($F25&gt;0,INDEX('計算A'!Z$110:Z$114,$F25+1)+IF(AND($E25=1,JM25=0),1000,0),MIN(TU25,20)*400+(IF('計算A'!Y$106=1,1-DW25,0)+IF('計算A'!Z$106=1,1-DY25,0))*150+231+'計算A'!Z$5*100000+IF(AND($E25=1,JM25=0),50000,0))+IF($H25=1,(IF('計算A'!Y$117=1,INDEX('計算A'!Y$10:Y$54,$B25),0)+IF('計算A'!Z$117=1,INDEX('計算A'!AA$10:AA$54,$B25),0))*4000,0)-IF(AND('計算A'!Y$117=1,UW25&gt;0),2000,0)-IF(AND($L25=1,'計算A'!Z$117=1,DY25=0),2000,0))),1000000))</f>
        <v/>
      </c>
      <c r="PC25">
        <f>IF($B25=0,1000000,IF(INDEX('計算A'!$D$60:$EQ$104,$B25,24)*DY25=1,IF(AND($E25=2,JN25=0),1000000,IF($I25&gt;0,IF(1=$J25,IF(OR(AND(24=$I25+1,OR($K25&lt;&gt;'計算A'!$A$3,'計算A'!$A$4=0)),AND(24=$I25-1,OR(24&lt;&gt;'計算A'!$A$3,'計算A'!$A$4=0))),0,IF(24=$K25,200000,ABS(24-$K25)*100)),100000+ABS(1-$J25)*1000+240)+'計算A'!AA$5*50+IF(AND($E25=1,JN25=0),25,0),IF($F25&gt;0,INDEX('計算A'!AA$110:AA$114,$F25+1)+IF(AND($E25=1,JN25=0),1000,0),MIN(TU25,20)*400+(IF('計算A'!Z$106=1,1-DX25,0))*150+241+'計算A'!AA$5*100000+IF(AND($E25=1,JN25=0),50000,0))+IF($H25=1,(IF('計算A'!Z$117=1,INDEX('計算A'!Z$10:Z$54,$B25),0))*4000,0)-IF(AND('計算A'!Z$117=1,UX25&gt;0),2000,0))),1000000))</f>
        <v/>
      </c>
      <c r="PD25">
        <f>IF($B25=0,1000000,IF(INDEX('計算A'!$D$60:$EQ$104,$B25,25)*DZ25=1,IF(AND($E25=2,JO25=0),1000000,IF($I25&gt;0,IF(2=$J25,IF(OR(AND(25=$I25+1,OR($K25&lt;&gt;'計算A'!$A$3,'計算A'!$A$4=0)),AND(25=$I25-1,OR(1&lt;&gt;'計算A'!$A$3,'計算A'!$A$4=0))),0,IF(1=$K25,200000,ABS(1-$K25)*100)),100000+ABS(2-$J25)*1000+10)+'計算A'!AB$5*50+IF(AND($E25=1,JO25=0),25,0),IF($F25&gt;0,INDEX('計算A'!AB$110:AB$114,$F25+1)+IF(AND($E25=1,JO25=0),1000,0),MIN(TV25,20)*400+(IF('計算A'!AB$106=1,1-EA25,0))*150+12+'計算A'!AB$5*100000+IF(AND($E25=1,JO25=0),50000,0))+IF($H25=1,(IF('計算A'!AB$117=1,INDEX('計算A'!AC$10:AC$54,$B25),0))*4000,0)-IF(AND($L25=1,'計算A'!AB$117=1,EA25=0),2000,0))),1000000))</f>
        <v/>
      </c>
      <c r="PE25">
        <f>IF($B25=0,1000000,IF(INDEX('計算A'!$D$60:$EQ$104,$B25,26)*EA25=1,IF(AND($E25=2,JP25=0),1000000,IF($I25&gt;0,IF(2=$J25,IF(OR(AND(26=$I25+1,OR($K25&lt;&gt;'計算A'!$A$3,'計算A'!$A$4=0)),AND(26=$I25-1,OR(2&lt;&gt;'計算A'!$A$3,'計算A'!$A$4=0))),0,IF(2=$K25,200000,ABS(2-$K25)*100)),100000+ABS(2-$J25)*1000+20)+'計算A'!AC$5*50+IF(AND($E25=1,JP25=0),25,0),IF($F25&gt;0,INDEX('計算A'!AC$110:AC$114,$F25+1)+IF(AND($E25=1,JP25=0),1000,0),MIN(TV25,20)*400+(IF('計算A'!AB$106=1,1-DZ25,0)+IF('計算A'!AC$106=1,1-EB25,0))*150+22+'計算A'!AC$5*100000+IF(AND($E25=1,JP25=0),50000,0))+IF($H25=1,(IF('計算A'!AB$117=1,INDEX('計算A'!AB$10:AB$54,$B25),0)+IF('計算A'!AC$117=1,INDEX('計算A'!AD$10:AD$54,$B25),0))*4000,0)-IF(AND('計算A'!AB$117=1,UZ25&gt;0),2000,0)-IF(AND($L25=1,'計算A'!AC$117=1,EB25=0),2000,0))),1000000))</f>
        <v/>
      </c>
      <c r="PF25">
        <f>IF($B25=0,1000000,IF(INDEX('計算A'!$D$60:$EQ$104,$B25,27)*EB25=1,IF(AND($E25=2,JQ25=0),1000000,IF($I25&gt;0,IF(2=$J25,IF(OR(AND(27=$I25+1,OR($K25&lt;&gt;'計算A'!$A$3,'計算A'!$A$4=0)),AND(27=$I25-1,OR(3&lt;&gt;'計算A'!$A$3,'計算A'!$A$4=0))),0,IF(3=$K25,200000,ABS(3-$K25)*100)),100000+ABS(2-$J25)*1000+30)+'計算A'!AD$5*50+IF(AND($E25=1,JQ25=0),25,0),IF($F25&gt;0,INDEX('計算A'!AD$110:AD$114,$F25+1)+IF(AND($E25=1,JQ25=0),1000,0),MIN(TV25,20)*400+(IF('計算A'!AC$106=1,1-EA25,0)+IF('計算A'!AD$106=1,1-EC25,0))*150+32+'計算A'!AD$5*100000+IF(AND($E25=1,JQ25=0),50000,0))+IF($H25=1,(IF('計算A'!AC$117=1,INDEX('計算A'!AC$10:AC$54,$B25),0)+IF('計算A'!AD$117=1,INDEX('計算A'!AE$10:AE$54,$B25),0))*4000,0)-IF(AND('計算A'!AC$117=1,VA25&gt;0),2000,0)-IF(AND($L25=1,'計算A'!AD$117=1,EC25=0),2000,0))),1000000))</f>
        <v/>
      </c>
      <c r="PG25">
        <f>IF($B25=0,1000000,IF(INDEX('計算A'!$D$60:$EQ$104,$B25,28)*EC25=1,IF(AND($E25=2,JR25=0),1000000,IF($I25&gt;0,IF(2=$J25,IF(OR(AND(28=$I25+1,OR($K25&lt;&gt;'計算A'!$A$3,'計算A'!$A$4=0)),AND(28=$I25-1,OR(4&lt;&gt;'計算A'!$A$3,'計算A'!$A$4=0))),0,IF(4=$K25,200000,ABS(4-$K25)*100)),100000+ABS(2-$J25)*1000+40)+'計算A'!AE$5*50+IF(AND($E25=1,JR25=0),25,0),IF($F25&gt;0,INDEX('計算A'!AE$110:AE$114,$F25+1)+IF(AND($E25=1,JR25=0),1000,0),MIN(TV25,20)*400+(IF('計算A'!AD$106=1,1-EB25,0)+IF('計算A'!AE$106=1,1-ED25,0))*150+42+'計算A'!AE$5*100000+IF(AND($E25=1,JR25=0),50000,0))+IF($H25=1,(IF('計算A'!AD$117=1,INDEX('計算A'!AD$10:AD$54,$B25),0)+IF('計算A'!AE$117=1,INDEX('計算A'!AF$10:AF$54,$B25),0))*4000,0)-IF(AND('計算A'!AD$117=1,VB25&gt;0),2000,0)-IF(AND($L25=1,'計算A'!AE$117=1,ED25=0),2000,0))),1000000))</f>
        <v/>
      </c>
      <c r="PH25">
        <f>IF($B25=0,1000000,IF(INDEX('計算A'!$D$60:$EQ$104,$B25,29)*ED25=1,IF(AND($E25=2,JS25=0),1000000,IF($I25&gt;0,IF(2=$J25,IF(OR(AND(29=$I25+1,OR($K25&lt;&gt;'計算A'!$A$3,'計算A'!$A$4=0)),AND(29=$I25-1,OR(5&lt;&gt;'計算A'!$A$3,'計算A'!$A$4=0))),0,IF(5=$K25,200000,ABS(5-$K25)*100)),100000+ABS(2-$J25)*1000+50)+'計算A'!AF$5*50+IF(AND($E25=1,JS25=0),25,0),IF($F25&gt;0,INDEX('計算A'!AF$110:AF$114,$F25+1)+IF(AND($E25=1,JS25=0),1000,0),MIN(TV25,20)*400+(IF('計算A'!AE$106=1,1-EC25,0)+IF('計算A'!AF$106=1,1-EE25,0))*150+52+'計算A'!AF$5*100000+IF(AND($E25=1,JS25=0),50000,0))+IF($H25=1,(IF('計算A'!AE$117=1,INDEX('計算A'!AE$10:AE$54,$B25),0)+IF('計算A'!AF$117=1,INDEX('計算A'!AG$10:AG$54,$B25),0))*4000,0)-IF(AND('計算A'!AE$117=1,VC25&gt;0),2000,0)-IF(AND($L25=1,'計算A'!AF$117=1,EE25=0),2000,0))),1000000))</f>
        <v/>
      </c>
      <c r="PI25">
        <f>IF($B25=0,1000000,IF(INDEX('計算A'!$D$60:$EQ$104,$B25,30)*EE25=1,IF(AND($E25=2,JT25=0),1000000,IF($I25&gt;0,IF(2=$J25,IF(OR(AND(30=$I25+1,OR($K25&lt;&gt;'計算A'!$A$3,'計算A'!$A$4=0)),AND(30=$I25-1,OR(6&lt;&gt;'計算A'!$A$3,'計算A'!$A$4=0))),0,IF(6=$K25,200000,ABS(6-$K25)*100)),100000+ABS(2-$J25)*1000+60)+'計算A'!AG$5*50+IF(AND($E25=1,JT25=0),25,0),IF($F25&gt;0,INDEX('計算A'!AG$110:AG$114,$F25+1)+IF(AND($E25=1,JT25=0),1000,0),MIN(TV25,20)*400+(IF('計算A'!AF$106=1,1-ED25,0)+IF('計算A'!AG$106=1,1-EF25,0))*150+62+'計算A'!AG$5*100000+IF(AND($E25=1,JT25=0),50000,0))+IF($H25=1,(IF('計算A'!AF$117=1,INDEX('計算A'!AF$10:AF$54,$B25),0)+IF('計算A'!AG$117=1,INDEX('計算A'!AH$10:AH$54,$B25),0))*4000,0)-IF(AND('計算A'!AF$117=1,VD25&gt;0),2000,0)-IF(AND($L25=1,'計算A'!AG$117=1,EF25=0),2000,0))),1000000))</f>
        <v/>
      </c>
      <c r="PJ25">
        <f>IF($B25=0,1000000,IF(INDEX('計算A'!$D$60:$EQ$104,$B25,31)*EF25=1,IF(AND($E25=2,JU25=0),1000000,IF($I25&gt;0,IF(2=$J25,IF(OR(AND(31=$I25+1,OR($K25&lt;&gt;'計算A'!$A$3,'計算A'!$A$4=0)),AND(31=$I25-1,OR(7&lt;&gt;'計算A'!$A$3,'計算A'!$A$4=0))),0,IF(7=$K25,200000,ABS(7-$K25)*100)),100000+ABS(2-$J25)*1000+70)+'計算A'!AH$5*50+IF(AND($E25=1,JU25=0),25,0),IF($F25&gt;0,INDEX('計算A'!AH$110:AH$114,$F25+1)+IF(AND($E25=1,JU25=0),1000,0),MIN(TV25,20)*400+(IF('計算A'!AG$106=1,1-EE25,0)+IF('計算A'!AH$106=1,1-EG25,0))*150+72+'計算A'!AH$5*100000+IF(AND($E25=1,JU25=0),50000,0))+IF($H25=1,(IF('計算A'!AG$117=1,INDEX('計算A'!AG$10:AG$54,$B25),0)+IF('計算A'!AH$117=1,INDEX('計算A'!AI$10:AI$54,$B25),0))*4000,0)-IF(AND('計算A'!AG$117=1,VE25&gt;0),2000,0)-IF(AND($L25=1,'計算A'!AH$117=1,EG25=0),2000,0))),1000000))</f>
        <v/>
      </c>
      <c r="PK25">
        <f>IF($B25=0,1000000,IF(INDEX('計算A'!$D$60:$EQ$104,$B25,32)*EG25=1,IF(AND($E25=2,JV25=0),1000000,IF($I25&gt;0,IF(2=$J25,IF(OR(AND(32=$I25+1,OR($K25&lt;&gt;'計算A'!$A$3,'計算A'!$A$4=0)),AND(32=$I25-1,OR(8&lt;&gt;'計算A'!$A$3,'計算A'!$A$4=0))),0,IF(8=$K25,200000,ABS(8-$K25)*100)),100000+ABS(2-$J25)*1000+80)+'計算A'!AI$5*50+IF(AND($E25=1,JV25=0),25,0),IF($F25&gt;0,INDEX('計算A'!AI$110:AI$114,$F25+1)+IF(AND($E25=1,JV25=0),1000,0),MIN(TV25,20)*400+(IF('計算A'!AH$106=1,1-EF25,0)+IF('計算A'!AI$106=1,1-EH25,0))*150+82+'計算A'!AI$5*100000+IF(AND($E25=1,JV25=0),50000,0))+IF($H25=1,(IF('計算A'!AH$117=1,INDEX('計算A'!AH$10:AH$54,$B25),0)+IF('計算A'!AI$117=1,INDEX('計算A'!AJ$10:AJ$54,$B25),0))*4000,0)-IF(AND('計算A'!AH$117=1,VF25&gt;0),2000,0)-IF(AND($L25=1,'計算A'!AI$117=1,EH25=0),2000,0))),1000000))</f>
        <v/>
      </c>
      <c r="PL25">
        <f>IF($B25=0,1000000,IF(INDEX('計算A'!$D$60:$EQ$104,$B25,33)*EH25=1,IF(AND($E25=2,JW25=0),1000000,IF($I25&gt;0,IF(2=$J25,IF(OR(AND(33=$I25+1,OR($K25&lt;&gt;'計算A'!$A$3,'計算A'!$A$4=0)),AND(33=$I25-1,OR(9&lt;&gt;'計算A'!$A$3,'計算A'!$A$4=0))),0,IF(9=$K25,200000,ABS(9-$K25)*100)),100000+ABS(2-$J25)*1000+90)+'計算A'!AJ$5*50+IF(AND($E25=1,JW25=0),25,0),IF($F25&gt;0,INDEX('計算A'!AJ$110:AJ$114,$F25+1)+IF(AND($E25=1,JW25=0),1000,0),MIN(TV25,20)*400+(IF('計算A'!AI$106=1,1-EG25,0)+IF('計算A'!AJ$106=1,1-EI25,0))*150+92+'計算A'!AJ$5*100000+IF(AND($E25=1,JW25=0),50000,0))+IF($H25=1,(IF('計算A'!AI$117=1,INDEX('計算A'!AI$10:AI$54,$B25),0)+IF('計算A'!AJ$117=1,INDEX('計算A'!AK$10:AK$54,$B25),0))*4000,0)-IF(AND('計算A'!AI$117=1,VG25&gt;0),2000,0)-IF(AND($L25=1,'計算A'!AJ$117=1,EI25=0),2000,0))),1000000))</f>
        <v/>
      </c>
      <c r="PM25">
        <f>IF($B25=0,1000000,IF(INDEX('計算A'!$D$60:$EQ$104,$B25,34)*EI25=1,IF(AND($E25=2,JX25=0),1000000,IF($I25&gt;0,IF(2=$J25,IF(OR(AND(34=$I25+1,OR($K25&lt;&gt;'計算A'!$A$3,'計算A'!$A$4=0)),AND(34=$I25-1,OR(10&lt;&gt;'計算A'!$A$3,'計算A'!$A$4=0))),0,IF(10=$K25,200000,ABS(10-$K25)*100)),100000+ABS(2-$J25)*1000+100)+'計算A'!AK$5*50+IF(AND($E25=1,JX25=0),25,0),IF($F25&gt;0,INDEX('計算A'!AK$110:AK$114,$F25+1)+IF(AND($E25=1,JX25=0),1000,0),MIN(TV25,20)*400+(IF('計算A'!AJ$106=1,1-EH25,0)+IF('計算A'!AK$106=1,1-EJ25,0))*150+102+'計算A'!AK$5*100000+IF(AND($E25=1,JX25=0),50000,0))+IF($H25=1,(IF('計算A'!AJ$117=1,INDEX('計算A'!AJ$10:AJ$54,$B25),0)+IF('計算A'!AK$117=1,INDEX('計算A'!AL$10:AL$54,$B25),0))*4000,0)-IF(AND('計算A'!AJ$117=1,VH25&gt;0),2000,0)-IF(AND($L25=1,'計算A'!AK$117=1,EJ25=0),2000,0))),1000000))</f>
        <v/>
      </c>
      <c r="PN25">
        <f>IF($B25=0,1000000,IF(INDEX('計算A'!$D$60:$EQ$104,$B25,35)*EJ25=1,IF(AND($E25=2,JY25=0),1000000,IF($I25&gt;0,IF(2=$J25,IF(OR(AND(35=$I25+1,OR($K25&lt;&gt;'計算A'!$A$3,'計算A'!$A$4=0)),AND(35=$I25-1,OR(11&lt;&gt;'計算A'!$A$3,'計算A'!$A$4=0))),0,IF(11=$K25,200000,ABS(11-$K25)*100)),100000+ABS(2-$J25)*1000+110)+'計算A'!AL$5*50+IF(AND($E25=1,JY25=0),25,0),IF($F25&gt;0,INDEX('計算A'!AL$110:AL$114,$F25+1)+IF(AND($E25=1,JY25=0),1000,0),MIN(TV25,20)*400+(IF('計算A'!AK$106=1,1-EI25,0)+IF('計算A'!AL$106=1,1-EK25,0))*150+112+'計算A'!AL$5*100000+IF(AND($E25=1,JY25=0),50000,0))+IF($H25=1,(IF('計算A'!AK$117=1,INDEX('計算A'!AK$10:AK$54,$B25),0)+IF('計算A'!AL$117=1,INDEX('計算A'!AM$10:AM$54,$B25),0))*4000,0)-IF(AND('計算A'!AK$117=1,VI25&gt;0),2000,0)-IF(AND($L25=1,'計算A'!AL$117=1,EK25=0),2000,0))),1000000))</f>
        <v/>
      </c>
      <c r="PO25">
        <f>IF($B25=0,1000000,IF(INDEX('計算A'!$D$60:$EQ$104,$B25,36)*EK25=1,IF(AND($E25=2,JZ25=0),1000000,IF($I25&gt;0,IF(2=$J25,IF(OR(AND(36=$I25+1,OR($K25&lt;&gt;'計算A'!$A$3,'計算A'!$A$4=0)),AND(36=$I25-1,OR(12&lt;&gt;'計算A'!$A$3,'計算A'!$A$4=0))),0,IF(12=$K25,200000,ABS(12-$K25)*100)),100000+ABS(2-$J25)*1000+120)+'計算A'!AM$5*50+IF(AND($E25=1,JZ25=0),25,0),IF($F25&gt;0,INDEX('計算A'!AM$110:AM$114,$F25+1)+IF(AND($E25=1,JZ25=0),1000,0),MIN(TV25,20)*400+(IF('計算A'!AL$106=1,1-EJ25,0)+IF('計算A'!AM$106=1,1-EL25,0))*150+122+'計算A'!AM$5*100000+IF(AND($E25=1,JZ25=0),50000,0))+IF($H25=1,(IF('計算A'!AL$117=1,INDEX('計算A'!AL$10:AL$54,$B25),0)+IF('計算A'!AM$117=1,INDEX('計算A'!AN$10:AN$54,$B25),0))*4000,0)-IF(AND('計算A'!AL$117=1,VJ25&gt;0),2000,0)-IF(AND($L25=1,'計算A'!AM$117=1,EL25=0),2000,0))),1000000))</f>
        <v/>
      </c>
      <c r="PP25">
        <f>IF($B25=0,1000000,IF(INDEX('計算A'!$D$60:$EQ$104,$B25,37)*EL25=1,IF(AND($E25=2,KA25=0),1000000,IF($I25&gt;0,IF(2=$J25,IF(OR(AND(37=$I25+1,OR($K25&lt;&gt;'計算A'!$A$3,'計算A'!$A$4=0)),AND(37=$I25-1,OR(13&lt;&gt;'計算A'!$A$3,'計算A'!$A$4=0))),0,IF(13=$K25,200000,ABS(13-$K25)*100)),100000+ABS(2-$J25)*1000+130)+'計算A'!AN$5*50+IF(AND($E25=1,KA25=0),25,0),IF($F25&gt;0,INDEX('計算A'!AN$110:AN$114,$F25+1)+IF(AND($E25=1,KA25=0),1000,0),MIN(TV25,20)*400+(IF('計算A'!AM$106=1,1-EK25,0)+IF('計算A'!AN$106=1,1-EM25,0))*150+132+'計算A'!AN$5*100000+IF(AND($E25=1,KA25=0),50000,0))+IF($H25=1,(IF('計算A'!AM$117=1,INDEX('計算A'!AM$10:AM$54,$B25),0)+IF('計算A'!AN$117=1,INDEX('計算A'!AO$10:AO$54,$B25),0))*4000,0)-IF(AND('計算A'!AM$117=1,VK25&gt;0),2000,0)-IF(AND($L25=1,'計算A'!AN$117=1,EM25=0),2000,0))),1000000))</f>
        <v/>
      </c>
      <c r="PQ25">
        <f>IF($B25=0,1000000,IF(INDEX('計算A'!$D$60:$EQ$104,$B25,38)*EM25=1,IF(AND($E25=2,KB25=0),1000000,IF($I25&gt;0,IF(2=$J25,IF(OR(AND(38=$I25+1,OR($K25&lt;&gt;'計算A'!$A$3,'計算A'!$A$4=0)),AND(38=$I25-1,OR(14&lt;&gt;'計算A'!$A$3,'計算A'!$A$4=0))),0,IF(14=$K25,200000,ABS(14-$K25)*100)),100000+ABS(2-$J25)*1000+140)+'計算A'!AO$5*50+IF(AND($E25=1,KB25=0),25,0),IF($F25&gt;0,INDEX('計算A'!AO$110:AO$114,$F25+1)+IF(AND($E25=1,KB25=0),1000,0),MIN(TV25,20)*400+(IF('計算A'!AN$106=1,1-EL25,0)+IF('計算A'!AO$106=1,1-EN25,0))*150+142+'計算A'!AO$5*100000+IF(AND($E25=1,KB25=0),50000,0))+IF($H25=1,(IF('計算A'!AN$117=1,INDEX('計算A'!AN$10:AN$54,$B25),0)+IF('計算A'!AO$117=1,INDEX('計算A'!AP$10:AP$54,$B25),0))*4000,0)-IF(AND('計算A'!AN$117=1,VL25&gt;0),2000,0)-IF(AND($L25=1,'計算A'!AO$117=1,EN25=0),2000,0))),1000000))</f>
        <v/>
      </c>
      <c r="PR25">
        <f>IF($B25=0,1000000,IF(INDEX('計算A'!$D$60:$EQ$104,$B25,39)*EN25=1,IF(AND($E25=2,KC25=0),1000000,IF($I25&gt;0,IF(2=$J25,IF(OR(AND(39=$I25+1,OR($K25&lt;&gt;'計算A'!$A$3,'計算A'!$A$4=0)),AND(39=$I25-1,OR(15&lt;&gt;'計算A'!$A$3,'計算A'!$A$4=0))),0,IF(15=$K25,200000,ABS(15-$K25)*100)),100000+ABS(2-$J25)*1000+150)+'計算A'!AP$5*50+IF(AND($E25=1,KC25=0),25,0),IF($F25&gt;0,INDEX('計算A'!AP$110:AP$114,$F25+1)+IF(AND($E25=1,KC25=0),1000,0),MIN(TV25,20)*400+(IF('計算A'!AO$106=1,1-EM25,0)+IF('計算A'!AP$106=1,1-EO25,0))*150+152+'計算A'!AP$5*100000+IF(AND($E25=1,KC25=0),50000,0))+IF($H25=1,(IF('計算A'!AO$117=1,INDEX('計算A'!AO$10:AO$54,$B25),0)+IF('計算A'!AP$117=1,INDEX('計算A'!AQ$10:AQ$54,$B25),0))*4000,0)-IF(AND('計算A'!AO$117=1,VM25&gt;0),2000,0)-IF(AND($L25=1,'計算A'!AP$117=1,EO25=0),2000,0))),1000000))</f>
        <v/>
      </c>
      <c r="PS25">
        <f>IF($B25=0,1000000,IF(INDEX('計算A'!$D$60:$EQ$104,$B25,40)*EO25=1,IF(AND($E25=2,KD25=0),1000000,IF($I25&gt;0,IF(2=$J25,IF(OR(AND(40=$I25+1,OR($K25&lt;&gt;'計算A'!$A$3,'計算A'!$A$4=0)),AND(40=$I25-1,OR(16&lt;&gt;'計算A'!$A$3,'計算A'!$A$4=0))),0,IF(16=$K25,200000,ABS(16-$K25)*100)),100000+ABS(2-$J25)*1000+160)+'計算A'!AQ$5*50+IF(AND($E25=1,KD25=0),25,0),IF($F25&gt;0,INDEX('計算A'!AQ$110:AQ$114,$F25+1)+IF(AND($E25=1,KD25=0),1000,0),MIN(TV25,20)*400+(IF('計算A'!AP$106=1,1-EN25,0)+IF('計算A'!AQ$106=1,1-EP25,0))*150+162+'計算A'!AQ$5*100000+IF(AND($E25=1,KD25=0),50000,0))+IF($H25=1,(IF('計算A'!AP$117=1,INDEX('計算A'!AP$10:AP$54,$B25),0)+IF('計算A'!AQ$117=1,INDEX('計算A'!AR$10:AR$54,$B25),0))*4000,0)-IF(AND('計算A'!AP$117=1,VN25&gt;0),2000,0)-IF(AND($L25=1,'計算A'!AQ$117=1,EP25=0),2000,0))),1000000))</f>
        <v/>
      </c>
      <c r="PT25">
        <f>IF($B25=0,1000000,IF(INDEX('計算A'!$D$60:$EQ$104,$B25,41)*EP25=1,IF(AND($E25=2,KE25=0),1000000,IF($I25&gt;0,IF(2=$J25,IF(OR(AND(41=$I25+1,OR($K25&lt;&gt;'計算A'!$A$3,'計算A'!$A$4=0)),AND(41=$I25-1,OR(17&lt;&gt;'計算A'!$A$3,'計算A'!$A$4=0))),0,IF(17=$K25,200000,ABS(17-$K25)*100)),100000+ABS(2-$J25)*1000+170)+'計算A'!AR$5*50+IF(AND($E25=1,KE25=0),25,0),IF($F25&gt;0,INDEX('計算A'!AR$110:AR$114,$F25+1)+IF(AND($E25=1,KE25=0),1000,0),MIN(TV25,20)*400+(IF('計算A'!AQ$106=1,1-EO25,0)+IF('計算A'!AR$106=1,1-EQ25,0))*150+172+'計算A'!AR$5*100000+IF(AND($E25=1,KE25=0),50000,0))+IF($H25=1,(IF('計算A'!AQ$117=1,INDEX('計算A'!AQ$10:AQ$54,$B25),0)+IF('計算A'!AR$117=1,INDEX('計算A'!AS$10:AS$54,$B25),0))*4000,0)-IF(AND('計算A'!AQ$117=1,VO25&gt;0),2000,0)-IF(AND($L25=1,'計算A'!AR$117=1,EQ25=0),2000,0))),1000000))</f>
        <v/>
      </c>
      <c r="PU25">
        <f>IF($B25=0,1000000,IF(INDEX('計算A'!$D$60:$EQ$104,$B25,42)*EQ25=1,IF(AND($E25=2,KF25=0),1000000,IF($I25&gt;0,IF(2=$J25,IF(OR(AND(42=$I25+1,OR($K25&lt;&gt;'計算A'!$A$3,'計算A'!$A$4=0)),AND(42=$I25-1,OR(18&lt;&gt;'計算A'!$A$3,'計算A'!$A$4=0))),0,IF(18=$K25,200000,ABS(18-$K25)*100)),100000+ABS(2-$J25)*1000+180)+'計算A'!AS$5*50+IF(AND($E25=1,KF25=0),25,0),IF($F25&gt;0,INDEX('計算A'!AS$110:AS$114,$F25+1)+IF(AND($E25=1,KF25=0),1000,0),MIN(TV25,20)*400+(IF('計算A'!AR$106=1,1-EP25,0)+IF('計算A'!AS$106=1,1-ER25,0))*150+182+'計算A'!AS$5*100000+IF(AND($E25=1,KF25=0),50000,0))+IF($H25=1,(IF('計算A'!AR$117=1,INDEX('計算A'!AR$10:AR$54,$B25),0)+IF('計算A'!AS$117=1,INDEX('計算A'!AT$10:AT$54,$B25),0))*4000,0)-IF(AND('計算A'!AR$117=1,VP25&gt;0),2000,0)-IF(AND($L25=1,'計算A'!AS$117=1,ER25=0),2000,0))),1000000))</f>
        <v/>
      </c>
      <c r="PV25">
        <f>IF($B25=0,1000000,IF(INDEX('計算A'!$D$60:$EQ$104,$B25,43)*ER25=1,IF(AND($E25=2,KG25=0),1000000,IF($I25&gt;0,IF(2=$J25,IF(OR(AND(43=$I25+1,OR($K25&lt;&gt;'計算A'!$A$3,'計算A'!$A$4=0)),AND(43=$I25-1,OR(19&lt;&gt;'計算A'!$A$3,'計算A'!$A$4=0))),0,IF(19=$K25,200000,ABS(19-$K25)*100)),100000+ABS(2-$J25)*1000+190)+'計算A'!AT$5*50+IF(AND($E25=1,KG25=0),25,0),IF($F25&gt;0,INDEX('計算A'!AT$110:AT$114,$F25+1)+IF(AND($E25=1,KG25=0),1000,0),MIN(TV25,20)*400+(IF('計算A'!AS$106=1,1-EQ25,0)+IF('計算A'!AT$106=1,1-ES25,0))*150+192+'計算A'!AT$5*100000+IF(AND($E25=1,KG25=0),50000,0))+IF($H25=1,(IF('計算A'!AS$117=1,INDEX('計算A'!AS$10:AS$54,$B25),0)+IF('計算A'!AT$117=1,INDEX('計算A'!AU$10:AU$54,$B25),0))*4000,0)-IF(AND('計算A'!AS$117=1,VQ25&gt;0),2000,0)-IF(AND($L25=1,'計算A'!AT$117=1,ES25=0),2000,0))),1000000))</f>
        <v/>
      </c>
      <c r="PW25">
        <f>IF($B25=0,1000000,IF(INDEX('計算A'!$D$60:$EQ$104,$B25,44)*ES25=1,IF(AND($E25=2,KH25=0),1000000,IF($I25&gt;0,IF(2=$J25,IF(OR(AND(44=$I25+1,OR($K25&lt;&gt;'計算A'!$A$3,'計算A'!$A$4=0)),AND(44=$I25-1,OR(20&lt;&gt;'計算A'!$A$3,'計算A'!$A$4=0))),0,IF(20=$K25,200000,ABS(20-$K25)*100)),100000+ABS(2-$J25)*1000+200)+'計算A'!AU$5*50+IF(AND($E25=1,KH25=0),25,0),IF($F25&gt;0,INDEX('計算A'!AU$110:AU$114,$F25+1)+IF(AND($E25=1,KH25=0),1000,0),MIN(TV25,20)*400+(IF('計算A'!AT$106=1,1-ER25,0)+IF('計算A'!AU$106=1,1-ET25,0))*150+202+'計算A'!AU$5*100000+IF(AND($E25=1,KH25=0),50000,0))+IF($H25=1,(IF('計算A'!AT$117=1,INDEX('計算A'!AT$10:AT$54,$B25),0)+IF('計算A'!AU$117=1,INDEX('計算A'!AV$10:AV$54,$B25),0))*4000,0)-IF(AND('計算A'!AT$117=1,VR25&gt;0),2000,0)-IF(AND($L25=1,'計算A'!AU$117=1,ET25=0),2000,0))),1000000))</f>
        <v/>
      </c>
      <c r="PX25">
        <f>IF($B25=0,1000000,IF(INDEX('計算A'!$D$60:$EQ$104,$B25,45)*ET25=1,IF(AND($E25=2,KI25=0),1000000,IF($I25&gt;0,IF(2=$J25,IF(OR(AND(45=$I25+1,OR($K25&lt;&gt;'計算A'!$A$3,'計算A'!$A$4=0)),AND(45=$I25-1,OR(21&lt;&gt;'計算A'!$A$3,'計算A'!$A$4=0))),0,IF(21=$K25,200000,ABS(21-$K25)*100)),100000+ABS(2-$J25)*1000+210)+'計算A'!AV$5*50+IF(AND($E25=1,KI25=0),25,0),IF($F25&gt;0,INDEX('計算A'!AV$110:AV$114,$F25+1)+IF(AND($E25=1,KI25=0),1000,0),MIN(TV25,20)*400+(IF('計算A'!AU$106=1,1-ES25,0)+IF('計算A'!AV$106=1,1-EU25,0))*150+212+'計算A'!AV$5*100000+IF(AND($E25=1,KI25=0),50000,0))+IF($H25=1,(IF('計算A'!AU$117=1,INDEX('計算A'!AU$10:AU$54,$B25),0)+IF('計算A'!AV$117=1,INDEX('計算A'!AW$10:AW$54,$B25),0))*4000,0)-IF(AND('計算A'!AU$117=1,VS25&gt;0),2000,0)-IF(AND($L25=1,'計算A'!AV$117=1,EU25=0),2000,0))),1000000))</f>
        <v/>
      </c>
      <c r="PY25">
        <f>IF($B25=0,1000000,IF(INDEX('計算A'!$D$60:$EQ$104,$B25,46)*EU25=1,IF(AND($E25=2,KJ25=0),1000000,IF($I25&gt;0,IF(2=$J25,IF(OR(AND(46=$I25+1,OR($K25&lt;&gt;'計算A'!$A$3,'計算A'!$A$4=0)),AND(46=$I25-1,OR(22&lt;&gt;'計算A'!$A$3,'計算A'!$A$4=0))),0,IF(22=$K25,200000,ABS(22-$K25)*100)),100000+ABS(2-$J25)*1000+220)+'計算A'!AW$5*50+IF(AND($E25=1,KJ25=0),25,0),IF($F25&gt;0,INDEX('計算A'!AW$110:AW$114,$F25+1)+IF(AND($E25=1,KJ25=0),1000,0),MIN(TV25,20)*400+(IF('計算A'!AV$106=1,1-ET25,0)+IF('計算A'!AW$106=1,1-EV25,0))*150+222+'計算A'!AW$5*100000+IF(AND($E25=1,KJ25=0),50000,0))+IF($H25=1,(IF('計算A'!AV$117=1,INDEX('計算A'!AV$10:AV$54,$B25),0)+IF('計算A'!AW$117=1,INDEX('計算A'!AX$10:AX$54,$B25),0))*4000,0)-IF(AND('計算A'!AV$117=1,VT25&gt;0),2000,0)-IF(AND($L25=1,'計算A'!AW$117=1,EV25=0),2000,0))),1000000))</f>
        <v/>
      </c>
      <c r="PZ25">
        <f>IF($B25=0,1000000,IF(INDEX('計算A'!$D$60:$EQ$104,$B25,47)*EV25=1,IF(AND($E25=2,KK25=0),1000000,IF($I25&gt;0,IF(2=$J25,IF(OR(AND(47=$I25+1,OR($K25&lt;&gt;'計算A'!$A$3,'計算A'!$A$4=0)),AND(47=$I25-1,OR(23&lt;&gt;'計算A'!$A$3,'計算A'!$A$4=0))),0,IF(23=$K25,200000,ABS(23-$K25)*100)),100000+ABS(2-$J25)*1000+230)+'計算A'!AX$5*50+IF(AND($E25=1,KK25=0),25,0),IF($F25&gt;0,INDEX('計算A'!AX$110:AX$114,$F25+1)+IF(AND($E25=1,KK25=0),1000,0),MIN(TV25,20)*400+(IF('計算A'!AW$106=1,1-EU25,0)+IF('計算A'!AX$106=1,1-EW25,0))*150+232+'計算A'!AX$5*100000+IF(AND($E25=1,KK25=0),50000,0))+IF($H25=1,(IF('計算A'!AW$117=1,INDEX('計算A'!AW$10:AW$54,$B25),0)+IF('計算A'!AX$117=1,INDEX('計算A'!AY$10:AY$54,$B25),0))*4000,0)-IF(AND('計算A'!AW$117=1,VU25&gt;0),2000,0)-IF(AND($L25=1,'計算A'!AX$117=1,EW25=0),2000,0))),1000000))</f>
        <v/>
      </c>
      <c r="QA25">
        <f>IF($B25=0,1000000,IF(INDEX('計算A'!$D$60:$EQ$104,$B25,48)*EW25=1,IF(AND($E25=2,KL25=0),1000000,IF($I25&gt;0,IF(2=$J25,IF(OR(AND(48=$I25+1,OR($K25&lt;&gt;'計算A'!$A$3,'計算A'!$A$4=0)),AND(48=$I25-1,OR(24&lt;&gt;'計算A'!$A$3,'計算A'!$A$4=0))),0,IF(24=$K25,200000,ABS(24-$K25)*100)),100000+ABS(2-$J25)*1000+240)+'計算A'!AY$5*50+IF(AND($E25=1,KL25=0),25,0),IF($F25&gt;0,INDEX('計算A'!AY$110:AY$114,$F25+1)+IF(AND($E25=1,KL25=0),1000,0),MIN(TV25,20)*400+(IF('計算A'!AX$106=1,1-EV25,0))*150+242+'計算A'!AY$5*100000+IF(AND($E25=1,KL25=0),50000,0))+IF($H25=1,(IF('計算A'!AX$117=1,INDEX('計算A'!AX$10:AX$54,$B25),0))*4000,0)-IF(AND('計算A'!AX$117=1,VV25&gt;0),2000,0))),1000000))</f>
        <v/>
      </c>
      <c r="QB25">
        <f>IF($B25=0,1000000,IF(INDEX('計算A'!$D$60:$EQ$104,$B25,49)*EX25=1,IF(AND($E25=2,KM25=0),1000000,IF($I25&gt;0,IF(3=$J25,IF(OR(AND(49=$I25+1,OR($K25&lt;&gt;'計算A'!$A$3,'計算A'!$A$4=0)),AND(49=$I25-1,OR(1&lt;&gt;'計算A'!$A$3,'計算A'!$A$4=0))),0,IF(1=$K25,200000,ABS(1-$K25)*100)),100000+ABS(3-$J25)*1000+10)+'計算A'!AZ$5*50+IF(AND($E25=1,KM25=0),25,0),IF($F25&gt;0,INDEX('計算A'!AZ$110:AZ$114,$F25+1)+IF(AND($E25=1,KM25=0),1000,0),MIN(TW25,20)*400+(IF('計算A'!AZ$106=1,1-EY25,0))*150+13+'計算A'!AZ$5*100000+IF(AND($E25=1,KM25=0),50000,0))+IF($H25=1,(IF('計算A'!AZ$117=1,INDEX('計算A'!BA$10:BA$54,$B25),0))*4000,0)-IF(AND($L25=1,'計算A'!AZ$117=1,EY25=0),2000,0))),1000000))</f>
        <v/>
      </c>
      <c r="QC25">
        <f>IF($B25=0,1000000,IF(INDEX('計算A'!$D$60:$EQ$104,$B25,50)*EY25=1,IF(AND($E25=2,KN25=0),1000000,IF($I25&gt;0,IF(3=$J25,IF(OR(AND(50=$I25+1,OR($K25&lt;&gt;'計算A'!$A$3,'計算A'!$A$4=0)),AND(50=$I25-1,OR(2&lt;&gt;'計算A'!$A$3,'計算A'!$A$4=0))),0,IF(2=$K25,200000,ABS(2-$K25)*100)),100000+ABS(3-$J25)*1000+20)+'計算A'!BA$5*50+IF(AND($E25=1,KN25=0),25,0),IF($F25&gt;0,INDEX('計算A'!BA$110:BA$114,$F25+1)+IF(AND($E25=1,KN25=0),1000,0),MIN(TW25,20)*400+(IF('計算A'!AZ$106=1,1-EX25,0)+IF('計算A'!BA$106=1,1-EZ25,0))*150+23+'計算A'!BA$5*100000+IF(AND($E25=1,KN25=0),50000,0))+IF($H25=1,(IF('計算A'!AZ$117=1,INDEX('計算A'!AZ$10:AZ$54,$B25),0)+IF('計算A'!BA$117=1,INDEX('計算A'!BB$10:BB$54,$B25),0))*4000,0)-IF(AND('計算A'!AZ$117=1,VX25&gt;0),2000,0)-IF(AND($L25=1,'計算A'!BA$117=1,EZ25=0),2000,0))),1000000))</f>
        <v/>
      </c>
      <c r="QD25">
        <f>IF($B25=0,1000000,IF(INDEX('計算A'!$D$60:$EQ$104,$B25,51)*EZ25=1,IF(AND($E25=2,KO25=0),1000000,IF($I25&gt;0,IF(3=$J25,IF(OR(AND(51=$I25+1,OR($K25&lt;&gt;'計算A'!$A$3,'計算A'!$A$4=0)),AND(51=$I25-1,OR(3&lt;&gt;'計算A'!$A$3,'計算A'!$A$4=0))),0,IF(3=$K25,200000,ABS(3-$K25)*100)),100000+ABS(3-$J25)*1000+30)+'計算A'!BB$5*50+IF(AND($E25=1,KO25=0),25,0),IF($F25&gt;0,INDEX('計算A'!BB$110:BB$114,$F25+1)+IF(AND($E25=1,KO25=0),1000,0),MIN(TW25,20)*400+(IF('計算A'!BA$106=1,1-EY25,0)+IF('計算A'!BB$106=1,1-FA25,0))*150+33+'計算A'!BB$5*100000+IF(AND($E25=1,KO25=0),50000,0))+IF($H25=1,(IF('計算A'!BA$117=1,INDEX('計算A'!BA$10:BA$54,$B25),0)+IF('計算A'!BB$117=1,INDEX('計算A'!BC$10:BC$54,$B25),0))*4000,0)-IF(AND('計算A'!BA$117=1,VY25&gt;0),2000,0)-IF(AND($L25=1,'計算A'!BB$117=1,FA25=0),2000,0))),1000000))</f>
        <v/>
      </c>
      <c r="QE25">
        <f>IF($B25=0,1000000,IF(INDEX('計算A'!$D$60:$EQ$104,$B25,52)*FA25=1,IF(AND($E25=2,KP25=0),1000000,IF($I25&gt;0,IF(3=$J25,IF(OR(AND(52=$I25+1,OR($K25&lt;&gt;'計算A'!$A$3,'計算A'!$A$4=0)),AND(52=$I25-1,OR(4&lt;&gt;'計算A'!$A$3,'計算A'!$A$4=0))),0,IF(4=$K25,200000,ABS(4-$K25)*100)),100000+ABS(3-$J25)*1000+40)+'計算A'!BC$5*50+IF(AND($E25=1,KP25=0),25,0),IF($F25&gt;0,INDEX('計算A'!BC$110:BC$114,$F25+1)+IF(AND($E25=1,KP25=0),1000,0),MIN(TW25,20)*400+(IF('計算A'!BB$106=1,1-EZ25,0)+IF('計算A'!BC$106=1,1-FB25,0))*150+43+'計算A'!BC$5*100000+IF(AND($E25=1,KP25=0),50000,0))+IF($H25=1,(IF('計算A'!BB$117=1,INDEX('計算A'!BB$10:BB$54,$B25),0)+IF('計算A'!BC$117=1,INDEX('計算A'!BD$10:BD$54,$B25),0))*4000,0)-IF(AND('計算A'!BB$117=1,VZ25&gt;0),2000,0)-IF(AND($L25=1,'計算A'!BC$117=1,FB25=0),2000,0))),1000000))</f>
        <v/>
      </c>
      <c r="QF25">
        <f>IF($B25=0,1000000,IF(INDEX('計算A'!$D$60:$EQ$104,$B25,53)*FB25=1,IF(AND($E25=2,KQ25=0),1000000,IF($I25&gt;0,IF(3=$J25,IF(OR(AND(53=$I25+1,OR($K25&lt;&gt;'計算A'!$A$3,'計算A'!$A$4=0)),AND(53=$I25-1,OR(5&lt;&gt;'計算A'!$A$3,'計算A'!$A$4=0))),0,IF(5=$K25,200000,ABS(5-$K25)*100)),100000+ABS(3-$J25)*1000+50)+'計算A'!BD$5*50+IF(AND($E25=1,KQ25=0),25,0),IF($F25&gt;0,INDEX('計算A'!BD$110:BD$114,$F25+1)+IF(AND($E25=1,KQ25=0),1000,0),MIN(TW25,20)*400+(IF('計算A'!BC$106=1,1-FA25,0)+IF('計算A'!BD$106=1,1-FC25,0))*150+53+'計算A'!BD$5*100000+IF(AND($E25=1,KQ25=0),50000,0))+IF($H25=1,(IF('計算A'!BC$117=1,INDEX('計算A'!BC$10:BC$54,$B25),0)+IF('計算A'!BD$117=1,INDEX('計算A'!BE$10:BE$54,$B25),0))*4000,0)-IF(AND('計算A'!BC$117=1,WA25&gt;0),2000,0)-IF(AND($L25=1,'計算A'!BD$117=1,FC25=0),2000,0))),1000000))</f>
        <v/>
      </c>
      <c r="QG25">
        <f>IF($B25=0,1000000,IF(INDEX('計算A'!$D$60:$EQ$104,$B25,54)*FC25=1,IF(AND($E25=2,KR25=0),1000000,IF($I25&gt;0,IF(3=$J25,IF(OR(AND(54=$I25+1,OR($K25&lt;&gt;'計算A'!$A$3,'計算A'!$A$4=0)),AND(54=$I25-1,OR(6&lt;&gt;'計算A'!$A$3,'計算A'!$A$4=0))),0,IF(6=$K25,200000,ABS(6-$K25)*100)),100000+ABS(3-$J25)*1000+60)+'計算A'!BE$5*50+IF(AND($E25=1,KR25=0),25,0),IF($F25&gt;0,INDEX('計算A'!BE$110:BE$114,$F25+1)+IF(AND($E25=1,KR25=0),1000,0),MIN(TW25,20)*400+(IF('計算A'!BD$106=1,1-FB25,0)+IF('計算A'!BE$106=1,1-FD25,0))*150+63+'計算A'!BE$5*100000+IF(AND($E25=1,KR25=0),50000,0))+IF($H25=1,(IF('計算A'!BD$117=1,INDEX('計算A'!BD$10:BD$54,$B25),0)+IF('計算A'!BE$117=1,INDEX('計算A'!BF$10:BF$54,$B25),0))*4000,0)-IF(AND('計算A'!BD$117=1,WB25&gt;0),2000,0)-IF(AND($L25=1,'計算A'!BE$117=1,FD25=0),2000,0))),1000000))</f>
        <v/>
      </c>
      <c r="QH25">
        <f>IF($B25=0,1000000,IF(INDEX('計算A'!$D$60:$EQ$104,$B25,55)*FD25=1,IF(AND($E25=2,KS25=0),1000000,IF($I25&gt;0,IF(3=$J25,IF(OR(AND(55=$I25+1,OR($K25&lt;&gt;'計算A'!$A$3,'計算A'!$A$4=0)),AND(55=$I25-1,OR(7&lt;&gt;'計算A'!$A$3,'計算A'!$A$4=0))),0,IF(7=$K25,200000,ABS(7-$K25)*100)),100000+ABS(3-$J25)*1000+70)+'計算A'!BF$5*50+IF(AND($E25=1,KS25=0),25,0),IF($F25&gt;0,INDEX('計算A'!BF$110:BF$114,$F25+1)+IF(AND($E25=1,KS25=0),1000,0),MIN(TW25,20)*400+(IF('計算A'!BE$106=1,1-FC25,0)+IF('計算A'!BF$106=1,1-FE25,0))*150+73+'計算A'!BF$5*100000+IF(AND($E25=1,KS25=0),50000,0))+IF($H25=1,(IF('計算A'!BE$117=1,INDEX('計算A'!BE$10:BE$54,$B25),0)+IF('計算A'!BF$117=1,INDEX('計算A'!BG$10:BG$54,$B25),0))*4000,0)-IF(AND('計算A'!BE$117=1,WC25&gt;0),2000,0)-IF(AND($L25=1,'計算A'!BF$117=1,FE25=0),2000,0))),1000000))</f>
        <v/>
      </c>
      <c r="QI25">
        <f>IF($B25=0,1000000,IF(INDEX('計算A'!$D$60:$EQ$104,$B25,56)*FE25=1,IF(AND($E25=2,KT25=0),1000000,IF($I25&gt;0,IF(3=$J25,IF(OR(AND(56=$I25+1,OR($K25&lt;&gt;'計算A'!$A$3,'計算A'!$A$4=0)),AND(56=$I25-1,OR(8&lt;&gt;'計算A'!$A$3,'計算A'!$A$4=0))),0,IF(8=$K25,200000,ABS(8-$K25)*100)),100000+ABS(3-$J25)*1000+80)+'計算A'!BG$5*50+IF(AND($E25=1,KT25=0),25,0),IF($F25&gt;0,INDEX('計算A'!BG$110:BG$114,$F25+1)+IF(AND($E25=1,KT25=0),1000,0),MIN(TW25,20)*400+(IF('計算A'!BF$106=1,1-FD25,0)+IF('計算A'!BG$106=1,1-FF25,0))*150+83+'計算A'!BG$5*100000+IF(AND($E25=1,KT25=0),50000,0))+IF($H25=1,(IF('計算A'!BF$117=1,INDEX('計算A'!BF$10:BF$54,$B25),0)+IF('計算A'!BG$117=1,INDEX('計算A'!BH$10:BH$54,$B25),0))*4000,0)-IF(AND('計算A'!BF$117=1,WD25&gt;0),2000,0)-IF(AND($L25=1,'計算A'!BG$117=1,FF25=0),2000,0))),1000000))</f>
        <v/>
      </c>
      <c r="QJ25">
        <f>IF($B25=0,1000000,IF(INDEX('計算A'!$D$60:$EQ$104,$B25,57)*FF25=1,IF(AND($E25=2,KU25=0),1000000,IF($I25&gt;0,IF(3=$J25,IF(OR(AND(57=$I25+1,OR($K25&lt;&gt;'計算A'!$A$3,'計算A'!$A$4=0)),AND(57=$I25-1,OR(9&lt;&gt;'計算A'!$A$3,'計算A'!$A$4=0))),0,IF(9=$K25,200000,ABS(9-$K25)*100)),100000+ABS(3-$J25)*1000+90)+'計算A'!BH$5*50+IF(AND($E25=1,KU25=0),25,0),IF($F25&gt;0,INDEX('計算A'!BH$110:BH$114,$F25+1)+IF(AND($E25=1,KU25=0),1000,0),MIN(TW25,20)*400+(IF('計算A'!BG$106=1,1-FE25,0)+IF('計算A'!BH$106=1,1-FG25,0))*150+93+'計算A'!BH$5*100000+IF(AND($E25=1,KU25=0),50000,0))+IF($H25=1,(IF('計算A'!BG$117=1,INDEX('計算A'!BG$10:BG$54,$B25),0)+IF('計算A'!BH$117=1,INDEX('計算A'!BI$10:BI$54,$B25),0))*4000,0)-IF(AND('計算A'!BG$117=1,WE25&gt;0),2000,0)-IF(AND($L25=1,'計算A'!BH$117=1,FG25=0),2000,0))),1000000))</f>
        <v/>
      </c>
      <c r="QK25">
        <f>IF($B25=0,1000000,IF(INDEX('計算A'!$D$60:$EQ$104,$B25,58)*FG25=1,IF(AND($E25=2,KV25=0),1000000,IF($I25&gt;0,IF(3=$J25,IF(OR(AND(58=$I25+1,OR($K25&lt;&gt;'計算A'!$A$3,'計算A'!$A$4=0)),AND(58=$I25-1,OR(10&lt;&gt;'計算A'!$A$3,'計算A'!$A$4=0))),0,IF(10=$K25,200000,ABS(10-$K25)*100)),100000+ABS(3-$J25)*1000+100)+'計算A'!BI$5*50+IF(AND($E25=1,KV25=0),25,0),IF($F25&gt;0,INDEX('計算A'!BI$110:BI$114,$F25+1)+IF(AND($E25=1,KV25=0),1000,0),MIN(TW25,20)*400+(IF('計算A'!BH$106=1,1-FF25,0)+IF('計算A'!BI$106=1,1-FH25,0))*150+103+'計算A'!BI$5*100000+IF(AND($E25=1,KV25=0),50000,0))+IF($H25=1,(IF('計算A'!BH$117=1,INDEX('計算A'!BH$10:BH$54,$B25),0)+IF('計算A'!BI$117=1,INDEX('計算A'!BJ$10:BJ$54,$B25),0))*4000,0)-IF(AND('計算A'!BH$117=1,WF25&gt;0),2000,0)-IF(AND($L25=1,'計算A'!BI$117=1,FH25=0),2000,0))),1000000))</f>
        <v/>
      </c>
      <c r="QL25">
        <f>IF($B25=0,1000000,IF(INDEX('計算A'!$D$60:$EQ$104,$B25,59)*FH25=1,IF(AND($E25=2,KW25=0),1000000,IF($I25&gt;0,IF(3=$J25,IF(OR(AND(59=$I25+1,OR($K25&lt;&gt;'計算A'!$A$3,'計算A'!$A$4=0)),AND(59=$I25-1,OR(11&lt;&gt;'計算A'!$A$3,'計算A'!$A$4=0))),0,IF(11=$K25,200000,ABS(11-$K25)*100)),100000+ABS(3-$J25)*1000+110)+'計算A'!BJ$5*50+IF(AND($E25=1,KW25=0),25,0),IF($F25&gt;0,INDEX('計算A'!BJ$110:BJ$114,$F25+1)+IF(AND($E25=1,KW25=0),1000,0),MIN(TW25,20)*400+(IF('計算A'!BI$106=1,1-FG25,0)+IF('計算A'!BJ$106=1,1-FI25,0))*150+113+'計算A'!BJ$5*100000+IF(AND($E25=1,KW25=0),50000,0))+IF($H25=1,(IF('計算A'!BI$117=1,INDEX('計算A'!BI$10:BI$54,$B25),0)+IF('計算A'!BJ$117=1,INDEX('計算A'!BK$10:BK$54,$B25),0))*4000,0)-IF(AND('計算A'!BI$117=1,WG25&gt;0),2000,0)-IF(AND($L25=1,'計算A'!BJ$117=1,FI25=0),2000,0))),1000000))</f>
        <v/>
      </c>
      <c r="QM25">
        <f>IF($B25=0,1000000,IF(INDEX('計算A'!$D$60:$EQ$104,$B25,60)*FI25=1,IF(AND($E25=2,KX25=0),1000000,IF($I25&gt;0,IF(3=$J25,IF(OR(AND(60=$I25+1,OR($K25&lt;&gt;'計算A'!$A$3,'計算A'!$A$4=0)),AND(60=$I25-1,OR(12&lt;&gt;'計算A'!$A$3,'計算A'!$A$4=0))),0,IF(12=$K25,200000,ABS(12-$K25)*100)),100000+ABS(3-$J25)*1000+120)+'計算A'!BK$5*50+IF(AND($E25=1,KX25=0),25,0),IF($F25&gt;0,INDEX('計算A'!BK$110:BK$114,$F25+1)+IF(AND($E25=1,KX25=0),1000,0),MIN(TW25,20)*400+(IF('計算A'!BJ$106=1,1-FH25,0)+IF('計算A'!BK$106=1,1-FJ25,0))*150+123+'計算A'!BK$5*100000+IF(AND($E25=1,KX25=0),50000,0))+IF($H25=1,(IF('計算A'!BJ$117=1,INDEX('計算A'!BJ$10:BJ$54,$B25),0)+IF('計算A'!BK$117=1,INDEX('計算A'!BL$10:BL$54,$B25),0))*4000,0)-IF(AND('計算A'!BJ$117=1,WH25&gt;0),2000,0)-IF(AND($L25=1,'計算A'!BK$117=1,FJ25=0),2000,0))),1000000))</f>
        <v/>
      </c>
      <c r="QN25">
        <f>IF($B25=0,1000000,IF(INDEX('計算A'!$D$60:$EQ$104,$B25,61)*FJ25=1,IF(AND($E25=2,KY25=0),1000000,IF($I25&gt;0,IF(3=$J25,IF(OR(AND(61=$I25+1,OR($K25&lt;&gt;'計算A'!$A$3,'計算A'!$A$4=0)),AND(61=$I25-1,OR(13&lt;&gt;'計算A'!$A$3,'計算A'!$A$4=0))),0,IF(13=$K25,200000,ABS(13-$K25)*100)),100000+ABS(3-$J25)*1000+130)+'計算A'!BL$5*50+IF(AND($E25=1,KY25=0),25,0),IF($F25&gt;0,INDEX('計算A'!BL$110:BL$114,$F25+1)+IF(AND($E25=1,KY25=0),1000,0),MIN(TW25,20)*400+(IF('計算A'!BK$106=1,1-FI25,0)+IF('計算A'!BL$106=1,1-FK25,0))*150+133+'計算A'!BL$5*100000+IF(AND($E25=1,KY25=0),50000,0))+IF($H25=1,(IF('計算A'!BK$117=1,INDEX('計算A'!BK$10:BK$54,$B25),0)+IF('計算A'!BL$117=1,INDEX('計算A'!BM$10:BM$54,$B25),0))*4000,0)-IF(AND('計算A'!BK$117=1,WI25&gt;0),2000,0)-IF(AND($L25=1,'計算A'!BL$117=1,FK25=0),2000,0))),1000000))</f>
        <v/>
      </c>
      <c r="QO25">
        <f>IF($B25=0,1000000,IF(INDEX('計算A'!$D$60:$EQ$104,$B25,62)*FK25=1,IF(AND($E25=2,KZ25=0),1000000,IF($I25&gt;0,IF(3=$J25,IF(OR(AND(62=$I25+1,OR($K25&lt;&gt;'計算A'!$A$3,'計算A'!$A$4=0)),AND(62=$I25-1,OR(14&lt;&gt;'計算A'!$A$3,'計算A'!$A$4=0))),0,IF(14=$K25,200000,ABS(14-$K25)*100)),100000+ABS(3-$J25)*1000+140)+'計算A'!BM$5*50+IF(AND($E25=1,KZ25=0),25,0),IF($F25&gt;0,INDEX('計算A'!BM$110:BM$114,$F25+1)+IF(AND($E25=1,KZ25=0),1000,0),MIN(TW25,20)*400+(IF('計算A'!BL$106=1,1-FJ25,0)+IF('計算A'!BM$106=1,1-FL25,0))*150+143+'計算A'!BM$5*100000+IF(AND($E25=1,KZ25=0),50000,0))+IF($H25=1,(IF('計算A'!BL$117=1,INDEX('計算A'!BL$10:BL$54,$B25),0)+IF('計算A'!BM$117=1,INDEX('計算A'!BN$10:BN$54,$B25),0))*4000,0)-IF(AND('計算A'!BL$117=1,WJ25&gt;0),2000,0)-IF(AND($L25=1,'計算A'!BM$117=1,FL25=0),2000,0))),1000000))</f>
        <v/>
      </c>
      <c r="QP25">
        <f>IF($B25=0,1000000,IF(INDEX('計算A'!$D$60:$EQ$104,$B25,63)*FL25=1,IF(AND($E25=2,LA25=0),1000000,IF($I25&gt;0,IF(3=$J25,IF(OR(AND(63=$I25+1,OR($K25&lt;&gt;'計算A'!$A$3,'計算A'!$A$4=0)),AND(63=$I25-1,OR(15&lt;&gt;'計算A'!$A$3,'計算A'!$A$4=0))),0,IF(15=$K25,200000,ABS(15-$K25)*100)),100000+ABS(3-$J25)*1000+150)+'計算A'!BN$5*50+IF(AND($E25=1,LA25=0),25,0),IF($F25&gt;0,INDEX('計算A'!BN$110:BN$114,$F25+1)+IF(AND($E25=1,LA25=0),1000,0),MIN(TW25,20)*400+(IF('計算A'!BM$106=1,1-FK25,0)+IF('計算A'!BN$106=1,1-FM25,0))*150+153+'計算A'!BN$5*100000+IF(AND($E25=1,LA25=0),50000,0))+IF($H25=1,(IF('計算A'!BM$117=1,INDEX('計算A'!BM$10:BM$54,$B25),0)+IF('計算A'!BN$117=1,INDEX('計算A'!BO$10:BO$54,$B25),0))*4000,0)-IF(AND('計算A'!BM$117=1,WK25&gt;0),2000,0)-IF(AND($L25=1,'計算A'!BN$117=1,FM25=0),2000,0))),1000000))</f>
        <v/>
      </c>
      <c r="QQ25">
        <f>IF($B25=0,1000000,IF(INDEX('計算A'!$D$60:$EQ$104,$B25,64)*FM25=1,IF(AND($E25=2,LB25=0),1000000,IF($I25&gt;0,IF(3=$J25,IF(OR(AND(64=$I25+1,OR($K25&lt;&gt;'計算A'!$A$3,'計算A'!$A$4=0)),AND(64=$I25-1,OR(16&lt;&gt;'計算A'!$A$3,'計算A'!$A$4=0))),0,IF(16=$K25,200000,ABS(16-$K25)*100)),100000+ABS(3-$J25)*1000+160)+'計算A'!BO$5*50+IF(AND($E25=1,LB25=0),25,0),IF($F25&gt;0,INDEX('計算A'!BO$110:BO$114,$F25+1)+IF(AND($E25=1,LB25=0),1000,0),MIN(TW25,20)*400+(IF('計算A'!BN$106=1,1-FL25,0)+IF('計算A'!BO$106=1,1-FN25,0))*150+163+'計算A'!BO$5*100000+IF(AND($E25=1,LB25=0),50000,0))+IF($H25=1,(IF('計算A'!BN$117=1,INDEX('計算A'!BN$10:BN$54,$B25),0)+IF('計算A'!BO$117=1,INDEX('計算A'!BP$10:BP$54,$B25),0))*4000,0)-IF(AND('計算A'!BN$117=1,WL25&gt;0),2000,0)-IF(AND($L25=1,'計算A'!BO$117=1,FN25=0),2000,0))),1000000))</f>
        <v/>
      </c>
      <c r="QR25">
        <f>IF($B25=0,1000000,IF(INDEX('計算A'!$D$60:$EQ$104,$B25,65)*FN25=1,IF(AND($E25=2,LC25=0),1000000,IF($I25&gt;0,IF(3=$J25,IF(OR(AND(65=$I25+1,OR($K25&lt;&gt;'計算A'!$A$3,'計算A'!$A$4=0)),AND(65=$I25-1,OR(17&lt;&gt;'計算A'!$A$3,'計算A'!$A$4=0))),0,IF(17=$K25,200000,ABS(17-$K25)*100)),100000+ABS(3-$J25)*1000+170)+'計算A'!BP$5*50+IF(AND($E25=1,LC25=0),25,0),IF($F25&gt;0,INDEX('計算A'!BP$110:BP$114,$F25+1)+IF(AND($E25=1,LC25=0),1000,0),MIN(TW25,20)*400+(IF('計算A'!BO$106=1,1-FM25,0)+IF('計算A'!BP$106=1,1-FO25,0))*150+173+'計算A'!BP$5*100000+IF(AND($E25=1,LC25=0),50000,0))+IF($H25=1,(IF('計算A'!BO$117=1,INDEX('計算A'!BO$10:BO$54,$B25),0)+IF('計算A'!BP$117=1,INDEX('計算A'!BQ$10:BQ$54,$B25),0))*4000,0)-IF(AND('計算A'!BO$117=1,WM25&gt;0),2000,0)-IF(AND($L25=1,'計算A'!BP$117=1,FO25=0),2000,0))),1000000))</f>
        <v/>
      </c>
      <c r="QS25">
        <f>IF($B25=0,1000000,IF(INDEX('計算A'!$D$60:$EQ$104,$B25,66)*FO25=1,IF(AND($E25=2,LD25=0),1000000,IF($I25&gt;0,IF(3=$J25,IF(OR(AND(66=$I25+1,OR($K25&lt;&gt;'計算A'!$A$3,'計算A'!$A$4=0)),AND(66=$I25-1,OR(18&lt;&gt;'計算A'!$A$3,'計算A'!$A$4=0))),0,IF(18=$K25,200000,ABS(18-$K25)*100)),100000+ABS(3-$J25)*1000+180)+'計算A'!BQ$5*50+IF(AND($E25=1,LD25=0),25,0),IF($F25&gt;0,INDEX('計算A'!BQ$110:BQ$114,$F25+1)+IF(AND($E25=1,LD25=0),1000,0),MIN(TW25,20)*400+(IF('計算A'!BP$106=1,1-FN25,0)+IF('計算A'!BQ$106=1,1-FP25,0))*150+183+'計算A'!BQ$5*100000+IF(AND($E25=1,LD25=0),50000,0))+IF($H25=1,(IF('計算A'!BP$117=1,INDEX('計算A'!BP$10:BP$54,$B25),0)+IF('計算A'!BQ$117=1,INDEX('計算A'!BR$10:BR$54,$B25),0))*4000,0)-IF(AND('計算A'!BP$117=1,WN25&gt;0),2000,0)-IF(AND($L25=1,'計算A'!BQ$117=1,FP25=0),2000,0))),1000000))</f>
        <v/>
      </c>
      <c r="QT25">
        <f>IF($B25=0,1000000,IF(INDEX('計算A'!$D$60:$EQ$104,$B25,67)*FP25=1,IF(AND($E25=2,LE25=0),1000000,IF($I25&gt;0,IF(3=$J25,IF(OR(AND(67=$I25+1,OR($K25&lt;&gt;'計算A'!$A$3,'計算A'!$A$4=0)),AND(67=$I25-1,OR(19&lt;&gt;'計算A'!$A$3,'計算A'!$A$4=0))),0,IF(19=$K25,200000,ABS(19-$K25)*100)),100000+ABS(3-$J25)*1000+190)+'計算A'!BR$5*50+IF(AND($E25=1,LE25=0),25,0),IF($F25&gt;0,INDEX('計算A'!BR$110:BR$114,$F25+1)+IF(AND($E25=1,LE25=0),1000,0),MIN(TW25,20)*400+(IF('計算A'!BQ$106=1,1-FO25,0)+IF('計算A'!BR$106=1,1-FQ25,0))*150+193+'計算A'!BR$5*100000+IF(AND($E25=1,LE25=0),50000,0))+IF($H25=1,(IF('計算A'!BQ$117=1,INDEX('計算A'!BQ$10:BQ$54,$B25),0)+IF('計算A'!BR$117=1,INDEX('計算A'!BS$10:BS$54,$B25),0))*4000,0)-IF(AND('計算A'!BQ$117=1,WO25&gt;0),2000,0)-IF(AND($L25=1,'計算A'!BR$117=1,FQ25=0),2000,0))),1000000))</f>
        <v/>
      </c>
      <c r="QU25">
        <f>IF($B25=0,1000000,IF(INDEX('計算A'!$D$60:$EQ$104,$B25,68)*FQ25=1,IF(AND($E25=2,LF25=0),1000000,IF($I25&gt;0,IF(3=$J25,IF(OR(AND(68=$I25+1,OR($K25&lt;&gt;'計算A'!$A$3,'計算A'!$A$4=0)),AND(68=$I25-1,OR(20&lt;&gt;'計算A'!$A$3,'計算A'!$A$4=0))),0,IF(20=$K25,200000,ABS(20-$K25)*100)),100000+ABS(3-$J25)*1000+200)+'計算A'!BS$5*50+IF(AND($E25=1,LF25=0),25,0),IF($F25&gt;0,INDEX('計算A'!BS$110:BS$114,$F25+1)+IF(AND($E25=1,LF25=0),1000,0),MIN(TW25,20)*400+(IF('計算A'!BR$106=1,1-FP25,0)+IF('計算A'!BS$106=1,1-FR25,0))*150+203+'計算A'!BS$5*100000+IF(AND($E25=1,LF25=0),50000,0))+IF($H25=1,(IF('計算A'!BR$117=1,INDEX('計算A'!BR$10:BR$54,$B25),0)+IF('計算A'!BS$117=1,INDEX('計算A'!BT$10:BT$54,$B25),0))*4000,0)-IF(AND('計算A'!BR$117=1,WP25&gt;0),2000,0)-IF(AND($L25=1,'計算A'!BS$117=1,FR25=0),2000,0))),1000000))</f>
        <v/>
      </c>
      <c r="QV25">
        <f>IF($B25=0,1000000,IF(INDEX('計算A'!$D$60:$EQ$104,$B25,69)*FR25=1,IF(AND($E25=2,LG25=0),1000000,IF($I25&gt;0,IF(3=$J25,IF(OR(AND(69=$I25+1,OR($K25&lt;&gt;'計算A'!$A$3,'計算A'!$A$4=0)),AND(69=$I25-1,OR(21&lt;&gt;'計算A'!$A$3,'計算A'!$A$4=0))),0,IF(21=$K25,200000,ABS(21-$K25)*100)),100000+ABS(3-$J25)*1000+210)+'計算A'!BT$5*50+IF(AND($E25=1,LG25=0),25,0),IF($F25&gt;0,INDEX('計算A'!BT$110:BT$114,$F25+1)+IF(AND($E25=1,LG25=0),1000,0),MIN(TW25,20)*400+(IF('計算A'!BS$106=1,1-FQ25,0)+IF('計算A'!BT$106=1,1-FS25,0))*150+213+'計算A'!BT$5*100000+IF(AND($E25=1,LG25=0),50000,0))+IF($H25=1,(IF('計算A'!BS$117=1,INDEX('計算A'!BS$10:BS$54,$B25),0)+IF('計算A'!BT$117=1,INDEX('計算A'!BU$10:BU$54,$B25),0))*4000,0)-IF(AND('計算A'!BS$117=1,WQ25&gt;0),2000,0)-IF(AND($L25=1,'計算A'!BT$117=1,FS25=0),2000,0))),1000000))</f>
        <v/>
      </c>
      <c r="QW25">
        <f>IF($B25=0,1000000,IF(INDEX('計算A'!$D$60:$EQ$104,$B25,70)*FS25=1,IF(AND($E25=2,LH25=0),1000000,IF($I25&gt;0,IF(3=$J25,IF(OR(AND(70=$I25+1,OR($K25&lt;&gt;'計算A'!$A$3,'計算A'!$A$4=0)),AND(70=$I25-1,OR(22&lt;&gt;'計算A'!$A$3,'計算A'!$A$4=0))),0,IF(22=$K25,200000,ABS(22-$K25)*100)),100000+ABS(3-$J25)*1000+220)+'計算A'!BU$5*50+IF(AND($E25=1,LH25=0),25,0),IF($F25&gt;0,INDEX('計算A'!BU$110:BU$114,$F25+1)+IF(AND($E25=1,LH25=0),1000,0),MIN(TW25,20)*400+(IF('計算A'!BT$106=1,1-FR25,0)+IF('計算A'!BU$106=1,1-FT25,0))*150+223+'計算A'!BU$5*100000+IF(AND($E25=1,LH25=0),50000,0))+IF($H25=1,(IF('計算A'!BT$117=1,INDEX('計算A'!BT$10:BT$54,$B25),0)+IF('計算A'!BU$117=1,INDEX('計算A'!BV$10:BV$54,$B25),0))*4000,0)-IF(AND('計算A'!BT$117=1,WR25&gt;0),2000,0)-IF(AND($L25=1,'計算A'!BU$117=1,FT25=0),2000,0))),1000000))</f>
        <v/>
      </c>
      <c r="QX25">
        <f>IF($B25=0,1000000,IF(INDEX('計算A'!$D$60:$EQ$104,$B25,71)*FT25=1,IF(AND($E25=2,LI25=0),1000000,IF($I25&gt;0,IF(3=$J25,IF(OR(AND(71=$I25+1,OR($K25&lt;&gt;'計算A'!$A$3,'計算A'!$A$4=0)),AND(71=$I25-1,OR(23&lt;&gt;'計算A'!$A$3,'計算A'!$A$4=0))),0,IF(23=$K25,200000,ABS(23-$K25)*100)),100000+ABS(3-$J25)*1000+230)+'計算A'!BV$5*50+IF(AND($E25=1,LI25=0),25,0),IF($F25&gt;0,INDEX('計算A'!BV$110:BV$114,$F25+1)+IF(AND($E25=1,LI25=0),1000,0),MIN(TW25,20)*400+(IF('計算A'!BU$106=1,1-FS25,0)+IF('計算A'!BV$106=1,1-FU25,0))*150+233+'計算A'!BV$5*100000+IF(AND($E25=1,LI25=0),50000,0))+IF($H25=1,(IF('計算A'!BU$117=1,INDEX('計算A'!BU$10:BU$54,$B25),0)+IF('計算A'!BV$117=1,INDEX('計算A'!BW$10:BW$54,$B25),0))*4000,0)-IF(AND('計算A'!BU$117=1,WS25&gt;0),2000,0)-IF(AND($L25=1,'計算A'!BV$117=1,FU25=0),2000,0))),1000000))</f>
        <v/>
      </c>
      <c r="QY25">
        <f>IF($B25=0,1000000,IF(INDEX('計算A'!$D$60:$EQ$104,$B25,72)*FU25=1,IF(AND($E25=2,LJ25=0),1000000,IF($I25&gt;0,IF(3=$J25,IF(OR(AND(72=$I25+1,OR($K25&lt;&gt;'計算A'!$A$3,'計算A'!$A$4=0)),AND(72=$I25-1,OR(24&lt;&gt;'計算A'!$A$3,'計算A'!$A$4=0))),0,IF(24=$K25,200000,ABS(24-$K25)*100)),100000+ABS(3-$J25)*1000+240)+'計算A'!BW$5*50+IF(AND($E25=1,LJ25=0),25,0),IF($F25&gt;0,INDEX('計算A'!BW$110:BW$114,$F25+1)+IF(AND($E25=1,LJ25=0),1000,0),MIN(TW25,20)*400+(IF('計算A'!BV$106=1,1-FT25,0))*150+243+'計算A'!BW$5*100000+IF(AND($E25=1,LJ25=0),50000,0))+IF($H25=1,(IF('計算A'!BV$117=1,INDEX('計算A'!BV$10:BV$54,$B25),0))*4000,0)-IF(AND('計算A'!BV$117=1,WT25&gt;0),2000,0))),1000000))</f>
        <v/>
      </c>
      <c r="QZ25">
        <f>IF($B25=0,1000000,IF(INDEX('計算A'!$D$60:$EQ$104,$B25,73)*FV25=1,IF(AND($E25=2,LK25=0),1000000,IF($I25&gt;0,IF(4=$J25,IF(OR(AND(73=$I25+1,OR($K25&lt;&gt;'計算A'!$A$3,'計算A'!$A$4=0)),AND(73=$I25-1,OR(1&lt;&gt;'計算A'!$A$3,'計算A'!$A$4=0))),0,IF(1=$K25,200000,ABS(1-$K25)*100)),100000+ABS(4-$J25)*1000+10)+'計算A'!BX$5*50+IF(AND($E25=1,LK25=0),25,0),IF($F25&gt;0,INDEX('計算A'!BX$110:BX$114,$F25+1)+IF(AND($E25=1,LK25=0),1000,0),MIN(TX25,20)*400+(IF('計算A'!BX$106=1,1-FW25,0))*150+14+'計算A'!BX$5*100000+IF(AND($E25=1,LK25=0),50000,0))+IF($H25=1,(IF('計算A'!BX$117=1,INDEX('計算A'!BY$10:BY$54,$B25),0))*4000,0)-IF(AND($L25=1,'計算A'!BX$117=1,FW25=0),2000,0))),1000000))</f>
        <v/>
      </c>
      <c r="RA25">
        <f>IF($B25=0,1000000,IF(INDEX('計算A'!$D$60:$EQ$104,$B25,74)*FW25=1,IF(AND($E25=2,LL25=0),1000000,IF($I25&gt;0,IF(4=$J25,IF(OR(AND(74=$I25+1,OR($K25&lt;&gt;'計算A'!$A$3,'計算A'!$A$4=0)),AND(74=$I25-1,OR(2&lt;&gt;'計算A'!$A$3,'計算A'!$A$4=0))),0,IF(2=$K25,200000,ABS(2-$K25)*100)),100000+ABS(4-$J25)*1000+20)+'計算A'!BY$5*50+IF(AND($E25=1,LL25=0),25,0),IF($F25&gt;0,INDEX('計算A'!BY$110:BY$114,$F25+1)+IF(AND($E25=1,LL25=0),1000,0),MIN(TX25,20)*400+(IF('計算A'!BX$106=1,1-FV25,0)+IF('計算A'!BY$106=1,1-FX25,0))*150+24+'計算A'!BY$5*100000+IF(AND($E25=1,LL25=0),50000,0))+IF($H25=1,(IF('計算A'!BX$117=1,INDEX('計算A'!BX$10:BX$54,$B25),0)+IF('計算A'!BY$117=1,INDEX('計算A'!BZ$10:BZ$54,$B25),0))*4000,0)-IF(AND('計算A'!BX$117=1,WV25&gt;0),2000,0)-IF(AND($L25=1,'計算A'!BY$117=1,FX25=0),2000,0))),1000000))</f>
        <v/>
      </c>
      <c r="RB25">
        <f>IF($B25=0,1000000,IF(INDEX('計算A'!$D$60:$EQ$104,$B25,75)*FX25=1,IF(AND($E25=2,LM25=0),1000000,IF($I25&gt;0,IF(4=$J25,IF(OR(AND(75=$I25+1,OR($K25&lt;&gt;'計算A'!$A$3,'計算A'!$A$4=0)),AND(75=$I25-1,OR(3&lt;&gt;'計算A'!$A$3,'計算A'!$A$4=0))),0,IF(3=$K25,200000,ABS(3-$K25)*100)),100000+ABS(4-$J25)*1000+30)+'計算A'!BZ$5*50+IF(AND($E25=1,LM25=0),25,0),IF($F25&gt;0,INDEX('計算A'!BZ$110:BZ$114,$F25+1)+IF(AND($E25=1,LM25=0),1000,0),MIN(TX25,20)*400+(IF('計算A'!BY$106=1,1-FW25,0)+IF('計算A'!BZ$106=1,1-FY25,0))*150+34+'計算A'!BZ$5*100000+IF(AND($E25=1,LM25=0),50000,0))+IF($H25=1,(IF('計算A'!BY$117=1,INDEX('計算A'!BY$10:BY$54,$B25),0)+IF('計算A'!BZ$117=1,INDEX('計算A'!CA$10:CA$54,$B25),0))*4000,0)-IF(AND('計算A'!BY$117=1,WW25&gt;0),2000,0)-IF(AND($L25=1,'計算A'!BZ$117=1,FY25=0),2000,0))),1000000))</f>
        <v/>
      </c>
      <c r="RC25">
        <f>IF($B25=0,1000000,IF(INDEX('計算A'!$D$60:$EQ$104,$B25,76)*FY25=1,IF(AND($E25=2,LN25=0),1000000,IF($I25&gt;0,IF(4=$J25,IF(OR(AND(76=$I25+1,OR($K25&lt;&gt;'計算A'!$A$3,'計算A'!$A$4=0)),AND(76=$I25-1,OR(4&lt;&gt;'計算A'!$A$3,'計算A'!$A$4=0))),0,IF(4=$K25,200000,ABS(4-$K25)*100)),100000+ABS(4-$J25)*1000+40)+'計算A'!CA$5*50+IF(AND($E25=1,LN25=0),25,0),IF($F25&gt;0,INDEX('計算A'!CA$110:CA$114,$F25+1)+IF(AND($E25=1,LN25=0),1000,0),MIN(TX25,20)*400+(IF('計算A'!BZ$106=1,1-FX25,0)+IF('計算A'!CA$106=1,1-FZ25,0))*150+44+'計算A'!CA$5*100000+IF(AND($E25=1,LN25=0),50000,0))+IF($H25=1,(IF('計算A'!BZ$117=1,INDEX('計算A'!BZ$10:BZ$54,$B25),0)+IF('計算A'!CA$117=1,INDEX('計算A'!CB$10:CB$54,$B25),0))*4000,0)-IF(AND('計算A'!BZ$117=1,WX25&gt;0),2000,0)-IF(AND($L25=1,'計算A'!CA$117=1,FZ25=0),2000,0))),1000000))</f>
        <v/>
      </c>
      <c r="RD25">
        <f>IF($B25=0,1000000,IF(INDEX('計算A'!$D$60:$EQ$104,$B25,77)*FZ25=1,IF(AND($E25=2,LO25=0),1000000,IF($I25&gt;0,IF(4=$J25,IF(OR(AND(77=$I25+1,OR($K25&lt;&gt;'計算A'!$A$3,'計算A'!$A$4=0)),AND(77=$I25-1,OR(5&lt;&gt;'計算A'!$A$3,'計算A'!$A$4=0))),0,IF(5=$K25,200000,ABS(5-$K25)*100)),100000+ABS(4-$J25)*1000+50)+'計算A'!CB$5*50+IF(AND($E25=1,LO25=0),25,0),IF($F25&gt;0,INDEX('計算A'!CB$110:CB$114,$F25+1)+IF(AND($E25=1,LO25=0),1000,0),MIN(TX25,20)*400+(IF('計算A'!CA$106=1,1-FY25,0)+IF('計算A'!CB$106=1,1-GA25,0))*150+54+'計算A'!CB$5*100000+IF(AND($E25=1,LO25=0),50000,0))+IF($H25=1,(IF('計算A'!CA$117=1,INDEX('計算A'!CA$10:CA$54,$B25),0)+IF('計算A'!CB$117=1,INDEX('計算A'!CC$10:CC$54,$B25),0))*4000,0)-IF(AND('計算A'!CA$117=1,WY25&gt;0),2000,0)-IF(AND($L25=1,'計算A'!CB$117=1,GA25=0),2000,0))),1000000))</f>
        <v/>
      </c>
      <c r="RE25">
        <f>IF($B25=0,1000000,IF(INDEX('計算A'!$D$60:$EQ$104,$B25,78)*GA25=1,IF(AND($E25=2,LP25=0),1000000,IF($I25&gt;0,IF(4=$J25,IF(OR(AND(78=$I25+1,OR($K25&lt;&gt;'計算A'!$A$3,'計算A'!$A$4=0)),AND(78=$I25-1,OR(6&lt;&gt;'計算A'!$A$3,'計算A'!$A$4=0))),0,IF(6=$K25,200000,ABS(6-$K25)*100)),100000+ABS(4-$J25)*1000+60)+'計算A'!CC$5*50+IF(AND($E25=1,LP25=0),25,0),IF($F25&gt;0,INDEX('計算A'!CC$110:CC$114,$F25+1)+IF(AND($E25=1,LP25=0),1000,0),MIN(TX25,20)*400+(IF('計算A'!CB$106=1,1-FZ25,0)+IF('計算A'!CC$106=1,1-GB25,0))*150+64+'計算A'!CC$5*100000+IF(AND($E25=1,LP25=0),50000,0))+IF($H25=1,(IF('計算A'!CB$117=1,INDEX('計算A'!CB$10:CB$54,$B25),0)+IF('計算A'!CC$117=1,INDEX('計算A'!CD$10:CD$54,$B25),0))*4000,0)-IF(AND('計算A'!CB$117=1,WZ25&gt;0),2000,0)-IF(AND($L25=1,'計算A'!CC$117=1,GB25=0),2000,0))),1000000))</f>
        <v/>
      </c>
      <c r="RF25">
        <f>IF($B25=0,1000000,IF(INDEX('計算A'!$D$60:$EQ$104,$B25,79)*GB25=1,IF(AND($E25=2,LQ25=0),1000000,IF($I25&gt;0,IF(4=$J25,IF(OR(AND(79=$I25+1,OR($K25&lt;&gt;'計算A'!$A$3,'計算A'!$A$4=0)),AND(79=$I25-1,OR(7&lt;&gt;'計算A'!$A$3,'計算A'!$A$4=0))),0,IF(7=$K25,200000,ABS(7-$K25)*100)),100000+ABS(4-$J25)*1000+70)+'計算A'!CD$5*50+IF(AND($E25=1,LQ25=0),25,0),IF($F25&gt;0,INDEX('計算A'!CD$110:CD$114,$F25+1)+IF(AND($E25=1,LQ25=0),1000,0),MIN(TX25,20)*400+(IF('計算A'!CC$106=1,1-GA25,0)+IF('計算A'!CD$106=1,1-GC25,0))*150+74+'計算A'!CD$5*100000+IF(AND($E25=1,LQ25=0),50000,0))+IF($H25=1,(IF('計算A'!CC$117=1,INDEX('計算A'!CC$10:CC$54,$B25),0)+IF('計算A'!CD$117=1,INDEX('計算A'!CE$10:CE$54,$B25),0))*4000,0)-IF(AND('計算A'!CC$117=1,XA25&gt;0),2000,0)-IF(AND($L25=1,'計算A'!CD$117=1,GC25=0),2000,0))),1000000))</f>
        <v/>
      </c>
      <c r="RG25">
        <f>IF($B25=0,1000000,IF(INDEX('計算A'!$D$60:$EQ$104,$B25,80)*GC25=1,IF(AND($E25=2,LR25=0),1000000,IF($I25&gt;0,IF(4=$J25,IF(OR(AND(80=$I25+1,OR($K25&lt;&gt;'計算A'!$A$3,'計算A'!$A$4=0)),AND(80=$I25-1,OR(8&lt;&gt;'計算A'!$A$3,'計算A'!$A$4=0))),0,IF(8=$K25,200000,ABS(8-$K25)*100)),100000+ABS(4-$J25)*1000+80)+'計算A'!CE$5*50+IF(AND($E25=1,LR25=0),25,0),IF($F25&gt;0,INDEX('計算A'!CE$110:CE$114,$F25+1)+IF(AND($E25=1,LR25=0),1000,0),MIN(TX25,20)*400+(IF('計算A'!CD$106=1,1-GB25,0)+IF('計算A'!CE$106=1,1-GD25,0))*150+84+'計算A'!CE$5*100000+IF(AND($E25=1,LR25=0),50000,0))+IF($H25=1,(IF('計算A'!CD$117=1,INDEX('計算A'!CD$10:CD$54,$B25),0)+IF('計算A'!CE$117=1,INDEX('計算A'!CF$10:CF$54,$B25),0))*4000,0)-IF(AND('計算A'!CD$117=1,XB25&gt;0),2000,0)-IF(AND($L25=1,'計算A'!CE$117=1,GD25=0),2000,0))),1000000))</f>
        <v/>
      </c>
      <c r="RH25">
        <f>IF($B25=0,1000000,IF(INDEX('計算A'!$D$60:$EQ$104,$B25,81)*GD25=1,IF(AND($E25=2,LS25=0),1000000,IF($I25&gt;0,IF(4=$J25,IF(OR(AND(81=$I25+1,OR($K25&lt;&gt;'計算A'!$A$3,'計算A'!$A$4=0)),AND(81=$I25-1,OR(9&lt;&gt;'計算A'!$A$3,'計算A'!$A$4=0))),0,IF(9=$K25,200000,ABS(9-$K25)*100)),100000+ABS(4-$J25)*1000+90)+'計算A'!CF$5*50+IF(AND($E25=1,LS25=0),25,0),IF($F25&gt;0,INDEX('計算A'!CF$110:CF$114,$F25+1)+IF(AND($E25=1,LS25=0),1000,0),MIN(TX25,20)*400+(IF('計算A'!CE$106=1,1-GC25,0)+IF('計算A'!CF$106=1,1-GE25,0))*150+94+'計算A'!CF$5*100000+IF(AND($E25=1,LS25=0),50000,0))+IF($H25=1,(IF('計算A'!CE$117=1,INDEX('計算A'!CE$10:CE$54,$B25),0)+IF('計算A'!CF$117=1,INDEX('計算A'!CG$10:CG$54,$B25),0))*4000,0)-IF(AND('計算A'!CE$117=1,XC25&gt;0),2000,0)-IF(AND($L25=1,'計算A'!CF$117=1,GE25=0),2000,0))),1000000))</f>
        <v/>
      </c>
      <c r="RI25">
        <f>IF($B25=0,1000000,IF(INDEX('計算A'!$D$60:$EQ$104,$B25,82)*GE25=1,IF(AND($E25=2,LT25=0),1000000,IF($I25&gt;0,IF(4=$J25,IF(OR(AND(82=$I25+1,OR($K25&lt;&gt;'計算A'!$A$3,'計算A'!$A$4=0)),AND(82=$I25-1,OR(10&lt;&gt;'計算A'!$A$3,'計算A'!$A$4=0))),0,IF(10=$K25,200000,ABS(10-$K25)*100)),100000+ABS(4-$J25)*1000+100)+'計算A'!CG$5*50+IF(AND($E25=1,LT25=0),25,0),IF($F25&gt;0,INDEX('計算A'!CG$110:CG$114,$F25+1)+IF(AND($E25=1,LT25=0),1000,0),MIN(TX25,20)*400+(IF('計算A'!CF$106=1,1-GD25,0)+IF('計算A'!CG$106=1,1-GF25,0))*150+104+'計算A'!CG$5*100000+IF(AND($E25=1,LT25=0),50000,0))+IF($H25=1,(IF('計算A'!CF$117=1,INDEX('計算A'!CF$10:CF$54,$B25),0)+IF('計算A'!CG$117=1,INDEX('計算A'!CH$10:CH$54,$B25),0))*4000,0)-IF(AND('計算A'!CF$117=1,XD25&gt;0),2000,0)-IF(AND($L25=1,'計算A'!CG$117=1,GF25=0),2000,0))),1000000))</f>
        <v/>
      </c>
      <c r="RJ25">
        <f>IF($B25=0,1000000,IF(INDEX('計算A'!$D$60:$EQ$104,$B25,83)*GF25=1,IF(AND($E25=2,LU25=0),1000000,IF($I25&gt;0,IF(4=$J25,IF(OR(AND(83=$I25+1,OR($K25&lt;&gt;'計算A'!$A$3,'計算A'!$A$4=0)),AND(83=$I25-1,OR(11&lt;&gt;'計算A'!$A$3,'計算A'!$A$4=0))),0,IF(11=$K25,200000,ABS(11-$K25)*100)),100000+ABS(4-$J25)*1000+110)+'計算A'!CH$5*50+IF(AND($E25=1,LU25=0),25,0),IF($F25&gt;0,INDEX('計算A'!CH$110:CH$114,$F25+1)+IF(AND($E25=1,LU25=0),1000,0),MIN(TX25,20)*400+(IF('計算A'!CG$106=1,1-GE25,0)+IF('計算A'!CH$106=1,1-GG25,0))*150+114+'計算A'!CH$5*100000+IF(AND($E25=1,LU25=0),50000,0))+IF($H25=1,(IF('計算A'!CG$117=1,INDEX('計算A'!CG$10:CG$54,$B25),0)+IF('計算A'!CH$117=1,INDEX('計算A'!CI$10:CI$54,$B25),0))*4000,0)-IF(AND('計算A'!CG$117=1,XE25&gt;0),2000,0)-IF(AND($L25=1,'計算A'!CH$117=1,GG25=0),2000,0))),1000000))</f>
        <v/>
      </c>
      <c r="RK25">
        <f>IF($B25=0,1000000,IF(INDEX('計算A'!$D$60:$EQ$104,$B25,84)*GG25=1,IF(AND($E25=2,LV25=0),1000000,IF($I25&gt;0,IF(4=$J25,IF(OR(AND(84=$I25+1,OR($K25&lt;&gt;'計算A'!$A$3,'計算A'!$A$4=0)),AND(84=$I25-1,OR(12&lt;&gt;'計算A'!$A$3,'計算A'!$A$4=0))),0,IF(12=$K25,200000,ABS(12-$K25)*100)),100000+ABS(4-$J25)*1000+120)+'計算A'!CI$5*50+IF(AND($E25=1,LV25=0),25,0),IF($F25&gt;0,INDEX('計算A'!CI$110:CI$114,$F25+1)+IF(AND($E25=1,LV25=0),1000,0),MIN(TX25,20)*400+(IF('計算A'!CH$106=1,1-GF25,0)+IF('計算A'!CI$106=1,1-GH25,0))*150+124+'計算A'!CI$5*100000+IF(AND($E25=1,LV25=0),50000,0))+IF($H25=1,(IF('計算A'!CH$117=1,INDEX('計算A'!CH$10:CH$54,$B25),0)+IF('計算A'!CI$117=1,INDEX('計算A'!CJ$10:CJ$54,$B25),0))*4000,0)-IF(AND('計算A'!CH$117=1,XF25&gt;0),2000,0)-IF(AND($L25=1,'計算A'!CI$117=1,GH25=0),2000,0))),1000000))</f>
        <v/>
      </c>
      <c r="RL25">
        <f>IF($B25=0,1000000,IF(INDEX('計算A'!$D$60:$EQ$104,$B25,85)*GH25=1,IF(AND($E25=2,LW25=0),1000000,IF($I25&gt;0,IF(4=$J25,IF(OR(AND(85=$I25+1,OR($K25&lt;&gt;'計算A'!$A$3,'計算A'!$A$4=0)),AND(85=$I25-1,OR(13&lt;&gt;'計算A'!$A$3,'計算A'!$A$4=0))),0,IF(13=$K25,200000,ABS(13-$K25)*100)),100000+ABS(4-$J25)*1000+130)+'計算A'!CJ$5*50+IF(AND($E25=1,LW25=0),25,0),IF($F25&gt;0,INDEX('計算A'!CJ$110:CJ$114,$F25+1)+IF(AND($E25=1,LW25=0),1000,0),MIN(TX25,20)*400+(IF('計算A'!CI$106=1,1-GG25,0)+IF('計算A'!CJ$106=1,1-GI25,0))*150+134+'計算A'!CJ$5*100000+IF(AND($E25=1,LW25=0),50000,0))+IF($H25=1,(IF('計算A'!CI$117=1,INDEX('計算A'!CI$10:CI$54,$B25),0)+IF('計算A'!CJ$117=1,INDEX('計算A'!CK$10:CK$54,$B25),0))*4000,0)-IF(AND('計算A'!CI$117=1,XG25&gt;0),2000,0)-IF(AND($L25=1,'計算A'!CJ$117=1,GI25=0),2000,0))),1000000))</f>
        <v/>
      </c>
      <c r="RM25">
        <f>IF($B25=0,1000000,IF(INDEX('計算A'!$D$60:$EQ$104,$B25,86)*GI25=1,IF(AND($E25=2,LX25=0),1000000,IF($I25&gt;0,IF(4=$J25,IF(OR(AND(86=$I25+1,OR($K25&lt;&gt;'計算A'!$A$3,'計算A'!$A$4=0)),AND(86=$I25-1,OR(14&lt;&gt;'計算A'!$A$3,'計算A'!$A$4=0))),0,IF(14=$K25,200000,ABS(14-$K25)*100)),100000+ABS(4-$J25)*1000+140)+'計算A'!CK$5*50+IF(AND($E25=1,LX25=0),25,0),IF($F25&gt;0,INDEX('計算A'!CK$110:CK$114,$F25+1)+IF(AND($E25=1,LX25=0),1000,0),MIN(TX25,20)*400+(IF('計算A'!CJ$106=1,1-GH25,0)+IF('計算A'!CK$106=1,1-GJ25,0))*150+144+'計算A'!CK$5*100000+IF(AND($E25=1,LX25=0),50000,0))+IF($H25=1,(IF('計算A'!CJ$117=1,INDEX('計算A'!CJ$10:CJ$54,$B25),0)+IF('計算A'!CK$117=1,INDEX('計算A'!CL$10:CL$54,$B25),0))*4000,0)-IF(AND('計算A'!CJ$117=1,XH25&gt;0),2000,0)-IF(AND($L25=1,'計算A'!CK$117=1,GJ25=0),2000,0))),1000000))</f>
        <v/>
      </c>
      <c r="RN25">
        <f>IF($B25=0,1000000,IF(INDEX('計算A'!$D$60:$EQ$104,$B25,87)*GJ25=1,IF(AND($E25=2,LY25=0),1000000,IF($I25&gt;0,IF(4=$J25,IF(OR(AND(87=$I25+1,OR($K25&lt;&gt;'計算A'!$A$3,'計算A'!$A$4=0)),AND(87=$I25-1,OR(15&lt;&gt;'計算A'!$A$3,'計算A'!$A$4=0))),0,IF(15=$K25,200000,ABS(15-$K25)*100)),100000+ABS(4-$J25)*1000+150)+'計算A'!CL$5*50+IF(AND($E25=1,LY25=0),25,0),IF($F25&gt;0,INDEX('計算A'!CL$110:CL$114,$F25+1)+IF(AND($E25=1,LY25=0),1000,0),MIN(TX25,20)*400+(IF('計算A'!CK$106=1,1-GI25,0)+IF('計算A'!CL$106=1,1-GK25,0))*150+154+'計算A'!CL$5*100000+IF(AND($E25=1,LY25=0),50000,0))+IF($H25=1,(IF('計算A'!CK$117=1,INDEX('計算A'!CK$10:CK$54,$B25),0)+IF('計算A'!CL$117=1,INDEX('計算A'!CM$10:CM$54,$B25),0))*4000,0)-IF(AND('計算A'!CK$117=1,XI25&gt;0),2000,0)-IF(AND($L25=1,'計算A'!CL$117=1,GK25=0),2000,0))),1000000))</f>
        <v/>
      </c>
      <c r="RO25">
        <f>IF($B25=0,1000000,IF(INDEX('計算A'!$D$60:$EQ$104,$B25,88)*GK25=1,IF(AND($E25=2,LZ25=0),1000000,IF($I25&gt;0,IF(4=$J25,IF(OR(AND(88=$I25+1,OR($K25&lt;&gt;'計算A'!$A$3,'計算A'!$A$4=0)),AND(88=$I25-1,OR(16&lt;&gt;'計算A'!$A$3,'計算A'!$A$4=0))),0,IF(16=$K25,200000,ABS(16-$K25)*100)),100000+ABS(4-$J25)*1000+160)+'計算A'!CM$5*50+IF(AND($E25=1,LZ25=0),25,0),IF($F25&gt;0,INDEX('計算A'!CM$110:CM$114,$F25+1)+IF(AND($E25=1,LZ25=0),1000,0),MIN(TX25,20)*400+(IF('計算A'!CL$106=1,1-GJ25,0)+IF('計算A'!CM$106=1,1-GL25,0))*150+164+'計算A'!CM$5*100000+IF(AND($E25=1,LZ25=0),50000,0))+IF($H25=1,(IF('計算A'!CL$117=1,INDEX('計算A'!CL$10:CL$54,$B25),0)+IF('計算A'!CM$117=1,INDEX('計算A'!CN$10:CN$54,$B25),0))*4000,0)-IF(AND('計算A'!CL$117=1,XJ25&gt;0),2000,0)-IF(AND($L25=1,'計算A'!CM$117=1,GL25=0),2000,0))),1000000))</f>
        <v/>
      </c>
      <c r="RP25">
        <f>IF($B25=0,1000000,IF(INDEX('計算A'!$D$60:$EQ$104,$B25,89)*GL25=1,IF(AND($E25=2,MA25=0),1000000,IF($I25&gt;0,IF(4=$J25,IF(OR(AND(89=$I25+1,OR($K25&lt;&gt;'計算A'!$A$3,'計算A'!$A$4=0)),AND(89=$I25-1,OR(17&lt;&gt;'計算A'!$A$3,'計算A'!$A$4=0))),0,IF(17=$K25,200000,ABS(17-$K25)*100)),100000+ABS(4-$J25)*1000+170)+'計算A'!CN$5*50+IF(AND($E25=1,MA25=0),25,0),IF($F25&gt;0,INDEX('計算A'!CN$110:CN$114,$F25+1)+IF(AND($E25=1,MA25=0),1000,0),MIN(TX25,20)*400+(IF('計算A'!CM$106=1,1-GK25,0)+IF('計算A'!CN$106=1,1-GM25,0))*150+174+'計算A'!CN$5*100000+IF(AND($E25=1,MA25=0),50000,0))+IF($H25=1,(IF('計算A'!CM$117=1,INDEX('計算A'!CM$10:CM$54,$B25),0)+IF('計算A'!CN$117=1,INDEX('計算A'!CO$10:CO$54,$B25),0))*4000,0)-IF(AND('計算A'!CM$117=1,XK25&gt;0),2000,0)-IF(AND($L25=1,'計算A'!CN$117=1,GM25=0),2000,0))),1000000))</f>
        <v/>
      </c>
      <c r="RQ25">
        <f>IF($B25=0,1000000,IF(INDEX('計算A'!$D$60:$EQ$104,$B25,90)*GM25=1,IF(AND($E25=2,MB25=0),1000000,IF($I25&gt;0,IF(4=$J25,IF(OR(AND(90=$I25+1,OR($K25&lt;&gt;'計算A'!$A$3,'計算A'!$A$4=0)),AND(90=$I25-1,OR(18&lt;&gt;'計算A'!$A$3,'計算A'!$A$4=0))),0,IF(18=$K25,200000,ABS(18-$K25)*100)),100000+ABS(4-$J25)*1000+180)+'計算A'!CO$5*50+IF(AND($E25=1,MB25=0),25,0),IF($F25&gt;0,INDEX('計算A'!CO$110:CO$114,$F25+1)+IF(AND($E25=1,MB25=0),1000,0),MIN(TX25,20)*400+(IF('計算A'!CN$106=1,1-GL25,0)+IF('計算A'!CO$106=1,1-GN25,0))*150+184+'計算A'!CO$5*100000+IF(AND($E25=1,MB25=0),50000,0))+IF($H25=1,(IF('計算A'!CN$117=1,INDEX('計算A'!CN$10:CN$54,$B25),0)+IF('計算A'!CO$117=1,INDEX('計算A'!CP$10:CP$54,$B25),0))*4000,0)-IF(AND('計算A'!CN$117=1,XL25&gt;0),2000,0)-IF(AND($L25=1,'計算A'!CO$117=1,GN25=0),2000,0))),1000000))</f>
        <v/>
      </c>
      <c r="RR25">
        <f>IF($B25=0,1000000,IF(INDEX('計算A'!$D$60:$EQ$104,$B25,91)*GN25=1,IF(AND($E25=2,MC25=0),1000000,IF($I25&gt;0,IF(4=$J25,IF(OR(AND(91=$I25+1,OR($K25&lt;&gt;'計算A'!$A$3,'計算A'!$A$4=0)),AND(91=$I25-1,OR(19&lt;&gt;'計算A'!$A$3,'計算A'!$A$4=0))),0,IF(19=$K25,200000,ABS(19-$K25)*100)),100000+ABS(4-$J25)*1000+190)+'計算A'!CP$5*50+IF(AND($E25=1,MC25=0),25,0),IF($F25&gt;0,INDEX('計算A'!CP$110:CP$114,$F25+1)+IF(AND($E25=1,MC25=0),1000,0),MIN(TX25,20)*400+(IF('計算A'!CO$106=1,1-GM25,0)+IF('計算A'!CP$106=1,1-GO25,0))*150+194+'計算A'!CP$5*100000+IF(AND($E25=1,MC25=0),50000,0))+IF($H25=1,(IF('計算A'!CO$117=1,INDEX('計算A'!CO$10:CO$54,$B25),0)+IF('計算A'!CP$117=1,INDEX('計算A'!CQ$10:CQ$54,$B25),0))*4000,0)-IF(AND('計算A'!CO$117=1,XM25&gt;0),2000,0)-IF(AND($L25=1,'計算A'!CP$117=1,GO25=0),2000,0))),1000000))</f>
        <v/>
      </c>
      <c r="RS25">
        <f>IF($B25=0,1000000,IF(INDEX('計算A'!$D$60:$EQ$104,$B25,92)*GO25=1,IF(AND($E25=2,MD25=0),1000000,IF($I25&gt;0,IF(4=$J25,IF(OR(AND(92=$I25+1,OR($K25&lt;&gt;'計算A'!$A$3,'計算A'!$A$4=0)),AND(92=$I25-1,OR(20&lt;&gt;'計算A'!$A$3,'計算A'!$A$4=0))),0,IF(20=$K25,200000,ABS(20-$K25)*100)),100000+ABS(4-$J25)*1000+200)+'計算A'!CQ$5*50+IF(AND($E25=1,MD25=0),25,0),IF($F25&gt;0,INDEX('計算A'!CQ$110:CQ$114,$F25+1)+IF(AND($E25=1,MD25=0),1000,0),MIN(TX25,20)*400+(IF('計算A'!CP$106=1,1-GN25,0)+IF('計算A'!CQ$106=1,1-GP25,0))*150+204+'計算A'!CQ$5*100000+IF(AND($E25=1,MD25=0),50000,0))+IF($H25=1,(IF('計算A'!CP$117=1,INDEX('計算A'!CP$10:CP$54,$B25),0)+IF('計算A'!CQ$117=1,INDEX('計算A'!CR$10:CR$54,$B25),0))*4000,0)-IF(AND('計算A'!CP$117=1,XN25&gt;0),2000,0)-IF(AND($L25=1,'計算A'!CQ$117=1,GP25=0),2000,0))),1000000))</f>
        <v/>
      </c>
      <c r="RT25">
        <f>IF($B25=0,1000000,IF(INDEX('計算A'!$D$60:$EQ$104,$B25,93)*GP25=1,IF(AND($E25=2,ME25=0),1000000,IF($I25&gt;0,IF(4=$J25,IF(OR(AND(93=$I25+1,OR($K25&lt;&gt;'計算A'!$A$3,'計算A'!$A$4=0)),AND(93=$I25-1,OR(21&lt;&gt;'計算A'!$A$3,'計算A'!$A$4=0))),0,IF(21=$K25,200000,ABS(21-$K25)*100)),100000+ABS(4-$J25)*1000+210)+'計算A'!CR$5*50+IF(AND($E25=1,ME25=0),25,0),IF($F25&gt;0,INDEX('計算A'!CR$110:CR$114,$F25+1)+IF(AND($E25=1,ME25=0),1000,0),MIN(TX25,20)*400+(IF('計算A'!CQ$106=1,1-GO25,0)+IF('計算A'!CR$106=1,1-GQ25,0))*150+214+'計算A'!CR$5*100000+IF(AND($E25=1,ME25=0),50000,0))+IF($H25=1,(IF('計算A'!CQ$117=1,INDEX('計算A'!CQ$10:CQ$54,$B25),0)+IF('計算A'!CR$117=1,INDEX('計算A'!CS$10:CS$54,$B25),0))*4000,0)-IF(AND('計算A'!CQ$117=1,XO25&gt;0),2000,0)-IF(AND($L25=1,'計算A'!CR$117=1,GQ25=0),2000,0))),1000000))</f>
        <v/>
      </c>
      <c r="RU25">
        <f>IF($B25=0,1000000,IF(INDEX('計算A'!$D$60:$EQ$104,$B25,94)*GQ25=1,IF(AND($E25=2,MF25=0),1000000,IF($I25&gt;0,IF(4=$J25,IF(OR(AND(94=$I25+1,OR($K25&lt;&gt;'計算A'!$A$3,'計算A'!$A$4=0)),AND(94=$I25-1,OR(22&lt;&gt;'計算A'!$A$3,'計算A'!$A$4=0))),0,IF(22=$K25,200000,ABS(22-$K25)*100)),100000+ABS(4-$J25)*1000+220)+'計算A'!CS$5*50+IF(AND($E25=1,MF25=0),25,0),IF($F25&gt;0,INDEX('計算A'!CS$110:CS$114,$F25+1)+IF(AND($E25=1,MF25=0),1000,0),MIN(TX25,20)*400+(IF('計算A'!CR$106=1,1-GP25,0)+IF('計算A'!CS$106=1,1-GR25,0))*150+224+'計算A'!CS$5*100000+IF(AND($E25=1,MF25=0),50000,0))+IF($H25=1,(IF('計算A'!CR$117=1,INDEX('計算A'!CR$10:CR$54,$B25),0)+IF('計算A'!CS$117=1,INDEX('計算A'!CT$10:CT$54,$B25),0))*4000,0)-IF(AND('計算A'!CR$117=1,XP25&gt;0),2000,0)-IF(AND($L25=1,'計算A'!CS$117=1,GR25=0),2000,0))),1000000))</f>
        <v/>
      </c>
      <c r="RV25">
        <f>IF($B25=0,1000000,IF(INDEX('計算A'!$D$60:$EQ$104,$B25,95)*GR25=1,IF(AND($E25=2,MG25=0),1000000,IF($I25&gt;0,IF(4=$J25,IF(OR(AND(95=$I25+1,OR($K25&lt;&gt;'計算A'!$A$3,'計算A'!$A$4=0)),AND(95=$I25-1,OR(23&lt;&gt;'計算A'!$A$3,'計算A'!$A$4=0))),0,IF(23=$K25,200000,ABS(23-$K25)*100)),100000+ABS(4-$J25)*1000+230)+'計算A'!CT$5*50+IF(AND($E25=1,MG25=0),25,0),IF($F25&gt;0,INDEX('計算A'!CT$110:CT$114,$F25+1)+IF(AND($E25=1,MG25=0),1000,0),MIN(TX25,20)*400+(IF('計算A'!CS$106=1,1-GQ25,0)+IF('計算A'!CT$106=1,1-GS25,0))*150+234+'計算A'!CT$5*100000+IF(AND($E25=1,MG25=0),50000,0))+IF($H25=1,(IF('計算A'!CS$117=1,INDEX('計算A'!CS$10:CS$54,$B25),0)+IF('計算A'!CT$117=1,INDEX('計算A'!CU$10:CU$54,$B25),0))*4000,0)-IF(AND('計算A'!CS$117=1,XQ25&gt;0),2000,0)-IF(AND($L25=1,'計算A'!CT$117=1,GS25=0),2000,0))),1000000))</f>
        <v/>
      </c>
      <c r="RW25">
        <f>IF($B25=0,1000000,IF(INDEX('計算A'!$D$60:$EQ$104,$B25,96)*GS25=1,IF(AND($E25=2,MH25=0),1000000,IF($I25&gt;0,IF(4=$J25,IF(OR(AND(96=$I25+1,OR($K25&lt;&gt;'計算A'!$A$3,'計算A'!$A$4=0)),AND(96=$I25-1,OR(24&lt;&gt;'計算A'!$A$3,'計算A'!$A$4=0))),0,IF(24=$K25,200000,ABS(24-$K25)*100)),100000+ABS(4-$J25)*1000+240)+'計算A'!CU$5*50+IF(AND($E25=1,MH25=0),25,0),IF($F25&gt;0,INDEX('計算A'!CU$110:CU$114,$F25+1)+IF(AND($E25=1,MH25=0),1000,0),MIN(TX25,20)*400+(IF('計算A'!CT$106=1,1-GR25,0))*150+244+'計算A'!CU$5*100000+IF(AND($E25=1,MH25=0),50000,0))+IF($H25=1,(IF('計算A'!CT$117=1,INDEX('計算A'!CT$10:CT$54,$B25),0))*4000,0)-IF(AND('計算A'!CT$117=1,XR25&gt;0),2000,0))),1000000))</f>
        <v/>
      </c>
      <c r="RX25">
        <f>IF($B25=0,1000000,IF(INDEX('計算A'!$D$60:$EQ$104,$B25,97)*GT25=1,IF(AND($E25=2,MI25=0),1000000,IF($I25&gt;0,IF(5=$J25,IF(OR(AND(97=$I25+1,OR($K25&lt;&gt;'計算A'!$A$3,'計算A'!$A$4=0)),AND(97=$I25-1,OR(1&lt;&gt;'計算A'!$A$3,'計算A'!$A$4=0))),0,IF(1=$K25,200000,ABS(1-$K25)*100)),100000+ABS(5-$J25)*1000+10)+'計算A'!CV$5*50+IF(AND($E25=1,MI25=0),25,0),IF($F25&gt;0,INDEX('計算A'!CV$110:CV$114,$F25+1)+IF(AND($E25=1,MI25=0),1000,0),MIN(TY25,20)*400+(IF('計算A'!CV$106=1,1-GU25,0))*150+15+'計算A'!CV$5*100000+IF(AND($E25=1,MI25=0),50000,0))+IF($H25=1,(IF('計算A'!CV$117=1,INDEX('計算A'!CW$10:CW$54,$B25),0))*4000,0)-IF(AND($L25=1,'計算A'!CV$117=1,GU25=0),2000,0))),1000000))</f>
        <v/>
      </c>
      <c r="RY25">
        <f>IF($B25=0,1000000,IF(INDEX('計算A'!$D$60:$EQ$104,$B25,98)*GU25=1,IF(AND($E25=2,MJ25=0),1000000,IF($I25&gt;0,IF(5=$J25,IF(OR(AND(98=$I25+1,OR($K25&lt;&gt;'計算A'!$A$3,'計算A'!$A$4=0)),AND(98=$I25-1,OR(2&lt;&gt;'計算A'!$A$3,'計算A'!$A$4=0))),0,IF(2=$K25,200000,ABS(2-$K25)*100)),100000+ABS(5-$J25)*1000+20)+'計算A'!CW$5*50+IF(AND($E25=1,MJ25=0),25,0),IF($F25&gt;0,INDEX('計算A'!CW$110:CW$114,$F25+1)+IF(AND($E25=1,MJ25=0),1000,0),MIN(TY25,20)*400+(IF('計算A'!CV$106=1,1-GT25,0)+IF('計算A'!CW$106=1,1-GV25,0))*150+25+'計算A'!CW$5*100000+IF(AND($E25=1,MJ25=0),50000,0))+IF($H25=1,(IF('計算A'!CV$117=1,INDEX('計算A'!CV$10:CV$54,$B25),0)+IF('計算A'!CW$117=1,INDEX('計算A'!CX$10:CX$54,$B25),0))*4000,0)-IF(AND('計算A'!CV$117=1,XT25&gt;0),2000,0)-IF(AND($L25=1,'計算A'!CW$117=1,GV25=0),2000,0))),1000000))</f>
        <v/>
      </c>
      <c r="RZ25">
        <f>IF($B25=0,1000000,IF(INDEX('計算A'!$D$60:$EQ$104,$B25,99)*GV25=1,IF(AND($E25=2,MK25=0),1000000,IF($I25&gt;0,IF(5=$J25,IF(OR(AND(99=$I25+1,OR($K25&lt;&gt;'計算A'!$A$3,'計算A'!$A$4=0)),AND(99=$I25-1,OR(3&lt;&gt;'計算A'!$A$3,'計算A'!$A$4=0))),0,IF(3=$K25,200000,ABS(3-$K25)*100)),100000+ABS(5-$J25)*1000+30)+'計算A'!CX$5*50+IF(AND($E25=1,MK25=0),25,0),IF($F25&gt;0,INDEX('計算A'!CX$110:CX$114,$F25+1)+IF(AND($E25=1,MK25=0),1000,0),MIN(TY25,20)*400+(IF('計算A'!CW$106=1,1-GU25,0)+IF('計算A'!CX$106=1,1-GW25,0))*150+35+'計算A'!CX$5*100000+IF(AND($E25=1,MK25=0),50000,0))+IF($H25=1,(IF('計算A'!CW$117=1,INDEX('計算A'!CW$10:CW$54,$B25),0)+IF('計算A'!CX$117=1,INDEX('計算A'!CY$10:CY$54,$B25),0))*4000,0)-IF(AND('計算A'!CW$117=1,XU25&gt;0),2000,0)-IF(AND($L25=1,'計算A'!CX$117=1,GW25=0),2000,0))),1000000))</f>
        <v/>
      </c>
      <c r="SA25">
        <f>IF($B25=0,1000000,IF(INDEX('計算A'!$D$60:$EQ$104,$B25,100)*GW25=1,IF(AND($E25=2,ML25=0),1000000,IF($I25&gt;0,IF(5=$J25,IF(OR(AND(100=$I25+1,OR($K25&lt;&gt;'計算A'!$A$3,'計算A'!$A$4=0)),AND(100=$I25-1,OR(4&lt;&gt;'計算A'!$A$3,'計算A'!$A$4=0))),0,IF(4=$K25,200000,ABS(4-$K25)*100)),100000+ABS(5-$J25)*1000+40)+'計算A'!CY$5*50+IF(AND($E25=1,ML25=0),25,0),IF($F25&gt;0,INDEX('計算A'!CY$110:CY$114,$F25+1)+IF(AND($E25=1,ML25=0),1000,0),MIN(TY25,20)*400+(IF('計算A'!CX$106=1,1-GV25,0)+IF('計算A'!CY$106=1,1-GX25,0))*150+45+'計算A'!CY$5*100000+IF(AND($E25=1,ML25=0),50000,0))+IF($H25=1,(IF('計算A'!CX$117=1,INDEX('計算A'!CX$10:CX$54,$B25),0)+IF('計算A'!CY$117=1,INDEX('計算A'!CZ$10:CZ$54,$B25),0))*4000,0)-IF(AND('計算A'!CX$117=1,XV25&gt;0),2000,0)-IF(AND($L25=1,'計算A'!CY$117=1,GX25=0),2000,0))),1000000))</f>
        <v/>
      </c>
      <c r="SB25">
        <f>IF($B25=0,1000000,IF(INDEX('計算A'!$D$60:$EQ$104,$B25,101)*GX25=1,IF(AND($E25=2,MM25=0),1000000,IF($I25&gt;0,IF(5=$J25,IF(OR(AND(101=$I25+1,OR($K25&lt;&gt;'計算A'!$A$3,'計算A'!$A$4=0)),AND(101=$I25-1,OR(5&lt;&gt;'計算A'!$A$3,'計算A'!$A$4=0))),0,IF(5=$K25,200000,ABS(5-$K25)*100)),100000+ABS(5-$J25)*1000+50)+'計算A'!CZ$5*50+IF(AND($E25=1,MM25=0),25,0),IF($F25&gt;0,INDEX('計算A'!CZ$110:CZ$114,$F25+1)+IF(AND($E25=1,MM25=0),1000,0),MIN(TY25,20)*400+(IF('計算A'!CY$106=1,1-GW25,0)+IF('計算A'!CZ$106=1,1-GY25,0))*150+55+'計算A'!CZ$5*100000+IF(AND($E25=1,MM25=0),50000,0))+IF($H25=1,(IF('計算A'!CY$117=1,INDEX('計算A'!CY$10:CY$54,$B25),0)+IF('計算A'!CZ$117=1,INDEX('計算A'!DA$10:DA$54,$B25),0))*4000,0)-IF(AND('計算A'!CY$117=1,XW25&gt;0),2000,0)-IF(AND($L25=1,'計算A'!CZ$117=1,GY25=0),2000,0))),1000000))</f>
        <v/>
      </c>
      <c r="SC25">
        <f>IF($B25=0,1000000,IF(INDEX('計算A'!$D$60:$EQ$104,$B25,102)*GY25=1,IF(AND($E25=2,MN25=0),1000000,IF($I25&gt;0,IF(5=$J25,IF(OR(AND(102=$I25+1,OR($K25&lt;&gt;'計算A'!$A$3,'計算A'!$A$4=0)),AND(102=$I25-1,OR(6&lt;&gt;'計算A'!$A$3,'計算A'!$A$4=0))),0,IF(6=$K25,200000,ABS(6-$K25)*100)),100000+ABS(5-$J25)*1000+60)+'計算A'!DA$5*50+IF(AND($E25=1,MN25=0),25,0),IF($F25&gt;0,INDEX('計算A'!DA$110:DA$114,$F25+1)+IF(AND($E25=1,MN25=0),1000,0),MIN(TY25,20)*400+(IF('計算A'!CZ$106=1,1-GX25,0)+IF('計算A'!DA$106=1,1-GZ25,0))*150+65+'計算A'!DA$5*100000+IF(AND($E25=1,MN25=0),50000,0))+IF($H25=1,(IF('計算A'!CZ$117=1,INDEX('計算A'!CZ$10:CZ$54,$B25),0)+IF('計算A'!DA$117=1,INDEX('計算A'!DB$10:DB$54,$B25),0))*4000,0)-IF(AND('計算A'!CZ$117=1,XX25&gt;0),2000,0)-IF(AND($L25=1,'計算A'!DA$117=1,GZ25=0),2000,0))),1000000))</f>
        <v/>
      </c>
      <c r="SD25">
        <f>IF($B25=0,1000000,IF(INDEX('計算A'!$D$60:$EQ$104,$B25,103)*GZ25=1,IF(AND($E25=2,MO25=0),1000000,IF($I25&gt;0,IF(5=$J25,IF(OR(AND(103=$I25+1,OR($K25&lt;&gt;'計算A'!$A$3,'計算A'!$A$4=0)),AND(103=$I25-1,OR(7&lt;&gt;'計算A'!$A$3,'計算A'!$A$4=0))),0,IF(7=$K25,200000,ABS(7-$K25)*100)),100000+ABS(5-$J25)*1000+70)+'計算A'!DB$5*50+IF(AND($E25=1,MO25=0),25,0),IF($F25&gt;0,INDEX('計算A'!DB$110:DB$114,$F25+1)+IF(AND($E25=1,MO25=0),1000,0),MIN(TY25,20)*400+(IF('計算A'!DA$106=1,1-GY25,0)+IF('計算A'!DB$106=1,1-HA25,0))*150+75+'計算A'!DB$5*100000+IF(AND($E25=1,MO25=0),50000,0))+IF($H25=1,(IF('計算A'!DA$117=1,INDEX('計算A'!DA$10:DA$54,$B25),0)+IF('計算A'!DB$117=1,INDEX('計算A'!DC$10:DC$54,$B25),0))*4000,0)-IF(AND('計算A'!DA$117=1,XY25&gt;0),2000,0)-IF(AND($L25=1,'計算A'!DB$117=1,HA25=0),2000,0))),1000000))</f>
        <v/>
      </c>
      <c r="SE25">
        <f>IF($B25=0,1000000,IF(INDEX('計算A'!$D$60:$EQ$104,$B25,104)*HA25=1,IF(AND($E25=2,MP25=0),1000000,IF($I25&gt;0,IF(5=$J25,IF(OR(AND(104=$I25+1,OR($K25&lt;&gt;'計算A'!$A$3,'計算A'!$A$4=0)),AND(104=$I25-1,OR(8&lt;&gt;'計算A'!$A$3,'計算A'!$A$4=0))),0,IF(8=$K25,200000,ABS(8-$K25)*100)),100000+ABS(5-$J25)*1000+80)+'計算A'!DC$5*50+IF(AND($E25=1,MP25=0),25,0),IF($F25&gt;0,INDEX('計算A'!DC$110:DC$114,$F25+1)+IF(AND($E25=1,MP25=0),1000,0),MIN(TY25,20)*400+(IF('計算A'!DB$106=1,1-GZ25,0)+IF('計算A'!DC$106=1,1-HB25,0))*150+85+'計算A'!DC$5*100000+IF(AND($E25=1,MP25=0),50000,0))+IF($H25=1,(IF('計算A'!DB$117=1,INDEX('計算A'!DB$10:DB$54,$B25),0)+IF('計算A'!DC$117=1,INDEX('計算A'!DD$10:DD$54,$B25),0))*4000,0)-IF(AND('計算A'!DB$117=1,XZ25&gt;0),2000,0)-IF(AND($L25=1,'計算A'!DC$117=1,HB25=0),2000,0))),1000000))</f>
        <v/>
      </c>
      <c r="SF25">
        <f>IF($B25=0,1000000,IF(INDEX('計算A'!$D$60:$EQ$104,$B25,105)*HB25=1,IF(AND($E25=2,MQ25=0),1000000,IF($I25&gt;0,IF(5=$J25,IF(OR(AND(105=$I25+1,OR($K25&lt;&gt;'計算A'!$A$3,'計算A'!$A$4=0)),AND(105=$I25-1,OR(9&lt;&gt;'計算A'!$A$3,'計算A'!$A$4=0))),0,IF(9=$K25,200000,ABS(9-$K25)*100)),100000+ABS(5-$J25)*1000+90)+'計算A'!DD$5*50+IF(AND($E25=1,MQ25=0),25,0),IF($F25&gt;0,INDEX('計算A'!DD$110:DD$114,$F25+1)+IF(AND($E25=1,MQ25=0),1000,0),MIN(TY25,20)*400+(IF('計算A'!DC$106=1,1-HA25,0)+IF('計算A'!DD$106=1,1-HC25,0))*150+95+'計算A'!DD$5*100000+IF(AND($E25=1,MQ25=0),50000,0))+IF($H25=1,(IF('計算A'!DC$117=1,INDEX('計算A'!DC$10:DC$54,$B25),0)+IF('計算A'!DD$117=1,INDEX('計算A'!DE$10:DE$54,$B25),0))*4000,0)-IF(AND('計算A'!DC$117=1,YA25&gt;0),2000,0)-IF(AND($L25=1,'計算A'!DD$117=1,HC25=0),2000,0))),1000000))</f>
        <v/>
      </c>
      <c r="SG25">
        <f>IF($B25=0,1000000,IF(INDEX('計算A'!$D$60:$EQ$104,$B25,106)*HC25=1,IF(AND($E25=2,MR25=0),1000000,IF($I25&gt;0,IF(5=$J25,IF(OR(AND(106=$I25+1,OR($K25&lt;&gt;'計算A'!$A$3,'計算A'!$A$4=0)),AND(106=$I25-1,OR(10&lt;&gt;'計算A'!$A$3,'計算A'!$A$4=0))),0,IF(10=$K25,200000,ABS(10-$K25)*100)),100000+ABS(5-$J25)*1000+100)+'計算A'!DE$5*50+IF(AND($E25=1,MR25=0),25,0),IF($F25&gt;0,INDEX('計算A'!DE$110:DE$114,$F25+1)+IF(AND($E25=1,MR25=0),1000,0),MIN(TY25,20)*400+(IF('計算A'!DD$106=1,1-HB25,0)+IF('計算A'!DE$106=1,1-HD25,0))*150+105+'計算A'!DE$5*100000+IF(AND($E25=1,MR25=0),50000,0))+IF($H25=1,(IF('計算A'!DD$117=1,INDEX('計算A'!DD$10:DD$54,$B25),0)+IF('計算A'!DE$117=1,INDEX('計算A'!DF$10:DF$54,$B25),0))*4000,0)-IF(AND('計算A'!DD$117=1,YB25&gt;0),2000,0)-IF(AND($L25=1,'計算A'!DE$117=1,HD25=0),2000,0))),1000000))</f>
        <v/>
      </c>
      <c r="SH25">
        <f>IF($B25=0,1000000,IF(INDEX('計算A'!$D$60:$EQ$104,$B25,107)*HD25=1,IF(AND($E25=2,MS25=0),1000000,IF($I25&gt;0,IF(5=$J25,IF(OR(AND(107=$I25+1,OR($K25&lt;&gt;'計算A'!$A$3,'計算A'!$A$4=0)),AND(107=$I25-1,OR(11&lt;&gt;'計算A'!$A$3,'計算A'!$A$4=0))),0,IF(11=$K25,200000,ABS(11-$K25)*100)),100000+ABS(5-$J25)*1000+110)+'計算A'!DF$5*50+IF(AND($E25=1,MS25=0),25,0),IF($F25&gt;0,INDEX('計算A'!DF$110:DF$114,$F25+1)+IF(AND($E25=1,MS25=0),1000,0),MIN(TY25,20)*400+(IF('計算A'!DE$106=1,1-HC25,0)+IF('計算A'!DF$106=1,1-HE25,0))*150+115+'計算A'!DF$5*100000+IF(AND($E25=1,MS25=0),50000,0))+IF($H25=1,(IF('計算A'!DE$117=1,INDEX('計算A'!DE$10:DE$54,$B25),0)+IF('計算A'!DF$117=1,INDEX('計算A'!DG$10:DG$54,$B25),0))*4000,0)-IF(AND('計算A'!DE$117=1,YC25&gt;0),2000,0)-IF(AND($L25=1,'計算A'!DF$117=1,HE25=0),2000,0))),1000000))</f>
        <v/>
      </c>
      <c r="SI25">
        <f>IF($B25=0,1000000,IF(INDEX('計算A'!$D$60:$EQ$104,$B25,108)*HE25=1,IF(AND($E25=2,MT25=0),1000000,IF($I25&gt;0,IF(5=$J25,IF(OR(AND(108=$I25+1,OR($K25&lt;&gt;'計算A'!$A$3,'計算A'!$A$4=0)),AND(108=$I25-1,OR(12&lt;&gt;'計算A'!$A$3,'計算A'!$A$4=0))),0,IF(12=$K25,200000,ABS(12-$K25)*100)),100000+ABS(5-$J25)*1000+120)+'計算A'!DG$5*50+IF(AND($E25=1,MT25=0),25,0),IF($F25&gt;0,INDEX('計算A'!DG$110:DG$114,$F25+1)+IF(AND($E25=1,MT25=0),1000,0),MIN(TY25,20)*400+(IF('計算A'!DF$106=1,1-HD25,0)+IF('計算A'!DG$106=1,1-HF25,0))*150+125+'計算A'!DG$5*100000+IF(AND($E25=1,MT25=0),50000,0))+IF($H25=1,(IF('計算A'!DF$117=1,INDEX('計算A'!DF$10:DF$54,$B25),0)+IF('計算A'!DG$117=1,INDEX('計算A'!DH$10:DH$54,$B25),0))*4000,0)-IF(AND('計算A'!DF$117=1,YD25&gt;0),2000,0)-IF(AND($L25=1,'計算A'!DG$117=1,HF25=0),2000,0))),1000000))</f>
        <v/>
      </c>
      <c r="SJ25">
        <f>IF($B25=0,1000000,IF(INDEX('計算A'!$D$60:$EQ$104,$B25,109)*HF25=1,IF(AND($E25=2,MU25=0),1000000,IF($I25&gt;0,IF(5=$J25,IF(OR(AND(109=$I25+1,OR($K25&lt;&gt;'計算A'!$A$3,'計算A'!$A$4=0)),AND(109=$I25-1,OR(13&lt;&gt;'計算A'!$A$3,'計算A'!$A$4=0))),0,IF(13=$K25,200000,ABS(13-$K25)*100)),100000+ABS(5-$J25)*1000+130)+'計算A'!DH$5*50+IF(AND($E25=1,MU25=0),25,0),IF($F25&gt;0,INDEX('計算A'!DH$110:DH$114,$F25+1)+IF(AND($E25=1,MU25=0),1000,0),MIN(TY25,20)*400+(IF('計算A'!DG$106=1,1-HE25,0)+IF('計算A'!DH$106=1,1-HG25,0))*150+135+'計算A'!DH$5*100000+IF(AND($E25=1,MU25=0),50000,0))+IF($H25=1,(IF('計算A'!DG$117=1,INDEX('計算A'!DG$10:DG$54,$B25),0)+IF('計算A'!DH$117=1,INDEX('計算A'!DI$10:DI$54,$B25),0))*4000,0)-IF(AND('計算A'!DG$117=1,YE25&gt;0),2000,0)-IF(AND($L25=1,'計算A'!DH$117=1,HG25=0),2000,0))),1000000))</f>
        <v/>
      </c>
      <c r="SK25">
        <f>IF($B25=0,1000000,IF(INDEX('計算A'!$D$60:$EQ$104,$B25,110)*HG25=1,IF(AND($E25=2,MV25=0),1000000,IF($I25&gt;0,IF(5=$J25,IF(OR(AND(110=$I25+1,OR($K25&lt;&gt;'計算A'!$A$3,'計算A'!$A$4=0)),AND(110=$I25-1,OR(14&lt;&gt;'計算A'!$A$3,'計算A'!$A$4=0))),0,IF(14=$K25,200000,ABS(14-$K25)*100)),100000+ABS(5-$J25)*1000+140)+'計算A'!DI$5*50+IF(AND($E25=1,MV25=0),25,0),IF($F25&gt;0,INDEX('計算A'!DI$110:DI$114,$F25+1)+IF(AND($E25=1,MV25=0),1000,0),MIN(TY25,20)*400+(IF('計算A'!DH$106=1,1-HF25,0)+IF('計算A'!DI$106=1,1-HH25,0))*150+145+'計算A'!DI$5*100000+IF(AND($E25=1,MV25=0),50000,0))+IF($H25=1,(IF('計算A'!DH$117=1,INDEX('計算A'!DH$10:DH$54,$B25),0)+IF('計算A'!DI$117=1,INDEX('計算A'!DJ$10:DJ$54,$B25),0))*4000,0)-IF(AND('計算A'!DH$117=1,YF25&gt;0),2000,0)-IF(AND($L25=1,'計算A'!DI$117=1,HH25=0),2000,0))),1000000))</f>
        <v/>
      </c>
      <c r="SL25">
        <f>IF($B25=0,1000000,IF(INDEX('計算A'!$D$60:$EQ$104,$B25,111)*HH25=1,IF(AND($E25=2,MW25=0),1000000,IF($I25&gt;0,IF(5=$J25,IF(OR(AND(111=$I25+1,OR($K25&lt;&gt;'計算A'!$A$3,'計算A'!$A$4=0)),AND(111=$I25-1,OR(15&lt;&gt;'計算A'!$A$3,'計算A'!$A$4=0))),0,IF(15=$K25,200000,ABS(15-$K25)*100)),100000+ABS(5-$J25)*1000+150)+'計算A'!DJ$5*50+IF(AND($E25=1,MW25=0),25,0),IF($F25&gt;0,INDEX('計算A'!DJ$110:DJ$114,$F25+1)+IF(AND($E25=1,MW25=0),1000,0),MIN(TY25,20)*400+(IF('計算A'!DI$106=1,1-HG25,0)+IF('計算A'!DJ$106=1,1-HI25,0))*150+155+'計算A'!DJ$5*100000+IF(AND($E25=1,MW25=0),50000,0))+IF($H25=1,(IF('計算A'!DI$117=1,INDEX('計算A'!DI$10:DI$54,$B25),0)+IF('計算A'!DJ$117=1,INDEX('計算A'!DK$10:DK$54,$B25),0))*4000,0)-IF(AND('計算A'!DI$117=1,YG25&gt;0),2000,0)-IF(AND($L25=1,'計算A'!DJ$117=1,HI25=0),2000,0))),1000000))</f>
        <v/>
      </c>
      <c r="SM25">
        <f>IF($B25=0,1000000,IF(INDEX('計算A'!$D$60:$EQ$104,$B25,112)*HI25=1,IF(AND($E25=2,MX25=0),1000000,IF($I25&gt;0,IF(5=$J25,IF(OR(AND(112=$I25+1,OR($K25&lt;&gt;'計算A'!$A$3,'計算A'!$A$4=0)),AND(112=$I25-1,OR(16&lt;&gt;'計算A'!$A$3,'計算A'!$A$4=0))),0,IF(16=$K25,200000,ABS(16-$K25)*100)),100000+ABS(5-$J25)*1000+160)+'計算A'!DK$5*50+IF(AND($E25=1,MX25=0),25,0),IF($F25&gt;0,INDEX('計算A'!DK$110:DK$114,$F25+1)+IF(AND($E25=1,MX25=0),1000,0),MIN(TY25,20)*400+(IF('計算A'!DJ$106=1,1-HH25,0)+IF('計算A'!DK$106=1,1-HJ25,0))*150+165+'計算A'!DK$5*100000+IF(AND($E25=1,MX25=0),50000,0))+IF($H25=1,(IF('計算A'!DJ$117=1,INDEX('計算A'!DJ$10:DJ$54,$B25),0)+IF('計算A'!DK$117=1,INDEX('計算A'!DL$10:DL$54,$B25),0))*4000,0)-IF(AND('計算A'!DJ$117=1,YH25&gt;0),2000,0)-IF(AND($L25=1,'計算A'!DK$117=1,HJ25=0),2000,0))),1000000))</f>
        <v/>
      </c>
      <c r="SN25">
        <f>IF($B25=0,1000000,IF(INDEX('計算A'!$D$60:$EQ$104,$B25,113)*HJ25=1,IF(AND($E25=2,MY25=0),1000000,IF($I25&gt;0,IF(5=$J25,IF(OR(AND(113=$I25+1,OR($K25&lt;&gt;'計算A'!$A$3,'計算A'!$A$4=0)),AND(113=$I25-1,OR(17&lt;&gt;'計算A'!$A$3,'計算A'!$A$4=0))),0,IF(17=$K25,200000,ABS(17-$K25)*100)),100000+ABS(5-$J25)*1000+170)+'計算A'!DL$5*50+IF(AND($E25=1,MY25=0),25,0),IF($F25&gt;0,INDEX('計算A'!DL$110:DL$114,$F25+1)+IF(AND($E25=1,MY25=0),1000,0),MIN(TY25,20)*400+(IF('計算A'!DK$106=1,1-HI25,0)+IF('計算A'!DL$106=1,1-HK25,0))*150+175+'計算A'!DL$5*100000+IF(AND($E25=1,MY25=0),50000,0))+IF($H25=1,(IF('計算A'!DK$117=1,INDEX('計算A'!DK$10:DK$54,$B25),0)+IF('計算A'!DL$117=1,INDEX('計算A'!DM$10:DM$54,$B25),0))*4000,0)-IF(AND('計算A'!DK$117=1,YI25&gt;0),2000,0)-IF(AND($L25=1,'計算A'!DL$117=1,HK25=0),2000,0))),1000000))</f>
        <v/>
      </c>
      <c r="SO25">
        <f>IF($B25=0,1000000,IF(INDEX('計算A'!$D$60:$EQ$104,$B25,114)*HK25=1,IF(AND($E25=2,MZ25=0),1000000,IF($I25&gt;0,IF(5=$J25,IF(OR(AND(114=$I25+1,OR($K25&lt;&gt;'計算A'!$A$3,'計算A'!$A$4=0)),AND(114=$I25-1,OR(18&lt;&gt;'計算A'!$A$3,'計算A'!$A$4=0))),0,IF(18=$K25,200000,ABS(18-$K25)*100)),100000+ABS(5-$J25)*1000+180)+'計算A'!DM$5*50+IF(AND($E25=1,MZ25=0),25,0),IF($F25&gt;0,INDEX('計算A'!DM$110:DM$114,$F25+1)+IF(AND($E25=1,MZ25=0),1000,0),MIN(TY25,20)*400+(IF('計算A'!DL$106=1,1-HJ25,0)+IF('計算A'!DM$106=1,1-HL25,0))*150+185+'計算A'!DM$5*100000+IF(AND($E25=1,MZ25=0),50000,0))+IF($H25=1,(IF('計算A'!DL$117=1,INDEX('計算A'!DL$10:DL$54,$B25),0)+IF('計算A'!DM$117=1,INDEX('計算A'!DN$10:DN$54,$B25),0))*4000,0)-IF(AND('計算A'!DL$117=1,YJ25&gt;0),2000,0)-IF(AND($L25=1,'計算A'!DM$117=1,HL25=0),2000,0))),1000000))</f>
        <v/>
      </c>
      <c r="SP25">
        <f>IF($B25=0,1000000,IF(INDEX('計算A'!$D$60:$EQ$104,$B25,115)*HL25=1,IF(AND($E25=2,NA25=0),1000000,IF($I25&gt;0,IF(5=$J25,IF(OR(AND(115=$I25+1,OR($K25&lt;&gt;'計算A'!$A$3,'計算A'!$A$4=0)),AND(115=$I25-1,OR(19&lt;&gt;'計算A'!$A$3,'計算A'!$A$4=0))),0,IF(19=$K25,200000,ABS(19-$K25)*100)),100000+ABS(5-$J25)*1000+190)+'計算A'!DN$5*50+IF(AND($E25=1,NA25=0),25,0),IF($F25&gt;0,INDEX('計算A'!DN$110:DN$114,$F25+1)+IF(AND($E25=1,NA25=0),1000,0),MIN(TY25,20)*400+(IF('計算A'!DM$106=1,1-HK25,0)+IF('計算A'!DN$106=1,1-HM25,0))*150+195+'計算A'!DN$5*100000+IF(AND($E25=1,NA25=0),50000,0))+IF($H25=1,(IF('計算A'!DM$117=1,INDEX('計算A'!DM$10:DM$54,$B25),0)+IF('計算A'!DN$117=1,INDEX('計算A'!DO$10:DO$54,$B25),0))*4000,0)-IF(AND('計算A'!DM$117=1,YK25&gt;0),2000,0)-IF(AND($L25=1,'計算A'!DN$117=1,HM25=0),2000,0))),1000000))</f>
        <v/>
      </c>
      <c r="SQ25">
        <f>IF($B25=0,1000000,IF(INDEX('計算A'!$D$60:$EQ$104,$B25,116)*HM25=1,IF(AND($E25=2,NB25=0),1000000,IF($I25&gt;0,IF(5=$J25,IF(OR(AND(116=$I25+1,OR($K25&lt;&gt;'計算A'!$A$3,'計算A'!$A$4=0)),AND(116=$I25-1,OR(20&lt;&gt;'計算A'!$A$3,'計算A'!$A$4=0))),0,IF(20=$K25,200000,ABS(20-$K25)*100)),100000+ABS(5-$J25)*1000+200)+'計算A'!DO$5*50+IF(AND($E25=1,NB25=0),25,0),IF($F25&gt;0,INDEX('計算A'!DO$110:DO$114,$F25+1)+IF(AND($E25=1,NB25=0),1000,0),MIN(TY25,20)*400+(IF('計算A'!DN$106=1,1-HL25,0)+IF('計算A'!DO$106=1,1-HN25,0))*150+205+'計算A'!DO$5*100000+IF(AND($E25=1,NB25=0),50000,0))+IF($H25=1,(IF('計算A'!DN$117=1,INDEX('計算A'!DN$10:DN$54,$B25),0)+IF('計算A'!DO$117=1,INDEX('計算A'!DP$10:DP$54,$B25),0))*4000,0)-IF(AND('計算A'!DN$117=1,YL25&gt;0),2000,0)-IF(AND($L25=1,'計算A'!DO$117=1,HN25=0),2000,0))),1000000))</f>
        <v/>
      </c>
      <c r="SR25">
        <f>IF($B25=0,1000000,IF(INDEX('計算A'!$D$60:$EQ$104,$B25,117)*HN25=1,IF(AND($E25=2,NC25=0),1000000,IF($I25&gt;0,IF(5=$J25,IF(OR(AND(117=$I25+1,OR($K25&lt;&gt;'計算A'!$A$3,'計算A'!$A$4=0)),AND(117=$I25-1,OR(21&lt;&gt;'計算A'!$A$3,'計算A'!$A$4=0))),0,IF(21=$K25,200000,ABS(21-$K25)*100)),100000+ABS(5-$J25)*1000+210)+'計算A'!DP$5*50+IF(AND($E25=1,NC25=0),25,0),IF($F25&gt;0,INDEX('計算A'!DP$110:DP$114,$F25+1)+IF(AND($E25=1,NC25=0),1000,0),MIN(TY25,20)*400+(IF('計算A'!DO$106=1,1-HM25,0)+IF('計算A'!DP$106=1,1-HO25,0))*150+215+'計算A'!DP$5*100000+IF(AND($E25=1,NC25=0),50000,0))+IF($H25=1,(IF('計算A'!DO$117=1,INDEX('計算A'!DO$10:DO$54,$B25),0)+IF('計算A'!DP$117=1,INDEX('計算A'!DQ$10:DQ$54,$B25),0))*4000,0)-IF(AND('計算A'!DO$117=1,YM25&gt;0),2000,0)-IF(AND($L25=1,'計算A'!DP$117=1,HO25=0),2000,0))),1000000))</f>
        <v/>
      </c>
      <c r="SS25">
        <f>IF($B25=0,1000000,IF(INDEX('計算A'!$D$60:$EQ$104,$B25,118)*HO25=1,IF(AND($E25=2,ND25=0),1000000,IF($I25&gt;0,IF(5=$J25,IF(OR(AND(118=$I25+1,OR($K25&lt;&gt;'計算A'!$A$3,'計算A'!$A$4=0)),AND(118=$I25-1,OR(22&lt;&gt;'計算A'!$A$3,'計算A'!$A$4=0))),0,IF(22=$K25,200000,ABS(22-$K25)*100)),100000+ABS(5-$J25)*1000+220)+'計算A'!DQ$5*50+IF(AND($E25=1,ND25=0),25,0),IF($F25&gt;0,INDEX('計算A'!DQ$110:DQ$114,$F25+1)+IF(AND($E25=1,ND25=0),1000,0),MIN(TY25,20)*400+(IF('計算A'!DP$106=1,1-HN25,0)+IF('計算A'!DQ$106=1,1-HP25,0))*150+225+'計算A'!DQ$5*100000+IF(AND($E25=1,ND25=0),50000,0))+IF($H25=1,(IF('計算A'!DP$117=1,INDEX('計算A'!DP$10:DP$54,$B25),0)+IF('計算A'!DQ$117=1,INDEX('計算A'!DR$10:DR$54,$B25),0))*4000,0)-IF(AND('計算A'!DP$117=1,YN25&gt;0),2000,0)-IF(AND($L25=1,'計算A'!DQ$117=1,HP25=0),2000,0))),1000000))</f>
        <v/>
      </c>
      <c r="ST25">
        <f>IF($B25=0,1000000,IF(INDEX('計算A'!$D$60:$EQ$104,$B25,119)*HP25=1,IF(AND($E25=2,NE25=0),1000000,IF($I25&gt;0,IF(5=$J25,IF(OR(AND(119=$I25+1,OR($K25&lt;&gt;'計算A'!$A$3,'計算A'!$A$4=0)),AND(119=$I25-1,OR(23&lt;&gt;'計算A'!$A$3,'計算A'!$A$4=0))),0,IF(23=$K25,200000,ABS(23-$K25)*100)),100000+ABS(5-$J25)*1000+230)+'計算A'!DR$5*50+IF(AND($E25=1,NE25=0),25,0),IF($F25&gt;0,INDEX('計算A'!DR$110:DR$114,$F25+1)+IF(AND($E25=1,NE25=0),1000,0),MIN(TY25,20)*400+(IF('計算A'!DQ$106=1,1-HO25,0)+IF('計算A'!DR$106=1,1-HQ25,0))*150+235+'計算A'!DR$5*100000+IF(AND($E25=1,NE25=0),50000,0))+IF($H25=1,(IF('計算A'!DQ$117=1,INDEX('計算A'!DQ$10:DQ$54,$B25),0)+IF('計算A'!DR$117=1,INDEX('計算A'!DS$10:DS$54,$B25),0))*4000,0)-IF(AND('計算A'!DQ$117=1,YO25&gt;0),2000,0)-IF(AND($L25=1,'計算A'!DR$117=1,HQ25=0),2000,0))),1000000))</f>
        <v/>
      </c>
      <c r="SU25">
        <f>IF($B25=0,1000000,IF(INDEX('計算A'!$D$60:$EQ$104,$B25,120)*HQ25=1,IF(AND($E25=2,NF25=0),1000000,IF($I25&gt;0,IF(5=$J25,IF(OR(AND(120=$I25+1,OR($K25&lt;&gt;'計算A'!$A$3,'計算A'!$A$4=0)),AND(120=$I25-1,OR(24&lt;&gt;'計算A'!$A$3,'計算A'!$A$4=0))),0,IF(24=$K25,200000,ABS(24-$K25)*100)),100000+ABS(5-$J25)*1000+240)+'計算A'!DS$5*50+IF(AND($E25=1,NF25=0),25,0),IF($F25&gt;0,INDEX('計算A'!DS$110:DS$114,$F25+1)+IF(AND($E25=1,NF25=0),1000,0),MIN(TY25,20)*400+(IF('計算A'!DR$106=1,1-HP25,0))*150+245+'計算A'!DS$5*100000+IF(AND($E25=1,NF25=0),50000,0))+IF($H25=1,(IF('計算A'!DR$117=1,INDEX('計算A'!DR$10:DR$54,$B25),0))*4000,0)-IF(AND('計算A'!DR$117=1,YP25&gt;0),2000,0))),1000000))</f>
        <v/>
      </c>
      <c r="SV25">
        <f>IF($B25=0,1000000,IF(INDEX('計算A'!$D$60:$EQ$104,$B25,121)*HR25=1,IF(AND($E25=2,NG25=0),1000000,IF($I25&gt;0,IF(6=$J25,IF(OR(AND(121=$I25+1,OR($K25&lt;&gt;'計算A'!$A$3,'計算A'!$A$4=0)),AND(121=$I25-1,OR(1&lt;&gt;'計算A'!$A$3,'計算A'!$A$4=0))),0,IF(1=$K25,200000,ABS(1-$K25)*100)),100000+ABS(6-$J25)*1000+10)+'計算A'!DT$5*50+IF(AND($E25=1,NG25=0),25,0),IF($F25&gt;0,INDEX('計算A'!DT$110:DT$114,$F25+1)+IF(AND($E25=1,NG25=0),1000,0),MIN(TZ25,20)*400+(IF('計算A'!DT$106=1,1-HS25,0))*150+16+'計算A'!DT$5*100000+IF(AND($E25=1,NG25=0),50000,0))+IF($H25=1,(IF('計算A'!DT$117=1,INDEX('計算A'!DU$10:DU$54,$B25),0))*4000,0)-IF(AND($L25=1,'計算A'!DT$117=1,HS25=0),2000,0))),1000000))</f>
        <v/>
      </c>
      <c r="SW25">
        <f>IF($B25=0,1000000,IF(INDEX('計算A'!$D$60:$EQ$104,$B25,122)*HS25=1,IF(AND($E25=2,NH25=0),1000000,IF($I25&gt;0,IF(6=$J25,IF(OR(AND(122=$I25+1,OR($K25&lt;&gt;'計算A'!$A$3,'計算A'!$A$4=0)),AND(122=$I25-1,OR(2&lt;&gt;'計算A'!$A$3,'計算A'!$A$4=0))),0,IF(2=$K25,200000,ABS(2-$K25)*100)),100000+ABS(6-$J25)*1000+20)+'計算A'!DU$5*50+IF(AND($E25=1,NH25=0),25,0),IF($F25&gt;0,INDEX('計算A'!DU$110:DU$114,$F25+1)+IF(AND($E25=1,NH25=0),1000,0),MIN(TZ25,20)*400+(IF('計算A'!DT$106=1,1-HR25,0)+IF('計算A'!DU$106=1,1-HT25,0))*150+26+'計算A'!DU$5*100000+IF(AND($E25=1,NH25=0),50000,0))+IF($H25=1,(IF('計算A'!DT$117=1,INDEX('計算A'!DT$10:DT$54,$B25),0)+IF('計算A'!DU$117=1,INDEX('計算A'!DV$10:DV$54,$B25),0))*4000,0)-IF(AND('計算A'!DT$117=1,YR25&gt;0),2000,0)-IF(AND($L25=1,'計算A'!DU$117=1,HT25=0),2000,0))),1000000))</f>
        <v/>
      </c>
      <c r="SX25">
        <f>IF($B25=0,1000000,IF(INDEX('計算A'!$D$60:$EQ$104,$B25,123)*HT25=1,IF(AND($E25=2,NI25=0),1000000,IF($I25&gt;0,IF(6=$J25,IF(OR(AND(123=$I25+1,OR($K25&lt;&gt;'計算A'!$A$3,'計算A'!$A$4=0)),AND(123=$I25-1,OR(3&lt;&gt;'計算A'!$A$3,'計算A'!$A$4=0))),0,IF(3=$K25,200000,ABS(3-$K25)*100)),100000+ABS(6-$J25)*1000+30)+'計算A'!DV$5*50+IF(AND($E25=1,NI25=0),25,0),IF($F25&gt;0,INDEX('計算A'!DV$110:DV$114,$F25+1)+IF(AND($E25=1,NI25=0),1000,0),MIN(TZ25,20)*400+(IF('計算A'!DU$106=1,1-HS25,0)+IF('計算A'!DV$106=1,1-HU25,0))*150+36+'計算A'!DV$5*100000+IF(AND($E25=1,NI25=0),50000,0))+IF($H25=1,(IF('計算A'!DU$117=1,INDEX('計算A'!DU$10:DU$54,$B25),0)+IF('計算A'!DV$117=1,INDEX('計算A'!DW$10:DW$54,$B25),0))*4000,0)-IF(AND('計算A'!DU$117=1,YS25&gt;0),2000,0)-IF(AND($L25=1,'計算A'!DV$117=1,HU25=0),2000,0))),1000000))</f>
        <v/>
      </c>
      <c r="SY25">
        <f>IF($B25=0,1000000,IF(INDEX('計算A'!$D$60:$EQ$104,$B25,124)*HU25=1,IF(AND($E25=2,NJ25=0),1000000,IF($I25&gt;0,IF(6=$J25,IF(OR(AND(124=$I25+1,OR($K25&lt;&gt;'計算A'!$A$3,'計算A'!$A$4=0)),AND(124=$I25-1,OR(4&lt;&gt;'計算A'!$A$3,'計算A'!$A$4=0))),0,IF(4=$K25,200000,ABS(4-$K25)*100)),100000+ABS(6-$J25)*1000+40)+'計算A'!DW$5*50+IF(AND($E25=1,NJ25=0),25,0),IF($F25&gt;0,INDEX('計算A'!DW$110:DW$114,$F25+1)+IF(AND($E25=1,NJ25=0),1000,0),MIN(TZ25,20)*400+(IF('計算A'!DV$106=1,1-HT25,0)+IF('計算A'!DW$106=1,1-HV25,0))*150+46+'計算A'!DW$5*100000+IF(AND($E25=1,NJ25=0),50000,0))+IF($H25=1,(IF('計算A'!DV$117=1,INDEX('計算A'!DV$10:DV$54,$B25),0)+IF('計算A'!DW$117=1,INDEX('計算A'!DX$10:DX$54,$B25),0))*4000,0)-IF(AND('計算A'!DV$117=1,YT25&gt;0),2000,0)-IF(AND($L25=1,'計算A'!DW$117=1,HV25=0),2000,0))),1000000))</f>
        <v/>
      </c>
      <c r="SZ25">
        <f>IF($B25=0,1000000,IF(INDEX('計算A'!$D$60:$EQ$104,$B25,125)*HV25=1,IF(AND($E25=2,NK25=0),1000000,IF($I25&gt;0,IF(6=$J25,IF(OR(AND(125=$I25+1,OR($K25&lt;&gt;'計算A'!$A$3,'計算A'!$A$4=0)),AND(125=$I25-1,OR(5&lt;&gt;'計算A'!$A$3,'計算A'!$A$4=0))),0,IF(5=$K25,200000,ABS(5-$K25)*100)),100000+ABS(6-$J25)*1000+50)+'計算A'!DX$5*50+IF(AND($E25=1,NK25=0),25,0),IF($F25&gt;0,INDEX('計算A'!DX$110:DX$114,$F25+1)+IF(AND($E25=1,NK25=0),1000,0),MIN(TZ25,20)*400+(IF('計算A'!DW$106=1,1-HU25,0)+IF('計算A'!DX$106=1,1-HW25,0))*150+56+'計算A'!DX$5*100000+IF(AND($E25=1,NK25=0),50000,0))+IF($H25=1,(IF('計算A'!DW$117=1,INDEX('計算A'!DW$10:DW$54,$B25),0)+IF('計算A'!DX$117=1,INDEX('計算A'!DY$10:DY$54,$B25),0))*4000,0)-IF(AND('計算A'!DW$117=1,YU25&gt;0),2000,0)-IF(AND($L25=1,'計算A'!DX$117=1,HW25=0),2000,0))),1000000))</f>
        <v/>
      </c>
      <c r="TA25">
        <f>IF($B25=0,1000000,IF(INDEX('計算A'!$D$60:$EQ$104,$B25,126)*HW25=1,IF(AND($E25=2,NL25=0),1000000,IF($I25&gt;0,IF(6=$J25,IF(OR(AND(126=$I25+1,OR($K25&lt;&gt;'計算A'!$A$3,'計算A'!$A$4=0)),AND(126=$I25-1,OR(6&lt;&gt;'計算A'!$A$3,'計算A'!$A$4=0))),0,IF(6=$K25,200000,ABS(6-$K25)*100)),100000+ABS(6-$J25)*1000+60)+'計算A'!DY$5*50+IF(AND($E25=1,NL25=0),25,0),IF($F25&gt;0,INDEX('計算A'!DY$110:DY$114,$F25+1)+IF(AND($E25=1,NL25=0),1000,0),MIN(TZ25,20)*400+(IF('計算A'!DX$106=1,1-HV25,0)+IF('計算A'!DY$106=1,1-HX25,0))*150+66+'計算A'!DY$5*100000+IF(AND($E25=1,NL25=0),50000,0))+IF($H25=1,(IF('計算A'!DX$117=1,INDEX('計算A'!DX$10:DX$54,$B25),0)+IF('計算A'!DY$117=1,INDEX('計算A'!DZ$10:DZ$54,$B25),0))*4000,0)-IF(AND('計算A'!DX$117=1,YV25&gt;0),2000,0)-IF(AND($L25=1,'計算A'!DY$117=1,HX25=0),2000,0))),1000000))</f>
        <v/>
      </c>
      <c r="TB25">
        <f>IF($B25=0,1000000,IF(INDEX('計算A'!$D$60:$EQ$104,$B25,127)*HX25=1,IF(AND($E25=2,NM25=0),1000000,IF($I25&gt;0,IF(6=$J25,IF(OR(AND(127=$I25+1,OR($K25&lt;&gt;'計算A'!$A$3,'計算A'!$A$4=0)),AND(127=$I25-1,OR(7&lt;&gt;'計算A'!$A$3,'計算A'!$A$4=0))),0,IF(7=$K25,200000,ABS(7-$K25)*100)),100000+ABS(6-$J25)*1000+70)+'計算A'!DZ$5*50+IF(AND($E25=1,NM25=0),25,0),IF($F25&gt;0,INDEX('計算A'!DZ$110:DZ$114,$F25+1)+IF(AND($E25=1,NM25=0),1000,0),MIN(TZ25,20)*400+(IF('計算A'!DY$106=1,1-HW25,0)+IF('計算A'!DZ$106=1,1-HY25,0))*150+76+'計算A'!DZ$5*100000+IF(AND($E25=1,NM25=0),50000,0))+IF($H25=1,(IF('計算A'!DY$117=1,INDEX('計算A'!DY$10:DY$54,$B25),0)+IF('計算A'!DZ$117=1,INDEX('計算A'!EA$10:EA$54,$B25),0))*4000,0)-IF(AND('計算A'!DY$117=1,YW25&gt;0),2000,0)-IF(AND($L25=1,'計算A'!DZ$117=1,HY25=0),2000,0))),1000000))</f>
        <v/>
      </c>
      <c r="TC25">
        <f>IF($B25=0,1000000,IF(INDEX('計算A'!$D$60:$EQ$104,$B25,128)*HY25=1,IF(AND($E25=2,NN25=0),1000000,IF($I25&gt;0,IF(6=$J25,IF(OR(AND(128=$I25+1,OR($K25&lt;&gt;'計算A'!$A$3,'計算A'!$A$4=0)),AND(128=$I25-1,OR(8&lt;&gt;'計算A'!$A$3,'計算A'!$A$4=0))),0,IF(8=$K25,200000,ABS(8-$K25)*100)),100000+ABS(6-$J25)*1000+80)+'計算A'!EA$5*50+IF(AND($E25=1,NN25=0),25,0),IF($F25&gt;0,INDEX('計算A'!EA$110:EA$114,$F25+1)+IF(AND($E25=1,NN25=0),1000,0),MIN(TZ25,20)*400+(IF('計算A'!DZ$106=1,1-HX25,0)+IF('計算A'!EA$106=1,1-HZ25,0))*150+86+'計算A'!EA$5*100000+IF(AND($E25=1,NN25=0),50000,0))+IF($H25=1,(IF('計算A'!DZ$117=1,INDEX('計算A'!DZ$10:DZ$54,$B25),0)+IF('計算A'!EA$117=1,INDEX('計算A'!EB$10:EB$54,$B25),0))*4000,0)-IF(AND('計算A'!DZ$117=1,YX25&gt;0),2000,0)-IF(AND($L25=1,'計算A'!EA$117=1,HZ25=0),2000,0))),1000000))</f>
        <v/>
      </c>
      <c r="TD25">
        <f>IF($B25=0,1000000,IF(INDEX('計算A'!$D$60:$EQ$104,$B25,129)*HZ25=1,IF(AND($E25=2,NO25=0),1000000,IF($I25&gt;0,IF(6=$J25,IF(OR(AND(129=$I25+1,OR($K25&lt;&gt;'計算A'!$A$3,'計算A'!$A$4=0)),AND(129=$I25-1,OR(9&lt;&gt;'計算A'!$A$3,'計算A'!$A$4=0))),0,IF(9=$K25,200000,ABS(9-$K25)*100)),100000+ABS(6-$J25)*1000+90)+'計算A'!EB$5*50+IF(AND($E25=1,NO25=0),25,0),IF($F25&gt;0,INDEX('計算A'!EB$110:EB$114,$F25+1)+IF(AND($E25=1,NO25=0),1000,0),MIN(TZ25,20)*400+(IF('計算A'!EA$106=1,1-HY25,0)+IF('計算A'!EB$106=1,1-IA25,0))*150+96+'計算A'!EB$5*100000+IF(AND($E25=1,NO25=0),50000,0))+IF($H25=1,(IF('計算A'!EA$117=1,INDEX('計算A'!EA$10:EA$54,$B25),0)+IF('計算A'!EB$117=1,INDEX('計算A'!EC$10:EC$54,$B25),0))*4000,0)-IF(AND('計算A'!EA$117=1,YY25&gt;0),2000,0)-IF(AND($L25=1,'計算A'!EB$117=1,IA25=0),2000,0))),1000000))</f>
        <v/>
      </c>
      <c r="TE25">
        <f>IF($B25=0,1000000,IF(INDEX('計算A'!$D$60:$EQ$104,$B25,130)*IA25=1,IF(AND($E25=2,NP25=0),1000000,IF($I25&gt;0,IF(6=$J25,IF(OR(AND(130=$I25+1,OR($K25&lt;&gt;'計算A'!$A$3,'計算A'!$A$4=0)),AND(130=$I25-1,OR(10&lt;&gt;'計算A'!$A$3,'計算A'!$A$4=0))),0,IF(10=$K25,200000,ABS(10-$K25)*100)),100000+ABS(6-$J25)*1000+100)+'計算A'!EC$5*50+IF(AND($E25=1,NP25=0),25,0),IF($F25&gt;0,INDEX('計算A'!EC$110:EC$114,$F25+1)+IF(AND($E25=1,NP25=0),1000,0),MIN(TZ25,20)*400+(IF('計算A'!EB$106=1,1-HZ25,0)+IF('計算A'!EC$106=1,1-IB25,0))*150+106+'計算A'!EC$5*100000+IF(AND($E25=1,NP25=0),50000,0))+IF($H25=1,(IF('計算A'!EB$117=1,INDEX('計算A'!EB$10:EB$54,$B25),0)+IF('計算A'!EC$117=1,INDEX('計算A'!ED$10:ED$54,$B25),0))*4000,0)-IF(AND('計算A'!EB$117=1,YZ25&gt;0),2000,0)-IF(AND($L25=1,'計算A'!EC$117=1,IB25=0),2000,0))),1000000))</f>
        <v/>
      </c>
      <c r="TF25">
        <f>IF($B25=0,1000000,IF(INDEX('計算A'!$D$60:$EQ$104,$B25,131)*IB25=1,IF(AND($E25=2,NQ25=0),1000000,IF($I25&gt;0,IF(6=$J25,IF(OR(AND(131=$I25+1,OR($K25&lt;&gt;'計算A'!$A$3,'計算A'!$A$4=0)),AND(131=$I25-1,OR(11&lt;&gt;'計算A'!$A$3,'計算A'!$A$4=0))),0,IF(11=$K25,200000,ABS(11-$K25)*100)),100000+ABS(6-$J25)*1000+110)+'計算A'!ED$5*50+IF(AND($E25=1,NQ25=0),25,0),IF($F25&gt;0,INDEX('計算A'!ED$110:ED$114,$F25+1)+IF(AND($E25=1,NQ25=0),1000,0),MIN(TZ25,20)*400+(IF('計算A'!EC$106=1,1-IA25,0)+IF('計算A'!ED$106=1,1-IC25,0))*150+116+'計算A'!ED$5*100000+IF(AND($E25=1,NQ25=0),50000,0))+IF($H25=1,(IF('計算A'!EC$117=1,INDEX('計算A'!EC$10:EC$54,$B25),0)+IF('計算A'!ED$117=1,INDEX('計算A'!EE$10:EE$54,$B25),0))*4000,0)-IF(AND('計算A'!EC$117=1,ZA25&gt;0),2000,0)-IF(AND($L25=1,'計算A'!ED$117=1,IC25=0),2000,0))),1000000))</f>
        <v/>
      </c>
      <c r="TG25">
        <f>IF($B25=0,1000000,IF(INDEX('計算A'!$D$60:$EQ$104,$B25,132)*IC25=1,IF(AND($E25=2,NR25=0),1000000,IF($I25&gt;0,IF(6=$J25,IF(OR(AND(132=$I25+1,OR($K25&lt;&gt;'計算A'!$A$3,'計算A'!$A$4=0)),AND(132=$I25-1,OR(12&lt;&gt;'計算A'!$A$3,'計算A'!$A$4=0))),0,IF(12=$K25,200000,ABS(12-$K25)*100)),100000+ABS(6-$J25)*1000+120)+'計算A'!EE$5*50+IF(AND($E25=1,NR25=0),25,0),IF($F25&gt;0,INDEX('計算A'!EE$110:EE$114,$F25+1)+IF(AND($E25=1,NR25=0),1000,0),MIN(TZ25,20)*400+(IF('計算A'!ED$106=1,1-IB25,0)+IF('計算A'!EE$106=1,1-ID25,0))*150+126+'計算A'!EE$5*100000+IF(AND($E25=1,NR25=0),50000,0))+IF($H25=1,(IF('計算A'!ED$117=1,INDEX('計算A'!ED$10:ED$54,$B25),0)+IF('計算A'!EE$117=1,INDEX('計算A'!EF$10:EF$54,$B25),0))*4000,0)-IF(AND('計算A'!ED$117=1,ZB25&gt;0),2000,0)-IF(AND($L25=1,'計算A'!EE$117=1,ID25=0),2000,0))),1000000))</f>
        <v/>
      </c>
      <c r="TH25">
        <f>IF($B25=0,1000000,IF(INDEX('計算A'!$D$60:$EQ$104,$B25,133)*ID25=1,IF(AND($E25=2,NS25=0),1000000,IF($I25&gt;0,IF(6=$J25,IF(OR(AND(133=$I25+1,OR($K25&lt;&gt;'計算A'!$A$3,'計算A'!$A$4=0)),AND(133=$I25-1,OR(13&lt;&gt;'計算A'!$A$3,'計算A'!$A$4=0))),0,IF(13=$K25,200000,ABS(13-$K25)*100)),100000+ABS(6-$J25)*1000+130)+'計算A'!EF$5*50+IF(AND($E25=1,NS25=0),25,0),IF($F25&gt;0,INDEX('計算A'!EF$110:EF$114,$F25+1)+IF(AND($E25=1,NS25=0),1000,0),MIN(TZ25,20)*400+(IF('計算A'!EE$106=1,1-IC25,0)+IF('計算A'!EF$106=1,1-IE25,0))*150+136+'計算A'!EF$5*100000+IF(AND($E25=1,NS25=0),50000,0))+IF($H25=1,(IF('計算A'!EE$117=1,INDEX('計算A'!EE$10:EE$54,$B25),0)+IF('計算A'!EF$117=1,INDEX('計算A'!EG$10:EG$54,$B25),0))*4000,0)-IF(AND('計算A'!EE$117=1,ZC25&gt;0),2000,0)-IF(AND($L25=1,'計算A'!EF$117=1,IE25=0),2000,0))),1000000))</f>
        <v/>
      </c>
      <c r="TI25">
        <f>IF($B25=0,1000000,IF(INDEX('計算A'!$D$60:$EQ$104,$B25,134)*IE25=1,IF(AND($E25=2,NT25=0),1000000,IF($I25&gt;0,IF(6=$J25,IF(OR(AND(134=$I25+1,OR($K25&lt;&gt;'計算A'!$A$3,'計算A'!$A$4=0)),AND(134=$I25-1,OR(14&lt;&gt;'計算A'!$A$3,'計算A'!$A$4=0))),0,IF(14=$K25,200000,ABS(14-$K25)*100)),100000+ABS(6-$J25)*1000+140)+'計算A'!EG$5*50+IF(AND($E25=1,NT25=0),25,0),IF($F25&gt;0,INDEX('計算A'!EG$110:EG$114,$F25+1)+IF(AND($E25=1,NT25=0),1000,0),MIN(TZ25,20)*400+(IF('計算A'!EF$106=1,1-ID25,0)+IF('計算A'!EG$106=1,1-IF25,0))*150+146+'計算A'!EG$5*100000+IF(AND($E25=1,NT25=0),50000,0))+IF($H25=1,(IF('計算A'!EF$117=1,INDEX('計算A'!EF$10:EF$54,$B25),0)+IF('計算A'!EG$117=1,INDEX('計算A'!EH$10:EH$54,$B25),0))*4000,0)-IF(AND('計算A'!EF$117=1,ZD25&gt;0),2000,0)-IF(AND($L25=1,'計算A'!EG$117=1,IF25=0),2000,0))),1000000))</f>
        <v/>
      </c>
      <c r="TJ25">
        <f>IF($B25=0,1000000,IF(INDEX('計算A'!$D$60:$EQ$104,$B25,135)*IF25=1,IF(AND($E25=2,NU25=0),1000000,IF($I25&gt;0,IF(6=$J25,IF(OR(AND(135=$I25+1,OR($K25&lt;&gt;'計算A'!$A$3,'計算A'!$A$4=0)),AND(135=$I25-1,OR(15&lt;&gt;'計算A'!$A$3,'計算A'!$A$4=0))),0,IF(15=$K25,200000,ABS(15-$K25)*100)),100000+ABS(6-$J25)*1000+150)+'計算A'!EH$5*50+IF(AND($E25=1,NU25=0),25,0),IF($F25&gt;0,INDEX('計算A'!EH$110:EH$114,$F25+1)+IF(AND($E25=1,NU25=0),1000,0),MIN(TZ25,20)*400+(IF('計算A'!EG$106=1,1-IE25,0)+IF('計算A'!EH$106=1,1-IG25,0))*150+156+'計算A'!EH$5*100000+IF(AND($E25=1,NU25=0),50000,0))+IF($H25=1,(IF('計算A'!EG$117=1,INDEX('計算A'!EG$10:EG$54,$B25),0)+IF('計算A'!EH$117=1,INDEX('計算A'!EI$10:EI$54,$B25),0))*4000,0)-IF(AND('計算A'!EG$117=1,ZE25&gt;0),2000,0)-IF(AND($L25=1,'計算A'!EH$117=1,IG25=0),2000,0))),1000000))</f>
        <v/>
      </c>
      <c r="TK25">
        <f>IF($B25=0,1000000,IF(INDEX('計算A'!$D$60:$EQ$104,$B25,136)*IG25=1,IF(AND($E25=2,NV25=0),1000000,IF($I25&gt;0,IF(6=$J25,IF(OR(AND(136=$I25+1,OR($K25&lt;&gt;'計算A'!$A$3,'計算A'!$A$4=0)),AND(136=$I25-1,OR(16&lt;&gt;'計算A'!$A$3,'計算A'!$A$4=0))),0,IF(16=$K25,200000,ABS(16-$K25)*100)),100000+ABS(6-$J25)*1000+160)+'計算A'!EI$5*50+IF(AND($E25=1,NV25=0),25,0),IF($F25&gt;0,INDEX('計算A'!EI$110:EI$114,$F25+1)+IF(AND($E25=1,NV25=0),1000,0),MIN(TZ25,20)*400+(IF('計算A'!EH$106=1,1-IF25,0)+IF('計算A'!EI$106=1,1-IH25,0))*150+166+'計算A'!EI$5*100000+IF(AND($E25=1,NV25=0),50000,0))+IF($H25=1,(IF('計算A'!EH$117=1,INDEX('計算A'!EH$10:EH$54,$B25),0)+IF('計算A'!EI$117=1,INDEX('計算A'!EJ$10:EJ$54,$B25),0))*4000,0)-IF(AND('計算A'!EH$117=1,ZF25&gt;0),2000,0)-IF(AND($L25=1,'計算A'!EI$117=1,IH25=0),2000,0))),1000000))</f>
        <v/>
      </c>
      <c r="TL25">
        <f>IF($B25=0,1000000,IF(INDEX('計算A'!$D$60:$EQ$104,$B25,137)*IH25=1,IF(AND($E25=2,NW25=0),1000000,IF($I25&gt;0,IF(6=$J25,IF(OR(AND(137=$I25+1,OR($K25&lt;&gt;'計算A'!$A$3,'計算A'!$A$4=0)),AND(137=$I25-1,OR(17&lt;&gt;'計算A'!$A$3,'計算A'!$A$4=0))),0,IF(17=$K25,200000,ABS(17-$K25)*100)),100000+ABS(6-$J25)*1000+170)+'計算A'!EJ$5*50+IF(AND($E25=1,NW25=0),25,0),IF($F25&gt;0,INDEX('計算A'!EJ$110:EJ$114,$F25+1)+IF(AND($E25=1,NW25=0),1000,0),MIN(TZ25,20)*400+(IF('計算A'!EI$106=1,1-IG25,0)+IF('計算A'!EJ$106=1,1-II25,0))*150+176+'計算A'!EJ$5*100000+IF(AND($E25=1,NW25=0),50000,0))+IF($H25=1,(IF('計算A'!EI$117=1,INDEX('計算A'!EI$10:EI$54,$B25),0)+IF('計算A'!EJ$117=1,INDEX('計算A'!EK$10:EK$54,$B25),0))*4000,0)-IF(AND('計算A'!EI$117=1,ZG25&gt;0),2000,0)-IF(AND($L25=1,'計算A'!EJ$117=1,II25=0),2000,0))),1000000))</f>
        <v/>
      </c>
      <c r="TM25">
        <f>IF($B25=0,1000000,IF(INDEX('計算A'!$D$60:$EQ$104,$B25,138)*II25=1,IF(AND($E25=2,NX25=0),1000000,IF($I25&gt;0,IF(6=$J25,IF(OR(AND(138=$I25+1,OR($K25&lt;&gt;'計算A'!$A$3,'計算A'!$A$4=0)),AND(138=$I25-1,OR(18&lt;&gt;'計算A'!$A$3,'計算A'!$A$4=0))),0,IF(18=$K25,200000,ABS(18-$K25)*100)),100000+ABS(6-$J25)*1000+180)+'計算A'!EK$5*50+IF(AND($E25=1,NX25=0),25,0),IF($F25&gt;0,INDEX('計算A'!EK$110:EK$114,$F25+1)+IF(AND($E25=1,NX25=0),1000,0),MIN(TZ25,20)*400+(IF('計算A'!EJ$106=1,1-IH25,0)+IF('計算A'!EK$106=1,1-IJ25,0))*150+186+'計算A'!EK$5*100000+IF(AND($E25=1,NX25=0),50000,0))+IF($H25=1,(IF('計算A'!EJ$117=1,INDEX('計算A'!EJ$10:EJ$54,$B25),0)+IF('計算A'!EK$117=1,INDEX('計算A'!EL$10:EL$54,$B25),0))*4000,0)-IF(AND('計算A'!EJ$117=1,ZH25&gt;0),2000,0)-IF(AND($L25=1,'計算A'!EK$117=1,IJ25=0),2000,0))),1000000))</f>
        <v/>
      </c>
      <c r="TN25">
        <f>IF($B25=0,1000000,IF(INDEX('計算A'!$D$60:$EQ$104,$B25,139)*IJ25=1,IF(AND($E25=2,NY25=0),1000000,IF($I25&gt;0,IF(6=$J25,IF(OR(AND(139=$I25+1,OR($K25&lt;&gt;'計算A'!$A$3,'計算A'!$A$4=0)),AND(139=$I25-1,OR(19&lt;&gt;'計算A'!$A$3,'計算A'!$A$4=0))),0,IF(19=$K25,200000,ABS(19-$K25)*100)),100000+ABS(6-$J25)*1000+190)+'計算A'!EL$5*50+IF(AND($E25=1,NY25=0),25,0),IF($F25&gt;0,INDEX('計算A'!EL$110:EL$114,$F25+1)+IF(AND($E25=1,NY25=0),1000,0),MIN(TZ25,20)*400+(IF('計算A'!EK$106=1,1-II25,0)+IF('計算A'!EL$106=1,1-IK25,0))*150+196+'計算A'!EL$5*100000+IF(AND($E25=1,NY25=0),50000,0))+IF($H25=1,(IF('計算A'!EK$117=1,INDEX('計算A'!EK$10:EK$54,$B25),0)+IF('計算A'!EL$117=1,INDEX('計算A'!EM$10:EM$54,$B25),0))*4000,0)-IF(AND('計算A'!EK$117=1,ZI25&gt;0),2000,0)-IF(AND($L25=1,'計算A'!EL$117=1,IK25=0),2000,0))),1000000))</f>
        <v/>
      </c>
      <c r="TO25">
        <f>IF($B25=0,1000000,IF(INDEX('計算A'!$D$60:$EQ$104,$B25,140)*IK25=1,IF(AND($E25=2,NZ25=0),1000000,IF($I25&gt;0,IF(6=$J25,IF(OR(AND(140=$I25+1,OR($K25&lt;&gt;'計算A'!$A$3,'計算A'!$A$4=0)),AND(140=$I25-1,OR(20&lt;&gt;'計算A'!$A$3,'計算A'!$A$4=0))),0,IF(20=$K25,200000,ABS(20-$K25)*100)),100000+ABS(6-$J25)*1000+200)+'計算A'!EM$5*50+IF(AND($E25=1,NZ25=0),25,0),IF($F25&gt;0,INDEX('計算A'!EM$110:EM$114,$F25+1)+IF(AND($E25=1,NZ25=0),1000,0),MIN(TZ25,20)*400+(IF('計算A'!EL$106=1,1-IJ25,0)+IF('計算A'!EM$106=1,1-IL25,0))*150+206+'計算A'!EM$5*100000+IF(AND($E25=1,NZ25=0),50000,0))+IF($H25=1,(IF('計算A'!EL$117=1,INDEX('計算A'!EL$10:EL$54,$B25),0)+IF('計算A'!EM$117=1,INDEX('計算A'!EN$10:EN$54,$B25),0))*4000,0)-IF(AND('計算A'!EL$117=1,ZJ25&gt;0),2000,0)-IF(AND($L25=1,'計算A'!EM$117=1,IL25=0),2000,0))),1000000))</f>
        <v/>
      </c>
      <c r="TP25">
        <f>IF($B25=0,1000000,IF(INDEX('計算A'!$D$60:$EQ$104,$B25,141)*IL25=1,IF(AND($E25=2,OA25=0),1000000,IF($I25&gt;0,IF(6=$J25,IF(OR(AND(141=$I25+1,OR($K25&lt;&gt;'計算A'!$A$3,'計算A'!$A$4=0)),AND(141=$I25-1,OR(21&lt;&gt;'計算A'!$A$3,'計算A'!$A$4=0))),0,IF(21=$K25,200000,ABS(21-$K25)*100)),100000+ABS(6-$J25)*1000+210)+'計算A'!EN$5*50+IF(AND($E25=1,OA25=0),25,0),IF($F25&gt;0,INDEX('計算A'!EN$110:EN$114,$F25+1)+IF(AND($E25=1,OA25=0),1000,0),MIN(TZ25,20)*400+(IF('計算A'!EM$106=1,1-IK25,0)+IF('計算A'!EN$106=1,1-IM25,0))*150+216+'計算A'!EN$5*100000+IF(AND($E25=1,OA25=0),50000,0))+IF($H25=1,(IF('計算A'!EM$117=1,INDEX('計算A'!EM$10:EM$54,$B25),0)+IF('計算A'!EN$117=1,INDEX('計算A'!EO$10:EO$54,$B25),0))*4000,0)-IF(AND('計算A'!EM$117=1,ZK25&gt;0),2000,0)-IF(AND($L25=1,'計算A'!EN$117=1,IM25=0),2000,0))),1000000))</f>
        <v/>
      </c>
      <c r="TQ25">
        <f>IF($B25=0,1000000,IF(INDEX('計算A'!$D$60:$EQ$104,$B25,142)*IM25=1,IF(AND($E25=2,OB25=0),1000000,IF($I25&gt;0,IF(6=$J25,IF(OR(AND(142=$I25+1,OR($K25&lt;&gt;'計算A'!$A$3,'計算A'!$A$4=0)),AND(142=$I25-1,OR(22&lt;&gt;'計算A'!$A$3,'計算A'!$A$4=0))),0,IF(22=$K25,200000,ABS(22-$K25)*100)),100000+ABS(6-$J25)*1000+220)+'計算A'!EO$5*50+IF(AND($E25=1,OB25=0),25,0),IF($F25&gt;0,INDEX('計算A'!EO$110:EO$114,$F25+1)+IF(AND($E25=1,OB25=0),1000,0),MIN(TZ25,20)*400+(IF('計算A'!EN$106=1,1-IL25,0)+IF('計算A'!EO$106=1,1-IN25,0))*150+226+'計算A'!EO$5*100000+IF(AND($E25=1,OB25=0),50000,0))+IF($H25=1,(IF('計算A'!EN$117=1,INDEX('計算A'!EN$10:EN$54,$B25),0)+IF('計算A'!EO$117=1,INDEX('計算A'!EP$10:EP$54,$B25),0))*4000,0)-IF(AND('計算A'!EN$117=1,ZL25&gt;0),2000,0)-IF(AND($L25=1,'計算A'!EO$117=1,IN25=0),2000,0))),1000000))</f>
        <v/>
      </c>
      <c r="TR25">
        <f>IF($B25=0,1000000,IF(INDEX('計算A'!$D$60:$EQ$104,$B25,143)*IN25=1,IF(AND($E25=2,OC25=0),1000000,IF($I25&gt;0,IF(6=$J25,IF(OR(AND(143=$I25+1,OR($K25&lt;&gt;'計算A'!$A$3,'計算A'!$A$4=0)),AND(143=$I25-1,OR(23&lt;&gt;'計算A'!$A$3,'計算A'!$A$4=0))),0,IF(23=$K25,200000,ABS(23-$K25)*100)),100000+ABS(6-$J25)*1000+230)+'計算A'!EP$5*50+IF(AND($E25=1,OC25=0),25,0),IF($F25&gt;0,INDEX('計算A'!EP$110:EP$114,$F25+1)+IF(AND($E25=1,OC25=0),1000,0),MIN(TZ25,20)*400+(IF('計算A'!EO$106=1,1-IM25,0)+IF('計算A'!EP$106=1,1-IO25,0))*150+236+'計算A'!EP$5*100000+IF(AND($E25=1,OC25=0),50000,0))+IF($H25=1,(IF('計算A'!EO$117=1,INDEX('計算A'!EO$10:EO$54,$B25),0)+IF('計算A'!EP$117=1,INDEX('計算A'!EQ$10:EQ$54,$B25),0))*4000,0)-IF(AND('計算A'!EO$117=1,ZM25&gt;0),2000,0)-IF(AND($L25=1,'計算A'!EP$117=1,IO25=0),2000,0))),1000000))</f>
        <v/>
      </c>
      <c r="TS25">
        <f>IF($B25=0,1000000,IF(INDEX('計算A'!$D$60:$EQ$104,$B25,144)*IO25=1,IF(AND($E25=2,OD25=0),1000000,IF($I25&gt;0,IF(6=$J25,IF(OR(AND(144=$I25+1,OR($K25&lt;&gt;'計算A'!$A$3,'計算A'!$A$4=0)),AND(144=$I25-1,OR(24&lt;&gt;'計算A'!$A$3,'計算A'!$A$4=0))),0,IF(24=$K25,200000,ABS(24-$K25)*100)),100000+ABS(6-$J25)*1000+240)+'計算A'!EQ$5*50+IF(AND($E25=1,OD25=0),25,0),IF($F25&gt;0,INDEX('計算A'!EQ$110:EQ$114,$F25+1)+IF(AND($E25=1,OD25=0),1000,0),MIN(TZ25,20)*400+(IF('計算A'!EP$106=1,1-IN25,0))*150+246+'計算A'!EQ$5*100000+IF(AND($E25=1,OD25=0),50000,0))+IF($H25=1,(IF('計算A'!EP$117=1,INDEX('計算A'!EP$10:EP$54,$B25),0))*4000,0)-IF(AND('計算A'!EP$117=1,ZN25&gt;0),2000,0))),1000000))</f>
        <v/>
      </c>
      <c r="TU25">
        <f>TU24+IF($C24&gt;0,IF(INDEX('計算A'!$D$2:$EQ$2,$C24)=1,1,0),0)</f>
        <v/>
      </c>
      <c r="TV25">
        <f>TV24+IF($C24&gt;0,IF(INDEX('計算A'!$D$2:$EQ$2,$C24)=2,1,0),0)</f>
        <v/>
      </c>
      <c r="TW25">
        <f>TW24+IF($C24&gt;0,IF(INDEX('計算A'!$D$2:$EQ$2,$C24)=3,1,0),0)</f>
        <v/>
      </c>
      <c r="TX25">
        <f>TX24+IF($C24&gt;0,IF(INDEX('計算A'!$D$2:$EQ$2,$C24)=4,1,0),0)</f>
        <v/>
      </c>
      <c r="TY25">
        <f>TY24+IF($C24&gt;0,IF(INDEX('計算A'!$D$2:$EQ$2,$C24)=5,1,0),0)</f>
        <v/>
      </c>
      <c r="TZ25">
        <f>TZ24+IF($C24&gt;0,IF(INDEX('計算A'!$D$2:$EQ$2,$C24)=6,1,0),0)</f>
        <v/>
      </c>
      <c r="UB25">
        <f>UB24+IF(AND($C24=1,$L24=1),1,0)</f>
        <v/>
      </c>
      <c r="UC25">
        <f>UC24+IF(AND($C24=2,$L24=1),1,0)</f>
        <v/>
      </c>
      <c r="UD25">
        <f>UD24+IF(AND($C24=3,$L24=1),1,0)</f>
        <v/>
      </c>
      <c r="UE25">
        <f>UE24+IF(AND($C24=4,$L24=1),1,0)</f>
        <v/>
      </c>
      <c r="UF25">
        <f>UF24+IF(AND($C24=5,$L24=1),1,0)</f>
        <v/>
      </c>
      <c r="UG25">
        <f>UG24+IF(AND($C24=6,$L24=1),1,0)</f>
        <v/>
      </c>
      <c r="UH25">
        <f>UH24+IF(AND($C24=7,$L24=1),1,0)</f>
        <v/>
      </c>
      <c r="UI25">
        <f>UI24+IF(AND($C24=8,$L24=1),1,0)</f>
        <v/>
      </c>
      <c r="UJ25">
        <f>UJ24+IF(AND($C24=9,$L24=1),1,0)</f>
        <v/>
      </c>
      <c r="UK25">
        <f>UK24+IF(AND($C24=10,$L24=1),1,0)</f>
        <v/>
      </c>
      <c r="UL25">
        <f>UL24+IF(AND($C24=11,$L24=1),1,0)</f>
        <v/>
      </c>
      <c r="UM25">
        <f>UM24+IF(AND($C24=12,$L24=1),1,0)</f>
        <v/>
      </c>
      <c r="UN25">
        <f>UN24+IF(AND($C24=13,$L24=1),1,0)</f>
        <v/>
      </c>
      <c r="UO25">
        <f>UO24+IF(AND($C24=14,$L24=1),1,0)</f>
        <v/>
      </c>
      <c r="UP25">
        <f>UP24+IF(AND($C24=15,$L24=1),1,0)</f>
        <v/>
      </c>
      <c r="UQ25">
        <f>UQ24+IF(AND($C24=16,$L24=1),1,0)</f>
        <v/>
      </c>
      <c r="UR25">
        <f>UR24+IF(AND($C24=17,$L24=1),1,0)</f>
        <v/>
      </c>
      <c r="US25">
        <f>US24+IF(AND($C24=18,$L24=1),1,0)</f>
        <v/>
      </c>
      <c r="UT25">
        <f>UT24+IF(AND($C24=19,$L24=1),1,0)</f>
        <v/>
      </c>
      <c r="UU25">
        <f>UU24+IF(AND($C24=20,$L24=1),1,0)</f>
        <v/>
      </c>
      <c r="UV25">
        <f>UV24+IF(AND($C24=21,$L24=1),1,0)</f>
        <v/>
      </c>
      <c r="UW25">
        <f>UW24+IF(AND($C24=22,$L24=1),1,0)</f>
        <v/>
      </c>
      <c r="UX25">
        <f>UX24+IF(AND($C24=23,$L24=1),1,0)</f>
        <v/>
      </c>
      <c r="UY25">
        <f>UY24+IF(AND($C24=24,$L24=1),1,0)</f>
        <v/>
      </c>
      <c r="UZ25">
        <f>UZ24+IF(AND($C24=25,$L24=1),1,0)</f>
        <v/>
      </c>
      <c r="VA25">
        <f>VA24+IF(AND($C24=26,$L24=1),1,0)</f>
        <v/>
      </c>
      <c r="VB25">
        <f>VB24+IF(AND($C24=27,$L24=1),1,0)</f>
        <v/>
      </c>
      <c r="VC25">
        <f>VC24+IF(AND($C24=28,$L24=1),1,0)</f>
        <v/>
      </c>
      <c r="VD25">
        <f>VD24+IF(AND($C24=29,$L24=1),1,0)</f>
        <v/>
      </c>
      <c r="VE25">
        <f>VE24+IF(AND($C24=30,$L24=1),1,0)</f>
        <v/>
      </c>
      <c r="VF25">
        <f>VF24+IF(AND($C24=31,$L24=1),1,0)</f>
        <v/>
      </c>
      <c r="VG25">
        <f>VG24+IF(AND($C24=32,$L24=1),1,0)</f>
        <v/>
      </c>
      <c r="VH25">
        <f>VH24+IF(AND($C24=33,$L24=1),1,0)</f>
        <v/>
      </c>
      <c r="VI25">
        <f>VI24+IF(AND($C24=34,$L24=1),1,0)</f>
        <v/>
      </c>
      <c r="VJ25">
        <f>VJ24+IF(AND($C24=35,$L24=1),1,0)</f>
        <v/>
      </c>
      <c r="VK25">
        <f>VK24+IF(AND($C24=36,$L24=1),1,0)</f>
        <v/>
      </c>
      <c r="VL25">
        <f>VL24+IF(AND($C24=37,$L24=1),1,0)</f>
        <v/>
      </c>
      <c r="VM25">
        <f>VM24+IF(AND($C24=38,$L24=1),1,0)</f>
        <v/>
      </c>
      <c r="VN25">
        <f>VN24+IF(AND($C24=39,$L24=1),1,0)</f>
        <v/>
      </c>
      <c r="VO25">
        <f>VO24+IF(AND($C24=40,$L24=1),1,0)</f>
        <v/>
      </c>
      <c r="VP25">
        <f>VP24+IF(AND($C24=41,$L24=1),1,0)</f>
        <v/>
      </c>
      <c r="VQ25">
        <f>VQ24+IF(AND($C24=42,$L24=1),1,0)</f>
        <v/>
      </c>
      <c r="VR25">
        <f>VR24+IF(AND($C24=43,$L24=1),1,0)</f>
        <v/>
      </c>
      <c r="VS25">
        <f>VS24+IF(AND($C24=44,$L24=1),1,0)</f>
        <v/>
      </c>
      <c r="VT25">
        <f>VT24+IF(AND($C24=45,$L24=1),1,0)</f>
        <v/>
      </c>
      <c r="VU25">
        <f>VU24+IF(AND($C24=46,$L24=1),1,0)</f>
        <v/>
      </c>
      <c r="VV25">
        <f>VV24+IF(AND($C24=47,$L24=1),1,0)</f>
        <v/>
      </c>
      <c r="VW25">
        <f>VW24+IF(AND($C24=48,$L24=1),1,0)</f>
        <v/>
      </c>
      <c r="VX25">
        <f>VX24+IF(AND($C24=49,$L24=1),1,0)</f>
        <v/>
      </c>
      <c r="VY25">
        <f>VY24+IF(AND($C24=50,$L24=1),1,0)</f>
        <v/>
      </c>
      <c r="VZ25">
        <f>VZ24+IF(AND($C24=51,$L24=1),1,0)</f>
        <v/>
      </c>
      <c r="WA25">
        <f>WA24+IF(AND($C24=52,$L24=1),1,0)</f>
        <v/>
      </c>
      <c r="WB25">
        <f>WB24+IF(AND($C24=53,$L24=1),1,0)</f>
        <v/>
      </c>
      <c r="WC25">
        <f>WC24+IF(AND($C24=54,$L24=1),1,0)</f>
        <v/>
      </c>
      <c r="WD25">
        <f>WD24+IF(AND($C24=55,$L24=1),1,0)</f>
        <v/>
      </c>
      <c r="WE25">
        <f>WE24+IF(AND($C24=56,$L24=1),1,0)</f>
        <v/>
      </c>
      <c r="WF25">
        <f>WF24+IF(AND($C24=57,$L24=1),1,0)</f>
        <v/>
      </c>
      <c r="WG25">
        <f>WG24+IF(AND($C24=58,$L24=1),1,0)</f>
        <v/>
      </c>
      <c r="WH25">
        <f>WH24+IF(AND($C24=59,$L24=1),1,0)</f>
        <v/>
      </c>
      <c r="WI25">
        <f>WI24+IF(AND($C24=60,$L24=1),1,0)</f>
        <v/>
      </c>
      <c r="WJ25">
        <f>WJ24+IF(AND($C24=61,$L24=1),1,0)</f>
        <v/>
      </c>
      <c r="WK25">
        <f>WK24+IF(AND($C24=62,$L24=1),1,0)</f>
        <v/>
      </c>
      <c r="WL25">
        <f>WL24+IF(AND($C24=63,$L24=1),1,0)</f>
        <v/>
      </c>
      <c r="WM25">
        <f>WM24+IF(AND($C24=64,$L24=1),1,0)</f>
        <v/>
      </c>
      <c r="WN25">
        <f>WN24+IF(AND($C24=65,$L24=1),1,0)</f>
        <v/>
      </c>
      <c r="WO25">
        <f>WO24+IF(AND($C24=66,$L24=1),1,0)</f>
        <v/>
      </c>
      <c r="WP25">
        <f>WP24+IF(AND($C24=67,$L24=1),1,0)</f>
        <v/>
      </c>
      <c r="WQ25">
        <f>WQ24+IF(AND($C24=68,$L24=1),1,0)</f>
        <v/>
      </c>
      <c r="WR25">
        <f>WR24+IF(AND($C24=69,$L24=1),1,0)</f>
        <v/>
      </c>
      <c r="WS25">
        <f>WS24+IF(AND($C24=70,$L24=1),1,0)</f>
        <v/>
      </c>
      <c r="WT25">
        <f>WT24+IF(AND($C24=71,$L24=1),1,0)</f>
        <v/>
      </c>
      <c r="WU25">
        <f>WU24+IF(AND($C24=72,$L24=1),1,0)</f>
        <v/>
      </c>
      <c r="WV25">
        <f>WV24+IF(AND($C24=73,$L24=1),1,0)</f>
        <v/>
      </c>
      <c r="WW25">
        <f>WW24+IF(AND($C24=74,$L24=1),1,0)</f>
        <v/>
      </c>
      <c r="WX25">
        <f>WX24+IF(AND($C24=75,$L24=1),1,0)</f>
        <v/>
      </c>
      <c r="WY25">
        <f>WY24+IF(AND($C24=76,$L24=1),1,0)</f>
        <v/>
      </c>
      <c r="WZ25">
        <f>WZ24+IF(AND($C24=77,$L24=1),1,0)</f>
        <v/>
      </c>
      <c r="XA25">
        <f>XA24+IF(AND($C24=78,$L24=1),1,0)</f>
        <v/>
      </c>
      <c r="XB25">
        <f>XB24+IF(AND($C24=79,$L24=1),1,0)</f>
        <v/>
      </c>
      <c r="XC25">
        <f>XC24+IF(AND($C24=80,$L24=1),1,0)</f>
        <v/>
      </c>
      <c r="XD25">
        <f>XD24+IF(AND($C24=81,$L24=1),1,0)</f>
        <v/>
      </c>
      <c r="XE25">
        <f>XE24+IF(AND($C24=82,$L24=1),1,0)</f>
        <v/>
      </c>
      <c r="XF25">
        <f>XF24+IF(AND($C24=83,$L24=1),1,0)</f>
        <v/>
      </c>
      <c r="XG25">
        <f>XG24+IF(AND($C24=84,$L24=1),1,0)</f>
        <v/>
      </c>
      <c r="XH25">
        <f>XH24+IF(AND($C24=85,$L24=1),1,0)</f>
        <v/>
      </c>
      <c r="XI25">
        <f>XI24+IF(AND($C24=86,$L24=1),1,0)</f>
        <v/>
      </c>
      <c r="XJ25">
        <f>XJ24+IF(AND($C24=87,$L24=1),1,0)</f>
        <v/>
      </c>
      <c r="XK25">
        <f>XK24+IF(AND($C24=88,$L24=1),1,0)</f>
        <v/>
      </c>
      <c r="XL25">
        <f>XL24+IF(AND($C24=89,$L24=1),1,0)</f>
        <v/>
      </c>
      <c r="XM25">
        <f>XM24+IF(AND($C24=90,$L24=1),1,0)</f>
        <v/>
      </c>
      <c r="XN25">
        <f>XN24+IF(AND($C24=91,$L24=1),1,0)</f>
        <v/>
      </c>
      <c r="XO25">
        <f>XO24+IF(AND($C24=92,$L24=1),1,0)</f>
        <v/>
      </c>
      <c r="XP25">
        <f>XP24+IF(AND($C24=93,$L24=1),1,0)</f>
        <v/>
      </c>
      <c r="XQ25">
        <f>XQ24+IF(AND($C24=94,$L24=1),1,0)</f>
        <v/>
      </c>
      <c r="XR25">
        <f>XR24+IF(AND($C24=95,$L24=1),1,0)</f>
        <v/>
      </c>
      <c r="XS25">
        <f>XS24+IF(AND($C24=96,$L24=1),1,0)</f>
        <v/>
      </c>
      <c r="XT25">
        <f>XT24+IF(AND($C24=97,$L24=1),1,0)</f>
        <v/>
      </c>
      <c r="XU25">
        <f>XU24+IF(AND($C24=98,$L24=1),1,0)</f>
        <v/>
      </c>
      <c r="XV25">
        <f>XV24+IF(AND($C24=99,$L24=1),1,0)</f>
        <v/>
      </c>
      <c r="XW25">
        <f>XW24+IF(AND($C24=100,$L24=1),1,0)</f>
        <v/>
      </c>
      <c r="XX25">
        <f>XX24+IF(AND($C24=101,$L24=1),1,0)</f>
        <v/>
      </c>
      <c r="XY25">
        <f>XY24+IF(AND($C24=102,$L24=1),1,0)</f>
        <v/>
      </c>
      <c r="XZ25">
        <f>XZ24+IF(AND($C24=103,$L24=1),1,0)</f>
        <v/>
      </c>
      <c r="YA25">
        <f>YA24+IF(AND($C24=104,$L24=1),1,0)</f>
        <v/>
      </c>
      <c r="YB25">
        <f>YB24+IF(AND($C24=105,$L24=1),1,0)</f>
        <v/>
      </c>
      <c r="YC25">
        <f>YC24+IF(AND($C24=106,$L24=1),1,0)</f>
        <v/>
      </c>
      <c r="YD25">
        <f>YD24+IF(AND($C24=107,$L24=1),1,0)</f>
        <v/>
      </c>
      <c r="YE25">
        <f>YE24+IF(AND($C24=108,$L24=1),1,0)</f>
        <v/>
      </c>
      <c r="YF25">
        <f>YF24+IF(AND($C24=109,$L24=1),1,0)</f>
        <v/>
      </c>
      <c r="YG25">
        <f>YG24+IF(AND($C24=110,$L24=1),1,0)</f>
        <v/>
      </c>
      <c r="YH25">
        <f>YH24+IF(AND($C24=111,$L24=1),1,0)</f>
        <v/>
      </c>
      <c r="YI25">
        <f>YI24+IF(AND($C24=112,$L24=1),1,0)</f>
        <v/>
      </c>
      <c r="YJ25">
        <f>YJ24+IF(AND($C24=113,$L24=1),1,0)</f>
        <v/>
      </c>
      <c r="YK25">
        <f>YK24+IF(AND($C24=114,$L24=1),1,0)</f>
        <v/>
      </c>
      <c r="YL25">
        <f>YL24+IF(AND($C24=115,$L24=1),1,0)</f>
        <v/>
      </c>
      <c r="YM25">
        <f>YM24+IF(AND($C24=116,$L24=1),1,0)</f>
        <v/>
      </c>
      <c r="YN25">
        <f>YN24+IF(AND($C24=117,$L24=1),1,0)</f>
        <v/>
      </c>
      <c r="YO25">
        <f>YO24+IF(AND($C24=118,$L24=1),1,0)</f>
        <v/>
      </c>
      <c r="YP25">
        <f>YP24+IF(AND($C24=119,$L24=1),1,0)</f>
        <v/>
      </c>
      <c r="YQ25">
        <f>YQ24+IF(AND($C24=120,$L24=1),1,0)</f>
        <v/>
      </c>
      <c r="YR25">
        <f>YR24+IF(AND($C24=121,$L24=1),1,0)</f>
        <v/>
      </c>
      <c r="YS25">
        <f>YS24+IF(AND($C24=122,$L24=1),1,0)</f>
        <v/>
      </c>
      <c r="YT25">
        <f>YT24+IF(AND($C24=123,$L24=1),1,0)</f>
        <v/>
      </c>
      <c r="YU25">
        <f>YU24+IF(AND($C24=124,$L24=1),1,0)</f>
        <v/>
      </c>
      <c r="YV25">
        <f>YV24+IF(AND($C24=125,$L24=1),1,0)</f>
        <v/>
      </c>
      <c r="YW25">
        <f>YW24+IF(AND($C24=126,$L24=1),1,0)</f>
        <v/>
      </c>
      <c r="YX25">
        <f>YX24+IF(AND($C24=127,$L24=1),1,0)</f>
        <v/>
      </c>
      <c r="YY25">
        <f>YY24+IF(AND($C24=128,$L24=1),1,0)</f>
        <v/>
      </c>
      <c r="YZ25">
        <f>YZ24+IF(AND($C24=129,$L24=1),1,0)</f>
        <v/>
      </c>
      <c r="ZA25">
        <f>ZA24+IF(AND($C24=130,$L24=1),1,0)</f>
        <v/>
      </c>
      <c r="ZB25">
        <f>ZB24+IF(AND($C24=131,$L24=1),1,0)</f>
        <v/>
      </c>
      <c r="ZC25">
        <f>ZC24+IF(AND($C24=132,$L24=1),1,0)</f>
        <v/>
      </c>
      <c r="ZD25">
        <f>ZD24+IF(AND($C24=133,$L24=1),1,0)</f>
        <v/>
      </c>
      <c r="ZE25">
        <f>ZE24+IF(AND($C24=134,$L24=1),1,0)</f>
        <v/>
      </c>
      <c r="ZF25">
        <f>ZF24+IF(AND($C24=135,$L24=1),1,0)</f>
        <v/>
      </c>
      <c r="ZG25">
        <f>ZG24+IF(AND($C24=136,$L24=1),1,0)</f>
        <v/>
      </c>
      <c r="ZH25">
        <f>ZH24+IF(AND($C24=137,$L24=1),1,0)</f>
        <v/>
      </c>
      <c r="ZI25">
        <f>ZI24+IF(AND($C24=138,$L24=1),1,0)</f>
        <v/>
      </c>
      <c r="ZJ25">
        <f>ZJ24+IF(AND($C24=139,$L24=1),1,0)</f>
        <v/>
      </c>
      <c r="ZK25">
        <f>ZK24+IF(AND($C24=140,$L24=1),1,0)</f>
        <v/>
      </c>
      <c r="ZL25">
        <f>ZL24+IF(AND($C24=141,$L24=1),1,0)</f>
        <v/>
      </c>
      <c r="ZM25">
        <f>ZM24+IF(AND($C24=142,$L24=1),1,0)</f>
        <v/>
      </c>
      <c r="ZN25">
        <f>ZN24+IF(AND($C24=143,$L24=1),1,0)</f>
        <v/>
      </c>
      <c r="ZO25">
        <f>ZO24+IF(AND($C24=144,$L24=1),1,0)</f>
        <v/>
      </c>
    </row>
    <row r="26">
      <c r="A26" t="n">
        <v>24</v>
      </c>
      <c r="B26">
        <f>IF(MIN(BH26:CZ26)&gt;=1000000,0,MATCH(MIN(BH26:CZ26),BH26:CZ26,0))</f>
        <v/>
      </c>
      <c r="C26">
        <f>IF(MIN(OF26:TS26)&gt;=1000000,0,MATCH(MIN(OF26:TS26),OF26:TS26,0))</f>
        <v/>
      </c>
      <c r="D26">
        <f>IF(C26&gt;0,INDEX('計算A'!$D$5:$EQ$5,C26),0)</f>
        <v/>
      </c>
      <c r="E26">
        <f>IF(B26=0,0,INDEX('計算A'!$IQ$10:$IQ$54,B26))</f>
        <v/>
      </c>
      <c r="F26">
        <f>IF(B26=0,0,INDEX('計算A'!$IP$10:$IP$54,B26))</f>
        <v/>
      </c>
      <c r="G26">
        <f>IF(AND(C26&gt;0,E26&gt;0),IF(AND(INDEX('計算A'!$D$106:$EQ$106,C26)=1,INDEX($IQ26:$OD26,C26)=1),C26+1,0),0)</f>
        <v/>
      </c>
      <c r="H26">
        <f>IF(B26=0,0,INDEX('計算A'!$IW$10:$IW$54,B26))</f>
        <v/>
      </c>
      <c r="I26">
        <f>IF(B26=0,0,MAX(0,INDEX('計算A'!$IT$10:$IT$54,B26)))</f>
        <v/>
      </c>
      <c r="J26">
        <f>IF(I26=0,0,INDEX('計算A'!$D$2:$EQ$2,I26))</f>
        <v/>
      </c>
      <c r="K26">
        <f>IF(I26=0,0,INDEX('計算A'!$D$3:$EQ$3,I26))</f>
        <v/>
      </c>
      <c r="L26">
        <f>IF(B26=0,0,INDEX('計算A'!$IX$10:$IX$54,B26))</f>
        <v/>
      </c>
      <c r="N26">
        <f>MAX(N25,IF($B25=1,1,0))</f>
        <v/>
      </c>
      <c r="O26">
        <f>MAX(O25,IF($B25=2,1,0))</f>
        <v/>
      </c>
      <c r="P26">
        <f>MAX(P25,IF($B25=3,1,0))</f>
        <v/>
      </c>
      <c r="Q26">
        <f>MAX(Q25,IF($B25=4,1,0))</f>
        <v/>
      </c>
      <c r="R26">
        <f>MAX(R25,IF($B25=5,1,0))</f>
        <v/>
      </c>
      <c r="S26">
        <f>MAX(S25,IF($B25=6,1,0))</f>
        <v/>
      </c>
      <c r="T26">
        <f>MAX(T25,IF($B25=7,1,0))</f>
        <v/>
      </c>
      <c r="U26">
        <f>MAX(U25,IF($B25=8,1,0))</f>
        <v/>
      </c>
      <c r="V26">
        <f>MAX(V25,IF($B25=9,1,0))</f>
        <v/>
      </c>
      <c r="W26">
        <f>MAX(W25,IF($B25=10,1,0))</f>
        <v/>
      </c>
      <c r="X26">
        <f>MAX(X25,IF($B25=11,1,0))</f>
        <v/>
      </c>
      <c r="Y26">
        <f>MAX(Y25,IF($B25=12,1,0))</f>
        <v/>
      </c>
      <c r="Z26">
        <f>MAX(Z25,IF($B25=13,1,0))</f>
        <v/>
      </c>
      <c r="AA26">
        <f>MAX(AA25,IF($B25=14,1,0))</f>
        <v/>
      </c>
      <c r="AB26">
        <f>MAX(AB25,IF($B25=15,1,0))</f>
        <v/>
      </c>
      <c r="AC26">
        <f>MAX(AC25,IF($B25=16,1,0))</f>
        <v/>
      </c>
      <c r="AD26">
        <f>MAX(AD25,IF($B25=17,1,0))</f>
        <v/>
      </c>
      <c r="AE26">
        <f>MAX(AE25,IF($B25=18,1,0))</f>
        <v/>
      </c>
      <c r="AF26">
        <f>MAX(AF25,IF($B25=19,1,0))</f>
        <v/>
      </c>
      <c r="AG26">
        <f>MAX(AG25,IF($B25=20,1,0))</f>
        <v/>
      </c>
      <c r="AH26">
        <f>MAX(AH25,IF($B25=21,1,0))</f>
        <v/>
      </c>
      <c r="AI26">
        <f>MAX(AI25,IF($B25=22,1,0))</f>
        <v/>
      </c>
      <c r="AJ26">
        <f>MAX(AJ25,IF($B25=23,1,0))</f>
        <v/>
      </c>
      <c r="AK26">
        <f>MAX(AK25,IF($B25=24,1,0))</f>
        <v/>
      </c>
      <c r="AL26">
        <f>MAX(AL25,IF($B25=25,1,0))</f>
        <v/>
      </c>
      <c r="AM26">
        <f>MAX(AM25,IF($B25=26,1,0))</f>
        <v/>
      </c>
      <c r="AN26">
        <f>MAX(AN25,IF($B25=27,1,0))</f>
        <v/>
      </c>
      <c r="AO26">
        <f>MAX(AO25,IF($B25=28,1,0))</f>
        <v/>
      </c>
      <c r="AP26">
        <f>MAX(AP25,IF($B25=29,1,0))</f>
        <v/>
      </c>
      <c r="AQ26">
        <f>MAX(AQ25,IF($B25=30,1,0))</f>
        <v/>
      </c>
      <c r="AR26">
        <f>MAX(AR25,IF($B25=31,1,0))</f>
        <v/>
      </c>
      <c r="AS26">
        <f>MAX(AS25,IF($B25=32,1,0))</f>
        <v/>
      </c>
      <c r="AT26">
        <f>MAX(AT25,IF($B25=33,1,0))</f>
        <v/>
      </c>
      <c r="AU26">
        <f>MAX(AU25,IF($B25=34,1,0))</f>
        <v/>
      </c>
      <c r="AV26">
        <f>MAX(AV25,IF($B25=35,1,0))</f>
        <v/>
      </c>
      <c r="AW26">
        <f>MAX(AW25,IF($B25=36,1,0))</f>
        <v/>
      </c>
      <c r="AX26">
        <f>MAX(AX25,IF($B25=37,1,0))</f>
        <v/>
      </c>
      <c r="AY26">
        <f>MAX(AY25,IF($B25=38,1,0))</f>
        <v/>
      </c>
      <c r="AZ26">
        <f>MAX(AZ25,IF($B25=39,1,0))</f>
        <v/>
      </c>
      <c r="BA26">
        <f>MAX(BA25,IF($B25=40,1,0))</f>
        <v/>
      </c>
      <c r="BB26">
        <f>MAX(BB25,IF($B25=41,1,0))</f>
        <v/>
      </c>
      <c r="BC26">
        <f>MAX(BC25,IF($B25=42,1,0))</f>
        <v/>
      </c>
      <c r="BD26">
        <f>MAX(BD25,IF($B25=43,1,0))</f>
        <v/>
      </c>
      <c r="BE26">
        <f>MAX(BE25,IF($B25=44,1,0))</f>
        <v/>
      </c>
      <c r="BF26">
        <f>MAX(BF25,IF($B25=45,1,0))</f>
        <v/>
      </c>
      <c r="BH26">
        <f>IF(N26=1,1000000,IF('計算A'!$IT$10&gt;0,0,500000)+IF('計算A'!$IQ$10=2,SUMPRODUCT('計算A'!$D$60:$EQ$60,$DB26:$IO26,$IQ26:$OD26),SUMPRODUCT('計算A'!$D$60:$EQ$60,$DB26:$IO26))*1000+1)</f>
        <v/>
      </c>
      <c r="BI26">
        <f>IF(O26=1,1000000,IF('計算A'!$IT$11&gt;0,0,500000)+IF('計算A'!$IQ$11=2,SUMPRODUCT('計算A'!$D$61:$EQ$61,$DB26:$IO26,$IQ26:$OD26),SUMPRODUCT('計算A'!$D$61:$EQ$61,$DB26:$IO26))*1000+2)</f>
        <v/>
      </c>
      <c r="BJ26">
        <f>IF(P26=1,1000000,IF('計算A'!$IT$12&gt;0,0,500000)+IF('計算A'!$IQ$12=2,SUMPRODUCT('計算A'!$D$62:$EQ$62,$DB26:$IO26,$IQ26:$OD26),SUMPRODUCT('計算A'!$D$62:$EQ$62,$DB26:$IO26))*1000+3)</f>
        <v/>
      </c>
      <c r="BK26">
        <f>IF(Q26=1,1000000,IF('計算A'!$IT$13&gt;0,0,500000)+IF('計算A'!$IQ$13=2,SUMPRODUCT('計算A'!$D$63:$EQ$63,$DB26:$IO26,$IQ26:$OD26),SUMPRODUCT('計算A'!$D$63:$EQ$63,$DB26:$IO26))*1000+4)</f>
        <v/>
      </c>
      <c r="BL26">
        <f>IF(R26=1,1000000,IF('計算A'!$IT$14&gt;0,0,500000)+IF('計算A'!$IQ$14=2,SUMPRODUCT('計算A'!$D$64:$EQ$64,$DB26:$IO26,$IQ26:$OD26),SUMPRODUCT('計算A'!$D$64:$EQ$64,$DB26:$IO26))*1000+5)</f>
        <v/>
      </c>
      <c r="BM26">
        <f>IF(S26=1,1000000,IF('計算A'!$IT$15&gt;0,0,500000)+IF('計算A'!$IQ$15=2,SUMPRODUCT('計算A'!$D$65:$EQ$65,$DB26:$IO26,$IQ26:$OD26),SUMPRODUCT('計算A'!$D$65:$EQ$65,$DB26:$IO26))*1000+6)</f>
        <v/>
      </c>
      <c r="BN26">
        <f>IF(T26=1,1000000,IF('計算A'!$IT$16&gt;0,0,500000)+IF('計算A'!$IQ$16=2,SUMPRODUCT('計算A'!$D$66:$EQ$66,$DB26:$IO26,$IQ26:$OD26),SUMPRODUCT('計算A'!$D$66:$EQ$66,$DB26:$IO26))*1000+7)</f>
        <v/>
      </c>
      <c r="BO26">
        <f>IF(U26=1,1000000,IF('計算A'!$IT$17&gt;0,0,500000)+IF('計算A'!$IQ$17=2,SUMPRODUCT('計算A'!$D$67:$EQ$67,$DB26:$IO26,$IQ26:$OD26),SUMPRODUCT('計算A'!$D$67:$EQ$67,$DB26:$IO26))*1000+8)</f>
        <v/>
      </c>
      <c r="BP26">
        <f>IF(V26=1,1000000,IF('計算A'!$IT$18&gt;0,0,500000)+IF('計算A'!$IQ$18=2,SUMPRODUCT('計算A'!$D$68:$EQ$68,$DB26:$IO26,$IQ26:$OD26),SUMPRODUCT('計算A'!$D$68:$EQ$68,$DB26:$IO26))*1000+9)</f>
        <v/>
      </c>
      <c r="BQ26">
        <f>IF(W26=1,1000000,IF('計算A'!$IT$19&gt;0,0,500000)+IF('計算A'!$IQ$19=2,SUMPRODUCT('計算A'!$D$69:$EQ$69,$DB26:$IO26,$IQ26:$OD26),SUMPRODUCT('計算A'!$D$69:$EQ$69,$DB26:$IO26))*1000+10)</f>
        <v/>
      </c>
      <c r="BR26">
        <f>IF(X26=1,1000000,IF('計算A'!$IT$20&gt;0,0,500000)+IF('計算A'!$IQ$20=2,SUMPRODUCT('計算A'!$D$70:$EQ$70,$DB26:$IO26,$IQ26:$OD26),SUMPRODUCT('計算A'!$D$70:$EQ$70,$DB26:$IO26))*1000+11)</f>
        <v/>
      </c>
      <c r="BS26">
        <f>IF(Y26=1,1000000,IF('計算A'!$IT$21&gt;0,0,500000)+IF('計算A'!$IQ$21=2,SUMPRODUCT('計算A'!$D$71:$EQ$71,$DB26:$IO26,$IQ26:$OD26),SUMPRODUCT('計算A'!$D$71:$EQ$71,$DB26:$IO26))*1000+12)</f>
        <v/>
      </c>
      <c r="BT26">
        <f>IF(Z26=1,1000000,IF('計算A'!$IT$22&gt;0,0,500000)+IF('計算A'!$IQ$22=2,SUMPRODUCT('計算A'!$D$72:$EQ$72,$DB26:$IO26,$IQ26:$OD26),SUMPRODUCT('計算A'!$D$72:$EQ$72,$DB26:$IO26))*1000+13)</f>
        <v/>
      </c>
      <c r="BU26">
        <f>IF(AA26=1,1000000,IF('計算A'!$IT$23&gt;0,0,500000)+IF('計算A'!$IQ$23=2,SUMPRODUCT('計算A'!$D$73:$EQ$73,$DB26:$IO26,$IQ26:$OD26),SUMPRODUCT('計算A'!$D$73:$EQ$73,$DB26:$IO26))*1000+14)</f>
        <v/>
      </c>
      <c r="BV26">
        <f>IF(AB26=1,1000000,IF('計算A'!$IT$24&gt;0,0,500000)+IF('計算A'!$IQ$24=2,SUMPRODUCT('計算A'!$D$74:$EQ$74,$DB26:$IO26,$IQ26:$OD26),SUMPRODUCT('計算A'!$D$74:$EQ$74,$DB26:$IO26))*1000+15)</f>
        <v/>
      </c>
      <c r="BW26">
        <f>IF(AC26=1,1000000,IF('計算A'!$IT$25&gt;0,0,500000)+IF('計算A'!$IQ$25=2,SUMPRODUCT('計算A'!$D$75:$EQ$75,$DB26:$IO26,$IQ26:$OD26),SUMPRODUCT('計算A'!$D$75:$EQ$75,$DB26:$IO26))*1000+16)</f>
        <v/>
      </c>
      <c r="BX26">
        <f>IF(AD26=1,1000000,IF('計算A'!$IT$26&gt;0,0,500000)+IF('計算A'!$IQ$26=2,SUMPRODUCT('計算A'!$D$76:$EQ$76,$DB26:$IO26,$IQ26:$OD26),SUMPRODUCT('計算A'!$D$76:$EQ$76,$DB26:$IO26))*1000+17)</f>
        <v/>
      </c>
      <c r="BY26">
        <f>IF(AE26=1,1000000,IF('計算A'!$IT$27&gt;0,0,500000)+IF('計算A'!$IQ$27=2,SUMPRODUCT('計算A'!$D$77:$EQ$77,$DB26:$IO26,$IQ26:$OD26),SUMPRODUCT('計算A'!$D$77:$EQ$77,$DB26:$IO26))*1000+18)</f>
        <v/>
      </c>
      <c r="BZ26">
        <f>IF(AF26=1,1000000,IF('計算A'!$IT$28&gt;0,0,500000)+IF('計算A'!$IQ$28=2,SUMPRODUCT('計算A'!$D$78:$EQ$78,$DB26:$IO26,$IQ26:$OD26),SUMPRODUCT('計算A'!$D$78:$EQ$78,$DB26:$IO26))*1000+19)</f>
        <v/>
      </c>
      <c r="CA26">
        <f>IF(AG26=1,1000000,IF('計算A'!$IT$29&gt;0,0,500000)+IF('計算A'!$IQ$29=2,SUMPRODUCT('計算A'!$D$79:$EQ$79,$DB26:$IO26,$IQ26:$OD26),SUMPRODUCT('計算A'!$D$79:$EQ$79,$DB26:$IO26))*1000+20)</f>
        <v/>
      </c>
      <c r="CB26">
        <f>IF(AH26=1,1000000,IF('計算A'!$IT$30&gt;0,0,500000)+IF('計算A'!$IQ$30=2,SUMPRODUCT('計算A'!$D$80:$EQ$80,$DB26:$IO26,$IQ26:$OD26),SUMPRODUCT('計算A'!$D$80:$EQ$80,$DB26:$IO26))*1000+21)</f>
        <v/>
      </c>
      <c r="CC26">
        <f>IF(AI26=1,1000000,IF('計算A'!$IT$31&gt;0,0,500000)+IF('計算A'!$IQ$31=2,SUMPRODUCT('計算A'!$D$81:$EQ$81,$DB26:$IO26,$IQ26:$OD26),SUMPRODUCT('計算A'!$D$81:$EQ$81,$DB26:$IO26))*1000+22)</f>
        <v/>
      </c>
      <c r="CD26">
        <f>IF(AJ26=1,1000000,IF('計算A'!$IT$32&gt;0,0,500000)+IF('計算A'!$IQ$32=2,SUMPRODUCT('計算A'!$D$82:$EQ$82,$DB26:$IO26,$IQ26:$OD26),SUMPRODUCT('計算A'!$D$82:$EQ$82,$DB26:$IO26))*1000+23)</f>
        <v/>
      </c>
      <c r="CE26">
        <f>IF(AK26=1,1000000,IF('計算A'!$IT$33&gt;0,0,500000)+IF('計算A'!$IQ$33=2,SUMPRODUCT('計算A'!$D$83:$EQ$83,$DB26:$IO26,$IQ26:$OD26),SUMPRODUCT('計算A'!$D$83:$EQ$83,$DB26:$IO26))*1000+24)</f>
        <v/>
      </c>
      <c r="CF26">
        <f>IF(AL26=1,1000000,IF('計算A'!$IT$34&gt;0,0,500000)+IF('計算A'!$IQ$34=2,SUMPRODUCT('計算A'!$D$84:$EQ$84,$DB26:$IO26,$IQ26:$OD26),SUMPRODUCT('計算A'!$D$84:$EQ$84,$DB26:$IO26))*1000+25)</f>
        <v/>
      </c>
      <c r="CG26">
        <f>IF(AM26=1,1000000,IF('計算A'!$IT$35&gt;0,0,500000)+IF('計算A'!$IQ$35=2,SUMPRODUCT('計算A'!$D$85:$EQ$85,$DB26:$IO26,$IQ26:$OD26),SUMPRODUCT('計算A'!$D$85:$EQ$85,$DB26:$IO26))*1000+26)</f>
        <v/>
      </c>
      <c r="CH26">
        <f>IF(AN26=1,1000000,IF('計算A'!$IT$36&gt;0,0,500000)+IF('計算A'!$IQ$36=2,SUMPRODUCT('計算A'!$D$86:$EQ$86,$DB26:$IO26,$IQ26:$OD26),SUMPRODUCT('計算A'!$D$86:$EQ$86,$DB26:$IO26))*1000+27)</f>
        <v/>
      </c>
      <c r="CI26">
        <f>IF(AO26=1,1000000,IF('計算A'!$IT$37&gt;0,0,500000)+IF('計算A'!$IQ$37=2,SUMPRODUCT('計算A'!$D$87:$EQ$87,$DB26:$IO26,$IQ26:$OD26),SUMPRODUCT('計算A'!$D$87:$EQ$87,$DB26:$IO26))*1000+28)</f>
        <v/>
      </c>
      <c r="CJ26">
        <f>IF(AP26=1,1000000,IF('計算A'!$IT$38&gt;0,0,500000)+IF('計算A'!$IQ$38=2,SUMPRODUCT('計算A'!$D$88:$EQ$88,$DB26:$IO26,$IQ26:$OD26),SUMPRODUCT('計算A'!$D$88:$EQ$88,$DB26:$IO26))*1000+29)</f>
        <v/>
      </c>
      <c r="CK26">
        <f>IF(AQ26=1,1000000,IF('計算A'!$IT$39&gt;0,0,500000)+IF('計算A'!$IQ$39=2,SUMPRODUCT('計算A'!$D$89:$EQ$89,$DB26:$IO26,$IQ26:$OD26),SUMPRODUCT('計算A'!$D$89:$EQ$89,$DB26:$IO26))*1000+30)</f>
        <v/>
      </c>
      <c r="CL26">
        <f>IF(AR26=1,1000000,IF('計算A'!$IT$40&gt;0,0,500000)+IF('計算A'!$IQ$40=2,SUMPRODUCT('計算A'!$D$90:$EQ$90,$DB26:$IO26,$IQ26:$OD26),SUMPRODUCT('計算A'!$D$90:$EQ$90,$DB26:$IO26))*1000+31)</f>
        <v/>
      </c>
      <c r="CM26">
        <f>IF(AS26=1,1000000,IF('計算A'!$IT$41&gt;0,0,500000)+IF('計算A'!$IQ$41=2,SUMPRODUCT('計算A'!$D$91:$EQ$91,$DB26:$IO26,$IQ26:$OD26),SUMPRODUCT('計算A'!$D$91:$EQ$91,$DB26:$IO26))*1000+32)</f>
        <v/>
      </c>
      <c r="CN26">
        <f>IF(AT26=1,1000000,IF('計算A'!$IT$42&gt;0,0,500000)+IF('計算A'!$IQ$42=2,SUMPRODUCT('計算A'!$D$92:$EQ$92,$DB26:$IO26,$IQ26:$OD26),SUMPRODUCT('計算A'!$D$92:$EQ$92,$DB26:$IO26))*1000+33)</f>
        <v/>
      </c>
      <c r="CO26">
        <f>IF(AU26=1,1000000,IF('計算A'!$IT$43&gt;0,0,500000)+IF('計算A'!$IQ$43=2,SUMPRODUCT('計算A'!$D$93:$EQ$93,$DB26:$IO26,$IQ26:$OD26),SUMPRODUCT('計算A'!$D$93:$EQ$93,$DB26:$IO26))*1000+34)</f>
        <v/>
      </c>
      <c r="CP26">
        <f>IF(AV26=1,1000000,IF('計算A'!$IT$44&gt;0,0,500000)+IF('計算A'!$IQ$44=2,SUMPRODUCT('計算A'!$D$94:$EQ$94,$DB26:$IO26,$IQ26:$OD26),SUMPRODUCT('計算A'!$D$94:$EQ$94,$DB26:$IO26))*1000+35)</f>
        <v/>
      </c>
      <c r="CQ26">
        <f>IF(AW26=1,1000000,IF('計算A'!$IT$45&gt;0,0,500000)+IF('計算A'!$IQ$45=2,SUMPRODUCT('計算A'!$D$95:$EQ$95,$DB26:$IO26,$IQ26:$OD26),SUMPRODUCT('計算A'!$D$95:$EQ$95,$DB26:$IO26))*1000+36)</f>
        <v/>
      </c>
      <c r="CR26">
        <f>IF(AX26=1,1000000,IF('計算A'!$IT$46&gt;0,0,500000)+IF('計算A'!$IQ$46=2,SUMPRODUCT('計算A'!$D$96:$EQ$96,$DB26:$IO26,$IQ26:$OD26),SUMPRODUCT('計算A'!$D$96:$EQ$96,$DB26:$IO26))*1000+37)</f>
        <v/>
      </c>
      <c r="CS26">
        <f>IF(AY26=1,1000000,IF('計算A'!$IT$47&gt;0,0,500000)+IF('計算A'!$IQ$47=2,SUMPRODUCT('計算A'!$D$97:$EQ$97,$DB26:$IO26,$IQ26:$OD26),SUMPRODUCT('計算A'!$D$97:$EQ$97,$DB26:$IO26))*1000+38)</f>
        <v/>
      </c>
      <c r="CT26">
        <f>IF(AZ26=1,1000000,IF('計算A'!$IT$48&gt;0,0,500000)+IF('計算A'!$IQ$48=2,SUMPRODUCT('計算A'!$D$98:$EQ$98,$DB26:$IO26,$IQ26:$OD26),SUMPRODUCT('計算A'!$D$98:$EQ$98,$DB26:$IO26))*1000+39)</f>
        <v/>
      </c>
      <c r="CU26">
        <f>IF(BA26=1,1000000,IF('計算A'!$IT$49&gt;0,0,500000)+IF('計算A'!$IQ$49=2,SUMPRODUCT('計算A'!$D$99:$EQ$99,$DB26:$IO26,$IQ26:$OD26),SUMPRODUCT('計算A'!$D$99:$EQ$99,$DB26:$IO26))*1000+40)</f>
        <v/>
      </c>
      <c r="CV26">
        <f>IF(BB26=1,1000000,IF('計算A'!$IT$50&gt;0,0,500000)+IF('計算A'!$IQ$50=2,SUMPRODUCT('計算A'!$D$100:$EQ$100,$DB26:$IO26,$IQ26:$OD26),SUMPRODUCT('計算A'!$D$100:$EQ$100,$DB26:$IO26))*1000+41)</f>
        <v/>
      </c>
      <c r="CW26">
        <f>IF(BC26=1,1000000,IF('計算A'!$IT$51&gt;0,0,500000)+IF('計算A'!$IQ$51=2,SUMPRODUCT('計算A'!$D$101:$EQ$101,$DB26:$IO26,$IQ26:$OD26),SUMPRODUCT('計算A'!$D$101:$EQ$101,$DB26:$IO26))*1000+42)</f>
        <v/>
      </c>
      <c r="CX26">
        <f>IF(BD26=1,1000000,IF('計算A'!$IT$52&gt;0,0,500000)+IF('計算A'!$IQ$52=2,SUMPRODUCT('計算A'!$D$102:$EQ$102,$DB26:$IO26,$IQ26:$OD26),SUMPRODUCT('計算A'!$D$102:$EQ$102,$DB26:$IO26))*1000+43)</f>
        <v/>
      </c>
      <c r="CY26">
        <f>IF(BE26=1,1000000,IF('計算A'!$IT$53&gt;0,0,500000)+IF('計算A'!$IQ$53=2,SUMPRODUCT('計算A'!$D$103:$EQ$103,$DB26:$IO26,$IQ26:$OD26),SUMPRODUCT('計算A'!$D$103:$EQ$103,$DB26:$IO26))*1000+44)</f>
        <v/>
      </c>
      <c r="CZ26">
        <f>IF(BF26=1,1000000,IF('計算A'!$IT$54&gt;0,0,500000)+IF('計算A'!$IQ$54=2,SUMPRODUCT('計算A'!$D$104:$EQ$104,$DB26:$IO26,$IQ26:$OD26),SUMPRODUCT('計算A'!$D$104:$EQ$104,$DB26:$IO26))*1000+45)</f>
        <v/>
      </c>
      <c r="DB26">
        <f>DB25*IF(OR($C25=1,$G25=1),0,1)</f>
        <v/>
      </c>
      <c r="DC26">
        <f>DC25*IF(OR($C25=2,$G25=2),0,1)</f>
        <v/>
      </c>
      <c r="DD26">
        <f>DD25*IF(OR($C25=3,$G25=3),0,1)</f>
        <v/>
      </c>
      <c r="DE26">
        <f>DE25*IF(OR($C25=4,$G25=4),0,1)</f>
        <v/>
      </c>
      <c r="DF26">
        <f>DF25*IF(OR($C25=5,$G25=5),0,1)</f>
        <v/>
      </c>
      <c r="DG26">
        <f>DG25*IF(OR($C25=6,$G25=6),0,1)</f>
        <v/>
      </c>
      <c r="DH26">
        <f>DH25*IF(OR($C25=7,$G25=7),0,1)</f>
        <v/>
      </c>
      <c r="DI26">
        <f>DI25*IF(OR($C25=8,$G25=8),0,1)</f>
        <v/>
      </c>
      <c r="DJ26">
        <f>DJ25*IF(OR($C25=9,$G25=9),0,1)</f>
        <v/>
      </c>
      <c r="DK26">
        <f>DK25*IF(OR($C25=10,$G25=10),0,1)</f>
        <v/>
      </c>
      <c r="DL26">
        <f>DL25*IF(OR($C25=11,$G25=11),0,1)</f>
        <v/>
      </c>
      <c r="DM26">
        <f>DM25*IF(OR($C25=12,$G25=12),0,1)</f>
        <v/>
      </c>
      <c r="DN26">
        <f>DN25*IF(OR($C25=13,$G25=13),0,1)</f>
        <v/>
      </c>
      <c r="DO26">
        <f>DO25*IF(OR($C25=14,$G25=14),0,1)</f>
        <v/>
      </c>
      <c r="DP26">
        <f>DP25*IF(OR($C25=15,$G25=15),0,1)</f>
        <v/>
      </c>
      <c r="DQ26">
        <f>DQ25*IF(OR($C25=16,$G25=16),0,1)</f>
        <v/>
      </c>
      <c r="DR26">
        <f>DR25*IF(OR($C25=17,$G25=17),0,1)</f>
        <v/>
      </c>
      <c r="DS26">
        <f>DS25*IF(OR($C25=18,$G25=18),0,1)</f>
        <v/>
      </c>
      <c r="DT26">
        <f>DT25*IF(OR($C25=19,$G25=19),0,1)</f>
        <v/>
      </c>
      <c r="DU26">
        <f>DU25*IF(OR($C25=20,$G25=20),0,1)</f>
        <v/>
      </c>
      <c r="DV26">
        <f>DV25*IF(OR($C25=21,$G25=21),0,1)</f>
        <v/>
      </c>
      <c r="DW26">
        <f>DW25*IF(OR($C25=22,$G25=22),0,1)</f>
        <v/>
      </c>
      <c r="DX26">
        <f>DX25*IF(OR($C25=23,$G25=23),0,1)</f>
        <v/>
      </c>
      <c r="DY26">
        <f>DY25*IF(OR($C25=24,$G25=24),0,1)</f>
        <v/>
      </c>
      <c r="DZ26">
        <f>DZ25*IF(OR($C25=25,$G25=25),0,1)</f>
        <v/>
      </c>
      <c r="EA26">
        <f>EA25*IF(OR($C25=26,$G25=26),0,1)</f>
        <v/>
      </c>
      <c r="EB26">
        <f>EB25*IF(OR($C25=27,$G25=27),0,1)</f>
        <v/>
      </c>
      <c r="EC26">
        <f>EC25*IF(OR($C25=28,$G25=28),0,1)</f>
        <v/>
      </c>
      <c r="ED26">
        <f>ED25*IF(OR($C25=29,$G25=29),0,1)</f>
        <v/>
      </c>
      <c r="EE26">
        <f>EE25*IF(OR($C25=30,$G25=30),0,1)</f>
        <v/>
      </c>
      <c r="EF26">
        <f>EF25*IF(OR($C25=31,$G25=31),0,1)</f>
        <v/>
      </c>
      <c r="EG26">
        <f>EG25*IF(OR($C25=32,$G25=32),0,1)</f>
        <v/>
      </c>
      <c r="EH26">
        <f>EH25*IF(OR($C25=33,$G25=33),0,1)</f>
        <v/>
      </c>
      <c r="EI26">
        <f>EI25*IF(OR($C25=34,$G25=34),0,1)</f>
        <v/>
      </c>
      <c r="EJ26">
        <f>EJ25*IF(OR($C25=35,$G25=35),0,1)</f>
        <v/>
      </c>
      <c r="EK26">
        <f>EK25*IF(OR($C25=36,$G25=36),0,1)</f>
        <v/>
      </c>
      <c r="EL26">
        <f>EL25*IF(OR($C25=37,$G25=37),0,1)</f>
        <v/>
      </c>
      <c r="EM26">
        <f>EM25*IF(OR($C25=38,$G25=38),0,1)</f>
        <v/>
      </c>
      <c r="EN26">
        <f>EN25*IF(OR($C25=39,$G25=39),0,1)</f>
        <v/>
      </c>
      <c r="EO26">
        <f>EO25*IF(OR($C25=40,$G25=40),0,1)</f>
        <v/>
      </c>
      <c r="EP26">
        <f>EP25*IF(OR($C25=41,$G25=41),0,1)</f>
        <v/>
      </c>
      <c r="EQ26">
        <f>EQ25*IF(OR($C25=42,$G25=42),0,1)</f>
        <v/>
      </c>
      <c r="ER26">
        <f>ER25*IF(OR($C25=43,$G25=43),0,1)</f>
        <v/>
      </c>
      <c r="ES26">
        <f>ES25*IF(OR($C25=44,$G25=44),0,1)</f>
        <v/>
      </c>
      <c r="ET26">
        <f>ET25*IF(OR($C25=45,$G25=45),0,1)</f>
        <v/>
      </c>
      <c r="EU26">
        <f>EU25*IF(OR($C25=46,$G25=46),0,1)</f>
        <v/>
      </c>
      <c r="EV26">
        <f>EV25*IF(OR($C25=47,$G25=47),0,1)</f>
        <v/>
      </c>
      <c r="EW26">
        <f>EW25*IF(OR($C25=48,$G25=48),0,1)</f>
        <v/>
      </c>
      <c r="EX26">
        <f>EX25*IF(OR($C25=49,$G25=49),0,1)</f>
        <v/>
      </c>
      <c r="EY26">
        <f>EY25*IF(OR($C25=50,$G25=50),0,1)</f>
        <v/>
      </c>
      <c r="EZ26">
        <f>EZ25*IF(OR($C25=51,$G25=51),0,1)</f>
        <v/>
      </c>
      <c r="FA26">
        <f>FA25*IF(OR($C25=52,$G25=52),0,1)</f>
        <v/>
      </c>
      <c r="FB26">
        <f>FB25*IF(OR($C25=53,$G25=53),0,1)</f>
        <v/>
      </c>
      <c r="FC26">
        <f>FC25*IF(OR($C25=54,$G25=54),0,1)</f>
        <v/>
      </c>
      <c r="FD26">
        <f>FD25*IF(OR($C25=55,$G25=55),0,1)</f>
        <v/>
      </c>
      <c r="FE26">
        <f>FE25*IF(OR($C25=56,$G25=56),0,1)</f>
        <v/>
      </c>
      <c r="FF26">
        <f>FF25*IF(OR($C25=57,$G25=57),0,1)</f>
        <v/>
      </c>
      <c r="FG26">
        <f>FG25*IF(OR($C25=58,$G25=58),0,1)</f>
        <v/>
      </c>
      <c r="FH26">
        <f>FH25*IF(OR($C25=59,$G25=59),0,1)</f>
        <v/>
      </c>
      <c r="FI26">
        <f>FI25*IF(OR($C25=60,$G25=60),0,1)</f>
        <v/>
      </c>
      <c r="FJ26">
        <f>FJ25*IF(OR($C25=61,$G25=61),0,1)</f>
        <v/>
      </c>
      <c r="FK26">
        <f>FK25*IF(OR($C25=62,$G25=62),0,1)</f>
        <v/>
      </c>
      <c r="FL26">
        <f>FL25*IF(OR($C25=63,$G25=63),0,1)</f>
        <v/>
      </c>
      <c r="FM26">
        <f>FM25*IF(OR($C25=64,$G25=64),0,1)</f>
        <v/>
      </c>
      <c r="FN26">
        <f>FN25*IF(OR($C25=65,$G25=65),0,1)</f>
        <v/>
      </c>
      <c r="FO26">
        <f>FO25*IF(OR($C25=66,$G25=66),0,1)</f>
        <v/>
      </c>
      <c r="FP26">
        <f>FP25*IF(OR($C25=67,$G25=67),0,1)</f>
        <v/>
      </c>
      <c r="FQ26">
        <f>FQ25*IF(OR($C25=68,$G25=68),0,1)</f>
        <v/>
      </c>
      <c r="FR26">
        <f>FR25*IF(OR($C25=69,$G25=69),0,1)</f>
        <v/>
      </c>
      <c r="FS26">
        <f>FS25*IF(OR($C25=70,$G25=70),0,1)</f>
        <v/>
      </c>
      <c r="FT26">
        <f>FT25*IF(OR($C25=71,$G25=71),0,1)</f>
        <v/>
      </c>
      <c r="FU26">
        <f>FU25*IF(OR($C25=72,$G25=72),0,1)</f>
        <v/>
      </c>
      <c r="FV26">
        <f>FV25*IF(OR($C25=73,$G25=73),0,1)</f>
        <v/>
      </c>
      <c r="FW26">
        <f>FW25*IF(OR($C25=74,$G25=74),0,1)</f>
        <v/>
      </c>
      <c r="FX26">
        <f>FX25*IF(OR($C25=75,$G25=75),0,1)</f>
        <v/>
      </c>
      <c r="FY26">
        <f>FY25*IF(OR($C25=76,$G25=76),0,1)</f>
        <v/>
      </c>
      <c r="FZ26">
        <f>FZ25*IF(OR($C25=77,$G25=77),0,1)</f>
        <v/>
      </c>
      <c r="GA26">
        <f>GA25*IF(OR($C25=78,$G25=78),0,1)</f>
        <v/>
      </c>
      <c r="GB26">
        <f>GB25*IF(OR($C25=79,$G25=79),0,1)</f>
        <v/>
      </c>
      <c r="GC26">
        <f>GC25*IF(OR($C25=80,$G25=80),0,1)</f>
        <v/>
      </c>
      <c r="GD26">
        <f>GD25*IF(OR($C25=81,$G25=81),0,1)</f>
        <v/>
      </c>
      <c r="GE26">
        <f>GE25*IF(OR($C25=82,$G25=82),0,1)</f>
        <v/>
      </c>
      <c r="GF26">
        <f>GF25*IF(OR($C25=83,$G25=83),0,1)</f>
        <v/>
      </c>
      <c r="GG26">
        <f>GG25*IF(OR($C25=84,$G25=84),0,1)</f>
        <v/>
      </c>
      <c r="GH26">
        <f>GH25*IF(OR($C25=85,$G25=85),0,1)</f>
        <v/>
      </c>
      <c r="GI26">
        <f>GI25*IF(OR($C25=86,$G25=86),0,1)</f>
        <v/>
      </c>
      <c r="GJ26">
        <f>GJ25*IF(OR($C25=87,$G25=87),0,1)</f>
        <v/>
      </c>
      <c r="GK26">
        <f>GK25*IF(OR($C25=88,$G25=88),0,1)</f>
        <v/>
      </c>
      <c r="GL26">
        <f>GL25*IF(OR($C25=89,$G25=89),0,1)</f>
        <v/>
      </c>
      <c r="GM26">
        <f>GM25*IF(OR($C25=90,$G25=90),0,1)</f>
        <v/>
      </c>
      <c r="GN26">
        <f>GN25*IF(OR($C25=91,$G25=91),0,1)</f>
        <v/>
      </c>
      <c r="GO26">
        <f>GO25*IF(OR($C25=92,$G25=92),0,1)</f>
        <v/>
      </c>
      <c r="GP26">
        <f>GP25*IF(OR($C25=93,$G25=93),0,1)</f>
        <v/>
      </c>
      <c r="GQ26">
        <f>GQ25*IF(OR($C25=94,$G25=94),0,1)</f>
        <v/>
      </c>
      <c r="GR26">
        <f>GR25*IF(OR($C25=95,$G25=95),0,1)</f>
        <v/>
      </c>
      <c r="GS26">
        <f>GS25*IF(OR($C25=96,$G25=96),0,1)</f>
        <v/>
      </c>
      <c r="GT26">
        <f>GT25*IF(OR($C25=97,$G25=97),0,1)</f>
        <v/>
      </c>
      <c r="GU26">
        <f>GU25*IF(OR($C25=98,$G25=98),0,1)</f>
        <v/>
      </c>
      <c r="GV26">
        <f>GV25*IF(OR($C25=99,$G25=99),0,1)</f>
        <v/>
      </c>
      <c r="GW26">
        <f>GW25*IF(OR($C25=100,$G25=100),0,1)</f>
        <v/>
      </c>
      <c r="GX26">
        <f>GX25*IF(OR($C25=101,$G25=101),0,1)</f>
        <v/>
      </c>
      <c r="GY26">
        <f>GY25*IF(OR($C25=102,$G25=102),0,1)</f>
        <v/>
      </c>
      <c r="GZ26">
        <f>GZ25*IF(OR($C25=103,$G25=103),0,1)</f>
        <v/>
      </c>
      <c r="HA26">
        <f>HA25*IF(OR($C25=104,$G25=104),0,1)</f>
        <v/>
      </c>
      <c r="HB26">
        <f>HB25*IF(OR($C25=105,$G25=105),0,1)</f>
        <v/>
      </c>
      <c r="HC26">
        <f>HC25*IF(OR($C25=106,$G25=106),0,1)</f>
        <v/>
      </c>
      <c r="HD26">
        <f>HD25*IF(OR($C25=107,$G25=107),0,1)</f>
        <v/>
      </c>
      <c r="HE26">
        <f>HE25*IF(OR($C25=108,$G25=108),0,1)</f>
        <v/>
      </c>
      <c r="HF26">
        <f>HF25*IF(OR($C25=109,$G25=109),0,1)</f>
        <v/>
      </c>
      <c r="HG26">
        <f>HG25*IF(OR($C25=110,$G25=110),0,1)</f>
        <v/>
      </c>
      <c r="HH26">
        <f>HH25*IF(OR($C25=111,$G25=111),0,1)</f>
        <v/>
      </c>
      <c r="HI26">
        <f>HI25*IF(OR($C25=112,$G25=112),0,1)</f>
        <v/>
      </c>
      <c r="HJ26">
        <f>HJ25*IF(OR($C25=113,$G25=113),0,1)</f>
        <v/>
      </c>
      <c r="HK26">
        <f>HK25*IF(OR($C25=114,$G25=114),0,1)</f>
        <v/>
      </c>
      <c r="HL26">
        <f>HL25*IF(OR($C25=115,$G25=115),0,1)</f>
        <v/>
      </c>
      <c r="HM26">
        <f>HM25*IF(OR($C25=116,$G25=116),0,1)</f>
        <v/>
      </c>
      <c r="HN26">
        <f>HN25*IF(OR($C25=117,$G25=117),0,1)</f>
        <v/>
      </c>
      <c r="HO26">
        <f>HO25*IF(OR($C25=118,$G25=118),0,1)</f>
        <v/>
      </c>
      <c r="HP26">
        <f>HP25*IF(OR($C25=119,$G25=119),0,1)</f>
        <v/>
      </c>
      <c r="HQ26">
        <f>HQ25*IF(OR($C25=120,$G25=120),0,1)</f>
        <v/>
      </c>
      <c r="HR26">
        <f>HR25*IF(OR($C25=121,$G25=121),0,1)</f>
        <v/>
      </c>
      <c r="HS26">
        <f>HS25*IF(OR($C25=122,$G25=122),0,1)</f>
        <v/>
      </c>
      <c r="HT26">
        <f>HT25*IF(OR($C25=123,$G25=123),0,1)</f>
        <v/>
      </c>
      <c r="HU26">
        <f>HU25*IF(OR($C25=124,$G25=124),0,1)</f>
        <v/>
      </c>
      <c r="HV26">
        <f>HV25*IF(OR($C25=125,$G25=125),0,1)</f>
        <v/>
      </c>
      <c r="HW26">
        <f>HW25*IF(OR($C25=126,$G25=126),0,1)</f>
        <v/>
      </c>
      <c r="HX26">
        <f>HX25*IF(OR($C25=127,$G25=127),0,1)</f>
        <v/>
      </c>
      <c r="HY26">
        <f>HY25*IF(OR($C25=128,$G25=128),0,1)</f>
        <v/>
      </c>
      <c r="HZ26">
        <f>HZ25*IF(OR($C25=129,$G25=129),0,1)</f>
        <v/>
      </c>
      <c r="IA26">
        <f>IA25*IF(OR($C25=130,$G25=130),0,1)</f>
        <v/>
      </c>
      <c r="IB26">
        <f>IB25*IF(OR($C25=131,$G25=131),0,1)</f>
        <v/>
      </c>
      <c r="IC26">
        <f>IC25*IF(OR($C25=132,$G25=132),0,1)</f>
        <v/>
      </c>
      <c r="ID26">
        <f>ID25*IF(OR($C25=133,$G25=133),0,1)</f>
        <v/>
      </c>
      <c r="IE26">
        <f>IE25*IF(OR($C25=134,$G25=134),0,1)</f>
        <v/>
      </c>
      <c r="IF26">
        <f>IF25*IF(OR($C25=135,$G25=135),0,1)</f>
        <v/>
      </c>
      <c r="IG26">
        <f>IG25*IF(OR($C25=136,$G25=136),0,1)</f>
        <v/>
      </c>
      <c r="IH26">
        <f>IH25*IF(OR($C25=137,$G25=137),0,1)</f>
        <v/>
      </c>
      <c r="II26">
        <f>II25*IF(OR($C25=138,$G25=138),0,1)</f>
        <v/>
      </c>
      <c r="IJ26">
        <f>IJ25*IF(OR($C25=139,$G25=139),0,1)</f>
        <v/>
      </c>
      <c r="IK26">
        <f>IK25*IF(OR($C25=140,$G25=140),0,1)</f>
        <v/>
      </c>
      <c r="IL26">
        <f>IL25*IF(OR($C25=141,$G25=141),0,1)</f>
        <v/>
      </c>
      <c r="IM26">
        <f>IM25*IF(OR($C25=142,$G25=142),0,1)</f>
        <v/>
      </c>
      <c r="IN26">
        <f>IN25*IF(OR($C25=143,$G25=143),0,1)</f>
        <v/>
      </c>
      <c r="IO26">
        <f>IO25*IF(OR($C25=144,$G25=144),0,1)</f>
        <v/>
      </c>
      <c r="IQ26">
        <f>IF('計算A'!D$106=1,DC26,1)</f>
        <v/>
      </c>
      <c r="IR26">
        <f>IF('計算A'!E$106=1,DD26,1)</f>
        <v/>
      </c>
      <c r="IS26">
        <f>IF('計算A'!F$106=1,DE26,1)</f>
        <v/>
      </c>
      <c r="IT26">
        <f>IF('計算A'!G$106=1,DF26,1)</f>
        <v/>
      </c>
      <c r="IU26">
        <f>IF('計算A'!H$106=1,DG26,1)</f>
        <v/>
      </c>
      <c r="IV26">
        <f>IF('計算A'!I$106=1,DH26,1)</f>
        <v/>
      </c>
      <c r="IW26">
        <f>IF('計算A'!J$106=1,DI26,1)</f>
        <v/>
      </c>
      <c r="IX26">
        <f>IF('計算A'!K$106=1,DJ26,1)</f>
        <v/>
      </c>
      <c r="IY26">
        <f>IF('計算A'!L$106=1,DK26,1)</f>
        <v/>
      </c>
      <c r="IZ26">
        <f>IF('計算A'!M$106=1,DL26,1)</f>
        <v/>
      </c>
      <c r="JA26">
        <f>IF('計算A'!N$106=1,DM26,1)</f>
        <v/>
      </c>
      <c r="JB26">
        <f>IF('計算A'!O$106=1,DN26,1)</f>
        <v/>
      </c>
      <c r="JC26">
        <f>IF('計算A'!P$106=1,DO26,1)</f>
        <v/>
      </c>
      <c r="JD26">
        <f>IF('計算A'!Q$106=1,DP26,1)</f>
        <v/>
      </c>
      <c r="JE26">
        <f>IF('計算A'!R$106=1,DQ26,1)</f>
        <v/>
      </c>
      <c r="JF26">
        <f>IF('計算A'!S$106=1,DR26,1)</f>
        <v/>
      </c>
      <c r="JG26">
        <f>IF('計算A'!T$106=1,DS26,1)</f>
        <v/>
      </c>
      <c r="JH26">
        <f>IF('計算A'!U$106=1,DT26,1)</f>
        <v/>
      </c>
      <c r="JI26">
        <f>IF('計算A'!V$106=1,DU26,1)</f>
        <v/>
      </c>
      <c r="JJ26">
        <f>IF('計算A'!W$106=1,DV26,1)</f>
        <v/>
      </c>
      <c r="JK26">
        <f>IF('計算A'!X$106=1,DW26,1)</f>
        <v/>
      </c>
      <c r="JL26">
        <f>IF('計算A'!Y$106=1,DX26,1)</f>
        <v/>
      </c>
      <c r="JM26">
        <f>IF('計算A'!Z$106=1,DY26,1)</f>
        <v/>
      </c>
      <c r="JN26">
        <f>IF('計算A'!AA$106=1,DZ26,1)</f>
        <v/>
      </c>
      <c r="JO26">
        <f>IF('計算A'!AB$106=1,EA26,1)</f>
        <v/>
      </c>
      <c r="JP26">
        <f>IF('計算A'!AC$106=1,EB26,1)</f>
        <v/>
      </c>
      <c r="JQ26">
        <f>IF('計算A'!AD$106=1,EC26,1)</f>
        <v/>
      </c>
      <c r="JR26">
        <f>IF('計算A'!AE$106=1,ED26,1)</f>
        <v/>
      </c>
      <c r="JS26">
        <f>IF('計算A'!AF$106=1,EE26,1)</f>
        <v/>
      </c>
      <c r="JT26">
        <f>IF('計算A'!AG$106=1,EF26,1)</f>
        <v/>
      </c>
      <c r="JU26">
        <f>IF('計算A'!AH$106=1,EG26,1)</f>
        <v/>
      </c>
      <c r="JV26">
        <f>IF('計算A'!AI$106=1,EH26,1)</f>
        <v/>
      </c>
      <c r="JW26">
        <f>IF('計算A'!AJ$106=1,EI26,1)</f>
        <v/>
      </c>
      <c r="JX26">
        <f>IF('計算A'!AK$106=1,EJ26,1)</f>
        <v/>
      </c>
      <c r="JY26">
        <f>IF('計算A'!AL$106=1,EK26,1)</f>
        <v/>
      </c>
      <c r="JZ26">
        <f>IF('計算A'!AM$106=1,EL26,1)</f>
        <v/>
      </c>
      <c r="KA26">
        <f>IF('計算A'!AN$106=1,EM26,1)</f>
        <v/>
      </c>
      <c r="KB26">
        <f>IF('計算A'!AO$106=1,EN26,1)</f>
        <v/>
      </c>
      <c r="KC26">
        <f>IF('計算A'!AP$106=1,EO26,1)</f>
        <v/>
      </c>
      <c r="KD26">
        <f>IF('計算A'!AQ$106=1,EP26,1)</f>
        <v/>
      </c>
      <c r="KE26">
        <f>IF('計算A'!AR$106=1,EQ26,1)</f>
        <v/>
      </c>
      <c r="KF26">
        <f>IF('計算A'!AS$106=1,ER26,1)</f>
        <v/>
      </c>
      <c r="KG26">
        <f>IF('計算A'!AT$106=1,ES26,1)</f>
        <v/>
      </c>
      <c r="KH26">
        <f>IF('計算A'!AU$106=1,ET26,1)</f>
        <v/>
      </c>
      <c r="KI26">
        <f>IF('計算A'!AV$106=1,EU26,1)</f>
        <v/>
      </c>
      <c r="KJ26">
        <f>IF('計算A'!AW$106=1,EV26,1)</f>
        <v/>
      </c>
      <c r="KK26">
        <f>IF('計算A'!AX$106=1,EW26,1)</f>
        <v/>
      </c>
      <c r="KL26">
        <f>IF('計算A'!AY$106=1,EX26,1)</f>
        <v/>
      </c>
      <c r="KM26">
        <f>IF('計算A'!AZ$106=1,EY26,1)</f>
        <v/>
      </c>
      <c r="KN26">
        <f>IF('計算A'!BA$106=1,EZ26,1)</f>
        <v/>
      </c>
      <c r="KO26">
        <f>IF('計算A'!BB$106=1,FA26,1)</f>
        <v/>
      </c>
      <c r="KP26">
        <f>IF('計算A'!BC$106=1,FB26,1)</f>
        <v/>
      </c>
      <c r="KQ26">
        <f>IF('計算A'!BD$106=1,FC26,1)</f>
        <v/>
      </c>
      <c r="KR26">
        <f>IF('計算A'!BE$106=1,FD26,1)</f>
        <v/>
      </c>
      <c r="KS26">
        <f>IF('計算A'!BF$106=1,FE26,1)</f>
        <v/>
      </c>
      <c r="KT26">
        <f>IF('計算A'!BG$106=1,FF26,1)</f>
        <v/>
      </c>
      <c r="KU26">
        <f>IF('計算A'!BH$106=1,FG26,1)</f>
        <v/>
      </c>
      <c r="KV26">
        <f>IF('計算A'!BI$106=1,FH26,1)</f>
        <v/>
      </c>
      <c r="KW26">
        <f>IF('計算A'!BJ$106=1,FI26,1)</f>
        <v/>
      </c>
      <c r="KX26">
        <f>IF('計算A'!BK$106=1,FJ26,1)</f>
        <v/>
      </c>
      <c r="KY26">
        <f>IF('計算A'!BL$106=1,FK26,1)</f>
        <v/>
      </c>
      <c r="KZ26">
        <f>IF('計算A'!BM$106=1,FL26,1)</f>
        <v/>
      </c>
      <c r="LA26">
        <f>IF('計算A'!BN$106=1,FM26,1)</f>
        <v/>
      </c>
      <c r="LB26">
        <f>IF('計算A'!BO$106=1,FN26,1)</f>
        <v/>
      </c>
      <c r="LC26">
        <f>IF('計算A'!BP$106=1,FO26,1)</f>
        <v/>
      </c>
      <c r="LD26">
        <f>IF('計算A'!BQ$106=1,FP26,1)</f>
        <v/>
      </c>
      <c r="LE26">
        <f>IF('計算A'!BR$106=1,FQ26,1)</f>
        <v/>
      </c>
      <c r="LF26">
        <f>IF('計算A'!BS$106=1,FR26,1)</f>
        <v/>
      </c>
      <c r="LG26">
        <f>IF('計算A'!BT$106=1,FS26,1)</f>
        <v/>
      </c>
      <c r="LH26">
        <f>IF('計算A'!BU$106=1,FT26,1)</f>
        <v/>
      </c>
      <c r="LI26">
        <f>IF('計算A'!BV$106=1,FU26,1)</f>
        <v/>
      </c>
      <c r="LJ26">
        <f>IF('計算A'!BW$106=1,FV26,1)</f>
        <v/>
      </c>
      <c r="LK26">
        <f>IF('計算A'!BX$106=1,FW26,1)</f>
        <v/>
      </c>
      <c r="LL26">
        <f>IF('計算A'!BY$106=1,FX26,1)</f>
        <v/>
      </c>
      <c r="LM26">
        <f>IF('計算A'!BZ$106=1,FY26,1)</f>
        <v/>
      </c>
      <c r="LN26">
        <f>IF('計算A'!CA$106=1,FZ26,1)</f>
        <v/>
      </c>
      <c r="LO26">
        <f>IF('計算A'!CB$106=1,GA26,1)</f>
        <v/>
      </c>
      <c r="LP26">
        <f>IF('計算A'!CC$106=1,GB26,1)</f>
        <v/>
      </c>
      <c r="LQ26">
        <f>IF('計算A'!CD$106=1,GC26,1)</f>
        <v/>
      </c>
      <c r="LR26">
        <f>IF('計算A'!CE$106=1,GD26,1)</f>
        <v/>
      </c>
      <c r="LS26">
        <f>IF('計算A'!CF$106=1,GE26,1)</f>
        <v/>
      </c>
      <c r="LT26">
        <f>IF('計算A'!CG$106=1,GF26,1)</f>
        <v/>
      </c>
      <c r="LU26">
        <f>IF('計算A'!CH$106=1,GG26,1)</f>
        <v/>
      </c>
      <c r="LV26">
        <f>IF('計算A'!CI$106=1,GH26,1)</f>
        <v/>
      </c>
      <c r="LW26">
        <f>IF('計算A'!CJ$106=1,GI26,1)</f>
        <v/>
      </c>
      <c r="LX26">
        <f>IF('計算A'!CK$106=1,GJ26,1)</f>
        <v/>
      </c>
      <c r="LY26">
        <f>IF('計算A'!CL$106=1,GK26,1)</f>
        <v/>
      </c>
      <c r="LZ26">
        <f>IF('計算A'!CM$106=1,GL26,1)</f>
        <v/>
      </c>
      <c r="MA26">
        <f>IF('計算A'!CN$106=1,GM26,1)</f>
        <v/>
      </c>
      <c r="MB26">
        <f>IF('計算A'!CO$106=1,GN26,1)</f>
        <v/>
      </c>
      <c r="MC26">
        <f>IF('計算A'!CP$106=1,GO26,1)</f>
        <v/>
      </c>
      <c r="MD26">
        <f>IF('計算A'!CQ$106=1,GP26,1)</f>
        <v/>
      </c>
      <c r="ME26">
        <f>IF('計算A'!CR$106=1,GQ26,1)</f>
        <v/>
      </c>
      <c r="MF26">
        <f>IF('計算A'!CS$106=1,GR26,1)</f>
        <v/>
      </c>
      <c r="MG26">
        <f>IF('計算A'!CT$106=1,GS26,1)</f>
        <v/>
      </c>
      <c r="MH26">
        <f>IF('計算A'!CU$106=1,GT26,1)</f>
        <v/>
      </c>
      <c r="MI26">
        <f>IF('計算A'!CV$106=1,GU26,1)</f>
        <v/>
      </c>
      <c r="MJ26">
        <f>IF('計算A'!CW$106=1,GV26,1)</f>
        <v/>
      </c>
      <c r="MK26">
        <f>IF('計算A'!CX$106=1,GW26,1)</f>
        <v/>
      </c>
      <c r="ML26">
        <f>IF('計算A'!CY$106=1,GX26,1)</f>
        <v/>
      </c>
      <c r="MM26">
        <f>IF('計算A'!CZ$106=1,GY26,1)</f>
        <v/>
      </c>
      <c r="MN26">
        <f>IF('計算A'!DA$106=1,GZ26,1)</f>
        <v/>
      </c>
      <c r="MO26">
        <f>IF('計算A'!DB$106=1,HA26,1)</f>
        <v/>
      </c>
      <c r="MP26">
        <f>IF('計算A'!DC$106=1,HB26,1)</f>
        <v/>
      </c>
      <c r="MQ26">
        <f>IF('計算A'!DD$106=1,HC26,1)</f>
        <v/>
      </c>
      <c r="MR26">
        <f>IF('計算A'!DE$106=1,HD26,1)</f>
        <v/>
      </c>
      <c r="MS26">
        <f>IF('計算A'!DF$106=1,HE26,1)</f>
        <v/>
      </c>
      <c r="MT26">
        <f>IF('計算A'!DG$106=1,HF26,1)</f>
        <v/>
      </c>
      <c r="MU26">
        <f>IF('計算A'!DH$106=1,HG26,1)</f>
        <v/>
      </c>
      <c r="MV26">
        <f>IF('計算A'!DI$106=1,HH26,1)</f>
        <v/>
      </c>
      <c r="MW26">
        <f>IF('計算A'!DJ$106=1,HI26,1)</f>
        <v/>
      </c>
      <c r="MX26">
        <f>IF('計算A'!DK$106=1,HJ26,1)</f>
        <v/>
      </c>
      <c r="MY26">
        <f>IF('計算A'!DL$106=1,HK26,1)</f>
        <v/>
      </c>
      <c r="MZ26">
        <f>IF('計算A'!DM$106=1,HL26,1)</f>
        <v/>
      </c>
      <c r="NA26">
        <f>IF('計算A'!DN$106=1,HM26,1)</f>
        <v/>
      </c>
      <c r="NB26">
        <f>IF('計算A'!DO$106=1,HN26,1)</f>
        <v/>
      </c>
      <c r="NC26">
        <f>IF('計算A'!DP$106=1,HO26,1)</f>
        <v/>
      </c>
      <c r="ND26">
        <f>IF('計算A'!DQ$106=1,HP26,1)</f>
        <v/>
      </c>
      <c r="NE26">
        <f>IF('計算A'!DR$106=1,HQ26,1)</f>
        <v/>
      </c>
      <c r="NF26">
        <f>IF('計算A'!DS$106=1,HR26,1)</f>
        <v/>
      </c>
      <c r="NG26">
        <f>IF('計算A'!DT$106=1,HS26,1)</f>
        <v/>
      </c>
      <c r="NH26">
        <f>IF('計算A'!DU$106=1,HT26,1)</f>
        <v/>
      </c>
      <c r="NI26">
        <f>IF('計算A'!DV$106=1,HU26,1)</f>
        <v/>
      </c>
      <c r="NJ26">
        <f>IF('計算A'!DW$106=1,HV26,1)</f>
        <v/>
      </c>
      <c r="NK26">
        <f>IF('計算A'!DX$106=1,HW26,1)</f>
        <v/>
      </c>
      <c r="NL26">
        <f>IF('計算A'!DY$106=1,HX26,1)</f>
        <v/>
      </c>
      <c r="NM26">
        <f>IF('計算A'!DZ$106=1,HY26,1)</f>
        <v/>
      </c>
      <c r="NN26">
        <f>IF('計算A'!EA$106=1,HZ26,1)</f>
        <v/>
      </c>
      <c r="NO26">
        <f>IF('計算A'!EB$106=1,IA26,1)</f>
        <v/>
      </c>
      <c r="NP26">
        <f>IF('計算A'!EC$106=1,IB26,1)</f>
        <v/>
      </c>
      <c r="NQ26">
        <f>IF('計算A'!ED$106=1,IC26,1)</f>
        <v/>
      </c>
      <c r="NR26">
        <f>IF('計算A'!EE$106=1,ID26,1)</f>
        <v/>
      </c>
      <c r="NS26">
        <f>IF('計算A'!EF$106=1,IE26,1)</f>
        <v/>
      </c>
      <c r="NT26">
        <f>IF('計算A'!EG$106=1,IF26,1)</f>
        <v/>
      </c>
      <c r="NU26">
        <f>IF('計算A'!EH$106=1,IG26,1)</f>
        <v/>
      </c>
      <c r="NV26">
        <f>IF('計算A'!EI$106=1,IH26,1)</f>
        <v/>
      </c>
      <c r="NW26">
        <f>IF('計算A'!EJ$106=1,II26,1)</f>
        <v/>
      </c>
      <c r="NX26">
        <f>IF('計算A'!EK$106=1,IJ26,1)</f>
        <v/>
      </c>
      <c r="NY26">
        <f>IF('計算A'!EL$106=1,IK26,1)</f>
        <v/>
      </c>
      <c r="NZ26">
        <f>IF('計算A'!EM$106=1,IL26,1)</f>
        <v/>
      </c>
      <c r="OA26">
        <f>IF('計算A'!EN$106=1,IM26,1)</f>
        <v/>
      </c>
      <c r="OB26">
        <f>IF('計算A'!EO$106=1,IN26,1)</f>
        <v/>
      </c>
      <c r="OC26">
        <f>IF('計算A'!EP$106=1,IO26,1)</f>
        <v/>
      </c>
      <c r="OD26" t="n">
        <v>1</v>
      </c>
      <c r="OF26">
        <f>IF($B26=0,1000000,IF(INDEX('計算A'!$D$60:$EQ$104,$B26,1)*DB26=1,IF(AND($E26=2,IQ26=0),1000000,IF($I26&gt;0,IF(1=$J26,IF(OR(AND(1=$I26+1,OR($K26&lt;&gt;'計算A'!$A$3,'計算A'!$A$4=0)),AND(1=$I26-1,OR(1&lt;&gt;'計算A'!$A$3,'計算A'!$A$4=0))),0,IF(1=$K26,200000,ABS(1-$K26)*100)),100000+ABS(1-$J26)*1000+10)+'計算A'!D$5*50+IF(AND($E26=1,IQ26=0),25,0),IF($F26&gt;0,INDEX('計算A'!D$110:D$114,$F26+1)+IF(AND($E26=1,IQ26=0),1000,0),MIN(TU26,20)*400+(IF('計算A'!D$106=1,1-DC26,0))*150+11+'計算A'!D$5*100000+IF(AND($E26=1,IQ26=0),50000,0))+IF($H26=1,(IF('計算A'!D$117=1,INDEX('計算A'!E$10:E$54,$B26),0))*4000,0)-IF(AND($L26=1,'計算A'!D$117=1,DC26=0),2000,0))),1000000))</f>
        <v/>
      </c>
      <c r="OG26">
        <f>IF($B26=0,1000000,IF(INDEX('計算A'!$D$60:$EQ$104,$B26,2)*DC26=1,IF(AND($E26=2,IR26=0),1000000,IF($I26&gt;0,IF(1=$J26,IF(OR(AND(2=$I26+1,OR($K26&lt;&gt;'計算A'!$A$3,'計算A'!$A$4=0)),AND(2=$I26-1,OR(2&lt;&gt;'計算A'!$A$3,'計算A'!$A$4=0))),0,IF(2=$K26,200000,ABS(2-$K26)*100)),100000+ABS(1-$J26)*1000+20)+'計算A'!E$5*50+IF(AND($E26=1,IR26=0),25,0),IF($F26&gt;0,INDEX('計算A'!E$110:E$114,$F26+1)+IF(AND($E26=1,IR26=0),1000,0),MIN(TU26,20)*400+(IF('計算A'!D$106=1,1-DB26,0)+IF('計算A'!E$106=1,1-DD26,0))*150+21+'計算A'!E$5*100000+IF(AND($E26=1,IR26=0),50000,0))+IF($H26=1,(IF('計算A'!D$117=1,INDEX('計算A'!D$10:D$54,$B26),0)+IF('計算A'!E$117=1,INDEX('計算A'!F$10:F$54,$B26),0))*4000,0)-IF(AND('計算A'!D$117=1,UB26&gt;0),2000,0)-IF(AND($L26=1,'計算A'!E$117=1,DD26=0),2000,0))),1000000))</f>
        <v/>
      </c>
      <c r="OH26">
        <f>IF($B26=0,1000000,IF(INDEX('計算A'!$D$60:$EQ$104,$B26,3)*DD26=1,IF(AND($E26=2,IS26=0),1000000,IF($I26&gt;0,IF(1=$J26,IF(OR(AND(3=$I26+1,OR($K26&lt;&gt;'計算A'!$A$3,'計算A'!$A$4=0)),AND(3=$I26-1,OR(3&lt;&gt;'計算A'!$A$3,'計算A'!$A$4=0))),0,IF(3=$K26,200000,ABS(3-$K26)*100)),100000+ABS(1-$J26)*1000+30)+'計算A'!F$5*50+IF(AND($E26=1,IS26=0),25,0),IF($F26&gt;0,INDEX('計算A'!F$110:F$114,$F26+1)+IF(AND($E26=1,IS26=0),1000,0),MIN(TU26,20)*400+(IF('計算A'!E$106=1,1-DC26,0)+IF('計算A'!F$106=1,1-DE26,0))*150+31+'計算A'!F$5*100000+IF(AND($E26=1,IS26=0),50000,0))+IF($H26=1,(IF('計算A'!E$117=1,INDEX('計算A'!E$10:E$54,$B26),0)+IF('計算A'!F$117=1,INDEX('計算A'!G$10:G$54,$B26),0))*4000,0)-IF(AND('計算A'!E$117=1,UC26&gt;0),2000,0)-IF(AND($L26=1,'計算A'!F$117=1,DE26=0),2000,0))),1000000))</f>
        <v/>
      </c>
      <c r="OI26">
        <f>IF($B26=0,1000000,IF(INDEX('計算A'!$D$60:$EQ$104,$B26,4)*DE26=1,IF(AND($E26=2,IT26=0),1000000,IF($I26&gt;0,IF(1=$J26,IF(OR(AND(4=$I26+1,OR($K26&lt;&gt;'計算A'!$A$3,'計算A'!$A$4=0)),AND(4=$I26-1,OR(4&lt;&gt;'計算A'!$A$3,'計算A'!$A$4=0))),0,IF(4=$K26,200000,ABS(4-$K26)*100)),100000+ABS(1-$J26)*1000+40)+'計算A'!G$5*50+IF(AND($E26=1,IT26=0),25,0),IF($F26&gt;0,INDEX('計算A'!G$110:G$114,$F26+1)+IF(AND($E26=1,IT26=0),1000,0),MIN(TU26,20)*400+(IF('計算A'!F$106=1,1-DD26,0)+IF('計算A'!G$106=1,1-DF26,0))*150+41+'計算A'!G$5*100000+IF(AND($E26=1,IT26=0),50000,0))+IF($H26=1,(IF('計算A'!F$117=1,INDEX('計算A'!F$10:F$54,$B26),0)+IF('計算A'!G$117=1,INDEX('計算A'!H$10:H$54,$B26),0))*4000,0)-IF(AND('計算A'!F$117=1,UD26&gt;0),2000,0)-IF(AND($L26=1,'計算A'!G$117=1,DF26=0),2000,0))),1000000))</f>
        <v/>
      </c>
      <c r="OJ26">
        <f>IF($B26=0,1000000,IF(INDEX('計算A'!$D$60:$EQ$104,$B26,5)*DF26=1,IF(AND($E26=2,IU26=0),1000000,IF($I26&gt;0,IF(1=$J26,IF(OR(AND(5=$I26+1,OR($K26&lt;&gt;'計算A'!$A$3,'計算A'!$A$4=0)),AND(5=$I26-1,OR(5&lt;&gt;'計算A'!$A$3,'計算A'!$A$4=0))),0,IF(5=$K26,200000,ABS(5-$K26)*100)),100000+ABS(1-$J26)*1000+50)+'計算A'!H$5*50+IF(AND($E26=1,IU26=0),25,0),IF($F26&gt;0,INDEX('計算A'!H$110:H$114,$F26+1)+IF(AND($E26=1,IU26=0),1000,0),MIN(TU26,20)*400+(IF('計算A'!G$106=1,1-DE26,0)+IF('計算A'!H$106=1,1-DG26,0))*150+51+'計算A'!H$5*100000+IF(AND($E26=1,IU26=0),50000,0))+IF($H26=1,(IF('計算A'!G$117=1,INDEX('計算A'!G$10:G$54,$B26),0)+IF('計算A'!H$117=1,INDEX('計算A'!I$10:I$54,$B26),0))*4000,0)-IF(AND('計算A'!G$117=1,UE26&gt;0),2000,0)-IF(AND($L26=1,'計算A'!H$117=1,DG26=0),2000,0))),1000000))</f>
        <v/>
      </c>
      <c r="OK26">
        <f>IF($B26=0,1000000,IF(INDEX('計算A'!$D$60:$EQ$104,$B26,6)*DG26=1,IF(AND($E26=2,IV26=0),1000000,IF($I26&gt;0,IF(1=$J26,IF(OR(AND(6=$I26+1,OR($K26&lt;&gt;'計算A'!$A$3,'計算A'!$A$4=0)),AND(6=$I26-1,OR(6&lt;&gt;'計算A'!$A$3,'計算A'!$A$4=0))),0,IF(6=$K26,200000,ABS(6-$K26)*100)),100000+ABS(1-$J26)*1000+60)+'計算A'!I$5*50+IF(AND($E26=1,IV26=0),25,0),IF($F26&gt;0,INDEX('計算A'!I$110:I$114,$F26+1)+IF(AND($E26=1,IV26=0),1000,0),MIN(TU26,20)*400+(IF('計算A'!H$106=1,1-DF26,0)+IF('計算A'!I$106=1,1-DH26,0))*150+61+'計算A'!I$5*100000+IF(AND($E26=1,IV26=0),50000,0))+IF($H26=1,(IF('計算A'!H$117=1,INDEX('計算A'!H$10:H$54,$B26),0)+IF('計算A'!I$117=1,INDEX('計算A'!J$10:J$54,$B26),0))*4000,0)-IF(AND('計算A'!H$117=1,UF26&gt;0),2000,0)-IF(AND($L26=1,'計算A'!I$117=1,DH26=0),2000,0))),1000000))</f>
        <v/>
      </c>
      <c r="OL26">
        <f>IF($B26=0,1000000,IF(INDEX('計算A'!$D$60:$EQ$104,$B26,7)*DH26=1,IF(AND($E26=2,IW26=0),1000000,IF($I26&gt;0,IF(1=$J26,IF(OR(AND(7=$I26+1,OR($K26&lt;&gt;'計算A'!$A$3,'計算A'!$A$4=0)),AND(7=$I26-1,OR(7&lt;&gt;'計算A'!$A$3,'計算A'!$A$4=0))),0,IF(7=$K26,200000,ABS(7-$K26)*100)),100000+ABS(1-$J26)*1000+70)+'計算A'!J$5*50+IF(AND($E26=1,IW26=0),25,0),IF($F26&gt;0,INDEX('計算A'!J$110:J$114,$F26+1)+IF(AND($E26=1,IW26=0),1000,0),MIN(TU26,20)*400+(IF('計算A'!I$106=1,1-DG26,0)+IF('計算A'!J$106=1,1-DI26,0))*150+71+'計算A'!J$5*100000+IF(AND($E26=1,IW26=0),50000,0))+IF($H26=1,(IF('計算A'!I$117=1,INDEX('計算A'!I$10:I$54,$B26),0)+IF('計算A'!J$117=1,INDEX('計算A'!K$10:K$54,$B26),0))*4000,0)-IF(AND('計算A'!I$117=1,UG26&gt;0),2000,0)-IF(AND($L26=1,'計算A'!J$117=1,DI26=0),2000,0))),1000000))</f>
        <v/>
      </c>
      <c r="OM26">
        <f>IF($B26=0,1000000,IF(INDEX('計算A'!$D$60:$EQ$104,$B26,8)*DI26=1,IF(AND($E26=2,IX26=0),1000000,IF($I26&gt;0,IF(1=$J26,IF(OR(AND(8=$I26+1,OR($K26&lt;&gt;'計算A'!$A$3,'計算A'!$A$4=0)),AND(8=$I26-1,OR(8&lt;&gt;'計算A'!$A$3,'計算A'!$A$4=0))),0,IF(8=$K26,200000,ABS(8-$K26)*100)),100000+ABS(1-$J26)*1000+80)+'計算A'!K$5*50+IF(AND($E26=1,IX26=0),25,0),IF($F26&gt;0,INDEX('計算A'!K$110:K$114,$F26+1)+IF(AND($E26=1,IX26=0),1000,0),MIN(TU26,20)*400+(IF('計算A'!J$106=1,1-DH26,0)+IF('計算A'!K$106=1,1-DJ26,0))*150+81+'計算A'!K$5*100000+IF(AND($E26=1,IX26=0),50000,0))+IF($H26=1,(IF('計算A'!J$117=1,INDEX('計算A'!J$10:J$54,$B26),0)+IF('計算A'!K$117=1,INDEX('計算A'!L$10:L$54,$B26),0))*4000,0)-IF(AND('計算A'!J$117=1,UH26&gt;0),2000,0)-IF(AND($L26=1,'計算A'!K$117=1,DJ26=0),2000,0))),1000000))</f>
        <v/>
      </c>
      <c r="ON26">
        <f>IF($B26=0,1000000,IF(INDEX('計算A'!$D$60:$EQ$104,$B26,9)*DJ26=1,IF(AND($E26=2,IY26=0),1000000,IF($I26&gt;0,IF(1=$J26,IF(OR(AND(9=$I26+1,OR($K26&lt;&gt;'計算A'!$A$3,'計算A'!$A$4=0)),AND(9=$I26-1,OR(9&lt;&gt;'計算A'!$A$3,'計算A'!$A$4=0))),0,IF(9=$K26,200000,ABS(9-$K26)*100)),100000+ABS(1-$J26)*1000+90)+'計算A'!L$5*50+IF(AND($E26=1,IY26=0),25,0),IF($F26&gt;0,INDEX('計算A'!L$110:L$114,$F26+1)+IF(AND($E26=1,IY26=0),1000,0),MIN(TU26,20)*400+(IF('計算A'!K$106=1,1-DI26,0)+IF('計算A'!L$106=1,1-DK26,0))*150+91+'計算A'!L$5*100000+IF(AND($E26=1,IY26=0),50000,0))+IF($H26=1,(IF('計算A'!K$117=1,INDEX('計算A'!K$10:K$54,$B26),0)+IF('計算A'!L$117=1,INDEX('計算A'!M$10:M$54,$B26),0))*4000,0)-IF(AND('計算A'!K$117=1,UI26&gt;0),2000,0)-IF(AND($L26=1,'計算A'!L$117=1,DK26=0),2000,0))),1000000))</f>
        <v/>
      </c>
      <c r="OO26">
        <f>IF($B26=0,1000000,IF(INDEX('計算A'!$D$60:$EQ$104,$B26,10)*DK26=1,IF(AND($E26=2,IZ26=0),1000000,IF($I26&gt;0,IF(1=$J26,IF(OR(AND(10=$I26+1,OR($K26&lt;&gt;'計算A'!$A$3,'計算A'!$A$4=0)),AND(10=$I26-1,OR(10&lt;&gt;'計算A'!$A$3,'計算A'!$A$4=0))),0,IF(10=$K26,200000,ABS(10-$K26)*100)),100000+ABS(1-$J26)*1000+100)+'計算A'!M$5*50+IF(AND($E26=1,IZ26=0),25,0),IF($F26&gt;0,INDEX('計算A'!M$110:M$114,$F26+1)+IF(AND($E26=1,IZ26=0),1000,0),MIN(TU26,20)*400+(IF('計算A'!L$106=1,1-DJ26,0)+IF('計算A'!M$106=1,1-DL26,0))*150+101+'計算A'!M$5*100000+IF(AND($E26=1,IZ26=0),50000,0))+IF($H26=1,(IF('計算A'!L$117=1,INDEX('計算A'!L$10:L$54,$B26),0)+IF('計算A'!M$117=1,INDEX('計算A'!N$10:N$54,$B26),0))*4000,0)-IF(AND('計算A'!L$117=1,UJ26&gt;0),2000,0)-IF(AND($L26=1,'計算A'!M$117=1,DL26=0),2000,0))),1000000))</f>
        <v/>
      </c>
      <c r="OP26">
        <f>IF($B26=0,1000000,IF(INDEX('計算A'!$D$60:$EQ$104,$B26,11)*DL26=1,IF(AND($E26=2,JA26=0),1000000,IF($I26&gt;0,IF(1=$J26,IF(OR(AND(11=$I26+1,OR($K26&lt;&gt;'計算A'!$A$3,'計算A'!$A$4=0)),AND(11=$I26-1,OR(11&lt;&gt;'計算A'!$A$3,'計算A'!$A$4=0))),0,IF(11=$K26,200000,ABS(11-$K26)*100)),100000+ABS(1-$J26)*1000+110)+'計算A'!N$5*50+IF(AND($E26=1,JA26=0),25,0),IF($F26&gt;0,INDEX('計算A'!N$110:N$114,$F26+1)+IF(AND($E26=1,JA26=0),1000,0),MIN(TU26,20)*400+(IF('計算A'!M$106=1,1-DK26,0)+IF('計算A'!N$106=1,1-DM26,0))*150+111+'計算A'!N$5*100000+IF(AND($E26=1,JA26=0),50000,0))+IF($H26=1,(IF('計算A'!M$117=1,INDEX('計算A'!M$10:M$54,$B26),0)+IF('計算A'!N$117=1,INDEX('計算A'!O$10:O$54,$B26),0))*4000,0)-IF(AND('計算A'!M$117=1,UK26&gt;0),2000,0)-IF(AND($L26=1,'計算A'!N$117=1,DM26=0),2000,0))),1000000))</f>
        <v/>
      </c>
      <c r="OQ26">
        <f>IF($B26=0,1000000,IF(INDEX('計算A'!$D$60:$EQ$104,$B26,12)*DM26=1,IF(AND($E26=2,JB26=0),1000000,IF($I26&gt;0,IF(1=$J26,IF(OR(AND(12=$I26+1,OR($K26&lt;&gt;'計算A'!$A$3,'計算A'!$A$4=0)),AND(12=$I26-1,OR(12&lt;&gt;'計算A'!$A$3,'計算A'!$A$4=0))),0,IF(12=$K26,200000,ABS(12-$K26)*100)),100000+ABS(1-$J26)*1000+120)+'計算A'!O$5*50+IF(AND($E26=1,JB26=0),25,0),IF($F26&gt;0,INDEX('計算A'!O$110:O$114,$F26+1)+IF(AND($E26=1,JB26=0),1000,0),MIN(TU26,20)*400+(IF('計算A'!N$106=1,1-DL26,0)+IF('計算A'!O$106=1,1-DN26,0))*150+121+'計算A'!O$5*100000+IF(AND($E26=1,JB26=0),50000,0))+IF($H26=1,(IF('計算A'!N$117=1,INDEX('計算A'!N$10:N$54,$B26),0)+IF('計算A'!O$117=1,INDEX('計算A'!P$10:P$54,$B26),0))*4000,0)-IF(AND('計算A'!N$117=1,UL26&gt;0),2000,0)-IF(AND($L26=1,'計算A'!O$117=1,DN26=0),2000,0))),1000000))</f>
        <v/>
      </c>
      <c r="OR26">
        <f>IF($B26=0,1000000,IF(INDEX('計算A'!$D$60:$EQ$104,$B26,13)*DN26=1,IF(AND($E26=2,JC26=0),1000000,IF($I26&gt;0,IF(1=$J26,IF(OR(AND(13=$I26+1,OR($K26&lt;&gt;'計算A'!$A$3,'計算A'!$A$4=0)),AND(13=$I26-1,OR(13&lt;&gt;'計算A'!$A$3,'計算A'!$A$4=0))),0,IF(13=$K26,200000,ABS(13-$K26)*100)),100000+ABS(1-$J26)*1000+130)+'計算A'!P$5*50+IF(AND($E26=1,JC26=0),25,0),IF($F26&gt;0,INDEX('計算A'!P$110:P$114,$F26+1)+IF(AND($E26=1,JC26=0),1000,0),MIN(TU26,20)*400+(IF('計算A'!O$106=1,1-DM26,0)+IF('計算A'!P$106=1,1-DO26,0))*150+131+'計算A'!P$5*100000+IF(AND($E26=1,JC26=0),50000,0))+IF($H26=1,(IF('計算A'!O$117=1,INDEX('計算A'!O$10:O$54,$B26),0)+IF('計算A'!P$117=1,INDEX('計算A'!Q$10:Q$54,$B26),0))*4000,0)-IF(AND('計算A'!O$117=1,UM26&gt;0),2000,0)-IF(AND($L26=1,'計算A'!P$117=1,DO26=0),2000,0))),1000000))</f>
        <v/>
      </c>
      <c r="OS26">
        <f>IF($B26=0,1000000,IF(INDEX('計算A'!$D$60:$EQ$104,$B26,14)*DO26=1,IF(AND($E26=2,JD26=0),1000000,IF($I26&gt;0,IF(1=$J26,IF(OR(AND(14=$I26+1,OR($K26&lt;&gt;'計算A'!$A$3,'計算A'!$A$4=0)),AND(14=$I26-1,OR(14&lt;&gt;'計算A'!$A$3,'計算A'!$A$4=0))),0,IF(14=$K26,200000,ABS(14-$K26)*100)),100000+ABS(1-$J26)*1000+140)+'計算A'!Q$5*50+IF(AND($E26=1,JD26=0),25,0),IF($F26&gt;0,INDEX('計算A'!Q$110:Q$114,$F26+1)+IF(AND($E26=1,JD26=0),1000,0),MIN(TU26,20)*400+(IF('計算A'!P$106=1,1-DN26,0)+IF('計算A'!Q$106=1,1-DP26,0))*150+141+'計算A'!Q$5*100000+IF(AND($E26=1,JD26=0),50000,0))+IF($H26=1,(IF('計算A'!P$117=1,INDEX('計算A'!P$10:P$54,$B26),0)+IF('計算A'!Q$117=1,INDEX('計算A'!R$10:R$54,$B26),0))*4000,0)-IF(AND('計算A'!P$117=1,UN26&gt;0),2000,0)-IF(AND($L26=1,'計算A'!Q$117=1,DP26=0),2000,0))),1000000))</f>
        <v/>
      </c>
      <c r="OT26">
        <f>IF($B26=0,1000000,IF(INDEX('計算A'!$D$60:$EQ$104,$B26,15)*DP26=1,IF(AND($E26=2,JE26=0),1000000,IF($I26&gt;0,IF(1=$J26,IF(OR(AND(15=$I26+1,OR($K26&lt;&gt;'計算A'!$A$3,'計算A'!$A$4=0)),AND(15=$I26-1,OR(15&lt;&gt;'計算A'!$A$3,'計算A'!$A$4=0))),0,IF(15=$K26,200000,ABS(15-$K26)*100)),100000+ABS(1-$J26)*1000+150)+'計算A'!R$5*50+IF(AND($E26=1,JE26=0),25,0),IF($F26&gt;0,INDEX('計算A'!R$110:R$114,$F26+1)+IF(AND($E26=1,JE26=0),1000,0),MIN(TU26,20)*400+(IF('計算A'!Q$106=1,1-DO26,0)+IF('計算A'!R$106=1,1-DQ26,0))*150+151+'計算A'!R$5*100000+IF(AND($E26=1,JE26=0),50000,0))+IF($H26=1,(IF('計算A'!Q$117=1,INDEX('計算A'!Q$10:Q$54,$B26),0)+IF('計算A'!R$117=1,INDEX('計算A'!S$10:S$54,$B26),0))*4000,0)-IF(AND('計算A'!Q$117=1,UO26&gt;0),2000,0)-IF(AND($L26=1,'計算A'!R$117=1,DQ26=0),2000,0))),1000000))</f>
        <v/>
      </c>
      <c r="OU26">
        <f>IF($B26=0,1000000,IF(INDEX('計算A'!$D$60:$EQ$104,$B26,16)*DQ26=1,IF(AND($E26=2,JF26=0),1000000,IF($I26&gt;0,IF(1=$J26,IF(OR(AND(16=$I26+1,OR($K26&lt;&gt;'計算A'!$A$3,'計算A'!$A$4=0)),AND(16=$I26-1,OR(16&lt;&gt;'計算A'!$A$3,'計算A'!$A$4=0))),0,IF(16=$K26,200000,ABS(16-$K26)*100)),100000+ABS(1-$J26)*1000+160)+'計算A'!S$5*50+IF(AND($E26=1,JF26=0),25,0),IF($F26&gt;0,INDEX('計算A'!S$110:S$114,$F26+1)+IF(AND($E26=1,JF26=0),1000,0),MIN(TU26,20)*400+(IF('計算A'!R$106=1,1-DP26,0)+IF('計算A'!S$106=1,1-DR26,0))*150+161+'計算A'!S$5*100000+IF(AND($E26=1,JF26=0),50000,0))+IF($H26=1,(IF('計算A'!R$117=1,INDEX('計算A'!R$10:R$54,$B26),0)+IF('計算A'!S$117=1,INDEX('計算A'!T$10:T$54,$B26),0))*4000,0)-IF(AND('計算A'!R$117=1,UP26&gt;0),2000,0)-IF(AND($L26=1,'計算A'!S$117=1,DR26=0),2000,0))),1000000))</f>
        <v/>
      </c>
      <c r="OV26">
        <f>IF($B26=0,1000000,IF(INDEX('計算A'!$D$60:$EQ$104,$B26,17)*DR26=1,IF(AND($E26=2,JG26=0),1000000,IF($I26&gt;0,IF(1=$J26,IF(OR(AND(17=$I26+1,OR($K26&lt;&gt;'計算A'!$A$3,'計算A'!$A$4=0)),AND(17=$I26-1,OR(17&lt;&gt;'計算A'!$A$3,'計算A'!$A$4=0))),0,IF(17=$K26,200000,ABS(17-$K26)*100)),100000+ABS(1-$J26)*1000+170)+'計算A'!T$5*50+IF(AND($E26=1,JG26=0),25,0),IF($F26&gt;0,INDEX('計算A'!T$110:T$114,$F26+1)+IF(AND($E26=1,JG26=0),1000,0),MIN(TU26,20)*400+(IF('計算A'!S$106=1,1-DQ26,0)+IF('計算A'!T$106=1,1-DS26,0))*150+171+'計算A'!T$5*100000+IF(AND($E26=1,JG26=0),50000,0))+IF($H26=1,(IF('計算A'!S$117=1,INDEX('計算A'!S$10:S$54,$B26),0)+IF('計算A'!T$117=1,INDEX('計算A'!U$10:U$54,$B26),0))*4000,0)-IF(AND('計算A'!S$117=1,UQ26&gt;0),2000,0)-IF(AND($L26=1,'計算A'!T$117=1,DS26=0),2000,0))),1000000))</f>
        <v/>
      </c>
      <c r="OW26">
        <f>IF($B26=0,1000000,IF(INDEX('計算A'!$D$60:$EQ$104,$B26,18)*DS26=1,IF(AND($E26=2,JH26=0),1000000,IF($I26&gt;0,IF(1=$J26,IF(OR(AND(18=$I26+1,OR($K26&lt;&gt;'計算A'!$A$3,'計算A'!$A$4=0)),AND(18=$I26-1,OR(18&lt;&gt;'計算A'!$A$3,'計算A'!$A$4=0))),0,IF(18=$K26,200000,ABS(18-$K26)*100)),100000+ABS(1-$J26)*1000+180)+'計算A'!U$5*50+IF(AND($E26=1,JH26=0),25,0),IF($F26&gt;0,INDEX('計算A'!U$110:U$114,$F26+1)+IF(AND($E26=1,JH26=0),1000,0),MIN(TU26,20)*400+(IF('計算A'!T$106=1,1-DR26,0)+IF('計算A'!U$106=1,1-DT26,0))*150+181+'計算A'!U$5*100000+IF(AND($E26=1,JH26=0),50000,0))+IF($H26=1,(IF('計算A'!T$117=1,INDEX('計算A'!T$10:T$54,$B26),0)+IF('計算A'!U$117=1,INDEX('計算A'!V$10:V$54,$B26),0))*4000,0)-IF(AND('計算A'!T$117=1,UR26&gt;0),2000,0)-IF(AND($L26=1,'計算A'!U$117=1,DT26=0),2000,0))),1000000))</f>
        <v/>
      </c>
      <c r="OX26">
        <f>IF($B26=0,1000000,IF(INDEX('計算A'!$D$60:$EQ$104,$B26,19)*DT26=1,IF(AND($E26=2,JI26=0),1000000,IF($I26&gt;0,IF(1=$J26,IF(OR(AND(19=$I26+1,OR($K26&lt;&gt;'計算A'!$A$3,'計算A'!$A$4=0)),AND(19=$I26-1,OR(19&lt;&gt;'計算A'!$A$3,'計算A'!$A$4=0))),0,IF(19=$K26,200000,ABS(19-$K26)*100)),100000+ABS(1-$J26)*1000+190)+'計算A'!V$5*50+IF(AND($E26=1,JI26=0),25,0),IF($F26&gt;0,INDEX('計算A'!V$110:V$114,$F26+1)+IF(AND($E26=1,JI26=0),1000,0),MIN(TU26,20)*400+(IF('計算A'!U$106=1,1-DS26,0)+IF('計算A'!V$106=1,1-DU26,0))*150+191+'計算A'!V$5*100000+IF(AND($E26=1,JI26=0),50000,0))+IF($H26=1,(IF('計算A'!U$117=1,INDEX('計算A'!U$10:U$54,$B26),0)+IF('計算A'!V$117=1,INDEX('計算A'!W$10:W$54,$B26),0))*4000,0)-IF(AND('計算A'!U$117=1,US26&gt;0),2000,0)-IF(AND($L26=1,'計算A'!V$117=1,DU26=0),2000,0))),1000000))</f>
        <v/>
      </c>
      <c r="OY26">
        <f>IF($B26=0,1000000,IF(INDEX('計算A'!$D$60:$EQ$104,$B26,20)*DU26=1,IF(AND($E26=2,JJ26=0),1000000,IF($I26&gt;0,IF(1=$J26,IF(OR(AND(20=$I26+1,OR($K26&lt;&gt;'計算A'!$A$3,'計算A'!$A$4=0)),AND(20=$I26-1,OR(20&lt;&gt;'計算A'!$A$3,'計算A'!$A$4=0))),0,IF(20=$K26,200000,ABS(20-$K26)*100)),100000+ABS(1-$J26)*1000+200)+'計算A'!W$5*50+IF(AND($E26=1,JJ26=0),25,0),IF($F26&gt;0,INDEX('計算A'!W$110:W$114,$F26+1)+IF(AND($E26=1,JJ26=0),1000,0),MIN(TU26,20)*400+(IF('計算A'!V$106=1,1-DT26,0)+IF('計算A'!W$106=1,1-DV26,0))*150+201+'計算A'!W$5*100000+IF(AND($E26=1,JJ26=0),50000,0))+IF($H26=1,(IF('計算A'!V$117=1,INDEX('計算A'!V$10:V$54,$B26),0)+IF('計算A'!W$117=1,INDEX('計算A'!X$10:X$54,$B26),0))*4000,0)-IF(AND('計算A'!V$117=1,UT26&gt;0),2000,0)-IF(AND($L26=1,'計算A'!W$117=1,DV26=0),2000,0))),1000000))</f>
        <v/>
      </c>
      <c r="OZ26">
        <f>IF($B26=0,1000000,IF(INDEX('計算A'!$D$60:$EQ$104,$B26,21)*DV26=1,IF(AND($E26=2,JK26=0),1000000,IF($I26&gt;0,IF(1=$J26,IF(OR(AND(21=$I26+1,OR($K26&lt;&gt;'計算A'!$A$3,'計算A'!$A$4=0)),AND(21=$I26-1,OR(21&lt;&gt;'計算A'!$A$3,'計算A'!$A$4=0))),0,IF(21=$K26,200000,ABS(21-$K26)*100)),100000+ABS(1-$J26)*1000+210)+'計算A'!X$5*50+IF(AND($E26=1,JK26=0),25,0),IF($F26&gt;0,INDEX('計算A'!X$110:X$114,$F26+1)+IF(AND($E26=1,JK26=0),1000,0),MIN(TU26,20)*400+(IF('計算A'!W$106=1,1-DU26,0)+IF('計算A'!X$106=1,1-DW26,0))*150+211+'計算A'!X$5*100000+IF(AND($E26=1,JK26=0),50000,0))+IF($H26=1,(IF('計算A'!W$117=1,INDEX('計算A'!W$10:W$54,$B26),0)+IF('計算A'!X$117=1,INDEX('計算A'!Y$10:Y$54,$B26),0))*4000,0)-IF(AND('計算A'!W$117=1,UU26&gt;0),2000,0)-IF(AND($L26=1,'計算A'!X$117=1,DW26=0),2000,0))),1000000))</f>
        <v/>
      </c>
      <c r="PA26">
        <f>IF($B26=0,1000000,IF(INDEX('計算A'!$D$60:$EQ$104,$B26,22)*DW26=1,IF(AND($E26=2,JL26=0),1000000,IF($I26&gt;0,IF(1=$J26,IF(OR(AND(22=$I26+1,OR($K26&lt;&gt;'計算A'!$A$3,'計算A'!$A$4=0)),AND(22=$I26-1,OR(22&lt;&gt;'計算A'!$A$3,'計算A'!$A$4=0))),0,IF(22=$K26,200000,ABS(22-$K26)*100)),100000+ABS(1-$J26)*1000+220)+'計算A'!Y$5*50+IF(AND($E26=1,JL26=0),25,0),IF($F26&gt;0,INDEX('計算A'!Y$110:Y$114,$F26+1)+IF(AND($E26=1,JL26=0),1000,0),MIN(TU26,20)*400+(IF('計算A'!X$106=1,1-DV26,0)+IF('計算A'!Y$106=1,1-DX26,0))*150+221+'計算A'!Y$5*100000+IF(AND($E26=1,JL26=0),50000,0))+IF($H26=1,(IF('計算A'!X$117=1,INDEX('計算A'!X$10:X$54,$B26),0)+IF('計算A'!Y$117=1,INDEX('計算A'!Z$10:Z$54,$B26),0))*4000,0)-IF(AND('計算A'!X$117=1,UV26&gt;0),2000,0)-IF(AND($L26=1,'計算A'!Y$117=1,DX26=0),2000,0))),1000000))</f>
        <v/>
      </c>
      <c r="PB26">
        <f>IF($B26=0,1000000,IF(INDEX('計算A'!$D$60:$EQ$104,$B26,23)*DX26=1,IF(AND($E26=2,JM26=0),1000000,IF($I26&gt;0,IF(1=$J26,IF(OR(AND(23=$I26+1,OR($K26&lt;&gt;'計算A'!$A$3,'計算A'!$A$4=0)),AND(23=$I26-1,OR(23&lt;&gt;'計算A'!$A$3,'計算A'!$A$4=0))),0,IF(23=$K26,200000,ABS(23-$K26)*100)),100000+ABS(1-$J26)*1000+230)+'計算A'!Z$5*50+IF(AND($E26=1,JM26=0),25,0),IF($F26&gt;0,INDEX('計算A'!Z$110:Z$114,$F26+1)+IF(AND($E26=1,JM26=0),1000,0),MIN(TU26,20)*400+(IF('計算A'!Y$106=1,1-DW26,0)+IF('計算A'!Z$106=1,1-DY26,0))*150+231+'計算A'!Z$5*100000+IF(AND($E26=1,JM26=0),50000,0))+IF($H26=1,(IF('計算A'!Y$117=1,INDEX('計算A'!Y$10:Y$54,$B26),0)+IF('計算A'!Z$117=1,INDEX('計算A'!AA$10:AA$54,$B26),0))*4000,0)-IF(AND('計算A'!Y$117=1,UW26&gt;0),2000,0)-IF(AND($L26=1,'計算A'!Z$117=1,DY26=0),2000,0))),1000000))</f>
        <v/>
      </c>
      <c r="PC26">
        <f>IF($B26=0,1000000,IF(INDEX('計算A'!$D$60:$EQ$104,$B26,24)*DY26=1,IF(AND($E26=2,JN26=0),1000000,IF($I26&gt;0,IF(1=$J26,IF(OR(AND(24=$I26+1,OR($K26&lt;&gt;'計算A'!$A$3,'計算A'!$A$4=0)),AND(24=$I26-1,OR(24&lt;&gt;'計算A'!$A$3,'計算A'!$A$4=0))),0,IF(24=$K26,200000,ABS(24-$K26)*100)),100000+ABS(1-$J26)*1000+240)+'計算A'!AA$5*50+IF(AND($E26=1,JN26=0),25,0),IF($F26&gt;0,INDEX('計算A'!AA$110:AA$114,$F26+1)+IF(AND($E26=1,JN26=0),1000,0),MIN(TU26,20)*400+(IF('計算A'!Z$106=1,1-DX26,0))*150+241+'計算A'!AA$5*100000+IF(AND($E26=1,JN26=0),50000,0))+IF($H26=1,(IF('計算A'!Z$117=1,INDEX('計算A'!Z$10:Z$54,$B26),0))*4000,0)-IF(AND('計算A'!Z$117=1,UX26&gt;0),2000,0))),1000000))</f>
        <v/>
      </c>
      <c r="PD26">
        <f>IF($B26=0,1000000,IF(INDEX('計算A'!$D$60:$EQ$104,$B26,25)*DZ26=1,IF(AND($E26=2,JO26=0),1000000,IF($I26&gt;0,IF(2=$J26,IF(OR(AND(25=$I26+1,OR($K26&lt;&gt;'計算A'!$A$3,'計算A'!$A$4=0)),AND(25=$I26-1,OR(1&lt;&gt;'計算A'!$A$3,'計算A'!$A$4=0))),0,IF(1=$K26,200000,ABS(1-$K26)*100)),100000+ABS(2-$J26)*1000+10)+'計算A'!AB$5*50+IF(AND($E26=1,JO26=0),25,0),IF($F26&gt;0,INDEX('計算A'!AB$110:AB$114,$F26+1)+IF(AND($E26=1,JO26=0),1000,0),MIN(TV26,20)*400+(IF('計算A'!AB$106=1,1-EA26,0))*150+12+'計算A'!AB$5*100000+IF(AND($E26=1,JO26=0),50000,0))+IF($H26=1,(IF('計算A'!AB$117=1,INDEX('計算A'!AC$10:AC$54,$B26),0))*4000,0)-IF(AND($L26=1,'計算A'!AB$117=1,EA26=0),2000,0))),1000000))</f>
        <v/>
      </c>
      <c r="PE26">
        <f>IF($B26=0,1000000,IF(INDEX('計算A'!$D$60:$EQ$104,$B26,26)*EA26=1,IF(AND($E26=2,JP26=0),1000000,IF($I26&gt;0,IF(2=$J26,IF(OR(AND(26=$I26+1,OR($K26&lt;&gt;'計算A'!$A$3,'計算A'!$A$4=0)),AND(26=$I26-1,OR(2&lt;&gt;'計算A'!$A$3,'計算A'!$A$4=0))),0,IF(2=$K26,200000,ABS(2-$K26)*100)),100000+ABS(2-$J26)*1000+20)+'計算A'!AC$5*50+IF(AND($E26=1,JP26=0),25,0),IF($F26&gt;0,INDEX('計算A'!AC$110:AC$114,$F26+1)+IF(AND($E26=1,JP26=0),1000,0),MIN(TV26,20)*400+(IF('計算A'!AB$106=1,1-DZ26,0)+IF('計算A'!AC$106=1,1-EB26,0))*150+22+'計算A'!AC$5*100000+IF(AND($E26=1,JP26=0),50000,0))+IF($H26=1,(IF('計算A'!AB$117=1,INDEX('計算A'!AB$10:AB$54,$B26),0)+IF('計算A'!AC$117=1,INDEX('計算A'!AD$10:AD$54,$B26),0))*4000,0)-IF(AND('計算A'!AB$117=1,UZ26&gt;0),2000,0)-IF(AND($L26=1,'計算A'!AC$117=1,EB26=0),2000,0))),1000000))</f>
        <v/>
      </c>
      <c r="PF26">
        <f>IF($B26=0,1000000,IF(INDEX('計算A'!$D$60:$EQ$104,$B26,27)*EB26=1,IF(AND($E26=2,JQ26=0),1000000,IF($I26&gt;0,IF(2=$J26,IF(OR(AND(27=$I26+1,OR($K26&lt;&gt;'計算A'!$A$3,'計算A'!$A$4=0)),AND(27=$I26-1,OR(3&lt;&gt;'計算A'!$A$3,'計算A'!$A$4=0))),0,IF(3=$K26,200000,ABS(3-$K26)*100)),100000+ABS(2-$J26)*1000+30)+'計算A'!AD$5*50+IF(AND($E26=1,JQ26=0),25,0),IF($F26&gt;0,INDEX('計算A'!AD$110:AD$114,$F26+1)+IF(AND($E26=1,JQ26=0),1000,0),MIN(TV26,20)*400+(IF('計算A'!AC$106=1,1-EA26,0)+IF('計算A'!AD$106=1,1-EC26,0))*150+32+'計算A'!AD$5*100000+IF(AND($E26=1,JQ26=0),50000,0))+IF($H26=1,(IF('計算A'!AC$117=1,INDEX('計算A'!AC$10:AC$54,$B26),0)+IF('計算A'!AD$117=1,INDEX('計算A'!AE$10:AE$54,$B26),0))*4000,0)-IF(AND('計算A'!AC$117=1,VA26&gt;0),2000,0)-IF(AND($L26=1,'計算A'!AD$117=1,EC26=0),2000,0))),1000000))</f>
        <v/>
      </c>
      <c r="PG26">
        <f>IF($B26=0,1000000,IF(INDEX('計算A'!$D$60:$EQ$104,$B26,28)*EC26=1,IF(AND($E26=2,JR26=0),1000000,IF($I26&gt;0,IF(2=$J26,IF(OR(AND(28=$I26+1,OR($K26&lt;&gt;'計算A'!$A$3,'計算A'!$A$4=0)),AND(28=$I26-1,OR(4&lt;&gt;'計算A'!$A$3,'計算A'!$A$4=0))),0,IF(4=$K26,200000,ABS(4-$K26)*100)),100000+ABS(2-$J26)*1000+40)+'計算A'!AE$5*50+IF(AND($E26=1,JR26=0),25,0),IF($F26&gt;0,INDEX('計算A'!AE$110:AE$114,$F26+1)+IF(AND($E26=1,JR26=0),1000,0),MIN(TV26,20)*400+(IF('計算A'!AD$106=1,1-EB26,0)+IF('計算A'!AE$106=1,1-ED26,0))*150+42+'計算A'!AE$5*100000+IF(AND($E26=1,JR26=0),50000,0))+IF($H26=1,(IF('計算A'!AD$117=1,INDEX('計算A'!AD$10:AD$54,$B26),0)+IF('計算A'!AE$117=1,INDEX('計算A'!AF$10:AF$54,$B26),0))*4000,0)-IF(AND('計算A'!AD$117=1,VB26&gt;0),2000,0)-IF(AND($L26=1,'計算A'!AE$117=1,ED26=0),2000,0))),1000000))</f>
        <v/>
      </c>
      <c r="PH26">
        <f>IF($B26=0,1000000,IF(INDEX('計算A'!$D$60:$EQ$104,$B26,29)*ED26=1,IF(AND($E26=2,JS26=0),1000000,IF($I26&gt;0,IF(2=$J26,IF(OR(AND(29=$I26+1,OR($K26&lt;&gt;'計算A'!$A$3,'計算A'!$A$4=0)),AND(29=$I26-1,OR(5&lt;&gt;'計算A'!$A$3,'計算A'!$A$4=0))),0,IF(5=$K26,200000,ABS(5-$K26)*100)),100000+ABS(2-$J26)*1000+50)+'計算A'!AF$5*50+IF(AND($E26=1,JS26=0),25,0),IF($F26&gt;0,INDEX('計算A'!AF$110:AF$114,$F26+1)+IF(AND($E26=1,JS26=0),1000,0),MIN(TV26,20)*400+(IF('計算A'!AE$106=1,1-EC26,0)+IF('計算A'!AF$106=1,1-EE26,0))*150+52+'計算A'!AF$5*100000+IF(AND($E26=1,JS26=0),50000,0))+IF($H26=1,(IF('計算A'!AE$117=1,INDEX('計算A'!AE$10:AE$54,$B26),0)+IF('計算A'!AF$117=1,INDEX('計算A'!AG$10:AG$54,$B26),0))*4000,0)-IF(AND('計算A'!AE$117=1,VC26&gt;0),2000,0)-IF(AND($L26=1,'計算A'!AF$117=1,EE26=0),2000,0))),1000000))</f>
        <v/>
      </c>
      <c r="PI26">
        <f>IF($B26=0,1000000,IF(INDEX('計算A'!$D$60:$EQ$104,$B26,30)*EE26=1,IF(AND($E26=2,JT26=0),1000000,IF($I26&gt;0,IF(2=$J26,IF(OR(AND(30=$I26+1,OR($K26&lt;&gt;'計算A'!$A$3,'計算A'!$A$4=0)),AND(30=$I26-1,OR(6&lt;&gt;'計算A'!$A$3,'計算A'!$A$4=0))),0,IF(6=$K26,200000,ABS(6-$K26)*100)),100000+ABS(2-$J26)*1000+60)+'計算A'!AG$5*50+IF(AND($E26=1,JT26=0),25,0),IF($F26&gt;0,INDEX('計算A'!AG$110:AG$114,$F26+1)+IF(AND($E26=1,JT26=0),1000,0),MIN(TV26,20)*400+(IF('計算A'!AF$106=1,1-ED26,0)+IF('計算A'!AG$106=1,1-EF26,0))*150+62+'計算A'!AG$5*100000+IF(AND($E26=1,JT26=0),50000,0))+IF($H26=1,(IF('計算A'!AF$117=1,INDEX('計算A'!AF$10:AF$54,$B26),0)+IF('計算A'!AG$117=1,INDEX('計算A'!AH$10:AH$54,$B26),0))*4000,0)-IF(AND('計算A'!AF$117=1,VD26&gt;0),2000,0)-IF(AND($L26=1,'計算A'!AG$117=1,EF26=0),2000,0))),1000000))</f>
        <v/>
      </c>
      <c r="PJ26">
        <f>IF($B26=0,1000000,IF(INDEX('計算A'!$D$60:$EQ$104,$B26,31)*EF26=1,IF(AND($E26=2,JU26=0),1000000,IF($I26&gt;0,IF(2=$J26,IF(OR(AND(31=$I26+1,OR($K26&lt;&gt;'計算A'!$A$3,'計算A'!$A$4=0)),AND(31=$I26-1,OR(7&lt;&gt;'計算A'!$A$3,'計算A'!$A$4=0))),0,IF(7=$K26,200000,ABS(7-$K26)*100)),100000+ABS(2-$J26)*1000+70)+'計算A'!AH$5*50+IF(AND($E26=1,JU26=0),25,0),IF($F26&gt;0,INDEX('計算A'!AH$110:AH$114,$F26+1)+IF(AND($E26=1,JU26=0),1000,0),MIN(TV26,20)*400+(IF('計算A'!AG$106=1,1-EE26,0)+IF('計算A'!AH$106=1,1-EG26,0))*150+72+'計算A'!AH$5*100000+IF(AND($E26=1,JU26=0),50000,0))+IF($H26=1,(IF('計算A'!AG$117=1,INDEX('計算A'!AG$10:AG$54,$B26),0)+IF('計算A'!AH$117=1,INDEX('計算A'!AI$10:AI$54,$B26),0))*4000,0)-IF(AND('計算A'!AG$117=1,VE26&gt;0),2000,0)-IF(AND($L26=1,'計算A'!AH$117=1,EG26=0),2000,0))),1000000))</f>
        <v/>
      </c>
      <c r="PK26">
        <f>IF($B26=0,1000000,IF(INDEX('計算A'!$D$60:$EQ$104,$B26,32)*EG26=1,IF(AND($E26=2,JV26=0),1000000,IF($I26&gt;0,IF(2=$J26,IF(OR(AND(32=$I26+1,OR($K26&lt;&gt;'計算A'!$A$3,'計算A'!$A$4=0)),AND(32=$I26-1,OR(8&lt;&gt;'計算A'!$A$3,'計算A'!$A$4=0))),0,IF(8=$K26,200000,ABS(8-$K26)*100)),100000+ABS(2-$J26)*1000+80)+'計算A'!AI$5*50+IF(AND($E26=1,JV26=0),25,0),IF($F26&gt;0,INDEX('計算A'!AI$110:AI$114,$F26+1)+IF(AND($E26=1,JV26=0),1000,0),MIN(TV26,20)*400+(IF('計算A'!AH$106=1,1-EF26,0)+IF('計算A'!AI$106=1,1-EH26,0))*150+82+'計算A'!AI$5*100000+IF(AND($E26=1,JV26=0),50000,0))+IF($H26=1,(IF('計算A'!AH$117=1,INDEX('計算A'!AH$10:AH$54,$B26),0)+IF('計算A'!AI$117=1,INDEX('計算A'!AJ$10:AJ$54,$B26),0))*4000,0)-IF(AND('計算A'!AH$117=1,VF26&gt;0),2000,0)-IF(AND($L26=1,'計算A'!AI$117=1,EH26=0),2000,0))),1000000))</f>
        <v/>
      </c>
      <c r="PL26">
        <f>IF($B26=0,1000000,IF(INDEX('計算A'!$D$60:$EQ$104,$B26,33)*EH26=1,IF(AND($E26=2,JW26=0),1000000,IF($I26&gt;0,IF(2=$J26,IF(OR(AND(33=$I26+1,OR($K26&lt;&gt;'計算A'!$A$3,'計算A'!$A$4=0)),AND(33=$I26-1,OR(9&lt;&gt;'計算A'!$A$3,'計算A'!$A$4=0))),0,IF(9=$K26,200000,ABS(9-$K26)*100)),100000+ABS(2-$J26)*1000+90)+'計算A'!AJ$5*50+IF(AND($E26=1,JW26=0),25,0),IF($F26&gt;0,INDEX('計算A'!AJ$110:AJ$114,$F26+1)+IF(AND($E26=1,JW26=0),1000,0),MIN(TV26,20)*400+(IF('計算A'!AI$106=1,1-EG26,0)+IF('計算A'!AJ$106=1,1-EI26,0))*150+92+'計算A'!AJ$5*100000+IF(AND($E26=1,JW26=0),50000,0))+IF($H26=1,(IF('計算A'!AI$117=1,INDEX('計算A'!AI$10:AI$54,$B26),0)+IF('計算A'!AJ$117=1,INDEX('計算A'!AK$10:AK$54,$B26),0))*4000,0)-IF(AND('計算A'!AI$117=1,VG26&gt;0),2000,0)-IF(AND($L26=1,'計算A'!AJ$117=1,EI26=0),2000,0))),1000000))</f>
        <v/>
      </c>
      <c r="PM26">
        <f>IF($B26=0,1000000,IF(INDEX('計算A'!$D$60:$EQ$104,$B26,34)*EI26=1,IF(AND($E26=2,JX26=0),1000000,IF($I26&gt;0,IF(2=$J26,IF(OR(AND(34=$I26+1,OR($K26&lt;&gt;'計算A'!$A$3,'計算A'!$A$4=0)),AND(34=$I26-1,OR(10&lt;&gt;'計算A'!$A$3,'計算A'!$A$4=0))),0,IF(10=$K26,200000,ABS(10-$K26)*100)),100000+ABS(2-$J26)*1000+100)+'計算A'!AK$5*50+IF(AND($E26=1,JX26=0),25,0),IF($F26&gt;0,INDEX('計算A'!AK$110:AK$114,$F26+1)+IF(AND($E26=1,JX26=0),1000,0),MIN(TV26,20)*400+(IF('計算A'!AJ$106=1,1-EH26,0)+IF('計算A'!AK$106=1,1-EJ26,0))*150+102+'計算A'!AK$5*100000+IF(AND($E26=1,JX26=0),50000,0))+IF($H26=1,(IF('計算A'!AJ$117=1,INDEX('計算A'!AJ$10:AJ$54,$B26),0)+IF('計算A'!AK$117=1,INDEX('計算A'!AL$10:AL$54,$B26),0))*4000,0)-IF(AND('計算A'!AJ$117=1,VH26&gt;0),2000,0)-IF(AND($L26=1,'計算A'!AK$117=1,EJ26=0),2000,0))),1000000))</f>
        <v/>
      </c>
      <c r="PN26">
        <f>IF($B26=0,1000000,IF(INDEX('計算A'!$D$60:$EQ$104,$B26,35)*EJ26=1,IF(AND($E26=2,JY26=0),1000000,IF($I26&gt;0,IF(2=$J26,IF(OR(AND(35=$I26+1,OR($K26&lt;&gt;'計算A'!$A$3,'計算A'!$A$4=0)),AND(35=$I26-1,OR(11&lt;&gt;'計算A'!$A$3,'計算A'!$A$4=0))),0,IF(11=$K26,200000,ABS(11-$K26)*100)),100000+ABS(2-$J26)*1000+110)+'計算A'!AL$5*50+IF(AND($E26=1,JY26=0),25,0),IF($F26&gt;0,INDEX('計算A'!AL$110:AL$114,$F26+1)+IF(AND($E26=1,JY26=0),1000,0),MIN(TV26,20)*400+(IF('計算A'!AK$106=1,1-EI26,0)+IF('計算A'!AL$106=1,1-EK26,0))*150+112+'計算A'!AL$5*100000+IF(AND($E26=1,JY26=0),50000,0))+IF($H26=1,(IF('計算A'!AK$117=1,INDEX('計算A'!AK$10:AK$54,$B26),0)+IF('計算A'!AL$117=1,INDEX('計算A'!AM$10:AM$54,$B26),0))*4000,0)-IF(AND('計算A'!AK$117=1,VI26&gt;0),2000,0)-IF(AND($L26=1,'計算A'!AL$117=1,EK26=0),2000,0))),1000000))</f>
        <v/>
      </c>
      <c r="PO26">
        <f>IF($B26=0,1000000,IF(INDEX('計算A'!$D$60:$EQ$104,$B26,36)*EK26=1,IF(AND($E26=2,JZ26=0),1000000,IF($I26&gt;0,IF(2=$J26,IF(OR(AND(36=$I26+1,OR($K26&lt;&gt;'計算A'!$A$3,'計算A'!$A$4=0)),AND(36=$I26-1,OR(12&lt;&gt;'計算A'!$A$3,'計算A'!$A$4=0))),0,IF(12=$K26,200000,ABS(12-$K26)*100)),100000+ABS(2-$J26)*1000+120)+'計算A'!AM$5*50+IF(AND($E26=1,JZ26=0),25,0),IF($F26&gt;0,INDEX('計算A'!AM$110:AM$114,$F26+1)+IF(AND($E26=1,JZ26=0),1000,0),MIN(TV26,20)*400+(IF('計算A'!AL$106=1,1-EJ26,0)+IF('計算A'!AM$106=1,1-EL26,0))*150+122+'計算A'!AM$5*100000+IF(AND($E26=1,JZ26=0),50000,0))+IF($H26=1,(IF('計算A'!AL$117=1,INDEX('計算A'!AL$10:AL$54,$B26),0)+IF('計算A'!AM$117=1,INDEX('計算A'!AN$10:AN$54,$B26),0))*4000,0)-IF(AND('計算A'!AL$117=1,VJ26&gt;0),2000,0)-IF(AND($L26=1,'計算A'!AM$117=1,EL26=0),2000,0))),1000000))</f>
        <v/>
      </c>
      <c r="PP26">
        <f>IF($B26=0,1000000,IF(INDEX('計算A'!$D$60:$EQ$104,$B26,37)*EL26=1,IF(AND($E26=2,KA26=0),1000000,IF($I26&gt;0,IF(2=$J26,IF(OR(AND(37=$I26+1,OR($K26&lt;&gt;'計算A'!$A$3,'計算A'!$A$4=0)),AND(37=$I26-1,OR(13&lt;&gt;'計算A'!$A$3,'計算A'!$A$4=0))),0,IF(13=$K26,200000,ABS(13-$K26)*100)),100000+ABS(2-$J26)*1000+130)+'計算A'!AN$5*50+IF(AND($E26=1,KA26=0),25,0),IF($F26&gt;0,INDEX('計算A'!AN$110:AN$114,$F26+1)+IF(AND($E26=1,KA26=0),1000,0),MIN(TV26,20)*400+(IF('計算A'!AM$106=1,1-EK26,0)+IF('計算A'!AN$106=1,1-EM26,0))*150+132+'計算A'!AN$5*100000+IF(AND($E26=1,KA26=0),50000,0))+IF($H26=1,(IF('計算A'!AM$117=1,INDEX('計算A'!AM$10:AM$54,$B26),0)+IF('計算A'!AN$117=1,INDEX('計算A'!AO$10:AO$54,$B26),0))*4000,0)-IF(AND('計算A'!AM$117=1,VK26&gt;0),2000,0)-IF(AND($L26=1,'計算A'!AN$117=1,EM26=0),2000,0))),1000000))</f>
        <v/>
      </c>
      <c r="PQ26">
        <f>IF($B26=0,1000000,IF(INDEX('計算A'!$D$60:$EQ$104,$B26,38)*EM26=1,IF(AND($E26=2,KB26=0),1000000,IF($I26&gt;0,IF(2=$J26,IF(OR(AND(38=$I26+1,OR($K26&lt;&gt;'計算A'!$A$3,'計算A'!$A$4=0)),AND(38=$I26-1,OR(14&lt;&gt;'計算A'!$A$3,'計算A'!$A$4=0))),0,IF(14=$K26,200000,ABS(14-$K26)*100)),100000+ABS(2-$J26)*1000+140)+'計算A'!AO$5*50+IF(AND($E26=1,KB26=0),25,0),IF($F26&gt;0,INDEX('計算A'!AO$110:AO$114,$F26+1)+IF(AND($E26=1,KB26=0),1000,0),MIN(TV26,20)*400+(IF('計算A'!AN$106=1,1-EL26,0)+IF('計算A'!AO$106=1,1-EN26,0))*150+142+'計算A'!AO$5*100000+IF(AND($E26=1,KB26=0),50000,0))+IF($H26=1,(IF('計算A'!AN$117=1,INDEX('計算A'!AN$10:AN$54,$B26),0)+IF('計算A'!AO$117=1,INDEX('計算A'!AP$10:AP$54,$B26),0))*4000,0)-IF(AND('計算A'!AN$117=1,VL26&gt;0),2000,0)-IF(AND($L26=1,'計算A'!AO$117=1,EN26=0),2000,0))),1000000))</f>
        <v/>
      </c>
      <c r="PR26">
        <f>IF($B26=0,1000000,IF(INDEX('計算A'!$D$60:$EQ$104,$B26,39)*EN26=1,IF(AND($E26=2,KC26=0),1000000,IF($I26&gt;0,IF(2=$J26,IF(OR(AND(39=$I26+1,OR($K26&lt;&gt;'計算A'!$A$3,'計算A'!$A$4=0)),AND(39=$I26-1,OR(15&lt;&gt;'計算A'!$A$3,'計算A'!$A$4=0))),0,IF(15=$K26,200000,ABS(15-$K26)*100)),100000+ABS(2-$J26)*1000+150)+'計算A'!AP$5*50+IF(AND($E26=1,KC26=0),25,0),IF($F26&gt;0,INDEX('計算A'!AP$110:AP$114,$F26+1)+IF(AND($E26=1,KC26=0),1000,0),MIN(TV26,20)*400+(IF('計算A'!AO$106=1,1-EM26,0)+IF('計算A'!AP$106=1,1-EO26,0))*150+152+'計算A'!AP$5*100000+IF(AND($E26=1,KC26=0),50000,0))+IF($H26=1,(IF('計算A'!AO$117=1,INDEX('計算A'!AO$10:AO$54,$B26),0)+IF('計算A'!AP$117=1,INDEX('計算A'!AQ$10:AQ$54,$B26),0))*4000,0)-IF(AND('計算A'!AO$117=1,VM26&gt;0),2000,0)-IF(AND($L26=1,'計算A'!AP$117=1,EO26=0),2000,0))),1000000))</f>
        <v/>
      </c>
      <c r="PS26">
        <f>IF($B26=0,1000000,IF(INDEX('計算A'!$D$60:$EQ$104,$B26,40)*EO26=1,IF(AND($E26=2,KD26=0),1000000,IF($I26&gt;0,IF(2=$J26,IF(OR(AND(40=$I26+1,OR($K26&lt;&gt;'計算A'!$A$3,'計算A'!$A$4=0)),AND(40=$I26-1,OR(16&lt;&gt;'計算A'!$A$3,'計算A'!$A$4=0))),0,IF(16=$K26,200000,ABS(16-$K26)*100)),100000+ABS(2-$J26)*1000+160)+'計算A'!AQ$5*50+IF(AND($E26=1,KD26=0),25,0),IF($F26&gt;0,INDEX('計算A'!AQ$110:AQ$114,$F26+1)+IF(AND($E26=1,KD26=0),1000,0),MIN(TV26,20)*400+(IF('計算A'!AP$106=1,1-EN26,0)+IF('計算A'!AQ$106=1,1-EP26,0))*150+162+'計算A'!AQ$5*100000+IF(AND($E26=1,KD26=0),50000,0))+IF($H26=1,(IF('計算A'!AP$117=1,INDEX('計算A'!AP$10:AP$54,$B26),0)+IF('計算A'!AQ$117=1,INDEX('計算A'!AR$10:AR$54,$B26),0))*4000,0)-IF(AND('計算A'!AP$117=1,VN26&gt;0),2000,0)-IF(AND($L26=1,'計算A'!AQ$117=1,EP26=0),2000,0))),1000000))</f>
        <v/>
      </c>
      <c r="PT26">
        <f>IF($B26=0,1000000,IF(INDEX('計算A'!$D$60:$EQ$104,$B26,41)*EP26=1,IF(AND($E26=2,KE26=0),1000000,IF($I26&gt;0,IF(2=$J26,IF(OR(AND(41=$I26+1,OR($K26&lt;&gt;'計算A'!$A$3,'計算A'!$A$4=0)),AND(41=$I26-1,OR(17&lt;&gt;'計算A'!$A$3,'計算A'!$A$4=0))),0,IF(17=$K26,200000,ABS(17-$K26)*100)),100000+ABS(2-$J26)*1000+170)+'計算A'!AR$5*50+IF(AND($E26=1,KE26=0),25,0),IF($F26&gt;0,INDEX('計算A'!AR$110:AR$114,$F26+1)+IF(AND($E26=1,KE26=0),1000,0),MIN(TV26,20)*400+(IF('計算A'!AQ$106=1,1-EO26,0)+IF('計算A'!AR$106=1,1-EQ26,0))*150+172+'計算A'!AR$5*100000+IF(AND($E26=1,KE26=0),50000,0))+IF($H26=1,(IF('計算A'!AQ$117=1,INDEX('計算A'!AQ$10:AQ$54,$B26),0)+IF('計算A'!AR$117=1,INDEX('計算A'!AS$10:AS$54,$B26),0))*4000,0)-IF(AND('計算A'!AQ$117=1,VO26&gt;0),2000,0)-IF(AND($L26=1,'計算A'!AR$117=1,EQ26=0),2000,0))),1000000))</f>
        <v/>
      </c>
      <c r="PU26">
        <f>IF($B26=0,1000000,IF(INDEX('計算A'!$D$60:$EQ$104,$B26,42)*EQ26=1,IF(AND($E26=2,KF26=0),1000000,IF($I26&gt;0,IF(2=$J26,IF(OR(AND(42=$I26+1,OR($K26&lt;&gt;'計算A'!$A$3,'計算A'!$A$4=0)),AND(42=$I26-1,OR(18&lt;&gt;'計算A'!$A$3,'計算A'!$A$4=0))),0,IF(18=$K26,200000,ABS(18-$K26)*100)),100000+ABS(2-$J26)*1000+180)+'計算A'!AS$5*50+IF(AND($E26=1,KF26=0),25,0),IF($F26&gt;0,INDEX('計算A'!AS$110:AS$114,$F26+1)+IF(AND($E26=1,KF26=0),1000,0),MIN(TV26,20)*400+(IF('計算A'!AR$106=1,1-EP26,0)+IF('計算A'!AS$106=1,1-ER26,0))*150+182+'計算A'!AS$5*100000+IF(AND($E26=1,KF26=0),50000,0))+IF($H26=1,(IF('計算A'!AR$117=1,INDEX('計算A'!AR$10:AR$54,$B26),0)+IF('計算A'!AS$117=1,INDEX('計算A'!AT$10:AT$54,$B26),0))*4000,0)-IF(AND('計算A'!AR$117=1,VP26&gt;0),2000,0)-IF(AND($L26=1,'計算A'!AS$117=1,ER26=0),2000,0))),1000000))</f>
        <v/>
      </c>
      <c r="PV26">
        <f>IF($B26=0,1000000,IF(INDEX('計算A'!$D$60:$EQ$104,$B26,43)*ER26=1,IF(AND($E26=2,KG26=0),1000000,IF($I26&gt;0,IF(2=$J26,IF(OR(AND(43=$I26+1,OR($K26&lt;&gt;'計算A'!$A$3,'計算A'!$A$4=0)),AND(43=$I26-1,OR(19&lt;&gt;'計算A'!$A$3,'計算A'!$A$4=0))),0,IF(19=$K26,200000,ABS(19-$K26)*100)),100000+ABS(2-$J26)*1000+190)+'計算A'!AT$5*50+IF(AND($E26=1,KG26=0),25,0),IF($F26&gt;0,INDEX('計算A'!AT$110:AT$114,$F26+1)+IF(AND($E26=1,KG26=0),1000,0),MIN(TV26,20)*400+(IF('計算A'!AS$106=1,1-EQ26,0)+IF('計算A'!AT$106=1,1-ES26,0))*150+192+'計算A'!AT$5*100000+IF(AND($E26=1,KG26=0),50000,0))+IF($H26=1,(IF('計算A'!AS$117=1,INDEX('計算A'!AS$10:AS$54,$B26),0)+IF('計算A'!AT$117=1,INDEX('計算A'!AU$10:AU$54,$B26),0))*4000,0)-IF(AND('計算A'!AS$117=1,VQ26&gt;0),2000,0)-IF(AND($L26=1,'計算A'!AT$117=1,ES26=0),2000,0))),1000000))</f>
        <v/>
      </c>
      <c r="PW26">
        <f>IF($B26=0,1000000,IF(INDEX('計算A'!$D$60:$EQ$104,$B26,44)*ES26=1,IF(AND($E26=2,KH26=0),1000000,IF($I26&gt;0,IF(2=$J26,IF(OR(AND(44=$I26+1,OR($K26&lt;&gt;'計算A'!$A$3,'計算A'!$A$4=0)),AND(44=$I26-1,OR(20&lt;&gt;'計算A'!$A$3,'計算A'!$A$4=0))),0,IF(20=$K26,200000,ABS(20-$K26)*100)),100000+ABS(2-$J26)*1000+200)+'計算A'!AU$5*50+IF(AND($E26=1,KH26=0),25,0),IF($F26&gt;0,INDEX('計算A'!AU$110:AU$114,$F26+1)+IF(AND($E26=1,KH26=0),1000,0),MIN(TV26,20)*400+(IF('計算A'!AT$106=1,1-ER26,0)+IF('計算A'!AU$106=1,1-ET26,0))*150+202+'計算A'!AU$5*100000+IF(AND($E26=1,KH26=0),50000,0))+IF($H26=1,(IF('計算A'!AT$117=1,INDEX('計算A'!AT$10:AT$54,$B26),0)+IF('計算A'!AU$117=1,INDEX('計算A'!AV$10:AV$54,$B26),0))*4000,0)-IF(AND('計算A'!AT$117=1,VR26&gt;0),2000,0)-IF(AND($L26=1,'計算A'!AU$117=1,ET26=0),2000,0))),1000000))</f>
        <v/>
      </c>
      <c r="PX26">
        <f>IF($B26=0,1000000,IF(INDEX('計算A'!$D$60:$EQ$104,$B26,45)*ET26=1,IF(AND($E26=2,KI26=0),1000000,IF($I26&gt;0,IF(2=$J26,IF(OR(AND(45=$I26+1,OR($K26&lt;&gt;'計算A'!$A$3,'計算A'!$A$4=0)),AND(45=$I26-1,OR(21&lt;&gt;'計算A'!$A$3,'計算A'!$A$4=0))),0,IF(21=$K26,200000,ABS(21-$K26)*100)),100000+ABS(2-$J26)*1000+210)+'計算A'!AV$5*50+IF(AND($E26=1,KI26=0),25,0),IF($F26&gt;0,INDEX('計算A'!AV$110:AV$114,$F26+1)+IF(AND($E26=1,KI26=0),1000,0),MIN(TV26,20)*400+(IF('計算A'!AU$106=1,1-ES26,0)+IF('計算A'!AV$106=1,1-EU26,0))*150+212+'計算A'!AV$5*100000+IF(AND($E26=1,KI26=0),50000,0))+IF($H26=1,(IF('計算A'!AU$117=1,INDEX('計算A'!AU$10:AU$54,$B26),0)+IF('計算A'!AV$117=1,INDEX('計算A'!AW$10:AW$54,$B26),0))*4000,0)-IF(AND('計算A'!AU$117=1,VS26&gt;0),2000,0)-IF(AND($L26=1,'計算A'!AV$117=1,EU26=0),2000,0))),1000000))</f>
        <v/>
      </c>
      <c r="PY26">
        <f>IF($B26=0,1000000,IF(INDEX('計算A'!$D$60:$EQ$104,$B26,46)*EU26=1,IF(AND($E26=2,KJ26=0),1000000,IF($I26&gt;0,IF(2=$J26,IF(OR(AND(46=$I26+1,OR($K26&lt;&gt;'計算A'!$A$3,'計算A'!$A$4=0)),AND(46=$I26-1,OR(22&lt;&gt;'計算A'!$A$3,'計算A'!$A$4=0))),0,IF(22=$K26,200000,ABS(22-$K26)*100)),100000+ABS(2-$J26)*1000+220)+'計算A'!AW$5*50+IF(AND($E26=1,KJ26=0),25,0),IF($F26&gt;0,INDEX('計算A'!AW$110:AW$114,$F26+1)+IF(AND($E26=1,KJ26=0),1000,0),MIN(TV26,20)*400+(IF('計算A'!AV$106=1,1-ET26,0)+IF('計算A'!AW$106=1,1-EV26,0))*150+222+'計算A'!AW$5*100000+IF(AND($E26=1,KJ26=0),50000,0))+IF($H26=1,(IF('計算A'!AV$117=1,INDEX('計算A'!AV$10:AV$54,$B26),0)+IF('計算A'!AW$117=1,INDEX('計算A'!AX$10:AX$54,$B26),0))*4000,0)-IF(AND('計算A'!AV$117=1,VT26&gt;0),2000,0)-IF(AND($L26=1,'計算A'!AW$117=1,EV26=0),2000,0))),1000000))</f>
        <v/>
      </c>
      <c r="PZ26">
        <f>IF($B26=0,1000000,IF(INDEX('計算A'!$D$60:$EQ$104,$B26,47)*EV26=1,IF(AND($E26=2,KK26=0),1000000,IF($I26&gt;0,IF(2=$J26,IF(OR(AND(47=$I26+1,OR($K26&lt;&gt;'計算A'!$A$3,'計算A'!$A$4=0)),AND(47=$I26-1,OR(23&lt;&gt;'計算A'!$A$3,'計算A'!$A$4=0))),0,IF(23=$K26,200000,ABS(23-$K26)*100)),100000+ABS(2-$J26)*1000+230)+'計算A'!AX$5*50+IF(AND($E26=1,KK26=0),25,0),IF($F26&gt;0,INDEX('計算A'!AX$110:AX$114,$F26+1)+IF(AND($E26=1,KK26=0),1000,0),MIN(TV26,20)*400+(IF('計算A'!AW$106=1,1-EU26,0)+IF('計算A'!AX$106=1,1-EW26,0))*150+232+'計算A'!AX$5*100000+IF(AND($E26=1,KK26=0),50000,0))+IF($H26=1,(IF('計算A'!AW$117=1,INDEX('計算A'!AW$10:AW$54,$B26),0)+IF('計算A'!AX$117=1,INDEX('計算A'!AY$10:AY$54,$B26),0))*4000,0)-IF(AND('計算A'!AW$117=1,VU26&gt;0),2000,0)-IF(AND($L26=1,'計算A'!AX$117=1,EW26=0),2000,0))),1000000))</f>
        <v/>
      </c>
      <c r="QA26">
        <f>IF($B26=0,1000000,IF(INDEX('計算A'!$D$60:$EQ$104,$B26,48)*EW26=1,IF(AND($E26=2,KL26=0),1000000,IF($I26&gt;0,IF(2=$J26,IF(OR(AND(48=$I26+1,OR($K26&lt;&gt;'計算A'!$A$3,'計算A'!$A$4=0)),AND(48=$I26-1,OR(24&lt;&gt;'計算A'!$A$3,'計算A'!$A$4=0))),0,IF(24=$K26,200000,ABS(24-$K26)*100)),100000+ABS(2-$J26)*1000+240)+'計算A'!AY$5*50+IF(AND($E26=1,KL26=0),25,0),IF($F26&gt;0,INDEX('計算A'!AY$110:AY$114,$F26+1)+IF(AND($E26=1,KL26=0),1000,0),MIN(TV26,20)*400+(IF('計算A'!AX$106=1,1-EV26,0))*150+242+'計算A'!AY$5*100000+IF(AND($E26=1,KL26=0),50000,0))+IF($H26=1,(IF('計算A'!AX$117=1,INDEX('計算A'!AX$10:AX$54,$B26),0))*4000,0)-IF(AND('計算A'!AX$117=1,VV26&gt;0),2000,0))),1000000))</f>
        <v/>
      </c>
      <c r="QB26">
        <f>IF($B26=0,1000000,IF(INDEX('計算A'!$D$60:$EQ$104,$B26,49)*EX26=1,IF(AND($E26=2,KM26=0),1000000,IF($I26&gt;0,IF(3=$J26,IF(OR(AND(49=$I26+1,OR($K26&lt;&gt;'計算A'!$A$3,'計算A'!$A$4=0)),AND(49=$I26-1,OR(1&lt;&gt;'計算A'!$A$3,'計算A'!$A$4=0))),0,IF(1=$K26,200000,ABS(1-$K26)*100)),100000+ABS(3-$J26)*1000+10)+'計算A'!AZ$5*50+IF(AND($E26=1,KM26=0),25,0),IF($F26&gt;0,INDEX('計算A'!AZ$110:AZ$114,$F26+1)+IF(AND($E26=1,KM26=0),1000,0),MIN(TW26,20)*400+(IF('計算A'!AZ$106=1,1-EY26,0))*150+13+'計算A'!AZ$5*100000+IF(AND($E26=1,KM26=0),50000,0))+IF($H26=1,(IF('計算A'!AZ$117=1,INDEX('計算A'!BA$10:BA$54,$B26),0))*4000,0)-IF(AND($L26=1,'計算A'!AZ$117=1,EY26=0),2000,0))),1000000))</f>
        <v/>
      </c>
      <c r="QC26">
        <f>IF($B26=0,1000000,IF(INDEX('計算A'!$D$60:$EQ$104,$B26,50)*EY26=1,IF(AND($E26=2,KN26=0),1000000,IF($I26&gt;0,IF(3=$J26,IF(OR(AND(50=$I26+1,OR($K26&lt;&gt;'計算A'!$A$3,'計算A'!$A$4=0)),AND(50=$I26-1,OR(2&lt;&gt;'計算A'!$A$3,'計算A'!$A$4=0))),0,IF(2=$K26,200000,ABS(2-$K26)*100)),100000+ABS(3-$J26)*1000+20)+'計算A'!BA$5*50+IF(AND($E26=1,KN26=0),25,0),IF($F26&gt;0,INDEX('計算A'!BA$110:BA$114,$F26+1)+IF(AND($E26=1,KN26=0),1000,0),MIN(TW26,20)*400+(IF('計算A'!AZ$106=1,1-EX26,0)+IF('計算A'!BA$106=1,1-EZ26,0))*150+23+'計算A'!BA$5*100000+IF(AND($E26=1,KN26=0),50000,0))+IF($H26=1,(IF('計算A'!AZ$117=1,INDEX('計算A'!AZ$10:AZ$54,$B26),0)+IF('計算A'!BA$117=1,INDEX('計算A'!BB$10:BB$54,$B26),0))*4000,0)-IF(AND('計算A'!AZ$117=1,VX26&gt;0),2000,0)-IF(AND($L26=1,'計算A'!BA$117=1,EZ26=0),2000,0))),1000000))</f>
        <v/>
      </c>
      <c r="QD26">
        <f>IF($B26=0,1000000,IF(INDEX('計算A'!$D$60:$EQ$104,$B26,51)*EZ26=1,IF(AND($E26=2,KO26=0),1000000,IF($I26&gt;0,IF(3=$J26,IF(OR(AND(51=$I26+1,OR($K26&lt;&gt;'計算A'!$A$3,'計算A'!$A$4=0)),AND(51=$I26-1,OR(3&lt;&gt;'計算A'!$A$3,'計算A'!$A$4=0))),0,IF(3=$K26,200000,ABS(3-$K26)*100)),100000+ABS(3-$J26)*1000+30)+'計算A'!BB$5*50+IF(AND($E26=1,KO26=0),25,0),IF($F26&gt;0,INDEX('計算A'!BB$110:BB$114,$F26+1)+IF(AND($E26=1,KO26=0),1000,0),MIN(TW26,20)*400+(IF('計算A'!BA$106=1,1-EY26,0)+IF('計算A'!BB$106=1,1-FA26,0))*150+33+'計算A'!BB$5*100000+IF(AND($E26=1,KO26=0),50000,0))+IF($H26=1,(IF('計算A'!BA$117=1,INDEX('計算A'!BA$10:BA$54,$B26),0)+IF('計算A'!BB$117=1,INDEX('計算A'!BC$10:BC$54,$B26),0))*4000,0)-IF(AND('計算A'!BA$117=1,VY26&gt;0),2000,0)-IF(AND($L26=1,'計算A'!BB$117=1,FA26=0),2000,0))),1000000))</f>
        <v/>
      </c>
      <c r="QE26">
        <f>IF($B26=0,1000000,IF(INDEX('計算A'!$D$60:$EQ$104,$B26,52)*FA26=1,IF(AND($E26=2,KP26=0),1000000,IF($I26&gt;0,IF(3=$J26,IF(OR(AND(52=$I26+1,OR($K26&lt;&gt;'計算A'!$A$3,'計算A'!$A$4=0)),AND(52=$I26-1,OR(4&lt;&gt;'計算A'!$A$3,'計算A'!$A$4=0))),0,IF(4=$K26,200000,ABS(4-$K26)*100)),100000+ABS(3-$J26)*1000+40)+'計算A'!BC$5*50+IF(AND($E26=1,KP26=0),25,0),IF($F26&gt;0,INDEX('計算A'!BC$110:BC$114,$F26+1)+IF(AND($E26=1,KP26=0),1000,0),MIN(TW26,20)*400+(IF('計算A'!BB$106=1,1-EZ26,0)+IF('計算A'!BC$106=1,1-FB26,0))*150+43+'計算A'!BC$5*100000+IF(AND($E26=1,KP26=0),50000,0))+IF($H26=1,(IF('計算A'!BB$117=1,INDEX('計算A'!BB$10:BB$54,$B26),0)+IF('計算A'!BC$117=1,INDEX('計算A'!BD$10:BD$54,$B26),0))*4000,0)-IF(AND('計算A'!BB$117=1,VZ26&gt;0),2000,0)-IF(AND($L26=1,'計算A'!BC$117=1,FB26=0),2000,0))),1000000))</f>
        <v/>
      </c>
      <c r="QF26">
        <f>IF($B26=0,1000000,IF(INDEX('計算A'!$D$60:$EQ$104,$B26,53)*FB26=1,IF(AND($E26=2,KQ26=0),1000000,IF($I26&gt;0,IF(3=$J26,IF(OR(AND(53=$I26+1,OR($K26&lt;&gt;'計算A'!$A$3,'計算A'!$A$4=0)),AND(53=$I26-1,OR(5&lt;&gt;'計算A'!$A$3,'計算A'!$A$4=0))),0,IF(5=$K26,200000,ABS(5-$K26)*100)),100000+ABS(3-$J26)*1000+50)+'計算A'!BD$5*50+IF(AND($E26=1,KQ26=0),25,0),IF($F26&gt;0,INDEX('計算A'!BD$110:BD$114,$F26+1)+IF(AND($E26=1,KQ26=0),1000,0),MIN(TW26,20)*400+(IF('計算A'!BC$106=1,1-FA26,0)+IF('計算A'!BD$106=1,1-FC26,0))*150+53+'計算A'!BD$5*100000+IF(AND($E26=1,KQ26=0),50000,0))+IF($H26=1,(IF('計算A'!BC$117=1,INDEX('計算A'!BC$10:BC$54,$B26),0)+IF('計算A'!BD$117=1,INDEX('計算A'!BE$10:BE$54,$B26),0))*4000,0)-IF(AND('計算A'!BC$117=1,WA26&gt;0),2000,0)-IF(AND($L26=1,'計算A'!BD$117=1,FC26=0),2000,0))),1000000))</f>
        <v/>
      </c>
      <c r="QG26">
        <f>IF($B26=0,1000000,IF(INDEX('計算A'!$D$60:$EQ$104,$B26,54)*FC26=1,IF(AND($E26=2,KR26=0),1000000,IF($I26&gt;0,IF(3=$J26,IF(OR(AND(54=$I26+1,OR($K26&lt;&gt;'計算A'!$A$3,'計算A'!$A$4=0)),AND(54=$I26-1,OR(6&lt;&gt;'計算A'!$A$3,'計算A'!$A$4=0))),0,IF(6=$K26,200000,ABS(6-$K26)*100)),100000+ABS(3-$J26)*1000+60)+'計算A'!BE$5*50+IF(AND($E26=1,KR26=0),25,0),IF($F26&gt;0,INDEX('計算A'!BE$110:BE$114,$F26+1)+IF(AND($E26=1,KR26=0),1000,0),MIN(TW26,20)*400+(IF('計算A'!BD$106=1,1-FB26,0)+IF('計算A'!BE$106=1,1-FD26,0))*150+63+'計算A'!BE$5*100000+IF(AND($E26=1,KR26=0),50000,0))+IF($H26=1,(IF('計算A'!BD$117=1,INDEX('計算A'!BD$10:BD$54,$B26),0)+IF('計算A'!BE$117=1,INDEX('計算A'!BF$10:BF$54,$B26),0))*4000,0)-IF(AND('計算A'!BD$117=1,WB26&gt;0),2000,0)-IF(AND($L26=1,'計算A'!BE$117=1,FD26=0),2000,0))),1000000))</f>
        <v/>
      </c>
      <c r="QH26">
        <f>IF($B26=0,1000000,IF(INDEX('計算A'!$D$60:$EQ$104,$B26,55)*FD26=1,IF(AND($E26=2,KS26=0),1000000,IF($I26&gt;0,IF(3=$J26,IF(OR(AND(55=$I26+1,OR($K26&lt;&gt;'計算A'!$A$3,'計算A'!$A$4=0)),AND(55=$I26-1,OR(7&lt;&gt;'計算A'!$A$3,'計算A'!$A$4=0))),0,IF(7=$K26,200000,ABS(7-$K26)*100)),100000+ABS(3-$J26)*1000+70)+'計算A'!BF$5*50+IF(AND($E26=1,KS26=0),25,0),IF($F26&gt;0,INDEX('計算A'!BF$110:BF$114,$F26+1)+IF(AND($E26=1,KS26=0),1000,0),MIN(TW26,20)*400+(IF('計算A'!BE$106=1,1-FC26,0)+IF('計算A'!BF$106=1,1-FE26,0))*150+73+'計算A'!BF$5*100000+IF(AND($E26=1,KS26=0),50000,0))+IF($H26=1,(IF('計算A'!BE$117=1,INDEX('計算A'!BE$10:BE$54,$B26),0)+IF('計算A'!BF$117=1,INDEX('計算A'!BG$10:BG$54,$B26),0))*4000,0)-IF(AND('計算A'!BE$117=1,WC26&gt;0),2000,0)-IF(AND($L26=1,'計算A'!BF$117=1,FE26=0),2000,0))),1000000))</f>
        <v/>
      </c>
      <c r="QI26">
        <f>IF($B26=0,1000000,IF(INDEX('計算A'!$D$60:$EQ$104,$B26,56)*FE26=1,IF(AND($E26=2,KT26=0),1000000,IF($I26&gt;0,IF(3=$J26,IF(OR(AND(56=$I26+1,OR($K26&lt;&gt;'計算A'!$A$3,'計算A'!$A$4=0)),AND(56=$I26-1,OR(8&lt;&gt;'計算A'!$A$3,'計算A'!$A$4=0))),0,IF(8=$K26,200000,ABS(8-$K26)*100)),100000+ABS(3-$J26)*1000+80)+'計算A'!BG$5*50+IF(AND($E26=1,KT26=0),25,0),IF($F26&gt;0,INDEX('計算A'!BG$110:BG$114,$F26+1)+IF(AND($E26=1,KT26=0),1000,0),MIN(TW26,20)*400+(IF('計算A'!BF$106=1,1-FD26,0)+IF('計算A'!BG$106=1,1-FF26,0))*150+83+'計算A'!BG$5*100000+IF(AND($E26=1,KT26=0),50000,0))+IF($H26=1,(IF('計算A'!BF$117=1,INDEX('計算A'!BF$10:BF$54,$B26),0)+IF('計算A'!BG$117=1,INDEX('計算A'!BH$10:BH$54,$B26),0))*4000,0)-IF(AND('計算A'!BF$117=1,WD26&gt;0),2000,0)-IF(AND($L26=1,'計算A'!BG$117=1,FF26=0),2000,0))),1000000))</f>
        <v/>
      </c>
      <c r="QJ26">
        <f>IF($B26=0,1000000,IF(INDEX('計算A'!$D$60:$EQ$104,$B26,57)*FF26=1,IF(AND($E26=2,KU26=0),1000000,IF($I26&gt;0,IF(3=$J26,IF(OR(AND(57=$I26+1,OR($K26&lt;&gt;'計算A'!$A$3,'計算A'!$A$4=0)),AND(57=$I26-1,OR(9&lt;&gt;'計算A'!$A$3,'計算A'!$A$4=0))),0,IF(9=$K26,200000,ABS(9-$K26)*100)),100000+ABS(3-$J26)*1000+90)+'計算A'!BH$5*50+IF(AND($E26=1,KU26=0),25,0),IF($F26&gt;0,INDEX('計算A'!BH$110:BH$114,$F26+1)+IF(AND($E26=1,KU26=0),1000,0),MIN(TW26,20)*400+(IF('計算A'!BG$106=1,1-FE26,0)+IF('計算A'!BH$106=1,1-FG26,0))*150+93+'計算A'!BH$5*100000+IF(AND($E26=1,KU26=0),50000,0))+IF($H26=1,(IF('計算A'!BG$117=1,INDEX('計算A'!BG$10:BG$54,$B26),0)+IF('計算A'!BH$117=1,INDEX('計算A'!BI$10:BI$54,$B26),0))*4000,0)-IF(AND('計算A'!BG$117=1,WE26&gt;0),2000,0)-IF(AND($L26=1,'計算A'!BH$117=1,FG26=0),2000,0))),1000000))</f>
        <v/>
      </c>
      <c r="QK26">
        <f>IF($B26=0,1000000,IF(INDEX('計算A'!$D$60:$EQ$104,$B26,58)*FG26=1,IF(AND($E26=2,KV26=0),1000000,IF($I26&gt;0,IF(3=$J26,IF(OR(AND(58=$I26+1,OR($K26&lt;&gt;'計算A'!$A$3,'計算A'!$A$4=0)),AND(58=$I26-1,OR(10&lt;&gt;'計算A'!$A$3,'計算A'!$A$4=0))),0,IF(10=$K26,200000,ABS(10-$K26)*100)),100000+ABS(3-$J26)*1000+100)+'計算A'!BI$5*50+IF(AND($E26=1,KV26=0),25,0),IF($F26&gt;0,INDEX('計算A'!BI$110:BI$114,$F26+1)+IF(AND($E26=1,KV26=0),1000,0),MIN(TW26,20)*400+(IF('計算A'!BH$106=1,1-FF26,0)+IF('計算A'!BI$106=1,1-FH26,0))*150+103+'計算A'!BI$5*100000+IF(AND($E26=1,KV26=0),50000,0))+IF($H26=1,(IF('計算A'!BH$117=1,INDEX('計算A'!BH$10:BH$54,$B26),0)+IF('計算A'!BI$117=1,INDEX('計算A'!BJ$10:BJ$54,$B26),0))*4000,0)-IF(AND('計算A'!BH$117=1,WF26&gt;0),2000,0)-IF(AND($L26=1,'計算A'!BI$117=1,FH26=0),2000,0))),1000000))</f>
        <v/>
      </c>
      <c r="QL26">
        <f>IF($B26=0,1000000,IF(INDEX('計算A'!$D$60:$EQ$104,$B26,59)*FH26=1,IF(AND($E26=2,KW26=0),1000000,IF($I26&gt;0,IF(3=$J26,IF(OR(AND(59=$I26+1,OR($K26&lt;&gt;'計算A'!$A$3,'計算A'!$A$4=0)),AND(59=$I26-1,OR(11&lt;&gt;'計算A'!$A$3,'計算A'!$A$4=0))),0,IF(11=$K26,200000,ABS(11-$K26)*100)),100000+ABS(3-$J26)*1000+110)+'計算A'!BJ$5*50+IF(AND($E26=1,KW26=0),25,0),IF($F26&gt;0,INDEX('計算A'!BJ$110:BJ$114,$F26+1)+IF(AND($E26=1,KW26=0),1000,0),MIN(TW26,20)*400+(IF('計算A'!BI$106=1,1-FG26,0)+IF('計算A'!BJ$106=1,1-FI26,0))*150+113+'計算A'!BJ$5*100000+IF(AND($E26=1,KW26=0),50000,0))+IF($H26=1,(IF('計算A'!BI$117=1,INDEX('計算A'!BI$10:BI$54,$B26),0)+IF('計算A'!BJ$117=1,INDEX('計算A'!BK$10:BK$54,$B26),0))*4000,0)-IF(AND('計算A'!BI$117=1,WG26&gt;0),2000,0)-IF(AND($L26=1,'計算A'!BJ$117=1,FI26=0),2000,0))),1000000))</f>
        <v/>
      </c>
      <c r="QM26">
        <f>IF($B26=0,1000000,IF(INDEX('計算A'!$D$60:$EQ$104,$B26,60)*FI26=1,IF(AND($E26=2,KX26=0),1000000,IF($I26&gt;0,IF(3=$J26,IF(OR(AND(60=$I26+1,OR($K26&lt;&gt;'計算A'!$A$3,'計算A'!$A$4=0)),AND(60=$I26-1,OR(12&lt;&gt;'計算A'!$A$3,'計算A'!$A$4=0))),0,IF(12=$K26,200000,ABS(12-$K26)*100)),100000+ABS(3-$J26)*1000+120)+'計算A'!BK$5*50+IF(AND($E26=1,KX26=0),25,0),IF($F26&gt;0,INDEX('計算A'!BK$110:BK$114,$F26+1)+IF(AND($E26=1,KX26=0),1000,0),MIN(TW26,20)*400+(IF('計算A'!BJ$106=1,1-FH26,0)+IF('計算A'!BK$106=1,1-FJ26,0))*150+123+'計算A'!BK$5*100000+IF(AND($E26=1,KX26=0),50000,0))+IF($H26=1,(IF('計算A'!BJ$117=1,INDEX('計算A'!BJ$10:BJ$54,$B26),0)+IF('計算A'!BK$117=1,INDEX('計算A'!BL$10:BL$54,$B26),0))*4000,0)-IF(AND('計算A'!BJ$117=1,WH26&gt;0),2000,0)-IF(AND($L26=1,'計算A'!BK$117=1,FJ26=0),2000,0))),1000000))</f>
        <v/>
      </c>
      <c r="QN26">
        <f>IF($B26=0,1000000,IF(INDEX('計算A'!$D$60:$EQ$104,$B26,61)*FJ26=1,IF(AND($E26=2,KY26=0),1000000,IF($I26&gt;0,IF(3=$J26,IF(OR(AND(61=$I26+1,OR($K26&lt;&gt;'計算A'!$A$3,'計算A'!$A$4=0)),AND(61=$I26-1,OR(13&lt;&gt;'計算A'!$A$3,'計算A'!$A$4=0))),0,IF(13=$K26,200000,ABS(13-$K26)*100)),100000+ABS(3-$J26)*1000+130)+'計算A'!BL$5*50+IF(AND($E26=1,KY26=0),25,0),IF($F26&gt;0,INDEX('計算A'!BL$110:BL$114,$F26+1)+IF(AND($E26=1,KY26=0),1000,0),MIN(TW26,20)*400+(IF('計算A'!BK$106=1,1-FI26,0)+IF('計算A'!BL$106=1,1-FK26,0))*150+133+'計算A'!BL$5*100000+IF(AND($E26=1,KY26=0),50000,0))+IF($H26=1,(IF('計算A'!BK$117=1,INDEX('計算A'!BK$10:BK$54,$B26),0)+IF('計算A'!BL$117=1,INDEX('計算A'!BM$10:BM$54,$B26),0))*4000,0)-IF(AND('計算A'!BK$117=1,WI26&gt;0),2000,0)-IF(AND($L26=1,'計算A'!BL$117=1,FK26=0),2000,0))),1000000))</f>
        <v/>
      </c>
      <c r="QO26">
        <f>IF($B26=0,1000000,IF(INDEX('計算A'!$D$60:$EQ$104,$B26,62)*FK26=1,IF(AND($E26=2,KZ26=0),1000000,IF($I26&gt;0,IF(3=$J26,IF(OR(AND(62=$I26+1,OR($K26&lt;&gt;'計算A'!$A$3,'計算A'!$A$4=0)),AND(62=$I26-1,OR(14&lt;&gt;'計算A'!$A$3,'計算A'!$A$4=0))),0,IF(14=$K26,200000,ABS(14-$K26)*100)),100000+ABS(3-$J26)*1000+140)+'計算A'!BM$5*50+IF(AND($E26=1,KZ26=0),25,0),IF($F26&gt;0,INDEX('計算A'!BM$110:BM$114,$F26+1)+IF(AND($E26=1,KZ26=0),1000,0),MIN(TW26,20)*400+(IF('計算A'!BL$106=1,1-FJ26,0)+IF('計算A'!BM$106=1,1-FL26,0))*150+143+'計算A'!BM$5*100000+IF(AND($E26=1,KZ26=0),50000,0))+IF($H26=1,(IF('計算A'!BL$117=1,INDEX('計算A'!BL$10:BL$54,$B26),0)+IF('計算A'!BM$117=1,INDEX('計算A'!BN$10:BN$54,$B26),0))*4000,0)-IF(AND('計算A'!BL$117=1,WJ26&gt;0),2000,0)-IF(AND($L26=1,'計算A'!BM$117=1,FL26=0),2000,0))),1000000))</f>
        <v/>
      </c>
      <c r="QP26">
        <f>IF($B26=0,1000000,IF(INDEX('計算A'!$D$60:$EQ$104,$B26,63)*FL26=1,IF(AND($E26=2,LA26=0),1000000,IF($I26&gt;0,IF(3=$J26,IF(OR(AND(63=$I26+1,OR($K26&lt;&gt;'計算A'!$A$3,'計算A'!$A$4=0)),AND(63=$I26-1,OR(15&lt;&gt;'計算A'!$A$3,'計算A'!$A$4=0))),0,IF(15=$K26,200000,ABS(15-$K26)*100)),100000+ABS(3-$J26)*1000+150)+'計算A'!BN$5*50+IF(AND($E26=1,LA26=0),25,0),IF($F26&gt;0,INDEX('計算A'!BN$110:BN$114,$F26+1)+IF(AND($E26=1,LA26=0),1000,0),MIN(TW26,20)*400+(IF('計算A'!BM$106=1,1-FK26,0)+IF('計算A'!BN$106=1,1-FM26,0))*150+153+'計算A'!BN$5*100000+IF(AND($E26=1,LA26=0),50000,0))+IF($H26=1,(IF('計算A'!BM$117=1,INDEX('計算A'!BM$10:BM$54,$B26),0)+IF('計算A'!BN$117=1,INDEX('計算A'!BO$10:BO$54,$B26),0))*4000,0)-IF(AND('計算A'!BM$117=1,WK26&gt;0),2000,0)-IF(AND($L26=1,'計算A'!BN$117=1,FM26=0),2000,0))),1000000))</f>
        <v/>
      </c>
      <c r="QQ26">
        <f>IF($B26=0,1000000,IF(INDEX('計算A'!$D$60:$EQ$104,$B26,64)*FM26=1,IF(AND($E26=2,LB26=0),1000000,IF($I26&gt;0,IF(3=$J26,IF(OR(AND(64=$I26+1,OR($K26&lt;&gt;'計算A'!$A$3,'計算A'!$A$4=0)),AND(64=$I26-1,OR(16&lt;&gt;'計算A'!$A$3,'計算A'!$A$4=0))),0,IF(16=$K26,200000,ABS(16-$K26)*100)),100000+ABS(3-$J26)*1000+160)+'計算A'!BO$5*50+IF(AND($E26=1,LB26=0),25,0),IF($F26&gt;0,INDEX('計算A'!BO$110:BO$114,$F26+1)+IF(AND($E26=1,LB26=0),1000,0),MIN(TW26,20)*400+(IF('計算A'!BN$106=1,1-FL26,0)+IF('計算A'!BO$106=1,1-FN26,0))*150+163+'計算A'!BO$5*100000+IF(AND($E26=1,LB26=0),50000,0))+IF($H26=1,(IF('計算A'!BN$117=1,INDEX('計算A'!BN$10:BN$54,$B26),0)+IF('計算A'!BO$117=1,INDEX('計算A'!BP$10:BP$54,$B26),0))*4000,0)-IF(AND('計算A'!BN$117=1,WL26&gt;0),2000,0)-IF(AND($L26=1,'計算A'!BO$117=1,FN26=0),2000,0))),1000000))</f>
        <v/>
      </c>
      <c r="QR26">
        <f>IF($B26=0,1000000,IF(INDEX('計算A'!$D$60:$EQ$104,$B26,65)*FN26=1,IF(AND($E26=2,LC26=0),1000000,IF($I26&gt;0,IF(3=$J26,IF(OR(AND(65=$I26+1,OR($K26&lt;&gt;'計算A'!$A$3,'計算A'!$A$4=0)),AND(65=$I26-1,OR(17&lt;&gt;'計算A'!$A$3,'計算A'!$A$4=0))),0,IF(17=$K26,200000,ABS(17-$K26)*100)),100000+ABS(3-$J26)*1000+170)+'計算A'!BP$5*50+IF(AND($E26=1,LC26=0),25,0),IF($F26&gt;0,INDEX('計算A'!BP$110:BP$114,$F26+1)+IF(AND($E26=1,LC26=0),1000,0),MIN(TW26,20)*400+(IF('計算A'!BO$106=1,1-FM26,0)+IF('計算A'!BP$106=1,1-FO26,0))*150+173+'計算A'!BP$5*100000+IF(AND($E26=1,LC26=0),50000,0))+IF($H26=1,(IF('計算A'!BO$117=1,INDEX('計算A'!BO$10:BO$54,$B26),0)+IF('計算A'!BP$117=1,INDEX('計算A'!BQ$10:BQ$54,$B26),0))*4000,0)-IF(AND('計算A'!BO$117=1,WM26&gt;0),2000,0)-IF(AND($L26=1,'計算A'!BP$117=1,FO26=0),2000,0))),1000000))</f>
        <v/>
      </c>
      <c r="QS26">
        <f>IF($B26=0,1000000,IF(INDEX('計算A'!$D$60:$EQ$104,$B26,66)*FO26=1,IF(AND($E26=2,LD26=0),1000000,IF($I26&gt;0,IF(3=$J26,IF(OR(AND(66=$I26+1,OR($K26&lt;&gt;'計算A'!$A$3,'計算A'!$A$4=0)),AND(66=$I26-1,OR(18&lt;&gt;'計算A'!$A$3,'計算A'!$A$4=0))),0,IF(18=$K26,200000,ABS(18-$K26)*100)),100000+ABS(3-$J26)*1000+180)+'計算A'!BQ$5*50+IF(AND($E26=1,LD26=0),25,0),IF($F26&gt;0,INDEX('計算A'!BQ$110:BQ$114,$F26+1)+IF(AND($E26=1,LD26=0),1000,0),MIN(TW26,20)*400+(IF('計算A'!BP$106=1,1-FN26,0)+IF('計算A'!BQ$106=1,1-FP26,0))*150+183+'計算A'!BQ$5*100000+IF(AND($E26=1,LD26=0),50000,0))+IF($H26=1,(IF('計算A'!BP$117=1,INDEX('計算A'!BP$10:BP$54,$B26),0)+IF('計算A'!BQ$117=1,INDEX('計算A'!BR$10:BR$54,$B26),0))*4000,0)-IF(AND('計算A'!BP$117=1,WN26&gt;0),2000,0)-IF(AND($L26=1,'計算A'!BQ$117=1,FP26=0),2000,0))),1000000))</f>
        <v/>
      </c>
      <c r="QT26">
        <f>IF($B26=0,1000000,IF(INDEX('計算A'!$D$60:$EQ$104,$B26,67)*FP26=1,IF(AND($E26=2,LE26=0),1000000,IF($I26&gt;0,IF(3=$J26,IF(OR(AND(67=$I26+1,OR($K26&lt;&gt;'計算A'!$A$3,'計算A'!$A$4=0)),AND(67=$I26-1,OR(19&lt;&gt;'計算A'!$A$3,'計算A'!$A$4=0))),0,IF(19=$K26,200000,ABS(19-$K26)*100)),100000+ABS(3-$J26)*1000+190)+'計算A'!BR$5*50+IF(AND($E26=1,LE26=0),25,0),IF($F26&gt;0,INDEX('計算A'!BR$110:BR$114,$F26+1)+IF(AND($E26=1,LE26=0),1000,0),MIN(TW26,20)*400+(IF('計算A'!BQ$106=1,1-FO26,0)+IF('計算A'!BR$106=1,1-FQ26,0))*150+193+'計算A'!BR$5*100000+IF(AND($E26=1,LE26=0),50000,0))+IF($H26=1,(IF('計算A'!BQ$117=1,INDEX('計算A'!BQ$10:BQ$54,$B26),0)+IF('計算A'!BR$117=1,INDEX('計算A'!BS$10:BS$54,$B26),0))*4000,0)-IF(AND('計算A'!BQ$117=1,WO26&gt;0),2000,0)-IF(AND($L26=1,'計算A'!BR$117=1,FQ26=0),2000,0))),1000000))</f>
        <v/>
      </c>
      <c r="QU26">
        <f>IF($B26=0,1000000,IF(INDEX('計算A'!$D$60:$EQ$104,$B26,68)*FQ26=1,IF(AND($E26=2,LF26=0),1000000,IF($I26&gt;0,IF(3=$J26,IF(OR(AND(68=$I26+1,OR($K26&lt;&gt;'計算A'!$A$3,'計算A'!$A$4=0)),AND(68=$I26-1,OR(20&lt;&gt;'計算A'!$A$3,'計算A'!$A$4=0))),0,IF(20=$K26,200000,ABS(20-$K26)*100)),100000+ABS(3-$J26)*1000+200)+'計算A'!BS$5*50+IF(AND($E26=1,LF26=0),25,0),IF($F26&gt;0,INDEX('計算A'!BS$110:BS$114,$F26+1)+IF(AND($E26=1,LF26=0),1000,0),MIN(TW26,20)*400+(IF('計算A'!BR$106=1,1-FP26,0)+IF('計算A'!BS$106=1,1-FR26,0))*150+203+'計算A'!BS$5*100000+IF(AND($E26=1,LF26=0),50000,0))+IF($H26=1,(IF('計算A'!BR$117=1,INDEX('計算A'!BR$10:BR$54,$B26),0)+IF('計算A'!BS$117=1,INDEX('計算A'!BT$10:BT$54,$B26),0))*4000,0)-IF(AND('計算A'!BR$117=1,WP26&gt;0),2000,0)-IF(AND($L26=1,'計算A'!BS$117=1,FR26=0),2000,0))),1000000))</f>
        <v/>
      </c>
      <c r="QV26">
        <f>IF($B26=0,1000000,IF(INDEX('計算A'!$D$60:$EQ$104,$B26,69)*FR26=1,IF(AND($E26=2,LG26=0),1000000,IF($I26&gt;0,IF(3=$J26,IF(OR(AND(69=$I26+1,OR($K26&lt;&gt;'計算A'!$A$3,'計算A'!$A$4=0)),AND(69=$I26-1,OR(21&lt;&gt;'計算A'!$A$3,'計算A'!$A$4=0))),0,IF(21=$K26,200000,ABS(21-$K26)*100)),100000+ABS(3-$J26)*1000+210)+'計算A'!BT$5*50+IF(AND($E26=1,LG26=0),25,0),IF($F26&gt;0,INDEX('計算A'!BT$110:BT$114,$F26+1)+IF(AND($E26=1,LG26=0),1000,0),MIN(TW26,20)*400+(IF('計算A'!BS$106=1,1-FQ26,0)+IF('計算A'!BT$106=1,1-FS26,0))*150+213+'計算A'!BT$5*100000+IF(AND($E26=1,LG26=0),50000,0))+IF($H26=1,(IF('計算A'!BS$117=1,INDEX('計算A'!BS$10:BS$54,$B26),0)+IF('計算A'!BT$117=1,INDEX('計算A'!BU$10:BU$54,$B26),0))*4000,0)-IF(AND('計算A'!BS$117=1,WQ26&gt;0),2000,0)-IF(AND($L26=1,'計算A'!BT$117=1,FS26=0),2000,0))),1000000))</f>
        <v/>
      </c>
      <c r="QW26">
        <f>IF($B26=0,1000000,IF(INDEX('計算A'!$D$60:$EQ$104,$B26,70)*FS26=1,IF(AND($E26=2,LH26=0),1000000,IF($I26&gt;0,IF(3=$J26,IF(OR(AND(70=$I26+1,OR($K26&lt;&gt;'計算A'!$A$3,'計算A'!$A$4=0)),AND(70=$I26-1,OR(22&lt;&gt;'計算A'!$A$3,'計算A'!$A$4=0))),0,IF(22=$K26,200000,ABS(22-$K26)*100)),100000+ABS(3-$J26)*1000+220)+'計算A'!BU$5*50+IF(AND($E26=1,LH26=0),25,0),IF($F26&gt;0,INDEX('計算A'!BU$110:BU$114,$F26+1)+IF(AND($E26=1,LH26=0),1000,0),MIN(TW26,20)*400+(IF('計算A'!BT$106=1,1-FR26,0)+IF('計算A'!BU$106=1,1-FT26,0))*150+223+'計算A'!BU$5*100000+IF(AND($E26=1,LH26=0),50000,0))+IF($H26=1,(IF('計算A'!BT$117=1,INDEX('計算A'!BT$10:BT$54,$B26),0)+IF('計算A'!BU$117=1,INDEX('計算A'!BV$10:BV$54,$B26),0))*4000,0)-IF(AND('計算A'!BT$117=1,WR26&gt;0),2000,0)-IF(AND($L26=1,'計算A'!BU$117=1,FT26=0),2000,0))),1000000))</f>
        <v/>
      </c>
      <c r="QX26">
        <f>IF($B26=0,1000000,IF(INDEX('計算A'!$D$60:$EQ$104,$B26,71)*FT26=1,IF(AND($E26=2,LI26=0),1000000,IF($I26&gt;0,IF(3=$J26,IF(OR(AND(71=$I26+1,OR($K26&lt;&gt;'計算A'!$A$3,'計算A'!$A$4=0)),AND(71=$I26-1,OR(23&lt;&gt;'計算A'!$A$3,'計算A'!$A$4=0))),0,IF(23=$K26,200000,ABS(23-$K26)*100)),100000+ABS(3-$J26)*1000+230)+'計算A'!BV$5*50+IF(AND($E26=1,LI26=0),25,0),IF($F26&gt;0,INDEX('計算A'!BV$110:BV$114,$F26+1)+IF(AND($E26=1,LI26=0),1000,0),MIN(TW26,20)*400+(IF('計算A'!BU$106=1,1-FS26,0)+IF('計算A'!BV$106=1,1-FU26,0))*150+233+'計算A'!BV$5*100000+IF(AND($E26=1,LI26=0),50000,0))+IF($H26=1,(IF('計算A'!BU$117=1,INDEX('計算A'!BU$10:BU$54,$B26),0)+IF('計算A'!BV$117=1,INDEX('計算A'!BW$10:BW$54,$B26),0))*4000,0)-IF(AND('計算A'!BU$117=1,WS26&gt;0),2000,0)-IF(AND($L26=1,'計算A'!BV$117=1,FU26=0),2000,0))),1000000))</f>
        <v/>
      </c>
      <c r="QY26">
        <f>IF($B26=0,1000000,IF(INDEX('計算A'!$D$60:$EQ$104,$B26,72)*FU26=1,IF(AND($E26=2,LJ26=0),1000000,IF($I26&gt;0,IF(3=$J26,IF(OR(AND(72=$I26+1,OR($K26&lt;&gt;'計算A'!$A$3,'計算A'!$A$4=0)),AND(72=$I26-1,OR(24&lt;&gt;'計算A'!$A$3,'計算A'!$A$4=0))),0,IF(24=$K26,200000,ABS(24-$K26)*100)),100000+ABS(3-$J26)*1000+240)+'計算A'!BW$5*50+IF(AND($E26=1,LJ26=0),25,0),IF($F26&gt;0,INDEX('計算A'!BW$110:BW$114,$F26+1)+IF(AND($E26=1,LJ26=0),1000,0),MIN(TW26,20)*400+(IF('計算A'!BV$106=1,1-FT26,0))*150+243+'計算A'!BW$5*100000+IF(AND($E26=1,LJ26=0),50000,0))+IF($H26=1,(IF('計算A'!BV$117=1,INDEX('計算A'!BV$10:BV$54,$B26),0))*4000,0)-IF(AND('計算A'!BV$117=1,WT26&gt;0),2000,0))),1000000))</f>
        <v/>
      </c>
      <c r="QZ26">
        <f>IF($B26=0,1000000,IF(INDEX('計算A'!$D$60:$EQ$104,$B26,73)*FV26=1,IF(AND($E26=2,LK26=0),1000000,IF($I26&gt;0,IF(4=$J26,IF(OR(AND(73=$I26+1,OR($K26&lt;&gt;'計算A'!$A$3,'計算A'!$A$4=0)),AND(73=$I26-1,OR(1&lt;&gt;'計算A'!$A$3,'計算A'!$A$4=0))),0,IF(1=$K26,200000,ABS(1-$K26)*100)),100000+ABS(4-$J26)*1000+10)+'計算A'!BX$5*50+IF(AND($E26=1,LK26=0),25,0),IF($F26&gt;0,INDEX('計算A'!BX$110:BX$114,$F26+1)+IF(AND($E26=1,LK26=0),1000,0),MIN(TX26,20)*400+(IF('計算A'!BX$106=1,1-FW26,0))*150+14+'計算A'!BX$5*100000+IF(AND($E26=1,LK26=0),50000,0))+IF($H26=1,(IF('計算A'!BX$117=1,INDEX('計算A'!BY$10:BY$54,$B26),0))*4000,0)-IF(AND($L26=1,'計算A'!BX$117=1,FW26=0),2000,0))),1000000))</f>
        <v/>
      </c>
      <c r="RA26">
        <f>IF($B26=0,1000000,IF(INDEX('計算A'!$D$60:$EQ$104,$B26,74)*FW26=1,IF(AND($E26=2,LL26=0),1000000,IF($I26&gt;0,IF(4=$J26,IF(OR(AND(74=$I26+1,OR($K26&lt;&gt;'計算A'!$A$3,'計算A'!$A$4=0)),AND(74=$I26-1,OR(2&lt;&gt;'計算A'!$A$3,'計算A'!$A$4=0))),0,IF(2=$K26,200000,ABS(2-$K26)*100)),100000+ABS(4-$J26)*1000+20)+'計算A'!BY$5*50+IF(AND($E26=1,LL26=0),25,0),IF($F26&gt;0,INDEX('計算A'!BY$110:BY$114,$F26+1)+IF(AND($E26=1,LL26=0),1000,0),MIN(TX26,20)*400+(IF('計算A'!BX$106=1,1-FV26,0)+IF('計算A'!BY$106=1,1-FX26,0))*150+24+'計算A'!BY$5*100000+IF(AND($E26=1,LL26=0),50000,0))+IF($H26=1,(IF('計算A'!BX$117=1,INDEX('計算A'!BX$10:BX$54,$B26),0)+IF('計算A'!BY$117=1,INDEX('計算A'!BZ$10:BZ$54,$B26),0))*4000,0)-IF(AND('計算A'!BX$117=1,WV26&gt;0),2000,0)-IF(AND($L26=1,'計算A'!BY$117=1,FX26=0),2000,0))),1000000))</f>
        <v/>
      </c>
      <c r="RB26">
        <f>IF($B26=0,1000000,IF(INDEX('計算A'!$D$60:$EQ$104,$B26,75)*FX26=1,IF(AND($E26=2,LM26=0),1000000,IF($I26&gt;0,IF(4=$J26,IF(OR(AND(75=$I26+1,OR($K26&lt;&gt;'計算A'!$A$3,'計算A'!$A$4=0)),AND(75=$I26-1,OR(3&lt;&gt;'計算A'!$A$3,'計算A'!$A$4=0))),0,IF(3=$K26,200000,ABS(3-$K26)*100)),100000+ABS(4-$J26)*1000+30)+'計算A'!BZ$5*50+IF(AND($E26=1,LM26=0),25,0),IF($F26&gt;0,INDEX('計算A'!BZ$110:BZ$114,$F26+1)+IF(AND($E26=1,LM26=0),1000,0),MIN(TX26,20)*400+(IF('計算A'!BY$106=1,1-FW26,0)+IF('計算A'!BZ$106=1,1-FY26,0))*150+34+'計算A'!BZ$5*100000+IF(AND($E26=1,LM26=0),50000,0))+IF($H26=1,(IF('計算A'!BY$117=1,INDEX('計算A'!BY$10:BY$54,$B26),0)+IF('計算A'!BZ$117=1,INDEX('計算A'!CA$10:CA$54,$B26),0))*4000,0)-IF(AND('計算A'!BY$117=1,WW26&gt;0),2000,0)-IF(AND($L26=1,'計算A'!BZ$117=1,FY26=0),2000,0))),1000000))</f>
        <v/>
      </c>
      <c r="RC26">
        <f>IF($B26=0,1000000,IF(INDEX('計算A'!$D$60:$EQ$104,$B26,76)*FY26=1,IF(AND($E26=2,LN26=0),1000000,IF($I26&gt;0,IF(4=$J26,IF(OR(AND(76=$I26+1,OR($K26&lt;&gt;'計算A'!$A$3,'計算A'!$A$4=0)),AND(76=$I26-1,OR(4&lt;&gt;'計算A'!$A$3,'計算A'!$A$4=0))),0,IF(4=$K26,200000,ABS(4-$K26)*100)),100000+ABS(4-$J26)*1000+40)+'計算A'!CA$5*50+IF(AND($E26=1,LN26=0),25,0),IF($F26&gt;0,INDEX('計算A'!CA$110:CA$114,$F26+1)+IF(AND($E26=1,LN26=0),1000,0),MIN(TX26,20)*400+(IF('計算A'!BZ$106=1,1-FX26,0)+IF('計算A'!CA$106=1,1-FZ26,0))*150+44+'計算A'!CA$5*100000+IF(AND($E26=1,LN26=0),50000,0))+IF($H26=1,(IF('計算A'!BZ$117=1,INDEX('計算A'!BZ$10:BZ$54,$B26),0)+IF('計算A'!CA$117=1,INDEX('計算A'!CB$10:CB$54,$B26),0))*4000,0)-IF(AND('計算A'!BZ$117=1,WX26&gt;0),2000,0)-IF(AND($L26=1,'計算A'!CA$117=1,FZ26=0),2000,0))),1000000))</f>
        <v/>
      </c>
      <c r="RD26">
        <f>IF($B26=0,1000000,IF(INDEX('計算A'!$D$60:$EQ$104,$B26,77)*FZ26=1,IF(AND($E26=2,LO26=0),1000000,IF($I26&gt;0,IF(4=$J26,IF(OR(AND(77=$I26+1,OR($K26&lt;&gt;'計算A'!$A$3,'計算A'!$A$4=0)),AND(77=$I26-1,OR(5&lt;&gt;'計算A'!$A$3,'計算A'!$A$4=0))),0,IF(5=$K26,200000,ABS(5-$K26)*100)),100000+ABS(4-$J26)*1000+50)+'計算A'!CB$5*50+IF(AND($E26=1,LO26=0),25,0),IF($F26&gt;0,INDEX('計算A'!CB$110:CB$114,$F26+1)+IF(AND($E26=1,LO26=0),1000,0),MIN(TX26,20)*400+(IF('計算A'!CA$106=1,1-FY26,0)+IF('計算A'!CB$106=1,1-GA26,0))*150+54+'計算A'!CB$5*100000+IF(AND($E26=1,LO26=0),50000,0))+IF($H26=1,(IF('計算A'!CA$117=1,INDEX('計算A'!CA$10:CA$54,$B26),0)+IF('計算A'!CB$117=1,INDEX('計算A'!CC$10:CC$54,$B26),0))*4000,0)-IF(AND('計算A'!CA$117=1,WY26&gt;0),2000,0)-IF(AND($L26=1,'計算A'!CB$117=1,GA26=0),2000,0))),1000000))</f>
        <v/>
      </c>
      <c r="RE26">
        <f>IF($B26=0,1000000,IF(INDEX('計算A'!$D$60:$EQ$104,$B26,78)*GA26=1,IF(AND($E26=2,LP26=0),1000000,IF($I26&gt;0,IF(4=$J26,IF(OR(AND(78=$I26+1,OR($K26&lt;&gt;'計算A'!$A$3,'計算A'!$A$4=0)),AND(78=$I26-1,OR(6&lt;&gt;'計算A'!$A$3,'計算A'!$A$4=0))),0,IF(6=$K26,200000,ABS(6-$K26)*100)),100000+ABS(4-$J26)*1000+60)+'計算A'!CC$5*50+IF(AND($E26=1,LP26=0),25,0),IF($F26&gt;0,INDEX('計算A'!CC$110:CC$114,$F26+1)+IF(AND($E26=1,LP26=0),1000,0),MIN(TX26,20)*400+(IF('計算A'!CB$106=1,1-FZ26,0)+IF('計算A'!CC$106=1,1-GB26,0))*150+64+'計算A'!CC$5*100000+IF(AND($E26=1,LP26=0),50000,0))+IF($H26=1,(IF('計算A'!CB$117=1,INDEX('計算A'!CB$10:CB$54,$B26),0)+IF('計算A'!CC$117=1,INDEX('計算A'!CD$10:CD$54,$B26),0))*4000,0)-IF(AND('計算A'!CB$117=1,WZ26&gt;0),2000,0)-IF(AND($L26=1,'計算A'!CC$117=1,GB26=0),2000,0))),1000000))</f>
        <v/>
      </c>
      <c r="RF26">
        <f>IF($B26=0,1000000,IF(INDEX('計算A'!$D$60:$EQ$104,$B26,79)*GB26=1,IF(AND($E26=2,LQ26=0),1000000,IF($I26&gt;0,IF(4=$J26,IF(OR(AND(79=$I26+1,OR($K26&lt;&gt;'計算A'!$A$3,'計算A'!$A$4=0)),AND(79=$I26-1,OR(7&lt;&gt;'計算A'!$A$3,'計算A'!$A$4=0))),0,IF(7=$K26,200000,ABS(7-$K26)*100)),100000+ABS(4-$J26)*1000+70)+'計算A'!CD$5*50+IF(AND($E26=1,LQ26=0),25,0),IF($F26&gt;0,INDEX('計算A'!CD$110:CD$114,$F26+1)+IF(AND($E26=1,LQ26=0),1000,0),MIN(TX26,20)*400+(IF('計算A'!CC$106=1,1-GA26,0)+IF('計算A'!CD$106=1,1-GC26,0))*150+74+'計算A'!CD$5*100000+IF(AND($E26=1,LQ26=0),50000,0))+IF($H26=1,(IF('計算A'!CC$117=1,INDEX('計算A'!CC$10:CC$54,$B26),0)+IF('計算A'!CD$117=1,INDEX('計算A'!CE$10:CE$54,$B26),0))*4000,0)-IF(AND('計算A'!CC$117=1,XA26&gt;0),2000,0)-IF(AND($L26=1,'計算A'!CD$117=1,GC26=0),2000,0))),1000000))</f>
        <v/>
      </c>
      <c r="RG26">
        <f>IF($B26=0,1000000,IF(INDEX('計算A'!$D$60:$EQ$104,$B26,80)*GC26=1,IF(AND($E26=2,LR26=0),1000000,IF($I26&gt;0,IF(4=$J26,IF(OR(AND(80=$I26+1,OR($K26&lt;&gt;'計算A'!$A$3,'計算A'!$A$4=0)),AND(80=$I26-1,OR(8&lt;&gt;'計算A'!$A$3,'計算A'!$A$4=0))),0,IF(8=$K26,200000,ABS(8-$K26)*100)),100000+ABS(4-$J26)*1000+80)+'計算A'!CE$5*50+IF(AND($E26=1,LR26=0),25,0),IF($F26&gt;0,INDEX('計算A'!CE$110:CE$114,$F26+1)+IF(AND($E26=1,LR26=0),1000,0),MIN(TX26,20)*400+(IF('計算A'!CD$106=1,1-GB26,0)+IF('計算A'!CE$106=1,1-GD26,0))*150+84+'計算A'!CE$5*100000+IF(AND($E26=1,LR26=0),50000,0))+IF($H26=1,(IF('計算A'!CD$117=1,INDEX('計算A'!CD$10:CD$54,$B26),0)+IF('計算A'!CE$117=1,INDEX('計算A'!CF$10:CF$54,$B26),0))*4000,0)-IF(AND('計算A'!CD$117=1,XB26&gt;0),2000,0)-IF(AND($L26=1,'計算A'!CE$117=1,GD26=0),2000,0))),1000000))</f>
        <v/>
      </c>
      <c r="RH26">
        <f>IF($B26=0,1000000,IF(INDEX('計算A'!$D$60:$EQ$104,$B26,81)*GD26=1,IF(AND($E26=2,LS26=0),1000000,IF($I26&gt;0,IF(4=$J26,IF(OR(AND(81=$I26+1,OR($K26&lt;&gt;'計算A'!$A$3,'計算A'!$A$4=0)),AND(81=$I26-1,OR(9&lt;&gt;'計算A'!$A$3,'計算A'!$A$4=0))),0,IF(9=$K26,200000,ABS(9-$K26)*100)),100000+ABS(4-$J26)*1000+90)+'計算A'!CF$5*50+IF(AND($E26=1,LS26=0),25,0),IF($F26&gt;0,INDEX('計算A'!CF$110:CF$114,$F26+1)+IF(AND($E26=1,LS26=0),1000,0),MIN(TX26,20)*400+(IF('計算A'!CE$106=1,1-GC26,0)+IF('計算A'!CF$106=1,1-GE26,0))*150+94+'計算A'!CF$5*100000+IF(AND($E26=1,LS26=0),50000,0))+IF($H26=1,(IF('計算A'!CE$117=1,INDEX('計算A'!CE$10:CE$54,$B26),0)+IF('計算A'!CF$117=1,INDEX('計算A'!CG$10:CG$54,$B26),0))*4000,0)-IF(AND('計算A'!CE$117=1,XC26&gt;0),2000,0)-IF(AND($L26=1,'計算A'!CF$117=1,GE26=0),2000,0))),1000000))</f>
        <v/>
      </c>
      <c r="RI26">
        <f>IF($B26=0,1000000,IF(INDEX('計算A'!$D$60:$EQ$104,$B26,82)*GE26=1,IF(AND($E26=2,LT26=0),1000000,IF($I26&gt;0,IF(4=$J26,IF(OR(AND(82=$I26+1,OR($K26&lt;&gt;'計算A'!$A$3,'計算A'!$A$4=0)),AND(82=$I26-1,OR(10&lt;&gt;'計算A'!$A$3,'計算A'!$A$4=0))),0,IF(10=$K26,200000,ABS(10-$K26)*100)),100000+ABS(4-$J26)*1000+100)+'計算A'!CG$5*50+IF(AND($E26=1,LT26=0),25,0),IF($F26&gt;0,INDEX('計算A'!CG$110:CG$114,$F26+1)+IF(AND($E26=1,LT26=0),1000,0),MIN(TX26,20)*400+(IF('計算A'!CF$106=1,1-GD26,0)+IF('計算A'!CG$106=1,1-GF26,0))*150+104+'計算A'!CG$5*100000+IF(AND($E26=1,LT26=0),50000,0))+IF($H26=1,(IF('計算A'!CF$117=1,INDEX('計算A'!CF$10:CF$54,$B26),0)+IF('計算A'!CG$117=1,INDEX('計算A'!CH$10:CH$54,$B26),0))*4000,0)-IF(AND('計算A'!CF$117=1,XD26&gt;0),2000,0)-IF(AND($L26=1,'計算A'!CG$117=1,GF26=0),2000,0))),1000000))</f>
        <v/>
      </c>
      <c r="RJ26">
        <f>IF($B26=0,1000000,IF(INDEX('計算A'!$D$60:$EQ$104,$B26,83)*GF26=1,IF(AND($E26=2,LU26=0),1000000,IF($I26&gt;0,IF(4=$J26,IF(OR(AND(83=$I26+1,OR($K26&lt;&gt;'計算A'!$A$3,'計算A'!$A$4=0)),AND(83=$I26-1,OR(11&lt;&gt;'計算A'!$A$3,'計算A'!$A$4=0))),0,IF(11=$K26,200000,ABS(11-$K26)*100)),100000+ABS(4-$J26)*1000+110)+'計算A'!CH$5*50+IF(AND($E26=1,LU26=0),25,0),IF($F26&gt;0,INDEX('計算A'!CH$110:CH$114,$F26+1)+IF(AND($E26=1,LU26=0),1000,0),MIN(TX26,20)*400+(IF('計算A'!CG$106=1,1-GE26,0)+IF('計算A'!CH$106=1,1-GG26,0))*150+114+'計算A'!CH$5*100000+IF(AND($E26=1,LU26=0),50000,0))+IF($H26=1,(IF('計算A'!CG$117=1,INDEX('計算A'!CG$10:CG$54,$B26),0)+IF('計算A'!CH$117=1,INDEX('計算A'!CI$10:CI$54,$B26),0))*4000,0)-IF(AND('計算A'!CG$117=1,XE26&gt;0),2000,0)-IF(AND($L26=1,'計算A'!CH$117=1,GG26=0),2000,0))),1000000))</f>
        <v/>
      </c>
      <c r="RK26">
        <f>IF($B26=0,1000000,IF(INDEX('計算A'!$D$60:$EQ$104,$B26,84)*GG26=1,IF(AND($E26=2,LV26=0),1000000,IF($I26&gt;0,IF(4=$J26,IF(OR(AND(84=$I26+1,OR($K26&lt;&gt;'計算A'!$A$3,'計算A'!$A$4=0)),AND(84=$I26-1,OR(12&lt;&gt;'計算A'!$A$3,'計算A'!$A$4=0))),0,IF(12=$K26,200000,ABS(12-$K26)*100)),100000+ABS(4-$J26)*1000+120)+'計算A'!CI$5*50+IF(AND($E26=1,LV26=0),25,0),IF($F26&gt;0,INDEX('計算A'!CI$110:CI$114,$F26+1)+IF(AND($E26=1,LV26=0),1000,0),MIN(TX26,20)*400+(IF('計算A'!CH$106=1,1-GF26,0)+IF('計算A'!CI$106=1,1-GH26,0))*150+124+'計算A'!CI$5*100000+IF(AND($E26=1,LV26=0),50000,0))+IF($H26=1,(IF('計算A'!CH$117=1,INDEX('計算A'!CH$10:CH$54,$B26),0)+IF('計算A'!CI$117=1,INDEX('計算A'!CJ$10:CJ$54,$B26),0))*4000,0)-IF(AND('計算A'!CH$117=1,XF26&gt;0),2000,0)-IF(AND($L26=1,'計算A'!CI$117=1,GH26=0),2000,0))),1000000))</f>
        <v/>
      </c>
      <c r="RL26">
        <f>IF($B26=0,1000000,IF(INDEX('計算A'!$D$60:$EQ$104,$B26,85)*GH26=1,IF(AND($E26=2,LW26=0),1000000,IF($I26&gt;0,IF(4=$J26,IF(OR(AND(85=$I26+1,OR($K26&lt;&gt;'計算A'!$A$3,'計算A'!$A$4=0)),AND(85=$I26-1,OR(13&lt;&gt;'計算A'!$A$3,'計算A'!$A$4=0))),0,IF(13=$K26,200000,ABS(13-$K26)*100)),100000+ABS(4-$J26)*1000+130)+'計算A'!CJ$5*50+IF(AND($E26=1,LW26=0),25,0),IF($F26&gt;0,INDEX('計算A'!CJ$110:CJ$114,$F26+1)+IF(AND($E26=1,LW26=0),1000,0),MIN(TX26,20)*400+(IF('計算A'!CI$106=1,1-GG26,0)+IF('計算A'!CJ$106=1,1-GI26,0))*150+134+'計算A'!CJ$5*100000+IF(AND($E26=1,LW26=0),50000,0))+IF($H26=1,(IF('計算A'!CI$117=1,INDEX('計算A'!CI$10:CI$54,$B26),0)+IF('計算A'!CJ$117=1,INDEX('計算A'!CK$10:CK$54,$B26),0))*4000,0)-IF(AND('計算A'!CI$117=1,XG26&gt;0),2000,0)-IF(AND($L26=1,'計算A'!CJ$117=1,GI26=0),2000,0))),1000000))</f>
        <v/>
      </c>
      <c r="RM26">
        <f>IF($B26=0,1000000,IF(INDEX('計算A'!$D$60:$EQ$104,$B26,86)*GI26=1,IF(AND($E26=2,LX26=0),1000000,IF($I26&gt;0,IF(4=$J26,IF(OR(AND(86=$I26+1,OR($K26&lt;&gt;'計算A'!$A$3,'計算A'!$A$4=0)),AND(86=$I26-1,OR(14&lt;&gt;'計算A'!$A$3,'計算A'!$A$4=0))),0,IF(14=$K26,200000,ABS(14-$K26)*100)),100000+ABS(4-$J26)*1000+140)+'計算A'!CK$5*50+IF(AND($E26=1,LX26=0),25,0),IF($F26&gt;0,INDEX('計算A'!CK$110:CK$114,$F26+1)+IF(AND($E26=1,LX26=0),1000,0),MIN(TX26,20)*400+(IF('計算A'!CJ$106=1,1-GH26,0)+IF('計算A'!CK$106=1,1-GJ26,0))*150+144+'計算A'!CK$5*100000+IF(AND($E26=1,LX26=0),50000,0))+IF($H26=1,(IF('計算A'!CJ$117=1,INDEX('計算A'!CJ$10:CJ$54,$B26),0)+IF('計算A'!CK$117=1,INDEX('計算A'!CL$10:CL$54,$B26),0))*4000,0)-IF(AND('計算A'!CJ$117=1,XH26&gt;0),2000,0)-IF(AND($L26=1,'計算A'!CK$117=1,GJ26=0),2000,0))),1000000))</f>
        <v/>
      </c>
      <c r="RN26">
        <f>IF($B26=0,1000000,IF(INDEX('計算A'!$D$60:$EQ$104,$B26,87)*GJ26=1,IF(AND($E26=2,LY26=0),1000000,IF($I26&gt;0,IF(4=$J26,IF(OR(AND(87=$I26+1,OR($K26&lt;&gt;'計算A'!$A$3,'計算A'!$A$4=0)),AND(87=$I26-1,OR(15&lt;&gt;'計算A'!$A$3,'計算A'!$A$4=0))),0,IF(15=$K26,200000,ABS(15-$K26)*100)),100000+ABS(4-$J26)*1000+150)+'計算A'!CL$5*50+IF(AND($E26=1,LY26=0),25,0),IF($F26&gt;0,INDEX('計算A'!CL$110:CL$114,$F26+1)+IF(AND($E26=1,LY26=0),1000,0),MIN(TX26,20)*400+(IF('計算A'!CK$106=1,1-GI26,0)+IF('計算A'!CL$106=1,1-GK26,0))*150+154+'計算A'!CL$5*100000+IF(AND($E26=1,LY26=0),50000,0))+IF($H26=1,(IF('計算A'!CK$117=1,INDEX('計算A'!CK$10:CK$54,$B26),0)+IF('計算A'!CL$117=1,INDEX('計算A'!CM$10:CM$54,$B26),0))*4000,0)-IF(AND('計算A'!CK$117=1,XI26&gt;0),2000,0)-IF(AND($L26=1,'計算A'!CL$117=1,GK26=0),2000,0))),1000000))</f>
        <v/>
      </c>
      <c r="RO26">
        <f>IF($B26=0,1000000,IF(INDEX('計算A'!$D$60:$EQ$104,$B26,88)*GK26=1,IF(AND($E26=2,LZ26=0),1000000,IF($I26&gt;0,IF(4=$J26,IF(OR(AND(88=$I26+1,OR($K26&lt;&gt;'計算A'!$A$3,'計算A'!$A$4=0)),AND(88=$I26-1,OR(16&lt;&gt;'計算A'!$A$3,'計算A'!$A$4=0))),0,IF(16=$K26,200000,ABS(16-$K26)*100)),100000+ABS(4-$J26)*1000+160)+'計算A'!CM$5*50+IF(AND($E26=1,LZ26=0),25,0),IF($F26&gt;0,INDEX('計算A'!CM$110:CM$114,$F26+1)+IF(AND($E26=1,LZ26=0),1000,0),MIN(TX26,20)*400+(IF('計算A'!CL$106=1,1-GJ26,0)+IF('計算A'!CM$106=1,1-GL26,0))*150+164+'計算A'!CM$5*100000+IF(AND($E26=1,LZ26=0),50000,0))+IF($H26=1,(IF('計算A'!CL$117=1,INDEX('計算A'!CL$10:CL$54,$B26),0)+IF('計算A'!CM$117=1,INDEX('計算A'!CN$10:CN$54,$B26),0))*4000,0)-IF(AND('計算A'!CL$117=1,XJ26&gt;0),2000,0)-IF(AND($L26=1,'計算A'!CM$117=1,GL26=0),2000,0))),1000000))</f>
        <v/>
      </c>
      <c r="RP26">
        <f>IF($B26=0,1000000,IF(INDEX('計算A'!$D$60:$EQ$104,$B26,89)*GL26=1,IF(AND($E26=2,MA26=0),1000000,IF($I26&gt;0,IF(4=$J26,IF(OR(AND(89=$I26+1,OR($K26&lt;&gt;'計算A'!$A$3,'計算A'!$A$4=0)),AND(89=$I26-1,OR(17&lt;&gt;'計算A'!$A$3,'計算A'!$A$4=0))),0,IF(17=$K26,200000,ABS(17-$K26)*100)),100000+ABS(4-$J26)*1000+170)+'計算A'!CN$5*50+IF(AND($E26=1,MA26=0),25,0),IF($F26&gt;0,INDEX('計算A'!CN$110:CN$114,$F26+1)+IF(AND($E26=1,MA26=0),1000,0),MIN(TX26,20)*400+(IF('計算A'!CM$106=1,1-GK26,0)+IF('計算A'!CN$106=1,1-GM26,0))*150+174+'計算A'!CN$5*100000+IF(AND($E26=1,MA26=0),50000,0))+IF($H26=1,(IF('計算A'!CM$117=1,INDEX('計算A'!CM$10:CM$54,$B26),0)+IF('計算A'!CN$117=1,INDEX('計算A'!CO$10:CO$54,$B26),0))*4000,0)-IF(AND('計算A'!CM$117=1,XK26&gt;0),2000,0)-IF(AND($L26=1,'計算A'!CN$117=1,GM26=0),2000,0))),1000000))</f>
        <v/>
      </c>
      <c r="RQ26">
        <f>IF($B26=0,1000000,IF(INDEX('計算A'!$D$60:$EQ$104,$B26,90)*GM26=1,IF(AND($E26=2,MB26=0),1000000,IF($I26&gt;0,IF(4=$J26,IF(OR(AND(90=$I26+1,OR($K26&lt;&gt;'計算A'!$A$3,'計算A'!$A$4=0)),AND(90=$I26-1,OR(18&lt;&gt;'計算A'!$A$3,'計算A'!$A$4=0))),0,IF(18=$K26,200000,ABS(18-$K26)*100)),100000+ABS(4-$J26)*1000+180)+'計算A'!CO$5*50+IF(AND($E26=1,MB26=0),25,0),IF($F26&gt;0,INDEX('計算A'!CO$110:CO$114,$F26+1)+IF(AND($E26=1,MB26=0),1000,0),MIN(TX26,20)*400+(IF('計算A'!CN$106=1,1-GL26,0)+IF('計算A'!CO$106=1,1-GN26,0))*150+184+'計算A'!CO$5*100000+IF(AND($E26=1,MB26=0),50000,0))+IF($H26=1,(IF('計算A'!CN$117=1,INDEX('計算A'!CN$10:CN$54,$B26),0)+IF('計算A'!CO$117=1,INDEX('計算A'!CP$10:CP$54,$B26),0))*4000,0)-IF(AND('計算A'!CN$117=1,XL26&gt;0),2000,0)-IF(AND($L26=1,'計算A'!CO$117=1,GN26=0),2000,0))),1000000))</f>
        <v/>
      </c>
      <c r="RR26">
        <f>IF($B26=0,1000000,IF(INDEX('計算A'!$D$60:$EQ$104,$B26,91)*GN26=1,IF(AND($E26=2,MC26=0),1000000,IF($I26&gt;0,IF(4=$J26,IF(OR(AND(91=$I26+1,OR($K26&lt;&gt;'計算A'!$A$3,'計算A'!$A$4=0)),AND(91=$I26-1,OR(19&lt;&gt;'計算A'!$A$3,'計算A'!$A$4=0))),0,IF(19=$K26,200000,ABS(19-$K26)*100)),100000+ABS(4-$J26)*1000+190)+'計算A'!CP$5*50+IF(AND($E26=1,MC26=0),25,0),IF($F26&gt;0,INDEX('計算A'!CP$110:CP$114,$F26+1)+IF(AND($E26=1,MC26=0),1000,0),MIN(TX26,20)*400+(IF('計算A'!CO$106=1,1-GM26,0)+IF('計算A'!CP$106=1,1-GO26,0))*150+194+'計算A'!CP$5*100000+IF(AND($E26=1,MC26=0),50000,0))+IF($H26=1,(IF('計算A'!CO$117=1,INDEX('計算A'!CO$10:CO$54,$B26),0)+IF('計算A'!CP$117=1,INDEX('計算A'!CQ$10:CQ$54,$B26),0))*4000,0)-IF(AND('計算A'!CO$117=1,XM26&gt;0),2000,0)-IF(AND($L26=1,'計算A'!CP$117=1,GO26=0),2000,0))),1000000))</f>
        <v/>
      </c>
      <c r="RS26">
        <f>IF($B26=0,1000000,IF(INDEX('計算A'!$D$60:$EQ$104,$B26,92)*GO26=1,IF(AND($E26=2,MD26=0),1000000,IF($I26&gt;0,IF(4=$J26,IF(OR(AND(92=$I26+1,OR($K26&lt;&gt;'計算A'!$A$3,'計算A'!$A$4=0)),AND(92=$I26-1,OR(20&lt;&gt;'計算A'!$A$3,'計算A'!$A$4=0))),0,IF(20=$K26,200000,ABS(20-$K26)*100)),100000+ABS(4-$J26)*1000+200)+'計算A'!CQ$5*50+IF(AND($E26=1,MD26=0),25,0),IF($F26&gt;0,INDEX('計算A'!CQ$110:CQ$114,$F26+1)+IF(AND($E26=1,MD26=0),1000,0),MIN(TX26,20)*400+(IF('計算A'!CP$106=1,1-GN26,0)+IF('計算A'!CQ$106=1,1-GP26,0))*150+204+'計算A'!CQ$5*100000+IF(AND($E26=1,MD26=0),50000,0))+IF($H26=1,(IF('計算A'!CP$117=1,INDEX('計算A'!CP$10:CP$54,$B26),0)+IF('計算A'!CQ$117=1,INDEX('計算A'!CR$10:CR$54,$B26),0))*4000,0)-IF(AND('計算A'!CP$117=1,XN26&gt;0),2000,0)-IF(AND($L26=1,'計算A'!CQ$117=1,GP26=0),2000,0))),1000000))</f>
        <v/>
      </c>
      <c r="RT26">
        <f>IF($B26=0,1000000,IF(INDEX('計算A'!$D$60:$EQ$104,$B26,93)*GP26=1,IF(AND($E26=2,ME26=0),1000000,IF($I26&gt;0,IF(4=$J26,IF(OR(AND(93=$I26+1,OR($K26&lt;&gt;'計算A'!$A$3,'計算A'!$A$4=0)),AND(93=$I26-1,OR(21&lt;&gt;'計算A'!$A$3,'計算A'!$A$4=0))),0,IF(21=$K26,200000,ABS(21-$K26)*100)),100000+ABS(4-$J26)*1000+210)+'計算A'!CR$5*50+IF(AND($E26=1,ME26=0),25,0),IF($F26&gt;0,INDEX('計算A'!CR$110:CR$114,$F26+1)+IF(AND($E26=1,ME26=0),1000,0),MIN(TX26,20)*400+(IF('計算A'!CQ$106=1,1-GO26,0)+IF('計算A'!CR$106=1,1-GQ26,0))*150+214+'計算A'!CR$5*100000+IF(AND($E26=1,ME26=0),50000,0))+IF($H26=1,(IF('計算A'!CQ$117=1,INDEX('計算A'!CQ$10:CQ$54,$B26),0)+IF('計算A'!CR$117=1,INDEX('計算A'!CS$10:CS$54,$B26),0))*4000,0)-IF(AND('計算A'!CQ$117=1,XO26&gt;0),2000,0)-IF(AND($L26=1,'計算A'!CR$117=1,GQ26=0),2000,0))),1000000))</f>
        <v/>
      </c>
      <c r="RU26">
        <f>IF($B26=0,1000000,IF(INDEX('計算A'!$D$60:$EQ$104,$B26,94)*GQ26=1,IF(AND($E26=2,MF26=0),1000000,IF($I26&gt;0,IF(4=$J26,IF(OR(AND(94=$I26+1,OR($K26&lt;&gt;'計算A'!$A$3,'計算A'!$A$4=0)),AND(94=$I26-1,OR(22&lt;&gt;'計算A'!$A$3,'計算A'!$A$4=0))),0,IF(22=$K26,200000,ABS(22-$K26)*100)),100000+ABS(4-$J26)*1000+220)+'計算A'!CS$5*50+IF(AND($E26=1,MF26=0),25,0),IF($F26&gt;0,INDEX('計算A'!CS$110:CS$114,$F26+1)+IF(AND($E26=1,MF26=0),1000,0),MIN(TX26,20)*400+(IF('計算A'!CR$106=1,1-GP26,0)+IF('計算A'!CS$106=1,1-GR26,0))*150+224+'計算A'!CS$5*100000+IF(AND($E26=1,MF26=0),50000,0))+IF($H26=1,(IF('計算A'!CR$117=1,INDEX('計算A'!CR$10:CR$54,$B26),0)+IF('計算A'!CS$117=1,INDEX('計算A'!CT$10:CT$54,$B26),0))*4000,0)-IF(AND('計算A'!CR$117=1,XP26&gt;0),2000,0)-IF(AND($L26=1,'計算A'!CS$117=1,GR26=0),2000,0))),1000000))</f>
        <v/>
      </c>
      <c r="RV26">
        <f>IF($B26=0,1000000,IF(INDEX('計算A'!$D$60:$EQ$104,$B26,95)*GR26=1,IF(AND($E26=2,MG26=0),1000000,IF($I26&gt;0,IF(4=$J26,IF(OR(AND(95=$I26+1,OR($K26&lt;&gt;'計算A'!$A$3,'計算A'!$A$4=0)),AND(95=$I26-1,OR(23&lt;&gt;'計算A'!$A$3,'計算A'!$A$4=0))),0,IF(23=$K26,200000,ABS(23-$K26)*100)),100000+ABS(4-$J26)*1000+230)+'計算A'!CT$5*50+IF(AND($E26=1,MG26=0),25,0),IF($F26&gt;0,INDEX('計算A'!CT$110:CT$114,$F26+1)+IF(AND($E26=1,MG26=0),1000,0),MIN(TX26,20)*400+(IF('計算A'!CS$106=1,1-GQ26,0)+IF('計算A'!CT$106=1,1-GS26,0))*150+234+'計算A'!CT$5*100000+IF(AND($E26=1,MG26=0),50000,0))+IF($H26=1,(IF('計算A'!CS$117=1,INDEX('計算A'!CS$10:CS$54,$B26),0)+IF('計算A'!CT$117=1,INDEX('計算A'!CU$10:CU$54,$B26),0))*4000,0)-IF(AND('計算A'!CS$117=1,XQ26&gt;0),2000,0)-IF(AND($L26=1,'計算A'!CT$117=1,GS26=0),2000,0))),1000000))</f>
        <v/>
      </c>
      <c r="RW26">
        <f>IF($B26=0,1000000,IF(INDEX('計算A'!$D$60:$EQ$104,$B26,96)*GS26=1,IF(AND($E26=2,MH26=0),1000000,IF($I26&gt;0,IF(4=$J26,IF(OR(AND(96=$I26+1,OR($K26&lt;&gt;'計算A'!$A$3,'計算A'!$A$4=0)),AND(96=$I26-1,OR(24&lt;&gt;'計算A'!$A$3,'計算A'!$A$4=0))),0,IF(24=$K26,200000,ABS(24-$K26)*100)),100000+ABS(4-$J26)*1000+240)+'計算A'!CU$5*50+IF(AND($E26=1,MH26=0),25,0),IF($F26&gt;0,INDEX('計算A'!CU$110:CU$114,$F26+1)+IF(AND($E26=1,MH26=0),1000,0),MIN(TX26,20)*400+(IF('計算A'!CT$106=1,1-GR26,0))*150+244+'計算A'!CU$5*100000+IF(AND($E26=1,MH26=0),50000,0))+IF($H26=1,(IF('計算A'!CT$117=1,INDEX('計算A'!CT$10:CT$54,$B26),0))*4000,0)-IF(AND('計算A'!CT$117=1,XR26&gt;0),2000,0))),1000000))</f>
        <v/>
      </c>
      <c r="RX26">
        <f>IF($B26=0,1000000,IF(INDEX('計算A'!$D$60:$EQ$104,$B26,97)*GT26=1,IF(AND($E26=2,MI26=0),1000000,IF($I26&gt;0,IF(5=$J26,IF(OR(AND(97=$I26+1,OR($K26&lt;&gt;'計算A'!$A$3,'計算A'!$A$4=0)),AND(97=$I26-1,OR(1&lt;&gt;'計算A'!$A$3,'計算A'!$A$4=0))),0,IF(1=$K26,200000,ABS(1-$K26)*100)),100000+ABS(5-$J26)*1000+10)+'計算A'!CV$5*50+IF(AND($E26=1,MI26=0),25,0),IF($F26&gt;0,INDEX('計算A'!CV$110:CV$114,$F26+1)+IF(AND($E26=1,MI26=0),1000,0),MIN(TY26,20)*400+(IF('計算A'!CV$106=1,1-GU26,0))*150+15+'計算A'!CV$5*100000+IF(AND($E26=1,MI26=0),50000,0))+IF($H26=1,(IF('計算A'!CV$117=1,INDEX('計算A'!CW$10:CW$54,$B26),0))*4000,0)-IF(AND($L26=1,'計算A'!CV$117=1,GU26=0),2000,0))),1000000))</f>
        <v/>
      </c>
      <c r="RY26">
        <f>IF($B26=0,1000000,IF(INDEX('計算A'!$D$60:$EQ$104,$B26,98)*GU26=1,IF(AND($E26=2,MJ26=0),1000000,IF($I26&gt;0,IF(5=$J26,IF(OR(AND(98=$I26+1,OR($K26&lt;&gt;'計算A'!$A$3,'計算A'!$A$4=0)),AND(98=$I26-1,OR(2&lt;&gt;'計算A'!$A$3,'計算A'!$A$4=0))),0,IF(2=$K26,200000,ABS(2-$K26)*100)),100000+ABS(5-$J26)*1000+20)+'計算A'!CW$5*50+IF(AND($E26=1,MJ26=0),25,0),IF($F26&gt;0,INDEX('計算A'!CW$110:CW$114,$F26+1)+IF(AND($E26=1,MJ26=0),1000,0),MIN(TY26,20)*400+(IF('計算A'!CV$106=1,1-GT26,0)+IF('計算A'!CW$106=1,1-GV26,0))*150+25+'計算A'!CW$5*100000+IF(AND($E26=1,MJ26=0),50000,0))+IF($H26=1,(IF('計算A'!CV$117=1,INDEX('計算A'!CV$10:CV$54,$B26),0)+IF('計算A'!CW$117=1,INDEX('計算A'!CX$10:CX$54,$B26),0))*4000,0)-IF(AND('計算A'!CV$117=1,XT26&gt;0),2000,0)-IF(AND($L26=1,'計算A'!CW$117=1,GV26=0),2000,0))),1000000))</f>
        <v/>
      </c>
      <c r="RZ26">
        <f>IF($B26=0,1000000,IF(INDEX('計算A'!$D$60:$EQ$104,$B26,99)*GV26=1,IF(AND($E26=2,MK26=0),1000000,IF($I26&gt;0,IF(5=$J26,IF(OR(AND(99=$I26+1,OR($K26&lt;&gt;'計算A'!$A$3,'計算A'!$A$4=0)),AND(99=$I26-1,OR(3&lt;&gt;'計算A'!$A$3,'計算A'!$A$4=0))),0,IF(3=$K26,200000,ABS(3-$K26)*100)),100000+ABS(5-$J26)*1000+30)+'計算A'!CX$5*50+IF(AND($E26=1,MK26=0),25,0),IF($F26&gt;0,INDEX('計算A'!CX$110:CX$114,$F26+1)+IF(AND($E26=1,MK26=0),1000,0),MIN(TY26,20)*400+(IF('計算A'!CW$106=1,1-GU26,0)+IF('計算A'!CX$106=1,1-GW26,0))*150+35+'計算A'!CX$5*100000+IF(AND($E26=1,MK26=0),50000,0))+IF($H26=1,(IF('計算A'!CW$117=1,INDEX('計算A'!CW$10:CW$54,$B26),0)+IF('計算A'!CX$117=1,INDEX('計算A'!CY$10:CY$54,$B26),0))*4000,0)-IF(AND('計算A'!CW$117=1,XU26&gt;0),2000,0)-IF(AND($L26=1,'計算A'!CX$117=1,GW26=0),2000,0))),1000000))</f>
        <v/>
      </c>
      <c r="SA26">
        <f>IF($B26=0,1000000,IF(INDEX('計算A'!$D$60:$EQ$104,$B26,100)*GW26=1,IF(AND($E26=2,ML26=0),1000000,IF($I26&gt;0,IF(5=$J26,IF(OR(AND(100=$I26+1,OR($K26&lt;&gt;'計算A'!$A$3,'計算A'!$A$4=0)),AND(100=$I26-1,OR(4&lt;&gt;'計算A'!$A$3,'計算A'!$A$4=0))),0,IF(4=$K26,200000,ABS(4-$K26)*100)),100000+ABS(5-$J26)*1000+40)+'計算A'!CY$5*50+IF(AND($E26=1,ML26=0),25,0),IF($F26&gt;0,INDEX('計算A'!CY$110:CY$114,$F26+1)+IF(AND($E26=1,ML26=0),1000,0),MIN(TY26,20)*400+(IF('計算A'!CX$106=1,1-GV26,0)+IF('計算A'!CY$106=1,1-GX26,0))*150+45+'計算A'!CY$5*100000+IF(AND($E26=1,ML26=0),50000,0))+IF($H26=1,(IF('計算A'!CX$117=1,INDEX('計算A'!CX$10:CX$54,$B26),0)+IF('計算A'!CY$117=1,INDEX('計算A'!CZ$10:CZ$54,$B26),0))*4000,0)-IF(AND('計算A'!CX$117=1,XV26&gt;0),2000,0)-IF(AND($L26=1,'計算A'!CY$117=1,GX26=0),2000,0))),1000000))</f>
        <v/>
      </c>
      <c r="SB26">
        <f>IF($B26=0,1000000,IF(INDEX('計算A'!$D$60:$EQ$104,$B26,101)*GX26=1,IF(AND($E26=2,MM26=0),1000000,IF($I26&gt;0,IF(5=$J26,IF(OR(AND(101=$I26+1,OR($K26&lt;&gt;'計算A'!$A$3,'計算A'!$A$4=0)),AND(101=$I26-1,OR(5&lt;&gt;'計算A'!$A$3,'計算A'!$A$4=0))),0,IF(5=$K26,200000,ABS(5-$K26)*100)),100000+ABS(5-$J26)*1000+50)+'計算A'!CZ$5*50+IF(AND($E26=1,MM26=0),25,0),IF($F26&gt;0,INDEX('計算A'!CZ$110:CZ$114,$F26+1)+IF(AND($E26=1,MM26=0),1000,0),MIN(TY26,20)*400+(IF('計算A'!CY$106=1,1-GW26,0)+IF('計算A'!CZ$106=1,1-GY26,0))*150+55+'計算A'!CZ$5*100000+IF(AND($E26=1,MM26=0),50000,0))+IF($H26=1,(IF('計算A'!CY$117=1,INDEX('計算A'!CY$10:CY$54,$B26),0)+IF('計算A'!CZ$117=1,INDEX('計算A'!DA$10:DA$54,$B26),0))*4000,0)-IF(AND('計算A'!CY$117=1,XW26&gt;0),2000,0)-IF(AND($L26=1,'計算A'!CZ$117=1,GY26=0),2000,0))),1000000))</f>
        <v/>
      </c>
      <c r="SC26">
        <f>IF($B26=0,1000000,IF(INDEX('計算A'!$D$60:$EQ$104,$B26,102)*GY26=1,IF(AND($E26=2,MN26=0),1000000,IF($I26&gt;0,IF(5=$J26,IF(OR(AND(102=$I26+1,OR($K26&lt;&gt;'計算A'!$A$3,'計算A'!$A$4=0)),AND(102=$I26-1,OR(6&lt;&gt;'計算A'!$A$3,'計算A'!$A$4=0))),0,IF(6=$K26,200000,ABS(6-$K26)*100)),100000+ABS(5-$J26)*1000+60)+'計算A'!DA$5*50+IF(AND($E26=1,MN26=0),25,0),IF($F26&gt;0,INDEX('計算A'!DA$110:DA$114,$F26+1)+IF(AND($E26=1,MN26=0),1000,0),MIN(TY26,20)*400+(IF('計算A'!CZ$106=1,1-GX26,0)+IF('計算A'!DA$106=1,1-GZ26,0))*150+65+'計算A'!DA$5*100000+IF(AND($E26=1,MN26=0),50000,0))+IF($H26=1,(IF('計算A'!CZ$117=1,INDEX('計算A'!CZ$10:CZ$54,$B26),0)+IF('計算A'!DA$117=1,INDEX('計算A'!DB$10:DB$54,$B26),0))*4000,0)-IF(AND('計算A'!CZ$117=1,XX26&gt;0),2000,0)-IF(AND($L26=1,'計算A'!DA$117=1,GZ26=0),2000,0))),1000000))</f>
        <v/>
      </c>
      <c r="SD26">
        <f>IF($B26=0,1000000,IF(INDEX('計算A'!$D$60:$EQ$104,$B26,103)*GZ26=1,IF(AND($E26=2,MO26=0),1000000,IF($I26&gt;0,IF(5=$J26,IF(OR(AND(103=$I26+1,OR($K26&lt;&gt;'計算A'!$A$3,'計算A'!$A$4=0)),AND(103=$I26-1,OR(7&lt;&gt;'計算A'!$A$3,'計算A'!$A$4=0))),0,IF(7=$K26,200000,ABS(7-$K26)*100)),100000+ABS(5-$J26)*1000+70)+'計算A'!DB$5*50+IF(AND($E26=1,MO26=0),25,0),IF($F26&gt;0,INDEX('計算A'!DB$110:DB$114,$F26+1)+IF(AND($E26=1,MO26=0),1000,0),MIN(TY26,20)*400+(IF('計算A'!DA$106=1,1-GY26,0)+IF('計算A'!DB$106=1,1-HA26,0))*150+75+'計算A'!DB$5*100000+IF(AND($E26=1,MO26=0),50000,0))+IF($H26=1,(IF('計算A'!DA$117=1,INDEX('計算A'!DA$10:DA$54,$B26),0)+IF('計算A'!DB$117=1,INDEX('計算A'!DC$10:DC$54,$B26),0))*4000,0)-IF(AND('計算A'!DA$117=1,XY26&gt;0),2000,0)-IF(AND($L26=1,'計算A'!DB$117=1,HA26=0),2000,0))),1000000))</f>
        <v/>
      </c>
      <c r="SE26">
        <f>IF($B26=0,1000000,IF(INDEX('計算A'!$D$60:$EQ$104,$B26,104)*HA26=1,IF(AND($E26=2,MP26=0),1000000,IF($I26&gt;0,IF(5=$J26,IF(OR(AND(104=$I26+1,OR($K26&lt;&gt;'計算A'!$A$3,'計算A'!$A$4=0)),AND(104=$I26-1,OR(8&lt;&gt;'計算A'!$A$3,'計算A'!$A$4=0))),0,IF(8=$K26,200000,ABS(8-$K26)*100)),100000+ABS(5-$J26)*1000+80)+'計算A'!DC$5*50+IF(AND($E26=1,MP26=0),25,0),IF($F26&gt;0,INDEX('計算A'!DC$110:DC$114,$F26+1)+IF(AND($E26=1,MP26=0),1000,0),MIN(TY26,20)*400+(IF('計算A'!DB$106=1,1-GZ26,0)+IF('計算A'!DC$106=1,1-HB26,0))*150+85+'計算A'!DC$5*100000+IF(AND($E26=1,MP26=0),50000,0))+IF($H26=1,(IF('計算A'!DB$117=1,INDEX('計算A'!DB$10:DB$54,$B26),0)+IF('計算A'!DC$117=1,INDEX('計算A'!DD$10:DD$54,$B26),0))*4000,0)-IF(AND('計算A'!DB$117=1,XZ26&gt;0),2000,0)-IF(AND($L26=1,'計算A'!DC$117=1,HB26=0),2000,0))),1000000))</f>
        <v/>
      </c>
      <c r="SF26">
        <f>IF($B26=0,1000000,IF(INDEX('計算A'!$D$60:$EQ$104,$B26,105)*HB26=1,IF(AND($E26=2,MQ26=0),1000000,IF($I26&gt;0,IF(5=$J26,IF(OR(AND(105=$I26+1,OR($K26&lt;&gt;'計算A'!$A$3,'計算A'!$A$4=0)),AND(105=$I26-1,OR(9&lt;&gt;'計算A'!$A$3,'計算A'!$A$4=0))),0,IF(9=$K26,200000,ABS(9-$K26)*100)),100000+ABS(5-$J26)*1000+90)+'計算A'!DD$5*50+IF(AND($E26=1,MQ26=0),25,0),IF($F26&gt;0,INDEX('計算A'!DD$110:DD$114,$F26+1)+IF(AND($E26=1,MQ26=0),1000,0),MIN(TY26,20)*400+(IF('計算A'!DC$106=1,1-HA26,0)+IF('計算A'!DD$106=1,1-HC26,0))*150+95+'計算A'!DD$5*100000+IF(AND($E26=1,MQ26=0),50000,0))+IF($H26=1,(IF('計算A'!DC$117=1,INDEX('計算A'!DC$10:DC$54,$B26),0)+IF('計算A'!DD$117=1,INDEX('計算A'!DE$10:DE$54,$B26),0))*4000,0)-IF(AND('計算A'!DC$117=1,YA26&gt;0),2000,0)-IF(AND($L26=1,'計算A'!DD$117=1,HC26=0),2000,0))),1000000))</f>
        <v/>
      </c>
      <c r="SG26">
        <f>IF($B26=0,1000000,IF(INDEX('計算A'!$D$60:$EQ$104,$B26,106)*HC26=1,IF(AND($E26=2,MR26=0),1000000,IF($I26&gt;0,IF(5=$J26,IF(OR(AND(106=$I26+1,OR($K26&lt;&gt;'計算A'!$A$3,'計算A'!$A$4=0)),AND(106=$I26-1,OR(10&lt;&gt;'計算A'!$A$3,'計算A'!$A$4=0))),0,IF(10=$K26,200000,ABS(10-$K26)*100)),100000+ABS(5-$J26)*1000+100)+'計算A'!DE$5*50+IF(AND($E26=1,MR26=0),25,0),IF($F26&gt;0,INDEX('計算A'!DE$110:DE$114,$F26+1)+IF(AND($E26=1,MR26=0),1000,0),MIN(TY26,20)*400+(IF('計算A'!DD$106=1,1-HB26,0)+IF('計算A'!DE$106=1,1-HD26,0))*150+105+'計算A'!DE$5*100000+IF(AND($E26=1,MR26=0),50000,0))+IF($H26=1,(IF('計算A'!DD$117=1,INDEX('計算A'!DD$10:DD$54,$B26),0)+IF('計算A'!DE$117=1,INDEX('計算A'!DF$10:DF$54,$B26),0))*4000,0)-IF(AND('計算A'!DD$117=1,YB26&gt;0),2000,0)-IF(AND($L26=1,'計算A'!DE$117=1,HD26=0),2000,0))),1000000))</f>
        <v/>
      </c>
      <c r="SH26">
        <f>IF($B26=0,1000000,IF(INDEX('計算A'!$D$60:$EQ$104,$B26,107)*HD26=1,IF(AND($E26=2,MS26=0),1000000,IF($I26&gt;0,IF(5=$J26,IF(OR(AND(107=$I26+1,OR($K26&lt;&gt;'計算A'!$A$3,'計算A'!$A$4=0)),AND(107=$I26-1,OR(11&lt;&gt;'計算A'!$A$3,'計算A'!$A$4=0))),0,IF(11=$K26,200000,ABS(11-$K26)*100)),100000+ABS(5-$J26)*1000+110)+'計算A'!DF$5*50+IF(AND($E26=1,MS26=0),25,0),IF($F26&gt;0,INDEX('計算A'!DF$110:DF$114,$F26+1)+IF(AND($E26=1,MS26=0),1000,0),MIN(TY26,20)*400+(IF('計算A'!DE$106=1,1-HC26,0)+IF('計算A'!DF$106=1,1-HE26,0))*150+115+'計算A'!DF$5*100000+IF(AND($E26=1,MS26=0),50000,0))+IF($H26=1,(IF('計算A'!DE$117=1,INDEX('計算A'!DE$10:DE$54,$B26),0)+IF('計算A'!DF$117=1,INDEX('計算A'!DG$10:DG$54,$B26),0))*4000,0)-IF(AND('計算A'!DE$117=1,YC26&gt;0),2000,0)-IF(AND($L26=1,'計算A'!DF$117=1,HE26=0),2000,0))),1000000))</f>
        <v/>
      </c>
      <c r="SI26">
        <f>IF($B26=0,1000000,IF(INDEX('計算A'!$D$60:$EQ$104,$B26,108)*HE26=1,IF(AND($E26=2,MT26=0),1000000,IF($I26&gt;0,IF(5=$J26,IF(OR(AND(108=$I26+1,OR($K26&lt;&gt;'計算A'!$A$3,'計算A'!$A$4=0)),AND(108=$I26-1,OR(12&lt;&gt;'計算A'!$A$3,'計算A'!$A$4=0))),0,IF(12=$K26,200000,ABS(12-$K26)*100)),100000+ABS(5-$J26)*1000+120)+'計算A'!DG$5*50+IF(AND($E26=1,MT26=0),25,0),IF($F26&gt;0,INDEX('計算A'!DG$110:DG$114,$F26+1)+IF(AND($E26=1,MT26=0),1000,0),MIN(TY26,20)*400+(IF('計算A'!DF$106=1,1-HD26,0)+IF('計算A'!DG$106=1,1-HF26,0))*150+125+'計算A'!DG$5*100000+IF(AND($E26=1,MT26=0),50000,0))+IF($H26=1,(IF('計算A'!DF$117=1,INDEX('計算A'!DF$10:DF$54,$B26),0)+IF('計算A'!DG$117=1,INDEX('計算A'!DH$10:DH$54,$B26),0))*4000,0)-IF(AND('計算A'!DF$117=1,YD26&gt;0),2000,0)-IF(AND($L26=1,'計算A'!DG$117=1,HF26=0),2000,0))),1000000))</f>
        <v/>
      </c>
      <c r="SJ26">
        <f>IF($B26=0,1000000,IF(INDEX('計算A'!$D$60:$EQ$104,$B26,109)*HF26=1,IF(AND($E26=2,MU26=0),1000000,IF($I26&gt;0,IF(5=$J26,IF(OR(AND(109=$I26+1,OR($K26&lt;&gt;'計算A'!$A$3,'計算A'!$A$4=0)),AND(109=$I26-1,OR(13&lt;&gt;'計算A'!$A$3,'計算A'!$A$4=0))),0,IF(13=$K26,200000,ABS(13-$K26)*100)),100000+ABS(5-$J26)*1000+130)+'計算A'!DH$5*50+IF(AND($E26=1,MU26=0),25,0),IF($F26&gt;0,INDEX('計算A'!DH$110:DH$114,$F26+1)+IF(AND($E26=1,MU26=0),1000,0),MIN(TY26,20)*400+(IF('計算A'!DG$106=1,1-HE26,0)+IF('計算A'!DH$106=1,1-HG26,0))*150+135+'計算A'!DH$5*100000+IF(AND($E26=1,MU26=0),50000,0))+IF($H26=1,(IF('計算A'!DG$117=1,INDEX('計算A'!DG$10:DG$54,$B26),0)+IF('計算A'!DH$117=1,INDEX('計算A'!DI$10:DI$54,$B26),0))*4000,0)-IF(AND('計算A'!DG$117=1,YE26&gt;0),2000,0)-IF(AND($L26=1,'計算A'!DH$117=1,HG26=0),2000,0))),1000000))</f>
        <v/>
      </c>
      <c r="SK26">
        <f>IF($B26=0,1000000,IF(INDEX('計算A'!$D$60:$EQ$104,$B26,110)*HG26=1,IF(AND($E26=2,MV26=0),1000000,IF($I26&gt;0,IF(5=$J26,IF(OR(AND(110=$I26+1,OR($K26&lt;&gt;'計算A'!$A$3,'計算A'!$A$4=0)),AND(110=$I26-1,OR(14&lt;&gt;'計算A'!$A$3,'計算A'!$A$4=0))),0,IF(14=$K26,200000,ABS(14-$K26)*100)),100000+ABS(5-$J26)*1000+140)+'計算A'!DI$5*50+IF(AND($E26=1,MV26=0),25,0),IF($F26&gt;0,INDEX('計算A'!DI$110:DI$114,$F26+1)+IF(AND($E26=1,MV26=0),1000,0),MIN(TY26,20)*400+(IF('計算A'!DH$106=1,1-HF26,0)+IF('計算A'!DI$106=1,1-HH26,0))*150+145+'計算A'!DI$5*100000+IF(AND($E26=1,MV26=0),50000,0))+IF($H26=1,(IF('計算A'!DH$117=1,INDEX('計算A'!DH$10:DH$54,$B26),0)+IF('計算A'!DI$117=1,INDEX('計算A'!DJ$10:DJ$54,$B26),0))*4000,0)-IF(AND('計算A'!DH$117=1,YF26&gt;0),2000,0)-IF(AND($L26=1,'計算A'!DI$117=1,HH26=0),2000,0))),1000000))</f>
        <v/>
      </c>
      <c r="SL26">
        <f>IF($B26=0,1000000,IF(INDEX('計算A'!$D$60:$EQ$104,$B26,111)*HH26=1,IF(AND($E26=2,MW26=0),1000000,IF($I26&gt;0,IF(5=$J26,IF(OR(AND(111=$I26+1,OR($K26&lt;&gt;'計算A'!$A$3,'計算A'!$A$4=0)),AND(111=$I26-1,OR(15&lt;&gt;'計算A'!$A$3,'計算A'!$A$4=0))),0,IF(15=$K26,200000,ABS(15-$K26)*100)),100000+ABS(5-$J26)*1000+150)+'計算A'!DJ$5*50+IF(AND($E26=1,MW26=0),25,0),IF($F26&gt;0,INDEX('計算A'!DJ$110:DJ$114,$F26+1)+IF(AND($E26=1,MW26=0),1000,0),MIN(TY26,20)*400+(IF('計算A'!DI$106=1,1-HG26,0)+IF('計算A'!DJ$106=1,1-HI26,0))*150+155+'計算A'!DJ$5*100000+IF(AND($E26=1,MW26=0),50000,0))+IF($H26=1,(IF('計算A'!DI$117=1,INDEX('計算A'!DI$10:DI$54,$B26),0)+IF('計算A'!DJ$117=1,INDEX('計算A'!DK$10:DK$54,$B26),0))*4000,0)-IF(AND('計算A'!DI$117=1,YG26&gt;0),2000,0)-IF(AND($L26=1,'計算A'!DJ$117=1,HI26=0),2000,0))),1000000))</f>
        <v/>
      </c>
      <c r="SM26">
        <f>IF($B26=0,1000000,IF(INDEX('計算A'!$D$60:$EQ$104,$B26,112)*HI26=1,IF(AND($E26=2,MX26=0),1000000,IF($I26&gt;0,IF(5=$J26,IF(OR(AND(112=$I26+1,OR($K26&lt;&gt;'計算A'!$A$3,'計算A'!$A$4=0)),AND(112=$I26-1,OR(16&lt;&gt;'計算A'!$A$3,'計算A'!$A$4=0))),0,IF(16=$K26,200000,ABS(16-$K26)*100)),100000+ABS(5-$J26)*1000+160)+'計算A'!DK$5*50+IF(AND($E26=1,MX26=0),25,0),IF($F26&gt;0,INDEX('計算A'!DK$110:DK$114,$F26+1)+IF(AND($E26=1,MX26=0),1000,0),MIN(TY26,20)*400+(IF('計算A'!DJ$106=1,1-HH26,0)+IF('計算A'!DK$106=1,1-HJ26,0))*150+165+'計算A'!DK$5*100000+IF(AND($E26=1,MX26=0),50000,0))+IF($H26=1,(IF('計算A'!DJ$117=1,INDEX('計算A'!DJ$10:DJ$54,$B26),0)+IF('計算A'!DK$117=1,INDEX('計算A'!DL$10:DL$54,$B26),0))*4000,0)-IF(AND('計算A'!DJ$117=1,YH26&gt;0),2000,0)-IF(AND($L26=1,'計算A'!DK$117=1,HJ26=0),2000,0))),1000000))</f>
        <v/>
      </c>
      <c r="SN26">
        <f>IF($B26=0,1000000,IF(INDEX('計算A'!$D$60:$EQ$104,$B26,113)*HJ26=1,IF(AND($E26=2,MY26=0),1000000,IF($I26&gt;0,IF(5=$J26,IF(OR(AND(113=$I26+1,OR($K26&lt;&gt;'計算A'!$A$3,'計算A'!$A$4=0)),AND(113=$I26-1,OR(17&lt;&gt;'計算A'!$A$3,'計算A'!$A$4=0))),0,IF(17=$K26,200000,ABS(17-$K26)*100)),100000+ABS(5-$J26)*1000+170)+'計算A'!DL$5*50+IF(AND($E26=1,MY26=0),25,0),IF($F26&gt;0,INDEX('計算A'!DL$110:DL$114,$F26+1)+IF(AND($E26=1,MY26=0),1000,0),MIN(TY26,20)*400+(IF('計算A'!DK$106=1,1-HI26,0)+IF('計算A'!DL$106=1,1-HK26,0))*150+175+'計算A'!DL$5*100000+IF(AND($E26=1,MY26=0),50000,0))+IF($H26=1,(IF('計算A'!DK$117=1,INDEX('計算A'!DK$10:DK$54,$B26),0)+IF('計算A'!DL$117=1,INDEX('計算A'!DM$10:DM$54,$B26),0))*4000,0)-IF(AND('計算A'!DK$117=1,YI26&gt;0),2000,0)-IF(AND($L26=1,'計算A'!DL$117=1,HK26=0),2000,0))),1000000))</f>
        <v/>
      </c>
      <c r="SO26">
        <f>IF($B26=0,1000000,IF(INDEX('計算A'!$D$60:$EQ$104,$B26,114)*HK26=1,IF(AND($E26=2,MZ26=0),1000000,IF($I26&gt;0,IF(5=$J26,IF(OR(AND(114=$I26+1,OR($K26&lt;&gt;'計算A'!$A$3,'計算A'!$A$4=0)),AND(114=$I26-1,OR(18&lt;&gt;'計算A'!$A$3,'計算A'!$A$4=0))),0,IF(18=$K26,200000,ABS(18-$K26)*100)),100000+ABS(5-$J26)*1000+180)+'計算A'!DM$5*50+IF(AND($E26=1,MZ26=0),25,0),IF($F26&gt;0,INDEX('計算A'!DM$110:DM$114,$F26+1)+IF(AND($E26=1,MZ26=0),1000,0),MIN(TY26,20)*400+(IF('計算A'!DL$106=1,1-HJ26,0)+IF('計算A'!DM$106=1,1-HL26,0))*150+185+'計算A'!DM$5*100000+IF(AND($E26=1,MZ26=0),50000,0))+IF($H26=1,(IF('計算A'!DL$117=1,INDEX('計算A'!DL$10:DL$54,$B26),0)+IF('計算A'!DM$117=1,INDEX('計算A'!DN$10:DN$54,$B26),0))*4000,0)-IF(AND('計算A'!DL$117=1,YJ26&gt;0),2000,0)-IF(AND($L26=1,'計算A'!DM$117=1,HL26=0),2000,0))),1000000))</f>
        <v/>
      </c>
      <c r="SP26">
        <f>IF($B26=0,1000000,IF(INDEX('計算A'!$D$60:$EQ$104,$B26,115)*HL26=1,IF(AND($E26=2,NA26=0),1000000,IF($I26&gt;0,IF(5=$J26,IF(OR(AND(115=$I26+1,OR($K26&lt;&gt;'計算A'!$A$3,'計算A'!$A$4=0)),AND(115=$I26-1,OR(19&lt;&gt;'計算A'!$A$3,'計算A'!$A$4=0))),0,IF(19=$K26,200000,ABS(19-$K26)*100)),100000+ABS(5-$J26)*1000+190)+'計算A'!DN$5*50+IF(AND($E26=1,NA26=0),25,0),IF($F26&gt;0,INDEX('計算A'!DN$110:DN$114,$F26+1)+IF(AND($E26=1,NA26=0),1000,0),MIN(TY26,20)*400+(IF('計算A'!DM$106=1,1-HK26,0)+IF('計算A'!DN$106=1,1-HM26,0))*150+195+'計算A'!DN$5*100000+IF(AND($E26=1,NA26=0),50000,0))+IF($H26=1,(IF('計算A'!DM$117=1,INDEX('計算A'!DM$10:DM$54,$B26),0)+IF('計算A'!DN$117=1,INDEX('計算A'!DO$10:DO$54,$B26),0))*4000,0)-IF(AND('計算A'!DM$117=1,YK26&gt;0),2000,0)-IF(AND($L26=1,'計算A'!DN$117=1,HM26=0),2000,0))),1000000))</f>
        <v/>
      </c>
      <c r="SQ26">
        <f>IF($B26=0,1000000,IF(INDEX('計算A'!$D$60:$EQ$104,$B26,116)*HM26=1,IF(AND($E26=2,NB26=0),1000000,IF($I26&gt;0,IF(5=$J26,IF(OR(AND(116=$I26+1,OR($K26&lt;&gt;'計算A'!$A$3,'計算A'!$A$4=0)),AND(116=$I26-1,OR(20&lt;&gt;'計算A'!$A$3,'計算A'!$A$4=0))),0,IF(20=$K26,200000,ABS(20-$K26)*100)),100000+ABS(5-$J26)*1000+200)+'計算A'!DO$5*50+IF(AND($E26=1,NB26=0),25,0),IF($F26&gt;0,INDEX('計算A'!DO$110:DO$114,$F26+1)+IF(AND($E26=1,NB26=0),1000,0),MIN(TY26,20)*400+(IF('計算A'!DN$106=1,1-HL26,0)+IF('計算A'!DO$106=1,1-HN26,0))*150+205+'計算A'!DO$5*100000+IF(AND($E26=1,NB26=0),50000,0))+IF($H26=1,(IF('計算A'!DN$117=1,INDEX('計算A'!DN$10:DN$54,$B26),0)+IF('計算A'!DO$117=1,INDEX('計算A'!DP$10:DP$54,$B26),0))*4000,0)-IF(AND('計算A'!DN$117=1,YL26&gt;0),2000,0)-IF(AND($L26=1,'計算A'!DO$117=1,HN26=0),2000,0))),1000000))</f>
        <v/>
      </c>
      <c r="SR26">
        <f>IF($B26=0,1000000,IF(INDEX('計算A'!$D$60:$EQ$104,$B26,117)*HN26=1,IF(AND($E26=2,NC26=0),1000000,IF($I26&gt;0,IF(5=$J26,IF(OR(AND(117=$I26+1,OR($K26&lt;&gt;'計算A'!$A$3,'計算A'!$A$4=0)),AND(117=$I26-1,OR(21&lt;&gt;'計算A'!$A$3,'計算A'!$A$4=0))),0,IF(21=$K26,200000,ABS(21-$K26)*100)),100000+ABS(5-$J26)*1000+210)+'計算A'!DP$5*50+IF(AND($E26=1,NC26=0),25,0),IF($F26&gt;0,INDEX('計算A'!DP$110:DP$114,$F26+1)+IF(AND($E26=1,NC26=0),1000,0),MIN(TY26,20)*400+(IF('計算A'!DO$106=1,1-HM26,0)+IF('計算A'!DP$106=1,1-HO26,0))*150+215+'計算A'!DP$5*100000+IF(AND($E26=1,NC26=0),50000,0))+IF($H26=1,(IF('計算A'!DO$117=1,INDEX('計算A'!DO$10:DO$54,$B26),0)+IF('計算A'!DP$117=1,INDEX('計算A'!DQ$10:DQ$54,$B26),0))*4000,0)-IF(AND('計算A'!DO$117=1,YM26&gt;0),2000,0)-IF(AND($L26=1,'計算A'!DP$117=1,HO26=0),2000,0))),1000000))</f>
        <v/>
      </c>
      <c r="SS26">
        <f>IF($B26=0,1000000,IF(INDEX('計算A'!$D$60:$EQ$104,$B26,118)*HO26=1,IF(AND($E26=2,ND26=0),1000000,IF($I26&gt;0,IF(5=$J26,IF(OR(AND(118=$I26+1,OR($K26&lt;&gt;'計算A'!$A$3,'計算A'!$A$4=0)),AND(118=$I26-1,OR(22&lt;&gt;'計算A'!$A$3,'計算A'!$A$4=0))),0,IF(22=$K26,200000,ABS(22-$K26)*100)),100000+ABS(5-$J26)*1000+220)+'計算A'!DQ$5*50+IF(AND($E26=1,ND26=0),25,0),IF($F26&gt;0,INDEX('計算A'!DQ$110:DQ$114,$F26+1)+IF(AND($E26=1,ND26=0),1000,0),MIN(TY26,20)*400+(IF('計算A'!DP$106=1,1-HN26,0)+IF('計算A'!DQ$106=1,1-HP26,0))*150+225+'計算A'!DQ$5*100000+IF(AND($E26=1,ND26=0),50000,0))+IF($H26=1,(IF('計算A'!DP$117=1,INDEX('計算A'!DP$10:DP$54,$B26),0)+IF('計算A'!DQ$117=1,INDEX('計算A'!DR$10:DR$54,$B26),0))*4000,0)-IF(AND('計算A'!DP$117=1,YN26&gt;0),2000,0)-IF(AND($L26=1,'計算A'!DQ$117=1,HP26=0),2000,0))),1000000))</f>
        <v/>
      </c>
      <c r="ST26">
        <f>IF($B26=0,1000000,IF(INDEX('計算A'!$D$60:$EQ$104,$B26,119)*HP26=1,IF(AND($E26=2,NE26=0),1000000,IF($I26&gt;0,IF(5=$J26,IF(OR(AND(119=$I26+1,OR($K26&lt;&gt;'計算A'!$A$3,'計算A'!$A$4=0)),AND(119=$I26-1,OR(23&lt;&gt;'計算A'!$A$3,'計算A'!$A$4=0))),0,IF(23=$K26,200000,ABS(23-$K26)*100)),100000+ABS(5-$J26)*1000+230)+'計算A'!DR$5*50+IF(AND($E26=1,NE26=0),25,0),IF($F26&gt;0,INDEX('計算A'!DR$110:DR$114,$F26+1)+IF(AND($E26=1,NE26=0),1000,0),MIN(TY26,20)*400+(IF('計算A'!DQ$106=1,1-HO26,0)+IF('計算A'!DR$106=1,1-HQ26,0))*150+235+'計算A'!DR$5*100000+IF(AND($E26=1,NE26=0),50000,0))+IF($H26=1,(IF('計算A'!DQ$117=1,INDEX('計算A'!DQ$10:DQ$54,$B26),0)+IF('計算A'!DR$117=1,INDEX('計算A'!DS$10:DS$54,$B26),0))*4000,0)-IF(AND('計算A'!DQ$117=1,YO26&gt;0),2000,0)-IF(AND($L26=1,'計算A'!DR$117=1,HQ26=0),2000,0))),1000000))</f>
        <v/>
      </c>
      <c r="SU26">
        <f>IF($B26=0,1000000,IF(INDEX('計算A'!$D$60:$EQ$104,$B26,120)*HQ26=1,IF(AND($E26=2,NF26=0),1000000,IF($I26&gt;0,IF(5=$J26,IF(OR(AND(120=$I26+1,OR($K26&lt;&gt;'計算A'!$A$3,'計算A'!$A$4=0)),AND(120=$I26-1,OR(24&lt;&gt;'計算A'!$A$3,'計算A'!$A$4=0))),0,IF(24=$K26,200000,ABS(24-$K26)*100)),100000+ABS(5-$J26)*1000+240)+'計算A'!DS$5*50+IF(AND($E26=1,NF26=0),25,0),IF($F26&gt;0,INDEX('計算A'!DS$110:DS$114,$F26+1)+IF(AND($E26=1,NF26=0),1000,0),MIN(TY26,20)*400+(IF('計算A'!DR$106=1,1-HP26,0))*150+245+'計算A'!DS$5*100000+IF(AND($E26=1,NF26=0),50000,0))+IF($H26=1,(IF('計算A'!DR$117=1,INDEX('計算A'!DR$10:DR$54,$B26),0))*4000,0)-IF(AND('計算A'!DR$117=1,YP26&gt;0),2000,0))),1000000))</f>
        <v/>
      </c>
      <c r="SV26">
        <f>IF($B26=0,1000000,IF(INDEX('計算A'!$D$60:$EQ$104,$B26,121)*HR26=1,IF(AND($E26=2,NG26=0),1000000,IF($I26&gt;0,IF(6=$J26,IF(OR(AND(121=$I26+1,OR($K26&lt;&gt;'計算A'!$A$3,'計算A'!$A$4=0)),AND(121=$I26-1,OR(1&lt;&gt;'計算A'!$A$3,'計算A'!$A$4=0))),0,IF(1=$K26,200000,ABS(1-$K26)*100)),100000+ABS(6-$J26)*1000+10)+'計算A'!DT$5*50+IF(AND($E26=1,NG26=0),25,0),IF($F26&gt;0,INDEX('計算A'!DT$110:DT$114,$F26+1)+IF(AND($E26=1,NG26=0),1000,0),MIN(TZ26,20)*400+(IF('計算A'!DT$106=1,1-HS26,0))*150+16+'計算A'!DT$5*100000+IF(AND($E26=1,NG26=0),50000,0))+IF($H26=1,(IF('計算A'!DT$117=1,INDEX('計算A'!DU$10:DU$54,$B26),0))*4000,0)-IF(AND($L26=1,'計算A'!DT$117=1,HS26=0),2000,0))),1000000))</f>
        <v/>
      </c>
      <c r="SW26">
        <f>IF($B26=0,1000000,IF(INDEX('計算A'!$D$60:$EQ$104,$B26,122)*HS26=1,IF(AND($E26=2,NH26=0),1000000,IF($I26&gt;0,IF(6=$J26,IF(OR(AND(122=$I26+1,OR($K26&lt;&gt;'計算A'!$A$3,'計算A'!$A$4=0)),AND(122=$I26-1,OR(2&lt;&gt;'計算A'!$A$3,'計算A'!$A$4=0))),0,IF(2=$K26,200000,ABS(2-$K26)*100)),100000+ABS(6-$J26)*1000+20)+'計算A'!DU$5*50+IF(AND($E26=1,NH26=0),25,0),IF($F26&gt;0,INDEX('計算A'!DU$110:DU$114,$F26+1)+IF(AND($E26=1,NH26=0),1000,0),MIN(TZ26,20)*400+(IF('計算A'!DT$106=1,1-HR26,0)+IF('計算A'!DU$106=1,1-HT26,0))*150+26+'計算A'!DU$5*100000+IF(AND($E26=1,NH26=0),50000,0))+IF($H26=1,(IF('計算A'!DT$117=1,INDEX('計算A'!DT$10:DT$54,$B26),0)+IF('計算A'!DU$117=1,INDEX('計算A'!DV$10:DV$54,$B26),0))*4000,0)-IF(AND('計算A'!DT$117=1,YR26&gt;0),2000,0)-IF(AND($L26=1,'計算A'!DU$117=1,HT26=0),2000,0))),1000000))</f>
        <v/>
      </c>
      <c r="SX26">
        <f>IF($B26=0,1000000,IF(INDEX('計算A'!$D$60:$EQ$104,$B26,123)*HT26=1,IF(AND($E26=2,NI26=0),1000000,IF($I26&gt;0,IF(6=$J26,IF(OR(AND(123=$I26+1,OR($K26&lt;&gt;'計算A'!$A$3,'計算A'!$A$4=0)),AND(123=$I26-1,OR(3&lt;&gt;'計算A'!$A$3,'計算A'!$A$4=0))),0,IF(3=$K26,200000,ABS(3-$K26)*100)),100000+ABS(6-$J26)*1000+30)+'計算A'!DV$5*50+IF(AND($E26=1,NI26=0),25,0),IF($F26&gt;0,INDEX('計算A'!DV$110:DV$114,$F26+1)+IF(AND($E26=1,NI26=0),1000,0),MIN(TZ26,20)*400+(IF('計算A'!DU$106=1,1-HS26,0)+IF('計算A'!DV$106=1,1-HU26,0))*150+36+'計算A'!DV$5*100000+IF(AND($E26=1,NI26=0),50000,0))+IF($H26=1,(IF('計算A'!DU$117=1,INDEX('計算A'!DU$10:DU$54,$B26),0)+IF('計算A'!DV$117=1,INDEX('計算A'!DW$10:DW$54,$B26),0))*4000,0)-IF(AND('計算A'!DU$117=1,YS26&gt;0),2000,0)-IF(AND($L26=1,'計算A'!DV$117=1,HU26=0),2000,0))),1000000))</f>
        <v/>
      </c>
      <c r="SY26">
        <f>IF($B26=0,1000000,IF(INDEX('計算A'!$D$60:$EQ$104,$B26,124)*HU26=1,IF(AND($E26=2,NJ26=0),1000000,IF($I26&gt;0,IF(6=$J26,IF(OR(AND(124=$I26+1,OR($K26&lt;&gt;'計算A'!$A$3,'計算A'!$A$4=0)),AND(124=$I26-1,OR(4&lt;&gt;'計算A'!$A$3,'計算A'!$A$4=0))),0,IF(4=$K26,200000,ABS(4-$K26)*100)),100000+ABS(6-$J26)*1000+40)+'計算A'!DW$5*50+IF(AND($E26=1,NJ26=0),25,0),IF($F26&gt;0,INDEX('計算A'!DW$110:DW$114,$F26+1)+IF(AND($E26=1,NJ26=0),1000,0),MIN(TZ26,20)*400+(IF('計算A'!DV$106=1,1-HT26,0)+IF('計算A'!DW$106=1,1-HV26,0))*150+46+'計算A'!DW$5*100000+IF(AND($E26=1,NJ26=0),50000,0))+IF($H26=1,(IF('計算A'!DV$117=1,INDEX('計算A'!DV$10:DV$54,$B26),0)+IF('計算A'!DW$117=1,INDEX('計算A'!DX$10:DX$54,$B26),0))*4000,0)-IF(AND('計算A'!DV$117=1,YT26&gt;0),2000,0)-IF(AND($L26=1,'計算A'!DW$117=1,HV26=0),2000,0))),1000000))</f>
        <v/>
      </c>
      <c r="SZ26">
        <f>IF($B26=0,1000000,IF(INDEX('計算A'!$D$60:$EQ$104,$B26,125)*HV26=1,IF(AND($E26=2,NK26=0),1000000,IF($I26&gt;0,IF(6=$J26,IF(OR(AND(125=$I26+1,OR($K26&lt;&gt;'計算A'!$A$3,'計算A'!$A$4=0)),AND(125=$I26-1,OR(5&lt;&gt;'計算A'!$A$3,'計算A'!$A$4=0))),0,IF(5=$K26,200000,ABS(5-$K26)*100)),100000+ABS(6-$J26)*1000+50)+'計算A'!DX$5*50+IF(AND($E26=1,NK26=0),25,0),IF($F26&gt;0,INDEX('計算A'!DX$110:DX$114,$F26+1)+IF(AND($E26=1,NK26=0),1000,0),MIN(TZ26,20)*400+(IF('計算A'!DW$106=1,1-HU26,0)+IF('計算A'!DX$106=1,1-HW26,0))*150+56+'計算A'!DX$5*100000+IF(AND($E26=1,NK26=0),50000,0))+IF($H26=1,(IF('計算A'!DW$117=1,INDEX('計算A'!DW$10:DW$54,$B26),0)+IF('計算A'!DX$117=1,INDEX('計算A'!DY$10:DY$54,$B26),0))*4000,0)-IF(AND('計算A'!DW$117=1,YU26&gt;0),2000,0)-IF(AND($L26=1,'計算A'!DX$117=1,HW26=0),2000,0))),1000000))</f>
        <v/>
      </c>
      <c r="TA26">
        <f>IF($B26=0,1000000,IF(INDEX('計算A'!$D$60:$EQ$104,$B26,126)*HW26=1,IF(AND($E26=2,NL26=0),1000000,IF($I26&gt;0,IF(6=$J26,IF(OR(AND(126=$I26+1,OR($K26&lt;&gt;'計算A'!$A$3,'計算A'!$A$4=0)),AND(126=$I26-1,OR(6&lt;&gt;'計算A'!$A$3,'計算A'!$A$4=0))),0,IF(6=$K26,200000,ABS(6-$K26)*100)),100000+ABS(6-$J26)*1000+60)+'計算A'!DY$5*50+IF(AND($E26=1,NL26=0),25,0),IF($F26&gt;0,INDEX('計算A'!DY$110:DY$114,$F26+1)+IF(AND($E26=1,NL26=0),1000,0),MIN(TZ26,20)*400+(IF('計算A'!DX$106=1,1-HV26,0)+IF('計算A'!DY$106=1,1-HX26,0))*150+66+'計算A'!DY$5*100000+IF(AND($E26=1,NL26=0),50000,0))+IF($H26=1,(IF('計算A'!DX$117=1,INDEX('計算A'!DX$10:DX$54,$B26),0)+IF('計算A'!DY$117=1,INDEX('計算A'!DZ$10:DZ$54,$B26),0))*4000,0)-IF(AND('計算A'!DX$117=1,YV26&gt;0),2000,0)-IF(AND($L26=1,'計算A'!DY$117=1,HX26=0),2000,0))),1000000))</f>
        <v/>
      </c>
      <c r="TB26">
        <f>IF($B26=0,1000000,IF(INDEX('計算A'!$D$60:$EQ$104,$B26,127)*HX26=1,IF(AND($E26=2,NM26=0),1000000,IF($I26&gt;0,IF(6=$J26,IF(OR(AND(127=$I26+1,OR($K26&lt;&gt;'計算A'!$A$3,'計算A'!$A$4=0)),AND(127=$I26-1,OR(7&lt;&gt;'計算A'!$A$3,'計算A'!$A$4=0))),0,IF(7=$K26,200000,ABS(7-$K26)*100)),100000+ABS(6-$J26)*1000+70)+'計算A'!DZ$5*50+IF(AND($E26=1,NM26=0),25,0),IF($F26&gt;0,INDEX('計算A'!DZ$110:DZ$114,$F26+1)+IF(AND($E26=1,NM26=0),1000,0),MIN(TZ26,20)*400+(IF('計算A'!DY$106=1,1-HW26,0)+IF('計算A'!DZ$106=1,1-HY26,0))*150+76+'計算A'!DZ$5*100000+IF(AND($E26=1,NM26=0),50000,0))+IF($H26=1,(IF('計算A'!DY$117=1,INDEX('計算A'!DY$10:DY$54,$B26),0)+IF('計算A'!DZ$117=1,INDEX('計算A'!EA$10:EA$54,$B26),0))*4000,0)-IF(AND('計算A'!DY$117=1,YW26&gt;0),2000,0)-IF(AND($L26=1,'計算A'!DZ$117=1,HY26=0),2000,0))),1000000))</f>
        <v/>
      </c>
      <c r="TC26">
        <f>IF($B26=0,1000000,IF(INDEX('計算A'!$D$60:$EQ$104,$B26,128)*HY26=1,IF(AND($E26=2,NN26=0),1000000,IF($I26&gt;0,IF(6=$J26,IF(OR(AND(128=$I26+1,OR($K26&lt;&gt;'計算A'!$A$3,'計算A'!$A$4=0)),AND(128=$I26-1,OR(8&lt;&gt;'計算A'!$A$3,'計算A'!$A$4=0))),0,IF(8=$K26,200000,ABS(8-$K26)*100)),100000+ABS(6-$J26)*1000+80)+'計算A'!EA$5*50+IF(AND($E26=1,NN26=0),25,0),IF($F26&gt;0,INDEX('計算A'!EA$110:EA$114,$F26+1)+IF(AND($E26=1,NN26=0),1000,0),MIN(TZ26,20)*400+(IF('計算A'!DZ$106=1,1-HX26,0)+IF('計算A'!EA$106=1,1-HZ26,0))*150+86+'計算A'!EA$5*100000+IF(AND($E26=1,NN26=0),50000,0))+IF($H26=1,(IF('計算A'!DZ$117=1,INDEX('計算A'!DZ$10:DZ$54,$B26),0)+IF('計算A'!EA$117=1,INDEX('計算A'!EB$10:EB$54,$B26),0))*4000,0)-IF(AND('計算A'!DZ$117=1,YX26&gt;0),2000,0)-IF(AND($L26=1,'計算A'!EA$117=1,HZ26=0),2000,0))),1000000))</f>
        <v/>
      </c>
      <c r="TD26">
        <f>IF($B26=0,1000000,IF(INDEX('計算A'!$D$60:$EQ$104,$B26,129)*HZ26=1,IF(AND($E26=2,NO26=0),1000000,IF($I26&gt;0,IF(6=$J26,IF(OR(AND(129=$I26+1,OR($K26&lt;&gt;'計算A'!$A$3,'計算A'!$A$4=0)),AND(129=$I26-1,OR(9&lt;&gt;'計算A'!$A$3,'計算A'!$A$4=0))),0,IF(9=$K26,200000,ABS(9-$K26)*100)),100000+ABS(6-$J26)*1000+90)+'計算A'!EB$5*50+IF(AND($E26=1,NO26=0),25,0),IF($F26&gt;0,INDEX('計算A'!EB$110:EB$114,$F26+1)+IF(AND($E26=1,NO26=0),1000,0),MIN(TZ26,20)*400+(IF('計算A'!EA$106=1,1-HY26,0)+IF('計算A'!EB$106=1,1-IA26,0))*150+96+'計算A'!EB$5*100000+IF(AND($E26=1,NO26=0),50000,0))+IF($H26=1,(IF('計算A'!EA$117=1,INDEX('計算A'!EA$10:EA$54,$B26),0)+IF('計算A'!EB$117=1,INDEX('計算A'!EC$10:EC$54,$B26),0))*4000,0)-IF(AND('計算A'!EA$117=1,YY26&gt;0),2000,0)-IF(AND($L26=1,'計算A'!EB$117=1,IA26=0),2000,0))),1000000))</f>
        <v/>
      </c>
      <c r="TE26">
        <f>IF($B26=0,1000000,IF(INDEX('計算A'!$D$60:$EQ$104,$B26,130)*IA26=1,IF(AND($E26=2,NP26=0),1000000,IF($I26&gt;0,IF(6=$J26,IF(OR(AND(130=$I26+1,OR($K26&lt;&gt;'計算A'!$A$3,'計算A'!$A$4=0)),AND(130=$I26-1,OR(10&lt;&gt;'計算A'!$A$3,'計算A'!$A$4=0))),0,IF(10=$K26,200000,ABS(10-$K26)*100)),100000+ABS(6-$J26)*1000+100)+'計算A'!EC$5*50+IF(AND($E26=1,NP26=0),25,0),IF($F26&gt;0,INDEX('計算A'!EC$110:EC$114,$F26+1)+IF(AND($E26=1,NP26=0),1000,0),MIN(TZ26,20)*400+(IF('計算A'!EB$106=1,1-HZ26,0)+IF('計算A'!EC$106=1,1-IB26,0))*150+106+'計算A'!EC$5*100000+IF(AND($E26=1,NP26=0),50000,0))+IF($H26=1,(IF('計算A'!EB$117=1,INDEX('計算A'!EB$10:EB$54,$B26),0)+IF('計算A'!EC$117=1,INDEX('計算A'!ED$10:ED$54,$B26),0))*4000,0)-IF(AND('計算A'!EB$117=1,YZ26&gt;0),2000,0)-IF(AND($L26=1,'計算A'!EC$117=1,IB26=0),2000,0))),1000000))</f>
        <v/>
      </c>
      <c r="TF26">
        <f>IF($B26=0,1000000,IF(INDEX('計算A'!$D$60:$EQ$104,$B26,131)*IB26=1,IF(AND($E26=2,NQ26=0),1000000,IF($I26&gt;0,IF(6=$J26,IF(OR(AND(131=$I26+1,OR($K26&lt;&gt;'計算A'!$A$3,'計算A'!$A$4=0)),AND(131=$I26-1,OR(11&lt;&gt;'計算A'!$A$3,'計算A'!$A$4=0))),0,IF(11=$K26,200000,ABS(11-$K26)*100)),100000+ABS(6-$J26)*1000+110)+'計算A'!ED$5*50+IF(AND($E26=1,NQ26=0),25,0),IF($F26&gt;0,INDEX('計算A'!ED$110:ED$114,$F26+1)+IF(AND($E26=1,NQ26=0),1000,0),MIN(TZ26,20)*400+(IF('計算A'!EC$106=1,1-IA26,0)+IF('計算A'!ED$106=1,1-IC26,0))*150+116+'計算A'!ED$5*100000+IF(AND($E26=1,NQ26=0),50000,0))+IF($H26=1,(IF('計算A'!EC$117=1,INDEX('計算A'!EC$10:EC$54,$B26),0)+IF('計算A'!ED$117=1,INDEX('計算A'!EE$10:EE$54,$B26),0))*4000,0)-IF(AND('計算A'!EC$117=1,ZA26&gt;0),2000,0)-IF(AND($L26=1,'計算A'!ED$117=1,IC26=0),2000,0))),1000000))</f>
        <v/>
      </c>
      <c r="TG26">
        <f>IF($B26=0,1000000,IF(INDEX('計算A'!$D$60:$EQ$104,$B26,132)*IC26=1,IF(AND($E26=2,NR26=0),1000000,IF($I26&gt;0,IF(6=$J26,IF(OR(AND(132=$I26+1,OR($K26&lt;&gt;'計算A'!$A$3,'計算A'!$A$4=0)),AND(132=$I26-1,OR(12&lt;&gt;'計算A'!$A$3,'計算A'!$A$4=0))),0,IF(12=$K26,200000,ABS(12-$K26)*100)),100000+ABS(6-$J26)*1000+120)+'計算A'!EE$5*50+IF(AND($E26=1,NR26=0),25,0),IF($F26&gt;0,INDEX('計算A'!EE$110:EE$114,$F26+1)+IF(AND($E26=1,NR26=0),1000,0),MIN(TZ26,20)*400+(IF('計算A'!ED$106=1,1-IB26,0)+IF('計算A'!EE$106=1,1-ID26,0))*150+126+'計算A'!EE$5*100000+IF(AND($E26=1,NR26=0),50000,0))+IF($H26=1,(IF('計算A'!ED$117=1,INDEX('計算A'!ED$10:ED$54,$B26),0)+IF('計算A'!EE$117=1,INDEX('計算A'!EF$10:EF$54,$B26),0))*4000,0)-IF(AND('計算A'!ED$117=1,ZB26&gt;0),2000,0)-IF(AND($L26=1,'計算A'!EE$117=1,ID26=0),2000,0))),1000000))</f>
        <v/>
      </c>
      <c r="TH26">
        <f>IF($B26=0,1000000,IF(INDEX('計算A'!$D$60:$EQ$104,$B26,133)*ID26=1,IF(AND($E26=2,NS26=0),1000000,IF($I26&gt;0,IF(6=$J26,IF(OR(AND(133=$I26+1,OR($K26&lt;&gt;'計算A'!$A$3,'計算A'!$A$4=0)),AND(133=$I26-1,OR(13&lt;&gt;'計算A'!$A$3,'計算A'!$A$4=0))),0,IF(13=$K26,200000,ABS(13-$K26)*100)),100000+ABS(6-$J26)*1000+130)+'計算A'!EF$5*50+IF(AND($E26=1,NS26=0),25,0),IF($F26&gt;0,INDEX('計算A'!EF$110:EF$114,$F26+1)+IF(AND($E26=1,NS26=0),1000,0),MIN(TZ26,20)*400+(IF('計算A'!EE$106=1,1-IC26,0)+IF('計算A'!EF$106=1,1-IE26,0))*150+136+'計算A'!EF$5*100000+IF(AND($E26=1,NS26=0),50000,0))+IF($H26=1,(IF('計算A'!EE$117=1,INDEX('計算A'!EE$10:EE$54,$B26),0)+IF('計算A'!EF$117=1,INDEX('計算A'!EG$10:EG$54,$B26),0))*4000,0)-IF(AND('計算A'!EE$117=1,ZC26&gt;0),2000,0)-IF(AND($L26=1,'計算A'!EF$117=1,IE26=0),2000,0))),1000000))</f>
        <v/>
      </c>
      <c r="TI26">
        <f>IF($B26=0,1000000,IF(INDEX('計算A'!$D$60:$EQ$104,$B26,134)*IE26=1,IF(AND($E26=2,NT26=0),1000000,IF($I26&gt;0,IF(6=$J26,IF(OR(AND(134=$I26+1,OR($K26&lt;&gt;'計算A'!$A$3,'計算A'!$A$4=0)),AND(134=$I26-1,OR(14&lt;&gt;'計算A'!$A$3,'計算A'!$A$4=0))),0,IF(14=$K26,200000,ABS(14-$K26)*100)),100000+ABS(6-$J26)*1000+140)+'計算A'!EG$5*50+IF(AND($E26=1,NT26=0),25,0),IF($F26&gt;0,INDEX('計算A'!EG$110:EG$114,$F26+1)+IF(AND($E26=1,NT26=0),1000,0),MIN(TZ26,20)*400+(IF('計算A'!EF$106=1,1-ID26,0)+IF('計算A'!EG$106=1,1-IF26,0))*150+146+'計算A'!EG$5*100000+IF(AND($E26=1,NT26=0),50000,0))+IF($H26=1,(IF('計算A'!EF$117=1,INDEX('計算A'!EF$10:EF$54,$B26),0)+IF('計算A'!EG$117=1,INDEX('計算A'!EH$10:EH$54,$B26),0))*4000,0)-IF(AND('計算A'!EF$117=1,ZD26&gt;0),2000,0)-IF(AND($L26=1,'計算A'!EG$117=1,IF26=0),2000,0))),1000000))</f>
        <v/>
      </c>
      <c r="TJ26">
        <f>IF($B26=0,1000000,IF(INDEX('計算A'!$D$60:$EQ$104,$B26,135)*IF26=1,IF(AND($E26=2,NU26=0),1000000,IF($I26&gt;0,IF(6=$J26,IF(OR(AND(135=$I26+1,OR($K26&lt;&gt;'計算A'!$A$3,'計算A'!$A$4=0)),AND(135=$I26-1,OR(15&lt;&gt;'計算A'!$A$3,'計算A'!$A$4=0))),0,IF(15=$K26,200000,ABS(15-$K26)*100)),100000+ABS(6-$J26)*1000+150)+'計算A'!EH$5*50+IF(AND($E26=1,NU26=0),25,0),IF($F26&gt;0,INDEX('計算A'!EH$110:EH$114,$F26+1)+IF(AND($E26=1,NU26=0),1000,0),MIN(TZ26,20)*400+(IF('計算A'!EG$106=1,1-IE26,0)+IF('計算A'!EH$106=1,1-IG26,0))*150+156+'計算A'!EH$5*100000+IF(AND($E26=1,NU26=0),50000,0))+IF($H26=1,(IF('計算A'!EG$117=1,INDEX('計算A'!EG$10:EG$54,$B26),0)+IF('計算A'!EH$117=1,INDEX('計算A'!EI$10:EI$54,$B26),0))*4000,0)-IF(AND('計算A'!EG$117=1,ZE26&gt;0),2000,0)-IF(AND($L26=1,'計算A'!EH$117=1,IG26=0),2000,0))),1000000))</f>
        <v/>
      </c>
      <c r="TK26">
        <f>IF($B26=0,1000000,IF(INDEX('計算A'!$D$60:$EQ$104,$B26,136)*IG26=1,IF(AND($E26=2,NV26=0),1000000,IF($I26&gt;0,IF(6=$J26,IF(OR(AND(136=$I26+1,OR($K26&lt;&gt;'計算A'!$A$3,'計算A'!$A$4=0)),AND(136=$I26-1,OR(16&lt;&gt;'計算A'!$A$3,'計算A'!$A$4=0))),0,IF(16=$K26,200000,ABS(16-$K26)*100)),100000+ABS(6-$J26)*1000+160)+'計算A'!EI$5*50+IF(AND($E26=1,NV26=0),25,0),IF($F26&gt;0,INDEX('計算A'!EI$110:EI$114,$F26+1)+IF(AND($E26=1,NV26=0),1000,0),MIN(TZ26,20)*400+(IF('計算A'!EH$106=1,1-IF26,0)+IF('計算A'!EI$106=1,1-IH26,0))*150+166+'計算A'!EI$5*100000+IF(AND($E26=1,NV26=0),50000,0))+IF($H26=1,(IF('計算A'!EH$117=1,INDEX('計算A'!EH$10:EH$54,$B26),0)+IF('計算A'!EI$117=1,INDEX('計算A'!EJ$10:EJ$54,$B26),0))*4000,0)-IF(AND('計算A'!EH$117=1,ZF26&gt;0),2000,0)-IF(AND($L26=1,'計算A'!EI$117=1,IH26=0),2000,0))),1000000))</f>
        <v/>
      </c>
      <c r="TL26">
        <f>IF($B26=0,1000000,IF(INDEX('計算A'!$D$60:$EQ$104,$B26,137)*IH26=1,IF(AND($E26=2,NW26=0),1000000,IF($I26&gt;0,IF(6=$J26,IF(OR(AND(137=$I26+1,OR($K26&lt;&gt;'計算A'!$A$3,'計算A'!$A$4=0)),AND(137=$I26-1,OR(17&lt;&gt;'計算A'!$A$3,'計算A'!$A$4=0))),0,IF(17=$K26,200000,ABS(17-$K26)*100)),100000+ABS(6-$J26)*1000+170)+'計算A'!EJ$5*50+IF(AND($E26=1,NW26=0),25,0),IF($F26&gt;0,INDEX('計算A'!EJ$110:EJ$114,$F26+1)+IF(AND($E26=1,NW26=0),1000,0),MIN(TZ26,20)*400+(IF('計算A'!EI$106=1,1-IG26,0)+IF('計算A'!EJ$106=1,1-II26,0))*150+176+'計算A'!EJ$5*100000+IF(AND($E26=1,NW26=0),50000,0))+IF($H26=1,(IF('計算A'!EI$117=1,INDEX('計算A'!EI$10:EI$54,$B26),0)+IF('計算A'!EJ$117=1,INDEX('計算A'!EK$10:EK$54,$B26),0))*4000,0)-IF(AND('計算A'!EI$117=1,ZG26&gt;0),2000,0)-IF(AND($L26=1,'計算A'!EJ$117=1,II26=0),2000,0))),1000000))</f>
        <v/>
      </c>
      <c r="TM26">
        <f>IF($B26=0,1000000,IF(INDEX('計算A'!$D$60:$EQ$104,$B26,138)*II26=1,IF(AND($E26=2,NX26=0),1000000,IF($I26&gt;0,IF(6=$J26,IF(OR(AND(138=$I26+1,OR($K26&lt;&gt;'計算A'!$A$3,'計算A'!$A$4=0)),AND(138=$I26-1,OR(18&lt;&gt;'計算A'!$A$3,'計算A'!$A$4=0))),0,IF(18=$K26,200000,ABS(18-$K26)*100)),100000+ABS(6-$J26)*1000+180)+'計算A'!EK$5*50+IF(AND($E26=1,NX26=0),25,0),IF($F26&gt;0,INDEX('計算A'!EK$110:EK$114,$F26+1)+IF(AND($E26=1,NX26=0),1000,0),MIN(TZ26,20)*400+(IF('計算A'!EJ$106=1,1-IH26,0)+IF('計算A'!EK$106=1,1-IJ26,0))*150+186+'計算A'!EK$5*100000+IF(AND($E26=1,NX26=0),50000,0))+IF($H26=1,(IF('計算A'!EJ$117=1,INDEX('計算A'!EJ$10:EJ$54,$B26),0)+IF('計算A'!EK$117=1,INDEX('計算A'!EL$10:EL$54,$B26),0))*4000,0)-IF(AND('計算A'!EJ$117=1,ZH26&gt;0),2000,0)-IF(AND($L26=1,'計算A'!EK$117=1,IJ26=0),2000,0))),1000000))</f>
        <v/>
      </c>
      <c r="TN26">
        <f>IF($B26=0,1000000,IF(INDEX('計算A'!$D$60:$EQ$104,$B26,139)*IJ26=1,IF(AND($E26=2,NY26=0),1000000,IF($I26&gt;0,IF(6=$J26,IF(OR(AND(139=$I26+1,OR($K26&lt;&gt;'計算A'!$A$3,'計算A'!$A$4=0)),AND(139=$I26-1,OR(19&lt;&gt;'計算A'!$A$3,'計算A'!$A$4=0))),0,IF(19=$K26,200000,ABS(19-$K26)*100)),100000+ABS(6-$J26)*1000+190)+'計算A'!EL$5*50+IF(AND($E26=1,NY26=0),25,0),IF($F26&gt;0,INDEX('計算A'!EL$110:EL$114,$F26+1)+IF(AND($E26=1,NY26=0),1000,0),MIN(TZ26,20)*400+(IF('計算A'!EK$106=1,1-II26,0)+IF('計算A'!EL$106=1,1-IK26,0))*150+196+'計算A'!EL$5*100000+IF(AND($E26=1,NY26=0),50000,0))+IF($H26=1,(IF('計算A'!EK$117=1,INDEX('計算A'!EK$10:EK$54,$B26),0)+IF('計算A'!EL$117=1,INDEX('計算A'!EM$10:EM$54,$B26),0))*4000,0)-IF(AND('計算A'!EK$117=1,ZI26&gt;0),2000,0)-IF(AND($L26=1,'計算A'!EL$117=1,IK26=0),2000,0))),1000000))</f>
        <v/>
      </c>
      <c r="TO26">
        <f>IF($B26=0,1000000,IF(INDEX('計算A'!$D$60:$EQ$104,$B26,140)*IK26=1,IF(AND($E26=2,NZ26=0),1000000,IF($I26&gt;0,IF(6=$J26,IF(OR(AND(140=$I26+1,OR($K26&lt;&gt;'計算A'!$A$3,'計算A'!$A$4=0)),AND(140=$I26-1,OR(20&lt;&gt;'計算A'!$A$3,'計算A'!$A$4=0))),0,IF(20=$K26,200000,ABS(20-$K26)*100)),100000+ABS(6-$J26)*1000+200)+'計算A'!EM$5*50+IF(AND($E26=1,NZ26=0),25,0),IF($F26&gt;0,INDEX('計算A'!EM$110:EM$114,$F26+1)+IF(AND($E26=1,NZ26=0),1000,0),MIN(TZ26,20)*400+(IF('計算A'!EL$106=1,1-IJ26,0)+IF('計算A'!EM$106=1,1-IL26,0))*150+206+'計算A'!EM$5*100000+IF(AND($E26=1,NZ26=0),50000,0))+IF($H26=1,(IF('計算A'!EL$117=1,INDEX('計算A'!EL$10:EL$54,$B26),0)+IF('計算A'!EM$117=1,INDEX('計算A'!EN$10:EN$54,$B26),0))*4000,0)-IF(AND('計算A'!EL$117=1,ZJ26&gt;0),2000,0)-IF(AND($L26=1,'計算A'!EM$117=1,IL26=0),2000,0))),1000000))</f>
        <v/>
      </c>
      <c r="TP26">
        <f>IF($B26=0,1000000,IF(INDEX('計算A'!$D$60:$EQ$104,$B26,141)*IL26=1,IF(AND($E26=2,OA26=0),1000000,IF($I26&gt;0,IF(6=$J26,IF(OR(AND(141=$I26+1,OR($K26&lt;&gt;'計算A'!$A$3,'計算A'!$A$4=0)),AND(141=$I26-1,OR(21&lt;&gt;'計算A'!$A$3,'計算A'!$A$4=0))),0,IF(21=$K26,200000,ABS(21-$K26)*100)),100000+ABS(6-$J26)*1000+210)+'計算A'!EN$5*50+IF(AND($E26=1,OA26=0),25,0),IF($F26&gt;0,INDEX('計算A'!EN$110:EN$114,$F26+1)+IF(AND($E26=1,OA26=0),1000,0),MIN(TZ26,20)*400+(IF('計算A'!EM$106=1,1-IK26,0)+IF('計算A'!EN$106=1,1-IM26,0))*150+216+'計算A'!EN$5*100000+IF(AND($E26=1,OA26=0),50000,0))+IF($H26=1,(IF('計算A'!EM$117=1,INDEX('計算A'!EM$10:EM$54,$B26),0)+IF('計算A'!EN$117=1,INDEX('計算A'!EO$10:EO$54,$B26),0))*4000,0)-IF(AND('計算A'!EM$117=1,ZK26&gt;0),2000,0)-IF(AND($L26=1,'計算A'!EN$117=1,IM26=0),2000,0))),1000000))</f>
        <v/>
      </c>
      <c r="TQ26">
        <f>IF($B26=0,1000000,IF(INDEX('計算A'!$D$60:$EQ$104,$B26,142)*IM26=1,IF(AND($E26=2,OB26=0),1000000,IF($I26&gt;0,IF(6=$J26,IF(OR(AND(142=$I26+1,OR($K26&lt;&gt;'計算A'!$A$3,'計算A'!$A$4=0)),AND(142=$I26-1,OR(22&lt;&gt;'計算A'!$A$3,'計算A'!$A$4=0))),0,IF(22=$K26,200000,ABS(22-$K26)*100)),100000+ABS(6-$J26)*1000+220)+'計算A'!EO$5*50+IF(AND($E26=1,OB26=0),25,0),IF($F26&gt;0,INDEX('計算A'!EO$110:EO$114,$F26+1)+IF(AND($E26=1,OB26=0),1000,0),MIN(TZ26,20)*400+(IF('計算A'!EN$106=1,1-IL26,0)+IF('計算A'!EO$106=1,1-IN26,0))*150+226+'計算A'!EO$5*100000+IF(AND($E26=1,OB26=0),50000,0))+IF($H26=1,(IF('計算A'!EN$117=1,INDEX('計算A'!EN$10:EN$54,$B26),0)+IF('計算A'!EO$117=1,INDEX('計算A'!EP$10:EP$54,$B26),0))*4000,0)-IF(AND('計算A'!EN$117=1,ZL26&gt;0),2000,0)-IF(AND($L26=1,'計算A'!EO$117=1,IN26=0),2000,0))),1000000))</f>
        <v/>
      </c>
      <c r="TR26">
        <f>IF($B26=0,1000000,IF(INDEX('計算A'!$D$60:$EQ$104,$B26,143)*IN26=1,IF(AND($E26=2,OC26=0),1000000,IF($I26&gt;0,IF(6=$J26,IF(OR(AND(143=$I26+1,OR($K26&lt;&gt;'計算A'!$A$3,'計算A'!$A$4=0)),AND(143=$I26-1,OR(23&lt;&gt;'計算A'!$A$3,'計算A'!$A$4=0))),0,IF(23=$K26,200000,ABS(23-$K26)*100)),100000+ABS(6-$J26)*1000+230)+'計算A'!EP$5*50+IF(AND($E26=1,OC26=0),25,0),IF($F26&gt;0,INDEX('計算A'!EP$110:EP$114,$F26+1)+IF(AND($E26=1,OC26=0),1000,0),MIN(TZ26,20)*400+(IF('計算A'!EO$106=1,1-IM26,0)+IF('計算A'!EP$106=1,1-IO26,0))*150+236+'計算A'!EP$5*100000+IF(AND($E26=1,OC26=0),50000,0))+IF($H26=1,(IF('計算A'!EO$117=1,INDEX('計算A'!EO$10:EO$54,$B26),0)+IF('計算A'!EP$117=1,INDEX('計算A'!EQ$10:EQ$54,$B26),0))*4000,0)-IF(AND('計算A'!EO$117=1,ZM26&gt;0),2000,0)-IF(AND($L26=1,'計算A'!EP$117=1,IO26=0),2000,0))),1000000))</f>
        <v/>
      </c>
      <c r="TS26">
        <f>IF($B26=0,1000000,IF(INDEX('計算A'!$D$60:$EQ$104,$B26,144)*IO26=1,IF(AND($E26=2,OD26=0),1000000,IF($I26&gt;0,IF(6=$J26,IF(OR(AND(144=$I26+1,OR($K26&lt;&gt;'計算A'!$A$3,'計算A'!$A$4=0)),AND(144=$I26-1,OR(24&lt;&gt;'計算A'!$A$3,'計算A'!$A$4=0))),0,IF(24=$K26,200000,ABS(24-$K26)*100)),100000+ABS(6-$J26)*1000+240)+'計算A'!EQ$5*50+IF(AND($E26=1,OD26=0),25,0),IF($F26&gt;0,INDEX('計算A'!EQ$110:EQ$114,$F26+1)+IF(AND($E26=1,OD26=0),1000,0),MIN(TZ26,20)*400+(IF('計算A'!EP$106=1,1-IN26,0))*150+246+'計算A'!EQ$5*100000+IF(AND($E26=1,OD26=0),50000,0))+IF($H26=1,(IF('計算A'!EP$117=1,INDEX('計算A'!EP$10:EP$54,$B26),0))*4000,0)-IF(AND('計算A'!EP$117=1,ZN26&gt;0),2000,0))),1000000))</f>
        <v/>
      </c>
      <c r="TU26">
        <f>TU25+IF($C25&gt;0,IF(INDEX('計算A'!$D$2:$EQ$2,$C25)=1,1,0),0)</f>
        <v/>
      </c>
      <c r="TV26">
        <f>TV25+IF($C25&gt;0,IF(INDEX('計算A'!$D$2:$EQ$2,$C25)=2,1,0),0)</f>
        <v/>
      </c>
      <c r="TW26">
        <f>TW25+IF($C25&gt;0,IF(INDEX('計算A'!$D$2:$EQ$2,$C25)=3,1,0),0)</f>
        <v/>
      </c>
      <c r="TX26">
        <f>TX25+IF($C25&gt;0,IF(INDEX('計算A'!$D$2:$EQ$2,$C25)=4,1,0),0)</f>
        <v/>
      </c>
      <c r="TY26">
        <f>TY25+IF($C25&gt;0,IF(INDEX('計算A'!$D$2:$EQ$2,$C25)=5,1,0),0)</f>
        <v/>
      </c>
      <c r="TZ26">
        <f>TZ25+IF($C25&gt;0,IF(INDEX('計算A'!$D$2:$EQ$2,$C25)=6,1,0),0)</f>
        <v/>
      </c>
      <c r="UB26">
        <f>UB25+IF(AND($C25=1,$L25=1),1,0)</f>
        <v/>
      </c>
      <c r="UC26">
        <f>UC25+IF(AND($C25=2,$L25=1),1,0)</f>
        <v/>
      </c>
      <c r="UD26">
        <f>UD25+IF(AND($C25=3,$L25=1),1,0)</f>
        <v/>
      </c>
      <c r="UE26">
        <f>UE25+IF(AND($C25=4,$L25=1),1,0)</f>
        <v/>
      </c>
      <c r="UF26">
        <f>UF25+IF(AND($C25=5,$L25=1),1,0)</f>
        <v/>
      </c>
      <c r="UG26">
        <f>UG25+IF(AND($C25=6,$L25=1),1,0)</f>
        <v/>
      </c>
      <c r="UH26">
        <f>UH25+IF(AND($C25=7,$L25=1),1,0)</f>
        <v/>
      </c>
      <c r="UI26">
        <f>UI25+IF(AND($C25=8,$L25=1),1,0)</f>
        <v/>
      </c>
      <c r="UJ26">
        <f>UJ25+IF(AND($C25=9,$L25=1),1,0)</f>
        <v/>
      </c>
      <c r="UK26">
        <f>UK25+IF(AND($C25=10,$L25=1),1,0)</f>
        <v/>
      </c>
      <c r="UL26">
        <f>UL25+IF(AND($C25=11,$L25=1),1,0)</f>
        <v/>
      </c>
      <c r="UM26">
        <f>UM25+IF(AND($C25=12,$L25=1),1,0)</f>
        <v/>
      </c>
      <c r="UN26">
        <f>UN25+IF(AND($C25=13,$L25=1),1,0)</f>
        <v/>
      </c>
      <c r="UO26">
        <f>UO25+IF(AND($C25=14,$L25=1),1,0)</f>
        <v/>
      </c>
      <c r="UP26">
        <f>UP25+IF(AND($C25=15,$L25=1),1,0)</f>
        <v/>
      </c>
      <c r="UQ26">
        <f>UQ25+IF(AND($C25=16,$L25=1),1,0)</f>
        <v/>
      </c>
      <c r="UR26">
        <f>UR25+IF(AND($C25=17,$L25=1),1,0)</f>
        <v/>
      </c>
      <c r="US26">
        <f>US25+IF(AND($C25=18,$L25=1),1,0)</f>
        <v/>
      </c>
      <c r="UT26">
        <f>UT25+IF(AND($C25=19,$L25=1),1,0)</f>
        <v/>
      </c>
      <c r="UU26">
        <f>UU25+IF(AND($C25=20,$L25=1),1,0)</f>
        <v/>
      </c>
      <c r="UV26">
        <f>UV25+IF(AND($C25=21,$L25=1),1,0)</f>
        <v/>
      </c>
      <c r="UW26">
        <f>UW25+IF(AND($C25=22,$L25=1),1,0)</f>
        <v/>
      </c>
      <c r="UX26">
        <f>UX25+IF(AND($C25=23,$L25=1),1,0)</f>
        <v/>
      </c>
      <c r="UY26">
        <f>UY25+IF(AND($C25=24,$L25=1),1,0)</f>
        <v/>
      </c>
      <c r="UZ26">
        <f>UZ25+IF(AND($C25=25,$L25=1),1,0)</f>
        <v/>
      </c>
      <c r="VA26">
        <f>VA25+IF(AND($C25=26,$L25=1),1,0)</f>
        <v/>
      </c>
      <c r="VB26">
        <f>VB25+IF(AND($C25=27,$L25=1),1,0)</f>
        <v/>
      </c>
      <c r="VC26">
        <f>VC25+IF(AND($C25=28,$L25=1),1,0)</f>
        <v/>
      </c>
      <c r="VD26">
        <f>VD25+IF(AND($C25=29,$L25=1),1,0)</f>
        <v/>
      </c>
      <c r="VE26">
        <f>VE25+IF(AND($C25=30,$L25=1),1,0)</f>
        <v/>
      </c>
      <c r="VF26">
        <f>VF25+IF(AND($C25=31,$L25=1),1,0)</f>
        <v/>
      </c>
      <c r="VG26">
        <f>VG25+IF(AND($C25=32,$L25=1),1,0)</f>
        <v/>
      </c>
      <c r="VH26">
        <f>VH25+IF(AND($C25=33,$L25=1),1,0)</f>
        <v/>
      </c>
      <c r="VI26">
        <f>VI25+IF(AND($C25=34,$L25=1),1,0)</f>
        <v/>
      </c>
      <c r="VJ26">
        <f>VJ25+IF(AND($C25=35,$L25=1),1,0)</f>
        <v/>
      </c>
      <c r="VK26">
        <f>VK25+IF(AND($C25=36,$L25=1),1,0)</f>
        <v/>
      </c>
      <c r="VL26">
        <f>VL25+IF(AND($C25=37,$L25=1),1,0)</f>
        <v/>
      </c>
      <c r="VM26">
        <f>VM25+IF(AND($C25=38,$L25=1),1,0)</f>
        <v/>
      </c>
      <c r="VN26">
        <f>VN25+IF(AND($C25=39,$L25=1),1,0)</f>
        <v/>
      </c>
      <c r="VO26">
        <f>VO25+IF(AND($C25=40,$L25=1),1,0)</f>
        <v/>
      </c>
      <c r="VP26">
        <f>VP25+IF(AND($C25=41,$L25=1),1,0)</f>
        <v/>
      </c>
      <c r="VQ26">
        <f>VQ25+IF(AND($C25=42,$L25=1),1,0)</f>
        <v/>
      </c>
      <c r="VR26">
        <f>VR25+IF(AND($C25=43,$L25=1),1,0)</f>
        <v/>
      </c>
      <c r="VS26">
        <f>VS25+IF(AND($C25=44,$L25=1),1,0)</f>
        <v/>
      </c>
      <c r="VT26">
        <f>VT25+IF(AND($C25=45,$L25=1),1,0)</f>
        <v/>
      </c>
      <c r="VU26">
        <f>VU25+IF(AND($C25=46,$L25=1),1,0)</f>
        <v/>
      </c>
      <c r="VV26">
        <f>VV25+IF(AND($C25=47,$L25=1),1,0)</f>
        <v/>
      </c>
      <c r="VW26">
        <f>VW25+IF(AND($C25=48,$L25=1),1,0)</f>
        <v/>
      </c>
      <c r="VX26">
        <f>VX25+IF(AND($C25=49,$L25=1),1,0)</f>
        <v/>
      </c>
      <c r="VY26">
        <f>VY25+IF(AND($C25=50,$L25=1),1,0)</f>
        <v/>
      </c>
      <c r="VZ26">
        <f>VZ25+IF(AND($C25=51,$L25=1),1,0)</f>
        <v/>
      </c>
      <c r="WA26">
        <f>WA25+IF(AND($C25=52,$L25=1),1,0)</f>
        <v/>
      </c>
      <c r="WB26">
        <f>WB25+IF(AND($C25=53,$L25=1),1,0)</f>
        <v/>
      </c>
      <c r="WC26">
        <f>WC25+IF(AND($C25=54,$L25=1),1,0)</f>
        <v/>
      </c>
      <c r="WD26">
        <f>WD25+IF(AND($C25=55,$L25=1),1,0)</f>
        <v/>
      </c>
      <c r="WE26">
        <f>WE25+IF(AND($C25=56,$L25=1),1,0)</f>
        <v/>
      </c>
      <c r="WF26">
        <f>WF25+IF(AND($C25=57,$L25=1),1,0)</f>
        <v/>
      </c>
      <c r="WG26">
        <f>WG25+IF(AND($C25=58,$L25=1),1,0)</f>
        <v/>
      </c>
      <c r="WH26">
        <f>WH25+IF(AND($C25=59,$L25=1),1,0)</f>
        <v/>
      </c>
      <c r="WI26">
        <f>WI25+IF(AND($C25=60,$L25=1),1,0)</f>
        <v/>
      </c>
      <c r="WJ26">
        <f>WJ25+IF(AND($C25=61,$L25=1),1,0)</f>
        <v/>
      </c>
      <c r="WK26">
        <f>WK25+IF(AND($C25=62,$L25=1),1,0)</f>
        <v/>
      </c>
      <c r="WL26">
        <f>WL25+IF(AND($C25=63,$L25=1),1,0)</f>
        <v/>
      </c>
      <c r="WM26">
        <f>WM25+IF(AND($C25=64,$L25=1),1,0)</f>
        <v/>
      </c>
      <c r="WN26">
        <f>WN25+IF(AND($C25=65,$L25=1),1,0)</f>
        <v/>
      </c>
      <c r="WO26">
        <f>WO25+IF(AND($C25=66,$L25=1),1,0)</f>
        <v/>
      </c>
      <c r="WP26">
        <f>WP25+IF(AND($C25=67,$L25=1),1,0)</f>
        <v/>
      </c>
      <c r="WQ26">
        <f>WQ25+IF(AND($C25=68,$L25=1),1,0)</f>
        <v/>
      </c>
      <c r="WR26">
        <f>WR25+IF(AND($C25=69,$L25=1),1,0)</f>
        <v/>
      </c>
      <c r="WS26">
        <f>WS25+IF(AND($C25=70,$L25=1),1,0)</f>
        <v/>
      </c>
      <c r="WT26">
        <f>WT25+IF(AND($C25=71,$L25=1),1,0)</f>
        <v/>
      </c>
      <c r="WU26">
        <f>WU25+IF(AND($C25=72,$L25=1),1,0)</f>
        <v/>
      </c>
      <c r="WV26">
        <f>WV25+IF(AND($C25=73,$L25=1),1,0)</f>
        <v/>
      </c>
      <c r="WW26">
        <f>WW25+IF(AND($C25=74,$L25=1),1,0)</f>
        <v/>
      </c>
      <c r="WX26">
        <f>WX25+IF(AND($C25=75,$L25=1),1,0)</f>
        <v/>
      </c>
      <c r="WY26">
        <f>WY25+IF(AND($C25=76,$L25=1),1,0)</f>
        <v/>
      </c>
      <c r="WZ26">
        <f>WZ25+IF(AND($C25=77,$L25=1),1,0)</f>
        <v/>
      </c>
      <c r="XA26">
        <f>XA25+IF(AND($C25=78,$L25=1),1,0)</f>
        <v/>
      </c>
      <c r="XB26">
        <f>XB25+IF(AND($C25=79,$L25=1),1,0)</f>
        <v/>
      </c>
      <c r="XC26">
        <f>XC25+IF(AND($C25=80,$L25=1),1,0)</f>
        <v/>
      </c>
      <c r="XD26">
        <f>XD25+IF(AND($C25=81,$L25=1),1,0)</f>
        <v/>
      </c>
      <c r="XE26">
        <f>XE25+IF(AND($C25=82,$L25=1),1,0)</f>
        <v/>
      </c>
      <c r="XF26">
        <f>XF25+IF(AND($C25=83,$L25=1),1,0)</f>
        <v/>
      </c>
      <c r="XG26">
        <f>XG25+IF(AND($C25=84,$L25=1),1,0)</f>
        <v/>
      </c>
      <c r="XH26">
        <f>XH25+IF(AND($C25=85,$L25=1),1,0)</f>
        <v/>
      </c>
      <c r="XI26">
        <f>XI25+IF(AND($C25=86,$L25=1),1,0)</f>
        <v/>
      </c>
      <c r="XJ26">
        <f>XJ25+IF(AND($C25=87,$L25=1),1,0)</f>
        <v/>
      </c>
      <c r="XK26">
        <f>XK25+IF(AND($C25=88,$L25=1),1,0)</f>
        <v/>
      </c>
      <c r="XL26">
        <f>XL25+IF(AND($C25=89,$L25=1),1,0)</f>
        <v/>
      </c>
      <c r="XM26">
        <f>XM25+IF(AND($C25=90,$L25=1),1,0)</f>
        <v/>
      </c>
      <c r="XN26">
        <f>XN25+IF(AND($C25=91,$L25=1),1,0)</f>
        <v/>
      </c>
      <c r="XO26">
        <f>XO25+IF(AND($C25=92,$L25=1),1,0)</f>
        <v/>
      </c>
      <c r="XP26">
        <f>XP25+IF(AND($C25=93,$L25=1),1,0)</f>
        <v/>
      </c>
      <c r="XQ26">
        <f>XQ25+IF(AND($C25=94,$L25=1),1,0)</f>
        <v/>
      </c>
      <c r="XR26">
        <f>XR25+IF(AND($C25=95,$L25=1),1,0)</f>
        <v/>
      </c>
      <c r="XS26">
        <f>XS25+IF(AND($C25=96,$L25=1),1,0)</f>
        <v/>
      </c>
      <c r="XT26">
        <f>XT25+IF(AND($C25=97,$L25=1),1,0)</f>
        <v/>
      </c>
      <c r="XU26">
        <f>XU25+IF(AND($C25=98,$L25=1),1,0)</f>
        <v/>
      </c>
      <c r="XV26">
        <f>XV25+IF(AND($C25=99,$L25=1),1,0)</f>
        <v/>
      </c>
      <c r="XW26">
        <f>XW25+IF(AND($C25=100,$L25=1),1,0)</f>
        <v/>
      </c>
      <c r="XX26">
        <f>XX25+IF(AND($C25=101,$L25=1),1,0)</f>
        <v/>
      </c>
      <c r="XY26">
        <f>XY25+IF(AND($C25=102,$L25=1),1,0)</f>
        <v/>
      </c>
      <c r="XZ26">
        <f>XZ25+IF(AND($C25=103,$L25=1),1,0)</f>
        <v/>
      </c>
      <c r="YA26">
        <f>YA25+IF(AND($C25=104,$L25=1),1,0)</f>
        <v/>
      </c>
      <c r="YB26">
        <f>YB25+IF(AND($C25=105,$L25=1),1,0)</f>
        <v/>
      </c>
      <c r="YC26">
        <f>YC25+IF(AND($C25=106,$L25=1),1,0)</f>
        <v/>
      </c>
      <c r="YD26">
        <f>YD25+IF(AND($C25=107,$L25=1),1,0)</f>
        <v/>
      </c>
      <c r="YE26">
        <f>YE25+IF(AND($C25=108,$L25=1),1,0)</f>
        <v/>
      </c>
      <c r="YF26">
        <f>YF25+IF(AND($C25=109,$L25=1),1,0)</f>
        <v/>
      </c>
      <c r="YG26">
        <f>YG25+IF(AND($C25=110,$L25=1),1,0)</f>
        <v/>
      </c>
      <c r="YH26">
        <f>YH25+IF(AND($C25=111,$L25=1),1,0)</f>
        <v/>
      </c>
      <c r="YI26">
        <f>YI25+IF(AND($C25=112,$L25=1),1,0)</f>
        <v/>
      </c>
      <c r="YJ26">
        <f>YJ25+IF(AND($C25=113,$L25=1),1,0)</f>
        <v/>
      </c>
      <c r="YK26">
        <f>YK25+IF(AND($C25=114,$L25=1),1,0)</f>
        <v/>
      </c>
      <c r="YL26">
        <f>YL25+IF(AND($C25=115,$L25=1),1,0)</f>
        <v/>
      </c>
      <c r="YM26">
        <f>YM25+IF(AND($C25=116,$L25=1),1,0)</f>
        <v/>
      </c>
      <c r="YN26">
        <f>YN25+IF(AND($C25=117,$L25=1),1,0)</f>
        <v/>
      </c>
      <c r="YO26">
        <f>YO25+IF(AND($C25=118,$L25=1),1,0)</f>
        <v/>
      </c>
      <c r="YP26">
        <f>YP25+IF(AND($C25=119,$L25=1),1,0)</f>
        <v/>
      </c>
      <c r="YQ26">
        <f>YQ25+IF(AND($C25=120,$L25=1),1,0)</f>
        <v/>
      </c>
      <c r="YR26">
        <f>YR25+IF(AND($C25=121,$L25=1),1,0)</f>
        <v/>
      </c>
      <c r="YS26">
        <f>YS25+IF(AND($C25=122,$L25=1),1,0)</f>
        <v/>
      </c>
      <c r="YT26">
        <f>YT25+IF(AND($C25=123,$L25=1),1,0)</f>
        <v/>
      </c>
      <c r="YU26">
        <f>YU25+IF(AND($C25=124,$L25=1),1,0)</f>
        <v/>
      </c>
      <c r="YV26">
        <f>YV25+IF(AND($C25=125,$L25=1),1,0)</f>
        <v/>
      </c>
      <c r="YW26">
        <f>YW25+IF(AND($C25=126,$L25=1),1,0)</f>
        <v/>
      </c>
      <c r="YX26">
        <f>YX25+IF(AND($C25=127,$L25=1),1,0)</f>
        <v/>
      </c>
      <c r="YY26">
        <f>YY25+IF(AND($C25=128,$L25=1),1,0)</f>
        <v/>
      </c>
      <c r="YZ26">
        <f>YZ25+IF(AND($C25=129,$L25=1),1,0)</f>
        <v/>
      </c>
      <c r="ZA26">
        <f>ZA25+IF(AND($C25=130,$L25=1),1,0)</f>
        <v/>
      </c>
      <c r="ZB26">
        <f>ZB25+IF(AND($C25=131,$L25=1),1,0)</f>
        <v/>
      </c>
      <c r="ZC26">
        <f>ZC25+IF(AND($C25=132,$L25=1),1,0)</f>
        <v/>
      </c>
      <c r="ZD26">
        <f>ZD25+IF(AND($C25=133,$L25=1),1,0)</f>
        <v/>
      </c>
      <c r="ZE26">
        <f>ZE25+IF(AND($C25=134,$L25=1),1,0)</f>
        <v/>
      </c>
      <c r="ZF26">
        <f>ZF25+IF(AND($C25=135,$L25=1),1,0)</f>
        <v/>
      </c>
      <c r="ZG26">
        <f>ZG25+IF(AND($C25=136,$L25=1),1,0)</f>
        <v/>
      </c>
      <c r="ZH26">
        <f>ZH25+IF(AND($C25=137,$L25=1),1,0)</f>
        <v/>
      </c>
      <c r="ZI26">
        <f>ZI25+IF(AND($C25=138,$L25=1),1,0)</f>
        <v/>
      </c>
      <c r="ZJ26">
        <f>ZJ25+IF(AND($C25=139,$L25=1),1,0)</f>
        <v/>
      </c>
      <c r="ZK26">
        <f>ZK25+IF(AND($C25=140,$L25=1),1,0)</f>
        <v/>
      </c>
      <c r="ZL26">
        <f>ZL25+IF(AND($C25=141,$L25=1),1,0)</f>
        <v/>
      </c>
      <c r="ZM26">
        <f>ZM25+IF(AND($C25=142,$L25=1),1,0)</f>
        <v/>
      </c>
      <c r="ZN26">
        <f>ZN25+IF(AND($C25=143,$L25=1),1,0)</f>
        <v/>
      </c>
      <c r="ZO26">
        <f>ZO25+IF(AND($C25=144,$L25=1),1,0)</f>
        <v/>
      </c>
    </row>
    <row r="27">
      <c r="A27" t="n">
        <v>25</v>
      </c>
      <c r="B27">
        <f>IF(MIN(BH27:CZ27)&gt;=1000000,0,MATCH(MIN(BH27:CZ27),BH27:CZ27,0))</f>
        <v/>
      </c>
      <c r="C27">
        <f>IF(MIN(OF27:TS27)&gt;=1000000,0,MATCH(MIN(OF27:TS27),OF27:TS27,0))</f>
        <v/>
      </c>
      <c r="D27">
        <f>IF(C27&gt;0,INDEX('計算A'!$D$5:$EQ$5,C27),0)</f>
        <v/>
      </c>
      <c r="E27">
        <f>IF(B27=0,0,INDEX('計算A'!$IQ$10:$IQ$54,B27))</f>
        <v/>
      </c>
      <c r="F27">
        <f>IF(B27=0,0,INDEX('計算A'!$IP$10:$IP$54,B27))</f>
        <v/>
      </c>
      <c r="G27">
        <f>IF(AND(C27&gt;0,E27&gt;0),IF(AND(INDEX('計算A'!$D$106:$EQ$106,C27)=1,INDEX($IQ27:$OD27,C27)=1),C27+1,0),0)</f>
        <v/>
      </c>
      <c r="H27">
        <f>IF(B27=0,0,INDEX('計算A'!$IW$10:$IW$54,B27))</f>
        <v/>
      </c>
      <c r="I27">
        <f>IF(B27=0,0,MAX(0,INDEX('計算A'!$IT$10:$IT$54,B27)))</f>
        <v/>
      </c>
      <c r="J27">
        <f>IF(I27=0,0,INDEX('計算A'!$D$2:$EQ$2,I27))</f>
        <v/>
      </c>
      <c r="K27">
        <f>IF(I27=0,0,INDEX('計算A'!$D$3:$EQ$3,I27))</f>
        <v/>
      </c>
      <c r="L27">
        <f>IF(B27=0,0,INDEX('計算A'!$IX$10:$IX$54,B27))</f>
        <v/>
      </c>
      <c r="N27">
        <f>MAX(N26,IF($B26=1,1,0))</f>
        <v/>
      </c>
      <c r="O27">
        <f>MAX(O26,IF($B26=2,1,0))</f>
        <v/>
      </c>
      <c r="P27">
        <f>MAX(P26,IF($B26=3,1,0))</f>
        <v/>
      </c>
      <c r="Q27">
        <f>MAX(Q26,IF($B26=4,1,0))</f>
        <v/>
      </c>
      <c r="R27">
        <f>MAX(R26,IF($B26=5,1,0))</f>
        <v/>
      </c>
      <c r="S27">
        <f>MAX(S26,IF($B26=6,1,0))</f>
        <v/>
      </c>
      <c r="T27">
        <f>MAX(T26,IF($B26=7,1,0))</f>
        <v/>
      </c>
      <c r="U27">
        <f>MAX(U26,IF($B26=8,1,0))</f>
        <v/>
      </c>
      <c r="V27">
        <f>MAX(V26,IF($B26=9,1,0))</f>
        <v/>
      </c>
      <c r="W27">
        <f>MAX(W26,IF($B26=10,1,0))</f>
        <v/>
      </c>
      <c r="X27">
        <f>MAX(X26,IF($B26=11,1,0))</f>
        <v/>
      </c>
      <c r="Y27">
        <f>MAX(Y26,IF($B26=12,1,0))</f>
        <v/>
      </c>
      <c r="Z27">
        <f>MAX(Z26,IF($B26=13,1,0))</f>
        <v/>
      </c>
      <c r="AA27">
        <f>MAX(AA26,IF($B26=14,1,0))</f>
        <v/>
      </c>
      <c r="AB27">
        <f>MAX(AB26,IF($B26=15,1,0))</f>
        <v/>
      </c>
      <c r="AC27">
        <f>MAX(AC26,IF($B26=16,1,0))</f>
        <v/>
      </c>
      <c r="AD27">
        <f>MAX(AD26,IF($B26=17,1,0))</f>
        <v/>
      </c>
      <c r="AE27">
        <f>MAX(AE26,IF($B26=18,1,0))</f>
        <v/>
      </c>
      <c r="AF27">
        <f>MAX(AF26,IF($B26=19,1,0))</f>
        <v/>
      </c>
      <c r="AG27">
        <f>MAX(AG26,IF($B26=20,1,0))</f>
        <v/>
      </c>
      <c r="AH27">
        <f>MAX(AH26,IF($B26=21,1,0))</f>
        <v/>
      </c>
      <c r="AI27">
        <f>MAX(AI26,IF($B26=22,1,0))</f>
        <v/>
      </c>
      <c r="AJ27">
        <f>MAX(AJ26,IF($B26=23,1,0))</f>
        <v/>
      </c>
      <c r="AK27">
        <f>MAX(AK26,IF($B26=24,1,0))</f>
        <v/>
      </c>
      <c r="AL27">
        <f>MAX(AL26,IF($B26=25,1,0))</f>
        <v/>
      </c>
      <c r="AM27">
        <f>MAX(AM26,IF($B26=26,1,0))</f>
        <v/>
      </c>
      <c r="AN27">
        <f>MAX(AN26,IF($B26=27,1,0))</f>
        <v/>
      </c>
      <c r="AO27">
        <f>MAX(AO26,IF($B26=28,1,0))</f>
        <v/>
      </c>
      <c r="AP27">
        <f>MAX(AP26,IF($B26=29,1,0))</f>
        <v/>
      </c>
      <c r="AQ27">
        <f>MAX(AQ26,IF($B26=30,1,0))</f>
        <v/>
      </c>
      <c r="AR27">
        <f>MAX(AR26,IF($B26=31,1,0))</f>
        <v/>
      </c>
      <c r="AS27">
        <f>MAX(AS26,IF($B26=32,1,0))</f>
        <v/>
      </c>
      <c r="AT27">
        <f>MAX(AT26,IF($B26=33,1,0))</f>
        <v/>
      </c>
      <c r="AU27">
        <f>MAX(AU26,IF($B26=34,1,0))</f>
        <v/>
      </c>
      <c r="AV27">
        <f>MAX(AV26,IF($B26=35,1,0))</f>
        <v/>
      </c>
      <c r="AW27">
        <f>MAX(AW26,IF($B26=36,1,0))</f>
        <v/>
      </c>
      <c r="AX27">
        <f>MAX(AX26,IF($B26=37,1,0))</f>
        <v/>
      </c>
      <c r="AY27">
        <f>MAX(AY26,IF($B26=38,1,0))</f>
        <v/>
      </c>
      <c r="AZ27">
        <f>MAX(AZ26,IF($B26=39,1,0))</f>
        <v/>
      </c>
      <c r="BA27">
        <f>MAX(BA26,IF($B26=40,1,0))</f>
        <v/>
      </c>
      <c r="BB27">
        <f>MAX(BB26,IF($B26=41,1,0))</f>
        <v/>
      </c>
      <c r="BC27">
        <f>MAX(BC26,IF($B26=42,1,0))</f>
        <v/>
      </c>
      <c r="BD27">
        <f>MAX(BD26,IF($B26=43,1,0))</f>
        <v/>
      </c>
      <c r="BE27">
        <f>MAX(BE26,IF($B26=44,1,0))</f>
        <v/>
      </c>
      <c r="BF27">
        <f>MAX(BF26,IF($B26=45,1,0))</f>
        <v/>
      </c>
      <c r="BH27">
        <f>IF(N27=1,1000000,IF('計算A'!$IT$10&gt;0,0,500000)+IF('計算A'!$IQ$10=2,SUMPRODUCT('計算A'!$D$60:$EQ$60,$DB27:$IO27,$IQ27:$OD27),SUMPRODUCT('計算A'!$D$60:$EQ$60,$DB27:$IO27))*1000+1)</f>
        <v/>
      </c>
      <c r="BI27">
        <f>IF(O27=1,1000000,IF('計算A'!$IT$11&gt;0,0,500000)+IF('計算A'!$IQ$11=2,SUMPRODUCT('計算A'!$D$61:$EQ$61,$DB27:$IO27,$IQ27:$OD27),SUMPRODUCT('計算A'!$D$61:$EQ$61,$DB27:$IO27))*1000+2)</f>
        <v/>
      </c>
      <c r="BJ27">
        <f>IF(P27=1,1000000,IF('計算A'!$IT$12&gt;0,0,500000)+IF('計算A'!$IQ$12=2,SUMPRODUCT('計算A'!$D$62:$EQ$62,$DB27:$IO27,$IQ27:$OD27),SUMPRODUCT('計算A'!$D$62:$EQ$62,$DB27:$IO27))*1000+3)</f>
        <v/>
      </c>
      <c r="BK27">
        <f>IF(Q27=1,1000000,IF('計算A'!$IT$13&gt;0,0,500000)+IF('計算A'!$IQ$13=2,SUMPRODUCT('計算A'!$D$63:$EQ$63,$DB27:$IO27,$IQ27:$OD27),SUMPRODUCT('計算A'!$D$63:$EQ$63,$DB27:$IO27))*1000+4)</f>
        <v/>
      </c>
      <c r="BL27">
        <f>IF(R27=1,1000000,IF('計算A'!$IT$14&gt;0,0,500000)+IF('計算A'!$IQ$14=2,SUMPRODUCT('計算A'!$D$64:$EQ$64,$DB27:$IO27,$IQ27:$OD27),SUMPRODUCT('計算A'!$D$64:$EQ$64,$DB27:$IO27))*1000+5)</f>
        <v/>
      </c>
      <c r="BM27">
        <f>IF(S27=1,1000000,IF('計算A'!$IT$15&gt;0,0,500000)+IF('計算A'!$IQ$15=2,SUMPRODUCT('計算A'!$D$65:$EQ$65,$DB27:$IO27,$IQ27:$OD27),SUMPRODUCT('計算A'!$D$65:$EQ$65,$DB27:$IO27))*1000+6)</f>
        <v/>
      </c>
      <c r="BN27">
        <f>IF(T27=1,1000000,IF('計算A'!$IT$16&gt;0,0,500000)+IF('計算A'!$IQ$16=2,SUMPRODUCT('計算A'!$D$66:$EQ$66,$DB27:$IO27,$IQ27:$OD27),SUMPRODUCT('計算A'!$D$66:$EQ$66,$DB27:$IO27))*1000+7)</f>
        <v/>
      </c>
      <c r="BO27">
        <f>IF(U27=1,1000000,IF('計算A'!$IT$17&gt;0,0,500000)+IF('計算A'!$IQ$17=2,SUMPRODUCT('計算A'!$D$67:$EQ$67,$DB27:$IO27,$IQ27:$OD27),SUMPRODUCT('計算A'!$D$67:$EQ$67,$DB27:$IO27))*1000+8)</f>
        <v/>
      </c>
      <c r="BP27">
        <f>IF(V27=1,1000000,IF('計算A'!$IT$18&gt;0,0,500000)+IF('計算A'!$IQ$18=2,SUMPRODUCT('計算A'!$D$68:$EQ$68,$DB27:$IO27,$IQ27:$OD27),SUMPRODUCT('計算A'!$D$68:$EQ$68,$DB27:$IO27))*1000+9)</f>
        <v/>
      </c>
      <c r="BQ27">
        <f>IF(W27=1,1000000,IF('計算A'!$IT$19&gt;0,0,500000)+IF('計算A'!$IQ$19=2,SUMPRODUCT('計算A'!$D$69:$EQ$69,$DB27:$IO27,$IQ27:$OD27),SUMPRODUCT('計算A'!$D$69:$EQ$69,$DB27:$IO27))*1000+10)</f>
        <v/>
      </c>
      <c r="BR27">
        <f>IF(X27=1,1000000,IF('計算A'!$IT$20&gt;0,0,500000)+IF('計算A'!$IQ$20=2,SUMPRODUCT('計算A'!$D$70:$EQ$70,$DB27:$IO27,$IQ27:$OD27),SUMPRODUCT('計算A'!$D$70:$EQ$70,$DB27:$IO27))*1000+11)</f>
        <v/>
      </c>
      <c r="BS27">
        <f>IF(Y27=1,1000000,IF('計算A'!$IT$21&gt;0,0,500000)+IF('計算A'!$IQ$21=2,SUMPRODUCT('計算A'!$D$71:$EQ$71,$DB27:$IO27,$IQ27:$OD27),SUMPRODUCT('計算A'!$D$71:$EQ$71,$DB27:$IO27))*1000+12)</f>
        <v/>
      </c>
      <c r="BT27">
        <f>IF(Z27=1,1000000,IF('計算A'!$IT$22&gt;0,0,500000)+IF('計算A'!$IQ$22=2,SUMPRODUCT('計算A'!$D$72:$EQ$72,$DB27:$IO27,$IQ27:$OD27),SUMPRODUCT('計算A'!$D$72:$EQ$72,$DB27:$IO27))*1000+13)</f>
        <v/>
      </c>
      <c r="BU27">
        <f>IF(AA27=1,1000000,IF('計算A'!$IT$23&gt;0,0,500000)+IF('計算A'!$IQ$23=2,SUMPRODUCT('計算A'!$D$73:$EQ$73,$DB27:$IO27,$IQ27:$OD27),SUMPRODUCT('計算A'!$D$73:$EQ$73,$DB27:$IO27))*1000+14)</f>
        <v/>
      </c>
      <c r="BV27">
        <f>IF(AB27=1,1000000,IF('計算A'!$IT$24&gt;0,0,500000)+IF('計算A'!$IQ$24=2,SUMPRODUCT('計算A'!$D$74:$EQ$74,$DB27:$IO27,$IQ27:$OD27),SUMPRODUCT('計算A'!$D$74:$EQ$74,$DB27:$IO27))*1000+15)</f>
        <v/>
      </c>
      <c r="BW27">
        <f>IF(AC27=1,1000000,IF('計算A'!$IT$25&gt;0,0,500000)+IF('計算A'!$IQ$25=2,SUMPRODUCT('計算A'!$D$75:$EQ$75,$DB27:$IO27,$IQ27:$OD27),SUMPRODUCT('計算A'!$D$75:$EQ$75,$DB27:$IO27))*1000+16)</f>
        <v/>
      </c>
      <c r="BX27">
        <f>IF(AD27=1,1000000,IF('計算A'!$IT$26&gt;0,0,500000)+IF('計算A'!$IQ$26=2,SUMPRODUCT('計算A'!$D$76:$EQ$76,$DB27:$IO27,$IQ27:$OD27),SUMPRODUCT('計算A'!$D$76:$EQ$76,$DB27:$IO27))*1000+17)</f>
        <v/>
      </c>
      <c r="BY27">
        <f>IF(AE27=1,1000000,IF('計算A'!$IT$27&gt;0,0,500000)+IF('計算A'!$IQ$27=2,SUMPRODUCT('計算A'!$D$77:$EQ$77,$DB27:$IO27,$IQ27:$OD27),SUMPRODUCT('計算A'!$D$77:$EQ$77,$DB27:$IO27))*1000+18)</f>
        <v/>
      </c>
      <c r="BZ27">
        <f>IF(AF27=1,1000000,IF('計算A'!$IT$28&gt;0,0,500000)+IF('計算A'!$IQ$28=2,SUMPRODUCT('計算A'!$D$78:$EQ$78,$DB27:$IO27,$IQ27:$OD27),SUMPRODUCT('計算A'!$D$78:$EQ$78,$DB27:$IO27))*1000+19)</f>
        <v/>
      </c>
      <c r="CA27">
        <f>IF(AG27=1,1000000,IF('計算A'!$IT$29&gt;0,0,500000)+IF('計算A'!$IQ$29=2,SUMPRODUCT('計算A'!$D$79:$EQ$79,$DB27:$IO27,$IQ27:$OD27),SUMPRODUCT('計算A'!$D$79:$EQ$79,$DB27:$IO27))*1000+20)</f>
        <v/>
      </c>
      <c r="CB27">
        <f>IF(AH27=1,1000000,IF('計算A'!$IT$30&gt;0,0,500000)+IF('計算A'!$IQ$30=2,SUMPRODUCT('計算A'!$D$80:$EQ$80,$DB27:$IO27,$IQ27:$OD27),SUMPRODUCT('計算A'!$D$80:$EQ$80,$DB27:$IO27))*1000+21)</f>
        <v/>
      </c>
      <c r="CC27">
        <f>IF(AI27=1,1000000,IF('計算A'!$IT$31&gt;0,0,500000)+IF('計算A'!$IQ$31=2,SUMPRODUCT('計算A'!$D$81:$EQ$81,$DB27:$IO27,$IQ27:$OD27),SUMPRODUCT('計算A'!$D$81:$EQ$81,$DB27:$IO27))*1000+22)</f>
        <v/>
      </c>
      <c r="CD27">
        <f>IF(AJ27=1,1000000,IF('計算A'!$IT$32&gt;0,0,500000)+IF('計算A'!$IQ$32=2,SUMPRODUCT('計算A'!$D$82:$EQ$82,$DB27:$IO27,$IQ27:$OD27),SUMPRODUCT('計算A'!$D$82:$EQ$82,$DB27:$IO27))*1000+23)</f>
        <v/>
      </c>
      <c r="CE27">
        <f>IF(AK27=1,1000000,IF('計算A'!$IT$33&gt;0,0,500000)+IF('計算A'!$IQ$33=2,SUMPRODUCT('計算A'!$D$83:$EQ$83,$DB27:$IO27,$IQ27:$OD27),SUMPRODUCT('計算A'!$D$83:$EQ$83,$DB27:$IO27))*1000+24)</f>
        <v/>
      </c>
      <c r="CF27">
        <f>IF(AL27=1,1000000,IF('計算A'!$IT$34&gt;0,0,500000)+IF('計算A'!$IQ$34=2,SUMPRODUCT('計算A'!$D$84:$EQ$84,$DB27:$IO27,$IQ27:$OD27),SUMPRODUCT('計算A'!$D$84:$EQ$84,$DB27:$IO27))*1000+25)</f>
        <v/>
      </c>
      <c r="CG27">
        <f>IF(AM27=1,1000000,IF('計算A'!$IT$35&gt;0,0,500000)+IF('計算A'!$IQ$35=2,SUMPRODUCT('計算A'!$D$85:$EQ$85,$DB27:$IO27,$IQ27:$OD27),SUMPRODUCT('計算A'!$D$85:$EQ$85,$DB27:$IO27))*1000+26)</f>
        <v/>
      </c>
      <c r="CH27">
        <f>IF(AN27=1,1000000,IF('計算A'!$IT$36&gt;0,0,500000)+IF('計算A'!$IQ$36=2,SUMPRODUCT('計算A'!$D$86:$EQ$86,$DB27:$IO27,$IQ27:$OD27),SUMPRODUCT('計算A'!$D$86:$EQ$86,$DB27:$IO27))*1000+27)</f>
        <v/>
      </c>
      <c r="CI27">
        <f>IF(AO27=1,1000000,IF('計算A'!$IT$37&gt;0,0,500000)+IF('計算A'!$IQ$37=2,SUMPRODUCT('計算A'!$D$87:$EQ$87,$DB27:$IO27,$IQ27:$OD27),SUMPRODUCT('計算A'!$D$87:$EQ$87,$DB27:$IO27))*1000+28)</f>
        <v/>
      </c>
      <c r="CJ27">
        <f>IF(AP27=1,1000000,IF('計算A'!$IT$38&gt;0,0,500000)+IF('計算A'!$IQ$38=2,SUMPRODUCT('計算A'!$D$88:$EQ$88,$DB27:$IO27,$IQ27:$OD27),SUMPRODUCT('計算A'!$D$88:$EQ$88,$DB27:$IO27))*1000+29)</f>
        <v/>
      </c>
      <c r="CK27">
        <f>IF(AQ27=1,1000000,IF('計算A'!$IT$39&gt;0,0,500000)+IF('計算A'!$IQ$39=2,SUMPRODUCT('計算A'!$D$89:$EQ$89,$DB27:$IO27,$IQ27:$OD27),SUMPRODUCT('計算A'!$D$89:$EQ$89,$DB27:$IO27))*1000+30)</f>
        <v/>
      </c>
      <c r="CL27">
        <f>IF(AR27=1,1000000,IF('計算A'!$IT$40&gt;0,0,500000)+IF('計算A'!$IQ$40=2,SUMPRODUCT('計算A'!$D$90:$EQ$90,$DB27:$IO27,$IQ27:$OD27),SUMPRODUCT('計算A'!$D$90:$EQ$90,$DB27:$IO27))*1000+31)</f>
        <v/>
      </c>
      <c r="CM27">
        <f>IF(AS27=1,1000000,IF('計算A'!$IT$41&gt;0,0,500000)+IF('計算A'!$IQ$41=2,SUMPRODUCT('計算A'!$D$91:$EQ$91,$DB27:$IO27,$IQ27:$OD27),SUMPRODUCT('計算A'!$D$91:$EQ$91,$DB27:$IO27))*1000+32)</f>
        <v/>
      </c>
      <c r="CN27">
        <f>IF(AT27=1,1000000,IF('計算A'!$IT$42&gt;0,0,500000)+IF('計算A'!$IQ$42=2,SUMPRODUCT('計算A'!$D$92:$EQ$92,$DB27:$IO27,$IQ27:$OD27),SUMPRODUCT('計算A'!$D$92:$EQ$92,$DB27:$IO27))*1000+33)</f>
        <v/>
      </c>
      <c r="CO27">
        <f>IF(AU27=1,1000000,IF('計算A'!$IT$43&gt;0,0,500000)+IF('計算A'!$IQ$43=2,SUMPRODUCT('計算A'!$D$93:$EQ$93,$DB27:$IO27,$IQ27:$OD27),SUMPRODUCT('計算A'!$D$93:$EQ$93,$DB27:$IO27))*1000+34)</f>
        <v/>
      </c>
      <c r="CP27">
        <f>IF(AV27=1,1000000,IF('計算A'!$IT$44&gt;0,0,500000)+IF('計算A'!$IQ$44=2,SUMPRODUCT('計算A'!$D$94:$EQ$94,$DB27:$IO27,$IQ27:$OD27),SUMPRODUCT('計算A'!$D$94:$EQ$94,$DB27:$IO27))*1000+35)</f>
        <v/>
      </c>
      <c r="CQ27">
        <f>IF(AW27=1,1000000,IF('計算A'!$IT$45&gt;0,0,500000)+IF('計算A'!$IQ$45=2,SUMPRODUCT('計算A'!$D$95:$EQ$95,$DB27:$IO27,$IQ27:$OD27),SUMPRODUCT('計算A'!$D$95:$EQ$95,$DB27:$IO27))*1000+36)</f>
        <v/>
      </c>
      <c r="CR27">
        <f>IF(AX27=1,1000000,IF('計算A'!$IT$46&gt;0,0,500000)+IF('計算A'!$IQ$46=2,SUMPRODUCT('計算A'!$D$96:$EQ$96,$DB27:$IO27,$IQ27:$OD27),SUMPRODUCT('計算A'!$D$96:$EQ$96,$DB27:$IO27))*1000+37)</f>
        <v/>
      </c>
      <c r="CS27">
        <f>IF(AY27=1,1000000,IF('計算A'!$IT$47&gt;0,0,500000)+IF('計算A'!$IQ$47=2,SUMPRODUCT('計算A'!$D$97:$EQ$97,$DB27:$IO27,$IQ27:$OD27),SUMPRODUCT('計算A'!$D$97:$EQ$97,$DB27:$IO27))*1000+38)</f>
        <v/>
      </c>
      <c r="CT27">
        <f>IF(AZ27=1,1000000,IF('計算A'!$IT$48&gt;0,0,500000)+IF('計算A'!$IQ$48=2,SUMPRODUCT('計算A'!$D$98:$EQ$98,$DB27:$IO27,$IQ27:$OD27),SUMPRODUCT('計算A'!$D$98:$EQ$98,$DB27:$IO27))*1000+39)</f>
        <v/>
      </c>
      <c r="CU27">
        <f>IF(BA27=1,1000000,IF('計算A'!$IT$49&gt;0,0,500000)+IF('計算A'!$IQ$49=2,SUMPRODUCT('計算A'!$D$99:$EQ$99,$DB27:$IO27,$IQ27:$OD27),SUMPRODUCT('計算A'!$D$99:$EQ$99,$DB27:$IO27))*1000+40)</f>
        <v/>
      </c>
      <c r="CV27">
        <f>IF(BB27=1,1000000,IF('計算A'!$IT$50&gt;0,0,500000)+IF('計算A'!$IQ$50=2,SUMPRODUCT('計算A'!$D$100:$EQ$100,$DB27:$IO27,$IQ27:$OD27),SUMPRODUCT('計算A'!$D$100:$EQ$100,$DB27:$IO27))*1000+41)</f>
        <v/>
      </c>
      <c r="CW27">
        <f>IF(BC27=1,1000000,IF('計算A'!$IT$51&gt;0,0,500000)+IF('計算A'!$IQ$51=2,SUMPRODUCT('計算A'!$D$101:$EQ$101,$DB27:$IO27,$IQ27:$OD27),SUMPRODUCT('計算A'!$D$101:$EQ$101,$DB27:$IO27))*1000+42)</f>
        <v/>
      </c>
      <c r="CX27">
        <f>IF(BD27=1,1000000,IF('計算A'!$IT$52&gt;0,0,500000)+IF('計算A'!$IQ$52=2,SUMPRODUCT('計算A'!$D$102:$EQ$102,$DB27:$IO27,$IQ27:$OD27),SUMPRODUCT('計算A'!$D$102:$EQ$102,$DB27:$IO27))*1000+43)</f>
        <v/>
      </c>
      <c r="CY27">
        <f>IF(BE27=1,1000000,IF('計算A'!$IT$53&gt;0,0,500000)+IF('計算A'!$IQ$53=2,SUMPRODUCT('計算A'!$D$103:$EQ$103,$DB27:$IO27,$IQ27:$OD27),SUMPRODUCT('計算A'!$D$103:$EQ$103,$DB27:$IO27))*1000+44)</f>
        <v/>
      </c>
      <c r="CZ27">
        <f>IF(BF27=1,1000000,IF('計算A'!$IT$54&gt;0,0,500000)+IF('計算A'!$IQ$54=2,SUMPRODUCT('計算A'!$D$104:$EQ$104,$DB27:$IO27,$IQ27:$OD27),SUMPRODUCT('計算A'!$D$104:$EQ$104,$DB27:$IO27))*1000+45)</f>
        <v/>
      </c>
      <c r="DB27">
        <f>DB26*IF(OR($C26=1,$G26=1),0,1)</f>
        <v/>
      </c>
      <c r="DC27">
        <f>DC26*IF(OR($C26=2,$G26=2),0,1)</f>
        <v/>
      </c>
      <c r="DD27">
        <f>DD26*IF(OR($C26=3,$G26=3),0,1)</f>
        <v/>
      </c>
      <c r="DE27">
        <f>DE26*IF(OR($C26=4,$G26=4),0,1)</f>
        <v/>
      </c>
      <c r="DF27">
        <f>DF26*IF(OR($C26=5,$G26=5),0,1)</f>
        <v/>
      </c>
      <c r="DG27">
        <f>DG26*IF(OR($C26=6,$G26=6),0,1)</f>
        <v/>
      </c>
      <c r="DH27">
        <f>DH26*IF(OR($C26=7,$G26=7),0,1)</f>
        <v/>
      </c>
      <c r="DI27">
        <f>DI26*IF(OR($C26=8,$G26=8),0,1)</f>
        <v/>
      </c>
      <c r="DJ27">
        <f>DJ26*IF(OR($C26=9,$G26=9),0,1)</f>
        <v/>
      </c>
      <c r="DK27">
        <f>DK26*IF(OR($C26=10,$G26=10),0,1)</f>
        <v/>
      </c>
      <c r="DL27">
        <f>DL26*IF(OR($C26=11,$G26=11),0,1)</f>
        <v/>
      </c>
      <c r="DM27">
        <f>DM26*IF(OR($C26=12,$G26=12),0,1)</f>
        <v/>
      </c>
      <c r="DN27">
        <f>DN26*IF(OR($C26=13,$G26=13),0,1)</f>
        <v/>
      </c>
      <c r="DO27">
        <f>DO26*IF(OR($C26=14,$G26=14),0,1)</f>
        <v/>
      </c>
      <c r="DP27">
        <f>DP26*IF(OR($C26=15,$G26=15),0,1)</f>
        <v/>
      </c>
      <c r="DQ27">
        <f>DQ26*IF(OR($C26=16,$G26=16),0,1)</f>
        <v/>
      </c>
      <c r="DR27">
        <f>DR26*IF(OR($C26=17,$G26=17),0,1)</f>
        <v/>
      </c>
      <c r="DS27">
        <f>DS26*IF(OR($C26=18,$G26=18),0,1)</f>
        <v/>
      </c>
      <c r="DT27">
        <f>DT26*IF(OR($C26=19,$G26=19),0,1)</f>
        <v/>
      </c>
      <c r="DU27">
        <f>DU26*IF(OR($C26=20,$G26=20),0,1)</f>
        <v/>
      </c>
      <c r="DV27">
        <f>DV26*IF(OR($C26=21,$G26=21),0,1)</f>
        <v/>
      </c>
      <c r="DW27">
        <f>DW26*IF(OR($C26=22,$G26=22),0,1)</f>
        <v/>
      </c>
      <c r="DX27">
        <f>DX26*IF(OR($C26=23,$G26=23),0,1)</f>
        <v/>
      </c>
      <c r="DY27">
        <f>DY26*IF(OR($C26=24,$G26=24),0,1)</f>
        <v/>
      </c>
      <c r="DZ27">
        <f>DZ26*IF(OR($C26=25,$G26=25),0,1)</f>
        <v/>
      </c>
      <c r="EA27">
        <f>EA26*IF(OR($C26=26,$G26=26),0,1)</f>
        <v/>
      </c>
      <c r="EB27">
        <f>EB26*IF(OR($C26=27,$G26=27),0,1)</f>
        <v/>
      </c>
      <c r="EC27">
        <f>EC26*IF(OR($C26=28,$G26=28),0,1)</f>
        <v/>
      </c>
      <c r="ED27">
        <f>ED26*IF(OR($C26=29,$G26=29),0,1)</f>
        <v/>
      </c>
      <c r="EE27">
        <f>EE26*IF(OR($C26=30,$G26=30),0,1)</f>
        <v/>
      </c>
      <c r="EF27">
        <f>EF26*IF(OR($C26=31,$G26=31),0,1)</f>
        <v/>
      </c>
      <c r="EG27">
        <f>EG26*IF(OR($C26=32,$G26=32),0,1)</f>
        <v/>
      </c>
      <c r="EH27">
        <f>EH26*IF(OR($C26=33,$G26=33),0,1)</f>
        <v/>
      </c>
      <c r="EI27">
        <f>EI26*IF(OR($C26=34,$G26=34),0,1)</f>
        <v/>
      </c>
      <c r="EJ27">
        <f>EJ26*IF(OR($C26=35,$G26=35),0,1)</f>
        <v/>
      </c>
      <c r="EK27">
        <f>EK26*IF(OR($C26=36,$G26=36),0,1)</f>
        <v/>
      </c>
      <c r="EL27">
        <f>EL26*IF(OR($C26=37,$G26=37),0,1)</f>
        <v/>
      </c>
      <c r="EM27">
        <f>EM26*IF(OR($C26=38,$G26=38),0,1)</f>
        <v/>
      </c>
      <c r="EN27">
        <f>EN26*IF(OR($C26=39,$G26=39),0,1)</f>
        <v/>
      </c>
      <c r="EO27">
        <f>EO26*IF(OR($C26=40,$G26=40),0,1)</f>
        <v/>
      </c>
      <c r="EP27">
        <f>EP26*IF(OR($C26=41,$G26=41),0,1)</f>
        <v/>
      </c>
      <c r="EQ27">
        <f>EQ26*IF(OR($C26=42,$G26=42),0,1)</f>
        <v/>
      </c>
      <c r="ER27">
        <f>ER26*IF(OR($C26=43,$G26=43),0,1)</f>
        <v/>
      </c>
      <c r="ES27">
        <f>ES26*IF(OR($C26=44,$G26=44),0,1)</f>
        <v/>
      </c>
      <c r="ET27">
        <f>ET26*IF(OR($C26=45,$G26=45),0,1)</f>
        <v/>
      </c>
      <c r="EU27">
        <f>EU26*IF(OR($C26=46,$G26=46),0,1)</f>
        <v/>
      </c>
      <c r="EV27">
        <f>EV26*IF(OR($C26=47,$G26=47),0,1)</f>
        <v/>
      </c>
      <c r="EW27">
        <f>EW26*IF(OR($C26=48,$G26=48),0,1)</f>
        <v/>
      </c>
      <c r="EX27">
        <f>EX26*IF(OR($C26=49,$G26=49),0,1)</f>
        <v/>
      </c>
      <c r="EY27">
        <f>EY26*IF(OR($C26=50,$G26=50),0,1)</f>
        <v/>
      </c>
      <c r="EZ27">
        <f>EZ26*IF(OR($C26=51,$G26=51),0,1)</f>
        <v/>
      </c>
      <c r="FA27">
        <f>FA26*IF(OR($C26=52,$G26=52),0,1)</f>
        <v/>
      </c>
      <c r="FB27">
        <f>FB26*IF(OR($C26=53,$G26=53),0,1)</f>
        <v/>
      </c>
      <c r="FC27">
        <f>FC26*IF(OR($C26=54,$G26=54),0,1)</f>
        <v/>
      </c>
      <c r="FD27">
        <f>FD26*IF(OR($C26=55,$G26=55),0,1)</f>
        <v/>
      </c>
      <c r="FE27">
        <f>FE26*IF(OR($C26=56,$G26=56),0,1)</f>
        <v/>
      </c>
      <c r="FF27">
        <f>FF26*IF(OR($C26=57,$G26=57),0,1)</f>
        <v/>
      </c>
      <c r="FG27">
        <f>FG26*IF(OR($C26=58,$G26=58),0,1)</f>
        <v/>
      </c>
      <c r="FH27">
        <f>FH26*IF(OR($C26=59,$G26=59),0,1)</f>
        <v/>
      </c>
      <c r="FI27">
        <f>FI26*IF(OR($C26=60,$G26=60),0,1)</f>
        <v/>
      </c>
      <c r="FJ27">
        <f>FJ26*IF(OR($C26=61,$G26=61),0,1)</f>
        <v/>
      </c>
      <c r="FK27">
        <f>FK26*IF(OR($C26=62,$G26=62),0,1)</f>
        <v/>
      </c>
      <c r="FL27">
        <f>FL26*IF(OR($C26=63,$G26=63),0,1)</f>
        <v/>
      </c>
      <c r="FM27">
        <f>FM26*IF(OR($C26=64,$G26=64),0,1)</f>
        <v/>
      </c>
      <c r="FN27">
        <f>FN26*IF(OR($C26=65,$G26=65),0,1)</f>
        <v/>
      </c>
      <c r="FO27">
        <f>FO26*IF(OR($C26=66,$G26=66),0,1)</f>
        <v/>
      </c>
      <c r="FP27">
        <f>FP26*IF(OR($C26=67,$G26=67),0,1)</f>
        <v/>
      </c>
      <c r="FQ27">
        <f>FQ26*IF(OR($C26=68,$G26=68),0,1)</f>
        <v/>
      </c>
      <c r="FR27">
        <f>FR26*IF(OR($C26=69,$G26=69),0,1)</f>
        <v/>
      </c>
      <c r="FS27">
        <f>FS26*IF(OR($C26=70,$G26=70),0,1)</f>
        <v/>
      </c>
      <c r="FT27">
        <f>FT26*IF(OR($C26=71,$G26=71),0,1)</f>
        <v/>
      </c>
      <c r="FU27">
        <f>FU26*IF(OR($C26=72,$G26=72),0,1)</f>
        <v/>
      </c>
      <c r="FV27">
        <f>FV26*IF(OR($C26=73,$G26=73),0,1)</f>
        <v/>
      </c>
      <c r="FW27">
        <f>FW26*IF(OR($C26=74,$G26=74),0,1)</f>
        <v/>
      </c>
      <c r="FX27">
        <f>FX26*IF(OR($C26=75,$G26=75),0,1)</f>
        <v/>
      </c>
      <c r="FY27">
        <f>FY26*IF(OR($C26=76,$G26=76),0,1)</f>
        <v/>
      </c>
      <c r="FZ27">
        <f>FZ26*IF(OR($C26=77,$G26=77),0,1)</f>
        <v/>
      </c>
      <c r="GA27">
        <f>GA26*IF(OR($C26=78,$G26=78),0,1)</f>
        <v/>
      </c>
      <c r="GB27">
        <f>GB26*IF(OR($C26=79,$G26=79),0,1)</f>
        <v/>
      </c>
      <c r="GC27">
        <f>GC26*IF(OR($C26=80,$G26=80),0,1)</f>
        <v/>
      </c>
      <c r="GD27">
        <f>GD26*IF(OR($C26=81,$G26=81),0,1)</f>
        <v/>
      </c>
      <c r="GE27">
        <f>GE26*IF(OR($C26=82,$G26=82),0,1)</f>
        <v/>
      </c>
      <c r="GF27">
        <f>GF26*IF(OR($C26=83,$G26=83),0,1)</f>
        <v/>
      </c>
      <c r="GG27">
        <f>GG26*IF(OR($C26=84,$G26=84),0,1)</f>
        <v/>
      </c>
      <c r="GH27">
        <f>GH26*IF(OR($C26=85,$G26=85),0,1)</f>
        <v/>
      </c>
      <c r="GI27">
        <f>GI26*IF(OR($C26=86,$G26=86),0,1)</f>
        <v/>
      </c>
      <c r="GJ27">
        <f>GJ26*IF(OR($C26=87,$G26=87),0,1)</f>
        <v/>
      </c>
      <c r="GK27">
        <f>GK26*IF(OR($C26=88,$G26=88),0,1)</f>
        <v/>
      </c>
      <c r="GL27">
        <f>GL26*IF(OR($C26=89,$G26=89),0,1)</f>
        <v/>
      </c>
      <c r="GM27">
        <f>GM26*IF(OR($C26=90,$G26=90),0,1)</f>
        <v/>
      </c>
      <c r="GN27">
        <f>GN26*IF(OR($C26=91,$G26=91),0,1)</f>
        <v/>
      </c>
      <c r="GO27">
        <f>GO26*IF(OR($C26=92,$G26=92),0,1)</f>
        <v/>
      </c>
      <c r="GP27">
        <f>GP26*IF(OR($C26=93,$G26=93),0,1)</f>
        <v/>
      </c>
      <c r="GQ27">
        <f>GQ26*IF(OR($C26=94,$G26=94),0,1)</f>
        <v/>
      </c>
      <c r="GR27">
        <f>GR26*IF(OR($C26=95,$G26=95),0,1)</f>
        <v/>
      </c>
      <c r="GS27">
        <f>GS26*IF(OR($C26=96,$G26=96),0,1)</f>
        <v/>
      </c>
      <c r="GT27">
        <f>GT26*IF(OR($C26=97,$G26=97),0,1)</f>
        <v/>
      </c>
      <c r="GU27">
        <f>GU26*IF(OR($C26=98,$G26=98),0,1)</f>
        <v/>
      </c>
      <c r="GV27">
        <f>GV26*IF(OR($C26=99,$G26=99),0,1)</f>
        <v/>
      </c>
      <c r="GW27">
        <f>GW26*IF(OR($C26=100,$G26=100),0,1)</f>
        <v/>
      </c>
      <c r="GX27">
        <f>GX26*IF(OR($C26=101,$G26=101),0,1)</f>
        <v/>
      </c>
      <c r="GY27">
        <f>GY26*IF(OR($C26=102,$G26=102),0,1)</f>
        <v/>
      </c>
      <c r="GZ27">
        <f>GZ26*IF(OR($C26=103,$G26=103),0,1)</f>
        <v/>
      </c>
      <c r="HA27">
        <f>HA26*IF(OR($C26=104,$G26=104),0,1)</f>
        <v/>
      </c>
      <c r="HB27">
        <f>HB26*IF(OR($C26=105,$G26=105),0,1)</f>
        <v/>
      </c>
      <c r="HC27">
        <f>HC26*IF(OR($C26=106,$G26=106),0,1)</f>
        <v/>
      </c>
      <c r="HD27">
        <f>HD26*IF(OR($C26=107,$G26=107),0,1)</f>
        <v/>
      </c>
      <c r="HE27">
        <f>HE26*IF(OR($C26=108,$G26=108),0,1)</f>
        <v/>
      </c>
      <c r="HF27">
        <f>HF26*IF(OR($C26=109,$G26=109),0,1)</f>
        <v/>
      </c>
      <c r="HG27">
        <f>HG26*IF(OR($C26=110,$G26=110),0,1)</f>
        <v/>
      </c>
      <c r="HH27">
        <f>HH26*IF(OR($C26=111,$G26=111),0,1)</f>
        <v/>
      </c>
      <c r="HI27">
        <f>HI26*IF(OR($C26=112,$G26=112),0,1)</f>
        <v/>
      </c>
      <c r="HJ27">
        <f>HJ26*IF(OR($C26=113,$G26=113),0,1)</f>
        <v/>
      </c>
      <c r="HK27">
        <f>HK26*IF(OR($C26=114,$G26=114),0,1)</f>
        <v/>
      </c>
      <c r="HL27">
        <f>HL26*IF(OR($C26=115,$G26=115),0,1)</f>
        <v/>
      </c>
      <c r="HM27">
        <f>HM26*IF(OR($C26=116,$G26=116),0,1)</f>
        <v/>
      </c>
      <c r="HN27">
        <f>HN26*IF(OR($C26=117,$G26=117),0,1)</f>
        <v/>
      </c>
      <c r="HO27">
        <f>HO26*IF(OR($C26=118,$G26=118),0,1)</f>
        <v/>
      </c>
      <c r="HP27">
        <f>HP26*IF(OR($C26=119,$G26=119),0,1)</f>
        <v/>
      </c>
      <c r="HQ27">
        <f>HQ26*IF(OR($C26=120,$G26=120),0,1)</f>
        <v/>
      </c>
      <c r="HR27">
        <f>HR26*IF(OR($C26=121,$G26=121),0,1)</f>
        <v/>
      </c>
      <c r="HS27">
        <f>HS26*IF(OR($C26=122,$G26=122),0,1)</f>
        <v/>
      </c>
      <c r="HT27">
        <f>HT26*IF(OR($C26=123,$G26=123),0,1)</f>
        <v/>
      </c>
      <c r="HU27">
        <f>HU26*IF(OR($C26=124,$G26=124),0,1)</f>
        <v/>
      </c>
      <c r="HV27">
        <f>HV26*IF(OR($C26=125,$G26=125),0,1)</f>
        <v/>
      </c>
      <c r="HW27">
        <f>HW26*IF(OR($C26=126,$G26=126),0,1)</f>
        <v/>
      </c>
      <c r="HX27">
        <f>HX26*IF(OR($C26=127,$G26=127),0,1)</f>
        <v/>
      </c>
      <c r="HY27">
        <f>HY26*IF(OR($C26=128,$G26=128),0,1)</f>
        <v/>
      </c>
      <c r="HZ27">
        <f>HZ26*IF(OR($C26=129,$G26=129),0,1)</f>
        <v/>
      </c>
      <c r="IA27">
        <f>IA26*IF(OR($C26=130,$G26=130),0,1)</f>
        <v/>
      </c>
      <c r="IB27">
        <f>IB26*IF(OR($C26=131,$G26=131),0,1)</f>
        <v/>
      </c>
      <c r="IC27">
        <f>IC26*IF(OR($C26=132,$G26=132),0,1)</f>
        <v/>
      </c>
      <c r="ID27">
        <f>ID26*IF(OR($C26=133,$G26=133),0,1)</f>
        <v/>
      </c>
      <c r="IE27">
        <f>IE26*IF(OR($C26=134,$G26=134),0,1)</f>
        <v/>
      </c>
      <c r="IF27">
        <f>IF26*IF(OR($C26=135,$G26=135),0,1)</f>
        <v/>
      </c>
      <c r="IG27">
        <f>IG26*IF(OR($C26=136,$G26=136),0,1)</f>
        <v/>
      </c>
      <c r="IH27">
        <f>IH26*IF(OR($C26=137,$G26=137),0,1)</f>
        <v/>
      </c>
      <c r="II27">
        <f>II26*IF(OR($C26=138,$G26=138),0,1)</f>
        <v/>
      </c>
      <c r="IJ27">
        <f>IJ26*IF(OR($C26=139,$G26=139),0,1)</f>
        <v/>
      </c>
      <c r="IK27">
        <f>IK26*IF(OR($C26=140,$G26=140),0,1)</f>
        <v/>
      </c>
      <c r="IL27">
        <f>IL26*IF(OR($C26=141,$G26=141),0,1)</f>
        <v/>
      </c>
      <c r="IM27">
        <f>IM26*IF(OR($C26=142,$G26=142),0,1)</f>
        <v/>
      </c>
      <c r="IN27">
        <f>IN26*IF(OR($C26=143,$G26=143),0,1)</f>
        <v/>
      </c>
      <c r="IO27">
        <f>IO26*IF(OR($C26=144,$G26=144),0,1)</f>
        <v/>
      </c>
      <c r="IQ27">
        <f>IF('計算A'!D$106=1,DC27,1)</f>
        <v/>
      </c>
      <c r="IR27">
        <f>IF('計算A'!E$106=1,DD27,1)</f>
        <v/>
      </c>
      <c r="IS27">
        <f>IF('計算A'!F$106=1,DE27,1)</f>
        <v/>
      </c>
      <c r="IT27">
        <f>IF('計算A'!G$106=1,DF27,1)</f>
        <v/>
      </c>
      <c r="IU27">
        <f>IF('計算A'!H$106=1,DG27,1)</f>
        <v/>
      </c>
      <c r="IV27">
        <f>IF('計算A'!I$106=1,DH27,1)</f>
        <v/>
      </c>
      <c r="IW27">
        <f>IF('計算A'!J$106=1,DI27,1)</f>
        <v/>
      </c>
      <c r="IX27">
        <f>IF('計算A'!K$106=1,DJ27,1)</f>
        <v/>
      </c>
      <c r="IY27">
        <f>IF('計算A'!L$106=1,DK27,1)</f>
        <v/>
      </c>
      <c r="IZ27">
        <f>IF('計算A'!M$106=1,DL27,1)</f>
        <v/>
      </c>
      <c r="JA27">
        <f>IF('計算A'!N$106=1,DM27,1)</f>
        <v/>
      </c>
      <c r="JB27">
        <f>IF('計算A'!O$106=1,DN27,1)</f>
        <v/>
      </c>
      <c r="JC27">
        <f>IF('計算A'!P$106=1,DO27,1)</f>
        <v/>
      </c>
      <c r="JD27">
        <f>IF('計算A'!Q$106=1,DP27,1)</f>
        <v/>
      </c>
      <c r="JE27">
        <f>IF('計算A'!R$106=1,DQ27,1)</f>
        <v/>
      </c>
      <c r="JF27">
        <f>IF('計算A'!S$106=1,DR27,1)</f>
        <v/>
      </c>
      <c r="JG27">
        <f>IF('計算A'!T$106=1,DS27,1)</f>
        <v/>
      </c>
      <c r="JH27">
        <f>IF('計算A'!U$106=1,DT27,1)</f>
        <v/>
      </c>
      <c r="JI27">
        <f>IF('計算A'!V$106=1,DU27,1)</f>
        <v/>
      </c>
      <c r="JJ27">
        <f>IF('計算A'!W$106=1,DV27,1)</f>
        <v/>
      </c>
      <c r="JK27">
        <f>IF('計算A'!X$106=1,DW27,1)</f>
        <v/>
      </c>
      <c r="JL27">
        <f>IF('計算A'!Y$106=1,DX27,1)</f>
        <v/>
      </c>
      <c r="JM27">
        <f>IF('計算A'!Z$106=1,DY27,1)</f>
        <v/>
      </c>
      <c r="JN27">
        <f>IF('計算A'!AA$106=1,DZ27,1)</f>
        <v/>
      </c>
      <c r="JO27">
        <f>IF('計算A'!AB$106=1,EA27,1)</f>
        <v/>
      </c>
      <c r="JP27">
        <f>IF('計算A'!AC$106=1,EB27,1)</f>
        <v/>
      </c>
      <c r="JQ27">
        <f>IF('計算A'!AD$106=1,EC27,1)</f>
        <v/>
      </c>
      <c r="JR27">
        <f>IF('計算A'!AE$106=1,ED27,1)</f>
        <v/>
      </c>
      <c r="JS27">
        <f>IF('計算A'!AF$106=1,EE27,1)</f>
        <v/>
      </c>
      <c r="JT27">
        <f>IF('計算A'!AG$106=1,EF27,1)</f>
        <v/>
      </c>
      <c r="JU27">
        <f>IF('計算A'!AH$106=1,EG27,1)</f>
        <v/>
      </c>
      <c r="JV27">
        <f>IF('計算A'!AI$106=1,EH27,1)</f>
        <v/>
      </c>
      <c r="JW27">
        <f>IF('計算A'!AJ$106=1,EI27,1)</f>
        <v/>
      </c>
      <c r="JX27">
        <f>IF('計算A'!AK$106=1,EJ27,1)</f>
        <v/>
      </c>
      <c r="JY27">
        <f>IF('計算A'!AL$106=1,EK27,1)</f>
        <v/>
      </c>
      <c r="JZ27">
        <f>IF('計算A'!AM$106=1,EL27,1)</f>
        <v/>
      </c>
      <c r="KA27">
        <f>IF('計算A'!AN$106=1,EM27,1)</f>
        <v/>
      </c>
      <c r="KB27">
        <f>IF('計算A'!AO$106=1,EN27,1)</f>
        <v/>
      </c>
      <c r="KC27">
        <f>IF('計算A'!AP$106=1,EO27,1)</f>
        <v/>
      </c>
      <c r="KD27">
        <f>IF('計算A'!AQ$106=1,EP27,1)</f>
        <v/>
      </c>
      <c r="KE27">
        <f>IF('計算A'!AR$106=1,EQ27,1)</f>
        <v/>
      </c>
      <c r="KF27">
        <f>IF('計算A'!AS$106=1,ER27,1)</f>
        <v/>
      </c>
      <c r="KG27">
        <f>IF('計算A'!AT$106=1,ES27,1)</f>
        <v/>
      </c>
      <c r="KH27">
        <f>IF('計算A'!AU$106=1,ET27,1)</f>
        <v/>
      </c>
      <c r="KI27">
        <f>IF('計算A'!AV$106=1,EU27,1)</f>
        <v/>
      </c>
      <c r="KJ27">
        <f>IF('計算A'!AW$106=1,EV27,1)</f>
        <v/>
      </c>
      <c r="KK27">
        <f>IF('計算A'!AX$106=1,EW27,1)</f>
        <v/>
      </c>
      <c r="KL27">
        <f>IF('計算A'!AY$106=1,EX27,1)</f>
        <v/>
      </c>
      <c r="KM27">
        <f>IF('計算A'!AZ$106=1,EY27,1)</f>
        <v/>
      </c>
      <c r="KN27">
        <f>IF('計算A'!BA$106=1,EZ27,1)</f>
        <v/>
      </c>
      <c r="KO27">
        <f>IF('計算A'!BB$106=1,FA27,1)</f>
        <v/>
      </c>
      <c r="KP27">
        <f>IF('計算A'!BC$106=1,FB27,1)</f>
        <v/>
      </c>
      <c r="KQ27">
        <f>IF('計算A'!BD$106=1,FC27,1)</f>
        <v/>
      </c>
      <c r="KR27">
        <f>IF('計算A'!BE$106=1,FD27,1)</f>
        <v/>
      </c>
      <c r="KS27">
        <f>IF('計算A'!BF$106=1,FE27,1)</f>
        <v/>
      </c>
      <c r="KT27">
        <f>IF('計算A'!BG$106=1,FF27,1)</f>
        <v/>
      </c>
      <c r="KU27">
        <f>IF('計算A'!BH$106=1,FG27,1)</f>
        <v/>
      </c>
      <c r="KV27">
        <f>IF('計算A'!BI$106=1,FH27,1)</f>
        <v/>
      </c>
      <c r="KW27">
        <f>IF('計算A'!BJ$106=1,FI27,1)</f>
        <v/>
      </c>
      <c r="KX27">
        <f>IF('計算A'!BK$106=1,FJ27,1)</f>
        <v/>
      </c>
      <c r="KY27">
        <f>IF('計算A'!BL$106=1,FK27,1)</f>
        <v/>
      </c>
      <c r="KZ27">
        <f>IF('計算A'!BM$106=1,FL27,1)</f>
        <v/>
      </c>
      <c r="LA27">
        <f>IF('計算A'!BN$106=1,FM27,1)</f>
        <v/>
      </c>
      <c r="LB27">
        <f>IF('計算A'!BO$106=1,FN27,1)</f>
        <v/>
      </c>
      <c r="LC27">
        <f>IF('計算A'!BP$106=1,FO27,1)</f>
        <v/>
      </c>
      <c r="LD27">
        <f>IF('計算A'!BQ$106=1,FP27,1)</f>
        <v/>
      </c>
      <c r="LE27">
        <f>IF('計算A'!BR$106=1,FQ27,1)</f>
        <v/>
      </c>
      <c r="LF27">
        <f>IF('計算A'!BS$106=1,FR27,1)</f>
        <v/>
      </c>
      <c r="LG27">
        <f>IF('計算A'!BT$106=1,FS27,1)</f>
        <v/>
      </c>
      <c r="LH27">
        <f>IF('計算A'!BU$106=1,FT27,1)</f>
        <v/>
      </c>
      <c r="LI27">
        <f>IF('計算A'!BV$106=1,FU27,1)</f>
        <v/>
      </c>
      <c r="LJ27">
        <f>IF('計算A'!BW$106=1,FV27,1)</f>
        <v/>
      </c>
      <c r="LK27">
        <f>IF('計算A'!BX$106=1,FW27,1)</f>
        <v/>
      </c>
      <c r="LL27">
        <f>IF('計算A'!BY$106=1,FX27,1)</f>
        <v/>
      </c>
      <c r="LM27">
        <f>IF('計算A'!BZ$106=1,FY27,1)</f>
        <v/>
      </c>
      <c r="LN27">
        <f>IF('計算A'!CA$106=1,FZ27,1)</f>
        <v/>
      </c>
      <c r="LO27">
        <f>IF('計算A'!CB$106=1,GA27,1)</f>
        <v/>
      </c>
      <c r="LP27">
        <f>IF('計算A'!CC$106=1,GB27,1)</f>
        <v/>
      </c>
      <c r="LQ27">
        <f>IF('計算A'!CD$106=1,GC27,1)</f>
        <v/>
      </c>
      <c r="LR27">
        <f>IF('計算A'!CE$106=1,GD27,1)</f>
        <v/>
      </c>
      <c r="LS27">
        <f>IF('計算A'!CF$106=1,GE27,1)</f>
        <v/>
      </c>
      <c r="LT27">
        <f>IF('計算A'!CG$106=1,GF27,1)</f>
        <v/>
      </c>
      <c r="LU27">
        <f>IF('計算A'!CH$106=1,GG27,1)</f>
        <v/>
      </c>
      <c r="LV27">
        <f>IF('計算A'!CI$106=1,GH27,1)</f>
        <v/>
      </c>
      <c r="LW27">
        <f>IF('計算A'!CJ$106=1,GI27,1)</f>
        <v/>
      </c>
      <c r="LX27">
        <f>IF('計算A'!CK$106=1,GJ27,1)</f>
        <v/>
      </c>
      <c r="LY27">
        <f>IF('計算A'!CL$106=1,GK27,1)</f>
        <v/>
      </c>
      <c r="LZ27">
        <f>IF('計算A'!CM$106=1,GL27,1)</f>
        <v/>
      </c>
      <c r="MA27">
        <f>IF('計算A'!CN$106=1,GM27,1)</f>
        <v/>
      </c>
      <c r="MB27">
        <f>IF('計算A'!CO$106=1,GN27,1)</f>
        <v/>
      </c>
      <c r="MC27">
        <f>IF('計算A'!CP$106=1,GO27,1)</f>
        <v/>
      </c>
      <c r="MD27">
        <f>IF('計算A'!CQ$106=1,GP27,1)</f>
        <v/>
      </c>
      <c r="ME27">
        <f>IF('計算A'!CR$106=1,GQ27,1)</f>
        <v/>
      </c>
      <c r="MF27">
        <f>IF('計算A'!CS$106=1,GR27,1)</f>
        <v/>
      </c>
      <c r="MG27">
        <f>IF('計算A'!CT$106=1,GS27,1)</f>
        <v/>
      </c>
      <c r="MH27">
        <f>IF('計算A'!CU$106=1,GT27,1)</f>
        <v/>
      </c>
      <c r="MI27">
        <f>IF('計算A'!CV$106=1,GU27,1)</f>
        <v/>
      </c>
      <c r="MJ27">
        <f>IF('計算A'!CW$106=1,GV27,1)</f>
        <v/>
      </c>
      <c r="MK27">
        <f>IF('計算A'!CX$106=1,GW27,1)</f>
        <v/>
      </c>
      <c r="ML27">
        <f>IF('計算A'!CY$106=1,GX27,1)</f>
        <v/>
      </c>
      <c r="MM27">
        <f>IF('計算A'!CZ$106=1,GY27,1)</f>
        <v/>
      </c>
      <c r="MN27">
        <f>IF('計算A'!DA$106=1,GZ27,1)</f>
        <v/>
      </c>
      <c r="MO27">
        <f>IF('計算A'!DB$106=1,HA27,1)</f>
        <v/>
      </c>
      <c r="MP27">
        <f>IF('計算A'!DC$106=1,HB27,1)</f>
        <v/>
      </c>
      <c r="MQ27">
        <f>IF('計算A'!DD$106=1,HC27,1)</f>
        <v/>
      </c>
      <c r="MR27">
        <f>IF('計算A'!DE$106=1,HD27,1)</f>
        <v/>
      </c>
      <c r="MS27">
        <f>IF('計算A'!DF$106=1,HE27,1)</f>
        <v/>
      </c>
      <c r="MT27">
        <f>IF('計算A'!DG$106=1,HF27,1)</f>
        <v/>
      </c>
      <c r="MU27">
        <f>IF('計算A'!DH$106=1,HG27,1)</f>
        <v/>
      </c>
      <c r="MV27">
        <f>IF('計算A'!DI$106=1,HH27,1)</f>
        <v/>
      </c>
      <c r="MW27">
        <f>IF('計算A'!DJ$106=1,HI27,1)</f>
        <v/>
      </c>
      <c r="MX27">
        <f>IF('計算A'!DK$106=1,HJ27,1)</f>
        <v/>
      </c>
      <c r="MY27">
        <f>IF('計算A'!DL$106=1,HK27,1)</f>
        <v/>
      </c>
      <c r="MZ27">
        <f>IF('計算A'!DM$106=1,HL27,1)</f>
        <v/>
      </c>
      <c r="NA27">
        <f>IF('計算A'!DN$106=1,HM27,1)</f>
        <v/>
      </c>
      <c r="NB27">
        <f>IF('計算A'!DO$106=1,HN27,1)</f>
        <v/>
      </c>
      <c r="NC27">
        <f>IF('計算A'!DP$106=1,HO27,1)</f>
        <v/>
      </c>
      <c r="ND27">
        <f>IF('計算A'!DQ$106=1,HP27,1)</f>
        <v/>
      </c>
      <c r="NE27">
        <f>IF('計算A'!DR$106=1,HQ27,1)</f>
        <v/>
      </c>
      <c r="NF27">
        <f>IF('計算A'!DS$106=1,HR27,1)</f>
        <v/>
      </c>
      <c r="NG27">
        <f>IF('計算A'!DT$106=1,HS27,1)</f>
        <v/>
      </c>
      <c r="NH27">
        <f>IF('計算A'!DU$106=1,HT27,1)</f>
        <v/>
      </c>
      <c r="NI27">
        <f>IF('計算A'!DV$106=1,HU27,1)</f>
        <v/>
      </c>
      <c r="NJ27">
        <f>IF('計算A'!DW$106=1,HV27,1)</f>
        <v/>
      </c>
      <c r="NK27">
        <f>IF('計算A'!DX$106=1,HW27,1)</f>
        <v/>
      </c>
      <c r="NL27">
        <f>IF('計算A'!DY$106=1,HX27,1)</f>
        <v/>
      </c>
      <c r="NM27">
        <f>IF('計算A'!DZ$106=1,HY27,1)</f>
        <v/>
      </c>
      <c r="NN27">
        <f>IF('計算A'!EA$106=1,HZ27,1)</f>
        <v/>
      </c>
      <c r="NO27">
        <f>IF('計算A'!EB$106=1,IA27,1)</f>
        <v/>
      </c>
      <c r="NP27">
        <f>IF('計算A'!EC$106=1,IB27,1)</f>
        <v/>
      </c>
      <c r="NQ27">
        <f>IF('計算A'!ED$106=1,IC27,1)</f>
        <v/>
      </c>
      <c r="NR27">
        <f>IF('計算A'!EE$106=1,ID27,1)</f>
        <v/>
      </c>
      <c r="NS27">
        <f>IF('計算A'!EF$106=1,IE27,1)</f>
        <v/>
      </c>
      <c r="NT27">
        <f>IF('計算A'!EG$106=1,IF27,1)</f>
        <v/>
      </c>
      <c r="NU27">
        <f>IF('計算A'!EH$106=1,IG27,1)</f>
        <v/>
      </c>
      <c r="NV27">
        <f>IF('計算A'!EI$106=1,IH27,1)</f>
        <v/>
      </c>
      <c r="NW27">
        <f>IF('計算A'!EJ$106=1,II27,1)</f>
        <v/>
      </c>
      <c r="NX27">
        <f>IF('計算A'!EK$106=1,IJ27,1)</f>
        <v/>
      </c>
      <c r="NY27">
        <f>IF('計算A'!EL$106=1,IK27,1)</f>
        <v/>
      </c>
      <c r="NZ27">
        <f>IF('計算A'!EM$106=1,IL27,1)</f>
        <v/>
      </c>
      <c r="OA27">
        <f>IF('計算A'!EN$106=1,IM27,1)</f>
        <v/>
      </c>
      <c r="OB27">
        <f>IF('計算A'!EO$106=1,IN27,1)</f>
        <v/>
      </c>
      <c r="OC27">
        <f>IF('計算A'!EP$106=1,IO27,1)</f>
        <v/>
      </c>
      <c r="OD27" t="n">
        <v>1</v>
      </c>
      <c r="OF27">
        <f>IF($B27=0,1000000,IF(INDEX('計算A'!$D$60:$EQ$104,$B27,1)*DB27=1,IF(AND($E27=2,IQ27=0),1000000,IF($I27&gt;0,IF(1=$J27,IF(OR(AND(1=$I27+1,OR($K27&lt;&gt;'計算A'!$A$3,'計算A'!$A$4=0)),AND(1=$I27-1,OR(1&lt;&gt;'計算A'!$A$3,'計算A'!$A$4=0))),0,IF(1=$K27,200000,ABS(1-$K27)*100)),100000+ABS(1-$J27)*1000+10)+'計算A'!D$5*50+IF(AND($E27=1,IQ27=0),25,0),IF($F27&gt;0,INDEX('計算A'!D$110:D$114,$F27+1)+IF(AND($E27=1,IQ27=0),1000,0),MIN(TU27,20)*400+(IF('計算A'!D$106=1,1-DC27,0))*150+11+'計算A'!D$5*100000+IF(AND($E27=1,IQ27=0),50000,0))+IF($H27=1,(IF('計算A'!D$117=1,INDEX('計算A'!E$10:E$54,$B27),0))*4000,0)-IF(AND($L27=1,'計算A'!D$117=1,DC27=0),2000,0))),1000000))</f>
        <v/>
      </c>
      <c r="OG27">
        <f>IF($B27=0,1000000,IF(INDEX('計算A'!$D$60:$EQ$104,$B27,2)*DC27=1,IF(AND($E27=2,IR27=0),1000000,IF($I27&gt;0,IF(1=$J27,IF(OR(AND(2=$I27+1,OR($K27&lt;&gt;'計算A'!$A$3,'計算A'!$A$4=0)),AND(2=$I27-1,OR(2&lt;&gt;'計算A'!$A$3,'計算A'!$A$4=0))),0,IF(2=$K27,200000,ABS(2-$K27)*100)),100000+ABS(1-$J27)*1000+20)+'計算A'!E$5*50+IF(AND($E27=1,IR27=0),25,0),IF($F27&gt;0,INDEX('計算A'!E$110:E$114,$F27+1)+IF(AND($E27=1,IR27=0),1000,0),MIN(TU27,20)*400+(IF('計算A'!D$106=1,1-DB27,0)+IF('計算A'!E$106=1,1-DD27,0))*150+21+'計算A'!E$5*100000+IF(AND($E27=1,IR27=0),50000,0))+IF($H27=1,(IF('計算A'!D$117=1,INDEX('計算A'!D$10:D$54,$B27),0)+IF('計算A'!E$117=1,INDEX('計算A'!F$10:F$54,$B27),0))*4000,0)-IF(AND('計算A'!D$117=1,UB27&gt;0),2000,0)-IF(AND($L27=1,'計算A'!E$117=1,DD27=0),2000,0))),1000000))</f>
        <v/>
      </c>
      <c r="OH27">
        <f>IF($B27=0,1000000,IF(INDEX('計算A'!$D$60:$EQ$104,$B27,3)*DD27=1,IF(AND($E27=2,IS27=0),1000000,IF($I27&gt;0,IF(1=$J27,IF(OR(AND(3=$I27+1,OR($K27&lt;&gt;'計算A'!$A$3,'計算A'!$A$4=0)),AND(3=$I27-1,OR(3&lt;&gt;'計算A'!$A$3,'計算A'!$A$4=0))),0,IF(3=$K27,200000,ABS(3-$K27)*100)),100000+ABS(1-$J27)*1000+30)+'計算A'!F$5*50+IF(AND($E27=1,IS27=0),25,0),IF($F27&gt;0,INDEX('計算A'!F$110:F$114,$F27+1)+IF(AND($E27=1,IS27=0),1000,0),MIN(TU27,20)*400+(IF('計算A'!E$106=1,1-DC27,0)+IF('計算A'!F$106=1,1-DE27,0))*150+31+'計算A'!F$5*100000+IF(AND($E27=1,IS27=0),50000,0))+IF($H27=1,(IF('計算A'!E$117=1,INDEX('計算A'!E$10:E$54,$B27),0)+IF('計算A'!F$117=1,INDEX('計算A'!G$10:G$54,$B27),0))*4000,0)-IF(AND('計算A'!E$117=1,UC27&gt;0),2000,0)-IF(AND($L27=1,'計算A'!F$117=1,DE27=0),2000,0))),1000000))</f>
        <v/>
      </c>
      <c r="OI27">
        <f>IF($B27=0,1000000,IF(INDEX('計算A'!$D$60:$EQ$104,$B27,4)*DE27=1,IF(AND($E27=2,IT27=0),1000000,IF($I27&gt;0,IF(1=$J27,IF(OR(AND(4=$I27+1,OR($K27&lt;&gt;'計算A'!$A$3,'計算A'!$A$4=0)),AND(4=$I27-1,OR(4&lt;&gt;'計算A'!$A$3,'計算A'!$A$4=0))),0,IF(4=$K27,200000,ABS(4-$K27)*100)),100000+ABS(1-$J27)*1000+40)+'計算A'!G$5*50+IF(AND($E27=1,IT27=0),25,0),IF($F27&gt;0,INDEX('計算A'!G$110:G$114,$F27+1)+IF(AND($E27=1,IT27=0),1000,0),MIN(TU27,20)*400+(IF('計算A'!F$106=1,1-DD27,0)+IF('計算A'!G$106=1,1-DF27,0))*150+41+'計算A'!G$5*100000+IF(AND($E27=1,IT27=0),50000,0))+IF($H27=1,(IF('計算A'!F$117=1,INDEX('計算A'!F$10:F$54,$B27),0)+IF('計算A'!G$117=1,INDEX('計算A'!H$10:H$54,$B27),0))*4000,0)-IF(AND('計算A'!F$117=1,UD27&gt;0),2000,0)-IF(AND($L27=1,'計算A'!G$117=1,DF27=0),2000,0))),1000000))</f>
        <v/>
      </c>
      <c r="OJ27">
        <f>IF($B27=0,1000000,IF(INDEX('計算A'!$D$60:$EQ$104,$B27,5)*DF27=1,IF(AND($E27=2,IU27=0),1000000,IF($I27&gt;0,IF(1=$J27,IF(OR(AND(5=$I27+1,OR($K27&lt;&gt;'計算A'!$A$3,'計算A'!$A$4=0)),AND(5=$I27-1,OR(5&lt;&gt;'計算A'!$A$3,'計算A'!$A$4=0))),0,IF(5=$K27,200000,ABS(5-$K27)*100)),100000+ABS(1-$J27)*1000+50)+'計算A'!H$5*50+IF(AND($E27=1,IU27=0),25,0),IF($F27&gt;0,INDEX('計算A'!H$110:H$114,$F27+1)+IF(AND($E27=1,IU27=0),1000,0),MIN(TU27,20)*400+(IF('計算A'!G$106=1,1-DE27,0)+IF('計算A'!H$106=1,1-DG27,0))*150+51+'計算A'!H$5*100000+IF(AND($E27=1,IU27=0),50000,0))+IF($H27=1,(IF('計算A'!G$117=1,INDEX('計算A'!G$10:G$54,$B27),0)+IF('計算A'!H$117=1,INDEX('計算A'!I$10:I$54,$B27),0))*4000,0)-IF(AND('計算A'!G$117=1,UE27&gt;0),2000,0)-IF(AND($L27=1,'計算A'!H$117=1,DG27=0),2000,0))),1000000))</f>
        <v/>
      </c>
      <c r="OK27">
        <f>IF($B27=0,1000000,IF(INDEX('計算A'!$D$60:$EQ$104,$B27,6)*DG27=1,IF(AND($E27=2,IV27=0),1000000,IF($I27&gt;0,IF(1=$J27,IF(OR(AND(6=$I27+1,OR($K27&lt;&gt;'計算A'!$A$3,'計算A'!$A$4=0)),AND(6=$I27-1,OR(6&lt;&gt;'計算A'!$A$3,'計算A'!$A$4=0))),0,IF(6=$K27,200000,ABS(6-$K27)*100)),100000+ABS(1-$J27)*1000+60)+'計算A'!I$5*50+IF(AND($E27=1,IV27=0),25,0),IF($F27&gt;0,INDEX('計算A'!I$110:I$114,$F27+1)+IF(AND($E27=1,IV27=0),1000,0),MIN(TU27,20)*400+(IF('計算A'!H$106=1,1-DF27,0)+IF('計算A'!I$106=1,1-DH27,0))*150+61+'計算A'!I$5*100000+IF(AND($E27=1,IV27=0),50000,0))+IF($H27=1,(IF('計算A'!H$117=1,INDEX('計算A'!H$10:H$54,$B27),0)+IF('計算A'!I$117=1,INDEX('計算A'!J$10:J$54,$B27),0))*4000,0)-IF(AND('計算A'!H$117=1,UF27&gt;0),2000,0)-IF(AND($L27=1,'計算A'!I$117=1,DH27=0),2000,0))),1000000))</f>
        <v/>
      </c>
      <c r="OL27">
        <f>IF($B27=0,1000000,IF(INDEX('計算A'!$D$60:$EQ$104,$B27,7)*DH27=1,IF(AND($E27=2,IW27=0),1000000,IF($I27&gt;0,IF(1=$J27,IF(OR(AND(7=$I27+1,OR($K27&lt;&gt;'計算A'!$A$3,'計算A'!$A$4=0)),AND(7=$I27-1,OR(7&lt;&gt;'計算A'!$A$3,'計算A'!$A$4=0))),0,IF(7=$K27,200000,ABS(7-$K27)*100)),100000+ABS(1-$J27)*1000+70)+'計算A'!J$5*50+IF(AND($E27=1,IW27=0),25,0),IF($F27&gt;0,INDEX('計算A'!J$110:J$114,$F27+1)+IF(AND($E27=1,IW27=0),1000,0),MIN(TU27,20)*400+(IF('計算A'!I$106=1,1-DG27,0)+IF('計算A'!J$106=1,1-DI27,0))*150+71+'計算A'!J$5*100000+IF(AND($E27=1,IW27=0),50000,0))+IF($H27=1,(IF('計算A'!I$117=1,INDEX('計算A'!I$10:I$54,$B27),0)+IF('計算A'!J$117=1,INDEX('計算A'!K$10:K$54,$B27),0))*4000,0)-IF(AND('計算A'!I$117=1,UG27&gt;0),2000,0)-IF(AND($L27=1,'計算A'!J$117=1,DI27=0),2000,0))),1000000))</f>
        <v/>
      </c>
      <c r="OM27">
        <f>IF($B27=0,1000000,IF(INDEX('計算A'!$D$60:$EQ$104,$B27,8)*DI27=1,IF(AND($E27=2,IX27=0),1000000,IF($I27&gt;0,IF(1=$J27,IF(OR(AND(8=$I27+1,OR($K27&lt;&gt;'計算A'!$A$3,'計算A'!$A$4=0)),AND(8=$I27-1,OR(8&lt;&gt;'計算A'!$A$3,'計算A'!$A$4=0))),0,IF(8=$K27,200000,ABS(8-$K27)*100)),100000+ABS(1-$J27)*1000+80)+'計算A'!K$5*50+IF(AND($E27=1,IX27=0),25,0),IF($F27&gt;0,INDEX('計算A'!K$110:K$114,$F27+1)+IF(AND($E27=1,IX27=0),1000,0),MIN(TU27,20)*400+(IF('計算A'!J$106=1,1-DH27,0)+IF('計算A'!K$106=1,1-DJ27,0))*150+81+'計算A'!K$5*100000+IF(AND($E27=1,IX27=0),50000,0))+IF($H27=1,(IF('計算A'!J$117=1,INDEX('計算A'!J$10:J$54,$B27),0)+IF('計算A'!K$117=1,INDEX('計算A'!L$10:L$54,$B27),0))*4000,0)-IF(AND('計算A'!J$117=1,UH27&gt;0),2000,0)-IF(AND($L27=1,'計算A'!K$117=1,DJ27=0),2000,0))),1000000))</f>
        <v/>
      </c>
      <c r="ON27">
        <f>IF($B27=0,1000000,IF(INDEX('計算A'!$D$60:$EQ$104,$B27,9)*DJ27=1,IF(AND($E27=2,IY27=0),1000000,IF($I27&gt;0,IF(1=$J27,IF(OR(AND(9=$I27+1,OR($K27&lt;&gt;'計算A'!$A$3,'計算A'!$A$4=0)),AND(9=$I27-1,OR(9&lt;&gt;'計算A'!$A$3,'計算A'!$A$4=0))),0,IF(9=$K27,200000,ABS(9-$K27)*100)),100000+ABS(1-$J27)*1000+90)+'計算A'!L$5*50+IF(AND($E27=1,IY27=0),25,0),IF($F27&gt;0,INDEX('計算A'!L$110:L$114,$F27+1)+IF(AND($E27=1,IY27=0),1000,0),MIN(TU27,20)*400+(IF('計算A'!K$106=1,1-DI27,0)+IF('計算A'!L$106=1,1-DK27,0))*150+91+'計算A'!L$5*100000+IF(AND($E27=1,IY27=0),50000,0))+IF($H27=1,(IF('計算A'!K$117=1,INDEX('計算A'!K$10:K$54,$B27),0)+IF('計算A'!L$117=1,INDEX('計算A'!M$10:M$54,$B27),0))*4000,0)-IF(AND('計算A'!K$117=1,UI27&gt;0),2000,0)-IF(AND($L27=1,'計算A'!L$117=1,DK27=0),2000,0))),1000000))</f>
        <v/>
      </c>
      <c r="OO27">
        <f>IF($B27=0,1000000,IF(INDEX('計算A'!$D$60:$EQ$104,$B27,10)*DK27=1,IF(AND($E27=2,IZ27=0),1000000,IF($I27&gt;0,IF(1=$J27,IF(OR(AND(10=$I27+1,OR($K27&lt;&gt;'計算A'!$A$3,'計算A'!$A$4=0)),AND(10=$I27-1,OR(10&lt;&gt;'計算A'!$A$3,'計算A'!$A$4=0))),0,IF(10=$K27,200000,ABS(10-$K27)*100)),100000+ABS(1-$J27)*1000+100)+'計算A'!M$5*50+IF(AND($E27=1,IZ27=0),25,0),IF($F27&gt;0,INDEX('計算A'!M$110:M$114,$F27+1)+IF(AND($E27=1,IZ27=0),1000,0),MIN(TU27,20)*400+(IF('計算A'!L$106=1,1-DJ27,0)+IF('計算A'!M$106=1,1-DL27,0))*150+101+'計算A'!M$5*100000+IF(AND($E27=1,IZ27=0),50000,0))+IF($H27=1,(IF('計算A'!L$117=1,INDEX('計算A'!L$10:L$54,$B27),0)+IF('計算A'!M$117=1,INDEX('計算A'!N$10:N$54,$B27),0))*4000,0)-IF(AND('計算A'!L$117=1,UJ27&gt;0),2000,0)-IF(AND($L27=1,'計算A'!M$117=1,DL27=0),2000,0))),1000000))</f>
        <v/>
      </c>
      <c r="OP27">
        <f>IF($B27=0,1000000,IF(INDEX('計算A'!$D$60:$EQ$104,$B27,11)*DL27=1,IF(AND($E27=2,JA27=0),1000000,IF($I27&gt;0,IF(1=$J27,IF(OR(AND(11=$I27+1,OR($K27&lt;&gt;'計算A'!$A$3,'計算A'!$A$4=0)),AND(11=$I27-1,OR(11&lt;&gt;'計算A'!$A$3,'計算A'!$A$4=0))),0,IF(11=$K27,200000,ABS(11-$K27)*100)),100000+ABS(1-$J27)*1000+110)+'計算A'!N$5*50+IF(AND($E27=1,JA27=0),25,0),IF($F27&gt;0,INDEX('計算A'!N$110:N$114,$F27+1)+IF(AND($E27=1,JA27=0),1000,0),MIN(TU27,20)*400+(IF('計算A'!M$106=1,1-DK27,0)+IF('計算A'!N$106=1,1-DM27,0))*150+111+'計算A'!N$5*100000+IF(AND($E27=1,JA27=0),50000,0))+IF($H27=1,(IF('計算A'!M$117=1,INDEX('計算A'!M$10:M$54,$B27),0)+IF('計算A'!N$117=1,INDEX('計算A'!O$10:O$54,$B27),0))*4000,0)-IF(AND('計算A'!M$117=1,UK27&gt;0),2000,0)-IF(AND($L27=1,'計算A'!N$117=1,DM27=0),2000,0))),1000000))</f>
        <v/>
      </c>
      <c r="OQ27">
        <f>IF($B27=0,1000000,IF(INDEX('計算A'!$D$60:$EQ$104,$B27,12)*DM27=1,IF(AND($E27=2,JB27=0),1000000,IF($I27&gt;0,IF(1=$J27,IF(OR(AND(12=$I27+1,OR($K27&lt;&gt;'計算A'!$A$3,'計算A'!$A$4=0)),AND(12=$I27-1,OR(12&lt;&gt;'計算A'!$A$3,'計算A'!$A$4=0))),0,IF(12=$K27,200000,ABS(12-$K27)*100)),100000+ABS(1-$J27)*1000+120)+'計算A'!O$5*50+IF(AND($E27=1,JB27=0),25,0),IF($F27&gt;0,INDEX('計算A'!O$110:O$114,$F27+1)+IF(AND($E27=1,JB27=0),1000,0),MIN(TU27,20)*400+(IF('計算A'!N$106=1,1-DL27,0)+IF('計算A'!O$106=1,1-DN27,0))*150+121+'計算A'!O$5*100000+IF(AND($E27=1,JB27=0),50000,0))+IF($H27=1,(IF('計算A'!N$117=1,INDEX('計算A'!N$10:N$54,$B27),0)+IF('計算A'!O$117=1,INDEX('計算A'!P$10:P$54,$B27),0))*4000,0)-IF(AND('計算A'!N$117=1,UL27&gt;0),2000,0)-IF(AND($L27=1,'計算A'!O$117=1,DN27=0),2000,0))),1000000))</f>
        <v/>
      </c>
      <c r="OR27">
        <f>IF($B27=0,1000000,IF(INDEX('計算A'!$D$60:$EQ$104,$B27,13)*DN27=1,IF(AND($E27=2,JC27=0),1000000,IF($I27&gt;0,IF(1=$J27,IF(OR(AND(13=$I27+1,OR($K27&lt;&gt;'計算A'!$A$3,'計算A'!$A$4=0)),AND(13=$I27-1,OR(13&lt;&gt;'計算A'!$A$3,'計算A'!$A$4=0))),0,IF(13=$K27,200000,ABS(13-$K27)*100)),100000+ABS(1-$J27)*1000+130)+'計算A'!P$5*50+IF(AND($E27=1,JC27=0),25,0),IF($F27&gt;0,INDEX('計算A'!P$110:P$114,$F27+1)+IF(AND($E27=1,JC27=0),1000,0),MIN(TU27,20)*400+(IF('計算A'!O$106=1,1-DM27,0)+IF('計算A'!P$106=1,1-DO27,0))*150+131+'計算A'!P$5*100000+IF(AND($E27=1,JC27=0),50000,0))+IF($H27=1,(IF('計算A'!O$117=1,INDEX('計算A'!O$10:O$54,$B27),0)+IF('計算A'!P$117=1,INDEX('計算A'!Q$10:Q$54,$B27),0))*4000,0)-IF(AND('計算A'!O$117=1,UM27&gt;0),2000,0)-IF(AND($L27=1,'計算A'!P$117=1,DO27=0),2000,0))),1000000))</f>
        <v/>
      </c>
      <c r="OS27">
        <f>IF($B27=0,1000000,IF(INDEX('計算A'!$D$60:$EQ$104,$B27,14)*DO27=1,IF(AND($E27=2,JD27=0),1000000,IF($I27&gt;0,IF(1=$J27,IF(OR(AND(14=$I27+1,OR($K27&lt;&gt;'計算A'!$A$3,'計算A'!$A$4=0)),AND(14=$I27-1,OR(14&lt;&gt;'計算A'!$A$3,'計算A'!$A$4=0))),0,IF(14=$K27,200000,ABS(14-$K27)*100)),100000+ABS(1-$J27)*1000+140)+'計算A'!Q$5*50+IF(AND($E27=1,JD27=0),25,0),IF($F27&gt;0,INDEX('計算A'!Q$110:Q$114,$F27+1)+IF(AND($E27=1,JD27=0),1000,0),MIN(TU27,20)*400+(IF('計算A'!P$106=1,1-DN27,0)+IF('計算A'!Q$106=1,1-DP27,0))*150+141+'計算A'!Q$5*100000+IF(AND($E27=1,JD27=0),50000,0))+IF($H27=1,(IF('計算A'!P$117=1,INDEX('計算A'!P$10:P$54,$B27),0)+IF('計算A'!Q$117=1,INDEX('計算A'!R$10:R$54,$B27),0))*4000,0)-IF(AND('計算A'!P$117=1,UN27&gt;0),2000,0)-IF(AND($L27=1,'計算A'!Q$117=1,DP27=0),2000,0))),1000000))</f>
        <v/>
      </c>
      <c r="OT27">
        <f>IF($B27=0,1000000,IF(INDEX('計算A'!$D$60:$EQ$104,$B27,15)*DP27=1,IF(AND($E27=2,JE27=0),1000000,IF($I27&gt;0,IF(1=$J27,IF(OR(AND(15=$I27+1,OR($K27&lt;&gt;'計算A'!$A$3,'計算A'!$A$4=0)),AND(15=$I27-1,OR(15&lt;&gt;'計算A'!$A$3,'計算A'!$A$4=0))),0,IF(15=$K27,200000,ABS(15-$K27)*100)),100000+ABS(1-$J27)*1000+150)+'計算A'!R$5*50+IF(AND($E27=1,JE27=0),25,0),IF($F27&gt;0,INDEX('計算A'!R$110:R$114,$F27+1)+IF(AND($E27=1,JE27=0),1000,0),MIN(TU27,20)*400+(IF('計算A'!Q$106=1,1-DO27,0)+IF('計算A'!R$106=1,1-DQ27,0))*150+151+'計算A'!R$5*100000+IF(AND($E27=1,JE27=0),50000,0))+IF($H27=1,(IF('計算A'!Q$117=1,INDEX('計算A'!Q$10:Q$54,$B27),0)+IF('計算A'!R$117=1,INDEX('計算A'!S$10:S$54,$B27),0))*4000,0)-IF(AND('計算A'!Q$117=1,UO27&gt;0),2000,0)-IF(AND($L27=1,'計算A'!R$117=1,DQ27=0),2000,0))),1000000))</f>
        <v/>
      </c>
      <c r="OU27">
        <f>IF($B27=0,1000000,IF(INDEX('計算A'!$D$60:$EQ$104,$B27,16)*DQ27=1,IF(AND($E27=2,JF27=0),1000000,IF($I27&gt;0,IF(1=$J27,IF(OR(AND(16=$I27+1,OR($K27&lt;&gt;'計算A'!$A$3,'計算A'!$A$4=0)),AND(16=$I27-1,OR(16&lt;&gt;'計算A'!$A$3,'計算A'!$A$4=0))),0,IF(16=$K27,200000,ABS(16-$K27)*100)),100000+ABS(1-$J27)*1000+160)+'計算A'!S$5*50+IF(AND($E27=1,JF27=0),25,0),IF($F27&gt;0,INDEX('計算A'!S$110:S$114,$F27+1)+IF(AND($E27=1,JF27=0),1000,0),MIN(TU27,20)*400+(IF('計算A'!R$106=1,1-DP27,0)+IF('計算A'!S$106=1,1-DR27,0))*150+161+'計算A'!S$5*100000+IF(AND($E27=1,JF27=0),50000,0))+IF($H27=1,(IF('計算A'!R$117=1,INDEX('計算A'!R$10:R$54,$B27),0)+IF('計算A'!S$117=1,INDEX('計算A'!T$10:T$54,$B27),0))*4000,0)-IF(AND('計算A'!R$117=1,UP27&gt;0),2000,0)-IF(AND($L27=1,'計算A'!S$117=1,DR27=0),2000,0))),1000000))</f>
        <v/>
      </c>
      <c r="OV27">
        <f>IF($B27=0,1000000,IF(INDEX('計算A'!$D$60:$EQ$104,$B27,17)*DR27=1,IF(AND($E27=2,JG27=0),1000000,IF($I27&gt;0,IF(1=$J27,IF(OR(AND(17=$I27+1,OR($K27&lt;&gt;'計算A'!$A$3,'計算A'!$A$4=0)),AND(17=$I27-1,OR(17&lt;&gt;'計算A'!$A$3,'計算A'!$A$4=0))),0,IF(17=$K27,200000,ABS(17-$K27)*100)),100000+ABS(1-$J27)*1000+170)+'計算A'!T$5*50+IF(AND($E27=1,JG27=0),25,0),IF($F27&gt;0,INDEX('計算A'!T$110:T$114,$F27+1)+IF(AND($E27=1,JG27=0),1000,0),MIN(TU27,20)*400+(IF('計算A'!S$106=1,1-DQ27,0)+IF('計算A'!T$106=1,1-DS27,0))*150+171+'計算A'!T$5*100000+IF(AND($E27=1,JG27=0),50000,0))+IF($H27=1,(IF('計算A'!S$117=1,INDEX('計算A'!S$10:S$54,$B27),0)+IF('計算A'!T$117=1,INDEX('計算A'!U$10:U$54,$B27),0))*4000,0)-IF(AND('計算A'!S$117=1,UQ27&gt;0),2000,0)-IF(AND($L27=1,'計算A'!T$117=1,DS27=0),2000,0))),1000000))</f>
        <v/>
      </c>
      <c r="OW27">
        <f>IF($B27=0,1000000,IF(INDEX('計算A'!$D$60:$EQ$104,$B27,18)*DS27=1,IF(AND($E27=2,JH27=0),1000000,IF($I27&gt;0,IF(1=$J27,IF(OR(AND(18=$I27+1,OR($K27&lt;&gt;'計算A'!$A$3,'計算A'!$A$4=0)),AND(18=$I27-1,OR(18&lt;&gt;'計算A'!$A$3,'計算A'!$A$4=0))),0,IF(18=$K27,200000,ABS(18-$K27)*100)),100000+ABS(1-$J27)*1000+180)+'計算A'!U$5*50+IF(AND($E27=1,JH27=0),25,0),IF($F27&gt;0,INDEX('計算A'!U$110:U$114,$F27+1)+IF(AND($E27=1,JH27=0),1000,0),MIN(TU27,20)*400+(IF('計算A'!T$106=1,1-DR27,0)+IF('計算A'!U$106=1,1-DT27,0))*150+181+'計算A'!U$5*100000+IF(AND($E27=1,JH27=0),50000,0))+IF($H27=1,(IF('計算A'!T$117=1,INDEX('計算A'!T$10:T$54,$B27),0)+IF('計算A'!U$117=1,INDEX('計算A'!V$10:V$54,$B27),0))*4000,0)-IF(AND('計算A'!T$117=1,UR27&gt;0),2000,0)-IF(AND($L27=1,'計算A'!U$117=1,DT27=0),2000,0))),1000000))</f>
        <v/>
      </c>
      <c r="OX27">
        <f>IF($B27=0,1000000,IF(INDEX('計算A'!$D$60:$EQ$104,$B27,19)*DT27=1,IF(AND($E27=2,JI27=0),1000000,IF($I27&gt;0,IF(1=$J27,IF(OR(AND(19=$I27+1,OR($K27&lt;&gt;'計算A'!$A$3,'計算A'!$A$4=0)),AND(19=$I27-1,OR(19&lt;&gt;'計算A'!$A$3,'計算A'!$A$4=0))),0,IF(19=$K27,200000,ABS(19-$K27)*100)),100000+ABS(1-$J27)*1000+190)+'計算A'!V$5*50+IF(AND($E27=1,JI27=0),25,0),IF($F27&gt;0,INDEX('計算A'!V$110:V$114,$F27+1)+IF(AND($E27=1,JI27=0),1000,0),MIN(TU27,20)*400+(IF('計算A'!U$106=1,1-DS27,0)+IF('計算A'!V$106=1,1-DU27,0))*150+191+'計算A'!V$5*100000+IF(AND($E27=1,JI27=0),50000,0))+IF($H27=1,(IF('計算A'!U$117=1,INDEX('計算A'!U$10:U$54,$B27),0)+IF('計算A'!V$117=1,INDEX('計算A'!W$10:W$54,$B27),0))*4000,0)-IF(AND('計算A'!U$117=1,US27&gt;0),2000,0)-IF(AND($L27=1,'計算A'!V$117=1,DU27=0),2000,0))),1000000))</f>
        <v/>
      </c>
      <c r="OY27">
        <f>IF($B27=0,1000000,IF(INDEX('計算A'!$D$60:$EQ$104,$B27,20)*DU27=1,IF(AND($E27=2,JJ27=0),1000000,IF($I27&gt;0,IF(1=$J27,IF(OR(AND(20=$I27+1,OR($K27&lt;&gt;'計算A'!$A$3,'計算A'!$A$4=0)),AND(20=$I27-1,OR(20&lt;&gt;'計算A'!$A$3,'計算A'!$A$4=0))),0,IF(20=$K27,200000,ABS(20-$K27)*100)),100000+ABS(1-$J27)*1000+200)+'計算A'!W$5*50+IF(AND($E27=1,JJ27=0),25,0),IF($F27&gt;0,INDEX('計算A'!W$110:W$114,$F27+1)+IF(AND($E27=1,JJ27=0),1000,0),MIN(TU27,20)*400+(IF('計算A'!V$106=1,1-DT27,0)+IF('計算A'!W$106=1,1-DV27,0))*150+201+'計算A'!W$5*100000+IF(AND($E27=1,JJ27=0),50000,0))+IF($H27=1,(IF('計算A'!V$117=1,INDEX('計算A'!V$10:V$54,$B27),0)+IF('計算A'!W$117=1,INDEX('計算A'!X$10:X$54,$B27),0))*4000,0)-IF(AND('計算A'!V$117=1,UT27&gt;0),2000,0)-IF(AND($L27=1,'計算A'!W$117=1,DV27=0),2000,0))),1000000))</f>
        <v/>
      </c>
      <c r="OZ27">
        <f>IF($B27=0,1000000,IF(INDEX('計算A'!$D$60:$EQ$104,$B27,21)*DV27=1,IF(AND($E27=2,JK27=0),1000000,IF($I27&gt;0,IF(1=$J27,IF(OR(AND(21=$I27+1,OR($K27&lt;&gt;'計算A'!$A$3,'計算A'!$A$4=0)),AND(21=$I27-1,OR(21&lt;&gt;'計算A'!$A$3,'計算A'!$A$4=0))),0,IF(21=$K27,200000,ABS(21-$K27)*100)),100000+ABS(1-$J27)*1000+210)+'計算A'!X$5*50+IF(AND($E27=1,JK27=0),25,0),IF($F27&gt;0,INDEX('計算A'!X$110:X$114,$F27+1)+IF(AND($E27=1,JK27=0),1000,0),MIN(TU27,20)*400+(IF('計算A'!W$106=1,1-DU27,0)+IF('計算A'!X$106=1,1-DW27,0))*150+211+'計算A'!X$5*100000+IF(AND($E27=1,JK27=0),50000,0))+IF($H27=1,(IF('計算A'!W$117=1,INDEX('計算A'!W$10:W$54,$B27),0)+IF('計算A'!X$117=1,INDEX('計算A'!Y$10:Y$54,$B27),0))*4000,0)-IF(AND('計算A'!W$117=1,UU27&gt;0),2000,0)-IF(AND($L27=1,'計算A'!X$117=1,DW27=0),2000,0))),1000000))</f>
        <v/>
      </c>
      <c r="PA27">
        <f>IF($B27=0,1000000,IF(INDEX('計算A'!$D$60:$EQ$104,$B27,22)*DW27=1,IF(AND($E27=2,JL27=0),1000000,IF($I27&gt;0,IF(1=$J27,IF(OR(AND(22=$I27+1,OR($K27&lt;&gt;'計算A'!$A$3,'計算A'!$A$4=0)),AND(22=$I27-1,OR(22&lt;&gt;'計算A'!$A$3,'計算A'!$A$4=0))),0,IF(22=$K27,200000,ABS(22-$K27)*100)),100000+ABS(1-$J27)*1000+220)+'計算A'!Y$5*50+IF(AND($E27=1,JL27=0),25,0),IF($F27&gt;0,INDEX('計算A'!Y$110:Y$114,$F27+1)+IF(AND($E27=1,JL27=0),1000,0),MIN(TU27,20)*400+(IF('計算A'!X$106=1,1-DV27,0)+IF('計算A'!Y$106=1,1-DX27,0))*150+221+'計算A'!Y$5*100000+IF(AND($E27=1,JL27=0),50000,0))+IF($H27=1,(IF('計算A'!X$117=1,INDEX('計算A'!X$10:X$54,$B27),0)+IF('計算A'!Y$117=1,INDEX('計算A'!Z$10:Z$54,$B27),0))*4000,0)-IF(AND('計算A'!X$117=1,UV27&gt;0),2000,0)-IF(AND($L27=1,'計算A'!Y$117=1,DX27=0),2000,0))),1000000))</f>
        <v/>
      </c>
      <c r="PB27">
        <f>IF($B27=0,1000000,IF(INDEX('計算A'!$D$60:$EQ$104,$B27,23)*DX27=1,IF(AND($E27=2,JM27=0),1000000,IF($I27&gt;0,IF(1=$J27,IF(OR(AND(23=$I27+1,OR($K27&lt;&gt;'計算A'!$A$3,'計算A'!$A$4=0)),AND(23=$I27-1,OR(23&lt;&gt;'計算A'!$A$3,'計算A'!$A$4=0))),0,IF(23=$K27,200000,ABS(23-$K27)*100)),100000+ABS(1-$J27)*1000+230)+'計算A'!Z$5*50+IF(AND($E27=1,JM27=0),25,0),IF($F27&gt;0,INDEX('計算A'!Z$110:Z$114,$F27+1)+IF(AND($E27=1,JM27=0),1000,0),MIN(TU27,20)*400+(IF('計算A'!Y$106=1,1-DW27,0)+IF('計算A'!Z$106=1,1-DY27,0))*150+231+'計算A'!Z$5*100000+IF(AND($E27=1,JM27=0),50000,0))+IF($H27=1,(IF('計算A'!Y$117=1,INDEX('計算A'!Y$10:Y$54,$B27),0)+IF('計算A'!Z$117=1,INDEX('計算A'!AA$10:AA$54,$B27),0))*4000,0)-IF(AND('計算A'!Y$117=1,UW27&gt;0),2000,0)-IF(AND($L27=1,'計算A'!Z$117=1,DY27=0),2000,0))),1000000))</f>
        <v/>
      </c>
      <c r="PC27">
        <f>IF($B27=0,1000000,IF(INDEX('計算A'!$D$60:$EQ$104,$B27,24)*DY27=1,IF(AND($E27=2,JN27=0),1000000,IF($I27&gt;0,IF(1=$J27,IF(OR(AND(24=$I27+1,OR($K27&lt;&gt;'計算A'!$A$3,'計算A'!$A$4=0)),AND(24=$I27-1,OR(24&lt;&gt;'計算A'!$A$3,'計算A'!$A$4=0))),0,IF(24=$K27,200000,ABS(24-$K27)*100)),100000+ABS(1-$J27)*1000+240)+'計算A'!AA$5*50+IF(AND($E27=1,JN27=0),25,0),IF($F27&gt;0,INDEX('計算A'!AA$110:AA$114,$F27+1)+IF(AND($E27=1,JN27=0),1000,0),MIN(TU27,20)*400+(IF('計算A'!Z$106=1,1-DX27,0))*150+241+'計算A'!AA$5*100000+IF(AND($E27=1,JN27=0),50000,0))+IF($H27=1,(IF('計算A'!Z$117=1,INDEX('計算A'!Z$10:Z$54,$B27),0))*4000,0)-IF(AND('計算A'!Z$117=1,UX27&gt;0),2000,0))),1000000))</f>
        <v/>
      </c>
      <c r="PD27">
        <f>IF($B27=0,1000000,IF(INDEX('計算A'!$D$60:$EQ$104,$B27,25)*DZ27=1,IF(AND($E27=2,JO27=0),1000000,IF($I27&gt;0,IF(2=$J27,IF(OR(AND(25=$I27+1,OR($K27&lt;&gt;'計算A'!$A$3,'計算A'!$A$4=0)),AND(25=$I27-1,OR(1&lt;&gt;'計算A'!$A$3,'計算A'!$A$4=0))),0,IF(1=$K27,200000,ABS(1-$K27)*100)),100000+ABS(2-$J27)*1000+10)+'計算A'!AB$5*50+IF(AND($E27=1,JO27=0),25,0),IF($F27&gt;0,INDEX('計算A'!AB$110:AB$114,$F27+1)+IF(AND($E27=1,JO27=0),1000,0),MIN(TV27,20)*400+(IF('計算A'!AB$106=1,1-EA27,0))*150+12+'計算A'!AB$5*100000+IF(AND($E27=1,JO27=0),50000,0))+IF($H27=1,(IF('計算A'!AB$117=1,INDEX('計算A'!AC$10:AC$54,$B27),0))*4000,0)-IF(AND($L27=1,'計算A'!AB$117=1,EA27=0),2000,0))),1000000))</f>
        <v/>
      </c>
      <c r="PE27">
        <f>IF($B27=0,1000000,IF(INDEX('計算A'!$D$60:$EQ$104,$B27,26)*EA27=1,IF(AND($E27=2,JP27=0),1000000,IF($I27&gt;0,IF(2=$J27,IF(OR(AND(26=$I27+1,OR($K27&lt;&gt;'計算A'!$A$3,'計算A'!$A$4=0)),AND(26=$I27-1,OR(2&lt;&gt;'計算A'!$A$3,'計算A'!$A$4=0))),0,IF(2=$K27,200000,ABS(2-$K27)*100)),100000+ABS(2-$J27)*1000+20)+'計算A'!AC$5*50+IF(AND($E27=1,JP27=0),25,0),IF($F27&gt;0,INDEX('計算A'!AC$110:AC$114,$F27+1)+IF(AND($E27=1,JP27=0),1000,0),MIN(TV27,20)*400+(IF('計算A'!AB$106=1,1-DZ27,0)+IF('計算A'!AC$106=1,1-EB27,0))*150+22+'計算A'!AC$5*100000+IF(AND($E27=1,JP27=0),50000,0))+IF($H27=1,(IF('計算A'!AB$117=1,INDEX('計算A'!AB$10:AB$54,$B27),0)+IF('計算A'!AC$117=1,INDEX('計算A'!AD$10:AD$54,$B27),0))*4000,0)-IF(AND('計算A'!AB$117=1,UZ27&gt;0),2000,0)-IF(AND($L27=1,'計算A'!AC$117=1,EB27=0),2000,0))),1000000))</f>
        <v/>
      </c>
      <c r="PF27">
        <f>IF($B27=0,1000000,IF(INDEX('計算A'!$D$60:$EQ$104,$B27,27)*EB27=1,IF(AND($E27=2,JQ27=0),1000000,IF($I27&gt;0,IF(2=$J27,IF(OR(AND(27=$I27+1,OR($K27&lt;&gt;'計算A'!$A$3,'計算A'!$A$4=0)),AND(27=$I27-1,OR(3&lt;&gt;'計算A'!$A$3,'計算A'!$A$4=0))),0,IF(3=$K27,200000,ABS(3-$K27)*100)),100000+ABS(2-$J27)*1000+30)+'計算A'!AD$5*50+IF(AND($E27=1,JQ27=0),25,0),IF($F27&gt;0,INDEX('計算A'!AD$110:AD$114,$F27+1)+IF(AND($E27=1,JQ27=0),1000,0),MIN(TV27,20)*400+(IF('計算A'!AC$106=1,1-EA27,0)+IF('計算A'!AD$106=1,1-EC27,0))*150+32+'計算A'!AD$5*100000+IF(AND($E27=1,JQ27=0),50000,0))+IF($H27=1,(IF('計算A'!AC$117=1,INDEX('計算A'!AC$10:AC$54,$B27),0)+IF('計算A'!AD$117=1,INDEX('計算A'!AE$10:AE$54,$B27),0))*4000,0)-IF(AND('計算A'!AC$117=1,VA27&gt;0),2000,0)-IF(AND($L27=1,'計算A'!AD$117=1,EC27=0),2000,0))),1000000))</f>
        <v/>
      </c>
      <c r="PG27">
        <f>IF($B27=0,1000000,IF(INDEX('計算A'!$D$60:$EQ$104,$B27,28)*EC27=1,IF(AND($E27=2,JR27=0),1000000,IF($I27&gt;0,IF(2=$J27,IF(OR(AND(28=$I27+1,OR($K27&lt;&gt;'計算A'!$A$3,'計算A'!$A$4=0)),AND(28=$I27-1,OR(4&lt;&gt;'計算A'!$A$3,'計算A'!$A$4=0))),0,IF(4=$K27,200000,ABS(4-$K27)*100)),100000+ABS(2-$J27)*1000+40)+'計算A'!AE$5*50+IF(AND($E27=1,JR27=0),25,0),IF($F27&gt;0,INDEX('計算A'!AE$110:AE$114,$F27+1)+IF(AND($E27=1,JR27=0),1000,0),MIN(TV27,20)*400+(IF('計算A'!AD$106=1,1-EB27,0)+IF('計算A'!AE$106=1,1-ED27,0))*150+42+'計算A'!AE$5*100000+IF(AND($E27=1,JR27=0),50000,0))+IF($H27=1,(IF('計算A'!AD$117=1,INDEX('計算A'!AD$10:AD$54,$B27),0)+IF('計算A'!AE$117=1,INDEX('計算A'!AF$10:AF$54,$B27),0))*4000,0)-IF(AND('計算A'!AD$117=1,VB27&gt;0),2000,0)-IF(AND($L27=1,'計算A'!AE$117=1,ED27=0),2000,0))),1000000))</f>
        <v/>
      </c>
      <c r="PH27">
        <f>IF($B27=0,1000000,IF(INDEX('計算A'!$D$60:$EQ$104,$B27,29)*ED27=1,IF(AND($E27=2,JS27=0),1000000,IF($I27&gt;0,IF(2=$J27,IF(OR(AND(29=$I27+1,OR($K27&lt;&gt;'計算A'!$A$3,'計算A'!$A$4=0)),AND(29=$I27-1,OR(5&lt;&gt;'計算A'!$A$3,'計算A'!$A$4=0))),0,IF(5=$K27,200000,ABS(5-$K27)*100)),100000+ABS(2-$J27)*1000+50)+'計算A'!AF$5*50+IF(AND($E27=1,JS27=0),25,0),IF($F27&gt;0,INDEX('計算A'!AF$110:AF$114,$F27+1)+IF(AND($E27=1,JS27=0),1000,0),MIN(TV27,20)*400+(IF('計算A'!AE$106=1,1-EC27,0)+IF('計算A'!AF$106=1,1-EE27,0))*150+52+'計算A'!AF$5*100000+IF(AND($E27=1,JS27=0),50000,0))+IF($H27=1,(IF('計算A'!AE$117=1,INDEX('計算A'!AE$10:AE$54,$B27),0)+IF('計算A'!AF$117=1,INDEX('計算A'!AG$10:AG$54,$B27),0))*4000,0)-IF(AND('計算A'!AE$117=1,VC27&gt;0),2000,0)-IF(AND($L27=1,'計算A'!AF$117=1,EE27=0),2000,0))),1000000))</f>
        <v/>
      </c>
      <c r="PI27">
        <f>IF($B27=0,1000000,IF(INDEX('計算A'!$D$60:$EQ$104,$B27,30)*EE27=1,IF(AND($E27=2,JT27=0),1000000,IF($I27&gt;0,IF(2=$J27,IF(OR(AND(30=$I27+1,OR($K27&lt;&gt;'計算A'!$A$3,'計算A'!$A$4=0)),AND(30=$I27-1,OR(6&lt;&gt;'計算A'!$A$3,'計算A'!$A$4=0))),0,IF(6=$K27,200000,ABS(6-$K27)*100)),100000+ABS(2-$J27)*1000+60)+'計算A'!AG$5*50+IF(AND($E27=1,JT27=0),25,0),IF($F27&gt;0,INDEX('計算A'!AG$110:AG$114,$F27+1)+IF(AND($E27=1,JT27=0),1000,0),MIN(TV27,20)*400+(IF('計算A'!AF$106=1,1-ED27,0)+IF('計算A'!AG$106=1,1-EF27,0))*150+62+'計算A'!AG$5*100000+IF(AND($E27=1,JT27=0),50000,0))+IF($H27=1,(IF('計算A'!AF$117=1,INDEX('計算A'!AF$10:AF$54,$B27),0)+IF('計算A'!AG$117=1,INDEX('計算A'!AH$10:AH$54,$B27),0))*4000,0)-IF(AND('計算A'!AF$117=1,VD27&gt;0),2000,0)-IF(AND($L27=1,'計算A'!AG$117=1,EF27=0),2000,0))),1000000))</f>
        <v/>
      </c>
      <c r="PJ27">
        <f>IF($B27=0,1000000,IF(INDEX('計算A'!$D$60:$EQ$104,$B27,31)*EF27=1,IF(AND($E27=2,JU27=0),1000000,IF($I27&gt;0,IF(2=$J27,IF(OR(AND(31=$I27+1,OR($K27&lt;&gt;'計算A'!$A$3,'計算A'!$A$4=0)),AND(31=$I27-1,OR(7&lt;&gt;'計算A'!$A$3,'計算A'!$A$4=0))),0,IF(7=$K27,200000,ABS(7-$K27)*100)),100000+ABS(2-$J27)*1000+70)+'計算A'!AH$5*50+IF(AND($E27=1,JU27=0),25,0),IF($F27&gt;0,INDEX('計算A'!AH$110:AH$114,$F27+1)+IF(AND($E27=1,JU27=0),1000,0),MIN(TV27,20)*400+(IF('計算A'!AG$106=1,1-EE27,0)+IF('計算A'!AH$106=1,1-EG27,0))*150+72+'計算A'!AH$5*100000+IF(AND($E27=1,JU27=0),50000,0))+IF($H27=1,(IF('計算A'!AG$117=1,INDEX('計算A'!AG$10:AG$54,$B27),0)+IF('計算A'!AH$117=1,INDEX('計算A'!AI$10:AI$54,$B27),0))*4000,0)-IF(AND('計算A'!AG$117=1,VE27&gt;0),2000,0)-IF(AND($L27=1,'計算A'!AH$117=1,EG27=0),2000,0))),1000000))</f>
        <v/>
      </c>
      <c r="PK27">
        <f>IF($B27=0,1000000,IF(INDEX('計算A'!$D$60:$EQ$104,$B27,32)*EG27=1,IF(AND($E27=2,JV27=0),1000000,IF($I27&gt;0,IF(2=$J27,IF(OR(AND(32=$I27+1,OR($K27&lt;&gt;'計算A'!$A$3,'計算A'!$A$4=0)),AND(32=$I27-1,OR(8&lt;&gt;'計算A'!$A$3,'計算A'!$A$4=0))),0,IF(8=$K27,200000,ABS(8-$K27)*100)),100000+ABS(2-$J27)*1000+80)+'計算A'!AI$5*50+IF(AND($E27=1,JV27=0),25,0),IF($F27&gt;0,INDEX('計算A'!AI$110:AI$114,$F27+1)+IF(AND($E27=1,JV27=0),1000,0),MIN(TV27,20)*400+(IF('計算A'!AH$106=1,1-EF27,0)+IF('計算A'!AI$106=1,1-EH27,0))*150+82+'計算A'!AI$5*100000+IF(AND($E27=1,JV27=0),50000,0))+IF($H27=1,(IF('計算A'!AH$117=1,INDEX('計算A'!AH$10:AH$54,$B27),0)+IF('計算A'!AI$117=1,INDEX('計算A'!AJ$10:AJ$54,$B27),0))*4000,0)-IF(AND('計算A'!AH$117=1,VF27&gt;0),2000,0)-IF(AND($L27=1,'計算A'!AI$117=1,EH27=0),2000,0))),1000000))</f>
        <v/>
      </c>
      <c r="PL27">
        <f>IF($B27=0,1000000,IF(INDEX('計算A'!$D$60:$EQ$104,$B27,33)*EH27=1,IF(AND($E27=2,JW27=0),1000000,IF($I27&gt;0,IF(2=$J27,IF(OR(AND(33=$I27+1,OR($K27&lt;&gt;'計算A'!$A$3,'計算A'!$A$4=0)),AND(33=$I27-1,OR(9&lt;&gt;'計算A'!$A$3,'計算A'!$A$4=0))),0,IF(9=$K27,200000,ABS(9-$K27)*100)),100000+ABS(2-$J27)*1000+90)+'計算A'!AJ$5*50+IF(AND($E27=1,JW27=0),25,0),IF($F27&gt;0,INDEX('計算A'!AJ$110:AJ$114,$F27+1)+IF(AND($E27=1,JW27=0),1000,0),MIN(TV27,20)*400+(IF('計算A'!AI$106=1,1-EG27,0)+IF('計算A'!AJ$106=1,1-EI27,0))*150+92+'計算A'!AJ$5*100000+IF(AND($E27=1,JW27=0),50000,0))+IF($H27=1,(IF('計算A'!AI$117=1,INDEX('計算A'!AI$10:AI$54,$B27),0)+IF('計算A'!AJ$117=1,INDEX('計算A'!AK$10:AK$54,$B27),0))*4000,0)-IF(AND('計算A'!AI$117=1,VG27&gt;0),2000,0)-IF(AND($L27=1,'計算A'!AJ$117=1,EI27=0),2000,0))),1000000))</f>
        <v/>
      </c>
      <c r="PM27">
        <f>IF($B27=0,1000000,IF(INDEX('計算A'!$D$60:$EQ$104,$B27,34)*EI27=1,IF(AND($E27=2,JX27=0),1000000,IF($I27&gt;0,IF(2=$J27,IF(OR(AND(34=$I27+1,OR($K27&lt;&gt;'計算A'!$A$3,'計算A'!$A$4=0)),AND(34=$I27-1,OR(10&lt;&gt;'計算A'!$A$3,'計算A'!$A$4=0))),0,IF(10=$K27,200000,ABS(10-$K27)*100)),100000+ABS(2-$J27)*1000+100)+'計算A'!AK$5*50+IF(AND($E27=1,JX27=0),25,0),IF($F27&gt;0,INDEX('計算A'!AK$110:AK$114,$F27+1)+IF(AND($E27=1,JX27=0),1000,0),MIN(TV27,20)*400+(IF('計算A'!AJ$106=1,1-EH27,0)+IF('計算A'!AK$106=1,1-EJ27,0))*150+102+'計算A'!AK$5*100000+IF(AND($E27=1,JX27=0),50000,0))+IF($H27=1,(IF('計算A'!AJ$117=1,INDEX('計算A'!AJ$10:AJ$54,$B27),0)+IF('計算A'!AK$117=1,INDEX('計算A'!AL$10:AL$54,$B27),0))*4000,0)-IF(AND('計算A'!AJ$117=1,VH27&gt;0),2000,0)-IF(AND($L27=1,'計算A'!AK$117=1,EJ27=0),2000,0))),1000000))</f>
        <v/>
      </c>
      <c r="PN27">
        <f>IF($B27=0,1000000,IF(INDEX('計算A'!$D$60:$EQ$104,$B27,35)*EJ27=1,IF(AND($E27=2,JY27=0),1000000,IF($I27&gt;0,IF(2=$J27,IF(OR(AND(35=$I27+1,OR($K27&lt;&gt;'計算A'!$A$3,'計算A'!$A$4=0)),AND(35=$I27-1,OR(11&lt;&gt;'計算A'!$A$3,'計算A'!$A$4=0))),0,IF(11=$K27,200000,ABS(11-$K27)*100)),100000+ABS(2-$J27)*1000+110)+'計算A'!AL$5*50+IF(AND($E27=1,JY27=0),25,0),IF($F27&gt;0,INDEX('計算A'!AL$110:AL$114,$F27+1)+IF(AND($E27=1,JY27=0),1000,0),MIN(TV27,20)*400+(IF('計算A'!AK$106=1,1-EI27,0)+IF('計算A'!AL$106=1,1-EK27,0))*150+112+'計算A'!AL$5*100000+IF(AND($E27=1,JY27=0),50000,0))+IF($H27=1,(IF('計算A'!AK$117=1,INDEX('計算A'!AK$10:AK$54,$B27),0)+IF('計算A'!AL$117=1,INDEX('計算A'!AM$10:AM$54,$B27),0))*4000,0)-IF(AND('計算A'!AK$117=1,VI27&gt;0),2000,0)-IF(AND($L27=1,'計算A'!AL$117=1,EK27=0),2000,0))),1000000))</f>
        <v/>
      </c>
      <c r="PO27">
        <f>IF($B27=0,1000000,IF(INDEX('計算A'!$D$60:$EQ$104,$B27,36)*EK27=1,IF(AND($E27=2,JZ27=0),1000000,IF($I27&gt;0,IF(2=$J27,IF(OR(AND(36=$I27+1,OR($K27&lt;&gt;'計算A'!$A$3,'計算A'!$A$4=0)),AND(36=$I27-1,OR(12&lt;&gt;'計算A'!$A$3,'計算A'!$A$4=0))),0,IF(12=$K27,200000,ABS(12-$K27)*100)),100000+ABS(2-$J27)*1000+120)+'計算A'!AM$5*50+IF(AND($E27=1,JZ27=0),25,0),IF($F27&gt;0,INDEX('計算A'!AM$110:AM$114,$F27+1)+IF(AND($E27=1,JZ27=0),1000,0),MIN(TV27,20)*400+(IF('計算A'!AL$106=1,1-EJ27,0)+IF('計算A'!AM$106=1,1-EL27,0))*150+122+'計算A'!AM$5*100000+IF(AND($E27=1,JZ27=0),50000,0))+IF($H27=1,(IF('計算A'!AL$117=1,INDEX('計算A'!AL$10:AL$54,$B27),0)+IF('計算A'!AM$117=1,INDEX('計算A'!AN$10:AN$54,$B27),0))*4000,0)-IF(AND('計算A'!AL$117=1,VJ27&gt;0),2000,0)-IF(AND($L27=1,'計算A'!AM$117=1,EL27=0),2000,0))),1000000))</f>
        <v/>
      </c>
      <c r="PP27">
        <f>IF($B27=0,1000000,IF(INDEX('計算A'!$D$60:$EQ$104,$B27,37)*EL27=1,IF(AND($E27=2,KA27=0),1000000,IF($I27&gt;0,IF(2=$J27,IF(OR(AND(37=$I27+1,OR($K27&lt;&gt;'計算A'!$A$3,'計算A'!$A$4=0)),AND(37=$I27-1,OR(13&lt;&gt;'計算A'!$A$3,'計算A'!$A$4=0))),0,IF(13=$K27,200000,ABS(13-$K27)*100)),100000+ABS(2-$J27)*1000+130)+'計算A'!AN$5*50+IF(AND($E27=1,KA27=0),25,0),IF($F27&gt;0,INDEX('計算A'!AN$110:AN$114,$F27+1)+IF(AND($E27=1,KA27=0),1000,0),MIN(TV27,20)*400+(IF('計算A'!AM$106=1,1-EK27,0)+IF('計算A'!AN$106=1,1-EM27,0))*150+132+'計算A'!AN$5*100000+IF(AND($E27=1,KA27=0),50000,0))+IF($H27=1,(IF('計算A'!AM$117=1,INDEX('計算A'!AM$10:AM$54,$B27),0)+IF('計算A'!AN$117=1,INDEX('計算A'!AO$10:AO$54,$B27),0))*4000,0)-IF(AND('計算A'!AM$117=1,VK27&gt;0),2000,0)-IF(AND($L27=1,'計算A'!AN$117=1,EM27=0),2000,0))),1000000))</f>
        <v/>
      </c>
      <c r="PQ27">
        <f>IF($B27=0,1000000,IF(INDEX('計算A'!$D$60:$EQ$104,$B27,38)*EM27=1,IF(AND($E27=2,KB27=0),1000000,IF($I27&gt;0,IF(2=$J27,IF(OR(AND(38=$I27+1,OR($K27&lt;&gt;'計算A'!$A$3,'計算A'!$A$4=0)),AND(38=$I27-1,OR(14&lt;&gt;'計算A'!$A$3,'計算A'!$A$4=0))),0,IF(14=$K27,200000,ABS(14-$K27)*100)),100000+ABS(2-$J27)*1000+140)+'計算A'!AO$5*50+IF(AND($E27=1,KB27=0),25,0),IF($F27&gt;0,INDEX('計算A'!AO$110:AO$114,$F27+1)+IF(AND($E27=1,KB27=0),1000,0),MIN(TV27,20)*400+(IF('計算A'!AN$106=1,1-EL27,0)+IF('計算A'!AO$106=1,1-EN27,0))*150+142+'計算A'!AO$5*100000+IF(AND($E27=1,KB27=0),50000,0))+IF($H27=1,(IF('計算A'!AN$117=1,INDEX('計算A'!AN$10:AN$54,$B27),0)+IF('計算A'!AO$117=1,INDEX('計算A'!AP$10:AP$54,$B27),0))*4000,0)-IF(AND('計算A'!AN$117=1,VL27&gt;0),2000,0)-IF(AND($L27=1,'計算A'!AO$117=1,EN27=0),2000,0))),1000000))</f>
        <v/>
      </c>
      <c r="PR27">
        <f>IF($B27=0,1000000,IF(INDEX('計算A'!$D$60:$EQ$104,$B27,39)*EN27=1,IF(AND($E27=2,KC27=0),1000000,IF($I27&gt;0,IF(2=$J27,IF(OR(AND(39=$I27+1,OR($K27&lt;&gt;'計算A'!$A$3,'計算A'!$A$4=0)),AND(39=$I27-1,OR(15&lt;&gt;'計算A'!$A$3,'計算A'!$A$4=0))),0,IF(15=$K27,200000,ABS(15-$K27)*100)),100000+ABS(2-$J27)*1000+150)+'計算A'!AP$5*50+IF(AND($E27=1,KC27=0),25,0),IF($F27&gt;0,INDEX('計算A'!AP$110:AP$114,$F27+1)+IF(AND($E27=1,KC27=0),1000,0),MIN(TV27,20)*400+(IF('計算A'!AO$106=1,1-EM27,0)+IF('計算A'!AP$106=1,1-EO27,0))*150+152+'計算A'!AP$5*100000+IF(AND($E27=1,KC27=0),50000,0))+IF($H27=1,(IF('計算A'!AO$117=1,INDEX('計算A'!AO$10:AO$54,$B27),0)+IF('計算A'!AP$117=1,INDEX('計算A'!AQ$10:AQ$54,$B27),0))*4000,0)-IF(AND('計算A'!AO$117=1,VM27&gt;0),2000,0)-IF(AND($L27=1,'計算A'!AP$117=1,EO27=0),2000,0))),1000000))</f>
        <v/>
      </c>
      <c r="PS27">
        <f>IF($B27=0,1000000,IF(INDEX('計算A'!$D$60:$EQ$104,$B27,40)*EO27=1,IF(AND($E27=2,KD27=0),1000000,IF($I27&gt;0,IF(2=$J27,IF(OR(AND(40=$I27+1,OR($K27&lt;&gt;'計算A'!$A$3,'計算A'!$A$4=0)),AND(40=$I27-1,OR(16&lt;&gt;'計算A'!$A$3,'計算A'!$A$4=0))),0,IF(16=$K27,200000,ABS(16-$K27)*100)),100000+ABS(2-$J27)*1000+160)+'計算A'!AQ$5*50+IF(AND($E27=1,KD27=0),25,0),IF($F27&gt;0,INDEX('計算A'!AQ$110:AQ$114,$F27+1)+IF(AND($E27=1,KD27=0),1000,0),MIN(TV27,20)*400+(IF('計算A'!AP$106=1,1-EN27,0)+IF('計算A'!AQ$106=1,1-EP27,0))*150+162+'計算A'!AQ$5*100000+IF(AND($E27=1,KD27=0),50000,0))+IF($H27=1,(IF('計算A'!AP$117=1,INDEX('計算A'!AP$10:AP$54,$B27),0)+IF('計算A'!AQ$117=1,INDEX('計算A'!AR$10:AR$54,$B27),0))*4000,0)-IF(AND('計算A'!AP$117=1,VN27&gt;0),2000,0)-IF(AND($L27=1,'計算A'!AQ$117=1,EP27=0),2000,0))),1000000))</f>
        <v/>
      </c>
      <c r="PT27">
        <f>IF($B27=0,1000000,IF(INDEX('計算A'!$D$60:$EQ$104,$B27,41)*EP27=1,IF(AND($E27=2,KE27=0),1000000,IF($I27&gt;0,IF(2=$J27,IF(OR(AND(41=$I27+1,OR($K27&lt;&gt;'計算A'!$A$3,'計算A'!$A$4=0)),AND(41=$I27-1,OR(17&lt;&gt;'計算A'!$A$3,'計算A'!$A$4=0))),0,IF(17=$K27,200000,ABS(17-$K27)*100)),100000+ABS(2-$J27)*1000+170)+'計算A'!AR$5*50+IF(AND($E27=1,KE27=0),25,0),IF($F27&gt;0,INDEX('計算A'!AR$110:AR$114,$F27+1)+IF(AND($E27=1,KE27=0),1000,0),MIN(TV27,20)*400+(IF('計算A'!AQ$106=1,1-EO27,0)+IF('計算A'!AR$106=1,1-EQ27,0))*150+172+'計算A'!AR$5*100000+IF(AND($E27=1,KE27=0),50000,0))+IF($H27=1,(IF('計算A'!AQ$117=1,INDEX('計算A'!AQ$10:AQ$54,$B27),0)+IF('計算A'!AR$117=1,INDEX('計算A'!AS$10:AS$54,$B27),0))*4000,0)-IF(AND('計算A'!AQ$117=1,VO27&gt;0),2000,0)-IF(AND($L27=1,'計算A'!AR$117=1,EQ27=0),2000,0))),1000000))</f>
        <v/>
      </c>
      <c r="PU27">
        <f>IF($B27=0,1000000,IF(INDEX('計算A'!$D$60:$EQ$104,$B27,42)*EQ27=1,IF(AND($E27=2,KF27=0),1000000,IF($I27&gt;0,IF(2=$J27,IF(OR(AND(42=$I27+1,OR($K27&lt;&gt;'計算A'!$A$3,'計算A'!$A$4=0)),AND(42=$I27-1,OR(18&lt;&gt;'計算A'!$A$3,'計算A'!$A$4=0))),0,IF(18=$K27,200000,ABS(18-$K27)*100)),100000+ABS(2-$J27)*1000+180)+'計算A'!AS$5*50+IF(AND($E27=1,KF27=0),25,0),IF($F27&gt;0,INDEX('計算A'!AS$110:AS$114,$F27+1)+IF(AND($E27=1,KF27=0),1000,0),MIN(TV27,20)*400+(IF('計算A'!AR$106=1,1-EP27,0)+IF('計算A'!AS$106=1,1-ER27,0))*150+182+'計算A'!AS$5*100000+IF(AND($E27=1,KF27=0),50000,0))+IF($H27=1,(IF('計算A'!AR$117=1,INDEX('計算A'!AR$10:AR$54,$B27),0)+IF('計算A'!AS$117=1,INDEX('計算A'!AT$10:AT$54,$B27),0))*4000,0)-IF(AND('計算A'!AR$117=1,VP27&gt;0),2000,0)-IF(AND($L27=1,'計算A'!AS$117=1,ER27=0),2000,0))),1000000))</f>
        <v/>
      </c>
      <c r="PV27">
        <f>IF($B27=0,1000000,IF(INDEX('計算A'!$D$60:$EQ$104,$B27,43)*ER27=1,IF(AND($E27=2,KG27=0),1000000,IF($I27&gt;0,IF(2=$J27,IF(OR(AND(43=$I27+1,OR($K27&lt;&gt;'計算A'!$A$3,'計算A'!$A$4=0)),AND(43=$I27-1,OR(19&lt;&gt;'計算A'!$A$3,'計算A'!$A$4=0))),0,IF(19=$K27,200000,ABS(19-$K27)*100)),100000+ABS(2-$J27)*1000+190)+'計算A'!AT$5*50+IF(AND($E27=1,KG27=0),25,0),IF($F27&gt;0,INDEX('計算A'!AT$110:AT$114,$F27+1)+IF(AND($E27=1,KG27=0),1000,0),MIN(TV27,20)*400+(IF('計算A'!AS$106=1,1-EQ27,0)+IF('計算A'!AT$106=1,1-ES27,0))*150+192+'計算A'!AT$5*100000+IF(AND($E27=1,KG27=0),50000,0))+IF($H27=1,(IF('計算A'!AS$117=1,INDEX('計算A'!AS$10:AS$54,$B27),0)+IF('計算A'!AT$117=1,INDEX('計算A'!AU$10:AU$54,$B27),0))*4000,0)-IF(AND('計算A'!AS$117=1,VQ27&gt;0),2000,0)-IF(AND($L27=1,'計算A'!AT$117=1,ES27=0),2000,0))),1000000))</f>
        <v/>
      </c>
      <c r="PW27">
        <f>IF($B27=0,1000000,IF(INDEX('計算A'!$D$60:$EQ$104,$B27,44)*ES27=1,IF(AND($E27=2,KH27=0),1000000,IF($I27&gt;0,IF(2=$J27,IF(OR(AND(44=$I27+1,OR($K27&lt;&gt;'計算A'!$A$3,'計算A'!$A$4=0)),AND(44=$I27-1,OR(20&lt;&gt;'計算A'!$A$3,'計算A'!$A$4=0))),0,IF(20=$K27,200000,ABS(20-$K27)*100)),100000+ABS(2-$J27)*1000+200)+'計算A'!AU$5*50+IF(AND($E27=1,KH27=0),25,0),IF($F27&gt;0,INDEX('計算A'!AU$110:AU$114,$F27+1)+IF(AND($E27=1,KH27=0),1000,0),MIN(TV27,20)*400+(IF('計算A'!AT$106=1,1-ER27,0)+IF('計算A'!AU$106=1,1-ET27,0))*150+202+'計算A'!AU$5*100000+IF(AND($E27=1,KH27=0),50000,0))+IF($H27=1,(IF('計算A'!AT$117=1,INDEX('計算A'!AT$10:AT$54,$B27),0)+IF('計算A'!AU$117=1,INDEX('計算A'!AV$10:AV$54,$B27),0))*4000,0)-IF(AND('計算A'!AT$117=1,VR27&gt;0),2000,0)-IF(AND($L27=1,'計算A'!AU$117=1,ET27=0),2000,0))),1000000))</f>
        <v/>
      </c>
      <c r="PX27">
        <f>IF($B27=0,1000000,IF(INDEX('計算A'!$D$60:$EQ$104,$B27,45)*ET27=1,IF(AND($E27=2,KI27=0),1000000,IF($I27&gt;0,IF(2=$J27,IF(OR(AND(45=$I27+1,OR($K27&lt;&gt;'計算A'!$A$3,'計算A'!$A$4=0)),AND(45=$I27-1,OR(21&lt;&gt;'計算A'!$A$3,'計算A'!$A$4=0))),0,IF(21=$K27,200000,ABS(21-$K27)*100)),100000+ABS(2-$J27)*1000+210)+'計算A'!AV$5*50+IF(AND($E27=1,KI27=0),25,0),IF($F27&gt;0,INDEX('計算A'!AV$110:AV$114,$F27+1)+IF(AND($E27=1,KI27=0),1000,0),MIN(TV27,20)*400+(IF('計算A'!AU$106=1,1-ES27,0)+IF('計算A'!AV$106=1,1-EU27,0))*150+212+'計算A'!AV$5*100000+IF(AND($E27=1,KI27=0),50000,0))+IF($H27=1,(IF('計算A'!AU$117=1,INDEX('計算A'!AU$10:AU$54,$B27),0)+IF('計算A'!AV$117=1,INDEX('計算A'!AW$10:AW$54,$B27),0))*4000,0)-IF(AND('計算A'!AU$117=1,VS27&gt;0),2000,0)-IF(AND($L27=1,'計算A'!AV$117=1,EU27=0),2000,0))),1000000))</f>
        <v/>
      </c>
      <c r="PY27">
        <f>IF($B27=0,1000000,IF(INDEX('計算A'!$D$60:$EQ$104,$B27,46)*EU27=1,IF(AND($E27=2,KJ27=0),1000000,IF($I27&gt;0,IF(2=$J27,IF(OR(AND(46=$I27+1,OR($K27&lt;&gt;'計算A'!$A$3,'計算A'!$A$4=0)),AND(46=$I27-1,OR(22&lt;&gt;'計算A'!$A$3,'計算A'!$A$4=0))),0,IF(22=$K27,200000,ABS(22-$K27)*100)),100000+ABS(2-$J27)*1000+220)+'計算A'!AW$5*50+IF(AND($E27=1,KJ27=0),25,0),IF($F27&gt;0,INDEX('計算A'!AW$110:AW$114,$F27+1)+IF(AND($E27=1,KJ27=0),1000,0),MIN(TV27,20)*400+(IF('計算A'!AV$106=1,1-ET27,0)+IF('計算A'!AW$106=1,1-EV27,0))*150+222+'計算A'!AW$5*100000+IF(AND($E27=1,KJ27=0),50000,0))+IF($H27=1,(IF('計算A'!AV$117=1,INDEX('計算A'!AV$10:AV$54,$B27),0)+IF('計算A'!AW$117=1,INDEX('計算A'!AX$10:AX$54,$B27),0))*4000,0)-IF(AND('計算A'!AV$117=1,VT27&gt;0),2000,0)-IF(AND($L27=1,'計算A'!AW$117=1,EV27=0),2000,0))),1000000))</f>
        <v/>
      </c>
      <c r="PZ27">
        <f>IF($B27=0,1000000,IF(INDEX('計算A'!$D$60:$EQ$104,$B27,47)*EV27=1,IF(AND($E27=2,KK27=0),1000000,IF($I27&gt;0,IF(2=$J27,IF(OR(AND(47=$I27+1,OR($K27&lt;&gt;'計算A'!$A$3,'計算A'!$A$4=0)),AND(47=$I27-1,OR(23&lt;&gt;'計算A'!$A$3,'計算A'!$A$4=0))),0,IF(23=$K27,200000,ABS(23-$K27)*100)),100000+ABS(2-$J27)*1000+230)+'計算A'!AX$5*50+IF(AND($E27=1,KK27=0),25,0),IF($F27&gt;0,INDEX('計算A'!AX$110:AX$114,$F27+1)+IF(AND($E27=1,KK27=0),1000,0),MIN(TV27,20)*400+(IF('計算A'!AW$106=1,1-EU27,0)+IF('計算A'!AX$106=1,1-EW27,0))*150+232+'計算A'!AX$5*100000+IF(AND($E27=1,KK27=0),50000,0))+IF($H27=1,(IF('計算A'!AW$117=1,INDEX('計算A'!AW$10:AW$54,$B27),0)+IF('計算A'!AX$117=1,INDEX('計算A'!AY$10:AY$54,$B27),0))*4000,0)-IF(AND('計算A'!AW$117=1,VU27&gt;0),2000,0)-IF(AND($L27=1,'計算A'!AX$117=1,EW27=0),2000,0))),1000000))</f>
        <v/>
      </c>
      <c r="QA27">
        <f>IF($B27=0,1000000,IF(INDEX('計算A'!$D$60:$EQ$104,$B27,48)*EW27=1,IF(AND($E27=2,KL27=0),1000000,IF($I27&gt;0,IF(2=$J27,IF(OR(AND(48=$I27+1,OR($K27&lt;&gt;'計算A'!$A$3,'計算A'!$A$4=0)),AND(48=$I27-1,OR(24&lt;&gt;'計算A'!$A$3,'計算A'!$A$4=0))),0,IF(24=$K27,200000,ABS(24-$K27)*100)),100000+ABS(2-$J27)*1000+240)+'計算A'!AY$5*50+IF(AND($E27=1,KL27=0),25,0),IF($F27&gt;0,INDEX('計算A'!AY$110:AY$114,$F27+1)+IF(AND($E27=1,KL27=0),1000,0),MIN(TV27,20)*400+(IF('計算A'!AX$106=1,1-EV27,0))*150+242+'計算A'!AY$5*100000+IF(AND($E27=1,KL27=0),50000,0))+IF($H27=1,(IF('計算A'!AX$117=1,INDEX('計算A'!AX$10:AX$54,$B27),0))*4000,0)-IF(AND('計算A'!AX$117=1,VV27&gt;0),2000,0))),1000000))</f>
        <v/>
      </c>
      <c r="QB27">
        <f>IF($B27=0,1000000,IF(INDEX('計算A'!$D$60:$EQ$104,$B27,49)*EX27=1,IF(AND($E27=2,KM27=0),1000000,IF($I27&gt;0,IF(3=$J27,IF(OR(AND(49=$I27+1,OR($K27&lt;&gt;'計算A'!$A$3,'計算A'!$A$4=0)),AND(49=$I27-1,OR(1&lt;&gt;'計算A'!$A$3,'計算A'!$A$4=0))),0,IF(1=$K27,200000,ABS(1-$K27)*100)),100000+ABS(3-$J27)*1000+10)+'計算A'!AZ$5*50+IF(AND($E27=1,KM27=0),25,0),IF($F27&gt;0,INDEX('計算A'!AZ$110:AZ$114,$F27+1)+IF(AND($E27=1,KM27=0),1000,0),MIN(TW27,20)*400+(IF('計算A'!AZ$106=1,1-EY27,0))*150+13+'計算A'!AZ$5*100000+IF(AND($E27=1,KM27=0),50000,0))+IF($H27=1,(IF('計算A'!AZ$117=1,INDEX('計算A'!BA$10:BA$54,$B27),0))*4000,0)-IF(AND($L27=1,'計算A'!AZ$117=1,EY27=0),2000,0))),1000000))</f>
        <v/>
      </c>
      <c r="QC27">
        <f>IF($B27=0,1000000,IF(INDEX('計算A'!$D$60:$EQ$104,$B27,50)*EY27=1,IF(AND($E27=2,KN27=0),1000000,IF($I27&gt;0,IF(3=$J27,IF(OR(AND(50=$I27+1,OR($K27&lt;&gt;'計算A'!$A$3,'計算A'!$A$4=0)),AND(50=$I27-1,OR(2&lt;&gt;'計算A'!$A$3,'計算A'!$A$4=0))),0,IF(2=$K27,200000,ABS(2-$K27)*100)),100000+ABS(3-$J27)*1000+20)+'計算A'!BA$5*50+IF(AND($E27=1,KN27=0),25,0),IF($F27&gt;0,INDEX('計算A'!BA$110:BA$114,$F27+1)+IF(AND($E27=1,KN27=0),1000,0),MIN(TW27,20)*400+(IF('計算A'!AZ$106=1,1-EX27,0)+IF('計算A'!BA$106=1,1-EZ27,0))*150+23+'計算A'!BA$5*100000+IF(AND($E27=1,KN27=0),50000,0))+IF($H27=1,(IF('計算A'!AZ$117=1,INDEX('計算A'!AZ$10:AZ$54,$B27),0)+IF('計算A'!BA$117=1,INDEX('計算A'!BB$10:BB$54,$B27),0))*4000,0)-IF(AND('計算A'!AZ$117=1,VX27&gt;0),2000,0)-IF(AND($L27=1,'計算A'!BA$117=1,EZ27=0),2000,0))),1000000))</f>
        <v/>
      </c>
      <c r="QD27">
        <f>IF($B27=0,1000000,IF(INDEX('計算A'!$D$60:$EQ$104,$B27,51)*EZ27=1,IF(AND($E27=2,KO27=0),1000000,IF($I27&gt;0,IF(3=$J27,IF(OR(AND(51=$I27+1,OR($K27&lt;&gt;'計算A'!$A$3,'計算A'!$A$4=0)),AND(51=$I27-1,OR(3&lt;&gt;'計算A'!$A$3,'計算A'!$A$4=0))),0,IF(3=$K27,200000,ABS(3-$K27)*100)),100000+ABS(3-$J27)*1000+30)+'計算A'!BB$5*50+IF(AND($E27=1,KO27=0),25,0),IF($F27&gt;0,INDEX('計算A'!BB$110:BB$114,$F27+1)+IF(AND($E27=1,KO27=0),1000,0),MIN(TW27,20)*400+(IF('計算A'!BA$106=1,1-EY27,0)+IF('計算A'!BB$106=1,1-FA27,0))*150+33+'計算A'!BB$5*100000+IF(AND($E27=1,KO27=0),50000,0))+IF($H27=1,(IF('計算A'!BA$117=1,INDEX('計算A'!BA$10:BA$54,$B27),0)+IF('計算A'!BB$117=1,INDEX('計算A'!BC$10:BC$54,$B27),0))*4000,0)-IF(AND('計算A'!BA$117=1,VY27&gt;0),2000,0)-IF(AND($L27=1,'計算A'!BB$117=1,FA27=0),2000,0))),1000000))</f>
        <v/>
      </c>
      <c r="QE27">
        <f>IF($B27=0,1000000,IF(INDEX('計算A'!$D$60:$EQ$104,$B27,52)*FA27=1,IF(AND($E27=2,KP27=0),1000000,IF($I27&gt;0,IF(3=$J27,IF(OR(AND(52=$I27+1,OR($K27&lt;&gt;'計算A'!$A$3,'計算A'!$A$4=0)),AND(52=$I27-1,OR(4&lt;&gt;'計算A'!$A$3,'計算A'!$A$4=0))),0,IF(4=$K27,200000,ABS(4-$K27)*100)),100000+ABS(3-$J27)*1000+40)+'計算A'!BC$5*50+IF(AND($E27=1,KP27=0),25,0),IF($F27&gt;0,INDEX('計算A'!BC$110:BC$114,$F27+1)+IF(AND($E27=1,KP27=0),1000,0),MIN(TW27,20)*400+(IF('計算A'!BB$106=1,1-EZ27,0)+IF('計算A'!BC$106=1,1-FB27,0))*150+43+'計算A'!BC$5*100000+IF(AND($E27=1,KP27=0),50000,0))+IF($H27=1,(IF('計算A'!BB$117=1,INDEX('計算A'!BB$10:BB$54,$B27),0)+IF('計算A'!BC$117=1,INDEX('計算A'!BD$10:BD$54,$B27),0))*4000,0)-IF(AND('計算A'!BB$117=1,VZ27&gt;0),2000,0)-IF(AND($L27=1,'計算A'!BC$117=1,FB27=0),2000,0))),1000000))</f>
        <v/>
      </c>
      <c r="QF27">
        <f>IF($B27=0,1000000,IF(INDEX('計算A'!$D$60:$EQ$104,$B27,53)*FB27=1,IF(AND($E27=2,KQ27=0),1000000,IF($I27&gt;0,IF(3=$J27,IF(OR(AND(53=$I27+1,OR($K27&lt;&gt;'計算A'!$A$3,'計算A'!$A$4=0)),AND(53=$I27-1,OR(5&lt;&gt;'計算A'!$A$3,'計算A'!$A$4=0))),0,IF(5=$K27,200000,ABS(5-$K27)*100)),100000+ABS(3-$J27)*1000+50)+'計算A'!BD$5*50+IF(AND($E27=1,KQ27=0),25,0),IF($F27&gt;0,INDEX('計算A'!BD$110:BD$114,$F27+1)+IF(AND($E27=1,KQ27=0),1000,0),MIN(TW27,20)*400+(IF('計算A'!BC$106=1,1-FA27,0)+IF('計算A'!BD$106=1,1-FC27,0))*150+53+'計算A'!BD$5*100000+IF(AND($E27=1,KQ27=0),50000,0))+IF($H27=1,(IF('計算A'!BC$117=1,INDEX('計算A'!BC$10:BC$54,$B27),0)+IF('計算A'!BD$117=1,INDEX('計算A'!BE$10:BE$54,$B27),0))*4000,0)-IF(AND('計算A'!BC$117=1,WA27&gt;0),2000,0)-IF(AND($L27=1,'計算A'!BD$117=1,FC27=0),2000,0))),1000000))</f>
        <v/>
      </c>
      <c r="QG27">
        <f>IF($B27=0,1000000,IF(INDEX('計算A'!$D$60:$EQ$104,$B27,54)*FC27=1,IF(AND($E27=2,KR27=0),1000000,IF($I27&gt;0,IF(3=$J27,IF(OR(AND(54=$I27+1,OR($K27&lt;&gt;'計算A'!$A$3,'計算A'!$A$4=0)),AND(54=$I27-1,OR(6&lt;&gt;'計算A'!$A$3,'計算A'!$A$4=0))),0,IF(6=$K27,200000,ABS(6-$K27)*100)),100000+ABS(3-$J27)*1000+60)+'計算A'!BE$5*50+IF(AND($E27=1,KR27=0),25,0),IF($F27&gt;0,INDEX('計算A'!BE$110:BE$114,$F27+1)+IF(AND($E27=1,KR27=0),1000,0),MIN(TW27,20)*400+(IF('計算A'!BD$106=1,1-FB27,0)+IF('計算A'!BE$106=1,1-FD27,0))*150+63+'計算A'!BE$5*100000+IF(AND($E27=1,KR27=0),50000,0))+IF($H27=1,(IF('計算A'!BD$117=1,INDEX('計算A'!BD$10:BD$54,$B27),0)+IF('計算A'!BE$117=1,INDEX('計算A'!BF$10:BF$54,$B27),0))*4000,0)-IF(AND('計算A'!BD$117=1,WB27&gt;0),2000,0)-IF(AND($L27=1,'計算A'!BE$117=1,FD27=0),2000,0))),1000000))</f>
        <v/>
      </c>
      <c r="QH27">
        <f>IF($B27=0,1000000,IF(INDEX('計算A'!$D$60:$EQ$104,$B27,55)*FD27=1,IF(AND($E27=2,KS27=0),1000000,IF($I27&gt;0,IF(3=$J27,IF(OR(AND(55=$I27+1,OR($K27&lt;&gt;'計算A'!$A$3,'計算A'!$A$4=0)),AND(55=$I27-1,OR(7&lt;&gt;'計算A'!$A$3,'計算A'!$A$4=0))),0,IF(7=$K27,200000,ABS(7-$K27)*100)),100000+ABS(3-$J27)*1000+70)+'計算A'!BF$5*50+IF(AND($E27=1,KS27=0),25,0),IF($F27&gt;0,INDEX('計算A'!BF$110:BF$114,$F27+1)+IF(AND($E27=1,KS27=0),1000,0),MIN(TW27,20)*400+(IF('計算A'!BE$106=1,1-FC27,0)+IF('計算A'!BF$106=1,1-FE27,0))*150+73+'計算A'!BF$5*100000+IF(AND($E27=1,KS27=0),50000,0))+IF($H27=1,(IF('計算A'!BE$117=1,INDEX('計算A'!BE$10:BE$54,$B27),0)+IF('計算A'!BF$117=1,INDEX('計算A'!BG$10:BG$54,$B27),0))*4000,0)-IF(AND('計算A'!BE$117=1,WC27&gt;0),2000,0)-IF(AND($L27=1,'計算A'!BF$117=1,FE27=0),2000,0))),1000000))</f>
        <v/>
      </c>
      <c r="QI27">
        <f>IF($B27=0,1000000,IF(INDEX('計算A'!$D$60:$EQ$104,$B27,56)*FE27=1,IF(AND($E27=2,KT27=0),1000000,IF($I27&gt;0,IF(3=$J27,IF(OR(AND(56=$I27+1,OR($K27&lt;&gt;'計算A'!$A$3,'計算A'!$A$4=0)),AND(56=$I27-1,OR(8&lt;&gt;'計算A'!$A$3,'計算A'!$A$4=0))),0,IF(8=$K27,200000,ABS(8-$K27)*100)),100000+ABS(3-$J27)*1000+80)+'計算A'!BG$5*50+IF(AND($E27=1,KT27=0),25,0),IF($F27&gt;0,INDEX('計算A'!BG$110:BG$114,$F27+1)+IF(AND($E27=1,KT27=0),1000,0),MIN(TW27,20)*400+(IF('計算A'!BF$106=1,1-FD27,0)+IF('計算A'!BG$106=1,1-FF27,0))*150+83+'計算A'!BG$5*100000+IF(AND($E27=1,KT27=0),50000,0))+IF($H27=1,(IF('計算A'!BF$117=1,INDEX('計算A'!BF$10:BF$54,$B27),0)+IF('計算A'!BG$117=1,INDEX('計算A'!BH$10:BH$54,$B27),0))*4000,0)-IF(AND('計算A'!BF$117=1,WD27&gt;0),2000,0)-IF(AND($L27=1,'計算A'!BG$117=1,FF27=0),2000,0))),1000000))</f>
        <v/>
      </c>
      <c r="QJ27">
        <f>IF($B27=0,1000000,IF(INDEX('計算A'!$D$60:$EQ$104,$B27,57)*FF27=1,IF(AND($E27=2,KU27=0),1000000,IF($I27&gt;0,IF(3=$J27,IF(OR(AND(57=$I27+1,OR($K27&lt;&gt;'計算A'!$A$3,'計算A'!$A$4=0)),AND(57=$I27-1,OR(9&lt;&gt;'計算A'!$A$3,'計算A'!$A$4=0))),0,IF(9=$K27,200000,ABS(9-$K27)*100)),100000+ABS(3-$J27)*1000+90)+'計算A'!BH$5*50+IF(AND($E27=1,KU27=0),25,0),IF($F27&gt;0,INDEX('計算A'!BH$110:BH$114,$F27+1)+IF(AND($E27=1,KU27=0),1000,0),MIN(TW27,20)*400+(IF('計算A'!BG$106=1,1-FE27,0)+IF('計算A'!BH$106=1,1-FG27,0))*150+93+'計算A'!BH$5*100000+IF(AND($E27=1,KU27=0),50000,0))+IF($H27=1,(IF('計算A'!BG$117=1,INDEX('計算A'!BG$10:BG$54,$B27),0)+IF('計算A'!BH$117=1,INDEX('計算A'!BI$10:BI$54,$B27),0))*4000,0)-IF(AND('計算A'!BG$117=1,WE27&gt;0),2000,0)-IF(AND($L27=1,'計算A'!BH$117=1,FG27=0),2000,0))),1000000))</f>
        <v/>
      </c>
      <c r="QK27">
        <f>IF($B27=0,1000000,IF(INDEX('計算A'!$D$60:$EQ$104,$B27,58)*FG27=1,IF(AND($E27=2,KV27=0),1000000,IF($I27&gt;0,IF(3=$J27,IF(OR(AND(58=$I27+1,OR($K27&lt;&gt;'計算A'!$A$3,'計算A'!$A$4=0)),AND(58=$I27-1,OR(10&lt;&gt;'計算A'!$A$3,'計算A'!$A$4=0))),0,IF(10=$K27,200000,ABS(10-$K27)*100)),100000+ABS(3-$J27)*1000+100)+'計算A'!BI$5*50+IF(AND($E27=1,KV27=0),25,0),IF($F27&gt;0,INDEX('計算A'!BI$110:BI$114,$F27+1)+IF(AND($E27=1,KV27=0),1000,0),MIN(TW27,20)*400+(IF('計算A'!BH$106=1,1-FF27,0)+IF('計算A'!BI$106=1,1-FH27,0))*150+103+'計算A'!BI$5*100000+IF(AND($E27=1,KV27=0),50000,0))+IF($H27=1,(IF('計算A'!BH$117=1,INDEX('計算A'!BH$10:BH$54,$B27),0)+IF('計算A'!BI$117=1,INDEX('計算A'!BJ$10:BJ$54,$B27),0))*4000,0)-IF(AND('計算A'!BH$117=1,WF27&gt;0),2000,0)-IF(AND($L27=1,'計算A'!BI$117=1,FH27=0),2000,0))),1000000))</f>
        <v/>
      </c>
      <c r="QL27">
        <f>IF($B27=0,1000000,IF(INDEX('計算A'!$D$60:$EQ$104,$B27,59)*FH27=1,IF(AND($E27=2,KW27=0),1000000,IF($I27&gt;0,IF(3=$J27,IF(OR(AND(59=$I27+1,OR($K27&lt;&gt;'計算A'!$A$3,'計算A'!$A$4=0)),AND(59=$I27-1,OR(11&lt;&gt;'計算A'!$A$3,'計算A'!$A$4=0))),0,IF(11=$K27,200000,ABS(11-$K27)*100)),100000+ABS(3-$J27)*1000+110)+'計算A'!BJ$5*50+IF(AND($E27=1,KW27=0),25,0),IF($F27&gt;0,INDEX('計算A'!BJ$110:BJ$114,$F27+1)+IF(AND($E27=1,KW27=0),1000,0),MIN(TW27,20)*400+(IF('計算A'!BI$106=1,1-FG27,0)+IF('計算A'!BJ$106=1,1-FI27,0))*150+113+'計算A'!BJ$5*100000+IF(AND($E27=1,KW27=0),50000,0))+IF($H27=1,(IF('計算A'!BI$117=1,INDEX('計算A'!BI$10:BI$54,$B27),0)+IF('計算A'!BJ$117=1,INDEX('計算A'!BK$10:BK$54,$B27),0))*4000,0)-IF(AND('計算A'!BI$117=1,WG27&gt;0),2000,0)-IF(AND($L27=1,'計算A'!BJ$117=1,FI27=0),2000,0))),1000000))</f>
        <v/>
      </c>
      <c r="QM27">
        <f>IF($B27=0,1000000,IF(INDEX('計算A'!$D$60:$EQ$104,$B27,60)*FI27=1,IF(AND($E27=2,KX27=0),1000000,IF($I27&gt;0,IF(3=$J27,IF(OR(AND(60=$I27+1,OR($K27&lt;&gt;'計算A'!$A$3,'計算A'!$A$4=0)),AND(60=$I27-1,OR(12&lt;&gt;'計算A'!$A$3,'計算A'!$A$4=0))),0,IF(12=$K27,200000,ABS(12-$K27)*100)),100000+ABS(3-$J27)*1000+120)+'計算A'!BK$5*50+IF(AND($E27=1,KX27=0),25,0),IF($F27&gt;0,INDEX('計算A'!BK$110:BK$114,$F27+1)+IF(AND($E27=1,KX27=0),1000,0),MIN(TW27,20)*400+(IF('計算A'!BJ$106=1,1-FH27,0)+IF('計算A'!BK$106=1,1-FJ27,0))*150+123+'計算A'!BK$5*100000+IF(AND($E27=1,KX27=0),50000,0))+IF($H27=1,(IF('計算A'!BJ$117=1,INDEX('計算A'!BJ$10:BJ$54,$B27),0)+IF('計算A'!BK$117=1,INDEX('計算A'!BL$10:BL$54,$B27),0))*4000,0)-IF(AND('計算A'!BJ$117=1,WH27&gt;0),2000,0)-IF(AND($L27=1,'計算A'!BK$117=1,FJ27=0),2000,0))),1000000))</f>
        <v/>
      </c>
      <c r="QN27">
        <f>IF($B27=0,1000000,IF(INDEX('計算A'!$D$60:$EQ$104,$B27,61)*FJ27=1,IF(AND($E27=2,KY27=0),1000000,IF($I27&gt;0,IF(3=$J27,IF(OR(AND(61=$I27+1,OR($K27&lt;&gt;'計算A'!$A$3,'計算A'!$A$4=0)),AND(61=$I27-1,OR(13&lt;&gt;'計算A'!$A$3,'計算A'!$A$4=0))),0,IF(13=$K27,200000,ABS(13-$K27)*100)),100000+ABS(3-$J27)*1000+130)+'計算A'!BL$5*50+IF(AND($E27=1,KY27=0),25,0),IF($F27&gt;0,INDEX('計算A'!BL$110:BL$114,$F27+1)+IF(AND($E27=1,KY27=0),1000,0),MIN(TW27,20)*400+(IF('計算A'!BK$106=1,1-FI27,0)+IF('計算A'!BL$106=1,1-FK27,0))*150+133+'計算A'!BL$5*100000+IF(AND($E27=1,KY27=0),50000,0))+IF($H27=1,(IF('計算A'!BK$117=1,INDEX('計算A'!BK$10:BK$54,$B27),0)+IF('計算A'!BL$117=1,INDEX('計算A'!BM$10:BM$54,$B27),0))*4000,0)-IF(AND('計算A'!BK$117=1,WI27&gt;0),2000,0)-IF(AND($L27=1,'計算A'!BL$117=1,FK27=0),2000,0))),1000000))</f>
        <v/>
      </c>
      <c r="QO27">
        <f>IF($B27=0,1000000,IF(INDEX('計算A'!$D$60:$EQ$104,$B27,62)*FK27=1,IF(AND($E27=2,KZ27=0),1000000,IF($I27&gt;0,IF(3=$J27,IF(OR(AND(62=$I27+1,OR($K27&lt;&gt;'計算A'!$A$3,'計算A'!$A$4=0)),AND(62=$I27-1,OR(14&lt;&gt;'計算A'!$A$3,'計算A'!$A$4=0))),0,IF(14=$K27,200000,ABS(14-$K27)*100)),100000+ABS(3-$J27)*1000+140)+'計算A'!BM$5*50+IF(AND($E27=1,KZ27=0),25,0),IF($F27&gt;0,INDEX('計算A'!BM$110:BM$114,$F27+1)+IF(AND($E27=1,KZ27=0),1000,0),MIN(TW27,20)*400+(IF('計算A'!BL$106=1,1-FJ27,0)+IF('計算A'!BM$106=1,1-FL27,0))*150+143+'計算A'!BM$5*100000+IF(AND($E27=1,KZ27=0),50000,0))+IF($H27=1,(IF('計算A'!BL$117=1,INDEX('計算A'!BL$10:BL$54,$B27),0)+IF('計算A'!BM$117=1,INDEX('計算A'!BN$10:BN$54,$B27),0))*4000,0)-IF(AND('計算A'!BL$117=1,WJ27&gt;0),2000,0)-IF(AND($L27=1,'計算A'!BM$117=1,FL27=0),2000,0))),1000000))</f>
        <v/>
      </c>
      <c r="QP27">
        <f>IF($B27=0,1000000,IF(INDEX('計算A'!$D$60:$EQ$104,$B27,63)*FL27=1,IF(AND($E27=2,LA27=0),1000000,IF($I27&gt;0,IF(3=$J27,IF(OR(AND(63=$I27+1,OR($K27&lt;&gt;'計算A'!$A$3,'計算A'!$A$4=0)),AND(63=$I27-1,OR(15&lt;&gt;'計算A'!$A$3,'計算A'!$A$4=0))),0,IF(15=$K27,200000,ABS(15-$K27)*100)),100000+ABS(3-$J27)*1000+150)+'計算A'!BN$5*50+IF(AND($E27=1,LA27=0),25,0),IF($F27&gt;0,INDEX('計算A'!BN$110:BN$114,$F27+1)+IF(AND($E27=1,LA27=0),1000,0),MIN(TW27,20)*400+(IF('計算A'!BM$106=1,1-FK27,0)+IF('計算A'!BN$106=1,1-FM27,0))*150+153+'計算A'!BN$5*100000+IF(AND($E27=1,LA27=0),50000,0))+IF($H27=1,(IF('計算A'!BM$117=1,INDEX('計算A'!BM$10:BM$54,$B27),0)+IF('計算A'!BN$117=1,INDEX('計算A'!BO$10:BO$54,$B27),0))*4000,0)-IF(AND('計算A'!BM$117=1,WK27&gt;0),2000,0)-IF(AND($L27=1,'計算A'!BN$117=1,FM27=0),2000,0))),1000000))</f>
        <v/>
      </c>
      <c r="QQ27">
        <f>IF($B27=0,1000000,IF(INDEX('計算A'!$D$60:$EQ$104,$B27,64)*FM27=1,IF(AND($E27=2,LB27=0),1000000,IF($I27&gt;0,IF(3=$J27,IF(OR(AND(64=$I27+1,OR($K27&lt;&gt;'計算A'!$A$3,'計算A'!$A$4=0)),AND(64=$I27-1,OR(16&lt;&gt;'計算A'!$A$3,'計算A'!$A$4=0))),0,IF(16=$K27,200000,ABS(16-$K27)*100)),100000+ABS(3-$J27)*1000+160)+'計算A'!BO$5*50+IF(AND($E27=1,LB27=0),25,0),IF($F27&gt;0,INDEX('計算A'!BO$110:BO$114,$F27+1)+IF(AND($E27=1,LB27=0),1000,0),MIN(TW27,20)*400+(IF('計算A'!BN$106=1,1-FL27,0)+IF('計算A'!BO$106=1,1-FN27,0))*150+163+'計算A'!BO$5*100000+IF(AND($E27=1,LB27=0),50000,0))+IF($H27=1,(IF('計算A'!BN$117=1,INDEX('計算A'!BN$10:BN$54,$B27),0)+IF('計算A'!BO$117=1,INDEX('計算A'!BP$10:BP$54,$B27),0))*4000,0)-IF(AND('計算A'!BN$117=1,WL27&gt;0),2000,0)-IF(AND($L27=1,'計算A'!BO$117=1,FN27=0),2000,0))),1000000))</f>
        <v/>
      </c>
      <c r="QR27">
        <f>IF($B27=0,1000000,IF(INDEX('計算A'!$D$60:$EQ$104,$B27,65)*FN27=1,IF(AND($E27=2,LC27=0),1000000,IF($I27&gt;0,IF(3=$J27,IF(OR(AND(65=$I27+1,OR($K27&lt;&gt;'計算A'!$A$3,'計算A'!$A$4=0)),AND(65=$I27-1,OR(17&lt;&gt;'計算A'!$A$3,'計算A'!$A$4=0))),0,IF(17=$K27,200000,ABS(17-$K27)*100)),100000+ABS(3-$J27)*1000+170)+'計算A'!BP$5*50+IF(AND($E27=1,LC27=0),25,0),IF($F27&gt;0,INDEX('計算A'!BP$110:BP$114,$F27+1)+IF(AND($E27=1,LC27=0),1000,0),MIN(TW27,20)*400+(IF('計算A'!BO$106=1,1-FM27,0)+IF('計算A'!BP$106=1,1-FO27,0))*150+173+'計算A'!BP$5*100000+IF(AND($E27=1,LC27=0),50000,0))+IF($H27=1,(IF('計算A'!BO$117=1,INDEX('計算A'!BO$10:BO$54,$B27),0)+IF('計算A'!BP$117=1,INDEX('計算A'!BQ$10:BQ$54,$B27),0))*4000,0)-IF(AND('計算A'!BO$117=1,WM27&gt;0),2000,0)-IF(AND($L27=1,'計算A'!BP$117=1,FO27=0),2000,0))),1000000))</f>
        <v/>
      </c>
      <c r="QS27">
        <f>IF($B27=0,1000000,IF(INDEX('計算A'!$D$60:$EQ$104,$B27,66)*FO27=1,IF(AND($E27=2,LD27=0),1000000,IF($I27&gt;0,IF(3=$J27,IF(OR(AND(66=$I27+1,OR($K27&lt;&gt;'計算A'!$A$3,'計算A'!$A$4=0)),AND(66=$I27-1,OR(18&lt;&gt;'計算A'!$A$3,'計算A'!$A$4=0))),0,IF(18=$K27,200000,ABS(18-$K27)*100)),100000+ABS(3-$J27)*1000+180)+'計算A'!BQ$5*50+IF(AND($E27=1,LD27=0),25,0),IF($F27&gt;0,INDEX('計算A'!BQ$110:BQ$114,$F27+1)+IF(AND($E27=1,LD27=0),1000,0),MIN(TW27,20)*400+(IF('計算A'!BP$106=1,1-FN27,0)+IF('計算A'!BQ$106=1,1-FP27,0))*150+183+'計算A'!BQ$5*100000+IF(AND($E27=1,LD27=0),50000,0))+IF($H27=1,(IF('計算A'!BP$117=1,INDEX('計算A'!BP$10:BP$54,$B27),0)+IF('計算A'!BQ$117=1,INDEX('計算A'!BR$10:BR$54,$B27),0))*4000,0)-IF(AND('計算A'!BP$117=1,WN27&gt;0),2000,0)-IF(AND($L27=1,'計算A'!BQ$117=1,FP27=0),2000,0))),1000000))</f>
        <v/>
      </c>
      <c r="QT27">
        <f>IF($B27=0,1000000,IF(INDEX('計算A'!$D$60:$EQ$104,$B27,67)*FP27=1,IF(AND($E27=2,LE27=0),1000000,IF($I27&gt;0,IF(3=$J27,IF(OR(AND(67=$I27+1,OR($K27&lt;&gt;'計算A'!$A$3,'計算A'!$A$4=0)),AND(67=$I27-1,OR(19&lt;&gt;'計算A'!$A$3,'計算A'!$A$4=0))),0,IF(19=$K27,200000,ABS(19-$K27)*100)),100000+ABS(3-$J27)*1000+190)+'計算A'!BR$5*50+IF(AND($E27=1,LE27=0),25,0),IF($F27&gt;0,INDEX('計算A'!BR$110:BR$114,$F27+1)+IF(AND($E27=1,LE27=0),1000,0),MIN(TW27,20)*400+(IF('計算A'!BQ$106=1,1-FO27,0)+IF('計算A'!BR$106=1,1-FQ27,0))*150+193+'計算A'!BR$5*100000+IF(AND($E27=1,LE27=0),50000,0))+IF($H27=1,(IF('計算A'!BQ$117=1,INDEX('計算A'!BQ$10:BQ$54,$B27),0)+IF('計算A'!BR$117=1,INDEX('計算A'!BS$10:BS$54,$B27),0))*4000,0)-IF(AND('計算A'!BQ$117=1,WO27&gt;0),2000,0)-IF(AND($L27=1,'計算A'!BR$117=1,FQ27=0),2000,0))),1000000))</f>
        <v/>
      </c>
      <c r="QU27">
        <f>IF($B27=0,1000000,IF(INDEX('計算A'!$D$60:$EQ$104,$B27,68)*FQ27=1,IF(AND($E27=2,LF27=0),1000000,IF($I27&gt;0,IF(3=$J27,IF(OR(AND(68=$I27+1,OR($K27&lt;&gt;'計算A'!$A$3,'計算A'!$A$4=0)),AND(68=$I27-1,OR(20&lt;&gt;'計算A'!$A$3,'計算A'!$A$4=0))),0,IF(20=$K27,200000,ABS(20-$K27)*100)),100000+ABS(3-$J27)*1000+200)+'計算A'!BS$5*50+IF(AND($E27=1,LF27=0),25,0),IF($F27&gt;0,INDEX('計算A'!BS$110:BS$114,$F27+1)+IF(AND($E27=1,LF27=0),1000,0),MIN(TW27,20)*400+(IF('計算A'!BR$106=1,1-FP27,0)+IF('計算A'!BS$106=1,1-FR27,0))*150+203+'計算A'!BS$5*100000+IF(AND($E27=1,LF27=0),50000,0))+IF($H27=1,(IF('計算A'!BR$117=1,INDEX('計算A'!BR$10:BR$54,$B27),0)+IF('計算A'!BS$117=1,INDEX('計算A'!BT$10:BT$54,$B27),0))*4000,0)-IF(AND('計算A'!BR$117=1,WP27&gt;0),2000,0)-IF(AND($L27=1,'計算A'!BS$117=1,FR27=0),2000,0))),1000000))</f>
        <v/>
      </c>
      <c r="QV27">
        <f>IF($B27=0,1000000,IF(INDEX('計算A'!$D$60:$EQ$104,$B27,69)*FR27=1,IF(AND($E27=2,LG27=0),1000000,IF($I27&gt;0,IF(3=$J27,IF(OR(AND(69=$I27+1,OR($K27&lt;&gt;'計算A'!$A$3,'計算A'!$A$4=0)),AND(69=$I27-1,OR(21&lt;&gt;'計算A'!$A$3,'計算A'!$A$4=0))),0,IF(21=$K27,200000,ABS(21-$K27)*100)),100000+ABS(3-$J27)*1000+210)+'計算A'!BT$5*50+IF(AND($E27=1,LG27=0),25,0),IF($F27&gt;0,INDEX('計算A'!BT$110:BT$114,$F27+1)+IF(AND($E27=1,LG27=0),1000,0),MIN(TW27,20)*400+(IF('計算A'!BS$106=1,1-FQ27,0)+IF('計算A'!BT$106=1,1-FS27,0))*150+213+'計算A'!BT$5*100000+IF(AND($E27=1,LG27=0),50000,0))+IF($H27=1,(IF('計算A'!BS$117=1,INDEX('計算A'!BS$10:BS$54,$B27),0)+IF('計算A'!BT$117=1,INDEX('計算A'!BU$10:BU$54,$B27),0))*4000,0)-IF(AND('計算A'!BS$117=1,WQ27&gt;0),2000,0)-IF(AND($L27=1,'計算A'!BT$117=1,FS27=0),2000,0))),1000000))</f>
        <v/>
      </c>
      <c r="QW27">
        <f>IF($B27=0,1000000,IF(INDEX('計算A'!$D$60:$EQ$104,$B27,70)*FS27=1,IF(AND($E27=2,LH27=0),1000000,IF($I27&gt;0,IF(3=$J27,IF(OR(AND(70=$I27+1,OR($K27&lt;&gt;'計算A'!$A$3,'計算A'!$A$4=0)),AND(70=$I27-1,OR(22&lt;&gt;'計算A'!$A$3,'計算A'!$A$4=0))),0,IF(22=$K27,200000,ABS(22-$K27)*100)),100000+ABS(3-$J27)*1000+220)+'計算A'!BU$5*50+IF(AND($E27=1,LH27=0),25,0),IF($F27&gt;0,INDEX('計算A'!BU$110:BU$114,$F27+1)+IF(AND($E27=1,LH27=0),1000,0),MIN(TW27,20)*400+(IF('計算A'!BT$106=1,1-FR27,0)+IF('計算A'!BU$106=1,1-FT27,0))*150+223+'計算A'!BU$5*100000+IF(AND($E27=1,LH27=0),50000,0))+IF($H27=1,(IF('計算A'!BT$117=1,INDEX('計算A'!BT$10:BT$54,$B27),0)+IF('計算A'!BU$117=1,INDEX('計算A'!BV$10:BV$54,$B27),0))*4000,0)-IF(AND('計算A'!BT$117=1,WR27&gt;0),2000,0)-IF(AND($L27=1,'計算A'!BU$117=1,FT27=0),2000,0))),1000000))</f>
        <v/>
      </c>
      <c r="QX27">
        <f>IF($B27=0,1000000,IF(INDEX('計算A'!$D$60:$EQ$104,$B27,71)*FT27=1,IF(AND($E27=2,LI27=0),1000000,IF($I27&gt;0,IF(3=$J27,IF(OR(AND(71=$I27+1,OR($K27&lt;&gt;'計算A'!$A$3,'計算A'!$A$4=0)),AND(71=$I27-1,OR(23&lt;&gt;'計算A'!$A$3,'計算A'!$A$4=0))),0,IF(23=$K27,200000,ABS(23-$K27)*100)),100000+ABS(3-$J27)*1000+230)+'計算A'!BV$5*50+IF(AND($E27=1,LI27=0),25,0),IF($F27&gt;0,INDEX('計算A'!BV$110:BV$114,$F27+1)+IF(AND($E27=1,LI27=0),1000,0),MIN(TW27,20)*400+(IF('計算A'!BU$106=1,1-FS27,0)+IF('計算A'!BV$106=1,1-FU27,0))*150+233+'計算A'!BV$5*100000+IF(AND($E27=1,LI27=0),50000,0))+IF($H27=1,(IF('計算A'!BU$117=1,INDEX('計算A'!BU$10:BU$54,$B27),0)+IF('計算A'!BV$117=1,INDEX('計算A'!BW$10:BW$54,$B27),0))*4000,0)-IF(AND('計算A'!BU$117=1,WS27&gt;0),2000,0)-IF(AND($L27=1,'計算A'!BV$117=1,FU27=0),2000,0))),1000000))</f>
        <v/>
      </c>
      <c r="QY27">
        <f>IF($B27=0,1000000,IF(INDEX('計算A'!$D$60:$EQ$104,$B27,72)*FU27=1,IF(AND($E27=2,LJ27=0),1000000,IF($I27&gt;0,IF(3=$J27,IF(OR(AND(72=$I27+1,OR($K27&lt;&gt;'計算A'!$A$3,'計算A'!$A$4=0)),AND(72=$I27-1,OR(24&lt;&gt;'計算A'!$A$3,'計算A'!$A$4=0))),0,IF(24=$K27,200000,ABS(24-$K27)*100)),100000+ABS(3-$J27)*1000+240)+'計算A'!BW$5*50+IF(AND($E27=1,LJ27=0),25,0),IF($F27&gt;0,INDEX('計算A'!BW$110:BW$114,$F27+1)+IF(AND($E27=1,LJ27=0),1000,0),MIN(TW27,20)*400+(IF('計算A'!BV$106=1,1-FT27,0))*150+243+'計算A'!BW$5*100000+IF(AND($E27=1,LJ27=0),50000,0))+IF($H27=1,(IF('計算A'!BV$117=1,INDEX('計算A'!BV$10:BV$54,$B27),0))*4000,0)-IF(AND('計算A'!BV$117=1,WT27&gt;0),2000,0))),1000000))</f>
        <v/>
      </c>
      <c r="QZ27">
        <f>IF($B27=0,1000000,IF(INDEX('計算A'!$D$60:$EQ$104,$B27,73)*FV27=1,IF(AND($E27=2,LK27=0),1000000,IF($I27&gt;0,IF(4=$J27,IF(OR(AND(73=$I27+1,OR($K27&lt;&gt;'計算A'!$A$3,'計算A'!$A$4=0)),AND(73=$I27-1,OR(1&lt;&gt;'計算A'!$A$3,'計算A'!$A$4=0))),0,IF(1=$K27,200000,ABS(1-$K27)*100)),100000+ABS(4-$J27)*1000+10)+'計算A'!BX$5*50+IF(AND($E27=1,LK27=0),25,0),IF($F27&gt;0,INDEX('計算A'!BX$110:BX$114,$F27+1)+IF(AND($E27=1,LK27=0),1000,0),MIN(TX27,20)*400+(IF('計算A'!BX$106=1,1-FW27,0))*150+14+'計算A'!BX$5*100000+IF(AND($E27=1,LK27=0),50000,0))+IF($H27=1,(IF('計算A'!BX$117=1,INDEX('計算A'!BY$10:BY$54,$B27),0))*4000,0)-IF(AND($L27=1,'計算A'!BX$117=1,FW27=0),2000,0))),1000000))</f>
        <v/>
      </c>
      <c r="RA27">
        <f>IF($B27=0,1000000,IF(INDEX('計算A'!$D$60:$EQ$104,$B27,74)*FW27=1,IF(AND($E27=2,LL27=0),1000000,IF($I27&gt;0,IF(4=$J27,IF(OR(AND(74=$I27+1,OR($K27&lt;&gt;'計算A'!$A$3,'計算A'!$A$4=0)),AND(74=$I27-1,OR(2&lt;&gt;'計算A'!$A$3,'計算A'!$A$4=0))),0,IF(2=$K27,200000,ABS(2-$K27)*100)),100000+ABS(4-$J27)*1000+20)+'計算A'!BY$5*50+IF(AND($E27=1,LL27=0),25,0),IF($F27&gt;0,INDEX('計算A'!BY$110:BY$114,$F27+1)+IF(AND($E27=1,LL27=0),1000,0),MIN(TX27,20)*400+(IF('計算A'!BX$106=1,1-FV27,0)+IF('計算A'!BY$106=1,1-FX27,0))*150+24+'計算A'!BY$5*100000+IF(AND($E27=1,LL27=0),50000,0))+IF($H27=1,(IF('計算A'!BX$117=1,INDEX('計算A'!BX$10:BX$54,$B27),0)+IF('計算A'!BY$117=1,INDEX('計算A'!BZ$10:BZ$54,$B27),0))*4000,0)-IF(AND('計算A'!BX$117=1,WV27&gt;0),2000,0)-IF(AND($L27=1,'計算A'!BY$117=1,FX27=0),2000,0))),1000000))</f>
        <v/>
      </c>
      <c r="RB27">
        <f>IF($B27=0,1000000,IF(INDEX('計算A'!$D$60:$EQ$104,$B27,75)*FX27=1,IF(AND($E27=2,LM27=0),1000000,IF($I27&gt;0,IF(4=$J27,IF(OR(AND(75=$I27+1,OR($K27&lt;&gt;'計算A'!$A$3,'計算A'!$A$4=0)),AND(75=$I27-1,OR(3&lt;&gt;'計算A'!$A$3,'計算A'!$A$4=0))),0,IF(3=$K27,200000,ABS(3-$K27)*100)),100000+ABS(4-$J27)*1000+30)+'計算A'!BZ$5*50+IF(AND($E27=1,LM27=0),25,0),IF($F27&gt;0,INDEX('計算A'!BZ$110:BZ$114,$F27+1)+IF(AND($E27=1,LM27=0),1000,0),MIN(TX27,20)*400+(IF('計算A'!BY$106=1,1-FW27,0)+IF('計算A'!BZ$106=1,1-FY27,0))*150+34+'計算A'!BZ$5*100000+IF(AND($E27=1,LM27=0),50000,0))+IF($H27=1,(IF('計算A'!BY$117=1,INDEX('計算A'!BY$10:BY$54,$B27),0)+IF('計算A'!BZ$117=1,INDEX('計算A'!CA$10:CA$54,$B27),0))*4000,0)-IF(AND('計算A'!BY$117=1,WW27&gt;0),2000,0)-IF(AND($L27=1,'計算A'!BZ$117=1,FY27=0),2000,0))),1000000))</f>
        <v/>
      </c>
      <c r="RC27">
        <f>IF($B27=0,1000000,IF(INDEX('計算A'!$D$60:$EQ$104,$B27,76)*FY27=1,IF(AND($E27=2,LN27=0),1000000,IF($I27&gt;0,IF(4=$J27,IF(OR(AND(76=$I27+1,OR($K27&lt;&gt;'計算A'!$A$3,'計算A'!$A$4=0)),AND(76=$I27-1,OR(4&lt;&gt;'計算A'!$A$3,'計算A'!$A$4=0))),0,IF(4=$K27,200000,ABS(4-$K27)*100)),100000+ABS(4-$J27)*1000+40)+'計算A'!CA$5*50+IF(AND($E27=1,LN27=0),25,0),IF($F27&gt;0,INDEX('計算A'!CA$110:CA$114,$F27+1)+IF(AND($E27=1,LN27=0),1000,0),MIN(TX27,20)*400+(IF('計算A'!BZ$106=1,1-FX27,0)+IF('計算A'!CA$106=1,1-FZ27,0))*150+44+'計算A'!CA$5*100000+IF(AND($E27=1,LN27=0),50000,0))+IF($H27=1,(IF('計算A'!BZ$117=1,INDEX('計算A'!BZ$10:BZ$54,$B27),0)+IF('計算A'!CA$117=1,INDEX('計算A'!CB$10:CB$54,$B27),0))*4000,0)-IF(AND('計算A'!BZ$117=1,WX27&gt;0),2000,0)-IF(AND($L27=1,'計算A'!CA$117=1,FZ27=0),2000,0))),1000000))</f>
        <v/>
      </c>
      <c r="RD27">
        <f>IF($B27=0,1000000,IF(INDEX('計算A'!$D$60:$EQ$104,$B27,77)*FZ27=1,IF(AND($E27=2,LO27=0),1000000,IF($I27&gt;0,IF(4=$J27,IF(OR(AND(77=$I27+1,OR($K27&lt;&gt;'計算A'!$A$3,'計算A'!$A$4=0)),AND(77=$I27-1,OR(5&lt;&gt;'計算A'!$A$3,'計算A'!$A$4=0))),0,IF(5=$K27,200000,ABS(5-$K27)*100)),100000+ABS(4-$J27)*1000+50)+'計算A'!CB$5*50+IF(AND($E27=1,LO27=0),25,0),IF($F27&gt;0,INDEX('計算A'!CB$110:CB$114,$F27+1)+IF(AND($E27=1,LO27=0),1000,0),MIN(TX27,20)*400+(IF('計算A'!CA$106=1,1-FY27,0)+IF('計算A'!CB$106=1,1-GA27,0))*150+54+'計算A'!CB$5*100000+IF(AND($E27=1,LO27=0),50000,0))+IF($H27=1,(IF('計算A'!CA$117=1,INDEX('計算A'!CA$10:CA$54,$B27),0)+IF('計算A'!CB$117=1,INDEX('計算A'!CC$10:CC$54,$B27),0))*4000,0)-IF(AND('計算A'!CA$117=1,WY27&gt;0),2000,0)-IF(AND($L27=1,'計算A'!CB$117=1,GA27=0),2000,0))),1000000))</f>
        <v/>
      </c>
      <c r="RE27">
        <f>IF($B27=0,1000000,IF(INDEX('計算A'!$D$60:$EQ$104,$B27,78)*GA27=1,IF(AND($E27=2,LP27=0),1000000,IF($I27&gt;0,IF(4=$J27,IF(OR(AND(78=$I27+1,OR($K27&lt;&gt;'計算A'!$A$3,'計算A'!$A$4=0)),AND(78=$I27-1,OR(6&lt;&gt;'計算A'!$A$3,'計算A'!$A$4=0))),0,IF(6=$K27,200000,ABS(6-$K27)*100)),100000+ABS(4-$J27)*1000+60)+'計算A'!CC$5*50+IF(AND($E27=1,LP27=0),25,0),IF($F27&gt;0,INDEX('計算A'!CC$110:CC$114,$F27+1)+IF(AND($E27=1,LP27=0),1000,0),MIN(TX27,20)*400+(IF('計算A'!CB$106=1,1-FZ27,0)+IF('計算A'!CC$106=1,1-GB27,0))*150+64+'計算A'!CC$5*100000+IF(AND($E27=1,LP27=0),50000,0))+IF($H27=1,(IF('計算A'!CB$117=1,INDEX('計算A'!CB$10:CB$54,$B27),0)+IF('計算A'!CC$117=1,INDEX('計算A'!CD$10:CD$54,$B27),0))*4000,0)-IF(AND('計算A'!CB$117=1,WZ27&gt;0),2000,0)-IF(AND($L27=1,'計算A'!CC$117=1,GB27=0),2000,0))),1000000))</f>
        <v/>
      </c>
      <c r="RF27">
        <f>IF($B27=0,1000000,IF(INDEX('計算A'!$D$60:$EQ$104,$B27,79)*GB27=1,IF(AND($E27=2,LQ27=0),1000000,IF($I27&gt;0,IF(4=$J27,IF(OR(AND(79=$I27+1,OR($K27&lt;&gt;'計算A'!$A$3,'計算A'!$A$4=0)),AND(79=$I27-1,OR(7&lt;&gt;'計算A'!$A$3,'計算A'!$A$4=0))),0,IF(7=$K27,200000,ABS(7-$K27)*100)),100000+ABS(4-$J27)*1000+70)+'計算A'!CD$5*50+IF(AND($E27=1,LQ27=0),25,0),IF($F27&gt;0,INDEX('計算A'!CD$110:CD$114,$F27+1)+IF(AND($E27=1,LQ27=0),1000,0),MIN(TX27,20)*400+(IF('計算A'!CC$106=1,1-GA27,0)+IF('計算A'!CD$106=1,1-GC27,0))*150+74+'計算A'!CD$5*100000+IF(AND($E27=1,LQ27=0),50000,0))+IF($H27=1,(IF('計算A'!CC$117=1,INDEX('計算A'!CC$10:CC$54,$B27),0)+IF('計算A'!CD$117=1,INDEX('計算A'!CE$10:CE$54,$B27),0))*4000,0)-IF(AND('計算A'!CC$117=1,XA27&gt;0),2000,0)-IF(AND($L27=1,'計算A'!CD$117=1,GC27=0),2000,0))),1000000))</f>
        <v/>
      </c>
      <c r="RG27">
        <f>IF($B27=0,1000000,IF(INDEX('計算A'!$D$60:$EQ$104,$B27,80)*GC27=1,IF(AND($E27=2,LR27=0),1000000,IF($I27&gt;0,IF(4=$J27,IF(OR(AND(80=$I27+1,OR($K27&lt;&gt;'計算A'!$A$3,'計算A'!$A$4=0)),AND(80=$I27-1,OR(8&lt;&gt;'計算A'!$A$3,'計算A'!$A$4=0))),0,IF(8=$K27,200000,ABS(8-$K27)*100)),100000+ABS(4-$J27)*1000+80)+'計算A'!CE$5*50+IF(AND($E27=1,LR27=0),25,0),IF($F27&gt;0,INDEX('計算A'!CE$110:CE$114,$F27+1)+IF(AND($E27=1,LR27=0),1000,0),MIN(TX27,20)*400+(IF('計算A'!CD$106=1,1-GB27,0)+IF('計算A'!CE$106=1,1-GD27,0))*150+84+'計算A'!CE$5*100000+IF(AND($E27=1,LR27=0),50000,0))+IF($H27=1,(IF('計算A'!CD$117=1,INDEX('計算A'!CD$10:CD$54,$B27),0)+IF('計算A'!CE$117=1,INDEX('計算A'!CF$10:CF$54,$B27),0))*4000,0)-IF(AND('計算A'!CD$117=1,XB27&gt;0),2000,0)-IF(AND($L27=1,'計算A'!CE$117=1,GD27=0),2000,0))),1000000))</f>
        <v/>
      </c>
      <c r="RH27">
        <f>IF($B27=0,1000000,IF(INDEX('計算A'!$D$60:$EQ$104,$B27,81)*GD27=1,IF(AND($E27=2,LS27=0),1000000,IF($I27&gt;0,IF(4=$J27,IF(OR(AND(81=$I27+1,OR($K27&lt;&gt;'計算A'!$A$3,'計算A'!$A$4=0)),AND(81=$I27-1,OR(9&lt;&gt;'計算A'!$A$3,'計算A'!$A$4=0))),0,IF(9=$K27,200000,ABS(9-$K27)*100)),100000+ABS(4-$J27)*1000+90)+'計算A'!CF$5*50+IF(AND($E27=1,LS27=0),25,0),IF($F27&gt;0,INDEX('計算A'!CF$110:CF$114,$F27+1)+IF(AND($E27=1,LS27=0),1000,0),MIN(TX27,20)*400+(IF('計算A'!CE$106=1,1-GC27,0)+IF('計算A'!CF$106=1,1-GE27,0))*150+94+'計算A'!CF$5*100000+IF(AND($E27=1,LS27=0),50000,0))+IF($H27=1,(IF('計算A'!CE$117=1,INDEX('計算A'!CE$10:CE$54,$B27),0)+IF('計算A'!CF$117=1,INDEX('計算A'!CG$10:CG$54,$B27),0))*4000,0)-IF(AND('計算A'!CE$117=1,XC27&gt;0),2000,0)-IF(AND($L27=1,'計算A'!CF$117=1,GE27=0),2000,0))),1000000))</f>
        <v/>
      </c>
      <c r="RI27">
        <f>IF($B27=0,1000000,IF(INDEX('計算A'!$D$60:$EQ$104,$B27,82)*GE27=1,IF(AND($E27=2,LT27=0),1000000,IF($I27&gt;0,IF(4=$J27,IF(OR(AND(82=$I27+1,OR($K27&lt;&gt;'計算A'!$A$3,'計算A'!$A$4=0)),AND(82=$I27-1,OR(10&lt;&gt;'計算A'!$A$3,'計算A'!$A$4=0))),0,IF(10=$K27,200000,ABS(10-$K27)*100)),100000+ABS(4-$J27)*1000+100)+'計算A'!CG$5*50+IF(AND($E27=1,LT27=0),25,0),IF($F27&gt;0,INDEX('計算A'!CG$110:CG$114,$F27+1)+IF(AND($E27=1,LT27=0),1000,0),MIN(TX27,20)*400+(IF('計算A'!CF$106=1,1-GD27,0)+IF('計算A'!CG$106=1,1-GF27,0))*150+104+'計算A'!CG$5*100000+IF(AND($E27=1,LT27=0),50000,0))+IF($H27=1,(IF('計算A'!CF$117=1,INDEX('計算A'!CF$10:CF$54,$B27),0)+IF('計算A'!CG$117=1,INDEX('計算A'!CH$10:CH$54,$B27),0))*4000,0)-IF(AND('計算A'!CF$117=1,XD27&gt;0),2000,0)-IF(AND($L27=1,'計算A'!CG$117=1,GF27=0),2000,0))),1000000))</f>
        <v/>
      </c>
      <c r="RJ27">
        <f>IF($B27=0,1000000,IF(INDEX('計算A'!$D$60:$EQ$104,$B27,83)*GF27=1,IF(AND($E27=2,LU27=0),1000000,IF($I27&gt;0,IF(4=$J27,IF(OR(AND(83=$I27+1,OR($K27&lt;&gt;'計算A'!$A$3,'計算A'!$A$4=0)),AND(83=$I27-1,OR(11&lt;&gt;'計算A'!$A$3,'計算A'!$A$4=0))),0,IF(11=$K27,200000,ABS(11-$K27)*100)),100000+ABS(4-$J27)*1000+110)+'計算A'!CH$5*50+IF(AND($E27=1,LU27=0),25,0),IF($F27&gt;0,INDEX('計算A'!CH$110:CH$114,$F27+1)+IF(AND($E27=1,LU27=0),1000,0),MIN(TX27,20)*400+(IF('計算A'!CG$106=1,1-GE27,0)+IF('計算A'!CH$106=1,1-GG27,0))*150+114+'計算A'!CH$5*100000+IF(AND($E27=1,LU27=0),50000,0))+IF($H27=1,(IF('計算A'!CG$117=1,INDEX('計算A'!CG$10:CG$54,$B27),0)+IF('計算A'!CH$117=1,INDEX('計算A'!CI$10:CI$54,$B27),0))*4000,0)-IF(AND('計算A'!CG$117=1,XE27&gt;0),2000,0)-IF(AND($L27=1,'計算A'!CH$117=1,GG27=0),2000,0))),1000000))</f>
        <v/>
      </c>
      <c r="RK27">
        <f>IF($B27=0,1000000,IF(INDEX('計算A'!$D$60:$EQ$104,$B27,84)*GG27=1,IF(AND($E27=2,LV27=0),1000000,IF($I27&gt;0,IF(4=$J27,IF(OR(AND(84=$I27+1,OR($K27&lt;&gt;'計算A'!$A$3,'計算A'!$A$4=0)),AND(84=$I27-1,OR(12&lt;&gt;'計算A'!$A$3,'計算A'!$A$4=0))),0,IF(12=$K27,200000,ABS(12-$K27)*100)),100000+ABS(4-$J27)*1000+120)+'計算A'!CI$5*50+IF(AND($E27=1,LV27=0),25,0),IF($F27&gt;0,INDEX('計算A'!CI$110:CI$114,$F27+1)+IF(AND($E27=1,LV27=0),1000,0),MIN(TX27,20)*400+(IF('計算A'!CH$106=1,1-GF27,0)+IF('計算A'!CI$106=1,1-GH27,0))*150+124+'計算A'!CI$5*100000+IF(AND($E27=1,LV27=0),50000,0))+IF($H27=1,(IF('計算A'!CH$117=1,INDEX('計算A'!CH$10:CH$54,$B27),0)+IF('計算A'!CI$117=1,INDEX('計算A'!CJ$10:CJ$54,$B27),0))*4000,0)-IF(AND('計算A'!CH$117=1,XF27&gt;0),2000,0)-IF(AND($L27=1,'計算A'!CI$117=1,GH27=0),2000,0))),1000000))</f>
        <v/>
      </c>
      <c r="RL27">
        <f>IF($B27=0,1000000,IF(INDEX('計算A'!$D$60:$EQ$104,$B27,85)*GH27=1,IF(AND($E27=2,LW27=0),1000000,IF($I27&gt;0,IF(4=$J27,IF(OR(AND(85=$I27+1,OR($K27&lt;&gt;'計算A'!$A$3,'計算A'!$A$4=0)),AND(85=$I27-1,OR(13&lt;&gt;'計算A'!$A$3,'計算A'!$A$4=0))),0,IF(13=$K27,200000,ABS(13-$K27)*100)),100000+ABS(4-$J27)*1000+130)+'計算A'!CJ$5*50+IF(AND($E27=1,LW27=0),25,0),IF($F27&gt;0,INDEX('計算A'!CJ$110:CJ$114,$F27+1)+IF(AND($E27=1,LW27=0),1000,0),MIN(TX27,20)*400+(IF('計算A'!CI$106=1,1-GG27,0)+IF('計算A'!CJ$106=1,1-GI27,0))*150+134+'計算A'!CJ$5*100000+IF(AND($E27=1,LW27=0),50000,0))+IF($H27=1,(IF('計算A'!CI$117=1,INDEX('計算A'!CI$10:CI$54,$B27),0)+IF('計算A'!CJ$117=1,INDEX('計算A'!CK$10:CK$54,$B27),0))*4000,0)-IF(AND('計算A'!CI$117=1,XG27&gt;0),2000,0)-IF(AND($L27=1,'計算A'!CJ$117=1,GI27=0),2000,0))),1000000))</f>
        <v/>
      </c>
      <c r="RM27">
        <f>IF($B27=0,1000000,IF(INDEX('計算A'!$D$60:$EQ$104,$B27,86)*GI27=1,IF(AND($E27=2,LX27=0),1000000,IF($I27&gt;0,IF(4=$J27,IF(OR(AND(86=$I27+1,OR($K27&lt;&gt;'計算A'!$A$3,'計算A'!$A$4=0)),AND(86=$I27-1,OR(14&lt;&gt;'計算A'!$A$3,'計算A'!$A$4=0))),0,IF(14=$K27,200000,ABS(14-$K27)*100)),100000+ABS(4-$J27)*1000+140)+'計算A'!CK$5*50+IF(AND($E27=1,LX27=0),25,0),IF($F27&gt;0,INDEX('計算A'!CK$110:CK$114,$F27+1)+IF(AND($E27=1,LX27=0),1000,0),MIN(TX27,20)*400+(IF('計算A'!CJ$106=1,1-GH27,0)+IF('計算A'!CK$106=1,1-GJ27,0))*150+144+'計算A'!CK$5*100000+IF(AND($E27=1,LX27=0),50000,0))+IF($H27=1,(IF('計算A'!CJ$117=1,INDEX('計算A'!CJ$10:CJ$54,$B27),0)+IF('計算A'!CK$117=1,INDEX('計算A'!CL$10:CL$54,$B27),0))*4000,0)-IF(AND('計算A'!CJ$117=1,XH27&gt;0),2000,0)-IF(AND($L27=1,'計算A'!CK$117=1,GJ27=0),2000,0))),1000000))</f>
        <v/>
      </c>
      <c r="RN27">
        <f>IF($B27=0,1000000,IF(INDEX('計算A'!$D$60:$EQ$104,$B27,87)*GJ27=1,IF(AND($E27=2,LY27=0),1000000,IF($I27&gt;0,IF(4=$J27,IF(OR(AND(87=$I27+1,OR($K27&lt;&gt;'計算A'!$A$3,'計算A'!$A$4=0)),AND(87=$I27-1,OR(15&lt;&gt;'計算A'!$A$3,'計算A'!$A$4=0))),0,IF(15=$K27,200000,ABS(15-$K27)*100)),100000+ABS(4-$J27)*1000+150)+'計算A'!CL$5*50+IF(AND($E27=1,LY27=0),25,0),IF($F27&gt;0,INDEX('計算A'!CL$110:CL$114,$F27+1)+IF(AND($E27=1,LY27=0),1000,0),MIN(TX27,20)*400+(IF('計算A'!CK$106=1,1-GI27,0)+IF('計算A'!CL$106=1,1-GK27,0))*150+154+'計算A'!CL$5*100000+IF(AND($E27=1,LY27=0),50000,0))+IF($H27=1,(IF('計算A'!CK$117=1,INDEX('計算A'!CK$10:CK$54,$B27),0)+IF('計算A'!CL$117=1,INDEX('計算A'!CM$10:CM$54,$B27),0))*4000,0)-IF(AND('計算A'!CK$117=1,XI27&gt;0),2000,0)-IF(AND($L27=1,'計算A'!CL$117=1,GK27=0),2000,0))),1000000))</f>
        <v/>
      </c>
      <c r="RO27">
        <f>IF($B27=0,1000000,IF(INDEX('計算A'!$D$60:$EQ$104,$B27,88)*GK27=1,IF(AND($E27=2,LZ27=0),1000000,IF($I27&gt;0,IF(4=$J27,IF(OR(AND(88=$I27+1,OR($K27&lt;&gt;'計算A'!$A$3,'計算A'!$A$4=0)),AND(88=$I27-1,OR(16&lt;&gt;'計算A'!$A$3,'計算A'!$A$4=0))),0,IF(16=$K27,200000,ABS(16-$K27)*100)),100000+ABS(4-$J27)*1000+160)+'計算A'!CM$5*50+IF(AND($E27=1,LZ27=0),25,0),IF($F27&gt;0,INDEX('計算A'!CM$110:CM$114,$F27+1)+IF(AND($E27=1,LZ27=0),1000,0),MIN(TX27,20)*400+(IF('計算A'!CL$106=1,1-GJ27,0)+IF('計算A'!CM$106=1,1-GL27,0))*150+164+'計算A'!CM$5*100000+IF(AND($E27=1,LZ27=0),50000,0))+IF($H27=1,(IF('計算A'!CL$117=1,INDEX('計算A'!CL$10:CL$54,$B27),0)+IF('計算A'!CM$117=1,INDEX('計算A'!CN$10:CN$54,$B27),0))*4000,0)-IF(AND('計算A'!CL$117=1,XJ27&gt;0),2000,0)-IF(AND($L27=1,'計算A'!CM$117=1,GL27=0),2000,0))),1000000))</f>
        <v/>
      </c>
      <c r="RP27">
        <f>IF($B27=0,1000000,IF(INDEX('計算A'!$D$60:$EQ$104,$B27,89)*GL27=1,IF(AND($E27=2,MA27=0),1000000,IF($I27&gt;0,IF(4=$J27,IF(OR(AND(89=$I27+1,OR($K27&lt;&gt;'計算A'!$A$3,'計算A'!$A$4=0)),AND(89=$I27-1,OR(17&lt;&gt;'計算A'!$A$3,'計算A'!$A$4=0))),0,IF(17=$K27,200000,ABS(17-$K27)*100)),100000+ABS(4-$J27)*1000+170)+'計算A'!CN$5*50+IF(AND($E27=1,MA27=0),25,0),IF($F27&gt;0,INDEX('計算A'!CN$110:CN$114,$F27+1)+IF(AND($E27=1,MA27=0),1000,0),MIN(TX27,20)*400+(IF('計算A'!CM$106=1,1-GK27,0)+IF('計算A'!CN$106=1,1-GM27,0))*150+174+'計算A'!CN$5*100000+IF(AND($E27=1,MA27=0),50000,0))+IF($H27=1,(IF('計算A'!CM$117=1,INDEX('計算A'!CM$10:CM$54,$B27),0)+IF('計算A'!CN$117=1,INDEX('計算A'!CO$10:CO$54,$B27),0))*4000,0)-IF(AND('計算A'!CM$117=1,XK27&gt;0),2000,0)-IF(AND($L27=1,'計算A'!CN$117=1,GM27=0),2000,0))),1000000))</f>
        <v/>
      </c>
      <c r="RQ27">
        <f>IF($B27=0,1000000,IF(INDEX('計算A'!$D$60:$EQ$104,$B27,90)*GM27=1,IF(AND($E27=2,MB27=0),1000000,IF($I27&gt;0,IF(4=$J27,IF(OR(AND(90=$I27+1,OR($K27&lt;&gt;'計算A'!$A$3,'計算A'!$A$4=0)),AND(90=$I27-1,OR(18&lt;&gt;'計算A'!$A$3,'計算A'!$A$4=0))),0,IF(18=$K27,200000,ABS(18-$K27)*100)),100000+ABS(4-$J27)*1000+180)+'計算A'!CO$5*50+IF(AND($E27=1,MB27=0),25,0),IF($F27&gt;0,INDEX('計算A'!CO$110:CO$114,$F27+1)+IF(AND($E27=1,MB27=0),1000,0),MIN(TX27,20)*400+(IF('計算A'!CN$106=1,1-GL27,0)+IF('計算A'!CO$106=1,1-GN27,0))*150+184+'計算A'!CO$5*100000+IF(AND($E27=1,MB27=0),50000,0))+IF($H27=1,(IF('計算A'!CN$117=1,INDEX('計算A'!CN$10:CN$54,$B27),0)+IF('計算A'!CO$117=1,INDEX('計算A'!CP$10:CP$54,$B27),0))*4000,0)-IF(AND('計算A'!CN$117=1,XL27&gt;0),2000,0)-IF(AND($L27=1,'計算A'!CO$117=1,GN27=0),2000,0))),1000000))</f>
        <v/>
      </c>
      <c r="RR27">
        <f>IF($B27=0,1000000,IF(INDEX('計算A'!$D$60:$EQ$104,$B27,91)*GN27=1,IF(AND($E27=2,MC27=0),1000000,IF($I27&gt;0,IF(4=$J27,IF(OR(AND(91=$I27+1,OR($K27&lt;&gt;'計算A'!$A$3,'計算A'!$A$4=0)),AND(91=$I27-1,OR(19&lt;&gt;'計算A'!$A$3,'計算A'!$A$4=0))),0,IF(19=$K27,200000,ABS(19-$K27)*100)),100000+ABS(4-$J27)*1000+190)+'計算A'!CP$5*50+IF(AND($E27=1,MC27=0),25,0),IF($F27&gt;0,INDEX('計算A'!CP$110:CP$114,$F27+1)+IF(AND($E27=1,MC27=0),1000,0),MIN(TX27,20)*400+(IF('計算A'!CO$106=1,1-GM27,0)+IF('計算A'!CP$106=1,1-GO27,0))*150+194+'計算A'!CP$5*100000+IF(AND($E27=1,MC27=0),50000,0))+IF($H27=1,(IF('計算A'!CO$117=1,INDEX('計算A'!CO$10:CO$54,$B27),0)+IF('計算A'!CP$117=1,INDEX('計算A'!CQ$10:CQ$54,$B27),0))*4000,0)-IF(AND('計算A'!CO$117=1,XM27&gt;0),2000,0)-IF(AND($L27=1,'計算A'!CP$117=1,GO27=0),2000,0))),1000000))</f>
        <v/>
      </c>
      <c r="RS27">
        <f>IF($B27=0,1000000,IF(INDEX('計算A'!$D$60:$EQ$104,$B27,92)*GO27=1,IF(AND($E27=2,MD27=0),1000000,IF($I27&gt;0,IF(4=$J27,IF(OR(AND(92=$I27+1,OR($K27&lt;&gt;'計算A'!$A$3,'計算A'!$A$4=0)),AND(92=$I27-1,OR(20&lt;&gt;'計算A'!$A$3,'計算A'!$A$4=0))),0,IF(20=$K27,200000,ABS(20-$K27)*100)),100000+ABS(4-$J27)*1000+200)+'計算A'!CQ$5*50+IF(AND($E27=1,MD27=0),25,0),IF($F27&gt;0,INDEX('計算A'!CQ$110:CQ$114,$F27+1)+IF(AND($E27=1,MD27=0),1000,0),MIN(TX27,20)*400+(IF('計算A'!CP$106=1,1-GN27,0)+IF('計算A'!CQ$106=1,1-GP27,0))*150+204+'計算A'!CQ$5*100000+IF(AND($E27=1,MD27=0),50000,0))+IF($H27=1,(IF('計算A'!CP$117=1,INDEX('計算A'!CP$10:CP$54,$B27),0)+IF('計算A'!CQ$117=1,INDEX('計算A'!CR$10:CR$54,$B27),0))*4000,0)-IF(AND('計算A'!CP$117=1,XN27&gt;0),2000,0)-IF(AND($L27=1,'計算A'!CQ$117=1,GP27=0),2000,0))),1000000))</f>
        <v/>
      </c>
      <c r="RT27">
        <f>IF($B27=0,1000000,IF(INDEX('計算A'!$D$60:$EQ$104,$B27,93)*GP27=1,IF(AND($E27=2,ME27=0),1000000,IF($I27&gt;0,IF(4=$J27,IF(OR(AND(93=$I27+1,OR($K27&lt;&gt;'計算A'!$A$3,'計算A'!$A$4=0)),AND(93=$I27-1,OR(21&lt;&gt;'計算A'!$A$3,'計算A'!$A$4=0))),0,IF(21=$K27,200000,ABS(21-$K27)*100)),100000+ABS(4-$J27)*1000+210)+'計算A'!CR$5*50+IF(AND($E27=1,ME27=0),25,0),IF($F27&gt;0,INDEX('計算A'!CR$110:CR$114,$F27+1)+IF(AND($E27=1,ME27=0),1000,0),MIN(TX27,20)*400+(IF('計算A'!CQ$106=1,1-GO27,0)+IF('計算A'!CR$106=1,1-GQ27,0))*150+214+'計算A'!CR$5*100000+IF(AND($E27=1,ME27=0),50000,0))+IF($H27=1,(IF('計算A'!CQ$117=1,INDEX('計算A'!CQ$10:CQ$54,$B27),0)+IF('計算A'!CR$117=1,INDEX('計算A'!CS$10:CS$54,$B27),0))*4000,0)-IF(AND('計算A'!CQ$117=1,XO27&gt;0),2000,0)-IF(AND($L27=1,'計算A'!CR$117=1,GQ27=0),2000,0))),1000000))</f>
        <v/>
      </c>
      <c r="RU27">
        <f>IF($B27=0,1000000,IF(INDEX('計算A'!$D$60:$EQ$104,$B27,94)*GQ27=1,IF(AND($E27=2,MF27=0),1000000,IF($I27&gt;0,IF(4=$J27,IF(OR(AND(94=$I27+1,OR($K27&lt;&gt;'計算A'!$A$3,'計算A'!$A$4=0)),AND(94=$I27-1,OR(22&lt;&gt;'計算A'!$A$3,'計算A'!$A$4=0))),0,IF(22=$K27,200000,ABS(22-$K27)*100)),100000+ABS(4-$J27)*1000+220)+'計算A'!CS$5*50+IF(AND($E27=1,MF27=0),25,0),IF($F27&gt;0,INDEX('計算A'!CS$110:CS$114,$F27+1)+IF(AND($E27=1,MF27=0),1000,0),MIN(TX27,20)*400+(IF('計算A'!CR$106=1,1-GP27,0)+IF('計算A'!CS$106=1,1-GR27,0))*150+224+'計算A'!CS$5*100000+IF(AND($E27=1,MF27=0),50000,0))+IF($H27=1,(IF('計算A'!CR$117=1,INDEX('計算A'!CR$10:CR$54,$B27),0)+IF('計算A'!CS$117=1,INDEX('計算A'!CT$10:CT$54,$B27),0))*4000,0)-IF(AND('計算A'!CR$117=1,XP27&gt;0),2000,0)-IF(AND($L27=1,'計算A'!CS$117=1,GR27=0),2000,0))),1000000))</f>
        <v/>
      </c>
      <c r="RV27">
        <f>IF($B27=0,1000000,IF(INDEX('計算A'!$D$60:$EQ$104,$B27,95)*GR27=1,IF(AND($E27=2,MG27=0),1000000,IF($I27&gt;0,IF(4=$J27,IF(OR(AND(95=$I27+1,OR($K27&lt;&gt;'計算A'!$A$3,'計算A'!$A$4=0)),AND(95=$I27-1,OR(23&lt;&gt;'計算A'!$A$3,'計算A'!$A$4=0))),0,IF(23=$K27,200000,ABS(23-$K27)*100)),100000+ABS(4-$J27)*1000+230)+'計算A'!CT$5*50+IF(AND($E27=1,MG27=0),25,0),IF($F27&gt;0,INDEX('計算A'!CT$110:CT$114,$F27+1)+IF(AND($E27=1,MG27=0),1000,0),MIN(TX27,20)*400+(IF('計算A'!CS$106=1,1-GQ27,0)+IF('計算A'!CT$106=1,1-GS27,0))*150+234+'計算A'!CT$5*100000+IF(AND($E27=1,MG27=0),50000,0))+IF($H27=1,(IF('計算A'!CS$117=1,INDEX('計算A'!CS$10:CS$54,$B27),0)+IF('計算A'!CT$117=1,INDEX('計算A'!CU$10:CU$54,$B27),0))*4000,0)-IF(AND('計算A'!CS$117=1,XQ27&gt;0),2000,0)-IF(AND($L27=1,'計算A'!CT$117=1,GS27=0),2000,0))),1000000))</f>
        <v/>
      </c>
      <c r="RW27">
        <f>IF($B27=0,1000000,IF(INDEX('計算A'!$D$60:$EQ$104,$B27,96)*GS27=1,IF(AND($E27=2,MH27=0),1000000,IF($I27&gt;0,IF(4=$J27,IF(OR(AND(96=$I27+1,OR($K27&lt;&gt;'計算A'!$A$3,'計算A'!$A$4=0)),AND(96=$I27-1,OR(24&lt;&gt;'計算A'!$A$3,'計算A'!$A$4=0))),0,IF(24=$K27,200000,ABS(24-$K27)*100)),100000+ABS(4-$J27)*1000+240)+'計算A'!CU$5*50+IF(AND($E27=1,MH27=0),25,0),IF($F27&gt;0,INDEX('計算A'!CU$110:CU$114,$F27+1)+IF(AND($E27=1,MH27=0),1000,0),MIN(TX27,20)*400+(IF('計算A'!CT$106=1,1-GR27,0))*150+244+'計算A'!CU$5*100000+IF(AND($E27=1,MH27=0),50000,0))+IF($H27=1,(IF('計算A'!CT$117=1,INDEX('計算A'!CT$10:CT$54,$B27),0))*4000,0)-IF(AND('計算A'!CT$117=1,XR27&gt;0),2000,0))),1000000))</f>
        <v/>
      </c>
      <c r="RX27">
        <f>IF($B27=0,1000000,IF(INDEX('計算A'!$D$60:$EQ$104,$B27,97)*GT27=1,IF(AND($E27=2,MI27=0),1000000,IF($I27&gt;0,IF(5=$J27,IF(OR(AND(97=$I27+1,OR($K27&lt;&gt;'計算A'!$A$3,'計算A'!$A$4=0)),AND(97=$I27-1,OR(1&lt;&gt;'計算A'!$A$3,'計算A'!$A$4=0))),0,IF(1=$K27,200000,ABS(1-$K27)*100)),100000+ABS(5-$J27)*1000+10)+'計算A'!CV$5*50+IF(AND($E27=1,MI27=0),25,0),IF($F27&gt;0,INDEX('計算A'!CV$110:CV$114,$F27+1)+IF(AND($E27=1,MI27=0),1000,0),MIN(TY27,20)*400+(IF('計算A'!CV$106=1,1-GU27,0))*150+15+'計算A'!CV$5*100000+IF(AND($E27=1,MI27=0),50000,0))+IF($H27=1,(IF('計算A'!CV$117=1,INDEX('計算A'!CW$10:CW$54,$B27),0))*4000,0)-IF(AND($L27=1,'計算A'!CV$117=1,GU27=0),2000,0))),1000000))</f>
        <v/>
      </c>
      <c r="RY27">
        <f>IF($B27=0,1000000,IF(INDEX('計算A'!$D$60:$EQ$104,$B27,98)*GU27=1,IF(AND($E27=2,MJ27=0),1000000,IF($I27&gt;0,IF(5=$J27,IF(OR(AND(98=$I27+1,OR($K27&lt;&gt;'計算A'!$A$3,'計算A'!$A$4=0)),AND(98=$I27-1,OR(2&lt;&gt;'計算A'!$A$3,'計算A'!$A$4=0))),0,IF(2=$K27,200000,ABS(2-$K27)*100)),100000+ABS(5-$J27)*1000+20)+'計算A'!CW$5*50+IF(AND($E27=1,MJ27=0),25,0),IF($F27&gt;0,INDEX('計算A'!CW$110:CW$114,$F27+1)+IF(AND($E27=1,MJ27=0),1000,0),MIN(TY27,20)*400+(IF('計算A'!CV$106=1,1-GT27,0)+IF('計算A'!CW$106=1,1-GV27,0))*150+25+'計算A'!CW$5*100000+IF(AND($E27=1,MJ27=0),50000,0))+IF($H27=1,(IF('計算A'!CV$117=1,INDEX('計算A'!CV$10:CV$54,$B27),0)+IF('計算A'!CW$117=1,INDEX('計算A'!CX$10:CX$54,$B27),0))*4000,0)-IF(AND('計算A'!CV$117=1,XT27&gt;0),2000,0)-IF(AND($L27=1,'計算A'!CW$117=1,GV27=0),2000,0))),1000000))</f>
        <v/>
      </c>
      <c r="RZ27">
        <f>IF($B27=0,1000000,IF(INDEX('計算A'!$D$60:$EQ$104,$B27,99)*GV27=1,IF(AND($E27=2,MK27=0),1000000,IF($I27&gt;0,IF(5=$J27,IF(OR(AND(99=$I27+1,OR($K27&lt;&gt;'計算A'!$A$3,'計算A'!$A$4=0)),AND(99=$I27-1,OR(3&lt;&gt;'計算A'!$A$3,'計算A'!$A$4=0))),0,IF(3=$K27,200000,ABS(3-$K27)*100)),100000+ABS(5-$J27)*1000+30)+'計算A'!CX$5*50+IF(AND($E27=1,MK27=0),25,0),IF($F27&gt;0,INDEX('計算A'!CX$110:CX$114,$F27+1)+IF(AND($E27=1,MK27=0),1000,0),MIN(TY27,20)*400+(IF('計算A'!CW$106=1,1-GU27,0)+IF('計算A'!CX$106=1,1-GW27,0))*150+35+'計算A'!CX$5*100000+IF(AND($E27=1,MK27=0),50000,0))+IF($H27=1,(IF('計算A'!CW$117=1,INDEX('計算A'!CW$10:CW$54,$B27),0)+IF('計算A'!CX$117=1,INDEX('計算A'!CY$10:CY$54,$B27),0))*4000,0)-IF(AND('計算A'!CW$117=1,XU27&gt;0),2000,0)-IF(AND($L27=1,'計算A'!CX$117=1,GW27=0),2000,0))),1000000))</f>
        <v/>
      </c>
      <c r="SA27">
        <f>IF($B27=0,1000000,IF(INDEX('計算A'!$D$60:$EQ$104,$B27,100)*GW27=1,IF(AND($E27=2,ML27=0),1000000,IF($I27&gt;0,IF(5=$J27,IF(OR(AND(100=$I27+1,OR($K27&lt;&gt;'計算A'!$A$3,'計算A'!$A$4=0)),AND(100=$I27-1,OR(4&lt;&gt;'計算A'!$A$3,'計算A'!$A$4=0))),0,IF(4=$K27,200000,ABS(4-$K27)*100)),100000+ABS(5-$J27)*1000+40)+'計算A'!CY$5*50+IF(AND($E27=1,ML27=0),25,0),IF($F27&gt;0,INDEX('計算A'!CY$110:CY$114,$F27+1)+IF(AND($E27=1,ML27=0),1000,0),MIN(TY27,20)*400+(IF('計算A'!CX$106=1,1-GV27,0)+IF('計算A'!CY$106=1,1-GX27,0))*150+45+'計算A'!CY$5*100000+IF(AND($E27=1,ML27=0),50000,0))+IF($H27=1,(IF('計算A'!CX$117=1,INDEX('計算A'!CX$10:CX$54,$B27),0)+IF('計算A'!CY$117=1,INDEX('計算A'!CZ$10:CZ$54,$B27),0))*4000,0)-IF(AND('計算A'!CX$117=1,XV27&gt;0),2000,0)-IF(AND($L27=1,'計算A'!CY$117=1,GX27=0),2000,0))),1000000))</f>
        <v/>
      </c>
      <c r="SB27">
        <f>IF($B27=0,1000000,IF(INDEX('計算A'!$D$60:$EQ$104,$B27,101)*GX27=1,IF(AND($E27=2,MM27=0),1000000,IF($I27&gt;0,IF(5=$J27,IF(OR(AND(101=$I27+1,OR($K27&lt;&gt;'計算A'!$A$3,'計算A'!$A$4=0)),AND(101=$I27-1,OR(5&lt;&gt;'計算A'!$A$3,'計算A'!$A$4=0))),0,IF(5=$K27,200000,ABS(5-$K27)*100)),100000+ABS(5-$J27)*1000+50)+'計算A'!CZ$5*50+IF(AND($E27=1,MM27=0),25,0),IF($F27&gt;0,INDEX('計算A'!CZ$110:CZ$114,$F27+1)+IF(AND($E27=1,MM27=0),1000,0),MIN(TY27,20)*400+(IF('計算A'!CY$106=1,1-GW27,0)+IF('計算A'!CZ$106=1,1-GY27,0))*150+55+'計算A'!CZ$5*100000+IF(AND($E27=1,MM27=0),50000,0))+IF($H27=1,(IF('計算A'!CY$117=1,INDEX('計算A'!CY$10:CY$54,$B27),0)+IF('計算A'!CZ$117=1,INDEX('計算A'!DA$10:DA$54,$B27),0))*4000,0)-IF(AND('計算A'!CY$117=1,XW27&gt;0),2000,0)-IF(AND($L27=1,'計算A'!CZ$117=1,GY27=0),2000,0))),1000000))</f>
        <v/>
      </c>
      <c r="SC27">
        <f>IF($B27=0,1000000,IF(INDEX('計算A'!$D$60:$EQ$104,$B27,102)*GY27=1,IF(AND($E27=2,MN27=0),1000000,IF($I27&gt;0,IF(5=$J27,IF(OR(AND(102=$I27+1,OR($K27&lt;&gt;'計算A'!$A$3,'計算A'!$A$4=0)),AND(102=$I27-1,OR(6&lt;&gt;'計算A'!$A$3,'計算A'!$A$4=0))),0,IF(6=$K27,200000,ABS(6-$K27)*100)),100000+ABS(5-$J27)*1000+60)+'計算A'!DA$5*50+IF(AND($E27=1,MN27=0),25,0),IF($F27&gt;0,INDEX('計算A'!DA$110:DA$114,$F27+1)+IF(AND($E27=1,MN27=0),1000,0),MIN(TY27,20)*400+(IF('計算A'!CZ$106=1,1-GX27,0)+IF('計算A'!DA$106=1,1-GZ27,0))*150+65+'計算A'!DA$5*100000+IF(AND($E27=1,MN27=0),50000,0))+IF($H27=1,(IF('計算A'!CZ$117=1,INDEX('計算A'!CZ$10:CZ$54,$B27),0)+IF('計算A'!DA$117=1,INDEX('計算A'!DB$10:DB$54,$B27),0))*4000,0)-IF(AND('計算A'!CZ$117=1,XX27&gt;0),2000,0)-IF(AND($L27=1,'計算A'!DA$117=1,GZ27=0),2000,0))),1000000))</f>
        <v/>
      </c>
      <c r="SD27">
        <f>IF($B27=0,1000000,IF(INDEX('計算A'!$D$60:$EQ$104,$B27,103)*GZ27=1,IF(AND($E27=2,MO27=0),1000000,IF($I27&gt;0,IF(5=$J27,IF(OR(AND(103=$I27+1,OR($K27&lt;&gt;'計算A'!$A$3,'計算A'!$A$4=0)),AND(103=$I27-1,OR(7&lt;&gt;'計算A'!$A$3,'計算A'!$A$4=0))),0,IF(7=$K27,200000,ABS(7-$K27)*100)),100000+ABS(5-$J27)*1000+70)+'計算A'!DB$5*50+IF(AND($E27=1,MO27=0),25,0),IF($F27&gt;0,INDEX('計算A'!DB$110:DB$114,$F27+1)+IF(AND($E27=1,MO27=0),1000,0),MIN(TY27,20)*400+(IF('計算A'!DA$106=1,1-GY27,0)+IF('計算A'!DB$106=1,1-HA27,0))*150+75+'計算A'!DB$5*100000+IF(AND($E27=1,MO27=0),50000,0))+IF($H27=1,(IF('計算A'!DA$117=1,INDEX('計算A'!DA$10:DA$54,$B27),0)+IF('計算A'!DB$117=1,INDEX('計算A'!DC$10:DC$54,$B27),0))*4000,0)-IF(AND('計算A'!DA$117=1,XY27&gt;0),2000,0)-IF(AND($L27=1,'計算A'!DB$117=1,HA27=0),2000,0))),1000000))</f>
        <v/>
      </c>
      <c r="SE27">
        <f>IF($B27=0,1000000,IF(INDEX('計算A'!$D$60:$EQ$104,$B27,104)*HA27=1,IF(AND($E27=2,MP27=0),1000000,IF($I27&gt;0,IF(5=$J27,IF(OR(AND(104=$I27+1,OR($K27&lt;&gt;'計算A'!$A$3,'計算A'!$A$4=0)),AND(104=$I27-1,OR(8&lt;&gt;'計算A'!$A$3,'計算A'!$A$4=0))),0,IF(8=$K27,200000,ABS(8-$K27)*100)),100000+ABS(5-$J27)*1000+80)+'計算A'!DC$5*50+IF(AND($E27=1,MP27=0),25,0),IF($F27&gt;0,INDEX('計算A'!DC$110:DC$114,$F27+1)+IF(AND($E27=1,MP27=0),1000,0),MIN(TY27,20)*400+(IF('計算A'!DB$106=1,1-GZ27,0)+IF('計算A'!DC$106=1,1-HB27,0))*150+85+'計算A'!DC$5*100000+IF(AND($E27=1,MP27=0),50000,0))+IF($H27=1,(IF('計算A'!DB$117=1,INDEX('計算A'!DB$10:DB$54,$B27),0)+IF('計算A'!DC$117=1,INDEX('計算A'!DD$10:DD$54,$B27),0))*4000,0)-IF(AND('計算A'!DB$117=1,XZ27&gt;0),2000,0)-IF(AND($L27=1,'計算A'!DC$117=1,HB27=0),2000,0))),1000000))</f>
        <v/>
      </c>
      <c r="SF27">
        <f>IF($B27=0,1000000,IF(INDEX('計算A'!$D$60:$EQ$104,$B27,105)*HB27=1,IF(AND($E27=2,MQ27=0),1000000,IF($I27&gt;0,IF(5=$J27,IF(OR(AND(105=$I27+1,OR($K27&lt;&gt;'計算A'!$A$3,'計算A'!$A$4=0)),AND(105=$I27-1,OR(9&lt;&gt;'計算A'!$A$3,'計算A'!$A$4=0))),0,IF(9=$K27,200000,ABS(9-$K27)*100)),100000+ABS(5-$J27)*1000+90)+'計算A'!DD$5*50+IF(AND($E27=1,MQ27=0),25,0),IF($F27&gt;0,INDEX('計算A'!DD$110:DD$114,$F27+1)+IF(AND($E27=1,MQ27=0),1000,0),MIN(TY27,20)*400+(IF('計算A'!DC$106=1,1-HA27,0)+IF('計算A'!DD$106=1,1-HC27,0))*150+95+'計算A'!DD$5*100000+IF(AND($E27=1,MQ27=0),50000,0))+IF($H27=1,(IF('計算A'!DC$117=1,INDEX('計算A'!DC$10:DC$54,$B27),0)+IF('計算A'!DD$117=1,INDEX('計算A'!DE$10:DE$54,$B27),0))*4000,0)-IF(AND('計算A'!DC$117=1,YA27&gt;0),2000,0)-IF(AND($L27=1,'計算A'!DD$117=1,HC27=0),2000,0))),1000000))</f>
        <v/>
      </c>
      <c r="SG27">
        <f>IF($B27=0,1000000,IF(INDEX('計算A'!$D$60:$EQ$104,$B27,106)*HC27=1,IF(AND($E27=2,MR27=0),1000000,IF($I27&gt;0,IF(5=$J27,IF(OR(AND(106=$I27+1,OR($K27&lt;&gt;'計算A'!$A$3,'計算A'!$A$4=0)),AND(106=$I27-1,OR(10&lt;&gt;'計算A'!$A$3,'計算A'!$A$4=0))),0,IF(10=$K27,200000,ABS(10-$K27)*100)),100000+ABS(5-$J27)*1000+100)+'計算A'!DE$5*50+IF(AND($E27=1,MR27=0),25,0),IF($F27&gt;0,INDEX('計算A'!DE$110:DE$114,$F27+1)+IF(AND($E27=1,MR27=0),1000,0),MIN(TY27,20)*400+(IF('計算A'!DD$106=1,1-HB27,0)+IF('計算A'!DE$106=1,1-HD27,0))*150+105+'計算A'!DE$5*100000+IF(AND($E27=1,MR27=0),50000,0))+IF($H27=1,(IF('計算A'!DD$117=1,INDEX('計算A'!DD$10:DD$54,$B27),0)+IF('計算A'!DE$117=1,INDEX('計算A'!DF$10:DF$54,$B27),0))*4000,0)-IF(AND('計算A'!DD$117=1,YB27&gt;0),2000,0)-IF(AND($L27=1,'計算A'!DE$117=1,HD27=0),2000,0))),1000000))</f>
        <v/>
      </c>
      <c r="SH27">
        <f>IF($B27=0,1000000,IF(INDEX('計算A'!$D$60:$EQ$104,$B27,107)*HD27=1,IF(AND($E27=2,MS27=0),1000000,IF($I27&gt;0,IF(5=$J27,IF(OR(AND(107=$I27+1,OR($K27&lt;&gt;'計算A'!$A$3,'計算A'!$A$4=0)),AND(107=$I27-1,OR(11&lt;&gt;'計算A'!$A$3,'計算A'!$A$4=0))),0,IF(11=$K27,200000,ABS(11-$K27)*100)),100000+ABS(5-$J27)*1000+110)+'計算A'!DF$5*50+IF(AND($E27=1,MS27=0),25,0),IF($F27&gt;0,INDEX('計算A'!DF$110:DF$114,$F27+1)+IF(AND($E27=1,MS27=0),1000,0),MIN(TY27,20)*400+(IF('計算A'!DE$106=1,1-HC27,0)+IF('計算A'!DF$106=1,1-HE27,0))*150+115+'計算A'!DF$5*100000+IF(AND($E27=1,MS27=0),50000,0))+IF($H27=1,(IF('計算A'!DE$117=1,INDEX('計算A'!DE$10:DE$54,$B27),0)+IF('計算A'!DF$117=1,INDEX('計算A'!DG$10:DG$54,$B27),0))*4000,0)-IF(AND('計算A'!DE$117=1,YC27&gt;0),2000,0)-IF(AND($L27=1,'計算A'!DF$117=1,HE27=0),2000,0))),1000000))</f>
        <v/>
      </c>
      <c r="SI27">
        <f>IF($B27=0,1000000,IF(INDEX('計算A'!$D$60:$EQ$104,$B27,108)*HE27=1,IF(AND($E27=2,MT27=0),1000000,IF($I27&gt;0,IF(5=$J27,IF(OR(AND(108=$I27+1,OR($K27&lt;&gt;'計算A'!$A$3,'計算A'!$A$4=0)),AND(108=$I27-1,OR(12&lt;&gt;'計算A'!$A$3,'計算A'!$A$4=0))),0,IF(12=$K27,200000,ABS(12-$K27)*100)),100000+ABS(5-$J27)*1000+120)+'計算A'!DG$5*50+IF(AND($E27=1,MT27=0),25,0),IF($F27&gt;0,INDEX('計算A'!DG$110:DG$114,$F27+1)+IF(AND($E27=1,MT27=0),1000,0),MIN(TY27,20)*400+(IF('計算A'!DF$106=1,1-HD27,0)+IF('計算A'!DG$106=1,1-HF27,0))*150+125+'計算A'!DG$5*100000+IF(AND($E27=1,MT27=0),50000,0))+IF($H27=1,(IF('計算A'!DF$117=1,INDEX('計算A'!DF$10:DF$54,$B27),0)+IF('計算A'!DG$117=1,INDEX('計算A'!DH$10:DH$54,$B27),0))*4000,0)-IF(AND('計算A'!DF$117=1,YD27&gt;0),2000,0)-IF(AND($L27=1,'計算A'!DG$117=1,HF27=0),2000,0))),1000000))</f>
        <v/>
      </c>
      <c r="SJ27">
        <f>IF($B27=0,1000000,IF(INDEX('計算A'!$D$60:$EQ$104,$B27,109)*HF27=1,IF(AND($E27=2,MU27=0),1000000,IF($I27&gt;0,IF(5=$J27,IF(OR(AND(109=$I27+1,OR($K27&lt;&gt;'計算A'!$A$3,'計算A'!$A$4=0)),AND(109=$I27-1,OR(13&lt;&gt;'計算A'!$A$3,'計算A'!$A$4=0))),0,IF(13=$K27,200000,ABS(13-$K27)*100)),100000+ABS(5-$J27)*1000+130)+'計算A'!DH$5*50+IF(AND($E27=1,MU27=0),25,0),IF($F27&gt;0,INDEX('計算A'!DH$110:DH$114,$F27+1)+IF(AND($E27=1,MU27=0),1000,0),MIN(TY27,20)*400+(IF('計算A'!DG$106=1,1-HE27,0)+IF('計算A'!DH$106=1,1-HG27,0))*150+135+'計算A'!DH$5*100000+IF(AND($E27=1,MU27=0),50000,0))+IF($H27=1,(IF('計算A'!DG$117=1,INDEX('計算A'!DG$10:DG$54,$B27),0)+IF('計算A'!DH$117=1,INDEX('計算A'!DI$10:DI$54,$B27),0))*4000,0)-IF(AND('計算A'!DG$117=1,YE27&gt;0),2000,0)-IF(AND($L27=1,'計算A'!DH$117=1,HG27=0),2000,0))),1000000))</f>
        <v/>
      </c>
      <c r="SK27">
        <f>IF($B27=0,1000000,IF(INDEX('計算A'!$D$60:$EQ$104,$B27,110)*HG27=1,IF(AND($E27=2,MV27=0),1000000,IF($I27&gt;0,IF(5=$J27,IF(OR(AND(110=$I27+1,OR($K27&lt;&gt;'計算A'!$A$3,'計算A'!$A$4=0)),AND(110=$I27-1,OR(14&lt;&gt;'計算A'!$A$3,'計算A'!$A$4=0))),0,IF(14=$K27,200000,ABS(14-$K27)*100)),100000+ABS(5-$J27)*1000+140)+'計算A'!DI$5*50+IF(AND($E27=1,MV27=0),25,0),IF($F27&gt;0,INDEX('計算A'!DI$110:DI$114,$F27+1)+IF(AND($E27=1,MV27=0),1000,0),MIN(TY27,20)*400+(IF('計算A'!DH$106=1,1-HF27,0)+IF('計算A'!DI$106=1,1-HH27,0))*150+145+'計算A'!DI$5*100000+IF(AND($E27=1,MV27=0),50000,0))+IF($H27=1,(IF('計算A'!DH$117=1,INDEX('計算A'!DH$10:DH$54,$B27),0)+IF('計算A'!DI$117=1,INDEX('計算A'!DJ$10:DJ$54,$B27),0))*4000,0)-IF(AND('計算A'!DH$117=1,YF27&gt;0),2000,0)-IF(AND($L27=1,'計算A'!DI$117=1,HH27=0),2000,0))),1000000))</f>
        <v/>
      </c>
      <c r="SL27">
        <f>IF($B27=0,1000000,IF(INDEX('計算A'!$D$60:$EQ$104,$B27,111)*HH27=1,IF(AND($E27=2,MW27=0),1000000,IF($I27&gt;0,IF(5=$J27,IF(OR(AND(111=$I27+1,OR($K27&lt;&gt;'計算A'!$A$3,'計算A'!$A$4=0)),AND(111=$I27-1,OR(15&lt;&gt;'計算A'!$A$3,'計算A'!$A$4=0))),0,IF(15=$K27,200000,ABS(15-$K27)*100)),100000+ABS(5-$J27)*1000+150)+'計算A'!DJ$5*50+IF(AND($E27=1,MW27=0),25,0),IF($F27&gt;0,INDEX('計算A'!DJ$110:DJ$114,$F27+1)+IF(AND($E27=1,MW27=0),1000,0),MIN(TY27,20)*400+(IF('計算A'!DI$106=1,1-HG27,0)+IF('計算A'!DJ$106=1,1-HI27,0))*150+155+'計算A'!DJ$5*100000+IF(AND($E27=1,MW27=0),50000,0))+IF($H27=1,(IF('計算A'!DI$117=1,INDEX('計算A'!DI$10:DI$54,$B27),0)+IF('計算A'!DJ$117=1,INDEX('計算A'!DK$10:DK$54,$B27),0))*4000,0)-IF(AND('計算A'!DI$117=1,YG27&gt;0),2000,0)-IF(AND($L27=1,'計算A'!DJ$117=1,HI27=0),2000,0))),1000000))</f>
        <v/>
      </c>
      <c r="SM27">
        <f>IF($B27=0,1000000,IF(INDEX('計算A'!$D$60:$EQ$104,$B27,112)*HI27=1,IF(AND($E27=2,MX27=0),1000000,IF($I27&gt;0,IF(5=$J27,IF(OR(AND(112=$I27+1,OR($K27&lt;&gt;'計算A'!$A$3,'計算A'!$A$4=0)),AND(112=$I27-1,OR(16&lt;&gt;'計算A'!$A$3,'計算A'!$A$4=0))),0,IF(16=$K27,200000,ABS(16-$K27)*100)),100000+ABS(5-$J27)*1000+160)+'計算A'!DK$5*50+IF(AND($E27=1,MX27=0),25,0),IF($F27&gt;0,INDEX('計算A'!DK$110:DK$114,$F27+1)+IF(AND($E27=1,MX27=0),1000,0),MIN(TY27,20)*400+(IF('計算A'!DJ$106=1,1-HH27,0)+IF('計算A'!DK$106=1,1-HJ27,0))*150+165+'計算A'!DK$5*100000+IF(AND($E27=1,MX27=0),50000,0))+IF($H27=1,(IF('計算A'!DJ$117=1,INDEX('計算A'!DJ$10:DJ$54,$B27),0)+IF('計算A'!DK$117=1,INDEX('計算A'!DL$10:DL$54,$B27),0))*4000,0)-IF(AND('計算A'!DJ$117=1,YH27&gt;0),2000,0)-IF(AND($L27=1,'計算A'!DK$117=1,HJ27=0),2000,0))),1000000))</f>
        <v/>
      </c>
      <c r="SN27">
        <f>IF($B27=0,1000000,IF(INDEX('計算A'!$D$60:$EQ$104,$B27,113)*HJ27=1,IF(AND($E27=2,MY27=0),1000000,IF($I27&gt;0,IF(5=$J27,IF(OR(AND(113=$I27+1,OR($K27&lt;&gt;'計算A'!$A$3,'計算A'!$A$4=0)),AND(113=$I27-1,OR(17&lt;&gt;'計算A'!$A$3,'計算A'!$A$4=0))),0,IF(17=$K27,200000,ABS(17-$K27)*100)),100000+ABS(5-$J27)*1000+170)+'計算A'!DL$5*50+IF(AND($E27=1,MY27=0),25,0),IF($F27&gt;0,INDEX('計算A'!DL$110:DL$114,$F27+1)+IF(AND($E27=1,MY27=0),1000,0),MIN(TY27,20)*400+(IF('計算A'!DK$106=1,1-HI27,0)+IF('計算A'!DL$106=1,1-HK27,0))*150+175+'計算A'!DL$5*100000+IF(AND($E27=1,MY27=0),50000,0))+IF($H27=1,(IF('計算A'!DK$117=1,INDEX('計算A'!DK$10:DK$54,$B27),0)+IF('計算A'!DL$117=1,INDEX('計算A'!DM$10:DM$54,$B27),0))*4000,0)-IF(AND('計算A'!DK$117=1,YI27&gt;0),2000,0)-IF(AND($L27=1,'計算A'!DL$117=1,HK27=0),2000,0))),1000000))</f>
        <v/>
      </c>
      <c r="SO27">
        <f>IF($B27=0,1000000,IF(INDEX('計算A'!$D$60:$EQ$104,$B27,114)*HK27=1,IF(AND($E27=2,MZ27=0),1000000,IF($I27&gt;0,IF(5=$J27,IF(OR(AND(114=$I27+1,OR($K27&lt;&gt;'計算A'!$A$3,'計算A'!$A$4=0)),AND(114=$I27-1,OR(18&lt;&gt;'計算A'!$A$3,'計算A'!$A$4=0))),0,IF(18=$K27,200000,ABS(18-$K27)*100)),100000+ABS(5-$J27)*1000+180)+'計算A'!DM$5*50+IF(AND($E27=1,MZ27=0),25,0),IF($F27&gt;0,INDEX('計算A'!DM$110:DM$114,$F27+1)+IF(AND($E27=1,MZ27=0),1000,0),MIN(TY27,20)*400+(IF('計算A'!DL$106=1,1-HJ27,0)+IF('計算A'!DM$106=1,1-HL27,0))*150+185+'計算A'!DM$5*100000+IF(AND($E27=1,MZ27=0),50000,0))+IF($H27=1,(IF('計算A'!DL$117=1,INDEX('計算A'!DL$10:DL$54,$B27),0)+IF('計算A'!DM$117=1,INDEX('計算A'!DN$10:DN$54,$B27),0))*4000,0)-IF(AND('計算A'!DL$117=1,YJ27&gt;0),2000,0)-IF(AND($L27=1,'計算A'!DM$117=1,HL27=0),2000,0))),1000000))</f>
        <v/>
      </c>
      <c r="SP27">
        <f>IF($B27=0,1000000,IF(INDEX('計算A'!$D$60:$EQ$104,$B27,115)*HL27=1,IF(AND($E27=2,NA27=0),1000000,IF($I27&gt;0,IF(5=$J27,IF(OR(AND(115=$I27+1,OR($K27&lt;&gt;'計算A'!$A$3,'計算A'!$A$4=0)),AND(115=$I27-1,OR(19&lt;&gt;'計算A'!$A$3,'計算A'!$A$4=0))),0,IF(19=$K27,200000,ABS(19-$K27)*100)),100000+ABS(5-$J27)*1000+190)+'計算A'!DN$5*50+IF(AND($E27=1,NA27=0),25,0),IF($F27&gt;0,INDEX('計算A'!DN$110:DN$114,$F27+1)+IF(AND($E27=1,NA27=0),1000,0),MIN(TY27,20)*400+(IF('計算A'!DM$106=1,1-HK27,0)+IF('計算A'!DN$106=1,1-HM27,0))*150+195+'計算A'!DN$5*100000+IF(AND($E27=1,NA27=0),50000,0))+IF($H27=1,(IF('計算A'!DM$117=1,INDEX('計算A'!DM$10:DM$54,$B27),0)+IF('計算A'!DN$117=1,INDEX('計算A'!DO$10:DO$54,$B27),0))*4000,0)-IF(AND('計算A'!DM$117=1,YK27&gt;0),2000,0)-IF(AND($L27=1,'計算A'!DN$117=1,HM27=0),2000,0))),1000000))</f>
        <v/>
      </c>
      <c r="SQ27">
        <f>IF($B27=0,1000000,IF(INDEX('計算A'!$D$60:$EQ$104,$B27,116)*HM27=1,IF(AND($E27=2,NB27=0),1000000,IF($I27&gt;0,IF(5=$J27,IF(OR(AND(116=$I27+1,OR($K27&lt;&gt;'計算A'!$A$3,'計算A'!$A$4=0)),AND(116=$I27-1,OR(20&lt;&gt;'計算A'!$A$3,'計算A'!$A$4=0))),0,IF(20=$K27,200000,ABS(20-$K27)*100)),100000+ABS(5-$J27)*1000+200)+'計算A'!DO$5*50+IF(AND($E27=1,NB27=0),25,0),IF($F27&gt;0,INDEX('計算A'!DO$110:DO$114,$F27+1)+IF(AND($E27=1,NB27=0),1000,0),MIN(TY27,20)*400+(IF('計算A'!DN$106=1,1-HL27,0)+IF('計算A'!DO$106=1,1-HN27,0))*150+205+'計算A'!DO$5*100000+IF(AND($E27=1,NB27=0),50000,0))+IF($H27=1,(IF('計算A'!DN$117=1,INDEX('計算A'!DN$10:DN$54,$B27),0)+IF('計算A'!DO$117=1,INDEX('計算A'!DP$10:DP$54,$B27),0))*4000,0)-IF(AND('計算A'!DN$117=1,YL27&gt;0),2000,0)-IF(AND($L27=1,'計算A'!DO$117=1,HN27=0),2000,0))),1000000))</f>
        <v/>
      </c>
      <c r="SR27">
        <f>IF($B27=0,1000000,IF(INDEX('計算A'!$D$60:$EQ$104,$B27,117)*HN27=1,IF(AND($E27=2,NC27=0),1000000,IF($I27&gt;0,IF(5=$J27,IF(OR(AND(117=$I27+1,OR($K27&lt;&gt;'計算A'!$A$3,'計算A'!$A$4=0)),AND(117=$I27-1,OR(21&lt;&gt;'計算A'!$A$3,'計算A'!$A$4=0))),0,IF(21=$K27,200000,ABS(21-$K27)*100)),100000+ABS(5-$J27)*1000+210)+'計算A'!DP$5*50+IF(AND($E27=1,NC27=0),25,0),IF($F27&gt;0,INDEX('計算A'!DP$110:DP$114,$F27+1)+IF(AND($E27=1,NC27=0),1000,0),MIN(TY27,20)*400+(IF('計算A'!DO$106=1,1-HM27,0)+IF('計算A'!DP$106=1,1-HO27,0))*150+215+'計算A'!DP$5*100000+IF(AND($E27=1,NC27=0),50000,0))+IF($H27=1,(IF('計算A'!DO$117=1,INDEX('計算A'!DO$10:DO$54,$B27),0)+IF('計算A'!DP$117=1,INDEX('計算A'!DQ$10:DQ$54,$B27),0))*4000,0)-IF(AND('計算A'!DO$117=1,YM27&gt;0),2000,0)-IF(AND($L27=1,'計算A'!DP$117=1,HO27=0),2000,0))),1000000))</f>
        <v/>
      </c>
      <c r="SS27">
        <f>IF($B27=0,1000000,IF(INDEX('計算A'!$D$60:$EQ$104,$B27,118)*HO27=1,IF(AND($E27=2,ND27=0),1000000,IF($I27&gt;0,IF(5=$J27,IF(OR(AND(118=$I27+1,OR($K27&lt;&gt;'計算A'!$A$3,'計算A'!$A$4=0)),AND(118=$I27-1,OR(22&lt;&gt;'計算A'!$A$3,'計算A'!$A$4=0))),0,IF(22=$K27,200000,ABS(22-$K27)*100)),100000+ABS(5-$J27)*1000+220)+'計算A'!DQ$5*50+IF(AND($E27=1,ND27=0),25,0),IF($F27&gt;0,INDEX('計算A'!DQ$110:DQ$114,$F27+1)+IF(AND($E27=1,ND27=0),1000,0),MIN(TY27,20)*400+(IF('計算A'!DP$106=1,1-HN27,0)+IF('計算A'!DQ$106=1,1-HP27,0))*150+225+'計算A'!DQ$5*100000+IF(AND($E27=1,ND27=0),50000,0))+IF($H27=1,(IF('計算A'!DP$117=1,INDEX('計算A'!DP$10:DP$54,$B27),0)+IF('計算A'!DQ$117=1,INDEX('計算A'!DR$10:DR$54,$B27),0))*4000,0)-IF(AND('計算A'!DP$117=1,YN27&gt;0),2000,0)-IF(AND($L27=1,'計算A'!DQ$117=1,HP27=0),2000,0))),1000000))</f>
        <v/>
      </c>
      <c r="ST27">
        <f>IF($B27=0,1000000,IF(INDEX('計算A'!$D$60:$EQ$104,$B27,119)*HP27=1,IF(AND($E27=2,NE27=0),1000000,IF($I27&gt;0,IF(5=$J27,IF(OR(AND(119=$I27+1,OR($K27&lt;&gt;'計算A'!$A$3,'計算A'!$A$4=0)),AND(119=$I27-1,OR(23&lt;&gt;'計算A'!$A$3,'計算A'!$A$4=0))),0,IF(23=$K27,200000,ABS(23-$K27)*100)),100000+ABS(5-$J27)*1000+230)+'計算A'!DR$5*50+IF(AND($E27=1,NE27=0),25,0),IF($F27&gt;0,INDEX('計算A'!DR$110:DR$114,$F27+1)+IF(AND($E27=1,NE27=0),1000,0),MIN(TY27,20)*400+(IF('計算A'!DQ$106=1,1-HO27,0)+IF('計算A'!DR$106=1,1-HQ27,0))*150+235+'計算A'!DR$5*100000+IF(AND($E27=1,NE27=0),50000,0))+IF($H27=1,(IF('計算A'!DQ$117=1,INDEX('計算A'!DQ$10:DQ$54,$B27),0)+IF('計算A'!DR$117=1,INDEX('計算A'!DS$10:DS$54,$B27),0))*4000,0)-IF(AND('計算A'!DQ$117=1,YO27&gt;0),2000,0)-IF(AND($L27=1,'計算A'!DR$117=1,HQ27=0),2000,0))),1000000))</f>
        <v/>
      </c>
      <c r="SU27">
        <f>IF($B27=0,1000000,IF(INDEX('計算A'!$D$60:$EQ$104,$B27,120)*HQ27=1,IF(AND($E27=2,NF27=0),1000000,IF($I27&gt;0,IF(5=$J27,IF(OR(AND(120=$I27+1,OR($K27&lt;&gt;'計算A'!$A$3,'計算A'!$A$4=0)),AND(120=$I27-1,OR(24&lt;&gt;'計算A'!$A$3,'計算A'!$A$4=0))),0,IF(24=$K27,200000,ABS(24-$K27)*100)),100000+ABS(5-$J27)*1000+240)+'計算A'!DS$5*50+IF(AND($E27=1,NF27=0),25,0),IF($F27&gt;0,INDEX('計算A'!DS$110:DS$114,$F27+1)+IF(AND($E27=1,NF27=0),1000,0),MIN(TY27,20)*400+(IF('計算A'!DR$106=1,1-HP27,0))*150+245+'計算A'!DS$5*100000+IF(AND($E27=1,NF27=0),50000,0))+IF($H27=1,(IF('計算A'!DR$117=1,INDEX('計算A'!DR$10:DR$54,$B27),0))*4000,0)-IF(AND('計算A'!DR$117=1,YP27&gt;0),2000,0))),1000000))</f>
        <v/>
      </c>
      <c r="SV27">
        <f>IF($B27=0,1000000,IF(INDEX('計算A'!$D$60:$EQ$104,$B27,121)*HR27=1,IF(AND($E27=2,NG27=0),1000000,IF($I27&gt;0,IF(6=$J27,IF(OR(AND(121=$I27+1,OR($K27&lt;&gt;'計算A'!$A$3,'計算A'!$A$4=0)),AND(121=$I27-1,OR(1&lt;&gt;'計算A'!$A$3,'計算A'!$A$4=0))),0,IF(1=$K27,200000,ABS(1-$K27)*100)),100000+ABS(6-$J27)*1000+10)+'計算A'!DT$5*50+IF(AND($E27=1,NG27=0),25,0),IF($F27&gt;0,INDEX('計算A'!DT$110:DT$114,$F27+1)+IF(AND($E27=1,NG27=0),1000,0),MIN(TZ27,20)*400+(IF('計算A'!DT$106=1,1-HS27,0))*150+16+'計算A'!DT$5*100000+IF(AND($E27=1,NG27=0),50000,0))+IF($H27=1,(IF('計算A'!DT$117=1,INDEX('計算A'!DU$10:DU$54,$B27),0))*4000,0)-IF(AND($L27=1,'計算A'!DT$117=1,HS27=0),2000,0))),1000000))</f>
        <v/>
      </c>
      <c r="SW27">
        <f>IF($B27=0,1000000,IF(INDEX('計算A'!$D$60:$EQ$104,$B27,122)*HS27=1,IF(AND($E27=2,NH27=0),1000000,IF($I27&gt;0,IF(6=$J27,IF(OR(AND(122=$I27+1,OR($K27&lt;&gt;'計算A'!$A$3,'計算A'!$A$4=0)),AND(122=$I27-1,OR(2&lt;&gt;'計算A'!$A$3,'計算A'!$A$4=0))),0,IF(2=$K27,200000,ABS(2-$K27)*100)),100000+ABS(6-$J27)*1000+20)+'計算A'!DU$5*50+IF(AND($E27=1,NH27=0),25,0),IF($F27&gt;0,INDEX('計算A'!DU$110:DU$114,$F27+1)+IF(AND($E27=1,NH27=0),1000,0),MIN(TZ27,20)*400+(IF('計算A'!DT$106=1,1-HR27,0)+IF('計算A'!DU$106=1,1-HT27,0))*150+26+'計算A'!DU$5*100000+IF(AND($E27=1,NH27=0),50000,0))+IF($H27=1,(IF('計算A'!DT$117=1,INDEX('計算A'!DT$10:DT$54,$B27),0)+IF('計算A'!DU$117=1,INDEX('計算A'!DV$10:DV$54,$B27),0))*4000,0)-IF(AND('計算A'!DT$117=1,YR27&gt;0),2000,0)-IF(AND($L27=1,'計算A'!DU$117=1,HT27=0),2000,0))),1000000))</f>
        <v/>
      </c>
      <c r="SX27">
        <f>IF($B27=0,1000000,IF(INDEX('計算A'!$D$60:$EQ$104,$B27,123)*HT27=1,IF(AND($E27=2,NI27=0),1000000,IF($I27&gt;0,IF(6=$J27,IF(OR(AND(123=$I27+1,OR($K27&lt;&gt;'計算A'!$A$3,'計算A'!$A$4=0)),AND(123=$I27-1,OR(3&lt;&gt;'計算A'!$A$3,'計算A'!$A$4=0))),0,IF(3=$K27,200000,ABS(3-$K27)*100)),100000+ABS(6-$J27)*1000+30)+'計算A'!DV$5*50+IF(AND($E27=1,NI27=0),25,0),IF($F27&gt;0,INDEX('計算A'!DV$110:DV$114,$F27+1)+IF(AND($E27=1,NI27=0),1000,0),MIN(TZ27,20)*400+(IF('計算A'!DU$106=1,1-HS27,0)+IF('計算A'!DV$106=1,1-HU27,0))*150+36+'計算A'!DV$5*100000+IF(AND($E27=1,NI27=0),50000,0))+IF($H27=1,(IF('計算A'!DU$117=1,INDEX('計算A'!DU$10:DU$54,$B27),0)+IF('計算A'!DV$117=1,INDEX('計算A'!DW$10:DW$54,$B27),0))*4000,0)-IF(AND('計算A'!DU$117=1,YS27&gt;0),2000,0)-IF(AND($L27=1,'計算A'!DV$117=1,HU27=0),2000,0))),1000000))</f>
        <v/>
      </c>
      <c r="SY27">
        <f>IF($B27=0,1000000,IF(INDEX('計算A'!$D$60:$EQ$104,$B27,124)*HU27=1,IF(AND($E27=2,NJ27=0),1000000,IF($I27&gt;0,IF(6=$J27,IF(OR(AND(124=$I27+1,OR($K27&lt;&gt;'計算A'!$A$3,'計算A'!$A$4=0)),AND(124=$I27-1,OR(4&lt;&gt;'計算A'!$A$3,'計算A'!$A$4=0))),0,IF(4=$K27,200000,ABS(4-$K27)*100)),100000+ABS(6-$J27)*1000+40)+'計算A'!DW$5*50+IF(AND($E27=1,NJ27=0),25,0),IF($F27&gt;0,INDEX('計算A'!DW$110:DW$114,$F27+1)+IF(AND($E27=1,NJ27=0),1000,0),MIN(TZ27,20)*400+(IF('計算A'!DV$106=1,1-HT27,0)+IF('計算A'!DW$106=1,1-HV27,0))*150+46+'計算A'!DW$5*100000+IF(AND($E27=1,NJ27=0),50000,0))+IF($H27=1,(IF('計算A'!DV$117=1,INDEX('計算A'!DV$10:DV$54,$B27),0)+IF('計算A'!DW$117=1,INDEX('計算A'!DX$10:DX$54,$B27),0))*4000,0)-IF(AND('計算A'!DV$117=1,YT27&gt;0),2000,0)-IF(AND($L27=1,'計算A'!DW$117=1,HV27=0),2000,0))),1000000))</f>
        <v/>
      </c>
      <c r="SZ27">
        <f>IF($B27=0,1000000,IF(INDEX('計算A'!$D$60:$EQ$104,$B27,125)*HV27=1,IF(AND($E27=2,NK27=0),1000000,IF($I27&gt;0,IF(6=$J27,IF(OR(AND(125=$I27+1,OR($K27&lt;&gt;'計算A'!$A$3,'計算A'!$A$4=0)),AND(125=$I27-1,OR(5&lt;&gt;'計算A'!$A$3,'計算A'!$A$4=0))),0,IF(5=$K27,200000,ABS(5-$K27)*100)),100000+ABS(6-$J27)*1000+50)+'計算A'!DX$5*50+IF(AND($E27=1,NK27=0),25,0),IF($F27&gt;0,INDEX('計算A'!DX$110:DX$114,$F27+1)+IF(AND($E27=1,NK27=0),1000,0),MIN(TZ27,20)*400+(IF('計算A'!DW$106=1,1-HU27,0)+IF('計算A'!DX$106=1,1-HW27,0))*150+56+'計算A'!DX$5*100000+IF(AND($E27=1,NK27=0),50000,0))+IF($H27=1,(IF('計算A'!DW$117=1,INDEX('計算A'!DW$10:DW$54,$B27),0)+IF('計算A'!DX$117=1,INDEX('計算A'!DY$10:DY$54,$B27),0))*4000,0)-IF(AND('計算A'!DW$117=1,YU27&gt;0),2000,0)-IF(AND($L27=1,'計算A'!DX$117=1,HW27=0),2000,0))),1000000))</f>
        <v/>
      </c>
      <c r="TA27">
        <f>IF($B27=0,1000000,IF(INDEX('計算A'!$D$60:$EQ$104,$B27,126)*HW27=1,IF(AND($E27=2,NL27=0),1000000,IF($I27&gt;0,IF(6=$J27,IF(OR(AND(126=$I27+1,OR($K27&lt;&gt;'計算A'!$A$3,'計算A'!$A$4=0)),AND(126=$I27-1,OR(6&lt;&gt;'計算A'!$A$3,'計算A'!$A$4=0))),0,IF(6=$K27,200000,ABS(6-$K27)*100)),100000+ABS(6-$J27)*1000+60)+'計算A'!DY$5*50+IF(AND($E27=1,NL27=0),25,0),IF($F27&gt;0,INDEX('計算A'!DY$110:DY$114,$F27+1)+IF(AND($E27=1,NL27=0),1000,0),MIN(TZ27,20)*400+(IF('計算A'!DX$106=1,1-HV27,0)+IF('計算A'!DY$106=1,1-HX27,0))*150+66+'計算A'!DY$5*100000+IF(AND($E27=1,NL27=0),50000,0))+IF($H27=1,(IF('計算A'!DX$117=1,INDEX('計算A'!DX$10:DX$54,$B27),0)+IF('計算A'!DY$117=1,INDEX('計算A'!DZ$10:DZ$54,$B27),0))*4000,0)-IF(AND('計算A'!DX$117=1,YV27&gt;0),2000,0)-IF(AND($L27=1,'計算A'!DY$117=1,HX27=0),2000,0))),1000000))</f>
        <v/>
      </c>
      <c r="TB27">
        <f>IF($B27=0,1000000,IF(INDEX('計算A'!$D$60:$EQ$104,$B27,127)*HX27=1,IF(AND($E27=2,NM27=0),1000000,IF($I27&gt;0,IF(6=$J27,IF(OR(AND(127=$I27+1,OR($K27&lt;&gt;'計算A'!$A$3,'計算A'!$A$4=0)),AND(127=$I27-1,OR(7&lt;&gt;'計算A'!$A$3,'計算A'!$A$4=0))),0,IF(7=$K27,200000,ABS(7-$K27)*100)),100000+ABS(6-$J27)*1000+70)+'計算A'!DZ$5*50+IF(AND($E27=1,NM27=0),25,0),IF($F27&gt;0,INDEX('計算A'!DZ$110:DZ$114,$F27+1)+IF(AND($E27=1,NM27=0),1000,0),MIN(TZ27,20)*400+(IF('計算A'!DY$106=1,1-HW27,0)+IF('計算A'!DZ$106=1,1-HY27,0))*150+76+'計算A'!DZ$5*100000+IF(AND($E27=1,NM27=0),50000,0))+IF($H27=1,(IF('計算A'!DY$117=1,INDEX('計算A'!DY$10:DY$54,$B27),0)+IF('計算A'!DZ$117=1,INDEX('計算A'!EA$10:EA$54,$B27),0))*4000,0)-IF(AND('計算A'!DY$117=1,YW27&gt;0),2000,0)-IF(AND($L27=1,'計算A'!DZ$117=1,HY27=0),2000,0))),1000000))</f>
        <v/>
      </c>
      <c r="TC27">
        <f>IF($B27=0,1000000,IF(INDEX('計算A'!$D$60:$EQ$104,$B27,128)*HY27=1,IF(AND($E27=2,NN27=0),1000000,IF($I27&gt;0,IF(6=$J27,IF(OR(AND(128=$I27+1,OR($K27&lt;&gt;'計算A'!$A$3,'計算A'!$A$4=0)),AND(128=$I27-1,OR(8&lt;&gt;'計算A'!$A$3,'計算A'!$A$4=0))),0,IF(8=$K27,200000,ABS(8-$K27)*100)),100000+ABS(6-$J27)*1000+80)+'計算A'!EA$5*50+IF(AND($E27=1,NN27=0),25,0),IF($F27&gt;0,INDEX('計算A'!EA$110:EA$114,$F27+1)+IF(AND($E27=1,NN27=0),1000,0),MIN(TZ27,20)*400+(IF('計算A'!DZ$106=1,1-HX27,0)+IF('計算A'!EA$106=1,1-HZ27,0))*150+86+'計算A'!EA$5*100000+IF(AND($E27=1,NN27=0),50000,0))+IF($H27=1,(IF('計算A'!DZ$117=1,INDEX('計算A'!DZ$10:DZ$54,$B27),0)+IF('計算A'!EA$117=1,INDEX('計算A'!EB$10:EB$54,$B27),0))*4000,0)-IF(AND('計算A'!DZ$117=1,YX27&gt;0),2000,0)-IF(AND($L27=1,'計算A'!EA$117=1,HZ27=0),2000,0))),1000000))</f>
        <v/>
      </c>
      <c r="TD27">
        <f>IF($B27=0,1000000,IF(INDEX('計算A'!$D$60:$EQ$104,$B27,129)*HZ27=1,IF(AND($E27=2,NO27=0),1000000,IF($I27&gt;0,IF(6=$J27,IF(OR(AND(129=$I27+1,OR($K27&lt;&gt;'計算A'!$A$3,'計算A'!$A$4=0)),AND(129=$I27-1,OR(9&lt;&gt;'計算A'!$A$3,'計算A'!$A$4=0))),0,IF(9=$K27,200000,ABS(9-$K27)*100)),100000+ABS(6-$J27)*1000+90)+'計算A'!EB$5*50+IF(AND($E27=1,NO27=0),25,0),IF($F27&gt;0,INDEX('計算A'!EB$110:EB$114,$F27+1)+IF(AND($E27=1,NO27=0),1000,0),MIN(TZ27,20)*400+(IF('計算A'!EA$106=1,1-HY27,0)+IF('計算A'!EB$106=1,1-IA27,0))*150+96+'計算A'!EB$5*100000+IF(AND($E27=1,NO27=0),50000,0))+IF($H27=1,(IF('計算A'!EA$117=1,INDEX('計算A'!EA$10:EA$54,$B27),0)+IF('計算A'!EB$117=1,INDEX('計算A'!EC$10:EC$54,$B27),0))*4000,0)-IF(AND('計算A'!EA$117=1,YY27&gt;0),2000,0)-IF(AND($L27=1,'計算A'!EB$117=1,IA27=0),2000,0))),1000000))</f>
        <v/>
      </c>
      <c r="TE27">
        <f>IF($B27=0,1000000,IF(INDEX('計算A'!$D$60:$EQ$104,$B27,130)*IA27=1,IF(AND($E27=2,NP27=0),1000000,IF($I27&gt;0,IF(6=$J27,IF(OR(AND(130=$I27+1,OR($K27&lt;&gt;'計算A'!$A$3,'計算A'!$A$4=0)),AND(130=$I27-1,OR(10&lt;&gt;'計算A'!$A$3,'計算A'!$A$4=0))),0,IF(10=$K27,200000,ABS(10-$K27)*100)),100000+ABS(6-$J27)*1000+100)+'計算A'!EC$5*50+IF(AND($E27=1,NP27=0),25,0),IF($F27&gt;0,INDEX('計算A'!EC$110:EC$114,$F27+1)+IF(AND($E27=1,NP27=0),1000,0),MIN(TZ27,20)*400+(IF('計算A'!EB$106=1,1-HZ27,0)+IF('計算A'!EC$106=1,1-IB27,0))*150+106+'計算A'!EC$5*100000+IF(AND($E27=1,NP27=0),50000,0))+IF($H27=1,(IF('計算A'!EB$117=1,INDEX('計算A'!EB$10:EB$54,$B27),0)+IF('計算A'!EC$117=1,INDEX('計算A'!ED$10:ED$54,$B27),0))*4000,0)-IF(AND('計算A'!EB$117=1,YZ27&gt;0),2000,0)-IF(AND($L27=1,'計算A'!EC$117=1,IB27=0),2000,0))),1000000))</f>
        <v/>
      </c>
      <c r="TF27">
        <f>IF($B27=0,1000000,IF(INDEX('計算A'!$D$60:$EQ$104,$B27,131)*IB27=1,IF(AND($E27=2,NQ27=0),1000000,IF($I27&gt;0,IF(6=$J27,IF(OR(AND(131=$I27+1,OR($K27&lt;&gt;'計算A'!$A$3,'計算A'!$A$4=0)),AND(131=$I27-1,OR(11&lt;&gt;'計算A'!$A$3,'計算A'!$A$4=0))),0,IF(11=$K27,200000,ABS(11-$K27)*100)),100000+ABS(6-$J27)*1000+110)+'計算A'!ED$5*50+IF(AND($E27=1,NQ27=0),25,0),IF($F27&gt;0,INDEX('計算A'!ED$110:ED$114,$F27+1)+IF(AND($E27=1,NQ27=0),1000,0),MIN(TZ27,20)*400+(IF('計算A'!EC$106=1,1-IA27,0)+IF('計算A'!ED$106=1,1-IC27,0))*150+116+'計算A'!ED$5*100000+IF(AND($E27=1,NQ27=0),50000,0))+IF($H27=1,(IF('計算A'!EC$117=1,INDEX('計算A'!EC$10:EC$54,$B27),0)+IF('計算A'!ED$117=1,INDEX('計算A'!EE$10:EE$54,$B27),0))*4000,0)-IF(AND('計算A'!EC$117=1,ZA27&gt;0),2000,0)-IF(AND($L27=1,'計算A'!ED$117=1,IC27=0),2000,0))),1000000))</f>
        <v/>
      </c>
      <c r="TG27">
        <f>IF($B27=0,1000000,IF(INDEX('計算A'!$D$60:$EQ$104,$B27,132)*IC27=1,IF(AND($E27=2,NR27=0),1000000,IF($I27&gt;0,IF(6=$J27,IF(OR(AND(132=$I27+1,OR($K27&lt;&gt;'計算A'!$A$3,'計算A'!$A$4=0)),AND(132=$I27-1,OR(12&lt;&gt;'計算A'!$A$3,'計算A'!$A$4=0))),0,IF(12=$K27,200000,ABS(12-$K27)*100)),100000+ABS(6-$J27)*1000+120)+'計算A'!EE$5*50+IF(AND($E27=1,NR27=0),25,0),IF($F27&gt;0,INDEX('計算A'!EE$110:EE$114,$F27+1)+IF(AND($E27=1,NR27=0),1000,0),MIN(TZ27,20)*400+(IF('計算A'!ED$106=1,1-IB27,0)+IF('計算A'!EE$106=1,1-ID27,0))*150+126+'計算A'!EE$5*100000+IF(AND($E27=1,NR27=0),50000,0))+IF($H27=1,(IF('計算A'!ED$117=1,INDEX('計算A'!ED$10:ED$54,$B27),0)+IF('計算A'!EE$117=1,INDEX('計算A'!EF$10:EF$54,$B27),0))*4000,0)-IF(AND('計算A'!ED$117=1,ZB27&gt;0),2000,0)-IF(AND($L27=1,'計算A'!EE$117=1,ID27=0),2000,0))),1000000))</f>
        <v/>
      </c>
      <c r="TH27">
        <f>IF($B27=0,1000000,IF(INDEX('計算A'!$D$60:$EQ$104,$B27,133)*ID27=1,IF(AND($E27=2,NS27=0),1000000,IF($I27&gt;0,IF(6=$J27,IF(OR(AND(133=$I27+1,OR($K27&lt;&gt;'計算A'!$A$3,'計算A'!$A$4=0)),AND(133=$I27-1,OR(13&lt;&gt;'計算A'!$A$3,'計算A'!$A$4=0))),0,IF(13=$K27,200000,ABS(13-$K27)*100)),100000+ABS(6-$J27)*1000+130)+'計算A'!EF$5*50+IF(AND($E27=1,NS27=0),25,0),IF($F27&gt;0,INDEX('計算A'!EF$110:EF$114,$F27+1)+IF(AND($E27=1,NS27=0),1000,0),MIN(TZ27,20)*400+(IF('計算A'!EE$106=1,1-IC27,0)+IF('計算A'!EF$106=1,1-IE27,0))*150+136+'計算A'!EF$5*100000+IF(AND($E27=1,NS27=0),50000,0))+IF($H27=1,(IF('計算A'!EE$117=1,INDEX('計算A'!EE$10:EE$54,$B27),0)+IF('計算A'!EF$117=1,INDEX('計算A'!EG$10:EG$54,$B27),0))*4000,0)-IF(AND('計算A'!EE$117=1,ZC27&gt;0),2000,0)-IF(AND($L27=1,'計算A'!EF$117=1,IE27=0),2000,0))),1000000))</f>
        <v/>
      </c>
      <c r="TI27">
        <f>IF($B27=0,1000000,IF(INDEX('計算A'!$D$60:$EQ$104,$B27,134)*IE27=1,IF(AND($E27=2,NT27=0),1000000,IF($I27&gt;0,IF(6=$J27,IF(OR(AND(134=$I27+1,OR($K27&lt;&gt;'計算A'!$A$3,'計算A'!$A$4=0)),AND(134=$I27-1,OR(14&lt;&gt;'計算A'!$A$3,'計算A'!$A$4=0))),0,IF(14=$K27,200000,ABS(14-$K27)*100)),100000+ABS(6-$J27)*1000+140)+'計算A'!EG$5*50+IF(AND($E27=1,NT27=0),25,0),IF($F27&gt;0,INDEX('計算A'!EG$110:EG$114,$F27+1)+IF(AND($E27=1,NT27=0),1000,0),MIN(TZ27,20)*400+(IF('計算A'!EF$106=1,1-ID27,0)+IF('計算A'!EG$106=1,1-IF27,0))*150+146+'計算A'!EG$5*100000+IF(AND($E27=1,NT27=0),50000,0))+IF($H27=1,(IF('計算A'!EF$117=1,INDEX('計算A'!EF$10:EF$54,$B27),0)+IF('計算A'!EG$117=1,INDEX('計算A'!EH$10:EH$54,$B27),0))*4000,0)-IF(AND('計算A'!EF$117=1,ZD27&gt;0),2000,0)-IF(AND($L27=1,'計算A'!EG$117=1,IF27=0),2000,0))),1000000))</f>
        <v/>
      </c>
      <c r="TJ27">
        <f>IF($B27=0,1000000,IF(INDEX('計算A'!$D$60:$EQ$104,$B27,135)*IF27=1,IF(AND($E27=2,NU27=0),1000000,IF($I27&gt;0,IF(6=$J27,IF(OR(AND(135=$I27+1,OR($K27&lt;&gt;'計算A'!$A$3,'計算A'!$A$4=0)),AND(135=$I27-1,OR(15&lt;&gt;'計算A'!$A$3,'計算A'!$A$4=0))),0,IF(15=$K27,200000,ABS(15-$K27)*100)),100000+ABS(6-$J27)*1000+150)+'計算A'!EH$5*50+IF(AND($E27=1,NU27=0),25,0),IF($F27&gt;0,INDEX('計算A'!EH$110:EH$114,$F27+1)+IF(AND($E27=1,NU27=0),1000,0),MIN(TZ27,20)*400+(IF('計算A'!EG$106=1,1-IE27,0)+IF('計算A'!EH$106=1,1-IG27,0))*150+156+'計算A'!EH$5*100000+IF(AND($E27=1,NU27=0),50000,0))+IF($H27=1,(IF('計算A'!EG$117=1,INDEX('計算A'!EG$10:EG$54,$B27),0)+IF('計算A'!EH$117=1,INDEX('計算A'!EI$10:EI$54,$B27),0))*4000,0)-IF(AND('計算A'!EG$117=1,ZE27&gt;0),2000,0)-IF(AND($L27=1,'計算A'!EH$117=1,IG27=0),2000,0))),1000000))</f>
        <v/>
      </c>
      <c r="TK27">
        <f>IF($B27=0,1000000,IF(INDEX('計算A'!$D$60:$EQ$104,$B27,136)*IG27=1,IF(AND($E27=2,NV27=0),1000000,IF($I27&gt;0,IF(6=$J27,IF(OR(AND(136=$I27+1,OR($K27&lt;&gt;'計算A'!$A$3,'計算A'!$A$4=0)),AND(136=$I27-1,OR(16&lt;&gt;'計算A'!$A$3,'計算A'!$A$4=0))),0,IF(16=$K27,200000,ABS(16-$K27)*100)),100000+ABS(6-$J27)*1000+160)+'計算A'!EI$5*50+IF(AND($E27=1,NV27=0),25,0),IF($F27&gt;0,INDEX('計算A'!EI$110:EI$114,$F27+1)+IF(AND($E27=1,NV27=0),1000,0),MIN(TZ27,20)*400+(IF('計算A'!EH$106=1,1-IF27,0)+IF('計算A'!EI$106=1,1-IH27,0))*150+166+'計算A'!EI$5*100000+IF(AND($E27=1,NV27=0),50000,0))+IF($H27=1,(IF('計算A'!EH$117=1,INDEX('計算A'!EH$10:EH$54,$B27),0)+IF('計算A'!EI$117=1,INDEX('計算A'!EJ$10:EJ$54,$B27),0))*4000,0)-IF(AND('計算A'!EH$117=1,ZF27&gt;0),2000,0)-IF(AND($L27=1,'計算A'!EI$117=1,IH27=0),2000,0))),1000000))</f>
        <v/>
      </c>
      <c r="TL27">
        <f>IF($B27=0,1000000,IF(INDEX('計算A'!$D$60:$EQ$104,$B27,137)*IH27=1,IF(AND($E27=2,NW27=0),1000000,IF($I27&gt;0,IF(6=$J27,IF(OR(AND(137=$I27+1,OR($K27&lt;&gt;'計算A'!$A$3,'計算A'!$A$4=0)),AND(137=$I27-1,OR(17&lt;&gt;'計算A'!$A$3,'計算A'!$A$4=0))),0,IF(17=$K27,200000,ABS(17-$K27)*100)),100000+ABS(6-$J27)*1000+170)+'計算A'!EJ$5*50+IF(AND($E27=1,NW27=0),25,0),IF($F27&gt;0,INDEX('計算A'!EJ$110:EJ$114,$F27+1)+IF(AND($E27=1,NW27=0),1000,0),MIN(TZ27,20)*400+(IF('計算A'!EI$106=1,1-IG27,0)+IF('計算A'!EJ$106=1,1-II27,0))*150+176+'計算A'!EJ$5*100000+IF(AND($E27=1,NW27=0),50000,0))+IF($H27=1,(IF('計算A'!EI$117=1,INDEX('計算A'!EI$10:EI$54,$B27),0)+IF('計算A'!EJ$117=1,INDEX('計算A'!EK$10:EK$54,$B27),0))*4000,0)-IF(AND('計算A'!EI$117=1,ZG27&gt;0),2000,0)-IF(AND($L27=1,'計算A'!EJ$117=1,II27=0),2000,0))),1000000))</f>
        <v/>
      </c>
      <c r="TM27">
        <f>IF($B27=0,1000000,IF(INDEX('計算A'!$D$60:$EQ$104,$B27,138)*II27=1,IF(AND($E27=2,NX27=0),1000000,IF($I27&gt;0,IF(6=$J27,IF(OR(AND(138=$I27+1,OR($K27&lt;&gt;'計算A'!$A$3,'計算A'!$A$4=0)),AND(138=$I27-1,OR(18&lt;&gt;'計算A'!$A$3,'計算A'!$A$4=0))),0,IF(18=$K27,200000,ABS(18-$K27)*100)),100000+ABS(6-$J27)*1000+180)+'計算A'!EK$5*50+IF(AND($E27=1,NX27=0),25,0),IF($F27&gt;0,INDEX('計算A'!EK$110:EK$114,$F27+1)+IF(AND($E27=1,NX27=0),1000,0),MIN(TZ27,20)*400+(IF('計算A'!EJ$106=1,1-IH27,0)+IF('計算A'!EK$106=1,1-IJ27,0))*150+186+'計算A'!EK$5*100000+IF(AND($E27=1,NX27=0),50000,0))+IF($H27=1,(IF('計算A'!EJ$117=1,INDEX('計算A'!EJ$10:EJ$54,$B27),0)+IF('計算A'!EK$117=1,INDEX('計算A'!EL$10:EL$54,$B27),0))*4000,0)-IF(AND('計算A'!EJ$117=1,ZH27&gt;0),2000,0)-IF(AND($L27=1,'計算A'!EK$117=1,IJ27=0),2000,0))),1000000))</f>
        <v/>
      </c>
      <c r="TN27">
        <f>IF($B27=0,1000000,IF(INDEX('計算A'!$D$60:$EQ$104,$B27,139)*IJ27=1,IF(AND($E27=2,NY27=0),1000000,IF($I27&gt;0,IF(6=$J27,IF(OR(AND(139=$I27+1,OR($K27&lt;&gt;'計算A'!$A$3,'計算A'!$A$4=0)),AND(139=$I27-1,OR(19&lt;&gt;'計算A'!$A$3,'計算A'!$A$4=0))),0,IF(19=$K27,200000,ABS(19-$K27)*100)),100000+ABS(6-$J27)*1000+190)+'計算A'!EL$5*50+IF(AND($E27=1,NY27=0),25,0),IF($F27&gt;0,INDEX('計算A'!EL$110:EL$114,$F27+1)+IF(AND($E27=1,NY27=0),1000,0),MIN(TZ27,20)*400+(IF('計算A'!EK$106=1,1-II27,0)+IF('計算A'!EL$106=1,1-IK27,0))*150+196+'計算A'!EL$5*100000+IF(AND($E27=1,NY27=0),50000,0))+IF($H27=1,(IF('計算A'!EK$117=1,INDEX('計算A'!EK$10:EK$54,$B27),0)+IF('計算A'!EL$117=1,INDEX('計算A'!EM$10:EM$54,$B27),0))*4000,0)-IF(AND('計算A'!EK$117=1,ZI27&gt;0),2000,0)-IF(AND($L27=1,'計算A'!EL$117=1,IK27=0),2000,0))),1000000))</f>
        <v/>
      </c>
      <c r="TO27">
        <f>IF($B27=0,1000000,IF(INDEX('計算A'!$D$60:$EQ$104,$B27,140)*IK27=1,IF(AND($E27=2,NZ27=0),1000000,IF($I27&gt;0,IF(6=$J27,IF(OR(AND(140=$I27+1,OR($K27&lt;&gt;'計算A'!$A$3,'計算A'!$A$4=0)),AND(140=$I27-1,OR(20&lt;&gt;'計算A'!$A$3,'計算A'!$A$4=0))),0,IF(20=$K27,200000,ABS(20-$K27)*100)),100000+ABS(6-$J27)*1000+200)+'計算A'!EM$5*50+IF(AND($E27=1,NZ27=0),25,0),IF($F27&gt;0,INDEX('計算A'!EM$110:EM$114,$F27+1)+IF(AND($E27=1,NZ27=0),1000,0),MIN(TZ27,20)*400+(IF('計算A'!EL$106=1,1-IJ27,0)+IF('計算A'!EM$106=1,1-IL27,0))*150+206+'計算A'!EM$5*100000+IF(AND($E27=1,NZ27=0),50000,0))+IF($H27=1,(IF('計算A'!EL$117=1,INDEX('計算A'!EL$10:EL$54,$B27),0)+IF('計算A'!EM$117=1,INDEX('計算A'!EN$10:EN$54,$B27),0))*4000,0)-IF(AND('計算A'!EL$117=1,ZJ27&gt;0),2000,0)-IF(AND($L27=1,'計算A'!EM$117=1,IL27=0),2000,0))),1000000))</f>
        <v/>
      </c>
      <c r="TP27">
        <f>IF($B27=0,1000000,IF(INDEX('計算A'!$D$60:$EQ$104,$B27,141)*IL27=1,IF(AND($E27=2,OA27=0),1000000,IF($I27&gt;0,IF(6=$J27,IF(OR(AND(141=$I27+1,OR($K27&lt;&gt;'計算A'!$A$3,'計算A'!$A$4=0)),AND(141=$I27-1,OR(21&lt;&gt;'計算A'!$A$3,'計算A'!$A$4=0))),0,IF(21=$K27,200000,ABS(21-$K27)*100)),100000+ABS(6-$J27)*1000+210)+'計算A'!EN$5*50+IF(AND($E27=1,OA27=0),25,0),IF($F27&gt;0,INDEX('計算A'!EN$110:EN$114,$F27+1)+IF(AND($E27=1,OA27=0),1000,0),MIN(TZ27,20)*400+(IF('計算A'!EM$106=1,1-IK27,0)+IF('計算A'!EN$106=1,1-IM27,0))*150+216+'計算A'!EN$5*100000+IF(AND($E27=1,OA27=0),50000,0))+IF($H27=1,(IF('計算A'!EM$117=1,INDEX('計算A'!EM$10:EM$54,$B27),0)+IF('計算A'!EN$117=1,INDEX('計算A'!EO$10:EO$54,$B27),0))*4000,0)-IF(AND('計算A'!EM$117=1,ZK27&gt;0),2000,0)-IF(AND($L27=1,'計算A'!EN$117=1,IM27=0),2000,0))),1000000))</f>
        <v/>
      </c>
      <c r="TQ27">
        <f>IF($B27=0,1000000,IF(INDEX('計算A'!$D$60:$EQ$104,$B27,142)*IM27=1,IF(AND($E27=2,OB27=0),1000000,IF($I27&gt;0,IF(6=$J27,IF(OR(AND(142=$I27+1,OR($K27&lt;&gt;'計算A'!$A$3,'計算A'!$A$4=0)),AND(142=$I27-1,OR(22&lt;&gt;'計算A'!$A$3,'計算A'!$A$4=0))),0,IF(22=$K27,200000,ABS(22-$K27)*100)),100000+ABS(6-$J27)*1000+220)+'計算A'!EO$5*50+IF(AND($E27=1,OB27=0),25,0),IF($F27&gt;0,INDEX('計算A'!EO$110:EO$114,$F27+1)+IF(AND($E27=1,OB27=0),1000,0),MIN(TZ27,20)*400+(IF('計算A'!EN$106=1,1-IL27,0)+IF('計算A'!EO$106=1,1-IN27,0))*150+226+'計算A'!EO$5*100000+IF(AND($E27=1,OB27=0),50000,0))+IF($H27=1,(IF('計算A'!EN$117=1,INDEX('計算A'!EN$10:EN$54,$B27),0)+IF('計算A'!EO$117=1,INDEX('計算A'!EP$10:EP$54,$B27),0))*4000,0)-IF(AND('計算A'!EN$117=1,ZL27&gt;0),2000,0)-IF(AND($L27=1,'計算A'!EO$117=1,IN27=0),2000,0))),1000000))</f>
        <v/>
      </c>
      <c r="TR27">
        <f>IF($B27=0,1000000,IF(INDEX('計算A'!$D$60:$EQ$104,$B27,143)*IN27=1,IF(AND($E27=2,OC27=0),1000000,IF($I27&gt;0,IF(6=$J27,IF(OR(AND(143=$I27+1,OR($K27&lt;&gt;'計算A'!$A$3,'計算A'!$A$4=0)),AND(143=$I27-1,OR(23&lt;&gt;'計算A'!$A$3,'計算A'!$A$4=0))),0,IF(23=$K27,200000,ABS(23-$K27)*100)),100000+ABS(6-$J27)*1000+230)+'計算A'!EP$5*50+IF(AND($E27=1,OC27=0),25,0),IF($F27&gt;0,INDEX('計算A'!EP$110:EP$114,$F27+1)+IF(AND($E27=1,OC27=0),1000,0),MIN(TZ27,20)*400+(IF('計算A'!EO$106=1,1-IM27,0)+IF('計算A'!EP$106=1,1-IO27,0))*150+236+'計算A'!EP$5*100000+IF(AND($E27=1,OC27=0),50000,0))+IF($H27=1,(IF('計算A'!EO$117=1,INDEX('計算A'!EO$10:EO$54,$B27),0)+IF('計算A'!EP$117=1,INDEX('計算A'!EQ$10:EQ$54,$B27),0))*4000,0)-IF(AND('計算A'!EO$117=1,ZM27&gt;0),2000,0)-IF(AND($L27=1,'計算A'!EP$117=1,IO27=0),2000,0))),1000000))</f>
        <v/>
      </c>
      <c r="TS27">
        <f>IF($B27=0,1000000,IF(INDEX('計算A'!$D$60:$EQ$104,$B27,144)*IO27=1,IF(AND($E27=2,OD27=0),1000000,IF($I27&gt;0,IF(6=$J27,IF(OR(AND(144=$I27+1,OR($K27&lt;&gt;'計算A'!$A$3,'計算A'!$A$4=0)),AND(144=$I27-1,OR(24&lt;&gt;'計算A'!$A$3,'計算A'!$A$4=0))),0,IF(24=$K27,200000,ABS(24-$K27)*100)),100000+ABS(6-$J27)*1000+240)+'計算A'!EQ$5*50+IF(AND($E27=1,OD27=0),25,0),IF($F27&gt;0,INDEX('計算A'!EQ$110:EQ$114,$F27+1)+IF(AND($E27=1,OD27=0),1000,0),MIN(TZ27,20)*400+(IF('計算A'!EP$106=1,1-IN27,0))*150+246+'計算A'!EQ$5*100000+IF(AND($E27=1,OD27=0),50000,0))+IF($H27=1,(IF('計算A'!EP$117=1,INDEX('計算A'!EP$10:EP$54,$B27),0))*4000,0)-IF(AND('計算A'!EP$117=1,ZN27&gt;0),2000,0))),1000000))</f>
        <v/>
      </c>
      <c r="TU27">
        <f>TU26+IF($C26&gt;0,IF(INDEX('計算A'!$D$2:$EQ$2,$C26)=1,1,0),0)</f>
        <v/>
      </c>
      <c r="TV27">
        <f>TV26+IF($C26&gt;0,IF(INDEX('計算A'!$D$2:$EQ$2,$C26)=2,1,0),0)</f>
        <v/>
      </c>
      <c r="TW27">
        <f>TW26+IF($C26&gt;0,IF(INDEX('計算A'!$D$2:$EQ$2,$C26)=3,1,0),0)</f>
        <v/>
      </c>
      <c r="TX27">
        <f>TX26+IF($C26&gt;0,IF(INDEX('計算A'!$D$2:$EQ$2,$C26)=4,1,0),0)</f>
        <v/>
      </c>
      <c r="TY27">
        <f>TY26+IF($C26&gt;0,IF(INDEX('計算A'!$D$2:$EQ$2,$C26)=5,1,0),0)</f>
        <v/>
      </c>
      <c r="TZ27">
        <f>TZ26+IF($C26&gt;0,IF(INDEX('計算A'!$D$2:$EQ$2,$C26)=6,1,0),0)</f>
        <v/>
      </c>
      <c r="UB27">
        <f>UB26+IF(AND($C26=1,$L26=1),1,0)</f>
        <v/>
      </c>
      <c r="UC27">
        <f>UC26+IF(AND($C26=2,$L26=1),1,0)</f>
        <v/>
      </c>
      <c r="UD27">
        <f>UD26+IF(AND($C26=3,$L26=1),1,0)</f>
        <v/>
      </c>
      <c r="UE27">
        <f>UE26+IF(AND($C26=4,$L26=1),1,0)</f>
        <v/>
      </c>
      <c r="UF27">
        <f>UF26+IF(AND($C26=5,$L26=1),1,0)</f>
        <v/>
      </c>
      <c r="UG27">
        <f>UG26+IF(AND($C26=6,$L26=1),1,0)</f>
        <v/>
      </c>
      <c r="UH27">
        <f>UH26+IF(AND($C26=7,$L26=1),1,0)</f>
        <v/>
      </c>
      <c r="UI27">
        <f>UI26+IF(AND($C26=8,$L26=1),1,0)</f>
        <v/>
      </c>
      <c r="UJ27">
        <f>UJ26+IF(AND($C26=9,$L26=1),1,0)</f>
        <v/>
      </c>
      <c r="UK27">
        <f>UK26+IF(AND($C26=10,$L26=1),1,0)</f>
        <v/>
      </c>
      <c r="UL27">
        <f>UL26+IF(AND($C26=11,$L26=1),1,0)</f>
        <v/>
      </c>
      <c r="UM27">
        <f>UM26+IF(AND($C26=12,$L26=1),1,0)</f>
        <v/>
      </c>
      <c r="UN27">
        <f>UN26+IF(AND($C26=13,$L26=1),1,0)</f>
        <v/>
      </c>
      <c r="UO27">
        <f>UO26+IF(AND($C26=14,$L26=1),1,0)</f>
        <v/>
      </c>
      <c r="UP27">
        <f>UP26+IF(AND($C26=15,$L26=1),1,0)</f>
        <v/>
      </c>
      <c r="UQ27">
        <f>UQ26+IF(AND($C26=16,$L26=1),1,0)</f>
        <v/>
      </c>
      <c r="UR27">
        <f>UR26+IF(AND($C26=17,$L26=1),1,0)</f>
        <v/>
      </c>
      <c r="US27">
        <f>US26+IF(AND($C26=18,$L26=1),1,0)</f>
        <v/>
      </c>
      <c r="UT27">
        <f>UT26+IF(AND($C26=19,$L26=1),1,0)</f>
        <v/>
      </c>
      <c r="UU27">
        <f>UU26+IF(AND($C26=20,$L26=1),1,0)</f>
        <v/>
      </c>
      <c r="UV27">
        <f>UV26+IF(AND($C26=21,$L26=1),1,0)</f>
        <v/>
      </c>
      <c r="UW27">
        <f>UW26+IF(AND($C26=22,$L26=1),1,0)</f>
        <v/>
      </c>
      <c r="UX27">
        <f>UX26+IF(AND($C26=23,$L26=1),1,0)</f>
        <v/>
      </c>
      <c r="UY27">
        <f>UY26+IF(AND($C26=24,$L26=1),1,0)</f>
        <v/>
      </c>
      <c r="UZ27">
        <f>UZ26+IF(AND($C26=25,$L26=1),1,0)</f>
        <v/>
      </c>
      <c r="VA27">
        <f>VA26+IF(AND($C26=26,$L26=1),1,0)</f>
        <v/>
      </c>
      <c r="VB27">
        <f>VB26+IF(AND($C26=27,$L26=1),1,0)</f>
        <v/>
      </c>
      <c r="VC27">
        <f>VC26+IF(AND($C26=28,$L26=1),1,0)</f>
        <v/>
      </c>
      <c r="VD27">
        <f>VD26+IF(AND($C26=29,$L26=1),1,0)</f>
        <v/>
      </c>
      <c r="VE27">
        <f>VE26+IF(AND($C26=30,$L26=1),1,0)</f>
        <v/>
      </c>
      <c r="VF27">
        <f>VF26+IF(AND($C26=31,$L26=1),1,0)</f>
        <v/>
      </c>
      <c r="VG27">
        <f>VG26+IF(AND($C26=32,$L26=1),1,0)</f>
        <v/>
      </c>
      <c r="VH27">
        <f>VH26+IF(AND($C26=33,$L26=1),1,0)</f>
        <v/>
      </c>
      <c r="VI27">
        <f>VI26+IF(AND($C26=34,$L26=1),1,0)</f>
        <v/>
      </c>
      <c r="VJ27">
        <f>VJ26+IF(AND($C26=35,$L26=1),1,0)</f>
        <v/>
      </c>
      <c r="VK27">
        <f>VK26+IF(AND($C26=36,$L26=1),1,0)</f>
        <v/>
      </c>
      <c r="VL27">
        <f>VL26+IF(AND($C26=37,$L26=1),1,0)</f>
        <v/>
      </c>
      <c r="VM27">
        <f>VM26+IF(AND($C26=38,$L26=1),1,0)</f>
        <v/>
      </c>
      <c r="VN27">
        <f>VN26+IF(AND($C26=39,$L26=1),1,0)</f>
        <v/>
      </c>
      <c r="VO27">
        <f>VO26+IF(AND($C26=40,$L26=1),1,0)</f>
        <v/>
      </c>
      <c r="VP27">
        <f>VP26+IF(AND($C26=41,$L26=1),1,0)</f>
        <v/>
      </c>
      <c r="VQ27">
        <f>VQ26+IF(AND($C26=42,$L26=1),1,0)</f>
        <v/>
      </c>
      <c r="VR27">
        <f>VR26+IF(AND($C26=43,$L26=1),1,0)</f>
        <v/>
      </c>
      <c r="VS27">
        <f>VS26+IF(AND($C26=44,$L26=1),1,0)</f>
        <v/>
      </c>
      <c r="VT27">
        <f>VT26+IF(AND($C26=45,$L26=1),1,0)</f>
        <v/>
      </c>
      <c r="VU27">
        <f>VU26+IF(AND($C26=46,$L26=1),1,0)</f>
        <v/>
      </c>
      <c r="VV27">
        <f>VV26+IF(AND($C26=47,$L26=1),1,0)</f>
        <v/>
      </c>
      <c r="VW27">
        <f>VW26+IF(AND($C26=48,$L26=1),1,0)</f>
        <v/>
      </c>
      <c r="VX27">
        <f>VX26+IF(AND($C26=49,$L26=1),1,0)</f>
        <v/>
      </c>
      <c r="VY27">
        <f>VY26+IF(AND($C26=50,$L26=1),1,0)</f>
        <v/>
      </c>
      <c r="VZ27">
        <f>VZ26+IF(AND($C26=51,$L26=1),1,0)</f>
        <v/>
      </c>
      <c r="WA27">
        <f>WA26+IF(AND($C26=52,$L26=1),1,0)</f>
        <v/>
      </c>
      <c r="WB27">
        <f>WB26+IF(AND($C26=53,$L26=1),1,0)</f>
        <v/>
      </c>
      <c r="WC27">
        <f>WC26+IF(AND($C26=54,$L26=1),1,0)</f>
        <v/>
      </c>
      <c r="WD27">
        <f>WD26+IF(AND($C26=55,$L26=1),1,0)</f>
        <v/>
      </c>
      <c r="WE27">
        <f>WE26+IF(AND($C26=56,$L26=1),1,0)</f>
        <v/>
      </c>
      <c r="WF27">
        <f>WF26+IF(AND($C26=57,$L26=1),1,0)</f>
        <v/>
      </c>
      <c r="WG27">
        <f>WG26+IF(AND($C26=58,$L26=1),1,0)</f>
        <v/>
      </c>
      <c r="WH27">
        <f>WH26+IF(AND($C26=59,$L26=1),1,0)</f>
        <v/>
      </c>
      <c r="WI27">
        <f>WI26+IF(AND($C26=60,$L26=1),1,0)</f>
        <v/>
      </c>
      <c r="WJ27">
        <f>WJ26+IF(AND($C26=61,$L26=1),1,0)</f>
        <v/>
      </c>
      <c r="WK27">
        <f>WK26+IF(AND($C26=62,$L26=1),1,0)</f>
        <v/>
      </c>
      <c r="WL27">
        <f>WL26+IF(AND($C26=63,$L26=1),1,0)</f>
        <v/>
      </c>
      <c r="WM27">
        <f>WM26+IF(AND($C26=64,$L26=1),1,0)</f>
        <v/>
      </c>
      <c r="WN27">
        <f>WN26+IF(AND($C26=65,$L26=1),1,0)</f>
        <v/>
      </c>
      <c r="WO27">
        <f>WO26+IF(AND($C26=66,$L26=1),1,0)</f>
        <v/>
      </c>
      <c r="WP27">
        <f>WP26+IF(AND($C26=67,$L26=1),1,0)</f>
        <v/>
      </c>
      <c r="WQ27">
        <f>WQ26+IF(AND($C26=68,$L26=1),1,0)</f>
        <v/>
      </c>
      <c r="WR27">
        <f>WR26+IF(AND($C26=69,$L26=1),1,0)</f>
        <v/>
      </c>
      <c r="WS27">
        <f>WS26+IF(AND($C26=70,$L26=1),1,0)</f>
        <v/>
      </c>
      <c r="WT27">
        <f>WT26+IF(AND($C26=71,$L26=1),1,0)</f>
        <v/>
      </c>
      <c r="WU27">
        <f>WU26+IF(AND($C26=72,$L26=1),1,0)</f>
        <v/>
      </c>
      <c r="WV27">
        <f>WV26+IF(AND($C26=73,$L26=1),1,0)</f>
        <v/>
      </c>
      <c r="WW27">
        <f>WW26+IF(AND($C26=74,$L26=1),1,0)</f>
        <v/>
      </c>
      <c r="WX27">
        <f>WX26+IF(AND($C26=75,$L26=1),1,0)</f>
        <v/>
      </c>
      <c r="WY27">
        <f>WY26+IF(AND($C26=76,$L26=1),1,0)</f>
        <v/>
      </c>
      <c r="WZ27">
        <f>WZ26+IF(AND($C26=77,$L26=1),1,0)</f>
        <v/>
      </c>
      <c r="XA27">
        <f>XA26+IF(AND($C26=78,$L26=1),1,0)</f>
        <v/>
      </c>
      <c r="XB27">
        <f>XB26+IF(AND($C26=79,$L26=1),1,0)</f>
        <v/>
      </c>
      <c r="XC27">
        <f>XC26+IF(AND($C26=80,$L26=1),1,0)</f>
        <v/>
      </c>
      <c r="XD27">
        <f>XD26+IF(AND($C26=81,$L26=1),1,0)</f>
        <v/>
      </c>
      <c r="XE27">
        <f>XE26+IF(AND($C26=82,$L26=1),1,0)</f>
        <v/>
      </c>
      <c r="XF27">
        <f>XF26+IF(AND($C26=83,$L26=1),1,0)</f>
        <v/>
      </c>
      <c r="XG27">
        <f>XG26+IF(AND($C26=84,$L26=1),1,0)</f>
        <v/>
      </c>
      <c r="XH27">
        <f>XH26+IF(AND($C26=85,$L26=1),1,0)</f>
        <v/>
      </c>
      <c r="XI27">
        <f>XI26+IF(AND($C26=86,$L26=1),1,0)</f>
        <v/>
      </c>
      <c r="XJ27">
        <f>XJ26+IF(AND($C26=87,$L26=1),1,0)</f>
        <v/>
      </c>
      <c r="XK27">
        <f>XK26+IF(AND($C26=88,$L26=1),1,0)</f>
        <v/>
      </c>
      <c r="XL27">
        <f>XL26+IF(AND($C26=89,$L26=1),1,0)</f>
        <v/>
      </c>
      <c r="XM27">
        <f>XM26+IF(AND($C26=90,$L26=1),1,0)</f>
        <v/>
      </c>
      <c r="XN27">
        <f>XN26+IF(AND($C26=91,$L26=1),1,0)</f>
        <v/>
      </c>
      <c r="XO27">
        <f>XO26+IF(AND($C26=92,$L26=1),1,0)</f>
        <v/>
      </c>
      <c r="XP27">
        <f>XP26+IF(AND($C26=93,$L26=1),1,0)</f>
        <v/>
      </c>
      <c r="XQ27">
        <f>XQ26+IF(AND($C26=94,$L26=1),1,0)</f>
        <v/>
      </c>
      <c r="XR27">
        <f>XR26+IF(AND($C26=95,$L26=1),1,0)</f>
        <v/>
      </c>
      <c r="XS27">
        <f>XS26+IF(AND($C26=96,$L26=1),1,0)</f>
        <v/>
      </c>
      <c r="XT27">
        <f>XT26+IF(AND($C26=97,$L26=1),1,0)</f>
        <v/>
      </c>
      <c r="XU27">
        <f>XU26+IF(AND($C26=98,$L26=1),1,0)</f>
        <v/>
      </c>
      <c r="XV27">
        <f>XV26+IF(AND($C26=99,$L26=1),1,0)</f>
        <v/>
      </c>
      <c r="XW27">
        <f>XW26+IF(AND($C26=100,$L26=1),1,0)</f>
        <v/>
      </c>
      <c r="XX27">
        <f>XX26+IF(AND($C26=101,$L26=1),1,0)</f>
        <v/>
      </c>
      <c r="XY27">
        <f>XY26+IF(AND($C26=102,$L26=1),1,0)</f>
        <v/>
      </c>
      <c r="XZ27">
        <f>XZ26+IF(AND($C26=103,$L26=1),1,0)</f>
        <v/>
      </c>
      <c r="YA27">
        <f>YA26+IF(AND($C26=104,$L26=1),1,0)</f>
        <v/>
      </c>
      <c r="YB27">
        <f>YB26+IF(AND($C26=105,$L26=1),1,0)</f>
        <v/>
      </c>
      <c r="YC27">
        <f>YC26+IF(AND($C26=106,$L26=1),1,0)</f>
        <v/>
      </c>
      <c r="YD27">
        <f>YD26+IF(AND($C26=107,$L26=1),1,0)</f>
        <v/>
      </c>
      <c r="YE27">
        <f>YE26+IF(AND($C26=108,$L26=1),1,0)</f>
        <v/>
      </c>
      <c r="YF27">
        <f>YF26+IF(AND($C26=109,$L26=1),1,0)</f>
        <v/>
      </c>
      <c r="YG27">
        <f>YG26+IF(AND($C26=110,$L26=1),1,0)</f>
        <v/>
      </c>
      <c r="YH27">
        <f>YH26+IF(AND($C26=111,$L26=1),1,0)</f>
        <v/>
      </c>
      <c r="YI27">
        <f>YI26+IF(AND($C26=112,$L26=1),1,0)</f>
        <v/>
      </c>
      <c r="YJ27">
        <f>YJ26+IF(AND($C26=113,$L26=1),1,0)</f>
        <v/>
      </c>
      <c r="YK27">
        <f>YK26+IF(AND($C26=114,$L26=1),1,0)</f>
        <v/>
      </c>
      <c r="YL27">
        <f>YL26+IF(AND($C26=115,$L26=1),1,0)</f>
        <v/>
      </c>
      <c r="YM27">
        <f>YM26+IF(AND($C26=116,$L26=1),1,0)</f>
        <v/>
      </c>
      <c r="YN27">
        <f>YN26+IF(AND($C26=117,$L26=1),1,0)</f>
        <v/>
      </c>
      <c r="YO27">
        <f>YO26+IF(AND($C26=118,$L26=1),1,0)</f>
        <v/>
      </c>
      <c r="YP27">
        <f>YP26+IF(AND($C26=119,$L26=1),1,0)</f>
        <v/>
      </c>
      <c r="YQ27">
        <f>YQ26+IF(AND($C26=120,$L26=1),1,0)</f>
        <v/>
      </c>
      <c r="YR27">
        <f>YR26+IF(AND($C26=121,$L26=1),1,0)</f>
        <v/>
      </c>
      <c r="YS27">
        <f>YS26+IF(AND($C26=122,$L26=1),1,0)</f>
        <v/>
      </c>
      <c r="YT27">
        <f>YT26+IF(AND($C26=123,$L26=1),1,0)</f>
        <v/>
      </c>
      <c r="YU27">
        <f>YU26+IF(AND($C26=124,$L26=1),1,0)</f>
        <v/>
      </c>
      <c r="YV27">
        <f>YV26+IF(AND($C26=125,$L26=1),1,0)</f>
        <v/>
      </c>
      <c r="YW27">
        <f>YW26+IF(AND($C26=126,$L26=1),1,0)</f>
        <v/>
      </c>
      <c r="YX27">
        <f>YX26+IF(AND($C26=127,$L26=1),1,0)</f>
        <v/>
      </c>
      <c r="YY27">
        <f>YY26+IF(AND($C26=128,$L26=1),1,0)</f>
        <v/>
      </c>
      <c r="YZ27">
        <f>YZ26+IF(AND($C26=129,$L26=1),1,0)</f>
        <v/>
      </c>
      <c r="ZA27">
        <f>ZA26+IF(AND($C26=130,$L26=1),1,0)</f>
        <v/>
      </c>
      <c r="ZB27">
        <f>ZB26+IF(AND($C26=131,$L26=1),1,0)</f>
        <v/>
      </c>
      <c r="ZC27">
        <f>ZC26+IF(AND($C26=132,$L26=1),1,0)</f>
        <v/>
      </c>
      <c r="ZD27">
        <f>ZD26+IF(AND($C26=133,$L26=1),1,0)</f>
        <v/>
      </c>
      <c r="ZE27">
        <f>ZE26+IF(AND($C26=134,$L26=1),1,0)</f>
        <v/>
      </c>
      <c r="ZF27">
        <f>ZF26+IF(AND($C26=135,$L26=1),1,0)</f>
        <v/>
      </c>
      <c r="ZG27">
        <f>ZG26+IF(AND($C26=136,$L26=1),1,0)</f>
        <v/>
      </c>
      <c r="ZH27">
        <f>ZH26+IF(AND($C26=137,$L26=1),1,0)</f>
        <v/>
      </c>
      <c r="ZI27">
        <f>ZI26+IF(AND($C26=138,$L26=1),1,0)</f>
        <v/>
      </c>
      <c r="ZJ27">
        <f>ZJ26+IF(AND($C26=139,$L26=1),1,0)</f>
        <v/>
      </c>
      <c r="ZK27">
        <f>ZK26+IF(AND($C26=140,$L26=1),1,0)</f>
        <v/>
      </c>
      <c r="ZL27">
        <f>ZL26+IF(AND($C26=141,$L26=1),1,0)</f>
        <v/>
      </c>
      <c r="ZM27">
        <f>ZM26+IF(AND($C26=142,$L26=1),1,0)</f>
        <v/>
      </c>
      <c r="ZN27">
        <f>ZN26+IF(AND($C26=143,$L26=1),1,0)</f>
        <v/>
      </c>
      <c r="ZO27">
        <f>ZO26+IF(AND($C26=144,$L26=1),1,0)</f>
        <v/>
      </c>
    </row>
    <row r="28">
      <c r="A28" t="n">
        <v>26</v>
      </c>
      <c r="B28">
        <f>IF(MIN(BH28:CZ28)&gt;=1000000,0,MATCH(MIN(BH28:CZ28),BH28:CZ28,0))</f>
        <v/>
      </c>
      <c r="C28">
        <f>IF(MIN(OF28:TS28)&gt;=1000000,0,MATCH(MIN(OF28:TS28),OF28:TS28,0))</f>
        <v/>
      </c>
      <c r="D28">
        <f>IF(C28&gt;0,INDEX('計算A'!$D$5:$EQ$5,C28),0)</f>
        <v/>
      </c>
      <c r="E28">
        <f>IF(B28=0,0,INDEX('計算A'!$IQ$10:$IQ$54,B28))</f>
        <v/>
      </c>
      <c r="F28">
        <f>IF(B28=0,0,INDEX('計算A'!$IP$10:$IP$54,B28))</f>
        <v/>
      </c>
      <c r="G28">
        <f>IF(AND(C28&gt;0,E28&gt;0),IF(AND(INDEX('計算A'!$D$106:$EQ$106,C28)=1,INDEX($IQ28:$OD28,C28)=1),C28+1,0),0)</f>
        <v/>
      </c>
      <c r="H28">
        <f>IF(B28=0,0,INDEX('計算A'!$IW$10:$IW$54,B28))</f>
        <v/>
      </c>
      <c r="I28">
        <f>IF(B28=0,0,MAX(0,INDEX('計算A'!$IT$10:$IT$54,B28)))</f>
        <v/>
      </c>
      <c r="J28">
        <f>IF(I28=0,0,INDEX('計算A'!$D$2:$EQ$2,I28))</f>
        <v/>
      </c>
      <c r="K28">
        <f>IF(I28=0,0,INDEX('計算A'!$D$3:$EQ$3,I28))</f>
        <v/>
      </c>
      <c r="L28">
        <f>IF(B28=0,0,INDEX('計算A'!$IX$10:$IX$54,B28))</f>
        <v/>
      </c>
      <c r="N28">
        <f>MAX(N27,IF($B27=1,1,0))</f>
        <v/>
      </c>
      <c r="O28">
        <f>MAX(O27,IF($B27=2,1,0))</f>
        <v/>
      </c>
      <c r="P28">
        <f>MAX(P27,IF($B27=3,1,0))</f>
        <v/>
      </c>
      <c r="Q28">
        <f>MAX(Q27,IF($B27=4,1,0))</f>
        <v/>
      </c>
      <c r="R28">
        <f>MAX(R27,IF($B27=5,1,0))</f>
        <v/>
      </c>
      <c r="S28">
        <f>MAX(S27,IF($B27=6,1,0))</f>
        <v/>
      </c>
      <c r="T28">
        <f>MAX(T27,IF($B27=7,1,0))</f>
        <v/>
      </c>
      <c r="U28">
        <f>MAX(U27,IF($B27=8,1,0))</f>
        <v/>
      </c>
      <c r="V28">
        <f>MAX(V27,IF($B27=9,1,0))</f>
        <v/>
      </c>
      <c r="W28">
        <f>MAX(W27,IF($B27=10,1,0))</f>
        <v/>
      </c>
      <c r="X28">
        <f>MAX(X27,IF($B27=11,1,0))</f>
        <v/>
      </c>
      <c r="Y28">
        <f>MAX(Y27,IF($B27=12,1,0))</f>
        <v/>
      </c>
      <c r="Z28">
        <f>MAX(Z27,IF($B27=13,1,0))</f>
        <v/>
      </c>
      <c r="AA28">
        <f>MAX(AA27,IF($B27=14,1,0))</f>
        <v/>
      </c>
      <c r="AB28">
        <f>MAX(AB27,IF($B27=15,1,0))</f>
        <v/>
      </c>
      <c r="AC28">
        <f>MAX(AC27,IF($B27=16,1,0))</f>
        <v/>
      </c>
      <c r="AD28">
        <f>MAX(AD27,IF($B27=17,1,0))</f>
        <v/>
      </c>
      <c r="AE28">
        <f>MAX(AE27,IF($B27=18,1,0))</f>
        <v/>
      </c>
      <c r="AF28">
        <f>MAX(AF27,IF($B27=19,1,0))</f>
        <v/>
      </c>
      <c r="AG28">
        <f>MAX(AG27,IF($B27=20,1,0))</f>
        <v/>
      </c>
      <c r="AH28">
        <f>MAX(AH27,IF($B27=21,1,0))</f>
        <v/>
      </c>
      <c r="AI28">
        <f>MAX(AI27,IF($B27=22,1,0))</f>
        <v/>
      </c>
      <c r="AJ28">
        <f>MAX(AJ27,IF($B27=23,1,0))</f>
        <v/>
      </c>
      <c r="AK28">
        <f>MAX(AK27,IF($B27=24,1,0))</f>
        <v/>
      </c>
      <c r="AL28">
        <f>MAX(AL27,IF($B27=25,1,0))</f>
        <v/>
      </c>
      <c r="AM28">
        <f>MAX(AM27,IF($B27=26,1,0))</f>
        <v/>
      </c>
      <c r="AN28">
        <f>MAX(AN27,IF($B27=27,1,0))</f>
        <v/>
      </c>
      <c r="AO28">
        <f>MAX(AO27,IF($B27=28,1,0))</f>
        <v/>
      </c>
      <c r="AP28">
        <f>MAX(AP27,IF($B27=29,1,0))</f>
        <v/>
      </c>
      <c r="AQ28">
        <f>MAX(AQ27,IF($B27=30,1,0))</f>
        <v/>
      </c>
      <c r="AR28">
        <f>MAX(AR27,IF($B27=31,1,0))</f>
        <v/>
      </c>
      <c r="AS28">
        <f>MAX(AS27,IF($B27=32,1,0))</f>
        <v/>
      </c>
      <c r="AT28">
        <f>MAX(AT27,IF($B27=33,1,0))</f>
        <v/>
      </c>
      <c r="AU28">
        <f>MAX(AU27,IF($B27=34,1,0))</f>
        <v/>
      </c>
      <c r="AV28">
        <f>MAX(AV27,IF($B27=35,1,0))</f>
        <v/>
      </c>
      <c r="AW28">
        <f>MAX(AW27,IF($B27=36,1,0))</f>
        <v/>
      </c>
      <c r="AX28">
        <f>MAX(AX27,IF($B27=37,1,0))</f>
        <v/>
      </c>
      <c r="AY28">
        <f>MAX(AY27,IF($B27=38,1,0))</f>
        <v/>
      </c>
      <c r="AZ28">
        <f>MAX(AZ27,IF($B27=39,1,0))</f>
        <v/>
      </c>
      <c r="BA28">
        <f>MAX(BA27,IF($B27=40,1,0))</f>
        <v/>
      </c>
      <c r="BB28">
        <f>MAX(BB27,IF($B27=41,1,0))</f>
        <v/>
      </c>
      <c r="BC28">
        <f>MAX(BC27,IF($B27=42,1,0))</f>
        <v/>
      </c>
      <c r="BD28">
        <f>MAX(BD27,IF($B27=43,1,0))</f>
        <v/>
      </c>
      <c r="BE28">
        <f>MAX(BE27,IF($B27=44,1,0))</f>
        <v/>
      </c>
      <c r="BF28">
        <f>MAX(BF27,IF($B27=45,1,0))</f>
        <v/>
      </c>
      <c r="BH28">
        <f>IF(N28=1,1000000,IF('計算A'!$IT$10&gt;0,0,500000)+IF('計算A'!$IQ$10=2,SUMPRODUCT('計算A'!$D$60:$EQ$60,$DB28:$IO28,$IQ28:$OD28),SUMPRODUCT('計算A'!$D$60:$EQ$60,$DB28:$IO28))*1000+1)</f>
        <v/>
      </c>
      <c r="BI28">
        <f>IF(O28=1,1000000,IF('計算A'!$IT$11&gt;0,0,500000)+IF('計算A'!$IQ$11=2,SUMPRODUCT('計算A'!$D$61:$EQ$61,$DB28:$IO28,$IQ28:$OD28),SUMPRODUCT('計算A'!$D$61:$EQ$61,$DB28:$IO28))*1000+2)</f>
        <v/>
      </c>
      <c r="BJ28">
        <f>IF(P28=1,1000000,IF('計算A'!$IT$12&gt;0,0,500000)+IF('計算A'!$IQ$12=2,SUMPRODUCT('計算A'!$D$62:$EQ$62,$DB28:$IO28,$IQ28:$OD28),SUMPRODUCT('計算A'!$D$62:$EQ$62,$DB28:$IO28))*1000+3)</f>
        <v/>
      </c>
      <c r="BK28">
        <f>IF(Q28=1,1000000,IF('計算A'!$IT$13&gt;0,0,500000)+IF('計算A'!$IQ$13=2,SUMPRODUCT('計算A'!$D$63:$EQ$63,$DB28:$IO28,$IQ28:$OD28),SUMPRODUCT('計算A'!$D$63:$EQ$63,$DB28:$IO28))*1000+4)</f>
        <v/>
      </c>
      <c r="BL28">
        <f>IF(R28=1,1000000,IF('計算A'!$IT$14&gt;0,0,500000)+IF('計算A'!$IQ$14=2,SUMPRODUCT('計算A'!$D$64:$EQ$64,$DB28:$IO28,$IQ28:$OD28),SUMPRODUCT('計算A'!$D$64:$EQ$64,$DB28:$IO28))*1000+5)</f>
        <v/>
      </c>
      <c r="BM28">
        <f>IF(S28=1,1000000,IF('計算A'!$IT$15&gt;0,0,500000)+IF('計算A'!$IQ$15=2,SUMPRODUCT('計算A'!$D$65:$EQ$65,$DB28:$IO28,$IQ28:$OD28),SUMPRODUCT('計算A'!$D$65:$EQ$65,$DB28:$IO28))*1000+6)</f>
        <v/>
      </c>
      <c r="BN28">
        <f>IF(T28=1,1000000,IF('計算A'!$IT$16&gt;0,0,500000)+IF('計算A'!$IQ$16=2,SUMPRODUCT('計算A'!$D$66:$EQ$66,$DB28:$IO28,$IQ28:$OD28),SUMPRODUCT('計算A'!$D$66:$EQ$66,$DB28:$IO28))*1000+7)</f>
        <v/>
      </c>
      <c r="BO28">
        <f>IF(U28=1,1000000,IF('計算A'!$IT$17&gt;0,0,500000)+IF('計算A'!$IQ$17=2,SUMPRODUCT('計算A'!$D$67:$EQ$67,$DB28:$IO28,$IQ28:$OD28),SUMPRODUCT('計算A'!$D$67:$EQ$67,$DB28:$IO28))*1000+8)</f>
        <v/>
      </c>
      <c r="BP28">
        <f>IF(V28=1,1000000,IF('計算A'!$IT$18&gt;0,0,500000)+IF('計算A'!$IQ$18=2,SUMPRODUCT('計算A'!$D$68:$EQ$68,$DB28:$IO28,$IQ28:$OD28),SUMPRODUCT('計算A'!$D$68:$EQ$68,$DB28:$IO28))*1000+9)</f>
        <v/>
      </c>
      <c r="BQ28">
        <f>IF(W28=1,1000000,IF('計算A'!$IT$19&gt;0,0,500000)+IF('計算A'!$IQ$19=2,SUMPRODUCT('計算A'!$D$69:$EQ$69,$DB28:$IO28,$IQ28:$OD28),SUMPRODUCT('計算A'!$D$69:$EQ$69,$DB28:$IO28))*1000+10)</f>
        <v/>
      </c>
      <c r="BR28">
        <f>IF(X28=1,1000000,IF('計算A'!$IT$20&gt;0,0,500000)+IF('計算A'!$IQ$20=2,SUMPRODUCT('計算A'!$D$70:$EQ$70,$DB28:$IO28,$IQ28:$OD28),SUMPRODUCT('計算A'!$D$70:$EQ$70,$DB28:$IO28))*1000+11)</f>
        <v/>
      </c>
      <c r="BS28">
        <f>IF(Y28=1,1000000,IF('計算A'!$IT$21&gt;0,0,500000)+IF('計算A'!$IQ$21=2,SUMPRODUCT('計算A'!$D$71:$EQ$71,$DB28:$IO28,$IQ28:$OD28),SUMPRODUCT('計算A'!$D$71:$EQ$71,$DB28:$IO28))*1000+12)</f>
        <v/>
      </c>
      <c r="BT28">
        <f>IF(Z28=1,1000000,IF('計算A'!$IT$22&gt;0,0,500000)+IF('計算A'!$IQ$22=2,SUMPRODUCT('計算A'!$D$72:$EQ$72,$DB28:$IO28,$IQ28:$OD28),SUMPRODUCT('計算A'!$D$72:$EQ$72,$DB28:$IO28))*1000+13)</f>
        <v/>
      </c>
      <c r="BU28">
        <f>IF(AA28=1,1000000,IF('計算A'!$IT$23&gt;0,0,500000)+IF('計算A'!$IQ$23=2,SUMPRODUCT('計算A'!$D$73:$EQ$73,$DB28:$IO28,$IQ28:$OD28),SUMPRODUCT('計算A'!$D$73:$EQ$73,$DB28:$IO28))*1000+14)</f>
        <v/>
      </c>
      <c r="BV28">
        <f>IF(AB28=1,1000000,IF('計算A'!$IT$24&gt;0,0,500000)+IF('計算A'!$IQ$24=2,SUMPRODUCT('計算A'!$D$74:$EQ$74,$DB28:$IO28,$IQ28:$OD28),SUMPRODUCT('計算A'!$D$74:$EQ$74,$DB28:$IO28))*1000+15)</f>
        <v/>
      </c>
      <c r="BW28">
        <f>IF(AC28=1,1000000,IF('計算A'!$IT$25&gt;0,0,500000)+IF('計算A'!$IQ$25=2,SUMPRODUCT('計算A'!$D$75:$EQ$75,$DB28:$IO28,$IQ28:$OD28),SUMPRODUCT('計算A'!$D$75:$EQ$75,$DB28:$IO28))*1000+16)</f>
        <v/>
      </c>
      <c r="BX28">
        <f>IF(AD28=1,1000000,IF('計算A'!$IT$26&gt;0,0,500000)+IF('計算A'!$IQ$26=2,SUMPRODUCT('計算A'!$D$76:$EQ$76,$DB28:$IO28,$IQ28:$OD28),SUMPRODUCT('計算A'!$D$76:$EQ$76,$DB28:$IO28))*1000+17)</f>
        <v/>
      </c>
      <c r="BY28">
        <f>IF(AE28=1,1000000,IF('計算A'!$IT$27&gt;0,0,500000)+IF('計算A'!$IQ$27=2,SUMPRODUCT('計算A'!$D$77:$EQ$77,$DB28:$IO28,$IQ28:$OD28),SUMPRODUCT('計算A'!$D$77:$EQ$77,$DB28:$IO28))*1000+18)</f>
        <v/>
      </c>
      <c r="BZ28">
        <f>IF(AF28=1,1000000,IF('計算A'!$IT$28&gt;0,0,500000)+IF('計算A'!$IQ$28=2,SUMPRODUCT('計算A'!$D$78:$EQ$78,$DB28:$IO28,$IQ28:$OD28),SUMPRODUCT('計算A'!$D$78:$EQ$78,$DB28:$IO28))*1000+19)</f>
        <v/>
      </c>
      <c r="CA28">
        <f>IF(AG28=1,1000000,IF('計算A'!$IT$29&gt;0,0,500000)+IF('計算A'!$IQ$29=2,SUMPRODUCT('計算A'!$D$79:$EQ$79,$DB28:$IO28,$IQ28:$OD28),SUMPRODUCT('計算A'!$D$79:$EQ$79,$DB28:$IO28))*1000+20)</f>
        <v/>
      </c>
      <c r="CB28">
        <f>IF(AH28=1,1000000,IF('計算A'!$IT$30&gt;0,0,500000)+IF('計算A'!$IQ$30=2,SUMPRODUCT('計算A'!$D$80:$EQ$80,$DB28:$IO28,$IQ28:$OD28),SUMPRODUCT('計算A'!$D$80:$EQ$80,$DB28:$IO28))*1000+21)</f>
        <v/>
      </c>
      <c r="CC28">
        <f>IF(AI28=1,1000000,IF('計算A'!$IT$31&gt;0,0,500000)+IF('計算A'!$IQ$31=2,SUMPRODUCT('計算A'!$D$81:$EQ$81,$DB28:$IO28,$IQ28:$OD28),SUMPRODUCT('計算A'!$D$81:$EQ$81,$DB28:$IO28))*1000+22)</f>
        <v/>
      </c>
      <c r="CD28">
        <f>IF(AJ28=1,1000000,IF('計算A'!$IT$32&gt;0,0,500000)+IF('計算A'!$IQ$32=2,SUMPRODUCT('計算A'!$D$82:$EQ$82,$DB28:$IO28,$IQ28:$OD28),SUMPRODUCT('計算A'!$D$82:$EQ$82,$DB28:$IO28))*1000+23)</f>
        <v/>
      </c>
      <c r="CE28">
        <f>IF(AK28=1,1000000,IF('計算A'!$IT$33&gt;0,0,500000)+IF('計算A'!$IQ$33=2,SUMPRODUCT('計算A'!$D$83:$EQ$83,$DB28:$IO28,$IQ28:$OD28),SUMPRODUCT('計算A'!$D$83:$EQ$83,$DB28:$IO28))*1000+24)</f>
        <v/>
      </c>
      <c r="CF28">
        <f>IF(AL28=1,1000000,IF('計算A'!$IT$34&gt;0,0,500000)+IF('計算A'!$IQ$34=2,SUMPRODUCT('計算A'!$D$84:$EQ$84,$DB28:$IO28,$IQ28:$OD28),SUMPRODUCT('計算A'!$D$84:$EQ$84,$DB28:$IO28))*1000+25)</f>
        <v/>
      </c>
      <c r="CG28">
        <f>IF(AM28=1,1000000,IF('計算A'!$IT$35&gt;0,0,500000)+IF('計算A'!$IQ$35=2,SUMPRODUCT('計算A'!$D$85:$EQ$85,$DB28:$IO28,$IQ28:$OD28),SUMPRODUCT('計算A'!$D$85:$EQ$85,$DB28:$IO28))*1000+26)</f>
        <v/>
      </c>
      <c r="CH28">
        <f>IF(AN28=1,1000000,IF('計算A'!$IT$36&gt;0,0,500000)+IF('計算A'!$IQ$36=2,SUMPRODUCT('計算A'!$D$86:$EQ$86,$DB28:$IO28,$IQ28:$OD28),SUMPRODUCT('計算A'!$D$86:$EQ$86,$DB28:$IO28))*1000+27)</f>
        <v/>
      </c>
      <c r="CI28">
        <f>IF(AO28=1,1000000,IF('計算A'!$IT$37&gt;0,0,500000)+IF('計算A'!$IQ$37=2,SUMPRODUCT('計算A'!$D$87:$EQ$87,$DB28:$IO28,$IQ28:$OD28),SUMPRODUCT('計算A'!$D$87:$EQ$87,$DB28:$IO28))*1000+28)</f>
        <v/>
      </c>
      <c r="CJ28">
        <f>IF(AP28=1,1000000,IF('計算A'!$IT$38&gt;0,0,500000)+IF('計算A'!$IQ$38=2,SUMPRODUCT('計算A'!$D$88:$EQ$88,$DB28:$IO28,$IQ28:$OD28),SUMPRODUCT('計算A'!$D$88:$EQ$88,$DB28:$IO28))*1000+29)</f>
        <v/>
      </c>
      <c r="CK28">
        <f>IF(AQ28=1,1000000,IF('計算A'!$IT$39&gt;0,0,500000)+IF('計算A'!$IQ$39=2,SUMPRODUCT('計算A'!$D$89:$EQ$89,$DB28:$IO28,$IQ28:$OD28),SUMPRODUCT('計算A'!$D$89:$EQ$89,$DB28:$IO28))*1000+30)</f>
        <v/>
      </c>
      <c r="CL28">
        <f>IF(AR28=1,1000000,IF('計算A'!$IT$40&gt;0,0,500000)+IF('計算A'!$IQ$40=2,SUMPRODUCT('計算A'!$D$90:$EQ$90,$DB28:$IO28,$IQ28:$OD28),SUMPRODUCT('計算A'!$D$90:$EQ$90,$DB28:$IO28))*1000+31)</f>
        <v/>
      </c>
      <c r="CM28">
        <f>IF(AS28=1,1000000,IF('計算A'!$IT$41&gt;0,0,500000)+IF('計算A'!$IQ$41=2,SUMPRODUCT('計算A'!$D$91:$EQ$91,$DB28:$IO28,$IQ28:$OD28),SUMPRODUCT('計算A'!$D$91:$EQ$91,$DB28:$IO28))*1000+32)</f>
        <v/>
      </c>
      <c r="CN28">
        <f>IF(AT28=1,1000000,IF('計算A'!$IT$42&gt;0,0,500000)+IF('計算A'!$IQ$42=2,SUMPRODUCT('計算A'!$D$92:$EQ$92,$DB28:$IO28,$IQ28:$OD28),SUMPRODUCT('計算A'!$D$92:$EQ$92,$DB28:$IO28))*1000+33)</f>
        <v/>
      </c>
      <c r="CO28">
        <f>IF(AU28=1,1000000,IF('計算A'!$IT$43&gt;0,0,500000)+IF('計算A'!$IQ$43=2,SUMPRODUCT('計算A'!$D$93:$EQ$93,$DB28:$IO28,$IQ28:$OD28),SUMPRODUCT('計算A'!$D$93:$EQ$93,$DB28:$IO28))*1000+34)</f>
        <v/>
      </c>
      <c r="CP28">
        <f>IF(AV28=1,1000000,IF('計算A'!$IT$44&gt;0,0,500000)+IF('計算A'!$IQ$44=2,SUMPRODUCT('計算A'!$D$94:$EQ$94,$DB28:$IO28,$IQ28:$OD28),SUMPRODUCT('計算A'!$D$94:$EQ$94,$DB28:$IO28))*1000+35)</f>
        <v/>
      </c>
      <c r="CQ28">
        <f>IF(AW28=1,1000000,IF('計算A'!$IT$45&gt;0,0,500000)+IF('計算A'!$IQ$45=2,SUMPRODUCT('計算A'!$D$95:$EQ$95,$DB28:$IO28,$IQ28:$OD28),SUMPRODUCT('計算A'!$D$95:$EQ$95,$DB28:$IO28))*1000+36)</f>
        <v/>
      </c>
      <c r="CR28">
        <f>IF(AX28=1,1000000,IF('計算A'!$IT$46&gt;0,0,500000)+IF('計算A'!$IQ$46=2,SUMPRODUCT('計算A'!$D$96:$EQ$96,$DB28:$IO28,$IQ28:$OD28),SUMPRODUCT('計算A'!$D$96:$EQ$96,$DB28:$IO28))*1000+37)</f>
        <v/>
      </c>
      <c r="CS28">
        <f>IF(AY28=1,1000000,IF('計算A'!$IT$47&gt;0,0,500000)+IF('計算A'!$IQ$47=2,SUMPRODUCT('計算A'!$D$97:$EQ$97,$DB28:$IO28,$IQ28:$OD28),SUMPRODUCT('計算A'!$D$97:$EQ$97,$DB28:$IO28))*1000+38)</f>
        <v/>
      </c>
      <c r="CT28">
        <f>IF(AZ28=1,1000000,IF('計算A'!$IT$48&gt;0,0,500000)+IF('計算A'!$IQ$48=2,SUMPRODUCT('計算A'!$D$98:$EQ$98,$DB28:$IO28,$IQ28:$OD28),SUMPRODUCT('計算A'!$D$98:$EQ$98,$DB28:$IO28))*1000+39)</f>
        <v/>
      </c>
      <c r="CU28">
        <f>IF(BA28=1,1000000,IF('計算A'!$IT$49&gt;0,0,500000)+IF('計算A'!$IQ$49=2,SUMPRODUCT('計算A'!$D$99:$EQ$99,$DB28:$IO28,$IQ28:$OD28),SUMPRODUCT('計算A'!$D$99:$EQ$99,$DB28:$IO28))*1000+40)</f>
        <v/>
      </c>
      <c r="CV28">
        <f>IF(BB28=1,1000000,IF('計算A'!$IT$50&gt;0,0,500000)+IF('計算A'!$IQ$50=2,SUMPRODUCT('計算A'!$D$100:$EQ$100,$DB28:$IO28,$IQ28:$OD28),SUMPRODUCT('計算A'!$D$100:$EQ$100,$DB28:$IO28))*1000+41)</f>
        <v/>
      </c>
      <c r="CW28">
        <f>IF(BC28=1,1000000,IF('計算A'!$IT$51&gt;0,0,500000)+IF('計算A'!$IQ$51=2,SUMPRODUCT('計算A'!$D$101:$EQ$101,$DB28:$IO28,$IQ28:$OD28),SUMPRODUCT('計算A'!$D$101:$EQ$101,$DB28:$IO28))*1000+42)</f>
        <v/>
      </c>
      <c r="CX28">
        <f>IF(BD28=1,1000000,IF('計算A'!$IT$52&gt;0,0,500000)+IF('計算A'!$IQ$52=2,SUMPRODUCT('計算A'!$D$102:$EQ$102,$DB28:$IO28,$IQ28:$OD28),SUMPRODUCT('計算A'!$D$102:$EQ$102,$DB28:$IO28))*1000+43)</f>
        <v/>
      </c>
      <c r="CY28">
        <f>IF(BE28=1,1000000,IF('計算A'!$IT$53&gt;0,0,500000)+IF('計算A'!$IQ$53=2,SUMPRODUCT('計算A'!$D$103:$EQ$103,$DB28:$IO28,$IQ28:$OD28),SUMPRODUCT('計算A'!$D$103:$EQ$103,$DB28:$IO28))*1000+44)</f>
        <v/>
      </c>
      <c r="CZ28">
        <f>IF(BF28=1,1000000,IF('計算A'!$IT$54&gt;0,0,500000)+IF('計算A'!$IQ$54=2,SUMPRODUCT('計算A'!$D$104:$EQ$104,$DB28:$IO28,$IQ28:$OD28),SUMPRODUCT('計算A'!$D$104:$EQ$104,$DB28:$IO28))*1000+45)</f>
        <v/>
      </c>
      <c r="DB28">
        <f>DB27*IF(OR($C27=1,$G27=1),0,1)</f>
        <v/>
      </c>
      <c r="DC28">
        <f>DC27*IF(OR($C27=2,$G27=2),0,1)</f>
        <v/>
      </c>
      <c r="DD28">
        <f>DD27*IF(OR($C27=3,$G27=3),0,1)</f>
        <v/>
      </c>
      <c r="DE28">
        <f>DE27*IF(OR($C27=4,$G27=4),0,1)</f>
        <v/>
      </c>
      <c r="DF28">
        <f>DF27*IF(OR($C27=5,$G27=5),0,1)</f>
        <v/>
      </c>
      <c r="DG28">
        <f>DG27*IF(OR($C27=6,$G27=6),0,1)</f>
        <v/>
      </c>
      <c r="DH28">
        <f>DH27*IF(OR($C27=7,$G27=7),0,1)</f>
        <v/>
      </c>
      <c r="DI28">
        <f>DI27*IF(OR($C27=8,$G27=8),0,1)</f>
        <v/>
      </c>
      <c r="DJ28">
        <f>DJ27*IF(OR($C27=9,$G27=9),0,1)</f>
        <v/>
      </c>
      <c r="DK28">
        <f>DK27*IF(OR($C27=10,$G27=10),0,1)</f>
        <v/>
      </c>
      <c r="DL28">
        <f>DL27*IF(OR($C27=11,$G27=11),0,1)</f>
        <v/>
      </c>
      <c r="DM28">
        <f>DM27*IF(OR($C27=12,$G27=12),0,1)</f>
        <v/>
      </c>
      <c r="DN28">
        <f>DN27*IF(OR($C27=13,$G27=13),0,1)</f>
        <v/>
      </c>
      <c r="DO28">
        <f>DO27*IF(OR($C27=14,$G27=14),0,1)</f>
        <v/>
      </c>
      <c r="DP28">
        <f>DP27*IF(OR($C27=15,$G27=15),0,1)</f>
        <v/>
      </c>
      <c r="DQ28">
        <f>DQ27*IF(OR($C27=16,$G27=16),0,1)</f>
        <v/>
      </c>
      <c r="DR28">
        <f>DR27*IF(OR($C27=17,$G27=17),0,1)</f>
        <v/>
      </c>
      <c r="DS28">
        <f>DS27*IF(OR($C27=18,$G27=18),0,1)</f>
        <v/>
      </c>
      <c r="DT28">
        <f>DT27*IF(OR($C27=19,$G27=19),0,1)</f>
        <v/>
      </c>
      <c r="DU28">
        <f>DU27*IF(OR($C27=20,$G27=20),0,1)</f>
        <v/>
      </c>
      <c r="DV28">
        <f>DV27*IF(OR($C27=21,$G27=21),0,1)</f>
        <v/>
      </c>
      <c r="DW28">
        <f>DW27*IF(OR($C27=22,$G27=22),0,1)</f>
        <v/>
      </c>
      <c r="DX28">
        <f>DX27*IF(OR($C27=23,$G27=23),0,1)</f>
        <v/>
      </c>
      <c r="DY28">
        <f>DY27*IF(OR($C27=24,$G27=24),0,1)</f>
        <v/>
      </c>
      <c r="DZ28">
        <f>DZ27*IF(OR($C27=25,$G27=25),0,1)</f>
        <v/>
      </c>
      <c r="EA28">
        <f>EA27*IF(OR($C27=26,$G27=26),0,1)</f>
        <v/>
      </c>
      <c r="EB28">
        <f>EB27*IF(OR($C27=27,$G27=27),0,1)</f>
        <v/>
      </c>
      <c r="EC28">
        <f>EC27*IF(OR($C27=28,$G27=28),0,1)</f>
        <v/>
      </c>
      <c r="ED28">
        <f>ED27*IF(OR($C27=29,$G27=29),0,1)</f>
        <v/>
      </c>
      <c r="EE28">
        <f>EE27*IF(OR($C27=30,$G27=30),0,1)</f>
        <v/>
      </c>
      <c r="EF28">
        <f>EF27*IF(OR($C27=31,$G27=31),0,1)</f>
        <v/>
      </c>
      <c r="EG28">
        <f>EG27*IF(OR($C27=32,$G27=32),0,1)</f>
        <v/>
      </c>
      <c r="EH28">
        <f>EH27*IF(OR($C27=33,$G27=33),0,1)</f>
        <v/>
      </c>
      <c r="EI28">
        <f>EI27*IF(OR($C27=34,$G27=34),0,1)</f>
        <v/>
      </c>
      <c r="EJ28">
        <f>EJ27*IF(OR($C27=35,$G27=35),0,1)</f>
        <v/>
      </c>
      <c r="EK28">
        <f>EK27*IF(OR($C27=36,$G27=36),0,1)</f>
        <v/>
      </c>
      <c r="EL28">
        <f>EL27*IF(OR($C27=37,$G27=37),0,1)</f>
        <v/>
      </c>
      <c r="EM28">
        <f>EM27*IF(OR($C27=38,$G27=38),0,1)</f>
        <v/>
      </c>
      <c r="EN28">
        <f>EN27*IF(OR($C27=39,$G27=39),0,1)</f>
        <v/>
      </c>
      <c r="EO28">
        <f>EO27*IF(OR($C27=40,$G27=40),0,1)</f>
        <v/>
      </c>
      <c r="EP28">
        <f>EP27*IF(OR($C27=41,$G27=41),0,1)</f>
        <v/>
      </c>
      <c r="EQ28">
        <f>EQ27*IF(OR($C27=42,$G27=42),0,1)</f>
        <v/>
      </c>
      <c r="ER28">
        <f>ER27*IF(OR($C27=43,$G27=43),0,1)</f>
        <v/>
      </c>
      <c r="ES28">
        <f>ES27*IF(OR($C27=44,$G27=44),0,1)</f>
        <v/>
      </c>
      <c r="ET28">
        <f>ET27*IF(OR($C27=45,$G27=45),0,1)</f>
        <v/>
      </c>
      <c r="EU28">
        <f>EU27*IF(OR($C27=46,$G27=46),0,1)</f>
        <v/>
      </c>
      <c r="EV28">
        <f>EV27*IF(OR($C27=47,$G27=47),0,1)</f>
        <v/>
      </c>
      <c r="EW28">
        <f>EW27*IF(OR($C27=48,$G27=48),0,1)</f>
        <v/>
      </c>
      <c r="EX28">
        <f>EX27*IF(OR($C27=49,$G27=49),0,1)</f>
        <v/>
      </c>
      <c r="EY28">
        <f>EY27*IF(OR($C27=50,$G27=50),0,1)</f>
        <v/>
      </c>
      <c r="EZ28">
        <f>EZ27*IF(OR($C27=51,$G27=51),0,1)</f>
        <v/>
      </c>
      <c r="FA28">
        <f>FA27*IF(OR($C27=52,$G27=52),0,1)</f>
        <v/>
      </c>
      <c r="FB28">
        <f>FB27*IF(OR($C27=53,$G27=53),0,1)</f>
        <v/>
      </c>
      <c r="FC28">
        <f>FC27*IF(OR($C27=54,$G27=54),0,1)</f>
        <v/>
      </c>
      <c r="FD28">
        <f>FD27*IF(OR($C27=55,$G27=55),0,1)</f>
        <v/>
      </c>
      <c r="FE28">
        <f>FE27*IF(OR($C27=56,$G27=56),0,1)</f>
        <v/>
      </c>
      <c r="FF28">
        <f>FF27*IF(OR($C27=57,$G27=57),0,1)</f>
        <v/>
      </c>
      <c r="FG28">
        <f>FG27*IF(OR($C27=58,$G27=58),0,1)</f>
        <v/>
      </c>
      <c r="FH28">
        <f>FH27*IF(OR($C27=59,$G27=59),0,1)</f>
        <v/>
      </c>
      <c r="FI28">
        <f>FI27*IF(OR($C27=60,$G27=60),0,1)</f>
        <v/>
      </c>
      <c r="FJ28">
        <f>FJ27*IF(OR($C27=61,$G27=61),0,1)</f>
        <v/>
      </c>
      <c r="FK28">
        <f>FK27*IF(OR($C27=62,$G27=62),0,1)</f>
        <v/>
      </c>
      <c r="FL28">
        <f>FL27*IF(OR($C27=63,$G27=63),0,1)</f>
        <v/>
      </c>
      <c r="FM28">
        <f>FM27*IF(OR($C27=64,$G27=64),0,1)</f>
        <v/>
      </c>
      <c r="FN28">
        <f>FN27*IF(OR($C27=65,$G27=65),0,1)</f>
        <v/>
      </c>
      <c r="FO28">
        <f>FO27*IF(OR($C27=66,$G27=66),0,1)</f>
        <v/>
      </c>
      <c r="FP28">
        <f>FP27*IF(OR($C27=67,$G27=67),0,1)</f>
        <v/>
      </c>
      <c r="FQ28">
        <f>FQ27*IF(OR($C27=68,$G27=68),0,1)</f>
        <v/>
      </c>
      <c r="FR28">
        <f>FR27*IF(OR($C27=69,$G27=69),0,1)</f>
        <v/>
      </c>
      <c r="FS28">
        <f>FS27*IF(OR($C27=70,$G27=70),0,1)</f>
        <v/>
      </c>
      <c r="FT28">
        <f>FT27*IF(OR($C27=71,$G27=71),0,1)</f>
        <v/>
      </c>
      <c r="FU28">
        <f>FU27*IF(OR($C27=72,$G27=72),0,1)</f>
        <v/>
      </c>
      <c r="FV28">
        <f>FV27*IF(OR($C27=73,$G27=73),0,1)</f>
        <v/>
      </c>
      <c r="FW28">
        <f>FW27*IF(OR($C27=74,$G27=74),0,1)</f>
        <v/>
      </c>
      <c r="FX28">
        <f>FX27*IF(OR($C27=75,$G27=75),0,1)</f>
        <v/>
      </c>
      <c r="FY28">
        <f>FY27*IF(OR($C27=76,$G27=76),0,1)</f>
        <v/>
      </c>
      <c r="FZ28">
        <f>FZ27*IF(OR($C27=77,$G27=77),0,1)</f>
        <v/>
      </c>
      <c r="GA28">
        <f>GA27*IF(OR($C27=78,$G27=78),0,1)</f>
        <v/>
      </c>
      <c r="GB28">
        <f>GB27*IF(OR($C27=79,$G27=79),0,1)</f>
        <v/>
      </c>
      <c r="GC28">
        <f>GC27*IF(OR($C27=80,$G27=80),0,1)</f>
        <v/>
      </c>
      <c r="GD28">
        <f>GD27*IF(OR($C27=81,$G27=81),0,1)</f>
        <v/>
      </c>
      <c r="GE28">
        <f>GE27*IF(OR($C27=82,$G27=82),0,1)</f>
        <v/>
      </c>
      <c r="GF28">
        <f>GF27*IF(OR($C27=83,$G27=83),0,1)</f>
        <v/>
      </c>
      <c r="GG28">
        <f>GG27*IF(OR($C27=84,$G27=84),0,1)</f>
        <v/>
      </c>
      <c r="GH28">
        <f>GH27*IF(OR($C27=85,$G27=85),0,1)</f>
        <v/>
      </c>
      <c r="GI28">
        <f>GI27*IF(OR($C27=86,$G27=86),0,1)</f>
        <v/>
      </c>
      <c r="GJ28">
        <f>GJ27*IF(OR($C27=87,$G27=87),0,1)</f>
        <v/>
      </c>
      <c r="GK28">
        <f>GK27*IF(OR($C27=88,$G27=88),0,1)</f>
        <v/>
      </c>
      <c r="GL28">
        <f>GL27*IF(OR($C27=89,$G27=89),0,1)</f>
        <v/>
      </c>
      <c r="GM28">
        <f>GM27*IF(OR($C27=90,$G27=90),0,1)</f>
        <v/>
      </c>
      <c r="GN28">
        <f>GN27*IF(OR($C27=91,$G27=91),0,1)</f>
        <v/>
      </c>
      <c r="GO28">
        <f>GO27*IF(OR($C27=92,$G27=92),0,1)</f>
        <v/>
      </c>
      <c r="GP28">
        <f>GP27*IF(OR($C27=93,$G27=93),0,1)</f>
        <v/>
      </c>
      <c r="GQ28">
        <f>GQ27*IF(OR($C27=94,$G27=94),0,1)</f>
        <v/>
      </c>
      <c r="GR28">
        <f>GR27*IF(OR($C27=95,$G27=95),0,1)</f>
        <v/>
      </c>
      <c r="GS28">
        <f>GS27*IF(OR($C27=96,$G27=96),0,1)</f>
        <v/>
      </c>
      <c r="GT28">
        <f>GT27*IF(OR($C27=97,$G27=97),0,1)</f>
        <v/>
      </c>
      <c r="GU28">
        <f>GU27*IF(OR($C27=98,$G27=98),0,1)</f>
        <v/>
      </c>
      <c r="GV28">
        <f>GV27*IF(OR($C27=99,$G27=99),0,1)</f>
        <v/>
      </c>
      <c r="GW28">
        <f>GW27*IF(OR($C27=100,$G27=100),0,1)</f>
        <v/>
      </c>
      <c r="GX28">
        <f>GX27*IF(OR($C27=101,$G27=101),0,1)</f>
        <v/>
      </c>
      <c r="GY28">
        <f>GY27*IF(OR($C27=102,$G27=102),0,1)</f>
        <v/>
      </c>
      <c r="GZ28">
        <f>GZ27*IF(OR($C27=103,$G27=103),0,1)</f>
        <v/>
      </c>
      <c r="HA28">
        <f>HA27*IF(OR($C27=104,$G27=104),0,1)</f>
        <v/>
      </c>
      <c r="HB28">
        <f>HB27*IF(OR($C27=105,$G27=105),0,1)</f>
        <v/>
      </c>
      <c r="HC28">
        <f>HC27*IF(OR($C27=106,$G27=106),0,1)</f>
        <v/>
      </c>
      <c r="HD28">
        <f>HD27*IF(OR($C27=107,$G27=107),0,1)</f>
        <v/>
      </c>
      <c r="HE28">
        <f>HE27*IF(OR($C27=108,$G27=108),0,1)</f>
        <v/>
      </c>
      <c r="HF28">
        <f>HF27*IF(OR($C27=109,$G27=109),0,1)</f>
        <v/>
      </c>
      <c r="HG28">
        <f>HG27*IF(OR($C27=110,$G27=110),0,1)</f>
        <v/>
      </c>
      <c r="HH28">
        <f>HH27*IF(OR($C27=111,$G27=111),0,1)</f>
        <v/>
      </c>
      <c r="HI28">
        <f>HI27*IF(OR($C27=112,$G27=112),0,1)</f>
        <v/>
      </c>
      <c r="HJ28">
        <f>HJ27*IF(OR($C27=113,$G27=113),0,1)</f>
        <v/>
      </c>
      <c r="HK28">
        <f>HK27*IF(OR($C27=114,$G27=114),0,1)</f>
        <v/>
      </c>
      <c r="HL28">
        <f>HL27*IF(OR($C27=115,$G27=115),0,1)</f>
        <v/>
      </c>
      <c r="HM28">
        <f>HM27*IF(OR($C27=116,$G27=116),0,1)</f>
        <v/>
      </c>
      <c r="HN28">
        <f>HN27*IF(OR($C27=117,$G27=117),0,1)</f>
        <v/>
      </c>
      <c r="HO28">
        <f>HO27*IF(OR($C27=118,$G27=118),0,1)</f>
        <v/>
      </c>
      <c r="HP28">
        <f>HP27*IF(OR($C27=119,$G27=119),0,1)</f>
        <v/>
      </c>
      <c r="HQ28">
        <f>HQ27*IF(OR($C27=120,$G27=120),0,1)</f>
        <v/>
      </c>
      <c r="HR28">
        <f>HR27*IF(OR($C27=121,$G27=121),0,1)</f>
        <v/>
      </c>
      <c r="HS28">
        <f>HS27*IF(OR($C27=122,$G27=122),0,1)</f>
        <v/>
      </c>
      <c r="HT28">
        <f>HT27*IF(OR($C27=123,$G27=123),0,1)</f>
        <v/>
      </c>
      <c r="HU28">
        <f>HU27*IF(OR($C27=124,$G27=124),0,1)</f>
        <v/>
      </c>
      <c r="HV28">
        <f>HV27*IF(OR($C27=125,$G27=125),0,1)</f>
        <v/>
      </c>
      <c r="HW28">
        <f>HW27*IF(OR($C27=126,$G27=126),0,1)</f>
        <v/>
      </c>
      <c r="HX28">
        <f>HX27*IF(OR($C27=127,$G27=127),0,1)</f>
        <v/>
      </c>
      <c r="HY28">
        <f>HY27*IF(OR($C27=128,$G27=128),0,1)</f>
        <v/>
      </c>
      <c r="HZ28">
        <f>HZ27*IF(OR($C27=129,$G27=129),0,1)</f>
        <v/>
      </c>
      <c r="IA28">
        <f>IA27*IF(OR($C27=130,$G27=130),0,1)</f>
        <v/>
      </c>
      <c r="IB28">
        <f>IB27*IF(OR($C27=131,$G27=131),0,1)</f>
        <v/>
      </c>
      <c r="IC28">
        <f>IC27*IF(OR($C27=132,$G27=132),0,1)</f>
        <v/>
      </c>
      <c r="ID28">
        <f>ID27*IF(OR($C27=133,$G27=133),0,1)</f>
        <v/>
      </c>
      <c r="IE28">
        <f>IE27*IF(OR($C27=134,$G27=134),0,1)</f>
        <v/>
      </c>
      <c r="IF28">
        <f>IF27*IF(OR($C27=135,$G27=135),0,1)</f>
        <v/>
      </c>
      <c r="IG28">
        <f>IG27*IF(OR($C27=136,$G27=136),0,1)</f>
        <v/>
      </c>
      <c r="IH28">
        <f>IH27*IF(OR($C27=137,$G27=137),0,1)</f>
        <v/>
      </c>
      <c r="II28">
        <f>II27*IF(OR($C27=138,$G27=138),0,1)</f>
        <v/>
      </c>
      <c r="IJ28">
        <f>IJ27*IF(OR($C27=139,$G27=139),0,1)</f>
        <v/>
      </c>
      <c r="IK28">
        <f>IK27*IF(OR($C27=140,$G27=140),0,1)</f>
        <v/>
      </c>
      <c r="IL28">
        <f>IL27*IF(OR($C27=141,$G27=141),0,1)</f>
        <v/>
      </c>
      <c r="IM28">
        <f>IM27*IF(OR($C27=142,$G27=142),0,1)</f>
        <v/>
      </c>
      <c r="IN28">
        <f>IN27*IF(OR($C27=143,$G27=143),0,1)</f>
        <v/>
      </c>
      <c r="IO28">
        <f>IO27*IF(OR($C27=144,$G27=144),0,1)</f>
        <v/>
      </c>
      <c r="IQ28">
        <f>IF('計算A'!D$106=1,DC28,1)</f>
        <v/>
      </c>
      <c r="IR28">
        <f>IF('計算A'!E$106=1,DD28,1)</f>
        <v/>
      </c>
      <c r="IS28">
        <f>IF('計算A'!F$106=1,DE28,1)</f>
        <v/>
      </c>
      <c r="IT28">
        <f>IF('計算A'!G$106=1,DF28,1)</f>
        <v/>
      </c>
      <c r="IU28">
        <f>IF('計算A'!H$106=1,DG28,1)</f>
        <v/>
      </c>
      <c r="IV28">
        <f>IF('計算A'!I$106=1,DH28,1)</f>
        <v/>
      </c>
      <c r="IW28">
        <f>IF('計算A'!J$106=1,DI28,1)</f>
        <v/>
      </c>
      <c r="IX28">
        <f>IF('計算A'!K$106=1,DJ28,1)</f>
        <v/>
      </c>
      <c r="IY28">
        <f>IF('計算A'!L$106=1,DK28,1)</f>
        <v/>
      </c>
      <c r="IZ28">
        <f>IF('計算A'!M$106=1,DL28,1)</f>
        <v/>
      </c>
      <c r="JA28">
        <f>IF('計算A'!N$106=1,DM28,1)</f>
        <v/>
      </c>
      <c r="JB28">
        <f>IF('計算A'!O$106=1,DN28,1)</f>
        <v/>
      </c>
      <c r="JC28">
        <f>IF('計算A'!P$106=1,DO28,1)</f>
        <v/>
      </c>
      <c r="JD28">
        <f>IF('計算A'!Q$106=1,DP28,1)</f>
        <v/>
      </c>
      <c r="JE28">
        <f>IF('計算A'!R$106=1,DQ28,1)</f>
        <v/>
      </c>
      <c r="JF28">
        <f>IF('計算A'!S$106=1,DR28,1)</f>
        <v/>
      </c>
      <c r="JG28">
        <f>IF('計算A'!T$106=1,DS28,1)</f>
        <v/>
      </c>
      <c r="JH28">
        <f>IF('計算A'!U$106=1,DT28,1)</f>
        <v/>
      </c>
      <c r="JI28">
        <f>IF('計算A'!V$106=1,DU28,1)</f>
        <v/>
      </c>
      <c r="JJ28">
        <f>IF('計算A'!W$106=1,DV28,1)</f>
        <v/>
      </c>
      <c r="JK28">
        <f>IF('計算A'!X$106=1,DW28,1)</f>
        <v/>
      </c>
      <c r="JL28">
        <f>IF('計算A'!Y$106=1,DX28,1)</f>
        <v/>
      </c>
      <c r="JM28">
        <f>IF('計算A'!Z$106=1,DY28,1)</f>
        <v/>
      </c>
      <c r="JN28">
        <f>IF('計算A'!AA$106=1,DZ28,1)</f>
        <v/>
      </c>
      <c r="JO28">
        <f>IF('計算A'!AB$106=1,EA28,1)</f>
        <v/>
      </c>
      <c r="JP28">
        <f>IF('計算A'!AC$106=1,EB28,1)</f>
        <v/>
      </c>
      <c r="JQ28">
        <f>IF('計算A'!AD$106=1,EC28,1)</f>
        <v/>
      </c>
      <c r="JR28">
        <f>IF('計算A'!AE$106=1,ED28,1)</f>
        <v/>
      </c>
      <c r="JS28">
        <f>IF('計算A'!AF$106=1,EE28,1)</f>
        <v/>
      </c>
      <c r="JT28">
        <f>IF('計算A'!AG$106=1,EF28,1)</f>
        <v/>
      </c>
      <c r="JU28">
        <f>IF('計算A'!AH$106=1,EG28,1)</f>
        <v/>
      </c>
      <c r="JV28">
        <f>IF('計算A'!AI$106=1,EH28,1)</f>
        <v/>
      </c>
      <c r="JW28">
        <f>IF('計算A'!AJ$106=1,EI28,1)</f>
        <v/>
      </c>
      <c r="JX28">
        <f>IF('計算A'!AK$106=1,EJ28,1)</f>
        <v/>
      </c>
      <c r="JY28">
        <f>IF('計算A'!AL$106=1,EK28,1)</f>
        <v/>
      </c>
      <c r="JZ28">
        <f>IF('計算A'!AM$106=1,EL28,1)</f>
        <v/>
      </c>
      <c r="KA28">
        <f>IF('計算A'!AN$106=1,EM28,1)</f>
        <v/>
      </c>
      <c r="KB28">
        <f>IF('計算A'!AO$106=1,EN28,1)</f>
        <v/>
      </c>
      <c r="KC28">
        <f>IF('計算A'!AP$106=1,EO28,1)</f>
        <v/>
      </c>
      <c r="KD28">
        <f>IF('計算A'!AQ$106=1,EP28,1)</f>
        <v/>
      </c>
      <c r="KE28">
        <f>IF('計算A'!AR$106=1,EQ28,1)</f>
        <v/>
      </c>
      <c r="KF28">
        <f>IF('計算A'!AS$106=1,ER28,1)</f>
        <v/>
      </c>
      <c r="KG28">
        <f>IF('計算A'!AT$106=1,ES28,1)</f>
        <v/>
      </c>
      <c r="KH28">
        <f>IF('計算A'!AU$106=1,ET28,1)</f>
        <v/>
      </c>
      <c r="KI28">
        <f>IF('計算A'!AV$106=1,EU28,1)</f>
        <v/>
      </c>
      <c r="KJ28">
        <f>IF('計算A'!AW$106=1,EV28,1)</f>
        <v/>
      </c>
      <c r="KK28">
        <f>IF('計算A'!AX$106=1,EW28,1)</f>
        <v/>
      </c>
      <c r="KL28">
        <f>IF('計算A'!AY$106=1,EX28,1)</f>
        <v/>
      </c>
      <c r="KM28">
        <f>IF('計算A'!AZ$106=1,EY28,1)</f>
        <v/>
      </c>
      <c r="KN28">
        <f>IF('計算A'!BA$106=1,EZ28,1)</f>
        <v/>
      </c>
      <c r="KO28">
        <f>IF('計算A'!BB$106=1,FA28,1)</f>
        <v/>
      </c>
      <c r="KP28">
        <f>IF('計算A'!BC$106=1,FB28,1)</f>
        <v/>
      </c>
      <c r="KQ28">
        <f>IF('計算A'!BD$106=1,FC28,1)</f>
        <v/>
      </c>
      <c r="KR28">
        <f>IF('計算A'!BE$106=1,FD28,1)</f>
        <v/>
      </c>
      <c r="KS28">
        <f>IF('計算A'!BF$106=1,FE28,1)</f>
        <v/>
      </c>
      <c r="KT28">
        <f>IF('計算A'!BG$106=1,FF28,1)</f>
        <v/>
      </c>
      <c r="KU28">
        <f>IF('計算A'!BH$106=1,FG28,1)</f>
        <v/>
      </c>
      <c r="KV28">
        <f>IF('計算A'!BI$106=1,FH28,1)</f>
        <v/>
      </c>
      <c r="KW28">
        <f>IF('計算A'!BJ$106=1,FI28,1)</f>
        <v/>
      </c>
      <c r="KX28">
        <f>IF('計算A'!BK$106=1,FJ28,1)</f>
        <v/>
      </c>
      <c r="KY28">
        <f>IF('計算A'!BL$106=1,FK28,1)</f>
        <v/>
      </c>
      <c r="KZ28">
        <f>IF('計算A'!BM$106=1,FL28,1)</f>
        <v/>
      </c>
      <c r="LA28">
        <f>IF('計算A'!BN$106=1,FM28,1)</f>
        <v/>
      </c>
      <c r="LB28">
        <f>IF('計算A'!BO$106=1,FN28,1)</f>
        <v/>
      </c>
      <c r="LC28">
        <f>IF('計算A'!BP$106=1,FO28,1)</f>
        <v/>
      </c>
      <c r="LD28">
        <f>IF('計算A'!BQ$106=1,FP28,1)</f>
        <v/>
      </c>
      <c r="LE28">
        <f>IF('計算A'!BR$106=1,FQ28,1)</f>
        <v/>
      </c>
      <c r="LF28">
        <f>IF('計算A'!BS$106=1,FR28,1)</f>
        <v/>
      </c>
      <c r="LG28">
        <f>IF('計算A'!BT$106=1,FS28,1)</f>
        <v/>
      </c>
      <c r="LH28">
        <f>IF('計算A'!BU$106=1,FT28,1)</f>
        <v/>
      </c>
      <c r="LI28">
        <f>IF('計算A'!BV$106=1,FU28,1)</f>
        <v/>
      </c>
      <c r="LJ28">
        <f>IF('計算A'!BW$106=1,FV28,1)</f>
        <v/>
      </c>
      <c r="LK28">
        <f>IF('計算A'!BX$106=1,FW28,1)</f>
        <v/>
      </c>
      <c r="LL28">
        <f>IF('計算A'!BY$106=1,FX28,1)</f>
        <v/>
      </c>
      <c r="LM28">
        <f>IF('計算A'!BZ$106=1,FY28,1)</f>
        <v/>
      </c>
      <c r="LN28">
        <f>IF('計算A'!CA$106=1,FZ28,1)</f>
        <v/>
      </c>
      <c r="LO28">
        <f>IF('計算A'!CB$106=1,GA28,1)</f>
        <v/>
      </c>
      <c r="LP28">
        <f>IF('計算A'!CC$106=1,GB28,1)</f>
        <v/>
      </c>
      <c r="LQ28">
        <f>IF('計算A'!CD$106=1,GC28,1)</f>
        <v/>
      </c>
      <c r="LR28">
        <f>IF('計算A'!CE$106=1,GD28,1)</f>
        <v/>
      </c>
      <c r="LS28">
        <f>IF('計算A'!CF$106=1,GE28,1)</f>
        <v/>
      </c>
      <c r="LT28">
        <f>IF('計算A'!CG$106=1,GF28,1)</f>
        <v/>
      </c>
      <c r="LU28">
        <f>IF('計算A'!CH$106=1,GG28,1)</f>
        <v/>
      </c>
      <c r="LV28">
        <f>IF('計算A'!CI$106=1,GH28,1)</f>
        <v/>
      </c>
      <c r="LW28">
        <f>IF('計算A'!CJ$106=1,GI28,1)</f>
        <v/>
      </c>
      <c r="LX28">
        <f>IF('計算A'!CK$106=1,GJ28,1)</f>
        <v/>
      </c>
      <c r="LY28">
        <f>IF('計算A'!CL$106=1,GK28,1)</f>
        <v/>
      </c>
      <c r="LZ28">
        <f>IF('計算A'!CM$106=1,GL28,1)</f>
        <v/>
      </c>
      <c r="MA28">
        <f>IF('計算A'!CN$106=1,GM28,1)</f>
        <v/>
      </c>
      <c r="MB28">
        <f>IF('計算A'!CO$106=1,GN28,1)</f>
        <v/>
      </c>
      <c r="MC28">
        <f>IF('計算A'!CP$106=1,GO28,1)</f>
        <v/>
      </c>
      <c r="MD28">
        <f>IF('計算A'!CQ$106=1,GP28,1)</f>
        <v/>
      </c>
      <c r="ME28">
        <f>IF('計算A'!CR$106=1,GQ28,1)</f>
        <v/>
      </c>
      <c r="MF28">
        <f>IF('計算A'!CS$106=1,GR28,1)</f>
        <v/>
      </c>
      <c r="MG28">
        <f>IF('計算A'!CT$106=1,GS28,1)</f>
        <v/>
      </c>
      <c r="MH28">
        <f>IF('計算A'!CU$106=1,GT28,1)</f>
        <v/>
      </c>
      <c r="MI28">
        <f>IF('計算A'!CV$106=1,GU28,1)</f>
        <v/>
      </c>
      <c r="MJ28">
        <f>IF('計算A'!CW$106=1,GV28,1)</f>
        <v/>
      </c>
      <c r="MK28">
        <f>IF('計算A'!CX$106=1,GW28,1)</f>
        <v/>
      </c>
      <c r="ML28">
        <f>IF('計算A'!CY$106=1,GX28,1)</f>
        <v/>
      </c>
      <c r="MM28">
        <f>IF('計算A'!CZ$106=1,GY28,1)</f>
        <v/>
      </c>
      <c r="MN28">
        <f>IF('計算A'!DA$106=1,GZ28,1)</f>
        <v/>
      </c>
      <c r="MO28">
        <f>IF('計算A'!DB$106=1,HA28,1)</f>
        <v/>
      </c>
      <c r="MP28">
        <f>IF('計算A'!DC$106=1,HB28,1)</f>
        <v/>
      </c>
      <c r="MQ28">
        <f>IF('計算A'!DD$106=1,HC28,1)</f>
        <v/>
      </c>
      <c r="MR28">
        <f>IF('計算A'!DE$106=1,HD28,1)</f>
        <v/>
      </c>
      <c r="MS28">
        <f>IF('計算A'!DF$106=1,HE28,1)</f>
        <v/>
      </c>
      <c r="MT28">
        <f>IF('計算A'!DG$106=1,HF28,1)</f>
        <v/>
      </c>
      <c r="MU28">
        <f>IF('計算A'!DH$106=1,HG28,1)</f>
        <v/>
      </c>
      <c r="MV28">
        <f>IF('計算A'!DI$106=1,HH28,1)</f>
        <v/>
      </c>
      <c r="MW28">
        <f>IF('計算A'!DJ$106=1,HI28,1)</f>
        <v/>
      </c>
      <c r="MX28">
        <f>IF('計算A'!DK$106=1,HJ28,1)</f>
        <v/>
      </c>
      <c r="MY28">
        <f>IF('計算A'!DL$106=1,HK28,1)</f>
        <v/>
      </c>
      <c r="MZ28">
        <f>IF('計算A'!DM$106=1,HL28,1)</f>
        <v/>
      </c>
      <c r="NA28">
        <f>IF('計算A'!DN$106=1,HM28,1)</f>
        <v/>
      </c>
      <c r="NB28">
        <f>IF('計算A'!DO$106=1,HN28,1)</f>
        <v/>
      </c>
      <c r="NC28">
        <f>IF('計算A'!DP$106=1,HO28,1)</f>
        <v/>
      </c>
      <c r="ND28">
        <f>IF('計算A'!DQ$106=1,HP28,1)</f>
        <v/>
      </c>
      <c r="NE28">
        <f>IF('計算A'!DR$106=1,HQ28,1)</f>
        <v/>
      </c>
      <c r="NF28">
        <f>IF('計算A'!DS$106=1,HR28,1)</f>
        <v/>
      </c>
      <c r="NG28">
        <f>IF('計算A'!DT$106=1,HS28,1)</f>
        <v/>
      </c>
      <c r="NH28">
        <f>IF('計算A'!DU$106=1,HT28,1)</f>
        <v/>
      </c>
      <c r="NI28">
        <f>IF('計算A'!DV$106=1,HU28,1)</f>
        <v/>
      </c>
      <c r="NJ28">
        <f>IF('計算A'!DW$106=1,HV28,1)</f>
        <v/>
      </c>
      <c r="NK28">
        <f>IF('計算A'!DX$106=1,HW28,1)</f>
        <v/>
      </c>
      <c r="NL28">
        <f>IF('計算A'!DY$106=1,HX28,1)</f>
        <v/>
      </c>
      <c r="NM28">
        <f>IF('計算A'!DZ$106=1,HY28,1)</f>
        <v/>
      </c>
      <c r="NN28">
        <f>IF('計算A'!EA$106=1,HZ28,1)</f>
        <v/>
      </c>
      <c r="NO28">
        <f>IF('計算A'!EB$106=1,IA28,1)</f>
        <v/>
      </c>
      <c r="NP28">
        <f>IF('計算A'!EC$106=1,IB28,1)</f>
        <v/>
      </c>
      <c r="NQ28">
        <f>IF('計算A'!ED$106=1,IC28,1)</f>
        <v/>
      </c>
      <c r="NR28">
        <f>IF('計算A'!EE$106=1,ID28,1)</f>
        <v/>
      </c>
      <c r="NS28">
        <f>IF('計算A'!EF$106=1,IE28,1)</f>
        <v/>
      </c>
      <c r="NT28">
        <f>IF('計算A'!EG$106=1,IF28,1)</f>
        <v/>
      </c>
      <c r="NU28">
        <f>IF('計算A'!EH$106=1,IG28,1)</f>
        <v/>
      </c>
      <c r="NV28">
        <f>IF('計算A'!EI$106=1,IH28,1)</f>
        <v/>
      </c>
      <c r="NW28">
        <f>IF('計算A'!EJ$106=1,II28,1)</f>
        <v/>
      </c>
      <c r="NX28">
        <f>IF('計算A'!EK$106=1,IJ28,1)</f>
        <v/>
      </c>
      <c r="NY28">
        <f>IF('計算A'!EL$106=1,IK28,1)</f>
        <v/>
      </c>
      <c r="NZ28">
        <f>IF('計算A'!EM$106=1,IL28,1)</f>
        <v/>
      </c>
      <c r="OA28">
        <f>IF('計算A'!EN$106=1,IM28,1)</f>
        <v/>
      </c>
      <c r="OB28">
        <f>IF('計算A'!EO$106=1,IN28,1)</f>
        <v/>
      </c>
      <c r="OC28">
        <f>IF('計算A'!EP$106=1,IO28,1)</f>
        <v/>
      </c>
      <c r="OD28" t="n">
        <v>1</v>
      </c>
      <c r="OF28">
        <f>IF($B28=0,1000000,IF(INDEX('計算A'!$D$60:$EQ$104,$B28,1)*DB28=1,IF(AND($E28=2,IQ28=0),1000000,IF($I28&gt;0,IF(1=$J28,IF(OR(AND(1=$I28+1,OR($K28&lt;&gt;'計算A'!$A$3,'計算A'!$A$4=0)),AND(1=$I28-1,OR(1&lt;&gt;'計算A'!$A$3,'計算A'!$A$4=0))),0,IF(1=$K28,200000,ABS(1-$K28)*100)),100000+ABS(1-$J28)*1000+10)+'計算A'!D$5*50+IF(AND($E28=1,IQ28=0),25,0),IF($F28&gt;0,INDEX('計算A'!D$110:D$114,$F28+1)+IF(AND($E28=1,IQ28=0),1000,0),MIN(TU28,20)*400+(IF('計算A'!D$106=1,1-DC28,0))*150+11+'計算A'!D$5*100000+IF(AND($E28=1,IQ28=0),50000,0))+IF($H28=1,(IF('計算A'!D$117=1,INDEX('計算A'!E$10:E$54,$B28),0))*4000,0)-IF(AND($L28=1,'計算A'!D$117=1,DC28=0),2000,0))),1000000))</f>
        <v/>
      </c>
      <c r="OG28">
        <f>IF($B28=0,1000000,IF(INDEX('計算A'!$D$60:$EQ$104,$B28,2)*DC28=1,IF(AND($E28=2,IR28=0),1000000,IF($I28&gt;0,IF(1=$J28,IF(OR(AND(2=$I28+1,OR($K28&lt;&gt;'計算A'!$A$3,'計算A'!$A$4=0)),AND(2=$I28-1,OR(2&lt;&gt;'計算A'!$A$3,'計算A'!$A$4=0))),0,IF(2=$K28,200000,ABS(2-$K28)*100)),100000+ABS(1-$J28)*1000+20)+'計算A'!E$5*50+IF(AND($E28=1,IR28=0),25,0),IF($F28&gt;0,INDEX('計算A'!E$110:E$114,$F28+1)+IF(AND($E28=1,IR28=0),1000,0),MIN(TU28,20)*400+(IF('計算A'!D$106=1,1-DB28,0)+IF('計算A'!E$106=1,1-DD28,0))*150+21+'計算A'!E$5*100000+IF(AND($E28=1,IR28=0),50000,0))+IF($H28=1,(IF('計算A'!D$117=1,INDEX('計算A'!D$10:D$54,$B28),0)+IF('計算A'!E$117=1,INDEX('計算A'!F$10:F$54,$B28),0))*4000,0)-IF(AND('計算A'!D$117=1,UB28&gt;0),2000,0)-IF(AND($L28=1,'計算A'!E$117=1,DD28=0),2000,0))),1000000))</f>
        <v/>
      </c>
      <c r="OH28">
        <f>IF($B28=0,1000000,IF(INDEX('計算A'!$D$60:$EQ$104,$B28,3)*DD28=1,IF(AND($E28=2,IS28=0),1000000,IF($I28&gt;0,IF(1=$J28,IF(OR(AND(3=$I28+1,OR($K28&lt;&gt;'計算A'!$A$3,'計算A'!$A$4=0)),AND(3=$I28-1,OR(3&lt;&gt;'計算A'!$A$3,'計算A'!$A$4=0))),0,IF(3=$K28,200000,ABS(3-$K28)*100)),100000+ABS(1-$J28)*1000+30)+'計算A'!F$5*50+IF(AND($E28=1,IS28=0),25,0),IF($F28&gt;0,INDEX('計算A'!F$110:F$114,$F28+1)+IF(AND($E28=1,IS28=0),1000,0),MIN(TU28,20)*400+(IF('計算A'!E$106=1,1-DC28,0)+IF('計算A'!F$106=1,1-DE28,0))*150+31+'計算A'!F$5*100000+IF(AND($E28=1,IS28=0),50000,0))+IF($H28=1,(IF('計算A'!E$117=1,INDEX('計算A'!E$10:E$54,$B28),0)+IF('計算A'!F$117=1,INDEX('計算A'!G$10:G$54,$B28),0))*4000,0)-IF(AND('計算A'!E$117=1,UC28&gt;0),2000,0)-IF(AND($L28=1,'計算A'!F$117=1,DE28=0),2000,0))),1000000))</f>
        <v/>
      </c>
      <c r="OI28">
        <f>IF($B28=0,1000000,IF(INDEX('計算A'!$D$60:$EQ$104,$B28,4)*DE28=1,IF(AND($E28=2,IT28=0),1000000,IF($I28&gt;0,IF(1=$J28,IF(OR(AND(4=$I28+1,OR($K28&lt;&gt;'計算A'!$A$3,'計算A'!$A$4=0)),AND(4=$I28-1,OR(4&lt;&gt;'計算A'!$A$3,'計算A'!$A$4=0))),0,IF(4=$K28,200000,ABS(4-$K28)*100)),100000+ABS(1-$J28)*1000+40)+'計算A'!G$5*50+IF(AND($E28=1,IT28=0),25,0),IF($F28&gt;0,INDEX('計算A'!G$110:G$114,$F28+1)+IF(AND($E28=1,IT28=0),1000,0),MIN(TU28,20)*400+(IF('計算A'!F$106=1,1-DD28,0)+IF('計算A'!G$106=1,1-DF28,0))*150+41+'計算A'!G$5*100000+IF(AND($E28=1,IT28=0),50000,0))+IF($H28=1,(IF('計算A'!F$117=1,INDEX('計算A'!F$10:F$54,$B28),0)+IF('計算A'!G$117=1,INDEX('計算A'!H$10:H$54,$B28),0))*4000,0)-IF(AND('計算A'!F$117=1,UD28&gt;0),2000,0)-IF(AND($L28=1,'計算A'!G$117=1,DF28=0),2000,0))),1000000))</f>
        <v/>
      </c>
      <c r="OJ28">
        <f>IF($B28=0,1000000,IF(INDEX('計算A'!$D$60:$EQ$104,$B28,5)*DF28=1,IF(AND($E28=2,IU28=0),1000000,IF($I28&gt;0,IF(1=$J28,IF(OR(AND(5=$I28+1,OR($K28&lt;&gt;'計算A'!$A$3,'計算A'!$A$4=0)),AND(5=$I28-1,OR(5&lt;&gt;'計算A'!$A$3,'計算A'!$A$4=0))),0,IF(5=$K28,200000,ABS(5-$K28)*100)),100000+ABS(1-$J28)*1000+50)+'計算A'!H$5*50+IF(AND($E28=1,IU28=0),25,0),IF($F28&gt;0,INDEX('計算A'!H$110:H$114,$F28+1)+IF(AND($E28=1,IU28=0),1000,0),MIN(TU28,20)*400+(IF('計算A'!G$106=1,1-DE28,0)+IF('計算A'!H$106=1,1-DG28,0))*150+51+'計算A'!H$5*100000+IF(AND($E28=1,IU28=0),50000,0))+IF($H28=1,(IF('計算A'!G$117=1,INDEX('計算A'!G$10:G$54,$B28),0)+IF('計算A'!H$117=1,INDEX('計算A'!I$10:I$54,$B28),0))*4000,0)-IF(AND('計算A'!G$117=1,UE28&gt;0),2000,0)-IF(AND($L28=1,'計算A'!H$117=1,DG28=0),2000,0))),1000000))</f>
        <v/>
      </c>
      <c r="OK28">
        <f>IF($B28=0,1000000,IF(INDEX('計算A'!$D$60:$EQ$104,$B28,6)*DG28=1,IF(AND($E28=2,IV28=0),1000000,IF($I28&gt;0,IF(1=$J28,IF(OR(AND(6=$I28+1,OR($K28&lt;&gt;'計算A'!$A$3,'計算A'!$A$4=0)),AND(6=$I28-1,OR(6&lt;&gt;'計算A'!$A$3,'計算A'!$A$4=0))),0,IF(6=$K28,200000,ABS(6-$K28)*100)),100000+ABS(1-$J28)*1000+60)+'計算A'!I$5*50+IF(AND($E28=1,IV28=0),25,0),IF($F28&gt;0,INDEX('計算A'!I$110:I$114,$F28+1)+IF(AND($E28=1,IV28=0),1000,0),MIN(TU28,20)*400+(IF('計算A'!H$106=1,1-DF28,0)+IF('計算A'!I$106=1,1-DH28,0))*150+61+'計算A'!I$5*100000+IF(AND($E28=1,IV28=0),50000,0))+IF($H28=1,(IF('計算A'!H$117=1,INDEX('計算A'!H$10:H$54,$B28),0)+IF('計算A'!I$117=1,INDEX('計算A'!J$10:J$54,$B28),0))*4000,0)-IF(AND('計算A'!H$117=1,UF28&gt;0),2000,0)-IF(AND($L28=1,'計算A'!I$117=1,DH28=0),2000,0))),1000000))</f>
        <v/>
      </c>
      <c r="OL28">
        <f>IF($B28=0,1000000,IF(INDEX('計算A'!$D$60:$EQ$104,$B28,7)*DH28=1,IF(AND($E28=2,IW28=0),1000000,IF($I28&gt;0,IF(1=$J28,IF(OR(AND(7=$I28+1,OR($K28&lt;&gt;'計算A'!$A$3,'計算A'!$A$4=0)),AND(7=$I28-1,OR(7&lt;&gt;'計算A'!$A$3,'計算A'!$A$4=0))),0,IF(7=$K28,200000,ABS(7-$K28)*100)),100000+ABS(1-$J28)*1000+70)+'計算A'!J$5*50+IF(AND($E28=1,IW28=0),25,0),IF($F28&gt;0,INDEX('計算A'!J$110:J$114,$F28+1)+IF(AND($E28=1,IW28=0),1000,0),MIN(TU28,20)*400+(IF('計算A'!I$106=1,1-DG28,0)+IF('計算A'!J$106=1,1-DI28,0))*150+71+'計算A'!J$5*100000+IF(AND($E28=1,IW28=0),50000,0))+IF($H28=1,(IF('計算A'!I$117=1,INDEX('計算A'!I$10:I$54,$B28),0)+IF('計算A'!J$117=1,INDEX('計算A'!K$10:K$54,$B28),0))*4000,0)-IF(AND('計算A'!I$117=1,UG28&gt;0),2000,0)-IF(AND($L28=1,'計算A'!J$117=1,DI28=0),2000,0))),1000000))</f>
        <v/>
      </c>
      <c r="OM28">
        <f>IF($B28=0,1000000,IF(INDEX('計算A'!$D$60:$EQ$104,$B28,8)*DI28=1,IF(AND($E28=2,IX28=0),1000000,IF($I28&gt;0,IF(1=$J28,IF(OR(AND(8=$I28+1,OR($K28&lt;&gt;'計算A'!$A$3,'計算A'!$A$4=0)),AND(8=$I28-1,OR(8&lt;&gt;'計算A'!$A$3,'計算A'!$A$4=0))),0,IF(8=$K28,200000,ABS(8-$K28)*100)),100000+ABS(1-$J28)*1000+80)+'計算A'!K$5*50+IF(AND($E28=1,IX28=0),25,0),IF($F28&gt;0,INDEX('計算A'!K$110:K$114,$F28+1)+IF(AND($E28=1,IX28=0),1000,0),MIN(TU28,20)*400+(IF('計算A'!J$106=1,1-DH28,0)+IF('計算A'!K$106=1,1-DJ28,0))*150+81+'計算A'!K$5*100000+IF(AND($E28=1,IX28=0),50000,0))+IF($H28=1,(IF('計算A'!J$117=1,INDEX('計算A'!J$10:J$54,$B28),0)+IF('計算A'!K$117=1,INDEX('計算A'!L$10:L$54,$B28),0))*4000,0)-IF(AND('計算A'!J$117=1,UH28&gt;0),2000,0)-IF(AND($L28=1,'計算A'!K$117=1,DJ28=0),2000,0))),1000000))</f>
        <v/>
      </c>
      <c r="ON28">
        <f>IF($B28=0,1000000,IF(INDEX('計算A'!$D$60:$EQ$104,$B28,9)*DJ28=1,IF(AND($E28=2,IY28=0),1000000,IF($I28&gt;0,IF(1=$J28,IF(OR(AND(9=$I28+1,OR($K28&lt;&gt;'計算A'!$A$3,'計算A'!$A$4=0)),AND(9=$I28-1,OR(9&lt;&gt;'計算A'!$A$3,'計算A'!$A$4=0))),0,IF(9=$K28,200000,ABS(9-$K28)*100)),100000+ABS(1-$J28)*1000+90)+'計算A'!L$5*50+IF(AND($E28=1,IY28=0),25,0),IF($F28&gt;0,INDEX('計算A'!L$110:L$114,$F28+1)+IF(AND($E28=1,IY28=0),1000,0),MIN(TU28,20)*400+(IF('計算A'!K$106=1,1-DI28,0)+IF('計算A'!L$106=1,1-DK28,0))*150+91+'計算A'!L$5*100000+IF(AND($E28=1,IY28=0),50000,0))+IF($H28=1,(IF('計算A'!K$117=1,INDEX('計算A'!K$10:K$54,$B28),0)+IF('計算A'!L$117=1,INDEX('計算A'!M$10:M$54,$B28),0))*4000,0)-IF(AND('計算A'!K$117=1,UI28&gt;0),2000,0)-IF(AND($L28=1,'計算A'!L$117=1,DK28=0),2000,0))),1000000))</f>
        <v/>
      </c>
      <c r="OO28">
        <f>IF($B28=0,1000000,IF(INDEX('計算A'!$D$60:$EQ$104,$B28,10)*DK28=1,IF(AND($E28=2,IZ28=0),1000000,IF($I28&gt;0,IF(1=$J28,IF(OR(AND(10=$I28+1,OR($K28&lt;&gt;'計算A'!$A$3,'計算A'!$A$4=0)),AND(10=$I28-1,OR(10&lt;&gt;'計算A'!$A$3,'計算A'!$A$4=0))),0,IF(10=$K28,200000,ABS(10-$K28)*100)),100000+ABS(1-$J28)*1000+100)+'計算A'!M$5*50+IF(AND($E28=1,IZ28=0),25,0),IF($F28&gt;0,INDEX('計算A'!M$110:M$114,$F28+1)+IF(AND($E28=1,IZ28=0),1000,0),MIN(TU28,20)*400+(IF('計算A'!L$106=1,1-DJ28,0)+IF('計算A'!M$106=1,1-DL28,0))*150+101+'計算A'!M$5*100000+IF(AND($E28=1,IZ28=0),50000,0))+IF($H28=1,(IF('計算A'!L$117=1,INDEX('計算A'!L$10:L$54,$B28),0)+IF('計算A'!M$117=1,INDEX('計算A'!N$10:N$54,$B28),0))*4000,0)-IF(AND('計算A'!L$117=1,UJ28&gt;0),2000,0)-IF(AND($L28=1,'計算A'!M$117=1,DL28=0),2000,0))),1000000))</f>
        <v/>
      </c>
      <c r="OP28">
        <f>IF($B28=0,1000000,IF(INDEX('計算A'!$D$60:$EQ$104,$B28,11)*DL28=1,IF(AND($E28=2,JA28=0),1000000,IF($I28&gt;0,IF(1=$J28,IF(OR(AND(11=$I28+1,OR($K28&lt;&gt;'計算A'!$A$3,'計算A'!$A$4=0)),AND(11=$I28-1,OR(11&lt;&gt;'計算A'!$A$3,'計算A'!$A$4=0))),0,IF(11=$K28,200000,ABS(11-$K28)*100)),100000+ABS(1-$J28)*1000+110)+'計算A'!N$5*50+IF(AND($E28=1,JA28=0),25,0),IF($F28&gt;0,INDEX('計算A'!N$110:N$114,$F28+1)+IF(AND($E28=1,JA28=0),1000,0),MIN(TU28,20)*400+(IF('計算A'!M$106=1,1-DK28,0)+IF('計算A'!N$106=1,1-DM28,0))*150+111+'計算A'!N$5*100000+IF(AND($E28=1,JA28=0),50000,0))+IF($H28=1,(IF('計算A'!M$117=1,INDEX('計算A'!M$10:M$54,$B28),0)+IF('計算A'!N$117=1,INDEX('計算A'!O$10:O$54,$B28),0))*4000,0)-IF(AND('計算A'!M$117=1,UK28&gt;0),2000,0)-IF(AND($L28=1,'計算A'!N$117=1,DM28=0),2000,0))),1000000))</f>
        <v/>
      </c>
      <c r="OQ28">
        <f>IF($B28=0,1000000,IF(INDEX('計算A'!$D$60:$EQ$104,$B28,12)*DM28=1,IF(AND($E28=2,JB28=0),1000000,IF($I28&gt;0,IF(1=$J28,IF(OR(AND(12=$I28+1,OR($K28&lt;&gt;'計算A'!$A$3,'計算A'!$A$4=0)),AND(12=$I28-1,OR(12&lt;&gt;'計算A'!$A$3,'計算A'!$A$4=0))),0,IF(12=$K28,200000,ABS(12-$K28)*100)),100000+ABS(1-$J28)*1000+120)+'計算A'!O$5*50+IF(AND($E28=1,JB28=0),25,0),IF($F28&gt;0,INDEX('計算A'!O$110:O$114,$F28+1)+IF(AND($E28=1,JB28=0),1000,0),MIN(TU28,20)*400+(IF('計算A'!N$106=1,1-DL28,0)+IF('計算A'!O$106=1,1-DN28,0))*150+121+'計算A'!O$5*100000+IF(AND($E28=1,JB28=0),50000,0))+IF($H28=1,(IF('計算A'!N$117=1,INDEX('計算A'!N$10:N$54,$B28),0)+IF('計算A'!O$117=1,INDEX('計算A'!P$10:P$54,$B28),0))*4000,0)-IF(AND('計算A'!N$117=1,UL28&gt;0),2000,0)-IF(AND($L28=1,'計算A'!O$117=1,DN28=0),2000,0))),1000000))</f>
        <v/>
      </c>
      <c r="OR28">
        <f>IF($B28=0,1000000,IF(INDEX('計算A'!$D$60:$EQ$104,$B28,13)*DN28=1,IF(AND($E28=2,JC28=0),1000000,IF($I28&gt;0,IF(1=$J28,IF(OR(AND(13=$I28+1,OR($K28&lt;&gt;'計算A'!$A$3,'計算A'!$A$4=0)),AND(13=$I28-1,OR(13&lt;&gt;'計算A'!$A$3,'計算A'!$A$4=0))),0,IF(13=$K28,200000,ABS(13-$K28)*100)),100000+ABS(1-$J28)*1000+130)+'計算A'!P$5*50+IF(AND($E28=1,JC28=0),25,0),IF($F28&gt;0,INDEX('計算A'!P$110:P$114,$F28+1)+IF(AND($E28=1,JC28=0),1000,0),MIN(TU28,20)*400+(IF('計算A'!O$106=1,1-DM28,0)+IF('計算A'!P$106=1,1-DO28,0))*150+131+'計算A'!P$5*100000+IF(AND($E28=1,JC28=0),50000,0))+IF($H28=1,(IF('計算A'!O$117=1,INDEX('計算A'!O$10:O$54,$B28),0)+IF('計算A'!P$117=1,INDEX('計算A'!Q$10:Q$54,$B28),0))*4000,0)-IF(AND('計算A'!O$117=1,UM28&gt;0),2000,0)-IF(AND($L28=1,'計算A'!P$117=1,DO28=0),2000,0))),1000000))</f>
        <v/>
      </c>
      <c r="OS28">
        <f>IF($B28=0,1000000,IF(INDEX('計算A'!$D$60:$EQ$104,$B28,14)*DO28=1,IF(AND($E28=2,JD28=0),1000000,IF($I28&gt;0,IF(1=$J28,IF(OR(AND(14=$I28+1,OR($K28&lt;&gt;'計算A'!$A$3,'計算A'!$A$4=0)),AND(14=$I28-1,OR(14&lt;&gt;'計算A'!$A$3,'計算A'!$A$4=0))),0,IF(14=$K28,200000,ABS(14-$K28)*100)),100000+ABS(1-$J28)*1000+140)+'計算A'!Q$5*50+IF(AND($E28=1,JD28=0),25,0),IF($F28&gt;0,INDEX('計算A'!Q$110:Q$114,$F28+1)+IF(AND($E28=1,JD28=0),1000,0),MIN(TU28,20)*400+(IF('計算A'!P$106=1,1-DN28,0)+IF('計算A'!Q$106=1,1-DP28,0))*150+141+'計算A'!Q$5*100000+IF(AND($E28=1,JD28=0),50000,0))+IF($H28=1,(IF('計算A'!P$117=1,INDEX('計算A'!P$10:P$54,$B28),0)+IF('計算A'!Q$117=1,INDEX('計算A'!R$10:R$54,$B28),0))*4000,0)-IF(AND('計算A'!P$117=1,UN28&gt;0),2000,0)-IF(AND($L28=1,'計算A'!Q$117=1,DP28=0),2000,0))),1000000))</f>
        <v/>
      </c>
      <c r="OT28">
        <f>IF($B28=0,1000000,IF(INDEX('計算A'!$D$60:$EQ$104,$B28,15)*DP28=1,IF(AND($E28=2,JE28=0),1000000,IF($I28&gt;0,IF(1=$J28,IF(OR(AND(15=$I28+1,OR($K28&lt;&gt;'計算A'!$A$3,'計算A'!$A$4=0)),AND(15=$I28-1,OR(15&lt;&gt;'計算A'!$A$3,'計算A'!$A$4=0))),0,IF(15=$K28,200000,ABS(15-$K28)*100)),100000+ABS(1-$J28)*1000+150)+'計算A'!R$5*50+IF(AND($E28=1,JE28=0),25,0),IF($F28&gt;0,INDEX('計算A'!R$110:R$114,$F28+1)+IF(AND($E28=1,JE28=0),1000,0),MIN(TU28,20)*400+(IF('計算A'!Q$106=1,1-DO28,0)+IF('計算A'!R$106=1,1-DQ28,0))*150+151+'計算A'!R$5*100000+IF(AND($E28=1,JE28=0),50000,0))+IF($H28=1,(IF('計算A'!Q$117=1,INDEX('計算A'!Q$10:Q$54,$B28),0)+IF('計算A'!R$117=1,INDEX('計算A'!S$10:S$54,$B28),0))*4000,0)-IF(AND('計算A'!Q$117=1,UO28&gt;0),2000,0)-IF(AND($L28=1,'計算A'!R$117=1,DQ28=0),2000,0))),1000000))</f>
        <v/>
      </c>
      <c r="OU28">
        <f>IF($B28=0,1000000,IF(INDEX('計算A'!$D$60:$EQ$104,$B28,16)*DQ28=1,IF(AND($E28=2,JF28=0),1000000,IF($I28&gt;0,IF(1=$J28,IF(OR(AND(16=$I28+1,OR($K28&lt;&gt;'計算A'!$A$3,'計算A'!$A$4=0)),AND(16=$I28-1,OR(16&lt;&gt;'計算A'!$A$3,'計算A'!$A$4=0))),0,IF(16=$K28,200000,ABS(16-$K28)*100)),100000+ABS(1-$J28)*1000+160)+'計算A'!S$5*50+IF(AND($E28=1,JF28=0),25,0),IF($F28&gt;0,INDEX('計算A'!S$110:S$114,$F28+1)+IF(AND($E28=1,JF28=0),1000,0),MIN(TU28,20)*400+(IF('計算A'!R$106=1,1-DP28,0)+IF('計算A'!S$106=1,1-DR28,0))*150+161+'計算A'!S$5*100000+IF(AND($E28=1,JF28=0),50000,0))+IF($H28=1,(IF('計算A'!R$117=1,INDEX('計算A'!R$10:R$54,$B28),0)+IF('計算A'!S$117=1,INDEX('計算A'!T$10:T$54,$B28),0))*4000,0)-IF(AND('計算A'!R$117=1,UP28&gt;0),2000,0)-IF(AND($L28=1,'計算A'!S$117=1,DR28=0),2000,0))),1000000))</f>
        <v/>
      </c>
      <c r="OV28">
        <f>IF($B28=0,1000000,IF(INDEX('計算A'!$D$60:$EQ$104,$B28,17)*DR28=1,IF(AND($E28=2,JG28=0),1000000,IF($I28&gt;0,IF(1=$J28,IF(OR(AND(17=$I28+1,OR($K28&lt;&gt;'計算A'!$A$3,'計算A'!$A$4=0)),AND(17=$I28-1,OR(17&lt;&gt;'計算A'!$A$3,'計算A'!$A$4=0))),0,IF(17=$K28,200000,ABS(17-$K28)*100)),100000+ABS(1-$J28)*1000+170)+'計算A'!T$5*50+IF(AND($E28=1,JG28=0),25,0),IF($F28&gt;0,INDEX('計算A'!T$110:T$114,$F28+1)+IF(AND($E28=1,JG28=0),1000,0),MIN(TU28,20)*400+(IF('計算A'!S$106=1,1-DQ28,0)+IF('計算A'!T$106=1,1-DS28,0))*150+171+'計算A'!T$5*100000+IF(AND($E28=1,JG28=0),50000,0))+IF($H28=1,(IF('計算A'!S$117=1,INDEX('計算A'!S$10:S$54,$B28),0)+IF('計算A'!T$117=1,INDEX('計算A'!U$10:U$54,$B28),0))*4000,0)-IF(AND('計算A'!S$117=1,UQ28&gt;0),2000,0)-IF(AND($L28=1,'計算A'!T$117=1,DS28=0),2000,0))),1000000))</f>
        <v/>
      </c>
      <c r="OW28">
        <f>IF($B28=0,1000000,IF(INDEX('計算A'!$D$60:$EQ$104,$B28,18)*DS28=1,IF(AND($E28=2,JH28=0),1000000,IF($I28&gt;0,IF(1=$J28,IF(OR(AND(18=$I28+1,OR($K28&lt;&gt;'計算A'!$A$3,'計算A'!$A$4=0)),AND(18=$I28-1,OR(18&lt;&gt;'計算A'!$A$3,'計算A'!$A$4=0))),0,IF(18=$K28,200000,ABS(18-$K28)*100)),100000+ABS(1-$J28)*1000+180)+'計算A'!U$5*50+IF(AND($E28=1,JH28=0),25,0),IF($F28&gt;0,INDEX('計算A'!U$110:U$114,$F28+1)+IF(AND($E28=1,JH28=0),1000,0),MIN(TU28,20)*400+(IF('計算A'!T$106=1,1-DR28,0)+IF('計算A'!U$106=1,1-DT28,0))*150+181+'計算A'!U$5*100000+IF(AND($E28=1,JH28=0),50000,0))+IF($H28=1,(IF('計算A'!T$117=1,INDEX('計算A'!T$10:T$54,$B28),0)+IF('計算A'!U$117=1,INDEX('計算A'!V$10:V$54,$B28),0))*4000,0)-IF(AND('計算A'!T$117=1,UR28&gt;0),2000,0)-IF(AND($L28=1,'計算A'!U$117=1,DT28=0),2000,0))),1000000))</f>
        <v/>
      </c>
      <c r="OX28">
        <f>IF($B28=0,1000000,IF(INDEX('計算A'!$D$60:$EQ$104,$B28,19)*DT28=1,IF(AND($E28=2,JI28=0),1000000,IF($I28&gt;0,IF(1=$J28,IF(OR(AND(19=$I28+1,OR($K28&lt;&gt;'計算A'!$A$3,'計算A'!$A$4=0)),AND(19=$I28-1,OR(19&lt;&gt;'計算A'!$A$3,'計算A'!$A$4=0))),0,IF(19=$K28,200000,ABS(19-$K28)*100)),100000+ABS(1-$J28)*1000+190)+'計算A'!V$5*50+IF(AND($E28=1,JI28=0),25,0),IF($F28&gt;0,INDEX('計算A'!V$110:V$114,$F28+1)+IF(AND($E28=1,JI28=0),1000,0),MIN(TU28,20)*400+(IF('計算A'!U$106=1,1-DS28,0)+IF('計算A'!V$106=1,1-DU28,0))*150+191+'計算A'!V$5*100000+IF(AND($E28=1,JI28=0),50000,0))+IF($H28=1,(IF('計算A'!U$117=1,INDEX('計算A'!U$10:U$54,$B28),0)+IF('計算A'!V$117=1,INDEX('計算A'!W$10:W$54,$B28),0))*4000,0)-IF(AND('計算A'!U$117=1,US28&gt;0),2000,0)-IF(AND($L28=1,'計算A'!V$117=1,DU28=0),2000,0))),1000000))</f>
        <v/>
      </c>
      <c r="OY28">
        <f>IF($B28=0,1000000,IF(INDEX('計算A'!$D$60:$EQ$104,$B28,20)*DU28=1,IF(AND($E28=2,JJ28=0),1000000,IF($I28&gt;0,IF(1=$J28,IF(OR(AND(20=$I28+1,OR($K28&lt;&gt;'計算A'!$A$3,'計算A'!$A$4=0)),AND(20=$I28-1,OR(20&lt;&gt;'計算A'!$A$3,'計算A'!$A$4=0))),0,IF(20=$K28,200000,ABS(20-$K28)*100)),100000+ABS(1-$J28)*1000+200)+'計算A'!W$5*50+IF(AND($E28=1,JJ28=0),25,0),IF($F28&gt;0,INDEX('計算A'!W$110:W$114,$F28+1)+IF(AND($E28=1,JJ28=0),1000,0),MIN(TU28,20)*400+(IF('計算A'!V$106=1,1-DT28,0)+IF('計算A'!W$106=1,1-DV28,0))*150+201+'計算A'!W$5*100000+IF(AND($E28=1,JJ28=0),50000,0))+IF($H28=1,(IF('計算A'!V$117=1,INDEX('計算A'!V$10:V$54,$B28),0)+IF('計算A'!W$117=1,INDEX('計算A'!X$10:X$54,$B28),0))*4000,0)-IF(AND('計算A'!V$117=1,UT28&gt;0),2000,0)-IF(AND($L28=1,'計算A'!W$117=1,DV28=0),2000,0))),1000000))</f>
        <v/>
      </c>
      <c r="OZ28">
        <f>IF($B28=0,1000000,IF(INDEX('計算A'!$D$60:$EQ$104,$B28,21)*DV28=1,IF(AND($E28=2,JK28=0),1000000,IF($I28&gt;0,IF(1=$J28,IF(OR(AND(21=$I28+1,OR($K28&lt;&gt;'計算A'!$A$3,'計算A'!$A$4=0)),AND(21=$I28-1,OR(21&lt;&gt;'計算A'!$A$3,'計算A'!$A$4=0))),0,IF(21=$K28,200000,ABS(21-$K28)*100)),100000+ABS(1-$J28)*1000+210)+'計算A'!X$5*50+IF(AND($E28=1,JK28=0),25,0),IF($F28&gt;0,INDEX('計算A'!X$110:X$114,$F28+1)+IF(AND($E28=1,JK28=0),1000,0),MIN(TU28,20)*400+(IF('計算A'!W$106=1,1-DU28,0)+IF('計算A'!X$106=1,1-DW28,0))*150+211+'計算A'!X$5*100000+IF(AND($E28=1,JK28=0),50000,0))+IF($H28=1,(IF('計算A'!W$117=1,INDEX('計算A'!W$10:W$54,$B28),0)+IF('計算A'!X$117=1,INDEX('計算A'!Y$10:Y$54,$B28),0))*4000,0)-IF(AND('計算A'!W$117=1,UU28&gt;0),2000,0)-IF(AND($L28=1,'計算A'!X$117=1,DW28=0),2000,0))),1000000))</f>
        <v/>
      </c>
      <c r="PA28">
        <f>IF($B28=0,1000000,IF(INDEX('計算A'!$D$60:$EQ$104,$B28,22)*DW28=1,IF(AND($E28=2,JL28=0),1000000,IF($I28&gt;0,IF(1=$J28,IF(OR(AND(22=$I28+1,OR($K28&lt;&gt;'計算A'!$A$3,'計算A'!$A$4=0)),AND(22=$I28-1,OR(22&lt;&gt;'計算A'!$A$3,'計算A'!$A$4=0))),0,IF(22=$K28,200000,ABS(22-$K28)*100)),100000+ABS(1-$J28)*1000+220)+'計算A'!Y$5*50+IF(AND($E28=1,JL28=0),25,0),IF($F28&gt;0,INDEX('計算A'!Y$110:Y$114,$F28+1)+IF(AND($E28=1,JL28=0),1000,0),MIN(TU28,20)*400+(IF('計算A'!X$106=1,1-DV28,0)+IF('計算A'!Y$106=1,1-DX28,0))*150+221+'計算A'!Y$5*100000+IF(AND($E28=1,JL28=0),50000,0))+IF($H28=1,(IF('計算A'!X$117=1,INDEX('計算A'!X$10:X$54,$B28),0)+IF('計算A'!Y$117=1,INDEX('計算A'!Z$10:Z$54,$B28),0))*4000,0)-IF(AND('計算A'!X$117=1,UV28&gt;0),2000,0)-IF(AND($L28=1,'計算A'!Y$117=1,DX28=0),2000,0))),1000000))</f>
        <v/>
      </c>
      <c r="PB28">
        <f>IF($B28=0,1000000,IF(INDEX('計算A'!$D$60:$EQ$104,$B28,23)*DX28=1,IF(AND($E28=2,JM28=0),1000000,IF($I28&gt;0,IF(1=$J28,IF(OR(AND(23=$I28+1,OR($K28&lt;&gt;'計算A'!$A$3,'計算A'!$A$4=0)),AND(23=$I28-1,OR(23&lt;&gt;'計算A'!$A$3,'計算A'!$A$4=0))),0,IF(23=$K28,200000,ABS(23-$K28)*100)),100000+ABS(1-$J28)*1000+230)+'計算A'!Z$5*50+IF(AND($E28=1,JM28=0),25,0),IF($F28&gt;0,INDEX('計算A'!Z$110:Z$114,$F28+1)+IF(AND($E28=1,JM28=0),1000,0),MIN(TU28,20)*400+(IF('計算A'!Y$106=1,1-DW28,0)+IF('計算A'!Z$106=1,1-DY28,0))*150+231+'計算A'!Z$5*100000+IF(AND($E28=1,JM28=0),50000,0))+IF($H28=1,(IF('計算A'!Y$117=1,INDEX('計算A'!Y$10:Y$54,$B28),0)+IF('計算A'!Z$117=1,INDEX('計算A'!AA$10:AA$54,$B28),0))*4000,0)-IF(AND('計算A'!Y$117=1,UW28&gt;0),2000,0)-IF(AND($L28=1,'計算A'!Z$117=1,DY28=0),2000,0))),1000000))</f>
        <v/>
      </c>
      <c r="PC28">
        <f>IF($B28=0,1000000,IF(INDEX('計算A'!$D$60:$EQ$104,$B28,24)*DY28=1,IF(AND($E28=2,JN28=0),1000000,IF($I28&gt;0,IF(1=$J28,IF(OR(AND(24=$I28+1,OR($K28&lt;&gt;'計算A'!$A$3,'計算A'!$A$4=0)),AND(24=$I28-1,OR(24&lt;&gt;'計算A'!$A$3,'計算A'!$A$4=0))),0,IF(24=$K28,200000,ABS(24-$K28)*100)),100000+ABS(1-$J28)*1000+240)+'計算A'!AA$5*50+IF(AND($E28=1,JN28=0),25,0),IF($F28&gt;0,INDEX('計算A'!AA$110:AA$114,$F28+1)+IF(AND($E28=1,JN28=0),1000,0),MIN(TU28,20)*400+(IF('計算A'!Z$106=1,1-DX28,0))*150+241+'計算A'!AA$5*100000+IF(AND($E28=1,JN28=0),50000,0))+IF($H28=1,(IF('計算A'!Z$117=1,INDEX('計算A'!Z$10:Z$54,$B28),0))*4000,0)-IF(AND('計算A'!Z$117=1,UX28&gt;0),2000,0))),1000000))</f>
        <v/>
      </c>
      <c r="PD28">
        <f>IF($B28=0,1000000,IF(INDEX('計算A'!$D$60:$EQ$104,$B28,25)*DZ28=1,IF(AND($E28=2,JO28=0),1000000,IF($I28&gt;0,IF(2=$J28,IF(OR(AND(25=$I28+1,OR($K28&lt;&gt;'計算A'!$A$3,'計算A'!$A$4=0)),AND(25=$I28-1,OR(1&lt;&gt;'計算A'!$A$3,'計算A'!$A$4=0))),0,IF(1=$K28,200000,ABS(1-$K28)*100)),100000+ABS(2-$J28)*1000+10)+'計算A'!AB$5*50+IF(AND($E28=1,JO28=0),25,0),IF($F28&gt;0,INDEX('計算A'!AB$110:AB$114,$F28+1)+IF(AND($E28=1,JO28=0),1000,0),MIN(TV28,20)*400+(IF('計算A'!AB$106=1,1-EA28,0))*150+12+'計算A'!AB$5*100000+IF(AND($E28=1,JO28=0),50000,0))+IF($H28=1,(IF('計算A'!AB$117=1,INDEX('計算A'!AC$10:AC$54,$B28),0))*4000,0)-IF(AND($L28=1,'計算A'!AB$117=1,EA28=0),2000,0))),1000000))</f>
        <v/>
      </c>
      <c r="PE28">
        <f>IF($B28=0,1000000,IF(INDEX('計算A'!$D$60:$EQ$104,$B28,26)*EA28=1,IF(AND($E28=2,JP28=0),1000000,IF($I28&gt;0,IF(2=$J28,IF(OR(AND(26=$I28+1,OR($K28&lt;&gt;'計算A'!$A$3,'計算A'!$A$4=0)),AND(26=$I28-1,OR(2&lt;&gt;'計算A'!$A$3,'計算A'!$A$4=0))),0,IF(2=$K28,200000,ABS(2-$K28)*100)),100000+ABS(2-$J28)*1000+20)+'計算A'!AC$5*50+IF(AND($E28=1,JP28=0),25,0),IF($F28&gt;0,INDEX('計算A'!AC$110:AC$114,$F28+1)+IF(AND($E28=1,JP28=0),1000,0),MIN(TV28,20)*400+(IF('計算A'!AB$106=1,1-DZ28,0)+IF('計算A'!AC$106=1,1-EB28,0))*150+22+'計算A'!AC$5*100000+IF(AND($E28=1,JP28=0),50000,0))+IF($H28=1,(IF('計算A'!AB$117=1,INDEX('計算A'!AB$10:AB$54,$B28),0)+IF('計算A'!AC$117=1,INDEX('計算A'!AD$10:AD$54,$B28),0))*4000,0)-IF(AND('計算A'!AB$117=1,UZ28&gt;0),2000,0)-IF(AND($L28=1,'計算A'!AC$117=1,EB28=0),2000,0))),1000000))</f>
        <v/>
      </c>
      <c r="PF28">
        <f>IF($B28=0,1000000,IF(INDEX('計算A'!$D$60:$EQ$104,$B28,27)*EB28=1,IF(AND($E28=2,JQ28=0),1000000,IF($I28&gt;0,IF(2=$J28,IF(OR(AND(27=$I28+1,OR($K28&lt;&gt;'計算A'!$A$3,'計算A'!$A$4=0)),AND(27=$I28-1,OR(3&lt;&gt;'計算A'!$A$3,'計算A'!$A$4=0))),0,IF(3=$K28,200000,ABS(3-$K28)*100)),100000+ABS(2-$J28)*1000+30)+'計算A'!AD$5*50+IF(AND($E28=1,JQ28=0),25,0),IF($F28&gt;0,INDEX('計算A'!AD$110:AD$114,$F28+1)+IF(AND($E28=1,JQ28=0),1000,0),MIN(TV28,20)*400+(IF('計算A'!AC$106=1,1-EA28,0)+IF('計算A'!AD$106=1,1-EC28,0))*150+32+'計算A'!AD$5*100000+IF(AND($E28=1,JQ28=0),50000,0))+IF($H28=1,(IF('計算A'!AC$117=1,INDEX('計算A'!AC$10:AC$54,$B28),0)+IF('計算A'!AD$117=1,INDEX('計算A'!AE$10:AE$54,$B28),0))*4000,0)-IF(AND('計算A'!AC$117=1,VA28&gt;0),2000,0)-IF(AND($L28=1,'計算A'!AD$117=1,EC28=0),2000,0))),1000000))</f>
        <v/>
      </c>
      <c r="PG28">
        <f>IF($B28=0,1000000,IF(INDEX('計算A'!$D$60:$EQ$104,$B28,28)*EC28=1,IF(AND($E28=2,JR28=0),1000000,IF($I28&gt;0,IF(2=$J28,IF(OR(AND(28=$I28+1,OR($K28&lt;&gt;'計算A'!$A$3,'計算A'!$A$4=0)),AND(28=$I28-1,OR(4&lt;&gt;'計算A'!$A$3,'計算A'!$A$4=0))),0,IF(4=$K28,200000,ABS(4-$K28)*100)),100000+ABS(2-$J28)*1000+40)+'計算A'!AE$5*50+IF(AND($E28=1,JR28=0),25,0),IF($F28&gt;0,INDEX('計算A'!AE$110:AE$114,$F28+1)+IF(AND($E28=1,JR28=0),1000,0),MIN(TV28,20)*400+(IF('計算A'!AD$106=1,1-EB28,0)+IF('計算A'!AE$106=1,1-ED28,0))*150+42+'計算A'!AE$5*100000+IF(AND($E28=1,JR28=0),50000,0))+IF($H28=1,(IF('計算A'!AD$117=1,INDEX('計算A'!AD$10:AD$54,$B28),0)+IF('計算A'!AE$117=1,INDEX('計算A'!AF$10:AF$54,$B28),0))*4000,0)-IF(AND('計算A'!AD$117=1,VB28&gt;0),2000,0)-IF(AND($L28=1,'計算A'!AE$117=1,ED28=0),2000,0))),1000000))</f>
        <v/>
      </c>
      <c r="PH28">
        <f>IF($B28=0,1000000,IF(INDEX('計算A'!$D$60:$EQ$104,$B28,29)*ED28=1,IF(AND($E28=2,JS28=0),1000000,IF($I28&gt;0,IF(2=$J28,IF(OR(AND(29=$I28+1,OR($K28&lt;&gt;'計算A'!$A$3,'計算A'!$A$4=0)),AND(29=$I28-1,OR(5&lt;&gt;'計算A'!$A$3,'計算A'!$A$4=0))),0,IF(5=$K28,200000,ABS(5-$K28)*100)),100000+ABS(2-$J28)*1000+50)+'計算A'!AF$5*50+IF(AND($E28=1,JS28=0),25,0),IF($F28&gt;0,INDEX('計算A'!AF$110:AF$114,$F28+1)+IF(AND($E28=1,JS28=0),1000,0),MIN(TV28,20)*400+(IF('計算A'!AE$106=1,1-EC28,0)+IF('計算A'!AF$106=1,1-EE28,0))*150+52+'計算A'!AF$5*100000+IF(AND($E28=1,JS28=0),50000,0))+IF($H28=1,(IF('計算A'!AE$117=1,INDEX('計算A'!AE$10:AE$54,$B28),0)+IF('計算A'!AF$117=1,INDEX('計算A'!AG$10:AG$54,$B28),0))*4000,0)-IF(AND('計算A'!AE$117=1,VC28&gt;0),2000,0)-IF(AND($L28=1,'計算A'!AF$117=1,EE28=0),2000,0))),1000000))</f>
        <v/>
      </c>
      <c r="PI28">
        <f>IF($B28=0,1000000,IF(INDEX('計算A'!$D$60:$EQ$104,$B28,30)*EE28=1,IF(AND($E28=2,JT28=0),1000000,IF($I28&gt;0,IF(2=$J28,IF(OR(AND(30=$I28+1,OR($K28&lt;&gt;'計算A'!$A$3,'計算A'!$A$4=0)),AND(30=$I28-1,OR(6&lt;&gt;'計算A'!$A$3,'計算A'!$A$4=0))),0,IF(6=$K28,200000,ABS(6-$K28)*100)),100000+ABS(2-$J28)*1000+60)+'計算A'!AG$5*50+IF(AND($E28=1,JT28=0),25,0),IF($F28&gt;0,INDEX('計算A'!AG$110:AG$114,$F28+1)+IF(AND($E28=1,JT28=0),1000,0),MIN(TV28,20)*400+(IF('計算A'!AF$106=1,1-ED28,0)+IF('計算A'!AG$106=1,1-EF28,0))*150+62+'計算A'!AG$5*100000+IF(AND($E28=1,JT28=0),50000,0))+IF($H28=1,(IF('計算A'!AF$117=1,INDEX('計算A'!AF$10:AF$54,$B28),0)+IF('計算A'!AG$117=1,INDEX('計算A'!AH$10:AH$54,$B28),0))*4000,0)-IF(AND('計算A'!AF$117=1,VD28&gt;0),2000,0)-IF(AND($L28=1,'計算A'!AG$117=1,EF28=0),2000,0))),1000000))</f>
        <v/>
      </c>
      <c r="PJ28">
        <f>IF($B28=0,1000000,IF(INDEX('計算A'!$D$60:$EQ$104,$B28,31)*EF28=1,IF(AND($E28=2,JU28=0),1000000,IF($I28&gt;0,IF(2=$J28,IF(OR(AND(31=$I28+1,OR($K28&lt;&gt;'計算A'!$A$3,'計算A'!$A$4=0)),AND(31=$I28-1,OR(7&lt;&gt;'計算A'!$A$3,'計算A'!$A$4=0))),0,IF(7=$K28,200000,ABS(7-$K28)*100)),100000+ABS(2-$J28)*1000+70)+'計算A'!AH$5*50+IF(AND($E28=1,JU28=0),25,0),IF($F28&gt;0,INDEX('計算A'!AH$110:AH$114,$F28+1)+IF(AND($E28=1,JU28=0),1000,0),MIN(TV28,20)*400+(IF('計算A'!AG$106=1,1-EE28,0)+IF('計算A'!AH$106=1,1-EG28,0))*150+72+'計算A'!AH$5*100000+IF(AND($E28=1,JU28=0),50000,0))+IF($H28=1,(IF('計算A'!AG$117=1,INDEX('計算A'!AG$10:AG$54,$B28),0)+IF('計算A'!AH$117=1,INDEX('計算A'!AI$10:AI$54,$B28),0))*4000,0)-IF(AND('計算A'!AG$117=1,VE28&gt;0),2000,0)-IF(AND($L28=1,'計算A'!AH$117=1,EG28=0),2000,0))),1000000))</f>
        <v/>
      </c>
      <c r="PK28">
        <f>IF($B28=0,1000000,IF(INDEX('計算A'!$D$60:$EQ$104,$B28,32)*EG28=1,IF(AND($E28=2,JV28=0),1000000,IF($I28&gt;0,IF(2=$J28,IF(OR(AND(32=$I28+1,OR($K28&lt;&gt;'計算A'!$A$3,'計算A'!$A$4=0)),AND(32=$I28-1,OR(8&lt;&gt;'計算A'!$A$3,'計算A'!$A$4=0))),0,IF(8=$K28,200000,ABS(8-$K28)*100)),100000+ABS(2-$J28)*1000+80)+'計算A'!AI$5*50+IF(AND($E28=1,JV28=0),25,0),IF($F28&gt;0,INDEX('計算A'!AI$110:AI$114,$F28+1)+IF(AND($E28=1,JV28=0),1000,0),MIN(TV28,20)*400+(IF('計算A'!AH$106=1,1-EF28,0)+IF('計算A'!AI$106=1,1-EH28,0))*150+82+'計算A'!AI$5*100000+IF(AND($E28=1,JV28=0),50000,0))+IF($H28=1,(IF('計算A'!AH$117=1,INDEX('計算A'!AH$10:AH$54,$B28),0)+IF('計算A'!AI$117=1,INDEX('計算A'!AJ$10:AJ$54,$B28),0))*4000,0)-IF(AND('計算A'!AH$117=1,VF28&gt;0),2000,0)-IF(AND($L28=1,'計算A'!AI$117=1,EH28=0),2000,0))),1000000))</f>
        <v/>
      </c>
      <c r="PL28">
        <f>IF($B28=0,1000000,IF(INDEX('計算A'!$D$60:$EQ$104,$B28,33)*EH28=1,IF(AND($E28=2,JW28=0),1000000,IF($I28&gt;0,IF(2=$J28,IF(OR(AND(33=$I28+1,OR($K28&lt;&gt;'計算A'!$A$3,'計算A'!$A$4=0)),AND(33=$I28-1,OR(9&lt;&gt;'計算A'!$A$3,'計算A'!$A$4=0))),0,IF(9=$K28,200000,ABS(9-$K28)*100)),100000+ABS(2-$J28)*1000+90)+'計算A'!AJ$5*50+IF(AND($E28=1,JW28=0),25,0),IF($F28&gt;0,INDEX('計算A'!AJ$110:AJ$114,$F28+1)+IF(AND($E28=1,JW28=0),1000,0),MIN(TV28,20)*400+(IF('計算A'!AI$106=1,1-EG28,0)+IF('計算A'!AJ$106=1,1-EI28,0))*150+92+'計算A'!AJ$5*100000+IF(AND($E28=1,JW28=0),50000,0))+IF($H28=1,(IF('計算A'!AI$117=1,INDEX('計算A'!AI$10:AI$54,$B28),0)+IF('計算A'!AJ$117=1,INDEX('計算A'!AK$10:AK$54,$B28),0))*4000,0)-IF(AND('計算A'!AI$117=1,VG28&gt;0),2000,0)-IF(AND($L28=1,'計算A'!AJ$117=1,EI28=0),2000,0))),1000000))</f>
        <v/>
      </c>
      <c r="PM28">
        <f>IF($B28=0,1000000,IF(INDEX('計算A'!$D$60:$EQ$104,$B28,34)*EI28=1,IF(AND($E28=2,JX28=0),1000000,IF($I28&gt;0,IF(2=$J28,IF(OR(AND(34=$I28+1,OR($K28&lt;&gt;'計算A'!$A$3,'計算A'!$A$4=0)),AND(34=$I28-1,OR(10&lt;&gt;'計算A'!$A$3,'計算A'!$A$4=0))),0,IF(10=$K28,200000,ABS(10-$K28)*100)),100000+ABS(2-$J28)*1000+100)+'計算A'!AK$5*50+IF(AND($E28=1,JX28=0),25,0),IF($F28&gt;0,INDEX('計算A'!AK$110:AK$114,$F28+1)+IF(AND($E28=1,JX28=0),1000,0),MIN(TV28,20)*400+(IF('計算A'!AJ$106=1,1-EH28,0)+IF('計算A'!AK$106=1,1-EJ28,0))*150+102+'計算A'!AK$5*100000+IF(AND($E28=1,JX28=0),50000,0))+IF($H28=1,(IF('計算A'!AJ$117=1,INDEX('計算A'!AJ$10:AJ$54,$B28),0)+IF('計算A'!AK$117=1,INDEX('計算A'!AL$10:AL$54,$B28),0))*4000,0)-IF(AND('計算A'!AJ$117=1,VH28&gt;0),2000,0)-IF(AND($L28=1,'計算A'!AK$117=1,EJ28=0),2000,0))),1000000))</f>
        <v/>
      </c>
      <c r="PN28">
        <f>IF($B28=0,1000000,IF(INDEX('計算A'!$D$60:$EQ$104,$B28,35)*EJ28=1,IF(AND($E28=2,JY28=0),1000000,IF($I28&gt;0,IF(2=$J28,IF(OR(AND(35=$I28+1,OR($K28&lt;&gt;'計算A'!$A$3,'計算A'!$A$4=0)),AND(35=$I28-1,OR(11&lt;&gt;'計算A'!$A$3,'計算A'!$A$4=0))),0,IF(11=$K28,200000,ABS(11-$K28)*100)),100000+ABS(2-$J28)*1000+110)+'計算A'!AL$5*50+IF(AND($E28=1,JY28=0),25,0),IF($F28&gt;0,INDEX('計算A'!AL$110:AL$114,$F28+1)+IF(AND($E28=1,JY28=0),1000,0),MIN(TV28,20)*400+(IF('計算A'!AK$106=1,1-EI28,0)+IF('計算A'!AL$106=1,1-EK28,0))*150+112+'計算A'!AL$5*100000+IF(AND($E28=1,JY28=0),50000,0))+IF($H28=1,(IF('計算A'!AK$117=1,INDEX('計算A'!AK$10:AK$54,$B28),0)+IF('計算A'!AL$117=1,INDEX('計算A'!AM$10:AM$54,$B28),0))*4000,0)-IF(AND('計算A'!AK$117=1,VI28&gt;0),2000,0)-IF(AND($L28=1,'計算A'!AL$117=1,EK28=0),2000,0))),1000000))</f>
        <v/>
      </c>
      <c r="PO28">
        <f>IF($B28=0,1000000,IF(INDEX('計算A'!$D$60:$EQ$104,$B28,36)*EK28=1,IF(AND($E28=2,JZ28=0),1000000,IF($I28&gt;0,IF(2=$J28,IF(OR(AND(36=$I28+1,OR($K28&lt;&gt;'計算A'!$A$3,'計算A'!$A$4=0)),AND(36=$I28-1,OR(12&lt;&gt;'計算A'!$A$3,'計算A'!$A$4=0))),0,IF(12=$K28,200000,ABS(12-$K28)*100)),100000+ABS(2-$J28)*1000+120)+'計算A'!AM$5*50+IF(AND($E28=1,JZ28=0),25,0),IF($F28&gt;0,INDEX('計算A'!AM$110:AM$114,$F28+1)+IF(AND($E28=1,JZ28=0),1000,0),MIN(TV28,20)*400+(IF('計算A'!AL$106=1,1-EJ28,0)+IF('計算A'!AM$106=1,1-EL28,0))*150+122+'計算A'!AM$5*100000+IF(AND($E28=1,JZ28=0),50000,0))+IF($H28=1,(IF('計算A'!AL$117=1,INDEX('計算A'!AL$10:AL$54,$B28),0)+IF('計算A'!AM$117=1,INDEX('計算A'!AN$10:AN$54,$B28),0))*4000,0)-IF(AND('計算A'!AL$117=1,VJ28&gt;0),2000,0)-IF(AND($L28=1,'計算A'!AM$117=1,EL28=0),2000,0))),1000000))</f>
        <v/>
      </c>
      <c r="PP28">
        <f>IF($B28=0,1000000,IF(INDEX('計算A'!$D$60:$EQ$104,$B28,37)*EL28=1,IF(AND($E28=2,KA28=0),1000000,IF($I28&gt;0,IF(2=$J28,IF(OR(AND(37=$I28+1,OR($K28&lt;&gt;'計算A'!$A$3,'計算A'!$A$4=0)),AND(37=$I28-1,OR(13&lt;&gt;'計算A'!$A$3,'計算A'!$A$4=0))),0,IF(13=$K28,200000,ABS(13-$K28)*100)),100000+ABS(2-$J28)*1000+130)+'計算A'!AN$5*50+IF(AND($E28=1,KA28=0),25,0),IF($F28&gt;0,INDEX('計算A'!AN$110:AN$114,$F28+1)+IF(AND($E28=1,KA28=0),1000,0),MIN(TV28,20)*400+(IF('計算A'!AM$106=1,1-EK28,0)+IF('計算A'!AN$106=1,1-EM28,0))*150+132+'計算A'!AN$5*100000+IF(AND($E28=1,KA28=0),50000,0))+IF($H28=1,(IF('計算A'!AM$117=1,INDEX('計算A'!AM$10:AM$54,$B28),0)+IF('計算A'!AN$117=1,INDEX('計算A'!AO$10:AO$54,$B28),0))*4000,0)-IF(AND('計算A'!AM$117=1,VK28&gt;0),2000,0)-IF(AND($L28=1,'計算A'!AN$117=1,EM28=0),2000,0))),1000000))</f>
        <v/>
      </c>
      <c r="PQ28">
        <f>IF($B28=0,1000000,IF(INDEX('計算A'!$D$60:$EQ$104,$B28,38)*EM28=1,IF(AND($E28=2,KB28=0),1000000,IF($I28&gt;0,IF(2=$J28,IF(OR(AND(38=$I28+1,OR($K28&lt;&gt;'計算A'!$A$3,'計算A'!$A$4=0)),AND(38=$I28-1,OR(14&lt;&gt;'計算A'!$A$3,'計算A'!$A$4=0))),0,IF(14=$K28,200000,ABS(14-$K28)*100)),100000+ABS(2-$J28)*1000+140)+'計算A'!AO$5*50+IF(AND($E28=1,KB28=0),25,0),IF($F28&gt;0,INDEX('計算A'!AO$110:AO$114,$F28+1)+IF(AND($E28=1,KB28=0),1000,0),MIN(TV28,20)*400+(IF('計算A'!AN$106=1,1-EL28,0)+IF('計算A'!AO$106=1,1-EN28,0))*150+142+'計算A'!AO$5*100000+IF(AND($E28=1,KB28=0),50000,0))+IF($H28=1,(IF('計算A'!AN$117=1,INDEX('計算A'!AN$10:AN$54,$B28),0)+IF('計算A'!AO$117=1,INDEX('計算A'!AP$10:AP$54,$B28),0))*4000,0)-IF(AND('計算A'!AN$117=1,VL28&gt;0),2000,0)-IF(AND($L28=1,'計算A'!AO$117=1,EN28=0),2000,0))),1000000))</f>
        <v/>
      </c>
      <c r="PR28">
        <f>IF($B28=0,1000000,IF(INDEX('計算A'!$D$60:$EQ$104,$B28,39)*EN28=1,IF(AND($E28=2,KC28=0),1000000,IF($I28&gt;0,IF(2=$J28,IF(OR(AND(39=$I28+1,OR($K28&lt;&gt;'計算A'!$A$3,'計算A'!$A$4=0)),AND(39=$I28-1,OR(15&lt;&gt;'計算A'!$A$3,'計算A'!$A$4=0))),0,IF(15=$K28,200000,ABS(15-$K28)*100)),100000+ABS(2-$J28)*1000+150)+'計算A'!AP$5*50+IF(AND($E28=1,KC28=0),25,0),IF($F28&gt;0,INDEX('計算A'!AP$110:AP$114,$F28+1)+IF(AND($E28=1,KC28=0),1000,0),MIN(TV28,20)*400+(IF('計算A'!AO$106=1,1-EM28,0)+IF('計算A'!AP$106=1,1-EO28,0))*150+152+'計算A'!AP$5*100000+IF(AND($E28=1,KC28=0),50000,0))+IF($H28=1,(IF('計算A'!AO$117=1,INDEX('計算A'!AO$10:AO$54,$B28),0)+IF('計算A'!AP$117=1,INDEX('計算A'!AQ$10:AQ$54,$B28),0))*4000,0)-IF(AND('計算A'!AO$117=1,VM28&gt;0),2000,0)-IF(AND($L28=1,'計算A'!AP$117=1,EO28=0),2000,0))),1000000))</f>
        <v/>
      </c>
      <c r="PS28">
        <f>IF($B28=0,1000000,IF(INDEX('計算A'!$D$60:$EQ$104,$B28,40)*EO28=1,IF(AND($E28=2,KD28=0),1000000,IF($I28&gt;0,IF(2=$J28,IF(OR(AND(40=$I28+1,OR($K28&lt;&gt;'計算A'!$A$3,'計算A'!$A$4=0)),AND(40=$I28-1,OR(16&lt;&gt;'計算A'!$A$3,'計算A'!$A$4=0))),0,IF(16=$K28,200000,ABS(16-$K28)*100)),100000+ABS(2-$J28)*1000+160)+'計算A'!AQ$5*50+IF(AND($E28=1,KD28=0),25,0),IF($F28&gt;0,INDEX('計算A'!AQ$110:AQ$114,$F28+1)+IF(AND($E28=1,KD28=0),1000,0),MIN(TV28,20)*400+(IF('計算A'!AP$106=1,1-EN28,0)+IF('計算A'!AQ$106=1,1-EP28,0))*150+162+'計算A'!AQ$5*100000+IF(AND($E28=1,KD28=0),50000,0))+IF($H28=1,(IF('計算A'!AP$117=1,INDEX('計算A'!AP$10:AP$54,$B28),0)+IF('計算A'!AQ$117=1,INDEX('計算A'!AR$10:AR$54,$B28),0))*4000,0)-IF(AND('計算A'!AP$117=1,VN28&gt;0),2000,0)-IF(AND($L28=1,'計算A'!AQ$117=1,EP28=0),2000,0))),1000000))</f>
        <v/>
      </c>
      <c r="PT28">
        <f>IF($B28=0,1000000,IF(INDEX('計算A'!$D$60:$EQ$104,$B28,41)*EP28=1,IF(AND($E28=2,KE28=0),1000000,IF($I28&gt;0,IF(2=$J28,IF(OR(AND(41=$I28+1,OR($K28&lt;&gt;'計算A'!$A$3,'計算A'!$A$4=0)),AND(41=$I28-1,OR(17&lt;&gt;'計算A'!$A$3,'計算A'!$A$4=0))),0,IF(17=$K28,200000,ABS(17-$K28)*100)),100000+ABS(2-$J28)*1000+170)+'計算A'!AR$5*50+IF(AND($E28=1,KE28=0),25,0),IF($F28&gt;0,INDEX('計算A'!AR$110:AR$114,$F28+1)+IF(AND($E28=1,KE28=0),1000,0),MIN(TV28,20)*400+(IF('計算A'!AQ$106=1,1-EO28,0)+IF('計算A'!AR$106=1,1-EQ28,0))*150+172+'計算A'!AR$5*100000+IF(AND($E28=1,KE28=0),50000,0))+IF($H28=1,(IF('計算A'!AQ$117=1,INDEX('計算A'!AQ$10:AQ$54,$B28),0)+IF('計算A'!AR$117=1,INDEX('計算A'!AS$10:AS$54,$B28),0))*4000,0)-IF(AND('計算A'!AQ$117=1,VO28&gt;0),2000,0)-IF(AND($L28=1,'計算A'!AR$117=1,EQ28=0),2000,0))),1000000))</f>
        <v/>
      </c>
      <c r="PU28">
        <f>IF($B28=0,1000000,IF(INDEX('計算A'!$D$60:$EQ$104,$B28,42)*EQ28=1,IF(AND($E28=2,KF28=0),1000000,IF($I28&gt;0,IF(2=$J28,IF(OR(AND(42=$I28+1,OR($K28&lt;&gt;'計算A'!$A$3,'計算A'!$A$4=0)),AND(42=$I28-1,OR(18&lt;&gt;'計算A'!$A$3,'計算A'!$A$4=0))),0,IF(18=$K28,200000,ABS(18-$K28)*100)),100000+ABS(2-$J28)*1000+180)+'計算A'!AS$5*50+IF(AND($E28=1,KF28=0),25,0),IF($F28&gt;0,INDEX('計算A'!AS$110:AS$114,$F28+1)+IF(AND($E28=1,KF28=0),1000,0),MIN(TV28,20)*400+(IF('計算A'!AR$106=1,1-EP28,0)+IF('計算A'!AS$106=1,1-ER28,0))*150+182+'計算A'!AS$5*100000+IF(AND($E28=1,KF28=0),50000,0))+IF($H28=1,(IF('計算A'!AR$117=1,INDEX('計算A'!AR$10:AR$54,$B28),0)+IF('計算A'!AS$117=1,INDEX('計算A'!AT$10:AT$54,$B28),0))*4000,0)-IF(AND('計算A'!AR$117=1,VP28&gt;0),2000,0)-IF(AND($L28=1,'計算A'!AS$117=1,ER28=0),2000,0))),1000000))</f>
        <v/>
      </c>
      <c r="PV28">
        <f>IF($B28=0,1000000,IF(INDEX('計算A'!$D$60:$EQ$104,$B28,43)*ER28=1,IF(AND($E28=2,KG28=0),1000000,IF($I28&gt;0,IF(2=$J28,IF(OR(AND(43=$I28+1,OR($K28&lt;&gt;'計算A'!$A$3,'計算A'!$A$4=0)),AND(43=$I28-1,OR(19&lt;&gt;'計算A'!$A$3,'計算A'!$A$4=0))),0,IF(19=$K28,200000,ABS(19-$K28)*100)),100000+ABS(2-$J28)*1000+190)+'計算A'!AT$5*50+IF(AND($E28=1,KG28=0),25,0),IF($F28&gt;0,INDEX('計算A'!AT$110:AT$114,$F28+1)+IF(AND($E28=1,KG28=0),1000,0),MIN(TV28,20)*400+(IF('計算A'!AS$106=1,1-EQ28,0)+IF('計算A'!AT$106=1,1-ES28,0))*150+192+'計算A'!AT$5*100000+IF(AND($E28=1,KG28=0),50000,0))+IF($H28=1,(IF('計算A'!AS$117=1,INDEX('計算A'!AS$10:AS$54,$B28),0)+IF('計算A'!AT$117=1,INDEX('計算A'!AU$10:AU$54,$B28),0))*4000,0)-IF(AND('計算A'!AS$117=1,VQ28&gt;0),2000,0)-IF(AND($L28=1,'計算A'!AT$117=1,ES28=0),2000,0))),1000000))</f>
        <v/>
      </c>
      <c r="PW28">
        <f>IF($B28=0,1000000,IF(INDEX('計算A'!$D$60:$EQ$104,$B28,44)*ES28=1,IF(AND($E28=2,KH28=0),1000000,IF($I28&gt;0,IF(2=$J28,IF(OR(AND(44=$I28+1,OR($K28&lt;&gt;'計算A'!$A$3,'計算A'!$A$4=0)),AND(44=$I28-1,OR(20&lt;&gt;'計算A'!$A$3,'計算A'!$A$4=0))),0,IF(20=$K28,200000,ABS(20-$K28)*100)),100000+ABS(2-$J28)*1000+200)+'計算A'!AU$5*50+IF(AND($E28=1,KH28=0),25,0),IF($F28&gt;0,INDEX('計算A'!AU$110:AU$114,$F28+1)+IF(AND($E28=1,KH28=0),1000,0),MIN(TV28,20)*400+(IF('計算A'!AT$106=1,1-ER28,0)+IF('計算A'!AU$106=1,1-ET28,0))*150+202+'計算A'!AU$5*100000+IF(AND($E28=1,KH28=0),50000,0))+IF($H28=1,(IF('計算A'!AT$117=1,INDEX('計算A'!AT$10:AT$54,$B28),0)+IF('計算A'!AU$117=1,INDEX('計算A'!AV$10:AV$54,$B28),0))*4000,0)-IF(AND('計算A'!AT$117=1,VR28&gt;0),2000,0)-IF(AND($L28=1,'計算A'!AU$117=1,ET28=0),2000,0))),1000000))</f>
        <v/>
      </c>
      <c r="PX28">
        <f>IF($B28=0,1000000,IF(INDEX('計算A'!$D$60:$EQ$104,$B28,45)*ET28=1,IF(AND($E28=2,KI28=0),1000000,IF($I28&gt;0,IF(2=$J28,IF(OR(AND(45=$I28+1,OR($K28&lt;&gt;'計算A'!$A$3,'計算A'!$A$4=0)),AND(45=$I28-1,OR(21&lt;&gt;'計算A'!$A$3,'計算A'!$A$4=0))),0,IF(21=$K28,200000,ABS(21-$K28)*100)),100000+ABS(2-$J28)*1000+210)+'計算A'!AV$5*50+IF(AND($E28=1,KI28=0),25,0),IF($F28&gt;0,INDEX('計算A'!AV$110:AV$114,$F28+1)+IF(AND($E28=1,KI28=0),1000,0),MIN(TV28,20)*400+(IF('計算A'!AU$106=1,1-ES28,0)+IF('計算A'!AV$106=1,1-EU28,0))*150+212+'計算A'!AV$5*100000+IF(AND($E28=1,KI28=0),50000,0))+IF($H28=1,(IF('計算A'!AU$117=1,INDEX('計算A'!AU$10:AU$54,$B28),0)+IF('計算A'!AV$117=1,INDEX('計算A'!AW$10:AW$54,$B28),0))*4000,0)-IF(AND('計算A'!AU$117=1,VS28&gt;0),2000,0)-IF(AND($L28=1,'計算A'!AV$117=1,EU28=0),2000,0))),1000000))</f>
        <v/>
      </c>
      <c r="PY28">
        <f>IF($B28=0,1000000,IF(INDEX('計算A'!$D$60:$EQ$104,$B28,46)*EU28=1,IF(AND($E28=2,KJ28=0),1000000,IF($I28&gt;0,IF(2=$J28,IF(OR(AND(46=$I28+1,OR($K28&lt;&gt;'計算A'!$A$3,'計算A'!$A$4=0)),AND(46=$I28-1,OR(22&lt;&gt;'計算A'!$A$3,'計算A'!$A$4=0))),0,IF(22=$K28,200000,ABS(22-$K28)*100)),100000+ABS(2-$J28)*1000+220)+'計算A'!AW$5*50+IF(AND($E28=1,KJ28=0),25,0),IF($F28&gt;0,INDEX('計算A'!AW$110:AW$114,$F28+1)+IF(AND($E28=1,KJ28=0),1000,0),MIN(TV28,20)*400+(IF('計算A'!AV$106=1,1-ET28,0)+IF('計算A'!AW$106=1,1-EV28,0))*150+222+'計算A'!AW$5*100000+IF(AND($E28=1,KJ28=0),50000,0))+IF($H28=1,(IF('計算A'!AV$117=1,INDEX('計算A'!AV$10:AV$54,$B28),0)+IF('計算A'!AW$117=1,INDEX('計算A'!AX$10:AX$54,$B28),0))*4000,0)-IF(AND('計算A'!AV$117=1,VT28&gt;0),2000,0)-IF(AND($L28=1,'計算A'!AW$117=1,EV28=0),2000,0))),1000000))</f>
        <v/>
      </c>
      <c r="PZ28">
        <f>IF($B28=0,1000000,IF(INDEX('計算A'!$D$60:$EQ$104,$B28,47)*EV28=1,IF(AND($E28=2,KK28=0),1000000,IF($I28&gt;0,IF(2=$J28,IF(OR(AND(47=$I28+1,OR($K28&lt;&gt;'計算A'!$A$3,'計算A'!$A$4=0)),AND(47=$I28-1,OR(23&lt;&gt;'計算A'!$A$3,'計算A'!$A$4=0))),0,IF(23=$K28,200000,ABS(23-$K28)*100)),100000+ABS(2-$J28)*1000+230)+'計算A'!AX$5*50+IF(AND($E28=1,KK28=0),25,0),IF($F28&gt;0,INDEX('計算A'!AX$110:AX$114,$F28+1)+IF(AND($E28=1,KK28=0),1000,0),MIN(TV28,20)*400+(IF('計算A'!AW$106=1,1-EU28,0)+IF('計算A'!AX$106=1,1-EW28,0))*150+232+'計算A'!AX$5*100000+IF(AND($E28=1,KK28=0),50000,0))+IF($H28=1,(IF('計算A'!AW$117=1,INDEX('計算A'!AW$10:AW$54,$B28),0)+IF('計算A'!AX$117=1,INDEX('計算A'!AY$10:AY$54,$B28),0))*4000,0)-IF(AND('計算A'!AW$117=1,VU28&gt;0),2000,0)-IF(AND($L28=1,'計算A'!AX$117=1,EW28=0),2000,0))),1000000))</f>
        <v/>
      </c>
      <c r="QA28">
        <f>IF($B28=0,1000000,IF(INDEX('計算A'!$D$60:$EQ$104,$B28,48)*EW28=1,IF(AND($E28=2,KL28=0),1000000,IF($I28&gt;0,IF(2=$J28,IF(OR(AND(48=$I28+1,OR($K28&lt;&gt;'計算A'!$A$3,'計算A'!$A$4=0)),AND(48=$I28-1,OR(24&lt;&gt;'計算A'!$A$3,'計算A'!$A$4=0))),0,IF(24=$K28,200000,ABS(24-$K28)*100)),100000+ABS(2-$J28)*1000+240)+'計算A'!AY$5*50+IF(AND($E28=1,KL28=0),25,0),IF($F28&gt;0,INDEX('計算A'!AY$110:AY$114,$F28+1)+IF(AND($E28=1,KL28=0),1000,0),MIN(TV28,20)*400+(IF('計算A'!AX$106=1,1-EV28,0))*150+242+'計算A'!AY$5*100000+IF(AND($E28=1,KL28=0),50000,0))+IF($H28=1,(IF('計算A'!AX$117=1,INDEX('計算A'!AX$10:AX$54,$B28),0))*4000,0)-IF(AND('計算A'!AX$117=1,VV28&gt;0),2000,0))),1000000))</f>
        <v/>
      </c>
      <c r="QB28">
        <f>IF($B28=0,1000000,IF(INDEX('計算A'!$D$60:$EQ$104,$B28,49)*EX28=1,IF(AND($E28=2,KM28=0),1000000,IF($I28&gt;0,IF(3=$J28,IF(OR(AND(49=$I28+1,OR($K28&lt;&gt;'計算A'!$A$3,'計算A'!$A$4=0)),AND(49=$I28-1,OR(1&lt;&gt;'計算A'!$A$3,'計算A'!$A$4=0))),0,IF(1=$K28,200000,ABS(1-$K28)*100)),100000+ABS(3-$J28)*1000+10)+'計算A'!AZ$5*50+IF(AND($E28=1,KM28=0),25,0),IF($F28&gt;0,INDEX('計算A'!AZ$110:AZ$114,$F28+1)+IF(AND($E28=1,KM28=0),1000,0),MIN(TW28,20)*400+(IF('計算A'!AZ$106=1,1-EY28,0))*150+13+'計算A'!AZ$5*100000+IF(AND($E28=1,KM28=0),50000,0))+IF($H28=1,(IF('計算A'!AZ$117=1,INDEX('計算A'!BA$10:BA$54,$B28),0))*4000,0)-IF(AND($L28=1,'計算A'!AZ$117=1,EY28=0),2000,0))),1000000))</f>
        <v/>
      </c>
      <c r="QC28">
        <f>IF($B28=0,1000000,IF(INDEX('計算A'!$D$60:$EQ$104,$B28,50)*EY28=1,IF(AND($E28=2,KN28=0),1000000,IF($I28&gt;0,IF(3=$J28,IF(OR(AND(50=$I28+1,OR($K28&lt;&gt;'計算A'!$A$3,'計算A'!$A$4=0)),AND(50=$I28-1,OR(2&lt;&gt;'計算A'!$A$3,'計算A'!$A$4=0))),0,IF(2=$K28,200000,ABS(2-$K28)*100)),100000+ABS(3-$J28)*1000+20)+'計算A'!BA$5*50+IF(AND($E28=1,KN28=0),25,0),IF($F28&gt;0,INDEX('計算A'!BA$110:BA$114,$F28+1)+IF(AND($E28=1,KN28=0),1000,0),MIN(TW28,20)*400+(IF('計算A'!AZ$106=1,1-EX28,0)+IF('計算A'!BA$106=1,1-EZ28,0))*150+23+'計算A'!BA$5*100000+IF(AND($E28=1,KN28=0),50000,0))+IF($H28=1,(IF('計算A'!AZ$117=1,INDEX('計算A'!AZ$10:AZ$54,$B28),0)+IF('計算A'!BA$117=1,INDEX('計算A'!BB$10:BB$54,$B28),0))*4000,0)-IF(AND('計算A'!AZ$117=1,VX28&gt;0),2000,0)-IF(AND($L28=1,'計算A'!BA$117=1,EZ28=0),2000,0))),1000000))</f>
        <v/>
      </c>
      <c r="QD28">
        <f>IF($B28=0,1000000,IF(INDEX('計算A'!$D$60:$EQ$104,$B28,51)*EZ28=1,IF(AND($E28=2,KO28=0),1000000,IF($I28&gt;0,IF(3=$J28,IF(OR(AND(51=$I28+1,OR($K28&lt;&gt;'計算A'!$A$3,'計算A'!$A$4=0)),AND(51=$I28-1,OR(3&lt;&gt;'計算A'!$A$3,'計算A'!$A$4=0))),0,IF(3=$K28,200000,ABS(3-$K28)*100)),100000+ABS(3-$J28)*1000+30)+'計算A'!BB$5*50+IF(AND($E28=1,KO28=0),25,0),IF($F28&gt;0,INDEX('計算A'!BB$110:BB$114,$F28+1)+IF(AND($E28=1,KO28=0),1000,0),MIN(TW28,20)*400+(IF('計算A'!BA$106=1,1-EY28,0)+IF('計算A'!BB$106=1,1-FA28,0))*150+33+'計算A'!BB$5*100000+IF(AND($E28=1,KO28=0),50000,0))+IF($H28=1,(IF('計算A'!BA$117=1,INDEX('計算A'!BA$10:BA$54,$B28),0)+IF('計算A'!BB$117=1,INDEX('計算A'!BC$10:BC$54,$B28),0))*4000,0)-IF(AND('計算A'!BA$117=1,VY28&gt;0),2000,0)-IF(AND($L28=1,'計算A'!BB$117=1,FA28=0),2000,0))),1000000))</f>
        <v/>
      </c>
      <c r="QE28">
        <f>IF($B28=0,1000000,IF(INDEX('計算A'!$D$60:$EQ$104,$B28,52)*FA28=1,IF(AND($E28=2,KP28=0),1000000,IF($I28&gt;0,IF(3=$J28,IF(OR(AND(52=$I28+1,OR($K28&lt;&gt;'計算A'!$A$3,'計算A'!$A$4=0)),AND(52=$I28-1,OR(4&lt;&gt;'計算A'!$A$3,'計算A'!$A$4=0))),0,IF(4=$K28,200000,ABS(4-$K28)*100)),100000+ABS(3-$J28)*1000+40)+'計算A'!BC$5*50+IF(AND($E28=1,KP28=0),25,0),IF($F28&gt;0,INDEX('計算A'!BC$110:BC$114,$F28+1)+IF(AND($E28=1,KP28=0),1000,0),MIN(TW28,20)*400+(IF('計算A'!BB$106=1,1-EZ28,0)+IF('計算A'!BC$106=1,1-FB28,0))*150+43+'計算A'!BC$5*100000+IF(AND($E28=1,KP28=0),50000,0))+IF($H28=1,(IF('計算A'!BB$117=1,INDEX('計算A'!BB$10:BB$54,$B28),0)+IF('計算A'!BC$117=1,INDEX('計算A'!BD$10:BD$54,$B28),0))*4000,0)-IF(AND('計算A'!BB$117=1,VZ28&gt;0),2000,0)-IF(AND($L28=1,'計算A'!BC$117=1,FB28=0),2000,0))),1000000))</f>
        <v/>
      </c>
      <c r="QF28">
        <f>IF($B28=0,1000000,IF(INDEX('計算A'!$D$60:$EQ$104,$B28,53)*FB28=1,IF(AND($E28=2,KQ28=0),1000000,IF($I28&gt;0,IF(3=$J28,IF(OR(AND(53=$I28+1,OR($K28&lt;&gt;'計算A'!$A$3,'計算A'!$A$4=0)),AND(53=$I28-1,OR(5&lt;&gt;'計算A'!$A$3,'計算A'!$A$4=0))),0,IF(5=$K28,200000,ABS(5-$K28)*100)),100000+ABS(3-$J28)*1000+50)+'計算A'!BD$5*50+IF(AND($E28=1,KQ28=0),25,0),IF($F28&gt;0,INDEX('計算A'!BD$110:BD$114,$F28+1)+IF(AND($E28=1,KQ28=0),1000,0),MIN(TW28,20)*400+(IF('計算A'!BC$106=1,1-FA28,0)+IF('計算A'!BD$106=1,1-FC28,0))*150+53+'計算A'!BD$5*100000+IF(AND($E28=1,KQ28=0),50000,0))+IF($H28=1,(IF('計算A'!BC$117=1,INDEX('計算A'!BC$10:BC$54,$B28),0)+IF('計算A'!BD$117=1,INDEX('計算A'!BE$10:BE$54,$B28),0))*4000,0)-IF(AND('計算A'!BC$117=1,WA28&gt;0),2000,0)-IF(AND($L28=1,'計算A'!BD$117=1,FC28=0),2000,0))),1000000))</f>
        <v/>
      </c>
      <c r="QG28">
        <f>IF($B28=0,1000000,IF(INDEX('計算A'!$D$60:$EQ$104,$B28,54)*FC28=1,IF(AND($E28=2,KR28=0),1000000,IF($I28&gt;0,IF(3=$J28,IF(OR(AND(54=$I28+1,OR($K28&lt;&gt;'計算A'!$A$3,'計算A'!$A$4=0)),AND(54=$I28-1,OR(6&lt;&gt;'計算A'!$A$3,'計算A'!$A$4=0))),0,IF(6=$K28,200000,ABS(6-$K28)*100)),100000+ABS(3-$J28)*1000+60)+'計算A'!BE$5*50+IF(AND($E28=1,KR28=0),25,0),IF($F28&gt;0,INDEX('計算A'!BE$110:BE$114,$F28+1)+IF(AND($E28=1,KR28=0),1000,0),MIN(TW28,20)*400+(IF('計算A'!BD$106=1,1-FB28,0)+IF('計算A'!BE$106=1,1-FD28,0))*150+63+'計算A'!BE$5*100000+IF(AND($E28=1,KR28=0),50000,0))+IF($H28=1,(IF('計算A'!BD$117=1,INDEX('計算A'!BD$10:BD$54,$B28),0)+IF('計算A'!BE$117=1,INDEX('計算A'!BF$10:BF$54,$B28),0))*4000,0)-IF(AND('計算A'!BD$117=1,WB28&gt;0),2000,0)-IF(AND($L28=1,'計算A'!BE$117=1,FD28=0),2000,0))),1000000))</f>
        <v/>
      </c>
      <c r="QH28">
        <f>IF($B28=0,1000000,IF(INDEX('計算A'!$D$60:$EQ$104,$B28,55)*FD28=1,IF(AND($E28=2,KS28=0),1000000,IF($I28&gt;0,IF(3=$J28,IF(OR(AND(55=$I28+1,OR($K28&lt;&gt;'計算A'!$A$3,'計算A'!$A$4=0)),AND(55=$I28-1,OR(7&lt;&gt;'計算A'!$A$3,'計算A'!$A$4=0))),0,IF(7=$K28,200000,ABS(7-$K28)*100)),100000+ABS(3-$J28)*1000+70)+'計算A'!BF$5*50+IF(AND($E28=1,KS28=0),25,0),IF($F28&gt;0,INDEX('計算A'!BF$110:BF$114,$F28+1)+IF(AND($E28=1,KS28=0),1000,0),MIN(TW28,20)*400+(IF('計算A'!BE$106=1,1-FC28,0)+IF('計算A'!BF$106=1,1-FE28,0))*150+73+'計算A'!BF$5*100000+IF(AND($E28=1,KS28=0),50000,0))+IF($H28=1,(IF('計算A'!BE$117=1,INDEX('計算A'!BE$10:BE$54,$B28),0)+IF('計算A'!BF$117=1,INDEX('計算A'!BG$10:BG$54,$B28),0))*4000,0)-IF(AND('計算A'!BE$117=1,WC28&gt;0),2000,0)-IF(AND($L28=1,'計算A'!BF$117=1,FE28=0),2000,0))),1000000))</f>
        <v/>
      </c>
      <c r="QI28">
        <f>IF($B28=0,1000000,IF(INDEX('計算A'!$D$60:$EQ$104,$B28,56)*FE28=1,IF(AND($E28=2,KT28=0),1000000,IF($I28&gt;0,IF(3=$J28,IF(OR(AND(56=$I28+1,OR($K28&lt;&gt;'計算A'!$A$3,'計算A'!$A$4=0)),AND(56=$I28-1,OR(8&lt;&gt;'計算A'!$A$3,'計算A'!$A$4=0))),0,IF(8=$K28,200000,ABS(8-$K28)*100)),100000+ABS(3-$J28)*1000+80)+'計算A'!BG$5*50+IF(AND($E28=1,KT28=0),25,0),IF($F28&gt;0,INDEX('計算A'!BG$110:BG$114,$F28+1)+IF(AND($E28=1,KT28=0),1000,0),MIN(TW28,20)*400+(IF('計算A'!BF$106=1,1-FD28,0)+IF('計算A'!BG$106=1,1-FF28,0))*150+83+'計算A'!BG$5*100000+IF(AND($E28=1,KT28=0),50000,0))+IF($H28=1,(IF('計算A'!BF$117=1,INDEX('計算A'!BF$10:BF$54,$B28),0)+IF('計算A'!BG$117=1,INDEX('計算A'!BH$10:BH$54,$B28),0))*4000,0)-IF(AND('計算A'!BF$117=1,WD28&gt;0),2000,0)-IF(AND($L28=1,'計算A'!BG$117=1,FF28=0),2000,0))),1000000))</f>
        <v/>
      </c>
      <c r="QJ28">
        <f>IF($B28=0,1000000,IF(INDEX('計算A'!$D$60:$EQ$104,$B28,57)*FF28=1,IF(AND($E28=2,KU28=0),1000000,IF($I28&gt;0,IF(3=$J28,IF(OR(AND(57=$I28+1,OR($K28&lt;&gt;'計算A'!$A$3,'計算A'!$A$4=0)),AND(57=$I28-1,OR(9&lt;&gt;'計算A'!$A$3,'計算A'!$A$4=0))),0,IF(9=$K28,200000,ABS(9-$K28)*100)),100000+ABS(3-$J28)*1000+90)+'計算A'!BH$5*50+IF(AND($E28=1,KU28=0),25,0),IF($F28&gt;0,INDEX('計算A'!BH$110:BH$114,$F28+1)+IF(AND($E28=1,KU28=0),1000,0),MIN(TW28,20)*400+(IF('計算A'!BG$106=1,1-FE28,0)+IF('計算A'!BH$106=1,1-FG28,0))*150+93+'計算A'!BH$5*100000+IF(AND($E28=1,KU28=0),50000,0))+IF($H28=1,(IF('計算A'!BG$117=1,INDEX('計算A'!BG$10:BG$54,$B28),0)+IF('計算A'!BH$117=1,INDEX('計算A'!BI$10:BI$54,$B28),0))*4000,0)-IF(AND('計算A'!BG$117=1,WE28&gt;0),2000,0)-IF(AND($L28=1,'計算A'!BH$117=1,FG28=0),2000,0))),1000000))</f>
        <v/>
      </c>
      <c r="QK28">
        <f>IF($B28=0,1000000,IF(INDEX('計算A'!$D$60:$EQ$104,$B28,58)*FG28=1,IF(AND($E28=2,KV28=0),1000000,IF($I28&gt;0,IF(3=$J28,IF(OR(AND(58=$I28+1,OR($K28&lt;&gt;'計算A'!$A$3,'計算A'!$A$4=0)),AND(58=$I28-1,OR(10&lt;&gt;'計算A'!$A$3,'計算A'!$A$4=0))),0,IF(10=$K28,200000,ABS(10-$K28)*100)),100000+ABS(3-$J28)*1000+100)+'計算A'!BI$5*50+IF(AND($E28=1,KV28=0),25,0),IF($F28&gt;0,INDEX('計算A'!BI$110:BI$114,$F28+1)+IF(AND($E28=1,KV28=0),1000,0),MIN(TW28,20)*400+(IF('計算A'!BH$106=1,1-FF28,0)+IF('計算A'!BI$106=1,1-FH28,0))*150+103+'計算A'!BI$5*100000+IF(AND($E28=1,KV28=0),50000,0))+IF($H28=1,(IF('計算A'!BH$117=1,INDEX('計算A'!BH$10:BH$54,$B28),0)+IF('計算A'!BI$117=1,INDEX('計算A'!BJ$10:BJ$54,$B28),0))*4000,0)-IF(AND('計算A'!BH$117=1,WF28&gt;0),2000,0)-IF(AND($L28=1,'計算A'!BI$117=1,FH28=0),2000,0))),1000000))</f>
        <v/>
      </c>
      <c r="QL28">
        <f>IF($B28=0,1000000,IF(INDEX('計算A'!$D$60:$EQ$104,$B28,59)*FH28=1,IF(AND($E28=2,KW28=0),1000000,IF($I28&gt;0,IF(3=$J28,IF(OR(AND(59=$I28+1,OR($K28&lt;&gt;'計算A'!$A$3,'計算A'!$A$4=0)),AND(59=$I28-1,OR(11&lt;&gt;'計算A'!$A$3,'計算A'!$A$4=0))),0,IF(11=$K28,200000,ABS(11-$K28)*100)),100000+ABS(3-$J28)*1000+110)+'計算A'!BJ$5*50+IF(AND($E28=1,KW28=0),25,0),IF($F28&gt;0,INDEX('計算A'!BJ$110:BJ$114,$F28+1)+IF(AND($E28=1,KW28=0),1000,0),MIN(TW28,20)*400+(IF('計算A'!BI$106=1,1-FG28,0)+IF('計算A'!BJ$106=1,1-FI28,0))*150+113+'計算A'!BJ$5*100000+IF(AND($E28=1,KW28=0),50000,0))+IF($H28=1,(IF('計算A'!BI$117=1,INDEX('計算A'!BI$10:BI$54,$B28),0)+IF('計算A'!BJ$117=1,INDEX('計算A'!BK$10:BK$54,$B28),0))*4000,0)-IF(AND('計算A'!BI$117=1,WG28&gt;0),2000,0)-IF(AND($L28=1,'計算A'!BJ$117=1,FI28=0),2000,0))),1000000))</f>
        <v/>
      </c>
      <c r="QM28">
        <f>IF($B28=0,1000000,IF(INDEX('計算A'!$D$60:$EQ$104,$B28,60)*FI28=1,IF(AND($E28=2,KX28=0),1000000,IF($I28&gt;0,IF(3=$J28,IF(OR(AND(60=$I28+1,OR($K28&lt;&gt;'計算A'!$A$3,'計算A'!$A$4=0)),AND(60=$I28-1,OR(12&lt;&gt;'計算A'!$A$3,'計算A'!$A$4=0))),0,IF(12=$K28,200000,ABS(12-$K28)*100)),100000+ABS(3-$J28)*1000+120)+'計算A'!BK$5*50+IF(AND($E28=1,KX28=0),25,0),IF($F28&gt;0,INDEX('計算A'!BK$110:BK$114,$F28+1)+IF(AND($E28=1,KX28=0),1000,0),MIN(TW28,20)*400+(IF('計算A'!BJ$106=1,1-FH28,0)+IF('計算A'!BK$106=1,1-FJ28,0))*150+123+'計算A'!BK$5*100000+IF(AND($E28=1,KX28=0),50000,0))+IF($H28=1,(IF('計算A'!BJ$117=1,INDEX('計算A'!BJ$10:BJ$54,$B28),0)+IF('計算A'!BK$117=1,INDEX('計算A'!BL$10:BL$54,$B28),0))*4000,0)-IF(AND('計算A'!BJ$117=1,WH28&gt;0),2000,0)-IF(AND($L28=1,'計算A'!BK$117=1,FJ28=0),2000,0))),1000000))</f>
        <v/>
      </c>
      <c r="QN28">
        <f>IF($B28=0,1000000,IF(INDEX('計算A'!$D$60:$EQ$104,$B28,61)*FJ28=1,IF(AND($E28=2,KY28=0),1000000,IF($I28&gt;0,IF(3=$J28,IF(OR(AND(61=$I28+1,OR($K28&lt;&gt;'計算A'!$A$3,'計算A'!$A$4=0)),AND(61=$I28-1,OR(13&lt;&gt;'計算A'!$A$3,'計算A'!$A$4=0))),0,IF(13=$K28,200000,ABS(13-$K28)*100)),100000+ABS(3-$J28)*1000+130)+'計算A'!BL$5*50+IF(AND($E28=1,KY28=0),25,0),IF($F28&gt;0,INDEX('計算A'!BL$110:BL$114,$F28+1)+IF(AND($E28=1,KY28=0),1000,0),MIN(TW28,20)*400+(IF('計算A'!BK$106=1,1-FI28,0)+IF('計算A'!BL$106=1,1-FK28,0))*150+133+'計算A'!BL$5*100000+IF(AND($E28=1,KY28=0),50000,0))+IF($H28=1,(IF('計算A'!BK$117=1,INDEX('計算A'!BK$10:BK$54,$B28),0)+IF('計算A'!BL$117=1,INDEX('計算A'!BM$10:BM$54,$B28),0))*4000,0)-IF(AND('計算A'!BK$117=1,WI28&gt;0),2000,0)-IF(AND($L28=1,'計算A'!BL$117=1,FK28=0),2000,0))),1000000))</f>
        <v/>
      </c>
      <c r="QO28">
        <f>IF($B28=0,1000000,IF(INDEX('計算A'!$D$60:$EQ$104,$B28,62)*FK28=1,IF(AND($E28=2,KZ28=0),1000000,IF($I28&gt;0,IF(3=$J28,IF(OR(AND(62=$I28+1,OR($K28&lt;&gt;'計算A'!$A$3,'計算A'!$A$4=0)),AND(62=$I28-1,OR(14&lt;&gt;'計算A'!$A$3,'計算A'!$A$4=0))),0,IF(14=$K28,200000,ABS(14-$K28)*100)),100000+ABS(3-$J28)*1000+140)+'計算A'!BM$5*50+IF(AND($E28=1,KZ28=0),25,0),IF($F28&gt;0,INDEX('計算A'!BM$110:BM$114,$F28+1)+IF(AND($E28=1,KZ28=0),1000,0),MIN(TW28,20)*400+(IF('計算A'!BL$106=1,1-FJ28,0)+IF('計算A'!BM$106=1,1-FL28,0))*150+143+'計算A'!BM$5*100000+IF(AND($E28=1,KZ28=0),50000,0))+IF($H28=1,(IF('計算A'!BL$117=1,INDEX('計算A'!BL$10:BL$54,$B28),0)+IF('計算A'!BM$117=1,INDEX('計算A'!BN$10:BN$54,$B28),0))*4000,0)-IF(AND('計算A'!BL$117=1,WJ28&gt;0),2000,0)-IF(AND($L28=1,'計算A'!BM$117=1,FL28=0),2000,0))),1000000))</f>
        <v/>
      </c>
      <c r="QP28">
        <f>IF($B28=0,1000000,IF(INDEX('計算A'!$D$60:$EQ$104,$B28,63)*FL28=1,IF(AND($E28=2,LA28=0),1000000,IF($I28&gt;0,IF(3=$J28,IF(OR(AND(63=$I28+1,OR($K28&lt;&gt;'計算A'!$A$3,'計算A'!$A$4=0)),AND(63=$I28-1,OR(15&lt;&gt;'計算A'!$A$3,'計算A'!$A$4=0))),0,IF(15=$K28,200000,ABS(15-$K28)*100)),100000+ABS(3-$J28)*1000+150)+'計算A'!BN$5*50+IF(AND($E28=1,LA28=0),25,0),IF($F28&gt;0,INDEX('計算A'!BN$110:BN$114,$F28+1)+IF(AND($E28=1,LA28=0),1000,0),MIN(TW28,20)*400+(IF('計算A'!BM$106=1,1-FK28,0)+IF('計算A'!BN$106=1,1-FM28,0))*150+153+'計算A'!BN$5*100000+IF(AND($E28=1,LA28=0),50000,0))+IF($H28=1,(IF('計算A'!BM$117=1,INDEX('計算A'!BM$10:BM$54,$B28),0)+IF('計算A'!BN$117=1,INDEX('計算A'!BO$10:BO$54,$B28),0))*4000,0)-IF(AND('計算A'!BM$117=1,WK28&gt;0),2000,0)-IF(AND($L28=1,'計算A'!BN$117=1,FM28=0),2000,0))),1000000))</f>
        <v/>
      </c>
      <c r="QQ28">
        <f>IF($B28=0,1000000,IF(INDEX('計算A'!$D$60:$EQ$104,$B28,64)*FM28=1,IF(AND($E28=2,LB28=0),1000000,IF($I28&gt;0,IF(3=$J28,IF(OR(AND(64=$I28+1,OR($K28&lt;&gt;'計算A'!$A$3,'計算A'!$A$4=0)),AND(64=$I28-1,OR(16&lt;&gt;'計算A'!$A$3,'計算A'!$A$4=0))),0,IF(16=$K28,200000,ABS(16-$K28)*100)),100000+ABS(3-$J28)*1000+160)+'計算A'!BO$5*50+IF(AND($E28=1,LB28=0),25,0),IF($F28&gt;0,INDEX('計算A'!BO$110:BO$114,$F28+1)+IF(AND($E28=1,LB28=0),1000,0),MIN(TW28,20)*400+(IF('計算A'!BN$106=1,1-FL28,0)+IF('計算A'!BO$106=1,1-FN28,0))*150+163+'計算A'!BO$5*100000+IF(AND($E28=1,LB28=0),50000,0))+IF($H28=1,(IF('計算A'!BN$117=1,INDEX('計算A'!BN$10:BN$54,$B28),0)+IF('計算A'!BO$117=1,INDEX('計算A'!BP$10:BP$54,$B28),0))*4000,0)-IF(AND('計算A'!BN$117=1,WL28&gt;0),2000,0)-IF(AND($L28=1,'計算A'!BO$117=1,FN28=0),2000,0))),1000000))</f>
        <v/>
      </c>
      <c r="QR28">
        <f>IF($B28=0,1000000,IF(INDEX('計算A'!$D$60:$EQ$104,$B28,65)*FN28=1,IF(AND($E28=2,LC28=0),1000000,IF($I28&gt;0,IF(3=$J28,IF(OR(AND(65=$I28+1,OR($K28&lt;&gt;'計算A'!$A$3,'計算A'!$A$4=0)),AND(65=$I28-1,OR(17&lt;&gt;'計算A'!$A$3,'計算A'!$A$4=0))),0,IF(17=$K28,200000,ABS(17-$K28)*100)),100000+ABS(3-$J28)*1000+170)+'計算A'!BP$5*50+IF(AND($E28=1,LC28=0),25,0),IF($F28&gt;0,INDEX('計算A'!BP$110:BP$114,$F28+1)+IF(AND($E28=1,LC28=0),1000,0),MIN(TW28,20)*400+(IF('計算A'!BO$106=1,1-FM28,0)+IF('計算A'!BP$106=1,1-FO28,0))*150+173+'計算A'!BP$5*100000+IF(AND($E28=1,LC28=0),50000,0))+IF($H28=1,(IF('計算A'!BO$117=1,INDEX('計算A'!BO$10:BO$54,$B28),0)+IF('計算A'!BP$117=1,INDEX('計算A'!BQ$10:BQ$54,$B28),0))*4000,0)-IF(AND('計算A'!BO$117=1,WM28&gt;0),2000,0)-IF(AND($L28=1,'計算A'!BP$117=1,FO28=0),2000,0))),1000000))</f>
        <v/>
      </c>
      <c r="QS28">
        <f>IF($B28=0,1000000,IF(INDEX('計算A'!$D$60:$EQ$104,$B28,66)*FO28=1,IF(AND($E28=2,LD28=0),1000000,IF($I28&gt;0,IF(3=$J28,IF(OR(AND(66=$I28+1,OR($K28&lt;&gt;'計算A'!$A$3,'計算A'!$A$4=0)),AND(66=$I28-1,OR(18&lt;&gt;'計算A'!$A$3,'計算A'!$A$4=0))),0,IF(18=$K28,200000,ABS(18-$K28)*100)),100000+ABS(3-$J28)*1000+180)+'計算A'!BQ$5*50+IF(AND($E28=1,LD28=0),25,0),IF($F28&gt;0,INDEX('計算A'!BQ$110:BQ$114,$F28+1)+IF(AND($E28=1,LD28=0),1000,0),MIN(TW28,20)*400+(IF('計算A'!BP$106=1,1-FN28,0)+IF('計算A'!BQ$106=1,1-FP28,0))*150+183+'計算A'!BQ$5*100000+IF(AND($E28=1,LD28=0),50000,0))+IF($H28=1,(IF('計算A'!BP$117=1,INDEX('計算A'!BP$10:BP$54,$B28),0)+IF('計算A'!BQ$117=1,INDEX('計算A'!BR$10:BR$54,$B28),0))*4000,0)-IF(AND('計算A'!BP$117=1,WN28&gt;0),2000,0)-IF(AND($L28=1,'計算A'!BQ$117=1,FP28=0),2000,0))),1000000))</f>
        <v/>
      </c>
      <c r="QT28">
        <f>IF($B28=0,1000000,IF(INDEX('計算A'!$D$60:$EQ$104,$B28,67)*FP28=1,IF(AND($E28=2,LE28=0),1000000,IF($I28&gt;0,IF(3=$J28,IF(OR(AND(67=$I28+1,OR($K28&lt;&gt;'計算A'!$A$3,'計算A'!$A$4=0)),AND(67=$I28-1,OR(19&lt;&gt;'計算A'!$A$3,'計算A'!$A$4=0))),0,IF(19=$K28,200000,ABS(19-$K28)*100)),100000+ABS(3-$J28)*1000+190)+'計算A'!BR$5*50+IF(AND($E28=1,LE28=0),25,0),IF($F28&gt;0,INDEX('計算A'!BR$110:BR$114,$F28+1)+IF(AND($E28=1,LE28=0),1000,0),MIN(TW28,20)*400+(IF('計算A'!BQ$106=1,1-FO28,0)+IF('計算A'!BR$106=1,1-FQ28,0))*150+193+'計算A'!BR$5*100000+IF(AND($E28=1,LE28=0),50000,0))+IF($H28=1,(IF('計算A'!BQ$117=1,INDEX('計算A'!BQ$10:BQ$54,$B28),0)+IF('計算A'!BR$117=1,INDEX('計算A'!BS$10:BS$54,$B28),0))*4000,0)-IF(AND('計算A'!BQ$117=1,WO28&gt;0),2000,0)-IF(AND($L28=1,'計算A'!BR$117=1,FQ28=0),2000,0))),1000000))</f>
        <v/>
      </c>
      <c r="QU28">
        <f>IF($B28=0,1000000,IF(INDEX('計算A'!$D$60:$EQ$104,$B28,68)*FQ28=1,IF(AND($E28=2,LF28=0),1000000,IF($I28&gt;0,IF(3=$J28,IF(OR(AND(68=$I28+1,OR($K28&lt;&gt;'計算A'!$A$3,'計算A'!$A$4=0)),AND(68=$I28-1,OR(20&lt;&gt;'計算A'!$A$3,'計算A'!$A$4=0))),0,IF(20=$K28,200000,ABS(20-$K28)*100)),100000+ABS(3-$J28)*1000+200)+'計算A'!BS$5*50+IF(AND($E28=1,LF28=0),25,0),IF($F28&gt;0,INDEX('計算A'!BS$110:BS$114,$F28+1)+IF(AND($E28=1,LF28=0),1000,0),MIN(TW28,20)*400+(IF('計算A'!BR$106=1,1-FP28,0)+IF('計算A'!BS$106=1,1-FR28,0))*150+203+'計算A'!BS$5*100000+IF(AND($E28=1,LF28=0),50000,0))+IF($H28=1,(IF('計算A'!BR$117=1,INDEX('計算A'!BR$10:BR$54,$B28),0)+IF('計算A'!BS$117=1,INDEX('計算A'!BT$10:BT$54,$B28),0))*4000,0)-IF(AND('計算A'!BR$117=1,WP28&gt;0),2000,0)-IF(AND($L28=1,'計算A'!BS$117=1,FR28=0),2000,0))),1000000))</f>
        <v/>
      </c>
      <c r="QV28">
        <f>IF($B28=0,1000000,IF(INDEX('計算A'!$D$60:$EQ$104,$B28,69)*FR28=1,IF(AND($E28=2,LG28=0),1000000,IF($I28&gt;0,IF(3=$J28,IF(OR(AND(69=$I28+1,OR($K28&lt;&gt;'計算A'!$A$3,'計算A'!$A$4=0)),AND(69=$I28-1,OR(21&lt;&gt;'計算A'!$A$3,'計算A'!$A$4=0))),0,IF(21=$K28,200000,ABS(21-$K28)*100)),100000+ABS(3-$J28)*1000+210)+'計算A'!BT$5*50+IF(AND($E28=1,LG28=0),25,0),IF($F28&gt;0,INDEX('計算A'!BT$110:BT$114,$F28+1)+IF(AND($E28=1,LG28=0),1000,0),MIN(TW28,20)*400+(IF('計算A'!BS$106=1,1-FQ28,0)+IF('計算A'!BT$106=1,1-FS28,0))*150+213+'計算A'!BT$5*100000+IF(AND($E28=1,LG28=0),50000,0))+IF($H28=1,(IF('計算A'!BS$117=1,INDEX('計算A'!BS$10:BS$54,$B28),0)+IF('計算A'!BT$117=1,INDEX('計算A'!BU$10:BU$54,$B28),0))*4000,0)-IF(AND('計算A'!BS$117=1,WQ28&gt;0),2000,0)-IF(AND($L28=1,'計算A'!BT$117=1,FS28=0),2000,0))),1000000))</f>
        <v/>
      </c>
      <c r="QW28">
        <f>IF($B28=0,1000000,IF(INDEX('計算A'!$D$60:$EQ$104,$B28,70)*FS28=1,IF(AND($E28=2,LH28=0),1000000,IF($I28&gt;0,IF(3=$J28,IF(OR(AND(70=$I28+1,OR($K28&lt;&gt;'計算A'!$A$3,'計算A'!$A$4=0)),AND(70=$I28-1,OR(22&lt;&gt;'計算A'!$A$3,'計算A'!$A$4=0))),0,IF(22=$K28,200000,ABS(22-$K28)*100)),100000+ABS(3-$J28)*1000+220)+'計算A'!BU$5*50+IF(AND($E28=1,LH28=0),25,0),IF($F28&gt;0,INDEX('計算A'!BU$110:BU$114,$F28+1)+IF(AND($E28=1,LH28=0),1000,0),MIN(TW28,20)*400+(IF('計算A'!BT$106=1,1-FR28,0)+IF('計算A'!BU$106=1,1-FT28,0))*150+223+'計算A'!BU$5*100000+IF(AND($E28=1,LH28=0),50000,0))+IF($H28=1,(IF('計算A'!BT$117=1,INDEX('計算A'!BT$10:BT$54,$B28),0)+IF('計算A'!BU$117=1,INDEX('計算A'!BV$10:BV$54,$B28),0))*4000,0)-IF(AND('計算A'!BT$117=1,WR28&gt;0),2000,0)-IF(AND($L28=1,'計算A'!BU$117=1,FT28=0),2000,0))),1000000))</f>
        <v/>
      </c>
      <c r="QX28">
        <f>IF($B28=0,1000000,IF(INDEX('計算A'!$D$60:$EQ$104,$B28,71)*FT28=1,IF(AND($E28=2,LI28=0),1000000,IF($I28&gt;0,IF(3=$J28,IF(OR(AND(71=$I28+1,OR($K28&lt;&gt;'計算A'!$A$3,'計算A'!$A$4=0)),AND(71=$I28-1,OR(23&lt;&gt;'計算A'!$A$3,'計算A'!$A$4=0))),0,IF(23=$K28,200000,ABS(23-$K28)*100)),100000+ABS(3-$J28)*1000+230)+'計算A'!BV$5*50+IF(AND($E28=1,LI28=0),25,0),IF($F28&gt;0,INDEX('計算A'!BV$110:BV$114,$F28+1)+IF(AND($E28=1,LI28=0),1000,0),MIN(TW28,20)*400+(IF('計算A'!BU$106=1,1-FS28,0)+IF('計算A'!BV$106=1,1-FU28,0))*150+233+'計算A'!BV$5*100000+IF(AND($E28=1,LI28=0),50000,0))+IF($H28=1,(IF('計算A'!BU$117=1,INDEX('計算A'!BU$10:BU$54,$B28),0)+IF('計算A'!BV$117=1,INDEX('計算A'!BW$10:BW$54,$B28),0))*4000,0)-IF(AND('計算A'!BU$117=1,WS28&gt;0),2000,0)-IF(AND($L28=1,'計算A'!BV$117=1,FU28=0),2000,0))),1000000))</f>
        <v/>
      </c>
      <c r="QY28">
        <f>IF($B28=0,1000000,IF(INDEX('計算A'!$D$60:$EQ$104,$B28,72)*FU28=1,IF(AND($E28=2,LJ28=0),1000000,IF($I28&gt;0,IF(3=$J28,IF(OR(AND(72=$I28+1,OR($K28&lt;&gt;'計算A'!$A$3,'計算A'!$A$4=0)),AND(72=$I28-1,OR(24&lt;&gt;'計算A'!$A$3,'計算A'!$A$4=0))),0,IF(24=$K28,200000,ABS(24-$K28)*100)),100000+ABS(3-$J28)*1000+240)+'計算A'!BW$5*50+IF(AND($E28=1,LJ28=0),25,0),IF($F28&gt;0,INDEX('計算A'!BW$110:BW$114,$F28+1)+IF(AND($E28=1,LJ28=0),1000,0),MIN(TW28,20)*400+(IF('計算A'!BV$106=1,1-FT28,0))*150+243+'計算A'!BW$5*100000+IF(AND($E28=1,LJ28=0),50000,0))+IF($H28=1,(IF('計算A'!BV$117=1,INDEX('計算A'!BV$10:BV$54,$B28),0))*4000,0)-IF(AND('計算A'!BV$117=1,WT28&gt;0),2000,0))),1000000))</f>
        <v/>
      </c>
      <c r="QZ28">
        <f>IF($B28=0,1000000,IF(INDEX('計算A'!$D$60:$EQ$104,$B28,73)*FV28=1,IF(AND($E28=2,LK28=0),1000000,IF($I28&gt;0,IF(4=$J28,IF(OR(AND(73=$I28+1,OR($K28&lt;&gt;'計算A'!$A$3,'計算A'!$A$4=0)),AND(73=$I28-1,OR(1&lt;&gt;'計算A'!$A$3,'計算A'!$A$4=0))),0,IF(1=$K28,200000,ABS(1-$K28)*100)),100000+ABS(4-$J28)*1000+10)+'計算A'!BX$5*50+IF(AND($E28=1,LK28=0),25,0),IF($F28&gt;0,INDEX('計算A'!BX$110:BX$114,$F28+1)+IF(AND($E28=1,LK28=0),1000,0),MIN(TX28,20)*400+(IF('計算A'!BX$106=1,1-FW28,0))*150+14+'計算A'!BX$5*100000+IF(AND($E28=1,LK28=0),50000,0))+IF($H28=1,(IF('計算A'!BX$117=1,INDEX('計算A'!BY$10:BY$54,$B28),0))*4000,0)-IF(AND($L28=1,'計算A'!BX$117=1,FW28=0),2000,0))),1000000))</f>
        <v/>
      </c>
      <c r="RA28">
        <f>IF($B28=0,1000000,IF(INDEX('計算A'!$D$60:$EQ$104,$B28,74)*FW28=1,IF(AND($E28=2,LL28=0),1000000,IF($I28&gt;0,IF(4=$J28,IF(OR(AND(74=$I28+1,OR($K28&lt;&gt;'計算A'!$A$3,'計算A'!$A$4=0)),AND(74=$I28-1,OR(2&lt;&gt;'計算A'!$A$3,'計算A'!$A$4=0))),0,IF(2=$K28,200000,ABS(2-$K28)*100)),100000+ABS(4-$J28)*1000+20)+'計算A'!BY$5*50+IF(AND($E28=1,LL28=0),25,0),IF($F28&gt;0,INDEX('計算A'!BY$110:BY$114,$F28+1)+IF(AND($E28=1,LL28=0),1000,0),MIN(TX28,20)*400+(IF('計算A'!BX$106=1,1-FV28,0)+IF('計算A'!BY$106=1,1-FX28,0))*150+24+'計算A'!BY$5*100000+IF(AND($E28=1,LL28=0),50000,0))+IF($H28=1,(IF('計算A'!BX$117=1,INDEX('計算A'!BX$10:BX$54,$B28),0)+IF('計算A'!BY$117=1,INDEX('計算A'!BZ$10:BZ$54,$B28),0))*4000,0)-IF(AND('計算A'!BX$117=1,WV28&gt;0),2000,0)-IF(AND($L28=1,'計算A'!BY$117=1,FX28=0),2000,0))),1000000))</f>
        <v/>
      </c>
      <c r="RB28">
        <f>IF($B28=0,1000000,IF(INDEX('計算A'!$D$60:$EQ$104,$B28,75)*FX28=1,IF(AND($E28=2,LM28=0),1000000,IF($I28&gt;0,IF(4=$J28,IF(OR(AND(75=$I28+1,OR($K28&lt;&gt;'計算A'!$A$3,'計算A'!$A$4=0)),AND(75=$I28-1,OR(3&lt;&gt;'計算A'!$A$3,'計算A'!$A$4=0))),0,IF(3=$K28,200000,ABS(3-$K28)*100)),100000+ABS(4-$J28)*1000+30)+'計算A'!BZ$5*50+IF(AND($E28=1,LM28=0),25,0),IF($F28&gt;0,INDEX('計算A'!BZ$110:BZ$114,$F28+1)+IF(AND($E28=1,LM28=0),1000,0),MIN(TX28,20)*400+(IF('計算A'!BY$106=1,1-FW28,0)+IF('計算A'!BZ$106=1,1-FY28,0))*150+34+'計算A'!BZ$5*100000+IF(AND($E28=1,LM28=0),50000,0))+IF($H28=1,(IF('計算A'!BY$117=1,INDEX('計算A'!BY$10:BY$54,$B28),0)+IF('計算A'!BZ$117=1,INDEX('計算A'!CA$10:CA$54,$B28),0))*4000,0)-IF(AND('計算A'!BY$117=1,WW28&gt;0),2000,0)-IF(AND($L28=1,'計算A'!BZ$117=1,FY28=0),2000,0))),1000000))</f>
        <v/>
      </c>
      <c r="RC28">
        <f>IF($B28=0,1000000,IF(INDEX('計算A'!$D$60:$EQ$104,$B28,76)*FY28=1,IF(AND($E28=2,LN28=0),1000000,IF($I28&gt;0,IF(4=$J28,IF(OR(AND(76=$I28+1,OR($K28&lt;&gt;'計算A'!$A$3,'計算A'!$A$4=0)),AND(76=$I28-1,OR(4&lt;&gt;'計算A'!$A$3,'計算A'!$A$4=0))),0,IF(4=$K28,200000,ABS(4-$K28)*100)),100000+ABS(4-$J28)*1000+40)+'計算A'!CA$5*50+IF(AND($E28=1,LN28=0),25,0),IF($F28&gt;0,INDEX('計算A'!CA$110:CA$114,$F28+1)+IF(AND($E28=1,LN28=0),1000,0),MIN(TX28,20)*400+(IF('計算A'!BZ$106=1,1-FX28,0)+IF('計算A'!CA$106=1,1-FZ28,0))*150+44+'計算A'!CA$5*100000+IF(AND($E28=1,LN28=0),50000,0))+IF($H28=1,(IF('計算A'!BZ$117=1,INDEX('計算A'!BZ$10:BZ$54,$B28),0)+IF('計算A'!CA$117=1,INDEX('計算A'!CB$10:CB$54,$B28),0))*4000,0)-IF(AND('計算A'!BZ$117=1,WX28&gt;0),2000,0)-IF(AND($L28=1,'計算A'!CA$117=1,FZ28=0),2000,0))),1000000))</f>
        <v/>
      </c>
      <c r="RD28">
        <f>IF($B28=0,1000000,IF(INDEX('計算A'!$D$60:$EQ$104,$B28,77)*FZ28=1,IF(AND($E28=2,LO28=0),1000000,IF($I28&gt;0,IF(4=$J28,IF(OR(AND(77=$I28+1,OR($K28&lt;&gt;'計算A'!$A$3,'計算A'!$A$4=0)),AND(77=$I28-1,OR(5&lt;&gt;'計算A'!$A$3,'計算A'!$A$4=0))),0,IF(5=$K28,200000,ABS(5-$K28)*100)),100000+ABS(4-$J28)*1000+50)+'計算A'!CB$5*50+IF(AND($E28=1,LO28=0),25,0),IF($F28&gt;0,INDEX('計算A'!CB$110:CB$114,$F28+1)+IF(AND($E28=1,LO28=0),1000,0),MIN(TX28,20)*400+(IF('計算A'!CA$106=1,1-FY28,0)+IF('計算A'!CB$106=1,1-GA28,0))*150+54+'計算A'!CB$5*100000+IF(AND($E28=1,LO28=0),50000,0))+IF($H28=1,(IF('計算A'!CA$117=1,INDEX('計算A'!CA$10:CA$54,$B28),0)+IF('計算A'!CB$117=1,INDEX('計算A'!CC$10:CC$54,$B28),0))*4000,0)-IF(AND('計算A'!CA$117=1,WY28&gt;0),2000,0)-IF(AND($L28=1,'計算A'!CB$117=1,GA28=0),2000,0))),1000000))</f>
        <v/>
      </c>
      <c r="RE28">
        <f>IF($B28=0,1000000,IF(INDEX('計算A'!$D$60:$EQ$104,$B28,78)*GA28=1,IF(AND($E28=2,LP28=0),1000000,IF($I28&gt;0,IF(4=$J28,IF(OR(AND(78=$I28+1,OR($K28&lt;&gt;'計算A'!$A$3,'計算A'!$A$4=0)),AND(78=$I28-1,OR(6&lt;&gt;'計算A'!$A$3,'計算A'!$A$4=0))),0,IF(6=$K28,200000,ABS(6-$K28)*100)),100000+ABS(4-$J28)*1000+60)+'計算A'!CC$5*50+IF(AND($E28=1,LP28=0),25,0),IF($F28&gt;0,INDEX('計算A'!CC$110:CC$114,$F28+1)+IF(AND($E28=1,LP28=0),1000,0),MIN(TX28,20)*400+(IF('計算A'!CB$106=1,1-FZ28,0)+IF('計算A'!CC$106=1,1-GB28,0))*150+64+'計算A'!CC$5*100000+IF(AND($E28=1,LP28=0),50000,0))+IF($H28=1,(IF('計算A'!CB$117=1,INDEX('計算A'!CB$10:CB$54,$B28),0)+IF('計算A'!CC$117=1,INDEX('計算A'!CD$10:CD$54,$B28),0))*4000,0)-IF(AND('計算A'!CB$117=1,WZ28&gt;0),2000,0)-IF(AND($L28=1,'計算A'!CC$117=1,GB28=0),2000,0))),1000000))</f>
        <v/>
      </c>
      <c r="RF28">
        <f>IF($B28=0,1000000,IF(INDEX('計算A'!$D$60:$EQ$104,$B28,79)*GB28=1,IF(AND($E28=2,LQ28=0),1000000,IF($I28&gt;0,IF(4=$J28,IF(OR(AND(79=$I28+1,OR($K28&lt;&gt;'計算A'!$A$3,'計算A'!$A$4=0)),AND(79=$I28-1,OR(7&lt;&gt;'計算A'!$A$3,'計算A'!$A$4=0))),0,IF(7=$K28,200000,ABS(7-$K28)*100)),100000+ABS(4-$J28)*1000+70)+'計算A'!CD$5*50+IF(AND($E28=1,LQ28=0),25,0),IF($F28&gt;0,INDEX('計算A'!CD$110:CD$114,$F28+1)+IF(AND($E28=1,LQ28=0),1000,0),MIN(TX28,20)*400+(IF('計算A'!CC$106=1,1-GA28,0)+IF('計算A'!CD$106=1,1-GC28,0))*150+74+'計算A'!CD$5*100000+IF(AND($E28=1,LQ28=0),50000,0))+IF($H28=1,(IF('計算A'!CC$117=1,INDEX('計算A'!CC$10:CC$54,$B28),0)+IF('計算A'!CD$117=1,INDEX('計算A'!CE$10:CE$54,$B28),0))*4000,0)-IF(AND('計算A'!CC$117=1,XA28&gt;0),2000,0)-IF(AND($L28=1,'計算A'!CD$117=1,GC28=0),2000,0))),1000000))</f>
        <v/>
      </c>
      <c r="RG28">
        <f>IF($B28=0,1000000,IF(INDEX('計算A'!$D$60:$EQ$104,$B28,80)*GC28=1,IF(AND($E28=2,LR28=0),1000000,IF($I28&gt;0,IF(4=$J28,IF(OR(AND(80=$I28+1,OR($K28&lt;&gt;'計算A'!$A$3,'計算A'!$A$4=0)),AND(80=$I28-1,OR(8&lt;&gt;'計算A'!$A$3,'計算A'!$A$4=0))),0,IF(8=$K28,200000,ABS(8-$K28)*100)),100000+ABS(4-$J28)*1000+80)+'計算A'!CE$5*50+IF(AND($E28=1,LR28=0),25,0),IF($F28&gt;0,INDEX('計算A'!CE$110:CE$114,$F28+1)+IF(AND($E28=1,LR28=0),1000,0),MIN(TX28,20)*400+(IF('計算A'!CD$106=1,1-GB28,0)+IF('計算A'!CE$106=1,1-GD28,0))*150+84+'計算A'!CE$5*100000+IF(AND($E28=1,LR28=0),50000,0))+IF($H28=1,(IF('計算A'!CD$117=1,INDEX('計算A'!CD$10:CD$54,$B28),0)+IF('計算A'!CE$117=1,INDEX('計算A'!CF$10:CF$54,$B28),0))*4000,0)-IF(AND('計算A'!CD$117=1,XB28&gt;0),2000,0)-IF(AND($L28=1,'計算A'!CE$117=1,GD28=0),2000,0))),1000000))</f>
        <v/>
      </c>
      <c r="RH28">
        <f>IF($B28=0,1000000,IF(INDEX('計算A'!$D$60:$EQ$104,$B28,81)*GD28=1,IF(AND($E28=2,LS28=0),1000000,IF($I28&gt;0,IF(4=$J28,IF(OR(AND(81=$I28+1,OR($K28&lt;&gt;'計算A'!$A$3,'計算A'!$A$4=0)),AND(81=$I28-1,OR(9&lt;&gt;'計算A'!$A$3,'計算A'!$A$4=0))),0,IF(9=$K28,200000,ABS(9-$K28)*100)),100000+ABS(4-$J28)*1000+90)+'計算A'!CF$5*50+IF(AND($E28=1,LS28=0),25,0),IF($F28&gt;0,INDEX('計算A'!CF$110:CF$114,$F28+1)+IF(AND($E28=1,LS28=0),1000,0),MIN(TX28,20)*400+(IF('計算A'!CE$106=1,1-GC28,0)+IF('計算A'!CF$106=1,1-GE28,0))*150+94+'計算A'!CF$5*100000+IF(AND($E28=1,LS28=0),50000,0))+IF($H28=1,(IF('計算A'!CE$117=1,INDEX('計算A'!CE$10:CE$54,$B28),0)+IF('計算A'!CF$117=1,INDEX('計算A'!CG$10:CG$54,$B28),0))*4000,0)-IF(AND('計算A'!CE$117=1,XC28&gt;0),2000,0)-IF(AND($L28=1,'計算A'!CF$117=1,GE28=0),2000,0))),1000000))</f>
        <v/>
      </c>
      <c r="RI28">
        <f>IF($B28=0,1000000,IF(INDEX('計算A'!$D$60:$EQ$104,$B28,82)*GE28=1,IF(AND($E28=2,LT28=0),1000000,IF($I28&gt;0,IF(4=$J28,IF(OR(AND(82=$I28+1,OR($K28&lt;&gt;'計算A'!$A$3,'計算A'!$A$4=0)),AND(82=$I28-1,OR(10&lt;&gt;'計算A'!$A$3,'計算A'!$A$4=0))),0,IF(10=$K28,200000,ABS(10-$K28)*100)),100000+ABS(4-$J28)*1000+100)+'計算A'!CG$5*50+IF(AND($E28=1,LT28=0),25,0),IF($F28&gt;0,INDEX('計算A'!CG$110:CG$114,$F28+1)+IF(AND($E28=1,LT28=0),1000,0),MIN(TX28,20)*400+(IF('計算A'!CF$106=1,1-GD28,0)+IF('計算A'!CG$106=1,1-GF28,0))*150+104+'計算A'!CG$5*100000+IF(AND($E28=1,LT28=0),50000,0))+IF($H28=1,(IF('計算A'!CF$117=1,INDEX('計算A'!CF$10:CF$54,$B28),0)+IF('計算A'!CG$117=1,INDEX('計算A'!CH$10:CH$54,$B28),0))*4000,0)-IF(AND('計算A'!CF$117=1,XD28&gt;0),2000,0)-IF(AND($L28=1,'計算A'!CG$117=1,GF28=0),2000,0))),1000000))</f>
        <v/>
      </c>
      <c r="RJ28">
        <f>IF($B28=0,1000000,IF(INDEX('計算A'!$D$60:$EQ$104,$B28,83)*GF28=1,IF(AND($E28=2,LU28=0),1000000,IF($I28&gt;0,IF(4=$J28,IF(OR(AND(83=$I28+1,OR($K28&lt;&gt;'計算A'!$A$3,'計算A'!$A$4=0)),AND(83=$I28-1,OR(11&lt;&gt;'計算A'!$A$3,'計算A'!$A$4=0))),0,IF(11=$K28,200000,ABS(11-$K28)*100)),100000+ABS(4-$J28)*1000+110)+'計算A'!CH$5*50+IF(AND($E28=1,LU28=0),25,0),IF($F28&gt;0,INDEX('計算A'!CH$110:CH$114,$F28+1)+IF(AND($E28=1,LU28=0),1000,0),MIN(TX28,20)*400+(IF('計算A'!CG$106=1,1-GE28,0)+IF('計算A'!CH$106=1,1-GG28,0))*150+114+'計算A'!CH$5*100000+IF(AND($E28=1,LU28=0),50000,0))+IF($H28=1,(IF('計算A'!CG$117=1,INDEX('計算A'!CG$10:CG$54,$B28),0)+IF('計算A'!CH$117=1,INDEX('計算A'!CI$10:CI$54,$B28),0))*4000,0)-IF(AND('計算A'!CG$117=1,XE28&gt;0),2000,0)-IF(AND($L28=1,'計算A'!CH$117=1,GG28=0),2000,0))),1000000))</f>
        <v/>
      </c>
      <c r="RK28">
        <f>IF($B28=0,1000000,IF(INDEX('計算A'!$D$60:$EQ$104,$B28,84)*GG28=1,IF(AND($E28=2,LV28=0),1000000,IF($I28&gt;0,IF(4=$J28,IF(OR(AND(84=$I28+1,OR($K28&lt;&gt;'計算A'!$A$3,'計算A'!$A$4=0)),AND(84=$I28-1,OR(12&lt;&gt;'計算A'!$A$3,'計算A'!$A$4=0))),0,IF(12=$K28,200000,ABS(12-$K28)*100)),100000+ABS(4-$J28)*1000+120)+'計算A'!CI$5*50+IF(AND($E28=1,LV28=0),25,0),IF($F28&gt;0,INDEX('計算A'!CI$110:CI$114,$F28+1)+IF(AND($E28=1,LV28=0),1000,0),MIN(TX28,20)*400+(IF('計算A'!CH$106=1,1-GF28,0)+IF('計算A'!CI$106=1,1-GH28,0))*150+124+'計算A'!CI$5*100000+IF(AND($E28=1,LV28=0),50000,0))+IF($H28=1,(IF('計算A'!CH$117=1,INDEX('計算A'!CH$10:CH$54,$B28),0)+IF('計算A'!CI$117=1,INDEX('計算A'!CJ$10:CJ$54,$B28),0))*4000,0)-IF(AND('計算A'!CH$117=1,XF28&gt;0),2000,0)-IF(AND($L28=1,'計算A'!CI$117=1,GH28=0),2000,0))),1000000))</f>
        <v/>
      </c>
      <c r="RL28">
        <f>IF($B28=0,1000000,IF(INDEX('計算A'!$D$60:$EQ$104,$B28,85)*GH28=1,IF(AND($E28=2,LW28=0),1000000,IF($I28&gt;0,IF(4=$J28,IF(OR(AND(85=$I28+1,OR($K28&lt;&gt;'計算A'!$A$3,'計算A'!$A$4=0)),AND(85=$I28-1,OR(13&lt;&gt;'計算A'!$A$3,'計算A'!$A$4=0))),0,IF(13=$K28,200000,ABS(13-$K28)*100)),100000+ABS(4-$J28)*1000+130)+'計算A'!CJ$5*50+IF(AND($E28=1,LW28=0),25,0),IF($F28&gt;0,INDEX('計算A'!CJ$110:CJ$114,$F28+1)+IF(AND($E28=1,LW28=0),1000,0),MIN(TX28,20)*400+(IF('計算A'!CI$106=1,1-GG28,0)+IF('計算A'!CJ$106=1,1-GI28,0))*150+134+'計算A'!CJ$5*100000+IF(AND($E28=1,LW28=0),50000,0))+IF($H28=1,(IF('計算A'!CI$117=1,INDEX('計算A'!CI$10:CI$54,$B28),0)+IF('計算A'!CJ$117=1,INDEX('計算A'!CK$10:CK$54,$B28),0))*4000,0)-IF(AND('計算A'!CI$117=1,XG28&gt;0),2000,0)-IF(AND($L28=1,'計算A'!CJ$117=1,GI28=0),2000,0))),1000000))</f>
        <v/>
      </c>
      <c r="RM28">
        <f>IF($B28=0,1000000,IF(INDEX('計算A'!$D$60:$EQ$104,$B28,86)*GI28=1,IF(AND($E28=2,LX28=0),1000000,IF($I28&gt;0,IF(4=$J28,IF(OR(AND(86=$I28+1,OR($K28&lt;&gt;'計算A'!$A$3,'計算A'!$A$4=0)),AND(86=$I28-1,OR(14&lt;&gt;'計算A'!$A$3,'計算A'!$A$4=0))),0,IF(14=$K28,200000,ABS(14-$K28)*100)),100000+ABS(4-$J28)*1000+140)+'計算A'!CK$5*50+IF(AND($E28=1,LX28=0),25,0),IF($F28&gt;0,INDEX('計算A'!CK$110:CK$114,$F28+1)+IF(AND($E28=1,LX28=0),1000,0),MIN(TX28,20)*400+(IF('計算A'!CJ$106=1,1-GH28,0)+IF('計算A'!CK$106=1,1-GJ28,0))*150+144+'計算A'!CK$5*100000+IF(AND($E28=1,LX28=0),50000,0))+IF($H28=1,(IF('計算A'!CJ$117=1,INDEX('計算A'!CJ$10:CJ$54,$B28),0)+IF('計算A'!CK$117=1,INDEX('計算A'!CL$10:CL$54,$B28),0))*4000,0)-IF(AND('計算A'!CJ$117=1,XH28&gt;0),2000,0)-IF(AND($L28=1,'計算A'!CK$117=1,GJ28=0),2000,0))),1000000))</f>
        <v/>
      </c>
      <c r="RN28">
        <f>IF($B28=0,1000000,IF(INDEX('計算A'!$D$60:$EQ$104,$B28,87)*GJ28=1,IF(AND($E28=2,LY28=0),1000000,IF($I28&gt;0,IF(4=$J28,IF(OR(AND(87=$I28+1,OR($K28&lt;&gt;'計算A'!$A$3,'計算A'!$A$4=0)),AND(87=$I28-1,OR(15&lt;&gt;'計算A'!$A$3,'計算A'!$A$4=0))),0,IF(15=$K28,200000,ABS(15-$K28)*100)),100000+ABS(4-$J28)*1000+150)+'計算A'!CL$5*50+IF(AND($E28=1,LY28=0),25,0),IF($F28&gt;0,INDEX('計算A'!CL$110:CL$114,$F28+1)+IF(AND($E28=1,LY28=0),1000,0),MIN(TX28,20)*400+(IF('計算A'!CK$106=1,1-GI28,0)+IF('計算A'!CL$106=1,1-GK28,0))*150+154+'計算A'!CL$5*100000+IF(AND($E28=1,LY28=0),50000,0))+IF($H28=1,(IF('計算A'!CK$117=1,INDEX('計算A'!CK$10:CK$54,$B28),0)+IF('計算A'!CL$117=1,INDEX('計算A'!CM$10:CM$54,$B28),0))*4000,0)-IF(AND('計算A'!CK$117=1,XI28&gt;0),2000,0)-IF(AND($L28=1,'計算A'!CL$117=1,GK28=0),2000,0))),1000000))</f>
        <v/>
      </c>
      <c r="RO28">
        <f>IF($B28=0,1000000,IF(INDEX('計算A'!$D$60:$EQ$104,$B28,88)*GK28=1,IF(AND($E28=2,LZ28=0),1000000,IF($I28&gt;0,IF(4=$J28,IF(OR(AND(88=$I28+1,OR($K28&lt;&gt;'計算A'!$A$3,'計算A'!$A$4=0)),AND(88=$I28-1,OR(16&lt;&gt;'計算A'!$A$3,'計算A'!$A$4=0))),0,IF(16=$K28,200000,ABS(16-$K28)*100)),100000+ABS(4-$J28)*1000+160)+'計算A'!CM$5*50+IF(AND($E28=1,LZ28=0),25,0),IF($F28&gt;0,INDEX('計算A'!CM$110:CM$114,$F28+1)+IF(AND($E28=1,LZ28=0),1000,0),MIN(TX28,20)*400+(IF('計算A'!CL$106=1,1-GJ28,0)+IF('計算A'!CM$106=1,1-GL28,0))*150+164+'計算A'!CM$5*100000+IF(AND($E28=1,LZ28=0),50000,0))+IF($H28=1,(IF('計算A'!CL$117=1,INDEX('計算A'!CL$10:CL$54,$B28),0)+IF('計算A'!CM$117=1,INDEX('計算A'!CN$10:CN$54,$B28),0))*4000,0)-IF(AND('計算A'!CL$117=1,XJ28&gt;0),2000,0)-IF(AND($L28=1,'計算A'!CM$117=1,GL28=0),2000,0))),1000000))</f>
        <v/>
      </c>
      <c r="RP28">
        <f>IF($B28=0,1000000,IF(INDEX('計算A'!$D$60:$EQ$104,$B28,89)*GL28=1,IF(AND($E28=2,MA28=0),1000000,IF($I28&gt;0,IF(4=$J28,IF(OR(AND(89=$I28+1,OR($K28&lt;&gt;'計算A'!$A$3,'計算A'!$A$4=0)),AND(89=$I28-1,OR(17&lt;&gt;'計算A'!$A$3,'計算A'!$A$4=0))),0,IF(17=$K28,200000,ABS(17-$K28)*100)),100000+ABS(4-$J28)*1000+170)+'計算A'!CN$5*50+IF(AND($E28=1,MA28=0),25,0),IF($F28&gt;0,INDEX('計算A'!CN$110:CN$114,$F28+1)+IF(AND($E28=1,MA28=0),1000,0),MIN(TX28,20)*400+(IF('計算A'!CM$106=1,1-GK28,0)+IF('計算A'!CN$106=1,1-GM28,0))*150+174+'計算A'!CN$5*100000+IF(AND($E28=1,MA28=0),50000,0))+IF($H28=1,(IF('計算A'!CM$117=1,INDEX('計算A'!CM$10:CM$54,$B28),0)+IF('計算A'!CN$117=1,INDEX('計算A'!CO$10:CO$54,$B28),0))*4000,0)-IF(AND('計算A'!CM$117=1,XK28&gt;0),2000,0)-IF(AND($L28=1,'計算A'!CN$117=1,GM28=0),2000,0))),1000000))</f>
        <v/>
      </c>
      <c r="RQ28">
        <f>IF($B28=0,1000000,IF(INDEX('計算A'!$D$60:$EQ$104,$B28,90)*GM28=1,IF(AND($E28=2,MB28=0),1000000,IF($I28&gt;0,IF(4=$J28,IF(OR(AND(90=$I28+1,OR($K28&lt;&gt;'計算A'!$A$3,'計算A'!$A$4=0)),AND(90=$I28-1,OR(18&lt;&gt;'計算A'!$A$3,'計算A'!$A$4=0))),0,IF(18=$K28,200000,ABS(18-$K28)*100)),100000+ABS(4-$J28)*1000+180)+'計算A'!CO$5*50+IF(AND($E28=1,MB28=0),25,0),IF($F28&gt;0,INDEX('計算A'!CO$110:CO$114,$F28+1)+IF(AND($E28=1,MB28=0),1000,0),MIN(TX28,20)*400+(IF('計算A'!CN$106=1,1-GL28,0)+IF('計算A'!CO$106=1,1-GN28,0))*150+184+'計算A'!CO$5*100000+IF(AND($E28=1,MB28=0),50000,0))+IF($H28=1,(IF('計算A'!CN$117=1,INDEX('計算A'!CN$10:CN$54,$B28),0)+IF('計算A'!CO$117=1,INDEX('計算A'!CP$10:CP$54,$B28),0))*4000,0)-IF(AND('計算A'!CN$117=1,XL28&gt;0),2000,0)-IF(AND($L28=1,'計算A'!CO$117=1,GN28=0),2000,0))),1000000))</f>
        <v/>
      </c>
      <c r="RR28">
        <f>IF($B28=0,1000000,IF(INDEX('計算A'!$D$60:$EQ$104,$B28,91)*GN28=1,IF(AND($E28=2,MC28=0),1000000,IF($I28&gt;0,IF(4=$J28,IF(OR(AND(91=$I28+1,OR($K28&lt;&gt;'計算A'!$A$3,'計算A'!$A$4=0)),AND(91=$I28-1,OR(19&lt;&gt;'計算A'!$A$3,'計算A'!$A$4=0))),0,IF(19=$K28,200000,ABS(19-$K28)*100)),100000+ABS(4-$J28)*1000+190)+'計算A'!CP$5*50+IF(AND($E28=1,MC28=0),25,0),IF($F28&gt;0,INDEX('計算A'!CP$110:CP$114,$F28+1)+IF(AND($E28=1,MC28=0),1000,0),MIN(TX28,20)*400+(IF('計算A'!CO$106=1,1-GM28,0)+IF('計算A'!CP$106=1,1-GO28,0))*150+194+'計算A'!CP$5*100000+IF(AND($E28=1,MC28=0),50000,0))+IF($H28=1,(IF('計算A'!CO$117=1,INDEX('計算A'!CO$10:CO$54,$B28),0)+IF('計算A'!CP$117=1,INDEX('計算A'!CQ$10:CQ$54,$B28),0))*4000,0)-IF(AND('計算A'!CO$117=1,XM28&gt;0),2000,0)-IF(AND($L28=1,'計算A'!CP$117=1,GO28=0),2000,0))),1000000))</f>
        <v/>
      </c>
      <c r="RS28">
        <f>IF($B28=0,1000000,IF(INDEX('計算A'!$D$60:$EQ$104,$B28,92)*GO28=1,IF(AND($E28=2,MD28=0),1000000,IF($I28&gt;0,IF(4=$J28,IF(OR(AND(92=$I28+1,OR($K28&lt;&gt;'計算A'!$A$3,'計算A'!$A$4=0)),AND(92=$I28-1,OR(20&lt;&gt;'計算A'!$A$3,'計算A'!$A$4=0))),0,IF(20=$K28,200000,ABS(20-$K28)*100)),100000+ABS(4-$J28)*1000+200)+'計算A'!CQ$5*50+IF(AND($E28=1,MD28=0),25,0),IF($F28&gt;0,INDEX('計算A'!CQ$110:CQ$114,$F28+1)+IF(AND($E28=1,MD28=0),1000,0),MIN(TX28,20)*400+(IF('計算A'!CP$106=1,1-GN28,0)+IF('計算A'!CQ$106=1,1-GP28,0))*150+204+'計算A'!CQ$5*100000+IF(AND($E28=1,MD28=0),50000,0))+IF($H28=1,(IF('計算A'!CP$117=1,INDEX('計算A'!CP$10:CP$54,$B28),0)+IF('計算A'!CQ$117=1,INDEX('計算A'!CR$10:CR$54,$B28),0))*4000,0)-IF(AND('計算A'!CP$117=1,XN28&gt;0),2000,0)-IF(AND($L28=1,'計算A'!CQ$117=1,GP28=0),2000,0))),1000000))</f>
        <v/>
      </c>
      <c r="RT28">
        <f>IF($B28=0,1000000,IF(INDEX('計算A'!$D$60:$EQ$104,$B28,93)*GP28=1,IF(AND($E28=2,ME28=0),1000000,IF($I28&gt;0,IF(4=$J28,IF(OR(AND(93=$I28+1,OR($K28&lt;&gt;'計算A'!$A$3,'計算A'!$A$4=0)),AND(93=$I28-1,OR(21&lt;&gt;'計算A'!$A$3,'計算A'!$A$4=0))),0,IF(21=$K28,200000,ABS(21-$K28)*100)),100000+ABS(4-$J28)*1000+210)+'計算A'!CR$5*50+IF(AND($E28=1,ME28=0),25,0),IF($F28&gt;0,INDEX('計算A'!CR$110:CR$114,$F28+1)+IF(AND($E28=1,ME28=0),1000,0),MIN(TX28,20)*400+(IF('計算A'!CQ$106=1,1-GO28,0)+IF('計算A'!CR$106=1,1-GQ28,0))*150+214+'計算A'!CR$5*100000+IF(AND($E28=1,ME28=0),50000,0))+IF($H28=1,(IF('計算A'!CQ$117=1,INDEX('計算A'!CQ$10:CQ$54,$B28),0)+IF('計算A'!CR$117=1,INDEX('計算A'!CS$10:CS$54,$B28),0))*4000,0)-IF(AND('計算A'!CQ$117=1,XO28&gt;0),2000,0)-IF(AND($L28=1,'計算A'!CR$117=1,GQ28=0),2000,0))),1000000))</f>
        <v/>
      </c>
      <c r="RU28">
        <f>IF($B28=0,1000000,IF(INDEX('計算A'!$D$60:$EQ$104,$B28,94)*GQ28=1,IF(AND($E28=2,MF28=0),1000000,IF($I28&gt;0,IF(4=$J28,IF(OR(AND(94=$I28+1,OR($K28&lt;&gt;'計算A'!$A$3,'計算A'!$A$4=0)),AND(94=$I28-1,OR(22&lt;&gt;'計算A'!$A$3,'計算A'!$A$4=0))),0,IF(22=$K28,200000,ABS(22-$K28)*100)),100000+ABS(4-$J28)*1000+220)+'計算A'!CS$5*50+IF(AND($E28=1,MF28=0),25,0),IF($F28&gt;0,INDEX('計算A'!CS$110:CS$114,$F28+1)+IF(AND($E28=1,MF28=0),1000,0),MIN(TX28,20)*400+(IF('計算A'!CR$106=1,1-GP28,0)+IF('計算A'!CS$106=1,1-GR28,0))*150+224+'計算A'!CS$5*100000+IF(AND($E28=1,MF28=0),50000,0))+IF($H28=1,(IF('計算A'!CR$117=1,INDEX('計算A'!CR$10:CR$54,$B28),0)+IF('計算A'!CS$117=1,INDEX('計算A'!CT$10:CT$54,$B28),0))*4000,0)-IF(AND('計算A'!CR$117=1,XP28&gt;0),2000,0)-IF(AND($L28=1,'計算A'!CS$117=1,GR28=0),2000,0))),1000000))</f>
        <v/>
      </c>
      <c r="RV28">
        <f>IF($B28=0,1000000,IF(INDEX('計算A'!$D$60:$EQ$104,$B28,95)*GR28=1,IF(AND($E28=2,MG28=0),1000000,IF($I28&gt;0,IF(4=$J28,IF(OR(AND(95=$I28+1,OR($K28&lt;&gt;'計算A'!$A$3,'計算A'!$A$4=0)),AND(95=$I28-1,OR(23&lt;&gt;'計算A'!$A$3,'計算A'!$A$4=0))),0,IF(23=$K28,200000,ABS(23-$K28)*100)),100000+ABS(4-$J28)*1000+230)+'計算A'!CT$5*50+IF(AND($E28=1,MG28=0),25,0),IF($F28&gt;0,INDEX('計算A'!CT$110:CT$114,$F28+1)+IF(AND($E28=1,MG28=0),1000,0),MIN(TX28,20)*400+(IF('計算A'!CS$106=1,1-GQ28,0)+IF('計算A'!CT$106=1,1-GS28,0))*150+234+'計算A'!CT$5*100000+IF(AND($E28=1,MG28=0),50000,0))+IF($H28=1,(IF('計算A'!CS$117=1,INDEX('計算A'!CS$10:CS$54,$B28),0)+IF('計算A'!CT$117=1,INDEX('計算A'!CU$10:CU$54,$B28),0))*4000,0)-IF(AND('計算A'!CS$117=1,XQ28&gt;0),2000,0)-IF(AND($L28=1,'計算A'!CT$117=1,GS28=0),2000,0))),1000000))</f>
        <v/>
      </c>
      <c r="RW28">
        <f>IF($B28=0,1000000,IF(INDEX('計算A'!$D$60:$EQ$104,$B28,96)*GS28=1,IF(AND($E28=2,MH28=0),1000000,IF($I28&gt;0,IF(4=$J28,IF(OR(AND(96=$I28+1,OR($K28&lt;&gt;'計算A'!$A$3,'計算A'!$A$4=0)),AND(96=$I28-1,OR(24&lt;&gt;'計算A'!$A$3,'計算A'!$A$4=0))),0,IF(24=$K28,200000,ABS(24-$K28)*100)),100000+ABS(4-$J28)*1000+240)+'計算A'!CU$5*50+IF(AND($E28=1,MH28=0),25,0),IF($F28&gt;0,INDEX('計算A'!CU$110:CU$114,$F28+1)+IF(AND($E28=1,MH28=0),1000,0),MIN(TX28,20)*400+(IF('計算A'!CT$106=1,1-GR28,0))*150+244+'計算A'!CU$5*100000+IF(AND($E28=1,MH28=0),50000,0))+IF($H28=1,(IF('計算A'!CT$117=1,INDEX('計算A'!CT$10:CT$54,$B28),0))*4000,0)-IF(AND('計算A'!CT$117=1,XR28&gt;0),2000,0))),1000000))</f>
        <v/>
      </c>
      <c r="RX28">
        <f>IF($B28=0,1000000,IF(INDEX('計算A'!$D$60:$EQ$104,$B28,97)*GT28=1,IF(AND($E28=2,MI28=0),1000000,IF($I28&gt;0,IF(5=$J28,IF(OR(AND(97=$I28+1,OR($K28&lt;&gt;'計算A'!$A$3,'計算A'!$A$4=0)),AND(97=$I28-1,OR(1&lt;&gt;'計算A'!$A$3,'計算A'!$A$4=0))),0,IF(1=$K28,200000,ABS(1-$K28)*100)),100000+ABS(5-$J28)*1000+10)+'計算A'!CV$5*50+IF(AND($E28=1,MI28=0),25,0),IF($F28&gt;0,INDEX('計算A'!CV$110:CV$114,$F28+1)+IF(AND($E28=1,MI28=0),1000,0),MIN(TY28,20)*400+(IF('計算A'!CV$106=1,1-GU28,0))*150+15+'計算A'!CV$5*100000+IF(AND($E28=1,MI28=0),50000,0))+IF($H28=1,(IF('計算A'!CV$117=1,INDEX('計算A'!CW$10:CW$54,$B28),0))*4000,0)-IF(AND($L28=1,'計算A'!CV$117=1,GU28=0),2000,0))),1000000))</f>
        <v/>
      </c>
      <c r="RY28">
        <f>IF($B28=0,1000000,IF(INDEX('計算A'!$D$60:$EQ$104,$B28,98)*GU28=1,IF(AND($E28=2,MJ28=0),1000000,IF($I28&gt;0,IF(5=$J28,IF(OR(AND(98=$I28+1,OR($K28&lt;&gt;'計算A'!$A$3,'計算A'!$A$4=0)),AND(98=$I28-1,OR(2&lt;&gt;'計算A'!$A$3,'計算A'!$A$4=0))),0,IF(2=$K28,200000,ABS(2-$K28)*100)),100000+ABS(5-$J28)*1000+20)+'計算A'!CW$5*50+IF(AND($E28=1,MJ28=0),25,0),IF($F28&gt;0,INDEX('計算A'!CW$110:CW$114,$F28+1)+IF(AND($E28=1,MJ28=0),1000,0),MIN(TY28,20)*400+(IF('計算A'!CV$106=1,1-GT28,0)+IF('計算A'!CW$106=1,1-GV28,0))*150+25+'計算A'!CW$5*100000+IF(AND($E28=1,MJ28=0),50000,0))+IF($H28=1,(IF('計算A'!CV$117=1,INDEX('計算A'!CV$10:CV$54,$B28),0)+IF('計算A'!CW$117=1,INDEX('計算A'!CX$10:CX$54,$B28),0))*4000,0)-IF(AND('計算A'!CV$117=1,XT28&gt;0),2000,0)-IF(AND($L28=1,'計算A'!CW$117=1,GV28=0),2000,0))),1000000))</f>
        <v/>
      </c>
      <c r="RZ28">
        <f>IF($B28=0,1000000,IF(INDEX('計算A'!$D$60:$EQ$104,$B28,99)*GV28=1,IF(AND($E28=2,MK28=0),1000000,IF($I28&gt;0,IF(5=$J28,IF(OR(AND(99=$I28+1,OR($K28&lt;&gt;'計算A'!$A$3,'計算A'!$A$4=0)),AND(99=$I28-1,OR(3&lt;&gt;'計算A'!$A$3,'計算A'!$A$4=0))),0,IF(3=$K28,200000,ABS(3-$K28)*100)),100000+ABS(5-$J28)*1000+30)+'計算A'!CX$5*50+IF(AND($E28=1,MK28=0),25,0),IF($F28&gt;0,INDEX('計算A'!CX$110:CX$114,$F28+1)+IF(AND($E28=1,MK28=0),1000,0),MIN(TY28,20)*400+(IF('計算A'!CW$106=1,1-GU28,0)+IF('計算A'!CX$106=1,1-GW28,0))*150+35+'計算A'!CX$5*100000+IF(AND($E28=1,MK28=0),50000,0))+IF($H28=1,(IF('計算A'!CW$117=1,INDEX('計算A'!CW$10:CW$54,$B28),0)+IF('計算A'!CX$117=1,INDEX('計算A'!CY$10:CY$54,$B28),0))*4000,0)-IF(AND('計算A'!CW$117=1,XU28&gt;0),2000,0)-IF(AND($L28=1,'計算A'!CX$117=1,GW28=0),2000,0))),1000000))</f>
        <v/>
      </c>
      <c r="SA28">
        <f>IF($B28=0,1000000,IF(INDEX('計算A'!$D$60:$EQ$104,$B28,100)*GW28=1,IF(AND($E28=2,ML28=0),1000000,IF($I28&gt;0,IF(5=$J28,IF(OR(AND(100=$I28+1,OR($K28&lt;&gt;'計算A'!$A$3,'計算A'!$A$4=0)),AND(100=$I28-1,OR(4&lt;&gt;'計算A'!$A$3,'計算A'!$A$4=0))),0,IF(4=$K28,200000,ABS(4-$K28)*100)),100000+ABS(5-$J28)*1000+40)+'計算A'!CY$5*50+IF(AND($E28=1,ML28=0),25,0),IF($F28&gt;0,INDEX('計算A'!CY$110:CY$114,$F28+1)+IF(AND($E28=1,ML28=0),1000,0),MIN(TY28,20)*400+(IF('計算A'!CX$106=1,1-GV28,0)+IF('計算A'!CY$106=1,1-GX28,0))*150+45+'計算A'!CY$5*100000+IF(AND($E28=1,ML28=0),50000,0))+IF($H28=1,(IF('計算A'!CX$117=1,INDEX('計算A'!CX$10:CX$54,$B28),0)+IF('計算A'!CY$117=1,INDEX('計算A'!CZ$10:CZ$54,$B28),0))*4000,0)-IF(AND('計算A'!CX$117=1,XV28&gt;0),2000,0)-IF(AND($L28=1,'計算A'!CY$117=1,GX28=0),2000,0))),1000000))</f>
        <v/>
      </c>
      <c r="SB28">
        <f>IF($B28=0,1000000,IF(INDEX('計算A'!$D$60:$EQ$104,$B28,101)*GX28=1,IF(AND($E28=2,MM28=0),1000000,IF($I28&gt;0,IF(5=$J28,IF(OR(AND(101=$I28+1,OR($K28&lt;&gt;'計算A'!$A$3,'計算A'!$A$4=0)),AND(101=$I28-1,OR(5&lt;&gt;'計算A'!$A$3,'計算A'!$A$4=0))),0,IF(5=$K28,200000,ABS(5-$K28)*100)),100000+ABS(5-$J28)*1000+50)+'計算A'!CZ$5*50+IF(AND($E28=1,MM28=0),25,0),IF($F28&gt;0,INDEX('計算A'!CZ$110:CZ$114,$F28+1)+IF(AND($E28=1,MM28=0),1000,0),MIN(TY28,20)*400+(IF('計算A'!CY$106=1,1-GW28,0)+IF('計算A'!CZ$106=1,1-GY28,0))*150+55+'計算A'!CZ$5*100000+IF(AND($E28=1,MM28=0),50000,0))+IF($H28=1,(IF('計算A'!CY$117=1,INDEX('計算A'!CY$10:CY$54,$B28),0)+IF('計算A'!CZ$117=1,INDEX('計算A'!DA$10:DA$54,$B28),0))*4000,0)-IF(AND('計算A'!CY$117=1,XW28&gt;0),2000,0)-IF(AND($L28=1,'計算A'!CZ$117=1,GY28=0),2000,0))),1000000))</f>
        <v/>
      </c>
      <c r="SC28">
        <f>IF($B28=0,1000000,IF(INDEX('計算A'!$D$60:$EQ$104,$B28,102)*GY28=1,IF(AND($E28=2,MN28=0),1000000,IF($I28&gt;0,IF(5=$J28,IF(OR(AND(102=$I28+1,OR($K28&lt;&gt;'計算A'!$A$3,'計算A'!$A$4=0)),AND(102=$I28-1,OR(6&lt;&gt;'計算A'!$A$3,'計算A'!$A$4=0))),0,IF(6=$K28,200000,ABS(6-$K28)*100)),100000+ABS(5-$J28)*1000+60)+'計算A'!DA$5*50+IF(AND($E28=1,MN28=0),25,0),IF($F28&gt;0,INDEX('計算A'!DA$110:DA$114,$F28+1)+IF(AND($E28=1,MN28=0),1000,0),MIN(TY28,20)*400+(IF('計算A'!CZ$106=1,1-GX28,0)+IF('計算A'!DA$106=1,1-GZ28,0))*150+65+'計算A'!DA$5*100000+IF(AND($E28=1,MN28=0),50000,0))+IF($H28=1,(IF('計算A'!CZ$117=1,INDEX('計算A'!CZ$10:CZ$54,$B28),0)+IF('計算A'!DA$117=1,INDEX('計算A'!DB$10:DB$54,$B28),0))*4000,0)-IF(AND('計算A'!CZ$117=1,XX28&gt;0),2000,0)-IF(AND($L28=1,'計算A'!DA$117=1,GZ28=0),2000,0))),1000000))</f>
        <v/>
      </c>
      <c r="SD28">
        <f>IF($B28=0,1000000,IF(INDEX('計算A'!$D$60:$EQ$104,$B28,103)*GZ28=1,IF(AND($E28=2,MO28=0),1000000,IF($I28&gt;0,IF(5=$J28,IF(OR(AND(103=$I28+1,OR($K28&lt;&gt;'計算A'!$A$3,'計算A'!$A$4=0)),AND(103=$I28-1,OR(7&lt;&gt;'計算A'!$A$3,'計算A'!$A$4=0))),0,IF(7=$K28,200000,ABS(7-$K28)*100)),100000+ABS(5-$J28)*1000+70)+'計算A'!DB$5*50+IF(AND($E28=1,MO28=0),25,0),IF($F28&gt;0,INDEX('計算A'!DB$110:DB$114,$F28+1)+IF(AND($E28=1,MO28=0),1000,0),MIN(TY28,20)*400+(IF('計算A'!DA$106=1,1-GY28,0)+IF('計算A'!DB$106=1,1-HA28,0))*150+75+'計算A'!DB$5*100000+IF(AND($E28=1,MO28=0),50000,0))+IF($H28=1,(IF('計算A'!DA$117=1,INDEX('計算A'!DA$10:DA$54,$B28),0)+IF('計算A'!DB$117=1,INDEX('計算A'!DC$10:DC$54,$B28),0))*4000,0)-IF(AND('計算A'!DA$117=1,XY28&gt;0),2000,0)-IF(AND($L28=1,'計算A'!DB$117=1,HA28=0),2000,0))),1000000))</f>
        <v/>
      </c>
      <c r="SE28">
        <f>IF($B28=0,1000000,IF(INDEX('計算A'!$D$60:$EQ$104,$B28,104)*HA28=1,IF(AND($E28=2,MP28=0),1000000,IF($I28&gt;0,IF(5=$J28,IF(OR(AND(104=$I28+1,OR($K28&lt;&gt;'計算A'!$A$3,'計算A'!$A$4=0)),AND(104=$I28-1,OR(8&lt;&gt;'計算A'!$A$3,'計算A'!$A$4=0))),0,IF(8=$K28,200000,ABS(8-$K28)*100)),100000+ABS(5-$J28)*1000+80)+'計算A'!DC$5*50+IF(AND($E28=1,MP28=0),25,0),IF($F28&gt;0,INDEX('計算A'!DC$110:DC$114,$F28+1)+IF(AND($E28=1,MP28=0),1000,0),MIN(TY28,20)*400+(IF('計算A'!DB$106=1,1-GZ28,0)+IF('計算A'!DC$106=1,1-HB28,0))*150+85+'計算A'!DC$5*100000+IF(AND($E28=1,MP28=0),50000,0))+IF($H28=1,(IF('計算A'!DB$117=1,INDEX('計算A'!DB$10:DB$54,$B28),0)+IF('計算A'!DC$117=1,INDEX('計算A'!DD$10:DD$54,$B28),0))*4000,0)-IF(AND('計算A'!DB$117=1,XZ28&gt;0),2000,0)-IF(AND($L28=1,'計算A'!DC$117=1,HB28=0),2000,0))),1000000))</f>
        <v/>
      </c>
      <c r="SF28">
        <f>IF($B28=0,1000000,IF(INDEX('計算A'!$D$60:$EQ$104,$B28,105)*HB28=1,IF(AND($E28=2,MQ28=0),1000000,IF($I28&gt;0,IF(5=$J28,IF(OR(AND(105=$I28+1,OR($K28&lt;&gt;'計算A'!$A$3,'計算A'!$A$4=0)),AND(105=$I28-1,OR(9&lt;&gt;'計算A'!$A$3,'計算A'!$A$4=0))),0,IF(9=$K28,200000,ABS(9-$K28)*100)),100000+ABS(5-$J28)*1000+90)+'計算A'!DD$5*50+IF(AND($E28=1,MQ28=0),25,0),IF($F28&gt;0,INDEX('計算A'!DD$110:DD$114,$F28+1)+IF(AND($E28=1,MQ28=0),1000,0),MIN(TY28,20)*400+(IF('計算A'!DC$106=1,1-HA28,0)+IF('計算A'!DD$106=1,1-HC28,0))*150+95+'計算A'!DD$5*100000+IF(AND($E28=1,MQ28=0),50000,0))+IF($H28=1,(IF('計算A'!DC$117=1,INDEX('計算A'!DC$10:DC$54,$B28),0)+IF('計算A'!DD$117=1,INDEX('計算A'!DE$10:DE$54,$B28),0))*4000,0)-IF(AND('計算A'!DC$117=1,YA28&gt;0),2000,0)-IF(AND($L28=1,'計算A'!DD$117=1,HC28=0),2000,0))),1000000))</f>
        <v/>
      </c>
      <c r="SG28">
        <f>IF($B28=0,1000000,IF(INDEX('計算A'!$D$60:$EQ$104,$B28,106)*HC28=1,IF(AND($E28=2,MR28=0),1000000,IF($I28&gt;0,IF(5=$J28,IF(OR(AND(106=$I28+1,OR($K28&lt;&gt;'計算A'!$A$3,'計算A'!$A$4=0)),AND(106=$I28-1,OR(10&lt;&gt;'計算A'!$A$3,'計算A'!$A$4=0))),0,IF(10=$K28,200000,ABS(10-$K28)*100)),100000+ABS(5-$J28)*1000+100)+'計算A'!DE$5*50+IF(AND($E28=1,MR28=0),25,0),IF($F28&gt;0,INDEX('計算A'!DE$110:DE$114,$F28+1)+IF(AND($E28=1,MR28=0),1000,0),MIN(TY28,20)*400+(IF('計算A'!DD$106=1,1-HB28,0)+IF('計算A'!DE$106=1,1-HD28,0))*150+105+'計算A'!DE$5*100000+IF(AND($E28=1,MR28=0),50000,0))+IF($H28=1,(IF('計算A'!DD$117=1,INDEX('計算A'!DD$10:DD$54,$B28),0)+IF('計算A'!DE$117=1,INDEX('計算A'!DF$10:DF$54,$B28),0))*4000,0)-IF(AND('計算A'!DD$117=1,YB28&gt;0),2000,0)-IF(AND($L28=1,'計算A'!DE$117=1,HD28=0),2000,0))),1000000))</f>
        <v/>
      </c>
      <c r="SH28">
        <f>IF($B28=0,1000000,IF(INDEX('計算A'!$D$60:$EQ$104,$B28,107)*HD28=1,IF(AND($E28=2,MS28=0),1000000,IF($I28&gt;0,IF(5=$J28,IF(OR(AND(107=$I28+1,OR($K28&lt;&gt;'計算A'!$A$3,'計算A'!$A$4=0)),AND(107=$I28-1,OR(11&lt;&gt;'計算A'!$A$3,'計算A'!$A$4=0))),0,IF(11=$K28,200000,ABS(11-$K28)*100)),100000+ABS(5-$J28)*1000+110)+'計算A'!DF$5*50+IF(AND($E28=1,MS28=0),25,0),IF($F28&gt;0,INDEX('計算A'!DF$110:DF$114,$F28+1)+IF(AND($E28=1,MS28=0),1000,0),MIN(TY28,20)*400+(IF('計算A'!DE$106=1,1-HC28,0)+IF('計算A'!DF$106=1,1-HE28,0))*150+115+'計算A'!DF$5*100000+IF(AND($E28=1,MS28=0),50000,0))+IF($H28=1,(IF('計算A'!DE$117=1,INDEX('計算A'!DE$10:DE$54,$B28),0)+IF('計算A'!DF$117=1,INDEX('計算A'!DG$10:DG$54,$B28),0))*4000,0)-IF(AND('計算A'!DE$117=1,YC28&gt;0),2000,0)-IF(AND($L28=1,'計算A'!DF$117=1,HE28=0),2000,0))),1000000))</f>
        <v/>
      </c>
      <c r="SI28">
        <f>IF($B28=0,1000000,IF(INDEX('計算A'!$D$60:$EQ$104,$B28,108)*HE28=1,IF(AND($E28=2,MT28=0),1000000,IF($I28&gt;0,IF(5=$J28,IF(OR(AND(108=$I28+1,OR($K28&lt;&gt;'計算A'!$A$3,'計算A'!$A$4=0)),AND(108=$I28-1,OR(12&lt;&gt;'計算A'!$A$3,'計算A'!$A$4=0))),0,IF(12=$K28,200000,ABS(12-$K28)*100)),100000+ABS(5-$J28)*1000+120)+'計算A'!DG$5*50+IF(AND($E28=1,MT28=0),25,0),IF($F28&gt;0,INDEX('計算A'!DG$110:DG$114,$F28+1)+IF(AND($E28=1,MT28=0),1000,0),MIN(TY28,20)*400+(IF('計算A'!DF$106=1,1-HD28,0)+IF('計算A'!DG$106=1,1-HF28,0))*150+125+'計算A'!DG$5*100000+IF(AND($E28=1,MT28=0),50000,0))+IF($H28=1,(IF('計算A'!DF$117=1,INDEX('計算A'!DF$10:DF$54,$B28),0)+IF('計算A'!DG$117=1,INDEX('計算A'!DH$10:DH$54,$B28),0))*4000,0)-IF(AND('計算A'!DF$117=1,YD28&gt;0),2000,0)-IF(AND($L28=1,'計算A'!DG$117=1,HF28=0),2000,0))),1000000))</f>
        <v/>
      </c>
      <c r="SJ28">
        <f>IF($B28=0,1000000,IF(INDEX('計算A'!$D$60:$EQ$104,$B28,109)*HF28=1,IF(AND($E28=2,MU28=0),1000000,IF($I28&gt;0,IF(5=$J28,IF(OR(AND(109=$I28+1,OR($K28&lt;&gt;'計算A'!$A$3,'計算A'!$A$4=0)),AND(109=$I28-1,OR(13&lt;&gt;'計算A'!$A$3,'計算A'!$A$4=0))),0,IF(13=$K28,200000,ABS(13-$K28)*100)),100000+ABS(5-$J28)*1000+130)+'計算A'!DH$5*50+IF(AND($E28=1,MU28=0),25,0),IF($F28&gt;0,INDEX('計算A'!DH$110:DH$114,$F28+1)+IF(AND($E28=1,MU28=0),1000,0),MIN(TY28,20)*400+(IF('計算A'!DG$106=1,1-HE28,0)+IF('計算A'!DH$106=1,1-HG28,0))*150+135+'計算A'!DH$5*100000+IF(AND($E28=1,MU28=0),50000,0))+IF($H28=1,(IF('計算A'!DG$117=1,INDEX('計算A'!DG$10:DG$54,$B28),0)+IF('計算A'!DH$117=1,INDEX('計算A'!DI$10:DI$54,$B28),0))*4000,0)-IF(AND('計算A'!DG$117=1,YE28&gt;0),2000,0)-IF(AND($L28=1,'計算A'!DH$117=1,HG28=0),2000,0))),1000000))</f>
        <v/>
      </c>
      <c r="SK28">
        <f>IF($B28=0,1000000,IF(INDEX('計算A'!$D$60:$EQ$104,$B28,110)*HG28=1,IF(AND($E28=2,MV28=0),1000000,IF($I28&gt;0,IF(5=$J28,IF(OR(AND(110=$I28+1,OR($K28&lt;&gt;'計算A'!$A$3,'計算A'!$A$4=0)),AND(110=$I28-1,OR(14&lt;&gt;'計算A'!$A$3,'計算A'!$A$4=0))),0,IF(14=$K28,200000,ABS(14-$K28)*100)),100000+ABS(5-$J28)*1000+140)+'計算A'!DI$5*50+IF(AND($E28=1,MV28=0),25,0),IF($F28&gt;0,INDEX('計算A'!DI$110:DI$114,$F28+1)+IF(AND($E28=1,MV28=0),1000,0),MIN(TY28,20)*400+(IF('計算A'!DH$106=1,1-HF28,0)+IF('計算A'!DI$106=1,1-HH28,0))*150+145+'計算A'!DI$5*100000+IF(AND($E28=1,MV28=0),50000,0))+IF($H28=1,(IF('計算A'!DH$117=1,INDEX('計算A'!DH$10:DH$54,$B28),0)+IF('計算A'!DI$117=1,INDEX('計算A'!DJ$10:DJ$54,$B28),0))*4000,0)-IF(AND('計算A'!DH$117=1,YF28&gt;0),2000,0)-IF(AND($L28=1,'計算A'!DI$117=1,HH28=0),2000,0))),1000000))</f>
        <v/>
      </c>
      <c r="SL28">
        <f>IF($B28=0,1000000,IF(INDEX('計算A'!$D$60:$EQ$104,$B28,111)*HH28=1,IF(AND($E28=2,MW28=0),1000000,IF($I28&gt;0,IF(5=$J28,IF(OR(AND(111=$I28+1,OR($K28&lt;&gt;'計算A'!$A$3,'計算A'!$A$4=0)),AND(111=$I28-1,OR(15&lt;&gt;'計算A'!$A$3,'計算A'!$A$4=0))),0,IF(15=$K28,200000,ABS(15-$K28)*100)),100000+ABS(5-$J28)*1000+150)+'計算A'!DJ$5*50+IF(AND($E28=1,MW28=0),25,0),IF($F28&gt;0,INDEX('計算A'!DJ$110:DJ$114,$F28+1)+IF(AND($E28=1,MW28=0),1000,0),MIN(TY28,20)*400+(IF('計算A'!DI$106=1,1-HG28,0)+IF('計算A'!DJ$106=1,1-HI28,0))*150+155+'計算A'!DJ$5*100000+IF(AND($E28=1,MW28=0),50000,0))+IF($H28=1,(IF('計算A'!DI$117=1,INDEX('計算A'!DI$10:DI$54,$B28),0)+IF('計算A'!DJ$117=1,INDEX('計算A'!DK$10:DK$54,$B28),0))*4000,0)-IF(AND('計算A'!DI$117=1,YG28&gt;0),2000,0)-IF(AND($L28=1,'計算A'!DJ$117=1,HI28=0),2000,0))),1000000))</f>
        <v/>
      </c>
      <c r="SM28">
        <f>IF($B28=0,1000000,IF(INDEX('計算A'!$D$60:$EQ$104,$B28,112)*HI28=1,IF(AND($E28=2,MX28=0),1000000,IF($I28&gt;0,IF(5=$J28,IF(OR(AND(112=$I28+1,OR($K28&lt;&gt;'計算A'!$A$3,'計算A'!$A$4=0)),AND(112=$I28-1,OR(16&lt;&gt;'計算A'!$A$3,'計算A'!$A$4=0))),0,IF(16=$K28,200000,ABS(16-$K28)*100)),100000+ABS(5-$J28)*1000+160)+'計算A'!DK$5*50+IF(AND($E28=1,MX28=0),25,0),IF($F28&gt;0,INDEX('計算A'!DK$110:DK$114,$F28+1)+IF(AND($E28=1,MX28=0),1000,0),MIN(TY28,20)*400+(IF('計算A'!DJ$106=1,1-HH28,0)+IF('計算A'!DK$106=1,1-HJ28,0))*150+165+'計算A'!DK$5*100000+IF(AND($E28=1,MX28=0),50000,0))+IF($H28=1,(IF('計算A'!DJ$117=1,INDEX('計算A'!DJ$10:DJ$54,$B28),0)+IF('計算A'!DK$117=1,INDEX('計算A'!DL$10:DL$54,$B28),0))*4000,0)-IF(AND('計算A'!DJ$117=1,YH28&gt;0),2000,0)-IF(AND($L28=1,'計算A'!DK$117=1,HJ28=0),2000,0))),1000000))</f>
        <v/>
      </c>
      <c r="SN28">
        <f>IF($B28=0,1000000,IF(INDEX('計算A'!$D$60:$EQ$104,$B28,113)*HJ28=1,IF(AND($E28=2,MY28=0),1000000,IF($I28&gt;0,IF(5=$J28,IF(OR(AND(113=$I28+1,OR($K28&lt;&gt;'計算A'!$A$3,'計算A'!$A$4=0)),AND(113=$I28-1,OR(17&lt;&gt;'計算A'!$A$3,'計算A'!$A$4=0))),0,IF(17=$K28,200000,ABS(17-$K28)*100)),100000+ABS(5-$J28)*1000+170)+'計算A'!DL$5*50+IF(AND($E28=1,MY28=0),25,0),IF($F28&gt;0,INDEX('計算A'!DL$110:DL$114,$F28+1)+IF(AND($E28=1,MY28=0),1000,0),MIN(TY28,20)*400+(IF('計算A'!DK$106=1,1-HI28,0)+IF('計算A'!DL$106=1,1-HK28,0))*150+175+'計算A'!DL$5*100000+IF(AND($E28=1,MY28=0),50000,0))+IF($H28=1,(IF('計算A'!DK$117=1,INDEX('計算A'!DK$10:DK$54,$B28),0)+IF('計算A'!DL$117=1,INDEX('計算A'!DM$10:DM$54,$B28),0))*4000,0)-IF(AND('計算A'!DK$117=1,YI28&gt;0),2000,0)-IF(AND($L28=1,'計算A'!DL$117=1,HK28=0),2000,0))),1000000))</f>
        <v/>
      </c>
      <c r="SO28">
        <f>IF($B28=0,1000000,IF(INDEX('計算A'!$D$60:$EQ$104,$B28,114)*HK28=1,IF(AND($E28=2,MZ28=0),1000000,IF($I28&gt;0,IF(5=$J28,IF(OR(AND(114=$I28+1,OR($K28&lt;&gt;'計算A'!$A$3,'計算A'!$A$4=0)),AND(114=$I28-1,OR(18&lt;&gt;'計算A'!$A$3,'計算A'!$A$4=0))),0,IF(18=$K28,200000,ABS(18-$K28)*100)),100000+ABS(5-$J28)*1000+180)+'計算A'!DM$5*50+IF(AND($E28=1,MZ28=0),25,0),IF($F28&gt;0,INDEX('計算A'!DM$110:DM$114,$F28+1)+IF(AND($E28=1,MZ28=0),1000,0),MIN(TY28,20)*400+(IF('計算A'!DL$106=1,1-HJ28,0)+IF('計算A'!DM$106=1,1-HL28,0))*150+185+'計算A'!DM$5*100000+IF(AND($E28=1,MZ28=0),50000,0))+IF($H28=1,(IF('計算A'!DL$117=1,INDEX('計算A'!DL$10:DL$54,$B28),0)+IF('計算A'!DM$117=1,INDEX('計算A'!DN$10:DN$54,$B28),0))*4000,0)-IF(AND('計算A'!DL$117=1,YJ28&gt;0),2000,0)-IF(AND($L28=1,'計算A'!DM$117=1,HL28=0),2000,0))),1000000))</f>
        <v/>
      </c>
      <c r="SP28">
        <f>IF($B28=0,1000000,IF(INDEX('計算A'!$D$60:$EQ$104,$B28,115)*HL28=1,IF(AND($E28=2,NA28=0),1000000,IF($I28&gt;0,IF(5=$J28,IF(OR(AND(115=$I28+1,OR($K28&lt;&gt;'計算A'!$A$3,'計算A'!$A$4=0)),AND(115=$I28-1,OR(19&lt;&gt;'計算A'!$A$3,'計算A'!$A$4=0))),0,IF(19=$K28,200000,ABS(19-$K28)*100)),100000+ABS(5-$J28)*1000+190)+'計算A'!DN$5*50+IF(AND($E28=1,NA28=0),25,0),IF($F28&gt;0,INDEX('計算A'!DN$110:DN$114,$F28+1)+IF(AND($E28=1,NA28=0),1000,0),MIN(TY28,20)*400+(IF('計算A'!DM$106=1,1-HK28,0)+IF('計算A'!DN$106=1,1-HM28,0))*150+195+'計算A'!DN$5*100000+IF(AND($E28=1,NA28=0),50000,0))+IF($H28=1,(IF('計算A'!DM$117=1,INDEX('計算A'!DM$10:DM$54,$B28),0)+IF('計算A'!DN$117=1,INDEX('計算A'!DO$10:DO$54,$B28),0))*4000,0)-IF(AND('計算A'!DM$117=1,YK28&gt;0),2000,0)-IF(AND($L28=1,'計算A'!DN$117=1,HM28=0),2000,0))),1000000))</f>
        <v/>
      </c>
      <c r="SQ28">
        <f>IF($B28=0,1000000,IF(INDEX('計算A'!$D$60:$EQ$104,$B28,116)*HM28=1,IF(AND($E28=2,NB28=0),1000000,IF($I28&gt;0,IF(5=$J28,IF(OR(AND(116=$I28+1,OR($K28&lt;&gt;'計算A'!$A$3,'計算A'!$A$4=0)),AND(116=$I28-1,OR(20&lt;&gt;'計算A'!$A$3,'計算A'!$A$4=0))),0,IF(20=$K28,200000,ABS(20-$K28)*100)),100000+ABS(5-$J28)*1000+200)+'計算A'!DO$5*50+IF(AND($E28=1,NB28=0),25,0),IF($F28&gt;0,INDEX('計算A'!DO$110:DO$114,$F28+1)+IF(AND($E28=1,NB28=0),1000,0),MIN(TY28,20)*400+(IF('計算A'!DN$106=1,1-HL28,0)+IF('計算A'!DO$106=1,1-HN28,0))*150+205+'計算A'!DO$5*100000+IF(AND($E28=1,NB28=0),50000,0))+IF($H28=1,(IF('計算A'!DN$117=1,INDEX('計算A'!DN$10:DN$54,$B28),0)+IF('計算A'!DO$117=1,INDEX('計算A'!DP$10:DP$54,$B28),0))*4000,0)-IF(AND('計算A'!DN$117=1,YL28&gt;0),2000,0)-IF(AND($L28=1,'計算A'!DO$117=1,HN28=0),2000,0))),1000000))</f>
        <v/>
      </c>
      <c r="SR28">
        <f>IF($B28=0,1000000,IF(INDEX('計算A'!$D$60:$EQ$104,$B28,117)*HN28=1,IF(AND($E28=2,NC28=0),1000000,IF($I28&gt;0,IF(5=$J28,IF(OR(AND(117=$I28+1,OR($K28&lt;&gt;'計算A'!$A$3,'計算A'!$A$4=0)),AND(117=$I28-1,OR(21&lt;&gt;'計算A'!$A$3,'計算A'!$A$4=0))),0,IF(21=$K28,200000,ABS(21-$K28)*100)),100000+ABS(5-$J28)*1000+210)+'計算A'!DP$5*50+IF(AND($E28=1,NC28=0),25,0),IF($F28&gt;0,INDEX('計算A'!DP$110:DP$114,$F28+1)+IF(AND($E28=1,NC28=0),1000,0),MIN(TY28,20)*400+(IF('計算A'!DO$106=1,1-HM28,0)+IF('計算A'!DP$106=1,1-HO28,0))*150+215+'計算A'!DP$5*100000+IF(AND($E28=1,NC28=0),50000,0))+IF($H28=1,(IF('計算A'!DO$117=1,INDEX('計算A'!DO$10:DO$54,$B28),0)+IF('計算A'!DP$117=1,INDEX('計算A'!DQ$10:DQ$54,$B28),0))*4000,0)-IF(AND('計算A'!DO$117=1,YM28&gt;0),2000,0)-IF(AND($L28=1,'計算A'!DP$117=1,HO28=0),2000,0))),1000000))</f>
        <v/>
      </c>
      <c r="SS28">
        <f>IF($B28=0,1000000,IF(INDEX('計算A'!$D$60:$EQ$104,$B28,118)*HO28=1,IF(AND($E28=2,ND28=0),1000000,IF($I28&gt;0,IF(5=$J28,IF(OR(AND(118=$I28+1,OR($K28&lt;&gt;'計算A'!$A$3,'計算A'!$A$4=0)),AND(118=$I28-1,OR(22&lt;&gt;'計算A'!$A$3,'計算A'!$A$4=0))),0,IF(22=$K28,200000,ABS(22-$K28)*100)),100000+ABS(5-$J28)*1000+220)+'計算A'!DQ$5*50+IF(AND($E28=1,ND28=0),25,0),IF($F28&gt;0,INDEX('計算A'!DQ$110:DQ$114,$F28+1)+IF(AND($E28=1,ND28=0),1000,0),MIN(TY28,20)*400+(IF('計算A'!DP$106=1,1-HN28,0)+IF('計算A'!DQ$106=1,1-HP28,0))*150+225+'計算A'!DQ$5*100000+IF(AND($E28=1,ND28=0),50000,0))+IF($H28=1,(IF('計算A'!DP$117=1,INDEX('計算A'!DP$10:DP$54,$B28),0)+IF('計算A'!DQ$117=1,INDEX('計算A'!DR$10:DR$54,$B28),0))*4000,0)-IF(AND('計算A'!DP$117=1,YN28&gt;0),2000,0)-IF(AND($L28=1,'計算A'!DQ$117=1,HP28=0),2000,0))),1000000))</f>
        <v/>
      </c>
      <c r="ST28">
        <f>IF($B28=0,1000000,IF(INDEX('計算A'!$D$60:$EQ$104,$B28,119)*HP28=1,IF(AND($E28=2,NE28=0),1000000,IF($I28&gt;0,IF(5=$J28,IF(OR(AND(119=$I28+1,OR($K28&lt;&gt;'計算A'!$A$3,'計算A'!$A$4=0)),AND(119=$I28-1,OR(23&lt;&gt;'計算A'!$A$3,'計算A'!$A$4=0))),0,IF(23=$K28,200000,ABS(23-$K28)*100)),100000+ABS(5-$J28)*1000+230)+'計算A'!DR$5*50+IF(AND($E28=1,NE28=0),25,0),IF($F28&gt;0,INDEX('計算A'!DR$110:DR$114,$F28+1)+IF(AND($E28=1,NE28=0),1000,0),MIN(TY28,20)*400+(IF('計算A'!DQ$106=1,1-HO28,0)+IF('計算A'!DR$106=1,1-HQ28,0))*150+235+'計算A'!DR$5*100000+IF(AND($E28=1,NE28=0),50000,0))+IF($H28=1,(IF('計算A'!DQ$117=1,INDEX('計算A'!DQ$10:DQ$54,$B28),0)+IF('計算A'!DR$117=1,INDEX('計算A'!DS$10:DS$54,$B28),0))*4000,0)-IF(AND('計算A'!DQ$117=1,YO28&gt;0),2000,0)-IF(AND($L28=1,'計算A'!DR$117=1,HQ28=0),2000,0))),1000000))</f>
        <v/>
      </c>
      <c r="SU28">
        <f>IF($B28=0,1000000,IF(INDEX('計算A'!$D$60:$EQ$104,$B28,120)*HQ28=1,IF(AND($E28=2,NF28=0),1000000,IF($I28&gt;0,IF(5=$J28,IF(OR(AND(120=$I28+1,OR($K28&lt;&gt;'計算A'!$A$3,'計算A'!$A$4=0)),AND(120=$I28-1,OR(24&lt;&gt;'計算A'!$A$3,'計算A'!$A$4=0))),0,IF(24=$K28,200000,ABS(24-$K28)*100)),100000+ABS(5-$J28)*1000+240)+'計算A'!DS$5*50+IF(AND($E28=1,NF28=0),25,0),IF($F28&gt;0,INDEX('計算A'!DS$110:DS$114,$F28+1)+IF(AND($E28=1,NF28=0),1000,0),MIN(TY28,20)*400+(IF('計算A'!DR$106=1,1-HP28,0))*150+245+'計算A'!DS$5*100000+IF(AND($E28=1,NF28=0),50000,0))+IF($H28=1,(IF('計算A'!DR$117=1,INDEX('計算A'!DR$10:DR$54,$B28),0))*4000,0)-IF(AND('計算A'!DR$117=1,YP28&gt;0),2000,0))),1000000))</f>
        <v/>
      </c>
      <c r="SV28">
        <f>IF($B28=0,1000000,IF(INDEX('計算A'!$D$60:$EQ$104,$B28,121)*HR28=1,IF(AND($E28=2,NG28=0),1000000,IF($I28&gt;0,IF(6=$J28,IF(OR(AND(121=$I28+1,OR($K28&lt;&gt;'計算A'!$A$3,'計算A'!$A$4=0)),AND(121=$I28-1,OR(1&lt;&gt;'計算A'!$A$3,'計算A'!$A$4=0))),0,IF(1=$K28,200000,ABS(1-$K28)*100)),100000+ABS(6-$J28)*1000+10)+'計算A'!DT$5*50+IF(AND($E28=1,NG28=0),25,0),IF($F28&gt;0,INDEX('計算A'!DT$110:DT$114,$F28+1)+IF(AND($E28=1,NG28=0),1000,0),MIN(TZ28,20)*400+(IF('計算A'!DT$106=1,1-HS28,0))*150+16+'計算A'!DT$5*100000+IF(AND($E28=1,NG28=0),50000,0))+IF($H28=1,(IF('計算A'!DT$117=1,INDEX('計算A'!DU$10:DU$54,$B28),0))*4000,0)-IF(AND($L28=1,'計算A'!DT$117=1,HS28=0),2000,0))),1000000))</f>
        <v/>
      </c>
      <c r="SW28">
        <f>IF($B28=0,1000000,IF(INDEX('計算A'!$D$60:$EQ$104,$B28,122)*HS28=1,IF(AND($E28=2,NH28=0),1000000,IF($I28&gt;0,IF(6=$J28,IF(OR(AND(122=$I28+1,OR($K28&lt;&gt;'計算A'!$A$3,'計算A'!$A$4=0)),AND(122=$I28-1,OR(2&lt;&gt;'計算A'!$A$3,'計算A'!$A$4=0))),0,IF(2=$K28,200000,ABS(2-$K28)*100)),100000+ABS(6-$J28)*1000+20)+'計算A'!DU$5*50+IF(AND($E28=1,NH28=0),25,0),IF($F28&gt;0,INDEX('計算A'!DU$110:DU$114,$F28+1)+IF(AND($E28=1,NH28=0),1000,0),MIN(TZ28,20)*400+(IF('計算A'!DT$106=1,1-HR28,0)+IF('計算A'!DU$106=1,1-HT28,0))*150+26+'計算A'!DU$5*100000+IF(AND($E28=1,NH28=0),50000,0))+IF($H28=1,(IF('計算A'!DT$117=1,INDEX('計算A'!DT$10:DT$54,$B28),0)+IF('計算A'!DU$117=1,INDEX('計算A'!DV$10:DV$54,$B28),0))*4000,0)-IF(AND('計算A'!DT$117=1,YR28&gt;0),2000,0)-IF(AND($L28=1,'計算A'!DU$117=1,HT28=0),2000,0))),1000000))</f>
        <v/>
      </c>
      <c r="SX28">
        <f>IF($B28=0,1000000,IF(INDEX('計算A'!$D$60:$EQ$104,$B28,123)*HT28=1,IF(AND($E28=2,NI28=0),1000000,IF($I28&gt;0,IF(6=$J28,IF(OR(AND(123=$I28+1,OR($K28&lt;&gt;'計算A'!$A$3,'計算A'!$A$4=0)),AND(123=$I28-1,OR(3&lt;&gt;'計算A'!$A$3,'計算A'!$A$4=0))),0,IF(3=$K28,200000,ABS(3-$K28)*100)),100000+ABS(6-$J28)*1000+30)+'計算A'!DV$5*50+IF(AND($E28=1,NI28=0),25,0),IF($F28&gt;0,INDEX('計算A'!DV$110:DV$114,$F28+1)+IF(AND($E28=1,NI28=0),1000,0),MIN(TZ28,20)*400+(IF('計算A'!DU$106=1,1-HS28,0)+IF('計算A'!DV$106=1,1-HU28,0))*150+36+'計算A'!DV$5*100000+IF(AND($E28=1,NI28=0),50000,0))+IF($H28=1,(IF('計算A'!DU$117=1,INDEX('計算A'!DU$10:DU$54,$B28),0)+IF('計算A'!DV$117=1,INDEX('計算A'!DW$10:DW$54,$B28),0))*4000,0)-IF(AND('計算A'!DU$117=1,YS28&gt;0),2000,0)-IF(AND($L28=1,'計算A'!DV$117=1,HU28=0),2000,0))),1000000))</f>
        <v/>
      </c>
      <c r="SY28">
        <f>IF($B28=0,1000000,IF(INDEX('計算A'!$D$60:$EQ$104,$B28,124)*HU28=1,IF(AND($E28=2,NJ28=0),1000000,IF($I28&gt;0,IF(6=$J28,IF(OR(AND(124=$I28+1,OR($K28&lt;&gt;'計算A'!$A$3,'計算A'!$A$4=0)),AND(124=$I28-1,OR(4&lt;&gt;'計算A'!$A$3,'計算A'!$A$4=0))),0,IF(4=$K28,200000,ABS(4-$K28)*100)),100000+ABS(6-$J28)*1000+40)+'計算A'!DW$5*50+IF(AND($E28=1,NJ28=0),25,0),IF($F28&gt;0,INDEX('計算A'!DW$110:DW$114,$F28+1)+IF(AND($E28=1,NJ28=0),1000,0),MIN(TZ28,20)*400+(IF('計算A'!DV$106=1,1-HT28,0)+IF('計算A'!DW$106=1,1-HV28,0))*150+46+'計算A'!DW$5*100000+IF(AND($E28=1,NJ28=0),50000,0))+IF($H28=1,(IF('計算A'!DV$117=1,INDEX('計算A'!DV$10:DV$54,$B28),0)+IF('計算A'!DW$117=1,INDEX('計算A'!DX$10:DX$54,$B28),0))*4000,0)-IF(AND('計算A'!DV$117=1,YT28&gt;0),2000,0)-IF(AND($L28=1,'計算A'!DW$117=1,HV28=0),2000,0))),1000000))</f>
        <v/>
      </c>
      <c r="SZ28">
        <f>IF($B28=0,1000000,IF(INDEX('計算A'!$D$60:$EQ$104,$B28,125)*HV28=1,IF(AND($E28=2,NK28=0),1000000,IF($I28&gt;0,IF(6=$J28,IF(OR(AND(125=$I28+1,OR($K28&lt;&gt;'計算A'!$A$3,'計算A'!$A$4=0)),AND(125=$I28-1,OR(5&lt;&gt;'計算A'!$A$3,'計算A'!$A$4=0))),0,IF(5=$K28,200000,ABS(5-$K28)*100)),100000+ABS(6-$J28)*1000+50)+'計算A'!DX$5*50+IF(AND($E28=1,NK28=0),25,0),IF($F28&gt;0,INDEX('計算A'!DX$110:DX$114,$F28+1)+IF(AND($E28=1,NK28=0),1000,0),MIN(TZ28,20)*400+(IF('計算A'!DW$106=1,1-HU28,0)+IF('計算A'!DX$106=1,1-HW28,0))*150+56+'計算A'!DX$5*100000+IF(AND($E28=1,NK28=0),50000,0))+IF($H28=1,(IF('計算A'!DW$117=1,INDEX('計算A'!DW$10:DW$54,$B28),0)+IF('計算A'!DX$117=1,INDEX('計算A'!DY$10:DY$54,$B28),0))*4000,0)-IF(AND('計算A'!DW$117=1,YU28&gt;0),2000,0)-IF(AND($L28=1,'計算A'!DX$117=1,HW28=0),2000,0))),1000000))</f>
        <v/>
      </c>
      <c r="TA28">
        <f>IF($B28=0,1000000,IF(INDEX('計算A'!$D$60:$EQ$104,$B28,126)*HW28=1,IF(AND($E28=2,NL28=0),1000000,IF($I28&gt;0,IF(6=$J28,IF(OR(AND(126=$I28+1,OR($K28&lt;&gt;'計算A'!$A$3,'計算A'!$A$4=0)),AND(126=$I28-1,OR(6&lt;&gt;'計算A'!$A$3,'計算A'!$A$4=0))),0,IF(6=$K28,200000,ABS(6-$K28)*100)),100000+ABS(6-$J28)*1000+60)+'計算A'!DY$5*50+IF(AND($E28=1,NL28=0),25,0),IF($F28&gt;0,INDEX('計算A'!DY$110:DY$114,$F28+1)+IF(AND($E28=1,NL28=0),1000,0),MIN(TZ28,20)*400+(IF('計算A'!DX$106=1,1-HV28,0)+IF('計算A'!DY$106=1,1-HX28,0))*150+66+'計算A'!DY$5*100000+IF(AND($E28=1,NL28=0),50000,0))+IF($H28=1,(IF('計算A'!DX$117=1,INDEX('計算A'!DX$10:DX$54,$B28),0)+IF('計算A'!DY$117=1,INDEX('計算A'!DZ$10:DZ$54,$B28),0))*4000,0)-IF(AND('計算A'!DX$117=1,YV28&gt;0),2000,0)-IF(AND($L28=1,'計算A'!DY$117=1,HX28=0),2000,0))),1000000))</f>
        <v/>
      </c>
      <c r="TB28">
        <f>IF($B28=0,1000000,IF(INDEX('計算A'!$D$60:$EQ$104,$B28,127)*HX28=1,IF(AND($E28=2,NM28=0),1000000,IF($I28&gt;0,IF(6=$J28,IF(OR(AND(127=$I28+1,OR($K28&lt;&gt;'計算A'!$A$3,'計算A'!$A$4=0)),AND(127=$I28-1,OR(7&lt;&gt;'計算A'!$A$3,'計算A'!$A$4=0))),0,IF(7=$K28,200000,ABS(7-$K28)*100)),100000+ABS(6-$J28)*1000+70)+'計算A'!DZ$5*50+IF(AND($E28=1,NM28=0),25,0),IF($F28&gt;0,INDEX('計算A'!DZ$110:DZ$114,$F28+1)+IF(AND($E28=1,NM28=0),1000,0),MIN(TZ28,20)*400+(IF('計算A'!DY$106=1,1-HW28,0)+IF('計算A'!DZ$106=1,1-HY28,0))*150+76+'計算A'!DZ$5*100000+IF(AND($E28=1,NM28=0),50000,0))+IF($H28=1,(IF('計算A'!DY$117=1,INDEX('計算A'!DY$10:DY$54,$B28),0)+IF('計算A'!DZ$117=1,INDEX('計算A'!EA$10:EA$54,$B28),0))*4000,0)-IF(AND('計算A'!DY$117=1,YW28&gt;0),2000,0)-IF(AND($L28=1,'計算A'!DZ$117=1,HY28=0),2000,0))),1000000))</f>
        <v/>
      </c>
      <c r="TC28">
        <f>IF($B28=0,1000000,IF(INDEX('計算A'!$D$60:$EQ$104,$B28,128)*HY28=1,IF(AND($E28=2,NN28=0),1000000,IF($I28&gt;0,IF(6=$J28,IF(OR(AND(128=$I28+1,OR($K28&lt;&gt;'計算A'!$A$3,'計算A'!$A$4=0)),AND(128=$I28-1,OR(8&lt;&gt;'計算A'!$A$3,'計算A'!$A$4=0))),0,IF(8=$K28,200000,ABS(8-$K28)*100)),100000+ABS(6-$J28)*1000+80)+'計算A'!EA$5*50+IF(AND($E28=1,NN28=0),25,0),IF($F28&gt;0,INDEX('計算A'!EA$110:EA$114,$F28+1)+IF(AND($E28=1,NN28=0),1000,0),MIN(TZ28,20)*400+(IF('計算A'!DZ$106=1,1-HX28,0)+IF('計算A'!EA$106=1,1-HZ28,0))*150+86+'計算A'!EA$5*100000+IF(AND($E28=1,NN28=0),50000,0))+IF($H28=1,(IF('計算A'!DZ$117=1,INDEX('計算A'!DZ$10:DZ$54,$B28),0)+IF('計算A'!EA$117=1,INDEX('計算A'!EB$10:EB$54,$B28),0))*4000,0)-IF(AND('計算A'!DZ$117=1,YX28&gt;0),2000,0)-IF(AND($L28=1,'計算A'!EA$117=1,HZ28=0),2000,0))),1000000))</f>
        <v/>
      </c>
      <c r="TD28">
        <f>IF($B28=0,1000000,IF(INDEX('計算A'!$D$60:$EQ$104,$B28,129)*HZ28=1,IF(AND($E28=2,NO28=0),1000000,IF($I28&gt;0,IF(6=$J28,IF(OR(AND(129=$I28+1,OR($K28&lt;&gt;'計算A'!$A$3,'計算A'!$A$4=0)),AND(129=$I28-1,OR(9&lt;&gt;'計算A'!$A$3,'計算A'!$A$4=0))),0,IF(9=$K28,200000,ABS(9-$K28)*100)),100000+ABS(6-$J28)*1000+90)+'計算A'!EB$5*50+IF(AND($E28=1,NO28=0),25,0),IF($F28&gt;0,INDEX('計算A'!EB$110:EB$114,$F28+1)+IF(AND($E28=1,NO28=0),1000,0),MIN(TZ28,20)*400+(IF('計算A'!EA$106=1,1-HY28,0)+IF('計算A'!EB$106=1,1-IA28,0))*150+96+'計算A'!EB$5*100000+IF(AND($E28=1,NO28=0),50000,0))+IF($H28=1,(IF('計算A'!EA$117=1,INDEX('計算A'!EA$10:EA$54,$B28),0)+IF('計算A'!EB$117=1,INDEX('計算A'!EC$10:EC$54,$B28),0))*4000,0)-IF(AND('計算A'!EA$117=1,YY28&gt;0),2000,0)-IF(AND($L28=1,'計算A'!EB$117=1,IA28=0),2000,0))),1000000))</f>
        <v/>
      </c>
      <c r="TE28">
        <f>IF($B28=0,1000000,IF(INDEX('計算A'!$D$60:$EQ$104,$B28,130)*IA28=1,IF(AND($E28=2,NP28=0),1000000,IF($I28&gt;0,IF(6=$J28,IF(OR(AND(130=$I28+1,OR($K28&lt;&gt;'計算A'!$A$3,'計算A'!$A$4=0)),AND(130=$I28-1,OR(10&lt;&gt;'計算A'!$A$3,'計算A'!$A$4=0))),0,IF(10=$K28,200000,ABS(10-$K28)*100)),100000+ABS(6-$J28)*1000+100)+'計算A'!EC$5*50+IF(AND($E28=1,NP28=0),25,0),IF($F28&gt;0,INDEX('計算A'!EC$110:EC$114,$F28+1)+IF(AND($E28=1,NP28=0),1000,0),MIN(TZ28,20)*400+(IF('計算A'!EB$106=1,1-HZ28,0)+IF('計算A'!EC$106=1,1-IB28,0))*150+106+'計算A'!EC$5*100000+IF(AND($E28=1,NP28=0),50000,0))+IF($H28=1,(IF('計算A'!EB$117=1,INDEX('計算A'!EB$10:EB$54,$B28),0)+IF('計算A'!EC$117=1,INDEX('計算A'!ED$10:ED$54,$B28),0))*4000,0)-IF(AND('計算A'!EB$117=1,YZ28&gt;0),2000,0)-IF(AND($L28=1,'計算A'!EC$117=1,IB28=0),2000,0))),1000000))</f>
        <v/>
      </c>
      <c r="TF28">
        <f>IF($B28=0,1000000,IF(INDEX('計算A'!$D$60:$EQ$104,$B28,131)*IB28=1,IF(AND($E28=2,NQ28=0),1000000,IF($I28&gt;0,IF(6=$J28,IF(OR(AND(131=$I28+1,OR($K28&lt;&gt;'計算A'!$A$3,'計算A'!$A$4=0)),AND(131=$I28-1,OR(11&lt;&gt;'計算A'!$A$3,'計算A'!$A$4=0))),0,IF(11=$K28,200000,ABS(11-$K28)*100)),100000+ABS(6-$J28)*1000+110)+'計算A'!ED$5*50+IF(AND($E28=1,NQ28=0),25,0),IF($F28&gt;0,INDEX('計算A'!ED$110:ED$114,$F28+1)+IF(AND($E28=1,NQ28=0),1000,0),MIN(TZ28,20)*400+(IF('計算A'!EC$106=1,1-IA28,0)+IF('計算A'!ED$106=1,1-IC28,0))*150+116+'計算A'!ED$5*100000+IF(AND($E28=1,NQ28=0),50000,0))+IF($H28=1,(IF('計算A'!EC$117=1,INDEX('計算A'!EC$10:EC$54,$B28),0)+IF('計算A'!ED$117=1,INDEX('計算A'!EE$10:EE$54,$B28),0))*4000,0)-IF(AND('計算A'!EC$117=1,ZA28&gt;0),2000,0)-IF(AND($L28=1,'計算A'!ED$117=1,IC28=0),2000,0))),1000000))</f>
        <v/>
      </c>
      <c r="TG28">
        <f>IF($B28=0,1000000,IF(INDEX('計算A'!$D$60:$EQ$104,$B28,132)*IC28=1,IF(AND($E28=2,NR28=0),1000000,IF($I28&gt;0,IF(6=$J28,IF(OR(AND(132=$I28+1,OR($K28&lt;&gt;'計算A'!$A$3,'計算A'!$A$4=0)),AND(132=$I28-1,OR(12&lt;&gt;'計算A'!$A$3,'計算A'!$A$4=0))),0,IF(12=$K28,200000,ABS(12-$K28)*100)),100000+ABS(6-$J28)*1000+120)+'計算A'!EE$5*50+IF(AND($E28=1,NR28=0),25,0),IF($F28&gt;0,INDEX('計算A'!EE$110:EE$114,$F28+1)+IF(AND($E28=1,NR28=0),1000,0),MIN(TZ28,20)*400+(IF('計算A'!ED$106=1,1-IB28,0)+IF('計算A'!EE$106=1,1-ID28,0))*150+126+'計算A'!EE$5*100000+IF(AND($E28=1,NR28=0),50000,0))+IF($H28=1,(IF('計算A'!ED$117=1,INDEX('計算A'!ED$10:ED$54,$B28),0)+IF('計算A'!EE$117=1,INDEX('計算A'!EF$10:EF$54,$B28),0))*4000,0)-IF(AND('計算A'!ED$117=1,ZB28&gt;0),2000,0)-IF(AND($L28=1,'計算A'!EE$117=1,ID28=0),2000,0))),1000000))</f>
        <v/>
      </c>
      <c r="TH28">
        <f>IF($B28=0,1000000,IF(INDEX('計算A'!$D$60:$EQ$104,$B28,133)*ID28=1,IF(AND($E28=2,NS28=0),1000000,IF($I28&gt;0,IF(6=$J28,IF(OR(AND(133=$I28+1,OR($K28&lt;&gt;'計算A'!$A$3,'計算A'!$A$4=0)),AND(133=$I28-1,OR(13&lt;&gt;'計算A'!$A$3,'計算A'!$A$4=0))),0,IF(13=$K28,200000,ABS(13-$K28)*100)),100000+ABS(6-$J28)*1000+130)+'計算A'!EF$5*50+IF(AND($E28=1,NS28=0),25,0),IF($F28&gt;0,INDEX('計算A'!EF$110:EF$114,$F28+1)+IF(AND($E28=1,NS28=0),1000,0),MIN(TZ28,20)*400+(IF('計算A'!EE$106=1,1-IC28,0)+IF('計算A'!EF$106=1,1-IE28,0))*150+136+'計算A'!EF$5*100000+IF(AND($E28=1,NS28=0),50000,0))+IF($H28=1,(IF('計算A'!EE$117=1,INDEX('計算A'!EE$10:EE$54,$B28),0)+IF('計算A'!EF$117=1,INDEX('計算A'!EG$10:EG$54,$B28),0))*4000,0)-IF(AND('計算A'!EE$117=1,ZC28&gt;0),2000,0)-IF(AND($L28=1,'計算A'!EF$117=1,IE28=0),2000,0))),1000000))</f>
        <v/>
      </c>
      <c r="TI28">
        <f>IF($B28=0,1000000,IF(INDEX('計算A'!$D$60:$EQ$104,$B28,134)*IE28=1,IF(AND($E28=2,NT28=0),1000000,IF($I28&gt;0,IF(6=$J28,IF(OR(AND(134=$I28+1,OR($K28&lt;&gt;'計算A'!$A$3,'計算A'!$A$4=0)),AND(134=$I28-1,OR(14&lt;&gt;'計算A'!$A$3,'計算A'!$A$4=0))),0,IF(14=$K28,200000,ABS(14-$K28)*100)),100000+ABS(6-$J28)*1000+140)+'計算A'!EG$5*50+IF(AND($E28=1,NT28=0),25,0),IF($F28&gt;0,INDEX('計算A'!EG$110:EG$114,$F28+1)+IF(AND($E28=1,NT28=0),1000,0),MIN(TZ28,20)*400+(IF('計算A'!EF$106=1,1-ID28,0)+IF('計算A'!EG$106=1,1-IF28,0))*150+146+'計算A'!EG$5*100000+IF(AND($E28=1,NT28=0),50000,0))+IF($H28=1,(IF('計算A'!EF$117=1,INDEX('計算A'!EF$10:EF$54,$B28),0)+IF('計算A'!EG$117=1,INDEX('計算A'!EH$10:EH$54,$B28),0))*4000,0)-IF(AND('計算A'!EF$117=1,ZD28&gt;0),2000,0)-IF(AND($L28=1,'計算A'!EG$117=1,IF28=0),2000,0))),1000000))</f>
        <v/>
      </c>
      <c r="TJ28">
        <f>IF($B28=0,1000000,IF(INDEX('計算A'!$D$60:$EQ$104,$B28,135)*IF28=1,IF(AND($E28=2,NU28=0),1000000,IF($I28&gt;0,IF(6=$J28,IF(OR(AND(135=$I28+1,OR($K28&lt;&gt;'計算A'!$A$3,'計算A'!$A$4=0)),AND(135=$I28-1,OR(15&lt;&gt;'計算A'!$A$3,'計算A'!$A$4=0))),0,IF(15=$K28,200000,ABS(15-$K28)*100)),100000+ABS(6-$J28)*1000+150)+'計算A'!EH$5*50+IF(AND($E28=1,NU28=0),25,0),IF($F28&gt;0,INDEX('計算A'!EH$110:EH$114,$F28+1)+IF(AND($E28=1,NU28=0),1000,0),MIN(TZ28,20)*400+(IF('計算A'!EG$106=1,1-IE28,0)+IF('計算A'!EH$106=1,1-IG28,0))*150+156+'計算A'!EH$5*100000+IF(AND($E28=1,NU28=0),50000,0))+IF($H28=1,(IF('計算A'!EG$117=1,INDEX('計算A'!EG$10:EG$54,$B28),0)+IF('計算A'!EH$117=1,INDEX('計算A'!EI$10:EI$54,$B28),0))*4000,0)-IF(AND('計算A'!EG$117=1,ZE28&gt;0),2000,0)-IF(AND($L28=1,'計算A'!EH$117=1,IG28=0),2000,0))),1000000))</f>
        <v/>
      </c>
      <c r="TK28">
        <f>IF($B28=0,1000000,IF(INDEX('計算A'!$D$60:$EQ$104,$B28,136)*IG28=1,IF(AND($E28=2,NV28=0),1000000,IF($I28&gt;0,IF(6=$J28,IF(OR(AND(136=$I28+1,OR($K28&lt;&gt;'計算A'!$A$3,'計算A'!$A$4=0)),AND(136=$I28-1,OR(16&lt;&gt;'計算A'!$A$3,'計算A'!$A$4=0))),0,IF(16=$K28,200000,ABS(16-$K28)*100)),100000+ABS(6-$J28)*1000+160)+'計算A'!EI$5*50+IF(AND($E28=1,NV28=0),25,0),IF($F28&gt;0,INDEX('計算A'!EI$110:EI$114,$F28+1)+IF(AND($E28=1,NV28=0),1000,0),MIN(TZ28,20)*400+(IF('計算A'!EH$106=1,1-IF28,0)+IF('計算A'!EI$106=1,1-IH28,0))*150+166+'計算A'!EI$5*100000+IF(AND($E28=1,NV28=0),50000,0))+IF($H28=1,(IF('計算A'!EH$117=1,INDEX('計算A'!EH$10:EH$54,$B28),0)+IF('計算A'!EI$117=1,INDEX('計算A'!EJ$10:EJ$54,$B28),0))*4000,0)-IF(AND('計算A'!EH$117=1,ZF28&gt;0),2000,0)-IF(AND($L28=1,'計算A'!EI$117=1,IH28=0),2000,0))),1000000))</f>
        <v/>
      </c>
      <c r="TL28">
        <f>IF($B28=0,1000000,IF(INDEX('計算A'!$D$60:$EQ$104,$B28,137)*IH28=1,IF(AND($E28=2,NW28=0),1000000,IF($I28&gt;0,IF(6=$J28,IF(OR(AND(137=$I28+1,OR($K28&lt;&gt;'計算A'!$A$3,'計算A'!$A$4=0)),AND(137=$I28-1,OR(17&lt;&gt;'計算A'!$A$3,'計算A'!$A$4=0))),0,IF(17=$K28,200000,ABS(17-$K28)*100)),100000+ABS(6-$J28)*1000+170)+'計算A'!EJ$5*50+IF(AND($E28=1,NW28=0),25,0),IF($F28&gt;0,INDEX('計算A'!EJ$110:EJ$114,$F28+1)+IF(AND($E28=1,NW28=0),1000,0),MIN(TZ28,20)*400+(IF('計算A'!EI$106=1,1-IG28,0)+IF('計算A'!EJ$106=1,1-II28,0))*150+176+'計算A'!EJ$5*100000+IF(AND($E28=1,NW28=0),50000,0))+IF($H28=1,(IF('計算A'!EI$117=1,INDEX('計算A'!EI$10:EI$54,$B28),0)+IF('計算A'!EJ$117=1,INDEX('計算A'!EK$10:EK$54,$B28),0))*4000,0)-IF(AND('計算A'!EI$117=1,ZG28&gt;0),2000,0)-IF(AND($L28=1,'計算A'!EJ$117=1,II28=0),2000,0))),1000000))</f>
        <v/>
      </c>
      <c r="TM28">
        <f>IF($B28=0,1000000,IF(INDEX('計算A'!$D$60:$EQ$104,$B28,138)*II28=1,IF(AND($E28=2,NX28=0),1000000,IF($I28&gt;0,IF(6=$J28,IF(OR(AND(138=$I28+1,OR($K28&lt;&gt;'計算A'!$A$3,'計算A'!$A$4=0)),AND(138=$I28-1,OR(18&lt;&gt;'計算A'!$A$3,'計算A'!$A$4=0))),0,IF(18=$K28,200000,ABS(18-$K28)*100)),100000+ABS(6-$J28)*1000+180)+'計算A'!EK$5*50+IF(AND($E28=1,NX28=0),25,0),IF($F28&gt;0,INDEX('計算A'!EK$110:EK$114,$F28+1)+IF(AND($E28=1,NX28=0),1000,0),MIN(TZ28,20)*400+(IF('計算A'!EJ$106=1,1-IH28,0)+IF('計算A'!EK$106=1,1-IJ28,0))*150+186+'計算A'!EK$5*100000+IF(AND($E28=1,NX28=0),50000,0))+IF($H28=1,(IF('計算A'!EJ$117=1,INDEX('計算A'!EJ$10:EJ$54,$B28),0)+IF('計算A'!EK$117=1,INDEX('計算A'!EL$10:EL$54,$B28),0))*4000,0)-IF(AND('計算A'!EJ$117=1,ZH28&gt;0),2000,0)-IF(AND($L28=1,'計算A'!EK$117=1,IJ28=0),2000,0))),1000000))</f>
        <v/>
      </c>
      <c r="TN28">
        <f>IF($B28=0,1000000,IF(INDEX('計算A'!$D$60:$EQ$104,$B28,139)*IJ28=1,IF(AND($E28=2,NY28=0),1000000,IF($I28&gt;0,IF(6=$J28,IF(OR(AND(139=$I28+1,OR($K28&lt;&gt;'計算A'!$A$3,'計算A'!$A$4=0)),AND(139=$I28-1,OR(19&lt;&gt;'計算A'!$A$3,'計算A'!$A$4=0))),0,IF(19=$K28,200000,ABS(19-$K28)*100)),100000+ABS(6-$J28)*1000+190)+'計算A'!EL$5*50+IF(AND($E28=1,NY28=0),25,0),IF($F28&gt;0,INDEX('計算A'!EL$110:EL$114,$F28+1)+IF(AND($E28=1,NY28=0),1000,0),MIN(TZ28,20)*400+(IF('計算A'!EK$106=1,1-II28,0)+IF('計算A'!EL$106=1,1-IK28,0))*150+196+'計算A'!EL$5*100000+IF(AND($E28=1,NY28=0),50000,0))+IF($H28=1,(IF('計算A'!EK$117=1,INDEX('計算A'!EK$10:EK$54,$B28),0)+IF('計算A'!EL$117=1,INDEX('計算A'!EM$10:EM$54,$B28),0))*4000,0)-IF(AND('計算A'!EK$117=1,ZI28&gt;0),2000,0)-IF(AND($L28=1,'計算A'!EL$117=1,IK28=0),2000,0))),1000000))</f>
        <v/>
      </c>
      <c r="TO28">
        <f>IF($B28=0,1000000,IF(INDEX('計算A'!$D$60:$EQ$104,$B28,140)*IK28=1,IF(AND($E28=2,NZ28=0),1000000,IF($I28&gt;0,IF(6=$J28,IF(OR(AND(140=$I28+1,OR($K28&lt;&gt;'計算A'!$A$3,'計算A'!$A$4=0)),AND(140=$I28-1,OR(20&lt;&gt;'計算A'!$A$3,'計算A'!$A$4=0))),0,IF(20=$K28,200000,ABS(20-$K28)*100)),100000+ABS(6-$J28)*1000+200)+'計算A'!EM$5*50+IF(AND($E28=1,NZ28=0),25,0),IF($F28&gt;0,INDEX('計算A'!EM$110:EM$114,$F28+1)+IF(AND($E28=1,NZ28=0),1000,0),MIN(TZ28,20)*400+(IF('計算A'!EL$106=1,1-IJ28,0)+IF('計算A'!EM$106=1,1-IL28,0))*150+206+'計算A'!EM$5*100000+IF(AND($E28=1,NZ28=0),50000,0))+IF($H28=1,(IF('計算A'!EL$117=1,INDEX('計算A'!EL$10:EL$54,$B28),0)+IF('計算A'!EM$117=1,INDEX('計算A'!EN$10:EN$54,$B28),0))*4000,0)-IF(AND('計算A'!EL$117=1,ZJ28&gt;0),2000,0)-IF(AND($L28=1,'計算A'!EM$117=1,IL28=0),2000,0))),1000000))</f>
        <v/>
      </c>
      <c r="TP28">
        <f>IF($B28=0,1000000,IF(INDEX('計算A'!$D$60:$EQ$104,$B28,141)*IL28=1,IF(AND($E28=2,OA28=0),1000000,IF($I28&gt;0,IF(6=$J28,IF(OR(AND(141=$I28+1,OR($K28&lt;&gt;'計算A'!$A$3,'計算A'!$A$4=0)),AND(141=$I28-1,OR(21&lt;&gt;'計算A'!$A$3,'計算A'!$A$4=0))),0,IF(21=$K28,200000,ABS(21-$K28)*100)),100000+ABS(6-$J28)*1000+210)+'計算A'!EN$5*50+IF(AND($E28=1,OA28=0),25,0),IF($F28&gt;0,INDEX('計算A'!EN$110:EN$114,$F28+1)+IF(AND($E28=1,OA28=0),1000,0),MIN(TZ28,20)*400+(IF('計算A'!EM$106=1,1-IK28,0)+IF('計算A'!EN$106=1,1-IM28,0))*150+216+'計算A'!EN$5*100000+IF(AND($E28=1,OA28=0),50000,0))+IF($H28=1,(IF('計算A'!EM$117=1,INDEX('計算A'!EM$10:EM$54,$B28),0)+IF('計算A'!EN$117=1,INDEX('計算A'!EO$10:EO$54,$B28),0))*4000,0)-IF(AND('計算A'!EM$117=1,ZK28&gt;0),2000,0)-IF(AND($L28=1,'計算A'!EN$117=1,IM28=0),2000,0))),1000000))</f>
        <v/>
      </c>
      <c r="TQ28">
        <f>IF($B28=0,1000000,IF(INDEX('計算A'!$D$60:$EQ$104,$B28,142)*IM28=1,IF(AND($E28=2,OB28=0),1000000,IF($I28&gt;0,IF(6=$J28,IF(OR(AND(142=$I28+1,OR($K28&lt;&gt;'計算A'!$A$3,'計算A'!$A$4=0)),AND(142=$I28-1,OR(22&lt;&gt;'計算A'!$A$3,'計算A'!$A$4=0))),0,IF(22=$K28,200000,ABS(22-$K28)*100)),100000+ABS(6-$J28)*1000+220)+'計算A'!EO$5*50+IF(AND($E28=1,OB28=0),25,0),IF($F28&gt;0,INDEX('計算A'!EO$110:EO$114,$F28+1)+IF(AND($E28=1,OB28=0),1000,0),MIN(TZ28,20)*400+(IF('計算A'!EN$106=1,1-IL28,0)+IF('計算A'!EO$106=1,1-IN28,0))*150+226+'計算A'!EO$5*100000+IF(AND($E28=1,OB28=0),50000,0))+IF($H28=1,(IF('計算A'!EN$117=1,INDEX('計算A'!EN$10:EN$54,$B28),0)+IF('計算A'!EO$117=1,INDEX('計算A'!EP$10:EP$54,$B28),0))*4000,0)-IF(AND('計算A'!EN$117=1,ZL28&gt;0),2000,0)-IF(AND($L28=1,'計算A'!EO$117=1,IN28=0),2000,0))),1000000))</f>
        <v/>
      </c>
      <c r="TR28">
        <f>IF($B28=0,1000000,IF(INDEX('計算A'!$D$60:$EQ$104,$B28,143)*IN28=1,IF(AND($E28=2,OC28=0),1000000,IF($I28&gt;0,IF(6=$J28,IF(OR(AND(143=$I28+1,OR($K28&lt;&gt;'計算A'!$A$3,'計算A'!$A$4=0)),AND(143=$I28-1,OR(23&lt;&gt;'計算A'!$A$3,'計算A'!$A$4=0))),0,IF(23=$K28,200000,ABS(23-$K28)*100)),100000+ABS(6-$J28)*1000+230)+'計算A'!EP$5*50+IF(AND($E28=1,OC28=0),25,0),IF($F28&gt;0,INDEX('計算A'!EP$110:EP$114,$F28+1)+IF(AND($E28=1,OC28=0),1000,0),MIN(TZ28,20)*400+(IF('計算A'!EO$106=1,1-IM28,0)+IF('計算A'!EP$106=1,1-IO28,0))*150+236+'計算A'!EP$5*100000+IF(AND($E28=1,OC28=0),50000,0))+IF($H28=1,(IF('計算A'!EO$117=1,INDEX('計算A'!EO$10:EO$54,$B28),0)+IF('計算A'!EP$117=1,INDEX('計算A'!EQ$10:EQ$54,$B28),0))*4000,0)-IF(AND('計算A'!EO$117=1,ZM28&gt;0),2000,0)-IF(AND($L28=1,'計算A'!EP$117=1,IO28=0),2000,0))),1000000))</f>
        <v/>
      </c>
      <c r="TS28">
        <f>IF($B28=0,1000000,IF(INDEX('計算A'!$D$60:$EQ$104,$B28,144)*IO28=1,IF(AND($E28=2,OD28=0),1000000,IF($I28&gt;0,IF(6=$J28,IF(OR(AND(144=$I28+1,OR($K28&lt;&gt;'計算A'!$A$3,'計算A'!$A$4=0)),AND(144=$I28-1,OR(24&lt;&gt;'計算A'!$A$3,'計算A'!$A$4=0))),0,IF(24=$K28,200000,ABS(24-$K28)*100)),100000+ABS(6-$J28)*1000+240)+'計算A'!EQ$5*50+IF(AND($E28=1,OD28=0),25,0),IF($F28&gt;0,INDEX('計算A'!EQ$110:EQ$114,$F28+1)+IF(AND($E28=1,OD28=0),1000,0),MIN(TZ28,20)*400+(IF('計算A'!EP$106=1,1-IN28,0))*150+246+'計算A'!EQ$5*100000+IF(AND($E28=1,OD28=0),50000,0))+IF($H28=1,(IF('計算A'!EP$117=1,INDEX('計算A'!EP$10:EP$54,$B28),0))*4000,0)-IF(AND('計算A'!EP$117=1,ZN28&gt;0),2000,0))),1000000))</f>
        <v/>
      </c>
      <c r="TU28">
        <f>TU27+IF($C27&gt;0,IF(INDEX('計算A'!$D$2:$EQ$2,$C27)=1,1,0),0)</f>
        <v/>
      </c>
      <c r="TV28">
        <f>TV27+IF($C27&gt;0,IF(INDEX('計算A'!$D$2:$EQ$2,$C27)=2,1,0),0)</f>
        <v/>
      </c>
      <c r="TW28">
        <f>TW27+IF($C27&gt;0,IF(INDEX('計算A'!$D$2:$EQ$2,$C27)=3,1,0),0)</f>
        <v/>
      </c>
      <c r="TX28">
        <f>TX27+IF($C27&gt;0,IF(INDEX('計算A'!$D$2:$EQ$2,$C27)=4,1,0),0)</f>
        <v/>
      </c>
      <c r="TY28">
        <f>TY27+IF($C27&gt;0,IF(INDEX('計算A'!$D$2:$EQ$2,$C27)=5,1,0),0)</f>
        <v/>
      </c>
      <c r="TZ28">
        <f>TZ27+IF($C27&gt;0,IF(INDEX('計算A'!$D$2:$EQ$2,$C27)=6,1,0),0)</f>
        <v/>
      </c>
      <c r="UB28">
        <f>UB27+IF(AND($C27=1,$L27=1),1,0)</f>
        <v/>
      </c>
      <c r="UC28">
        <f>UC27+IF(AND($C27=2,$L27=1),1,0)</f>
        <v/>
      </c>
      <c r="UD28">
        <f>UD27+IF(AND($C27=3,$L27=1),1,0)</f>
        <v/>
      </c>
      <c r="UE28">
        <f>UE27+IF(AND($C27=4,$L27=1),1,0)</f>
        <v/>
      </c>
      <c r="UF28">
        <f>UF27+IF(AND($C27=5,$L27=1),1,0)</f>
        <v/>
      </c>
      <c r="UG28">
        <f>UG27+IF(AND($C27=6,$L27=1),1,0)</f>
        <v/>
      </c>
      <c r="UH28">
        <f>UH27+IF(AND($C27=7,$L27=1),1,0)</f>
        <v/>
      </c>
      <c r="UI28">
        <f>UI27+IF(AND($C27=8,$L27=1),1,0)</f>
        <v/>
      </c>
      <c r="UJ28">
        <f>UJ27+IF(AND($C27=9,$L27=1),1,0)</f>
        <v/>
      </c>
      <c r="UK28">
        <f>UK27+IF(AND($C27=10,$L27=1),1,0)</f>
        <v/>
      </c>
      <c r="UL28">
        <f>UL27+IF(AND($C27=11,$L27=1),1,0)</f>
        <v/>
      </c>
      <c r="UM28">
        <f>UM27+IF(AND($C27=12,$L27=1),1,0)</f>
        <v/>
      </c>
      <c r="UN28">
        <f>UN27+IF(AND($C27=13,$L27=1),1,0)</f>
        <v/>
      </c>
      <c r="UO28">
        <f>UO27+IF(AND($C27=14,$L27=1),1,0)</f>
        <v/>
      </c>
      <c r="UP28">
        <f>UP27+IF(AND($C27=15,$L27=1),1,0)</f>
        <v/>
      </c>
      <c r="UQ28">
        <f>UQ27+IF(AND($C27=16,$L27=1),1,0)</f>
        <v/>
      </c>
      <c r="UR28">
        <f>UR27+IF(AND($C27=17,$L27=1),1,0)</f>
        <v/>
      </c>
      <c r="US28">
        <f>US27+IF(AND($C27=18,$L27=1),1,0)</f>
        <v/>
      </c>
      <c r="UT28">
        <f>UT27+IF(AND($C27=19,$L27=1),1,0)</f>
        <v/>
      </c>
      <c r="UU28">
        <f>UU27+IF(AND($C27=20,$L27=1),1,0)</f>
        <v/>
      </c>
      <c r="UV28">
        <f>UV27+IF(AND($C27=21,$L27=1),1,0)</f>
        <v/>
      </c>
      <c r="UW28">
        <f>UW27+IF(AND($C27=22,$L27=1),1,0)</f>
        <v/>
      </c>
      <c r="UX28">
        <f>UX27+IF(AND($C27=23,$L27=1),1,0)</f>
        <v/>
      </c>
      <c r="UY28">
        <f>UY27+IF(AND($C27=24,$L27=1),1,0)</f>
        <v/>
      </c>
      <c r="UZ28">
        <f>UZ27+IF(AND($C27=25,$L27=1),1,0)</f>
        <v/>
      </c>
      <c r="VA28">
        <f>VA27+IF(AND($C27=26,$L27=1),1,0)</f>
        <v/>
      </c>
      <c r="VB28">
        <f>VB27+IF(AND($C27=27,$L27=1),1,0)</f>
        <v/>
      </c>
      <c r="VC28">
        <f>VC27+IF(AND($C27=28,$L27=1),1,0)</f>
        <v/>
      </c>
      <c r="VD28">
        <f>VD27+IF(AND($C27=29,$L27=1),1,0)</f>
        <v/>
      </c>
      <c r="VE28">
        <f>VE27+IF(AND($C27=30,$L27=1),1,0)</f>
        <v/>
      </c>
      <c r="VF28">
        <f>VF27+IF(AND($C27=31,$L27=1),1,0)</f>
        <v/>
      </c>
      <c r="VG28">
        <f>VG27+IF(AND($C27=32,$L27=1),1,0)</f>
        <v/>
      </c>
      <c r="VH28">
        <f>VH27+IF(AND($C27=33,$L27=1),1,0)</f>
        <v/>
      </c>
      <c r="VI28">
        <f>VI27+IF(AND($C27=34,$L27=1),1,0)</f>
        <v/>
      </c>
      <c r="VJ28">
        <f>VJ27+IF(AND($C27=35,$L27=1),1,0)</f>
        <v/>
      </c>
      <c r="VK28">
        <f>VK27+IF(AND($C27=36,$L27=1),1,0)</f>
        <v/>
      </c>
      <c r="VL28">
        <f>VL27+IF(AND($C27=37,$L27=1),1,0)</f>
        <v/>
      </c>
      <c r="VM28">
        <f>VM27+IF(AND($C27=38,$L27=1),1,0)</f>
        <v/>
      </c>
      <c r="VN28">
        <f>VN27+IF(AND($C27=39,$L27=1),1,0)</f>
        <v/>
      </c>
      <c r="VO28">
        <f>VO27+IF(AND($C27=40,$L27=1),1,0)</f>
        <v/>
      </c>
      <c r="VP28">
        <f>VP27+IF(AND($C27=41,$L27=1),1,0)</f>
        <v/>
      </c>
      <c r="VQ28">
        <f>VQ27+IF(AND($C27=42,$L27=1),1,0)</f>
        <v/>
      </c>
      <c r="VR28">
        <f>VR27+IF(AND($C27=43,$L27=1),1,0)</f>
        <v/>
      </c>
      <c r="VS28">
        <f>VS27+IF(AND($C27=44,$L27=1),1,0)</f>
        <v/>
      </c>
      <c r="VT28">
        <f>VT27+IF(AND($C27=45,$L27=1),1,0)</f>
        <v/>
      </c>
      <c r="VU28">
        <f>VU27+IF(AND($C27=46,$L27=1),1,0)</f>
        <v/>
      </c>
      <c r="VV28">
        <f>VV27+IF(AND($C27=47,$L27=1),1,0)</f>
        <v/>
      </c>
      <c r="VW28">
        <f>VW27+IF(AND($C27=48,$L27=1),1,0)</f>
        <v/>
      </c>
      <c r="VX28">
        <f>VX27+IF(AND($C27=49,$L27=1),1,0)</f>
        <v/>
      </c>
      <c r="VY28">
        <f>VY27+IF(AND($C27=50,$L27=1),1,0)</f>
        <v/>
      </c>
      <c r="VZ28">
        <f>VZ27+IF(AND($C27=51,$L27=1),1,0)</f>
        <v/>
      </c>
      <c r="WA28">
        <f>WA27+IF(AND($C27=52,$L27=1),1,0)</f>
        <v/>
      </c>
      <c r="WB28">
        <f>WB27+IF(AND($C27=53,$L27=1),1,0)</f>
        <v/>
      </c>
      <c r="WC28">
        <f>WC27+IF(AND($C27=54,$L27=1),1,0)</f>
        <v/>
      </c>
      <c r="WD28">
        <f>WD27+IF(AND($C27=55,$L27=1),1,0)</f>
        <v/>
      </c>
      <c r="WE28">
        <f>WE27+IF(AND($C27=56,$L27=1),1,0)</f>
        <v/>
      </c>
      <c r="WF28">
        <f>WF27+IF(AND($C27=57,$L27=1),1,0)</f>
        <v/>
      </c>
      <c r="WG28">
        <f>WG27+IF(AND($C27=58,$L27=1),1,0)</f>
        <v/>
      </c>
      <c r="WH28">
        <f>WH27+IF(AND($C27=59,$L27=1),1,0)</f>
        <v/>
      </c>
      <c r="WI28">
        <f>WI27+IF(AND($C27=60,$L27=1),1,0)</f>
        <v/>
      </c>
      <c r="WJ28">
        <f>WJ27+IF(AND($C27=61,$L27=1),1,0)</f>
        <v/>
      </c>
      <c r="WK28">
        <f>WK27+IF(AND($C27=62,$L27=1),1,0)</f>
        <v/>
      </c>
      <c r="WL28">
        <f>WL27+IF(AND($C27=63,$L27=1),1,0)</f>
        <v/>
      </c>
      <c r="WM28">
        <f>WM27+IF(AND($C27=64,$L27=1),1,0)</f>
        <v/>
      </c>
      <c r="WN28">
        <f>WN27+IF(AND($C27=65,$L27=1),1,0)</f>
        <v/>
      </c>
      <c r="WO28">
        <f>WO27+IF(AND($C27=66,$L27=1),1,0)</f>
        <v/>
      </c>
      <c r="WP28">
        <f>WP27+IF(AND($C27=67,$L27=1),1,0)</f>
        <v/>
      </c>
      <c r="WQ28">
        <f>WQ27+IF(AND($C27=68,$L27=1),1,0)</f>
        <v/>
      </c>
      <c r="WR28">
        <f>WR27+IF(AND($C27=69,$L27=1),1,0)</f>
        <v/>
      </c>
      <c r="WS28">
        <f>WS27+IF(AND($C27=70,$L27=1),1,0)</f>
        <v/>
      </c>
      <c r="WT28">
        <f>WT27+IF(AND($C27=71,$L27=1),1,0)</f>
        <v/>
      </c>
      <c r="WU28">
        <f>WU27+IF(AND($C27=72,$L27=1),1,0)</f>
        <v/>
      </c>
      <c r="WV28">
        <f>WV27+IF(AND($C27=73,$L27=1),1,0)</f>
        <v/>
      </c>
      <c r="WW28">
        <f>WW27+IF(AND($C27=74,$L27=1),1,0)</f>
        <v/>
      </c>
      <c r="WX28">
        <f>WX27+IF(AND($C27=75,$L27=1),1,0)</f>
        <v/>
      </c>
      <c r="WY28">
        <f>WY27+IF(AND($C27=76,$L27=1),1,0)</f>
        <v/>
      </c>
      <c r="WZ28">
        <f>WZ27+IF(AND($C27=77,$L27=1),1,0)</f>
        <v/>
      </c>
      <c r="XA28">
        <f>XA27+IF(AND($C27=78,$L27=1),1,0)</f>
        <v/>
      </c>
      <c r="XB28">
        <f>XB27+IF(AND($C27=79,$L27=1),1,0)</f>
        <v/>
      </c>
      <c r="XC28">
        <f>XC27+IF(AND($C27=80,$L27=1),1,0)</f>
        <v/>
      </c>
      <c r="XD28">
        <f>XD27+IF(AND($C27=81,$L27=1),1,0)</f>
        <v/>
      </c>
      <c r="XE28">
        <f>XE27+IF(AND($C27=82,$L27=1),1,0)</f>
        <v/>
      </c>
      <c r="XF28">
        <f>XF27+IF(AND($C27=83,$L27=1),1,0)</f>
        <v/>
      </c>
      <c r="XG28">
        <f>XG27+IF(AND($C27=84,$L27=1),1,0)</f>
        <v/>
      </c>
      <c r="XH28">
        <f>XH27+IF(AND($C27=85,$L27=1),1,0)</f>
        <v/>
      </c>
      <c r="XI28">
        <f>XI27+IF(AND($C27=86,$L27=1),1,0)</f>
        <v/>
      </c>
      <c r="XJ28">
        <f>XJ27+IF(AND($C27=87,$L27=1),1,0)</f>
        <v/>
      </c>
      <c r="XK28">
        <f>XK27+IF(AND($C27=88,$L27=1),1,0)</f>
        <v/>
      </c>
      <c r="XL28">
        <f>XL27+IF(AND($C27=89,$L27=1),1,0)</f>
        <v/>
      </c>
      <c r="XM28">
        <f>XM27+IF(AND($C27=90,$L27=1),1,0)</f>
        <v/>
      </c>
      <c r="XN28">
        <f>XN27+IF(AND($C27=91,$L27=1),1,0)</f>
        <v/>
      </c>
      <c r="XO28">
        <f>XO27+IF(AND($C27=92,$L27=1),1,0)</f>
        <v/>
      </c>
      <c r="XP28">
        <f>XP27+IF(AND($C27=93,$L27=1),1,0)</f>
        <v/>
      </c>
      <c r="XQ28">
        <f>XQ27+IF(AND($C27=94,$L27=1),1,0)</f>
        <v/>
      </c>
      <c r="XR28">
        <f>XR27+IF(AND($C27=95,$L27=1),1,0)</f>
        <v/>
      </c>
      <c r="XS28">
        <f>XS27+IF(AND($C27=96,$L27=1),1,0)</f>
        <v/>
      </c>
      <c r="XT28">
        <f>XT27+IF(AND($C27=97,$L27=1),1,0)</f>
        <v/>
      </c>
      <c r="XU28">
        <f>XU27+IF(AND($C27=98,$L27=1),1,0)</f>
        <v/>
      </c>
      <c r="XV28">
        <f>XV27+IF(AND($C27=99,$L27=1),1,0)</f>
        <v/>
      </c>
      <c r="XW28">
        <f>XW27+IF(AND($C27=100,$L27=1),1,0)</f>
        <v/>
      </c>
      <c r="XX28">
        <f>XX27+IF(AND($C27=101,$L27=1),1,0)</f>
        <v/>
      </c>
      <c r="XY28">
        <f>XY27+IF(AND($C27=102,$L27=1),1,0)</f>
        <v/>
      </c>
      <c r="XZ28">
        <f>XZ27+IF(AND($C27=103,$L27=1),1,0)</f>
        <v/>
      </c>
      <c r="YA28">
        <f>YA27+IF(AND($C27=104,$L27=1),1,0)</f>
        <v/>
      </c>
      <c r="YB28">
        <f>YB27+IF(AND($C27=105,$L27=1),1,0)</f>
        <v/>
      </c>
      <c r="YC28">
        <f>YC27+IF(AND($C27=106,$L27=1),1,0)</f>
        <v/>
      </c>
      <c r="YD28">
        <f>YD27+IF(AND($C27=107,$L27=1),1,0)</f>
        <v/>
      </c>
      <c r="YE28">
        <f>YE27+IF(AND($C27=108,$L27=1),1,0)</f>
        <v/>
      </c>
      <c r="YF28">
        <f>YF27+IF(AND($C27=109,$L27=1),1,0)</f>
        <v/>
      </c>
      <c r="YG28">
        <f>YG27+IF(AND($C27=110,$L27=1),1,0)</f>
        <v/>
      </c>
      <c r="YH28">
        <f>YH27+IF(AND($C27=111,$L27=1),1,0)</f>
        <v/>
      </c>
      <c r="YI28">
        <f>YI27+IF(AND($C27=112,$L27=1),1,0)</f>
        <v/>
      </c>
      <c r="YJ28">
        <f>YJ27+IF(AND($C27=113,$L27=1),1,0)</f>
        <v/>
      </c>
      <c r="YK28">
        <f>YK27+IF(AND($C27=114,$L27=1),1,0)</f>
        <v/>
      </c>
      <c r="YL28">
        <f>YL27+IF(AND($C27=115,$L27=1),1,0)</f>
        <v/>
      </c>
      <c r="YM28">
        <f>YM27+IF(AND($C27=116,$L27=1),1,0)</f>
        <v/>
      </c>
      <c r="YN28">
        <f>YN27+IF(AND($C27=117,$L27=1),1,0)</f>
        <v/>
      </c>
      <c r="YO28">
        <f>YO27+IF(AND($C27=118,$L27=1),1,0)</f>
        <v/>
      </c>
      <c r="YP28">
        <f>YP27+IF(AND($C27=119,$L27=1),1,0)</f>
        <v/>
      </c>
      <c r="YQ28">
        <f>YQ27+IF(AND($C27=120,$L27=1),1,0)</f>
        <v/>
      </c>
      <c r="YR28">
        <f>YR27+IF(AND($C27=121,$L27=1),1,0)</f>
        <v/>
      </c>
      <c r="YS28">
        <f>YS27+IF(AND($C27=122,$L27=1),1,0)</f>
        <v/>
      </c>
      <c r="YT28">
        <f>YT27+IF(AND($C27=123,$L27=1),1,0)</f>
        <v/>
      </c>
      <c r="YU28">
        <f>YU27+IF(AND($C27=124,$L27=1),1,0)</f>
        <v/>
      </c>
      <c r="YV28">
        <f>YV27+IF(AND($C27=125,$L27=1),1,0)</f>
        <v/>
      </c>
      <c r="YW28">
        <f>YW27+IF(AND($C27=126,$L27=1),1,0)</f>
        <v/>
      </c>
      <c r="YX28">
        <f>YX27+IF(AND($C27=127,$L27=1),1,0)</f>
        <v/>
      </c>
      <c r="YY28">
        <f>YY27+IF(AND($C27=128,$L27=1),1,0)</f>
        <v/>
      </c>
      <c r="YZ28">
        <f>YZ27+IF(AND($C27=129,$L27=1),1,0)</f>
        <v/>
      </c>
      <c r="ZA28">
        <f>ZA27+IF(AND($C27=130,$L27=1),1,0)</f>
        <v/>
      </c>
      <c r="ZB28">
        <f>ZB27+IF(AND($C27=131,$L27=1),1,0)</f>
        <v/>
      </c>
      <c r="ZC28">
        <f>ZC27+IF(AND($C27=132,$L27=1),1,0)</f>
        <v/>
      </c>
      <c r="ZD28">
        <f>ZD27+IF(AND($C27=133,$L27=1),1,0)</f>
        <v/>
      </c>
      <c r="ZE28">
        <f>ZE27+IF(AND($C27=134,$L27=1),1,0)</f>
        <v/>
      </c>
      <c r="ZF28">
        <f>ZF27+IF(AND($C27=135,$L27=1),1,0)</f>
        <v/>
      </c>
      <c r="ZG28">
        <f>ZG27+IF(AND($C27=136,$L27=1),1,0)</f>
        <v/>
      </c>
      <c r="ZH28">
        <f>ZH27+IF(AND($C27=137,$L27=1),1,0)</f>
        <v/>
      </c>
      <c r="ZI28">
        <f>ZI27+IF(AND($C27=138,$L27=1),1,0)</f>
        <v/>
      </c>
      <c r="ZJ28">
        <f>ZJ27+IF(AND($C27=139,$L27=1),1,0)</f>
        <v/>
      </c>
      <c r="ZK28">
        <f>ZK27+IF(AND($C27=140,$L27=1),1,0)</f>
        <v/>
      </c>
      <c r="ZL28">
        <f>ZL27+IF(AND($C27=141,$L27=1),1,0)</f>
        <v/>
      </c>
      <c r="ZM28">
        <f>ZM27+IF(AND($C27=142,$L27=1),1,0)</f>
        <v/>
      </c>
      <c r="ZN28">
        <f>ZN27+IF(AND($C27=143,$L27=1),1,0)</f>
        <v/>
      </c>
      <c r="ZO28">
        <f>ZO27+IF(AND($C27=144,$L27=1),1,0)</f>
        <v/>
      </c>
    </row>
    <row r="29">
      <c r="A29" t="n">
        <v>27</v>
      </c>
      <c r="B29">
        <f>IF(MIN(BH29:CZ29)&gt;=1000000,0,MATCH(MIN(BH29:CZ29),BH29:CZ29,0))</f>
        <v/>
      </c>
      <c r="C29">
        <f>IF(MIN(OF29:TS29)&gt;=1000000,0,MATCH(MIN(OF29:TS29),OF29:TS29,0))</f>
        <v/>
      </c>
      <c r="D29">
        <f>IF(C29&gt;0,INDEX('計算A'!$D$5:$EQ$5,C29),0)</f>
        <v/>
      </c>
      <c r="E29">
        <f>IF(B29=0,0,INDEX('計算A'!$IQ$10:$IQ$54,B29))</f>
        <v/>
      </c>
      <c r="F29">
        <f>IF(B29=0,0,INDEX('計算A'!$IP$10:$IP$54,B29))</f>
        <v/>
      </c>
      <c r="G29">
        <f>IF(AND(C29&gt;0,E29&gt;0),IF(AND(INDEX('計算A'!$D$106:$EQ$106,C29)=1,INDEX($IQ29:$OD29,C29)=1),C29+1,0),0)</f>
        <v/>
      </c>
      <c r="H29">
        <f>IF(B29=0,0,INDEX('計算A'!$IW$10:$IW$54,B29))</f>
        <v/>
      </c>
      <c r="I29">
        <f>IF(B29=0,0,MAX(0,INDEX('計算A'!$IT$10:$IT$54,B29)))</f>
        <v/>
      </c>
      <c r="J29">
        <f>IF(I29=0,0,INDEX('計算A'!$D$2:$EQ$2,I29))</f>
        <v/>
      </c>
      <c r="K29">
        <f>IF(I29=0,0,INDEX('計算A'!$D$3:$EQ$3,I29))</f>
        <v/>
      </c>
      <c r="L29">
        <f>IF(B29=0,0,INDEX('計算A'!$IX$10:$IX$54,B29))</f>
        <v/>
      </c>
      <c r="N29">
        <f>MAX(N28,IF($B28=1,1,0))</f>
        <v/>
      </c>
      <c r="O29">
        <f>MAX(O28,IF($B28=2,1,0))</f>
        <v/>
      </c>
      <c r="P29">
        <f>MAX(P28,IF($B28=3,1,0))</f>
        <v/>
      </c>
      <c r="Q29">
        <f>MAX(Q28,IF($B28=4,1,0))</f>
        <v/>
      </c>
      <c r="R29">
        <f>MAX(R28,IF($B28=5,1,0))</f>
        <v/>
      </c>
      <c r="S29">
        <f>MAX(S28,IF($B28=6,1,0))</f>
        <v/>
      </c>
      <c r="T29">
        <f>MAX(T28,IF($B28=7,1,0))</f>
        <v/>
      </c>
      <c r="U29">
        <f>MAX(U28,IF($B28=8,1,0))</f>
        <v/>
      </c>
      <c r="V29">
        <f>MAX(V28,IF($B28=9,1,0))</f>
        <v/>
      </c>
      <c r="W29">
        <f>MAX(W28,IF($B28=10,1,0))</f>
        <v/>
      </c>
      <c r="X29">
        <f>MAX(X28,IF($B28=11,1,0))</f>
        <v/>
      </c>
      <c r="Y29">
        <f>MAX(Y28,IF($B28=12,1,0))</f>
        <v/>
      </c>
      <c r="Z29">
        <f>MAX(Z28,IF($B28=13,1,0))</f>
        <v/>
      </c>
      <c r="AA29">
        <f>MAX(AA28,IF($B28=14,1,0))</f>
        <v/>
      </c>
      <c r="AB29">
        <f>MAX(AB28,IF($B28=15,1,0))</f>
        <v/>
      </c>
      <c r="AC29">
        <f>MAX(AC28,IF($B28=16,1,0))</f>
        <v/>
      </c>
      <c r="AD29">
        <f>MAX(AD28,IF($B28=17,1,0))</f>
        <v/>
      </c>
      <c r="AE29">
        <f>MAX(AE28,IF($B28=18,1,0))</f>
        <v/>
      </c>
      <c r="AF29">
        <f>MAX(AF28,IF($B28=19,1,0))</f>
        <v/>
      </c>
      <c r="AG29">
        <f>MAX(AG28,IF($B28=20,1,0))</f>
        <v/>
      </c>
      <c r="AH29">
        <f>MAX(AH28,IF($B28=21,1,0))</f>
        <v/>
      </c>
      <c r="AI29">
        <f>MAX(AI28,IF($B28=22,1,0))</f>
        <v/>
      </c>
      <c r="AJ29">
        <f>MAX(AJ28,IF($B28=23,1,0))</f>
        <v/>
      </c>
      <c r="AK29">
        <f>MAX(AK28,IF($B28=24,1,0))</f>
        <v/>
      </c>
      <c r="AL29">
        <f>MAX(AL28,IF($B28=25,1,0))</f>
        <v/>
      </c>
      <c r="AM29">
        <f>MAX(AM28,IF($B28=26,1,0))</f>
        <v/>
      </c>
      <c r="AN29">
        <f>MAX(AN28,IF($B28=27,1,0))</f>
        <v/>
      </c>
      <c r="AO29">
        <f>MAX(AO28,IF($B28=28,1,0))</f>
        <v/>
      </c>
      <c r="AP29">
        <f>MAX(AP28,IF($B28=29,1,0))</f>
        <v/>
      </c>
      <c r="AQ29">
        <f>MAX(AQ28,IF($B28=30,1,0))</f>
        <v/>
      </c>
      <c r="AR29">
        <f>MAX(AR28,IF($B28=31,1,0))</f>
        <v/>
      </c>
      <c r="AS29">
        <f>MAX(AS28,IF($B28=32,1,0))</f>
        <v/>
      </c>
      <c r="AT29">
        <f>MAX(AT28,IF($B28=33,1,0))</f>
        <v/>
      </c>
      <c r="AU29">
        <f>MAX(AU28,IF($B28=34,1,0))</f>
        <v/>
      </c>
      <c r="AV29">
        <f>MAX(AV28,IF($B28=35,1,0))</f>
        <v/>
      </c>
      <c r="AW29">
        <f>MAX(AW28,IF($B28=36,1,0))</f>
        <v/>
      </c>
      <c r="AX29">
        <f>MAX(AX28,IF($B28=37,1,0))</f>
        <v/>
      </c>
      <c r="AY29">
        <f>MAX(AY28,IF($B28=38,1,0))</f>
        <v/>
      </c>
      <c r="AZ29">
        <f>MAX(AZ28,IF($B28=39,1,0))</f>
        <v/>
      </c>
      <c r="BA29">
        <f>MAX(BA28,IF($B28=40,1,0))</f>
        <v/>
      </c>
      <c r="BB29">
        <f>MAX(BB28,IF($B28=41,1,0))</f>
        <v/>
      </c>
      <c r="BC29">
        <f>MAX(BC28,IF($B28=42,1,0))</f>
        <v/>
      </c>
      <c r="BD29">
        <f>MAX(BD28,IF($B28=43,1,0))</f>
        <v/>
      </c>
      <c r="BE29">
        <f>MAX(BE28,IF($B28=44,1,0))</f>
        <v/>
      </c>
      <c r="BF29">
        <f>MAX(BF28,IF($B28=45,1,0))</f>
        <v/>
      </c>
      <c r="BH29">
        <f>IF(N29=1,1000000,IF('計算A'!$IT$10&gt;0,0,500000)+IF('計算A'!$IQ$10=2,SUMPRODUCT('計算A'!$D$60:$EQ$60,$DB29:$IO29,$IQ29:$OD29),SUMPRODUCT('計算A'!$D$60:$EQ$60,$DB29:$IO29))*1000+1)</f>
        <v/>
      </c>
      <c r="BI29">
        <f>IF(O29=1,1000000,IF('計算A'!$IT$11&gt;0,0,500000)+IF('計算A'!$IQ$11=2,SUMPRODUCT('計算A'!$D$61:$EQ$61,$DB29:$IO29,$IQ29:$OD29),SUMPRODUCT('計算A'!$D$61:$EQ$61,$DB29:$IO29))*1000+2)</f>
        <v/>
      </c>
      <c r="BJ29">
        <f>IF(P29=1,1000000,IF('計算A'!$IT$12&gt;0,0,500000)+IF('計算A'!$IQ$12=2,SUMPRODUCT('計算A'!$D$62:$EQ$62,$DB29:$IO29,$IQ29:$OD29),SUMPRODUCT('計算A'!$D$62:$EQ$62,$DB29:$IO29))*1000+3)</f>
        <v/>
      </c>
      <c r="BK29">
        <f>IF(Q29=1,1000000,IF('計算A'!$IT$13&gt;0,0,500000)+IF('計算A'!$IQ$13=2,SUMPRODUCT('計算A'!$D$63:$EQ$63,$DB29:$IO29,$IQ29:$OD29),SUMPRODUCT('計算A'!$D$63:$EQ$63,$DB29:$IO29))*1000+4)</f>
        <v/>
      </c>
      <c r="BL29">
        <f>IF(R29=1,1000000,IF('計算A'!$IT$14&gt;0,0,500000)+IF('計算A'!$IQ$14=2,SUMPRODUCT('計算A'!$D$64:$EQ$64,$DB29:$IO29,$IQ29:$OD29),SUMPRODUCT('計算A'!$D$64:$EQ$64,$DB29:$IO29))*1000+5)</f>
        <v/>
      </c>
      <c r="BM29">
        <f>IF(S29=1,1000000,IF('計算A'!$IT$15&gt;0,0,500000)+IF('計算A'!$IQ$15=2,SUMPRODUCT('計算A'!$D$65:$EQ$65,$DB29:$IO29,$IQ29:$OD29),SUMPRODUCT('計算A'!$D$65:$EQ$65,$DB29:$IO29))*1000+6)</f>
        <v/>
      </c>
      <c r="BN29">
        <f>IF(T29=1,1000000,IF('計算A'!$IT$16&gt;0,0,500000)+IF('計算A'!$IQ$16=2,SUMPRODUCT('計算A'!$D$66:$EQ$66,$DB29:$IO29,$IQ29:$OD29),SUMPRODUCT('計算A'!$D$66:$EQ$66,$DB29:$IO29))*1000+7)</f>
        <v/>
      </c>
      <c r="BO29">
        <f>IF(U29=1,1000000,IF('計算A'!$IT$17&gt;0,0,500000)+IF('計算A'!$IQ$17=2,SUMPRODUCT('計算A'!$D$67:$EQ$67,$DB29:$IO29,$IQ29:$OD29),SUMPRODUCT('計算A'!$D$67:$EQ$67,$DB29:$IO29))*1000+8)</f>
        <v/>
      </c>
      <c r="BP29">
        <f>IF(V29=1,1000000,IF('計算A'!$IT$18&gt;0,0,500000)+IF('計算A'!$IQ$18=2,SUMPRODUCT('計算A'!$D$68:$EQ$68,$DB29:$IO29,$IQ29:$OD29),SUMPRODUCT('計算A'!$D$68:$EQ$68,$DB29:$IO29))*1000+9)</f>
        <v/>
      </c>
      <c r="BQ29">
        <f>IF(W29=1,1000000,IF('計算A'!$IT$19&gt;0,0,500000)+IF('計算A'!$IQ$19=2,SUMPRODUCT('計算A'!$D$69:$EQ$69,$DB29:$IO29,$IQ29:$OD29),SUMPRODUCT('計算A'!$D$69:$EQ$69,$DB29:$IO29))*1000+10)</f>
        <v/>
      </c>
      <c r="BR29">
        <f>IF(X29=1,1000000,IF('計算A'!$IT$20&gt;0,0,500000)+IF('計算A'!$IQ$20=2,SUMPRODUCT('計算A'!$D$70:$EQ$70,$DB29:$IO29,$IQ29:$OD29),SUMPRODUCT('計算A'!$D$70:$EQ$70,$DB29:$IO29))*1000+11)</f>
        <v/>
      </c>
      <c r="BS29">
        <f>IF(Y29=1,1000000,IF('計算A'!$IT$21&gt;0,0,500000)+IF('計算A'!$IQ$21=2,SUMPRODUCT('計算A'!$D$71:$EQ$71,$DB29:$IO29,$IQ29:$OD29),SUMPRODUCT('計算A'!$D$71:$EQ$71,$DB29:$IO29))*1000+12)</f>
        <v/>
      </c>
      <c r="BT29">
        <f>IF(Z29=1,1000000,IF('計算A'!$IT$22&gt;0,0,500000)+IF('計算A'!$IQ$22=2,SUMPRODUCT('計算A'!$D$72:$EQ$72,$DB29:$IO29,$IQ29:$OD29),SUMPRODUCT('計算A'!$D$72:$EQ$72,$DB29:$IO29))*1000+13)</f>
        <v/>
      </c>
      <c r="BU29">
        <f>IF(AA29=1,1000000,IF('計算A'!$IT$23&gt;0,0,500000)+IF('計算A'!$IQ$23=2,SUMPRODUCT('計算A'!$D$73:$EQ$73,$DB29:$IO29,$IQ29:$OD29),SUMPRODUCT('計算A'!$D$73:$EQ$73,$DB29:$IO29))*1000+14)</f>
        <v/>
      </c>
      <c r="BV29">
        <f>IF(AB29=1,1000000,IF('計算A'!$IT$24&gt;0,0,500000)+IF('計算A'!$IQ$24=2,SUMPRODUCT('計算A'!$D$74:$EQ$74,$DB29:$IO29,$IQ29:$OD29),SUMPRODUCT('計算A'!$D$74:$EQ$74,$DB29:$IO29))*1000+15)</f>
        <v/>
      </c>
      <c r="BW29">
        <f>IF(AC29=1,1000000,IF('計算A'!$IT$25&gt;0,0,500000)+IF('計算A'!$IQ$25=2,SUMPRODUCT('計算A'!$D$75:$EQ$75,$DB29:$IO29,$IQ29:$OD29),SUMPRODUCT('計算A'!$D$75:$EQ$75,$DB29:$IO29))*1000+16)</f>
        <v/>
      </c>
      <c r="BX29">
        <f>IF(AD29=1,1000000,IF('計算A'!$IT$26&gt;0,0,500000)+IF('計算A'!$IQ$26=2,SUMPRODUCT('計算A'!$D$76:$EQ$76,$DB29:$IO29,$IQ29:$OD29),SUMPRODUCT('計算A'!$D$76:$EQ$76,$DB29:$IO29))*1000+17)</f>
        <v/>
      </c>
      <c r="BY29">
        <f>IF(AE29=1,1000000,IF('計算A'!$IT$27&gt;0,0,500000)+IF('計算A'!$IQ$27=2,SUMPRODUCT('計算A'!$D$77:$EQ$77,$DB29:$IO29,$IQ29:$OD29),SUMPRODUCT('計算A'!$D$77:$EQ$77,$DB29:$IO29))*1000+18)</f>
        <v/>
      </c>
      <c r="BZ29">
        <f>IF(AF29=1,1000000,IF('計算A'!$IT$28&gt;0,0,500000)+IF('計算A'!$IQ$28=2,SUMPRODUCT('計算A'!$D$78:$EQ$78,$DB29:$IO29,$IQ29:$OD29),SUMPRODUCT('計算A'!$D$78:$EQ$78,$DB29:$IO29))*1000+19)</f>
        <v/>
      </c>
      <c r="CA29">
        <f>IF(AG29=1,1000000,IF('計算A'!$IT$29&gt;0,0,500000)+IF('計算A'!$IQ$29=2,SUMPRODUCT('計算A'!$D$79:$EQ$79,$DB29:$IO29,$IQ29:$OD29),SUMPRODUCT('計算A'!$D$79:$EQ$79,$DB29:$IO29))*1000+20)</f>
        <v/>
      </c>
      <c r="CB29">
        <f>IF(AH29=1,1000000,IF('計算A'!$IT$30&gt;0,0,500000)+IF('計算A'!$IQ$30=2,SUMPRODUCT('計算A'!$D$80:$EQ$80,$DB29:$IO29,$IQ29:$OD29),SUMPRODUCT('計算A'!$D$80:$EQ$80,$DB29:$IO29))*1000+21)</f>
        <v/>
      </c>
      <c r="CC29">
        <f>IF(AI29=1,1000000,IF('計算A'!$IT$31&gt;0,0,500000)+IF('計算A'!$IQ$31=2,SUMPRODUCT('計算A'!$D$81:$EQ$81,$DB29:$IO29,$IQ29:$OD29),SUMPRODUCT('計算A'!$D$81:$EQ$81,$DB29:$IO29))*1000+22)</f>
        <v/>
      </c>
      <c r="CD29">
        <f>IF(AJ29=1,1000000,IF('計算A'!$IT$32&gt;0,0,500000)+IF('計算A'!$IQ$32=2,SUMPRODUCT('計算A'!$D$82:$EQ$82,$DB29:$IO29,$IQ29:$OD29),SUMPRODUCT('計算A'!$D$82:$EQ$82,$DB29:$IO29))*1000+23)</f>
        <v/>
      </c>
      <c r="CE29">
        <f>IF(AK29=1,1000000,IF('計算A'!$IT$33&gt;0,0,500000)+IF('計算A'!$IQ$33=2,SUMPRODUCT('計算A'!$D$83:$EQ$83,$DB29:$IO29,$IQ29:$OD29),SUMPRODUCT('計算A'!$D$83:$EQ$83,$DB29:$IO29))*1000+24)</f>
        <v/>
      </c>
      <c r="CF29">
        <f>IF(AL29=1,1000000,IF('計算A'!$IT$34&gt;0,0,500000)+IF('計算A'!$IQ$34=2,SUMPRODUCT('計算A'!$D$84:$EQ$84,$DB29:$IO29,$IQ29:$OD29),SUMPRODUCT('計算A'!$D$84:$EQ$84,$DB29:$IO29))*1000+25)</f>
        <v/>
      </c>
      <c r="CG29">
        <f>IF(AM29=1,1000000,IF('計算A'!$IT$35&gt;0,0,500000)+IF('計算A'!$IQ$35=2,SUMPRODUCT('計算A'!$D$85:$EQ$85,$DB29:$IO29,$IQ29:$OD29),SUMPRODUCT('計算A'!$D$85:$EQ$85,$DB29:$IO29))*1000+26)</f>
        <v/>
      </c>
      <c r="CH29">
        <f>IF(AN29=1,1000000,IF('計算A'!$IT$36&gt;0,0,500000)+IF('計算A'!$IQ$36=2,SUMPRODUCT('計算A'!$D$86:$EQ$86,$DB29:$IO29,$IQ29:$OD29),SUMPRODUCT('計算A'!$D$86:$EQ$86,$DB29:$IO29))*1000+27)</f>
        <v/>
      </c>
      <c r="CI29">
        <f>IF(AO29=1,1000000,IF('計算A'!$IT$37&gt;0,0,500000)+IF('計算A'!$IQ$37=2,SUMPRODUCT('計算A'!$D$87:$EQ$87,$DB29:$IO29,$IQ29:$OD29),SUMPRODUCT('計算A'!$D$87:$EQ$87,$DB29:$IO29))*1000+28)</f>
        <v/>
      </c>
      <c r="CJ29">
        <f>IF(AP29=1,1000000,IF('計算A'!$IT$38&gt;0,0,500000)+IF('計算A'!$IQ$38=2,SUMPRODUCT('計算A'!$D$88:$EQ$88,$DB29:$IO29,$IQ29:$OD29),SUMPRODUCT('計算A'!$D$88:$EQ$88,$DB29:$IO29))*1000+29)</f>
        <v/>
      </c>
      <c r="CK29">
        <f>IF(AQ29=1,1000000,IF('計算A'!$IT$39&gt;0,0,500000)+IF('計算A'!$IQ$39=2,SUMPRODUCT('計算A'!$D$89:$EQ$89,$DB29:$IO29,$IQ29:$OD29),SUMPRODUCT('計算A'!$D$89:$EQ$89,$DB29:$IO29))*1000+30)</f>
        <v/>
      </c>
      <c r="CL29">
        <f>IF(AR29=1,1000000,IF('計算A'!$IT$40&gt;0,0,500000)+IF('計算A'!$IQ$40=2,SUMPRODUCT('計算A'!$D$90:$EQ$90,$DB29:$IO29,$IQ29:$OD29),SUMPRODUCT('計算A'!$D$90:$EQ$90,$DB29:$IO29))*1000+31)</f>
        <v/>
      </c>
      <c r="CM29">
        <f>IF(AS29=1,1000000,IF('計算A'!$IT$41&gt;0,0,500000)+IF('計算A'!$IQ$41=2,SUMPRODUCT('計算A'!$D$91:$EQ$91,$DB29:$IO29,$IQ29:$OD29),SUMPRODUCT('計算A'!$D$91:$EQ$91,$DB29:$IO29))*1000+32)</f>
        <v/>
      </c>
      <c r="CN29">
        <f>IF(AT29=1,1000000,IF('計算A'!$IT$42&gt;0,0,500000)+IF('計算A'!$IQ$42=2,SUMPRODUCT('計算A'!$D$92:$EQ$92,$DB29:$IO29,$IQ29:$OD29),SUMPRODUCT('計算A'!$D$92:$EQ$92,$DB29:$IO29))*1000+33)</f>
        <v/>
      </c>
      <c r="CO29">
        <f>IF(AU29=1,1000000,IF('計算A'!$IT$43&gt;0,0,500000)+IF('計算A'!$IQ$43=2,SUMPRODUCT('計算A'!$D$93:$EQ$93,$DB29:$IO29,$IQ29:$OD29),SUMPRODUCT('計算A'!$D$93:$EQ$93,$DB29:$IO29))*1000+34)</f>
        <v/>
      </c>
      <c r="CP29">
        <f>IF(AV29=1,1000000,IF('計算A'!$IT$44&gt;0,0,500000)+IF('計算A'!$IQ$44=2,SUMPRODUCT('計算A'!$D$94:$EQ$94,$DB29:$IO29,$IQ29:$OD29),SUMPRODUCT('計算A'!$D$94:$EQ$94,$DB29:$IO29))*1000+35)</f>
        <v/>
      </c>
      <c r="CQ29">
        <f>IF(AW29=1,1000000,IF('計算A'!$IT$45&gt;0,0,500000)+IF('計算A'!$IQ$45=2,SUMPRODUCT('計算A'!$D$95:$EQ$95,$DB29:$IO29,$IQ29:$OD29),SUMPRODUCT('計算A'!$D$95:$EQ$95,$DB29:$IO29))*1000+36)</f>
        <v/>
      </c>
      <c r="CR29">
        <f>IF(AX29=1,1000000,IF('計算A'!$IT$46&gt;0,0,500000)+IF('計算A'!$IQ$46=2,SUMPRODUCT('計算A'!$D$96:$EQ$96,$DB29:$IO29,$IQ29:$OD29),SUMPRODUCT('計算A'!$D$96:$EQ$96,$DB29:$IO29))*1000+37)</f>
        <v/>
      </c>
      <c r="CS29">
        <f>IF(AY29=1,1000000,IF('計算A'!$IT$47&gt;0,0,500000)+IF('計算A'!$IQ$47=2,SUMPRODUCT('計算A'!$D$97:$EQ$97,$DB29:$IO29,$IQ29:$OD29),SUMPRODUCT('計算A'!$D$97:$EQ$97,$DB29:$IO29))*1000+38)</f>
        <v/>
      </c>
      <c r="CT29">
        <f>IF(AZ29=1,1000000,IF('計算A'!$IT$48&gt;0,0,500000)+IF('計算A'!$IQ$48=2,SUMPRODUCT('計算A'!$D$98:$EQ$98,$DB29:$IO29,$IQ29:$OD29),SUMPRODUCT('計算A'!$D$98:$EQ$98,$DB29:$IO29))*1000+39)</f>
        <v/>
      </c>
      <c r="CU29">
        <f>IF(BA29=1,1000000,IF('計算A'!$IT$49&gt;0,0,500000)+IF('計算A'!$IQ$49=2,SUMPRODUCT('計算A'!$D$99:$EQ$99,$DB29:$IO29,$IQ29:$OD29),SUMPRODUCT('計算A'!$D$99:$EQ$99,$DB29:$IO29))*1000+40)</f>
        <v/>
      </c>
      <c r="CV29">
        <f>IF(BB29=1,1000000,IF('計算A'!$IT$50&gt;0,0,500000)+IF('計算A'!$IQ$50=2,SUMPRODUCT('計算A'!$D$100:$EQ$100,$DB29:$IO29,$IQ29:$OD29),SUMPRODUCT('計算A'!$D$100:$EQ$100,$DB29:$IO29))*1000+41)</f>
        <v/>
      </c>
      <c r="CW29">
        <f>IF(BC29=1,1000000,IF('計算A'!$IT$51&gt;0,0,500000)+IF('計算A'!$IQ$51=2,SUMPRODUCT('計算A'!$D$101:$EQ$101,$DB29:$IO29,$IQ29:$OD29),SUMPRODUCT('計算A'!$D$101:$EQ$101,$DB29:$IO29))*1000+42)</f>
        <v/>
      </c>
      <c r="CX29">
        <f>IF(BD29=1,1000000,IF('計算A'!$IT$52&gt;0,0,500000)+IF('計算A'!$IQ$52=2,SUMPRODUCT('計算A'!$D$102:$EQ$102,$DB29:$IO29,$IQ29:$OD29),SUMPRODUCT('計算A'!$D$102:$EQ$102,$DB29:$IO29))*1000+43)</f>
        <v/>
      </c>
      <c r="CY29">
        <f>IF(BE29=1,1000000,IF('計算A'!$IT$53&gt;0,0,500000)+IF('計算A'!$IQ$53=2,SUMPRODUCT('計算A'!$D$103:$EQ$103,$DB29:$IO29,$IQ29:$OD29),SUMPRODUCT('計算A'!$D$103:$EQ$103,$DB29:$IO29))*1000+44)</f>
        <v/>
      </c>
      <c r="CZ29">
        <f>IF(BF29=1,1000000,IF('計算A'!$IT$54&gt;0,0,500000)+IF('計算A'!$IQ$54=2,SUMPRODUCT('計算A'!$D$104:$EQ$104,$DB29:$IO29,$IQ29:$OD29),SUMPRODUCT('計算A'!$D$104:$EQ$104,$DB29:$IO29))*1000+45)</f>
        <v/>
      </c>
      <c r="DB29">
        <f>DB28*IF(OR($C28=1,$G28=1),0,1)</f>
        <v/>
      </c>
      <c r="DC29">
        <f>DC28*IF(OR($C28=2,$G28=2),0,1)</f>
        <v/>
      </c>
      <c r="DD29">
        <f>DD28*IF(OR($C28=3,$G28=3),0,1)</f>
        <v/>
      </c>
      <c r="DE29">
        <f>DE28*IF(OR($C28=4,$G28=4),0,1)</f>
        <v/>
      </c>
      <c r="DF29">
        <f>DF28*IF(OR($C28=5,$G28=5),0,1)</f>
        <v/>
      </c>
      <c r="DG29">
        <f>DG28*IF(OR($C28=6,$G28=6),0,1)</f>
        <v/>
      </c>
      <c r="DH29">
        <f>DH28*IF(OR($C28=7,$G28=7),0,1)</f>
        <v/>
      </c>
      <c r="DI29">
        <f>DI28*IF(OR($C28=8,$G28=8),0,1)</f>
        <v/>
      </c>
      <c r="DJ29">
        <f>DJ28*IF(OR($C28=9,$G28=9),0,1)</f>
        <v/>
      </c>
      <c r="DK29">
        <f>DK28*IF(OR($C28=10,$G28=10),0,1)</f>
        <v/>
      </c>
      <c r="DL29">
        <f>DL28*IF(OR($C28=11,$G28=11),0,1)</f>
        <v/>
      </c>
      <c r="DM29">
        <f>DM28*IF(OR($C28=12,$G28=12),0,1)</f>
        <v/>
      </c>
      <c r="DN29">
        <f>DN28*IF(OR($C28=13,$G28=13),0,1)</f>
        <v/>
      </c>
      <c r="DO29">
        <f>DO28*IF(OR($C28=14,$G28=14),0,1)</f>
        <v/>
      </c>
      <c r="DP29">
        <f>DP28*IF(OR($C28=15,$G28=15),0,1)</f>
        <v/>
      </c>
      <c r="DQ29">
        <f>DQ28*IF(OR($C28=16,$G28=16),0,1)</f>
        <v/>
      </c>
      <c r="DR29">
        <f>DR28*IF(OR($C28=17,$G28=17),0,1)</f>
        <v/>
      </c>
      <c r="DS29">
        <f>DS28*IF(OR($C28=18,$G28=18),0,1)</f>
        <v/>
      </c>
      <c r="DT29">
        <f>DT28*IF(OR($C28=19,$G28=19),0,1)</f>
        <v/>
      </c>
      <c r="DU29">
        <f>DU28*IF(OR($C28=20,$G28=20),0,1)</f>
        <v/>
      </c>
      <c r="DV29">
        <f>DV28*IF(OR($C28=21,$G28=21),0,1)</f>
        <v/>
      </c>
      <c r="DW29">
        <f>DW28*IF(OR($C28=22,$G28=22),0,1)</f>
        <v/>
      </c>
      <c r="DX29">
        <f>DX28*IF(OR($C28=23,$G28=23),0,1)</f>
        <v/>
      </c>
      <c r="DY29">
        <f>DY28*IF(OR($C28=24,$G28=24),0,1)</f>
        <v/>
      </c>
      <c r="DZ29">
        <f>DZ28*IF(OR($C28=25,$G28=25),0,1)</f>
        <v/>
      </c>
      <c r="EA29">
        <f>EA28*IF(OR($C28=26,$G28=26),0,1)</f>
        <v/>
      </c>
      <c r="EB29">
        <f>EB28*IF(OR($C28=27,$G28=27),0,1)</f>
        <v/>
      </c>
      <c r="EC29">
        <f>EC28*IF(OR($C28=28,$G28=28),0,1)</f>
        <v/>
      </c>
      <c r="ED29">
        <f>ED28*IF(OR($C28=29,$G28=29),0,1)</f>
        <v/>
      </c>
      <c r="EE29">
        <f>EE28*IF(OR($C28=30,$G28=30),0,1)</f>
        <v/>
      </c>
      <c r="EF29">
        <f>EF28*IF(OR($C28=31,$G28=31),0,1)</f>
        <v/>
      </c>
      <c r="EG29">
        <f>EG28*IF(OR($C28=32,$G28=32),0,1)</f>
        <v/>
      </c>
      <c r="EH29">
        <f>EH28*IF(OR($C28=33,$G28=33),0,1)</f>
        <v/>
      </c>
      <c r="EI29">
        <f>EI28*IF(OR($C28=34,$G28=34),0,1)</f>
        <v/>
      </c>
      <c r="EJ29">
        <f>EJ28*IF(OR($C28=35,$G28=35),0,1)</f>
        <v/>
      </c>
      <c r="EK29">
        <f>EK28*IF(OR($C28=36,$G28=36),0,1)</f>
        <v/>
      </c>
      <c r="EL29">
        <f>EL28*IF(OR($C28=37,$G28=37),0,1)</f>
        <v/>
      </c>
      <c r="EM29">
        <f>EM28*IF(OR($C28=38,$G28=38),0,1)</f>
        <v/>
      </c>
      <c r="EN29">
        <f>EN28*IF(OR($C28=39,$G28=39),0,1)</f>
        <v/>
      </c>
      <c r="EO29">
        <f>EO28*IF(OR($C28=40,$G28=40),0,1)</f>
        <v/>
      </c>
      <c r="EP29">
        <f>EP28*IF(OR($C28=41,$G28=41),0,1)</f>
        <v/>
      </c>
      <c r="EQ29">
        <f>EQ28*IF(OR($C28=42,$G28=42),0,1)</f>
        <v/>
      </c>
      <c r="ER29">
        <f>ER28*IF(OR($C28=43,$G28=43),0,1)</f>
        <v/>
      </c>
      <c r="ES29">
        <f>ES28*IF(OR($C28=44,$G28=44),0,1)</f>
        <v/>
      </c>
      <c r="ET29">
        <f>ET28*IF(OR($C28=45,$G28=45),0,1)</f>
        <v/>
      </c>
      <c r="EU29">
        <f>EU28*IF(OR($C28=46,$G28=46),0,1)</f>
        <v/>
      </c>
      <c r="EV29">
        <f>EV28*IF(OR($C28=47,$G28=47),0,1)</f>
        <v/>
      </c>
      <c r="EW29">
        <f>EW28*IF(OR($C28=48,$G28=48),0,1)</f>
        <v/>
      </c>
      <c r="EX29">
        <f>EX28*IF(OR($C28=49,$G28=49),0,1)</f>
        <v/>
      </c>
      <c r="EY29">
        <f>EY28*IF(OR($C28=50,$G28=50),0,1)</f>
        <v/>
      </c>
      <c r="EZ29">
        <f>EZ28*IF(OR($C28=51,$G28=51),0,1)</f>
        <v/>
      </c>
      <c r="FA29">
        <f>FA28*IF(OR($C28=52,$G28=52),0,1)</f>
        <v/>
      </c>
      <c r="FB29">
        <f>FB28*IF(OR($C28=53,$G28=53),0,1)</f>
        <v/>
      </c>
      <c r="FC29">
        <f>FC28*IF(OR($C28=54,$G28=54),0,1)</f>
        <v/>
      </c>
      <c r="FD29">
        <f>FD28*IF(OR($C28=55,$G28=55),0,1)</f>
        <v/>
      </c>
      <c r="FE29">
        <f>FE28*IF(OR($C28=56,$G28=56),0,1)</f>
        <v/>
      </c>
      <c r="FF29">
        <f>FF28*IF(OR($C28=57,$G28=57),0,1)</f>
        <v/>
      </c>
      <c r="FG29">
        <f>FG28*IF(OR($C28=58,$G28=58),0,1)</f>
        <v/>
      </c>
      <c r="FH29">
        <f>FH28*IF(OR($C28=59,$G28=59),0,1)</f>
        <v/>
      </c>
      <c r="FI29">
        <f>FI28*IF(OR($C28=60,$G28=60),0,1)</f>
        <v/>
      </c>
      <c r="FJ29">
        <f>FJ28*IF(OR($C28=61,$G28=61),0,1)</f>
        <v/>
      </c>
      <c r="FK29">
        <f>FK28*IF(OR($C28=62,$G28=62),0,1)</f>
        <v/>
      </c>
      <c r="FL29">
        <f>FL28*IF(OR($C28=63,$G28=63),0,1)</f>
        <v/>
      </c>
      <c r="FM29">
        <f>FM28*IF(OR($C28=64,$G28=64),0,1)</f>
        <v/>
      </c>
      <c r="FN29">
        <f>FN28*IF(OR($C28=65,$G28=65),0,1)</f>
        <v/>
      </c>
      <c r="FO29">
        <f>FO28*IF(OR($C28=66,$G28=66),0,1)</f>
        <v/>
      </c>
      <c r="FP29">
        <f>FP28*IF(OR($C28=67,$G28=67),0,1)</f>
        <v/>
      </c>
      <c r="FQ29">
        <f>FQ28*IF(OR($C28=68,$G28=68),0,1)</f>
        <v/>
      </c>
      <c r="FR29">
        <f>FR28*IF(OR($C28=69,$G28=69),0,1)</f>
        <v/>
      </c>
      <c r="FS29">
        <f>FS28*IF(OR($C28=70,$G28=70),0,1)</f>
        <v/>
      </c>
      <c r="FT29">
        <f>FT28*IF(OR($C28=71,$G28=71),0,1)</f>
        <v/>
      </c>
      <c r="FU29">
        <f>FU28*IF(OR($C28=72,$G28=72),0,1)</f>
        <v/>
      </c>
      <c r="FV29">
        <f>FV28*IF(OR($C28=73,$G28=73),0,1)</f>
        <v/>
      </c>
      <c r="FW29">
        <f>FW28*IF(OR($C28=74,$G28=74),0,1)</f>
        <v/>
      </c>
      <c r="FX29">
        <f>FX28*IF(OR($C28=75,$G28=75),0,1)</f>
        <v/>
      </c>
      <c r="FY29">
        <f>FY28*IF(OR($C28=76,$G28=76),0,1)</f>
        <v/>
      </c>
      <c r="FZ29">
        <f>FZ28*IF(OR($C28=77,$G28=77),0,1)</f>
        <v/>
      </c>
      <c r="GA29">
        <f>GA28*IF(OR($C28=78,$G28=78),0,1)</f>
        <v/>
      </c>
      <c r="GB29">
        <f>GB28*IF(OR($C28=79,$G28=79),0,1)</f>
        <v/>
      </c>
      <c r="GC29">
        <f>GC28*IF(OR($C28=80,$G28=80),0,1)</f>
        <v/>
      </c>
      <c r="GD29">
        <f>GD28*IF(OR($C28=81,$G28=81),0,1)</f>
        <v/>
      </c>
      <c r="GE29">
        <f>GE28*IF(OR($C28=82,$G28=82),0,1)</f>
        <v/>
      </c>
      <c r="GF29">
        <f>GF28*IF(OR($C28=83,$G28=83),0,1)</f>
        <v/>
      </c>
      <c r="GG29">
        <f>GG28*IF(OR($C28=84,$G28=84),0,1)</f>
        <v/>
      </c>
      <c r="GH29">
        <f>GH28*IF(OR($C28=85,$G28=85),0,1)</f>
        <v/>
      </c>
      <c r="GI29">
        <f>GI28*IF(OR($C28=86,$G28=86),0,1)</f>
        <v/>
      </c>
      <c r="GJ29">
        <f>GJ28*IF(OR($C28=87,$G28=87),0,1)</f>
        <v/>
      </c>
      <c r="GK29">
        <f>GK28*IF(OR($C28=88,$G28=88),0,1)</f>
        <v/>
      </c>
      <c r="GL29">
        <f>GL28*IF(OR($C28=89,$G28=89),0,1)</f>
        <v/>
      </c>
      <c r="GM29">
        <f>GM28*IF(OR($C28=90,$G28=90),0,1)</f>
        <v/>
      </c>
      <c r="GN29">
        <f>GN28*IF(OR($C28=91,$G28=91),0,1)</f>
        <v/>
      </c>
      <c r="GO29">
        <f>GO28*IF(OR($C28=92,$G28=92),0,1)</f>
        <v/>
      </c>
      <c r="GP29">
        <f>GP28*IF(OR($C28=93,$G28=93),0,1)</f>
        <v/>
      </c>
      <c r="GQ29">
        <f>GQ28*IF(OR($C28=94,$G28=94),0,1)</f>
        <v/>
      </c>
      <c r="GR29">
        <f>GR28*IF(OR($C28=95,$G28=95),0,1)</f>
        <v/>
      </c>
      <c r="GS29">
        <f>GS28*IF(OR($C28=96,$G28=96),0,1)</f>
        <v/>
      </c>
      <c r="GT29">
        <f>GT28*IF(OR($C28=97,$G28=97),0,1)</f>
        <v/>
      </c>
      <c r="GU29">
        <f>GU28*IF(OR($C28=98,$G28=98),0,1)</f>
        <v/>
      </c>
      <c r="GV29">
        <f>GV28*IF(OR($C28=99,$G28=99),0,1)</f>
        <v/>
      </c>
      <c r="GW29">
        <f>GW28*IF(OR($C28=100,$G28=100),0,1)</f>
        <v/>
      </c>
      <c r="GX29">
        <f>GX28*IF(OR($C28=101,$G28=101),0,1)</f>
        <v/>
      </c>
      <c r="GY29">
        <f>GY28*IF(OR($C28=102,$G28=102),0,1)</f>
        <v/>
      </c>
      <c r="GZ29">
        <f>GZ28*IF(OR($C28=103,$G28=103),0,1)</f>
        <v/>
      </c>
      <c r="HA29">
        <f>HA28*IF(OR($C28=104,$G28=104),0,1)</f>
        <v/>
      </c>
      <c r="HB29">
        <f>HB28*IF(OR($C28=105,$G28=105),0,1)</f>
        <v/>
      </c>
      <c r="HC29">
        <f>HC28*IF(OR($C28=106,$G28=106),0,1)</f>
        <v/>
      </c>
      <c r="HD29">
        <f>HD28*IF(OR($C28=107,$G28=107),0,1)</f>
        <v/>
      </c>
      <c r="HE29">
        <f>HE28*IF(OR($C28=108,$G28=108),0,1)</f>
        <v/>
      </c>
      <c r="HF29">
        <f>HF28*IF(OR($C28=109,$G28=109),0,1)</f>
        <v/>
      </c>
      <c r="HG29">
        <f>HG28*IF(OR($C28=110,$G28=110),0,1)</f>
        <v/>
      </c>
      <c r="HH29">
        <f>HH28*IF(OR($C28=111,$G28=111),0,1)</f>
        <v/>
      </c>
      <c r="HI29">
        <f>HI28*IF(OR($C28=112,$G28=112),0,1)</f>
        <v/>
      </c>
      <c r="HJ29">
        <f>HJ28*IF(OR($C28=113,$G28=113),0,1)</f>
        <v/>
      </c>
      <c r="HK29">
        <f>HK28*IF(OR($C28=114,$G28=114),0,1)</f>
        <v/>
      </c>
      <c r="HL29">
        <f>HL28*IF(OR($C28=115,$G28=115),0,1)</f>
        <v/>
      </c>
      <c r="HM29">
        <f>HM28*IF(OR($C28=116,$G28=116),0,1)</f>
        <v/>
      </c>
      <c r="HN29">
        <f>HN28*IF(OR($C28=117,$G28=117),0,1)</f>
        <v/>
      </c>
      <c r="HO29">
        <f>HO28*IF(OR($C28=118,$G28=118),0,1)</f>
        <v/>
      </c>
      <c r="HP29">
        <f>HP28*IF(OR($C28=119,$G28=119),0,1)</f>
        <v/>
      </c>
      <c r="HQ29">
        <f>HQ28*IF(OR($C28=120,$G28=120),0,1)</f>
        <v/>
      </c>
      <c r="HR29">
        <f>HR28*IF(OR($C28=121,$G28=121),0,1)</f>
        <v/>
      </c>
      <c r="HS29">
        <f>HS28*IF(OR($C28=122,$G28=122),0,1)</f>
        <v/>
      </c>
      <c r="HT29">
        <f>HT28*IF(OR($C28=123,$G28=123),0,1)</f>
        <v/>
      </c>
      <c r="HU29">
        <f>HU28*IF(OR($C28=124,$G28=124),0,1)</f>
        <v/>
      </c>
      <c r="HV29">
        <f>HV28*IF(OR($C28=125,$G28=125),0,1)</f>
        <v/>
      </c>
      <c r="HW29">
        <f>HW28*IF(OR($C28=126,$G28=126),0,1)</f>
        <v/>
      </c>
      <c r="HX29">
        <f>HX28*IF(OR($C28=127,$G28=127),0,1)</f>
        <v/>
      </c>
      <c r="HY29">
        <f>HY28*IF(OR($C28=128,$G28=128),0,1)</f>
        <v/>
      </c>
      <c r="HZ29">
        <f>HZ28*IF(OR($C28=129,$G28=129),0,1)</f>
        <v/>
      </c>
      <c r="IA29">
        <f>IA28*IF(OR($C28=130,$G28=130),0,1)</f>
        <v/>
      </c>
      <c r="IB29">
        <f>IB28*IF(OR($C28=131,$G28=131),0,1)</f>
        <v/>
      </c>
      <c r="IC29">
        <f>IC28*IF(OR($C28=132,$G28=132),0,1)</f>
        <v/>
      </c>
      <c r="ID29">
        <f>ID28*IF(OR($C28=133,$G28=133),0,1)</f>
        <v/>
      </c>
      <c r="IE29">
        <f>IE28*IF(OR($C28=134,$G28=134),0,1)</f>
        <v/>
      </c>
      <c r="IF29">
        <f>IF28*IF(OR($C28=135,$G28=135),0,1)</f>
        <v/>
      </c>
      <c r="IG29">
        <f>IG28*IF(OR($C28=136,$G28=136),0,1)</f>
        <v/>
      </c>
      <c r="IH29">
        <f>IH28*IF(OR($C28=137,$G28=137),0,1)</f>
        <v/>
      </c>
      <c r="II29">
        <f>II28*IF(OR($C28=138,$G28=138),0,1)</f>
        <v/>
      </c>
      <c r="IJ29">
        <f>IJ28*IF(OR($C28=139,$G28=139),0,1)</f>
        <v/>
      </c>
      <c r="IK29">
        <f>IK28*IF(OR($C28=140,$G28=140),0,1)</f>
        <v/>
      </c>
      <c r="IL29">
        <f>IL28*IF(OR($C28=141,$G28=141),0,1)</f>
        <v/>
      </c>
      <c r="IM29">
        <f>IM28*IF(OR($C28=142,$G28=142),0,1)</f>
        <v/>
      </c>
      <c r="IN29">
        <f>IN28*IF(OR($C28=143,$G28=143),0,1)</f>
        <v/>
      </c>
      <c r="IO29">
        <f>IO28*IF(OR($C28=144,$G28=144),0,1)</f>
        <v/>
      </c>
      <c r="IQ29">
        <f>IF('計算A'!D$106=1,DC29,1)</f>
        <v/>
      </c>
      <c r="IR29">
        <f>IF('計算A'!E$106=1,DD29,1)</f>
        <v/>
      </c>
      <c r="IS29">
        <f>IF('計算A'!F$106=1,DE29,1)</f>
        <v/>
      </c>
      <c r="IT29">
        <f>IF('計算A'!G$106=1,DF29,1)</f>
        <v/>
      </c>
      <c r="IU29">
        <f>IF('計算A'!H$106=1,DG29,1)</f>
        <v/>
      </c>
      <c r="IV29">
        <f>IF('計算A'!I$106=1,DH29,1)</f>
        <v/>
      </c>
      <c r="IW29">
        <f>IF('計算A'!J$106=1,DI29,1)</f>
        <v/>
      </c>
      <c r="IX29">
        <f>IF('計算A'!K$106=1,DJ29,1)</f>
        <v/>
      </c>
      <c r="IY29">
        <f>IF('計算A'!L$106=1,DK29,1)</f>
        <v/>
      </c>
      <c r="IZ29">
        <f>IF('計算A'!M$106=1,DL29,1)</f>
        <v/>
      </c>
      <c r="JA29">
        <f>IF('計算A'!N$106=1,DM29,1)</f>
        <v/>
      </c>
      <c r="JB29">
        <f>IF('計算A'!O$106=1,DN29,1)</f>
        <v/>
      </c>
      <c r="JC29">
        <f>IF('計算A'!P$106=1,DO29,1)</f>
        <v/>
      </c>
      <c r="JD29">
        <f>IF('計算A'!Q$106=1,DP29,1)</f>
        <v/>
      </c>
      <c r="JE29">
        <f>IF('計算A'!R$106=1,DQ29,1)</f>
        <v/>
      </c>
      <c r="JF29">
        <f>IF('計算A'!S$106=1,DR29,1)</f>
        <v/>
      </c>
      <c r="JG29">
        <f>IF('計算A'!T$106=1,DS29,1)</f>
        <v/>
      </c>
      <c r="JH29">
        <f>IF('計算A'!U$106=1,DT29,1)</f>
        <v/>
      </c>
      <c r="JI29">
        <f>IF('計算A'!V$106=1,DU29,1)</f>
        <v/>
      </c>
      <c r="JJ29">
        <f>IF('計算A'!W$106=1,DV29,1)</f>
        <v/>
      </c>
      <c r="JK29">
        <f>IF('計算A'!X$106=1,DW29,1)</f>
        <v/>
      </c>
      <c r="JL29">
        <f>IF('計算A'!Y$106=1,DX29,1)</f>
        <v/>
      </c>
      <c r="JM29">
        <f>IF('計算A'!Z$106=1,DY29,1)</f>
        <v/>
      </c>
      <c r="JN29">
        <f>IF('計算A'!AA$106=1,DZ29,1)</f>
        <v/>
      </c>
      <c r="JO29">
        <f>IF('計算A'!AB$106=1,EA29,1)</f>
        <v/>
      </c>
      <c r="JP29">
        <f>IF('計算A'!AC$106=1,EB29,1)</f>
        <v/>
      </c>
      <c r="JQ29">
        <f>IF('計算A'!AD$106=1,EC29,1)</f>
        <v/>
      </c>
      <c r="JR29">
        <f>IF('計算A'!AE$106=1,ED29,1)</f>
        <v/>
      </c>
      <c r="JS29">
        <f>IF('計算A'!AF$106=1,EE29,1)</f>
        <v/>
      </c>
      <c r="JT29">
        <f>IF('計算A'!AG$106=1,EF29,1)</f>
        <v/>
      </c>
      <c r="JU29">
        <f>IF('計算A'!AH$106=1,EG29,1)</f>
        <v/>
      </c>
      <c r="JV29">
        <f>IF('計算A'!AI$106=1,EH29,1)</f>
        <v/>
      </c>
      <c r="JW29">
        <f>IF('計算A'!AJ$106=1,EI29,1)</f>
        <v/>
      </c>
      <c r="JX29">
        <f>IF('計算A'!AK$106=1,EJ29,1)</f>
        <v/>
      </c>
      <c r="JY29">
        <f>IF('計算A'!AL$106=1,EK29,1)</f>
        <v/>
      </c>
      <c r="JZ29">
        <f>IF('計算A'!AM$106=1,EL29,1)</f>
        <v/>
      </c>
      <c r="KA29">
        <f>IF('計算A'!AN$106=1,EM29,1)</f>
        <v/>
      </c>
      <c r="KB29">
        <f>IF('計算A'!AO$106=1,EN29,1)</f>
        <v/>
      </c>
      <c r="KC29">
        <f>IF('計算A'!AP$106=1,EO29,1)</f>
        <v/>
      </c>
      <c r="KD29">
        <f>IF('計算A'!AQ$106=1,EP29,1)</f>
        <v/>
      </c>
      <c r="KE29">
        <f>IF('計算A'!AR$106=1,EQ29,1)</f>
        <v/>
      </c>
      <c r="KF29">
        <f>IF('計算A'!AS$106=1,ER29,1)</f>
        <v/>
      </c>
      <c r="KG29">
        <f>IF('計算A'!AT$106=1,ES29,1)</f>
        <v/>
      </c>
      <c r="KH29">
        <f>IF('計算A'!AU$106=1,ET29,1)</f>
        <v/>
      </c>
      <c r="KI29">
        <f>IF('計算A'!AV$106=1,EU29,1)</f>
        <v/>
      </c>
      <c r="KJ29">
        <f>IF('計算A'!AW$106=1,EV29,1)</f>
        <v/>
      </c>
      <c r="KK29">
        <f>IF('計算A'!AX$106=1,EW29,1)</f>
        <v/>
      </c>
      <c r="KL29">
        <f>IF('計算A'!AY$106=1,EX29,1)</f>
        <v/>
      </c>
      <c r="KM29">
        <f>IF('計算A'!AZ$106=1,EY29,1)</f>
        <v/>
      </c>
      <c r="KN29">
        <f>IF('計算A'!BA$106=1,EZ29,1)</f>
        <v/>
      </c>
      <c r="KO29">
        <f>IF('計算A'!BB$106=1,FA29,1)</f>
        <v/>
      </c>
      <c r="KP29">
        <f>IF('計算A'!BC$106=1,FB29,1)</f>
        <v/>
      </c>
      <c r="KQ29">
        <f>IF('計算A'!BD$106=1,FC29,1)</f>
        <v/>
      </c>
      <c r="KR29">
        <f>IF('計算A'!BE$106=1,FD29,1)</f>
        <v/>
      </c>
      <c r="KS29">
        <f>IF('計算A'!BF$106=1,FE29,1)</f>
        <v/>
      </c>
      <c r="KT29">
        <f>IF('計算A'!BG$106=1,FF29,1)</f>
        <v/>
      </c>
      <c r="KU29">
        <f>IF('計算A'!BH$106=1,FG29,1)</f>
        <v/>
      </c>
      <c r="KV29">
        <f>IF('計算A'!BI$106=1,FH29,1)</f>
        <v/>
      </c>
      <c r="KW29">
        <f>IF('計算A'!BJ$106=1,FI29,1)</f>
        <v/>
      </c>
      <c r="KX29">
        <f>IF('計算A'!BK$106=1,FJ29,1)</f>
        <v/>
      </c>
      <c r="KY29">
        <f>IF('計算A'!BL$106=1,FK29,1)</f>
        <v/>
      </c>
      <c r="KZ29">
        <f>IF('計算A'!BM$106=1,FL29,1)</f>
        <v/>
      </c>
      <c r="LA29">
        <f>IF('計算A'!BN$106=1,FM29,1)</f>
        <v/>
      </c>
      <c r="LB29">
        <f>IF('計算A'!BO$106=1,FN29,1)</f>
        <v/>
      </c>
      <c r="LC29">
        <f>IF('計算A'!BP$106=1,FO29,1)</f>
        <v/>
      </c>
      <c r="LD29">
        <f>IF('計算A'!BQ$106=1,FP29,1)</f>
        <v/>
      </c>
      <c r="LE29">
        <f>IF('計算A'!BR$106=1,FQ29,1)</f>
        <v/>
      </c>
      <c r="LF29">
        <f>IF('計算A'!BS$106=1,FR29,1)</f>
        <v/>
      </c>
      <c r="LG29">
        <f>IF('計算A'!BT$106=1,FS29,1)</f>
        <v/>
      </c>
      <c r="LH29">
        <f>IF('計算A'!BU$106=1,FT29,1)</f>
        <v/>
      </c>
      <c r="LI29">
        <f>IF('計算A'!BV$106=1,FU29,1)</f>
        <v/>
      </c>
      <c r="LJ29">
        <f>IF('計算A'!BW$106=1,FV29,1)</f>
        <v/>
      </c>
      <c r="LK29">
        <f>IF('計算A'!BX$106=1,FW29,1)</f>
        <v/>
      </c>
      <c r="LL29">
        <f>IF('計算A'!BY$106=1,FX29,1)</f>
        <v/>
      </c>
      <c r="LM29">
        <f>IF('計算A'!BZ$106=1,FY29,1)</f>
        <v/>
      </c>
      <c r="LN29">
        <f>IF('計算A'!CA$106=1,FZ29,1)</f>
        <v/>
      </c>
      <c r="LO29">
        <f>IF('計算A'!CB$106=1,GA29,1)</f>
        <v/>
      </c>
      <c r="LP29">
        <f>IF('計算A'!CC$106=1,GB29,1)</f>
        <v/>
      </c>
      <c r="LQ29">
        <f>IF('計算A'!CD$106=1,GC29,1)</f>
        <v/>
      </c>
      <c r="LR29">
        <f>IF('計算A'!CE$106=1,GD29,1)</f>
        <v/>
      </c>
      <c r="LS29">
        <f>IF('計算A'!CF$106=1,GE29,1)</f>
        <v/>
      </c>
      <c r="LT29">
        <f>IF('計算A'!CG$106=1,GF29,1)</f>
        <v/>
      </c>
      <c r="LU29">
        <f>IF('計算A'!CH$106=1,GG29,1)</f>
        <v/>
      </c>
      <c r="LV29">
        <f>IF('計算A'!CI$106=1,GH29,1)</f>
        <v/>
      </c>
      <c r="LW29">
        <f>IF('計算A'!CJ$106=1,GI29,1)</f>
        <v/>
      </c>
      <c r="LX29">
        <f>IF('計算A'!CK$106=1,GJ29,1)</f>
        <v/>
      </c>
      <c r="LY29">
        <f>IF('計算A'!CL$106=1,GK29,1)</f>
        <v/>
      </c>
      <c r="LZ29">
        <f>IF('計算A'!CM$106=1,GL29,1)</f>
        <v/>
      </c>
      <c r="MA29">
        <f>IF('計算A'!CN$106=1,GM29,1)</f>
        <v/>
      </c>
      <c r="MB29">
        <f>IF('計算A'!CO$106=1,GN29,1)</f>
        <v/>
      </c>
      <c r="MC29">
        <f>IF('計算A'!CP$106=1,GO29,1)</f>
        <v/>
      </c>
      <c r="MD29">
        <f>IF('計算A'!CQ$106=1,GP29,1)</f>
        <v/>
      </c>
      <c r="ME29">
        <f>IF('計算A'!CR$106=1,GQ29,1)</f>
        <v/>
      </c>
      <c r="MF29">
        <f>IF('計算A'!CS$106=1,GR29,1)</f>
        <v/>
      </c>
      <c r="MG29">
        <f>IF('計算A'!CT$106=1,GS29,1)</f>
        <v/>
      </c>
      <c r="MH29">
        <f>IF('計算A'!CU$106=1,GT29,1)</f>
        <v/>
      </c>
      <c r="MI29">
        <f>IF('計算A'!CV$106=1,GU29,1)</f>
        <v/>
      </c>
      <c r="MJ29">
        <f>IF('計算A'!CW$106=1,GV29,1)</f>
        <v/>
      </c>
      <c r="MK29">
        <f>IF('計算A'!CX$106=1,GW29,1)</f>
        <v/>
      </c>
      <c r="ML29">
        <f>IF('計算A'!CY$106=1,GX29,1)</f>
        <v/>
      </c>
      <c r="MM29">
        <f>IF('計算A'!CZ$106=1,GY29,1)</f>
        <v/>
      </c>
      <c r="MN29">
        <f>IF('計算A'!DA$106=1,GZ29,1)</f>
        <v/>
      </c>
      <c r="MO29">
        <f>IF('計算A'!DB$106=1,HA29,1)</f>
        <v/>
      </c>
      <c r="MP29">
        <f>IF('計算A'!DC$106=1,HB29,1)</f>
        <v/>
      </c>
      <c r="MQ29">
        <f>IF('計算A'!DD$106=1,HC29,1)</f>
        <v/>
      </c>
      <c r="MR29">
        <f>IF('計算A'!DE$106=1,HD29,1)</f>
        <v/>
      </c>
      <c r="MS29">
        <f>IF('計算A'!DF$106=1,HE29,1)</f>
        <v/>
      </c>
      <c r="MT29">
        <f>IF('計算A'!DG$106=1,HF29,1)</f>
        <v/>
      </c>
      <c r="MU29">
        <f>IF('計算A'!DH$106=1,HG29,1)</f>
        <v/>
      </c>
      <c r="MV29">
        <f>IF('計算A'!DI$106=1,HH29,1)</f>
        <v/>
      </c>
      <c r="MW29">
        <f>IF('計算A'!DJ$106=1,HI29,1)</f>
        <v/>
      </c>
      <c r="MX29">
        <f>IF('計算A'!DK$106=1,HJ29,1)</f>
        <v/>
      </c>
      <c r="MY29">
        <f>IF('計算A'!DL$106=1,HK29,1)</f>
        <v/>
      </c>
      <c r="MZ29">
        <f>IF('計算A'!DM$106=1,HL29,1)</f>
        <v/>
      </c>
      <c r="NA29">
        <f>IF('計算A'!DN$106=1,HM29,1)</f>
        <v/>
      </c>
      <c r="NB29">
        <f>IF('計算A'!DO$106=1,HN29,1)</f>
        <v/>
      </c>
      <c r="NC29">
        <f>IF('計算A'!DP$106=1,HO29,1)</f>
        <v/>
      </c>
      <c r="ND29">
        <f>IF('計算A'!DQ$106=1,HP29,1)</f>
        <v/>
      </c>
      <c r="NE29">
        <f>IF('計算A'!DR$106=1,HQ29,1)</f>
        <v/>
      </c>
      <c r="NF29">
        <f>IF('計算A'!DS$106=1,HR29,1)</f>
        <v/>
      </c>
      <c r="NG29">
        <f>IF('計算A'!DT$106=1,HS29,1)</f>
        <v/>
      </c>
      <c r="NH29">
        <f>IF('計算A'!DU$106=1,HT29,1)</f>
        <v/>
      </c>
      <c r="NI29">
        <f>IF('計算A'!DV$106=1,HU29,1)</f>
        <v/>
      </c>
      <c r="NJ29">
        <f>IF('計算A'!DW$106=1,HV29,1)</f>
        <v/>
      </c>
      <c r="NK29">
        <f>IF('計算A'!DX$106=1,HW29,1)</f>
        <v/>
      </c>
      <c r="NL29">
        <f>IF('計算A'!DY$106=1,HX29,1)</f>
        <v/>
      </c>
      <c r="NM29">
        <f>IF('計算A'!DZ$106=1,HY29,1)</f>
        <v/>
      </c>
      <c r="NN29">
        <f>IF('計算A'!EA$106=1,HZ29,1)</f>
        <v/>
      </c>
      <c r="NO29">
        <f>IF('計算A'!EB$106=1,IA29,1)</f>
        <v/>
      </c>
      <c r="NP29">
        <f>IF('計算A'!EC$106=1,IB29,1)</f>
        <v/>
      </c>
      <c r="NQ29">
        <f>IF('計算A'!ED$106=1,IC29,1)</f>
        <v/>
      </c>
      <c r="NR29">
        <f>IF('計算A'!EE$106=1,ID29,1)</f>
        <v/>
      </c>
      <c r="NS29">
        <f>IF('計算A'!EF$106=1,IE29,1)</f>
        <v/>
      </c>
      <c r="NT29">
        <f>IF('計算A'!EG$106=1,IF29,1)</f>
        <v/>
      </c>
      <c r="NU29">
        <f>IF('計算A'!EH$106=1,IG29,1)</f>
        <v/>
      </c>
      <c r="NV29">
        <f>IF('計算A'!EI$106=1,IH29,1)</f>
        <v/>
      </c>
      <c r="NW29">
        <f>IF('計算A'!EJ$106=1,II29,1)</f>
        <v/>
      </c>
      <c r="NX29">
        <f>IF('計算A'!EK$106=1,IJ29,1)</f>
        <v/>
      </c>
      <c r="NY29">
        <f>IF('計算A'!EL$106=1,IK29,1)</f>
        <v/>
      </c>
      <c r="NZ29">
        <f>IF('計算A'!EM$106=1,IL29,1)</f>
        <v/>
      </c>
      <c r="OA29">
        <f>IF('計算A'!EN$106=1,IM29,1)</f>
        <v/>
      </c>
      <c r="OB29">
        <f>IF('計算A'!EO$106=1,IN29,1)</f>
        <v/>
      </c>
      <c r="OC29">
        <f>IF('計算A'!EP$106=1,IO29,1)</f>
        <v/>
      </c>
      <c r="OD29" t="n">
        <v>1</v>
      </c>
      <c r="OF29">
        <f>IF($B29=0,1000000,IF(INDEX('計算A'!$D$60:$EQ$104,$B29,1)*DB29=1,IF(AND($E29=2,IQ29=0),1000000,IF($I29&gt;0,IF(1=$J29,IF(OR(AND(1=$I29+1,OR($K29&lt;&gt;'計算A'!$A$3,'計算A'!$A$4=0)),AND(1=$I29-1,OR(1&lt;&gt;'計算A'!$A$3,'計算A'!$A$4=0))),0,IF(1=$K29,200000,ABS(1-$K29)*100)),100000+ABS(1-$J29)*1000+10)+'計算A'!D$5*50+IF(AND($E29=1,IQ29=0),25,0),IF($F29&gt;0,INDEX('計算A'!D$110:D$114,$F29+1)+IF(AND($E29=1,IQ29=0),1000,0),MIN(TU29,20)*400+(IF('計算A'!D$106=1,1-DC29,0))*150+11+'計算A'!D$5*100000+IF(AND($E29=1,IQ29=0),50000,0))+IF($H29=1,(IF('計算A'!D$117=1,INDEX('計算A'!E$10:E$54,$B29),0))*4000,0)-IF(AND($L29=1,'計算A'!D$117=1,DC29=0),2000,0))),1000000))</f>
        <v/>
      </c>
      <c r="OG29">
        <f>IF($B29=0,1000000,IF(INDEX('計算A'!$D$60:$EQ$104,$B29,2)*DC29=1,IF(AND($E29=2,IR29=0),1000000,IF($I29&gt;0,IF(1=$J29,IF(OR(AND(2=$I29+1,OR($K29&lt;&gt;'計算A'!$A$3,'計算A'!$A$4=0)),AND(2=$I29-1,OR(2&lt;&gt;'計算A'!$A$3,'計算A'!$A$4=0))),0,IF(2=$K29,200000,ABS(2-$K29)*100)),100000+ABS(1-$J29)*1000+20)+'計算A'!E$5*50+IF(AND($E29=1,IR29=0),25,0),IF($F29&gt;0,INDEX('計算A'!E$110:E$114,$F29+1)+IF(AND($E29=1,IR29=0),1000,0),MIN(TU29,20)*400+(IF('計算A'!D$106=1,1-DB29,0)+IF('計算A'!E$106=1,1-DD29,0))*150+21+'計算A'!E$5*100000+IF(AND($E29=1,IR29=0),50000,0))+IF($H29=1,(IF('計算A'!D$117=1,INDEX('計算A'!D$10:D$54,$B29),0)+IF('計算A'!E$117=1,INDEX('計算A'!F$10:F$54,$B29),0))*4000,0)-IF(AND('計算A'!D$117=1,UB29&gt;0),2000,0)-IF(AND($L29=1,'計算A'!E$117=1,DD29=0),2000,0))),1000000))</f>
        <v/>
      </c>
      <c r="OH29">
        <f>IF($B29=0,1000000,IF(INDEX('計算A'!$D$60:$EQ$104,$B29,3)*DD29=1,IF(AND($E29=2,IS29=0),1000000,IF($I29&gt;0,IF(1=$J29,IF(OR(AND(3=$I29+1,OR($K29&lt;&gt;'計算A'!$A$3,'計算A'!$A$4=0)),AND(3=$I29-1,OR(3&lt;&gt;'計算A'!$A$3,'計算A'!$A$4=0))),0,IF(3=$K29,200000,ABS(3-$K29)*100)),100000+ABS(1-$J29)*1000+30)+'計算A'!F$5*50+IF(AND($E29=1,IS29=0),25,0),IF($F29&gt;0,INDEX('計算A'!F$110:F$114,$F29+1)+IF(AND($E29=1,IS29=0),1000,0),MIN(TU29,20)*400+(IF('計算A'!E$106=1,1-DC29,0)+IF('計算A'!F$106=1,1-DE29,0))*150+31+'計算A'!F$5*100000+IF(AND($E29=1,IS29=0),50000,0))+IF($H29=1,(IF('計算A'!E$117=1,INDEX('計算A'!E$10:E$54,$B29),0)+IF('計算A'!F$117=1,INDEX('計算A'!G$10:G$54,$B29),0))*4000,0)-IF(AND('計算A'!E$117=1,UC29&gt;0),2000,0)-IF(AND($L29=1,'計算A'!F$117=1,DE29=0),2000,0))),1000000))</f>
        <v/>
      </c>
      <c r="OI29">
        <f>IF($B29=0,1000000,IF(INDEX('計算A'!$D$60:$EQ$104,$B29,4)*DE29=1,IF(AND($E29=2,IT29=0),1000000,IF($I29&gt;0,IF(1=$J29,IF(OR(AND(4=$I29+1,OR($K29&lt;&gt;'計算A'!$A$3,'計算A'!$A$4=0)),AND(4=$I29-1,OR(4&lt;&gt;'計算A'!$A$3,'計算A'!$A$4=0))),0,IF(4=$K29,200000,ABS(4-$K29)*100)),100000+ABS(1-$J29)*1000+40)+'計算A'!G$5*50+IF(AND($E29=1,IT29=0),25,0),IF($F29&gt;0,INDEX('計算A'!G$110:G$114,$F29+1)+IF(AND($E29=1,IT29=0),1000,0),MIN(TU29,20)*400+(IF('計算A'!F$106=1,1-DD29,0)+IF('計算A'!G$106=1,1-DF29,0))*150+41+'計算A'!G$5*100000+IF(AND($E29=1,IT29=0),50000,0))+IF($H29=1,(IF('計算A'!F$117=1,INDEX('計算A'!F$10:F$54,$B29),0)+IF('計算A'!G$117=1,INDEX('計算A'!H$10:H$54,$B29),0))*4000,0)-IF(AND('計算A'!F$117=1,UD29&gt;0),2000,0)-IF(AND($L29=1,'計算A'!G$117=1,DF29=0),2000,0))),1000000))</f>
        <v/>
      </c>
      <c r="OJ29">
        <f>IF($B29=0,1000000,IF(INDEX('計算A'!$D$60:$EQ$104,$B29,5)*DF29=1,IF(AND($E29=2,IU29=0),1000000,IF($I29&gt;0,IF(1=$J29,IF(OR(AND(5=$I29+1,OR($K29&lt;&gt;'計算A'!$A$3,'計算A'!$A$4=0)),AND(5=$I29-1,OR(5&lt;&gt;'計算A'!$A$3,'計算A'!$A$4=0))),0,IF(5=$K29,200000,ABS(5-$K29)*100)),100000+ABS(1-$J29)*1000+50)+'計算A'!H$5*50+IF(AND($E29=1,IU29=0),25,0),IF($F29&gt;0,INDEX('計算A'!H$110:H$114,$F29+1)+IF(AND($E29=1,IU29=0),1000,0),MIN(TU29,20)*400+(IF('計算A'!G$106=1,1-DE29,0)+IF('計算A'!H$106=1,1-DG29,0))*150+51+'計算A'!H$5*100000+IF(AND($E29=1,IU29=0),50000,0))+IF($H29=1,(IF('計算A'!G$117=1,INDEX('計算A'!G$10:G$54,$B29),0)+IF('計算A'!H$117=1,INDEX('計算A'!I$10:I$54,$B29),0))*4000,0)-IF(AND('計算A'!G$117=1,UE29&gt;0),2000,0)-IF(AND($L29=1,'計算A'!H$117=1,DG29=0),2000,0))),1000000))</f>
        <v/>
      </c>
      <c r="OK29">
        <f>IF($B29=0,1000000,IF(INDEX('計算A'!$D$60:$EQ$104,$B29,6)*DG29=1,IF(AND($E29=2,IV29=0),1000000,IF($I29&gt;0,IF(1=$J29,IF(OR(AND(6=$I29+1,OR($K29&lt;&gt;'計算A'!$A$3,'計算A'!$A$4=0)),AND(6=$I29-1,OR(6&lt;&gt;'計算A'!$A$3,'計算A'!$A$4=0))),0,IF(6=$K29,200000,ABS(6-$K29)*100)),100000+ABS(1-$J29)*1000+60)+'計算A'!I$5*50+IF(AND($E29=1,IV29=0),25,0),IF($F29&gt;0,INDEX('計算A'!I$110:I$114,$F29+1)+IF(AND($E29=1,IV29=0),1000,0),MIN(TU29,20)*400+(IF('計算A'!H$106=1,1-DF29,0)+IF('計算A'!I$106=1,1-DH29,0))*150+61+'計算A'!I$5*100000+IF(AND($E29=1,IV29=0),50000,0))+IF($H29=1,(IF('計算A'!H$117=1,INDEX('計算A'!H$10:H$54,$B29),0)+IF('計算A'!I$117=1,INDEX('計算A'!J$10:J$54,$B29),0))*4000,0)-IF(AND('計算A'!H$117=1,UF29&gt;0),2000,0)-IF(AND($L29=1,'計算A'!I$117=1,DH29=0),2000,0))),1000000))</f>
        <v/>
      </c>
      <c r="OL29">
        <f>IF($B29=0,1000000,IF(INDEX('計算A'!$D$60:$EQ$104,$B29,7)*DH29=1,IF(AND($E29=2,IW29=0),1000000,IF($I29&gt;0,IF(1=$J29,IF(OR(AND(7=$I29+1,OR($K29&lt;&gt;'計算A'!$A$3,'計算A'!$A$4=0)),AND(7=$I29-1,OR(7&lt;&gt;'計算A'!$A$3,'計算A'!$A$4=0))),0,IF(7=$K29,200000,ABS(7-$K29)*100)),100000+ABS(1-$J29)*1000+70)+'計算A'!J$5*50+IF(AND($E29=1,IW29=0),25,0),IF($F29&gt;0,INDEX('計算A'!J$110:J$114,$F29+1)+IF(AND($E29=1,IW29=0),1000,0),MIN(TU29,20)*400+(IF('計算A'!I$106=1,1-DG29,0)+IF('計算A'!J$106=1,1-DI29,0))*150+71+'計算A'!J$5*100000+IF(AND($E29=1,IW29=0),50000,0))+IF($H29=1,(IF('計算A'!I$117=1,INDEX('計算A'!I$10:I$54,$B29),0)+IF('計算A'!J$117=1,INDEX('計算A'!K$10:K$54,$B29),0))*4000,0)-IF(AND('計算A'!I$117=1,UG29&gt;0),2000,0)-IF(AND($L29=1,'計算A'!J$117=1,DI29=0),2000,0))),1000000))</f>
        <v/>
      </c>
      <c r="OM29">
        <f>IF($B29=0,1000000,IF(INDEX('計算A'!$D$60:$EQ$104,$B29,8)*DI29=1,IF(AND($E29=2,IX29=0),1000000,IF($I29&gt;0,IF(1=$J29,IF(OR(AND(8=$I29+1,OR($K29&lt;&gt;'計算A'!$A$3,'計算A'!$A$4=0)),AND(8=$I29-1,OR(8&lt;&gt;'計算A'!$A$3,'計算A'!$A$4=0))),0,IF(8=$K29,200000,ABS(8-$K29)*100)),100000+ABS(1-$J29)*1000+80)+'計算A'!K$5*50+IF(AND($E29=1,IX29=0),25,0),IF($F29&gt;0,INDEX('計算A'!K$110:K$114,$F29+1)+IF(AND($E29=1,IX29=0),1000,0),MIN(TU29,20)*400+(IF('計算A'!J$106=1,1-DH29,0)+IF('計算A'!K$106=1,1-DJ29,0))*150+81+'計算A'!K$5*100000+IF(AND($E29=1,IX29=0),50000,0))+IF($H29=1,(IF('計算A'!J$117=1,INDEX('計算A'!J$10:J$54,$B29),0)+IF('計算A'!K$117=1,INDEX('計算A'!L$10:L$54,$B29),0))*4000,0)-IF(AND('計算A'!J$117=1,UH29&gt;0),2000,0)-IF(AND($L29=1,'計算A'!K$117=1,DJ29=0),2000,0))),1000000))</f>
        <v/>
      </c>
      <c r="ON29">
        <f>IF($B29=0,1000000,IF(INDEX('計算A'!$D$60:$EQ$104,$B29,9)*DJ29=1,IF(AND($E29=2,IY29=0),1000000,IF($I29&gt;0,IF(1=$J29,IF(OR(AND(9=$I29+1,OR($K29&lt;&gt;'計算A'!$A$3,'計算A'!$A$4=0)),AND(9=$I29-1,OR(9&lt;&gt;'計算A'!$A$3,'計算A'!$A$4=0))),0,IF(9=$K29,200000,ABS(9-$K29)*100)),100000+ABS(1-$J29)*1000+90)+'計算A'!L$5*50+IF(AND($E29=1,IY29=0),25,0),IF($F29&gt;0,INDEX('計算A'!L$110:L$114,$F29+1)+IF(AND($E29=1,IY29=0),1000,0),MIN(TU29,20)*400+(IF('計算A'!K$106=1,1-DI29,0)+IF('計算A'!L$106=1,1-DK29,0))*150+91+'計算A'!L$5*100000+IF(AND($E29=1,IY29=0),50000,0))+IF($H29=1,(IF('計算A'!K$117=1,INDEX('計算A'!K$10:K$54,$B29),0)+IF('計算A'!L$117=1,INDEX('計算A'!M$10:M$54,$B29),0))*4000,0)-IF(AND('計算A'!K$117=1,UI29&gt;0),2000,0)-IF(AND($L29=1,'計算A'!L$117=1,DK29=0),2000,0))),1000000))</f>
        <v/>
      </c>
      <c r="OO29">
        <f>IF($B29=0,1000000,IF(INDEX('計算A'!$D$60:$EQ$104,$B29,10)*DK29=1,IF(AND($E29=2,IZ29=0),1000000,IF($I29&gt;0,IF(1=$J29,IF(OR(AND(10=$I29+1,OR($K29&lt;&gt;'計算A'!$A$3,'計算A'!$A$4=0)),AND(10=$I29-1,OR(10&lt;&gt;'計算A'!$A$3,'計算A'!$A$4=0))),0,IF(10=$K29,200000,ABS(10-$K29)*100)),100000+ABS(1-$J29)*1000+100)+'計算A'!M$5*50+IF(AND($E29=1,IZ29=0),25,0),IF($F29&gt;0,INDEX('計算A'!M$110:M$114,$F29+1)+IF(AND($E29=1,IZ29=0),1000,0),MIN(TU29,20)*400+(IF('計算A'!L$106=1,1-DJ29,0)+IF('計算A'!M$106=1,1-DL29,0))*150+101+'計算A'!M$5*100000+IF(AND($E29=1,IZ29=0),50000,0))+IF($H29=1,(IF('計算A'!L$117=1,INDEX('計算A'!L$10:L$54,$B29),0)+IF('計算A'!M$117=1,INDEX('計算A'!N$10:N$54,$B29),0))*4000,0)-IF(AND('計算A'!L$117=1,UJ29&gt;0),2000,0)-IF(AND($L29=1,'計算A'!M$117=1,DL29=0),2000,0))),1000000))</f>
        <v/>
      </c>
      <c r="OP29">
        <f>IF($B29=0,1000000,IF(INDEX('計算A'!$D$60:$EQ$104,$B29,11)*DL29=1,IF(AND($E29=2,JA29=0),1000000,IF($I29&gt;0,IF(1=$J29,IF(OR(AND(11=$I29+1,OR($K29&lt;&gt;'計算A'!$A$3,'計算A'!$A$4=0)),AND(11=$I29-1,OR(11&lt;&gt;'計算A'!$A$3,'計算A'!$A$4=0))),0,IF(11=$K29,200000,ABS(11-$K29)*100)),100000+ABS(1-$J29)*1000+110)+'計算A'!N$5*50+IF(AND($E29=1,JA29=0),25,0),IF($F29&gt;0,INDEX('計算A'!N$110:N$114,$F29+1)+IF(AND($E29=1,JA29=0),1000,0),MIN(TU29,20)*400+(IF('計算A'!M$106=1,1-DK29,0)+IF('計算A'!N$106=1,1-DM29,0))*150+111+'計算A'!N$5*100000+IF(AND($E29=1,JA29=0),50000,0))+IF($H29=1,(IF('計算A'!M$117=1,INDEX('計算A'!M$10:M$54,$B29),0)+IF('計算A'!N$117=1,INDEX('計算A'!O$10:O$54,$B29),0))*4000,0)-IF(AND('計算A'!M$117=1,UK29&gt;0),2000,0)-IF(AND($L29=1,'計算A'!N$117=1,DM29=0),2000,0))),1000000))</f>
        <v/>
      </c>
      <c r="OQ29">
        <f>IF($B29=0,1000000,IF(INDEX('計算A'!$D$60:$EQ$104,$B29,12)*DM29=1,IF(AND($E29=2,JB29=0),1000000,IF($I29&gt;0,IF(1=$J29,IF(OR(AND(12=$I29+1,OR($K29&lt;&gt;'計算A'!$A$3,'計算A'!$A$4=0)),AND(12=$I29-1,OR(12&lt;&gt;'計算A'!$A$3,'計算A'!$A$4=0))),0,IF(12=$K29,200000,ABS(12-$K29)*100)),100000+ABS(1-$J29)*1000+120)+'計算A'!O$5*50+IF(AND($E29=1,JB29=0),25,0),IF($F29&gt;0,INDEX('計算A'!O$110:O$114,$F29+1)+IF(AND($E29=1,JB29=0),1000,0),MIN(TU29,20)*400+(IF('計算A'!N$106=1,1-DL29,0)+IF('計算A'!O$106=1,1-DN29,0))*150+121+'計算A'!O$5*100000+IF(AND($E29=1,JB29=0),50000,0))+IF($H29=1,(IF('計算A'!N$117=1,INDEX('計算A'!N$10:N$54,$B29),0)+IF('計算A'!O$117=1,INDEX('計算A'!P$10:P$54,$B29),0))*4000,0)-IF(AND('計算A'!N$117=1,UL29&gt;0),2000,0)-IF(AND($L29=1,'計算A'!O$117=1,DN29=0),2000,0))),1000000))</f>
        <v/>
      </c>
      <c r="OR29">
        <f>IF($B29=0,1000000,IF(INDEX('計算A'!$D$60:$EQ$104,$B29,13)*DN29=1,IF(AND($E29=2,JC29=0),1000000,IF($I29&gt;0,IF(1=$J29,IF(OR(AND(13=$I29+1,OR($K29&lt;&gt;'計算A'!$A$3,'計算A'!$A$4=0)),AND(13=$I29-1,OR(13&lt;&gt;'計算A'!$A$3,'計算A'!$A$4=0))),0,IF(13=$K29,200000,ABS(13-$K29)*100)),100000+ABS(1-$J29)*1000+130)+'計算A'!P$5*50+IF(AND($E29=1,JC29=0),25,0),IF($F29&gt;0,INDEX('計算A'!P$110:P$114,$F29+1)+IF(AND($E29=1,JC29=0),1000,0),MIN(TU29,20)*400+(IF('計算A'!O$106=1,1-DM29,0)+IF('計算A'!P$106=1,1-DO29,0))*150+131+'計算A'!P$5*100000+IF(AND($E29=1,JC29=0),50000,0))+IF($H29=1,(IF('計算A'!O$117=1,INDEX('計算A'!O$10:O$54,$B29),0)+IF('計算A'!P$117=1,INDEX('計算A'!Q$10:Q$54,$B29),0))*4000,0)-IF(AND('計算A'!O$117=1,UM29&gt;0),2000,0)-IF(AND($L29=1,'計算A'!P$117=1,DO29=0),2000,0))),1000000))</f>
        <v/>
      </c>
      <c r="OS29">
        <f>IF($B29=0,1000000,IF(INDEX('計算A'!$D$60:$EQ$104,$B29,14)*DO29=1,IF(AND($E29=2,JD29=0),1000000,IF($I29&gt;0,IF(1=$J29,IF(OR(AND(14=$I29+1,OR($K29&lt;&gt;'計算A'!$A$3,'計算A'!$A$4=0)),AND(14=$I29-1,OR(14&lt;&gt;'計算A'!$A$3,'計算A'!$A$4=0))),0,IF(14=$K29,200000,ABS(14-$K29)*100)),100000+ABS(1-$J29)*1000+140)+'計算A'!Q$5*50+IF(AND($E29=1,JD29=0),25,0),IF($F29&gt;0,INDEX('計算A'!Q$110:Q$114,$F29+1)+IF(AND($E29=1,JD29=0),1000,0),MIN(TU29,20)*400+(IF('計算A'!P$106=1,1-DN29,0)+IF('計算A'!Q$106=1,1-DP29,0))*150+141+'計算A'!Q$5*100000+IF(AND($E29=1,JD29=0),50000,0))+IF($H29=1,(IF('計算A'!P$117=1,INDEX('計算A'!P$10:P$54,$B29),0)+IF('計算A'!Q$117=1,INDEX('計算A'!R$10:R$54,$B29),0))*4000,0)-IF(AND('計算A'!P$117=1,UN29&gt;0),2000,0)-IF(AND($L29=1,'計算A'!Q$117=1,DP29=0),2000,0))),1000000))</f>
        <v/>
      </c>
      <c r="OT29">
        <f>IF($B29=0,1000000,IF(INDEX('計算A'!$D$60:$EQ$104,$B29,15)*DP29=1,IF(AND($E29=2,JE29=0),1000000,IF($I29&gt;0,IF(1=$J29,IF(OR(AND(15=$I29+1,OR($K29&lt;&gt;'計算A'!$A$3,'計算A'!$A$4=0)),AND(15=$I29-1,OR(15&lt;&gt;'計算A'!$A$3,'計算A'!$A$4=0))),0,IF(15=$K29,200000,ABS(15-$K29)*100)),100000+ABS(1-$J29)*1000+150)+'計算A'!R$5*50+IF(AND($E29=1,JE29=0),25,0),IF($F29&gt;0,INDEX('計算A'!R$110:R$114,$F29+1)+IF(AND($E29=1,JE29=0),1000,0),MIN(TU29,20)*400+(IF('計算A'!Q$106=1,1-DO29,0)+IF('計算A'!R$106=1,1-DQ29,0))*150+151+'計算A'!R$5*100000+IF(AND($E29=1,JE29=0),50000,0))+IF($H29=1,(IF('計算A'!Q$117=1,INDEX('計算A'!Q$10:Q$54,$B29),0)+IF('計算A'!R$117=1,INDEX('計算A'!S$10:S$54,$B29),0))*4000,0)-IF(AND('計算A'!Q$117=1,UO29&gt;0),2000,0)-IF(AND($L29=1,'計算A'!R$117=1,DQ29=0),2000,0))),1000000))</f>
        <v/>
      </c>
      <c r="OU29">
        <f>IF($B29=0,1000000,IF(INDEX('計算A'!$D$60:$EQ$104,$B29,16)*DQ29=1,IF(AND($E29=2,JF29=0),1000000,IF($I29&gt;0,IF(1=$J29,IF(OR(AND(16=$I29+1,OR($K29&lt;&gt;'計算A'!$A$3,'計算A'!$A$4=0)),AND(16=$I29-1,OR(16&lt;&gt;'計算A'!$A$3,'計算A'!$A$4=0))),0,IF(16=$K29,200000,ABS(16-$K29)*100)),100000+ABS(1-$J29)*1000+160)+'計算A'!S$5*50+IF(AND($E29=1,JF29=0),25,0),IF($F29&gt;0,INDEX('計算A'!S$110:S$114,$F29+1)+IF(AND($E29=1,JF29=0),1000,0),MIN(TU29,20)*400+(IF('計算A'!R$106=1,1-DP29,0)+IF('計算A'!S$106=1,1-DR29,0))*150+161+'計算A'!S$5*100000+IF(AND($E29=1,JF29=0),50000,0))+IF($H29=1,(IF('計算A'!R$117=1,INDEX('計算A'!R$10:R$54,$B29),0)+IF('計算A'!S$117=1,INDEX('計算A'!T$10:T$54,$B29),0))*4000,0)-IF(AND('計算A'!R$117=1,UP29&gt;0),2000,0)-IF(AND($L29=1,'計算A'!S$117=1,DR29=0),2000,0))),1000000))</f>
        <v/>
      </c>
      <c r="OV29">
        <f>IF($B29=0,1000000,IF(INDEX('計算A'!$D$60:$EQ$104,$B29,17)*DR29=1,IF(AND($E29=2,JG29=0),1000000,IF($I29&gt;0,IF(1=$J29,IF(OR(AND(17=$I29+1,OR($K29&lt;&gt;'計算A'!$A$3,'計算A'!$A$4=0)),AND(17=$I29-1,OR(17&lt;&gt;'計算A'!$A$3,'計算A'!$A$4=0))),0,IF(17=$K29,200000,ABS(17-$K29)*100)),100000+ABS(1-$J29)*1000+170)+'計算A'!T$5*50+IF(AND($E29=1,JG29=0),25,0),IF($F29&gt;0,INDEX('計算A'!T$110:T$114,$F29+1)+IF(AND($E29=1,JG29=0),1000,0),MIN(TU29,20)*400+(IF('計算A'!S$106=1,1-DQ29,0)+IF('計算A'!T$106=1,1-DS29,0))*150+171+'計算A'!T$5*100000+IF(AND($E29=1,JG29=0),50000,0))+IF($H29=1,(IF('計算A'!S$117=1,INDEX('計算A'!S$10:S$54,$B29),0)+IF('計算A'!T$117=1,INDEX('計算A'!U$10:U$54,$B29),0))*4000,0)-IF(AND('計算A'!S$117=1,UQ29&gt;0),2000,0)-IF(AND($L29=1,'計算A'!T$117=1,DS29=0),2000,0))),1000000))</f>
        <v/>
      </c>
      <c r="OW29">
        <f>IF($B29=0,1000000,IF(INDEX('計算A'!$D$60:$EQ$104,$B29,18)*DS29=1,IF(AND($E29=2,JH29=0),1000000,IF($I29&gt;0,IF(1=$J29,IF(OR(AND(18=$I29+1,OR($K29&lt;&gt;'計算A'!$A$3,'計算A'!$A$4=0)),AND(18=$I29-1,OR(18&lt;&gt;'計算A'!$A$3,'計算A'!$A$4=0))),0,IF(18=$K29,200000,ABS(18-$K29)*100)),100000+ABS(1-$J29)*1000+180)+'計算A'!U$5*50+IF(AND($E29=1,JH29=0),25,0),IF($F29&gt;0,INDEX('計算A'!U$110:U$114,$F29+1)+IF(AND($E29=1,JH29=0),1000,0),MIN(TU29,20)*400+(IF('計算A'!T$106=1,1-DR29,0)+IF('計算A'!U$106=1,1-DT29,0))*150+181+'計算A'!U$5*100000+IF(AND($E29=1,JH29=0),50000,0))+IF($H29=1,(IF('計算A'!T$117=1,INDEX('計算A'!T$10:T$54,$B29),0)+IF('計算A'!U$117=1,INDEX('計算A'!V$10:V$54,$B29),0))*4000,0)-IF(AND('計算A'!T$117=1,UR29&gt;0),2000,0)-IF(AND($L29=1,'計算A'!U$117=1,DT29=0),2000,0))),1000000))</f>
        <v/>
      </c>
      <c r="OX29">
        <f>IF($B29=0,1000000,IF(INDEX('計算A'!$D$60:$EQ$104,$B29,19)*DT29=1,IF(AND($E29=2,JI29=0),1000000,IF($I29&gt;0,IF(1=$J29,IF(OR(AND(19=$I29+1,OR($K29&lt;&gt;'計算A'!$A$3,'計算A'!$A$4=0)),AND(19=$I29-1,OR(19&lt;&gt;'計算A'!$A$3,'計算A'!$A$4=0))),0,IF(19=$K29,200000,ABS(19-$K29)*100)),100000+ABS(1-$J29)*1000+190)+'計算A'!V$5*50+IF(AND($E29=1,JI29=0),25,0),IF($F29&gt;0,INDEX('計算A'!V$110:V$114,$F29+1)+IF(AND($E29=1,JI29=0),1000,0),MIN(TU29,20)*400+(IF('計算A'!U$106=1,1-DS29,0)+IF('計算A'!V$106=1,1-DU29,0))*150+191+'計算A'!V$5*100000+IF(AND($E29=1,JI29=0),50000,0))+IF($H29=1,(IF('計算A'!U$117=1,INDEX('計算A'!U$10:U$54,$B29),0)+IF('計算A'!V$117=1,INDEX('計算A'!W$10:W$54,$B29),0))*4000,0)-IF(AND('計算A'!U$117=1,US29&gt;0),2000,0)-IF(AND($L29=1,'計算A'!V$117=1,DU29=0),2000,0))),1000000))</f>
        <v/>
      </c>
      <c r="OY29">
        <f>IF($B29=0,1000000,IF(INDEX('計算A'!$D$60:$EQ$104,$B29,20)*DU29=1,IF(AND($E29=2,JJ29=0),1000000,IF($I29&gt;0,IF(1=$J29,IF(OR(AND(20=$I29+1,OR($K29&lt;&gt;'計算A'!$A$3,'計算A'!$A$4=0)),AND(20=$I29-1,OR(20&lt;&gt;'計算A'!$A$3,'計算A'!$A$4=0))),0,IF(20=$K29,200000,ABS(20-$K29)*100)),100000+ABS(1-$J29)*1000+200)+'計算A'!W$5*50+IF(AND($E29=1,JJ29=0),25,0),IF($F29&gt;0,INDEX('計算A'!W$110:W$114,$F29+1)+IF(AND($E29=1,JJ29=0),1000,0),MIN(TU29,20)*400+(IF('計算A'!V$106=1,1-DT29,0)+IF('計算A'!W$106=1,1-DV29,0))*150+201+'計算A'!W$5*100000+IF(AND($E29=1,JJ29=0),50000,0))+IF($H29=1,(IF('計算A'!V$117=1,INDEX('計算A'!V$10:V$54,$B29),0)+IF('計算A'!W$117=1,INDEX('計算A'!X$10:X$54,$B29),0))*4000,0)-IF(AND('計算A'!V$117=1,UT29&gt;0),2000,0)-IF(AND($L29=1,'計算A'!W$117=1,DV29=0),2000,0))),1000000))</f>
        <v/>
      </c>
      <c r="OZ29">
        <f>IF($B29=0,1000000,IF(INDEX('計算A'!$D$60:$EQ$104,$B29,21)*DV29=1,IF(AND($E29=2,JK29=0),1000000,IF($I29&gt;0,IF(1=$J29,IF(OR(AND(21=$I29+1,OR($K29&lt;&gt;'計算A'!$A$3,'計算A'!$A$4=0)),AND(21=$I29-1,OR(21&lt;&gt;'計算A'!$A$3,'計算A'!$A$4=0))),0,IF(21=$K29,200000,ABS(21-$K29)*100)),100000+ABS(1-$J29)*1000+210)+'計算A'!X$5*50+IF(AND($E29=1,JK29=0),25,0),IF($F29&gt;0,INDEX('計算A'!X$110:X$114,$F29+1)+IF(AND($E29=1,JK29=0),1000,0),MIN(TU29,20)*400+(IF('計算A'!W$106=1,1-DU29,0)+IF('計算A'!X$106=1,1-DW29,0))*150+211+'計算A'!X$5*100000+IF(AND($E29=1,JK29=0),50000,0))+IF($H29=1,(IF('計算A'!W$117=1,INDEX('計算A'!W$10:W$54,$B29),0)+IF('計算A'!X$117=1,INDEX('計算A'!Y$10:Y$54,$B29),0))*4000,0)-IF(AND('計算A'!W$117=1,UU29&gt;0),2000,0)-IF(AND($L29=1,'計算A'!X$117=1,DW29=0),2000,0))),1000000))</f>
        <v/>
      </c>
      <c r="PA29">
        <f>IF($B29=0,1000000,IF(INDEX('計算A'!$D$60:$EQ$104,$B29,22)*DW29=1,IF(AND($E29=2,JL29=0),1000000,IF($I29&gt;0,IF(1=$J29,IF(OR(AND(22=$I29+1,OR($K29&lt;&gt;'計算A'!$A$3,'計算A'!$A$4=0)),AND(22=$I29-1,OR(22&lt;&gt;'計算A'!$A$3,'計算A'!$A$4=0))),0,IF(22=$K29,200000,ABS(22-$K29)*100)),100000+ABS(1-$J29)*1000+220)+'計算A'!Y$5*50+IF(AND($E29=1,JL29=0),25,0),IF($F29&gt;0,INDEX('計算A'!Y$110:Y$114,$F29+1)+IF(AND($E29=1,JL29=0),1000,0),MIN(TU29,20)*400+(IF('計算A'!X$106=1,1-DV29,0)+IF('計算A'!Y$106=1,1-DX29,0))*150+221+'計算A'!Y$5*100000+IF(AND($E29=1,JL29=0),50000,0))+IF($H29=1,(IF('計算A'!X$117=1,INDEX('計算A'!X$10:X$54,$B29),0)+IF('計算A'!Y$117=1,INDEX('計算A'!Z$10:Z$54,$B29),0))*4000,0)-IF(AND('計算A'!X$117=1,UV29&gt;0),2000,0)-IF(AND($L29=1,'計算A'!Y$117=1,DX29=0),2000,0))),1000000))</f>
        <v/>
      </c>
      <c r="PB29">
        <f>IF($B29=0,1000000,IF(INDEX('計算A'!$D$60:$EQ$104,$B29,23)*DX29=1,IF(AND($E29=2,JM29=0),1000000,IF($I29&gt;0,IF(1=$J29,IF(OR(AND(23=$I29+1,OR($K29&lt;&gt;'計算A'!$A$3,'計算A'!$A$4=0)),AND(23=$I29-1,OR(23&lt;&gt;'計算A'!$A$3,'計算A'!$A$4=0))),0,IF(23=$K29,200000,ABS(23-$K29)*100)),100000+ABS(1-$J29)*1000+230)+'計算A'!Z$5*50+IF(AND($E29=1,JM29=0),25,0),IF($F29&gt;0,INDEX('計算A'!Z$110:Z$114,$F29+1)+IF(AND($E29=1,JM29=0),1000,0),MIN(TU29,20)*400+(IF('計算A'!Y$106=1,1-DW29,0)+IF('計算A'!Z$106=1,1-DY29,0))*150+231+'計算A'!Z$5*100000+IF(AND($E29=1,JM29=0),50000,0))+IF($H29=1,(IF('計算A'!Y$117=1,INDEX('計算A'!Y$10:Y$54,$B29),0)+IF('計算A'!Z$117=1,INDEX('計算A'!AA$10:AA$54,$B29),0))*4000,0)-IF(AND('計算A'!Y$117=1,UW29&gt;0),2000,0)-IF(AND($L29=1,'計算A'!Z$117=1,DY29=0),2000,0))),1000000))</f>
        <v/>
      </c>
      <c r="PC29">
        <f>IF($B29=0,1000000,IF(INDEX('計算A'!$D$60:$EQ$104,$B29,24)*DY29=1,IF(AND($E29=2,JN29=0),1000000,IF($I29&gt;0,IF(1=$J29,IF(OR(AND(24=$I29+1,OR($K29&lt;&gt;'計算A'!$A$3,'計算A'!$A$4=0)),AND(24=$I29-1,OR(24&lt;&gt;'計算A'!$A$3,'計算A'!$A$4=0))),0,IF(24=$K29,200000,ABS(24-$K29)*100)),100000+ABS(1-$J29)*1000+240)+'計算A'!AA$5*50+IF(AND($E29=1,JN29=0),25,0),IF($F29&gt;0,INDEX('計算A'!AA$110:AA$114,$F29+1)+IF(AND($E29=1,JN29=0),1000,0),MIN(TU29,20)*400+(IF('計算A'!Z$106=1,1-DX29,0))*150+241+'計算A'!AA$5*100000+IF(AND($E29=1,JN29=0),50000,0))+IF($H29=1,(IF('計算A'!Z$117=1,INDEX('計算A'!Z$10:Z$54,$B29),0))*4000,0)-IF(AND('計算A'!Z$117=1,UX29&gt;0),2000,0))),1000000))</f>
        <v/>
      </c>
      <c r="PD29">
        <f>IF($B29=0,1000000,IF(INDEX('計算A'!$D$60:$EQ$104,$B29,25)*DZ29=1,IF(AND($E29=2,JO29=0),1000000,IF($I29&gt;0,IF(2=$J29,IF(OR(AND(25=$I29+1,OR($K29&lt;&gt;'計算A'!$A$3,'計算A'!$A$4=0)),AND(25=$I29-1,OR(1&lt;&gt;'計算A'!$A$3,'計算A'!$A$4=0))),0,IF(1=$K29,200000,ABS(1-$K29)*100)),100000+ABS(2-$J29)*1000+10)+'計算A'!AB$5*50+IF(AND($E29=1,JO29=0),25,0),IF($F29&gt;0,INDEX('計算A'!AB$110:AB$114,$F29+1)+IF(AND($E29=1,JO29=0),1000,0),MIN(TV29,20)*400+(IF('計算A'!AB$106=1,1-EA29,0))*150+12+'計算A'!AB$5*100000+IF(AND($E29=1,JO29=0),50000,0))+IF($H29=1,(IF('計算A'!AB$117=1,INDEX('計算A'!AC$10:AC$54,$B29),0))*4000,0)-IF(AND($L29=1,'計算A'!AB$117=1,EA29=0),2000,0))),1000000))</f>
        <v/>
      </c>
      <c r="PE29">
        <f>IF($B29=0,1000000,IF(INDEX('計算A'!$D$60:$EQ$104,$B29,26)*EA29=1,IF(AND($E29=2,JP29=0),1000000,IF($I29&gt;0,IF(2=$J29,IF(OR(AND(26=$I29+1,OR($K29&lt;&gt;'計算A'!$A$3,'計算A'!$A$4=0)),AND(26=$I29-1,OR(2&lt;&gt;'計算A'!$A$3,'計算A'!$A$4=0))),0,IF(2=$K29,200000,ABS(2-$K29)*100)),100000+ABS(2-$J29)*1000+20)+'計算A'!AC$5*50+IF(AND($E29=1,JP29=0),25,0),IF($F29&gt;0,INDEX('計算A'!AC$110:AC$114,$F29+1)+IF(AND($E29=1,JP29=0),1000,0),MIN(TV29,20)*400+(IF('計算A'!AB$106=1,1-DZ29,0)+IF('計算A'!AC$106=1,1-EB29,0))*150+22+'計算A'!AC$5*100000+IF(AND($E29=1,JP29=0),50000,0))+IF($H29=1,(IF('計算A'!AB$117=1,INDEX('計算A'!AB$10:AB$54,$B29),0)+IF('計算A'!AC$117=1,INDEX('計算A'!AD$10:AD$54,$B29),0))*4000,0)-IF(AND('計算A'!AB$117=1,UZ29&gt;0),2000,0)-IF(AND($L29=1,'計算A'!AC$117=1,EB29=0),2000,0))),1000000))</f>
        <v/>
      </c>
      <c r="PF29">
        <f>IF($B29=0,1000000,IF(INDEX('計算A'!$D$60:$EQ$104,$B29,27)*EB29=1,IF(AND($E29=2,JQ29=0),1000000,IF($I29&gt;0,IF(2=$J29,IF(OR(AND(27=$I29+1,OR($K29&lt;&gt;'計算A'!$A$3,'計算A'!$A$4=0)),AND(27=$I29-1,OR(3&lt;&gt;'計算A'!$A$3,'計算A'!$A$4=0))),0,IF(3=$K29,200000,ABS(3-$K29)*100)),100000+ABS(2-$J29)*1000+30)+'計算A'!AD$5*50+IF(AND($E29=1,JQ29=0),25,0),IF($F29&gt;0,INDEX('計算A'!AD$110:AD$114,$F29+1)+IF(AND($E29=1,JQ29=0),1000,0),MIN(TV29,20)*400+(IF('計算A'!AC$106=1,1-EA29,0)+IF('計算A'!AD$106=1,1-EC29,0))*150+32+'計算A'!AD$5*100000+IF(AND($E29=1,JQ29=0),50000,0))+IF($H29=1,(IF('計算A'!AC$117=1,INDEX('計算A'!AC$10:AC$54,$B29),0)+IF('計算A'!AD$117=1,INDEX('計算A'!AE$10:AE$54,$B29),0))*4000,0)-IF(AND('計算A'!AC$117=1,VA29&gt;0),2000,0)-IF(AND($L29=1,'計算A'!AD$117=1,EC29=0),2000,0))),1000000))</f>
        <v/>
      </c>
      <c r="PG29">
        <f>IF($B29=0,1000000,IF(INDEX('計算A'!$D$60:$EQ$104,$B29,28)*EC29=1,IF(AND($E29=2,JR29=0),1000000,IF($I29&gt;0,IF(2=$J29,IF(OR(AND(28=$I29+1,OR($K29&lt;&gt;'計算A'!$A$3,'計算A'!$A$4=0)),AND(28=$I29-1,OR(4&lt;&gt;'計算A'!$A$3,'計算A'!$A$4=0))),0,IF(4=$K29,200000,ABS(4-$K29)*100)),100000+ABS(2-$J29)*1000+40)+'計算A'!AE$5*50+IF(AND($E29=1,JR29=0),25,0),IF($F29&gt;0,INDEX('計算A'!AE$110:AE$114,$F29+1)+IF(AND($E29=1,JR29=0),1000,0),MIN(TV29,20)*400+(IF('計算A'!AD$106=1,1-EB29,0)+IF('計算A'!AE$106=1,1-ED29,0))*150+42+'計算A'!AE$5*100000+IF(AND($E29=1,JR29=0),50000,0))+IF($H29=1,(IF('計算A'!AD$117=1,INDEX('計算A'!AD$10:AD$54,$B29),0)+IF('計算A'!AE$117=1,INDEX('計算A'!AF$10:AF$54,$B29),0))*4000,0)-IF(AND('計算A'!AD$117=1,VB29&gt;0),2000,0)-IF(AND($L29=1,'計算A'!AE$117=1,ED29=0),2000,0))),1000000))</f>
        <v/>
      </c>
      <c r="PH29">
        <f>IF($B29=0,1000000,IF(INDEX('計算A'!$D$60:$EQ$104,$B29,29)*ED29=1,IF(AND($E29=2,JS29=0),1000000,IF($I29&gt;0,IF(2=$J29,IF(OR(AND(29=$I29+1,OR($K29&lt;&gt;'計算A'!$A$3,'計算A'!$A$4=0)),AND(29=$I29-1,OR(5&lt;&gt;'計算A'!$A$3,'計算A'!$A$4=0))),0,IF(5=$K29,200000,ABS(5-$K29)*100)),100000+ABS(2-$J29)*1000+50)+'計算A'!AF$5*50+IF(AND($E29=1,JS29=0),25,0),IF($F29&gt;0,INDEX('計算A'!AF$110:AF$114,$F29+1)+IF(AND($E29=1,JS29=0),1000,0),MIN(TV29,20)*400+(IF('計算A'!AE$106=1,1-EC29,0)+IF('計算A'!AF$106=1,1-EE29,0))*150+52+'計算A'!AF$5*100000+IF(AND($E29=1,JS29=0),50000,0))+IF($H29=1,(IF('計算A'!AE$117=1,INDEX('計算A'!AE$10:AE$54,$B29),0)+IF('計算A'!AF$117=1,INDEX('計算A'!AG$10:AG$54,$B29),0))*4000,0)-IF(AND('計算A'!AE$117=1,VC29&gt;0),2000,0)-IF(AND($L29=1,'計算A'!AF$117=1,EE29=0),2000,0))),1000000))</f>
        <v/>
      </c>
      <c r="PI29">
        <f>IF($B29=0,1000000,IF(INDEX('計算A'!$D$60:$EQ$104,$B29,30)*EE29=1,IF(AND($E29=2,JT29=0),1000000,IF($I29&gt;0,IF(2=$J29,IF(OR(AND(30=$I29+1,OR($K29&lt;&gt;'計算A'!$A$3,'計算A'!$A$4=0)),AND(30=$I29-1,OR(6&lt;&gt;'計算A'!$A$3,'計算A'!$A$4=0))),0,IF(6=$K29,200000,ABS(6-$K29)*100)),100000+ABS(2-$J29)*1000+60)+'計算A'!AG$5*50+IF(AND($E29=1,JT29=0),25,0),IF($F29&gt;0,INDEX('計算A'!AG$110:AG$114,$F29+1)+IF(AND($E29=1,JT29=0),1000,0),MIN(TV29,20)*400+(IF('計算A'!AF$106=1,1-ED29,0)+IF('計算A'!AG$106=1,1-EF29,0))*150+62+'計算A'!AG$5*100000+IF(AND($E29=1,JT29=0),50000,0))+IF($H29=1,(IF('計算A'!AF$117=1,INDEX('計算A'!AF$10:AF$54,$B29),0)+IF('計算A'!AG$117=1,INDEX('計算A'!AH$10:AH$54,$B29),0))*4000,0)-IF(AND('計算A'!AF$117=1,VD29&gt;0),2000,0)-IF(AND($L29=1,'計算A'!AG$117=1,EF29=0),2000,0))),1000000))</f>
        <v/>
      </c>
      <c r="PJ29">
        <f>IF($B29=0,1000000,IF(INDEX('計算A'!$D$60:$EQ$104,$B29,31)*EF29=1,IF(AND($E29=2,JU29=0),1000000,IF($I29&gt;0,IF(2=$J29,IF(OR(AND(31=$I29+1,OR($K29&lt;&gt;'計算A'!$A$3,'計算A'!$A$4=0)),AND(31=$I29-1,OR(7&lt;&gt;'計算A'!$A$3,'計算A'!$A$4=0))),0,IF(7=$K29,200000,ABS(7-$K29)*100)),100000+ABS(2-$J29)*1000+70)+'計算A'!AH$5*50+IF(AND($E29=1,JU29=0),25,0),IF($F29&gt;0,INDEX('計算A'!AH$110:AH$114,$F29+1)+IF(AND($E29=1,JU29=0),1000,0),MIN(TV29,20)*400+(IF('計算A'!AG$106=1,1-EE29,0)+IF('計算A'!AH$106=1,1-EG29,0))*150+72+'計算A'!AH$5*100000+IF(AND($E29=1,JU29=0),50000,0))+IF($H29=1,(IF('計算A'!AG$117=1,INDEX('計算A'!AG$10:AG$54,$B29),0)+IF('計算A'!AH$117=1,INDEX('計算A'!AI$10:AI$54,$B29),0))*4000,0)-IF(AND('計算A'!AG$117=1,VE29&gt;0),2000,0)-IF(AND($L29=1,'計算A'!AH$117=1,EG29=0),2000,0))),1000000))</f>
        <v/>
      </c>
      <c r="PK29">
        <f>IF($B29=0,1000000,IF(INDEX('計算A'!$D$60:$EQ$104,$B29,32)*EG29=1,IF(AND($E29=2,JV29=0),1000000,IF($I29&gt;0,IF(2=$J29,IF(OR(AND(32=$I29+1,OR($K29&lt;&gt;'計算A'!$A$3,'計算A'!$A$4=0)),AND(32=$I29-1,OR(8&lt;&gt;'計算A'!$A$3,'計算A'!$A$4=0))),0,IF(8=$K29,200000,ABS(8-$K29)*100)),100000+ABS(2-$J29)*1000+80)+'計算A'!AI$5*50+IF(AND($E29=1,JV29=0),25,0),IF($F29&gt;0,INDEX('計算A'!AI$110:AI$114,$F29+1)+IF(AND($E29=1,JV29=0),1000,0),MIN(TV29,20)*400+(IF('計算A'!AH$106=1,1-EF29,0)+IF('計算A'!AI$106=1,1-EH29,0))*150+82+'計算A'!AI$5*100000+IF(AND($E29=1,JV29=0),50000,0))+IF($H29=1,(IF('計算A'!AH$117=1,INDEX('計算A'!AH$10:AH$54,$B29),0)+IF('計算A'!AI$117=1,INDEX('計算A'!AJ$10:AJ$54,$B29),0))*4000,0)-IF(AND('計算A'!AH$117=1,VF29&gt;0),2000,0)-IF(AND($L29=1,'計算A'!AI$117=1,EH29=0),2000,0))),1000000))</f>
        <v/>
      </c>
      <c r="PL29">
        <f>IF($B29=0,1000000,IF(INDEX('計算A'!$D$60:$EQ$104,$B29,33)*EH29=1,IF(AND($E29=2,JW29=0),1000000,IF($I29&gt;0,IF(2=$J29,IF(OR(AND(33=$I29+1,OR($K29&lt;&gt;'計算A'!$A$3,'計算A'!$A$4=0)),AND(33=$I29-1,OR(9&lt;&gt;'計算A'!$A$3,'計算A'!$A$4=0))),0,IF(9=$K29,200000,ABS(9-$K29)*100)),100000+ABS(2-$J29)*1000+90)+'計算A'!AJ$5*50+IF(AND($E29=1,JW29=0),25,0),IF($F29&gt;0,INDEX('計算A'!AJ$110:AJ$114,$F29+1)+IF(AND($E29=1,JW29=0),1000,0),MIN(TV29,20)*400+(IF('計算A'!AI$106=1,1-EG29,0)+IF('計算A'!AJ$106=1,1-EI29,0))*150+92+'計算A'!AJ$5*100000+IF(AND($E29=1,JW29=0),50000,0))+IF($H29=1,(IF('計算A'!AI$117=1,INDEX('計算A'!AI$10:AI$54,$B29),0)+IF('計算A'!AJ$117=1,INDEX('計算A'!AK$10:AK$54,$B29),0))*4000,0)-IF(AND('計算A'!AI$117=1,VG29&gt;0),2000,0)-IF(AND($L29=1,'計算A'!AJ$117=1,EI29=0),2000,0))),1000000))</f>
        <v/>
      </c>
      <c r="PM29">
        <f>IF($B29=0,1000000,IF(INDEX('計算A'!$D$60:$EQ$104,$B29,34)*EI29=1,IF(AND($E29=2,JX29=0),1000000,IF($I29&gt;0,IF(2=$J29,IF(OR(AND(34=$I29+1,OR($K29&lt;&gt;'計算A'!$A$3,'計算A'!$A$4=0)),AND(34=$I29-1,OR(10&lt;&gt;'計算A'!$A$3,'計算A'!$A$4=0))),0,IF(10=$K29,200000,ABS(10-$K29)*100)),100000+ABS(2-$J29)*1000+100)+'計算A'!AK$5*50+IF(AND($E29=1,JX29=0),25,0),IF($F29&gt;0,INDEX('計算A'!AK$110:AK$114,$F29+1)+IF(AND($E29=1,JX29=0),1000,0),MIN(TV29,20)*400+(IF('計算A'!AJ$106=1,1-EH29,0)+IF('計算A'!AK$106=1,1-EJ29,0))*150+102+'計算A'!AK$5*100000+IF(AND($E29=1,JX29=0),50000,0))+IF($H29=1,(IF('計算A'!AJ$117=1,INDEX('計算A'!AJ$10:AJ$54,$B29),0)+IF('計算A'!AK$117=1,INDEX('計算A'!AL$10:AL$54,$B29),0))*4000,0)-IF(AND('計算A'!AJ$117=1,VH29&gt;0),2000,0)-IF(AND($L29=1,'計算A'!AK$117=1,EJ29=0),2000,0))),1000000))</f>
        <v/>
      </c>
      <c r="PN29">
        <f>IF($B29=0,1000000,IF(INDEX('計算A'!$D$60:$EQ$104,$B29,35)*EJ29=1,IF(AND($E29=2,JY29=0),1000000,IF($I29&gt;0,IF(2=$J29,IF(OR(AND(35=$I29+1,OR($K29&lt;&gt;'計算A'!$A$3,'計算A'!$A$4=0)),AND(35=$I29-1,OR(11&lt;&gt;'計算A'!$A$3,'計算A'!$A$4=0))),0,IF(11=$K29,200000,ABS(11-$K29)*100)),100000+ABS(2-$J29)*1000+110)+'計算A'!AL$5*50+IF(AND($E29=1,JY29=0),25,0),IF($F29&gt;0,INDEX('計算A'!AL$110:AL$114,$F29+1)+IF(AND($E29=1,JY29=0),1000,0),MIN(TV29,20)*400+(IF('計算A'!AK$106=1,1-EI29,0)+IF('計算A'!AL$106=1,1-EK29,0))*150+112+'計算A'!AL$5*100000+IF(AND($E29=1,JY29=0),50000,0))+IF($H29=1,(IF('計算A'!AK$117=1,INDEX('計算A'!AK$10:AK$54,$B29),0)+IF('計算A'!AL$117=1,INDEX('計算A'!AM$10:AM$54,$B29),0))*4000,0)-IF(AND('計算A'!AK$117=1,VI29&gt;0),2000,0)-IF(AND($L29=1,'計算A'!AL$117=1,EK29=0),2000,0))),1000000))</f>
        <v/>
      </c>
      <c r="PO29">
        <f>IF($B29=0,1000000,IF(INDEX('計算A'!$D$60:$EQ$104,$B29,36)*EK29=1,IF(AND($E29=2,JZ29=0),1000000,IF($I29&gt;0,IF(2=$J29,IF(OR(AND(36=$I29+1,OR($K29&lt;&gt;'計算A'!$A$3,'計算A'!$A$4=0)),AND(36=$I29-1,OR(12&lt;&gt;'計算A'!$A$3,'計算A'!$A$4=0))),0,IF(12=$K29,200000,ABS(12-$K29)*100)),100000+ABS(2-$J29)*1000+120)+'計算A'!AM$5*50+IF(AND($E29=1,JZ29=0),25,0),IF($F29&gt;0,INDEX('計算A'!AM$110:AM$114,$F29+1)+IF(AND($E29=1,JZ29=0),1000,0),MIN(TV29,20)*400+(IF('計算A'!AL$106=1,1-EJ29,0)+IF('計算A'!AM$106=1,1-EL29,0))*150+122+'計算A'!AM$5*100000+IF(AND($E29=1,JZ29=0),50000,0))+IF($H29=1,(IF('計算A'!AL$117=1,INDEX('計算A'!AL$10:AL$54,$B29),0)+IF('計算A'!AM$117=1,INDEX('計算A'!AN$10:AN$54,$B29),0))*4000,0)-IF(AND('計算A'!AL$117=1,VJ29&gt;0),2000,0)-IF(AND($L29=1,'計算A'!AM$117=1,EL29=0),2000,0))),1000000))</f>
        <v/>
      </c>
      <c r="PP29">
        <f>IF($B29=0,1000000,IF(INDEX('計算A'!$D$60:$EQ$104,$B29,37)*EL29=1,IF(AND($E29=2,KA29=0),1000000,IF($I29&gt;0,IF(2=$J29,IF(OR(AND(37=$I29+1,OR($K29&lt;&gt;'計算A'!$A$3,'計算A'!$A$4=0)),AND(37=$I29-1,OR(13&lt;&gt;'計算A'!$A$3,'計算A'!$A$4=0))),0,IF(13=$K29,200000,ABS(13-$K29)*100)),100000+ABS(2-$J29)*1000+130)+'計算A'!AN$5*50+IF(AND($E29=1,KA29=0),25,0),IF($F29&gt;0,INDEX('計算A'!AN$110:AN$114,$F29+1)+IF(AND($E29=1,KA29=0),1000,0),MIN(TV29,20)*400+(IF('計算A'!AM$106=1,1-EK29,0)+IF('計算A'!AN$106=1,1-EM29,0))*150+132+'計算A'!AN$5*100000+IF(AND($E29=1,KA29=0),50000,0))+IF($H29=1,(IF('計算A'!AM$117=1,INDEX('計算A'!AM$10:AM$54,$B29),0)+IF('計算A'!AN$117=1,INDEX('計算A'!AO$10:AO$54,$B29),0))*4000,0)-IF(AND('計算A'!AM$117=1,VK29&gt;0),2000,0)-IF(AND($L29=1,'計算A'!AN$117=1,EM29=0),2000,0))),1000000))</f>
        <v/>
      </c>
      <c r="PQ29">
        <f>IF($B29=0,1000000,IF(INDEX('計算A'!$D$60:$EQ$104,$B29,38)*EM29=1,IF(AND($E29=2,KB29=0),1000000,IF($I29&gt;0,IF(2=$J29,IF(OR(AND(38=$I29+1,OR($K29&lt;&gt;'計算A'!$A$3,'計算A'!$A$4=0)),AND(38=$I29-1,OR(14&lt;&gt;'計算A'!$A$3,'計算A'!$A$4=0))),0,IF(14=$K29,200000,ABS(14-$K29)*100)),100000+ABS(2-$J29)*1000+140)+'計算A'!AO$5*50+IF(AND($E29=1,KB29=0),25,0),IF($F29&gt;0,INDEX('計算A'!AO$110:AO$114,$F29+1)+IF(AND($E29=1,KB29=0),1000,0),MIN(TV29,20)*400+(IF('計算A'!AN$106=1,1-EL29,0)+IF('計算A'!AO$106=1,1-EN29,0))*150+142+'計算A'!AO$5*100000+IF(AND($E29=1,KB29=0),50000,0))+IF($H29=1,(IF('計算A'!AN$117=1,INDEX('計算A'!AN$10:AN$54,$B29),0)+IF('計算A'!AO$117=1,INDEX('計算A'!AP$10:AP$54,$B29),0))*4000,0)-IF(AND('計算A'!AN$117=1,VL29&gt;0),2000,0)-IF(AND($L29=1,'計算A'!AO$117=1,EN29=0),2000,0))),1000000))</f>
        <v/>
      </c>
      <c r="PR29">
        <f>IF($B29=0,1000000,IF(INDEX('計算A'!$D$60:$EQ$104,$B29,39)*EN29=1,IF(AND($E29=2,KC29=0),1000000,IF($I29&gt;0,IF(2=$J29,IF(OR(AND(39=$I29+1,OR($K29&lt;&gt;'計算A'!$A$3,'計算A'!$A$4=0)),AND(39=$I29-1,OR(15&lt;&gt;'計算A'!$A$3,'計算A'!$A$4=0))),0,IF(15=$K29,200000,ABS(15-$K29)*100)),100000+ABS(2-$J29)*1000+150)+'計算A'!AP$5*50+IF(AND($E29=1,KC29=0),25,0),IF($F29&gt;0,INDEX('計算A'!AP$110:AP$114,$F29+1)+IF(AND($E29=1,KC29=0),1000,0),MIN(TV29,20)*400+(IF('計算A'!AO$106=1,1-EM29,0)+IF('計算A'!AP$106=1,1-EO29,0))*150+152+'計算A'!AP$5*100000+IF(AND($E29=1,KC29=0),50000,0))+IF($H29=1,(IF('計算A'!AO$117=1,INDEX('計算A'!AO$10:AO$54,$B29),0)+IF('計算A'!AP$117=1,INDEX('計算A'!AQ$10:AQ$54,$B29),0))*4000,0)-IF(AND('計算A'!AO$117=1,VM29&gt;0),2000,0)-IF(AND($L29=1,'計算A'!AP$117=1,EO29=0),2000,0))),1000000))</f>
        <v/>
      </c>
      <c r="PS29">
        <f>IF($B29=0,1000000,IF(INDEX('計算A'!$D$60:$EQ$104,$B29,40)*EO29=1,IF(AND($E29=2,KD29=0),1000000,IF($I29&gt;0,IF(2=$J29,IF(OR(AND(40=$I29+1,OR($K29&lt;&gt;'計算A'!$A$3,'計算A'!$A$4=0)),AND(40=$I29-1,OR(16&lt;&gt;'計算A'!$A$3,'計算A'!$A$4=0))),0,IF(16=$K29,200000,ABS(16-$K29)*100)),100000+ABS(2-$J29)*1000+160)+'計算A'!AQ$5*50+IF(AND($E29=1,KD29=0),25,0),IF($F29&gt;0,INDEX('計算A'!AQ$110:AQ$114,$F29+1)+IF(AND($E29=1,KD29=0),1000,0),MIN(TV29,20)*400+(IF('計算A'!AP$106=1,1-EN29,0)+IF('計算A'!AQ$106=1,1-EP29,0))*150+162+'計算A'!AQ$5*100000+IF(AND($E29=1,KD29=0),50000,0))+IF($H29=1,(IF('計算A'!AP$117=1,INDEX('計算A'!AP$10:AP$54,$B29),0)+IF('計算A'!AQ$117=1,INDEX('計算A'!AR$10:AR$54,$B29),0))*4000,0)-IF(AND('計算A'!AP$117=1,VN29&gt;0),2000,0)-IF(AND($L29=1,'計算A'!AQ$117=1,EP29=0),2000,0))),1000000))</f>
        <v/>
      </c>
      <c r="PT29">
        <f>IF($B29=0,1000000,IF(INDEX('計算A'!$D$60:$EQ$104,$B29,41)*EP29=1,IF(AND($E29=2,KE29=0),1000000,IF($I29&gt;0,IF(2=$J29,IF(OR(AND(41=$I29+1,OR($K29&lt;&gt;'計算A'!$A$3,'計算A'!$A$4=0)),AND(41=$I29-1,OR(17&lt;&gt;'計算A'!$A$3,'計算A'!$A$4=0))),0,IF(17=$K29,200000,ABS(17-$K29)*100)),100000+ABS(2-$J29)*1000+170)+'計算A'!AR$5*50+IF(AND($E29=1,KE29=0),25,0),IF($F29&gt;0,INDEX('計算A'!AR$110:AR$114,$F29+1)+IF(AND($E29=1,KE29=0),1000,0),MIN(TV29,20)*400+(IF('計算A'!AQ$106=1,1-EO29,0)+IF('計算A'!AR$106=1,1-EQ29,0))*150+172+'計算A'!AR$5*100000+IF(AND($E29=1,KE29=0),50000,0))+IF($H29=1,(IF('計算A'!AQ$117=1,INDEX('計算A'!AQ$10:AQ$54,$B29),0)+IF('計算A'!AR$117=1,INDEX('計算A'!AS$10:AS$54,$B29),0))*4000,0)-IF(AND('計算A'!AQ$117=1,VO29&gt;0),2000,0)-IF(AND($L29=1,'計算A'!AR$117=1,EQ29=0),2000,0))),1000000))</f>
        <v/>
      </c>
      <c r="PU29">
        <f>IF($B29=0,1000000,IF(INDEX('計算A'!$D$60:$EQ$104,$B29,42)*EQ29=1,IF(AND($E29=2,KF29=0),1000000,IF($I29&gt;0,IF(2=$J29,IF(OR(AND(42=$I29+1,OR($K29&lt;&gt;'計算A'!$A$3,'計算A'!$A$4=0)),AND(42=$I29-1,OR(18&lt;&gt;'計算A'!$A$3,'計算A'!$A$4=0))),0,IF(18=$K29,200000,ABS(18-$K29)*100)),100000+ABS(2-$J29)*1000+180)+'計算A'!AS$5*50+IF(AND($E29=1,KF29=0),25,0),IF($F29&gt;0,INDEX('計算A'!AS$110:AS$114,$F29+1)+IF(AND($E29=1,KF29=0),1000,0),MIN(TV29,20)*400+(IF('計算A'!AR$106=1,1-EP29,0)+IF('計算A'!AS$106=1,1-ER29,0))*150+182+'計算A'!AS$5*100000+IF(AND($E29=1,KF29=0),50000,0))+IF($H29=1,(IF('計算A'!AR$117=1,INDEX('計算A'!AR$10:AR$54,$B29),0)+IF('計算A'!AS$117=1,INDEX('計算A'!AT$10:AT$54,$B29),0))*4000,0)-IF(AND('計算A'!AR$117=1,VP29&gt;0),2000,0)-IF(AND($L29=1,'計算A'!AS$117=1,ER29=0),2000,0))),1000000))</f>
        <v/>
      </c>
      <c r="PV29">
        <f>IF($B29=0,1000000,IF(INDEX('計算A'!$D$60:$EQ$104,$B29,43)*ER29=1,IF(AND($E29=2,KG29=0),1000000,IF($I29&gt;0,IF(2=$J29,IF(OR(AND(43=$I29+1,OR($K29&lt;&gt;'計算A'!$A$3,'計算A'!$A$4=0)),AND(43=$I29-1,OR(19&lt;&gt;'計算A'!$A$3,'計算A'!$A$4=0))),0,IF(19=$K29,200000,ABS(19-$K29)*100)),100000+ABS(2-$J29)*1000+190)+'計算A'!AT$5*50+IF(AND($E29=1,KG29=0),25,0),IF($F29&gt;0,INDEX('計算A'!AT$110:AT$114,$F29+1)+IF(AND($E29=1,KG29=0),1000,0),MIN(TV29,20)*400+(IF('計算A'!AS$106=1,1-EQ29,0)+IF('計算A'!AT$106=1,1-ES29,0))*150+192+'計算A'!AT$5*100000+IF(AND($E29=1,KG29=0),50000,0))+IF($H29=1,(IF('計算A'!AS$117=1,INDEX('計算A'!AS$10:AS$54,$B29),0)+IF('計算A'!AT$117=1,INDEX('計算A'!AU$10:AU$54,$B29),0))*4000,0)-IF(AND('計算A'!AS$117=1,VQ29&gt;0),2000,0)-IF(AND($L29=1,'計算A'!AT$117=1,ES29=0),2000,0))),1000000))</f>
        <v/>
      </c>
      <c r="PW29">
        <f>IF($B29=0,1000000,IF(INDEX('計算A'!$D$60:$EQ$104,$B29,44)*ES29=1,IF(AND($E29=2,KH29=0),1000000,IF($I29&gt;0,IF(2=$J29,IF(OR(AND(44=$I29+1,OR($K29&lt;&gt;'計算A'!$A$3,'計算A'!$A$4=0)),AND(44=$I29-1,OR(20&lt;&gt;'計算A'!$A$3,'計算A'!$A$4=0))),0,IF(20=$K29,200000,ABS(20-$K29)*100)),100000+ABS(2-$J29)*1000+200)+'計算A'!AU$5*50+IF(AND($E29=1,KH29=0),25,0),IF($F29&gt;0,INDEX('計算A'!AU$110:AU$114,$F29+1)+IF(AND($E29=1,KH29=0),1000,0),MIN(TV29,20)*400+(IF('計算A'!AT$106=1,1-ER29,0)+IF('計算A'!AU$106=1,1-ET29,0))*150+202+'計算A'!AU$5*100000+IF(AND($E29=1,KH29=0),50000,0))+IF($H29=1,(IF('計算A'!AT$117=1,INDEX('計算A'!AT$10:AT$54,$B29),0)+IF('計算A'!AU$117=1,INDEX('計算A'!AV$10:AV$54,$B29),0))*4000,0)-IF(AND('計算A'!AT$117=1,VR29&gt;0),2000,0)-IF(AND($L29=1,'計算A'!AU$117=1,ET29=0),2000,0))),1000000))</f>
        <v/>
      </c>
      <c r="PX29">
        <f>IF($B29=0,1000000,IF(INDEX('計算A'!$D$60:$EQ$104,$B29,45)*ET29=1,IF(AND($E29=2,KI29=0),1000000,IF($I29&gt;0,IF(2=$J29,IF(OR(AND(45=$I29+1,OR($K29&lt;&gt;'計算A'!$A$3,'計算A'!$A$4=0)),AND(45=$I29-1,OR(21&lt;&gt;'計算A'!$A$3,'計算A'!$A$4=0))),0,IF(21=$K29,200000,ABS(21-$K29)*100)),100000+ABS(2-$J29)*1000+210)+'計算A'!AV$5*50+IF(AND($E29=1,KI29=0),25,0),IF($F29&gt;0,INDEX('計算A'!AV$110:AV$114,$F29+1)+IF(AND($E29=1,KI29=0),1000,0),MIN(TV29,20)*400+(IF('計算A'!AU$106=1,1-ES29,0)+IF('計算A'!AV$106=1,1-EU29,0))*150+212+'計算A'!AV$5*100000+IF(AND($E29=1,KI29=0),50000,0))+IF($H29=1,(IF('計算A'!AU$117=1,INDEX('計算A'!AU$10:AU$54,$B29),0)+IF('計算A'!AV$117=1,INDEX('計算A'!AW$10:AW$54,$B29),0))*4000,0)-IF(AND('計算A'!AU$117=1,VS29&gt;0),2000,0)-IF(AND($L29=1,'計算A'!AV$117=1,EU29=0),2000,0))),1000000))</f>
        <v/>
      </c>
      <c r="PY29">
        <f>IF($B29=0,1000000,IF(INDEX('計算A'!$D$60:$EQ$104,$B29,46)*EU29=1,IF(AND($E29=2,KJ29=0),1000000,IF($I29&gt;0,IF(2=$J29,IF(OR(AND(46=$I29+1,OR($K29&lt;&gt;'計算A'!$A$3,'計算A'!$A$4=0)),AND(46=$I29-1,OR(22&lt;&gt;'計算A'!$A$3,'計算A'!$A$4=0))),0,IF(22=$K29,200000,ABS(22-$K29)*100)),100000+ABS(2-$J29)*1000+220)+'計算A'!AW$5*50+IF(AND($E29=1,KJ29=0),25,0),IF($F29&gt;0,INDEX('計算A'!AW$110:AW$114,$F29+1)+IF(AND($E29=1,KJ29=0),1000,0),MIN(TV29,20)*400+(IF('計算A'!AV$106=1,1-ET29,0)+IF('計算A'!AW$106=1,1-EV29,0))*150+222+'計算A'!AW$5*100000+IF(AND($E29=1,KJ29=0),50000,0))+IF($H29=1,(IF('計算A'!AV$117=1,INDEX('計算A'!AV$10:AV$54,$B29),0)+IF('計算A'!AW$117=1,INDEX('計算A'!AX$10:AX$54,$B29),0))*4000,0)-IF(AND('計算A'!AV$117=1,VT29&gt;0),2000,0)-IF(AND($L29=1,'計算A'!AW$117=1,EV29=0),2000,0))),1000000))</f>
        <v/>
      </c>
      <c r="PZ29">
        <f>IF($B29=0,1000000,IF(INDEX('計算A'!$D$60:$EQ$104,$B29,47)*EV29=1,IF(AND($E29=2,KK29=0),1000000,IF($I29&gt;0,IF(2=$J29,IF(OR(AND(47=$I29+1,OR($K29&lt;&gt;'計算A'!$A$3,'計算A'!$A$4=0)),AND(47=$I29-1,OR(23&lt;&gt;'計算A'!$A$3,'計算A'!$A$4=0))),0,IF(23=$K29,200000,ABS(23-$K29)*100)),100000+ABS(2-$J29)*1000+230)+'計算A'!AX$5*50+IF(AND($E29=1,KK29=0),25,0),IF($F29&gt;0,INDEX('計算A'!AX$110:AX$114,$F29+1)+IF(AND($E29=1,KK29=0),1000,0),MIN(TV29,20)*400+(IF('計算A'!AW$106=1,1-EU29,0)+IF('計算A'!AX$106=1,1-EW29,0))*150+232+'計算A'!AX$5*100000+IF(AND($E29=1,KK29=0),50000,0))+IF($H29=1,(IF('計算A'!AW$117=1,INDEX('計算A'!AW$10:AW$54,$B29),0)+IF('計算A'!AX$117=1,INDEX('計算A'!AY$10:AY$54,$B29),0))*4000,0)-IF(AND('計算A'!AW$117=1,VU29&gt;0),2000,0)-IF(AND($L29=1,'計算A'!AX$117=1,EW29=0),2000,0))),1000000))</f>
        <v/>
      </c>
      <c r="QA29">
        <f>IF($B29=0,1000000,IF(INDEX('計算A'!$D$60:$EQ$104,$B29,48)*EW29=1,IF(AND($E29=2,KL29=0),1000000,IF($I29&gt;0,IF(2=$J29,IF(OR(AND(48=$I29+1,OR($K29&lt;&gt;'計算A'!$A$3,'計算A'!$A$4=0)),AND(48=$I29-1,OR(24&lt;&gt;'計算A'!$A$3,'計算A'!$A$4=0))),0,IF(24=$K29,200000,ABS(24-$K29)*100)),100000+ABS(2-$J29)*1000+240)+'計算A'!AY$5*50+IF(AND($E29=1,KL29=0),25,0),IF($F29&gt;0,INDEX('計算A'!AY$110:AY$114,$F29+1)+IF(AND($E29=1,KL29=0),1000,0),MIN(TV29,20)*400+(IF('計算A'!AX$106=1,1-EV29,0))*150+242+'計算A'!AY$5*100000+IF(AND($E29=1,KL29=0),50000,0))+IF($H29=1,(IF('計算A'!AX$117=1,INDEX('計算A'!AX$10:AX$54,$B29),0))*4000,0)-IF(AND('計算A'!AX$117=1,VV29&gt;0),2000,0))),1000000))</f>
        <v/>
      </c>
      <c r="QB29">
        <f>IF($B29=0,1000000,IF(INDEX('計算A'!$D$60:$EQ$104,$B29,49)*EX29=1,IF(AND($E29=2,KM29=0),1000000,IF($I29&gt;0,IF(3=$J29,IF(OR(AND(49=$I29+1,OR($K29&lt;&gt;'計算A'!$A$3,'計算A'!$A$4=0)),AND(49=$I29-1,OR(1&lt;&gt;'計算A'!$A$3,'計算A'!$A$4=0))),0,IF(1=$K29,200000,ABS(1-$K29)*100)),100000+ABS(3-$J29)*1000+10)+'計算A'!AZ$5*50+IF(AND($E29=1,KM29=0),25,0),IF($F29&gt;0,INDEX('計算A'!AZ$110:AZ$114,$F29+1)+IF(AND($E29=1,KM29=0),1000,0),MIN(TW29,20)*400+(IF('計算A'!AZ$106=1,1-EY29,0))*150+13+'計算A'!AZ$5*100000+IF(AND($E29=1,KM29=0),50000,0))+IF($H29=1,(IF('計算A'!AZ$117=1,INDEX('計算A'!BA$10:BA$54,$B29),0))*4000,0)-IF(AND($L29=1,'計算A'!AZ$117=1,EY29=0),2000,0))),1000000))</f>
        <v/>
      </c>
      <c r="QC29">
        <f>IF($B29=0,1000000,IF(INDEX('計算A'!$D$60:$EQ$104,$B29,50)*EY29=1,IF(AND($E29=2,KN29=0),1000000,IF($I29&gt;0,IF(3=$J29,IF(OR(AND(50=$I29+1,OR($K29&lt;&gt;'計算A'!$A$3,'計算A'!$A$4=0)),AND(50=$I29-1,OR(2&lt;&gt;'計算A'!$A$3,'計算A'!$A$4=0))),0,IF(2=$K29,200000,ABS(2-$K29)*100)),100000+ABS(3-$J29)*1000+20)+'計算A'!BA$5*50+IF(AND($E29=1,KN29=0),25,0),IF($F29&gt;0,INDEX('計算A'!BA$110:BA$114,$F29+1)+IF(AND($E29=1,KN29=0),1000,0),MIN(TW29,20)*400+(IF('計算A'!AZ$106=1,1-EX29,0)+IF('計算A'!BA$106=1,1-EZ29,0))*150+23+'計算A'!BA$5*100000+IF(AND($E29=1,KN29=0),50000,0))+IF($H29=1,(IF('計算A'!AZ$117=1,INDEX('計算A'!AZ$10:AZ$54,$B29),0)+IF('計算A'!BA$117=1,INDEX('計算A'!BB$10:BB$54,$B29),0))*4000,0)-IF(AND('計算A'!AZ$117=1,VX29&gt;0),2000,0)-IF(AND($L29=1,'計算A'!BA$117=1,EZ29=0),2000,0))),1000000))</f>
        <v/>
      </c>
      <c r="QD29">
        <f>IF($B29=0,1000000,IF(INDEX('計算A'!$D$60:$EQ$104,$B29,51)*EZ29=1,IF(AND($E29=2,KO29=0),1000000,IF($I29&gt;0,IF(3=$J29,IF(OR(AND(51=$I29+1,OR($K29&lt;&gt;'計算A'!$A$3,'計算A'!$A$4=0)),AND(51=$I29-1,OR(3&lt;&gt;'計算A'!$A$3,'計算A'!$A$4=0))),0,IF(3=$K29,200000,ABS(3-$K29)*100)),100000+ABS(3-$J29)*1000+30)+'計算A'!BB$5*50+IF(AND($E29=1,KO29=0),25,0),IF($F29&gt;0,INDEX('計算A'!BB$110:BB$114,$F29+1)+IF(AND($E29=1,KO29=0),1000,0),MIN(TW29,20)*400+(IF('計算A'!BA$106=1,1-EY29,0)+IF('計算A'!BB$106=1,1-FA29,0))*150+33+'計算A'!BB$5*100000+IF(AND($E29=1,KO29=0),50000,0))+IF($H29=1,(IF('計算A'!BA$117=1,INDEX('計算A'!BA$10:BA$54,$B29),0)+IF('計算A'!BB$117=1,INDEX('計算A'!BC$10:BC$54,$B29),0))*4000,0)-IF(AND('計算A'!BA$117=1,VY29&gt;0),2000,0)-IF(AND($L29=1,'計算A'!BB$117=1,FA29=0),2000,0))),1000000))</f>
        <v/>
      </c>
      <c r="QE29">
        <f>IF($B29=0,1000000,IF(INDEX('計算A'!$D$60:$EQ$104,$B29,52)*FA29=1,IF(AND($E29=2,KP29=0),1000000,IF($I29&gt;0,IF(3=$J29,IF(OR(AND(52=$I29+1,OR($K29&lt;&gt;'計算A'!$A$3,'計算A'!$A$4=0)),AND(52=$I29-1,OR(4&lt;&gt;'計算A'!$A$3,'計算A'!$A$4=0))),0,IF(4=$K29,200000,ABS(4-$K29)*100)),100000+ABS(3-$J29)*1000+40)+'計算A'!BC$5*50+IF(AND($E29=1,KP29=0),25,0),IF($F29&gt;0,INDEX('計算A'!BC$110:BC$114,$F29+1)+IF(AND($E29=1,KP29=0),1000,0),MIN(TW29,20)*400+(IF('計算A'!BB$106=1,1-EZ29,0)+IF('計算A'!BC$106=1,1-FB29,0))*150+43+'計算A'!BC$5*100000+IF(AND($E29=1,KP29=0),50000,0))+IF($H29=1,(IF('計算A'!BB$117=1,INDEX('計算A'!BB$10:BB$54,$B29),0)+IF('計算A'!BC$117=1,INDEX('計算A'!BD$10:BD$54,$B29),0))*4000,0)-IF(AND('計算A'!BB$117=1,VZ29&gt;0),2000,0)-IF(AND($L29=1,'計算A'!BC$117=1,FB29=0),2000,0))),1000000))</f>
        <v/>
      </c>
      <c r="QF29">
        <f>IF($B29=0,1000000,IF(INDEX('計算A'!$D$60:$EQ$104,$B29,53)*FB29=1,IF(AND($E29=2,KQ29=0),1000000,IF($I29&gt;0,IF(3=$J29,IF(OR(AND(53=$I29+1,OR($K29&lt;&gt;'計算A'!$A$3,'計算A'!$A$4=0)),AND(53=$I29-1,OR(5&lt;&gt;'計算A'!$A$3,'計算A'!$A$4=0))),0,IF(5=$K29,200000,ABS(5-$K29)*100)),100000+ABS(3-$J29)*1000+50)+'計算A'!BD$5*50+IF(AND($E29=1,KQ29=0),25,0),IF($F29&gt;0,INDEX('計算A'!BD$110:BD$114,$F29+1)+IF(AND($E29=1,KQ29=0),1000,0),MIN(TW29,20)*400+(IF('計算A'!BC$106=1,1-FA29,0)+IF('計算A'!BD$106=1,1-FC29,0))*150+53+'計算A'!BD$5*100000+IF(AND($E29=1,KQ29=0),50000,0))+IF($H29=1,(IF('計算A'!BC$117=1,INDEX('計算A'!BC$10:BC$54,$B29),0)+IF('計算A'!BD$117=1,INDEX('計算A'!BE$10:BE$54,$B29),0))*4000,0)-IF(AND('計算A'!BC$117=1,WA29&gt;0),2000,0)-IF(AND($L29=1,'計算A'!BD$117=1,FC29=0),2000,0))),1000000))</f>
        <v/>
      </c>
      <c r="QG29">
        <f>IF($B29=0,1000000,IF(INDEX('計算A'!$D$60:$EQ$104,$B29,54)*FC29=1,IF(AND($E29=2,KR29=0),1000000,IF($I29&gt;0,IF(3=$J29,IF(OR(AND(54=$I29+1,OR($K29&lt;&gt;'計算A'!$A$3,'計算A'!$A$4=0)),AND(54=$I29-1,OR(6&lt;&gt;'計算A'!$A$3,'計算A'!$A$4=0))),0,IF(6=$K29,200000,ABS(6-$K29)*100)),100000+ABS(3-$J29)*1000+60)+'計算A'!BE$5*50+IF(AND($E29=1,KR29=0),25,0),IF($F29&gt;0,INDEX('計算A'!BE$110:BE$114,$F29+1)+IF(AND($E29=1,KR29=0),1000,0),MIN(TW29,20)*400+(IF('計算A'!BD$106=1,1-FB29,0)+IF('計算A'!BE$106=1,1-FD29,0))*150+63+'計算A'!BE$5*100000+IF(AND($E29=1,KR29=0),50000,0))+IF($H29=1,(IF('計算A'!BD$117=1,INDEX('計算A'!BD$10:BD$54,$B29),0)+IF('計算A'!BE$117=1,INDEX('計算A'!BF$10:BF$54,$B29),0))*4000,0)-IF(AND('計算A'!BD$117=1,WB29&gt;0),2000,0)-IF(AND($L29=1,'計算A'!BE$117=1,FD29=0),2000,0))),1000000))</f>
        <v/>
      </c>
      <c r="QH29">
        <f>IF($B29=0,1000000,IF(INDEX('計算A'!$D$60:$EQ$104,$B29,55)*FD29=1,IF(AND($E29=2,KS29=0),1000000,IF($I29&gt;0,IF(3=$J29,IF(OR(AND(55=$I29+1,OR($K29&lt;&gt;'計算A'!$A$3,'計算A'!$A$4=0)),AND(55=$I29-1,OR(7&lt;&gt;'計算A'!$A$3,'計算A'!$A$4=0))),0,IF(7=$K29,200000,ABS(7-$K29)*100)),100000+ABS(3-$J29)*1000+70)+'計算A'!BF$5*50+IF(AND($E29=1,KS29=0),25,0),IF($F29&gt;0,INDEX('計算A'!BF$110:BF$114,$F29+1)+IF(AND($E29=1,KS29=0),1000,0),MIN(TW29,20)*400+(IF('計算A'!BE$106=1,1-FC29,0)+IF('計算A'!BF$106=1,1-FE29,0))*150+73+'計算A'!BF$5*100000+IF(AND($E29=1,KS29=0),50000,0))+IF($H29=1,(IF('計算A'!BE$117=1,INDEX('計算A'!BE$10:BE$54,$B29),0)+IF('計算A'!BF$117=1,INDEX('計算A'!BG$10:BG$54,$B29),0))*4000,0)-IF(AND('計算A'!BE$117=1,WC29&gt;0),2000,0)-IF(AND($L29=1,'計算A'!BF$117=1,FE29=0),2000,0))),1000000))</f>
        <v/>
      </c>
      <c r="QI29">
        <f>IF($B29=0,1000000,IF(INDEX('計算A'!$D$60:$EQ$104,$B29,56)*FE29=1,IF(AND($E29=2,KT29=0),1000000,IF($I29&gt;0,IF(3=$J29,IF(OR(AND(56=$I29+1,OR($K29&lt;&gt;'計算A'!$A$3,'計算A'!$A$4=0)),AND(56=$I29-1,OR(8&lt;&gt;'計算A'!$A$3,'計算A'!$A$4=0))),0,IF(8=$K29,200000,ABS(8-$K29)*100)),100000+ABS(3-$J29)*1000+80)+'計算A'!BG$5*50+IF(AND($E29=1,KT29=0),25,0),IF($F29&gt;0,INDEX('計算A'!BG$110:BG$114,$F29+1)+IF(AND($E29=1,KT29=0),1000,0),MIN(TW29,20)*400+(IF('計算A'!BF$106=1,1-FD29,0)+IF('計算A'!BG$106=1,1-FF29,0))*150+83+'計算A'!BG$5*100000+IF(AND($E29=1,KT29=0),50000,0))+IF($H29=1,(IF('計算A'!BF$117=1,INDEX('計算A'!BF$10:BF$54,$B29),0)+IF('計算A'!BG$117=1,INDEX('計算A'!BH$10:BH$54,$B29),0))*4000,0)-IF(AND('計算A'!BF$117=1,WD29&gt;0),2000,0)-IF(AND($L29=1,'計算A'!BG$117=1,FF29=0),2000,0))),1000000))</f>
        <v/>
      </c>
      <c r="QJ29">
        <f>IF($B29=0,1000000,IF(INDEX('計算A'!$D$60:$EQ$104,$B29,57)*FF29=1,IF(AND($E29=2,KU29=0),1000000,IF($I29&gt;0,IF(3=$J29,IF(OR(AND(57=$I29+1,OR($K29&lt;&gt;'計算A'!$A$3,'計算A'!$A$4=0)),AND(57=$I29-1,OR(9&lt;&gt;'計算A'!$A$3,'計算A'!$A$4=0))),0,IF(9=$K29,200000,ABS(9-$K29)*100)),100000+ABS(3-$J29)*1000+90)+'計算A'!BH$5*50+IF(AND($E29=1,KU29=0),25,0),IF($F29&gt;0,INDEX('計算A'!BH$110:BH$114,$F29+1)+IF(AND($E29=1,KU29=0),1000,0),MIN(TW29,20)*400+(IF('計算A'!BG$106=1,1-FE29,0)+IF('計算A'!BH$106=1,1-FG29,0))*150+93+'計算A'!BH$5*100000+IF(AND($E29=1,KU29=0),50000,0))+IF($H29=1,(IF('計算A'!BG$117=1,INDEX('計算A'!BG$10:BG$54,$B29),0)+IF('計算A'!BH$117=1,INDEX('計算A'!BI$10:BI$54,$B29),0))*4000,0)-IF(AND('計算A'!BG$117=1,WE29&gt;0),2000,0)-IF(AND($L29=1,'計算A'!BH$117=1,FG29=0),2000,0))),1000000))</f>
        <v/>
      </c>
      <c r="QK29">
        <f>IF($B29=0,1000000,IF(INDEX('計算A'!$D$60:$EQ$104,$B29,58)*FG29=1,IF(AND($E29=2,KV29=0),1000000,IF($I29&gt;0,IF(3=$J29,IF(OR(AND(58=$I29+1,OR($K29&lt;&gt;'計算A'!$A$3,'計算A'!$A$4=0)),AND(58=$I29-1,OR(10&lt;&gt;'計算A'!$A$3,'計算A'!$A$4=0))),0,IF(10=$K29,200000,ABS(10-$K29)*100)),100000+ABS(3-$J29)*1000+100)+'計算A'!BI$5*50+IF(AND($E29=1,KV29=0),25,0),IF($F29&gt;0,INDEX('計算A'!BI$110:BI$114,$F29+1)+IF(AND($E29=1,KV29=0),1000,0),MIN(TW29,20)*400+(IF('計算A'!BH$106=1,1-FF29,0)+IF('計算A'!BI$106=1,1-FH29,0))*150+103+'計算A'!BI$5*100000+IF(AND($E29=1,KV29=0),50000,0))+IF($H29=1,(IF('計算A'!BH$117=1,INDEX('計算A'!BH$10:BH$54,$B29),0)+IF('計算A'!BI$117=1,INDEX('計算A'!BJ$10:BJ$54,$B29),0))*4000,0)-IF(AND('計算A'!BH$117=1,WF29&gt;0),2000,0)-IF(AND($L29=1,'計算A'!BI$117=1,FH29=0),2000,0))),1000000))</f>
        <v/>
      </c>
      <c r="QL29">
        <f>IF($B29=0,1000000,IF(INDEX('計算A'!$D$60:$EQ$104,$B29,59)*FH29=1,IF(AND($E29=2,KW29=0),1000000,IF($I29&gt;0,IF(3=$J29,IF(OR(AND(59=$I29+1,OR($K29&lt;&gt;'計算A'!$A$3,'計算A'!$A$4=0)),AND(59=$I29-1,OR(11&lt;&gt;'計算A'!$A$3,'計算A'!$A$4=0))),0,IF(11=$K29,200000,ABS(11-$K29)*100)),100000+ABS(3-$J29)*1000+110)+'計算A'!BJ$5*50+IF(AND($E29=1,KW29=0),25,0),IF($F29&gt;0,INDEX('計算A'!BJ$110:BJ$114,$F29+1)+IF(AND($E29=1,KW29=0),1000,0),MIN(TW29,20)*400+(IF('計算A'!BI$106=1,1-FG29,0)+IF('計算A'!BJ$106=1,1-FI29,0))*150+113+'計算A'!BJ$5*100000+IF(AND($E29=1,KW29=0),50000,0))+IF($H29=1,(IF('計算A'!BI$117=1,INDEX('計算A'!BI$10:BI$54,$B29),0)+IF('計算A'!BJ$117=1,INDEX('計算A'!BK$10:BK$54,$B29),0))*4000,0)-IF(AND('計算A'!BI$117=1,WG29&gt;0),2000,0)-IF(AND($L29=1,'計算A'!BJ$117=1,FI29=0),2000,0))),1000000))</f>
        <v/>
      </c>
      <c r="QM29">
        <f>IF($B29=0,1000000,IF(INDEX('計算A'!$D$60:$EQ$104,$B29,60)*FI29=1,IF(AND($E29=2,KX29=0),1000000,IF($I29&gt;0,IF(3=$J29,IF(OR(AND(60=$I29+1,OR($K29&lt;&gt;'計算A'!$A$3,'計算A'!$A$4=0)),AND(60=$I29-1,OR(12&lt;&gt;'計算A'!$A$3,'計算A'!$A$4=0))),0,IF(12=$K29,200000,ABS(12-$K29)*100)),100000+ABS(3-$J29)*1000+120)+'計算A'!BK$5*50+IF(AND($E29=1,KX29=0),25,0),IF($F29&gt;0,INDEX('計算A'!BK$110:BK$114,$F29+1)+IF(AND($E29=1,KX29=0),1000,0),MIN(TW29,20)*400+(IF('計算A'!BJ$106=1,1-FH29,0)+IF('計算A'!BK$106=1,1-FJ29,0))*150+123+'計算A'!BK$5*100000+IF(AND($E29=1,KX29=0),50000,0))+IF($H29=1,(IF('計算A'!BJ$117=1,INDEX('計算A'!BJ$10:BJ$54,$B29),0)+IF('計算A'!BK$117=1,INDEX('計算A'!BL$10:BL$54,$B29),0))*4000,0)-IF(AND('計算A'!BJ$117=1,WH29&gt;0),2000,0)-IF(AND($L29=1,'計算A'!BK$117=1,FJ29=0),2000,0))),1000000))</f>
        <v/>
      </c>
      <c r="QN29">
        <f>IF($B29=0,1000000,IF(INDEX('計算A'!$D$60:$EQ$104,$B29,61)*FJ29=1,IF(AND($E29=2,KY29=0),1000000,IF($I29&gt;0,IF(3=$J29,IF(OR(AND(61=$I29+1,OR($K29&lt;&gt;'計算A'!$A$3,'計算A'!$A$4=0)),AND(61=$I29-1,OR(13&lt;&gt;'計算A'!$A$3,'計算A'!$A$4=0))),0,IF(13=$K29,200000,ABS(13-$K29)*100)),100000+ABS(3-$J29)*1000+130)+'計算A'!BL$5*50+IF(AND($E29=1,KY29=0),25,0),IF($F29&gt;0,INDEX('計算A'!BL$110:BL$114,$F29+1)+IF(AND($E29=1,KY29=0),1000,0),MIN(TW29,20)*400+(IF('計算A'!BK$106=1,1-FI29,0)+IF('計算A'!BL$106=1,1-FK29,0))*150+133+'計算A'!BL$5*100000+IF(AND($E29=1,KY29=0),50000,0))+IF($H29=1,(IF('計算A'!BK$117=1,INDEX('計算A'!BK$10:BK$54,$B29),0)+IF('計算A'!BL$117=1,INDEX('計算A'!BM$10:BM$54,$B29),0))*4000,0)-IF(AND('計算A'!BK$117=1,WI29&gt;0),2000,0)-IF(AND($L29=1,'計算A'!BL$117=1,FK29=0),2000,0))),1000000))</f>
        <v/>
      </c>
      <c r="QO29">
        <f>IF($B29=0,1000000,IF(INDEX('計算A'!$D$60:$EQ$104,$B29,62)*FK29=1,IF(AND($E29=2,KZ29=0),1000000,IF($I29&gt;0,IF(3=$J29,IF(OR(AND(62=$I29+1,OR($K29&lt;&gt;'計算A'!$A$3,'計算A'!$A$4=0)),AND(62=$I29-1,OR(14&lt;&gt;'計算A'!$A$3,'計算A'!$A$4=0))),0,IF(14=$K29,200000,ABS(14-$K29)*100)),100000+ABS(3-$J29)*1000+140)+'計算A'!BM$5*50+IF(AND($E29=1,KZ29=0),25,0),IF($F29&gt;0,INDEX('計算A'!BM$110:BM$114,$F29+1)+IF(AND($E29=1,KZ29=0),1000,0),MIN(TW29,20)*400+(IF('計算A'!BL$106=1,1-FJ29,0)+IF('計算A'!BM$106=1,1-FL29,0))*150+143+'計算A'!BM$5*100000+IF(AND($E29=1,KZ29=0),50000,0))+IF($H29=1,(IF('計算A'!BL$117=1,INDEX('計算A'!BL$10:BL$54,$B29),0)+IF('計算A'!BM$117=1,INDEX('計算A'!BN$10:BN$54,$B29),0))*4000,0)-IF(AND('計算A'!BL$117=1,WJ29&gt;0),2000,0)-IF(AND($L29=1,'計算A'!BM$117=1,FL29=0),2000,0))),1000000))</f>
        <v/>
      </c>
      <c r="QP29">
        <f>IF($B29=0,1000000,IF(INDEX('計算A'!$D$60:$EQ$104,$B29,63)*FL29=1,IF(AND($E29=2,LA29=0),1000000,IF($I29&gt;0,IF(3=$J29,IF(OR(AND(63=$I29+1,OR($K29&lt;&gt;'計算A'!$A$3,'計算A'!$A$4=0)),AND(63=$I29-1,OR(15&lt;&gt;'計算A'!$A$3,'計算A'!$A$4=0))),0,IF(15=$K29,200000,ABS(15-$K29)*100)),100000+ABS(3-$J29)*1000+150)+'計算A'!BN$5*50+IF(AND($E29=1,LA29=0),25,0),IF($F29&gt;0,INDEX('計算A'!BN$110:BN$114,$F29+1)+IF(AND($E29=1,LA29=0),1000,0),MIN(TW29,20)*400+(IF('計算A'!BM$106=1,1-FK29,0)+IF('計算A'!BN$106=1,1-FM29,0))*150+153+'計算A'!BN$5*100000+IF(AND($E29=1,LA29=0),50000,0))+IF($H29=1,(IF('計算A'!BM$117=1,INDEX('計算A'!BM$10:BM$54,$B29),0)+IF('計算A'!BN$117=1,INDEX('計算A'!BO$10:BO$54,$B29),0))*4000,0)-IF(AND('計算A'!BM$117=1,WK29&gt;0),2000,0)-IF(AND($L29=1,'計算A'!BN$117=1,FM29=0),2000,0))),1000000))</f>
        <v/>
      </c>
      <c r="QQ29">
        <f>IF($B29=0,1000000,IF(INDEX('計算A'!$D$60:$EQ$104,$B29,64)*FM29=1,IF(AND($E29=2,LB29=0),1000000,IF($I29&gt;0,IF(3=$J29,IF(OR(AND(64=$I29+1,OR($K29&lt;&gt;'計算A'!$A$3,'計算A'!$A$4=0)),AND(64=$I29-1,OR(16&lt;&gt;'計算A'!$A$3,'計算A'!$A$4=0))),0,IF(16=$K29,200000,ABS(16-$K29)*100)),100000+ABS(3-$J29)*1000+160)+'計算A'!BO$5*50+IF(AND($E29=1,LB29=0),25,0),IF($F29&gt;0,INDEX('計算A'!BO$110:BO$114,$F29+1)+IF(AND($E29=1,LB29=0),1000,0),MIN(TW29,20)*400+(IF('計算A'!BN$106=1,1-FL29,0)+IF('計算A'!BO$106=1,1-FN29,0))*150+163+'計算A'!BO$5*100000+IF(AND($E29=1,LB29=0),50000,0))+IF($H29=1,(IF('計算A'!BN$117=1,INDEX('計算A'!BN$10:BN$54,$B29),0)+IF('計算A'!BO$117=1,INDEX('計算A'!BP$10:BP$54,$B29),0))*4000,0)-IF(AND('計算A'!BN$117=1,WL29&gt;0),2000,0)-IF(AND($L29=1,'計算A'!BO$117=1,FN29=0),2000,0))),1000000))</f>
        <v/>
      </c>
      <c r="QR29">
        <f>IF($B29=0,1000000,IF(INDEX('計算A'!$D$60:$EQ$104,$B29,65)*FN29=1,IF(AND($E29=2,LC29=0),1000000,IF($I29&gt;0,IF(3=$J29,IF(OR(AND(65=$I29+1,OR($K29&lt;&gt;'計算A'!$A$3,'計算A'!$A$4=0)),AND(65=$I29-1,OR(17&lt;&gt;'計算A'!$A$3,'計算A'!$A$4=0))),0,IF(17=$K29,200000,ABS(17-$K29)*100)),100000+ABS(3-$J29)*1000+170)+'計算A'!BP$5*50+IF(AND($E29=1,LC29=0),25,0),IF($F29&gt;0,INDEX('計算A'!BP$110:BP$114,$F29+1)+IF(AND($E29=1,LC29=0),1000,0),MIN(TW29,20)*400+(IF('計算A'!BO$106=1,1-FM29,0)+IF('計算A'!BP$106=1,1-FO29,0))*150+173+'計算A'!BP$5*100000+IF(AND($E29=1,LC29=0),50000,0))+IF($H29=1,(IF('計算A'!BO$117=1,INDEX('計算A'!BO$10:BO$54,$B29),0)+IF('計算A'!BP$117=1,INDEX('計算A'!BQ$10:BQ$54,$B29),0))*4000,0)-IF(AND('計算A'!BO$117=1,WM29&gt;0),2000,0)-IF(AND($L29=1,'計算A'!BP$117=1,FO29=0),2000,0))),1000000))</f>
        <v/>
      </c>
      <c r="QS29">
        <f>IF($B29=0,1000000,IF(INDEX('計算A'!$D$60:$EQ$104,$B29,66)*FO29=1,IF(AND($E29=2,LD29=0),1000000,IF($I29&gt;0,IF(3=$J29,IF(OR(AND(66=$I29+1,OR($K29&lt;&gt;'計算A'!$A$3,'計算A'!$A$4=0)),AND(66=$I29-1,OR(18&lt;&gt;'計算A'!$A$3,'計算A'!$A$4=0))),0,IF(18=$K29,200000,ABS(18-$K29)*100)),100000+ABS(3-$J29)*1000+180)+'計算A'!BQ$5*50+IF(AND($E29=1,LD29=0),25,0),IF($F29&gt;0,INDEX('計算A'!BQ$110:BQ$114,$F29+1)+IF(AND($E29=1,LD29=0),1000,0),MIN(TW29,20)*400+(IF('計算A'!BP$106=1,1-FN29,0)+IF('計算A'!BQ$106=1,1-FP29,0))*150+183+'計算A'!BQ$5*100000+IF(AND($E29=1,LD29=0),50000,0))+IF($H29=1,(IF('計算A'!BP$117=1,INDEX('計算A'!BP$10:BP$54,$B29),0)+IF('計算A'!BQ$117=1,INDEX('計算A'!BR$10:BR$54,$B29),0))*4000,0)-IF(AND('計算A'!BP$117=1,WN29&gt;0),2000,0)-IF(AND($L29=1,'計算A'!BQ$117=1,FP29=0),2000,0))),1000000))</f>
        <v/>
      </c>
      <c r="QT29">
        <f>IF($B29=0,1000000,IF(INDEX('計算A'!$D$60:$EQ$104,$B29,67)*FP29=1,IF(AND($E29=2,LE29=0),1000000,IF($I29&gt;0,IF(3=$J29,IF(OR(AND(67=$I29+1,OR($K29&lt;&gt;'計算A'!$A$3,'計算A'!$A$4=0)),AND(67=$I29-1,OR(19&lt;&gt;'計算A'!$A$3,'計算A'!$A$4=0))),0,IF(19=$K29,200000,ABS(19-$K29)*100)),100000+ABS(3-$J29)*1000+190)+'計算A'!BR$5*50+IF(AND($E29=1,LE29=0),25,0),IF($F29&gt;0,INDEX('計算A'!BR$110:BR$114,$F29+1)+IF(AND($E29=1,LE29=0),1000,0),MIN(TW29,20)*400+(IF('計算A'!BQ$106=1,1-FO29,0)+IF('計算A'!BR$106=1,1-FQ29,0))*150+193+'計算A'!BR$5*100000+IF(AND($E29=1,LE29=0),50000,0))+IF($H29=1,(IF('計算A'!BQ$117=1,INDEX('計算A'!BQ$10:BQ$54,$B29),0)+IF('計算A'!BR$117=1,INDEX('計算A'!BS$10:BS$54,$B29),0))*4000,0)-IF(AND('計算A'!BQ$117=1,WO29&gt;0),2000,0)-IF(AND($L29=1,'計算A'!BR$117=1,FQ29=0),2000,0))),1000000))</f>
        <v/>
      </c>
      <c r="QU29">
        <f>IF($B29=0,1000000,IF(INDEX('計算A'!$D$60:$EQ$104,$B29,68)*FQ29=1,IF(AND($E29=2,LF29=0),1000000,IF($I29&gt;0,IF(3=$J29,IF(OR(AND(68=$I29+1,OR($K29&lt;&gt;'計算A'!$A$3,'計算A'!$A$4=0)),AND(68=$I29-1,OR(20&lt;&gt;'計算A'!$A$3,'計算A'!$A$4=0))),0,IF(20=$K29,200000,ABS(20-$K29)*100)),100000+ABS(3-$J29)*1000+200)+'計算A'!BS$5*50+IF(AND($E29=1,LF29=0),25,0),IF($F29&gt;0,INDEX('計算A'!BS$110:BS$114,$F29+1)+IF(AND($E29=1,LF29=0),1000,0),MIN(TW29,20)*400+(IF('計算A'!BR$106=1,1-FP29,0)+IF('計算A'!BS$106=1,1-FR29,0))*150+203+'計算A'!BS$5*100000+IF(AND($E29=1,LF29=0),50000,0))+IF($H29=1,(IF('計算A'!BR$117=1,INDEX('計算A'!BR$10:BR$54,$B29),0)+IF('計算A'!BS$117=1,INDEX('計算A'!BT$10:BT$54,$B29),0))*4000,0)-IF(AND('計算A'!BR$117=1,WP29&gt;0),2000,0)-IF(AND($L29=1,'計算A'!BS$117=1,FR29=0),2000,0))),1000000))</f>
        <v/>
      </c>
      <c r="QV29">
        <f>IF($B29=0,1000000,IF(INDEX('計算A'!$D$60:$EQ$104,$B29,69)*FR29=1,IF(AND($E29=2,LG29=0),1000000,IF($I29&gt;0,IF(3=$J29,IF(OR(AND(69=$I29+1,OR($K29&lt;&gt;'計算A'!$A$3,'計算A'!$A$4=0)),AND(69=$I29-1,OR(21&lt;&gt;'計算A'!$A$3,'計算A'!$A$4=0))),0,IF(21=$K29,200000,ABS(21-$K29)*100)),100000+ABS(3-$J29)*1000+210)+'計算A'!BT$5*50+IF(AND($E29=1,LG29=0),25,0),IF($F29&gt;0,INDEX('計算A'!BT$110:BT$114,$F29+1)+IF(AND($E29=1,LG29=0),1000,0),MIN(TW29,20)*400+(IF('計算A'!BS$106=1,1-FQ29,0)+IF('計算A'!BT$106=1,1-FS29,0))*150+213+'計算A'!BT$5*100000+IF(AND($E29=1,LG29=0),50000,0))+IF($H29=1,(IF('計算A'!BS$117=1,INDEX('計算A'!BS$10:BS$54,$B29),0)+IF('計算A'!BT$117=1,INDEX('計算A'!BU$10:BU$54,$B29),0))*4000,0)-IF(AND('計算A'!BS$117=1,WQ29&gt;0),2000,0)-IF(AND($L29=1,'計算A'!BT$117=1,FS29=0),2000,0))),1000000))</f>
        <v/>
      </c>
      <c r="QW29">
        <f>IF($B29=0,1000000,IF(INDEX('計算A'!$D$60:$EQ$104,$B29,70)*FS29=1,IF(AND($E29=2,LH29=0),1000000,IF($I29&gt;0,IF(3=$J29,IF(OR(AND(70=$I29+1,OR($K29&lt;&gt;'計算A'!$A$3,'計算A'!$A$4=0)),AND(70=$I29-1,OR(22&lt;&gt;'計算A'!$A$3,'計算A'!$A$4=0))),0,IF(22=$K29,200000,ABS(22-$K29)*100)),100000+ABS(3-$J29)*1000+220)+'計算A'!BU$5*50+IF(AND($E29=1,LH29=0),25,0),IF($F29&gt;0,INDEX('計算A'!BU$110:BU$114,$F29+1)+IF(AND($E29=1,LH29=0),1000,0),MIN(TW29,20)*400+(IF('計算A'!BT$106=1,1-FR29,0)+IF('計算A'!BU$106=1,1-FT29,0))*150+223+'計算A'!BU$5*100000+IF(AND($E29=1,LH29=0),50000,0))+IF($H29=1,(IF('計算A'!BT$117=1,INDEX('計算A'!BT$10:BT$54,$B29),0)+IF('計算A'!BU$117=1,INDEX('計算A'!BV$10:BV$54,$B29),0))*4000,0)-IF(AND('計算A'!BT$117=1,WR29&gt;0),2000,0)-IF(AND($L29=1,'計算A'!BU$117=1,FT29=0),2000,0))),1000000))</f>
        <v/>
      </c>
      <c r="QX29">
        <f>IF($B29=0,1000000,IF(INDEX('計算A'!$D$60:$EQ$104,$B29,71)*FT29=1,IF(AND($E29=2,LI29=0),1000000,IF($I29&gt;0,IF(3=$J29,IF(OR(AND(71=$I29+1,OR($K29&lt;&gt;'計算A'!$A$3,'計算A'!$A$4=0)),AND(71=$I29-1,OR(23&lt;&gt;'計算A'!$A$3,'計算A'!$A$4=0))),0,IF(23=$K29,200000,ABS(23-$K29)*100)),100000+ABS(3-$J29)*1000+230)+'計算A'!BV$5*50+IF(AND($E29=1,LI29=0),25,0),IF($F29&gt;0,INDEX('計算A'!BV$110:BV$114,$F29+1)+IF(AND($E29=1,LI29=0),1000,0),MIN(TW29,20)*400+(IF('計算A'!BU$106=1,1-FS29,0)+IF('計算A'!BV$106=1,1-FU29,0))*150+233+'計算A'!BV$5*100000+IF(AND($E29=1,LI29=0),50000,0))+IF($H29=1,(IF('計算A'!BU$117=1,INDEX('計算A'!BU$10:BU$54,$B29),0)+IF('計算A'!BV$117=1,INDEX('計算A'!BW$10:BW$54,$B29),0))*4000,0)-IF(AND('計算A'!BU$117=1,WS29&gt;0),2000,0)-IF(AND($L29=1,'計算A'!BV$117=1,FU29=0),2000,0))),1000000))</f>
        <v/>
      </c>
      <c r="QY29">
        <f>IF($B29=0,1000000,IF(INDEX('計算A'!$D$60:$EQ$104,$B29,72)*FU29=1,IF(AND($E29=2,LJ29=0),1000000,IF($I29&gt;0,IF(3=$J29,IF(OR(AND(72=$I29+1,OR($K29&lt;&gt;'計算A'!$A$3,'計算A'!$A$4=0)),AND(72=$I29-1,OR(24&lt;&gt;'計算A'!$A$3,'計算A'!$A$4=0))),0,IF(24=$K29,200000,ABS(24-$K29)*100)),100000+ABS(3-$J29)*1000+240)+'計算A'!BW$5*50+IF(AND($E29=1,LJ29=0),25,0),IF($F29&gt;0,INDEX('計算A'!BW$110:BW$114,$F29+1)+IF(AND($E29=1,LJ29=0),1000,0),MIN(TW29,20)*400+(IF('計算A'!BV$106=1,1-FT29,0))*150+243+'計算A'!BW$5*100000+IF(AND($E29=1,LJ29=0),50000,0))+IF($H29=1,(IF('計算A'!BV$117=1,INDEX('計算A'!BV$10:BV$54,$B29),0))*4000,0)-IF(AND('計算A'!BV$117=1,WT29&gt;0),2000,0))),1000000))</f>
        <v/>
      </c>
      <c r="QZ29">
        <f>IF($B29=0,1000000,IF(INDEX('計算A'!$D$60:$EQ$104,$B29,73)*FV29=1,IF(AND($E29=2,LK29=0),1000000,IF($I29&gt;0,IF(4=$J29,IF(OR(AND(73=$I29+1,OR($K29&lt;&gt;'計算A'!$A$3,'計算A'!$A$4=0)),AND(73=$I29-1,OR(1&lt;&gt;'計算A'!$A$3,'計算A'!$A$4=0))),0,IF(1=$K29,200000,ABS(1-$K29)*100)),100000+ABS(4-$J29)*1000+10)+'計算A'!BX$5*50+IF(AND($E29=1,LK29=0),25,0),IF($F29&gt;0,INDEX('計算A'!BX$110:BX$114,$F29+1)+IF(AND($E29=1,LK29=0),1000,0),MIN(TX29,20)*400+(IF('計算A'!BX$106=1,1-FW29,0))*150+14+'計算A'!BX$5*100000+IF(AND($E29=1,LK29=0),50000,0))+IF($H29=1,(IF('計算A'!BX$117=1,INDEX('計算A'!BY$10:BY$54,$B29),0))*4000,0)-IF(AND($L29=1,'計算A'!BX$117=1,FW29=0),2000,0))),1000000))</f>
        <v/>
      </c>
      <c r="RA29">
        <f>IF($B29=0,1000000,IF(INDEX('計算A'!$D$60:$EQ$104,$B29,74)*FW29=1,IF(AND($E29=2,LL29=0),1000000,IF($I29&gt;0,IF(4=$J29,IF(OR(AND(74=$I29+1,OR($K29&lt;&gt;'計算A'!$A$3,'計算A'!$A$4=0)),AND(74=$I29-1,OR(2&lt;&gt;'計算A'!$A$3,'計算A'!$A$4=0))),0,IF(2=$K29,200000,ABS(2-$K29)*100)),100000+ABS(4-$J29)*1000+20)+'計算A'!BY$5*50+IF(AND($E29=1,LL29=0),25,0),IF($F29&gt;0,INDEX('計算A'!BY$110:BY$114,$F29+1)+IF(AND($E29=1,LL29=0),1000,0),MIN(TX29,20)*400+(IF('計算A'!BX$106=1,1-FV29,0)+IF('計算A'!BY$106=1,1-FX29,0))*150+24+'計算A'!BY$5*100000+IF(AND($E29=1,LL29=0),50000,0))+IF($H29=1,(IF('計算A'!BX$117=1,INDEX('計算A'!BX$10:BX$54,$B29),0)+IF('計算A'!BY$117=1,INDEX('計算A'!BZ$10:BZ$54,$B29),0))*4000,0)-IF(AND('計算A'!BX$117=1,WV29&gt;0),2000,0)-IF(AND($L29=1,'計算A'!BY$117=1,FX29=0),2000,0))),1000000))</f>
        <v/>
      </c>
      <c r="RB29">
        <f>IF($B29=0,1000000,IF(INDEX('計算A'!$D$60:$EQ$104,$B29,75)*FX29=1,IF(AND($E29=2,LM29=0),1000000,IF($I29&gt;0,IF(4=$J29,IF(OR(AND(75=$I29+1,OR($K29&lt;&gt;'計算A'!$A$3,'計算A'!$A$4=0)),AND(75=$I29-1,OR(3&lt;&gt;'計算A'!$A$3,'計算A'!$A$4=0))),0,IF(3=$K29,200000,ABS(3-$K29)*100)),100000+ABS(4-$J29)*1000+30)+'計算A'!BZ$5*50+IF(AND($E29=1,LM29=0),25,0),IF($F29&gt;0,INDEX('計算A'!BZ$110:BZ$114,$F29+1)+IF(AND($E29=1,LM29=0),1000,0),MIN(TX29,20)*400+(IF('計算A'!BY$106=1,1-FW29,0)+IF('計算A'!BZ$106=1,1-FY29,0))*150+34+'計算A'!BZ$5*100000+IF(AND($E29=1,LM29=0),50000,0))+IF($H29=1,(IF('計算A'!BY$117=1,INDEX('計算A'!BY$10:BY$54,$B29),0)+IF('計算A'!BZ$117=1,INDEX('計算A'!CA$10:CA$54,$B29),0))*4000,0)-IF(AND('計算A'!BY$117=1,WW29&gt;0),2000,0)-IF(AND($L29=1,'計算A'!BZ$117=1,FY29=0),2000,0))),1000000))</f>
        <v/>
      </c>
      <c r="RC29">
        <f>IF($B29=0,1000000,IF(INDEX('計算A'!$D$60:$EQ$104,$B29,76)*FY29=1,IF(AND($E29=2,LN29=0),1000000,IF($I29&gt;0,IF(4=$J29,IF(OR(AND(76=$I29+1,OR($K29&lt;&gt;'計算A'!$A$3,'計算A'!$A$4=0)),AND(76=$I29-1,OR(4&lt;&gt;'計算A'!$A$3,'計算A'!$A$4=0))),0,IF(4=$K29,200000,ABS(4-$K29)*100)),100000+ABS(4-$J29)*1000+40)+'計算A'!CA$5*50+IF(AND($E29=1,LN29=0),25,0),IF($F29&gt;0,INDEX('計算A'!CA$110:CA$114,$F29+1)+IF(AND($E29=1,LN29=0),1000,0),MIN(TX29,20)*400+(IF('計算A'!BZ$106=1,1-FX29,0)+IF('計算A'!CA$106=1,1-FZ29,0))*150+44+'計算A'!CA$5*100000+IF(AND($E29=1,LN29=0),50000,0))+IF($H29=1,(IF('計算A'!BZ$117=1,INDEX('計算A'!BZ$10:BZ$54,$B29),0)+IF('計算A'!CA$117=1,INDEX('計算A'!CB$10:CB$54,$B29),0))*4000,0)-IF(AND('計算A'!BZ$117=1,WX29&gt;0),2000,0)-IF(AND($L29=1,'計算A'!CA$117=1,FZ29=0),2000,0))),1000000))</f>
        <v/>
      </c>
      <c r="RD29">
        <f>IF($B29=0,1000000,IF(INDEX('計算A'!$D$60:$EQ$104,$B29,77)*FZ29=1,IF(AND($E29=2,LO29=0),1000000,IF($I29&gt;0,IF(4=$J29,IF(OR(AND(77=$I29+1,OR($K29&lt;&gt;'計算A'!$A$3,'計算A'!$A$4=0)),AND(77=$I29-1,OR(5&lt;&gt;'計算A'!$A$3,'計算A'!$A$4=0))),0,IF(5=$K29,200000,ABS(5-$K29)*100)),100000+ABS(4-$J29)*1000+50)+'計算A'!CB$5*50+IF(AND($E29=1,LO29=0),25,0),IF($F29&gt;0,INDEX('計算A'!CB$110:CB$114,$F29+1)+IF(AND($E29=1,LO29=0),1000,0),MIN(TX29,20)*400+(IF('計算A'!CA$106=1,1-FY29,0)+IF('計算A'!CB$106=1,1-GA29,0))*150+54+'計算A'!CB$5*100000+IF(AND($E29=1,LO29=0),50000,0))+IF($H29=1,(IF('計算A'!CA$117=1,INDEX('計算A'!CA$10:CA$54,$B29),0)+IF('計算A'!CB$117=1,INDEX('計算A'!CC$10:CC$54,$B29),0))*4000,0)-IF(AND('計算A'!CA$117=1,WY29&gt;0),2000,0)-IF(AND($L29=1,'計算A'!CB$117=1,GA29=0),2000,0))),1000000))</f>
        <v/>
      </c>
      <c r="RE29">
        <f>IF($B29=0,1000000,IF(INDEX('計算A'!$D$60:$EQ$104,$B29,78)*GA29=1,IF(AND($E29=2,LP29=0),1000000,IF($I29&gt;0,IF(4=$J29,IF(OR(AND(78=$I29+1,OR($K29&lt;&gt;'計算A'!$A$3,'計算A'!$A$4=0)),AND(78=$I29-1,OR(6&lt;&gt;'計算A'!$A$3,'計算A'!$A$4=0))),0,IF(6=$K29,200000,ABS(6-$K29)*100)),100000+ABS(4-$J29)*1000+60)+'計算A'!CC$5*50+IF(AND($E29=1,LP29=0),25,0),IF($F29&gt;0,INDEX('計算A'!CC$110:CC$114,$F29+1)+IF(AND($E29=1,LP29=0),1000,0),MIN(TX29,20)*400+(IF('計算A'!CB$106=1,1-FZ29,0)+IF('計算A'!CC$106=1,1-GB29,0))*150+64+'計算A'!CC$5*100000+IF(AND($E29=1,LP29=0),50000,0))+IF($H29=1,(IF('計算A'!CB$117=1,INDEX('計算A'!CB$10:CB$54,$B29),0)+IF('計算A'!CC$117=1,INDEX('計算A'!CD$10:CD$54,$B29),0))*4000,0)-IF(AND('計算A'!CB$117=1,WZ29&gt;0),2000,0)-IF(AND($L29=1,'計算A'!CC$117=1,GB29=0),2000,0))),1000000))</f>
        <v/>
      </c>
      <c r="RF29">
        <f>IF($B29=0,1000000,IF(INDEX('計算A'!$D$60:$EQ$104,$B29,79)*GB29=1,IF(AND($E29=2,LQ29=0),1000000,IF($I29&gt;0,IF(4=$J29,IF(OR(AND(79=$I29+1,OR($K29&lt;&gt;'計算A'!$A$3,'計算A'!$A$4=0)),AND(79=$I29-1,OR(7&lt;&gt;'計算A'!$A$3,'計算A'!$A$4=0))),0,IF(7=$K29,200000,ABS(7-$K29)*100)),100000+ABS(4-$J29)*1000+70)+'計算A'!CD$5*50+IF(AND($E29=1,LQ29=0),25,0),IF($F29&gt;0,INDEX('計算A'!CD$110:CD$114,$F29+1)+IF(AND($E29=1,LQ29=0),1000,0),MIN(TX29,20)*400+(IF('計算A'!CC$106=1,1-GA29,0)+IF('計算A'!CD$106=1,1-GC29,0))*150+74+'計算A'!CD$5*100000+IF(AND($E29=1,LQ29=0),50000,0))+IF($H29=1,(IF('計算A'!CC$117=1,INDEX('計算A'!CC$10:CC$54,$B29),0)+IF('計算A'!CD$117=1,INDEX('計算A'!CE$10:CE$54,$B29),0))*4000,0)-IF(AND('計算A'!CC$117=1,XA29&gt;0),2000,0)-IF(AND($L29=1,'計算A'!CD$117=1,GC29=0),2000,0))),1000000))</f>
        <v/>
      </c>
      <c r="RG29">
        <f>IF($B29=0,1000000,IF(INDEX('計算A'!$D$60:$EQ$104,$B29,80)*GC29=1,IF(AND($E29=2,LR29=0),1000000,IF($I29&gt;0,IF(4=$J29,IF(OR(AND(80=$I29+1,OR($K29&lt;&gt;'計算A'!$A$3,'計算A'!$A$4=0)),AND(80=$I29-1,OR(8&lt;&gt;'計算A'!$A$3,'計算A'!$A$4=0))),0,IF(8=$K29,200000,ABS(8-$K29)*100)),100000+ABS(4-$J29)*1000+80)+'計算A'!CE$5*50+IF(AND($E29=1,LR29=0),25,0),IF($F29&gt;0,INDEX('計算A'!CE$110:CE$114,$F29+1)+IF(AND($E29=1,LR29=0),1000,0),MIN(TX29,20)*400+(IF('計算A'!CD$106=1,1-GB29,0)+IF('計算A'!CE$106=1,1-GD29,0))*150+84+'計算A'!CE$5*100000+IF(AND($E29=1,LR29=0),50000,0))+IF($H29=1,(IF('計算A'!CD$117=1,INDEX('計算A'!CD$10:CD$54,$B29),0)+IF('計算A'!CE$117=1,INDEX('計算A'!CF$10:CF$54,$B29),0))*4000,0)-IF(AND('計算A'!CD$117=1,XB29&gt;0),2000,0)-IF(AND($L29=1,'計算A'!CE$117=1,GD29=0),2000,0))),1000000))</f>
        <v/>
      </c>
      <c r="RH29">
        <f>IF($B29=0,1000000,IF(INDEX('計算A'!$D$60:$EQ$104,$B29,81)*GD29=1,IF(AND($E29=2,LS29=0),1000000,IF($I29&gt;0,IF(4=$J29,IF(OR(AND(81=$I29+1,OR($K29&lt;&gt;'計算A'!$A$3,'計算A'!$A$4=0)),AND(81=$I29-1,OR(9&lt;&gt;'計算A'!$A$3,'計算A'!$A$4=0))),0,IF(9=$K29,200000,ABS(9-$K29)*100)),100000+ABS(4-$J29)*1000+90)+'計算A'!CF$5*50+IF(AND($E29=1,LS29=0),25,0),IF($F29&gt;0,INDEX('計算A'!CF$110:CF$114,$F29+1)+IF(AND($E29=1,LS29=0),1000,0),MIN(TX29,20)*400+(IF('計算A'!CE$106=1,1-GC29,0)+IF('計算A'!CF$106=1,1-GE29,0))*150+94+'計算A'!CF$5*100000+IF(AND($E29=1,LS29=0),50000,0))+IF($H29=1,(IF('計算A'!CE$117=1,INDEX('計算A'!CE$10:CE$54,$B29),0)+IF('計算A'!CF$117=1,INDEX('計算A'!CG$10:CG$54,$B29),0))*4000,0)-IF(AND('計算A'!CE$117=1,XC29&gt;0),2000,0)-IF(AND($L29=1,'計算A'!CF$117=1,GE29=0),2000,0))),1000000))</f>
        <v/>
      </c>
      <c r="RI29">
        <f>IF($B29=0,1000000,IF(INDEX('計算A'!$D$60:$EQ$104,$B29,82)*GE29=1,IF(AND($E29=2,LT29=0),1000000,IF($I29&gt;0,IF(4=$J29,IF(OR(AND(82=$I29+1,OR($K29&lt;&gt;'計算A'!$A$3,'計算A'!$A$4=0)),AND(82=$I29-1,OR(10&lt;&gt;'計算A'!$A$3,'計算A'!$A$4=0))),0,IF(10=$K29,200000,ABS(10-$K29)*100)),100000+ABS(4-$J29)*1000+100)+'計算A'!CG$5*50+IF(AND($E29=1,LT29=0),25,0),IF($F29&gt;0,INDEX('計算A'!CG$110:CG$114,$F29+1)+IF(AND($E29=1,LT29=0),1000,0),MIN(TX29,20)*400+(IF('計算A'!CF$106=1,1-GD29,0)+IF('計算A'!CG$106=1,1-GF29,0))*150+104+'計算A'!CG$5*100000+IF(AND($E29=1,LT29=0),50000,0))+IF($H29=1,(IF('計算A'!CF$117=1,INDEX('計算A'!CF$10:CF$54,$B29),0)+IF('計算A'!CG$117=1,INDEX('計算A'!CH$10:CH$54,$B29),0))*4000,0)-IF(AND('計算A'!CF$117=1,XD29&gt;0),2000,0)-IF(AND($L29=1,'計算A'!CG$117=1,GF29=0),2000,0))),1000000))</f>
        <v/>
      </c>
      <c r="RJ29">
        <f>IF($B29=0,1000000,IF(INDEX('計算A'!$D$60:$EQ$104,$B29,83)*GF29=1,IF(AND($E29=2,LU29=0),1000000,IF($I29&gt;0,IF(4=$J29,IF(OR(AND(83=$I29+1,OR($K29&lt;&gt;'計算A'!$A$3,'計算A'!$A$4=0)),AND(83=$I29-1,OR(11&lt;&gt;'計算A'!$A$3,'計算A'!$A$4=0))),0,IF(11=$K29,200000,ABS(11-$K29)*100)),100000+ABS(4-$J29)*1000+110)+'計算A'!CH$5*50+IF(AND($E29=1,LU29=0),25,0),IF($F29&gt;0,INDEX('計算A'!CH$110:CH$114,$F29+1)+IF(AND($E29=1,LU29=0),1000,0),MIN(TX29,20)*400+(IF('計算A'!CG$106=1,1-GE29,0)+IF('計算A'!CH$106=1,1-GG29,0))*150+114+'計算A'!CH$5*100000+IF(AND($E29=1,LU29=0),50000,0))+IF($H29=1,(IF('計算A'!CG$117=1,INDEX('計算A'!CG$10:CG$54,$B29),0)+IF('計算A'!CH$117=1,INDEX('計算A'!CI$10:CI$54,$B29),0))*4000,0)-IF(AND('計算A'!CG$117=1,XE29&gt;0),2000,0)-IF(AND($L29=1,'計算A'!CH$117=1,GG29=0),2000,0))),1000000))</f>
        <v/>
      </c>
      <c r="RK29">
        <f>IF($B29=0,1000000,IF(INDEX('計算A'!$D$60:$EQ$104,$B29,84)*GG29=1,IF(AND($E29=2,LV29=0),1000000,IF($I29&gt;0,IF(4=$J29,IF(OR(AND(84=$I29+1,OR($K29&lt;&gt;'計算A'!$A$3,'計算A'!$A$4=0)),AND(84=$I29-1,OR(12&lt;&gt;'計算A'!$A$3,'計算A'!$A$4=0))),0,IF(12=$K29,200000,ABS(12-$K29)*100)),100000+ABS(4-$J29)*1000+120)+'計算A'!CI$5*50+IF(AND($E29=1,LV29=0),25,0),IF($F29&gt;0,INDEX('計算A'!CI$110:CI$114,$F29+1)+IF(AND($E29=1,LV29=0),1000,0),MIN(TX29,20)*400+(IF('計算A'!CH$106=1,1-GF29,0)+IF('計算A'!CI$106=1,1-GH29,0))*150+124+'計算A'!CI$5*100000+IF(AND($E29=1,LV29=0),50000,0))+IF($H29=1,(IF('計算A'!CH$117=1,INDEX('計算A'!CH$10:CH$54,$B29),0)+IF('計算A'!CI$117=1,INDEX('計算A'!CJ$10:CJ$54,$B29),0))*4000,0)-IF(AND('計算A'!CH$117=1,XF29&gt;0),2000,0)-IF(AND($L29=1,'計算A'!CI$117=1,GH29=0),2000,0))),1000000))</f>
        <v/>
      </c>
      <c r="RL29">
        <f>IF($B29=0,1000000,IF(INDEX('計算A'!$D$60:$EQ$104,$B29,85)*GH29=1,IF(AND($E29=2,LW29=0),1000000,IF($I29&gt;0,IF(4=$J29,IF(OR(AND(85=$I29+1,OR($K29&lt;&gt;'計算A'!$A$3,'計算A'!$A$4=0)),AND(85=$I29-1,OR(13&lt;&gt;'計算A'!$A$3,'計算A'!$A$4=0))),0,IF(13=$K29,200000,ABS(13-$K29)*100)),100000+ABS(4-$J29)*1000+130)+'計算A'!CJ$5*50+IF(AND($E29=1,LW29=0),25,0),IF($F29&gt;0,INDEX('計算A'!CJ$110:CJ$114,$F29+1)+IF(AND($E29=1,LW29=0),1000,0),MIN(TX29,20)*400+(IF('計算A'!CI$106=1,1-GG29,0)+IF('計算A'!CJ$106=1,1-GI29,0))*150+134+'計算A'!CJ$5*100000+IF(AND($E29=1,LW29=0),50000,0))+IF($H29=1,(IF('計算A'!CI$117=1,INDEX('計算A'!CI$10:CI$54,$B29),0)+IF('計算A'!CJ$117=1,INDEX('計算A'!CK$10:CK$54,$B29),0))*4000,0)-IF(AND('計算A'!CI$117=1,XG29&gt;0),2000,0)-IF(AND($L29=1,'計算A'!CJ$117=1,GI29=0),2000,0))),1000000))</f>
        <v/>
      </c>
      <c r="RM29">
        <f>IF($B29=0,1000000,IF(INDEX('計算A'!$D$60:$EQ$104,$B29,86)*GI29=1,IF(AND($E29=2,LX29=0),1000000,IF($I29&gt;0,IF(4=$J29,IF(OR(AND(86=$I29+1,OR($K29&lt;&gt;'計算A'!$A$3,'計算A'!$A$4=0)),AND(86=$I29-1,OR(14&lt;&gt;'計算A'!$A$3,'計算A'!$A$4=0))),0,IF(14=$K29,200000,ABS(14-$K29)*100)),100000+ABS(4-$J29)*1000+140)+'計算A'!CK$5*50+IF(AND($E29=1,LX29=0),25,0),IF($F29&gt;0,INDEX('計算A'!CK$110:CK$114,$F29+1)+IF(AND($E29=1,LX29=0),1000,0),MIN(TX29,20)*400+(IF('計算A'!CJ$106=1,1-GH29,0)+IF('計算A'!CK$106=1,1-GJ29,0))*150+144+'計算A'!CK$5*100000+IF(AND($E29=1,LX29=0),50000,0))+IF($H29=1,(IF('計算A'!CJ$117=1,INDEX('計算A'!CJ$10:CJ$54,$B29),0)+IF('計算A'!CK$117=1,INDEX('計算A'!CL$10:CL$54,$B29),0))*4000,0)-IF(AND('計算A'!CJ$117=1,XH29&gt;0),2000,0)-IF(AND($L29=1,'計算A'!CK$117=1,GJ29=0),2000,0))),1000000))</f>
        <v/>
      </c>
      <c r="RN29">
        <f>IF($B29=0,1000000,IF(INDEX('計算A'!$D$60:$EQ$104,$B29,87)*GJ29=1,IF(AND($E29=2,LY29=0),1000000,IF($I29&gt;0,IF(4=$J29,IF(OR(AND(87=$I29+1,OR($K29&lt;&gt;'計算A'!$A$3,'計算A'!$A$4=0)),AND(87=$I29-1,OR(15&lt;&gt;'計算A'!$A$3,'計算A'!$A$4=0))),0,IF(15=$K29,200000,ABS(15-$K29)*100)),100000+ABS(4-$J29)*1000+150)+'計算A'!CL$5*50+IF(AND($E29=1,LY29=0),25,0),IF($F29&gt;0,INDEX('計算A'!CL$110:CL$114,$F29+1)+IF(AND($E29=1,LY29=0),1000,0),MIN(TX29,20)*400+(IF('計算A'!CK$106=1,1-GI29,0)+IF('計算A'!CL$106=1,1-GK29,0))*150+154+'計算A'!CL$5*100000+IF(AND($E29=1,LY29=0),50000,0))+IF($H29=1,(IF('計算A'!CK$117=1,INDEX('計算A'!CK$10:CK$54,$B29),0)+IF('計算A'!CL$117=1,INDEX('計算A'!CM$10:CM$54,$B29),0))*4000,0)-IF(AND('計算A'!CK$117=1,XI29&gt;0),2000,0)-IF(AND($L29=1,'計算A'!CL$117=1,GK29=0),2000,0))),1000000))</f>
        <v/>
      </c>
      <c r="RO29">
        <f>IF($B29=0,1000000,IF(INDEX('計算A'!$D$60:$EQ$104,$B29,88)*GK29=1,IF(AND($E29=2,LZ29=0),1000000,IF($I29&gt;0,IF(4=$J29,IF(OR(AND(88=$I29+1,OR($K29&lt;&gt;'計算A'!$A$3,'計算A'!$A$4=0)),AND(88=$I29-1,OR(16&lt;&gt;'計算A'!$A$3,'計算A'!$A$4=0))),0,IF(16=$K29,200000,ABS(16-$K29)*100)),100000+ABS(4-$J29)*1000+160)+'計算A'!CM$5*50+IF(AND($E29=1,LZ29=0),25,0),IF($F29&gt;0,INDEX('計算A'!CM$110:CM$114,$F29+1)+IF(AND($E29=1,LZ29=0),1000,0),MIN(TX29,20)*400+(IF('計算A'!CL$106=1,1-GJ29,0)+IF('計算A'!CM$106=1,1-GL29,0))*150+164+'計算A'!CM$5*100000+IF(AND($E29=1,LZ29=0),50000,0))+IF($H29=1,(IF('計算A'!CL$117=1,INDEX('計算A'!CL$10:CL$54,$B29),0)+IF('計算A'!CM$117=1,INDEX('計算A'!CN$10:CN$54,$B29),0))*4000,0)-IF(AND('計算A'!CL$117=1,XJ29&gt;0),2000,0)-IF(AND($L29=1,'計算A'!CM$117=1,GL29=0),2000,0))),1000000))</f>
        <v/>
      </c>
      <c r="RP29">
        <f>IF($B29=0,1000000,IF(INDEX('計算A'!$D$60:$EQ$104,$B29,89)*GL29=1,IF(AND($E29=2,MA29=0),1000000,IF($I29&gt;0,IF(4=$J29,IF(OR(AND(89=$I29+1,OR($K29&lt;&gt;'計算A'!$A$3,'計算A'!$A$4=0)),AND(89=$I29-1,OR(17&lt;&gt;'計算A'!$A$3,'計算A'!$A$4=0))),0,IF(17=$K29,200000,ABS(17-$K29)*100)),100000+ABS(4-$J29)*1000+170)+'計算A'!CN$5*50+IF(AND($E29=1,MA29=0),25,0),IF($F29&gt;0,INDEX('計算A'!CN$110:CN$114,$F29+1)+IF(AND($E29=1,MA29=0),1000,0),MIN(TX29,20)*400+(IF('計算A'!CM$106=1,1-GK29,0)+IF('計算A'!CN$106=1,1-GM29,0))*150+174+'計算A'!CN$5*100000+IF(AND($E29=1,MA29=0),50000,0))+IF($H29=1,(IF('計算A'!CM$117=1,INDEX('計算A'!CM$10:CM$54,$B29),0)+IF('計算A'!CN$117=1,INDEX('計算A'!CO$10:CO$54,$B29),0))*4000,0)-IF(AND('計算A'!CM$117=1,XK29&gt;0),2000,0)-IF(AND($L29=1,'計算A'!CN$117=1,GM29=0),2000,0))),1000000))</f>
        <v/>
      </c>
      <c r="RQ29">
        <f>IF($B29=0,1000000,IF(INDEX('計算A'!$D$60:$EQ$104,$B29,90)*GM29=1,IF(AND($E29=2,MB29=0),1000000,IF($I29&gt;0,IF(4=$J29,IF(OR(AND(90=$I29+1,OR($K29&lt;&gt;'計算A'!$A$3,'計算A'!$A$4=0)),AND(90=$I29-1,OR(18&lt;&gt;'計算A'!$A$3,'計算A'!$A$4=0))),0,IF(18=$K29,200000,ABS(18-$K29)*100)),100000+ABS(4-$J29)*1000+180)+'計算A'!CO$5*50+IF(AND($E29=1,MB29=0),25,0),IF($F29&gt;0,INDEX('計算A'!CO$110:CO$114,$F29+1)+IF(AND($E29=1,MB29=0),1000,0),MIN(TX29,20)*400+(IF('計算A'!CN$106=1,1-GL29,0)+IF('計算A'!CO$106=1,1-GN29,0))*150+184+'計算A'!CO$5*100000+IF(AND($E29=1,MB29=0),50000,0))+IF($H29=1,(IF('計算A'!CN$117=1,INDEX('計算A'!CN$10:CN$54,$B29),0)+IF('計算A'!CO$117=1,INDEX('計算A'!CP$10:CP$54,$B29),0))*4000,0)-IF(AND('計算A'!CN$117=1,XL29&gt;0),2000,0)-IF(AND($L29=1,'計算A'!CO$117=1,GN29=0),2000,0))),1000000))</f>
        <v/>
      </c>
      <c r="RR29">
        <f>IF($B29=0,1000000,IF(INDEX('計算A'!$D$60:$EQ$104,$B29,91)*GN29=1,IF(AND($E29=2,MC29=0),1000000,IF($I29&gt;0,IF(4=$J29,IF(OR(AND(91=$I29+1,OR($K29&lt;&gt;'計算A'!$A$3,'計算A'!$A$4=0)),AND(91=$I29-1,OR(19&lt;&gt;'計算A'!$A$3,'計算A'!$A$4=0))),0,IF(19=$K29,200000,ABS(19-$K29)*100)),100000+ABS(4-$J29)*1000+190)+'計算A'!CP$5*50+IF(AND($E29=1,MC29=0),25,0),IF($F29&gt;0,INDEX('計算A'!CP$110:CP$114,$F29+1)+IF(AND($E29=1,MC29=0),1000,0),MIN(TX29,20)*400+(IF('計算A'!CO$106=1,1-GM29,0)+IF('計算A'!CP$106=1,1-GO29,0))*150+194+'計算A'!CP$5*100000+IF(AND($E29=1,MC29=0),50000,0))+IF($H29=1,(IF('計算A'!CO$117=1,INDEX('計算A'!CO$10:CO$54,$B29),0)+IF('計算A'!CP$117=1,INDEX('計算A'!CQ$10:CQ$54,$B29),0))*4000,0)-IF(AND('計算A'!CO$117=1,XM29&gt;0),2000,0)-IF(AND($L29=1,'計算A'!CP$117=1,GO29=0),2000,0))),1000000))</f>
        <v/>
      </c>
      <c r="RS29">
        <f>IF($B29=0,1000000,IF(INDEX('計算A'!$D$60:$EQ$104,$B29,92)*GO29=1,IF(AND($E29=2,MD29=0),1000000,IF($I29&gt;0,IF(4=$J29,IF(OR(AND(92=$I29+1,OR($K29&lt;&gt;'計算A'!$A$3,'計算A'!$A$4=0)),AND(92=$I29-1,OR(20&lt;&gt;'計算A'!$A$3,'計算A'!$A$4=0))),0,IF(20=$K29,200000,ABS(20-$K29)*100)),100000+ABS(4-$J29)*1000+200)+'計算A'!CQ$5*50+IF(AND($E29=1,MD29=0),25,0),IF($F29&gt;0,INDEX('計算A'!CQ$110:CQ$114,$F29+1)+IF(AND($E29=1,MD29=0),1000,0),MIN(TX29,20)*400+(IF('計算A'!CP$106=1,1-GN29,0)+IF('計算A'!CQ$106=1,1-GP29,0))*150+204+'計算A'!CQ$5*100000+IF(AND($E29=1,MD29=0),50000,0))+IF($H29=1,(IF('計算A'!CP$117=1,INDEX('計算A'!CP$10:CP$54,$B29),0)+IF('計算A'!CQ$117=1,INDEX('計算A'!CR$10:CR$54,$B29),0))*4000,0)-IF(AND('計算A'!CP$117=1,XN29&gt;0),2000,0)-IF(AND($L29=1,'計算A'!CQ$117=1,GP29=0),2000,0))),1000000))</f>
        <v/>
      </c>
      <c r="RT29">
        <f>IF($B29=0,1000000,IF(INDEX('計算A'!$D$60:$EQ$104,$B29,93)*GP29=1,IF(AND($E29=2,ME29=0),1000000,IF($I29&gt;0,IF(4=$J29,IF(OR(AND(93=$I29+1,OR($K29&lt;&gt;'計算A'!$A$3,'計算A'!$A$4=0)),AND(93=$I29-1,OR(21&lt;&gt;'計算A'!$A$3,'計算A'!$A$4=0))),0,IF(21=$K29,200000,ABS(21-$K29)*100)),100000+ABS(4-$J29)*1000+210)+'計算A'!CR$5*50+IF(AND($E29=1,ME29=0),25,0),IF($F29&gt;0,INDEX('計算A'!CR$110:CR$114,$F29+1)+IF(AND($E29=1,ME29=0),1000,0),MIN(TX29,20)*400+(IF('計算A'!CQ$106=1,1-GO29,0)+IF('計算A'!CR$106=1,1-GQ29,0))*150+214+'計算A'!CR$5*100000+IF(AND($E29=1,ME29=0),50000,0))+IF($H29=1,(IF('計算A'!CQ$117=1,INDEX('計算A'!CQ$10:CQ$54,$B29),0)+IF('計算A'!CR$117=1,INDEX('計算A'!CS$10:CS$54,$B29),0))*4000,0)-IF(AND('計算A'!CQ$117=1,XO29&gt;0),2000,0)-IF(AND($L29=1,'計算A'!CR$117=1,GQ29=0),2000,0))),1000000))</f>
        <v/>
      </c>
      <c r="RU29">
        <f>IF($B29=0,1000000,IF(INDEX('計算A'!$D$60:$EQ$104,$B29,94)*GQ29=1,IF(AND($E29=2,MF29=0),1000000,IF($I29&gt;0,IF(4=$J29,IF(OR(AND(94=$I29+1,OR($K29&lt;&gt;'計算A'!$A$3,'計算A'!$A$4=0)),AND(94=$I29-1,OR(22&lt;&gt;'計算A'!$A$3,'計算A'!$A$4=0))),0,IF(22=$K29,200000,ABS(22-$K29)*100)),100000+ABS(4-$J29)*1000+220)+'計算A'!CS$5*50+IF(AND($E29=1,MF29=0),25,0),IF($F29&gt;0,INDEX('計算A'!CS$110:CS$114,$F29+1)+IF(AND($E29=1,MF29=0),1000,0),MIN(TX29,20)*400+(IF('計算A'!CR$106=1,1-GP29,0)+IF('計算A'!CS$106=1,1-GR29,0))*150+224+'計算A'!CS$5*100000+IF(AND($E29=1,MF29=0),50000,0))+IF($H29=1,(IF('計算A'!CR$117=1,INDEX('計算A'!CR$10:CR$54,$B29),0)+IF('計算A'!CS$117=1,INDEX('計算A'!CT$10:CT$54,$B29),0))*4000,0)-IF(AND('計算A'!CR$117=1,XP29&gt;0),2000,0)-IF(AND($L29=1,'計算A'!CS$117=1,GR29=0),2000,0))),1000000))</f>
        <v/>
      </c>
      <c r="RV29">
        <f>IF($B29=0,1000000,IF(INDEX('計算A'!$D$60:$EQ$104,$B29,95)*GR29=1,IF(AND($E29=2,MG29=0),1000000,IF($I29&gt;0,IF(4=$J29,IF(OR(AND(95=$I29+1,OR($K29&lt;&gt;'計算A'!$A$3,'計算A'!$A$4=0)),AND(95=$I29-1,OR(23&lt;&gt;'計算A'!$A$3,'計算A'!$A$4=0))),0,IF(23=$K29,200000,ABS(23-$K29)*100)),100000+ABS(4-$J29)*1000+230)+'計算A'!CT$5*50+IF(AND($E29=1,MG29=0),25,0),IF($F29&gt;0,INDEX('計算A'!CT$110:CT$114,$F29+1)+IF(AND($E29=1,MG29=0),1000,0),MIN(TX29,20)*400+(IF('計算A'!CS$106=1,1-GQ29,0)+IF('計算A'!CT$106=1,1-GS29,0))*150+234+'計算A'!CT$5*100000+IF(AND($E29=1,MG29=0),50000,0))+IF($H29=1,(IF('計算A'!CS$117=1,INDEX('計算A'!CS$10:CS$54,$B29),0)+IF('計算A'!CT$117=1,INDEX('計算A'!CU$10:CU$54,$B29),0))*4000,0)-IF(AND('計算A'!CS$117=1,XQ29&gt;0),2000,0)-IF(AND($L29=1,'計算A'!CT$117=1,GS29=0),2000,0))),1000000))</f>
        <v/>
      </c>
      <c r="RW29">
        <f>IF($B29=0,1000000,IF(INDEX('計算A'!$D$60:$EQ$104,$B29,96)*GS29=1,IF(AND($E29=2,MH29=0),1000000,IF($I29&gt;0,IF(4=$J29,IF(OR(AND(96=$I29+1,OR($K29&lt;&gt;'計算A'!$A$3,'計算A'!$A$4=0)),AND(96=$I29-1,OR(24&lt;&gt;'計算A'!$A$3,'計算A'!$A$4=0))),0,IF(24=$K29,200000,ABS(24-$K29)*100)),100000+ABS(4-$J29)*1000+240)+'計算A'!CU$5*50+IF(AND($E29=1,MH29=0),25,0),IF($F29&gt;0,INDEX('計算A'!CU$110:CU$114,$F29+1)+IF(AND($E29=1,MH29=0),1000,0),MIN(TX29,20)*400+(IF('計算A'!CT$106=1,1-GR29,0))*150+244+'計算A'!CU$5*100000+IF(AND($E29=1,MH29=0),50000,0))+IF($H29=1,(IF('計算A'!CT$117=1,INDEX('計算A'!CT$10:CT$54,$B29),0))*4000,0)-IF(AND('計算A'!CT$117=1,XR29&gt;0),2000,0))),1000000))</f>
        <v/>
      </c>
      <c r="RX29">
        <f>IF($B29=0,1000000,IF(INDEX('計算A'!$D$60:$EQ$104,$B29,97)*GT29=1,IF(AND($E29=2,MI29=0),1000000,IF($I29&gt;0,IF(5=$J29,IF(OR(AND(97=$I29+1,OR($K29&lt;&gt;'計算A'!$A$3,'計算A'!$A$4=0)),AND(97=$I29-1,OR(1&lt;&gt;'計算A'!$A$3,'計算A'!$A$4=0))),0,IF(1=$K29,200000,ABS(1-$K29)*100)),100000+ABS(5-$J29)*1000+10)+'計算A'!CV$5*50+IF(AND($E29=1,MI29=0),25,0),IF($F29&gt;0,INDEX('計算A'!CV$110:CV$114,$F29+1)+IF(AND($E29=1,MI29=0),1000,0),MIN(TY29,20)*400+(IF('計算A'!CV$106=1,1-GU29,0))*150+15+'計算A'!CV$5*100000+IF(AND($E29=1,MI29=0),50000,0))+IF($H29=1,(IF('計算A'!CV$117=1,INDEX('計算A'!CW$10:CW$54,$B29),0))*4000,0)-IF(AND($L29=1,'計算A'!CV$117=1,GU29=0),2000,0))),1000000))</f>
        <v/>
      </c>
      <c r="RY29">
        <f>IF($B29=0,1000000,IF(INDEX('計算A'!$D$60:$EQ$104,$B29,98)*GU29=1,IF(AND($E29=2,MJ29=0),1000000,IF($I29&gt;0,IF(5=$J29,IF(OR(AND(98=$I29+1,OR($K29&lt;&gt;'計算A'!$A$3,'計算A'!$A$4=0)),AND(98=$I29-1,OR(2&lt;&gt;'計算A'!$A$3,'計算A'!$A$4=0))),0,IF(2=$K29,200000,ABS(2-$K29)*100)),100000+ABS(5-$J29)*1000+20)+'計算A'!CW$5*50+IF(AND($E29=1,MJ29=0),25,0),IF($F29&gt;0,INDEX('計算A'!CW$110:CW$114,$F29+1)+IF(AND($E29=1,MJ29=0),1000,0),MIN(TY29,20)*400+(IF('計算A'!CV$106=1,1-GT29,0)+IF('計算A'!CW$106=1,1-GV29,0))*150+25+'計算A'!CW$5*100000+IF(AND($E29=1,MJ29=0),50000,0))+IF($H29=1,(IF('計算A'!CV$117=1,INDEX('計算A'!CV$10:CV$54,$B29),0)+IF('計算A'!CW$117=1,INDEX('計算A'!CX$10:CX$54,$B29),0))*4000,0)-IF(AND('計算A'!CV$117=1,XT29&gt;0),2000,0)-IF(AND($L29=1,'計算A'!CW$117=1,GV29=0),2000,0))),1000000))</f>
        <v/>
      </c>
      <c r="RZ29">
        <f>IF($B29=0,1000000,IF(INDEX('計算A'!$D$60:$EQ$104,$B29,99)*GV29=1,IF(AND($E29=2,MK29=0),1000000,IF($I29&gt;0,IF(5=$J29,IF(OR(AND(99=$I29+1,OR($K29&lt;&gt;'計算A'!$A$3,'計算A'!$A$4=0)),AND(99=$I29-1,OR(3&lt;&gt;'計算A'!$A$3,'計算A'!$A$4=0))),0,IF(3=$K29,200000,ABS(3-$K29)*100)),100000+ABS(5-$J29)*1000+30)+'計算A'!CX$5*50+IF(AND($E29=1,MK29=0),25,0),IF($F29&gt;0,INDEX('計算A'!CX$110:CX$114,$F29+1)+IF(AND($E29=1,MK29=0),1000,0),MIN(TY29,20)*400+(IF('計算A'!CW$106=1,1-GU29,0)+IF('計算A'!CX$106=1,1-GW29,0))*150+35+'計算A'!CX$5*100000+IF(AND($E29=1,MK29=0),50000,0))+IF($H29=1,(IF('計算A'!CW$117=1,INDEX('計算A'!CW$10:CW$54,$B29),0)+IF('計算A'!CX$117=1,INDEX('計算A'!CY$10:CY$54,$B29),0))*4000,0)-IF(AND('計算A'!CW$117=1,XU29&gt;0),2000,0)-IF(AND($L29=1,'計算A'!CX$117=1,GW29=0),2000,0))),1000000))</f>
        <v/>
      </c>
      <c r="SA29">
        <f>IF($B29=0,1000000,IF(INDEX('計算A'!$D$60:$EQ$104,$B29,100)*GW29=1,IF(AND($E29=2,ML29=0),1000000,IF($I29&gt;0,IF(5=$J29,IF(OR(AND(100=$I29+1,OR($K29&lt;&gt;'計算A'!$A$3,'計算A'!$A$4=0)),AND(100=$I29-1,OR(4&lt;&gt;'計算A'!$A$3,'計算A'!$A$4=0))),0,IF(4=$K29,200000,ABS(4-$K29)*100)),100000+ABS(5-$J29)*1000+40)+'計算A'!CY$5*50+IF(AND($E29=1,ML29=0),25,0),IF($F29&gt;0,INDEX('計算A'!CY$110:CY$114,$F29+1)+IF(AND($E29=1,ML29=0),1000,0),MIN(TY29,20)*400+(IF('計算A'!CX$106=1,1-GV29,0)+IF('計算A'!CY$106=1,1-GX29,0))*150+45+'計算A'!CY$5*100000+IF(AND($E29=1,ML29=0),50000,0))+IF($H29=1,(IF('計算A'!CX$117=1,INDEX('計算A'!CX$10:CX$54,$B29),0)+IF('計算A'!CY$117=1,INDEX('計算A'!CZ$10:CZ$54,$B29),0))*4000,0)-IF(AND('計算A'!CX$117=1,XV29&gt;0),2000,0)-IF(AND($L29=1,'計算A'!CY$117=1,GX29=0),2000,0))),1000000))</f>
        <v/>
      </c>
      <c r="SB29">
        <f>IF($B29=0,1000000,IF(INDEX('計算A'!$D$60:$EQ$104,$B29,101)*GX29=1,IF(AND($E29=2,MM29=0),1000000,IF($I29&gt;0,IF(5=$J29,IF(OR(AND(101=$I29+1,OR($K29&lt;&gt;'計算A'!$A$3,'計算A'!$A$4=0)),AND(101=$I29-1,OR(5&lt;&gt;'計算A'!$A$3,'計算A'!$A$4=0))),0,IF(5=$K29,200000,ABS(5-$K29)*100)),100000+ABS(5-$J29)*1000+50)+'計算A'!CZ$5*50+IF(AND($E29=1,MM29=0),25,0),IF($F29&gt;0,INDEX('計算A'!CZ$110:CZ$114,$F29+1)+IF(AND($E29=1,MM29=0),1000,0),MIN(TY29,20)*400+(IF('計算A'!CY$106=1,1-GW29,0)+IF('計算A'!CZ$106=1,1-GY29,0))*150+55+'計算A'!CZ$5*100000+IF(AND($E29=1,MM29=0),50000,0))+IF($H29=1,(IF('計算A'!CY$117=1,INDEX('計算A'!CY$10:CY$54,$B29),0)+IF('計算A'!CZ$117=1,INDEX('計算A'!DA$10:DA$54,$B29),0))*4000,0)-IF(AND('計算A'!CY$117=1,XW29&gt;0),2000,0)-IF(AND($L29=1,'計算A'!CZ$117=1,GY29=0),2000,0))),1000000))</f>
        <v/>
      </c>
      <c r="SC29">
        <f>IF($B29=0,1000000,IF(INDEX('計算A'!$D$60:$EQ$104,$B29,102)*GY29=1,IF(AND($E29=2,MN29=0),1000000,IF($I29&gt;0,IF(5=$J29,IF(OR(AND(102=$I29+1,OR($K29&lt;&gt;'計算A'!$A$3,'計算A'!$A$4=0)),AND(102=$I29-1,OR(6&lt;&gt;'計算A'!$A$3,'計算A'!$A$4=0))),0,IF(6=$K29,200000,ABS(6-$K29)*100)),100000+ABS(5-$J29)*1000+60)+'計算A'!DA$5*50+IF(AND($E29=1,MN29=0),25,0),IF($F29&gt;0,INDEX('計算A'!DA$110:DA$114,$F29+1)+IF(AND($E29=1,MN29=0),1000,0),MIN(TY29,20)*400+(IF('計算A'!CZ$106=1,1-GX29,0)+IF('計算A'!DA$106=1,1-GZ29,0))*150+65+'計算A'!DA$5*100000+IF(AND($E29=1,MN29=0),50000,0))+IF($H29=1,(IF('計算A'!CZ$117=1,INDEX('計算A'!CZ$10:CZ$54,$B29),0)+IF('計算A'!DA$117=1,INDEX('計算A'!DB$10:DB$54,$B29),0))*4000,0)-IF(AND('計算A'!CZ$117=1,XX29&gt;0),2000,0)-IF(AND($L29=1,'計算A'!DA$117=1,GZ29=0),2000,0))),1000000))</f>
        <v/>
      </c>
      <c r="SD29">
        <f>IF($B29=0,1000000,IF(INDEX('計算A'!$D$60:$EQ$104,$B29,103)*GZ29=1,IF(AND($E29=2,MO29=0),1000000,IF($I29&gt;0,IF(5=$J29,IF(OR(AND(103=$I29+1,OR($K29&lt;&gt;'計算A'!$A$3,'計算A'!$A$4=0)),AND(103=$I29-1,OR(7&lt;&gt;'計算A'!$A$3,'計算A'!$A$4=0))),0,IF(7=$K29,200000,ABS(7-$K29)*100)),100000+ABS(5-$J29)*1000+70)+'計算A'!DB$5*50+IF(AND($E29=1,MO29=0),25,0),IF($F29&gt;0,INDEX('計算A'!DB$110:DB$114,$F29+1)+IF(AND($E29=1,MO29=0),1000,0),MIN(TY29,20)*400+(IF('計算A'!DA$106=1,1-GY29,0)+IF('計算A'!DB$106=1,1-HA29,0))*150+75+'計算A'!DB$5*100000+IF(AND($E29=1,MO29=0),50000,0))+IF($H29=1,(IF('計算A'!DA$117=1,INDEX('計算A'!DA$10:DA$54,$B29),0)+IF('計算A'!DB$117=1,INDEX('計算A'!DC$10:DC$54,$B29),0))*4000,0)-IF(AND('計算A'!DA$117=1,XY29&gt;0),2000,0)-IF(AND($L29=1,'計算A'!DB$117=1,HA29=0),2000,0))),1000000))</f>
        <v/>
      </c>
      <c r="SE29">
        <f>IF($B29=0,1000000,IF(INDEX('計算A'!$D$60:$EQ$104,$B29,104)*HA29=1,IF(AND($E29=2,MP29=0),1000000,IF($I29&gt;0,IF(5=$J29,IF(OR(AND(104=$I29+1,OR($K29&lt;&gt;'計算A'!$A$3,'計算A'!$A$4=0)),AND(104=$I29-1,OR(8&lt;&gt;'計算A'!$A$3,'計算A'!$A$4=0))),0,IF(8=$K29,200000,ABS(8-$K29)*100)),100000+ABS(5-$J29)*1000+80)+'計算A'!DC$5*50+IF(AND($E29=1,MP29=0),25,0),IF($F29&gt;0,INDEX('計算A'!DC$110:DC$114,$F29+1)+IF(AND($E29=1,MP29=0),1000,0),MIN(TY29,20)*400+(IF('計算A'!DB$106=1,1-GZ29,0)+IF('計算A'!DC$106=1,1-HB29,0))*150+85+'計算A'!DC$5*100000+IF(AND($E29=1,MP29=0),50000,0))+IF($H29=1,(IF('計算A'!DB$117=1,INDEX('計算A'!DB$10:DB$54,$B29),0)+IF('計算A'!DC$117=1,INDEX('計算A'!DD$10:DD$54,$B29),0))*4000,0)-IF(AND('計算A'!DB$117=1,XZ29&gt;0),2000,0)-IF(AND($L29=1,'計算A'!DC$117=1,HB29=0),2000,0))),1000000))</f>
        <v/>
      </c>
      <c r="SF29">
        <f>IF($B29=0,1000000,IF(INDEX('計算A'!$D$60:$EQ$104,$B29,105)*HB29=1,IF(AND($E29=2,MQ29=0),1000000,IF($I29&gt;0,IF(5=$J29,IF(OR(AND(105=$I29+1,OR($K29&lt;&gt;'計算A'!$A$3,'計算A'!$A$4=0)),AND(105=$I29-1,OR(9&lt;&gt;'計算A'!$A$3,'計算A'!$A$4=0))),0,IF(9=$K29,200000,ABS(9-$K29)*100)),100000+ABS(5-$J29)*1000+90)+'計算A'!DD$5*50+IF(AND($E29=1,MQ29=0),25,0),IF($F29&gt;0,INDEX('計算A'!DD$110:DD$114,$F29+1)+IF(AND($E29=1,MQ29=0),1000,0),MIN(TY29,20)*400+(IF('計算A'!DC$106=1,1-HA29,0)+IF('計算A'!DD$106=1,1-HC29,0))*150+95+'計算A'!DD$5*100000+IF(AND($E29=1,MQ29=0),50000,0))+IF($H29=1,(IF('計算A'!DC$117=1,INDEX('計算A'!DC$10:DC$54,$B29),0)+IF('計算A'!DD$117=1,INDEX('計算A'!DE$10:DE$54,$B29),0))*4000,0)-IF(AND('計算A'!DC$117=1,YA29&gt;0),2000,0)-IF(AND($L29=1,'計算A'!DD$117=1,HC29=0),2000,0))),1000000))</f>
        <v/>
      </c>
      <c r="SG29">
        <f>IF($B29=0,1000000,IF(INDEX('計算A'!$D$60:$EQ$104,$B29,106)*HC29=1,IF(AND($E29=2,MR29=0),1000000,IF($I29&gt;0,IF(5=$J29,IF(OR(AND(106=$I29+1,OR($K29&lt;&gt;'計算A'!$A$3,'計算A'!$A$4=0)),AND(106=$I29-1,OR(10&lt;&gt;'計算A'!$A$3,'計算A'!$A$4=0))),0,IF(10=$K29,200000,ABS(10-$K29)*100)),100000+ABS(5-$J29)*1000+100)+'計算A'!DE$5*50+IF(AND($E29=1,MR29=0),25,0),IF($F29&gt;0,INDEX('計算A'!DE$110:DE$114,$F29+1)+IF(AND($E29=1,MR29=0),1000,0),MIN(TY29,20)*400+(IF('計算A'!DD$106=1,1-HB29,0)+IF('計算A'!DE$106=1,1-HD29,0))*150+105+'計算A'!DE$5*100000+IF(AND($E29=1,MR29=0),50000,0))+IF($H29=1,(IF('計算A'!DD$117=1,INDEX('計算A'!DD$10:DD$54,$B29),0)+IF('計算A'!DE$117=1,INDEX('計算A'!DF$10:DF$54,$B29),0))*4000,0)-IF(AND('計算A'!DD$117=1,YB29&gt;0),2000,0)-IF(AND($L29=1,'計算A'!DE$117=1,HD29=0),2000,0))),1000000))</f>
        <v/>
      </c>
      <c r="SH29">
        <f>IF($B29=0,1000000,IF(INDEX('計算A'!$D$60:$EQ$104,$B29,107)*HD29=1,IF(AND($E29=2,MS29=0),1000000,IF($I29&gt;0,IF(5=$J29,IF(OR(AND(107=$I29+1,OR($K29&lt;&gt;'計算A'!$A$3,'計算A'!$A$4=0)),AND(107=$I29-1,OR(11&lt;&gt;'計算A'!$A$3,'計算A'!$A$4=0))),0,IF(11=$K29,200000,ABS(11-$K29)*100)),100000+ABS(5-$J29)*1000+110)+'計算A'!DF$5*50+IF(AND($E29=1,MS29=0),25,0),IF($F29&gt;0,INDEX('計算A'!DF$110:DF$114,$F29+1)+IF(AND($E29=1,MS29=0),1000,0),MIN(TY29,20)*400+(IF('計算A'!DE$106=1,1-HC29,0)+IF('計算A'!DF$106=1,1-HE29,0))*150+115+'計算A'!DF$5*100000+IF(AND($E29=1,MS29=0),50000,0))+IF($H29=1,(IF('計算A'!DE$117=1,INDEX('計算A'!DE$10:DE$54,$B29),0)+IF('計算A'!DF$117=1,INDEX('計算A'!DG$10:DG$54,$B29),0))*4000,0)-IF(AND('計算A'!DE$117=1,YC29&gt;0),2000,0)-IF(AND($L29=1,'計算A'!DF$117=1,HE29=0),2000,0))),1000000))</f>
        <v/>
      </c>
      <c r="SI29">
        <f>IF($B29=0,1000000,IF(INDEX('計算A'!$D$60:$EQ$104,$B29,108)*HE29=1,IF(AND($E29=2,MT29=0),1000000,IF($I29&gt;0,IF(5=$J29,IF(OR(AND(108=$I29+1,OR($K29&lt;&gt;'計算A'!$A$3,'計算A'!$A$4=0)),AND(108=$I29-1,OR(12&lt;&gt;'計算A'!$A$3,'計算A'!$A$4=0))),0,IF(12=$K29,200000,ABS(12-$K29)*100)),100000+ABS(5-$J29)*1000+120)+'計算A'!DG$5*50+IF(AND($E29=1,MT29=0),25,0),IF($F29&gt;0,INDEX('計算A'!DG$110:DG$114,$F29+1)+IF(AND($E29=1,MT29=0),1000,0),MIN(TY29,20)*400+(IF('計算A'!DF$106=1,1-HD29,0)+IF('計算A'!DG$106=1,1-HF29,0))*150+125+'計算A'!DG$5*100000+IF(AND($E29=1,MT29=0),50000,0))+IF($H29=1,(IF('計算A'!DF$117=1,INDEX('計算A'!DF$10:DF$54,$B29),0)+IF('計算A'!DG$117=1,INDEX('計算A'!DH$10:DH$54,$B29),0))*4000,0)-IF(AND('計算A'!DF$117=1,YD29&gt;0),2000,0)-IF(AND($L29=1,'計算A'!DG$117=1,HF29=0),2000,0))),1000000))</f>
        <v/>
      </c>
      <c r="SJ29">
        <f>IF($B29=0,1000000,IF(INDEX('計算A'!$D$60:$EQ$104,$B29,109)*HF29=1,IF(AND($E29=2,MU29=0),1000000,IF($I29&gt;0,IF(5=$J29,IF(OR(AND(109=$I29+1,OR($K29&lt;&gt;'計算A'!$A$3,'計算A'!$A$4=0)),AND(109=$I29-1,OR(13&lt;&gt;'計算A'!$A$3,'計算A'!$A$4=0))),0,IF(13=$K29,200000,ABS(13-$K29)*100)),100000+ABS(5-$J29)*1000+130)+'計算A'!DH$5*50+IF(AND($E29=1,MU29=0),25,0),IF($F29&gt;0,INDEX('計算A'!DH$110:DH$114,$F29+1)+IF(AND($E29=1,MU29=0),1000,0),MIN(TY29,20)*400+(IF('計算A'!DG$106=1,1-HE29,0)+IF('計算A'!DH$106=1,1-HG29,0))*150+135+'計算A'!DH$5*100000+IF(AND($E29=1,MU29=0),50000,0))+IF($H29=1,(IF('計算A'!DG$117=1,INDEX('計算A'!DG$10:DG$54,$B29),0)+IF('計算A'!DH$117=1,INDEX('計算A'!DI$10:DI$54,$B29),0))*4000,0)-IF(AND('計算A'!DG$117=1,YE29&gt;0),2000,0)-IF(AND($L29=1,'計算A'!DH$117=1,HG29=0),2000,0))),1000000))</f>
        <v/>
      </c>
      <c r="SK29">
        <f>IF($B29=0,1000000,IF(INDEX('計算A'!$D$60:$EQ$104,$B29,110)*HG29=1,IF(AND($E29=2,MV29=0),1000000,IF($I29&gt;0,IF(5=$J29,IF(OR(AND(110=$I29+1,OR($K29&lt;&gt;'計算A'!$A$3,'計算A'!$A$4=0)),AND(110=$I29-1,OR(14&lt;&gt;'計算A'!$A$3,'計算A'!$A$4=0))),0,IF(14=$K29,200000,ABS(14-$K29)*100)),100000+ABS(5-$J29)*1000+140)+'計算A'!DI$5*50+IF(AND($E29=1,MV29=0),25,0),IF($F29&gt;0,INDEX('計算A'!DI$110:DI$114,$F29+1)+IF(AND($E29=1,MV29=0),1000,0),MIN(TY29,20)*400+(IF('計算A'!DH$106=1,1-HF29,0)+IF('計算A'!DI$106=1,1-HH29,0))*150+145+'計算A'!DI$5*100000+IF(AND($E29=1,MV29=0),50000,0))+IF($H29=1,(IF('計算A'!DH$117=1,INDEX('計算A'!DH$10:DH$54,$B29),0)+IF('計算A'!DI$117=1,INDEX('計算A'!DJ$10:DJ$54,$B29),0))*4000,0)-IF(AND('計算A'!DH$117=1,YF29&gt;0),2000,0)-IF(AND($L29=1,'計算A'!DI$117=1,HH29=0),2000,0))),1000000))</f>
        <v/>
      </c>
      <c r="SL29">
        <f>IF($B29=0,1000000,IF(INDEX('計算A'!$D$60:$EQ$104,$B29,111)*HH29=1,IF(AND($E29=2,MW29=0),1000000,IF($I29&gt;0,IF(5=$J29,IF(OR(AND(111=$I29+1,OR($K29&lt;&gt;'計算A'!$A$3,'計算A'!$A$4=0)),AND(111=$I29-1,OR(15&lt;&gt;'計算A'!$A$3,'計算A'!$A$4=0))),0,IF(15=$K29,200000,ABS(15-$K29)*100)),100000+ABS(5-$J29)*1000+150)+'計算A'!DJ$5*50+IF(AND($E29=1,MW29=0),25,0),IF($F29&gt;0,INDEX('計算A'!DJ$110:DJ$114,$F29+1)+IF(AND($E29=1,MW29=0),1000,0),MIN(TY29,20)*400+(IF('計算A'!DI$106=1,1-HG29,0)+IF('計算A'!DJ$106=1,1-HI29,0))*150+155+'計算A'!DJ$5*100000+IF(AND($E29=1,MW29=0),50000,0))+IF($H29=1,(IF('計算A'!DI$117=1,INDEX('計算A'!DI$10:DI$54,$B29),0)+IF('計算A'!DJ$117=1,INDEX('計算A'!DK$10:DK$54,$B29),0))*4000,0)-IF(AND('計算A'!DI$117=1,YG29&gt;0),2000,0)-IF(AND($L29=1,'計算A'!DJ$117=1,HI29=0),2000,0))),1000000))</f>
        <v/>
      </c>
      <c r="SM29">
        <f>IF($B29=0,1000000,IF(INDEX('計算A'!$D$60:$EQ$104,$B29,112)*HI29=1,IF(AND($E29=2,MX29=0),1000000,IF($I29&gt;0,IF(5=$J29,IF(OR(AND(112=$I29+1,OR($K29&lt;&gt;'計算A'!$A$3,'計算A'!$A$4=0)),AND(112=$I29-1,OR(16&lt;&gt;'計算A'!$A$3,'計算A'!$A$4=0))),0,IF(16=$K29,200000,ABS(16-$K29)*100)),100000+ABS(5-$J29)*1000+160)+'計算A'!DK$5*50+IF(AND($E29=1,MX29=0),25,0),IF($F29&gt;0,INDEX('計算A'!DK$110:DK$114,$F29+1)+IF(AND($E29=1,MX29=0),1000,0),MIN(TY29,20)*400+(IF('計算A'!DJ$106=1,1-HH29,0)+IF('計算A'!DK$106=1,1-HJ29,0))*150+165+'計算A'!DK$5*100000+IF(AND($E29=1,MX29=0),50000,0))+IF($H29=1,(IF('計算A'!DJ$117=1,INDEX('計算A'!DJ$10:DJ$54,$B29),0)+IF('計算A'!DK$117=1,INDEX('計算A'!DL$10:DL$54,$B29),0))*4000,0)-IF(AND('計算A'!DJ$117=1,YH29&gt;0),2000,0)-IF(AND($L29=1,'計算A'!DK$117=1,HJ29=0),2000,0))),1000000))</f>
        <v/>
      </c>
      <c r="SN29">
        <f>IF($B29=0,1000000,IF(INDEX('計算A'!$D$60:$EQ$104,$B29,113)*HJ29=1,IF(AND($E29=2,MY29=0),1000000,IF($I29&gt;0,IF(5=$J29,IF(OR(AND(113=$I29+1,OR($K29&lt;&gt;'計算A'!$A$3,'計算A'!$A$4=0)),AND(113=$I29-1,OR(17&lt;&gt;'計算A'!$A$3,'計算A'!$A$4=0))),0,IF(17=$K29,200000,ABS(17-$K29)*100)),100000+ABS(5-$J29)*1000+170)+'計算A'!DL$5*50+IF(AND($E29=1,MY29=0),25,0),IF($F29&gt;0,INDEX('計算A'!DL$110:DL$114,$F29+1)+IF(AND($E29=1,MY29=0),1000,0),MIN(TY29,20)*400+(IF('計算A'!DK$106=1,1-HI29,0)+IF('計算A'!DL$106=1,1-HK29,0))*150+175+'計算A'!DL$5*100000+IF(AND($E29=1,MY29=0),50000,0))+IF($H29=1,(IF('計算A'!DK$117=1,INDEX('計算A'!DK$10:DK$54,$B29),0)+IF('計算A'!DL$117=1,INDEX('計算A'!DM$10:DM$54,$B29),0))*4000,0)-IF(AND('計算A'!DK$117=1,YI29&gt;0),2000,0)-IF(AND($L29=1,'計算A'!DL$117=1,HK29=0),2000,0))),1000000))</f>
        <v/>
      </c>
      <c r="SO29">
        <f>IF($B29=0,1000000,IF(INDEX('計算A'!$D$60:$EQ$104,$B29,114)*HK29=1,IF(AND($E29=2,MZ29=0),1000000,IF($I29&gt;0,IF(5=$J29,IF(OR(AND(114=$I29+1,OR($K29&lt;&gt;'計算A'!$A$3,'計算A'!$A$4=0)),AND(114=$I29-1,OR(18&lt;&gt;'計算A'!$A$3,'計算A'!$A$4=0))),0,IF(18=$K29,200000,ABS(18-$K29)*100)),100000+ABS(5-$J29)*1000+180)+'計算A'!DM$5*50+IF(AND($E29=1,MZ29=0),25,0),IF($F29&gt;0,INDEX('計算A'!DM$110:DM$114,$F29+1)+IF(AND($E29=1,MZ29=0),1000,0),MIN(TY29,20)*400+(IF('計算A'!DL$106=1,1-HJ29,0)+IF('計算A'!DM$106=1,1-HL29,0))*150+185+'計算A'!DM$5*100000+IF(AND($E29=1,MZ29=0),50000,0))+IF($H29=1,(IF('計算A'!DL$117=1,INDEX('計算A'!DL$10:DL$54,$B29),0)+IF('計算A'!DM$117=1,INDEX('計算A'!DN$10:DN$54,$B29),0))*4000,0)-IF(AND('計算A'!DL$117=1,YJ29&gt;0),2000,0)-IF(AND($L29=1,'計算A'!DM$117=1,HL29=0),2000,0))),1000000))</f>
        <v/>
      </c>
      <c r="SP29">
        <f>IF($B29=0,1000000,IF(INDEX('計算A'!$D$60:$EQ$104,$B29,115)*HL29=1,IF(AND($E29=2,NA29=0),1000000,IF($I29&gt;0,IF(5=$J29,IF(OR(AND(115=$I29+1,OR($K29&lt;&gt;'計算A'!$A$3,'計算A'!$A$4=0)),AND(115=$I29-1,OR(19&lt;&gt;'計算A'!$A$3,'計算A'!$A$4=0))),0,IF(19=$K29,200000,ABS(19-$K29)*100)),100000+ABS(5-$J29)*1000+190)+'計算A'!DN$5*50+IF(AND($E29=1,NA29=0),25,0),IF($F29&gt;0,INDEX('計算A'!DN$110:DN$114,$F29+1)+IF(AND($E29=1,NA29=0),1000,0),MIN(TY29,20)*400+(IF('計算A'!DM$106=1,1-HK29,0)+IF('計算A'!DN$106=1,1-HM29,0))*150+195+'計算A'!DN$5*100000+IF(AND($E29=1,NA29=0),50000,0))+IF($H29=1,(IF('計算A'!DM$117=1,INDEX('計算A'!DM$10:DM$54,$B29),0)+IF('計算A'!DN$117=1,INDEX('計算A'!DO$10:DO$54,$B29),0))*4000,0)-IF(AND('計算A'!DM$117=1,YK29&gt;0),2000,0)-IF(AND($L29=1,'計算A'!DN$117=1,HM29=0),2000,0))),1000000))</f>
        <v/>
      </c>
      <c r="SQ29">
        <f>IF($B29=0,1000000,IF(INDEX('計算A'!$D$60:$EQ$104,$B29,116)*HM29=1,IF(AND($E29=2,NB29=0),1000000,IF($I29&gt;0,IF(5=$J29,IF(OR(AND(116=$I29+1,OR($K29&lt;&gt;'計算A'!$A$3,'計算A'!$A$4=0)),AND(116=$I29-1,OR(20&lt;&gt;'計算A'!$A$3,'計算A'!$A$4=0))),0,IF(20=$K29,200000,ABS(20-$K29)*100)),100000+ABS(5-$J29)*1000+200)+'計算A'!DO$5*50+IF(AND($E29=1,NB29=0),25,0),IF($F29&gt;0,INDEX('計算A'!DO$110:DO$114,$F29+1)+IF(AND($E29=1,NB29=0),1000,0),MIN(TY29,20)*400+(IF('計算A'!DN$106=1,1-HL29,0)+IF('計算A'!DO$106=1,1-HN29,0))*150+205+'計算A'!DO$5*100000+IF(AND($E29=1,NB29=0),50000,0))+IF($H29=1,(IF('計算A'!DN$117=1,INDEX('計算A'!DN$10:DN$54,$B29),0)+IF('計算A'!DO$117=1,INDEX('計算A'!DP$10:DP$54,$B29),0))*4000,0)-IF(AND('計算A'!DN$117=1,YL29&gt;0),2000,0)-IF(AND($L29=1,'計算A'!DO$117=1,HN29=0),2000,0))),1000000))</f>
        <v/>
      </c>
      <c r="SR29">
        <f>IF($B29=0,1000000,IF(INDEX('計算A'!$D$60:$EQ$104,$B29,117)*HN29=1,IF(AND($E29=2,NC29=0),1000000,IF($I29&gt;0,IF(5=$J29,IF(OR(AND(117=$I29+1,OR($K29&lt;&gt;'計算A'!$A$3,'計算A'!$A$4=0)),AND(117=$I29-1,OR(21&lt;&gt;'計算A'!$A$3,'計算A'!$A$4=0))),0,IF(21=$K29,200000,ABS(21-$K29)*100)),100000+ABS(5-$J29)*1000+210)+'計算A'!DP$5*50+IF(AND($E29=1,NC29=0),25,0),IF($F29&gt;0,INDEX('計算A'!DP$110:DP$114,$F29+1)+IF(AND($E29=1,NC29=0),1000,0),MIN(TY29,20)*400+(IF('計算A'!DO$106=1,1-HM29,0)+IF('計算A'!DP$106=1,1-HO29,0))*150+215+'計算A'!DP$5*100000+IF(AND($E29=1,NC29=0),50000,0))+IF($H29=1,(IF('計算A'!DO$117=1,INDEX('計算A'!DO$10:DO$54,$B29),0)+IF('計算A'!DP$117=1,INDEX('計算A'!DQ$10:DQ$54,$B29),0))*4000,0)-IF(AND('計算A'!DO$117=1,YM29&gt;0),2000,0)-IF(AND($L29=1,'計算A'!DP$117=1,HO29=0),2000,0))),1000000))</f>
        <v/>
      </c>
      <c r="SS29">
        <f>IF($B29=0,1000000,IF(INDEX('計算A'!$D$60:$EQ$104,$B29,118)*HO29=1,IF(AND($E29=2,ND29=0),1000000,IF($I29&gt;0,IF(5=$J29,IF(OR(AND(118=$I29+1,OR($K29&lt;&gt;'計算A'!$A$3,'計算A'!$A$4=0)),AND(118=$I29-1,OR(22&lt;&gt;'計算A'!$A$3,'計算A'!$A$4=0))),0,IF(22=$K29,200000,ABS(22-$K29)*100)),100000+ABS(5-$J29)*1000+220)+'計算A'!DQ$5*50+IF(AND($E29=1,ND29=0),25,0),IF($F29&gt;0,INDEX('計算A'!DQ$110:DQ$114,$F29+1)+IF(AND($E29=1,ND29=0),1000,0),MIN(TY29,20)*400+(IF('計算A'!DP$106=1,1-HN29,0)+IF('計算A'!DQ$106=1,1-HP29,0))*150+225+'計算A'!DQ$5*100000+IF(AND($E29=1,ND29=0),50000,0))+IF($H29=1,(IF('計算A'!DP$117=1,INDEX('計算A'!DP$10:DP$54,$B29),0)+IF('計算A'!DQ$117=1,INDEX('計算A'!DR$10:DR$54,$B29),0))*4000,0)-IF(AND('計算A'!DP$117=1,YN29&gt;0),2000,0)-IF(AND($L29=1,'計算A'!DQ$117=1,HP29=0),2000,0))),1000000))</f>
        <v/>
      </c>
      <c r="ST29">
        <f>IF($B29=0,1000000,IF(INDEX('計算A'!$D$60:$EQ$104,$B29,119)*HP29=1,IF(AND($E29=2,NE29=0),1000000,IF($I29&gt;0,IF(5=$J29,IF(OR(AND(119=$I29+1,OR($K29&lt;&gt;'計算A'!$A$3,'計算A'!$A$4=0)),AND(119=$I29-1,OR(23&lt;&gt;'計算A'!$A$3,'計算A'!$A$4=0))),0,IF(23=$K29,200000,ABS(23-$K29)*100)),100000+ABS(5-$J29)*1000+230)+'計算A'!DR$5*50+IF(AND($E29=1,NE29=0),25,0),IF($F29&gt;0,INDEX('計算A'!DR$110:DR$114,$F29+1)+IF(AND($E29=1,NE29=0),1000,0),MIN(TY29,20)*400+(IF('計算A'!DQ$106=1,1-HO29,0)+IF('計算A'!DR$106=1,1-HQ29,0))*150+235+'計算A'!DR$5*100000+IF(AND($E29=1,NE29=0),50000,0))+IF($H29=1,(IF('計算A'!DQ$117=1,INDEX('計算A'!DQ$10:DQ$54,$B29),0)+IF('計算A'!DR$117=1,INDEX('計算A'!DS$10:DS$54,$B29),0))*4000,0)-IF(AND('計算A'!DQ$117=1,YO29&gt;0),2000,0)-IF(AND($L29=1,'計算A'!DR$117=1,HQ29=0),2000,0))),1000000))</f>
        <v/>
      </c>
      <c r="SU29">
        <f>IF($B29=0,1000000,IF(INDEX('計算A'!$D$60:$EQ$104,$B29,120)*HQ29=1,IF(AND($E29=2,NF29=0),1000000,IF($I29&gt;0,IF(5=$J29,IF(OR(AND(120=$I29+1,OR($K29&lt;&gt;'計算A'!$A$3,'計算A'!$A$4=0)),AND(120=$I29-1,OR(24&lt;&gt;'計算A'!$A$3,'計算A'!$A$4=0))),0,IF(24=$K29,200000,ABS(24-$K29)*100)),100000+ABS(5-$J29)*1000+240)+'計算A'!DS$5*50+IF(AND($E29=1,NF29=0),25,0),IF($F29&gt;0,INDEX('計算A'!DS$110:DS$114,$F29+1)+IF(AND($E29=1,NF29=0),1000,0),MIN(TY29,20)*400+(IF('計算A'!DR$106=1,1-HP29,0))*150+245+'計算A'!DS$5*100000+IF(AND($E29=1,NF29=0),50000,0))+IF($H29=1,(IF('計算A'!DR$117=1,INDEX('計算A'!DR$10:DR$54,$B29),0))*4000,0)-IF(AND('計算A'!DR$117=1,YP29&gt;0),2000,0))),1000000))</f>
        <v/>
      </c>
      <c r="SV29">
        <f>IF($B29=0,1000000,IF(INDEX('計算A'!$D$60:$EQ$104,$B29,121)*HR29=1,IF(AND($E29=2,NG29=0),1000000,IF($I29&gt;0,IF(6=$J29,IF(OR(AND(121=$I29+1,OR($K29&lt;&gt;'計算A'!$A$3,'計算A'!$A$4=0)),AND(121=$I29-1,OR(1&lt;&gt;'計算A'!$A$3,'計算A'!$A$4=0))),0,IF(1=$K29,200000,ABS(1-$K29)*100)),100000+ABS(6-$J29)*1000+10)+'計算A'!DT$5*50+IF(AND($E29=1,NG29=0),25,0),IF($F29&gt;0,INDEX('計算A'!DT$110:DT$114,$F29+1)+IF(AND($E29=1,NG29=0),1000,0),MIN(TZ29,20)*400+(IF('計算A'!DT$106=1,1-HS29,0))*150+16+'計算A'!DT$5*100000+IF(AND($E29=1,NG29=0),50000,0))+IF($H29=1,(IF('計算A'!DT$117=1,INDEX('計算A'!DU$10:DU$54,$B29),0))*4000,0)-IF(AND($L29=1,'計算A'!DT$117=1,HS29=0),2000,0))),1000000))</f>
        <v/>
      </c>
      <c r="SW29">
        <f>IF($B29=0,1000000,IF(INDEX('計算A'!$D$60:$EQ$104,$B29,122)*HS29=1,IF(AND($E29=2,NH29=0),1000000,IF($I29&gt;0,IF(6=$J29,IF(OR(AND(122=$I29+1,OR($K29&lt;&gt;'計算A'!$A$3,'計算A'!$A$4=0)),AND(122=$I29-1,OR(2&lt;&gt;'計算A'!$A$3,'計算A'!$A$4=0))),0,IF(2=$K29,200000,ABS(2-$K29)*100)),100000+ABS(6-$J29)*1000+20)+'計算A'!DU$5*50+IF(AND($E29=1,NH29=0),25,0),IF($F29&gt;0,INDEX('計算A'!DU$110:DU$114,$F29+1)+IF(AND($E29=1,NH29=0),1000,0),MIN(TZ29,20)*400+(IF('計算A'!DT$106=1,1-HR29,0)+IF('計算A'!DU$106=1,1-HT29,0))*150+26+'計算A'!DU$5*100000+IF(AND($E29=1,NH29=0),50000,0))+IF($H29=1,(IF('計算A'!DT$117=1,INDEX('計算A'!DT$10:DT$54,$B29),0)+IF('計算A'!DU$117=1,INDEX('計算A'!DV$10:DV$54,$B29),0))*4000,0)-IF(AND('計算A'!DT$117=1,YR29&gt;0),2000,0)-IF(AND($L29=1,'計算A'!DU$117=1,HT29=0),2000,0))),1000000))</f>
        <v/>
      </c>
      <c r="SX29">
        <f>IF($B29=0,1000000,IF(INDEX('計算A'!$D$60:$EQ$104,$B29,123)*HT29=1,IF(AND($E29=2,NI29=0),1000000,IF($I29&gt;0,IF(6=$J29,IF(OR(AND(123=$I29+1,OR($K29&lt;&gt;'計算A'!$A$3,'計算A'!$A$4=0)),AND(123=$I29-1,OR(3&lt;&gt;'計算A'!$A$3,'計算A'!$A$4=0))),0,IF(3=$K29,200000,ABS(3-$K29)*100)),100000+ABS(6-$J29)*1000+30)+'計算A'!DV$5*50+IF(AND($E29=1,NI29=0),25,0),IF($F29&gt;0,INDEX('計算A'!DV$110:DV$114,$F29+1)+IF(AND($E29=1,NI29=0),1000,0),MIN(TZ29,20)*400+(IF('計算A'!DU$106=1,1-HS29,0)+IF('計算A'!DV$106=1,1-HU29,0))*150+36+'計算A'!DV$5*100000+IF(AND($E29=1,NI29=0),50000,0))+IF($H29=1,(IF('計算A'!DU$117=1,INDEX('計算A'!DU$10:DU$54,$B29),0)+IF('計算A'!DV$117=1,INDEX('計算A'!DW$10:DW$54,$B29),0))*4000,0)-IF(AND('計算A'!DU$117=1,YS29&gt;0),2000,0)-IF(AND($L29=1,'計算A'!DV$117=1,HU29=0),2000,0))),1000000))</f>
        <v/>
      </c>
      <c r="SY29">
        <f>IF($B29=0,1000000,IF(INDEX('計算A'!$D$60:$EQ$104,$B29,124)*HU29=1,IF(AND($E29=2,NJ29=0),1000000,IF($I29&gt;0,IF(6=$J29,IF(OR(AND(124=$I29+1,OR($K29&lt;&gt;'計算A'!$A$3,'計算A'!$A$4=0)),AND(124=$I29-1,OR(4&lt;&gt;'計算A'!$A$3,'計算A'!$A$4=0))),0,IF(4=$K29,200000,ABS(4-$K29)*100)),100000+ABS(6-$J29)*1000+40)+'計算A'!DW$5*50+IF(AND($E29=1,NJ29=0),25,0),IF($F29&gt;0,INDEX('計算A'!DW$110:DW$114,$F29+1)+IF(AND($E29=1,NJ29=0),1000,0),MIN(TZ29,20)*400+(IF('計算A'!DV$106=1,1-HT29,0)+IF('計算A'!DW$106=1,1-HV29,0))*150+46+'計算A'!DW$5*100000+IF(AND($E29=1,NJ29=0),50000,0))+IF($H29=1,(IF('計算A'!DV$117=1,INDEX('計算A'!DV$10:DV$54,$B29),0)+IF('計算A'!DW$117=1,INDEX('計算A'!DX$10:DX$54,$B29),0))*4000,0)-IF(AND('計算A'!DV$117=1,YT29&gt;0),2000,0)-IF(AND($L29=1,'計算A'!DW$117=1,HV29=0),2000,0))),1000000))</f>
        <v/>
      </c>
      <c r="SZ29">
        <f>IF($B29=0,1000000,IF(INDEX('計算A'!$D$60:$EQ$104,$B29,125)*HV29=1,IF(AND($E29=2,NK29=0),1000000,IF($I29&gt;0,IF(6=$J29,IF(OR(AND(125=$I29+1,OR($K29&lt;&gt;'計算A'!$A$3,'計算A'!$A$4=0)),AND(125=$I29-1,OR(5&lt;&gt;'計算A'!$A$3,'計算A'!$A$4=0))),0,IF(5=$K29,200000,ABS(5-$K29)*100)),100000+ABS(6-$J29)*1000+50)+'計算A'!DX$5*50+IF(AND($E29=1,NK29=0),25,0),IF($F29&gt;0,INDEX('計算A'!DX$110:DX$114,$F29+1)+IF(AND($E29=1,NK29=0),1000,0),MIN(TZ29,20)*400+(IF('計算A'!DW$106=1,1-HU29,0)+IF('計算A'!DX$106=1,1-HW29,0))*150+56+'計算A'!DX$5*100000+IF(AND($E29=1,NK29=0),50000,0))+IF($H29=1,(IF('計算A'!DW$117=1,INDEX('計算A'!DW$10:DW$54,$B29),0)+IF('計算A'!DX$117=1,INDEX('計算A'!DY$10:DY$54,$B29),0))*4000,0)-IF(AND('計算A'!DW$117=1,YU29&gt;0),2000,0)-IF(AND($L29=1,'計算A'!DX$117=1,HW29=0),2000,0))),1000000))</f>
        <v/>
      </c>
      <c r="TA29">
        <f>IF($B29=0,1000000,IF(INDEX('計算A'!$D$60:$EQ$104,$B29,126)*HW29=1,IF(AND($E29=2,NL29=0),1000000,IF($I29&gt;0,IF(6=$J29,IF(OR(AND(126=$I29+1,OR($K29&lt;&gt;'計算A'!$A$3,'計算A'!$A$4=0)),AND(126=$I29-1,OR(6&lt;&gt;'計算A'!$A$3,'計算A'!$A$4=0))),0,IF(6=$K29,200000,ABS(6-$K29)*100)),100000+ABS(6-$J29)*1000+60)+'計算A'!DY$5*50+IF(AND($E29=1,NL29=0),25,0),IF($F29&gt;0,INDEX('計算A'!DY$110:DY$114,$F29+1)+IF(AND($E29=1,NL29=0),1000,0),MIN(TZ29,20)*400+(IF('計算A'!DX$106=1,1-HV29,0)+IF('計算A'!DY$106=1,1-HX29,0))*150+66+'計算A'!DY$5*100000+IF(AND($E29=1,NL29=0),50000,0))+IF($H29=1,(IF('計算A'!DX$117=1,INDEX('計算A'!DX$10:DX$54,$B29),0)+IF('計算A'!DY$117=1,INDEX('計算A'!DZ$10:DZ$54,$B29),0))*4000,0)-IF(AND('計算A'!DX$117=1,YV29&gt;0),2000,0)-IF(AND($L29=1,'計算A'!DY$117=1,HX29=0),2000,0))),1000000))</f>
        <v/>
      </c>
      <c r="TB29">
        <f>IF($B29=0,1000000,IF(INDEX('計算A'!$D$60:$EQ$104,$B29,127)*HX29=1,IF(AND($E29=2,NM29=0),1000000,IF($I29&gt;0,IF(6=$J29,IF(OR(AND(127=$I29+1,OR($K29&lt;&gt;'計算A'!$A$3,'計算A'!$A$4=0)),AND(127=$I29-1,OR(7&lt;&gt;'計算A'!$A$3,'計算A'!$A$4=0))),0,IF(7=$K29,200000,ABS(7-$K29)*100)),100000+ABS(6-$J29)*1000+70)+'計算A'!DZ$5*50+IF(AND($E29=1,NM29=0),25,0),IF($F29&gt;0,INDEX('計算A'!DZ$110:DZ$114,$F29+1)+IF(AND($E29=1,NM29=0),1000,0),MIN(TZ29,20)*400+(IF('計算A'!DY$106=1,1-HW29,0)+IF('計算A'!DZ$106=1,1-HY29,0))*150+76+'計算A'!DZ$5*100000+IF(AND($E29=1,NM29=0),50000,0))+IF($H29=1,(IF('計算A'!DY$117=1,INDEX('計算A'!DY$10:DY$54,$B29),0)+IF('計算A'!DZ$117=1,INDEX('計算A'!EA$10:EA$54,$B29),0))*4000,0)-IF(AND('計算A'!DY$117=1,YW29&gt;0),2000,0)-IF(AND($L29=1,'計算A'!DZ$117=1,HY29=0),2000,0))),1000000))</f>
        <v/>
      </c>
      <c r="TC29">
        <f>IF($B29=0,1000000,IF(INDEX('計算A'!$D$60:$EQ$104,$B29,128)*HY29=1,IF(AND($E29=2,NN29=0),1000000,IF($I29&gt;0,IF(6=$J29,IF(OR(AND(128=$I29+1,OR($K29&lt;&gt;'計算A'!$A$3,'計算A'!$A$4=0)),AND(128=$I29-1,OR(8&lt;&gt;'計算A'!$A$3,'計算A'!$A$4=0))),0,IF(8=$K29,200000,ABS(8-$K29)*100)),100000+ABS(6-$J29)*1000+80)+'計算A'!EA$5*50+IF(AND($E29=1,NN29=0),25,0),IF($F29&gt;0,INDEX('計算A'!EA$110:EA$114,$F29+1)+IF(AND($E29=1,NN29=0),1000,0),MIN(TZ29,20)*400+(IF('計算A'!DZ$106=1,1-HX29,0)+IF('計算A'!EA$106=1,1-HZ29,0))*150+86+'計算A'!EA$5*100000+IF(AND($E29=1,NN29=0),50000,0))+IF($H29=1,(IF('計算A'!DZ$117=1,INDEX('計算A'!DZ$10:DZ$54,$B29),0)+IF('計算A'!EA$117=1,INDEX('計算A'!EB$10:EB$54,$B29),0))*4000,0)-IF(AND('計算A'!DZ$117=1,YX29&gt;0),2000,0)-IF(AND($L29=1,'計算A'!EA$117=1,HZ29=0),2000,0))),1000000))</f>
        <v/>
      </c>
      <c r="TD29">
        <f>IF($B29=0,1000000,IF(INDEX('計算A'!$D$60:$EQ$104,$B29,129)*HZ29=1,IF(AND($E29=2,NO29=0),1000000,IF($I29&gt;0,IF(6=$J29,IF(OR(AND(129=$I29+1,OR($K29&lt;&gt;'計算A'!$A$3,'計算A'!$A$4=0)),AND(129=$I29-1,OR(9&lt;&gt;'計算A'!$A$3,'計算A'!$A$4=0))),0,IF(9=$K29,200000,ABS(9-$K29)*100)),100000+ABS(6-$J29)*1000+90)+'計算A'!EB$5*50+IF(AND($E29=1,NO29=0),25,0),IF($F29&gt;0,INDEX('計算A'!EB$110:EB$114,$F29+1)+IF(AND($E29=1,NO29=0),1000,0),MIN(TZ29,20)*400+(IF('計算A'!EA$106=1,1-HY29,0)+IF('計算A'!EB$106=1,1-IA29,0))*150+96+'計算A'!EB$5*100000+IF(AND($E29=1,NO29=0),50000,0))+IF($H29=1,(IF('計算A'!EA$117=1,INDEX('計算A'!EA$10:EA$54,$B29),0)+IF('計算A'!EB$117=1,INDEX('計算A'!EC$10:EC$54,$B29),0))*4000,0)-IF(AND('計算A'!EA$117=1,YY29&gt;0),2000,0)-IF(AND($L29=1,'計算A'!EB$117=1,IA29=0),2000,0))),1000000))</f>
        <v/>
      </c>
      <c r="TE29">
        <f>IF($B29=0,1000000,IF(INDEX('計算A'!$D$60:$EQ$104,$B29,130)*IA29=1,IF(AND($E29=2,NP29=0),1000000,IF($I29&gt;0,IF(6=$J29,IF(OR(AND(130=$I29+1,OR($K29&lt;&gt;'計算A'!$A$3,'計算A'!$A$4=0)),AND(130=$I29-1,OR(10&lt;&gt;'計算A'!$A$3,'計算A'!$A$4=0))),0,IF(10=$K29,200000,ABS(10-$K29)*100)),100000+ABS(6-$J29)*1000+100)+'計算A'!EC$5*50+IF(AND($E29=1,NP29=0),25,0),IF($F29&gt;0,INDEX('計算A'!EC$110:EC$114,$F29+1)+IF(AND($E29=1,NP29=0),1000,0),MIN(TZ29,20)*400+(IF('計算A'!EB$106=1,1-HZ29,0)+IF('計算A'!EC$106=1,1-IB29,0))*150+106+'計算A'!EC$5*100000+IF(AND($E29=1,NP29=0),50000,0))+IF($H29=1,(IF('計算A'!EB$117=1,INDEX('計算A'!EB$10:EB$54,$B29),0)+IF('計算A'!EC$117=1,INDEX('計算A'!ED$10:ED$54,$B29),0))*4000,0)-IF(AND('計算A'!EB$117=1,YZ29&gt;0),2000,0)-IF(AND($L29=1,'計算A'!EC$117=1,IB29=0),2000,0))),1000000))</f>
        <v/>
      </c>
      <c r="TF29">
        <f>IF($B29=0,1000000,IF(INDEX('計算A'!$D$60:$EQ$104,$B29,131)*IB29=1,IF(AND($E29=2,NQ29=0),1000000,IF($I29&gt;0,IF(6=$J29,IF(OR(AND(131=$I29+1,OR($K29&lt;&gt;'計算A'!$A$3,'計算A'!$A$4=0)),AND(131=$I29-1,OR(11&lt;&gt;'計算A'!$A$3,'計算A'!$A$4=0))),0,IF(11=$K29,200000,ABS(11-$K29)*100)),100000+ABS(6-$J29)*1000+110)+'計算A'!ED$5*50+IF(AND($E29=1,NQ29=0),25,0),IF($F29&gt;0,INDEX('計算A'!ED$110:ED$114,$F29+1)+IF(AND($E29=1,NQ29=0),1000,0),MIN(TZ29,20)*400+(IF('計算A'!EC$106=1,1-IA29,0)+IF('計算A'!ED$106=1,1-IC29,0))*150+116+'計算A'!ED$5*100000+IF(AND($E29=1,NQ29=0),50000,0))+IF($H29=1,(IF('計算A'!EC$117=1,INDEX('計算A'!EC$10:EC$54,$B29),0)+IF('計算A'!ED$117=1,INDEX('計算A'!EE$10:EE$54,$B29),0))*4000,0)-IF(AND('計算A'!EC$117=1,ZA29&gt;0),2000,0)-IF(AND($L29=1,'計算A'!ED$117=1,IC29=0),2000,0))),1000000))</f>
        <v/>
      </c>
      <c r="TG29">
        <f>IF($B29=0,1000000,IF(INDEX('計算A'!$D$60:$EQ$104,$B29,132)*IC29=1,IF(AND($E29=2,NR29=0),1000000,IF($I29&gt;0,IF(6=$J29,IF(OR(AND(132=$I29+1,OR($K29&lt;&gt;'計算A'!$A$3,'計算A'!$A$4=0)),AND(132=$I29-1,OR(12&lt;&gt;'計算A'!$A$3,'計算A'!$A$4=0))),0,IF(12=$K29,200000,ABS(12-$K29)*100)),100000+ABS(6-$J29)*1000+120)+'計算A'!EE$5*50+IF(AND($E29=1,NR29=0),25,0),IF($F29&gt;0,INDEX('計算A'!EE$110:EE$114,$F29+1)+IF(AND($E29=1,NR29=0),1000,0),MIN(TZ29,20)*400+(IF('計算A'!ED$106=1,1-IB29,0)+IF('計算A'!EE$106=1,1-ID29,0))*150+126+'計算A'!EE$5*100000+IF(AND($E29=1,NR29=0),50000,0))+IF($H29=1,(IF('計算A'!ED$117=1,INDEX('計算A'!ED$10:ED$54,$B29),0)+IF('計算A'!EE$117=1,INDEX('計算A'!EF$10:EF$54,$B29),0))*4000,0)-IF(AND('計算A'!ED$117=1,ZB29&gt;0),2000,0)-IF(AND($L29=1,'計算A'!EE$117=1,ID29=0),2000,0))),1000000))</f>
        <v/>
      </c>
      <c r="TH29">
        <f>IF($B29=0,1000000,IF(INDEX('計算A'!$D$60:$EQ$104,$B29,133)*ID29=1,IF(AND($E29=2,NS29=0),1000000,IF($I29&gt;0,IF(6=$J29,IF(OR(AND(133=$I29+1,OR($K29&lt;&gt;'計算A'!$A$3,'計算A'!$A$4=0)),AND(133=$I29-1,OR(13&lt;&gt;'計算A'!$A$3,'計算A'!$A$4=0))),0,IF(13=$K29,200000,ABS(13-$K29)*100)),100000+ABS(6-$J29)*1000+130)+'計算A'!EF$5*50+IF(AND($E29=1,NS29=0),25,0),IF($F29&gt;0,INDEX('計算A'!EF$110:EF$114,$F29+1)+IF(AND($E29=1,NS29=0),1000,0),MIN(TZ29,20)*400+(IF('計算A'!EE$106=1,1-IC29,0)+IF('計算A'!EF$106=1,1-IE29,0))*150+136+'計算A'!EF$5*100000+IF(AND($E29=1,NS29=0),50000,0))+IF($H29=1,(IF('計算A'!EE$117=1,INDEX('計算A'!EE$10:EE$54,$B29),0)+IF('計算A'!EF$117=1,INDEX('計算A'!EG$10:EG$54,$B29),0))*4000,0)-IF(AND('計算A'!EE$117=1,ZC29&gt;0),2000,0)-IF(AND($L29=1,'計算A'!EF$117=1,IE29=0),2000,0))),1000000))</f>
        <v/>
      </c>
      <c r="TI29">
        <f>IF($B29=0,1000000,IF(INDEX('計算A'!$D$60:$EQ$104,$B29,134)*IE29=1,IF(AND($E29=2,NT29=0),1000000,IF($I29&gt;0,IF(6=$J29,IF(OR(AND(134=$I29+1,OR($K29&lt;&gt;'計算A'!$A$3,'計算A'!$A$4=0)),AND(134=$I29-1,OR(14&lt;&gt;'計算A'!$A$3,'計算A'!$A$4=0))),0,IF(14=$K29,200000,ABS(14-$K29)*100)),100000+ABS(6-$J29)*1000+140)+'計算A'!EG$5*50+IF(AND($E29=1,NT29=0),25,0),IF($F29&gt;0,INDEX('計算A'!EG$110:EG$114,$F29+1)+IF(AND($E29=1,NT29=0),1000,0),MIN(TZ29,20)*400+(IF('計算A'!EF$106=1,1-ID29,0)+IF('計算A'!EG$106=1,1-IF29,0))*150+146+'計算A'!EG$5*100000+IF(AND($E29=1,NT29=0),50000,0))+IF($H29=1,(IF('計算A'!EF$117=1,INDEX('計算A'!EF$10:EF$54,$B29),0)+IF('計算A'!EG$117=1,INDEX('計算A'!EH$10:EH$54,$B29),0))*4000,0)-IF(AND('計算A'!EF$117=1,ZD29&gt;0),2000,0)-IF(AND($L29=1,'計算A'!EG$117=1,IF29=0),2000,0))),1000000))</f>
        <v/>
      </c>
      <c r="TJ29">
        <f>IF($B29=0,1000000,IF(INDEX('計算A'!$D$60:$EQ$104,$B29,135)*IF29=1,IF(AND($E29=2,NU29=0),1000000,IF($I29&gt;0,IF(6=$J29,IF(OR(AND(135=$I29+1,OR($K29&lt;&gt;'計算A'!$A$3,'計算A'!$A$4=0)),AND(135=$I29-1,OR(15&lt;&gt;'計算A'!$A$3,'計算A'!$A$4=0))),0,IF(15=$K29,200000,ABS(15-$K29)*100)),100000+ABS(6-$J29)*1000+150)+'計算A'!EH$5*50+IF(AND($E29=1,NU29=0),25,0),IF($F29&gt;0,INDEX('計算A'!EH$110:EH$114,$F29+1)+IF(AND($E29=1,NU29=0),1000,0),MIN(TZ29,20)*400+(IF('計算A'!EG$106=1,1-IE29,0)+IF('計算A'!EH$106=1,1-IG29,0))*150+156+'計算A'!EH$5*100000+IF(AND($E29=1,NU29=0),50000,0))+IF($H29=1,(IF('計算A'!EG$117=1,INDEX('計算A'!EG$10:EG$54,$B29),0)+IF('計算A'!EH$117=1,INDEX('計算A'!EI$10:EI$54,$B29),0))*4000,0)-IF(AND('計算A'!EG$117=1,ZE29&gt;0),2000,0)-IF(AND($L29=1,'計算A'!EH$117=1,IG29=0),2000,0))),1000000))</f>
        <v/>
      </c>
      <c r="TK29">
        <f>IF($B29=0,1000000,IF(INDEX('計算A'!$D$60:$EQ$104,$B29,136)*IG29=1,IF(AND($E29=2,NV29=0),1000000,IF($I29&gt;0,IF(6=$J29,IF(OR(AND(136=$I29+1,OR($K29&lt;&gt;'計算A'!$A$3,'計算A'!$A$4=0)),AND(136=$I29-1,OR(16&lt;&gt;'計算A'!$A$3,'計算A'!$A$4=0))),0,IF(16=$K29,200000,ABS(16-$K29)*100)),100000+ABS(6-$J29)*1000+160)+'計算A'!EI$5*50+IF(AND($E29=1,NV29=0),25,0),IF($F29&gt;0,INDEX('計算A'!EI$110:EI$114,$F29+1)+IF(AND($E29=1,NV29=0),1000,0),MIN(TZ29,20)*400+(IF('計算A'!EH$106=1,1-IF29,0)+IF('計算A'!EI$106=1,1-IH29,0))*150+166+'計算A'!EI$5*100000+IF(AND($E29=1,NV29=0),50000,0))+IF($H29=1,(IF('計算A'!EH$117=1,INDEX('計算A'!EH$10:EH$54,$B29),0)+IF('計算A'!EI$117=1,INDEX('計算A'!EJ$10:EJ$54,$B29),0))*4000,0)-IF(AND('計算A'!EH$117=1,ZF29&gt;0),2000,0)-IF(AND($L29=1,'計算A'!EI$117=1,IH29=0),2000,0))),1000000))</f>
        <v/>
      </c>
      <c r="TL29">
        <f>IF($B29=0,1000000,IF(INDEX('計算A'!$D$60:$EQ$104,$B29,137)*IH29=1,IF(AND($E29=2,NW29=0),1000000,IF($I29&gt;0,IF(6=$J29,IF(OR(AND(137=$I29+1,OR($K29&lt;&gt;'計算A'!$A$3,'計算A'!$A$4=0)),AND(137=$I29-1,OR(17&lt;&gt;'計算A'!$A$3,'計算A'!$A$4=0))),0,IF(17=$K29,200000,ABS(17-$K29)*100)),100000+ABS(6-$J29)*1000+170)+'計算A'!EJ$5*50+IF(AND($E29=1,NW29=0),25,0),IF($F29&gt;0,INDEX('計算A'!EJ$110:EJ$114,$F29+1)+IF(AND($E29=1,NW29=0),1000,0),MIN(TZ29,20)*400+(IF('計算A'!EI$106=1,1-IG29,0)+IF('計算A'!EJ$106=1,1-II29,0))*150+176+'計算A'!EJ$5*100000+IF(AND($E29=1,NW29=0),50000,0))+IF($H29=1,(IF('計算A'!EI$117=1,INDEX('計算A'!EI$10:EI$54,$B29),0)+IF('計算A'!EJ$117=1,INDEX('計算A'!EK$10:EK$54,$B29),0))*4000,0)-IF(AND('計算A'!EI$117=1,ZG29&gt;0),2000,0)-IF(AND($L29=1,'計算A'!EJ$117=1,II29=0),2000,0))),1000000))</f>
        <v/>
      </c>
      <c r="TM29">
        <f>IF($B29=0,1000000,IF(INDEX('計算A'!$D$60:$EQ$104,$B29,138)*II29=1,IF(AND($E29=2,NX29=0),1000000,IF($I29&gt;0,IF(6=$J29,IF(OR(AND(138=$I29+1,OR($K29&lt;&gt;'計算A'!$A$3,'計算A'!$A$4=0)),AND(138=$I29-1,OR(18&lt;&gt;'計算A'!$A$3,'計算A'!$A$4=0))),0,IF(18=$K29,200000,ABS(18-$K29)*100)),100000+ABS(6-$J29)*1000+180)+'計算A'!EK$5*50+IF(AND($E29=1,NX29=0),25,0),IF($F29&gt;0,INDEX('計算A'!EK$110:EK$114,$F29+1)+IF(AND($E29=1,NX29=0),1000,0),MIN(TZ29,20)*400+(IF('計算A'!EJ$106=1,1-IH29,0)+IF('計算A'!EK$106=1,1-IJ29,0))*150+186+'計算A'!EK$5*100000+IF(AND($E29=1,NX29=0),50000,0))+IF($H29=1,(IF('計算A'!EJ$117=1,INDEX('計算A'!EJ$10:EJ$54,$B29),0)+IF('計算A'!EK$117=1,INDEX('計算A'!EL$10:EL$54,$B29),0))*4000,0)-IF(AND('計算A'!EJ$117=1,ZH29&gt;0),2000,0)-IF(AND($L29=1,'計算A'!EK$117=1,IJ29=0),2000,0))),1000000))</f>
        <v/>
      </c>
      <c r="TN29">
        <f>IF($B29=0,1000000,IF(INDEX('計算A'!$D$60:$EQ$104,$B29,139)*IJ29=1,IF(AND($E29=2,NY29=0),1000000,IF($I29&gt;0,IF(6=$J29,IF(OR(AND(139=$I29+1,OR($K29&lt;&gt;'計算A'!$A$3,'計算A'!$A$4=0)),AND(139=$I29-1,OR(19&lt;&gt;'計算A'!$A$3,'計算A'!$A$4=0))),0,IF(19=$K29,200000,ABS(19-$K29)*100)),100000+ABS(6-$J29)*1000+190)+'計算A'!EL$5*50+IF(AND($E29=1,NY29=0),25,0),IF($F29&gt;0,INDEX('計算A'!EL$110:EL$114,$F29+1)+IF(AND($E29=1,NY29=0),1000,0),MIN(TZ29,20)*400+(IF('計算A'!EK$106=1,1-II29,0)+IF('計算A'!EL$106=1,1-IK29,0))*150+196+'計算A'!EL$5*100000+IF(AND($E29=1,NY29=0),50000,0))+IF($H29=1,(IF('計算A'!EK$117=1,INDEX('計算A'!EK$10:EK$54,$B29),0)+IF('計算A'!EL$117=1,INDEX('計算A'!EM$10:EM$54,$B29),0))*4000,0)-IF(AND('計算A'!EK$117=1,ZI29&gt;0),2000,0)-IF(AND($L29=1,'計算A'!EL$117=1,IK29=0),2000,0))),1000000))</f>
        <v/>
      </c>
      <c r="TO29">
        <f>IF($B29=0,1000000,IF(INDEX('計算A'!$D$60:$EQ$104,$B29,140)*IK29=1,IF(AND($E29=2,NZ29=0),1000000,IF($I29&gt;0,IF(6=$J29,IF(OR(AND(140=$I29+1,OR($K29&lt;&gt;'計算A'!$A$3,'計算A'!$A$4=0)),AND(140=$I29-1,OR(20&lt;&gt;'計算A'!$A$3,'計算A'!$A$4=0))),0,IF(20=$K29,200000,ABS(20-$K29)*100)),100000+ABS(6-$J29)*1000+200)+'計算A'!EM$5*50+IF(AND($E29=1,NZ29=0),25,0),IF($F29&gt;0,INDEX('計算A'!EM$110:EM$114,$F29+1)+IF(AND($E29=1,NZ29=0),1000,0),MIN(TZ29,20)*400+(IF('計算A'!EL$106=1,1-IJ29,0)+IF('計算A'!EM$106=1,1-IL29,0))*150+206+'計算A'!EM$5*100000+IF(AND($E29=1,NZ29=0),50000,0))+IF($H29=1,(IF('計算A'!EL$117=1,INDEX('計算A'!EL$10:EL$54,$B29),0)+IF('計算A'!EM$117=1,INDEX('計算A'!EN$10:EN$54,$B29),0))*4000,0)-IF(AND('計算A'!EL$117=1,ZJ29&gt;0),2000,0)-IF(AND($L29=1,'計算A'!EM$117=1,IL29=0),2000,0))),1000000))</f>
        <v/>
      </c>
      <c r="TP29">
        <f>IF($B29=0,1000000,IF(INDEX('計算A'!$D$60:$EQ$104,$B29,141)*IL29=1,IF(AND($E29=2,OA29=0),1000000,IF($I29&gt;0,IF(6=$J29,IF(OR(AND(141=$I29+1,OR($K29&lt;&gt;'計算A'!$A$3,'計算A'!$A$4=0)),AND(141=$I29-1,OR(21&lt;&gt;'計算A'!$A$3,'計算A'!$A$4=0))),0,IF(21=$K29,200000,ABS(21-$K29)*100)),100000+ABS(6-$J29)*1000+210)+'計算A'!EN$5*50+IF(AND($E29=1,OA29=0),25,0),IF($F29&gt;0,INDEX('計算A'!EN$110:EN$114,$F29+1)+IF(AND($E29=1,OA29=0),1000,0),MIN(TZ29,20)*400+(IF('計算A'!EM$106=1,1-IK29,0)+IF('計算A'!EN$106=1,1-IM29,0))*150+216+'計算A'!EN$5*100000+IF(AND($E29=1,OA29=0),50000,0))+IF($H29=1,(IF('計算A'!EM$117=1,INDEX('計算A'!EM$10:EM$54,$B29),0)+IF('計算A'!EN$117=1,INDEX('計算A'!EO$10:EO$54,$B29),0))*4000,0)-IF(AND('計算A'!EM$117=1,ZK29&gt;0),2000,0)-IF(AND($L29=1,'計算A'!EN$117=1,IM29=0),2000,0))),1000000))</f>
        <v/>
      </c>
      <c r="TQ29">
        <f>IF($B29=0,1000000,IF(INDEX('計算A'!$D$60:$EQ$104,$B29,142)*IM29=1,IF(AND($E29=2,OB29=0),1000000,IF($I29&gt;0,IF(6=$J29,IF(OR(AND(142=$I29+1,OR($K29&lt;&gt;'計算A'!$A$3,'計算A'!$A$4=0)),AND(142=$I29-1,OR(22&lt;&gt;'計算A'!$A$3,'計算A'!$A$4=0))),0,IF(22=$K29,200000,ABS(22-$K29)*100)),100000+ABS(6-$J29)*1000+220)+'計算A'!EO$5*50+IF(AND($E29=1,OB29=0),25,0),IF($F29&gt;0,INDEX('計算A'!EO$110:EO$114,$F29+1)+IF(AND($E29=1,OB29=0),1000,0),MIN(TZ29,20)*400+(IF('計算A'!EN$106=1,1-IL29,0)+IF('計算A'!EO$106=1,1-IN29,0))*150+226+'計算A'!EO$5*100000+IF(AND($E29=1,OB29=0),50000,0))+IF($H29=1,(IF('計算A'!EN$117=1,INDEX('計算A'!EN$10:EN$54,$B29),0)+IF('計算A'!EO$117=1,INDEX('計算A'!EP$10:EP$54,$B29),0))*4000,0)-IF(AND('計算A'!EN$117=1,ZL29&gt;0),2000,0)-IF(AND($L29=1,'計算A'!EO$117=1,IN29=0),2000,0))),1000000))</f>
        <v/>
      </c>
      <c r="TR29">
        <f>IF($B29=0,1000000,IF(INDEX('計算A'!$D$60:$EQ$104,$B29,143)*IN29=1,IF(AND($E29=2,OC29=0),1000000,IF($I29&gt;0,IF(6=$J29,IF(OR(AND(143=$I29+1,OR($K29&lt;&gt;'計算A'!$A$3,'計算A'!$A$4=0)),AND(143=$I29-1,OR(23&lt;&gt;'計算A'!$A$3,'計算A'!$A$4=0))),0,IF(23=$K29,200000,ABS(23-$K29)*100)),100000+ABS(6-$J29)*1000+230)+'計算A'!EP$5*50+IF(AND($E29=1,OC29=0),25,0),IF($F29&gt;0,INDEX('計算A'!EP$110:EP$114,$F29+1)+IF(AND($E29=1,OC29=0),1000,0),MIN(TZ29,20)*400+(IF('計算A'!EO$106=1,1-IM29,0)+IF('計算A'!EP$106=1,1-IO29,0))*150+236+'計算A'!EP$5*100000+IF(AND($E29=1,OC29=0),50000,0))+IF($H29=1,(IF('計算A'!EO$117=1,INDEX('計算A'!EO$10:EO$54,$B29),0)+IF('計算A'!EP$117=1,INDEX('計算A'!EQ$10:EQ$54,$B29),0))*4000,0)-IF(AND('計算A'!EO$117=1,ZM29&gt;0),2000,0)-IF(AND($L29=1,'計算A'!EP$117=1,IO29=0),2000,0))),1000000))</f>
        <v/>
      </c>
      <c r="TS29">
        <f>IF($B29=0,1000000,IF(INDEX('計算A'!$D$60:$EQ$104,$B29,144)*IO29=1,IF(AND($E29=2,OD29=0),1000000,IF($I29&gt;0,IF(6=$J29,IF(OR(AND(144=$I29+1,OR($K29&lt;&gt;'計算A'!$A$3,'計算A'!$A$4=0)),AND(144=$I29-1,OR(24&lt;&gt;'計算A'!$A$3,'計算A'!$A$4=0))),0,IF(24=$K29,200000,ABS(24-$K29)*100)),100000+ABS(6-$J29)*1000+240)+'計算A'!EQ$5*50+IF(AND($E29=1,OD29=0),25,0),IF($F29&gt;0,INDEX('計算A'!EQ$110:EQ$114,$F29+1)+IF(AND($E29=1,OD29=0),1000,0),MIN(TZ29,20)*400+(IF('計算A'!EP$106=1,1-IN29,0))*150+246+'計算A'!EQ$5*100000+IF(AND($E29=1,OD29=0),50000,0))+IF($H29=1,(IF('計算A'!EP$117=1,INDEX('計算A'!EP$10:EP$54,$B29),0))*4000,0)-IF(AND('計算A'!EP$117=1,ZN29&gt;0),2000,0))),1000000))</f>
        <v/>
      </c>
      <c r="TU29">
        <f>TU28+IF($C28&gt;0,IF(INDEX('計算A'!$D$2:$EQ$2,$C28)=1,1,0),0)</f>
        <v/>
      </c>
      <c r="TV29">
        <f>TV28+IF($C28&gt;0,IF(INDEX('計算A'!$D$2:$EQ$2,$C28)=2,1,0),0)</f>
        <v/>
      </c>
      <c r="TW29">
        <f>TW28+IF($C28&gt;0,IF(INDEX('計算A'!$D$2:$EQ$2,$C28)=3,1,0),0)</f>
        <v/>
      </c>
      <c r="TX29">
        <f>TX28+IF($C28&gt;0,IF(INDEX('計算A'!$D$2:$EQ$2,$C28)=4,1,0),0)</f>
        <v/>
      </c>
      <c r="TY29">
        <f>TY28+IF($C28&gt;0,IF(INDEX('計算A'!$D$2:$EQ$2,$C28)=5,1,0),0)</f>
        <v/>
      </c>
      <c r="TZ29">
        <f>TZ28+IF($C28&gt;0,IF(INDEX('計算A'!$D$2:$EQ$2,$C28)=6,1,0),0)</f>
        <v/>
      </c>
      <c r="UB29">
        <f>UB28+IF(AND($C28=1,$L28=1),1,0)</f>
        <v/>
      </c>
      <c r="UC29">
        <f>UC28+IF(AND($C28=2,$L28=1),1,0)</f>
        <v/>
      </c>
      <c r="UD29">
        <f>UD28+IF(AND($C28=3,$L28=1),1,0)</f>
        <v/>
      </c>
      <c r="UE29">
        <f>UE28+IF(AND($C28=4,$L28=1),1,0)</f>
        <v/>
      </c>
      <c r="UF29">
        <f>UF28+IF(AND($C28=5,$L28=1),1,0)</f>
        <v/>
      </c>
      <c r="UG29">
        <f>UG28+IF(AND($C28=6,$L28=1),1,0)</f>
        <v/>
      </c>
      <c r="UH29">
        <f>UH28+IF(AND($C28=7,$L28=1),1,0)</f>
        <v/>
      </c>
      <c r="UI29">
        <f>UI28+IF(AND($C28=8,$L28=1),1,0)</f>
        <v/>
      </c>
      <c r="UJ29">
        <f>UJ28+IF(AND($C28=9,$L28=1),1,0)</f>
        <v/>
      </c>
      <c r="UK29">
        <f>UK28+IF(AND($C28=10,$L28=1),1,0)</f>
        <v/>
      </c>
      <c r="UL29">
        <f>UL28+IF(AND($C28=11,$L28=1),1,0)</f>
        <v/>
      </c>
      <c r="UM29">
        <f>UM28+IF(AND($C28=12,$L28=1),1,0)</f>
        <v/>
      </c>
      <c r="UN29">
        <f>UN28+IF(AND($C28=13,$L28=1),1,0)</f>
        <v/>
      </c>
      <c r="UO29">
        <f>UO28+IF(AND($C28=14,$L28=1),1,0)</f>
        <v/>
      </c>
      <c r="UP29">
        <f>UP28+IF(AND($C28=15,$L28=1),1,0)</f>
        <v/>
      </c>
      <c r="UQ29">
        <f>UQ28+IF(AND($C28=16,$L28=1),1,0)</f>
        <v/>
      </c>
      <c r="UR29">
        <f>UR28+IF(AND($C28=17,$L28=1),1,0)</f>
        <v/>
      </c>
      <c r="US29">
        <f>US28+IF(AND($C28=18,$L28=1),1,0)</f>
        <v/>
      </c>
      <c r="UT29">
        <f>UT28+IF(AND($C28=19,$L28=1),1,0)</f>
        <v/>
      </c>
      <c r="UU29">
        <f>UU28+IF(AND($C28=20,$L28=1),1,0)</f>
        <v/>
      </c>
      <c r="UV29">
        <f>UV28+IF(AND($C28=21,$L28=1),1,0)</f>
        <v/>
      </c>
      <c r="UW29">
        <f>UW28+IF(AND($C28=22,$L28=1),1,0)</f>
        <v/>
      </c>
      <c r="UX29">
        <f>UX28+IF(AND($C28=23,$L28=1),1,0)</f>
        <v/>
      </c>
      <c r="UY29">
        <f>UY28+IF(AND($C28=24,$L28=1),1,0)</f>
        <v/>
      </c>
      <c r="UZ29">
        <f>UZ28+IF(AND($C28=25,$L28=1),1,0)</f>
        <v/>
      </c>
      <c r="VA29">
        <f>VA28+IF(AND($C28=26,$L28=1),1,0)</f>
        <v/>
      </c>
      <c r="VB29">
        <f>VB28+IF(AND($C28=27,$L28=1),1,0)</f>
        <v/>
      </c>
      <c r="VC29">
        <f>VC28+IF(AND($C28=28,$L28=1),1,0)</f>
        <v/>
      </c>
      <c r="VD29">
        <f>VD28+IF(AND($C28=29,$L28=1),1,0)</f>
        <v/>
      </c>
      <c r="VE29">
        <f>VE28+IF(AND($C28=30,$L28=1),1,0)</f>
        <v/>
      </c>
      <c r="VF29">
        <f>VF28+IF(AND($C28=31,$L28=1),1,0)</f>
        <v/>
      </c>
      <c r="VG29">
        <f>VG28+IF(AND($C28=32,$L28=1),1,0)</f>
        <v/>
      </c>
      <c r="VH29">
        <f>VH28+IF(AND($C28=33,$L28=1),1,0)</f>
        <v/>
      </c>
      <c r="VI29">
        <f>VI28+IF(AND($C28=34,$L28=1),1,0)</f>
        <v/>
      </c>
      <c r="VJ29">
        <f>VJ28+IF(AND($C28=35,$L28=1),1,0)</f>
        <v/>
      </c>
      <c r="VK29">
        <f>VK28+IF(AND($C28=36,$L28=1),1,0)</f>
        <v/>
      </c>
      <c r="VL29">
        <f>VL28+IF(AND($C28=37,$L28=1),1,0)</f>
        <v/>
      </c>
      <c r="VM29">
        <f>VM28+IF(AND($C28=38,$L28=1),1,0)</f>
        <v/>
      </c>
      <c r="VN29">
        <f>VN28+IF(AND($C28=39,$L28=1),1,0)</f>
        <v/>
      </c>
      <c r="VO29">
        <f>VO28+IF(AND($C28=40,$L28=1),1,0)</f>
        <v/>
      </c>
      <c r="VP29">
        <f>VP28+IF(AND($C28=41,$L28=1),1,0)</f>
        <v/>
      </c>
      <c r="VQ29">
        <f>VQ28+IF(AND($C28=42,$L28=1),1,0)</f>
        <v/>
      </c>
      <c r="VR29">
        <f>VR28+IF(AND($C28=43,$L28=1),1,0)</f>
        <v/>
      </c>
      <c r="VS29">
        <f>VS28+IF(AND($C28=44,$L28=1),1,0)</f>
        <v/>
      </c>
      <c r="VT29">
        <f>VT28+IF(AND($C28=45,$L28=1),1,0)</f>
        <v/>
      </c>
      <c r="VU29">
        <f>VU28+IF(AND($C28=46,$L28=1),1,0)</f>
        <v/>
      </c>
      <c r="VV29">
        <f>VV28+IF(AND($C28=47,$L28=1),1,0)</f>
        <v/>
      </c>
      <c r="VW29">
        <f>VW28+IF(AND($C28=48,$L28=1),1,0)</f>
        <v/>
      </c>
      <c r="VX29">
        <f>VX28+IF(AND($C28=49,$L28=1),1,0)</f>
        <v/>
      </c>
      <c r="VY29">
        <f>VY28+IF(AND($C28=50,$L28=1),1,0)</f>
        <v/>
      </c>
      <c r="VZ29">
        <f>VZ28+IF(AND($C28=51,$L28=1),1,0)</f>
        <v/>
      </c>
      <c r="WA29">
        <f>WA28+IF(AND($C28=52,$L28=1),1,0)</f>
        <v/>
      </c>
      <c r="WB29">
        <f>WB28+IF(AND($C28=53,$L28=1),1,0)</f>
        <v/>
      </c>
      <c r="WC29">
        <f>WC28+IF(AND($C28=54,$L28=1),1,0)</f>
        <v/>
      </c>
      <c r="WD29">
        <f>WD28+IF(AND($C28=55,$L28=1),1,0)</f>
        <v/>
      </c>
      <c r="WE29">
        <f>WE28+IF(AND($C28=56,$L28=1),1,0)</f>
        <v/>
      </c>
      <c r="WF29">
        <f>WF28+IF(AND($C28=57,$L28=1),1,0)</f>
        <v/>
      </c>
      <c r="WG29">
        <f>WG28+IF(AND($C28=58,$L28=1),1,0)</f>
        <v/>
      </c>
      <c r="WH29">
        <f>WH28+IF(AND($C28=59,$L28=1),1,0)</f>
        <v/>
      </c>
      <c r="WI29">
        <f>WI28+IF(AND($C28=60,$L28=1),1,0)</f>
        <v/>
      </c>
      <c r="WJ29">
        <f>WJ28+IF(AND($C28=61,$L28=1),1,0)</f>
        <v/>
      </c>
      <c r="WK29">
        <f>WK28+IF(AND($C28=62,$L28=1),1,0)</f>
        <v/>
      </c>
      <c r="WL29">
        <f>WL28+IF(AND($C28=63,$L28=1),1,0)</f>
        <v/>
      </c>
      <c r="WM29">
        <f>WM28+IF(AND($C28=64,$L28=1),1,0)</f>
        <v/>
      </c>
      <c r="WN29">
        <f>WN28+IF(AND($C28=65,$L28=1),1,0)</f>
        <v/>
      </c>
      <c r="WO29">
        <f>WO28+IF(AND($C28=66,$L28=1),1,0)</f>
        <v/>
      </c>
      <c r="WP29">
        <f>WP28+IF(AND($C28=67,$L28=1),1,0)</f>
        <v/>
      </c>
      <c r="WQ29">
        <f>WQ28+IF(AND($C28=68,$L28=1),1,0)</f>
        <v/>
      </c>
      <c r="WR29">
        <f>WR28+IF(AND($C28=69,$L28=1),1,0)</f>
        <v/>
      </c>
      <c r="WS29">
        <f>WS28+IF(AND($C28=70,$L28=1),1,0)</f>
        <v/>
      </c>
      <c r="WT29">
        <f>WT28+IF(AND($C28=71,$L28=1),1,0)</f>
        <v/>
      </c>
      <c r="WU29">
        <f>WU28+IF(AND($C28=72,$L28=1),1,0)</f>
        <v/>
      </c>
      <c r="WV29">
        <f>WV28+IF(AND($C28=73,$L28=1),1,0)</f>
        <v/>
      </c>
      <c r="WW29">
        <f>WW28+IF(AND($C28=74,$L28=1),1,0)</f>
        <v/>
      </c>
      <c r="WX29">
        <f>WX28+IF(AND($C28=75,$L28=1),1,0)</f>
        <v/>
      </c>
      <c r="WY29">
        <f>WY28+IF(AND($C28=76,$L28=1),1,0)</f>
        <v/>
      </c>
      <c r="WZ29">
        <f>WZ28+IF(AND($C28=77,$L28=1),1,0)</f>
        <v/>
      </c>
      <c r="XA29">
        <f>XA28+IF(AND($C28=78,$L28=1),1,0)</f>
        <v/>
      </c>
      <c r="XB29">
        <f>XB28+IF(AND($C28=79,$L28=1),1,0)</f>
        <v/>
      </c>
      <c r="XC29">
        <f>XC28+IF(AND($C28=80,$L28=1),1,0)</f>
        <v/>
      </c>
      <c r="XD29">
        <f>XD28+IF(AND($C28=81,$L28=1),1,0)</f>
        <v/>
      </c>
      <c r="XE29">
        <f>XE28+IF(AND($C28=82,$L28=1),1,0)</f>
        <v/>
      </c>
      <c r="XF29">
        <f>XF28+IF(AND($C28=83,$L28=1),1,0)</f>
        <v/>
      </c>
      <c r="XG29">
        <f>XG28+IF(AND($C28=84,$L28=1),1,0)</f>
        <v/>
      </c>
      <c r="XH29">
        <f>XH28+IF(AND($C28=85,$L28=1),1,0)</f>
        <v/>
      </c>
      <c r="XI29">
        <f>XI28+IF(AND($C28=86,$L28=1),1,0)</f>
        <v/>
      </c>
      <c r="XJ29">
        <f>XJ28+IF(AND($C28=87,$L28=1),1,0)</f>
        <v/>
      </c>
      <c r="XK29">
        <f>XK28+IF(AND($C28=88,$L28=1),1,0)</f>
        <v/>
      </c>
      <c r="XL29">
        <f>XL28+IF(AND($C28=89,$L28=1),1,0)</f>
        <v/>
      </c>
      <c r="XM29">
        <f>XM28+IF(AND($C28=90,$L28=1),1,0)</f>
        <v/>
      </c>
      <c r="XN29">
        <f>XN28+IF(AND($C28=91,$L28=1),1,0)</f>
        <v/>
      </c>
      <c r="XO29">
        <f>XO28+IF(AND($C28=92,$L28=1),1,0)</f>
        <v/>
      </c>
      <c r="XP29">
        <f>XP28+IF(AND($C28=93,$L28=1),1,0)</f>
        <v/>
      </c>
      <c r="XQ29">
        <f>XQ28+IF(AND($C28=94,$L28=1),1,0)</f>
        <v/>
      </c>
      <c r="XR29">
        <f>XR28+IF(AND($C28=95,$L28=1),1,0)</f>
        <v/>
      </c>
      <c r="XS29">
        <f>XS28+IF(AND($C28=96,$L28=1),1,0)</f>
        <v/>
      </c>
      <c r="XT29">
        <f>XT28+IF(AND($C28=97,$L28=1),1,0)</f>
        <v/>
      </c>
      <c r="XU29">
        <f>XU28+IF(AND($C28=98,$L28=1),1,0)</f>
        <v/>
      </c>
      <c r="XV29">
        <f>XV28+IF(AND($C28=99,$L28=1),1,0)</f>
        <v/>
      </c>
      <c r="XW29">
        <f>XW28+IF(AND($C28=100,$L28=1),1,0)</f>
        <v/>
      </c>
      <c r="XX29">
        <f>XX28+IF(AND($C28=101,$L28=1),1,0)</f>
        <v/>
      </c>
      <c r="XY29">
        <f>XY28+IF(AND($C28=102,$L28=1),1,0)</f>
        <v/>
      </c>
      <c r="XZ29">
        <f>XZ28+IF(AND($C28=103,$L28=1),1,0)</f>
        <v/>
      </c>
      <c r="YA29">
        <f>YA28+IF(AND($C28=104,$L28=1),1,0)</f>
        <v/>
      </c>
      <c r="YB29">
        <f>YB28+IF(AND($C28=105,$L28=1),1,0)</f>
        <v/>
      </c>
      <c r="YC29">
        <f>YC28+IF(AND($C28=106,$L28=1),1,0)</f>
        <v/>
      </c>
      <c r="YD29">
        <f>YD28+IF(AND($C28=107,$L28=1),1,0)</f>
        <v/>
      </c>
      <c r="YE29">
        <f>YE28+IF(AND($C28=108,$L28=1),1,0)</f>
        <v/>
      </c>
      <c r="YF29">
        <f>YF28+IF(AND($C28=109,$L28=1),1,0)</f>
        <v/>
      </c>
      <c r="YG29">
        <f>YG28+IF(AND($C28=110,$L28=1),1,0)</f>
        <v/>
      </c>
      <c r="YH29">
        <f>YH28+IF(AND($C28=111,$L28=1),1,0)</f>
        <v/>
      </c>
      <c r="YI29">
        <f>YI28+IF(AND($C28=112,$L28=1),1,0)</f>
        <v/>
      </c>
      <c r="YJ29">
        <f>YJ28+IF(AND($C28=113,$L28=1),1,0)</f>
        <v/>
      </c>
      <c r="YK29">
        <f>YK28+IF(AND($C28=114,$L28=1),1,0)</f>
        <v/>
      </c>
      <c r="YL29">
        <f>YL28+IF(AND($C28=115,$L28=1),1,0)</f>
        <v/>
      </c>
      <c r="YM29">
        <f>YM28+IF(AND($C28=116,$L28=1),1,0)</f>
        <v/>
      </c>
      <c r="YN29">
        <f>YN28+IF(AND($C28=117,$L28=1),1,0)</f>
        <v/>
      </c>
      <c r="YO29">
        <f>YO28+IF(AND($C28=118,$L28=1),1,0)</f>
        <v/>
      </c>
      <c r="YP29">
        <f>YP28+IF(AND($C28=119,$L28=1),1,0)</f>
        <v/>
      </c>
      <c r="YQ29">
        <f>YQ28+IF(AND($C28=120,$L28=1),1,0)</f>
        <v/>
      </c>
      <c r="YR29">
        <f>YR28+IF(AND($C28=121,$L28=1),1,0)</f>
        <v/>
      </c>
      <c r="YS29">
        <f>YS28+IF(AND($C28=122,$L28=1),1,0)</f>
        <v/>
      </c>
      <c r="YT29">
        <f>YT28+IF(AND($C28=123,$L28=1),1,0)</f>
        <v/>
      </c>
      <c r="YU29">
        <f>YU28+IF(AND($C28=124,$L28=1),1,0)</f>
        <v/>
      </c>
      <c r="YV29">
        <f>YV28+IF(AND($C28=125,$L28=1),1,0)</f>
        <v/>
      </c>
      <c r="YW29">
        <f>YW28+IF(AND($C28=126,$L28=1),1,0)</f>
        <v/>
      </c>
      <c r="YX29">
        <f>YX28+IF(AND($C28=127,$L28=1),1,0)</f>
        <v/>
      </c>
      <c r="YY29">
        <f>YY28+IF(AND($C28=128,$L28=1),1,0)</f>
        <v/>
      </c>
      <c r="YZ29">
        <f>YZ28+IF(AND($C28=129,$L28=1),1,0)</f>
        <v/>
      </c>
      <c r="ZA29">
        <f>ZA28+IF(AND($C28=130,$L28=1),1,0)</f>
        <v/>
      </c>
      <c r="ZB29">
        <f>ZB28+IF(AND($C28=131,$L28=1),1,0)</f>
        <v/>
      </c>
      <c r="ZC29">
        <f>ZC28+IF(AND($C28=132,$L28=1),1,0)</f>
        <v/>
      </c>
      <c r="ZD29">
        <f>ZD28+IF(AND($C28=133,$L28=1),1,0)</f>
        <v/>
      </c>
      <c r="ZE29">
        <f>ZE28+IF(AND($C28=134,$L28=1),1,0)</f>
        <v/>
      </c>
      <c r="ZF29">
        <f>ZF28+IF(AND($C28=135,$L28=1),1,0)</f>
        <v/>
      </c>
      <c r="ZG29">
        <f>ZG28+IF(AND($C28=136,$L28=1),1,0)</f>
        <v/>
      </c>
      <c r="ZH29">
        <f>ZH28+IF(AND($C28=137,$L28=1),1,0)</f>
        <v/>
      </c>
      <c r="ZI29">
        <f>ZI28+IF(AND($C28=138,$L28=1),1,0)</f>
        <v/>
      </c>
      <c r="ZJ29">
        <f>ZJ28+IF(AND($C28=139,$L28=1),1,0)</f>
        <v/>
      </c>
      <c r="ZK29">
        <f>ZK28+IF(AND($C28=140,$L28=1),1,0)</f>
        <v/>
      </c>
      <c r="ZL29">
        <f>ZL28+IF(AND($C28=141,$L28=1),1,0)</f>
        <v/>
      </c>
      <c r="ZM29">
        <f>ZM28+IF(AND($C28=142,$L28=1),1,0)</f>
        <v/>
      </c>
      <c r="ZN29">
        <f>ZN28+IF(AND($C28=143,$L28=1),1,0)</f>
        <v/>
      </c>
      <c r="ZO29">
        <f>ZO28+IF(AND($C28=144,$L28=1),1,0)</f>
        <v/>
      </c>
    </row>
    <row r="30">
      <c r="A30" t="n">
        <v>28</v>
      </c>
      <c r="B30">
        <f>IF(MIN(BH30:CZ30)&gt;=1000000,0,MATCH(MIN(BH30:CZ30),BH30:CZ30,0))</f>
        <v/>
      </c>
      <c r="C30">
        <f>IF(MIN(OF30:TS30)&gt;=1000000,0,MATCH(MIN(OF30:TS30),OF30:TS30,0))</f>
        <v/>
      </c>
      <c r="D30">
        <f>IF(C30&gt;0,INDEX('計算A'!$D$5:$EQ$5,C30),0)</f>
        <v/>
      </c>
      <c r="E30">
        <f>IF(B30=0,0,INDEX('計算A'!$IQ$10:$IQ$54,B30))</f>
        <v/>
      </c>
      <c r="F30">
        <f>IF(B30=0,0,INDEX('計算A'!$IP$10:$IP$54,B30))</f>
        <v/>
      </c>
      <c r="G30">
        <f>IF(AND(C30&gt;0,E30&gt;0),IF(AND(INDEX('計算A'!$D$106:$EQ$106,C30)=1,INDEX($IQ30:$OD30,C30)=1),C30+1,0),0)</f>
        <v/>
      </c>
      <c r="H30">
        <f>IF(B30=0,0,INDEX('計算A'!$IW$10:$IW$54,B30))</f>
        <v/>
      </c>
      <c r="I30">
        <f>IF(B30=0,0,MAX(0,INDEX('計算A'!$IT$10:$IT$54,B30)))</f>
        <v/>
      </c>
      <c r="J30">
        <f>IF(I30=0,0,INDEX('計算A'!$D$2:$EQ$2,I30))</f>
        <v/>
      </c>
      <c r="K30">
        <f>IF(I30=0,0,INDEX('計算A'!$D$3:$EQ$3,I30))</f>
        <v/>
      </c>
      <c r="L30">
        <f>IF(B30=0,0,INDEX('計算A'!$IX$10:$IX$54,B30))</f>
        <v/>
      </c>
      <c r="N30">
        <f>MAX(N29,IF($B29=1,1,0))</f>
        <v/>
      </c>
      <c r="O30">
        <f>MAX(O29,IF($B29=2,1,0))</f>
        <v/>
      </c>
      <c r="P30">
        <f>MAX(P29,IF($B29=3,1,0))</f>
        <v/>
      </c>
      <c r="Q30">
        <f>MAX(Q29,IF($B29=4,1,0))</f>
        <v/>
      </c>
      <c r="R30">
        <f>MAX(R29,IF($B29=5,1,0))</f>
        <v/>
      </c>
      <c r="S30">
        <f>MAX(S29,IF($B29=6,1,0))</f>
        <v/>
      </c>
      <c r="T30">
        <f>MAX(T29,IF($B29=7,1,0))</f>
        <v/>
      </c>
      <c r="U30">
        <f>MAX(U29,IF($B29=8,1,0))</f>
        <v/>
      </c>
      <c r="V30">
        <f>MAX(V29,IF($B29=9,1,0))</f>
        <v/>
      </c>
      <c r="W30">
        <f>MAX(W29,IF($B29=10,1,0))</f>
        <v/>
      </c>
      <c r="X30">
        <f>MAX(X29,IF($B29=11,1,0))</f>
        <v/>
      </c>
      <c r="Y30">
        <f>MAX(Y29,IF($B29=12,1,0))</f>
        <v/>
      </c>
      <c r="Z30">
        <f>MAX(Z29,IF($B29=13,1,0))</f>
        <v/>
      </c>
      <c r="AA30">
        <f>MAX(AA29,IF($B29=14,1,0))</f>
        <v/>
      </c>
      <c r="AB30">
        <f>MAX(AB29,IF($B29=15,1,0))</f>
        <v/>
      </c>
      <c r="AC30">
        <f>MAX(AC29,IF($B29=16,1,0))</f>
        <v/>
      </c>
      <c r="AD30">
        <f>MAX(AD29,IF($B29=17,1,0))</f>
        <v/>
      </c>
      <c r="AE30">
        <f>MAX(AE29,IF($B29=18,1,0))</f>
        <v/>
      </c>
      <c r="AF30">
        <f>MAX(AF29,IF($B29=19,1,0))</f>
        <v/>
      </c>
      <c r="AG30">
        <f>MAX(AG29,IF($B29=20,1,0))</f>
        <v/>
      </c>
      <c r="AH30">
        <f>MAX(AH29,IF($B29=21,1,0))</f>
        <v/>
      </c>
      <c r="AI30">
        <f>MAX(AI29,IF($B29=22,1,0))</f>
        <v/>
      </c>
      <c r="AJ30">
        <f>MAX(AJ29,IF($B29=23,1,0))</f>
        <v/>
      </c>
      <c r="AK30">
        <f>MAX(AK29,IF($B29=24,1,0))</f>
        <v/>
      </c>
      <c r="AL30">
        <f>MAX(AL29,IF($B29=25,1,0))</f>
        <v/>
      </c>
      <c r="AM30">
        <f>MAX(AM29,IF($B29=26,1,0))</f>
        <v/>
      </c>
      <c r="AN30">
        <f>MAX(AN29,IF($B29=27,1,0))</f>
        <v/>
      </c>
      <c r="AO30">
        <f>MAX(AO29,IF($B29=28,1,0))</f>
        <v/>
      </c>
      <c r="AP30">
        <f>MAX(AP29,IF($B29=29,1,0))</f>
        <v/>
      </c>
      <c r="AQ30">
        <f>MAX(AQ29,IF($B29=30,1,0))</f>
        <v/>
      </c>
      <c r="AR30">
        <f>MAX(AR29,IF($B29=31,1,0))</f>
        <v/>
      </c>
      <c r="AS30">
        <f>MAX(AS29,IF($B29=32,1,0))</f>
        <v/>
      </c>
      <c r="AT30">
        <f>MAX(AT29,IF($B29=33,1,0))</f>
        <v/>
      </c>
      <c r="AU30">
        <f>MAX(AU29,IF($B29=34,1,0))</f>
        <v/>
      </c>
      <c r="AV30">
        <f>MAX(AV29,IF($B29=35,1,0))</f>
        <v/>
      </c>
      <c r="AW30">
        <f>MAX(AW29,IF($B29=36,1,0))</f>
        <v/>
      </c>
      <c r="AX30">
        <f>MAX(AX29,IF($B29=37,1,0))</f>
        <v/>
      </c>
      <c r="AY30">
        <f>MAX(AY29,IF($B29=38,1,0))</f>
        <v/>
      </c>
      <c r="AZ30">
        <f>MAX(AZ29,IF($B29=39,1,0))</f>
        <v/>
      </c>
      <c r="BA30">
        <f>MAX(BA29,IF($B29=40,1,0))</f>
        <v/>
      </c>
      <c r="BB30">
        <f>MAX(BB29,IF($B29=41,1,0))</f>
        <v/>
      </c>
      <c r="BC30">
        <f>MAX(BC29,IF($B29=42,1,0))</f>
        <v/>
      </c>
      <c r="BD30">
        <f>MAX(BD29,IF($B29=43,1,0))</f>
        <v/>
      </c>
      <c r="BE30">
        <f>MAX(BE29,IF($B29=44,1,0))</f>
        <v/>
      </c>
      <c r="BF30">
        <f>MAX(BF29,IF($B29=45,1,0))</f>
        <v/>
      </c>
      <c r="BH30">
        <f>IF(N30=1,1000000,IF('計算A'!$IT$10&gt;0,0,500000)+IF('計算A'!$IQ$10=2,SUMPRODUCT('計算A'!$D$60:$EQ$60,$DB30:$IO30,$IQ30:$OD30),SUMPRODUCT('計算A'!$D$60:$EQ$60,$DB30:$IO30))*1000+1)</f>
        <v/>
      </c>
      <c r="BI30">
        <f>IF(O30=1,1000000,IF('計算A'!$IT$11&gt;0,0,500000)+IF('計算A'!$IQ$11=2,SUMPRODUCT('計算A'!$D$61:$EQ$61,$DB30:$IO30,$IQ30:$OD30),SUMPRODUCT('計算A'!$D$61:$EQ$61,$DB30:$IO30))*1000+2)</f>
        <v/>
      </c>
      <c r="BJ30">
        <f>IF(P30=1,1000000,IF('計算A'!$IT$12&gt;0,0,500000)+IF('計算A'!$IQ$12=2,SUMPRODUCT('計算A'!$D$62:$EQ$62,$DB30:$IO30,$IQ30:$OD30),SUMPRODUCT('計算A'!$D$62:$EQ$62,$DB30:$IO30))*1000+3)</f>
        <v/>
      </c>
      <c r="BK30">
        <f>IF(Q30=1,1000000,IF('計算A'!$IT$13&gt;0,0,500000)+IF('計算A'!$IQ$13=2,SUMPRODUCT('計算A'!$D$63:$EQ$63,$DB30:$IO30,$IQ30:$OD30),SUMPRODUCT('計算A'!$D$63:$EQ$63,$DB30:$IO30))*1000+4)</f>
        <v/>
      </c>
      <c r="BL30">
        <f>IF(R30=1,1000000,IF('計算A'!$IT$14&gt;0,0,500000)+IF('計算A'!$IQ$14=2,SUMPRODUCT('計算A'!$D$64:$EQ$64,$DB30:$IO30,$IQ30:$OD30),SUMPRODUCT('計算A'!$D$64:$EQ$64,$DB30:$IO30))*1000+5)</f>
        <v/>
      </c>
      <c r="BM30">
        <f>IF(S30=1,1000000,IF('計算A'!$IT$15&gt;0,0,500000)+IF('計算A'!$IQ$15=2,SUMPRODUCT('計算A'!$D$65:$EQ$65,$DB30:$IO30,$IQ30:$OD30),SUMPRODUCT('計算A'!$D$65:$EQ$65,$DB30:$IO30))*1000+6)</f>
        <v/>
      </c>
      <c r="BN30">
        <f>IF(T30=1,1000000,IF('計算A'!$IT$16&gt;0,0,500000)+IF('計算A'!$IQ$16=2,SUMPRODUCT('計算A'!$D$66:$EQ$66,$DB30:$IO30,$IQ30:$OD30),SUMPRODUCT('計算A'!$D$66:$EQ$66,$DB30:$IO30))*1000+7)</f>
        <v/>
      </c>
      <c r="BO30">
        <f>IF(U30=1,1000000,IF('計算A'!$IT$17&gt;0,0,500000)+IF('計算A'!$IQ$17=2,SUMPRODUCT('計算A'!$D$67:$EQ$67,$DB30:$IO30,$IQ30:$OD30),SUMPRODUCT('計算A'!$D$67:$EQ$67,$DB30:$IO30))*1000+8)</f>
        <v/>
      </c>
      <c r="BP30">
        <f>IF(V30=1,1000000,IF('計算A'!$IT$18&gt;0,0,500000)+IF('計算A'!$IQ$18=2,SUMPRODUCT('計算A'!$D$68:$EQ$68,$DB30:$IO30,$IQ30:$OD30),SUMPRODUCT('計算A'!$D$68:$EQ$68,$DB30:$IO30))*1000+9)</f>
        <v/>
      </c>
      <c r="BQ30">
        <f>IF(W30=1,1000000,IF('計算A'!$IT$19&gt;0,0,500000)+IF('計算A'!$IQ$19=2,SUMPRODUCT('計算A'!$D$69:$EQ$69,$DB30:$IO30,$IQ30:$OD30),SUMPRODUCT('計算A'!$D$69:$EQ$69,$DB30:$IO30))*1000+10)</f>
        <v/>
      </c>
      <c r="BR30">
        <f>IF(X30=1,1000000,IF('計算A'!$IT$20&gt;0,0,500000)+IF('計算A'!$IQ$20=2,SUMPRODUCT('計算A'!$D$70:$EQ$70,$DB30:$IO30,$IQ30:$OD30),SUMPRODUCT('計算A'!$D$70:$EQ$70,$DB30:$IO30))*1000+11)</f>
        <v/>
      </c>
      <c r="BS30">
        <f>IF(Y30=1,1000000,IF('計算A'!$IT$21&gt;0,0,500000)+IF('計算A'!$IQ$21=2,SUMPRODUCT('計算A'!$D$71:$EQ$71,$DB30:$IO30,$IQ30:$OD30),SUMPRODUCT('計算A'!$D$71:$EQ$71,$DB30:$IO30))*1000+12)</f>
        <v/>
      </c>
      <c r="BT30">
        <f>IF(Z30=1,1000000,IF('計算A'!$IT$22&gt;0,0,500000)+IF('計算A'!$IQ$22=2,SUMPRODUCT('計算A'!$D$72:$EQ$72,$DB30:$IO30,$IQ30:$OD30),SUMPRODUCT('計算A'!$D$72:$EQ$72,$DB30:$IO30))*1000+13)</f>
        <v/>
      </c>
      <c r="BU30">
        <f>IF(AA30=1,1000000,IF('計算A'!$IT$23&gt;0,0,500000)+IF('計算A'!$IQ$23=2,SUMPRODUCT('計算A'!$D$73:$EQ$73,$DB30:$IO30,$IQ30:$OD30),SUMPRODUCT('計算A'!$D$73:$EQ$73,$DB30:$IO30))*1000+14)</f>
        <v/>
      </c>
      <c r="BV30">
        <f>IF(AB30=1,1000000,IF('計算A'!$IT$24&gt;0,0,500000)+IF('計算A'!$IQ$24=2,SUMPRODUCT('計算A'!$D$74:$EQ$74,$DB30:$IO30,$IQ30:$OD30),SUMPRODUCT('計算A'!$D$74:$EQ$74,$DB30:$IO30))*1000+15)</f>
        <v/>
      </c>
      <c r="BW30">
        <f>IF(AC30=1,1000000,IF('計算A'!$IT$25&gt;0,0,500000)+IF('計算A'!$IQ$25=2,SUMPRODUCT('計算A'!$D$75:$EQ$75,$DB30:$IO30,$IQ30:$OD30),SUMPRODUCT('計算A'!$D$75:$EQ$75,$DB30:$IO30))*1000+16)</f>
        <v/>
      </c>
      <c r="BX30">
        <f>IF(AD30=1,1000000,IF('計算A'!$IT$26&gt;0,0,500000)+IF('計算A'!$IQ$26=2,SUMPRODUCT('計算A'!$D$76:$EQ$76,$DB30:$IO30,$IQ30:$OD30),SUMPRODUCT('計算A'!$D$76:$EQ$76,$DB30:$IO30))*1000+17)</f>
        <v/>
      </c>
      <c r="BY30">
        <f>IF(AE30=1,1000000,IF('計算A'!$IT$27&gt;0,0,500000)+IF('計算A'!$IQ$27=2,SUMPRODUCT('計算A'!$D$77:$EQ$77,$DB30:$IO30,$IQ30:$OD30),SUMPRODUCT('計算A'!$D$77:$EQ$77,$DB30:$IO30))*1000+18)</f>
        <v/>
      </c>
      <c r="BZ30">
        <f>IF(AF30=1,1000000,IF('計算A'!$IT$28&gt;0,0,500000)+IF('計算A'!$IQ$28=2,SUMPRODUCT('計算A'!$D$78:$EQ$78,$DB30:$IO30,$IQ30:$OD30),SUMPRODUCT('計算A'!$D$78:$EQ$78,$DB30:$IO30))*1000+19)</f>
        <v/>
      </c>
      <c r="CA30">
        <f>IF(AG30=1,1000000,IF('計算A'!$IT$29&gt;0,0,500000)+IF('計算A'!$IQ$29=2,SUMPRODUCT('計算A'!$D$79:$EQ$79,$DB30:$IO30,$IQ30:$OD30),SUMPRODUCT('計算A'!$D$79:$EQ$79,$DB30:$IO30))*1000+20)</f>
        <v/>
      </c>
      <c r="CB30">
        <f>IF(AH30=1,1000000,IF('計算A'!$IT$30&gt;0,0,500000)+IF('計算A'!$IQ$30=2,SUMPRODUCT('計算A'!$D$80:$EQ$80,$DB30:$IO30,$IQ30:$OD30),SUMPRODUCT('計算A'!$D$80:$EQ$80,$DB30:$IO30))*1000+21)</f>
        <v/>
      </c>
      <c r="CC30">
        <f>IF(AI30=1,1000000,IF('計算A'!$IT$31&gt;0,0,500000)+IF('計算A'!$IQ$31=2,SUMPRODUCT('計算A'!$D$81:$EQ$81,$DB30:$IO30,$IQ30:$OD30),SUMPRODUCT('計算A'!$D$81:$EQ$81,$DB30:$IO30))*1000+22)</f>
        <v/>
      </c>
      <c r="CD30">
        <f>IF(AJ30=1,1000000,IF('計算A'!$IT$32&gt;0,0,500000)+IF('計算A'!$IQ$32=2,SUMPRODUCT('計算A'!$D$82:$EQ$82,$DB30:$IO30,$IQ30:$OD30),SUMPRODUCT('計算A'!$D$82:$EQ$82,$DB30:$IO30))*1000+23)</f>
        <v/>
      </c>
      <c r="CE30">
        <f>IF(AK30=1,1000000,IF('計算A'!$IT$33&gt;0,0,500000)+IF('計算A'!$IQ$33=2,SUMPRODUCT('計算A'!$D$83:$EQ$83,$DB30:$IO30,$IQ30:$OD30),SUMPRODUCT('計算A'!$D$83:$EQ$83,$DB30:$IO30))*1000+24)</f>
        <v/>
      </c>
      <c r="CF30">
        <f>IF(AL30=1,1000000,IF('計算A'!$IT$34&gt;0,0,500000)+IF('計算A'!$IQ$34=2,SUMPRODUCT('計算A'!$D$84:$EQ$84,$DB30:$IO30,$IQ30:$OD30),SUMPRODUCT('計算A'!$D$84:$EQ$84,$DB30:$IO30))*1000+25)</f>
        <v/>
      </c>
      <c r="CG30">
        <f>IF(AM30=1,1000000,IF('計算A'!$IT$35&gt;0,0,500000)+IF('計算A'!$IQ$35=2,SUMPRODUCT('計算A'!$D$85:$EQ$85,$DB30:$IO30,$IQ30:$OD30),SUMPRODUCT('計算A'!$D$85:$EQ$85,$DB30:$IO30))*1000+26)</f>
        <v/>
      </c>
      <c r="CH30">
        <f>IF(AN30=1,1000000,IF('計算A'!$IT$36&gt;0,0,500000)+IF('計算A'!$IQ$36=2,SUMPRODUCT('計算A'!$D$86:$EQ$86,$DB30:$IO30,$IQ30:$OD30),SUMPRODUCT('計算A'!$D$86:$EQ$86,$DB30:$IO30))*1000+27)</f>
        <v/>
      </c>
      <c r="CI30">
        <f>IF(AO30=1,1000000,IF('計算A'!$IT$37&gt;0,0,500000)+IF('計算A'!$IQ$37=2,SUMPRODUCT('計算A'!$D$87:$EQ$87,$DB30:$IO30,$IQ30:$OD30),SUMPRODUCT('計算A'!$D$87:$EQ$87,$DB30:$IO30))*1000+28)</f>
        <v/>
      </c>
      <c r="CJ30">
        <f>IF(AP30=1,1000000,IF('計算A'!$IT$38&gt;0,0,500000)+IF('計算A'!$IQ$38=2,SUMPRODUCT('計算A'!$D$88:$EQ$88,$DB30:$IO30,$IQ30:$OD30),SUMPRODUCT('計算A'!$D$88:$EQ$88,$DB30:$IO30))*1000+29)</f>
        <v/>
      </c>
      <c r="CK30">
        <f>IF(AQ30=1,1000000,IF('計算A'!$IT$39&gt;0,0,500000)+IF('計算A'!$IQ$39=2,SUMPRODUCT('計算A'!$D$89:$EQ$89,$DB30:$IO30,$IQ30:$OD30),SUMPRODUCT('計算A'!$D$89:$EQ$89,$DB30:$IO30))*1000+30)</f>
        <v/>
      </c>
      <c r="CL30">
        <f>IF(AR30=1,1000000,IF('計算A'!$IT$40&gt;0,0,500000)+IF('計算A'!$IQ$40=2,SUMPRODUCT('計算A'!$D$90:$EQ$90,$DB30:$IO30,$IQ30:$OD30),SUMPRODUCT('計算A'!$D$90:$EQ$90,$DB30:$IO30))*1000+31)</f>
        <v/>
      </c>
      <c r="CM30">
        <f>IF(AS30=1,1000000,IF('計算A'!$IT$41&gt;0,0,500000)+IF('計算A'!$IQ$41=2,SUMPRODUCT('計算A'!$D$91:$EQ$91,$DB30:$IO30,$IQ30:$OD30),SUMPRODUCT('計算A'!$D$91:$EQ$91,$DB30:$IO30))*1000+32)</f>
        <v/>
      </c>
      <c r="CN30">
        <f>IF(AT30=1,1000000,IF('計算A'!$IT$42&gt;0,0,500000)+IF('計算A'!$IQ$42=2,SUMPRODUCT('計算A'!$D$92:$EQ$92,$DB30:$IO30,$IQ30:$OD30),SUMPRODUCT('計算A'!$D$92:$EQ$92,$DB30:$IO30))*1000+33)</f>
        <v/>
      </c>
      <c r="CO30">
        <f>IF(AU30=1,1000000,IF('計算A'!$IT$43&gt;0,0,500000)+IF('計算A'!$IQ$43=2,SUMPRODUCT('計算A'!$D$93:$EQ$93,$DB30:$IO30,$IQ30:$OD30),SUMPRODUCT('計算A'!$D$93:$EQ$93,$DB30:$IO30))*1000+34)</f>
        <v/>
      </c>
      <c r="CP30">
        <f>IF(AV30=1,1000000,IF('計算A'!$IT$44&gt;0,0,500000)+IF('計算A'!$IQ$44=2,SUMPRODUCT('計算A'!$D$94:$EQ$94,$DB30:$IO30,$IQ30:$OD30),SUMPRODUCT('計算A'!$D$94:$EQ$94,$DB30:$IO30))*1000+35)</f>
        <v/>
      </c>
      <c r="CQ30">
        <f>IF(AW30=1,1000000,IF('計算A'!$IT$45&gt;0,0,500000)+IF('計算A'!$IQ$45=2,SUMPRODUCT('計算A'!$D$95:$EQ$95,$DB30:$IO30,$IQ30:$OD30),SUMPRODUCT('計算A'!$D$95:$EQ$95,$DB30:$IO30))*1000+36)</f>
        <v/>
      </c>
      <c r="CR30">
        <f>IF(AX30=1,1000000,IF('計算A'!$IT$46&gt;0,0,500000)+IF('計算A'!$IQ$46=2,SUMPRODUCT('計算A'!$D$96:$EQ$96,$DB30:$IO30,$IQ30:$OD30),SUMPRODUCT('計算A'!$D$96:$EQ$96,$DB30:$IO30))*1000+37)</f>
        <v/>
      </c>
      <c r="CS30">
        <f>IF(AY30=1,1000000,IF('計算A'!$IT$47&gt;0,0,500000)+IF('計算A'!$IQ$47=2,SUMPRODUCT('計算A'!$D$97:$EQ$97,$DB30:$IO30,$IQ30:$OD30),SUMPRODUCT('計算A'!$D$97:$EQ$97,$DB30:$IO30))*1000+38)</f>
        <v/>
      </c>
      <c r="CT30">
        <f>IF(AZ30=1,1000000,IF('計算A'!$IT$48&gt;0,0,500000)+IF('計算A'!$IQ$48=2,SUMPRODUCT('計算A'!$D$98:$EQ$98,$DB30:$IO30,$IQ30:$OD30),SUMPRODUCT('計算A'!$D$98:$EQ$98,$DB30:$IO30))*1000+39)</f>
        <v/>
      </c>
      <c r="CU30">
        <f>IF(BA30=1,1000000,IF('計算A'!$IT$49&gt;0,0,500000)+IF('計算A'!$IQ$49=2,SUMPRODUCT('計算A'!$D$99:$EQ$99,$DB30:$IO30,$IQ30:$OD30),SUMPRODUCT('計算A'!$D$99:$EQ$99,$DB30:$IO30))*1000+40)</f>
        <v/>
      </c>
      <c r="CV30">
        <f>IF(BB30=1,1000000,IF('計算A'!$IT$50&gt;0,0,500000)+IF('計算A'!$IQ$50=2,SUMPRODUCT('計算A'!$D$100:$EQ$100,$DB30:$IO30,$IQ30:$OD30),SUMPRODUCT('計算A'!$D$100:$EQ$100,$DB30:$IO30))*1000+41)</f>
        <v/>
      </c>
      <c r="CW30">
        <f>IF(BC30=1,1000000,IF('計算A'!$IT$51&gt;0,0,500000)+IF('計算A'!$IQ$51=2,SUMPRODUCT('計算A'!$D$101:$EQ$101,$DB30:$IO30,$IQ30:$OD30),SUMPRODUCT('計算A'!$D$101:$EQ$101,$DB30:$IO30))*1000+42)</f>
        <v/>
      </c>
      <c r="CX30">
        <f>IF(BD30=1,1000000,IF('計算A'!$IT$52&gt;0,0,500000)+IF('計算A'!$IQ$52=2,SUMPRODUCT('計算A'!$D$102:$EQ$102,$DB30:$IO30,$IQ30:$OD30),SUMPRODUCT('計算A'!$D$102:$EQ$102,$DB30:$IO30))*1000+43)</f>
        <v/>
      </c>
      <c r="CY30">
        <f>IF(BE30=1,1000000,IF('計算A'!$IT$53&gt;0,0,500000)+IF('計算A'!$IQ$53=2,SUMPRODUCT('計算A'!$D$103:$EQ$103,$DB30:$IO30,$IQ30:$OD30),SUMPRODUCT('計算A'!$D$103:$EQ$103,$DB30:$IO30))*1000+44)</f>
        <v/>
      </c>
      <c r="CZ30">
        <f>IF(BF30=1,1000000,IF('計算A'!$IT$54&gt;0,0,500000)+IF('計算A'!$IQ$54=2,SUMPRODUCT('計算A'!$D$104:$EQ$104,$DB30:$IO30,$IQ30:$OD30),SUMPRODUCT('計算A'!$D$104:$EQ$104,$DB30:$IO30))*1000+45)</f>
        <v/>
      </c>
      <c r="DB30">
        <f>DB29*IF(OR($C29=1,$G29=1),0,1)</f>
        <v/>
      </c>
      <c r="DC30">
        <f>DC29*IF(OR($C29=2,$G29=2),0,1)</f>
        <v/>
      </c>
      <c r="DD30">
        <f>DD29*IF(OR($C29=3,$G29=3),0,1)</f>
        <v/>
      </c>
      <c r="DE30">
        <f>DE29*IF(OR($C29=4,$G29=4),0,1)</f>
        <v/>
      </c>
      <c r="DF30">
        <f>DF29*IF(OR($C29=5,$G29=5),0,1)</f>
        <v/>
      </c>
      <c r="DG30">
        <f>DG29*IF(OR($C29=6,$G29=6),0,1)</f>
        <v/>
      </c>
      <c r="DH30">
        <f>DH29*IF(OR($C29=7,$G29=7),0,1)</f>
        <v/>
      </c>
      <c r="DI30">
        <f>DI29*IF(OR($C29=8,$G29=8),0,1)</f>
        <v/>
      </c>
      <c r="DJ30">
        <f>DJ29*IF(OR($C29=9,$G29=9),0,1)</f>
        <v/>
      </c>
      <c r="DK30">
        <f>DK29*IF(OR($C29=10,$G29=10),0,1)</f>
        <v/>
      </c>
      <c r="DL30">
        <f>DL29*IF(OR($C29=11,$G29=11),0,1)</f>
        <v/>
      </c>
      <c r="DM30">
        <f>DM29*IF(OR($C29=12,$G29=12),0,1)</f>
        <v/>
      </c>
      <c r="DN30">
        <f>DN29*IF(OR($C29=13,$G29=13),0,1)</f>
        <v/>
      </c>
      <c r="DO30">
        <f>DO29*IF(OR($C29=14,$G29=14),0,1)</f>
        <v/>
      </c>
      <c r="DP30">
        <f>DP29*IF(OR($C29=15,$G29=15),0,1)</f>
        <v/>
      </c>
      <c r="DQ30">
        <f>DQ29*IF(OR($C29=16,$G29=16),0,1)</f>
        <v/>
      </c>
      <c r="DR30">
        <f>DR29*IF(OR($C29=17,$G29=17),0,1)</f>
        <v/>
      </c>
      <c r="DS30">
        <f>DS29*IF(OR($C29=18,$G29=18),0,1)</f>
        <v/>
      </c>
      <c r="DT30">
        <f>DT29*IF(OR($C29=19,$G29=19),0,1)</f>
        <v/>
      </c>
      <c r="DU30">
        <f>DU29*IF(OR($C29=20,$G29=20),0,1)</f>
        <v/>
      </c>
      <c r="DV30">
        <f>DV29*IF(OR($C29=21,$G29=21),0,1)</f>
        <v/>
      </c>
      <c r="DW30">
        <f>DW29*IF(OR($C29=22,$G29=22),0,1)</f>
        <v/>
      </c>
      <c r="DX30">
        <f>DX29*IF(OR($C29=23,$G29=23),0,1)</f>
        <v/>
      </c>
      <c r="DY30">
        <f>DY29*IF(OR($C29=24,$G29=24),0,1)</f>
        <v/>
      </c>
      <c r="DZ30">
        <f>DZ29*IF(OR($C29=25,$G29=25),0,1)</f>
        <v/>
      </c>
      <c r="EA30">
        <f>EA29*IF(OR($C29=26,$G29=26),0,1)</f>
        <v/>
      </c>
      <c r="EB30">
        <f>EB29*IF(OR($C29=27,$G29=27),0,1)</f>
        <v/>
      </c>
      <c r="EC30">
        <f>EC29*IF(OR($C29=28,$G29=28),0,1)</f>
        <v/>
      </c>
      <c r="ED30">
        <f>ED29*IF(OR($C29=29,$G29=29),0,1)</f>
        <v/>
      </c>
      <c r="EE30">
        <f>EE29*IF(OR($C29=30,$G29=30),0,1)</f>
        <v/>
      </c>
      <c r="EF30">
        <f>EF29*IF(OR($C29=31,$G29=31),0,1)</f>
        <v/>
      </c>
      <c r="EG30">
        <f>EG29*IF(OR($C29=32,$G29=32),0,1)</f>
        <v/>
      </c>
      <c r="EH30">
        <f>EH29*IF(OR($C29=33,$G29=33),0,1)</f>
        <v/>
      </c>
      <c r="EI30">
        <f>EI29*IF(OR($C29=34,$G29=34),0,1)</f>
        <v/>
      </c>
      <c r="EJ30">
        <f>EJ29*IF(OR($C29=35,$G29=35),0,1)</f>
        <v/>
      </c>
      <c r="EK30">
        <f>EK29*IF(OR($C29=36,$G29=36),0,1)</f>
        <v/>
      </c>
      <c r="EL30">
        <f>EL29*IF(OR($C29=37,$G29=37),0,1)</f>
        <v/>
      </c>
      <c r="EM30">
        <f>EM29*IF(OR($C29=38,$G29=38),0,1)</f>
        <v/>
      </c>
      <c r="EN30">
        <f>EN29*IF(OR($C29=39,$G29=39),0,1)</f>
        <v/>
      </c>
      <c r="EO30">
        <f>EO29*IF(OR($C29=40,$G29=40),0,1)</f>
        <v/>
      </c>
      <c r="EP30">
        <f>EP29*IF(OR($C29=41,$G29=41),0,1)</f>
        <v/>
      </c>
      <c r="EQ30">
        <f>EQ29*IF(OR($C29=42,$G29=42),0,1)</f>
        <v/>
      </c>
      <c r="ER30">
        <f>ER29*IF(OR($C29=43,$G29=43),0,1)</f>
        <v/>
      </c>
      <c r="ES30">
        <f>ES29*IF(OR($C29=44,$G29=44),0,1)</f>
        <v/>
      </c>
      <c r="ET30">
        <f>ET29*IF(OR($C29=45,$G29=45),0,1)</f>
        <v/>
      </c>
      <c r="EU30">
        <f>EU29*IF(OR($C29=46,$G29=46),0,1)</f>
        <v/>
      </c>
      <c r="EV30">
        <f>EV29*IF(OR($C29=47,$G29=47),0,1)</f>
        <v/>
      </c>
      <c r="EW30">
        <f>EW29*IF(OR($C29=48,$G29=48),0,1)</f>
        <v/>
      </c>
      <c r="EX30">
        <f>EX29*IF(OR($C29=49,$G29=49),0,1)</f>
        <v/>
      </c>
      <c r="EY30">
        <f>EY29*IF(OR($C29=50,$G29=50),0,1)</f>
        <v/>
      </c>
      <c r="EZ30">
        <f>EZ29*IF(OR($C29=51,$G29=51),0,1)</f>
        <v/>
      </c>
      <c r="FA30">
        <f>FA29*IF(OR($C29=52,$G29=52),0,1)</f>
        <v/>
      </c>
      <c r="FB30">
        <f>FB29*IF(OR($C29=53,$G29=53),0,1)</f>
        <v/>
      </c>
      <c r="FC30">
        <f>FC29*IF(OR($C29=54,$G29=54),0,1)</f>
        <v/>
      </c>
      <c r="FD30">
        <f>FD29*IF(OR($C29=55,$G29=55),0,1)</f>
        <v/>
      </c>
      <c r="FE30">
        <f>FE29*IF(OR($C29=56,$G29=56),0,1)</f>
        <v/>
      </c>
      <c r="FF30">
        <f>FF29*IF(OR($C29=57,$G29=57),0,1)</f>
        <v/>
      </c>
      <c r="FG30">
        <f>FG29*IF(OR($C29=58,$G29=58),0,1)</f>
        <v/>
      </c>
      <c r="FH30">
        <f>FH29*IF(OR($C29=59,$G29=59),0,1)</f>
        <v/>
      </c>
      <c r="FI30">
        <f>FI29*IF(OR($C29=60,$G29=60),0,1)</f>
        <v/>
      </c>
      <c r="FJ30">
        <f>FJ29*IF(OR($C29=61,$G29=61),0,1)</f>
        <v/>
      </c>
      <c r="FK30">
        <f>FK29*IF(OR($C29=62,$G29=62),0,1)</f>
        <v/>
      </c>
      <c r="FL30">
        <f>FL29*IF(OR($C29=63,$G29=63),0,1)</f>
        <v/>
      </c>
      <c r="FM30">
        <f>FM29*IF(OR($C29=64,$G29=64),0,1)</f>
        <v/>
      </c>
      <c r="FN30">
        <f>FN29*IF(OR($C29=65,$G29=65),0,1)</f>
        <v/>
      </c>
      <c r="FO30">
        <f>FO29*IF(OR($C29=66,$G29=66),0,1)</f>
        <v/>
      </c>
      <c r="FP30">
        <f>FP29*IF(OR($C29=67,$G29=67),0,1)</f>
        <v/>
      </c>
      <c r="FQ30">
        <f>FQ29*IF(OR($C29=68,$G29=68),0,1)</f>
        <v/>
      </c>
      <c r="FR30">
        <f>FR29*IF(OR($C29=69,$G29=69),0,1)</f>
        <v/>
      </c>
      <c r="FS30">
        <f>FS29*IF(OR($C29=70,$G29=70),0,1)</f>
        <v/>
      </c>
      <c r="FT30">
        <f>FT29*IF(OR($C29=71,$G29=71),0,1)</f>
        <v/>
      </c>
      <c r="FU30">
        <f>FU29*IF(OR($C29=72,$G29=72),0,1)</f>
        <v/>
      </c>
      <c r="FV30">
        <f>FV29*IF(OR($C29=73,$G29=73),0,1)</f>
        <v/>
      </c>
      <c r="FW30">
        <f>FW29*IF(OR($C29=74,$G29=74),0,1)</f>
        <v/>
      </c>
      <c r="FX30">
        <f>FX29*IF(OR($C29=75,$G29=75),0,1)</f>
        <v/>
      </c>
      <c r="FY30">
        <f>FY29*IF(OR($C29=76,$G29=76),0,1)</f>
        <v/>
      </c>
      <c r="FZ30">
        <f>FZ29*IF(OR($C29=77,$G29=77),0,1)</f>
        <v/>
      </c>
      <c r="GA30">
        <f>GA29*IF(OR($C29=78,$G29=78),0,1)</f>
        <v/>
      </c>
      <c r="GB30">
        <f>GB29*IF(OR($C29=79,$G29=79),0,1)</f>
        <v/>
      </c>
      <c r="GC30">
        <f>GC29*IF(OR($C29=80,$G29=80),0,1)</f>
        <v/>
      </c>
      <c r="GD30">
        <f>GD29*IF(OR($C29=81,$G29=81),0,1)</f>
        <v/>
      </c>
      <c r="GE30">
        <f>GE29*IF(OR($C29=82,$G29=82),0,1)</f>
        <v/>
      </c>
      <c r="GF30">
        <f>GF29*IF(OR($C29=83,$G29=83),0,1)</f>
        <v/>
      </c>
      <c r="GG30">
        <f>GG29*IF(OR($C29=84,$G29=84),0,1)</f>
        <v/>
      </c>
      <c r="GH30">
        <f>GH29*IF(OR($C29=85,$G29=85),0,1)</f>
        <v/>
      </c>
      <c r="GI30">
        <f>GI29*IF(OR($C29=86,$G29=86),0,1)</f>
        <v/>
      </c>
      <c r="GJ30">
        <f>GJ29*IF(OR($C29=87,$G29=87),0,1)</f>
        <v/>
      </c>
      <c r="GK30">
        <f>GK29*IF(OR($C29=88,$G29=88),0,1)</f>
        <v/>
      </c>
      <c r="GL30">
        <f>GL29*IF(OR($C29=89,$G29=89),0,1)</f>
        <v/>
      </c>
      <c r="GM30">
        <f>GM29*IF(OR($C29=90,$G29=90),0,1)</f>
        <v/>
      </c>
      <c r="GN30">
        <f>GN29*IF(OR($C29=91,$G29=91),0,1)</f>
        <v/>
      </c>
      <c r="GO30">
        <f>GO29*IF(OR($C29=92,$G29=92),0,1)</f>
        <v/>
      </c>
      <c r="GP30">
        <f>GP29*IF(OR($C29=93,$G29=93),0,1)</f>
        <v/>
      </c>
      <c r="GQ30">
        <f>GQ29*IF(OR($C29=94,$G29=94),0,1)</f>
        <v/>
      </c>
      <c r="GR30">
        <f>GR29*IF(OR($C29=95,$G29=95),0,1)</f>
        <v/>
      </c>
      <c r="GS30">
        <f>GS29*IF(OR($C29=96,$G29=96),0,1)</f>
        <v/>
      </c>
      <c r="GT30">
        <f>GT29*IF(OR($C29=97,$G29=97),0,1)</f>
        <v/>
      </c>
      <c r="GU30">
        <f>GU29*IF(OR($C29=98,$G29=98),0,1)</f>
        <v/>
      </c>
      <c r="GV30">
        <f>GV29*IF(OR($C29=99,$G29=99),0,1)</f>
        <v/>
      </c>
      <c r="GW30">
        <f>GW29*IF(OR($C29=100,$G29=100),0,1)</f>
        <v/>
      </c>
      <c r="GX30">
        <f>GX29*IF(OR($C29=101,$G29=101),0,1)</f>
        <v/>
      </c>
      <c r="GY30">
        <f>GY29*IF(OR($C29=102,$G29=102),0,1)</f>
        <v/>
      </c>
      <c r="GZ30">
        <f>GZ29*IF(OR($C29=103,$G29=103),0,1)</f>
        <v/>
      </c>
      <c r="HA30">
        <f>HA29*IF(OR($C29=104,$G29=104),0,1)</f>
        <v/>
      </c>
      <c r="HB30">
        <f>HB29*IF(OR($C29=105,$G29=105),0,1)</f>
        <v/>
      </c>
      <c r="HC30">
        <f>HC29*IF(OR($C29=106,$G29=106),0,1)</f>
        <v/>
      </c>
      <c r="HD30">
        <f>HD29*IF(OR($C29=107,$G29=107),0,1)</f>
        <v/>
      </c>
      <c r="HE30">
        <f>HE29*IF(OR($C29=108,$G29=108),0,1)</f>
        <v/>
      </c>
      <c r="HF30">
        <f>HF29*IF(OR($C29=109,$G29=109),0,1)</f>
        <v/>
      </c>
      <c r="HG30">
        <f>HG29*IF(OR($C29=110,$G29=110),0,1)</f>
        <v/>
      </c>
      <c r="HH30">
        <f>HH29*IF(OR($C29=111,$G29=111),0,1)</f>
        <v/>
      </c>
      <c r="HI30">
        <f>HI29*IF(OR($C29=112,$G29=112),0,1)</f>
        <v/>
      </c>
      <c r="HJ30">
        <f>HJ29*IF(OR($C29=113,$G29=113),0,1)</f>
        <v/>
      </c>
      <c r="HK30">
        <f>HK29*IF(OR($C29=114,$G29=114),0,1)</f>
        <v/>
      </c>
      <c r="HL30">
        <f>HL29*IF(OR($C29=115,$G29=115),0,1)</f>
        <v/>
      </c>
      <c r="HM30">
        <f>HM29*IF(OR($C29=116,$G29=116),0,1)</f>
        <v/>
      </c>
      <c r="HN30">
        <f>HN29*IF(OR($C29=117,$G29=117),0,1)</f>
        <v/>
      </c>
      <c r="HO30">
        <f>HO29*IF(OR($C29=118,$G29=118),0,1)</f>
        <v/>
      </c>
      <c r="HP30">
        <f>HP29*IF(OR($C29=119,$G29=119),0,1)</f>
        <v/>
      </c>
      <c r="HQ30">
        <f>HQ29*IF(OR($C29=120,$G29=120),0,1)</f>
        <v/>
      </c>
      <c r="HR30">
        <f>HR29*IF(OR($C29=121,$G29=121),0,1)</f>
        <v/>
      </c>
      <c r="HS30">
        <f>HS29*IF(OR($C29=122,$G29=122),0,1)</f>
        <v/>
      </c>
      <c r="HT30">
        <f>HT29*IF(OR($C29=123,$G29=123),0,1)</f>
        <v/>
      </c>
      <c r="HU30">
        <f>HU29*IF(OR($C29=124,$G29=124),0,1)</f>
        <v/>
      </c>
      <c r="HV30">
        <f>HV29*IF(OR($C29=125,$G29=125),0,1)</f>
        <v/>
      </c>
      <c r="HW30">
        <f>HW29*IF(OR($C29=126,$G29=126),0,1)</f>
        <v/>
      </c>
      <c r="HX30">
        <f>HX29*IF(OR($C29=127,$G29=127),0,1)</f>
        <v/>
      </c>
      <c r="HY30">
        <f>HY29*IF(OR($C29=128,$G29=128),0,1)</f>
        <v/>
      </c>
      <c r="HZ30">
        <f>HZ29*IF(OR($C29=129,$G29=129),0,1)</f>
        <v/>
      </c>
      <c r="IA30">
        <f>IA29*IF(OR($C29=130,$G29=130),0,1)</f>
        <v/>
      </c>
      <c r="IB30">
        <f>IB29*IF(OR($C29=131,$G29=131),0,1)</f>
        <v/>
      </c>
      <c r="IC30">
        <f>IC29*IF(OR($C29=132,$G29=132),0,1)</f>
        <v/>
      </c>
      <c r="ID30">
        <f>ID29*IF(OR($C29=133,$G29=133),0,1)</f>
        <v/>
      </c>
      <c r="IE30">
        <f>IE29*IF(OR($C29=134,$G29=134),0,1)</f>
        <v/>
      </c>
      <c r="IF30">
        <f>IF29*IF(OR($C29=135,$G29=135),0,1)</f>
        <v/>
      </c>
      <c r="IG30">
        <f>IG29*IF(OR($C29=136,$G29=136),0,1)</f>
        <v/>
      </c>
      <c r="IH30">
        <f>IH29*IF(OR($C29=137,$G29=137),0,1)</f>
        <v/>
      </c>
      <c r="II30">
        <f>II29*IF(OR($C29=138,$G29=138),0,1)</f>
        <v/>
      </c>
      <c r="IJ30">
        <f>IJ29*IF(OR($C29=139,$G29=139),0,1)</f>
        <v/>
      </c>
      <c r="IK30">
        <f>IK29*IF(OR($C29=140,$G29=140),0,1)</f>
        <v/>
      </c>
      <c r="IL30">
        <f>IL29*IF(OR($C29=141,$G29=141),0,1)</f>
        <v/>
      </c>
      <c r="IM30">
        <f>IM29*IF(OR($C29=142,$G29=142),0,1)</f>
        <v/>
      </c>
      <c r="IN30">
        <f>IN29*IF(OR($C29=143,$G29=143),0,1)</f>
        <v/>
      </c>
      <c r="IO30">
        <f>IO29*IF(OR($C29=144,$G29=144),0,1)</f>
        <v/>
      </c>
      <c r="IQ30">
        <f>IF('計算A'!D$106=1,DC30,1)</f>
        <v/>
      </c>
      <c r="IR30">
        <f>IF('計算A'!E$106=1,DD30,1)</f>
        <v/>
      </c>
      <c r="IS30">
        <f>IF('計算A'!F$106=1,DE30,1)</f>
        <v/>
      </c>
      <c r="IT30">
        <f>IF('計算A'!G$106=1,DF30,1)</f>
        <v/>
      </c>
      <c r="IU30">
        <f>IF('計算A'!H$106=1,DG30,1)</f>
        <v/>
      </c>
      <c r="IV30">
        <f>IF('計算A'!I$106=1,DH30,1)</f>
        <v/>
      </c>
      <c r="IW30">
        <f>IF('計算A'!J$106=1,DI30,1)</f>
        <v/>
      </c>
      <c r="IX30">
        <f>IF('計算A'!K$106=1,DJ30,1)</f>
        <v/>
      </c>
      <c r="IY30">
        <f>IF('計算A'!L$106=1,DK30,1)</f>
        <v/>
      </c>
      <c r="IZ30">
        <f>IF('計算A'!M$106=1,DL30,1)</f>
        <v/>
      </c>
      <c r="JA30">
        <f>IF('計算A'!N$106=1,DM30,1)</f>
        <v/>
      </c>
      <c r="JB30">
        <f>IF('計算A'!O$106=1,DN30,1)</f>
        <v/>
      </c>
      <c r="JC30">
        <f>IF('計算A'!P$106=1,DO30,1)</f>
        <v/>
      </c>
      <c r="JD30">
        <f>IF('計算A'!Q$106=1,DP30,1)</f>
        <v/>
      </c>
      <c r="JE30">
        <f>IF('計算A'!R$106=1,DQ30,1)</f>
        <v/>
      </c>
      <c r="JF30">
        <f>IF('計算A'!S$106=1,DR30,1)</f>
        <v/>
      </c>
      <c r="JG30">
        <f>IF('計算A'!T$106=1,DS30,1)</f>
        <v/>
      </c>
      <c r="JH30">
        <f>IF('計算A'!U$106=1,DT30,1)</f>
        <v/>
      </c>
      <c r="JI30">
        <f>IF('計算A'!V$106=1,DU30,1)</f>
        <v/>
      </c>
      <c r="JJ30">
        <f>IF('計算A'!W$106=1,DV30,1)</f>
        <v/>
      </c>
      <c r="JK30">
        <f>IF('計算A'!X$106=1,DW30,1)</f>
        <v/>
      </c>
      <c r="JL30">
        <f>IF('計算A'!Y$106=1,DX30,1)</f>
        <v/>
      </c>
      <c r="JM30">
        <f>IF('計算A'!Z$106=1,DY30,1)</f>
        <v/>
      </c>
      <c r="JN30">
        <f>IF('計算A'!AA$106=1,DZ30,1)</f>
        <v/>
      </c>
      <c r="JO30">
        <f>IF('計算A'!AB$106=1,EA30,1)</f>
        <v/>
      </c>
      <c r="JP30">
        <f>IF('計算A'!AC$106=1,EB30,1)</f>
        <v/>
      </c>
      <c r="JQ30">
        <f>IF('計算A'!AD$106=1,EC30,1)</f>
        <v/>
      </c>
      <c r="JR30">
        <f>IF('計算A'!AE$106=1,ED30,1)</f>
        <v/>
      </c>
      <c r="JS30">
        <f>IF('計算A'!AF$106=1,EE30,1)</f>
        <v/>
      </c>
      <c r="JT30">
        <f>IF('計算A'!AG$106=1,EF30,1)</f>
        <v/>
      </c>
      <c r="JU30">
        <f>IF('計算A'!AH$106=1,EG30,1)</f>
        <v/>
      </c>
      <c r="JV30">
        <f>IF('計算A'!AI$106=1,EH30,1)</f>
        <v/>
      </c>
      <c r="JW30">
        <f>IF('計算A'!AJ$106=1,EI30,1)</f>
        <v/>
      </c>
      <c r="JX30">
        <f>IF('計算A'!AK$106=1,EJ30,1)</f>
        <v/>
      </c>
      <c r="JY30">
        <f>IF('計算A'!AL$106=1,EK30,1)</f>
        <v/>
      </c>
      <c r="JZ30">
        <f>IF('計算A'!AM$106=1,EL30,1)</f>
        <v/>
      </c>
      <c r="KA30">
        <f>IF('計算A'!AN$106=1,EM30,1)</f>
        <v/>
      </c>
      <c r="KB30">
        <f>IF('計算A'!AO$106=1,EN30,1)</f>
        <v/>
      </c>
      <c r="KC30">
        <f>IF('計算A'!AP$106=1,EO30,1)</f>
        <v/>
      </c>
      <c r="KD30">
        <f>IF('計算A'!AQ$106=1,EP30,1)</f>
        <v/>
      </c>
      <c r="KE30">
        <f>IF('計算A'!AR$106=1,EQ30,1)</f>
        <v/>
      </c>
      <c r="KF30">
        <f>IF('計算A'!AS$106=1,ER30,1)</f>
        <v/>
      </c>
      <c r="KG30">
        <f>IF('計算A'!AT$106=1,ES30,1)</f>
        <v/>
      </c>
      <c r="KH30">
        <f>IF('計算A'!AU$106=1,ET30,1)</f>
        <v/>
      </c>
      <c r="KI30">
        <f>IF('計算A'!AV$106=1,EU30,1)</f>
        <v/>
      </c>
      <c r="KJ30">
        <f>IF('計算A'!AW$106=1,EV30,1)</f>
        <v/>
      </c>
      <c r="KK30">
        <f>IF('計算A'!AX$106=1,EW30,1)</f>
        <v/>
      </c>
      <c r="KL30">
        <f>IF('計算A'!AY$106=1,EX30,1)</f>
        <v/>
      </c>
      <c r="KM30">
        <f>IF('計算A'!AZ$106=1,EY30,1)</f>
        <v/>
      </c>
      <c r="KN30">
        <f>IF('計算A'!BA$106=1,EZ30,1)</f>
        <v/>
      </c>
      <c r="KO30">
        <f>IF('計算A'!BB$106=1,FA30,1)</f>
        <v/>
      </c>
      <c r="KP30">
        <f>IF('計算A'!BC$106=1,FB30,1)</f>
        <v/>
      </c>
      <c r="KQ30">
        <f>IF('計算A'!BD$106=1,FC30,1)</f>
        <v/>
      </c>
      <c r="KR30">
        <f>IF('計算A'!BE$106=1,FD30,1)</f>
        <v/>
      </c>
      <c r="KS30">
        <f>IF('計算A'!BF$106=1,FE30,1)</f>
        <v/>
      </c>
      <c r="KT30">
        <f>IF('計算A'!BG$106=1,FF30,1)</f>
        <v/>
      </c>
      <c r="KU30">
        <f>IF('計算A'!BH$106=1,FG30,1)</f>
        <v/>
      </c>
      <c r="KV30">
        <f>IF('計算A'!BI$106=1,FH30,1)</f>
        <v/>
      </c>
      <c r="KW30">
        <f>IF('計算A'!BJ$106=1,FI30,1)</f>
        <v/>
      </c>
      <c r="KX30">
        <f>IF('計算A'!BK$106=1,FJ30,1)</f>
        <v/>
      </c>
      <c r="KY30">
        <f>IF('計算A'!BL$106=1,FK30,1)</f>
        <v/>
      </c>
      <c r="KZ30">
        <f>IF('計算A'!BM$106=1,FL30,1)</f>
        <v/>
      </c>
      <c r="LA30">
        <f>IF('計算A'!BN$106=1,FM30,1)</f>
        <v/>
      </c>
      <c r="LB30">
        <f>IF('計算A'!BO$106=1,FN30,1)</f>
        <v/>
      </c>
      <c r="LC30">
        <f>IF('計算A'!BP$106=1,FO30,1)</f>
        <v/>
      </c>
      <c r="LD30">
        <f>IF('計算A'!BQ$106=1,FP30,1)</f>
        <v/>
      </c>
      <c r="LE30">
        <f>IF('計算A'!BR$106=1,FQ30,1)</f>
        <v/>
      </c>
      <c r="LF30">
        <f>IF('計算A'!BS$106=1,FR30,1)</f>
        <v/>
      </c>
      <c r="LG30">
        <f>IF('計算A'!BT$106=1,FS30,1)</f>
        <v/>
      </c>
      <c r="LH30">
        <f>IF('計算A'!BU$106=1,FT30,1)</f>
        <v/>
      </c>
      <c r="LI30">
        <f>IF('計算A'!BV$106=1,FU30,1)</f>
        <v/>
      </c>
      <c r="LJ30">
        <f>IF('計算A'!BW$106=1,FV30,1)</f>
        <v/>
      </c>
      <c r="LK30">
        <f>IF('計算A'!BX$106=1,FW30,1)</f>
        <v/>
      </c>
      <c r="LL30">
        <f>IF('計算A'!BY$106=1,FX30,1)</f>
        <v/>
      </c>
      <c r="LM30">
        <f>IF('計算A'!BZ$106=1,FY30,1)</f>
        <v/>
      </c>
      <c r="LN30">
        <f>IF('計算A'!CA$106=1,FZ30,1)</f>
        <v/>
      </c>
      <c r="LO30">
        <f>IF('計算A'!CB$106=1,GA30,1)</f>
        <v/>
      </c>
      <c r="LP30">
        <f>IF('計算A'!CC$106=1,GB30,1)</f>
        <v/>
      </c>
      <c r="LQ30">
        <f>IF('計算A'!CD$106=1,GC30,1)</f>
        <v/>
      </c>
      <c r="LR30">
        <f>IF('計算A'!CE$106=1,GD30,1)</f>
        <v/>
      </c>
      <c r="LS30">
        <f>IF('計算A'!CF$106=1,GE30,1)</f>
        <v/>
      </c>
      <c r="LT30">
        <f>IF('計算A'!CG$106=1,GF30,1)</f>
        <v/>
      </c>
      <c r="LU30">
        <f>IF('計算A'!CH$106=1,GG30,1)</f>
        <v/>
      </c>
      <c r="LV30">
        <f>IF('計算A'!CI$106=1,GH30,1)</f>
        <v/>
      </c>
      <c r="LW30">
        <f>IF('計算A'!CJ$106=1,GI30,1)</f>
        <v/>
      </c>
      <c r="LX30">
        <f>IF('計算A'!CK$106=1,GJ30,1)</f>
        <v/>
      </c>
      <c r="LY30">
        <f>IF('計算A'!CL$106=1,GK30,1)</f>
        <v/>
      </c>
      <c r="LZ30">
        <f>IF('計算A'!CM$106=1,GL30,1)</f>
        <v/>
      </c>
      <c r="MA30">
        <f>IF('計算A'!CN$106=1,GM30,1)</f>
        <v/>
      </c>
      <c r="MB30">
        <f>IF('計算A'!CO$106=1,GN30,1)</f>
        <v/>
      </c>
      <c r="MC30">
        <f>IF('計算A'!CP$106=1,GO30,1)</f>
        <v/>
      </c>
      <c r="MD30">
        <f>IF('計算A'!CQ$106=1,GP30,1)</f>
        <v/>
      </c>
      <c r="ME30">
        <f>IF('計算A'!CR$106=1,GQ30,1)</f>
        <v/>
      </c>
      <c r="MF30">
        <f>IF('計算A'!CS$106=1,GR30,1)</f>
        <v/>
      </c>
      <c r="MG30">
        <f>IF('計算A'!CT$106=1,GS30,1)</f>
        <v/>
      </c>
      <c r="MH30">
        <f>IF('計算A'!CU$106=1,GT30,1)</f>
        <v/>
      </c>
      <c r="MI30">
        <f>IF('計算A'!CV$106=1,GU30,1)</f>
        <v/>
      </c>
      <c r="MJ30">
        <f>IF('計算A'!CW$106=1,GV30,1)</f>
        <v/>
      </c>
      <c r="MK30">
        <f>IF('計算A'!CX$106=1,GW30,1)</f>
        <v/>
      </c>
      <c r="ML30">
        <f>IF('計算A'!CY$106=1,GX30,1)</f>
        <v/>
      </c>
      <c r="MM30">
        <f>IF('計算A'!CZ$106=1,GY30,1)</f>
        <v/>
      </c>
      <c r="MN30">
        <f>IF('計算A'!DA$106=1,GZ30,1)</f>
        <v/>
      </c>
      <c r="MO30">
        <f>IF('計算A'!DB$106=1,HA30,1)</f>
        <v/>
      </c>
      <c r="MP30">
        <f>IF('計算A'!DC$106=1,HB30,1)</f>
        <v/>
      </c>
      <c r="MQ30">
        <f>IF('計算A'!DD$106=1,HC30,1)</f>
        <v/>
      </c>
      <c r="MR30">
        <f>IF('計算A'!DE$106=1,HD30,1)</f>
        <v/>
      </c>
      <c r="MS30">
        <f>IF('計算A'!DF$106=1,HE30,1)</f>
        <v/>
      </c>
      <c r="MT30">
        <f>IF('計算A'!DG$106=1,HF30,1)</f>
        <v/>
      </c>
      <c r="MU30">
        <f>IF('計算A'!DH$106=1,HG30,1)</f>
        <v/>
      </c>
      <c r="MV30">
        <f>IF('計算A'!DI$106=1,HH30,1)</f>
        <v/>
      </c>
      <c r="MW30">
        <f>IF('計算A'!DJ$106=1,HI30,1)</f>
        <v/>
      </c>
      <c r="MX30">
        <f>IF('計算A'!DK$106=1,HJ30,1)</f>
        <v/>
      </c>
      <c r="MY30">
        <f>IF('計算A'!DL$106=1,HK30,1)</f>
        <v/>
      </c>
      <c r="MZ30">
        <f>IF('計算A'!DM$106=1,HL30,1)</f>
        <v/>
      </c>
      <c r="NA30">
        <f>IF('計算A'!DN$106=1,HM30,1)</f>
        <v/>
      </c>
      <c r="NB30">
        <f>IF('計算A'!DO$106=1,HN30,1)</f>
        <v/>
      </c>
      <c r="NC30">
        <f>IF('計算A'!DP$106=1,HO30,1)</f>
        <v/>
      </c>
      <c r="ND30">
        <f>IF('計算A'!DQ$106=1,HP30,1)</f>
        <v/>
      </c>
      <c r="NE30">
        <f>IF('計算A'!DR$106=1,HQ30,1)</f>
        <v/>
      </c>
      <c r="NF30">
        <f>IF('計算A'!DS$106=1,HR30,1)</f>
        <v/>
      </c>
      <c r="NG30">
        <f>IF('計算A'!DT$106=1,HS30,1)</f>
        <v/>
      </c>
      <c r="NH30">
        <f>IF('計算A'!DU$106=1,HT30,1)</f>
        <v/>
      </c>
      <c r="NI30">
        <f>IF('計算A'!DV$106=1,HU30,1)</f>
        <v/>
      </c>
      <c r="NJ30">
        <f>IF('計算A'!DW$106=1,HV30,1)</f>
        <v/>
      </c>
      <c r="NK30">
        <f>IF('計算A'!DX$106=1,HW30,1)</f>
        <v/>
      </c>
      <c r="NL30">
        <f>IF('計算A'!DY$106=1,HX30,1)</f>
        <v/>
      </c>
      <c r="NM30">
        <f>IF('計算A'!DZ$106=1,HY30,1)</f>
        <v/>
      </c>
      <c r="NN30">
        <f>IF('計算A'!EA$106=1,HZ30,1)</f>
        <v/>
      </c>
      <c r="NO30">
        <f>IF('計算A'!EB$106=1,IA30,1)</f>
        <v/>
      </c>
      <c r="NP30">
        <f>IF('計算A'!EC$106=1,IB30,1)</f>
        <v/>
      </c>
      <c r="NQ30">
        <f>IF('計算A'!ED$106=1,IC30,1)</f>
        <v/>
      </c>
      <c r="NR30">
        <f>IF('計算A'!EE$106=1,ID30,1)</f>
        <v/>
      </c>
      <c r="NS30">
        <f>IF('計算A'!EF$106=1,IE30,1)</f>
        <v/>
      </c>
      <c r="NT30">
        <f>IF('計算A'!EG$106=1,IF30,1)</f>
        <v/>
      </c>
      <c r="NU30">
        <f>IF('計算A'!EH$106=1,IG30,1)</f>
        <v/>
      </c>
      <c r="NV30">
        <f>IF('計算A'!EI$106=1,IH30,1)</f>
        <v/>
      </c>
      <c r="NW30">
        <f>IF('計算A'!EJ$106=1,II30,1)</f>
        <v/>
      </c>
      <c r="NX30">
        <f>IF('計算A'!EK$106=1,IJ30,1)</f>
        <v/>
      </c>
      <c r="NY30">
        <f>IF('計算A'!EL$106=1,IK30,1)</f>
        <v/>
      </c>
      <c r="NZ30">
        <f>IF('計算A'!EM$106=1,IL30,1)</f>
        <v/>
      </c>
      <c r="OA30">
        <f>IF('計算A'!EN$106=1,IM30,1)</f>
        <v/>
      </c>
      <c r="OB30">
        <f>IF('計算A'!EO$106=1,IN30,1)</f>
        <v/>
      </c>
      <c r="OC30">
        <f>IF('計算A'!EP$106=1,IO30,1)</f>
        <v/>
      </c>
      <c r="OD30" t="n">
        <v>1</v>
      </c>
      <c r="OF30">
        <f>IF($B30=0,1000000,IF(INDEX('計算A'!$D$60:$EQ$104,$B30,1)*DB30=1,IF(AND($E30=2,IQ30=0),1000000,IF($I30&gt;0,IF(1=$J30,IF(OR(AND(1=$I30+1,OR($K30&lt;&gt;'計算A'!$A$3,'計算A'!$A$4=0)),AND(1=$I30-1,OR(1&lt;&gt;'計算A'!$A$3,'計算A'!$A$4=0))),0,IF(1=$K30,200000,ABS(1-$K30)*100)),100000+ABS(1-$J30)*1000+10)+'計算A'!D$5*50+IF(AND($E30=1,IQ30=0),25,0),IF($F30&gt;0,INDEX('計算A'!D$110:D$114,$F30+1)+IF(AND($E30=1,IQ30=0),1000,0),MIN(TU30,20)*400+(IF('計算A'!D$106=1,1-DC30,0))*150+11+'計算A'!D$5*100000+IF(AND($E30=1,IQ30=0),50000,0))+IF($H30=1,(IF('計算A'!D$117=1,INDEX('計算A'!E$10:E$54,$B30),0))*4000,0)-IF(AND($L30=1,'計算A'!D$117=1,DC30=0),2000,0))),1000000))</f>
        <v/>
      </c>
      <c r="OG30">
        <f>IF($B30=0,1000000,IF(INDEX('計算A'!$D$60:$EQ$104,$B30,2)*DC30=1,IF(AND($E30=2,IR30=0),1000000,IF($I30&gt;0,IF(1=$J30,IF(OR(AND(2=$I30+1,OR($K30&lt;&gt;'計算A'!$A$3,'計算A'!$A$4=0)),AND(2=$I30-1,OR(2&lt;&gt;'計算A'!$A$3,'計算A'!$A$4=0))),0,IF(2=$K30,200000,ABS(2-$K30)*100)),100000+ABS(1-$J30)*1000+20)+'計算A'!E$5*50+IF(AND($E30=1,IR30=0),25,0),IF($F30&gt;0,INDEX('計算A'!E$110:E$114,$F30+1)+IF(AND($E30=1,IR30=0),1000,0),MIN(TU30,20)*400+(IF('計算A'!D$106=1,1-DB30,0)+IF('計算A'!E$106=1,1-DD30,0))*150+21+'計算A'!E$5*100000+IF(AND($E30=1,IR30=0),50000,0))+IF($H30=1,(IF('計算A'!D$117=1,INDEX('計算A'!D$10:D$54,$B30),0)+IF('計算A'!E$117=1,INDEX('計算A'!F$10:F$54,$B30),0))*4000,0)-IF(AND('計算A'!D$117=1,UB30&gt;0),2000,0)-IF(AND($L30=1,'計算A'!E$117=1,DD30=0),2000,0))),1000000))</f>
        <v/>
      </c>
      <c r="OH30">
        <f>IF($B30=0,1000000,IF(INDEX('計算A'!$D$60:$EQ$104,$B30,3)*DD30=1,IF(AND($E30=2,IS30=0),1000000,IF($I30&gt;0,IF(1=$J30,IF(OR(AND(3=$I30+1,OR($K30&lt;&gt;'計算A'!$A$3,'計算A'!$A$4=0)),AND(3=$I30-1,OR(3&lt;&gt;'計算A'!$A$3,'計算A'!$A$4=0))),0,IF(3=$K30,200000,ABS(3-$K30)*100)),100000+ABS(1-$J30)*1000+30)+'計算A'!F$5*50+IF(AND($E30=1,IS30=0),25,0),IF($F30&gt;0,INDEX('計算A'!F$110:F$114,$F30+1)+IF(AND($E30=1,IS30=0),1000,0),MIN(TU30,20)*400+(IF('計算A'!E$106=1,1-DC30,0)+IF('計算A'!F$106=1,1-DE30,0))*150+31+'計算A'!F$5*100000+IF(AND($E30=1,IS30=0),50000,0))+IF($H30=1,(IF('計算A'!E$117=1,INDEX('計算A'!E$10:E$54,$B30),0)+IF('計算A'!F$117=1,INDEX('計算A'!G$10:G$54,$B30),0))*4000,0)-IF(AND('計算A'!E$117=1,UC30&gt;0),2000,0)-IF(AND($L30=1,'計算A'!F$117=1,DE30=0),2000,0))),1000000))</f>
        <v/>
      </c>
      <c r="OI30">
        <f>IF($B30=0,1000000,IF(INDEX('計算A'!$D$60:$EQ$104,$B30,4)*DE30=1,IF(AND($E30=2,IT30=0),1000000,IF($I30&gt;0,IF(1=$J30,IF(OR(AND(4=$I30+1,OR($K30&lt;&gt;'計算A'!$A$3,'計算A'!$A$4=0)),AND(4=$I30-1,OR(4&lt;&gt;'計算A'!$A$3,'計算A'!$A$4=0))),0,IF(4=$K30,200000,ABS(4-$K30)*100)),100000+ABS(1-$J30)*1000+40)+'計算A'!G$5*50+IF(AND($E30=1,IT30=0),25,0),IF($F30&gt;0,INDEX('計算A'!G$110:G$114,$F30+1)+IF(AND($E30=1,IT30=0),1000,0),MIN(TU30,20)*400+(IF('計算A'!F$106=1,1-DD30,0)+IF('計算A'!G$106=1,1-DF30,0))*150+41+'計算A'!G$5*100000+IF(AND($E30=1,IT30=0),50000,0))+IF($H30=1,(IF('計算A'!F$117=1,INDEX('計算A'!F$10:F$54,$B30),0)+IF('計算A'!G$117=1,INDEX('計算A'!H$10:H$54,$B30),0))*4000,0)-IF(AND('計算A'!F$117=1,UD30&gt;0),2000,0)-IF(AND($L30=1,'計算A'!G$117=1,DF30=0),2000,0))),1000000))</f>
        <v/>
      </c>
      <c r="OJ30">
        <f>IF($B30=0,1000000,IF(INDEX('計算A'!$D$60:$EQ$104,$B30,5)*DF30=1,IF(AND($E30=2,IU30=0),1000000,IF($I30&gt;0,IF(1=$J30,IF(OR(AND(5=$I30+1,OR($K30&lt;&gt;'計算A'!$A$3,'計算A'!$A$4=0)),AND(5=$I30-1,OR(5&lt;&gt;'計算A'!$A$3,'計算A'!$A$4=0))),0,IF(5=$K30,200000,ABS(5-$K30)*100)),100000+ABS(1-$J30)*1000+50)+'計算A'!H$5*50+IF(AND($E30=1,IU30=0),25,0),IF($F30&gt;0,INDEX('計算A'!H$110:H$114,$F30+1)+IF(AND($E30=1,IU30=0),1000,0),MIN(TU30,20)*400+(IF('計算A'!G$106=1,1-DE30,0)+IF('計算A'!H$106=1,1-DG30,0))*150+51+'計算A'!H$5*100000+IF(AND($E30=1,IU30=0),50000,0))+IF($H30=1,(IF('計算A'!G$117=1,INDEX('計算A'!G$10:G$54,$B30),0)+IF('計算A'!H$117=1,INDEX('計算A'!I$10:I$54,$B30),0))*4000,0)-IF(AND('計算A'!G$117=1,UE30&gt;0),2000,0)-IF(AND($L30=1,'計算A'!H$117=1,DG30=0),2000,0))),1000000))</f>
        <v/>
      </c>
      <c r="OK30">
        <f>IF($B30=0,1000000,IF(INDEX('計算A'!$D$60:$EQ$104,$B30,6)*DG30=1,IF(AND($E30=2,IV30=0),1000000,IF($I30&gt;0,IF(1=$J30,IF(OR(AND(6=$I30+1,OR($K30&lt;&gt;'計算A'!$A$3,'計算A'!$A$4=0)),AND(6=$I30-1,OR(6&lt;&gt;'計算A'!$A$3,'計算A'!$A$4=0))),0,IF(6=$K30,200000,ABS(6-$K30)*100)),100000+ABS(1-$J30)*1000+60)+'計算A'!I$5*50+IF(AND($E30=1,IV30=0),25,0),IF($F30&gt;0,INDEX('計算A'!I$110:I$114,$F30+1)+IF(AND($E30=1,IV30=0),1000,0),MIN(TU30,20)*400+(IF('計算A'!H$106=1,1-DF30,0)+IF('計算A'!I$106=1,1-DH30,0))*150+61+'計算A'!I$5*100000+IF(AND($E30=1,IV30=0),50000,0))+IF($H30=1,(IF('計算A'!H$117=1,INDEX('計算A'!H$10:H$54,$B30),0)+IF('計算A'!I$117=1,INDEX('計算A'!J$10:J$54,$B30),0))*4000,0)-IF(AND('計算A'!H$117=1,UF30&gt;0),2000,0)-IF(AND($L30=1,'計算A'!I$117=1,DH30=0),2000,0))),1000000))</f>
        <v/>
      </c>
      <c r="OL30">
        <f>IF($B30=0,1000000,IF(INDEX('計算A'!$D$60:$EQ$104,$B30,7)*DH30=1,IF(AND($E30=2,IW30=0),1000000,IF($I30&gt;0,IF(1=$J30,IF(OR(AND(7=$I30+1,OR($K30&lt;&gt;'計算A'!$A$3,'計算A'!$A$4=0)),AND(7=$I30-1,OR(7&lt;&gt;'計算A'!$A$3,'計算A'!$A$4=0))),0,IF(7=$K30,200000,ABS(7-$K30)*100)),100000+ABS(1-$J30)*1000+70)+'計算A'!J$5*50+IF(AND($E30=1,IW30=0),25,0),IF($F30&gt;0,INDEX('計算A'!J$110:J$114,$F30+1)+IF(AND($E30=1,IW30=0),1000,0),MIN(TU30,20)*400+(IF('計算A'!I$106=1,1-DG30,0)+IF('計算A'!J$106=1,1-DI30,0))*150+71+'計算A'!J$5*100000+IF(AND($E30=1,IW30=0),50000,0))+IF($H30=1,(IF('計算A'!I$117=1,INDEX('計算A'!I$10:I$54,$B30),0)+IF('計算A'!J$117=1,INDEX('計算A'!K$10:K$54,$B30),0))*4000,0)-IF(AND('計算A'!I$117=1,UG30&gt;0),2000,0)-IF(AND($L30=1,'計算A'!J$117=1,DI30=0),2000,0))),1000000))</f>
        <v/>
      </c>
      <c r="OM30">
        <f>IF($B30=0,1000000,IF(INDEX('計算A'!$D$60:$EQ$104,$B30,8)*DI30=1,IF(AND($E30=2,IX30=0),1000000,IF($I30&gt;0,IF(1=$J30,IF(OR(AND(8=$I30+1,OR($K30&lt;&gt;'計算A'!$A$3,'計算A'!$A$4=0)),AND(8=$I30-1,OR(8&lt;&gt;'計算A'!$A$3,'計算A'!$A$4=0))),0,IF(8=$K30,200000,ABS(8-$K30)*100)),100000+ABS(1-$J30)*1000+80)+'計算A'!K$5*50+IF(AND($E30=1,IX30=0),25,0),IF($F30&gt;0,INDEX('計算A'!K$110:K$114,$F30+1)+IF(AND($E30=1,IX30=0),1000,0),MIN(TU30,20)*400+(IF('計算A'!J$106=1,1-DH30,0)+IF('計算A'!K$106=1,1-DJ30,0))*150+81+'計算A'!K$5*100000+IF(AND($E30=1,IX30=0),50000,0))+IF($H30=1,(IF('計算A'!J$117=1,INDEX('計算A'!J$10:J$54,$B30),0)+IF('計算A'!K$117=1,INDEX('計算A'!L$10:L$54,$B30),0))*4000,0)-IF(AND('計算A'!J$117=1,UH30&gt;0),2000,0)-IF(AND($L30=1,'計算A'!K$117=1,DJ30=0),2000,0))),1000000))</f>
        <v/>
      </c>
      <c r="ON30">
        <f>IF($B30=0,1000000,IF(INDEX('計算A'!$D$60:$EQ$104,$B30,9)*DJ30=1,IF(AND($E30=2,IY30=0),1000000,IF($I30&gt;0,IF(1=$J30,IF(OR(AND(9=$I30+1,OR($K30&lt;&gt;'計算A'!$A$3,'計算A'!$A$4=0)),AND(9=$I30-1,OR(9&lt;&gt;'計算A'!$A$3,'計算A'!$A$4=0))),0,IF(9=$K30,200000,ABS(9-$K30)*100)),100000+ABS(1-$J30)*1000+90)+'計算A'!L$5*50+IF(AND($E30=1,IY30=0),25,0),IF($F30&gt;0,INDEX('計算A'!L$110:L$114,$F30+1)+IF(AND($E30=1,IY30=0),1000,0),MIN(TU30,20)*400+(IF('計算A'!K$106=1,1-DI30,0)+IF('計算A'!L$106=1,1-DK30,0))*150+91+'計算A'!L$5*100000+IF(AND($E30=1,IY30=0),50000,0))+IF($H30=1,(IF('計算A'!K$117=1,INDEX('計算A'!K$10:K$54,$B30),0)+IF('計算A'!L$117=1,INDEX('計算A'!M$10:M$54,$B30),0))*4000,0)-IF(AND('計算A'!K$117=1,UI30&gt;0),2000,0)-IF(AND($L30=1,'計算A'!L$117=1,DK30=0),2000,0))),1000000))</f>
        <v/>
      </c>
      <c r="OO30">
        <f>IF($B30=0,1000000,IF(INDEX('計算A'!$D$60:$EQ$104,$B30,10)*DK30=1,IF(AND($E30=2,IZ30=0),1000000,IF($I30&gt;0,IF(1=$J30,IF(OR(AND(10=$I30+1,OR($K30&lt;&gt;'計算A'!$A$3,'計算A'!$A$4=0)),AND(10=$I30-1,OR(10&lt;&gt;'計算A'!$A$3,'計算A'!$A$4=0))),0,IF(10=$K30,200000,ABS(10-$K30)*100)),100000+ABS(1-$J30)*1000+100)+'計算A'!M$5*50+IF(AND($E30=1,IZ30=0),25,0),IF($F30&gt;0,INDEX('計算A'!M$110:M$114,$F30+1)+IF(AND($E30=1,IZ30=0),1000,0),MIN(TU30,20)*400+(IF('計算A'!L$106=1,1-DJ30,0)+IF('計算A'!M$106=1,1-DL30,0))*150+101+'計算A'!M$5*100000+IF(AND($E30=1,IZ30=0),50000,0))+IF($H30=1,(IF('計算A'!L$117=1,INDEX('計算A'!L$10:L$54,$B30),0)+IF('計算A'!M$117=1,INDEX('計算A'!N$10:N$54,$B30),0))*4000,0)-IF(AND('計算A'!L$117=1,UJ30&gt;0),2000,0)-IF(AND($L30=1,'計算A'!M$117=1,DL30=0),2000,0))),1000000))</f>
        <v/>
      </c>
      <c r="OP30">
        <f>IF($B30=0,1000000,IF(INDEX('計算A'!$D$60:$EQ$104,$B30,11)*DL30=1,IF(AND($E30=2,JA30=0),1000000,IF($I30&gt;0,IF(1=$J30,IF(OR(AND(11=$I30+1,OR($K30&lt;&gt;'計算A'!$A$3,'計算A'!$A$4=0)),AND(11=$I30-1,OR(11&lt;&gt;'計算A'!$A$3,'計算A'!$A$4=0))),0,IF(11=$K30,200000,ABS(11-$K30)*100)),100000+ABS(1-$J30)*1000+110)+'計算A'!N$5*50+IF(AND($E30=1,JA30=0),25,0),IF($F30&gt;0,INDEX('計算A'!N$110:N$114,$F30+1)+IF(AND($E30=1,JA30=0),1000,0),MIN(TU30,20)*400+(IF('計算A'!M$106=1,1-DK30,0)+IF('計算A'!N$106=1,1-DM30,0))*150+111+'計算A'!N$5*100000+IF(AND($E30=1,JA30=0),50000,0))+IF($H30=1,(IF('計算A'!M$117=1,INDEX('計算A'!M$10:M$54,$B30),0)+IF('計算A'!N$117=1,INDEX('計算A'!O$10:O$54,$B30),0))*4000,0)-IF(AND('計算A'!M$117=1,UK30&gt;0),2000,0)-IF(AND($L30=1,'計算A'!N$117=1,DM30=0),2000,0))),1000000))</f>
        <v/>
      </c>
      <c r="OQ30">
        <f>IF($B30=0,1000000,IF(INDEX('計算A'!$D$60:$EQ$104,$B30,12)*DM30=1,IF(AND($E30=2,JB30=0),1000000,IF($I30&gt;0,IF(1=$J30,IF(OR(AND(12=$I30+1,OR($K30&lt;&gt;'計算A'!$A$3,'計算A'!$A$4=0)),AND(12=$I30-1,OR(12&lt;&gt;'計算A'!$A$3,'計算A'!$A$4=0))),0,IF(12=$K30,200000,ABS(12-$K30)*100)),100000+ABS(1-$J30)*1000+120)+'計算A'!O$5*50+IF(AND($E30=1,JB30=0),25,0),IF($F30&gt;0,INDEX('計算A'!O$110:O$114,$F30+1)+IF(AND($E30=1,JB30=0),1000,0),MIN(TU30,20)*400+(IF('計算A'!N$106=1,1-DL30,0)+IF('計算A'!O$106=1,1-DN30,0))*150+121+'計算A'!O$5*100000+IF(AND($E30=1,JB30=0),50000,0))+IF($H30=1,(IF('計算A'!N$117=1,INDEX('計算A'!N$10:N$54,$B30),0)+IF('計算A'!O$117=1,INDEX('計算A'!P$10:P$54,$B30),0))*4000,0)-IF(AND('計算A'!N$117=1,UL30&gt;0),2000,0)-IF(AND($L30=1,'計算A'!O$117=1,DN30=0),2000,0))),1000000))</f>
        <v/>
      </c>
      <c r="OR30">
        <f>IF($B30=0,1000000,IF(INDEX('計算A'!$D$60:$EQ$104,$B30,13)*DN30=1,IF(AND($E30=2,JC30=0),1000000,IF($I30&gt;0,IF(1=$J30,IF(OR(AND(13=$I30+1,OR($K30&lt;&gt;'計算A'!$A$3,'計算A'!$A$4=0)),AND(13=$I30-1,OR(13&lt;&gt;'計算A'!$A$3,'計算A'!$A$4=0))),0,IF(13=$K30,200000,ABS(13-$K30)*100)),100000+ABS(1-$J30)*1000+130)+'計算A'!P$5*50+IF(AND($E30=1,JC30=0),25,0),IF($F30&gt;0,INDEX('計算A'!P$110:P$114,$F30+1)+IF(AND($E30=1,JC30=0),1000,0),MIN(TU30,20)*400+(IF('計算A'!O$106=1,1-DM30,0)+IF('計算A'!P$106=1,1-DO30,0))*150+131+'計算A'!P$5*100000+IF(AND($E30=1,JC30=0),50000,0))+IF($H30=1,(IF('計算A'!O$117=1,INDEX('計算A'!O$10:O$54,$B30),0)+IF('計算A'!P$117=1,INDEX('計算A'!Q$10:Q$54,$B30),0))*4000,0)-IF(AND('計算A'!O$117=1,UM30&gt;0),2000,0)-IF(AND($L30=1,'計算A'!P$117=1,DO30=0),2000,0))),1000000))</f>
        <v/>
      </c>
      <c r="OS30">
        <f>IF($B30=0,1000000,IF(INDEX('計算A'!$D$60:$EQ$104,$B30,14)*DO30=1,IF(AND($E30=2,JD30=0),1000000,IF($I30&gt;0,IF(1=$J30,IF(OR(AND(14=$I30+1,OR($K30&lt;&gt;'計算A'!$A$3,'計算A'!$A$4=0)),AND(14=$I30-1,OR(14&lt;&gt;'計算A'!$A$3,'計算A'!$A$4=0))),0,IF(14=$K30,200000,ABS(14-$K30)*100)),100000+ABS(1-$J30)*1000+140)+'計算A'!Q$5*50+IF(AND($E30=1,JD30=0),25,0),IF($F30&gt;0,INDEX('計算A'!Q$110:Q$114,$F30+1)+IF(AND($E30=1,JD30=0),1000,0),MIN(TU30,20)*400+(IF('計算A'!P$106=1,1-DN30,0)+IF('計算A'!Q$106=1,1-DP30,0))*150+141+'計算A'!Q$5*100000+IF(AND($E30=1,JD30=0),50000,0))+IF($H30=1,(IF('計算A'!P$117=1,INDEX('計算A'!P$10:P$54,$B30),0)+IF('計算A'!Q$117=1,INDEX('計算A'!R$10:R$54,$B30),0))*4000,0)-IF(AND('計算A'!P$117=1,UN30&gt;0),2000,0)-IF(AND($L30=1,'計算A'!Q$117=1,DP30=0),2000,0))),1000000))</f>
        <v/>
      </c>
      <c r="OT30">
        <f>IF($B30=0,1000000,IF(INDEX('計算A'!$D$60:$EQ$104,$B30,15)*DP30=1,IF(AND($E30=2,JE30=0),1000000,IF($I30&gt;0,IF(1=$J30,IF(OR(AND(15=$I30+1,OR($K30&lt;&gt;'計算A'!$A$3,'計算A'!$A$4=0)),AND(15=$I30-1,OR(15&lt;&gt;'計算A'!$A$3,'計算A'!$A$4=0))),0,IF(15=$K30,200000,ABS(15-$K30)*100)),100000+ABS(1-$J30)*1000+150)+'計算A'!R$5*50+IF(AND($E30=1,JE30=0),25,0),IF($F30&gt;0,INDEX('計算A'!R$110:R$114,$F30+1)+IF(AND($E30=1,JE30=0),1000,0),MIN(TU30,20)*400+(IF('計算A'!Q$106=1,1-DO30,0)+IF('計算A'!R$106=1,1-DQ30,0))*150+151+'計算A'!R$5*100000+IF(AND($E30=1,JE30=0),50000,0))+IF($H30=1,(IF('計算A'!Q$117=1,INDEX('計算A'!Q$10:Q$54,$B30),0)+IF('計算A'!R$117=1,INDEX('計算A'!S$10:S$54,$B30),0))*4000,0)-IF(AND('計算A'!Q$117=1,UO30&gt;0),2000,0)-IF(AND($L30=1,'計算A'!R$117=1,DQ30=0),2000,0))),1000000))</f>
        <v/>
      </c>
      <c r="OU30">
        <f>IF($B30=0,1000000,IF(INDEX('計算A'!$D$60:$EQ$104,$B30,16)*DQ30=1,IF(AND($E30=2,JF30=0),1000000,IF($I30&gt;0,IF(1=$J30,IF(OR(AND(16=$I30+1,OR($K30&lt;&gt;'計算A'!$A$3,'計算A'!$A$4=0)),AND(16=$I30-1,OR(16&lt;&gt;'計算A'!$A$3,'計算A'!$A$4=0))),0,IF(16=$K30,200000,ABS(16-$K30)*100)),100000+ABS(1-$J30)*1000+160)+'計算A'!S$5*50+IF(AND($E30=1,JF30=0),25,0),IF($F30&gt;0,INDEX('計算A'!S$110:S$114,$F30+1)+IF(AND($E30=1,JF30=0),1000,0),MIN(TU30,20)*400+(IF('計算A'!R$106=1,1-DP30,0)+IF('計算A'!S$106=1,1-DR30,0))*150+161+'計算A'!S$5*100000+IF(AND($E30=1,JF30=0),50000,0))+IF($H30=1,(IF('計算A'!R$117=1,INDEX('計算A'!R$10:R$54,$B30),0)+IF('計算A'!S$117=1,INDEX('計算A'!T$10:T$54,$B30),0))*4000,0)-IF(AND('計算A'!R$117=1,UP30&gt;0),2000,0)-IF(AND($L30=1,'計算A'!S$117=1,DR30=0),2000,0))),1000000))</f>
        <v/>
      </c>
      <c r="OV30">
        <f>IF($B30=0,1000000,IF(INDEX('計算A'!$D$60:$EQ$104,$B30,17)*DR30=1,IF(AND($E30=2,JG30=0),1000000,IF($I30&gt;0,IF(1=$J30,IF(OR(AND(17=$I30+1,OR($K30&lt;&gt;'計算A'!$A$3,'計算A'!$A$4=0)),AND(17=$I30-1,OR(17&lt;&gt;'計算A'!$A$3,'計算A'!$A$4=0))),0,IF(17=$K30,200000,ABS(17-$K30)*100)),100000+ABS(1-$J30)*1000+170)+'計算A'!T$5*50+IF(AND($E30=1,JG30=0),25,0),IF($F30&gt;0,INDEX('計算A'!T$110:T$114,$F30+1)+IF(AND($E30=1,JG30=0),1000,0),MIN(TU30,20)*400+(IF('計算A'!S$106=1,1-DQ30,0)+IF('計算A'!T$106=1,1-DS30,0))*150+171+'計算A'!T$5*100000+IF(AND($E30=1,JG30=0),50000,0))+IF($H30=1,(IF('計算A'!S$117=1,INDEX('計算A'!S$10:S$54,$B30),0)+IF('計算A'!T$117=1,INDEX('計算A'!U$10:U$54,$B30),0))*4000,0)-IF(AND('計算A'!S$117=1,UQ30&gt;0),2000,0)-IF(AND($L30=1,'計算A'!T$117=1,DS30=0),2000,0))),1000000))</f>
        <v/>
      </c>
      <c r="OW30">
        <f>IF($B30=0,1000000,IF(INDEX('計算A'!$D$60:$EQ$104,$B30,18)*DS30=1,IF(AND($E30=2,JH30=0),1000000,IF($I30&gt;0,IF(1=$J30,IF(OR(AND(18=$I30+1,OR($K30&lt;&gt;'計算A'!$A$3,'計算A'!$A$4=0)),AND(18=$I30-1,OR(18&lt;&gt;'計算A'!$A$3,'計算A'!$A$4=0))),0,IF(18=$K30,200000,ABS(18-$K30)*100)),100000+ABS(1-$J30)*1000+180)+'計算A'!U$5*50+IF(AND($E30=1,JH30=0),25,0),IF($F30&gt;0,INDEX('計算A'!U$110:U$114,$F30+1)+IF(AND($E30=1,JH30=0),1000,0),MIN(TU30,20)*400+(IF('計算A'!T$106=1,1-DR30,0)+IF('計算A'!U$106=1,1-DT30,0))*150+181+'計算A'!U$5*100000+IF(AND($E30=1,JH30=0),50000,0))+IF($H30=1,(IF('計算A'!T$117=1,INDEX('計算A'!T$10:T$54,$B30),0)+IF('計算A'!U$117=1,INDEX('計算A'!V$10:V$54,$B30),0))*4000,0)-IF(AND('計算A'!T$117=1,UR30&gt;0),2000,0)-IF(AND($L30=1,'計算A'!U$117=1,DT30=0),2000,0))),1000000))</f>
        <v/>
      </c>
      <c r="OX30">
        <f>IF($B30=0,1000000,IF(INDEX('計算A'!$D$60:$EQ$104,$B30,19)*DT30=1,IF(AND($E30=2,JI30=0),1000000,IF($I30&gt;0,IF(1=$J30,IF(OR(AND(19=$I30+1,OR($K30&lt;&gt;'計算A'!$A$3,'計算A'!$A$4=0)),AND(19=$I30-1,OR(19&lt;&gt;'計算A'!$A$3,'計算A'!$A$4=0))),0,IF(19=$K30,200000,ABS(19-$K30)*100)),100000+ABS(1-$J30)*1000+190)+'計算A'!V$5*50+IF(AND($E30=1,JI30=0),25,0),IF($F30&gt;0,INDEX('計算A'!V$110:V$114,$F30+1)+IF(AND($E30=1,JI30=0),1000,0),MIN(TU30,20)*400+(IF('計算A'!U$106=1,1-DS30,0)+IF('計算A'!V$106=1,1-DU30,0))*150+191+'計算A'!V$5*100000+IF(AND($E30=1,JI30=0),50000,0))+IF($H30=1,(IF('計算A'!U$117=1,INDEX('計算A'!U$10:U$54,$B30),0)+IF('計算A'!V$117=1,INDEX('計算A'!W$10:W$54,$B30),0))*4000,0)-IF(AND('計算A'!U$117=1,US30&gt;0),2000,0)-IF(AND($L30=1,'計算A'!V$117=1,DU30=0),2000,0))),1000000))</f>
        <v/>
      </c>
      <c r="OY30">
        <f>IF($B30=0,1000000,IF(INDEX('計算A'!$D$60:$EQ$104,$B30,20)*DU30=1,IF(AND($E30=2,JJ30=0),1000000,IF($I30&gt;0,IF(1=$J30,IF(OR(AND(20=$I30+1,OR($K30&lt;&gt;'計算A'!$A$3,'計算A'!$A$4=0)),AND(20=$I30-1,OR(20&lt;&gt;'計算A'!$A$3,'計算A'!$A$4=0))),0,IF(20=$K30,200000,ABS(20-$K30)*100)),100000+ABS(1-$J30)*1000+200)+'計算A'!W$5*50+IF(AND($E30=1,JJ30=0),25,0),IF($F30&gt;0,INDEX('計算A'!W$110:W$114,$F30+1)+IF(AND($E30=1,JJ30=0),1000,0),MIN(TU30,20)*400+(IF('計算A'!V$106=1,1-DT30,0)+IF('計算A'!W$106=1,1-DV30,0))*150+201+'計算A'!W$5*100000+IF(AND($E30=1,JJ30=0),50000,0))+IF($H30=1,(IF('計算A'!V$117=1,INDEX('計算A'!V$10:V$54,$B30),0)+IF('計算A'!W$117=1,INDEX('計算A'!X$10:X$54,$B30),0))*4000,0)-IF(AND('計算A'!V$117=1,UT30&gt;0),2000,0)-IF(AND($L30=1,'計算A'!W$117=1,DV30=0),2000,0))),1000000))</f>
        <v/>
      </c>
      <c r="OZ30">
        <f>IF($B30=0,1000000,IF(INDEX('計算A'!$D$60:$EQ$104,$B30,21)*DV30=1,IF(AND($E30=2,JK30=0),1000000,IF($I30&gt;0,IF(1=$J30,IF(OR(AND(21=$I30+1,OR($K30&lt;&gt;'計算A'!$A$3,'計算A'!$A$4=0)),AND(21=$I30-1,OR(21&lt;&gt;'計算A'!$A$3,'計算A'!$A$4=0))),0,IF(21=$K30,200000,ABS(21-$K30)*100)),100000+ABS(1-$J30)*1000+210)+'計算A'!X$5*50+IF(AND($E30=1,JK30=0),25,0),IF($F30&gt;0,INDEX('計算A'!X$110:X$114,$F30+1)+IF(AND($E30=1,JK30=0),1000,0),MIN(TU30,20)*400+(IF('計算A'!W$106=1,1-DU30,0)+IF('計算A'!X$106=1,1-DW30,0))*150+211+'計算A'!X$5*100000+IF(AND($E30=1,JK30=0),50000,0))+IF($H30=1,(IF('計算A'!W$117=1,INDEX('計算A'!W$10:W$54,$B30),0)+IF('計算A'!X$117=1,INDEX('計算A'!Y$10:Y$54,$B30),0))*4000,0)-IF(AND('計算A'!W$117=1,UU30&gt;0),2000,0)-IF(AND($L30=1,'計算A'!X$117=1,DW30=0),2000,0))),1000000))</f>
        <v/>
      </c>
      <c r="PA30">
        <f>IF($B30=0,1000000,IF(INDEX('計算A'!$D$60:$EQ$104,$B30,22)*DW30=1,IF(AND($E30=2,JL30=0),1000000,IF($I30&gt;0,IF(1=$J30,IF(OR(AND(22=$I30+1,OR($K30&lt;&gt;'計算A'!$A$3,'計算A'!$A$4=0)),AND(22=$I30-1,OR(22&lt;&gt;'計算A'!$A$3,'計算A'!$A$4=0))),0,IF(22=$K30,200000,ABS(22-$K30)*100)),100000+ABS(1-$J30)*1000+220)+'計算A'!Y$5*50+IF(AND($E30=1,JL30=0),25,0),IF($F30&gt;0,INDEX('計算A'!Y$110:Y$114,$F30+1)+IF(AND($E30=1,JL30=0),1000,0),MIN(TU30,20)*400+(IF('計算A'!X$106=1,1-DV30,0)+IF('計算A'!Y$106=1,1-DX30,0))*150+221+'計算A'!Y$5*100000+IF(AND($E30=1,JL30=0),50000,0))+IF($H30=1,(IF('計算A'!X$117=1,INDEX('計算A'!X$10:X$54,$B30),0)+IF('計算A'!Y$117=1,INDEX('計算A'!Z$10:Z$54,$B30),0))*4000,0)-IF(AND('計算A'!X$117=1,UV30&gt;0),2000,0)-IF(AND($L30=1,'計算A'!Y$117=1,DX30=0),2000,0))),1000000))</f>
        <v/>
      </c>
      <c r="PB30">
        <f>IF($B30=0,1000000,IF(INDEX('計算A'!$D$60:$EQ$104,$B30,23)*DX30=1,IF(AND($E30=2,JM30=0),1000000,IF($I30&gt;0,IF(1=$J30,IF(OR(AND(23=$I30+1,OR($K30&lt;&gt;'計算A'!$A$3,'計算A'!$A$4=0)),AND(23=$I30-1,OR(23&lt;&gt;'計算A'!$A$3,'計算A'!$A$4=0))),0,IF(23=$K30,200000,ABS(23-$K30)*100)),100000+ABS(1-$J30)*1000+230)+'計算A'!Z$5*50+IF(AND($E30=1,JM30=0),25,0),IF($F30&gt;0,INDEX('計算A'!Z$110:Z$114,$F30+1)+IF(AND($E30=1,JM30=0),1000,0),MIN(TU30,20)*400+(IF('計算A'!Y$106=1,1-DW30,0)+IF('計算A'!Z$106=1,1-DY30,0))*150+231+'計算A'!Z$5*100000+IF(AND($E30=1,JM30=0),50000,0))+IF($H30=1,(IF('計算A'!Y$117=1,INDEX('計算A'!Y$10:Y$54,$B30),0)+IF('計算A'!Z$117=1,INDEX('計算A'!AA$10:AA$54,$B30),0))*4000,0)-IF(AND('計算A'!Y$117=1,UW30&gt;0),2000,0)-IF(AND($L30=1,'計算A'!Z$117=1,DY30=0),2000,0))),1000000))</f>
        <v/>
      </c>
      <c r="PC30">
        <f>IF($B30=0,1000000,IF(INDEX('計算A'!$D$60:$EQ$104,$B30,24)*DY30=1,IF(AND($E30=2,JN30=0),1000000,IF($I30&gt;0,IF(1=$J30,IF(OR(AND(24=$I30+1,OR($K30&lt;&gt;'計算A'!$A$3,'計算A'!$A$4=0)),AND(24=$I30-1,OR(24&lt;&gt;'計算A'!$A$3,'計算A'!$A$4=0))),0,IF(24=$K30,200000,ABS(24-$K30)*100)),100000+ABS(1-$J30)*1000+240)+'計算A'!AA$5*50+IF(AND($E30=1,JN30=0),25,0),IF($F30&gt;0,INDEX('計算A'!AA$110:AA$114,$F30+1)+IF(AND($E30=1,JN30=0),1000,0),MIN(TU30,20)*400+(IF('計算A'!Z$106=1,1-DX30,0))*150+241+'計算A'!AA$5*100000+IF(AND($E30=1,JN30=0),50000,0))+IF($H30=1,(IF('計算A'!Z$117=1,INDEX('計算A'!Z$10:Z$54,$B30),0))*4000,0)-IF(AND('計算A'!Z$117=1,UX30&gt;0),2000,0))),1000000))</f>
        <v/>
      </c>
      <c r="PD30">
        <f>IF($B30=0,1000000,IF(INDEX('計算A'!$D$60:$EQ$104,$B30,25)*DZ30=1,IF(AND($E30=2,JO30=0),1000000,IF($I30&gt;0,IF(2=$J30,IF(OR(AND(25=$I30+1,OR($K30&lt;&gt;'計算A'!$A$3,'計算A'!$A$4=0)),AND(25=$I30-1,OR(1&lt;&gt;'計算A'!$A$3,'計算A'!$A$4=0))),0,IF(1=$K30,200000,ABS(1-$K30)*100)),100000+ABS(2-$J30)*1000+10)+'計算A'!AB$5*50+IF(AND($E30=1,JO30=0),25,0),IF($F30&gt;0,INDEX('計算A'!AB$110:AB$114,$F30+1)+IF(AND($E30=1,JO30=0),1000,0),MIN(TV30,20)*400+(IF('計算A'!AB$106=1,1-EA30,0))*150+12+'計算A'!AB$5*100000+IF(AND($E30=1,JO30=0),50000,0))+IF($H30=1,(IF('計算A'!AB$117=1,INDEX('計算A'!AC$10:AC$54,$B30),0))*4000,0)-IF(AND($L30=1,'計算A'!AB$117=1,EA30=0),2000,0))),1000000))</f>
        <v/>
      </c>
      <c r="PE30">
        <f>IF($B30=0,1000000,IF(INDEX('計算A'!$D$60:$EQ$104,$B30,26)*EA30=1,IF(AND($E30=2,JP30=0),1000000,IF($I30&gt;0,IF(2=$J30,IF(OR(AND(26=$I30+1,OR($K30&lt;&gt;'計算A'!$A$3,'計算A'!$A$4=0)),AND(26=$I30-1,OR(2&lt;&gt;'計算A'!$A$3,'計算A'!$A$4=0))),0,IF(2=$K30,200000,ABS(2-$K30)*100)),100000+ABS(2-$J30)*1000+20)+'計算A'!AC$5*50+IF(AND($E30=1,JP30=0),25,0),IF($F30&gt;0,INDEX('計算A'!AC$110:AC$114,$F30+1)+IF(AND($E30=1,JP30=0),1000,0),MIN(TV30,20)*400+(IF('計算A'!AB$106=1,1-DZ30,0)+IF('計算A'!AC$106=1,1-EB30,0))*150+22+'計算A'!AC$5*100000+IF(AND($E30=1,JP30=0),50000,0))+IF($H30=1,(IF('計算A'!AB$117=1,INDEX('計算A'!AB$10:AB$54,$B30),0)+IF('計算A'!AC$117=1,INDEX('計算A'!AD$10:AD$54,$B30),0))*4000,0)-IF(AND('計算A'!AB$117=1,UZ30&gt;0),2000,0)-IF(AND($L30=1,'計算A'!AC$117=1,EB30=0),2000,0))),1000000))</f>
        <v/>
      </c>
      <c r="PF30">
        <f>IF($B30=0,1000000,IF(INDEX('計算A'!$D$60:$EQ$104,$B30,27)*EB30=1,IF(AND($E30=2,JQ30=0),1000000,IF($I30&gt;0,IF(2=$J30,IF(OR(AND(27=$I30+1,OR($K30&lt;&gt;'計算A'!$A$3,'計算A'!$A$4=0)),AND(27=$I30-1,OR(3&lt;&gt;'計算A'!$A$3,'計算A'!$A$4=0))),0,IF(3=$K30,200000,ABS(3-$K30)*100)),100000+ABS(2-$J30)*1000+30)+'計算A'!AD$5*50+IF(AND($E30=1,JQ30=0),25,0),IF($F30&gt;0,INDEX('計算A'!AD$110:AD$114,$F30+1)+IF(AND($E30=1,JQ30=0),1000,0),MIN(TV30,20)*400+(IF('計算A'!AC$106=1,1-EA30,0)+IF('計算A'!AD$106=1,1-EC30,0))*150+32+'計算A'!AD$5*100000+IF(AND($E30=1,JQ30=0),50000,0))+IF($H30=1,(IF('計算A'!AC$117=1,INDEX('計算A'!AC$10:AC$54,$B30),0)+IF('計算A'!AD$117=1,INDEX('計算A'!AE$10:AE$54,$B30),0))*4000,0)-IF(AND('計算A'!AC$117=1,VA30&gt;0),2000,0)-IF(AND($L30=1,'計算A'!AD$117=1,EC30=0),2000,0))),1000000))</f>
        <v/>
      </c>
      <c r="PG30">
        <f>IF($B30=0,1000000,IF(INDEX('計算A'!$D$60:$EQ$104,$B30,28)*EC30=1,IF(AND($E30=2,JR30=0),1000000,IF($I30&gt;0,IF(2=$J30,IF(OR(AND(28=$I30+1,OR($K30&lt;&gt;'計算A'!$A$3,'計算A'!$A$4=0)),AND(28=$I30-1,OR(4&lt;&gt;'計算A'!$A$3,'計算A'!$A$4=0))),0,IF(4=$K30,200000,ABS(4-$K30)*100)),100000+ABS(2-$J30)*1000+40)+'計算A'!AE$5*50+IF(AND($E30=1,JR30=0),25,0),IF($F30&gt;0,INDEX('計算A'!AE$110:AE$114,$F30+1)+IF(AND($E30=1,JR30=0),1000,0),MIN(TV30,20)*400+(IF('計算A'!AD$106=1,1-EB30,0)+IF('計算A'!AE$106=1,1-ED30,0))*150+42+'計算A'!AE$5*100000+IF(AND($E30=1,JR30=0),50000,0))+IF($H30=1,(IF('計算A'!AD$117=1,INDEX('計算A'!AD$10:AD$54,$B30),0)+IF('計算A'!AE$117=1,INDEX('計算A'!AF$10:AF$54,$B30),0))*4000,0)-IF(AND('計算A'!AD$117=1,VB30&gt;0),2000,0)-IF(AND($L30=1,'計算A'!AE$117=1,ED30=0),2000,0))),1000000))</f>
        <v/>
      </c>
      <c r="PH30">
        <f>IF($B30=0,1000000,IF(INDEX('計算A'!$D$60:$EQ$104,$B30,29)*ED30=1,IF(AND($E30=2,JS30=0),1000000,IF($I30&gt;0,IF(2=$J30,IF(OR(AND(29=$I30+1,OR($K30&lt;&gt;'計算A'!$A$3,'計算A'!$A$4=0)),AND(29=$I30-1,OR(5&lt;&gt;'計算A'!$A$3,'計算A'!$A$4=0))),0,IF(5=$K30,200000,ABS(5-$K30)*100)),100000+ABS(2-$J30)*1000+50)+'計算A'!AF$5*50+IF(AND($E30=1,JS30=0),25,0),IF($F30&gt;0,INDEX('計算A'!AF$110:AF$114,$F30+1)+IF(AND($E30=1,JS30=0),1000,0),MIN(TV30,20)*400+(IF('計算A'!AE$106=1,1-EC30,0)+IF('計算A'!AF$106=1,1-EE30,0))*150+52+'計算A'!AF$5*100000+IF(AND($E30=1,JS30=0),50000,0))+IF($H30=1,(IF('計算A'!AE$117=1,INDEX('計算A'!AE$10:AE$54,$B30),0)+IF('計算A'!AF$117=1,INDEX('計算A'!AG$10:AG$54,$B30),0))*4000,0)-IF(AND('計算A'!AE$117=1,VC30&gt;0),2000,0)-IF(AND($L30=1,'計算A'!AF$117=1,EE30=0),2000,0))),1000000))</f>
        <v/>
      </c>
      <c r="PI30">
        <f>IF($B30=0,1000000,IF(INDEX('計算A'!$D$60:$EQ$104,$B30,30)*EE30=1,IF(AND($E30=2,JT30=0),1000000,IF($I30&gt;0,IF(2=$J30,IF(OR(AND(30=$I30+1,OR($K30&lt;&gt;'計算A'!$A$3,'計算A'!$A$4=0)),AND(30=$I30-1,OR(6&lt;&gt;'計算A'!$A$3,'計算A'!$A$4=0))),0,IF(6=$K30,200000,ABS(6-$K30)*100)),100000+ABS(2-$J30)*1000+60)+'計算A'!AG$5*50+IF(AND($E30=1,JT30=0),25,0),IF($F30&gt;0,INDEX('計算A'!AG$110:AG$114,$F30+1)+IF(AND($E30=1,JT30=0),1000,0),MIN(TV30,20)*400+(IF('計算A'!AF$106=1,1-ED30,0)+IF('計算A'!AG$106=1,1-EF30,0))*150+62+'計算A'!AG$5*100000+IF(AND($E30=1,JT30=0),50000,0))+IF($H30=1,(IF('計算A'!AF$117=1,INDEX('計算A'!AF$10:AF$54,$B30),0)+IF('計算A'!AG$117=1,INDEX('計算A'!AH$10:AH$54,$B30),0))*4000,0)-IF(AND('計算A'!AF$117=1,VD30&gt;0),2000,0)-IF(AND($L30=1,'計算A'!AG$117=1,EF30=0),2000,0))),1000000))</f>
        <v/>
      </c>
      <c r="PJ30">
        <f>IF($B30=0,1000000,IF(INDEX('計算A'!$D$60:$EQ$104,$B30,31)*EF30=1,IF(AND($E30=2,JU30=0),1000000,IF($I30&gt;0,IF(2=$J30,IF(OR(AND(31=$I30+1,OR($K30&lt;&gt;'計算A'!$A$3,'計算A'!$A$4=0)),AND(31=$I30-1,OR(7&lt;&gt;'計算A'!$A$3,'計算A'!$A$4=0))),0,IF(7=$K30,200000,ABS(7-$K30)*100)),100000+ABS(2-$J30)*1000+70)+'計算A'!AH$5*50+IF(AND($E30=1,JU30=0),25,0),IF($F30&gt;0,INDEX('計算A'!AH$110:AH$114,$F30+1)+IF(AND($E30=1,JU30=0),1000,0),MIN(TV30,20)*400+(IF('計算A'!AG$106=1,1-EE30,0)+IF('計算A'!AH$106=1,1-EG30,0))*150+72+'計算A'!AH$5*100000+IF(AND($E30=1,JU30=0),50000,0))+IF($H30=1,(IF('計算A'!AG$117=1,INDEX('計算A'!AG$10:AG$54,$B30),0)+IF('計算A'!AH$117=1,INDEX('計算A'!AI$10:AI$54,$B30),0))*4000,0)-IF(AND('計算A'!AG$117=1,VE30&gt;0),2000,0)-IF(AND($L30=1,'計算A'!AH$117=1,EG30=0),2000,0))),1000000))</f>
        <v/>
      </c>
      <c r="PK30">
        <f>IF($B30=0,1000000,IF(INDEX('計算A'!$D$60:$EQ$104,$B30,32)*EG30=1,IF(AND($E30=2,JV30=0),1000000,IF($I30&gt;0,IF(2=$J30,IF(OR(AND(32=$I30+1,OR($K30&lt;&gt;'計算A'!$A$3,'計算A'!$A$4=0)),AND(32=$I30-1,OR(8&lt;&gt;'計算A'!$A$3,'計算A'!$A$4=0))),0,IF(8=$K30,200000,ABS(8-$K30)*100)),100000+ABS(2-$J30)*1000+80)+'計算A'!AI$5*50+IF(AND($E30=1,JV30=0),25,0),IF($F30&gt;0,INDEX('計算A'!AI$110:AI$114,$F30+1)+IF(AND($E30=1,JV30=0),1000,0),MIN(TV30,20)*400+(IF('計算A'!AH$106=1,1-EF30,0)+IF('計算A'!AI$106=1,1-EH30,0))*150+82+'計算A'!AI$5*100000+IF(AND($E30=1,JV30=0),50000,0))+IF($H30=1,(IF('計算A'!AH$117=1,INDEX('計算A'!AH$10:AH$54,$B30),0)+IF('計算A'!AI$117=1,INDEX('計算A'!AJ$10:AJ$54,$B30),0))*4000,0)-IF(AND('計算A'!AH$117=1,VF30&gt;0),2000,0)-IF(AND($L30=1,'計算A'!AI$117=1,EH30=0),2000,0))),1000000))</f>
        <v/>
      </c>
      <c r="PL30">
        <f>IF($B30=0,1000000,IF(INDEX('計算A'!$D$60:$EQ$104,$B30,33)*EH30=1,IF(AND($E30=2,JW30=0),1000000,IF($I30&gt;0,IF(2=$J30,IF(OR(AND(33=$I30+1,OR($K30&lt;&gt;'計算A'!$A$3,'計算A'!$A$4=0)),AND(33=$I30-1,OR(9&lt;&gt;'計算A'!$A$3,'計算A'!$A$4=0))),0,IF(9=$K30,200000,ABS(9-$K30)*100)),100000+ABS(2-$J30)*1000+90)+'計算A'!AJ$5*50+IF(AND($E30=1,JW30=0),25,0),IF($F30&gt;0,INDEX('計算A'!AJ$110:AJ$114,$F30+1)+IF(AND($E30=1,JW30=0),1000,0),MIN(TV30,20)*400+(IF('計算A'!AI$106=1,1-EG30,0)+IF('計算A'!AJ$106=1,1-EI30,0))*150+92+'計算A'!AJ$5*100000+IF(AND($E30=1,JW30=0),50000,0))+IF($H30=1,(IF('計算A'!AI$117=1,INDEX('計算A'!AI$10:AI$54,$B30),0)+IF('計算A'!AJ$117=1,INDEX('計算A'!AK$10:AK$54,$B30),0))*4000,0)-IF(AND('計算A'!AI$117=1,VG30&gt;0),2000,0)-IF(AND($L30=1,'計算A'!AJ$117=1,EI30=0),2000,0))),1000000))</f>
        <v/>
      </c>
      <c r="PM30">
        <f>IF($B30=0,1000000,IF(INDEX('計算A'!$D$60:$EQ$104,$B30,34)*EI30=1,IF(AND($E30=2,JX30=0),1000000,IF($I30&gt;0,IF(2=$J30,IF(OR(AND(34=$I30+1,OR($K30&lt;&gt;'計算A'!$A$3,'計算A'!$A$4=0)),AND(34=$I30-1,OR(10&lt;&gt;'計算A'!$A$3,'計算A'!$A$4=0))),0,IF(10=$K30,200000,ABS(10-$K30)*100)),100000+ABS(2-$J30)*1000+100)+'計算A'!AK$5*50+IF(AND($E30=1,JX30=0),25,0),IF($F30&gt;0,INDEX('計算A'!AK$110:AK$114,$F30+1)+IF(AND($E30=1,JX30=0),1000,0),MIN(TV30,20)*400+(IF('計算A'!AJ$106=1,1-EH30,0)+IF('計算A'!AK$106=1,1-EJ30,0))*150+102+'計算A'!AK$5*100000+IF(AND($E30=1,JX30=0),50000,0))+IF($H30=1,(IF('計算A'!AJ$117=1,INDEX('計算A'!AJ$10:AJ$54,$B30),0)+IF('計算A'!AK$117=1,INDEX('計算A'!AL$10:AL$54,$B30),0))*4000,0)-IF(AND('計算A'!AJ$117=1,VH30&gt;0),2000,0)-IF(AND($L30=1,'計算A'!AK$117=1,EJ30=0),2000,0))),1000000))</f>
        <v/>
      </c>
      <c r="PN30">
        <f>IF($B30=0,1000000,IF(INDEX('計算A'!$D$60:$EQ$104,$B30,35)*EJ30=1,IF(AND($E30=2,JY30=0),1000000,IF($I30&gt;0,IF(2=$J30,IF(OR(AND(35=$I30+1,OR($K30&lt;&gt;'計算A'!$A$3,'計算A'!$A$4=0)),AND(35=$I30-1,OR(11&lt;&gt;'計算A'!$A$3,'計算A'!$A$4=0))),0,IF(11=$K30,200000,ABS(11-$K30)*100)),100000+ABS(2-$J30)*1000+110)+'計算A'!AL$5*50+IF(AND($E30=1,JY30=0),25,0),IF($F30&gt;0,INDEX('計算A'!AL$110:AL$114,$F30+1)+IF(AND($E30=1,JY30=0),1000,0),MIN(TV30,20)*400+(IF('計算A'!AK$106=1,1-EI30,0)+IF('計算A'!AL$106=1,1-EK30,0))*150+112+'計算A'!AL$5*100000+IF(AND($E30=1,JY30=0),50000,0))+IF($H30=1,(IF('計算A'!AK$117=1,INDEX('計算A'!AK$10:AK$54,$B30),0)+IF('計算A'!AL$117=1,INDEX('計算A'!AM$10:AM$54,$B30),0))*4000,0)-IF(AND('計算A'!AK$117=1,VI30&gt;0),2000,0)-IF(AND($L30=1,'計算A'!AL$117=1,EK30=0),2000,0))),1000000))</f>
        <v/>
      </c>
      <c r="PO30">
        <f>IF($B30=0,1000000,IF(INDEX('計算A'!$D$60:$EQ$104,$B30,36)*EK30=1,IF(AND($E30=2,JZ30=0),1000000,IF($I30&gt;0,IF(2=$J30,IF(OR(AND(36=$I30+1,OR($K30&lt;&gt;'計算A'!$A$3,'計算A'!$A$4=0)),AND(36=$I30-1,OR(12&lt;&gt;'計算A'!$A$3,'計算A'!$A$4=0))),0,IF(12=$K30,200000,ABS(12-$K30)*100)),100000+ABS(2-$J30)*1000+120)+'計算A'!AM$5*50+IF(AND($E30=1,JZ30=0),25,0),IF($F30&gt;0,INDEX('計算A'!AM$110:AM$114,$F30+1)+IF(AND($E30=1,JZ30=0),1000,0),MIN(TV30,20)*400+(IF('計算A'!AL$106=1,1-EJ30,0)+IF('計算A'!AM$106=1,1-EL30,0))*150+122+'計算A'!AM$5*100000+IF(AND($E30=1,JZ30=0),50000,0))+IF($H30=1,(IF('計算A'!AL$117=1,INDEX('計算A'!AL$10:AL$54,$B30),0)+IF('計算A'!AM$117=1,INDEX('計算A'!AN$10:AN$54,$B30),0))*4000,0)-IF(AND('計算A'!AL$117=1,VJ30&gt;0),2000,0)-IF(AND($L30=1,'計算A'!AM$117=1,EL30=0),2000,0))),1000000))</f>
        <v/>
      </c>
      <c r="PP30">
        <f>IF($B30=0,1000000,IF(INDEX('計算A'!$D$60:$EQ$104,$B30,37)*EL30=1,IF(AND($E30=2,KA30=0),1000000,IF($I30&gt;0,IF(2=$J30,IF(OR(AND(37=$I30+1,OR($K30&lt;&gt;'計算A'!$A$3,'計算A'!$A$4=0)),AND(37=$I30-1,OR(13&lt;&gt;'計算A'!$A$3,'計算A'!$A$4=0))),0,IF(13=$K30,200000,ABS(13-$K30)*100)),100000+ABS(2-$J30)*1000+130)+'計算A'!AN$5*50+IF(AND($E30=1,KA30=0),25,0),IF($F30&gt;0,INDEX('計算A'!AN$110:AN$114,$F30+1)+IF(AND($E30=1,KA30=0),1000,0),MIN(TV30,20)*400+(IF('計算A'!AM$106=1,1-EK30,0)+IF('計算A'!AN$106=1,1-EM30,0))*150+132+'計算A'!AN$5*100000+IF(AND($E30=1,KA30=0),50000,0))+IF($H30=1,(IF('計算A'!AM$117=1,INDEX('計算A'!AM$10:AM$54,$B30),0)+IF('計算A'!AN$117=1,INDEX('計算A'!AO$10:AO$54,$B30),0))*4000,0)-IF(AND('計算A'!AM$117=1,VK30&gt;0),2000,0)-IF(AND($L30=1,'計算A'!AN$117=1,EM30=0),2000,0))),1000000))</f>
        <v/>
      </c>
      <c r="PQ30">
        <f>IF($B30=0,1000000,IF(INDEX('計算A'!$D$60:$EQ$104,$B30,38)*EM30=1,IF(AND($E30=2,KB30=0),1000000,IF($I30&gt;0,IF(2=$J30,IF(OR(AND(38=$I30+1,OR($K30&lt;&gt;'計算A'!$A$3,'計算A'!$A$4=0)),AND(38=$I30-1,OR(14&lt;&gt;'計算A'!$A$3,'計算A'!$A$4=0))),0,IF(14=$K30,200000,ABS(14-$K30)*100)),100000+ABS(2-$J30)*1000+140)+'計算A'!AO$5*50+IF(AND($E30=1,KB30=0),25,0),IF($F30&gt;0,INDEX('計算A'!AO$110:AO$114,$F30+1)+IF(AND($E30=1,KB30=0),1000,0),MIN(TV30,20)*400+(IF('計算A'!AN$106=1,1-EL30,0)+IF('計算A'!AO$106=1,1-EN30,0))*150+142+'計算A'!AO$5*100000+IF(AND($E30=1,KB30=0),50000,0))+IF($H30=1,(IF('計算A'!AN$117=1,INDEX('計算A'!AN$10:AN$54,$B30),0)+IF('計算A'!AO$117=1,INDEX('計算A'!AP$10:AP$54,$B30),0))*4000,0)-IF(AND('計算A'!AN$117=1,VL30&gt;0),2000,0)-IF(AND($L30=1,'計算A'!AO$117=1,EN30=0),2000,0))),1000000))</f>
        <v/>
      </c>
      <c r="PR30">
        <f>IF($B30=0,1000000,IF(INDEX('計算A'!$D$60:$EQ$104,$B30,39)*EN30=1,IF(AND($E30=2,KC30=0),1000000,IF($I30&gt;0,IF(2=$J30,IF(OR(AND(39=$I30+1,OR($K30&lt;&gt;'計算A'!$A$3,'計算A'!$A$4=0)),AND(39=$I30-1,OR(15&lt;&gt;'計算A'!$A$3,'計算A'!$A$4=0))),0,IF(15=$K30,200000,ABS(15-$K30)*100)),100000+ABS(2-$J30)*1000+150)+'計算A'!AP$5*50+IF(AND($E30=1,KC30=0),25,0),IF($F30&gt;0,INDEX('計算A'!AP$110:AP$114,$F30+1)+IF(AND($E30=1,KC30=0),1000,0),MIN(TV30,20)*400+(IF('計算A'!AO$106=1,1-EM30,0)+IF('計算A'!AP$106=1,1-EO30,0))*150+152+'計算A'!AP$5*100000+IF(AND($E30=1,KC30=0),50000,0))+IF($H30=1,(IF('計算A'!AO$117=1,INDEX('計算A'!AO$10:AO$54,$B30),0)+IF('計算A'!AP$117=1,INDEX('計算A'!AQ$10:AQ$54,$B30),0))*4000,0)-IF(AND('計算A'!AO$117=1,VM30&gt;0),2000,0)-IF(AND($L30=1,'計算A'!AP$117=1,EO30=0),2000,0))),1000000))</f>
        <v/>
      </c>
      <c r="PS30">
        <f>IF($B30=0,1000000,IF(INDEX('計算A'!$D$60:$EQ$104,$B30,40)*EO30=1,IF(AND($E30=2,KD30=0),1000000,IF($I30&gt;0,IF(2=$J30,IF(OR(AND(40=$I30+1,OR($K30&lt;&gt;'計算A'!$A$3,'計算A'!$A$4=0)),AND(40=$I30-1,OR(16&lt;&gt;'計算A'!$A$3,'計算A'!$A$4=0))),0,IF(16=$K30,200000,ABS(16-$K30)*100)),100000+ABS(2-$J30)*1000+160)+'計算A'!AQ$5*50+IF(AND($E30=1,KD30=0),25,0),IF($F30&gt;0,INDEX('計算A'!AQ$110:AQ$114,$F30+1)+IF(AND($E30=1,KD30=0),1000,0),MIN(TV30,20)*400+(IF('計算A'!AP$106=1,1-EN30,0)+IF('計算A'!AQ$106=1,1-EP30,0))*150+162+'計算A'!AQ$5*100000+IF(AND($E30=1,KD30=0),50000,0))+IF($H30=1,(IF('計算A'!AP$117=1,INDEX('計算A'!AP$10:AP$54,$B30),0)+IF('計算A'!AQ$117=1,INDEX('計算A'!AR$10:AR$54,$B30),0))*4000,0)-IF(AND('計算A'!AP$117=1,VN30&gt;0),2000,0)-IF(AND($L30=1,'計算A'!AQ$117=1,EP30=0),2000,0))),1000000))</f>
        <v/>
      </c>
      <c r="PT30">
        <f>IF($B30=0,1000000,IF(INDEX('計算A'!$D$60:$EQ$104,$B30,41)*EP30=1,IF(AND($E30=2,KE30=0),1000000,IF($I30&gt;0,IF(2=$J30,IF(OR(AND(41=$I30+1,OR($K30&lt;&gt;'計算A'!$A$3,'計算A'!$A$4=0)),AND(41=$I30-1,OR(17&lt;&gt;'計算A'!$A$3,'計算A'!$A$4=0))),0,IF(17=$K30,200000,ABS(17-$K30)*100)),100000+ABS(2-$J30)*1000+170)+'計算A'!AR$5*50+IF(AND($E30=1,KE30=0),25,0),IF($F30&gt;0,INDEX('計算A'!AR$110:AR$114,$F30+1)+IF(AND($E30=1,KE30=0),1000,0),MIN(TV30,20)*400+(IF('計算A'!AQ$106=1,1-EO30,0)+IF('計算A'!AR$106=1,1-EQ30,0))*150+172+'計算A'!AR$5*100000+IF(AND($E30=1,KE30=0),50000,0))+IF($H30=1,(IF('計算A'!AQ$117=1,INDEX('計算A'!AQ$10:AQ$54,$B30),0)+IF('計算A'!AR$117=1,INDEX('計算A'!AS$10:AS$54,$B30),0))*4000,0)-IF(AND('計算A'!AQ$117=1,VO30&gt;0),2000,0)-IF(AND($L30=1,'計算A'!AR$117=1,EQ30=0),2000,0))),1000000))</f>
        <v/>
      </c>
      <c r="PU30">
        <f>IF($B30=0,1000000,IF(INDEX('計算A'!$D$60:$EQ$104,$B30,42)*EQ30=1,IF(AND($E30=2,KF30=0),1000000,IF($I30&gt;0,IF(2=$J30,IF(OR(AND(42=$I30+1,OR($K30&lt;&gt;'計算A'!$A$3,'計算A'!$A$4=0)),AND(42=$I30-1,OR(18&lt;&gt;'計算A'!$A$3,'計算A'!$A$4=0))),0,IF(18=$K30,200000,ABS(18-$K30)*100)),100000+ABS(2-$J30)*1000+180)+'計算A'!AS$5*50+IF(AND($E30=1,KF30=0),25,0),IF($F30&gt;0,INDEX('計算A'!AS$110:AS$114,$F30+1)+IF(AND($E30=1,KF30=0),1000,0),MIN(TV30,20)*400+(IF('計算A'!AR$106=1,1-EP30,0)+IF('計算A'!AS$106=1,1-ER30,0))*150+182+'計算A'!AS$5*100000+IF(AND($E30=1,KF30=0),50000,0))+IF($H30=1,(IF('計算A'!AR$117=1,INDEX('計算A'!AR$10:AR$54,$B30),0)+IF('計算A'!AS$117=1,INDEX('計算A'!AT$10:AT$54,$B30),0))*4000,0)-IF(AND('計算A'!AR$117=1,VP30&gt;0),2000,0)-IF(AND($L30=1,'計算A'!AS$117=1,ER30=0),2000,0))),1000000))</f>
        <v/>
      </c>
      <c r="PV30">
        <f>IF($B30=0,1000000,IF(INDEX('計算A'!$D$60:$EQ$104,$B30,43)*ER30=1,IF(AND($E30=2,KG30=0),1000000,IF($I30&gt;0,IF(2=$J30,IF(OR(AND(43=$I30+1,OR($K30&lt;&gt;'計算A'!$A$3,'計算A'!$A$4=0)),AND(43=$I30-1,OR(19&lt;&gt;'計算A'!$A$3,'計算A'!$A$4=0))),0,IF(19=$K30,200000,ABS(19-$K30)*100)),100000+ABS(2-$J30)*1000+190)+'計算A'!AT$5*50+IF(AND($E30=1,KG30=0),25,0),IF($F30&gt;0,INDEX('計算A'!AT$110:AT$114,$F30+1)+IF(AND($E30=1,KG30=0),1000,0),MIN(TV30,20)*400+(IF('計算A'!AS$106=1,1-EQ30,0)+IF('計算A'!AT$106=1,1-ES30,0))*150+192+'計算A'!AT$5*100000+IF(AND($E30=1,KG30=0),50000,0))+IF($H30=1,(IF('計算A'!AS$117=1,INDEX('計算A'!AS$10:AS$54,$B30),0)+IF('計算A'!AT$117=1,INDEX('計算A'!AU$10:AU$54,$B30),0))*4000,0)-IF(AND('計算A'!AS$117=1,VQ30&gt;0),2000,0)-IF(AND($L30=1,'計算A'!AT$117=1,ES30=0),2000,0))),1000000))</f>
        <v/>
      </c>
      <c r="PW30">
        <f>IF($B30=0,1000000,IF(INDEX('計算A'!$D$60:$EQ$104,$B30,44)*ES30=1,IF(AND($E30=2,KH30=0),1000000,IF($I30&gt;0,IF(2=$J30,IF(OR(AND(44=$I30+1,OR($K30&lt;&gt;'計算A'!$A$3,'計算A'!$A$4=0)),AND(44=$I30-1,OR(20&lt;&gt;'計算A'!$A$3,'計算A'!$A$4=0))),0,IF(20=$K30,200000,ABS(20-$K30)*100)),100000+ABS(2-$J30)*1000+200)+'計算A'!AU$5*50+IF(AND($E30=1,KH30=0),25,0),IF($F30&gt;0,INDEX('計算A'!AU$110:AU$114,$F30+1)+IF(AND($E30=1,KH30=0),1000,0),MIN(TV30,20)*400+(IF('計算A'!AT$106=1,1-ER30,0)+IF('計算A'!AU$106=1,1-ET30,0))*150+202+'計算A'!AU$5*100000+IF(AND($E30=1,KH30=0),50000,0))+IF($H30=1,(IF('計算A'!AT$117=1,INDEX('計算A'!AT$10:AT$54,$B30),0)+IF('計算A'!AU$117=1,INDEX('計算A'!AV$10:AV$54,$B30),0))*4000,0)-IF(AND('計算A'!AT$117=1,VR30&gt;0),2000,0)-IF(AND($L30=1,'計算A'!AU$117=1,ET30=0),2000,0))),1000000))</f>
        <v/>
      </c>
      <c r="PX30">
        <f>IF($B30=0,1000000,IF(INDEX('計算A'!$D$60:$EQ$104,$B30,45)*ET30=1,IF(AND($E30=2,KI30=0),1000000,IF($I30&gt;0,IF(2=$J30,IF(OR(AND(45=$I30+1,OR($K30&lt;&gt;'計算A'!$A$3,'計算A'!$A$4=0)),AND(45=$I30-1,OR(21&lt;&gt;'計算A'!$A$3,'計算A'!$A$4=0))),0,IF(21=$K30,200000,ABS(21-$K30)*100)),100000+ABS(2-$J30)*1000+210)+'計算A'!AV$5*50+IF(AND($E30=1,KI30=0),25,0),IF($F30&gt;0,INDEX('計算A'!AV$110:AV$114,$F30+1)+IF(AND($E30=1,KI30=0),1000,0),MIN(TV30,20)*400+(IF('計算A'!AU$106=1,1-ES30,0)+IF('計算A'!AV$106=1,1-EU30,0))*150+212+'計算A'!AV$5*100000+IF(AND($E30=1,KI30=0),50000,0))+IF($H30=1,(IF('計算A'!AU$117=1,INDEX('計算A'!AU$10:AU$54,$B30),0)+IF('計算A'!AV$117=1,INDEX('計算A'!AW$10:AW$54,$B30),0))*4000,0)-IF(AND('計算A'!AU$117=1,VS30&gt;0),2000,0)-IF(AND($L30=1,'計算A'!AV$117=1,EU30=0),2000,0))),1000000))</f>
        <v/>
      </c>
      <c r="PY30">
        <f>IF($B30=0,1000000,IF(INDEX('計算A'!$D$60:$EQ$104,$B30,46)*EU30=1,IF(AND($E30=2,KJ30=0),1000000,IF($I30&gt;0,IF(2=$J30,IF(OR(AND(46=$I30+1,OR($K30&lt;&gt;'計算A'!$A$3,'計算A'!$A$4=0)),AND(46=$I30-1,OR(22&lt;&gt;'計算A'!$A$3,'計算A'!$A$4=0))),0,IF(22=$K30,200000,ABS(22-$K30)*100)),100000+ABS(2-$J30)*1000+220)+'計算A'!AW$5*50+IF(AND($E30=1,KJ30=0),25,0),IF($F30&gt;0,INDEX('計算A'!AW$110:AW$114,$F30+1)+IF(AND($E30=1,KJ30=0),1000,0),MIN(TV30,20)*400+(IF('計算A'!AV$106=1,1-ET30,0)+IF('計算A'!AW$106=1,1-EV30,0))*150+222+'計算A'!AW$5*100000+IF(AND($E30=1,KJ30=0),50000,0))+IF($H30=1,(IF('計算A'!AV$117=1,INDEX('計算A'!AV$10:AV$54,$B30),0)+IF('計算A'!AW$117=1,INDEX('計算A'!AX$10:AX$54,$B30),0))*4000,0)-IF(AND('計算A'!AV$117=1,VT30&gt;0),2000,0)-IF(AND($L30=1,'計算A'!AW$117=1,EV30=0),2000,0))),1000000))</f>
        <v/>
      </c>
      <c r="PZ30">
        <f>IF($B30=0,1000000,IF(INDEX('計算A'!$D$60:$EQ$104,$B30,47)*EV30=1,IF(AND($E30=2,KK30=0),1000000,IF($I30&gt;0,IF(2=$J30,IF(OR(AND(47=$I30+1,OR($K30&lt;&gt;'計算A'!$A$3,'計算A'!$A$4=0)),AND(47=$I30-1,OR(23&lt;&gt;'計算A'!$A$3,'計算A'!$A$4=0))),0,IF(23=$K30,200000,ABS(23-$K30)*100)),100000+ABS(2-$J30)*1000+230)+'計算A'!AX$5*50+IF(AND($E30=1,KK30=0),25,0),IF($F30&gt;0,INDEX('計算A'!AX$110:AX$114,$F30+1)+IF(AND($E30=1,KK30=0),1000,0),MIN(TV30,20)*400+(IF('計算A'!AW$106=1,1-EU30,0)+IF('計算A'!AX$106=1,1-EW30,0))*150+232+'計算A'!AX$5*100000+IF(AND($E30=1,KK30=0),50000,0))+IF($H30=1,(IF('計算A'!AW$117=1,INDEX('計算A'!AW$10:AW$54,$B30),0)+IF('計算A'!AX$117=1,INDEX('計算A'!AY$10:AY$54,$B30),0))*4000,0)-IF(AND('計算A'!AW$117=1,VU30&gt;0),2000,0)-IF(AND($L30=1,'計算A'!AX$117=1,EW30=0),2000,0))),1000000))</f>
        <v/>
      </c>
      <c r="QA30">
        <f>IF($B30=0,1000000,IF(INDEX('計算A'!$D$60:$EQ$104,$B30,48)*EW30=1,IF(AND($E30=2,KL30=0),1000000,IF($I30&gt;0,IF(2=$J30,IF(OR(AND(48=$I30+1,OR($K30&lt;&gt;'計算A'!$A$3,'計算A'!$A$4=0)),AND(48=$I30-1,OR(24&lt;&gt;'計算A'!$A$3,'計算A'!$A$4=0))),0,IF(24=$K30,200000,ABS(24-$K30)*100)),100000+ABS(2-$J30)*1000+240)+'計算A'!AY$5*50+IF(AND($E30=1,KL30=0),25,0),IF($F30&gt;0,INDEX('計算A'!AY$110:AY$114,$F30+1)+IF(AND($E30=1,KL30=0),1000,0),MIN(TV30,20)*400+(IF('計算A'!AX$106=1,1-EV30,0))*150+242+'計算A'!AY$5*100000+IF(AND($E30=1,KL30=0),50000,0))+IF($H30=1,(IF('計算A'!AX$117=1,INDEX('計算A'!AX$10:AX$54,$B30),0))*4000,0)-IF(AND('計算A'!AX$117=1,VV30&gt;0),2000,0))),1000000))</f>
        <v/>
      </c>
      <c r="QB30">
        <f>IF($B30=0,1000000,IF(INDEX('計算A'!$D$60:$EQ$104,$B30,49)*EX30=1,IF(AND($E30=2,KM30=0),1000000,IF($I30&gt;0,IF(3=$J30,IF(OR(AND(49=$I30+1,OR($K30&lt;&gt;'計算A'!$A$3,'計算A'!$A$4=0)),AND(49=$I30-1,OR(1&lt;&gt;'計算A'!$A$3,'計算A'!$A$4=0))),0,IF(1=$K30,200000,ABS(1-$K30)*100)),100000+ABS(3-$J30)*1000+10)+'計算A'!AZ$5*50+IF(AND($E30=1,KM30=0),25,0),IF($F30&gt;0,INDEX('計算A'!AZ$110:AZ$114,$F30+1)+IF(AND($E30=1,KM30=0),1000,0),MIN(TW30,20)*400+(IF('計算A'!AZ$106=1,1-EY30,0))*150+13+'計算A'!AZ$5*100000+IF(AND($E30=1,KM30=0),50000,0))+IF($H30=1,(IF('計算A'!AZ$117=1,INDEX('計算A'!BA$10:BA$54,$B30),0))*4000,0)-IF(AND($L30=1,'計算A'!AZ$117=1,EY30=0),2000,0))),1000000))</f>
        <v/>
      </c>
      <c r="QC30">
        <f>IF($B30=0,1000000,IF(INDEX('計算A'!$D$60:$EQ$104,$B30,50)*EY30=1,IF(AND($E30=2,KN30=0),1000000,IF($I30&gt;0,IF(3=$J30,IF(OR(AND(50=$I30+1,OR($K30&lt;&gt;'計算A'!$A$3,'計算A'!$A$4=0)),AND(50=$I30-1,OR(2&lt;&gt;'計算A'!$A$3,'計算A'!$A$4=0))),0,IF(2=$K30,200000,ABS(2-$K30)*100)),100000+ABS(3-$J30)*1000+20)+'計算A'!BA$5*50+IF(AND($E30=1,KN30=0),25,0),IF($F30&gt;0,INDEX('計算A'!BA$110:BA$114,$F30+1)+IF(AND($E30=1,KN30=0),1000,0),MIN(TW30,20)*400+(IF('計算A'!AZ$106=1,1-EX30,0)+IF('計算A'!BA$106=1,1-EZ30,0))*150+23+'計算A'!BA$5*100000+IF(AND($E30=1,KN30=0),50000,0))+IF($H30=1,(IF('計算A'!AZ$117=1,INDEX('計算A'!AZ$10:AZ$54,$B30),0)+IF('計算A'!BA$117=1,INDEX('計算A'!BB$10:BB$54,$B30),0))*4000,0)-IF(AND('計算A'!AZ$117=1,VX30&gt;0),2000,0)-IF(AND($L30=1,'計算A'!BA$117=1,EZ30=0),2000,0))),1000000))</f>
        <v/>
      </c>
      <c r="QD30">
        <f>IF($B30=0,1000000,IF(INDEX('計算A'!$D$60:$EQ$104,$B30,51)*EZ30=1,IF(AND($E30=2,KO30=0),1000000,IF($I30&gt;0,IF(3=$J30,IF(OR(AND(51=$I30+1,OR($K30&lt;&gt;'計算A'!$A$3,'計算A'!$A$4=0)),AND(51=$I30-1,OR(3&lt;&gt;'計算A'!$A$3,'計算A'!$A$4=0))),0,IF(3=$K30,200000,ABS(3-$K30)*100)),100000+ABS(3-$J30)*1000+30)+'計算A'!BB$5*50+IF(AND($E30=1,KO30=0),25,0),IF($F30&gt;0,INDEX('計算A'!BB$110:BB$114,$F30+1)+IF(AND($E30=1,KO30=0),1000,0),MIN(TW30,20)*400+(IF('計算A'!BA$106=1,1-EY30,0)+IF('計算A'!BB$106=1,1-FA30,0))*150+33+'計算A'!BB$5*100000+IF(AND($E30=1,KO30=0),50000,0))+IF($H30=1,(IF('計算A'!BA$117=1,INDEX('計算A'!BA$10:BA$54,$B30),0)+IF('計算A'!BB$117=1,INDEX('計算A'!BC$10:BC$54,$B30),0))*4000,0)-IF(AND('計算A'!BA$117=1,VY30&gt;0),2000,0)-IF(AND($L30=1,'計算A'!BB$117=1,FA30=0),2000,0))),1000000))</f>
        <v/>
      </c>
      <c r="QE30">
        <f>IF($B30=0,1000000,IF(INDEX('計算A'!$D$60:$EQ$104,$B30,52)*FA30=1,IF(AND($E30=2,KP30=0),1000000,IF($I30&gt;0,IF(3=$J30,IF(OR(AND(52=$I30+1,OR($K30&lt;&gt;'計算A'!$A$3,'計算A'!$A$4=0)),AND(52=$I30-1,OR(4&lt;&gt;'計算A'!$A$3,'計算A'!$A$4=0))),0,IF(4=$K30,200000,ABS(4-$K30)*100)),100000+ABS(3-$J30)*1000+40)+'計算A'!BC$5*50+IF(AND($E30=1,KP30=0),25,0),IF($F30&gt;0,INDEX('計算A'!BC$110:BC$114,$F30+1)+IF(AND($E30=1,KP30=0),1000,0),MIN(TW30,20)*400+(IF('計算A'!BB$106=1,1-EZ30,0)+IF('計算A'!BC$106=1,1-FB30,0))*150+43+'計算A'!BC$5*100000+IF(AND($E30=1,KP30=0),50000,0))+IF($H30=1,(IF('計算A'!BB$117=1,INDEX('計算A'!BB$10:BB$54,$B30),0)+IF('計算A'!BC$117=1,INDEX('計算A'!BD$10:BD$54,$B30),0))*4000,0)-IF(AND('計算A'!BB$117=1,VZ30&gt;0),2000,0)-IF(AND($L30=1,'計算A'!BC$117=1,FB30=0),2000,0))),1000000))</f>
        <v/>
      </c>
      <c r="QF30">
        <f>IF($B30=0,1000000,IF(INDEX('計算A'!$D$60:$EQ$104,$B30,53)*FB30=1,IF(AND($E30=2,KQ30=0),1000000,IF($I30&gt;0,IF(3=$J30,IF(OR(AND(53=$I30+1,OR($K30&lt;&gt;'計算A'!$A$3,'計算A'!$A$4=0)),AND(53=$I30-1,OR(5&lt;&gt;'計算A'!$A$3,'計算A'!$A$4=0))),0,IF(5=$K30,200000,ABS(5-$K30)*100)),100000+ABS(3-$J30)*1000+50)+'計算A'!BD$5*50+IF(AND($E30=1,KQ30=0),25,0),IF($F30&gt;0,INDEX('計算A'!BD$110:BD$114,$F30+1)+IF(AND($E30=1,KQ30=0),1000,0),MIN(TW30,20)*400+(IF('計算A'!BC$106=1,1-FA30,0)+IF('計算A'!BD$106=1,1-FC30,0))*150+53+'計算A'!BD$5*100000+IF(AND($E30=1,KQ30=0),50000,0))+IF($H30=1,(IF('計算A'!BC$117=1,INDEX('計算A'!BC$10:BC$54,$B30),0)+IF('計算A'!BD$117=1,INDEX('計算A'!BE$10:BE$54,$B30),0))*4000,0)-IF(AND('計算A'!BC$117=1,WA30&gt;0),2000,0)-IF(AND($L30=1,'計算A'!BD$117=1,FC30=0),2000,0))),1000000))</f>
        <v/>
      </c>
      <c r="QG30">
        <f>IF($B30=0,1000000,IF(INDEX('計算A'!$D$60:$EQ$104,$B30,54)*FC30=1,IF(AND($E30=2,KR30=0),1000000,IF($I30&gt;0,IF(3=$J30,IF(OR(AND(54=$I30+1,OR($K30&lt;&gt;'計算A'!$A$3,'計算A'!$A$4=0)),AND(54=$I30-1,OR(6&lt;&gt;'計算A'!$A$3,'計算A'!$A$4=0))),0,IF(6=$K30,200000,ABS(6-$K30)*100)),100000+ABS(3-$J30)*1000+60)+'計算A'!BE$5*50+IF(AND($E30=1,KR30=0),25,0),IF($F30&gt;0,INDEX('計算A'!BE$110:BE$114,$F30+1)+IF(AND($E30=1,KR30=0),1000,0),MIN(TW30,20)*400+(IF('計算A'!BD$106=1,1-FB30,0)+IF('計算A'!BE$106=1,1-FD30,0))*150+63+'計算A'!BE$5*100000+IF(AND($E30=1,KR30=0),50000,0))+IF($H30=1,(IF('計算A'!BD$117=1,INDEX('計算A'!BD$10:BD$54,$B30),0)+IF('計算A'!BE$117=1,INDEX('計算A'!BF$10:BF$54,$B30),0))*4000,0)-IF(AND('計算A'!BD$117=1,WB30&gt;0),2000,0)-IF(AND($L30=1,'計算A'!BE$117=1,FD30=0),2000,0))),1000000))</f>
        <v/>
      </c>
      <c r="QH30">
        <f>IF($B30=0,1000000,IF(INDEX('計算A'!$D$60:$EQ$104,$B30,55)*FD30=1,IF(AND($E30=2,KS30=0),1000000,IF($I30&gt;0,IF(3=$J30,IF(OR(AND(55=$I30+1,OR($K30&lt;&gt;'計算A'!$A$3,'計算A'!$A$4=0)),AND(55=$I30-1,OR(7&lt;&gt;'計算A'!$A$3,'計算A'!$A$4=0))),0,IF(7=$K30,200000,ABS(7-$K30)*100)),100000+ABS(3-$J30)*1000+70)+'計算A'!BF$5*50+IF(AND($E30=1,KS30=0),25,0),IF($F30&gt;0,INDEX('計算A'!BF$110:BF$114,$F30+1)+IF(AND($E30=1,KS30=0),1000,0),MIN(TW30,20)*400+(IF('計算A'!BE$106=1,1-FC30,0)+IF('計算A'!BF$106=1,1-FE30,0))*150+73+'計算A'!BF$5*100000+IF(AND($E30=1,KS30=0),50000,0))+IF($H30=1,(IF('計算A'!BE$117=1,INDEX('計算A'!BE$10:BE$54,$B30),0)+IF('計算A'!BF$117=1,INDEX('計算A'!BG$10:BG$54,$B30),0))*4000,0)-IF(AND('計算A'!BE$117=1,WC30&gt;0),2000,0)-IF(AND($L30=1,'計算A'!BF$117=1,FE30=0),2000,0))),1000000))</f>
        <v/>
      </c>
      <c r="QI30">
        <f>IF($B30=0,1000000,IF(INDEX('計算A'!$D$60:$EQ$104,$B30,56)*FE30=1,IF(AND($E30=2,KT30=0),1000000,IF($I30&gt;0,IF(3=$J30,IF(OR(AND(56=$I30+1,OR($K30&lt;&gt;'計算A'!$A$3,'計算A'!$A$4=0)),AND(56=$I30-1,OR(8&lt;&gt;'計算A'!$A$3,'計算A'!$A$4=0))),0,IF(8=$K30,200000,ABS(8-$K30)*100)),100000+ABS(3-$J30)*1000+80)+'計算A'!BG$5*50+IF(AND($E30=1,KT30=0),25,0),IF($F30&gt;0,INDEX('計算A'!BG$110:BG$114,$F30+1)+IF(AND($E30=1,KT30=0),1000,0),MIN(TW30,20)*400+(IF('計算A'!BF$106=1,1-FD30,0)+IF('計算A'!BG$106=1,1-FF30,0))*150+83+'計算A'!BG$5*100000+IF(AND($E30=1,KT30=0),50000,0))+IF($H30=1,(IF('計算A'!BF$117=1,INDEX('計算A'!BF$10:BF$54,$B30),0)+IF('計算A'!BG$117=1,INDEX('計算A'!BH$10:BH$54,$B30),0))*4000,0)-IF(AND('計算A'!BF$117=1,WD30&gt;0),2000,0)-IF(AND($L30=1,'計算A'!BG$117=1,FF30=0),2000,0))),1000000))</f>
        <v/>
      </c>
      <c r="QJ30">
        <f>IF($B30=0,1000000,IF(INDEX('計算A'!$D$60:$EQ$104,$B30,57)*FF30=1,IF(AND($E30=2,KU30=0),1000000,IF($I30&gt;0,IF(3=$J30,IF(OR(AND(57=$I30+1,OR($K30&lt;&gt;'計算A'!$A$3,'計算A'!$A$4=0)),AND(57=$I30-1,OR(9&lt;&gt;'計算A'!$A$3,'計算A'!$A$4=0))),0,IF(9=$K30,200000,ABS(9-$K30)*100)),100000+ABS(3-$J30)*1000+90)+'計算A'!BH$5*50+IF(AND($E30=1,KU30=0),25,0),IF($F30&gt;0,INDEX('計算A'!BH$110:BH$114,$F30+1)+IF(AND($E30=1,KU30=0),1000,0),MIN(TW30,20)*400+(IF('計算A'!BG$106=1,1-FE30,0)+IF('計算A'!BH$106=1,1-FG30,0))*150+93+'計算A'!BH$5*100000+IF(AND($E30=1,KU30=0),50000,0))+IF($H30=1,(IF('計算A'!BG$117=1,INDEX('計算A'!BG$10:BG$54,$B30),0)+IF('計算A'!BH$117=1,INDEX('計算A'!BI$10:BI$54,$B30),0))*4000,0)-IF(AND('計算A'!BG$117=1,WE30&gt;0),2000,0)-IF(AND($L30=1,'計算A'!BH$117=1,FG30=0),2000,0))),1000000))</f>
        <v/>
      </c>
      <c r="QK30">
        <f>IF($B30=0,1000000,IF(INDEX('計算A'!$D$60:$EQ$104,$B30,58)*FG30=1,IF(AND($E30=2,KV30=0),1000000,IF($I30&gt;0,IF(3=$J30,IF(OR(AND(58=$I30+1,OR($K30&lt;&gt;'計算A'!$A$3,'計算A'!$A$4=0)),AND(58=$I30-1,OR(10&lt;&gt;'計算A'!$A$3,'計算A'!$A$4=0))),0,IF(10=$K30,200000,ABS(10-$K30)*100)),100000+ABS(3-$J30)*1000+100)+'計算A'!BI$5*50+IF(AND($E30=1,KV30=0),25,0),IF($F30&gt;0,INDEX('計算A'!BI$110:BI$114,$F30+1)+IF(AND($E30=1,KV30=0),1000,0),MIN(TW30,20)*400+(IF('計算A'!BH$106=1,1-FF30,0)+IF('計算A'!BI$106=1,1-FH30,0))*150+103+'計算A'!BI$5*100000+IF(AND($E30=1,KV30=0),50000,0))+IF($H30=1,(IF('計算A'!BH$117=1,INDEX('計算A'!BH$10:BH$54,$B30),0)+IF('計算A'!BI$117=1,INDEX('計算A'!BJ$10:BJ$54,$B30),0))*4000,0)-IF(AND('計算A'!BH$117=1,WF30&gt;0),2000,0)-IF(AND($L30=1,'計算A'!BI$117=1,FH30=0),2000,0))),1000000))</f>
        <v/>
      </c>
      <c r="QL30">
        <f>IF($B30=0,1000000,IF(INDEX('計算A'!$D$60:$EQ$104,$B30,59)*FH30=1,IF(AND($E30=2,KW30=0),1000000,IF($I30&gt;0,IF(3=$J30,IF(OR(AND(59=$I30+1,OR($K30&lt;&gt;'計算A'!$A$3,'計算A'!$A$4=0)),AND(59=$I30-1,OR(11&lt;&gt;'計算A'!$A$3,'計算A'!$A$4=0))),0,IF(11=$K30,200000,ABS(11-$K30)*100)),100000+ABS(3-$J30)*1000+110)+'計算A'!BJ$5*50+IF(AND($E30=1,KW30=0),25,0),IF($F30&gt;0,INDEX('計算A'!BJ$110:BJ$114,$F30+1)+IF(AND($E30=1,KW30=0),1000,0),MIN(TW30,20)*400+(IF('計算A'!BI$106=1,1-FG30,0)+IF('計算A'!BJ$106=1,1-FI30,0))*150+113+'計算A'!BJ$5*100000+IF(AND($E30=1,KW30=0),50000,0))+IF($H30=1,(IF('計算A'!BI$117=1,INDEX('計算A'!BI$10:BI$54,$B30),0)+IF('計算A'!BJ$117=1,INDEX('計算A'!BK$10:BK$54,$B30),0))*4000,0)-IF(AND('計算A'!BI$117=1,WG30&gt;0),2000,0)-IF(AND($L30=1,'計算A'!BJ$117=1,FI30=0),2000,0))),1000000))</f>
        <v/>
      </c>
      <c r="QM30">
        <f>IF($B30=0,1000000,IF(INDEX('計算A'!$D$60:$EQ$104,$B30,60)*FI30=1,IF(AND($E30=2,KX30=0),1000000,IF($I30&gt;0,IF(3=$J30,IF(OR(AND(60=$I30+1,OR($K30&lt;&gt;'計算A'!$A$3,'計算A'!$A$4=0)),AND(60=$I30-1,OR(12&lt;&gt;'計算A'!$A$3,'計算A'!$A$4=0))),0,IF(12=$K30,200000,ABS(12-$K30)*100)),100000+ABS(3-$J30)*1000+120)+'計算A'!BK$5*50+IF(AND($E30=1,KX30=0),25,0),IF($F30&gt;0,INDEX('計算A'!BK$110:BK$114,$F30+1)+IF(AND($E30=1,KX30=0),1000,0),MIN(TW30,20)*400+(IF('計算A'!BJ$106=1,1-FH30,0)+IF('計算A'!BK$106=1,1-FJ30,0))*150+123+'計算A'!BK$5*100000+IF(AND($E30=1,KX30=0),50000,0))+IF($H30=1,(IF('計算A'!BJ$117=1,INDEX('計算A'!BJ$10:BJ$54,$B30),0)+IF('計算A'!BK$117=1,INDEX('計算A'!BL$10:BL$54,$B30),0))*4000,0)-IF(AND('計算A'!BJ$117=1,WH30&gt;0),2000,0)-IF(AND($L30=1,'計算A'!BK$117=1,FJ30=0),2000,0))),1000000))</f>
        <v/>
      </c>
      <c r="QN30">
        <f>IF($B30=0,1000000,IF(INDEX('計算A'!$D$60:$EQ$104,$B30,61)*FJ30=1,IF(AND($E30=2,KY30=0),1000000,IF($I30&gt;0,IF(3=$J30,IF(OR(AND(61=$I30+1,OR($K30&lt;&gt;'計算A'!$A$3,'計算A'!$A$4=0)),AND(61=$I30-1,OR(13&lt;&gt;'計算A'!$A$3,'計算A'!$A$4=0))),0,IF(13=$K30,200000,ABS(13-$K30)*100)),100000+ABS(3-$J30)*1000+130)+'計算A'!BL$5*50+IF(AND($E30=1,KY30=0),25,0),IF($F30&gt;0,INDEX('計算A'!BL$110:BL$114,$F30+1)+IF(AND($E30=1,KY30=0),1000,0),MIN(TW30,20)*400+(IF('計算A'!BK$106=1,1-FI30,0)+IF('計算A'!BL$106=1,1-FK30,0))*150+133+'計算A'!BL$5*100000+IF(AND($E30=1,KY30=0),50000,0))+IF($H30=1,(IF('計算A'!BK$117=1,INDEX('計算A'!BK$10:BK$54,$B30),0)+IF('計算A'!BL$117=1,INDEX('計算A'!BM$10:BM$54,$B30),0))*4000,0)-IF(AND('計算A'!BK$117=1,WI30&gt;0),2000,0)-IF(AND($L30=1,'計算A'!BL$117=1,FK30=0),2000,0))),1000000))</f>
        <v/>
      </c>
      <c r="QO30">
        <f>IF($B30=0,1000000,IF(INDEX('計算A'!$D$60:$EQ$104,$B30,62)*FK30=1,IF(AND($E30=2,KZ30=0),1000000,IF($I30&gt;0,IF(3=$J30,IF(OR(AND(62=$I30+1,OR($K30&lt;&gt;'計算A'!$A$3,'計算A'!$A$4=0)),AND(62=$I30-1,OR(14&lt;&gt;'計算A'!$A$3,'計算A'!$A$4=0))),0,IF(14=$K30,200000,ABS(14-$K30)*100)),100000+ABS(3-$J30)*1000+140)+'計算A'!BM$5*50+IF(AND($E30=1,KZ30=0),25,0),IF($F30&gt;0,INDEX('計算A'!BM$110:BM$114,$F30+1)+IF(AND($E30=1,KZ30=0),1000,0),MIN(TW30,20)*400+(IF('計算A'!BL$106=1,1-FJ30,0)+IF('計算A'!BM$106=1,1-FL30,0))*150+143+'計算A'!BM$5*100000+IF(AND($E30=1,KZ30=0),50000,0))+IF($H30=1,(IF('計算A'!BL$117=1,INDEX('計算A'!BL$10:BL$54,$B30),0)+IF('計算A'!BM$117=1,INDEX('計算A'!BN$10:BN$54,$B30),0))*4000,0)-IF(AND('計算A'!BL$117=1,WJ30&gt;0),2000,0)-IF(AND($L30=1,'計算A'!BM$117=1,FL30=0),2000,0))),1000000))</f>
        <v/>
      </c>
      <c r="QP30">
        <f>IF($B30=0,1000000,IF(INDEX('計算A'!$D$60:$EQ$104,$B30,63)*FL30=1,IF(AND($E30=2,LA30=0),1000000,IF($I30&gt;0,IF(3=$J30,IF(OR(AND(63=$I30+1,OR($K30&lt;&gt;'計算A'!$A$3,'計算A'!$A$4=0)),AND(63=$I30-1,OR(15&lt;&gt;'計算A'!$A$3,'計算A'!$A$4=0))),0,IF(15=$K30,200000,ABS(15-$K30)*100)),100000+ABS(3-$J30)*1000+150)+'計算A'!BN$5*50+IF(AND($E30=1,LA30=0),25,0),IF($F30&gt;0,INDEX('計算A'!BN$110:BN$114,$F30+1)+IF(AND($E30=1,LA30=0),1000,0),MIN(TW30,20)*400+(IF('計算A'!BM$106=1,1-FK30,0)+IF('計算A'!BN$106=1,1-FM30,0))*150+153+'計算A'!BN$5*100000+IF(AND($E30=1,LA30=0),50000,0))+IF($H30=1,(IF('計算A'!BM$117=1,INDEX('計算A'!BM$10:BM$54,$B30),0)+IF('計算A'!BN$117=1,INDEX('計算A'!BO$10:BO$54,$B30),0))*4000,0)-IF(AND('計算A'!BM$117=1,WK30&gt;0),2000,0)-IF(AND($L30=1,'計算A'!BN$117=1,FM30=0),2000,0))),1000000))</f>
        <v/>
      </c>
      <c r="QQ30">
        <f>IF($B30=0,1000000,IF(INDEX('計算A'!$D$60:$EQ$104,$B30,64)*FM30=1,IF(AND($E30=2,LB30=0),1000000,IF($I30&gt;0,IF(3=$J30,IF(OR(AND(64=$I30+1,OR($K30&lt;&gt;'計算A'!$A$3,'計算A'!$A$4=0)),AND(64=$I30-1,OR(16&lt;&gt;'計算A'!$A$3,'計算A'!$A$4=0))),0,IF(16=$K30,200000,ABS(16-$K30)*100)),100000+ABS(3-$J30)*1000+160)+'計算A'!BO$5*50+IF(AND($E30=1,LB30=0),25,0),IF($F30&gt;0,INDEX('計算A'!BO$110:BO$114,$F30+1)+IF(AND($E30=1,LB30=0),1000,0),MIN(TW30,20)*400+(IF('計算A'!BN$106=1,1-FL30,0)+IF('計算A'!BO$106=1,1-FN30,0))*150+163+'計算A'!BO$5*100000+IF(AND($E30=1,LB30=0),50000,0))+IF($H30=1,(IF('計算A'!BN$117=1,INDEX('計算A'!BN$10:BN$54,$B30),0)+IF('計算A'!BO$117=1,INDEX('計算A'!BP$10:BP$54,$B30),0))*4000,0)-IF(AND('計算A'!BN$117=1,WL30&gt;0),2000,0)-IF(AND($L30=1,'計算A'!BO$117=1,FN30=0),2000,0))),1000000))</f>
        <v/>
      </c>
      <c r="QR30">
        <f>IF($B30=0,1000000,IF(INDEX('計算A'!$D$60:$EQ$104,$B30,65)*FN30=1,IF(AND($E30=2,LC30=0),1000000,IF($I30&gt;0,IF(3=$J30,IF(OR(AND(65=$I30+1,OR($K30&lt;&gt;'計算A'!$A$3,'計算A'!$A$4=0)),AND(65=$I30-1,OR(17&lt;&gt;'計算A'!$A$3,'計算A'!$A$4=0))),0,IF(17=$K30,200000,ABS(17-$K30)*100)),100000+ABS(3-$J30)*1000+170)+'計算A'!BP$5*50+IF(AND($E30=1,LC30=0),25,0),IF($F30&gt;0,INDEX('計算A'!BP$110:BP$114,$F30+1)+IF(AND($E30=1,LC30=0),1000,0),MIN(TW30,20)*400+(IF('計算A'!BO$106=1,1-FM30,0)+IF('計算A'!BP$106=1,1-FO30,0))*150+173+'計算A'!BP$5*100000+IF(AND($E30=1,LC30=0),50000,0))+IF($H30=1,(IF('計算A'!BO$117=1,INDEX('計算A'!BO$10:BO$54,$B30),0)+IF('計算A'!BP$117=1,INDEX('計算A'!BQ$10:BQ$54,$B30),0))*4000,0)-IF(AND('計算A'!BO$117=1,WM30&gt;0),2000,0)-IF(AND($L30=1,'計算A'!BP$117=1,FO30=0),2000,0))),1000000))</f>
        <v/>
      </c>
      <c r="QS30">
        <f>IF($B30=0,1000000,IF(INDEX('計算A'!$D$60:$EQ$104,$B30,66)*FO30=1,IF(AND($E30=2,LD30=0),1000000,IF($I30&gt;0,IF(3=$J30,IF(OR(AND(66=$I30+1,OR($K30&lt;&gt;'計算A'!$A$3,'計算A'!$A$4=0)),AND(66=$I30-1,OR(18&lt;&gt;'計算A'!$A$3,'計算A'!$A$4=0))),0,IF(18=$K30,200000,ABS(18-$K30)*100)),100000+ABS(3-$J30)*1000+180)+'計算A'!BQ$5*50+IF(AND($E30=1,LD30=0),25,0),IF($F30&gt;0,INDEX('計算A'!BQ$110:BQ$114,$F30+1)+IF(AND($E30=1,LD30=0),1000,0),MIN(TW30,20)*400+(IF('計算A'!BP$106=1,1-FN30,0)+IF('計算A'!BQ$106=1,1-FP30,0))*150+183+'計算A'!BQ$5*100000+IF(AND($E30=1,LD30=0),50000,0))+IF($H30=1,(IF('計算A'!BP$117=1,INDEX('計算A'!BP$10:BP$54,$B30),0)+IF('計算A'!BQ$117=1,INDEX('計算A'!BR$10:BR$54,$B30),0))*4000,0)-IF(AND('計算A'!BP$117=1,WN30&gt;0),2000,0)-IF(AND($L30=1,'計算A'!BQ$117=1,FP30=0),2000,0))),1000000))</f>
        <v/>
      </c>
      <c r="QT30">
        <f>IF($B30=0,1000000,IF(INDEX('計算A'!$D$60:$EQ$104,$B30,67)*FP30=1,IF(AND($E30=2,LE30=0),1000000,IF($I30&gt;0,IF(3=$J30,IF(OR(AND(67=$I30+1,OR($K30&lt;&gt;'計算A'!$A$3,'計算A'!$A$4=0)),AND(67=$I30-1,OR(19&lt;&gt;'計算A'!$A$3,'計算A'!$A$4=0))),0,IF(19=$K30,200000,ABS(19-$K30)*100)),100000+ABS(3-$J30)*1000+190)+'計算A'!BR$5*50+IF(AND($E30=1,LE30=0),25,0),IF($F30&gt;0,INDEX('計算A'!BR$110:BR$114,$F30+1)+IF(AND($E30=1,LE30=0),1000,0),MIN(TW30,20)*400+(IF('計算A'!BQ$106=1,1-FO30,0)+IF('計算A'!BR$106=1,1-FQ30,0))*150+193+'計算A'!BR$5*100000+IF(AND($E30=1,LE30=0),50000,0))+IF($H30=1,(IF('計算A'!BQ$117=1,INDEX('計算A'!BQ$10:BQ$54,$B30),0)+IF('計算A'!BR$117=1,INDEX('計算A'!BS$10:BS$54,$B30),0))*4000,0)-IF(AND('計算A'!BQ$117=1,WO30&gt;0),2000,0)-IF(AND($L30=1,'計算A'!BR$117=1,FQ30=0),2000,0))),1000000))</f>
        <v/>
      </c>
      <c r="QU30">
        <f>IF($B30=0,1000000,IF(INDEX('計算A'!$D$60:$EQ$104,$B30,68)*FQ30=1,IF(AND($E30=2,LF30=0),1000000,IF($I30&gt;0,IF(3=$J30,IF(OR(AND(68=$I30+1,OR($K30&lt;&gt;'計算A'!$A$3,'計算A'!$A$4=0)),AND(68=$I30-1,OR(20&lt;&gt;'計算A'!$A$3,'計算A'!$A$4=0))),0,IF(20=$K30,200000,ABS(20-$K30)*100)),100000+ABS(3-$J30)*1000+200)+'計算A'!BS$5*50+IF(AND($E30=1,LF30=0),25,0),IF($F30&gt;0,INDEX('計算A'!BS$110:BS$114,$F30+1)+IF(AND($E30=1,LF30=0),1000,0),MIN(TW30,20)*400+(IF('計算A'!BR$106=1,1-FP30,0)+IF('計算A'!BS$106=1,1-FR30,0))*150+203+'計算A'!BS$5*100000+IF(AND($E30=1,LF30=0),50000,0))+IF($H30=1,(IF('計算A'!BR$117=1,INDEX('計算A'!BR$10:BR$54,$B30),0)+IF('計算A'!BS$117=1,INDEX('計算A'!BT$10:BT$54,$B30),0))*4000,0)-IF(AND('計算A'!BR$117=1,WP30&gt;0),2000,0)-IF(AND($L30=1,'計算A'!BS$117=1,FR30=0),2000,0))),1000000))</f>
        <v/>
      </c>
      <c r="QV30">
        <f>IF($B30=0,1000000,IF(INDEX('計算A'!$D$60:$EQ$104,$B30,69)*FR30=1,IF(AND($E30=2,LG30=0),1000000,IF($I30&gt;0,IF(3=$J30,IF(OR(AND(69=$I30+1,OR($K30&lt;&gt;'計算A'!$A$3,'計算A'!$A$4=0)),AND(69=$I30-1,OR(21&lt;&gt;'計算A'!$A$3,'計算A'!$A$4=0))),0,IF(21=$K30,200000,ABS(21-$K30)*100)),100000+ABS(3-$J30)*1000+210)+'計算A'!BT$5*50+IF(AND($E30=1,LG30=0),25,0),IF($F30&gt;0,INDEX('計算A'!BT$110:BT$114,$F30+1)+IF(AND($E30=1,LG30=0),1000,0),MIN(TW30,20)*400+(IF('計算A'!BS$106=1,1-FQ30,0)+IF('計算A'!BT$106=1,1-FS30,0))*150+213+'計算A'!BT$5*100000+IF(AND($E30=1,LG30=0),50000,0))+IF($H30=1,(IF('計算A'!BS$117=1,INDEX('計算A'!BS$10:BS$54,$B30),0)+IF('計算A'!BT$117=1,INDEX('計算A'!BU$10:BU$54,$B30),0))*4000,0)-IF(AND('計算A'!BS$117=1,WQ30&gt;0),2000,0)-IF(AND($L30=1,'計算A'!BT$117=1,FS30=0),2000,0))),1000000))</f>
        <v/>
      </c>
      <c r="QW30">
        <f>IF($B30=0,1000000,IF(INDEX('計算A'!$D$60:$EQ$104,$B30,70)*FS30=1,IF(AND($E30=2,LH30=0),1000000,IF($I30&gt;0,IF(3=$J30,IF(OR(AND(70=$I30+1,OR($K30&lt;&gt;'計算A'!$A$3,'計算A'!$A$4=0)),AND(70=$I30-1,OR(22&lt;&gt;'計算A'!$A$3,'計算A'!$A$4=0))),0,IF(22=$K30,200000,ABS(22-$K30)*100)),100000+ABS(3-$J30)*1000+220)+'計算A'!BU$5*50+IF(AND($E30=1,LH30=0),25,0),IF($F30&gt;0,INDEX('計算A'!BU$110:BU$114,$F30+1)+IF(AND($E30=1,LH30=0),1000,0),MIN(TW30,20)*400+(IF('計算A'!BT$106=1,1-FR30,0)+IF('計算A'!BU$106=1,1-FT30,0))*150+223+'計算A'!BU$5*100000+IF(AND($E30=1,LH30=0),50000,0))+IF($H30=1,(IF('計算A'!BT$117=1,INDEX('計算A'!BT$10:BT$54,$B30),0)+IF('計算A'!BU$117=1,INDEX('計算A'!BV$10:BV$54,$B30),0))*4000,0)-IF(AND('計算A'!BT$117=1,WR30&gt;0),2000,0)-IF(AND($L30=1,'計算A'!BU$117=1,FT30=0),2000,0))),1000000))</f>
        <v/>
      </c>
      <c r="QX30">
        <f>IF($B30=0,1000000,IF(INDEX('計算A'!$D$60:$EQ$104,$B30,71)*FT30=1,IF(AND($E30=2,LI30=0),1000000,IF($I30&gt;0,IF(3=$J30,IF(OR(AND(71=$I30+1,OR($K30&lt;&gt;'計算A'!$A$3,'計算A'!$A$4=0)),AND(71=$I30-1,OR(23&lt;&gt;'計算A'!$A$3,'計算A'!$A$4=0))),0,IF(23=$K30,200000,ABS(23-$K30)*100)),100000+ABS(3-$J30)*1000+230)+'計算A'!BV$5*50+IF(AND($E30=1,LI30=0),25,0),IF($F30&gt;0,INDEX('計算A'!BV$110:BV$114,$F30+1)+IF(AND($E30=1,LI30=0),1000,0),MIN(TW30,20)*400+(IF('計算A'!BU$106=1,1-FS30,0)+IF('計算A'!BV$106=1,1-FU30,0))*150+233+'計算A'!BV$5*100000+IF(AND($E30=1,LI30=0),50000,0))+IF($H30=1,(IF('計算A'!BU$117=1,INDEX('計算A'!BU$10:BU$54,$B30),0)+IF('計算A'!BV$117=1,INDEX('計算A'!BW$10:BW$54,$B30),0))*4000,0)-IF(AND('計算A'!BU$117=1,WS30&gt;0),2000,0)-IF(AND($L30=1,'計算A'!BV$117=1,FU30=0),2000,0))),1000000))</f>
        <v/>
      </c>
      <c r="QY30">
        <f>IF($B30=0,1000000,IF(INDEX('計算A'!$D$60:$EQ$104,$B30,72)*FU30=1,IF(AND($E30=2,LJ30=0),1000000,IF($I30&gt;0,IF(3=$J30,IF(OR(AND(72=$I30+1,OR($K30&lt;&gt;'計算A'!$A$3,'計算A'!$A$4=0)),AND(72=$I30-1,OR(24&lt;&gt;'計算A'!$A$3,'計算A'!$A$4=0))),0,IF(24=$K30,200000,ABS(24-$K30)*100)),100000+ABS(3-$J30)*1000+240)+'計算A'!BW$5*50+IF(AND($E30=1,LJ30=0),25,0),IF($F30&gt;0,INDEX('計算A'!BW$110:BW$114,$F30+1)+IF(AND($E30=1,LJ30=0),1000,0),MIN(TW30,20)*400+(IF('計算A'!BV$106=1,1-FT30,0))*150+243+'計算A'!BW$5*100000+IF(AND($E30=1,LJ30=0),50000,0))+IF($H30=1,(IF('計算A'!BV$117=1,INDEX('計算A'!BV$10:BV$54,$B30),0))*4000,0)-IF(AND('計算A'!BV$117=1,WT30&gt;0),2000,0))),1000000))</f>
        <v/>
      </c>
      <c r="QZ30">
        <f>IF($B30=0,1000000,IF(INDEX('計算A'!$D$60:$EQ$104,$B30,73)*FV30=1,IF(AND($E30=2,LK30=0),1000000,IF($I30&gt;0,IF(4=$J30,IF(OR(AND(73=$I30+1,OR($K30&lt;&gt;'計算A'!$A$3,'計算A'!$A$4=0)),AND(73=$I30-1,OR(1&lt;&gt;'計算A'!$A$3,'計算A'!$A$4=0))),0,IF(1=$K30,200000,ABS(1-$K30)*100)),100000+ABS(4-$J30)*1000+10)+'計算A'!BX$5*50+IF(AND($E30=1,LK30=0),25,0),IF($F30&gt;0,INDEX('計算A'!BX$110:BX$114,$F30+1)+IF(AND($E30=1,LK30=0),1000,0),MIN(TX30,20)*400+(IF('計算A'!BX$106=1,1-FW30,0))*150+14+'計算A'!BX$5*100000+IF(AND($E30=1,LK30=0),50000,0))+IF($H30=1,(IF('計算A'!BX$117=1,INDEX('計算A'!BY$10:BY$54,$B30),0))*4000,0)-IF(AND($L30=1,'計算A'!BX$117=1,FW30=0),2000,0))),1000000))</f>
        <v/>
      </c>
      <c r="RA30">
        <f>IF($B30=0,1000000,IF(INDEX('計算A'!$D$60:$EQ$104,$B30,74)*FW30=1,IF(AND($E30=2,LL30=0),1000000,IF($I30&gt;0,IF(4=$J30,IF(OR(AND(74=$I30+1,OR($K30&lt;&gt;'計算A'!$A$3,'計算A'!$A$4=0)),AND(74=$I30-1,OR(2&lt;&gt;'計算A'!$A$3,'計算A'!$A$4=0))),0,IF(2=$K30,200000,ABS(2-$K30)*100)),100000+ABS(4-$J30)*1000+20)+'計算A'!BY$5*50+IF(AND($E30=1,LL30=0),25,0),IF($F30&gt;0,INDEX('計算A'!BY$110:BY$114,$F30+1)+IF(AND($E30=1,LL30=0),1000,0),MIN(TX30,20)*400+(IF('計算A'!BX$106=1,1-FV30,0)+IF('計算A'!BY$106=1,1-FX30,0))*150+24+'計算A'!BY$5*100000+IF(AND($E30=1,LL30=0),50000,0))+IF($H30=1,(IF('計算A'!BX$117=1,INDEX('計算A'!BX$10:BX$54,$B30),0)+IF('計算A'!BY$117=1,INDEX('計算A'!BZ$10:BZ$54,$B30),0))*4000,0)-IF(AND('計算A'!BX$117=1,WV30&gt;0),2000,0)-IF(AND($L30=1,'計算A'!BY$117=1,FX30=0),2000,0))),1000000))</f>
        <v/>
      </c>
      <c r="RB30">
        <f>IF($B30=0,1000000,IF(INDEX('計算A'!$D$60:$EQ$104,$B30,75)*FX30=1,IF(AND($E30=2,LM30=0),1000000,IF($I30&gt;0,IF(4=$J30,IF(OR(AND(75=$I30+1,OR($K30&lt;&gt;'計算A'!$A$3,'計算A'!$A$4=0)),AND(75=$I30-1,OR(3&lt;&gt;'計算A'!$A$3,'計算A'!$A$4=0))),0,IF(3=$K30,200000,ABS(3-$K30)*100)),100000+ABS(4-$J30)*1000+30)+'計算A'!BZ$5*50+IF(AND($E30=1,LM30=0),25,0),IF($F30&gt;0,INDEX('計算A'!BZ$110:BZ$114,$F30+1)+IF(AND($E30=1,LM30=0),1000,0),MIN(TX30,20)*400+(IF('計算A'!BY$106=1,1-FW30,0)+IF('計算A'!BZ$106=1,1-FY30,0))*150+34+'計算A'!BZ$5*100000+IF(AND($E30=1,LM30=0),50000,0))+IF($H30=1,(IF('計算A'!BY$117=1,INDEX('計算A'!BY$10:BY$54,$B30),0)+IF('計算A'!BZ$117=1,INDEX('計算A'!CA$10:CA$54,$B30),0))*4000,0)-IF(AND('計算A'!BY$117=1,WW30&gt;0),2000,0)-IF(AND($L30=1,'計算A'!BZ$117=1,FY30=0),2000,0))),1000000))</f>
        <v/>
      </c>
      <c r="RC30">
        <f>IF($B30=0,1000000,IF(INDEX('計算A'!$D$60:$EQ$104,$B30,76)*FY30=1,IF(AND($E30=2,LN30=0),1000000,IF($I30&gt;0,IF(4=$J30,IF(OR(AND(76=$I30+1,OR($K30&lt;&gt;'計算A'!$A$3,'計算A'!$A$4=0)),AND(76=$I30-1,OR(4&lt;&gt;'計算A'!$A$3,'計算A'!$A$4=0))),0,IF(4=$K30,200000,ABS(4-$K30)*100)),100000+ABS(4-$J30)*1000+40)+'計算A'!CA$5*50+IF(AND($E30=1,LN30=0),25,0),IF($F30&gt;0,INDEX('計算A'!CA$110:CA$114,$F30+1)+IF(AND($E30=1,LN30=0),1000,0),MIN(TX30,20)*400+(IF('計算A'!BZ$106=1,1-FX30,0)+IF('計算A'!CA$106=1,1-FZ30,0))*150+44+'計算A'!CA$5*100000+IF(AND($E30=1,LN30=0),50000,0))+IF($H30=1,(IF('計算A'!BZ$117=1,INDEX('計算A'!BZ$10:BZ$54,$B30),0)+IF('計算A'!CA$117=1,INDEX('計算A'!CB$10:CB$54,$B30),0))*4000,0)-IF(AND('計算A'!BZ$117=1,WX30&gt;0),2000,0)-IF(AND($L30=1,'計算A'!CA$117=1,FZ30=0),2000,0))),1000000))</f>
        <v/>
      </c>
      <c r="RD30">
        <f>IF($B30=0,1000000,IF(INDEX('計算A'!$D$60:$EQ$104,$B30,77)*FZ30=1,IF(AND($E30=2,LO30=0),1000000,IF($I30&gt;0,IF(4=$J30,IF(OR(AND(77=$I30+1,OR($K30&lt;&gt;'計算A'!$A$3,'計算A'!$A$4=0)),AND(77=$I30-1,OR(5&lt;&gt;'計算A'!$A$3,'計算A'!$A$4=0))),0,IF(5=$K30,200000,ABS(5-$K30)*100)),100000+ABS(4-$J30)*1000+50)+'計算A'!CB$5*50+IF(AND($E30=1,LO30=0),25,0),IF($F30&gt;0,INDEX('計算A'!CB$110:CB$114,$F30+1)+IF(AND($E30=1,LO30=0),1000,0),MIN(TX30,20)*400+(IF('計算A'!CA$106=1,1-FY30,0)+IF('計算A'!CB$106=1,1-GA30,0))*150+54+'計算A'!CB$5*100000+IF(AND($E30=1,LO30=0),50000,0))+IF($H30=1,(IF('計算A'!CA$117=1,INDEX('計算A'!CA$10:CA$54,$B30),0)+IF('計算A'!CB$117=1,INDEX('計算A'!CC$10:CC$54,$B30),0))*4000,0)-IF(AND('計算A'!CA$117=1,WY30&gt;0),2000,0)-IF(AND($L30=1,'計算A'!CB$117=1,GA30=0),2000,0))),1000000))</f>
        <v/>
      </c>
      <c r="RE30">
        <f>IF($B30=0,1000000,IF(INDEX('計算A'!$D$60:$EQ$104,$B30,78)*GA30=1,IF(AND($E30=2,LP30=0),1000000,IF($I30&gt;0,IF(4=$J30,IF(OR(AND(78=$I30+1,OR($K30&lt;&gt;'計算A'!$A$3,'計算A'!$A$4=0)),AND(78=$I30-1,OR(6&lt;&gt;'計算A'!$A$3,'計算A'!$A$4=0))),0,IF(6=$K30,200000,ABS(6-$K30)*100)),100000+ABS(4-$J30)*1000+60)+'計算A'!CC$5*50+IF(AND($E30=1,LP30=0),25,0),IF($F30&gt;0,INDEX('計算A'!CC$110:CC$114,$F30+1)+IF(AND($E30=1,LP30=0),1000,0),MIN(TX30,20)*400+(IF('計算A'!CB$106=1,1-FZ30,0)+IF('計算A'!CC$106=1,1-GB30,0))*150+64+'計算A'!CC$5*100000+IF(AND($E30=1,LP30=0),50000,0))+IF($H30=1,(IF('計算A'!CB$117=1,INDEX('計算A'!CB$10:CB$54,$B30),0)+IF('計算A'!CC$117=1,INDEX('計算A'!CD$10:CD$54,$B30),0))*4000,0)-IF(AND('計算A'!CB$117=1,WZ30&gt;0),2000,0)-IF(AND($L30=1,'計算A'!CC$117=1,GB30=0),2000,0))),1000000))</f>
        <v/>
      </c>
      <c r="RF30">
        <f>IF($B30=0,1000000,IF(INDEX('計算A'!$D$60:$EQ$104,$B30,79)*GB30=1,IF(AND($E30=2,LQ30=0),1000000,IF($I30&gt;0,IF(4=$J30,IF(OR(AND(79=$I30+1,OR($K30&lt;&gt;'計算A'!$A$3,'計算A'!$A$4=0)),AND(79=$I30-1,OR(7&lt;&gt;'計算A'!$A$3,'計算A'!$A$4=0))),0,IF(7=$K30,200000,ABS(7-$K30)*100)),100000+ABS(4-$J30)*1000+70)+'計算A'!CD$5*50+IF(AND($E30=1,LQ30=0),25,0),IF($F30&gt;0,INDEX('計算A'!CD$110:CD$114,$F30+1)+IF(AND($E30=1,LQ30=0),1000,0),MIN(TX30,20)*400+(IF('計算A'!CC$106=1,1-GA30,0)+IF('計算A'!CD$106=1,1-GC30,0))*150+74+'計算A'!CD$5*100000+IF(AND($E30=1,LQ30=0),50000,0))+IF($H30=1,(IF('計算A'!CC$117=1,INDEX('計算A'!CC$10:CC$54,$B30),0)+IF('計算A'!CD$117=1,INDEX('計算A'!CE$10:CE$54,$B30),0))*4000,0)-IF(AND('計算A'!CC$117=1,XA30&gt;0),2000,0)-IF(AND($L30=1,'計算A'!CD$117=1,GC30=0),2000,0))),1000000))</f>
        <v/>
      </c>
      <c r="RG30">
        <f>IF($B30=0,1000000,IF(INDEX('計算A'!$D$60:$EQ$104,$B30,80)*GC30=1,IF(AND($E30=2,LR30=0),1000000,IF($I30&gt;0,IF(4=$J30,IF(OR(AND(80=$I30+1,OR($K30&lt;&gt;'計算A'!$A$3,'計算A'!$A$4=0)),AND(80=$I30-1,OR(8&lt;&gt;'計算A'!$A$3,'計算A'!$A$4=0))),0,IF(8=$K30,200000,ABS(8-$K30)*100)),100000+ABS(4-$J30)*1000+80)+'計算A'!CE$5*50+IF(AND($E30=1,LR30=0),25,0),IF($F30&gt;0,INDEX('計算A'!CE$110:CE$114,$F30+1)+IF(AND($E30=1,LR30=0),1000,0),MIN(TX30,20)*400+(IF('計算A'!CD$106=1,1-GB30,0)+IF('計算A'!CE$106=1,1-GD30,0))*150+84+'計算A'!CE$5*100000+IF(AND($E30=1,LR30=0),50000,0))+IF($H30=1,(IF('計算A'!CD$117=1,INDEX('計算A'!CD$10:CD$54,$B30),0)+IF('計算A'!CE$117=1,INDEX('計算A'!CF$10:CF$54,$B30),0))*4000,0)-IF(AND('計算A'!CD$117=1,XB30&gt;0),2000,0)-IF(AND($L30=1,'計算A'!CE$117=1,GD30=0),2000,0))),1000000))</f>
        <v/>
      </c>
      <c r="RH30">
        <f>IF($B30=0,1000000,IF(INDEX('計算A'!$D$60:$EQ$104,$B30,81)*GD30=1,IF(AND($E30=2,LS30=0),1000000,IF($I30&gt;0,IF(4=$J30,IF(OR(AND(81=$I30+1,OR($K30&lt;&gt;'計算A'!$A$3,'計算A'!$A$4=0)),AND(81=$I30-1,OR(9&lt;&gt;'計算A'!$A$3,'計算A'!$A$4=0))),0,IF(9=$K30,200000,ABS(9-$K30)*100)),100000+ABS(4-$J30)*1000+90)+'計算A'!CF$5*50+IF(AND($E30=1,LS30=0),25,0),IF($F30&gt;0,INDEX('計算A'!CF$110:CF$114,$F30+1)+IF(AND($E30=1,LS30=0),1000,0),MIN(TX30,20)*400+(IF('計算A'!CE$106=1,1-GC30,0)+IF('計算A'!CF$106=1,1-GE30,0))*150+94+'計算A'!CF$5*100000+IF(AND($E30=1,LS30=0),50000,0))+IF($H30=1,(IF('計算A'!CE$117=1,INDEX('計算A'!CE$10:CE$54,$B30),0)+IF('計算A'!CF$117=1,INDEX('計算A'!CG$10:CG$54,$B30),0))*4000,0)-IF(AND('計算A'!CE$117=1,XC30&gt;0),2000,0)-IF(AND($L30=1,'計算A'!CF$117=1,GE30=0),2000,0))),1000000))</f>
        <v/>
      </c>
      <c r="RI30">
        <f>IF($B30=0,1000000,IF(INDEX('計算A'!$D$60:$EQ$104,$B30,82)*GE30=1,IF(AND($E30=2,LT30=0),1000000,IF($I30&gt;0,IF(4=$J30,IF(OR(AND(82=$I30+1,OR($K30&lt;&gt;'計算A'!$A$3,'計算A'!$A$4=0)),AND(82=$I30-1,OR(10&lt;&gt;'計算A'!$A$3,'計算A'!$A$4=0))),0,IF(10=$K30,200000,ABS(10-$K30)*100)),100000+ABS(4-$J30)*1000+100)+'計算A'!CG$5*50+IF(AND($E30=1,LT30=0),25,0),IF($F30&gt;0,INDEX('計算A'!CG$110:CG$114,$F30+1)+IF(AND($E30=1,LT30=0),1000,0),MIN(TX30,20)*400+(IF('計算A'!CF$106=1,1-GD30,0)+IF('計算A'!CG$106=1,1-GF30,0))*150+104+'計算A'!CG$5*100000+IF(AND($E30=1,LT30=0),50000,0))+IF($H30=1,(IF('計算A'!CF$117=1,INDEX('計算A'!CF$10:CF$54,$B30),0)+IF('計算A'!CG$117=1,INDEX('計算A'!CH$10:CH$54,$B30),0))*4000,0)-IF(AND('計算A'!CF$117=1,XD30&gt;0),2000,0)-IF(AND($L30=1,'計算A'!CG$117=1,GF30=0),2000,0))),1000000))</f>
        <v/>
      </c>
      <c r="RJ30">
        <f>IF($B30=0,1000000,IF(INDEX('計算A'!$D$60:$EQ$104,$B30,83)*GF30=1,IF(AND($E30=2,LU30=0),1000000,IF($I30&gt;0,IF(4=$J30,IF(OR(AND(83=$I30+1,OR($K30&lt;&gt;'計算A'!$A$3,'計算A'!$A$4=0)),AND(83=$I30-1,OR(11&lt;&gt;'計算A'!$A$3,'計算A'!$A$4=0))),0,IF(11=$K30,200000,ABS(11-$K30)*100)),100000+ABS(4-$J30)*1000+110)+'計算A'!CH$5*50+IF(AND($E30=1,LU30=0),25,0),IF($F30&gt;0,INDEX('計算A'!CH$110:CH$114,$F30+1)+IF(AND($E30=1,LU30=0),1000,0),MIN(TX30,20)*400+(IF('計算A'!CG$106=1,1-GE30,0)+IF('計算A'!CH$106=1,1-GG30,0))*150+114+'計算A'!CH$5*100000+IF(AND($E30=1,LU30=0),50000,0))+IF($H30=1,(IF('計算A'!CG$117=1,INDEX('計算A'!CG$10:CG$54,$B30),0)+IF('計算A'!CH$117=1,INDEX('計算A'!CI$10:CI$54,$B30),0))*4000,0)-IF(AND('計算A'!CG$117=1,XE30&gt;0),2000,0)-IF(AND($L30=1,'計算A'!CH$117=1,GG30=0),2000,0))),1000000))</f>
        <v/>
      </c>
      <c r="RK30">
        <f>IF($B30=0,1000000,IF(INDEX('計算A'!$D$60:$EQ$104,$B30,84)*GG30=1,IF(AND($E30=2,LV30=0),1000000,IF($I30&gt;0,IF(4=$J30,IF(OR(AND(84=$I30+1,OR($K30&lt;&gt;'計算A'!$A$3,'計算A'!$A$4=0)),AND(84=$I30-1,OR(12&lt;&gt;'計算A'!$A$3,'計算A'!$A$4=0))),0,IF(12=$K30,200000,ABS(12-$K30)*100)),100000+ABS(4-$J30)*1000+120)+'計算A'!CI$5*50+IF(AND($E30=1,LV30=0),25,0),IF($F30&gt;0,INDEX('計算A'!CI$110:CI$114,$F30+1)+IF(AND($E30=1,LV30=0),1000,0),MIN(TX30,20)*400+(IF('計算A'!CH$106=1,1-GF30,0)+IF('計算A'!CI$106=1,1-GH30,0))*150+124+'計算A'!CI$5*100000+IF(AND($E30=1,LV30=0),50000,0))+IF($H30=1,(IF('計算A'!CH$117=1,INDEX('計算A'!CH$10:CH$54,$B30),0)+IF('計算A'!CI$117=1,INDEX('計算A'!CJ$10:CJ$54,$B30),0))*4000,0)-IF(AND('計算A'!CH$117=1,XF30&gt;0),2000,0)-IF(AND($L30=1,'計算A'!CI$117=1,GH30=0),2000,0))),1000000))</f>
        <v/>
      </c>
      <c r="RL30">
        <f>IF($B30=0,1000000,IF(INDEX('計算A'!$D$60:$EQ$104,$B30,85)*GH30=1,IF(AND($E30=2,LW30=0),1000000,IF($I30&gt;0,IF(4=$J30,IF(OR(AND(85=$I30+1,OR($K30&lt;&gt;'計算A'!$A$3,'計算A'!$A$4=0)),AND(85=$I30-1,OR(13&lt;&gt;'計算A'!$A$3,'計算A'!$A$4=0))),0,IF(13=$K30,200000,ABS(13-$K30)*100)),100000+ABS(4-$J30)*1000+130)+'計算A'!CJ$5*50+IF(AND($E30=1,LW30=0),25,0),IF($F30&gt;0,INDEX('計算A'!CJ$110:CJ$114,$F30+1)+IF(AND($E30=1,LW30=0),1000,0),MIN(TX30,20)*400+(IF('計算A'!CI$106=1,1-GG30,0)+IF('計算A'!CJ$106=1,1-GI30,0))*150+134+'計算A'!CJ$5*100000+IF(AND($E30=1,LW30=0),50000,0))+IF($H30=1,(IF('計算A'!CI$117=1,INDEX('計算A'!CI$10:CI$54,$B30),0)+IF('計算A'!CJ$117=1,INDEX('計算A'!CK$10:CK$54,$B30),0))*4000,0)-IF(AND('計算A'!CI$117=1,XG30&gt;0),2000,0)-IF(AND($L30=1,'計算A'!CJ$117=1,GI30=0),2000,0))),1000000))</f>
        <v/>
      </c>
      <c r="RM30">
        <f>IF($B30=0,1000000,IF(INDEX('計算A'!$D$60:$EQ$104,$B30,86)*GI30=1,IF(AND($E30=2,LX30=0),1000000,IF($I30&gt;0,IF(4=$J30,IF(OR(AND(86=$I30+1,OR($K30&lt;&gt;'計算A'!$A$3,'計算A'!$A$4=0)),AND(86=$I30-1,OR(14&lt;&gt;'計算A'!$A$3,'計算A'!$A$4=0))),0,IF(14=$K30,200000,ABS(14-$K30)*100)),100000+ABS(4-$J30)*1000+140)+'計算A'!CK$5*50+IF(AND($E30=1,LX30=0),25,0),IF($F30&gt;0,INDEX('計算A'!CK$110:CK$114,$F30+1)+IF(AND($E30=1,LX30=0),1000,0),MIN(TX30,20)*400+(IF('計算A'!CJ$106=1,1-GH30,0)+IF('計算A'!CK$106=1,1-GJ30,0))*150+144+'計算A'!CK$5*100000+IF(AND($E30=1,LX30=0),50000,0))+IF($H30=1,(IF('計算A'!CJ$117=1,INDEX('計算A'!CJ$10:CJ$54,$B30),0)+IF('計算A'!CK$117=1,INDEX('計算A'!CL$10:CL$54,$B30),0))*4000,0)-IF(AND('計算A'!CJ$117=1,XH30&gt;0),2000,0)-IF(AND($L30=1,'計算A'!CK$117=1,GJ30=0),2000,0))),1000000))</f>
        <v/>
      </c>
      <c r="RN30">
        <f>IF($B30=0,1000000,IF(INDEX('計算A'!$D$60:$EQ$104,$B30,87)*GJ30=1,IF(AND($E30=2,LY30=0),1000000,IF($I30&gt;0,IF(4=$J30,IF(OR(AND(87=$I30+1,OR($K30&lt;&gt;'計算A'!$A$3,'計算A'!$A$4=0)),AND(87=$I30-1,OR(15&lt;&gt;'計算A'!$A$3,'計算A'!$A$4=0))),0,IF(15=$K30,200000,ABS(15-$K30)*100)),100000+ABS(4-$J30)*1000+150)+'計算A'!CL$5*50+IF(AND($E30=1,LY30=0),25,0),IF($F30&gt;0,INDEX('計算A'!CL$110:CL$114,$F30+1)+IF(AND($E30=1,LY30=0),1000,0),MIN(TX30,20)*400+(IF('計算A'!CK$106=1,1-GI30,0)+IF('計算A'!CL$106=1,1-GK30,0))*150+154+'計算A'!CL$5*100000+IF(AND($E30=1,LY30=0),50000,0))+IF($H30=1,(IF('計算A'!CK$117=1,INDEX('計算A'!CK$10:CK$54,$B30),0)+IF('計算A'!CL$117=1,INDEX('計算A'!CM$10:CM$54,$B30),0))*4000,0)-IF(AND('計算A'!CK$117=1,XI30&gt;0),2000,0)-IF(AND($L30=1,'計算A'!CL$117=1,GK30=0),2000,0))),1000000))</f>
        <v/>
      </c>
      <c r="RO30">
        <f>IF($B30=0,1000000,IF(INDEX('計算A'!$D$60:$EQ$104,$B30,88)*GK30=1,IF(AND($E30=2,LZ30=0),1000000,IF($I30&gt;0,IF(4=$J30,IF(OR(AND(88=$I30+1,OR($K30&lt;&gt;'計算A'!$A$3,'計算A'!$A$4=0)),AND(88=$I30-1,OR(16&lt;&gt;'計算A'!$A$3,'計算A'!$A$4=0))),0,IF(16=$K30,200000,ABS(16-$K30)*100)),100000+ABS(4-$J30)*1000+160)+'計算A'!CM$5*50+IF(AND($E30=1,LZ30=0),25,0),IF($F30&gt;0,INDEX('計算A'!CM$110:CM$114,$F30+1)+IF(AND($E30=1,LZ30=0),1000,0),MIN(TX30,20)*400+(IF('計算A'!CL$106=1,1-GJ30,0)+IF('計算A'!CM$106=1,1-GL30,0))*150+164+'計算A'!CM$5*100000+IF(AND($E30=1,LZ30=0),50000,0))+IF($H30=1,(IF('計算A'!CL$117=1,INDEX('計算A'!CL$10:CL$54,$B30),0)+IF('計算A'!CM$117=1,INDEX('計算A'!CN$10:CN$54,$B30),0))*4000,0)-IF(AND('計算A'!CL$117=1,XJ30&gt;0),2000,0)-IF(AND($L30=1,'計算A'!CM$117=1,GL30=0),2000,0))),1000000))</f>
        <v/>
      </c>
      <c r="RP30">
        <f>IF($B30=0,1000000,IF(INDEX('計算A'!$D$60:$EQ$104,$B30,89)*GL30=1,IF(AND($E30=2,MA30=0),1000000,IF($I30&gt;0,IF(4=$J30,IF(OR(AND(89=$I30+1,OR($K30&lt;&gt;'計算A'!$A$3,'計算A'!$A$4=0)),AND(89=$I30-1,OR(17&lt;&gt;'計算A'!$A$3,'計算A'!$A$4=0))),0,IF(17=$K30,200000,ABS(17-$K30)*100)),100000+ABS(4-$J30)*1000+170)+'計算A'!CN$5*50+IF(AND($E30=1,MA30=0),25,0),IF($F30&gt;0,INDEX('計算A'!CN$110:CN$114,$F30+1)+IF(AND($E30=1,MA30=0),1000,0),MIN(TX30,20)*400+(IF('計算A'!CM$106=1,1-GK30,0)+IF('計算A'!CN$106=1,1-GM30,0))*150+174+'計算A'!CN$5*100000+IF(AND($E30=1,MA30=0),50000,0))+IF($H30=1,(IF('計算A'!CM$117=1,INDEX('計算A'!CM$10:CM$54,$B30),0)+IF('計算A'!CN$117=1,INDEX('計算A'!CO$10:CO$54,$B30),0))*4000,0)-IF(AND('計算A'!CM$117=1,XK30&gt;0),2000,0)-IF(AND($L30=1,'計算A'!CN$117=1,GM30=0),2000,0))),1000000))</f>
        <v/>
      </c>
      <c r="RQ30">
        <f>IF($B30=0,1000000,IF(INDEX('計算A'!$D$60:$EQ$104,$B30,90)*GM30=1,IF(AND($E30=2,MB30=0),1000000,IF($I30&gt;0,IF(4=$J30,IF(OR(AND(90=$I30+1,OR($K30&lt;&gt;'計算A'!$A$3,'計算A'!$A$4=0)),AND(90=$I30-1,OR(18&lt;&gt;'計算A'!$A$3,'計算A'!$A$4=0))),0,IF(18=$K30,200000,ABS(18-$K30)*100)),100000+ABS(4-$J30)*1000+180)+'計算A'!CO$5*50+IF(AND($E30=1,MB30=0),25,0),IF($F30&gt;0,INDEX('計算A'!CO$110:CO$114,$F30+1)+IF(AND($E30=1,MB30=0),1000,0),MIN(TX30,20)*400+(IF('計算A'!CN$106=1,1-GL30,0)+IF('計算A'!CO$106=1,1-GN30,0))*150+184+'計算A'!CO$5*100000+IF(AND($E30=1,MB30=0),50000,0))+IF($H30=1,(IF('計算A'!CN$117=1,INDEX('計算A'!CN$10:CN$54,$B30),0)+IF('計算A'!CO$117=1,INDEX('計算A'!CP$10:CP$54,$B30),0))*4000,0)-IF(AND('計算A'!CN$117=1,XL30&gt;0),2000,0)-IF(AND($L30=1,'計算A'!CO$117=1,GN30=0),2000,0))),1000000))</f>
        <v/>
      </c>
      <c r="RR30">
        <f>IF($B30=0,1000000,IF(INDEX('計算A'!$D$60:$EQ$104,$B30,91)*GN30=1,IF(AND($E30=2,MC30=0),1000000,IF($I30&gt;0,IF(4=$J30,IF(OR(AND(91=$I30+1,OR($K30&lt;&gt;'計算A'!$A$3,'計算A'!$A$4=0)),AND(91=$I30-1,OR(19&lt;&gt;'計算A'!$A$3,'計算A'!$A$4=0))),0,IF(19=$K30,200000,ABS(19-$K30)*100)),100000+ABS(4-$J30)*1000+190)+'計算A'!CP$5*50+IF(AND($E30=1,MC30=0),25,0),IF($F30&gt;0,INDEX('計算A'!CP$110:CP$114,$F30+1)+IF(AND($E30=1,MC30=0),1000,0),MIN(TX30,20)*400+(IF('計算A'!CO$106=1,1-GM30,0)+IF('計算A'!CP$106=1,1-GO30,0))*150+194+'計算A'!CP$5*100000+IF(AND($E30=1,MC30=0),50000,0))+IF($H30=1,(IF('計算A'!CO$117=1,INDEX('計算A'!CO$10:CO$54,$B30),0)+IF('計算A'!CP$117=1,INDEX('計算A'!CQ$10:CQ$54,$B30),0))*4000,0)-IF(AND('計算A'!CO$117=1,XM30&gt;0),2000,0)-IF(AND($L30=1,'計算A'!CP$117=1,GO30=0),2000,0))),1000000))</f>
        <v/>
      </c>
      <c r="RS30">
        <f>IF($B30=0,1000000,IF(INDEX('計算A'!$D$60:$EQ$104,$B30,92)*GO30=1,IF(AND($E30=2,MD30=0),1000000,IF($I30&gt;0,IF(4=$J30,IF(OR(AND(92=$I30+1,OR($K30&lt;&gt;'計算A'!$A$3,'計算A'!$A$4=0)),AND(92=$I30-1,OR(20&lt;&gt;'計算A'!$A$3,'計算A'!$A$4=0))),0,IF(20=$K30,200000,ABS(20-$K30)*100)),100000+ABS(4-$J30)*1000+200)+'計算A'!CQ$5*50+IF(AND($E30=1,MD30=0),25,0),IF($F30&gt;0,INDEX('計算A'!CQ$110:CQ$114,$F30+1)+IF(AND($E30=1,MD30=0),1000,0),MIN(TX30,20)*400+(IF('計算A'!CP$106=1,1-GN30,0)+IF('計算A'!CQ$106=1,1-GP30,0))*150+204+'計算A'!CQ$5*100000+IF(AND($E30=1,MD30=0),50000,0))+IF($H30=1,(IF('計算A'!CP$117=1,INDEX('計算A'!CP$10:CP$54,$B30),0)+IF('計算A'!CQ$117=1,INDEX('計算A'!CR$10:CR$54,$B30),0))*4000,0)-IF(AND('計算A'!CP$117=1,XN30&gt;0),2000,0)-IF(AND($L30=1,'計算A'!CQ$117=1,GP30=0),2000,0))),1000000))</f>
        <v/>
      </c>
      <c r="RT30">
        <f>IF($B30=0,1000000,IF(INDEX('計算A'!$D$60:$EQ$104,$B30,93)*GP30=1,IF(AND($E30=2,ME30=0),1000000,IF($I30&gt;0,IF(4=$J30,IF(OR(AND(93=$I30+1,OR($K30&lt;&gt;'計算A'!$A$3,'計算A'!$A$4=0)),AND(93=$I30-1,OR(21&lt;&gt;'計算A'!$A$3,'計算A'!$A$4=0))),0,IF(21=$K30,200000,ABS(21-$K30)*100)),100000+ABS(4-$J30)*1000+210)+'計算A'!CR$5*50+IF(AND($E30=1,ME30=0),25,0),IF($F30&gt;0,INDEX('計算A'!CR$110:CR$114,$F30+1)+IF(AND($E30=1,ME30=0),1000,0),MIN(TX30,20)*400+(IF('計算A'!CQ$106=1,1-GO30,0)+IF('計算A'!CR$106=1,1-GQ30,0))*150+214+'計算A'!CR$5*100000+IF(AND($E30=1,ME30=0),50000,0))+IF($H30=1,(IF('計算A'!CQ$117=1,INDEX('計算A'!CQ$10:CQ$54,$B30),0)+IF('計算A'!CR$117=1,INDEX('計算A'!CS$10:CS$54,$B30),0))*4000,0)-IF(AND('計算A'!CQ$117=1,XO30&gt;0),2000,0)-IF(AND($L30=1,'計算A'!CR$117=1,GQ30=0),2000,0))),1000000))</f>
        <v/>
      </c>
      <c r="RU30">
        <f>IF($B30=0,1000000,IF(INDEX('計算A'!$D$60:$EQ$104,$B30,94)*GQ30=1,IF(AND($E30=2,MF30=0),1000000,IF($I30&gt;0,IF(4=$J30,IF(OR(AND(94=$I30+1,OR($K30&lt;&gt;'計算A'!$A$3,'計算A'!$A$4=0)),AND(94=$I30-1,OR(22&lt;&gt;'計算A'!$A$3,'計算A'!$A$4=0))),0,IF(22=$K30,200000,ABS(22-$K30)*100)),100000+ABS(4-$J30)*1000+220)+'計算A'!CS$5*50+IF(AND($E30=1,MF30=0),25,0),IF($F30&gt;0,INDEX('計算A'!CS$110:CS$114,$F30+1)+IF(AND($E30=1,MF30=0),1000,0),MIN(TX30,20)*400+(IF('計算A'!CR$106=1,1-GP30,0)+IF('計算A'!CS$106=1,1-GR30,0))*150+224+'計算A'!CS$5*100000+IF(AND($E30=1,MF30=0),50000,0))+IF($H30=1,(IF('計算A'!CR$117=1,INDEX('計算A'!CR$10:CR$54,$B30),0)+IF('計算A'!CS$117=1,INDEX('計算A'!CT$10:CT$54,$B30),0))*4000,0)-IF(AND('計算A'!CR$117=1,XP30&gt;0),2000,0)-IF(AND($L30=1,'計算A'!CS$117=1,GR30=0),2000,0))),1000000))</f>
        <v/>
      </c>
      <c r="RV30">
        <f>IF($B30=0,1000000,IF(INDEX('計算A'!$D$60:$EQ$104,$B30,95)*GR30=1,IF(AND($E30=2,MG30=0),1000000,IF($I30&gt;0,IF(4=$J30,IF(OR(AND(95=$I30+1,OR($K30&lt;&gt;'計算A'!$A$3,'計算A'!$A$4=0)),AND(95=$I30-1,OR(23&lt;&gt;'計算A'!$A$3,'計算A'!$A$4=0))),0,IF(23=$K30,200000,ABS(23-$K30)*100)),100000+ABS(4-$J30)*1000+230)+'計算A'!CT$5*50+IF(AND($E30=1,MG30=0),25,0),IF($F30&gt;0,INDEX('計算A'!CT$110:CT$114,$F30+1)+IF(AND($E30=1,MG30=0),1000,0),MIN(TX30,20)*400+(IF('計算A'!CS$106=1,1-GQ30,0)+IF('計算A'!CT$106=1,1-GS30,0))*150+234+'計算A'!CT$5*100000+IF(AND($E30=1,MG30=0),50000,0))+IF($H30=1,(IF('計算A'!CS$117=1,INDEX('計算A'!CS$10:CS$54,$B30),0)+IF('計算A'!CT$117=1,INDEX('計算A'!CU$10:CU$54,$B30),0))*4000,0)-IF(AND('計算A'!CS$117=1,XQ30&gt;0),2000,0)-IF(AND($L30=1,'計算A'!CT$117=1,GS30=0),2000,0))),1000000))</f>
        <v/>
      </c>
      <c r="RW30">
        <f>IF($B30=0,1000000,IF(INDEX('計算A'!$D$60:$EQ$104,$B30,96)*GS30=1,IF(AND($E30=2,MH30=0),1000000,IF($I30&gt;0,IF(4=$J30,IF(OR(AND(96=$I30+1,OR($K30&lt;&gt;'計算A'!$A$3,'計算A'!$A$4=0)),AND(96=$I30-1,OR(24&lt;&gt;'計算A'!$A$3,'計算A'!$A$4=0))),0,IF(24=$K30,200000,ABS(24-$K30)*100)),100000+ABS(4-$J30)*1000+240)+'計算A'!CU$5*50+IF(AND($E30=1,MH30=0),25,0),IF($F30&gt;0,INDEX('計算A'!CU$110:CU$114,$F30+1)+IF(AND($E30=1,MH30=0),1000,0),MIN(TX30,20)*400+(IF('計算A'!CT$106=1,1-GR30,0))*150+244+'計算A'!CU$5*100000+IF(AND($E30=1,MH30=0),50000,0))+IF($H30=1,(IF('計算A'!CT$117=1,INDEX('計算A'!CT$10:CT$54,$B30),0))*4000,0)-IF(AND('計算A'!CT$117=1,XR30&gt;0),2000,0))),1000000))</f>
        <v/>
      </c>
      <c r="RX30">
        <f>IF($B30=0,1000000,IF(INDEX('計算A'!$D$60:$EQ$104,$B30,97)*GT30=1,IF(AND($E30=2,MI30=0),1000000,IF($I30&gt;0,IF(5=$J30,IF(OR(AND(97=$I30+1,OR($K30&lt;&gt;'計算A'!$A$3,'計算A'!$A$4=0)),AND(97=$I30-1,OR(1&lt;&gt;'計算A'!$A$3,'計算A'!$A$4=0))),0,IF(1=$K30,200000,ABS(1-$K30)*100)),100000+ABS(5-$J30)*1000+10)+'計算A'!CV$5*50+IF(AND($E30=1,MI30=0),25,0),IF($F30&gt;0,INDEX('計算A'!CV$110:CV$114,$F30+1)+IF(AND($E30=1,MI30=0),1000,0),MIN(TY30,20)*400+(IF('計算A'!CV$106=1,1-GU30,0))*150+15+'計算A'!CV$5*100000+IF(AND($E30=1,MI30=0),50000,0))+IF($H30=1,(IF('計算A'!CV$117=1,INDEX('計算A'!CW$10:CW$54,$B30),0))*4000,0)-IF(AND($L30=1,'計算A'!CV$117=1,GU30=0),2000,0))),1000000))</f>
        <v/>
      </c>
      <c r="RY30">
        <f>IF($B30=0,1000000,IF(INDEX('計算A'!$D$60:$EQ$104,$B30,98)*GU30=1,IF(AND($E30=2,MJ30=0),1000000,IF($I30&gt;0,IF(5=$J30,IF(OR(AND(98=$I30+1,OR($K30&lt;&gt;'計算A'!$A$3,'計算A'!$A$4=0)),AND(98=$I30-1,OR(2&lt;&gt;'計算A'!$A$3,'計算A'!$A$4=0))),0,IF(2=$K30,200000,ABS(2-$K30)*100)),100000+ABS(5-$J30)*1000+20)+'計算A'!CW$5*50+IF(AND($E30=1,MJ30=0),25,0),IF($F30&gt;0,INDEX('計算A'!CW$110:CW$114,$F30+1)+IF(AND($E30=1,MJ30=0),1000,0),MIN(TY30,20)*400+(IF('計算A'!CV$106=1,1-GT30,0)+IF('計算A'!CW$106=1,1-GV30,0))*150+25+'計算A'!CW$5*100000+IF(AND($E30=1,MJ30=0),50000,0))+IF($H30=1,(IF('計算A'!CV$117=1,INDEX('計算A'!CV$10:CV$54,$B30),0)+IF('計算A'!CW$117=1,INDEX('計算A'!CX$10:CX$54,$B30),0))*4000,0)-IF(AND('計算A'!CV$117=1,XT30&gt;0),2000,0)-IF(AND($L30=1,'計算A'!CW$117=1,GV30=0),2000,0))),1000000))</f>
        <v/>
      </c>
      <c r="RZ30">
        <f>IF($B30=0,1000000,IF(INDEX('計算A'!$D$60:$EQ$104,$B30,99)*GV30=1,IF(AND($E30=2,MK30=0),1000000,IF($I30&gt;0,IF(5=$J30,IF(OR(AND(99=$I30+1,OR($K30&lt;&gt;'計算A'!$A$3,'計算A'!$A$4=0)),AND(99=$I30-1,OR(3&lt;&gt;'計算A'!$A$3,'計算A'!$A$4=0))),0,IF(3=$K30,200000,ABS(3-$K30)*100)),100000+ABS(5-$J30)*1000+30)+'計算A'!CX$5*50+IF(AND($E30=1,MK30=0),25,0),IF($F30&gt;0,INDEX('計算A'!CX$110:CX$114,$F30+1)+IF(AND($E30=1,MK30=0),1000,0),MIN(TY30,20)*400+(IF('計算A'!CW$106=1,1-GU30,0)+IF('計算A'!CX$106=1,1-GW30,0))*150+35+'計算A'!CX$5*100000+IF(AND($E30=1,MK30=0),50000,0))+IF($H30=1,(IF('計算A'!CW$117=1,INDEX('計算A'!CW$10:CW$54,$B30),0)+IF('計算A'!CX$117=1,INDEX('計算A'!CY$10:CY$54,$B30),0))*4000,0)-IF(AND('計算A'!CW$117=1,XU30&gt;0),2000,0)-IF(AND($L30=1,'計算A'!CX$117=1,GW30=0),2000,0))),1000000))</f>
        <v/>
      </c>
      <c r="SA30">
        <f>IF($B30=0,1000000,IF(INDEX('計算A'!$D$60:$EQ$104,$B30,100)*GW30=1,IF(AND($E30=2,ML30=0),1000000,IF($I30&gt;0,IF(5=$J30,IF(OR(AND(100=$I30+1,OR($K30&lt;&gt;'計算A'!$A$3,'計算A'!$A$4=0)),AND(100=$I30-1,OR(4&lt;&gt;'計算A'!$A$3,'計算A'!$A$4=0))),0,IF(4=$K30,200000,ABS(4-$K30)*100)),100000+ABS(5-$J30)*1000+40)+'計算A'!CY$5*50+IF(AND($E30=1,ML30=0),25,0),IF($F30&gt;0,INDEX('計算A'!CY$110:CY$114,$F30+1)+IF(AND($E30=1,ML30=0),1000,0),MIN(TY30,20)*400+(IF('計算A'!CX$106=1,1-GV30,0)+IF('計算A'!CY$106=1,1-GX30,0))*150+45+'計算A'!CY$5*100000+IF(AND($E30=1,ML30=0),50000,0))+IF($H30=1,(IF('計算A'!CX$117=1,INDEX('計算A'!CX$10:CX$54,$B30),0)+IF('計算A'!CY$117=1,INDEX('計算A'!CZ$10:CZ$54,$B30),0))*4000,0)-IF(AND('計算A'!CX$117=1,XV30&gt;0),2000,0)-IF(AND($L30=1,'計算A'!CY$117=1,GX30=0),2000,0))),1000000))</f>
        <v/>
      </c>
      <c r="SB30">
        <f>IF($B30=0,1000000,IF(INDEX('計算A'!$D$60:$EQ$104,$B30,101)*GX30=1,IF(AND($E30=2,MM30=0),1000000,IF($I30&gt;0,IF(5=$J30,IF(OR(AND(101=$I30+1,OR($K30&lt;&gt;'計算A'!$A$3,'計算A'!$A$4=0)),AND(101=$I30-1,OR(5&lt;&gt;'計算A'!$A$3,'計算A'!$A$4=0))),0,IF(5=$K30,200000,ABS(5-$K30)*100)),100000+ABS(5-$J30)*1000+50)+'計算A'!CZ$5*50+IF(AND($E30=1,MM30=0),25,0),IF($F30&gt;0,INDEX('計算A'!CZ$110:CZ$114,$F30+1)+IF(AND($E30=1,MM30=0),1000,0),MIN(TY30,20)*400+(IF('計算A'!CY$106=1,1-GW30,0)+IF('計算A'!CZ$106=1,1-GY30,0))*150+55+'計算A'!CZ$5*100000+IF(AND($E30=1,MM30=0),50000,0))+IF($H30=1,(IF('計算A'!CY$117=1,INDEX('計算A'!CY$10:CY$54,$B30),0)+IF('計算A'!CZ$117=1,INDEX('計算A'!DA$10:DA$54,$B30),0))*4000,0)-IF(AND('計算A'!CY$117=1,XW30&gt;0),2000,0)-IF(AND($L30=1,'計算A'!CZ$117=1,GY30=0),2000,0))),1000000))</f>
        <v/>
      </c>
      <c r="SC30">
        <f>IF($B30=0,1000000,IF(INDEX('計算A'!$D$60:$EQ$104,$B30,102)*GY30=1,IF(AND($E30=2,MN30=0),1000000,IF($I30&gt;0,IF(5=$J30,IF(OR(AND(102=$I30+1,OR($K30&lt;&gt;'計算A'!$A$3,'計算A'!$A$4=0)),AND(102=$I30-1,OR(6&lt;&gt;'計算A'!$A$3,'計算A'!$A$4=0))),0,IF(6=$K30,200000,ABS(6-$K30)*100)),100000+ABS(5-$J30)*1000+60)+'計算A'!DA$5*50+IF(AND($E30=1,MN30=0),25,0),IF($F30&gt;0,INDEX('計算A'!DA$110:DA$114,$F30+1)+IF(AND($E30=1,MN30=0),1000,0),MIN(TY30,20)*400+(IF('計算A'!CZ$106=1,1-GX30,0)+IF('計算A'!DA$106=1,1-GZ30,0))*150+65+'計算A'!DA$5*100000+IF(AND($E30=1,MN30=0),50000,0))+IF($H30=1,(IF('計算A'!CZ$117=1,INDEX('計算A'!CZ$10:CZ$54,$B30),0)+IF('計算A'!DA$117=1,INDEX('計算A'!DB$10:DB$54,$B30),0))*4000,0)-IF(AND('計算A'!CZ$117=1,XX30&gt;0),2000,0)-IF(AND($L30=1,'計算A'!DA$117=1,GZ30=0),2000,0))),1000000))</f>
        <v/>
      </c>
      <c r="SD30">
        <f>IF($B30=0,1000000,IF(INDEX('計算A'!$D$60:$EQ$104,$B30,103)*GZ30=1,IF(AND($E30=2,MO30=0),1000000,IF($I30&gt;0,IF(5=$J30,IF(OR(AND(103=$I30+1,OR($K30&lt;&gt;'計算A'!$A$3,'計算A'!$A$4=0)),AND(103=$I30-1,OR(7&lt;&gt;'計算A'!$A$3,'計算A'!$A$4=0))),0,IF(7=$K30,200000,ABS(7-$K30)*100)),100000+ABS(5-$J30)*1000+70)+'計算A'!DB$5*50+IF(AND($E30=1,MO30=0),25,0),IF($F30&gt;0,INDEX('計算A'!DB$110:DB$114,$F30+1)+IF(AND($E30=1,MO30=0),1000,0),MIN(TY30,20)*400+(IF('計算A'!DA$106=1,1-GY30,0)+IF('計算A'!DB$106=1,1-HA30,0))*150+75+'計算A'!DB$5*100000+IF(AND($E30=1,MO30=0),50000,0))+IF($H30=1,(IF('計算A'!DA$117=1,INDEX('計算A'!DA$10:DA$54,$B30),0)+IF('計算A'!DB$117=1,INDEX('計算A'!DC$10:DC$54,$B30),0))*4000,0)-IF(AND('計算A'!DA$117=1,XY30&gt;0),2000,0)-IF(AND($L30=1,'計算A'!DB$117=1,HA30=0),2000,0))),1000000))</f>
        <v/>
      </c>
      <c r="SE30">
        <f>IF($B30=0,1000000,IF(INDEX('計算A'!$D$60:$EQ$104,$B30,104)*HA30=1,IF(AND($E30=2,MP30=0),1000000,IF($I30&gt;0,IF(5=$J30,IF(OR(AND(104=$I30+1,OR($K30&lt;&gt;'計算A'!$A$3,'計算A'!$A$4=0)),AND(104=$I30-1,OR(8&lt;&gt;'計算A'!$A$3,'計算A'!$A$4=0))),0,IF(8=$K30,200000,ABS(8-$K30)*100)),100000+ABS(5-$J30)*1000+80)+'計算A'!DC$5*50+IF(AND($E30=1,MP30=0),25,0),IF($F30&gt;0,INDEX('計算A'!DC$110:DC$114,$F30+1)+IF(AND($E30=1,MP30=0),1000,0),MIN(TY30,20)*400+(IF('計算A'!DB$106=1,1-GZ30,0)+IF('計算A'!DC$106=1,1-HB30,0))*150+85+'計算A'!DC$5*100000+IF(AND($E30=1,MP30=0),50000,0))+IF($H30=1,(IF('計算A'!DB$117=1,INDEX('計算A'!DB$10:DB$54,$B30),0)+IF('計算A'!DC$117=1,INDEX('計算A'!DD$10:DD$54,$B30),0))*4000,0)-IF(AND('計算A'!DB$117=1,XZ30&gt;0),2000,0)-IF(AND($L30=1,'計算A'!DC$117=1,HB30=0),2000,0))),1000000))</f>
        <v/>
      </c>
      <c r="SF30">
        <f>IF($B30=0,1000000,IF(INDEX('計算A'!$D$60:$EQ$104,$B30,105)*HB30=1,IF(AND($E30=2,MQ30=0),1000000,IF($I30&gt;0,IF(5=$J30,IF(OR(AND(105=$I30+1,OR($K30&lt;&gt;'計算A'!$A$3,'計算A'!$A$4=0)),AND(105=$I30-1,OR(9&lt;&gt;'計算A'!$A$3,'計算A'!$A$4=0))),0,IF(9=$K30,200000,ABS(9-$K30)*100)),100000+ABS(5-$J30)*1000+90)+'計算A'!DD$5*50+IF(AND($E30=1,MQ30=0),25,0),IF($F30&gt;0,INDEX('計算A'!DD$110:DD$114,$F30+1)+IF(AND($E30=1,MQ30=0),1000,0),MIN(TY30,20)*400+(IF('計算A'!DC$106=1,1-HA30,0)+IF('計算A'!DD$106=1,1-HC30,0))*150+95+'計算A'!DD$5*100000+IF(AND($E30=1,MQ30=0),50000,0))+IF($H30=1,(IF('計算A'!DC$117=1,INDEX('計算A'!DC$10:DC$54,$B30),0)+IF('計算A'!DD$117=1,INDEX('計算A'!DE$10:DE$54,$B30),0))*4000,0)-IF(AND('計算A'!DC$117=1,YA30&gt;0),2000,0)-IF(AND($L30=1,'計算A'!DD$117=1,HC30=0),2000,0))),1000000))</f>
        <v/>
      </c>
      <c r="SG30">
        <f>IF($B30=0,1000000,IF(INDEX('計算A'!$D$60:$EQ$104,$B30,106)*HC30=1,IF(AND($E30=2,MR30=0),1000000,IF($I30&gt;0,IF(5=$J30,IF(OR(AND(106=$I30+1,OR($K30&lt;&gt;'計算A'!$A$3,'計算A'!$A$4=0)),AND(106=$I30-1,OR(10&lt;&gt;'計算A'!$A$3,'計算A'!$A$4=0))),0,IF(10=$K30,200000,ABS(10-$K30)*100)),100000+ABS(5-$J30)*1000+100)+'計算A'!DE$5*50+IF(AND($E30=1,MR30=0),25,0),IF($F30&gt;0,INDEX('計算A'!DE$110:DE$114,$F30+1)+IF(AND($E30=1,MR30=0),1000,0),MIN(TY30,20)*400+(IF('計算A'!DD$106=1,1-HB30,0)+IF('計算A'!DE$106=1,1-HD30,0))*150+105+'計算A'!DE$5*100000+IF(AND($E30=1,MR30=0),50000,0))+IF($H30=1,(IF('計算A'!DD$117=1,INDEX('計算A'!DD$10:DD$54,$B30),0)+IF('計算A'!DE$117=1,INDEX('計算A'!DF$10:DF$54,$B30),0))*4000,0)-IF(AND('計算A'!DD$117=1,YB30&gt;0),2000,0)-IF(AND($L30=1,'計算A'!DE$117=1,HD30=0),2000,0))),1000000))</f>
        <v/>
      </c>
      <c r="SH30">
        <f>IF($B30=0,1000000,IF(INDEX('計算A'!$D$60:$EQ$104,$B30,107)*HD30=1,IF(AND($E30=2,MS30=0),1000000,IF($I30&gt;0,IF(5=$J30,IF(OR(AND(107=$I30+1,OR($K30&lt;&gt;'計算A'!$A$3,'計算A'!$A$4=0)),AND(107=$I30-1,OR(11&lt;&gt;'計算A'!$A$3,'計算A'!$A$4=0))),0,IF(11=$K30,200000,ABS(11-$K30)*100)),100000+ABS(5-$J30)*1000+110)+'計算A'!DF$5*50+IF(AND($E30=1,MS30=0),25,0),IF($F30&gt;0,INDEX('計算A'!DF$110:DF$114,$F30+1)+IF(AND($E30=1,MS30=0),1000,0),MIN(TY30,20)*400+(IF('計算A'!DE$106=1,1-HC30,0)+IF('計算A'!DF$106=1,1-HE30,0))*150+115+'計算A'!DF$5*100000+IF(AND($E30=1,MS30=0),50000,0))+IF($H30=1,(IF('計算A'!DE$117=1,INDEX('計算A'!DE$10:DE$54,$B30),0)+IF('計算A'!DF$117=1,INDEX('計算A'!DG$10:DG$54,$B30),0))*4000,0)-IF(AND('計算A'!DE$117=1,YC30&gt;0),2000,0)-IF(AND($L30=1,'計算A'!DF$117=1,HE30=0),2000,0))),1000000))</f>
        <v/>
      </c>
      <c r="SI30">
        <f>IF($B30=0,1000000,IF(INDEX('計算A'!$D$60:$EQ$104,$B30,108)*HE30=1,IF(AND($E30=2,MT30=0),1000000,IF($I30&gt;0,IF(5=$J30,IF(OR(AND(108=$I30+1,OR($K30&lt;&gt;'計算A'!$A$3,'計算A'!$A$4=0)),AND(108=$I30-1,OR(12&lt;&gt;'計算A'!$A$3,'計算A'!$A$4=0))),0,IF(12=$K30,200000,ABS(12-$K30)*100)),100000+ABS(5-$J30)*1000+120)+'計算A'!DG$5*50+IF(AND($E30=1,MT30=0),25,0),IF($F30&gt;0,INDEX('計算A'!DG$110:DG$114,$F30+1)+IF(AND($E30=1,MT30=0),1000,0),MIN(TY30,20)*400+(IF('計算A'!DF$106=1,1-HD30,0)+IF('計算A'!DG$106=1,1-HF30,0))*150+125+'計算A'!DG$5*100000+IF(AND($E30=1,MT30=0),50000,0))+IF($H30=1,(IF('計算A'!DF$117=1,INDEX('計算A'!DF$10:DF$54,$B30),0)+IF('計算A'!DG$117=1,INDEX('計算A'!DH$10:DH$54,$B30),0))*4000,0)-IF(AND('計算A'!DF$117=1,YD30&gt;0),2000,0)-IF(AND($L30=1,'計算A'!DG$117=1,HF30=0),2000,0))),1000000))</f>
        <v/>
      </c>
      <c r="SJ30">
        <f>IF($B30=0,1000000,IF(INDEX('計算A'!$D$60:$EQ$104,$B30,109)*HF30=1,IF(AND($E30=2,MU30=0),1000000,IF($I30&gt;0,IF(5=$J30,IF(OR(AND(109=$I30+1,OR($K30&lt;&gt;'計算A'!$A$3,'計算A'!$A$4=0)),AND(109=$I30-1,OR(13&lt;&gt;'計算A'!$A$3,'計算A'!$A$4=0))),0,IF(13=$K30,200000,ABS(13-$K30)*100)),100000+ABS(5-$J30)*1000+130)+'計算A'!DH$5*50+IF(AND($E30=1,MU30=0),25,0),IF($F30&gt;0,INDEX('計算A'!DH$110:DH$114,$F30+1)+IF(AND($E30=1,MU30=0),1000,0),MIN(TY30,20)*400+(IF('計算A'!DG$106=1,1-HE30,0)+IF('計算A'!DH$106=1,1-HG30,0))*150+135+'計算A'!DH$5*100000+IF(AND($E30=1,MU30=0),50000,0))+IF($H30=1,(IF('計算A'!DG$117=1,INDEX('計算A'!DG$10:DG$54,$B30),0)+IF('計算A'!DH$117=1,INDEX('計算A'!DI$10:DI$54,$B30),0))*4000,0)-IF(AND('計算A'!DG$117=1,YE30&gt;0),2000,0)-IF(AND($L30=1,'計算A'!DH$117=1,HG30=0),2000,0))),1000000))</f>
        <v/>
      </c>
      <c r="SK30">
        <f>IF($B30=0,1000000,IF(INDEX('計算A'!$D$60:$EQ$104,$B30,110)*HG30=1,IF(AND($E30=2,MV30=0),1000000,IF($I30&gt;0,IF(5=$J30,IF(OR(AND(110=$I30+1,OR($K30&lt;&gt;'計算A'!$A$3,'計算A'!$A$4=0)),AND(110=$I30-1,OR(14&lt;&gt;'計算A'!$A$3,'計算A'!$A$4=0))),0,IF(14=$K30,200000,ABS(14-$K30)*100)),100000+ABS(5-$J30)*1000+140)+'計算A'!DI$5*50+IF(AND($E30=1,MV30=0),25,0),IF($F30&gt;0,INDEX('計算A'!DI$110:DI$114,$F30+1)+IF(AND($E30=1,MV30=0),1000,0),MIN(TY30,20)*400+(IF('計算A'!DH$106=1,1-HF30,0)+IF('計算A'!DI$106=1,1-HH30,0))*150+145+'計算A'!DI$5*100000+IF(AND($E30=1,MV30=0),50000,0))+IF($H30=1,(IF('計算A'!DH$117=1,INDEX('計算A'!DH$10:DH$54,$B30),0)+IF('計算A'!DI$117=1,INDEX('計算A'!DJ$10:DJ$54,$B30),0))*4000,0)-IF(AND('計算A'!DH$117=1,YF30&gt;0),2000,0)-IF(AND($L30=1,'計算A'!DI$117=1,HH30=0),2000,0))),1000000))</f>
        <v/>
      </c>
      <c r="SL30">
        <f>IF($B30=0,1000000,IF(INDEX('計算A'!$D$60:$EQ$104,$B30,111)*HH30=1,IF(AND($E30=2,MW30=0),1000000,IF($I30&gt;0,IF(5=$J30,IF(OR(AND(111=$I30+1,OR($K30&lt;&gt;'計算A'!$A$3,'計算A'!$A$4=0)),AND(111=$I30-1,OR(15&lt;&gt;'計算A'!$A$3,'計算A'!$A$4=0))),0,IF(15=$K30,200000,ABS(15-$K30)*100)),100000+ABS(5-$J30)*1000+150)+'計算A'!DJ$5*50+IF(AND($E30=1,MW30=0),25,0),IF($F30&gt;0,INDEX('計算A'!DJ$110:DJ$114,$F30+1)+IF(AND($E30=1,MW30=0),1000,0),MIN(TY30,20)*400+(IF('計算A'!DI$106=1,1-HG30,0)+IF('計算A'!DJ$106=1,1-HI30,0))*150+155+'計算A'!DJ$5*100000+IF(AND($E30=1,MW30=0),50000,0))+IF($H30=1,(IF('計算A'!DI$117=1,INDEX('計算A'!DI$10:DI$54,$B30),0)+IF('計算A'!DJ$117=1,INDEX('計算A'!DK$10:DK$54,$B30),0))*4000,0)-IF(AND('計算A'!DI$117=1,YG30&gt;0),2000,0)-IF(AND($L30=1,'計算A'!DJ$117=1,HI30=0),2000,0))),1000000))</f>
        <v/>
      </c>
      <c r="SM30">
        <f>IF($B30=0,1000000,IF(INDEX('計算A'!$D$60:$EQ$104,$B30,112)*HI30=1,IF(AND($E30=2,MX30=0),1000000,IF($I30&gt;0,IF(5=$J30,IF(OR(AND(112=$I30+1,OR($K30&lt;&gt;'計算A'!$A$3,'計算A'!$A$4=0)),AND(112=$I30-1,OR(16&lt;&gt;'計算A'!$A$3,'計算A'!$A$4=0))),0,IF(16=$K30,200000,ABS(16-$K30)*100)),100000+ABS(5-$J30)*1000+160)+'計算A'!DK$5*50+IF(AND($E30=1,MX30=0),25,0),IF($F30&gt;0,INDEX('計算A'!DK$110:DK$114,$F30+1)+IF(AND($E30=1,MX30=0),1000,0),MIN(TY30,20)*400+(IF('計算A'!DJ$106=1,1-HH30,0)+IF('計算A'!DK$106=1,1-HJ30,0))*150+165+'計算A'!DK$5*100000+IF(AND($E30=1,MX30=0),50000,0))+IF($H30=1,(IF('計算A'!DJ$117=1,INDEX('計算A'!DJ$10:DJ$54,$B30),0)+IF('計算A'!DK$117=1,INDEX('計算A'!DL$10:DL$54,$B30),0))*4000,0)-IF(AND('計算A'!DJ$117=1,YH30&gt;0),2000,0)-IF(AND($L30=1,'計算A'!DK$117=1,HJ30=0),2000,0))),1000000))</f>
        <v/>
      </c>
      <c r="SN30">
        <f>IF($B30=0,1000000,IF(INDEX('計算A'!$D$60:$EQ$104,$B30,113)*HJ30=1,IF(AND($E30=2,MY30=0),1000000,IF($I30&gt;0,IF(5=$J30,IF(OR(AND(113=$I30+1,OR($K30&lt;&gt;'計算A'!$A$3,'計算A'!$A$4=0)),AND(113=$I30-1,OR(17&lt;&gt;'計算A'!$A$3,'計算A'!$A$4=0))),0,IF(17=$K30,200000,ABS(17-$K30)*100)),100000+ABS(5-$J30)*1000+170)+'計算A'!DL$5*50+IF(AND($E30=1,MY30=0),25,0),IF($F30&gt;0,INDEX('計算A'!DL$110:DL$114,$F30+1)+IF(AND($E30=1,MY30=0),1000,0),MIN(TY30,20)*400+(IF('計算A'!DK$106=1,1-HI30,0)+IF('計算A'!DL$106=1,1-HK30,0))*150+175+'計算A'!DL$5*100000+IF(AND($E30=1,MY30=0),50000,0))+IF($H30=1,(IF('計算A'!DK$117=1,INDEX('計算A'!DK$10:DK$54,$B30),0)+IF('計算A'!DL$117=1,INDEX('計算A'!DM$10:DM$54,$B30),0))*4000,0)-IF(AND('計算A'!DK$117=1,YI30&gt;0),2000,0)-IF(AND($L30=1,'計算A'!DL$117=1,HK30=0),2000,0))),1000000))</f>
        <v/>
      </c>
      <c r="SO30">
        <f>IF($B30=0,1000000,IF(INDEX('計算A'!$D$60:$EQ$104,$B30,114)*HK30=1,IF(AND($E30=2,MZ30=0),1000000,IF($I30&gt;0,IF(5=$J30,IF(OR(AND(114=$I30+1,OR($K30&lt;&gt;'計算A'!$A$3,'計算A'!$A$4=0)),AND(114=$I30-1,OR(18&lt;&gt;'計算A'!$A$3,'計算A'!$A$4=0))),0,IF(18=$K30,200000,ABS(18-$K30)*100)),100000+ABS(5-$J30)*1000+180)+'計算A'!DM$5*50+IF(AND($E30=1,MZ30=0),25,0),IF($F30&gt;0,INDEX('計算A'!DM$110:DM$114,$F30+1)+IF(AND($E30=1,MZ30=0),1000,0),MIN(TY30,20)*400+(IF('計算A'!DL$106=1,1-HJ30,0)+IF('計算A'!DM$106=1,1-HL30,0))*150+185+'計算A'!DM$5*100000+IF(AND($E30=1,MZ30=0),50000,0))+IF($H30=1,(IF('計算A'!DL$117=1,INDEX('計算A'!DL$10:DL$54,$B30),0)+IF('計算A'!DM$117=1,INDEX('計算A'!DN$10:DN$54,$B30),0))*4000,0)-IF(AND('計算A'!DL$117=1,YJ30&gt;0),2000,0)-IF(AND($L30=1,'計算A'!DM$117=1,HL30=0),2000,0))),1000000))</f>
        <v/>
      </c>
      <c r="SP30">
        <f>IF($B30=0,1000000,IF(INDEX('計算A'!$D$60:$EQ$104,$B30,115)*HL30=1,IF(AND($E30=2,NA30=0),1000000,IF($I30&gt;0,IF(5=$J30,IF(OR(AND(115=$I30+1,OR($K30&lt;&gt;'計算A'!$A$3,'計算A'!$A$4=0)),AND(115=$I30-1,OR(19&lt;&gt;'計算A'!$A$3,'計算A'!$A$4=0))),0,IF(19=$K30,200000,ABS(19-$K30)*100)),100000+ABS(5-$J30)*1000+190)+'計算A'!DN$5*50+IF(AND($E30=1,NA30=0),25,0),IF($F30&gt;0,INDEX('計算A'!DN$110:DN$114,$F30+1)+IF(AND($E30=1,NA30=0),1000,0),MIN(TY30,20)*400+(IF('計算A'!DM$106=1,1-HK30,0)+IF('計算A'!DN$106=1,1-HM30,0))*150+195+'計算A'!DN$5*100000+IF(AND($E30=1,NA30=0),50000,0))+IF($H30=1,(IF('計算A'!DM$117=1,INDEX('計算A'!DM$10:DM$54,$B30),0)+IF('計算A'!DN$117=1,INDEX('計算A'!DO$10:DO$54,$B30),0))*4000,0)-IF(AND('計算A'!DM$117=1,YK30&gt;0),2000,0)-IF(AND($L30=1,'計算A'!DN$117=1,HM30=0),2000,0))),1000000))</f>
        <v/>
      </c>
      <c r="SQ30">
        <f>IF($B30=0,1000000,IF(INDEX('計算A'!$D$60:$EQ$104,$B30,116)*HM30=1,IF(AND($E30=2,NB30=0),1000000,IF($I30&gt;0,IF(5=$J30,IF(OR(AND(116=$I30+1,OR($K30&lt;&gt;'計算A'!$A$3,'計算A'!$A$4=0)),AND(116=$I30-1,OR(20&lt;&gt;'計算A'!$A$3,'計算A'!$A$4=0))),0,IF(20=$K30,200000,ABS(20-$K30)*100)),100000+ABS(5-$J30)*1000+200)+'計算A'!DO$5*50+IF(AND($E30=1,NB30=0),25,0),IF($F30&gt;0,INDEX('計算A'!DO$110:DO$114,$F30+1)+IF(AND($E30=1,NB30=0),1000,0),MIN(TY30,20)*400+(IF('計算A'!DN$106=1,1-HL30,0)+IF('計算A'!DO$106=1,1-HN30,0))*150+205+'計算A'!DO$5*100000+IF(AND($E30=1,NB30=0),50000,0))+IF($H30=1,(IF('計算A'!DN$117=1,INDEX('計算A'!DN$10:DN$54,$B30),0)+IF('計算A'!DO$117=1,INDEX('計算A'!DP$10:DP$54,$B30),0))*4000,0)-IF(AND('計算A'!DN$117=1,YL30&gt;0),2000,0)-IF(AND($L30=1,'計算A'!DO$117=1,HN30=0),2000,0))),1000000))</f>
        <v/>
      </c>
      <c r="SR30">
        <f>IF($B30=0,1000000,IF(INDEX('計算A'!$D$60:$EQ$104,$B30,117)*HN30=1,IF(AND($E30=2,NC30=0),1000000,IF($I30&gt;0,IF(5=$J30,IF(OR(AND(117=$I30+1,OR($K30&lt;&gt;'計算A'!$A$3,'計算A'!$A$4=0)),AND(117=$I30-1,OR(21&lt;&gt;'計算A'!$A$3,'計算A'!$A$4=0))),0,IF(21=$K30,200000,ABS(21-$K30)*100)),100000+ABS(5-$J30)*1000+210)+'計算A'!DP$5*50+IF(AND($E30=1,NC30=0),25,0),IF($F30&gt;0,INDEX('計算A'!DP$110:DP$114,$F30+1)+IF(AND($E30=1,NC30=0),1000,0),MIN(TY30,20)*400+(IF('計算A'!DO$106=1,1-HM30,0)+IF('計算A'!DP$106=1,1-HO30,0))*150+215+'計算A'!DP$5*100000+IF(AND($E30=1,NC30=0),50000,0))+IF($H30=1,(IF('計算A'!DO$117=1,INDEX('計算A'!DO$10:DO$54,$B30),0)+IF('計算A'!DP$117=1,INDEX('計算A'!DQ$10:DQ$54,$B30),0))*4000,0)-IF(AND('計算A'!DO$117=1,YM30&gt;0),2000,0)-IF(AND($L30=1,'計算A'!DP$117=1,HO30=0),2000,0))),1000000))</f>
        <v/>
      </c>
      <c r="SS30">
        <f>IF($B30=0,1000000,IF(INDEX('計算A'!$D$60:$EQ$104,$B30,118)*HO30=1,IF(AND($E30=2,ND30=0),1000000,IF($I30&gt;0,IF(5=$J30,IF(OR(AND(118=$I30+1,OR($K30&lt;&gt;'計算A'!$A$3,'計算A'!$A$4=0)),AND(118=$I30-1,OR(22&lt;&gt;'計算A'!$A$3,'計算A'!$A$4=0))),0,IF(22=$K30,200000,ABS(22-$K30)*100)),100000+ABS(5-$J30)*1000+220)+'計算A'!DQ$5*50+IF(AND($E30=1,ND30=0),25,0),IF($F30&gt;0,INDEX('計算A'!DQ$110:DQ$114,$F30+1)+IF(AND($E30=1,ND30=0),1000,0),MIN(TY30,20)*400+(IF('計算A'!DP$106=1,1-HN30,0)+IF('計算A'!DQ$106=1,1-HP30,0))*150+225+'計算A'!DQ$5*100000+IF(AND($E30=1,ND30=0),50000,0))+IF($H30=1,(IF('計算A'!DP$117=1,INDEX('計算A'!DP$10:DP$54,$B30),0)+IF('計算A'!DQ$117=1,INDEX('計算A'!DR$10:DR$54,$B30),0))*4000,0)-IF(AND('計算A'!DP$117=1,YN30&gt;0),2000,0)-IF(AND($L30=1,'計算A'!DQ$117=1,HP30=0),2000,0))),1000000))</f>
        <v/>
      </c>
      <c r="ST30">
        <f>IF($B30=0,1000000,IF(INDEX('計算A'!$D$60:$EQ$104,$B30,119)*HP30=1,IF(AND($E30=2,NE30=0),1000000,IF($I30&gt;0,IF(5=$J30,IF(OR(AND(119=$I30+1,OR($K30&lt;&gt;'計算A'!$A$3,'計算A'!$A$4=0)),AND(119=$I30-1,OR(23&lt;&gt;'計算A'!$A$3,'計算A'!$A$4=0))),0,IF(23=$K30,200000,ABS(23-$K30)*100)),100000+ABS(5-$J30)*1000+230)+'計算A'!DR$5*50+IF(AND($E30=1,NE30=0),25,0),IF($F30&gt;0,INDEX('計算A'!DR$110:DR$114,$F30+1)+IF(AND($E30=1,NE30=0),1000,0),MIN(TY30,20)*400+(IF('計算A'!DQ$106=1,1-HO30,0)+IF('計算A'!DR$106=1,1-HQ30,0))*150+235+'計算A'!DR$5*100000+IF(AND($E30=1,NE30=0),50000,0))+IF($H30=1,(IF('計算A'!DQ$117=1,INDEX('計算A'!DQ$10:DQ$54,$B30),0)+IF('計算A'!DR$117=1,INDEX('計算A'!DS$10:DS$54,$B30),0))*4000,0)-IF(AND('計算A'!DQ$117=1,YO30&gt;0),2000,0)-IF(AND($L30=1,'計算A'!DR$117=1,HQ30=0),2000,0))),1000000))</f>
        <v/>
      </c>
      <c r="SU30">
        <f>IF($B30=0,1000000,IF(INDEX('計算A'!$D$60:$EQ$104,$B30,120)*HQ30=1,IF(AND($E30=2,NF30=0),1000000,IF($I30&gt;0,IF(5=$J30,IF(OR(AND(120=$I30+1,OR($K30&lt;&gt;'計算A'!$A$3,'計算A'!$A$4=0)),AND(120=$I30-1,OR(24&lt;&gt;'計算A'!$A$3,'計算A'!$A$4=0))),0,IF(24=$K30,200000,ABS(24-$K30)*100)),100000+ABS(5-$J30)*1000+240)+'計算A'!DS$5*50+IF(AND($E30=1,NF30=0),25,0),IF($F30&gt;0,INDEX('計算A'!DS$110:DS$114,$F30+1)+IF(AND($E30=1,NF30=0),1000,0),MIN(TY30,20)*400+(IF('計算A'!DR$106=1,1-HP30,0))*150+245+'計算A'!DS$5*100000+IF(AND($E30=1,NF30=0),50000,0))+IF($H30=1,(IF('計算A'!DR$117=1,INDEX('計算A'!DR$10:DR$54,$B30),0))*4000,0)-IF(AND('計算A'!DR$117=1,YP30&gt;0),2000,0))),1000000))</f>
        <v/>
      </c>
      <c r="SV30">
        <f>IF($B30=0,1000000,IF(INDEX('計算A'!$D$60:$EQ$104,$B30,121)*HR30=1,IF(AND($E30=2,NG30=0),1000000,IF($I30&gt;0,IF(6=$J30,IF(OR(AND(121=$I30+1,OR($K30&lt;&gt;'計算A'!$A$3,'計算A'!$A$4=0)),AND(121=$I30-1,OR(1&lt;&gt;'計算A'!$A$3,'計算A'!$A$4=0))),0,IF(1=$K30,200000,ABS(1-$K30)*100)),100000+ABS(6-$J30)*1000+10)+'計算A'!DT$5*50+IF(AND($E30=1,NG30=0),25,0),IF($F30&gt;0,INDEX('計算A'!DT$110:DT$114,$F30+1)+IF(AND($E30=1,NG30=0),1000,0),MIN(TZ30,20)*400+(IF('計算A'!DT$106=1,1-HS30,0))*150+16+'計算A'!DT$5*100000+IF(AND($E30=1,NG30=0),50000,0))+IF($H30=1,(IF('計算A'!DT$117=1,INDEX('計算A'!DU$10:DU$54,$B30),0))*4000,0)-IF(AND($L30=1,'計算A'!DT$117=1,HS30=0),2000,0))),1000000))</f>
        <v/>
      </c>
      <c r="SW30">
        <f>IF($B30=0,1000000,IF(INDEX('計算A'!$D$60:$EQ$104,$B30,122)*HS30=1,IF(AND($E30=2,NH30=0),1000000,IF($I30&gt;0,IF(6=$J30,IF(OR(AND(122=$I30+1,OR($K30&lt;&gt;'計算A'!$A$3,'計算A'!$A$4=0)),AND(122=$I30-1,OR(2&lt;&gt;'計算A'!$A$3,'計算A'!$A$4=0))),0,IF(2=$K30,200000,ABS(2-$K30)*100)),100000+ABS(6-$J30)*1000+20)+'計算A'!DU$5*50+IF(AND($E30=1,NH30=0),25,0),IF($F30&gt;0,INDEX('計算A'!DU$110:DU$114,$F30+1)+IF(AND($E30=1,NH30=0),1000,0),MIN(TZ30,20)*400+(IF('計算A'!DT$106=1,1-HR30,0)+IF('計算A'!DU$106=1,1-HT30,0))*150+26+'計算A'!DU$5*100000+IF(AND($E30=1,NH30=0),50000,0))+IF($H30=1,(IF('計算A'!DT$117=1,INDEX('計算A'!DT$10:DT$54,$B30),0)+IF('計算A'!DU$117=1,INDEX('計算A'!DV$10:DV$54,$B30),0))*4000,0)-IF(AND('計算A'!DT$117=1,YR30&gt;0),2000,0)-IF(AND($L30=1,'計算A'!DU$117=1,HT30=0),2000,0))),1000000))</f>
        <v/>
      </c>
      <c r="SX30">
        <f>IF($B30=0,1000000,IF(INDEX('計算A'!$D$60:$EQ$104,$B30,123)*HT30=1,IF(AND($E30=2,NI30=0),1000000,IF($I30&gt;0,IF(6=$J30,IF(OR(AND(123=$I30+1,OR($K30&lt;&gt;'計算A'!$A$3,'計算A'!$A$4=0)),AND(123=$I30-1,OR(3&lt;&gt;'計算A'!$A$3,'計算A'!$A$4=0))),0,IF(3=$K30,200000,ABS(3-$K30)*100)),100000+ABS(6-$J30)*1000+30)+'計算A'!DV$5*50+IF(AND($E30=1,NI30=0),25,0),IF($F30&gt;0,INDEX('計算A'!DV$110:DV$114,$F30+1)+IF(AND($E30=1,NI30=0),1000,0),MIN(TZ30,20)*400+(IF('計算A'!DU$106=1,1-HS30,0)+IF('計算A'!DV$106=1,1-HU30,0))*150+36+'計算A'!DV$5*100000+IF(AND($E30=1,NI30=0),50000,0))+IF($H30=1,(IF('計算A'!DU$117=1,INDEX('計算A'!DU$10:DU$54,$B30),0)+IF('計算A'!DV$117=1,INDEX('計算A'!DW$10:DW$54,$B30),0))*4000,0)-IF(AND('計算A'!DU$117=1,YS30&gt;0),2000,0)-IF(AND($L30=1,'計算A'!DV$117=1,HU30=0),2000,0))),1000000))</f>
        <v/>
      </c>
      <c r="SY30">
        <f>IF($B30=0,1000000,IF(INDEX('計算A'!$D$60:$EQ$104,$B30,124)*HU30=1,IF(AND($E30=2,NJ30=0),1000000,IF($I30&gt;0,IF(6=$J30,IF(OR(AND(124=$I30+1,OR($K30&lt;&gt;'計算A'!$A$3,'計算A'!$A$4=0)),AND(124=$I30-1,OR(4&lt;&gt;'計算A'!$A$3,'計算A'!$A$4=0))),0,IF(4=$K30,200000,ABS(4-$K30)*100)),100000+ABS(6-$J30)*1000+40)+'計算A'!DW$5*50+IF(AND($E30=1,NJ30=0),25,0),IF($F30&gt;0,INDEX('計算A'!DW$110:DW$114,$F30+1)+IF(AND($E30=1,NJ30=0),1000,0),MIN(TZ30,20)*400+(IF('計算A'!DV$106=1,1-HT30,0)+IF('計算A'!DW$106=1,1-HV30,0))*150+46+'計算A'!DW$5*100000+IF(AND($E30=1,NJ30=0),50000,0))+IF($H30=1,(IF('計算A'!DV$117=1,INDEX('計算A'!DV$10:DV$54,$B30),0)+IF('計算A'!DW$117=1,INDEX('計算A'!DX$10:DX$54,$B30),0))*4000,0)-IF(AND('計算A'!DV$117=1,YT30&gt;0),2000,0)-IF(AND($L30=1,'計算A'!DW$117=1,HV30=0),2000,0))),1000000))</f>
        <v/>
      </c>
      <c r="SZ30">
        <f>IF($B30=0,1000000,IF(INDEX('計算A'!$D$60:$EQ$104,$B30,125)*HV30=1,IF(AND($E30=2,NK30=0),1000000,IF($I30&gt;0,IF(6=$J30,IF(OR(AND(125=$I30+1,OR($K30&lt;&gt;'計算A'!$A$3,'計算A'!$A$4=0)),AND(125=$I30-1,OR(5&lt;&gt;'計算A'!$A$3,'計算A'!$A$4=0))),0,IF(5=$K30,200000,ABS(5-$K30)*100)),100000+ABS(6-$J30)*1000+50)+'計算A'!DX$5*50+IF(AND($E30=1,NK30=0),25,0),IF($F30&gt;0,INDEX('計算A'!DX$110:DX$114,$F30+1)+IF(AND($E30=1,NK30=0),1000,0),MIN(TZ30,20)*400+(IF('計算A'!DW$106=1,1-HU30,0)+IF('計算A'!DX$106=1,1-HW30,0))*150+56+'計算A'!DX$5*100000+IF(AND($E30=1,NK30=0),50000,0))+IF($H30=1,(IF('計算A'!DW$117=1,INDEX('計算A'!DW$10:DW$54,$B30),0)+IF('計算A'!DX$117=1,INDEX('計算A'!DY$10:DY$54,$B30),0))*4000,0)-IF(AND('計算A'!DW$117=1,YU30&gt;0),2000,0)-IF(AND($L30=1,'計算A'!DX$117=1,HW30=0),2000,0))),1000000))</f>
        <v/>
      </c>
      <c r="TA30">
        <f>IF($B30=0,1000000,IF(INDEX('計算A'!$D$60:$EQ$104,$B30,126)*HW30=1,IF(AND($E30=2,NL30=0),1000000,IF($I30&gt;0,IF(6=$J30,IF(OR(AND(126=$I30+1,OR($K30&lt;&gt;'計算A'!$A$3,'計算A'!$A$4=0)),AND(126=$I30-1,OR(6&lt;&gt;'計算A'!$A$3,'計算A'!$A$4=0))),0,IF(6=$K30,200000,ABS(6-$K30)*100)),100000+ABS(6-$J30)*1000+60)+'計算A'!DY$5*50+IF(AND($E30=1,NL30=0),25,0),IF($F30&gt;0,INDEX('計算A'!DY$110:DY$114,$F30+1)+IF(AND($E30=1,NL30=0),1000,0),MIN(TZ30,20)*400+(IF('計算A'!DX$106=1,1-HV30,0)+IF('計算A'!DY$106=1,1-HX30,0))*150+66+'計算A'!DY$5*100000+IF(AND($E30=1,NL30=0),50000,0))+IF($H30=1,(IF('計算A'!DX$117=1,INDEX('計算A'!DX$10:DX$54,$B30),0)+IF('計算A'!DY$117=1,INDEX('計算A'!DZ$10:DZ$54,$B30),0))*4000,0)-IF(AND('計算A'!DX$117=1,YV30&gt;0),2000,0)-IF(AND($L30=1,'計算A'!DY$117=1,HX30=0),2000,0))),1000000))</f>
        <v/>
      </c>
      <c r="TB30">
        <f>IF($B30=0,1000000,IF(INDEX('計算A'!$D$60:$EQ$104,$B30,127)*HX30=1,IF(AND($E30=2,NM30=0),1000000,IF($I30&gt;0,IF(6=$J30,IF(OR(AND(127=$I30+1,OR($K30&lt;&gt;'計算A'!$A$3,'計算A'!$A$4=0)),AND(127=$I30-1,OR(7&lt;&gt;'計算A'!$A$3,'計算A'!$A$4=0))),0,IF(7=$K30,200000,ABS(7-$K30)*100)),100000+ABS(6-$J30)*1000+70)+'計算A'!DZ$5*50+IF(AND($E30=1,NM30=0),25,0),IF($F30&gt;0,INDEX('計算A'!DZ$110:DZ$114,$F30+1)+IF(AND($E30=1,NM30=0),1000,0),MIN(TZ30,20)*400+(IF('計算A'!DY$106=1,1-HW30,0)+IF('計算A'!DZ$106=1,1-HY30,0))*150+76+'計算A'!DZ$5*100000+IF(AND($E30=1,NM30=0),50000,0))+IF($H30=1,(IF('計算A'!DY$117=1,INDEX('計算A'!DY$10:DY$54,$B30),0)+IF('計算A'!DZ$117=1,INDEX('計算A'!EA$10:EA$54,$B30),0))*4000,0)-IF(AND('計算A'!DY$117=1,YW30&gt;0),2000,0)-IF(AND($L30=1,'計算A'!DZ$117=1,HY30=0),2000,0))),1000000))</f>
        <v/>
      </c>
      <c r="TC30">
        <f>IF($B30=0,1000000,IF(INDEX('計算A'!$D$60:$EQ$104,$B30,128)*HY30=1,IF(AND($E30=2,NN30=0),1000000,IF($I30&gt;0,IF(6=$J30,IF(OR(AND(128=$I30+1,OR($K30&lt;&gt;'計算A'!$A$3,'計算A'!$A$4=0)),AND(128=$I30-1,OR(8&lt;&gt;'計算A'!$A$3,'計算A'!$A$4=0))),0,IF(8=$K30,200000,ABS(8-$K30)*100)),100000+ABS(6-$J30)*1000+80)+'計算A'!EA$5*50+IF(AND($E30=1,NN30=0),25,0),IF($F30&gt;0,INDEX('計算A'!EA$110:EA$114,$F30+1)+IF(AND($E30=1,NN30=0),1000,0),MIN(TZ30,20)*400+(IF('計算A'!DZ$106=1,1-HX30,0)+IF('計算A'!EA$106=1,1-HZ30,0))*150+86+'計算A'!EA$5*100000+IF(AND($E30=1,NN30=0),50000,0))+IF($H30=1,(IF('計算A'!DZ$117=1,INDEX('計算A'!DZ$10:DZ$54,$B30),0)+IF('計算A'!EA$117=1,INDEX('計算A'!EB$10:EB$54,$B30),0))*4000,0)-IF(AND('計算A'!DZ$117=1,YX30&gt;0),2000,0)-IF(AND($L30=1,'計算A'!EA$117=1,HZ30=0),2000,0))),1000000))</f>
        <v/>
      </c>
      <c r="TD30">
        <f>IF($B30=0,1000000,IF(INDEX('計算A'!$D$60:$EQ$104,$B30,129)*HZ30=1,IF(AND($E30=2,NO30=0),1000000,IF($I30&gt;0,IF(6=$J30,IF(OR(AND(129=$I30+1,OR($K30&lt;&gt;'計算A'!$A$3,'計算A'!$A$4=0)),AND(129=$I30-1,OR(9&lt;&gt;'計算A'!$A$3,'計算A'!$A$4=0))),0,IF(9=$K30,200000,ABS(9-$K30)*100)),100000+ABS(6-$J30)*1000+90)+'計算A'!EB$5*50+IF(AND($E30=1,NO30=0),25,0),IF($F30&gt;0,INDEX('計算A'!EB$110:EB$114,$F30+1)+IF(AND($E30=1,NO30=0),1000,0),MIN(TZ30,20)*400+(IF('計算A'!EA$106=1,1-HY30,0)+IF('計算A'!EB$106=1,1-IA30,0))*150+96+'計算A'!EB$5*100000+IF(AND($E30=1,NO30=0),50000,0))+IF($H30=1,(IF('計算A'!EA$117=1,INDEX('計算A'!EA$10:EA$54,$B30),0)+IF('計算A'!EB$117=1,INDEX('計算A'!EC$10:EC$54,$B30),0))*4000,0)-IF(AND('計算A'!EA$117=1,YY30&gt;0),2000,0)-IF(AND($L30=1,'計算A'!EB$117=1,IA30=0),2000,0))),1000000))</f>
        <v/>
      </c>
      <c r="TE30">
        <f>IF($B30=0,1000000,IF(INDEX('計算A'!$D$60:$EQ$104,$B30,130)*IA30=1,IF(AND($E30=2,NP30=0),1000000,IF($I30&gt;0,IF(6=$J30,IF(OR(AND(130=$I30+1,OR($K30&lt;&gt;'計算A'!$A$3,'計算A'!$A$4=0)),AND(130=$I30-1,OR(10&lt;&gt;'計算A'!$A$3,'計算A'!$A$4=0))),0,IF(10=$K30,200000,ABS(10-$K30)*100)),100000+ABS(6-$J30)*1000+100)+'計算A'!EC$5*50+IF(AND($E30=1,NP30=0),25,0),IF($F30&gt;0,INDEX('計算A'!EC$110:EC$114,$F30+1)+IF(AND($E30=1,NP30=0),1000,0),MIN(TZ30,20)*400+(IF('計算A'!EB$106=1,1-HZ30,0)+IF('計算A'!EC$106=1,1-IB30,0))*150+106+'計算A'!EC$5*100000+IF(AND($E30=1,NP30=0),50000,0))+IF($H30=1,(IF('計算A'!EB$117=1,INDEX('計算A'!EB$10:EB$54,$B30),0)+IF('計算A'!EC$117=1,INDEX('計算A'!ED$10:ED$54,$B30),0))*4000,0)-IF(AND('計算A'!EB$117=1,YZ30&gt;0),2000,0)-IF(AND($L30=1,'計算A'!EC$117=1,IB30=0),2000,0))),1000000))</f>
        <v/>
      </c>
      <c r="TF30">
        <f>IF($B30=0,1000000,IF(INDEX('計算A'!$D$60:$EQ$104,$B30,131)*IB30=1,IF(AND($E30=2,NQ30=0),1000000,IF($I30&gt;0,IF(6=$J30,IF(OR(AND(131=$I30+1,OR($K30&lt;&gt;'計算A'!$A$3,'計算A'!$A$4=0)),AND(131=$I30-1,OR(11&lt;&gt;'計算A'!$A$3,'計算A'!$A$4=0))),0,IF(11=$K30,200000,ABS(11-$K30)*100)),100000+ABS(6-$J30)*1000+110)+'計算A'!ED$5*50+IF(AND($E30=1,NQ30=0),25,0),IF($F30&gt;0,INDEX('計算A'!ED$110:ED$114,$F30+1)+IF(AND($E30=1,NQ30=0),1000,0),MIN(TZ30,20)*400+(IF('計算A'!EC$106=1,1-IA30,0)+IF('計算A'!ED$106=1,1-IC30,0))*150+116+'計算A'!ED$5*100000+IF(AND($E30=1,NQ30=0),50000,0))+IF($H30=1,(IF('計算A'!EC$117=1,INDEX('計算A'!EC$10:EC$54,$B30),0)+IF('計算A'!ED$117=1,INDEX('計算A'!EE$10:EE$54,$B30),0))*4000,0)-IF(AND('計算A'!EC$117=1,ZA30&gt;0),2000,0)-IF(AND($L30=1,'計算A'!ED$117=1,IC30=0),2000,0))),1000000))</f>
        <v/>
      </c>
      <c r="TG30">
        <f>IF($B30=0,1000000,IF(INDEX('計算A'!$D$60:$EQ$104,$B30,132)*IC30=1,IF(AND($E30=2,NR30=0),1000000,IF($I30&gt;0,IF(6=$J30,IF(OR(AND(132=$I30+1,OR($K30&lt;&gt;'計算A'!$A$3,'計算A'!$A$4=0)),AND(132=$I30-1,OR(12&lt;&gt;'計算A'!$A$3,'計算A'!$A$4=0))),0,IF(12=$K30,200000,ABS(12-$K30)*100)),100000+ABS(6-$J30)*1000+120)+'計算A'!EE$5*50+IF(AND($E30=1,NR30=0),25,0),IF($F30&gt;0,INDEX('計算A'!EE$110:EE$114,$F30+1)+IF(AND($E30=1,NR30=0),1000,0),MIN(TZ30,20)*400+(IF('計算A'!ED$106=1,1-IB30,0)+IF('計算A'!EE$106=1,1-ID30,0))*150+126+'計算A'!EE$5*100000+IF(AND($E30=1,NR30=0),50000,0))+IF($H30=1,(IF('計算A'!ED$117=1,INDEX('計算A'!ED$10:ED$54,$B30),0)+IF('計算A'!EE$117=1,INDEX('計算A'!EF$10:EF$54,$B30),0))*4000,0)-IF(AND('計算A'!ED$117=1,ZB30&gt;0),2000,0)-IF(AND($L30=1,'計算A'!EE$117=1,ID30=0),2000,0))),1000000))</f>
        <v/>
      </c>
      <c r="TH30">
        <f>IF($B30=0,1000000,IF(INDEX('計算A'!$D$60:$EQ$104,$B30,133)*ID30=1,IF(AND($E30=2,NS30=0),1000000,IF($I30&gt;0,IF(6=$J30,IF(OR(AND(133=$I30+1,OR($K30&lt;&gt;'計算A'!$A$3,'計算A'!$A$4=0)),AND(133=$I30-1,OR(13&lt;&gt;'計算A'!$A$3,'計算A'!$A$4=0))),0,IF(13=$K30,200000,ABS(13-$K30)*100)),100000+ABS(6-$J30)*1000+130)+'計算A'!EF$5*50+IF(AND($E30=1,NS30=0),25,0),IF($F30&gt;0,INDEX('計算A'!EF$110:EF$114,$F30+1)+IF(AND($E30=1,NS30=0),1000,0),MIN(TZ30,20)*400+(IF('計算A'!EE$106=1,1-IC30,0)+IF('計算A'!EF$106=1,1-IE30,0))*150+136+'計算A'!EF$5*100000+IF(AND($E30=1,NS30=0),50000,0))+IF($H30=1,(IF('計算A'!EE$117=1,INDEX('計算A'!EE$10:EE$54,$B30),0)+IF('計算A'!EF$117=1,INDEX('計算A'!EG$10:EG$54,$B30),0))*4000,0)-IF(AND('計算A'!EE$117=1,ZC30&gt;0),2000,0)-IF(AND($L30=1,'計算A'!EF$117=1,IE30=0),2000,0))),1000000))</f>
        <v/>
      </c>
      <c r="TI30">
        <f>IF($B30=0,1000000,IF(INDEX('計算A'!$D$60:$EQ$104,$B30,134)*IE30=1,IF(AND($E30=2,NT30=0),1000000,IF($I30&gt;0,IF(6=$J30,IF(OR(AND(134=$I30+1,OR($K30&lt;&gt;'計算A'!$A$3,'計算A'!$A$4=0)),AND(134=$I30-1,OR(14&lt;&gt;'計算A'!$A$3,'計算A'!$A$4=0))),0,IF(14=$K30,200000,ABS(14-$K30)*100)),100000+ABS(6-$J30)*1000+140)+'計算A'!EG$5*50+IF(AND($E30=1,NT30=0),25,0),IF($F30&gt;0,INDEX('計算A'!EG$110:EG$114,$F30+1)+IF(AND($E30=1,NT30=0),1000,0),MIN(TZ30,20)*400+(IF('計算A'!EF$106=1,1-ID30,0)+IF('計算A'!EG$106=1,1-IF30,0))*150+146+'計算A'!EG$5*100000+IF(AND($E30=1,NT30=0),50000,0))+IF($H30=1,(IF('計算A'!EF$117=1,INDEX('計算A'!EF$10:EF$54,$B30),0)+IF('計算A'!EG$117=1,INDEX('計算A'!EH$10:EH$54,$B30),0))*4000,0)-IF(AND('計算A'!EF$117=1,ZD30&gt;0),2000,0)-IF(AND($L30=1,'計算A'!EG$117=1,IF30=0),2000,0))),1000000))</f>
        <v/>
      </c>
      <c r="TJ30">
        <f>IF($B30=0,1000000,IF(INDEX('計算A'!$D$60:$EQ$104,$B30,135)*IF30=1,IF(AND($E30=2,NU30=0),1000000,IF($I30&gt;0,IF(6=$J30,IF(OR(AND(135=$I30+1,OR($K30&lt;&gt;'計算A'!$A$3,'計算A'!$A$4=0)),AND(135=$I30-1,OR(15&lt;&gt;'計算A'!$A$3,'計算A'!$A$4=0))),0,IF(15=$K30,200000,ABS(15-$K30)*100)),100000+ABS(6-$J30)*1000+150)+'計算A'!EH$5*50+IF(AND($E30=1,NU30=0),25,0),IF($F30&gt;0,INDEX('計算A'!EH$110:EH$114,$F30+1)+IF(AND($E30=1,NU30=0),1000,0),MIN(TZ30,20)*400+(IF('計算A'!EG$106=1,1-IE30,0)+IF('計算A'!EH$106=1,1-IG30,0))*150+156+'計算A'!EH$5*100000+IF(AND($E30=1,NU30=0),50000,0))+IF($H30=1,(IF('計算A'!EG$117=1,INDEX('計算A'!EG$10:EG$54,$B30),0)+IF('計算A'!EH$117=1,INDEX('計算A'!EI$10:EI$54,$B30),0))*4000,0)-IF(AND('計算A'!EG$117=1,ZE30&gt;0),2000,0)-IF(AND($L30=1,'計算A'!EH$117=1,IG30=0),2000,0))),1000000))</f>
        <v/>
      </c>
      <c r="TK30">
        <f>IF($B30=0,1000000,IF(INDEX('計算A'!$D$60:$EQ$104,$B30,136)*IG30=1,IF(AND($E30=2,NV30=0),1000000,IF($I30&gt;0,IF(6=$J30,IF(OR(AND(136=$I30+1,OR($K30&lt;&gt;'計算A'!$A$3,'計算A'!$A$4=0)),AND(136=$I30-1,OR(16&lt;&gt;'計算A'!$A$3,'計算A'!$A$4=0))),0,IF(16=$K30,200000,ABS(16-$K30)*100)),100000+ABS(6-$J30)*1000+160)+'計算A'!EI$5*50+IF(AND($E30=1,NV30=0),25,0),IF($F30&gt;0,INDEX('計算A'!EI$110:EI$114,$F30+1)+IF(AND($E30=1,NV30=0),1000,0),MIN(TZ30,20)*400+(IF('計算A'!EH$106=1,1-IF30,0)+IF('計算A'!EI$106=1,1-IH30,0))*150+166+'計算A'!EI$5*100000+IF(AND($E30=1,NV30=0),50000,0))+IF($H30=1,(IF('計算A'!EH$117=1,INDEX('計算A'!EH$10:EH$54,$B30),0)+IF('計算A'!EI$117=1,INDEX('計算A'!EJ$10:EJ$54,$B30),0))*4000,0)-IF(AND('計算A'!EH$117=1,ZF30&gt;0),2000,0)-IF(AND($L30=1,'計算A'!EI$117=1,IH30=0),2000,0))),1000000))</f>
        <v/>
      </c>
      <c r="TL30">
        <f>IF($B30=0,1000000,IF(INDEX('計算A'!$D$60:$EQ$104,$B30,137)*IH30=1,IF(AND($E30=2,NW30=0),1000000,IF($I30&gt;0,IF(6=$J30,IF(OR(AND(137=$I30+1,OR($K30&lt;&gt;'計算A'!$A$3,'計算A'!$A$4=0)),AND(137=$I30-1,OR(17&lt;&gt;'計算A'!$A$3,'計算A'!$A$4=0))),0,IF(17=$K30,200000,ABS(17-$K30)*100)),100000+ABS(6-$J30)*1000+170)+'計算A'!EJ$5*50+IF(AND($E30=1,NW30=0),25,0),IF($F30&gt;0,INDEX('計算A'!EJ$110:EJ$114,$F30+1)+IF(AND($E30=1,NW30=0),1000,0),MIN(TZ30,20)*400+(IF('計算A'!EI$106=1,1-IG30,0)+IF('計算A'!EJ$106=1,1-II30,0))*150+176+'計算A'!EJ$5*100000+IF(AND($E30=1,NW30=0),50000,0))+IF($H30=1,(IF('計算A'!EI$117=1,INDEX('計算A'!EI$10:EI$54,$B30),0)+IF('計算A'!EJ$117=1,INDEX('計算A'!EK$10:EK$54,$B30),0))*4000,0)-IF(AND('計算A'!EI$117=1,ZG30&gt;0),2000,0)-IF(AND($L30=1,'計算A'!EJ$117=1,II30=0),2000,0))),1000000))</f>
        <v/>
      </c>
      <c r="TM30">
        <f>IF($B30=0,1000000,IF(INDEX('計算A'!$D$60:$EQ$104,$B30,138)*II30=1,IF(AND($E30=2,NX30=0),1000000,IF($I30&gt;0,IF(6=$J30,IF(OR(AND(138=$I30+1,OR($K30&lt;&gt;'計算A'!$A$3,'計算A'!$A$4=0)),AND(138=$I30-1,OR(18&lt;&gt;'計算A'!$A$3,'計算A'!$A$4=0))),0,IF(18=$K30,200000,ABS(18-$K30)*100)),100000+ABS(6-$J30)*1000+180)+'計算A'!EK$5*50+IF(AND($E30=1,NX30=0),25,0),IF($F30&gt;0,INDEX('計算A'!EK$110:EK$114,$F30+1)+IF(AND($E30=1,NX30=0),1000,0),MIN(TZ30,20)*400+(IF('計算A'!EJ$106=1,1-IH30,0)+IF('計算A'!EK$106=1,1-IJ30,0))*150+186+'計算A'!EK$5*100000+IF(AND($E30=1,NX30=0),50000,0))+IF($H30=1,(IF('計算A'!EJ$117=1,INDEX('計算A'!EJ$10:EJ$54,$B30),0)+IF('計算A'!EK$117=1,INDEX('計算A'!EL$10:EL$54,$B30),0))*4000,0)-IF(AND('計算A'!EJ$117=1,ZH30&gt;0),2000,0)-IF(AND($L30=1,'計算A'!EK$117=1,IJ30=0),2000,0))),1000000))</f>
        <v/>
      </c>
      <c r="TN30">
        <f>IF($B30=0,1000000,IF(INDEX('計算A'!$D$60:$EQ$104,$B30,139)*IJ30=1,IF(AND($E30=2,NY30=0),1000000,IF($I30&gt;0,IF(6=$J30,IF(OR(AND(139=$I30+1,OR($K30&lt;&gt;'計算A'!$A$3,'計算A'!$A$4=0)),AND(139=$I30-1,OR(19&lt;&gt;'計算A'!$A$3,'計算A'!$A$4=0))),0,IF(19=$K30,200000,ABS(19-$K30)*100)),100000+ABS(6-$J30)*1000+190)+'計算A'!EL$5*50+IF(AND($E30=1,NY30=0),25,0),IF($F30&gt;0,INDEX('計算A'!EL$110:EL$114,$F30+1)+IF(AND($E30=1,NY30=0),1000,0),MIN(TZ30,20)*400+(IF('計算A'!EK$106=1,1-II30,0)+IF('計算A'!EL$106=1,1-IK30,0))*150+196+'計算A'!EL$5*100000+IF(AND($E30=1,NY30=0),50000,0))+IF($H30=1,(IF('計算A'!EK$117=1,INDEX('計算A'!EK$10:EK$54,$B30),0)+IF('計算A'!EL$117=1,INDEX('計算A'!EM$10:EM$54,$B30),0))*4000,0)-IF(AND('計算A'!EK$117=1,ZI30&gt;0),2000,0)-IF(AND($L30=1,'計算A'!EL$117=1,IK30=0),2000,0))),1000000))</f>
        <v/>
      </c>
      <c r="TO30">
        <f>IF($B30=0,1000000,IF(INDEX('計算A'!$D$60:$EQ$104,$B30,140)*IK30=1,IF(AND($E30=2,NZ30=0),1000000,IF($I30&gt;0,IF(6=$J30,IF(OR(AND(140=$I30+1,OR($K30&lt;&gt;'計算A'!$A$3,'計算A'!$A$4=0)),AND(140=$I30-1,OR(20&lt;&gt;'計算A'!$A$3,'計算A'!$A$4=0))),0,IF(20=$K30,200000,ABS(20-$K30)*100)),100000+ABS(6-$J30)*1000+200)+'計算A'!EM$5*50+IF(AND($E30=1,NZ30=0),25,0),IF($F30&gt;0,INDEX('計算A'!EM$110:EM$114,$F30+1)+IF(AND($E30=1,NZ30=0),1000,0),MIN(TZ30,20)*400+(IF('計算A'!EL$106=1,1-IJ30,0)+IF('計算A'!EM$106=1,1-IL30,0))*150+206+'計算A'!EM$5*100000+IF(AND($E30=1,NZ30=0),50000,0))+IF($H30=1,(IF('計算A'!EL$117=1,INDEX('計算A'!EL$10:EL$54,$B30),0)+IF('計算A'!EM$117=1,INDEX('計算A'!EN$10:EN$54,$B30),0))*4000,0)-IF(AND('計算A'!EL$117=1,ZJ30&gt;0),2000,0)-IF(AND($L30=1,'計算A'!EM$117=1,IL30=0),2000,0))),1000000))</f>
        <v/>
      </c>
      <c r="TP30">
        <f>IF($B30=0,1000000,IF(INDEX('計算A'!$D$60:$EQ$104,$B30,141)*IL30=1,IF(AND($E30=2,OA30=0),1000000,IF($I30&gt;0,IF(6=$J30,IF(OR(AND(141=$I30+1,OR($K30&lt;&gt;'計算A'!$A$3,'計算A'!$A$4=0)),AND(141=$I30-1,OR(21&lt;&gt;'計算A'!$A$3,'計算A'!$A$4=0))),0,IF(21=$K30,200000,ABS(21-$K30)*100)),100000+ABS(6-$J30)*1000+210)+'計算A'!EN$5*50+IF(AND($E30=1,OA30=0),25,0),IF($F30&gt;0,INDEX('計算A'!EN$110:EN$114,$F30+1)+IF(AND($E30=1,OA30=0),1000,0),MIN(TZ30,20)*400+(IF('計算A'!EM$106=1,1-IK30,0)+IF('計算A'!EN$106=1,1-IM30,0))*150+216+'計算A'!EN$5*100000+IF(AND($E30=1,OA30=0),50000,0))+IF($H30=1,(IF('計算A'!EM$117=1,INDEX('計算A'!EM$10:EM$54,$B30),0)+IF('計算A'!EN$117=1,INDEX('計算A'!EO$10:EO$54,$B30),0))*4000,0)-IF(AND('計算A'!EM$117=1,ZK30&gt;0),2000,0)-IF(AND($L30=1,'計算A'!EN$117=1,IM30=0),2000,0))),1000000))</f>
        <v/>
      </c>
      <c r="TQ30">
        <f>IF($B30=0,1000000,IF(INDEX('計算A'!$D$60:$EQ$104,$B30,142)*IM30=1,IF(AND($E30=2,OB30=0),1000000,IF($I30&gt;0,IF(6=$J30,IF(OR(AND(142=$I30+1,OR($K30&lt;&gt;'計算A'!$A$3,'計算A'!$A$4=0)),AND(142=$I30-1,OR(22&lt;&gt;'計算A'!$A$3,'計算A'!$A$4=0))),0,IF(22=$K30,200000,ABS(22-$K30)*100)),100000+ABS(6-$J30)*1000+220)+'計算A'!EO$5*50+IF(AND($E30=1,OB30=0),25,0),IF($F30&gt;0,INDEX('計算A'!EO$110:EO$114,$F30+1)+IF(AND($E30=1,OB30=0),1000,0),MIN(TZ30,20)*400+(IF('計算A'!EN$106=1,1-IL30,0)+IF('計算A'!EO$106=1,1-IN30,0))*150+226+'計算A'!EO$5*100000+IF(AND($E30=1,OB30=0),50000,0))+IF($H30=1,(IF('計算A'!EN$117=1,INDEX('計算A'!EN$10:EN$54,$B30),0)+IF('計算A'!EO$117=1,INDEX('計算A'!EP$10:EP$54,$B30),0))*4000,0)-IF(AND('計算A'!EN$117=1,ZL30&gt;0),2000,0)-IF(AND($L30=1,'計算A'!EO$117=1,IN30=0),2000,0))),1000000))</f>
        <v/>
      </c>
      <c r="TR30">
        <f>IF($B30=0,1000000,IF(INDEX('計算A'!$D$60:$EQ$104,$B30,143)*IN30=1,IF(AND($E30=2,OC30=0),1000000,IF($I30&gt;0,IF(6=$J30,IF(OR(AND(143=$I30+1,OR($K30&lt;&gt;'計算A'!$A$3,'計算A'!$A$4=0)),AND(143=$I30-1,OR(23&lt;&gt;'計算A'!$A$3,'計算A'!$A$4=0))),0,IF(23=$K30,200000,ABS(23-$K30)*100)),100000+ABS(6-$J30)*1000+230)+'計算A'!EP$5*50+IF(AND($E30=1,OC30=0),25,0),IF($F30&gt;0,INDEX('計算A'!EP$110:EP$114,$F30+1)+IF(AND($E30=1,OC30=0),1000,0),MIN(TZ30,20)*400+(IF('計算A'!EO$106=1,1-IM30,0)+IF('計算A'!EP$106=1,1-IO30,0))*150+236+'計算A'!EP$5*100000+IF(AND($E30=1,OC30=0),50000,0))+IF($H30=1,(IF('計算A'!EO$117=1,INDEX('計算A'!EO$10:EO$54,$B30),0)+IF('計算A'!EP$117=1,INDEX('計算A'!EQ$10:EQ$54,$B30),0))*4000,0)-IF(AND('計算A'!EO$117=1,ZM30&gt;0),2000,0)-IF(AND($L30=1,'計算A'!EP$117=1,IO30=0),2000,0))),1000000))</f>
        <v/>
      </c>
      <c r="TS30">
        <f>IF($B30=0,1000000,IF(INDEX('計算A'!$D$60:$EQ$104,$B30,144)*IO30=1,IF(AND($E30=2,OD30=0),1000000,IF($I30&gt;0,IF(6=$J30,IF(OR(AND(144=$I30+1,OR($K30&lt;&gt;'計算A'!$A$3,'計算A'!$A$4=0)),AND(144=$I30-1,OR(24&lt;&gt;'計算A'!$A$3,'計算A'!$A$4=0))),0,IF(24=$K30,200000,ABS(24-$K30)*100)),100000+ABS(6-$J30)*1000+240)+'計算A'!EQ$5*50+IF(AND($E30=1,OD30=0),25,0),IF($F30&gt;0,INDEX('計算A'!EQ$110:EQ$114,$F30+1)+IF(AND($E30=1,OD30=0),1000,0),MIN(TZ30,20)*400+(IF('計算A'!EP$106=1,1-IN30,0))*150+246+'計算A'!EQ$5*100000+IF(AND($E30=1,OD30=0),50000,0))+IF($H30=1,(IF('計算A'!EP$117=1,INDEX('計算A'!EP$10:EP$54,$B30),0))*4000,0)-IF(AND('計算A'!EP$117=1,ZN30&gt;0),2000,0))),1000000))</f>
        <v/>
      </c>
      <c r="TU30">
        <f>TU29+IF($C29&gt;0,IF(INDEX('計算A'!$D$2:$EQ$2,$C29)=1,1,0),0)</f>
        <v/>
      </c>
      <c r="TV30">
        <f>TV29+IF($C29&gt;0,IF(INDEX('計算A'!$D$2:$EQ$2,$C29)=2,1,0),0)</f>
        <v/>
      </c>
      <c r="TW30">
        <f>TW29+IF($C29&gt;0,IF(INDEX('計算A'!$D$2:$EQ$2,$C29)=3,1,0),0)</f>
        <v/>
      </c>
      <c r="TX30">
        <f>TX29+IF($C29&gt;0,IF(INDEX('計算A'!$D$2:$EQ$2,$C29)=4,1,0),0)</f>
        <v/>
      </c>
      <c r="TY30">
        <f>TY29+IF($C29&gt;0,IF(INDEX('計算A'!$D$2:$EQ$2,$C29)=5,1,0),0)</f>
        <v/>
      </c>
      <c r="TZ30">
        <f>TZ29+IF($C29&gt;0,IF(INDEX('計算A'!$D$2:$EQ$2,$C29)=6,1,0),0)</f>
        <v/>
      </c>
      <c r="UB30">
        <f>UB29+IF(AND($C29=1,$L29=1),1,0)</f>
        <v/>
      </c>
      <c r="UC30">
        <f>UC29+IF(AND($C29=2,$L29=1),1,0)</f>
        <v/>
      </c>
      <c r="UD30">
        <f>UD29+IF(AND($C29=3,$L29=1),1,0)</f>
        <v/>
      </c>
      <c r="UE30">
        <f>UE29+IF(AND($C29=4,$L29=1),1,0)</f>
        <v/>
      </c>
      <c r="UF30">
        <f>UF29+IF(AND($C29=5,$L29=1),1,0)</f>
        <v/>
      </c>
      <c r="UG30">
        <f>UG29+IF(AND($C29=6,$L29=1),1,0)</f>
        <v/>
      </c>
      <c r="UH30">
        <f>UH29+IF(AND($C29=7,$L29=1),1,0)</f>
        <v/>
      </c>
      <c r="UI30">
        <f>UI29+IF(AND($C29=8,$L29=1),1,0)</f>
        <v/>
      </c>
      <c r="UJ30">
        <f>UJ29+IF(AND($C29=9,$L29=1),1,0)</f>
        <v/>
      </c>
      <c r="UK30">
        <f>UK29+IF(AND($C29=10,$L29=1),1,0)</f>
        <v/>
      </c>
      <c r="UL30">
        <f>UL29+IF(AND($C29=11,$L29=1),1,0)</f>
        <v/>
      </c>
      <c r="UM30">
        <f>UM29+IF(AND($C29=12,$L29=1),1,0)</f>
        <v/>
      </c>
      <c r="UN30">
        <f>UN29+IF(AND($C29=13,$L29=1),1,0)</f>
        <v/>
      </c>
      <c r="UO30">
        <f>UO29+IF(AND($C29=14,$L29=1),1,0)</f>
        <v/>
      </c>
      <c r="UP30">
        <f>UP29+IF(AND($C29=15,$L29=1),1,0)</f>
        <v/>
      </c>
      <c r="UQ30">
        <f>UQ29+IF(AND($C29=16,$L29=1),1,0)</f>
        <v/>
      </c>
      <c r="UR30">
        <f>UR29+IF(AND($C29=17,$L29=1),1,0)</f>
        <v/>
      </c>
      <c r="US30">
        <f>US29+IF(AND($C29=18,$L29=1),1,0)</f>
        <v/>
      </c>
      <c r="UT30">
        <f>UT29+IF(AND($C29=19,$L29=1),1,0)</f>
        <v/>
      </c>
      <c r="UU30">
        <f>UU29+IF(AND($C29=20,$L29=1),1,0)</f>
        <v/>
      </c>
      <c r="UV30">
        <f>UV29+IF(AND($C29=21,$L29=1),1,0)</f>
        <v/>
      </c>
      <c r="UW30">
        <f>UW29+IF(AND($C29=22,$L29=1),1,0)</f>
        <v/>
      </c>
      <c r="UX30">
        <f>UX29+IF(AND($C29=23,$L29=1),1,0)</f>
        <v/>
      </c>
      <c r="UY30">
        <f>UY29+IF(AND($C29=24,$L29=1),1,0)</f>
        <v/>
      </c>
      <c r="UZ30">
        <f>UZ29+IF(AND($C29=25,$L29=1),1,0)</f>
        <v/>
      </c>
      <c r="VA30">
        <f>VA29+IF(AND($C29=26,$L29=1),1,0)</f>
        <v/>
      </c>
      <c r="VB30">
        <f>VB29+IF(AND($C29=27,$L29=1),1,0)</f>
        <v/>
      </c>
      <c r="VC30">
        <f>VC29+IF(AND($C29=28,$L29=1),1,0)</f>
        <v/>
      </c>
      <c r="VD30">
        <f>VD29+IF(AND($C29=29,$L29=1),1,0)</f>
        <v/>
      </c>
      <c r="VE30">
        <f>VE29+IF(AND($C29=30,$L29=1),1,0)</f>
        <v/>
      </c>
      <c r="VF30">
        <f>VF29+IF(AND($C29=31,$L29=1),1,0)</f>
        <v/>
      </c>
      <c r="VG30">
        <f>VG29+IF(AND($C29=32,$L29=1),1,0)</f>
        <v/>
      </c>
      <c r="VH30">
        <f>VH29+IF(AND($C29=33,$L29=1),1,0)</f>
        <v/>
      </c>
      <c r="VI30">
        <f>VI29+IF(AND($C29=34,$L29=1),1,0)</f>
        <v/>
      </c>
      <c r="VJ30">
        <f>VJ29+IF(AND($C29=35,$L29=1),1,0)</f>
        <v/>
      </c>
      <c r="VK30">
        <f>VK29+IF(AND($C29=36,$L29=1),1,0)</f>
        <v/>
      </c>
      <c r="VL30">
        <f>VL29+IF(AND($C29=37,$L29=1),1,0)</f>
        <v/>
      </c>
      <c r="VM30">
        <f>VM29+IF(AND($C29=38,$L29=1),1,0)</f>
        <v/>
      </c>
      <c r="VN30">
        <f>VN29+IF(AND($C29=39,$L29=1),1,0)</f>
        <v/>
      </c>
      <c r="VO30">
        <f>VO29+IF(AND($C29=40,$L29=1),1,0)</f>
        <v/>
      </c>
      <c r="VP30">
        <f>VP29+IF(AND($C29=41,$L29=1),1,0)</f>
        <v/>
      </c>
      <c r="VQ30">
        <f>VQ29+IF(AND($C29=42,$L29=1),1,0)</f>
        <v/>
      </c>
      <c r="VR30">
        <f>VR29+IF(AND($C29=43,$L29=1),1,0)</f>
        <v/>
      </c>
      <c r="VS30">
        <f>VS29+IF(AND($C29=44,$L29=1),1,0)</f>
        <v/>
      </c>
      <c r="VT30">
        <f>VT29+IF(AND($C29=45,$L29=1),1,0)</f>
        <v/>
      </c>
      <c r="VU30">
        <f>VU29+IF(AND($C29=46,$L29=1),1,0)</f>
        <v/>
      </c>
      <c r="VV30">
        <f>VV29+IF(AND($C29=47,$L29=1),1,0)</f>
        <v/>
      </c>
      <c r="VW30">
        <f>VW29+IF(AND($C29=48,$L29=1),1,0)</f>
        <v/>
      </c>
      <c r="VX30">
        <f>VX29+IF(AND($C29=49,$L29=1),1,0)</f>
        <v/>
      </c>
      <c r="VY30">
        <f>VY29+IF(AND($C29=50,$L29=1),1,0)</f>
        <v/>
      </c>
      <c r="VZ30">
        <f>VZ29+IF(AND($C29=51,$L29=1),1,0)</f>
        <v/>
      </c>
      <c r="WA30">
        <f>WA29+IF(AND($C29=52,$L29=1),1,0)</f>
        <v/>
      </c>
      <c r="WB30">
        <f>WB29+IF(AND($C29=53,$L29=1),1,0)</f>
        <v/>
      </c>
      <c r="WC30">
        <f>WC29+IF(AND($C29=54,$L29=1),1,0)</f>
        <v/>
      </c>
      <c r="WD30">
        <f>WD29+IF(AND($C29=55,$L29=1),1,0)</f>
        <v/>
      </c>
      <c r="WE30">
        <f>WE29+IF(AND($C29=56,$L29=1),1,0)</f>
        <v/>
      </c>
      <c r="WF30">
        <f>WF29+IF(AND($C29=57,$L29=1),1,0)</f>
        <v/>
      </c>
      <c r="WG30">
        <f>WG29+IF(AND($C29=58,$L29=1),1,0)</f>
        <v/>
      </c>
      <c r="WH30">
        <f>WH29+IF(AND($C29=59,$L29=1),1,0)</f>
        <v/>
      </c>
      <c r="WI30">
        <f>WI29+IF(AND($C29=60,$L29=1),1,0)</f>
        <v/>
      </c>
      <c r="WJ30">
        <f>WJ29+IF(AND($C29=61,$L29=1),1,0)</f>
        <v/>
      </c>
      <c r="WK30">
        <f>WK29+IF(AND($C29=62,$L29=1),1,0)</f>
        <v/>
      </c>
      <c r="WL30">
        <f>WL29+IF(AND($C29=63,$L29=1),1,0)</f>
        <v/>
      </c>
      <c r="WM30">
        <f>WM29+IF(AND($C29=64,$L29=1),1,0)</f>
        <v/>
      </c>
      <c r="WN30">
        <f>WN29+IF(AND($C29=65,$L29=1),1,0)</f>
        <v/>
      </c>
      <c r="WO30">
        <f>WO29+IF(AND($C29=66,$L29=1),1,0)</f>
        <v/>
      </c>
      <c r="WP30">
        <f>WP29+IF(AND($C29=67,$L29=1),1,0)</f>
        <v/>
      </c>
      <c r="WQ30">
        <f>WQ29+IF(AND($C29=68,$L29=1),1,0)</f>
        <v/>
      </c>
      <c r="WR30">
        <f>WR29+IF(AND($C29=69,$L29=1),1,0)</f>
        <v/>
      </c>
      <c r="WS30">
        <f>WS29+IF(AND($C29=70,$L29=1),1,0)</f>
        <v/>
      </c>
      <c r="WT30">
        <f>WT29+IF(AND($C29=71,$L29=1),1,0)</f>
        <v/>
      </c>
      <c r="WU30">
        <f>WU29+IF(AND($C29=72,$L29=1),1,0)</f>
        <v/>
      </c>
      <c r="WV30">
        <f>WV29+IF(AND($C29=73,$L29=1),1,0)</f>
        <v/>
      </c>
      <c r="WW30">
        <f>WW29+IF(AND($C29=74,$L29=1),1,0)</f>
        <v/>
      </c>
      <c r="WX30">
        <f>WX29+IF(AND($C29=75,$L29=1),1,0)</f>
        <v/>
      </c>
      <c r="WY30">
        <f>WY29+IF(AND($C29=76,$L29=1),1,0)</f>
        <v/>
      </c>
      <c r="WZ30">
        <f>WZ29+IF(AND($C29=77,$L29=1),1,0)</f>
        <v/>
      </c>
      <c r="XA30">
        <f>XA29+IF(AND($C29=78,$L29=1),1,0)</f>
        <v/>
      </c>
      <c r="XB30">
        <f>XB29+IF(AND($C29=79,$L29=1),1,0)</f>
        <v/>
      </c>
      <c r="XC30">
        <f>XC29+IF(AND($C29=80,$L29=1),1,0)</f>
        <v/>
      </c>
      <c r="XD30">
        <f>XD29+IF(AND($C29=81,$L29=1),1,0)</f>
        <v/>
      </c>
      <c r="XE30">
        <f>XE29+IF(AND($C29=82,$L29=1),1,0)</f>
        <v/>
      </c>
      <c r="XF30">
        <f>XF29+IF(AND($C29=83,$L29=1),1,0)</f>
        <v/>
      </c>
      <c r="XG30">
        <f>XG29+IF(AND($C29=84,$L29=1),1,0)</f>
        <v/>
      </c>
      <c r="XH30">
        <f>XH29+IF(AND($C29=85,$L29=1),1,0)</f>
        <v/>
      </c>
      <c r="XI30">
        <f>XI29+IF(AND($C29=86,$L29=1),1,0)</f>
        <v/>
      </c>
      <c r="XJ30">
        <f>XJ29+IF(AND($C29=87,$L29=1),1,0)</f>
        <v/>
      </c>
      <c r="XK30">
        <f>XK29+IF(AND($C29=88,$L29=1),1,0)</f>
        <v/>
      </c>
      <c r="XL30">
        <f>XL29+IF(AND($C29=89,$L29=1),1,0)</f>
        <v/>
      </c>
      <c r="XM30">
        <f>XM29+IF(AND($C29=90,$L29=1),1,0)</f>
        <v/>
      </c>
      <c r="XN30">
        <f>XN29+IF(AND($C29=91,$L29=1),1,0)</f>
        <v/>
      </c>
      <c r="XO30">
        <f>XO29+IF(AND($C29=92,$L29=1),1,0)</f>
        <v/>
      </c>
      <c r="XP30">
        <f>XP29+IF(AND($C29=93,$L29=1),1,0)</f>
        <v/>
      </c>
      <c r="XQ30">
        <f>XQ29+IF(AND($C29=94,$L29=1),1,0)</f>
        <v/>
      </c>
      <c r="XR30">
        <f>XR29+IF(AND($C29=95,$L29=1),1,0)</f>
        <v/>
      </c>
      <c r="XS30">
        <f>XS29+IF(AND($C29=96,$L29=1),1,0)</f>
        <v/>
      </c>
      <c r="XT30">
        <f>XT29+IF(AND($C29=97,$L29=1),1,0)</f>
        <v/>
      </c>
      <c r="XU30">
        <f>XU29+IF(AND($C29=98,$L29=1),1,0)</f>
        <v/>
      </c>
      <c r="XV30">
        <f>XV29+IF(AND($C29=99,$L29=1),1,0)</f>
        <v/>
      </c>
      <c r="XW30">
        <f>XW29+IF(AND($C29=100,$L29=1),1,0)</f>
        <v/>
      </c>
      <c r="XX30">
        <f>XX29+IF(AND($C29=101,$L29=1),1,0)</f>
        <v/>
      </c>
      <c r="XY30">
        <f>XY29+IF(AND($C29=102,$L29=1),1,0)</f>
        <v/>
      </c>
      <c r="XZ30">
        <f>XZ29+IF(AND($C29=103,$L29=1),1,0)</f>
        <v/>
      </c>
      <c r="YA30">
        <f>YA29+IF(AND($C29=104,$L29=1),1,0)</f>
        <v/>
      </c>
      <c r="YB30">
        <f>YB29+IF(AND($C29=105,$L29=1),1,0)</f>
        <v/>
      </c>
      <c r="YC30">
        <f>YC29+IF(AND($C29=106,$L29=1),1,0)</f>
        <v/>
      </c>
      <c r="YD30">
        <f>YD29+IF(AND($C29=107,$L29=1),1,0)</f>
        <v/>
      </c>
      <c r="YE30">
        <f>YE29+IF(AND($C29=108,$L29=1),1,0)</f>
        <v/>
      </c>
      <c r="YF30">
        <f>YF29+IF(AND($C29=109,$L29=1),1,0)</f>
        <v/>
      </c>
      <c r="YG30">
        <f>YG29+IF(AND($C29=110,$L29=1),1,0)</f>
        <v/>
      </c>
      <c r="YH30">
        <f>YH29+IF(AND($C29=111,$L29=1),1,0)</f>
        <v/>
      </c>
      <c r="YI30">
        <f>YI29+IF(AND($C29=112,$L29=1),1,0)</f>
        <v/>
      </c>
      <c r="YJ30">
        <f>YJ29+IF(AND($C29=113,$L29=1),1,0)</f>
        <v/>
      </c>
      <c r="YK30">
        <f>YK29+IF(AND($C29=114,$L29=1),1,0)</f>
        <v/>
      </c>
      <c r="YL30">
        <f>YL29+IF(AND($C29=115,$L29=1),1,0)</f>
        <v/>
      </c>
      <c r="YM30">
        <f>YM29+IF(AND($C29=116,$L29=1),1,0)</f>
        <v/>
      </c>
      <c r="YN30">
        <f>YN29+IF(AND($C29=117,$L29=1),1,0)</f>
        <v/>
      </c>
      <c r="YO30">
        <f>YO29+IF(AND($C29=118,$L29=1),1,0)</f>
        <v/>
      </c>
      <c r="YP30">
        <f>YP29+IF(AND($C29=119,$L29=1),1,0)</f>
        <v/>
      </c>
      <c r="YQ30">
        <f>YQ29+IF(AND($C29=120,$L29=1),1,0)</f>
        <v/>
      </c>
      <c r="YR30">
        <f>YR29+IF(AND($C29=121,$L29=1),1,0)</f>
        <v/>
      </c>
      <c r="YS30">
        <f>YS29+IF(AND($C29=122,$L29=1),1,0)</f>
        <v/>
      </c>
      <c r="YT30">
        <f>YT29+IF(AND($C29=123,$L29=1),1,0)</f>
        <v/>
      </c>
      <c r="YU30">
        <f>YU29+IF(AND($C29=124,$L29=1),1,0)</f>
        <v/>
      </c>
      <c r="YV30">
        <f>YV29+IF(AND($C29=125,$L29=1),1,0)</f>
        <v/>
      </c>
      <c r="YW30">
        <f>YW29+IF(AND($C29=126,$L29=1),1,0)</f>
        <v/>
      </c>
      <c r="YX30">
        <f>YX29+IF(AND($C29=127,$L29=1),1,0)</f>
        <v/>
      </c>
      <c r="YY30">
        <f>YY29+IF(AND($C29=128,$L29=1),1,0)</f>
        <v/>
      </c>
      <c r="YZ30">
        <f>YZ29+IF(AND($C29=129,$L29=1),1,0)</f>
        <v/>
      </c>
      <c r="ZA30">
        <f>ZA29+IF(AND($C29=130,$L29=1),1,0)</f>
        <v/>
      </c>
      <c r="ZB30">
        <f>ZB29+IF(AND($C29=131,$L29=1),1,0)</f>
        <v/>
      </c>
      <c r="ZC30">
        <f>ZC29+IF(AND($C29=132,$L29=1),1,0)</f>
        <v/>
      </c>
      <c r="ZD30">
        <f>ZD29+IF(AND($C29=133,$L29=1),1,0)</f>
        <v/>
      </c>
      <c r="ZE30">
        <f>ZE29+IF(AND($C29=134,$L29=1),1,0)</f>
        <v/>
      </c>
      <c r="ZF30">
        <f>ZF29+IF(AND($C29=135,$L29=1),1,0)</f>
        <v/>
      </c>
      <c r="ZG30">
        <f>ZG29+IF(AND($C29=136,$L29=1),1,0)</f>
        <v/>
      </c>
      <c r="ZH30">
        <f>ZH29+IF(AND($C29=137,$L29=1),1,0)</f>
        <v/>
      </c>
      <c r="ZI30">
        <f>ZI29+IF(AND($C29=138,$L29=1),1,0)</f>
        <v/>
      </c>
      <c r="ZJ30">
        <f>ZJ29+IF(AND($C29=139,$L29=1),1,0)</f>
        <v/>
      </c>
      <c r="ZK30">
        <f>ZK29+IF(AND($C29=140,$L29=1),1,0)</f>
        <v/>
      </c>
      <c r="ZL30">
        <f>ZL29+IF(AND($C29=141,$L29=1),1,0)</f>
        <v/>
      </c>
      <c r="ZM30">
        <f>ZM29+IF(AND($C29=142,$L29=1),1,0)</f>
        <v/>
      </c>
      <c r="ZN30">
        <f>ZN29+IF(AND($C29=143,$L29=1),1,0)</f>
        <v/>
      </c>
      <c r="ZO30">
        <f>ZO29+IF(AND($C29=144,$L29=1),1,0)</f>
        <v/>
      </c>
    </row>
    <row r="31">
      <c r="A31" t="n">
        <v>29</v>
      </c>
      <c r="B31">
        <f>IF(MIN(BH31:CZ31)&gt;=1000000,0,MATCH(MIN(BH31:CZ31),BH31:CZ31,0))</f>
        <v/>
      </c>
      <c r="C31">
        <f>IF(MIN(OF31:TS31)&gt;=1000000,0,MATCH(MIN(OF31:TS31),OF31:TS31,0))</f>
        <v/>
      </c>
      <c r="D31">
        <f>IF(C31&gt;0,INDEX('計算A'!$D$5:$EQ$5,C31),0)</f>
        <v/>
      </c>
      <c r="E31">
        <f>IF(B31=0,0,INDEX('計算A'!$IQ$10:$IQ$54,B31))</f>
        <v/>
      </c>
      <c r="F31">
        <f>IF(B31=0,0,INDEX('計算A'!$IP$10:$IP$54,B31))</f>
        <v/>
      </c>
      <c r="G31">
        <f>IF(AND(C31&gt;0,E31&gt;0),IF(AND(INDEX('計算A'!$D$106:$EQ$106,C31)=1,INDEX($IQ31:$OD31,C31)=1),C31+1,0),0)</f>
        <v/>
      </c>
      <c r="H31">
        <f>IF(B31=0,0,INDEX('計算A'!$IW$10:$IW$54,B31))</f>
        <v/>
      </c>
      <c r="I31">
        <f>IF(B31=0,0,MAX(0,INDEX('計算A'!$IT$10:$IT$54,B31)))</f>
        <v/>
      </c>
      <c r="J31">
        <f>IF(I31=0,0,INDEX('計算A'!$D$2:$EQ$2,I31))</f>
        <v/>
      </c>
      <c r="K31">
        <f>IF(I31=0,0,INDEX('計算A'!$D$3:$EQ$3,I31))</f>
        <v/>
      </c>
      <c r="L31">
        <f>IF(B31=0,0,INDEX('計算A'!$IX$10:$IX$54,B31))</f>
        <v/>
      </c>
      <c r="N31">
        <f>MAX(N30,IF($B30=1,1,0))</f>
        <v/>
      </c>
      <c r="O31">
        <f>MAX(O30,IF($B30=2,1,0))</f>
        <v/>
      </c>
      <c r="P31">
        <f>MAX(P30,IF($B30=3,1,0))</f>
        <v/>
      </c>
      <c r="Q31">
        <f>MAX(Q30,IF($B30=4,1,0))</f>
        <v/>
      </c>
      <c r="R31">
        <f>MAX(R30,IF($B30=5,1,0))</f>
        <v/>
      </c>
      <c r="S31">
        <f>MAX(S30,IF($B30=6,1,0))</f>
        <v/>
      </c>
      <c r="T31">
        <f>MAX(T30,IF($B30=7,1,0))</f>
        <v/>
      </c>
      <c r="U31">
        <f>MAX(U30,IF($B30=8,1,0))</f>
        <v/>
      </c>
      <c r="V31">
        <f>MAX(V30,IF($B30=9,1,0))</f>
        <v/>
      </c>
      <c r="W31">
        <f>MAX(W30,IF($B30=10,1,0))</f>
        <v/>
      </c>
      <c r="X31">
        <f>MAX(X30,IF($B30=11,1,0))</f>
        <v/>
      </c>
      <c r="Y31">
        <f>MAX(Y30,IF($B30=12,1,0))</f>
        <v/>
      </c>
      <c r="Z31">
        <f>MAX(Z30,IF($B30=13,1,0))</f>
        <v/>
      </c>
      <c r="AA31">
        <f>MAX(AA30,IF($B30=14,1,0))</f>
        <v/>
      </c>
      <c r="AB31">
        <f>MAX(AB30,IF($B30=15,1,0))</f>
        <v/>
      </c>
      <c r="AC31">
        <f>MAX(AC30,IF($B30=16,1,0))</f>
        <v/>
      </c>
      <c r="AD31">
        <f>MAX(AD30,IF($B30=17,1,0))</f>
        <v/>
      </c>
      <c r="AE31">
        <f>MAX(AE30,IF($B30=18,1,0))</f>
        <v/>
      </c>
      <c r="AF31">
        <f>MAX(AF30,IF($B30=19,1,0))</f>
        <v/>
      </c>
      <c r="AG31">
        <f>MAX(AG30,IF($B30=20,1,0))</f>
        <v/>
      </c>
      <c r="AH31">
        <f>MAX(AH30,IF($B30=21,1,0))</f>
        <v/>
      </c>
      <c r="AI31">
        <f>MAX(AI30,IF($B30=22,1,0))</f>
        <v/>
      </c>
      <c r="AJ31">
        <f>MAX(AJ30,IF($B30=23,1,0))</f>
        <v/>
      </c>
      <c r="AK31">
        <f>MAX(AK30,IF($B30=24,1,0))</f>
        <v/>
      </c>
      <c r="AL31">
        <f>MAX(AL30,IF($B30=25,1,0))</f>
        <v/>
      </c>
      <c r="AM31">
        <f>MAX(AM30,IF($B30=26,1,0))</f>
        <v/>
      </c>
      <c r="AN31">
        <f>MAX(AN30,IF($B30=27,1,0))</f>
        <v/>
      </c>
      <c r="AO31">
        <f>MAX(AO30,IF($B30=28,1,0))</f>
        <v/>
      </c>
      <c r="AP31">
        <f>MAX(AP30,IF($B30=29,1,0))</f>
        <v/>
      </c>
      <c r="AQ31">
        <f>MAX(AQ30,IF($B30=30,1,0))</f>
        <v/>
      </c>
      <c r="AR31">
        <f>MAX(AR30,IF($B30=31,1,0))</f>
        <v/>
      </c>
      <c r="AS31">
        <f>MAX(AS30,IF($B30=32,1,0))</f>
        <v/>
      </c>
      <c r="AT31">
        <f>MAX(AT30,IF($B30=33,1,0))</f>
        <v/>
      </c>
      <c r="AU31">
        <f>MAX(AU30,IF($B30=34,1,0))</f>
        <v/>
      </c>
      <c r="AV31">
        <f>MAX(AV30,IF($B30=35,1,0))</f>
        <v/>
      </c>
      <c r="AW31">
        <f>MAX(AW30,IF($B30=36,1,0))</f>
        <v/>
      </c>
      <c r="AX31">
        <f>MAX(AX30,IF($B30=37,1,0))</f>
        <v/>
      </c>
      <c r="AY31">
        <f>MAX(AY30,IF($B30=38,1,0))</f>
        <v/>
      </c>
      <c r="AZ31">
        <f>MAX(AZ30,IF($B30=39,1,0))</f>
        <v/>
      </c>
      <c r="BA31">
        <f>MAX(BA30,IF($B30=40,1,0))</f>
        <v/>
      </c>
      <c r="BB31">
        <f>MAX(BB30,IF($B30=41,1,0))</f>
        <v/>
      </c>
      <c r="BC31">
        <f>MAX(BC30,IF($B30=42,1,0))</f>
        <v/>
      </c>
      <c r="BD31">
        <f>MAX(BD30,IF($B30=43,1,0))</f>
        <v/>
      </c>
      <c r="BE31">
        <f>MAX(BE30,IF($B30=44,1,0))</f>
        <v/>
      </c>
      <c r="BF31">
        <f>MAX(BF30,IF($B30=45,1,0))</f>
        <v/>
      </c>
      <c r="BH31">
        <f>IF(N31=1,1000000,IF('計算A'!$IT$10&gt;0,0,500000)+IF('計算A'!$IQ$10=2,SUMPRODUCT('計算A'!$D$60:$EQ$60,$DB31:$IO31,$IQ31:$OD31),SUMPRODUCT('計算A'!$D$60:$EQ$60,$DB31:$IO31))*1000+1)</f>
        <v/>
      </c>
      <c r="BI31">
        <f>IF(O31=1,1000000,IF('計算A'!$IT$11&gt;0,0,500000)+IF('計算A'!$IQ$11=2,SUMPRODUCT('計算A'!$D$61:$EQ$61,$DB31:$IO31,$IQ31:$OD31),SUMPRODUCT('計算A'!$D$61:$EQ$61,$DB31:$IO31))*1000+2)</f>
        <v/>
      </c>
      <c r="BJ31">
        <f>IF(P31=1,1000000,IF('計算A'!$IT$12&gt;0,0,500000)+IF('計算A'!$IQ$12=2,SUMPRODUCT('計算A'!$D$62:$EQ$62,$DB31:$IO31,$IQ31:$OD31),SUMPRODUCT('計算A'!$D$62:$EQ$62,$DB31:$IO31))*1000+3)</f>
        <v/>
      </c>
      <c r="BK31">
        <f>IF(Q31=1,1000000,IF('計算A'!$IT$13&gt;0,0,500000)+IF('計算A'!$IQ$13=2,SUMPRODUCT('計算A'!$D$63:$EQ$63,$DB31:$IO31,$IQ31:$OD31),SUMPRODUCT('計算A'!$D$63:$EQ$63,$DB31:$IO31))*1000+4)</f>
        <v/>
      </c>
      <c r="BL31">
        <f>IF(R31=1,1000000,IF('計算A'!$IT$14&gt;0,0,500000)+IF('計算A'!$IQ$14=2,SUMPRODUCT('計算A'!$D$64:$EQ$64,$DB31:$IO31,$IQ31:$OD31),SUMPRODUCT('計算A'!$D$64:$EQ$64,$DB31:$IO31))*1000+5)</f>
        <v/>
      </c>
      <c r="BM31">
        <f>IF(S31=1,1000000,IF('計算A'!$IT$15&gt;0,0,500000)+IF('計算A'!$IQ$15=2,SUMPRODUCT('計算A'!$D$65:$EQ$65,$DB31:$IO31,$IQ31:$OD31),SUMPRODUCT('計算A'!$D$65:$EQ$65,$DB31:$IO31))*1000+6)</f>
        <v/>
      </c>
      <c r="BN31">
        <f>IF(T31=1,1000000,IF('計算A'!$IT$16&gt;0,0,500000)+IF('計算A'!$IQ$16=2,SUMPRODUCT('計算A'!$D$66:$EQ$66,$DB31:$IO31,$IQ31:$OD31),SUMPRODUCT('計算A'!$D$66:$EQ$66,$DB31:$IO31))*1000+7)</f>
        <v/>
      </c>
      <c r="BO31">
        <f>IF(U31=1,1000000,IF('計算A'!$IT$17&gt;0,0,500000)+IF('計算A'!$IQ$17=2,SUMPRODUCT('計算A'!$D$67:$EQ$67,$DB31:$IO31,$IQ31:$OD31),SUMPRODUCT('計算A'!$D$67:$EQ$67,$DB31:$IO31))*1000+8)</f>
        <v/>
      </c>
      <c r="BP31">
        <f>IF(V31=1,1000000,IF('計算A'!$IT$18&gt;0,0,500000)+IF('計算A'!$IQ$18=2,SUMPRODUCT('計算A'!$D$68:$EQ$68,$DB31:$IO31,$IQ31:$OD31),SUMPRODUCT('計算A'!$D$68:$EQ$68,$DB31:$IO31))*1000+9)</f>
        <v/>
      </c>
      <c r="BQ31">
        <f>IF(W31=1,1000000,IF('計算A'!$IT$19&gt;0,0,500000)+IF('計算A'!$IQ$19=2,SUMPRODUCT('計算A'!$D$69:$EQ$69,$DB31:$IO31,$IQ31:$OD31),SUMPRODUCT('計算A'!$D$69:$EQ$69,$DB31:$IO31))*1000+10)</f>
        <v/>
      </c>
      <c r="BR31">
        <f>IF(X31=1,1000000,IF('計算A'!$IT$20&gt;0,0,500000)+IF('計算A'!$IQ$20=2,SUMPRODUCT('計算A'!$D$70:$EQ$70,$DB31:$IO31,$IQ31:$OD31),SUMPRODUCT('計算A'!$D$70:$EQ$70,$DB31:$IO31))*1000+11)</f>
        <v/>
      </c>
      <c r="BS31">
        <f>IF(Y31=1,1000000,IF('計算A'!$IT$21&gt;0,0,500000)+IF('計算A'!$IQ$21=2,SUMPRODUCT('計算A'!$D$71:$EQ$71,$DB31:$IO31,$IQ31:$OD31),SUMPRODUCT('計算A'!$D$71:$EQ$71,$DB31:$IO31))*1000+12)</f>
        <v/>
      </c>
      <c r="BT31">
        <f>IF(Z31=1,1000000,IF('計算A'!$IT$22&gt;0,0,500000)+IF('計算A'!$IQ$22=2,SUMPRODUCT('計算A'!$D$72:$EQ$72,$DB31:$IO31,$IQ31:$OD31),SUMPRODUCT('計算A'!$D$72:$EQ$72,$DB31:$IO31))*1000+13)</f>
        <v/>
      </c>
      <c r="BU31">
        <f>IF(AA31=1,1000000,IF('計算A'!$IT$23&gt;0,0,500000)+IF('計算A'!$IQ$23=2,SUMPRODUCT('計算A'!$D$73:$EQ$73,$DB31:$IO31,$IQ31:$OD31),SUMPRODUCT('計算A'!$D$73:$EQ$73,$DB31:$IO31))*1000+14)</f>
        <v/>
      </c>
      <c r="BV31">
        <f>IF(AB31=1,1000000,IF('計算A'!$IT$24&gt;0,0,500000)+IF('計算A'!$IQ$24=2,SUMPRODUCT('計算A'!$D$74:$EQ$74,$DB31:$IO31,$IQ31:$OD31),SUMPRODUCT('計算A'!$D$74:$EQ$74,$DB31:$IO31))*1000+15)</f>
        <v/>
      </c>
      <c r="BW31">
        <f>IF(AC31=1,1000000,IF('計算A'!$IT$25&gt;0,0,500000)+IF('計算A'!$IQ$25=2,SUMPRODUCT('計算A'!$D$75:$EQ$75,$DB31:$IO31,$IQ31:$OD31),SUMPRODUCT('計算A'!$D$75:$EQ$75,$DB31:$IO31))*1000+16)</f>
        <v/>
      </c>
      <c r="BX31">
        <f>IF(AD31=1,1000000,IF('計算A'!$IT$26&gt;0,0,500000)+IF('計算A'!$IQ$26=2,SUMPRODUCT('計算A'!$D$76:$EQ$76,$DB31:$IO31,$IQ31:$OD31),SUMPRODUCT('計算A'!$D$76:$EQ$76,$DB31:$IO31))*1000+17)</f>
        <v/>
      </c>
      <c r="BY31">
        <f>IF(AE31=1,1000000,IF('計算A'!$IT$27&gt;0,0,500000)+IF('計算A'!$IQ$27=2,SUMPRODUCT('計算A'!$D$77:$EQ$77,$DB31:$IO31,$IQ31:$OD31),SUMPRODUCT('計算A'!$D$77:$EQ$77,$DB31:$IO31))*1000+18)</f>
        <v/>
      </c>
      <c r="BZ31">
        <f>IF(AF31=1,1000000,IF('計算A'!$IT$28&gt;0,0,500000)+IF('計算A'!$IQ$28=2,SUMPRODUCT('計算A'!$D$78:$EQ$78,$DB31:$IO31,$IQ31:$OD31),SUMPRODUCT('計算A'!$D$78:$EQ$78,$DB31:$IO31))*1000+19)</f>
        <v/>
      </c>
      <c r="CA31">
        <f>IF(AG31=1,1000000,IF('計算A'!$IT$29&gt;0,0,500000)+IF('計算A'!$IQ$29=2,SUMPRODUCT('計算A'!$D$79:$EQ$79,$DB31:$IO31,$IQ31:$OD31),SUMPRODUCT('計算A'!$D$79:$EQ$79,$DB31:$IO31))*1000+20)</f>
        <v/>
      </c>
      <c r="CB31">
        <f>IF(AH31=1,1000000,IF('計算A'!$IT$30&gt;0,0,500000)+IF('計算A'!$IQ$30=2,SUMPRODUCT('計算A'!$D$80:$EQ$80,$DB31:$IO31,$IQ31:$OD31),SUMPRODUCT('計算A'!$D$80:$EQ$80,$DB31:$IO31))*1000+21)</f>
        <v/>
      </c>
      <c r="CC31">
        <f>IF(AI31=1,1000000,IF('計算A'!$IT$31&gt;0,0,500000)+IF('計算A'!$IQ$31=2,SUMPRODUCT('計算A'!$D$81:$EQ$81,$DB31:$IO31,$IQ31:$OD31),SUMPRODUCT('計算A'!$D$81:$EQ$81,$DB31:$IO31))*1000+22)</f>
        <v/>
      </c>
      <c r="CD31">
        <f>IF(AJ31=1,1000000,IF('計算A'!$IT$32&gt;0,0,500000)+IF('計算A'!$IQ$32=2,SUMPRODUCT('計算A'!$D$82:$EQ$82,$DB31:$IO31,$IQ31:$OD31),SUMPRODUCT('計算A'!$D$82:$EQ$82,$DB31:$IO31))*1000+23)</f>
        <v/>
      </c>
      <c r="CE31">
        <f>IF(AK31=1,1000000,IF('計算A'!$IT$33&gt;0,0,500000)+IF('計算A'!$IQ$33=2,SUMPRODUCT('計算A'!$D$83:$EQ$83,$DB31:$IO31,$IQ31:$OD31),SUMPRODUCT('計算A'!$D$83:$EQ$83,$DB31:$IO31))*1000+24)</f>
        <v/>
      </c>
      <c r="CF31">
        <f>IF(AL31=1,1000000,IF('計算A'!$IT$34&gt;0,0,500000)+IF('計算A'!$IQ$34=2,SUMPRODUCT('計算A'!$D$84:$EQ$84,$DB31:$IO31,$IQ31:$OD31),SUMPRODUCT('計算A'!$D$84:$EQ$84,$DB31:$IO31))*1000+25)</f>
        <v/>
      </c>
      <c r="CG31">
        <f>IF(AM31=1,1000000,IF('計算A'!$IT$35&gt;0,0,500000)+IF('計算A'!$IQ$35=2,SUMPRODUCT('計算A'!$D$85:$EQ$85,$DB31:$IO31,$IQ31:$OD31),SUMPRODUCT('計算A'!$D$85:$EQ$85,$DB31:$IO31))*1000+26)</f>
        <v/>
      </c>
      <c r="CH31">
        <f>IF(AN31=1,1000000,IF('計算A'!$IT$36&gt;0,0,500000)+IF('計算A'!$IQ$36=2,SUMPRODUCT('計算A'!$D$86:$EQ$86,$DB31:$IO31,$IQ31:$OD31),SUMPRODUCT('計算A'!$D$86:$EQ$86,$DB31:$IO31))*1000+27)</f>
        <v/>
      </c>
      <c r="CI31">
        <f>IF(AO31=1,1000000,IF('計算A'!$IT$37&gt;0,0,500000)+IF('計算A'!$IQ$37=2,SUMPRODUCT('計算A'!$D$87:$EQ$87,$DB31:$IO31,$IQ31:$OD31),SUMPRODUCT('計算A'!$D$87:$EQ$87,$DB31:$IO31))*1000+28)</f>
        <v/>
      </c>
      <c r="CJ31">
        <f>IF(AP31=1,1000000,IF('計算A'!$IT$38&gt;0,0,500000)+IF('計算A'!$IQ$38=2,SUMPRODUCT('計算A'!$D$88:$EQ$88,$DB31:$IO31,$IQ31:$OD31),SUMPRODUCT('計算A'!$D$88:$EQ$88,$DB31:$IO31))*1000+29)</f>
        <v/>
      </c>
      <c r="CK31">
        <f>IF(AQ31=1,1000000,IF('計算A'!$IT$39&gt;0,0,500000)+IF('計算A'!$IQ$39=2,SUMPRODUCT('計算A'!$D$89:$EQ$89,$DB31:$IO31,$IQ31:$OD31),SUMPRODUCT('計算A'!$D$89:$EQ$89,$DB31:$IO31))*1000+30)</f>
        <v/>
      </c>
      <c r="CL31">
        <f>IF(AR31=1,1000000,IF('計算A'!$IT$40&gt;0,0,500000)+IF('計算A'!$IQ$40=2,SUMPRODUCT('計算A'!$D$90:$EQ$90,$DB31:$IO31,$IQ31:$OD31),SUMPRODUCT('計算A'!$D$90:$EQ$90,$DB31:$IO31))*1000+31)</f>
        <v/>
      </c>
      <c r="CM31">
        <f>IF(AS31=1,1000000,IF('計算A'!$IT$41&gt;0,0,500000)+IF('計算A'!$IQ$41=2,SUMPRODUCT('計算A'!$D$91:$EQ$91,$DB31:$IO31,$IQ31:$OD31),SUMPRODUCT('計算A'!$D$91:$EQ$91,$DB31:$IO31))*1000+32)</f>
        <v/>
      </c>
      <c r="CN31">
        <f>IF(AT31=1,1000000,IF('計算A'!$IT$42&gt;0,0,500000)+IF('計算A'!$IQ$42=2,SUMPRODUCT('計算A'!$D$92:$EQ$92,$DB31:$IO31,$IQ31:$OD31),SUMPRODUCT('計算A'!$D$92:$EQ$92,$DB31:$IO31))*1000+33)</f>
        <v/>
      </c>
      <c r="CO31">
        <f>IF(AU31=1,1000000,IF('計算A'!$IT$43&gt;0,0,500000)+IF('計算A'!$IQ$43=2,SUMPRODUCT('計算A'!$D$93:$EQ$93,$DB31:$IO31,$IQ31:$OD31),SUMPRODUCT('計算A'!$D$93:$EQ$93,$DB31:$IO31))*1000+34)</f>
        <v/>
      </c>
      <c r="CP31">
        <f>IF(AV31=1,1000000,IF('計算A'!$IT$44&gt;0,0,500000)+IF('計算A'!$IQ$44=2,SUMPRODUCT('計算A'!$D$94:$EQ$94,$DB31:$IO31,$IQ31:$OD31),SUMPRODUCT('計算A'!$D$94:$EQ$94,$DB31:$IO31))*1000+35)</f>
        <v/>
      </c>
      <c r="CQ31">
        <f>IF(AW31=1,1000000,IF('計算A'!$IT$45&gt;0,0,500000)+IF('計算A'!$IQ$45=2,SUMPRODUCT('計算A'!$D$95:$EQ$95,$DB31:$IO31,$IQ31:$OD31),SUMPRODUCT('計算A'!$D$95:$EQ$95,$DB31:$IO31))*1000+36)</f>
        <v/>
      </c>
      <c r="CR31">
        <f>IF(AX31=1,1000000,IF('計算A'!$IT$46&gt;0,0,500000)+IF('計算A'!$IQ$46=2,SUMPRODUCT('計算A'!$D$96:$EQ$96,$DB31:$IO31,$IQ31:$OD31),SUMPRODUCT('計算A'!$D$96:$EQ$96,$DB31:$IO31))*1000+37)</f>
        <v/>
      </c>
      <c r="CS31">
        <f>IF(AY31=1,1000000,IF('計算A'!$IT$47&gt;0,0,500000)+IF('計算A'!$IQ$47=2,SUMPRODUCT('計算A'!$D$97:$EQ$97,$DB31:$IO31,$IQ31:$OD31),SUMPRODUCT('計算A'!$D$97:$EQ$97,$DB31:$IO31))*1000+38)</f>
        <v/>
      </c>
      <c r="CT31">
        <f>IF(AZ31=1,1000000,IF('計算A'!$IT$48&gt;0,0,500000)+IF('計算A'!$IQ$48=2,SUMPRODUCT('計算A'!$D$98:$EQ$98,$DB31:$IO31,$IQ31:$OD31),SUMPRODUCT('計算A'!$D$98:$EQ$98,$DB31:$IO31))*1000+39)</f>
        <v/>
      </c>
      <c r="CU31">
        <f>IF(BA31=1,1000000,IF('計算A'!$IT$49&gt;0,0,500000)+IF('計算A'!$IQ$49=2,SUMPRODUCT('計算A'!$D$99:$EQ$99,$DB31:$IO31,$IQ31:$OD31),SUMPRODUCT('計算A'!$D$99:$EQ$99,$DB31:$IO31))*1000+40)</f>
        <v/>
      </c>
      <c r="CV31">
        <f>IF(BB31=1,1000000,IF('計算A'!$IT$50&gt;0,0,500000)+IF('計算A'!$IQ$50=2,SUMPRODUCT('計算A'!$D$100:$EQ$100,$DB31:$IO31,$IQ31:$OD31),SUMPRODUCT('計算A'!$D$100:$EQ$100,$DB31:$IO31))*1000+41)</f>
        <v/>
      </c>
      <c r="CW31">
        <f>IF(BC31=1,1000000,IF('計算A'!$IT$51&gt;0,0,500000)+IF('計算A'!$IQ$51=2,SUMPRODUCT('計算A'!$D$101:$EQ$101,$DB31:$IO31,$IQ31:$OD31),SUMPRODUCT('計算A'!$D$101:$EQ$101,$DB31:$IO31))*1000+42)</f>
        <v/>
      </c>
      <c r="CX31">
        <f>IF(BD31=1,1000000,IF('計算A'!$IT$52&gt;0,0,500000)+IF('計算A'!$IQ$52=2,SUMPRODUCT('計算A'!$D$102:$EQ$102,$DB31:$IO31,$IQ31:$OD31),SUMPRODUCT('計算A'!$D$102:$EQ$102,$DB31:$IO31))*1000+43)</f>
        <v/>
      </c>
      <c r="CY31">
        <f>IF(BE31=1,1000000,IF('計算A'!$IT$53&gt;0,0,500000)+IF('計算A'!$IQ$53=2,SUMPRODUCT('計算A'!$D$103:$EQ$103,$DB31:$IO31,$IQ31:$OD31),SUMPRODUCT('計算A'!$D$103:$EQ$103,$DB31:$IO31))*1000+44)</f>
        <v/>
      </c>
      <c r="CZ31">
        <f>IF(BF31=1,1000000,IF('計算A'!$IT$54&gt;0,0,500000)+IF('計算A'!$IQ$54=2,SUMPRODUCT('計算A'!$D$104:$EQ$104,$DB31:$IO31,$IQ31:$OD31),SUMPRODUCT('計算A'!$D$104:$EQ$104,$DB31:$IO31))*1000+45)</f>
        <v/>
      </c>
      <c r="DB31">
        <f>DB30*IF(OR($C30=1,$G30=1),0,1)</f>
        <v/>
      </c>
      <c r="DC31">
        <f>DC30*IF(OR($C30=2,$G30=2),0,1)</f>
        <v/>
      </c>
      <c r="DD31">
        <f>DD30*IF(OR($C30=3,$G30=3),0,1)</f>
        <v/>
      </c>
      <c r="DE31">
        <f>DE30*IF(OR($C30=4,$G30=4),0,1)</f>
        <v/>
      </c>
      <c r="DF31">
        <f>DF30*IF(OR($C30=5,$G30=5),0,1)</f>
        <v/>
      </c>
      <c r="DG31">
        <f>DG30*IF(OR($C30=6,$G30=6),0,1)</f>
        <v/>
      </c>
      <c r="DH31">
        <f>DH30*IF(OR($C30=7,$G30=7),0,1)</f>
        <v/>
      </c>
      <c r="DI31">
        <f>DI30*IF(OR($C30=8,$G30=8),0,1)</f>
        <v/>
      </c>
      <c r="DJ31">
        <f>DJ30*IF(OR($C30=9,$G30=9),0,1)</f>
        <v/>
      </c>
      <c r="DK31">
        <f>DK30*IF(OR($C30=10,$G30=10),0,1)</f>
        <v/>
      </c>
      <c r="DL31">
        <f>DL30*IF(OR($C30=11,$G30=11),0,1)</f>
        <v/>
      </c>
      <c r="DM31">
        <f>DM30*IF(OR($C30=12,$G30=12),0,1)</f>
        <v/>
      </c>
      <c r="DN31">
        <f>DN30*IF(OR($C30=13,$G30=13),0,1)</f>
        <v/>
      </c>
      <c r="DO31">
        <f>DO30*IF(OR($C30=14,$G30=14),0,1)</f>
        <v/>
      </c>
      <c r="DP31">
        <f>DP30*IF(OR($C30=15,$G30=15),0,1)</f>
        <v/>
      </c>
      <c r="DQ31">
        <f>DQ30*IF(OR($C30=16,$G30=16),0,1)</f>
        <v/>
      </c>
      <c r="DR31">
        <f>DR30*IF(OR($C30=17,$G30=17),0,1)</f>
        <v/>
      </c>
      <c r="DS31">
        <f>DS30*IF(OR($C30=18,$G30=18),0,1)</f>
        <v/>
      </c>
      <c r="DT31">
        <f>DT30*IF(OR($C30=19,$G30=19),0,1)</f>
        <v/>
      </c>
      <c r="DU31">
        <f>DU30*IF(OR($C30=20,$G30=20),0,1)</f>
        <v/>
      </c>
      <c r="DV31">
        <f>DV30*IF(OR($C30=21,$G30=21),0,1)</f>
        <v/>
      </c>
      <c r="DW31">
        <f>DW30*IF(OR($C30=22,$G30=22),0,1)</f>
        <v/>
      </c>
      <c r="DX31">
        <f>DX30*IF(OR($C30=23,$G30=23),0,1)</f>
        <v/>
      </c>
      <c r="DY31">
        <f>DY30*IF(OR($C30=24,$G30=24),0,1)</f>
        <v/>
      </c>
      <c r="DZ31">
        <f>DZ30*IF(OR($C30=25,$G30=25),0,1)</f>
        <v/>
      </c>
      <c r="EA31">
        <f>EA30*IF(OR($C30=26,$G30=26),0,1)</f>
        <v/>
      </c>
      <c r="EB31">
        <f>EB30*IF(OR($C30=27,$G30=27),0,1)</f>
        <v/>
      </c>
      <c r="EC31">
        <f>EC30*IF(OR($C30=28,$G30=28),0,1)</f>
        <v/>
      </c>
      <c r="ED31">
        <f>ED30*IF(OR($C30=29,$G30=29),0,1)</f>
        <v/>
      </c>
      <c r="EE31">
        <f>EE30*IF(OR($C30=30,$G30=30),0,1)</f>
        <v/>
      </c>
      <c r="EF31">
        <f>EF30*IF(OR($C30=31,$G30=31),0,1)</f>
        <v/>
      </c>
      <c r="EG31">
        <f>EG30*IF(OR($C30=32,$G30=32),0,1)</f>
        <v/>
      </c>
      <c r="EH31">
        <f>EH30*IF(OR($C30=33,$G30=33),0,1)</f>
        <v/>
      </c>
      <c r="EI31">
        <f>EI30*IF(OR($C30=34,$G30=34),0,1)</f>
        <v/>
      </c>
      <c r="EJ31">
        <f>EJ30*IF(OR($C30=35,$G30=35),0,1)</f>
        <v/>
      </c>
      <c r="EK31">
        <f>EK30*IF(OR($C30=36,$G30=36),0,1)</f>
        <v/>
      </c>
      <c r="EL31">
        <f>EL30*IF(OR($C30=37,$G30=37),0,1)</f>
        <v/>
      </c>
      <c r="EM31">
        <f>EM30*IF(OR($C30=38,$G30=38),0,1)</f>
        <v/>
      </c>
      <c r="EN31">
        <f>EN30*IF(OR($C30=39,$G30=39),0,1)</f>
        <v/>
      </c>
      <c r="EO31">
        <f>EO30*IF(OR($C30=40,$G30=40),0,1)</f>
        <v/>
      </c>
      <c r="EP31">
        <f>EP30*IF(OR($C30=41,$G30=41),0,1)</f>
        <v/>
      </c>
      <c r="EQ31">
        <f>EQ30*IF(OR($C30=42,$G30=42),0,1)</f>
        <v/>
      </c>
      <c r="ER31">
        <f>ER30*IF(OR($C30=43,$G30=43),0,1)</f>
        <v/>
      </c>
      <c r="ES31">
        <f>ES30*IF(OR($C30=44,$G30=44),0,1)</f>
        <v/>
      </c>
      <c r="ET31">
        <f>ET30*IF(OR($C30=45,$G30=45),0,1)</f>
        <v/>
      </c>
      <c r="EU31">
        <f>EU30*IF(OR($C30=46,$G30=46),0,1)</f>
        <v/>
      </c>
      <c r="EV31">
        <f>EV30*IF(OR($C30=47,$G30=47),0,1)</f>
        <v/>
      </c>
      <c r="EW31">
        <f>EW30*IF(OR($C30=48,$G30=48),0,1)</f>
        <v/>
      </c>
      <c r="EX31">
        <f>EX30*IF(OR($C30=49,$G30=49),0,1)</f>
        <v/>
      </c>
      <c r="EY31">
        <f>EY30*IF(OR($C30=50,$G30=50),0,1)</f>
        <v/>
      </c>
      <c r="EZ31">
        <f>EZ30*IF(OR($C30=51,$G30=51),0,1)</f>
        <v/>
      </c>
      <c r="FA31">
        <f>FA30*IF(OR($C30=52,$G30=52),0,1)</f>
        <v/>
      </c>
      <c r="FB31">
        <f>FB30*IF(OR($C30=53,$G30=53),0,1)</f>
        <v/>
      </c>
      <c r="FC31">
        <f>FC30*IF(OR($C30=54,$G30=54),0,1)</f>
        <v/>
      </c>
      <c r="FD31">
        <f>FD30*IF(OR($C30=55,$G30=55),0,1)</f>
        <v/>
      </c>
      <c r="FE31">
        <f>FE30*IF(OR($C30=56,$G30=56),0,1)</f>
        <v/>
      </c>
      <c r="FF31">
        <f>FF30*IF(OR($C30=57,$G30=57),0,1)</f>
        <v/>
      </c>
      <c r="FG31">
        <f>FG30*IF(OR($C30=58,$G30=58),0,1)</f>
        <v/>
      </c>
      <c r="FH31">
        <f>FH30*IF(OR($C30=59,$G30=59),0,1)</f>
        <v/>
      </c>
      <c r="FI31">
        <f>FI30*IF(OR($C30=60,$G30=60),0,1)</f>
        <v/>
      </c>
      <c r="FJ31">
        <f>FJ30*IF(OR($C30=61,$G30=61),0,1)</f>
        <v/>
      </c>
      <c r="FK31">
        <f>FK30*IF(OR($C30=62,$G30=62),0,1)</f>
        <v/>
      </c>
      <c r="FL31">
        <f>FL30*IF(OR($C30=63,$G30=63),0,1)</f>
        <v/>
      </c>
      <c r="FM31">
        <f>FM30*IF(OR($C30=64,$G30=64),0,1)</f>
        <v/>
      </c>
      <c r="FN31">
        <f>FN30*IF(OR($C30=65,$G30=65),0,1)</f>
        <v/>
      </c>
      <c r="FO31">
        <f>FO30*IF(OR($C30=66,$G30=66),0,1)</f>
        <v/>
      </c>
      <c r="FP31">
        <f>FP30*IF(OR($C30=67,$G30=67),0,1)</f>
        <v/>
      </c>
      <c r="FQ31">
        <f>FQ30*IF(OR($C30=68,$G30=68),0,1)</f>
        <v/>
      </c>
      <c r="FR31">
        <f>FR30*IF(OR($C30=69,$G30=69),0,1)</f>
        <v/>
      </c>
      <c r="FS31">
        <f>FS30*IF(OR($C30=70,$G30=70),0,1)</f>
        <v/>
      </c>
      <c r="FT31">
        <f>FT30*IF(OR($C30=71,$G30=71),0,1)</f>
        <v/>
      </c>
      <c r="FU31">
        <f>FU30*IF(OR($C30=72,$G30=72),0,1)</f>
        <v/>
      </c>
      <c r="FV31">
        <f>FV30*IF(OR($C30=73,$G30=73),0,1)</f>
        <v/>
      </c>
      <c r="FW31">
        <f>FW30*IF(OR($C30=74,$G30=74),0,1)</f>
        <v/>
      </c>
      <c r="FX31">
        <f>FX30*IF(OR($C30=75,$G30=75),0,1)</f>
        <v/>
      </c>
      <c r="FY31">
        <f>FY30*IF(OR($C30=76,$G30=76),0,1)</f>
        <v/>
      </c>
      <c r="FZ31">
        <f>FZ30*IF(OR($C30=77,$G30=77),0,1)</f>
        <v/>
      </c>
      <c r="GA31">
        <f>GA30*IF(OR($C30=78,$G30=78),0,1)</f>
        <v/>
      </c>
      <c r="GB31">
        <f>GB30*IF(OR($C30=79,$G30=79),0,1)</f>
        <v/>
      </c>
      <c r="GC31">
        <f>GC30*IF(OR($C30=80,$G30=80),0,1)</f>
        <v/>
      </c>
      <c r="GD31">
        <f>GD30*IF(OR($C30=81,$G30=81),0,1)</f>
        <v/>
      </c>
      <c r="GE31">
        <f>GE30*IF(OR($C30=82,$G30=82),0,1)</f>
        <v/>
      </c>
      <c r="GF31">
        <f>GF30*IF(OR($C30=83,$G30=83),0,1)</f>
        <v/>
      </c>
      <c r="GG31">
        <f>GG30*IF(OR($C30=84,$G30=84),0,1)</f>
        <v/>
      </c>
      <c r="GH31">
        <f>GH30*IF(OR($C30=85,$G30=85),0,1)</f>
        <v/>
      </c>
      <c r="GI31">
        <f>GI30*IF(OR($C30=86,$G30=86),0,1)</f>
        <v/>
      </c>
      <c r="GJ31">
        <f>GJ30*IF(OR($C30=87,$G30=87),0,1)</f>
        <v/>
      </c>
      <c r="GK31">
        <f>GK30*IF(OR($C30=88,$G30=88),0,1)</f>
        <v/>
      </c>
      <c r="GL31">
        <f>GL30*IF(OR($C30=89,$G30=89),0,1)</f>
        <v/>
      </c>
      <c r="GM31">
        <f>GM30*IF(OR($C30=90,$G30=90),0,1)</f>
        <v/>
      </c>
      <c r="GN31">
        <f>GN30*IF(OR($C30=91,$G30=91),0,1)</f>
        <v/>
      </c>
      <c r="GO31">
        <f>GO30*IF(OR($C30=92,$G30=92),0,1)</f>
        <v/>
      </c>
      <c r="GP31">
        <f>GP30*IF(OR($C30=93,$G30=93),0,1)</f>
        <v/>
      </c>
      <c r="GQ31">
        <f>GQ30*IF(OR($C30=94,$G30=94),0,1)</f>
        <v/>
      </c>
      <c r="GR31">
        <f>GR30*IF(OR($C30=95,$G30=95),0,1)</f>
        <v/>
      </c>
      <c r="GS31">
        <f>GS30*IF(OR($C30=96,$G30=96),0,1)</f>
        <v/>
      </c>
      <c r="GT31">
        <f>GT30*IF(OR($C30=97,$G30=97),0,1)</f>
        <v/>
      </c>
      <c r="GU31">
        <f>GU30*IF(OR($C30=98,$G30=98),0,1)</f>
        <v/>
      </c>
      <c r="GV31">
        <f>GV30*IF(OR($C30=99,$G30=99),0,1)</f>
        <v/>
      </c>
      <c r="GW31">
        <f>GW30*IF(OR($C30=100,$G30=100),0,1)</f>
        <v/>
      </c>
      <c r="GX31">
        <f>GX30*IF(OR($C30=101,$G30=101),0,1)</f>
        <v/>
      </c>
      <c r="GY31">
        <f>GY30*IF(OR($C30=102,$G30=102),0,1)</f>
        <v/>
      </c>
      <c r="GZ31">
        <f>GZ30*IF(OR($C30=103,$G30=103),0,1)</f>
        <v/>
      </c>
      <c r="HA31">
        <f>HA30*IF(OR($C30=104,$G30=104),0,1)</f>
        <v/>
      </c>
      <c r="HB31">
        <f>HB30*IF(OR($C30=105,$G30=105),0,1)</f>
        <v/>
      </c>
      <c r="HC31">
        <f>HC30*IF(OR($C30=106,$G30=106),0,1)</f>
        <v/>
      </c>
      <c r="HD31">
        <f>HD30*IF(OR($C30=107,$G30=107),0,1)</f>
        <v/>
      </c>
      <c r="HE31">
        <f>HE30*IF(OR($C30=108,$G30=108),0,1)</f>
        <v/>
      </c>
      <c r="HF31">
        <f>HF30*IF(OR($C30=109,$G30=109),0,1)</f>
        <v/>
      </c>
      <c r="HG31">
        <f>HG30*IF(OR($C30=110,$G30=110),0,1)</f>
        <v/>
      </c>
      <c r="HH31">
        <f>HH30*IF(OR($C30=111,$G30=111),0,1)</f>
        <v/>
      </c>
      <c r="HI31">
        <f>HI30*IF(OR($C30=112,$G30=112),0,1)</f>
        <v/>
      </c>
      <c r="HJ31">
        <f>HJ30*IF(OR($C30=113,$G30=113),0,1)</f>
        <v/>
      </c>
      <c r="HK31">
        <f>HK30*IF(OR($C30=114,$G30=114),0,1)</f>
        <v/>
      </c>
      <c r="HL31">
        <f>HL30*IF(OR($C30=115,$G30=115),0,1)</f>
        <v/>
      </c>
      <c r="HM31">
        <f>HM30*IF(OR($C30=116,$G30=116),0,1)</f>
        <v/>
      </c>
      <c r="HN31">
        <f>HN30*IF(OR($C30=117,$G30=117),0,1)</f>
        <v/>
      </c>
      <c r="HO31">
        <f>HO30*IF(OR($C30=118,$G30=118),0,1)</f>
        <v/>
      </c>
      <c r="HP31">
        <f>HP30*IF(OR($C30=119,$G30=119),0,1)</f>
        <v/>
      </c>
      <c r="HQ31">
        <f>HQ30*IF(OR($C30=120,$G30=120),0,1)</f>
        <v/>
      </c>
      <c r="HR31">
        <f>HR30*IF(OR($C30=121,$G30=121),0,1)</f>
        <v/>
      </c>
      <c r="HS31">
        <f>HS30*IF(OR($C30=122,$G30=122),0,1)</f>
        <v/>
      </c>
      <c r="HT31">
        <f>HT30*IF(OR($C30=123,$G30=123),0,1)</f>
        <v/>
      </c>
      <c r="HU31">
        <f>HU30*IF(OR($C30=124,$G30=124),0,1)</f>
        <v/>
      </c>
      <c r="HV31">
        <f>HV30*IF(OR($C30=125,$G30=125),0,1)</f>
        <v/>
      </c>
      <c r="HW31">
        <f>HW30*IF(OR($C30=126,$G30=126),0,1)</f>
        <v/>
      </c>
      <c r="HX31">
        <f>HX30*IF(OR($C30=127,$G30=127),0,1)</f>
        <v/>
      </c>
      <c r="HY31">
        <f>HY30*IF(OR($C30=128,$G30=128),0,1)</f>
        <v/>
      </c>
      <c r="HZ31">
        <f>HZ30*IF(OR($C30=129,$G30=129),0,1)</f>
        <v/>
      </c>
      <c r="IA31">
        <f>IA30*IF(OR($C30=130,$G30=130),0,1)</f>
        <v/>
      </c>
      <c r="IB31">
        <f>IB30*IF(OR($C30=131,$G30=131),0,1)</f>
        <v/>
      </c>
      <c r="IC31">
        <f>IC30*IF(OR($C30=132,$G30=132),0,1)</f>
        <v/>
      </c>
      <c r="ID31">
        <f>ID30*IF(OR($C30=133,$G30=133),0,1)</f>
        <v/>
      </c>
      <c r="IE31">
        <f>IE30*IF(OR($C30=134,$G30=134),0,1)</f>
        <v/>
      </c>
      <c r="IF31">
        <f>IF30*IF(OR($C30=135,$G30=135),0,1)</f>
        <v/>
      </c>
      <c r="IG31">
        <f>IG30*IF(OR($C30=136,$G30=136),0,1)</f>
        <v/>
      </c>
      <c r="IH31">
        <f>IH30*IF(OR($C30=137,$G30=137),0,1)</f>
        <v/>
      </c>
      <c r="II31">
        <f>II30*IF(OR($C30=138,$G30=138),0,1)</f>
        <v/>
      </c>
      <c r="IJ31">
        <f>IJ30*IF(OR($C30=139,$G30=139),0,1)</f>
        <v/>
      </c>
      <c r="IK31">
        <f>IK30*IF(OR($C30=140,$G30=140),0,1)</f>
        <v/>
      </c>
      <c r="IL31">
        <f>IL30*IF(OR($C30=141,$G30=141),0,1)</f>
        <v/>
      </c>
      <c r="IM31">
        <f>IM30*IF(OR($C30=142,$G30=142),0,1)</f>
        <v/>
      </c>
      <c r="IN31">
        <f>IN30*IF(OR($C30=143,$G30=143),0,1)</f>
        <v/>
      </c>
      <c r="IO31">
        <f>IO30*IF(OR($C30=144,$G30=144),0,1)</f>
        <v/>
      </c>
      <c r="IQ31">
        <f>IF('計算A'!D$106=1,DC31,1)</f>
        <v/>
      </c>
      <c r="IR31">
        <f>IF('計算A'!E$106=1,DD31,1)</f>
        <v/>
      </c>
      <c r="IS31">
        <f>IF('計算A'!F$106=1,DE31,1)</f>
        <v/>
      </c>
      <c r="IT31">
        <f>IF('計算A'!G$106=1,DF31,1)</f>
        <v/>
      </c>
      <c r="IU31">
        <f>IF('計算A'!H$106=1,DG31,1)</f>
        <v/>
      </c>
      <c r="IV31">
        <f>IF('計算A'!I$106=1,DH31,1)</f>
        <v/>
      </c>
      <c r="IW31">
        <f>IF('計算A'!J$106=1,DI31,1)</f>
        <v/>
      </c>
      <c r="IX31">
        <f>IF('計算A'!K$106=1,DJ31,1)</f>
        <v/>
      </c>
      <c r="IY31">
        <f>IF('計算A'!L$106=1,DK31,1)</f>
        <v/>
      </c>
      <c r="IZ31">
        <f>IF('計算A'!M$106=1,DL31,1)</f>
        <v/>
      </c>
      <c r="JA31">
        <f>IF('計算A'!N$106=1,DM31,1)</f>
        <v/>
      </c>
      <c r="JB31">
        <f>IF('計算A'!O$106=1,DN31,1)</f>
        <v/>
      </c>
      <c r="JC31">
        <f>IF('計算A'!P$106=1,DO31,1)</f>
        <v/>
      </c>
      <c r="JD31">
        <f>IF('計算A'!Q$106=1,DP31,1)</f>
        <v/>
      </c>
      <c r="JE31">
        <f>IF('計算A'!R$106=1,DQ31,1)</f>
        <v/>
      </c>
      <c r="JF31">
        <f>IF('計算A'!S$106=1,DR31,1)</f>
        <v/>
      </c>
      <c r="JG31">
        <f>IF('計算A'!T$106=1,DS31,1)</f>
        <v/>
      </c>
      <c r="JH31">
        <f>IF('計算A'!U$106=1,DT31,1)</f>
        <v/>
      </c>
      <c r="JI31">
        <f>IF('計算A'!V$106=1,DU31,1)</f>
        <v/>
      </c>
      <c r="JJ31">
        <f>IF('計算A'!W$106=1,DV31,1)</f>
        <v/>
      </c>
      <c r="JK31">
        <f>IF('計算A'!X$106=1,DW31,1)</f>
        <v/>
      </c>
      <c r="JL31">
        <f>IF('計算A'!Y$106=1,DX31,1)</f>
        <v/>
      </c>
      <c r="JM31">
        <f>IF('計算A'!Z$106=1,DY31,1)</f>
        <v/>
      </c>
      <c r="JN31">
        <f>IF('計算A'!AA$106=1,DZ31,1)</f>
        <v/>
      </c>
      <c r="JO31">
        <f>IF('計算A'!AB$106=1,EA31,1)</f>
        <v/>
      </c>
      <c r="JP31">
        <f>IF('計算A'!AC$106=1,EB31,1)</f>
        <v/>
      </c>
      <c r="JQ31">
        <f>IF('計算A'!AD$106=1,EC31,1)</f>
        <v/>
      </c>
      <c r="JR31">
        <f>IF('計算A'!AE$106=1,ED31,1)</f>
        <v/>
      </c>
      <c r="JS31">
        <f>IF('計算A'!AF$106=1,EE31,1)</f>
        <v/>
      </c>
      <c r="JT31">
        <f>IF('計算A'!AG$106=1,EF31,1)</f>
        <v/>
      </c>
      <c r="JU31">
        <f>IF('計算A'!AH$106=1,EG31,1)</f>
        <v/>
      </c>
      <c r="JV31">
        <f>IF('計算A'!AI$106=1,EH31,1)</f>
        <v/>
      </c>
      <c r="JW31">
        <f>IF('計算A'!AJ$106=1,EI31,1)</f>
        <v/>
      </c>
      <c r="JX31">
        <f>IF('計算A'!AK$106=1,EJ31,1)</f>
        <v/>
      </c>
      <c r="JY31">
        <f>IF('計算A'!AL$106=1,EK31,1)</f>
        <v/>
      </c>
      <c r="JZ31">
        <f>IF('計算A'!AM$106=1,EL31,1)</f>
        <v/>
      </c>
      <c r="KA31">
        <f>IF('計算A'!AN$106=1,EM31,1)</f>
        <v/>
      </c>
      <c r="KB31">
        <f>IF('計算A'!AO$106=1,EN31,1)</f>
        <v/>
      </c>
      <c r="KC31">
        <f>IF('計算A'!AP$106=1,EO31,1)</f>
        <v/>
      </c>
      <c r="KD31">
        <f>IF('計算A'!AQ$106=1,EP31,1)</f>
        <v/>
      </c>
      <c r="KE31">
        <f>IF('計算A'!AR$106=1,EQ31,1)</f>
        <v/>
      </c>
      <c r="KF31">
        <f>IF('計算A'!AS$106=1,ER31,1)</f>
        <v/>
      </c>
      <c r="KG31">
        <f>IF('計算A'!AT$106=1,ES31,1)</f>
        <v/>
      </c>
      <c r="KH31">
        <f>IF('計算A'!AU$106=1,ET31,1)</f>
        <v/>
      </c>
      <c r="KI31">
        <f>IF('計算A'!AV$106=1,EU31,1)</f>
        <v/>
      </c>
      <c r="KJ31">
        <f>IF('計算A'!AW$106=1,EV31,1)</f>
        <v/>
      </c>
      <c r="KK31">
        <f>IF('計算A'!AX$106=1,EW31,1)</f>
        <v/>
      </c>
      <c r="KL31">
        <f>IF('計算A'!AY$106=1,EX31,1)</f>
        <v/>
      </c>
      <c r="KM31">
        <f>IF('計算A'!AZ$106=1,EY31,1)</f>
        <v/>
      </c>
      <c r="KN31">
        <f>IF('計算A'!BA$106=1,EZ31,1)</f>
        <v/>
      </c>
      <c r="KO31">
        <f>IF('計算A'!BB$106=1,FA31,1)</f>
        <v/>
      </c>
      <c r="KP31">
        <f>IF('計算A'!BC$106=1,FB31,1)</f>
        <v/>
      </c>
      <c r="KQ31">
        <f>IF('計算A'!BD$106=1,FC31,1)</f>
        <v/>
      </c>
      <c r="KR31">
        <f>IF('計算A'!BE$106=1,FD31,1)</f>
        <v/>
      </c>
      <c r="KS31">
        <f>IF('計算A'!BF$106=1,FE31,1)</f>
        <v/>
      </c>
      <c r="KT31">
        <f>IF('計算A'!BG$106=1,FF31,1)</f>
        <v/>
      </c>
      <c r="KU31">
        <f>IF('計算A'!BH$106=1,FG31,1)</f>
        <v/>
      </c>
      <c r="KV31">
        <f>IF('計算A'!BI$106=1,FH31,1)</f>
        <v/>
      </c>
      <c r="KW31">
        <f>IF('計算A'!BJ$106=1,FI31,1)</f>
        <v/>
      </c>
      <c r="KX31">
        <f>IF('計算A'!BK$106=1,FJ31,1)</f>
        <v/>
      </c>
      <c r="KY31">
        <f>IF('計算A'!BL$106=1,FK31,1)</f>
        <v/>
      </c>
      <c r="KZ31">
        <f>IF('計算A'!BM$106=1,FL31,1)</f>
        <v/>
      </c>
      <c r="LA31">
        <f>IF('計算A'!BN$106=1,FM31,1)</f>
        <v/>
      </c>
      <c r="LB31">
        <f>IF('計算A'!BO$106=1,FN31,1)</f>
        <v/>
      </c>
      <c r="LC31">
        <f>IF('計算A'!BP$106=1,FO31,1)</f>
        <v/>
      </c>
      <c r="LD31">
        <f>IF('計算A'!BQ$106=1,FP31,1)</f>
        <v/>
      </c>
      <c r="LE31">
        <f>IF('計算A'!BR$106=1,FQ31,1)</f>
        <v/>
      </c>
      <c r="LF31">
        <f>IF('計算A'!BS$106=1,FR31,1)</f>
        <v/>
      </c>
      <c r="LG31">
        <f>IF('計算A'!BT$106=1,FS31,1)</f>
        <v/>
      </c>
      <c r="LH31">
        <f>IF('計算A'!BU$106=1,FT31,1)</f>
        <v/>
      </c>
      <c r="LI31">
        <f>IF('計算A'!BV$106=1,FU31,1)</f>
        <v/>
      </c>
      <c r="LJ31">
        <f>IF('計算A'!BW$106=1,FV31,1)</f>
        <v/>
      </c>
      <c r="LK31">
        <f>IF('計算A'!BX$106=1,FW31,1)</f>
        <v/>
      </c>
      <c r="LL31">
        <f>IF('計算A'!BY$106=1,FX31,1)</f>
        <v/>
      </c>
      <c r="LM31">
        <f>IF('計算A'!BZ$106=1,FY31,1)</f>
        <v/>
      </c>
      <c r="LN31">
        <f>IF('計算A'!CA$106=1,FZ31,1)</f>
        <v/>
      </c>
      <c r="LO31">
        <f>IF('計算A'!CB$106=1,GA31,1)</f>
        <v/>
      </c>
      <c r="LP31">
        <f>IF('計算A'!CC$106=1,GB31,1)</f>
        <v/>
      </c>
      <c r="LQ31">
        <f>IF('計算A'!CD$106=1,GC31,1)</f>
        <v/>
      </c>
      <c r="LR31">
        <f>IF('計算A'!CE$106=1,GD31,1)</f>
        <v/>
      </c>
      <c r="LS31">
        <f>IF('計算A'!CF$106=1,GE31,1)</f>
        <v/>
      </c>
      <c r="LT31">
        <f>IF('計算A'!CG$106=1,GF31,1)</f>
        <v/>
      </c>
      <c r="LU31">
        <f>IF('計算A'!CH$106=1,GG31,1)</f>
        <v/>
      </c>
      <c r="LV31">
        <f>IF('計算A'!CI$106=1,GH31,1)</f>
        <v/>
      </c>
      <c r="LW31">
        <f>IF('計算A'!CJ$106=1,GI31,1)</f>
        <v/>
      </c>
      <c r="LX31">
        <f>IF('計算A'!CK$106=1,GJ31,1)</f>
        <v/>
      </c>
      <c r="LY31">
        <f>IF('計算A'!CL$106=1,GK31,1)</f>
        <v/>
      </c>
      <c r="LZ31">
        <f>IF('計算A'!CM$106=1,GL31,1)</f>
        <v/>
      </c>
      <c r="MA31">
        <f>IF('計算A'!CN$106=1,GM31,1)</f>
        <v/>
      </c>
      <c r="MB31">
        <f>IF('計算A'!CO$106=1,GN31,1)</f>
        <v/>
      </c>
      <c r="MC31">
        <f>IF('計算A'!CP$106=1,GO31,1)</f>
        <v/>
      </c>
      <c r="MD31">
        <f>IF('計算A'!CQ$106=1,GP31,1)</f>
        <v/>
      </c>
      <c r="ME31">
        <f>IF('計算A'!CR$106=1,GQ31,1)</f>
        <v/>
      </c>
      <c r="MF31">
        <f>IF('計算A'!CS$106=1,GR31,1)</f>
        <v/>
      </c>
      <c r="MG31">
        <f>IF('計算A'!CT$106=1,GS31,1)</f>
        <v/>
      </c>
      <c r="MH31">
        <f>IF('計算A'!CU$106=1,GT31,1)</f>
        <v/>
      </c>
      <c r="MI31">
        <f>IF('計算A'!CV$106=1,GU31,1)</f>
        <v/>
      </c>
      <c r="MJ31">
        <f>IF('計算A'!CW$106=1,GV31,1)</f>
        <v/>
      </c>
      <c r="MK31">
        <f>IF('計算A'!CX$106=1,GW31,1)</f>
        <v/>
      </c>
      <c r="ML31">
        <f>IF('計算A'!CY$106=1,GX31,1)</f>
        <v/>
      </c>
      <c r="MM31">
        <f>IF('計算A'!CZ$106=1,GY31,1)</f>
        <v/>
      </c>
      <c r="MN31">
        <f>IF('計算A'!DA$106=1,GZ31,1)</f>
        <v/>
      </c>
      <c r="MO31">
        <f>IF('計算A'!DB$106=1,HA31,1)</f>
        <v/>
      </c>
      <c r="MP31">
        <f>IF('計算A'!DC$106=1,HB31,1)</f>
        <v/>
      </c>
      <c r="MQ31">
        <f>IF('計算A'!DD$106=1,HC31,1)</f>
        <v/>
      </c>
      <c r="MR31">
        <f>IF('計算A'!DE$106=1,HD31,1)</f>
        <v/>
      </c>
      <c r="MS31">
        <f>IF('計算A'!DF$106=1,HE31,1)</f>
        <v/>
      </c>
      <c r="MT31">
        <f>IF('計算A'!DG$106=1,HF31,1)</f>
        <v/>
      </c>
      <c r="MU31">
        <f>IF('計算A'!DH$106=1,HG31,1)</f>
        <v/>
      </c>
      <c r="MV31">
        <f>IF('計算A'!DI$106=1,HH31,1)</f>
        <v/>
      </c>
      <c r="MW31">
        <f>IF('計算A'!DJ$106=1,HI31,1)</f>
        <v/>
      </c>
      <c r="MX31">
        <f>IF('計算A'!DK$106=1,HJ31,1)</f>
        <v/>
      </c>
      <c r="MY31">
        <f>IF('計算A'!DL$106=1,HK31,1)</f>
        <v/>
      </c>
      <c r="MZ31">
        <f>IF('計算A'!DM$106=1,HL31,1)</f>
        <v/>
      </c>
      <c r="NA31">
        <f>IF('計算A'!DN$106=1,HM31,1)</f>
        <v/>
      </c>
      <c r="NB31">
        <f>IF('計算A'!DO$106=1,HN31,1)</f>
        <v/>
      </c>
      <c r="NC31">
        <f>IF('計算A'!DP$106=1,HO31,1)</f>
        <v/>
      </c>
      <c r="ND31">
        <f>IF('計算A'!DQ$106=1,HP31,1)</f>
        <v/>
      </c>
      <c r="NE31">
        <f>IF('計算A'!DR$106=1,HQ31,1)</f>
        <v/>
      </c>
      <c r="NF31">
        <f>IF('計算A'!DS$106=1,HR31,1)</f>
        <v/>
      </c>
      <c r="NG31">
        <f>IF('計算A'!DT$106=1,HS31,1)</f>
        <v/>
      </c>
      <c r="NH31">
        <f>IF('計算A'!DU$106=1,HT31,1)</f>
        <v/>
      </c>
      <c r="NI31">
        <f>IF('計算A'!DV$106=1,HU31,1)</f>
        <v/>
      </c>
      <c r="NJ31">
        <f>IF('計算A'!DW$106=1,HV31,1)</f>
        <v/>
      </c>
      <c r="NK31">
        <f>IF('計算A'!DX$106=1,HW31,1)</f>
        <v/>
      </c>
      <c r="NL31">
        <f>IF('計算A'!DY$106=1,HX31,1)</f>
        <v/>
      </c>
      <c r="NM31">
        <f>IF('計算A'!DZ$106=1,HY31,1)</f>
        <v/>
      </c>
      <c r="NN31">
        <f>IF('計算A'!EA$106=1,HZ31,1)</f>
        <v/>
      </c>
      <c r="NO31">
        <f>IF('計算A'!EB$106=1,IA31,1)</f>
        <v/>
      </c>
      <c r="NP31">
        <f>IF('計算A'!EC$106=1,IB31,1)</f>
        <v/>
      </c>
      <c r="NQ31">
        <f>IF('計算A'!ED$106=1,IC31,1)</f>
        <v/>
      </c>
      <c r="NR31">
        <f>IF('計算A'!EE$106=1,ID31,1)</f>
        <v/>
      </c>
      <c r="NS31">
        <f>IF('計算A'!EF$106=1,IE31,1)</f>
        <v/>
      </c>
      <c r="NT31">
        <f>IF('計算A'!EG$106=1,IF31,1)</f>
        <v/>
      </c>
      <c r="NU31">
        <f>IF('計算A'!EH$106=1,IG31,1)</f>
        <v/>
      </c>
      <c r="NV31">
        <f>IF('計算A'!EI$106=1,IH31,1)</f>
        <v/>
      </c>
      <c r="NW31">
        <f>IF('計算A'!EJ$106=1,II31,1)</f>
        <v/>
      </c>
      <c r="NX31">
        <f>IF('計算A'!EK$106=1,IJ31,1)</f>
        <v/>
      </c>
      <c r="NY31">
        <f>IF('計算A'!EL$106=1,IK31,1)</f>
        <v/>
      </c>
      <c r="NZ31">
        <f>IF('計算A'!EM$106=1,IL31,1)</f>
        <v/>
      </c>
      <c r="OA31">
        <f>IF('計算A'!EN$106=1,IM31,1)</f>
        <v/>
      </c>
      <c r="OB31">
        <f>IF('計算A'!EO$106=1,IN31,1)</f>
        <v/>
      </c>
      <c r="OC31">
        <f>IF('計算A'!EP$106=1,IO31,1)</f>
        <v/>
      </c>
      <c r="OD31" t="n">
        <v>1</v>
      </c>
      <c r="OF31">
        <f>IF($B31=0,1000000,IF(INDEX('計算A'!$D$60:$EQ$104,$B31,1)*DB31=1,IF(AND($E31=2,IQ31=0),1000000,IF($I31&gt;0,IF(1=$J31,IF(OR(AND(1=$I31+1,OR($K31&lt;&gt;'計算A'!$A$3,'計算A'!$A$4=0)),AND(1=$I31-1,OR(1&lt;&gt;'計算A'!$A$3,'計算A'!$A$4=0))),0,IF(1=$K31,200000,ABS(1-$K31)*100)),100000+ABS(1-$J31)*1000+10)+'計算A'!D$5*50+IF(AND($E31=1,IQ31=0),25,0),IF($F31&gt;0,INDEX('計算A'!D$110:D$114,$F31+1)+IF(AND($E31=1,IQ31=0),1000,0),MIN(TU31,20)*400+(IF('計算A'!D$106=1,1-DC31,0))*150+11+'計算A'!D$5*100000+IF(AND($E31=1,IQ31=0),50000,0))+IF($H31=1,(IF('計算A'!D$117=1,INDEX('計算A'!E$10:E$54,$B31),0))*4000,0)-IF(AND($L31=1,'計算A'!D$117=1,DC31=0),2000,0))),1000000))</f>
        <v/>
      </c>
      <c r="OG31">
        <f>IF($B31=0,1000000,IF(INDEX('計算A'!$D$60:$EQ$104,$B31,2)*DC31=1,IF(AND($E31=2,IR31=0),1000000,IF($I31&gt;0,IF(1=$J31,IF(OR(AND(2=$I31+1,OR($K31&lt;&gt;'計算A'!$A$3,'計算A'!$A$4=0)),AND(2=$I31-1,OR(2&lt;&gt;'計算A'!$A$3,'計算A'!$A$4=0))),0,IF(2=$K31,200000,ABS(2-$K31)*100)),100000+ABS(1-$J31)*1000+20)+'計算A'!E$5*50+IF(AND($E31=1,IR31=0),25,0),IF($F31&gt;0,INDEX('計算A'!E$110:E$114,$F31+1)+IF(AND($E31=1,IR31=0),1000,0),MIN(TU31,20)*400+(IF('計算A'!D$106=1,1-DB31,0)+IF('計算A'!E$106=1,1-DD31,0))*150+21+'計算A'!E$5*100000+IF(AND($E31=1,IR31=0),50000,0))+IF($H31=1,(IF('計算A'!D$117=1,INDEX('計算A'!D$10:D$54,$B31),0)+IF('計算A'!E$117=1,INDEX('計算A'!F$10:F$54,$B31),0))*4000,0)-IF(AND('計算A'!D$117=1,UB31&gt;0),2000,0)-IF(AND($L31=1,'計算A'!E$117=1,DD31=0),2000,0))),1000000))</f>
        <v/>
      </c>
      <c r="OH31">
        <f>IF($B31=0,1000000,IF(INDEX('計算A'!$D$60:$EQ$104,$B31,3)*DD31=1,IF(AND($E31=2,IS31=0),1000000,IF($I31&gt;0,IF(1=$J31,IF(OR(AND(3=$I31+1,OR($K31&lt;&gt;'計算A'!$A$3,'計算A'!$A$4=0)),AND(3=$I31-1,OR(3&lt;&gt;'計算A'!$A$3,'計算A'!$A$4=0))),0,IF(3=$K31,200000,ABS(3-$K31)*100)),100000+ABS(1-$J31)*1000+30)+'計算A'!F$5*50+IF(AND($E31=1,IS31=0),25,0),IF($F31&gt;0,INDEX('計算A'!F$110:F$114,$F31+1)+IF(AND($E31=1,IS31=0),1000,0),MIN(TU31,20)*400+(IF('計算A'!E$106=1,1-DC31,0)+IF('計算A'!F$106=1,1-DE31,0))*150+31+'計算A'!F$5*100000+IF(AND($E31=1,IS31=0),50000,0))+IF($H31=1,(IF('計算A'!E$117=1,INDEX('計算A'!E$10:E$54,$B31),0)+IF('計算A'!F$117=1,INDEX('計算A'!G$10:G$54,$B31),0))*4000,0)-IF(AND('計算A'!E$117=1,UC31&gt;0),2000,0)-IF(AND($L31=1,'計算A'!F$117=1,DE31=0),2000,0))),1000000))</f>
        <v/>
      </c>
      <c r="OI31">
        <f>IF($B31=0,1000000,IF(INDEX('計算A'!$D$60:$EQ$104,$B31,4)*DE31=1,IF(AND($E31=2,IT31=0),1000000,IF($I31&gt;0,IF(1=$J31,IF(OR(AND(4=$I31+1,OR($K31&lt;&gt;'計算A'!$A$3,'計算A'!$A$4=0)),AND(4=$I31-1,OR(4&lt;&gt;'計算A'!$A$3,'計算A'!$A$4=0))),0,IF(4=$K31,200000,ABS(4-$K31)*100)),100000+ABS(1-$J31)*1000+40)+'計算A'!G$5*50+IF(AND($E31=1,IT31=0),25,0),IF($F31&gt;0,INDEX('計算A'!G$110:G$114,$F31+1)+IF(AND($E31=1,IT31=0),1000,0),MIN(TU31,20)*400+(IF('計算A'!F$106=1,1-DD31,0)+IF('計算A'!G$106=1,1-DF31,0))*150+41+'計算A'!G$5*100000+IF(AND($E31=1,IT31=0),50000,0))+IF($H31=1,(IF('計算A'!F$117=1,INDEX('計算A'!F$10:F$54,$B31),0)+IF('計算A'!G$117=1,INDEX('計算A'!H$10:H$54,$B31),0))*4000,0)-IF(AND('計算A'!F$117=1,UD31&gt;0),2000,0)-IF(AND($L31=1,'計算A'!G$117=1,DF31=0),2000,0))),1000000))</f>
        <v/>
      </c>
      <c r="OJ31">
        <f>IF($B31=0,1000000,IF(INDEX('計算A'!$D$60:$EQ$104,$B31,5)*DF31=1,IF(AND($E31=2,IU31=0),1000000,IF($I31&gt;0,IF(1=$J31,IF(OR(AND(5=$I31+1,OR($K31&lt;&gt;'計算A'!$A$3,'計算A'!$A$4=0)),AND(5=$I31-1,OR(5&lt;&gt;'計算A'!$A$3,'計算A'!$A$4=0))),0,IF(5=$K31,200000,ABS(5-$K31)*100)),100000+ABS(1-$J31)*1000+50)+'計算A'!H$5*50+IF(AND($E31=1,IU31=0),25,0),IF($F31&gt;0,INDEX('計算A'!H$110:H$114,$F31+1)+IF(AND($E31=1,IU31=0),1000,0),MIN(TU31,20)*400+(IF('計算A'!G$106=1,1-DE31,0)+IF('計算A'!H$106=1,1-DG31,0))*150+51+'計算A'!H$5*100000+IF(AND($E31=1,IU31=0),50000,0))+IF($H31=1,(IF('計算A'!G$117=1,INDEX('計算A'!G$10:G$54,$B31),0)+IF('計算A'!H$117=1,INDEX('計算A'!I$10:I$54,$B31),0))*4000,0)-IF(AND('計算A'!G$117=1,UE31&gt;0),2000,0)-IF(AND($L31=1,'計算A'!H$117=1,DG31=0),2000,0))),1000000))</f>
        <v/>
      </c>
      <c r="OK31">
        <f>IF($B31=0,1000000,IF(INDEX('計算A'!$D$60:$EQ$104,$B31,6)*DG31=1,IF(AND($E31=2,IV31=0),1000000,IF($I31&gt;0,IF(1=$J31,IF(OR(AND(6=$I31+1,OR($K31&lt;&gt;'計算A'!$A$3,'計算A'!$A$4=0)),AND(6=$I31-1,OR(6&lt;&gt;'計算A'!$A$3,'計算A'!$A$4=0))),0,IF(6=$K31,200000,ABS(6-$K31)*100)),100000+ABS(1-$J31)*1000+60)+'計算A'!I$5*50+IF(AND($E31=1,IV31=0),25,0),IF($F31&gt;0,INDEX('計算A'!I$110:I$114,$F31+1)+IF(AND($E31=1,IV31=0),1000,0),MIN(TU31,20)*400+(IF('計算A'!H$106=1,1-DF31,0)+IF('計算A'!I$106=1,1-DH31,0))*150+61+'計算A'!I$5*100000+IF(AND($E31=1,IV31=0),50000,0))+IF($H31=1,(IF('計算A'!H$117=1,INDEX('計算A'!H$10:H$54,$B31),0)+IF('計算A'!I$117=1,INDEX('計算A'!J$10:J$54,$B31),0))*4000,0)-IF(AND('計算A'!H$117=1,UF31&gt;0),2000,0)-IF(AND($L31=1,'計算A'!I$117=1,DH31=0),2000,0))),1000000))</f>
        <v/>
      </c>
      <c r="OL31">
        <f>IF($B31=0,1000000,IF(INDEX('計算A'!$D$60:$EQ$104,$B31,7)*DH31=1,IF(AND($E31=2,IW31=0),1000000,IF($I31&gt;0,IF(1=$J31,IF(OR(AND(7=$I31+1,OR($K31&lt;&gt;'計算A'!$A$3,'計算A'!$A$4=0)),AND(7=$I31-1,OR(7&lt;&gt;'計算A'!$A$3,'計算A'!$A$4=0))),0,IF(7=$K31,200000,ABS(7-$K31)*100)),100000+ABS(1-$J31)*1000+70)+'計算A'!J$5*50+IF(AND($E31=1,IW31=0),25,0),IF($F31&gt;0,INDEX('計算A'!J$110:J$114,$F31+1)+IF(AND($E31=1,IW31=0),1000,0),MIN(TU31,20)*400+(IF('計算A'!I$106=1,1-DG31,0)+IF('計算A'!J$106=1,1-DI31,0))*150+71+'計算A'!J$5*100000+IF(AND($E31=1,IW31=0),50000,0))+IF($H31=1,(IF('計算A'!I$117=1,INDEX('計算A'!I$10:I$54,$B31),0)+IF('計算A'!J$117=1,INDEX('計算A'!K$10:K$54,$B31),0))*4000,0)-IF(AND('計算A'!I$117=1,UG31&gt;0),2000,0)-IF(AND($L31=1,'計算A'!J$117=1,DI31=0),2000,0))),1000000))</f>
        <v/>
      </c>
      <c r="OM31">
        <f>IF($B31=0,1000000,IF(INDEX('計算A'!$D$60:$EQ$104,$B31,8)*DI31=1,IF(AND($E31=2,IX31=0),1000000,IF($I31&gt;0,IF(1=$J31,IF(OR(AND(8=$I31+1,OR($K31&lt;&gt;'計算A'!$A$3,'計算A'!$A$4=0)),AND(8=$I31-1,OR(8&lt;&gt;'計算A'!$A$3,'計算A'!$A$4=0))),0,IF(8=$K31,200000,ABS(8-$K31)*100)),100000+ABS(1-$J31)*1000+80)+'計算A'!K$5*50+IF(AND($E31=1,IX31=0),25,0),IF($F31&gt;0,INDEX('計算A'!K$110:K$114,$F31+1)+IF(AND($E31=1,IX31=0),1000,0),MIN(TU31,20)*400+(IF('計算A'!J$106=1,1-DH31,0)+IF('計算A'!K$106=1,1-DJ31,0))*150+81+'計算A'!K$5*100000+IF(AND($E31=1,IX31=0),50000,0))+IF($H31=1,(IF('計算A'!J$117=1,INDEX('計算A'!J$10:J$54,$B31),0)+IF('計算A'!K$117=1,INDEX('計算A'!L$10:L$54,$B31),0))*4000,0)-IF(AND('計算A'!J$117=1,UH31&gt;0),2000,0)-IF(AND($L31=1,'計算A'!K$117=1,DJ31=0),2000,0))),1000000))</f>
        <v/>
      </c>
      <c r="ON31">
        <f>IF($B31=0,1000000,IF(INDEX('計算A'!$D$60:$EQ$104,$B31,9)*DJ31=1,IF(AND($E31=2,IY31=0),1000000,IF($I31&gt;0,IF(1=$J31,IF(OR(AND(9=$I31+1,OR($K31&lt;&gt;'計算A'!$A$3,'計算A'!$A$4=0)),AND(9=$I31-1,OR(9&lt;&gt;'計算A'!$A$3,'計算A'!$A$4=0))),0,IF(9=$K31,200000,ABS(9-$K31)*100)),100000+ABS(1-$J31)*1000+90)+'計算A'!L$5*50+IF(AND($E31=1,IY31=0),25,0),IF($F31&gt;0,INDEX('計算A'!L$110:L$114,$F31+1)+IF(AND($E31=1,IY31=0),1000,0),MIN(TU31,20)*400+(IF('計算A'!K$106=1,1-DI31,0)+IF('計算A'!L$106=1,1-DK31,0))*150+91+'計算A'!L$5*100000+IF(AND($E31=1,IY31=0),50000,0))+IF($H31=1,(IF('計算A'!K$117=1,INDEX('計算A'!K$10:K$54,$B31),0)+IF('計算A'!L$117=1,INDEX('計算A'!M$10:M$54,$B31),0))*4000,0)-IF(AND('計算A'!K$117=1,UI31&gt;0),2000,0)-IF(AND($L31=1,'計算A'!L$117=1,DK31=0),2000,0))),1000000))</f>
        <v/>
      </c>
      <c r="OO31">
        <f>IF($B31=0,1000000,IF(INDEX('計算A'!$D$60:$EQ$104,$B31,10)*DK31=1,IF(AND($E31=2,IZ31=0),1000000,IF($I31&gt;0,IF(1=$J31,IF(OR(AND(10=$I31+1,OR($K31&lt;&gt;'計算A'!$A$3,'計算A'!$A$4=0)),AND(10=$I31-1,OR(10&lt;&gt;'計算A'!$A$3,'計算A'!$A$4=0))),0,IF(10=$K31,200000,ABS(10-$K31)*100)),100000+ABS(1-$J31)*1000+100)+'計算A'!M$5*50+IF(AND($E31=1,IZ31=0),25,0),IF($F31&gt;0,INDEX('計算A'!M$110:M$114,$F31+1)+IF(AND($E31=1,IZ31=0),1000,0),MIN(TU31,20)*400+(IF('計算A'!L$106=1,1-DJ31,0)+IF('計算A'!M$106=1,1-DL31,0))*150+101+'計算A'!M$5*100000+IF(AND($E31=1,IZ31=0),50000,0))+IF($H31=1,(IF('計算A'!L$117=1,INDEX('計算A'!L$10:L$54,$B31),0)+IF('計算A'!M$117=1,INDEX('計算A'!N$10:N$54,$B31),0))*4000,0)-IF(AND('計算A'!L$117=1,UJ31&gt;0),2000,0)-IF(AND($L31=1,'計算A'!M$117=1,DL31=0),2000,0))),1000000))</f>
        <v/>
      </c>
      <c r="OP31">
        <f>IF($B31=0,1000000,IF(INDEX('計算A'!$D$60:$EQ$104,$B31,11)*DL31=1,IF(AND($E31=2,JA31=0),1000000,IF($I31&gt;0,IF(1=$J31,IF(OR(AND(11=$I31+1,OR($K31&lt;&gt;'計算A'!$A$3,'計算A'!$A$4=0)),AND(11=$I31-1,OR(11&lt;&gt;'計算A'!$A$3,'計算A'!$A$4=0))),0,IF(11=$K31,200000,ABS(11-$K31)*100)),100000+ABS(1-$J31)*1000+110)+'計算A'!N$5*50+IF(AND($E31=1,JA31=0),25,0),IF($F31&gt;0,INDEX('計算A'!N$110:N$114,$F31+1)+IF(AND($E31=1,JA31=0),1000,0),MIN(TU31,20)*400+(IF('計算A'!M$106=1,1-DK31,0)+IF('計算A'!N$106=1,1-DM31,0))*150+111+'計算A'!N$5*100000+IF(AND($E31=1,JA31=0),50000,0))+IF($H31=1,(IF('計算A'!M$117=1,INDEX('計算A'!M$10:M$54,$B31),0)+IF('計算A'!N$117=1,INDEX('計算A'!O$10:O$54,$B31),0))*4000,0)-IF(AND('計算A'!M$117=1,UK31&gt;0),2000,0)-IF(AND($L31=1,'計算A'!N$117=1,DM31=0),2000,0))),1000000))</f>
        <v/>
      </c>
      <c r="OQ31">
        <f>IF($B31=0,1000000,IF(INDEX('計算A'!$D$60:$EQ$104,$B31,12)*DM31=1,IF(AND($E31=2,JB31=0),1000000,IF($I31&gt;0,IF(1=$J31,IF(OR(AND(12=$I31+1,OR($K31&lt;&gt;'計算A'!$A$3,'計算A'!$A$4=0)),AND(12=$I31-1,OR(12&lt;&gt;'計算A'!$A$3,'計算A'!$A$4=0))),0,IF(12=$K31,200000,ABS(12-$K31)*100)),100000+ABS(1-$J31)*1000+120)+'計算A'!O$5*50+IF(AND($E31=1,JB31=0),25,0),IF($F31&gt;0,INDEX('計算A'!O$110:O$114,$F31+1)+IF(AND($E31=1,JB31=0),1000,0),MIN(TU31,20)*400+(IF('計算A'!N$106=1,1-DL31,0)+IF('計算A'!O$106=1,1-DN31,0))*150+121+'計算A'!O$5*100000+IF(AND($E31=1,JB31=0),50000,0))+IF($H31=1,(IF('計算A'!N$117=1,INDEX('計算A'!N$10:N$54,$B31),0)+IF('計算A'!O$117=1,INDEX('計算A'!P$10:P$54,$B31),0))*4000,0)-IF(AND('計算A'!N$117=1,UL31&gt;0),2000,0)-IF(AND($L31=1,'計算A'!O$117=1,DN31=0),2000,0))),1000000))</f>
        <v/>
      </c>
      <c r="OR31">
        <f>IF($B31=0,1000000,IF(INDEX('計算A'!$D$60:$EQ$104,$B31,13)*DN31=1,IF(AND($E31=2,JC31=0),1000000,IF($I31&gt;0,IF(1=$J31,IF(OR(AND(13=$I31+1,OR($K31&lt;&gt;'計算A'!$A$3,'計算A'!$A$4=0)),AND(13=$I31-1,OR(13&lt;&gt;'計算A'!$A$3,'計算A'!$A$4=0))),0,IF(13=$K31,200000,ABS(13-$K31)*100)),100000+ABS(1-$J31)*1000+130)+'計算A'!P$5*50+IF(AND($E31=1,JC31=0),25,0),IF($F31&gt;0,INDEX('計算A'!P$110:P$114,$F31+1)+IF(AND($E31=1,JC31=0),1000,0),MIN(TU31,20)*400+(IF('計算A'!O$106=1,1-DM31,0)+IF('計算A'!P$106=1,1-DO31,0))*150+131+'計算A'!P$5*100000+IF(AND($E31=1,JC31=0),50000,0))+IF($H31=1,(IF('計算A'!O$117=1,INDEX('計算A'!O$10:O$54,$B31),0)+IF('計算A'!P$117=1,INDEX('計算A'!Q$10:Q$54,$B31),0))*4000,0)-IF(AND('計算A'!O$117=1,UM31&gt;0),2000,0)-IF(AND($L31=1,'計算A'!P$117=1,DO31=0),2000,0))),1000000))</f>
        <v/>
      </c>
      <c r="OS31">
        <f>IF($B31=0,1000000,IF(INDEX('計算A'!$D$60:$EQ$104,$B31,14)*DO31=1,IF(AND($E31=2,JD31=0),1000000,IF($I31&gt;0,IF(1=$J31,IF(OR(AND(14=$I31+1,OR($K31&lt;&gt;'計算A'!$A$3,'計算A'!$A$4=0)),AND(14=$I31-1,OR(14&lt;&gt;'計算A'!$A$3,'計算A'!$A$4=0))),0,IF(14=$K31,200000,ABS(14-$K31)*100)),100000+ABS(1-$J31)*1000+140)+'計算A'!Q$5*50+IF(AND($E31=1,JD31=0),25,0),IF($F31&gt;0,INDEX('計算A'!Q$110:Q$114,$F31+1)+IF(AND($E31=1,JD31=0),1000,0),MIN(TU31,20)*400+(IF('計算A'!P$106=1,1-DN31,0)+IF('計算A'!Q$106=1,1-DP31,0))*150+141+'計算A'!Q$5*100000+IF(AND($E31=1,JD31=0),50000,0))+IF($H31=1,(IF('計算A'!P$117=1,INDEX('計算A'!P$10:P$54,$B31),0)+IF('計算A'!Q$117=1,INDEX('計算A'!R$10:R$54,$B31),0))*4000,0)-IF(AND('計算A'!P$117=1,UN31&gt;0),2000,0)-IF(AND($L31=1,'計算A'!Q$117=1,DP31=0),2000,0))),1000000))</f>
        <v/>
      </c>
      <c r="OT31">
        <f>IF($B31=0,1000000,IF(INDEX('計算A'!$D$60:$EQ$104,$B31,15)*DP31=1,IF(AND($E31=2,JE31=0),1000000,IF($I31&gt;0,IF(1=$J31,IF(OR(AND(15=$I31+1,OR($K31&lt;&gt;'計算A'!$A$3,'計算A'!$A$4=0)),AND(15=$I31-1,OR(15&lt;&gt;'計算A'!$A$3,'計算A'!$A$4=0))),0,IF(15=$K31,200000,ABS(15-$K31)*100)),100000+ABS(1-$J31)*1000+150)+'計算A'!R$5*50+IF(AND($E31=1,JE31=0),25,0),IF($F31&gt;0,INDEX('計算A'!R$110:R$114,$F31+1)+IF(AND($E31=1,JE31=0),1000,0),MIN(TU31,20)*400+(IF('計算A'!Q$106=1,1-DO31,0)+IF('計算A'!R$106=1,1-DQ31,0))*150+151+'計算A'!R$5*100000+IF(AND($E31=1,JE31=0),50000,0))+IF($H31=1,(IF('計算A'!Q$117=1,INDEX('計算A'!Q$10:Q$54,$B31),0)+IF('計算A'!R$117=1,INDEX('計算A'!S$10:S$54,$B31),0))*4000,0)-IF(AND('計算A'!Q$117=1,UO31&gt;0),2000,0)-IF(AND($L31=1,'計算A'!R$117=1,DQ31=0),2000,0))),1000000))</f>
        <v/>
      </c>
      <c r="OU31">
        <f>IF($B31=0,1000000,IF(INDEX('計算A'!$D$60:$EQ$104,$B31,16)*DQ31=1,IF(AND($E31=2,JF31=0),1000000,IF($I31&gt;0,IF(1=$J31,IF(OR(AND(16=$I31+1,OR($K31&lt;&gt;'計算A'!$A$3,'計算A'!$A$4=0)),AND(16=$I31-1,OR(16&lt;&gt;'計算A'!$A$3,'計算A'!$A$4=0))),0,IF(16=$K31,200000,ABS(16-$K31)*100)),100000+ABS(1-$J31)*1000+160)+'計算A'!S$5*50+IF(AND($E31=1,JF31=0),25,0),IF($F31&gt;0,INDEX('計算A'!S$110:S$114,$F31+1)+IF(AND($E31=1,JF31=0),1000,0),MIN(TU31,20)*400+(IF('計算A'!R$106=1,1-DP31,0)+IF('計算A'!S$106=1,1-DR31,0))*150+161+'計算A'!S$5*100000+IF(AND($E31=1,JF31=0),50000,0))+IF($H31=1,(IF('計算A'!R$117=1,INDEX('計算A'!R$10:R$54,$B31),0)+IF('計算A'!S$117=1,INDEX('計算A'!T$10:T$54,$B31),0))*4000,0)-IF(AND('計算A'!R$117=1,UP31&gt;0),2000,0)-IF(AND($L31=1,'計算A'!S$117=1,DR31=0),2000,0))),1000000))</f>
        <v/>
      </c>
      <c r="OV31">
        <f>IF($B31=0,1000000,IF(INDEX('計算A'!$D$60:$EQ$104,$B31,17)*DR31=1,IF(AND($E31=2,JG31=0),1000000,IF($I31&gt;0,IF(1=$J31,IF(OR(AND(17=$I31+1,OR($K31&lt;&gt;'計算A'!$A$3,'計算A'!$A$4=0)),AND(17=$I31-1,OR(17&lt;&gt;'計算A'!$A$3,'計算A'!$A$4=0))),0,IF(17=$K31,200000,ABS(17-$K31)*100)),100000+ABS(1-$J31)*1000+170)+'計算A'!T$5*50+IF(AND($E31=1,JG31=0),25,0),IF($F31&gt;0,INDEX('計算A'!T$110:T$114,$F31+1)+IF(AND($E31=1,JG31=0),1000,0),MIN(TU31,20)*400+(IF('計算A'!S$106=1,1-DQ31,0)+IF('計算A'!T$106=1,1-DS31,0))*150+171+'計算A'!T$5*100000+IF(AND($E31=1,JG31=0),50000,0))+IF($H31=1,(IF('計算A'!S$117=1,INDEX('計算A'!S$10:S$54,$B31),0)+IF('計算A'!T$117=1,INDEX('計算A'!U$10:U$54,$B31),0))*4000,0)-IF(AND('計算A'!S$117=1,UQ31&gt;0),2000,0)-IF(AND($L31=1,'計算A'!T$117=1,DS31=0),2000,0))),1000000))</f>
        <v/>
      </c>
      <c r="OW31">
        <f>IF($B31=0,1000000,IF(INDEX('計算A'!$D$60:$EQ$104,$B31,18)*DS31=1,IF(AND($E31=2,JH31=0),1000000,IF($I31&gt;0,IF(1=$J31,IF(OR(AND(18=$I31+1,OR($K31&lt;&gt;'計算A'!$A$3,'計算A'!$A$4=0)),AND(18=$I31-1,OR(18&lt;&gt;'計算A'!$A$3,'計算A'!$A$4=0))),0,IF(18=$K31,200000,ABS(18-$K31)*100)),100000+ABS(1-$J31)*1000+180)+'計算A'!U$5*50+IF(AND($E31=1,JH31=0),25,0),IF($F31&gt;0,INDEX('計算A'!U$110:U$114,$F31+1)+IF(AND($E31=1,JH31=0),1000,0),MIN(TU31,20)*400+(IF('計算A'!T$106=1,1-DR31,0)+IF('計算A'!U$106=1,1-DT31,0))*150+181+'計算A'!U$5*100000+IF(AND($E31=1,JH31=0),50000,0))+IF($H31=1,(IF('計算A'!T$117=1,INDEX('計算A'!T$10:T$54,$B31),0)+IF('計算A'!U$117=1,INDEX('計算A'!V$10:V$54,$B31),0))*4000,0)-IF(AND('計算A'!T$117=1,UR31&gt;0),2000,0)-IF(AND($L31=1,'計算A'!U$117=1,DT31=0),2000,0))),1000000))</f>
        <v/>
      </c>
      <c r="OX31">
        <f>IF($B31=0,1000000,IF(INDEX('計算A'!$D$60:$EQ$104,$B31,19)*DT31=1,IF(AND($E31=2,JI31=0),1000000,IF($I31&gt;0,IF(1=$J31,IF(OR(AND(19=$I31+1,OR($K31&lt;&gt;'計算A'!$A$3,'計算A'!$A$4=0)),AND(19=$I31-1,OR(19&lt;&gt;'計算A'!$A$3,'計算A'!$A$4=0))),0,IF(19=$K31,200000,ABS(19-$K31)*100)),100000+ABS(1-$J31)*1000+190)+'計算A'!V$5*50+IF(AND($E31=1,JI31=0),25,0),IF($F31&gt;0,INDEX('計算A'!V$110:V$114,$F31+1)+IF(AND($E31=1,JI31=0),1000,0),MIN(TU31,20)*400+(IF('計算A'!U$106=1,1-DS31,0)+IF('計算A'!V$106=1,1-DU31,0))*150+191+'計算A'!V$5*100000+IF(AND($E31=1,JI31=0),50000,0))+IF($H31=1,(IF('計算A'!U$117=1,INDEX('計算A'!U$10:U$54,$B31),0)+IF('計算A'!V$117=1,INDEX('計算A'!W$10:W$54,$B31),0))*4000,0)-IF(AND('計算A'!U$117=1,US31&gt;0),2000,0)-IF(AND($L31=1,'計算A'!V$117=1,DU31=0),2000,0))),1000000))</f>
        <v/>
      </c>
      <c r="OY31">
        <f>IF($B31=0,1000000,IF(INDEX('計算A'!$D$60:$EQ$104,$B31,20)*DU31=1,IF(AND($E31=2,JJ31=0),1000000,IF($I31&gt;0,IF(1=$J31,IF(OR(AND(20=$I31+1,OR($K31&lt;&gt;'計算A'!$A$3,'計算A'!$A$4=0)),AND(20=$I31-1,OR(20&lt;&gt;'計算A'!$A$3,'計算A'!$A$4=0))),0,IF(20=$K31,200000,ABS(20-$K31)*100)),100000+ABS(1-$J31)*1000+200)+'計算A'!W$5*50+IF(AND($E31=1,JJ31=0),25,0),IF($F31&gt;0,INDEX('計算A'!W$110:W$114,$F31+1)+IF(AND($E31=1,JJ31=0),1000,0),MIN(TU31,20)*400+(IF('計算A'!V$106=1,1-DT31,0)+IF('計算A'!W$106=1,1-DV31,0))*150+201+'計算A'!W$5*100000+IF(AND($E31=1,JJ31=0),50000,0))+IF($H31=1,(IF('計算A'!V$117=1,INDEX('計算A'!V$10:V$54,$B31),0)+IF('計算A'!W$117=1,INDEX('計算A'!X$10:X$54,$B31),0))*4000,0)-IF(AND('計算A'!V$117=1,UT31&gt;0),2000,0)-IF(AND($L31=1,'計算A'!W$117=1,DV31=0),2000,0))),1000000))</f>
        <v/>
      </c>
      <c r="OZ31">
        <f>IF($B31=0,1000000,IF(INDEX('計算A'!$D$60:$EQ$104,$B31,21)*DV31=1,IF(AND($E31=2,JK31=0),1000000,IF($I31&gt;0,IF(1=$J31,IF(OR(AND(21=$I31+1,OR($K31&lt;&gt;'計算A'!$A$3,'計算A'!$A$4=0)),AND(21=$I31-1,OR(21&lt;&gt;'計算A'!$A$3,'計算A'!$A$4=0))),0,IF(21=$K31,200000,ABS(21-$K31)*100)),100000+ABS(1-$J31)*1000+210)+'計算A'!X$5*50+IF(AND($E31=1,JK31=0),25,0),IF($F31&gt;0,INDEX('計算A'!X$110:X$114,$F31+1)+IF(AND($E31=1,JK31=0),1000,0),MIN(TU31,20)*400+(IF('計算A'!W$106=1,1-DU31,0)+IF('計算A'!X$106=1,1-DW31,0))*150+211+'計算A'!X$5*100000+IF(AND($E31=1,JK31=0),50000,0))+IF($H31=1,(IF('計算A'!W$117=1,INDEX('計算A'!W$10:W$54,$B31),0)+IF('計算A'!X$117=1,INDEX('計算A'!Y$10:Y$54,$B31),0))*4000,0)-IF(AND('計算A'!W$117=1,UU31&gt;0),2000,0)-IF(AND($L31=1,'計算A'!X$117=1,DW31=0),2000,0))),1000000))</f>
        <v/>
      </c>
      <c r="PA31">
        <f>IF($B31=0,1000000,IF(INDEX('計算A'!$D$60:$EQ$104,$B31,22)*DW31=1,IF(AND($E31=2,JL31=0),1000000,IF($I31&gt;0,IF(1=$J31,IF(OR(AND(22=$I31+1,OR($K31&lt;&gt;'計算A'!$A$3,'計算A'!$A$4=0)),AND(22=$I31-1,OR(22&lt;&gt;'計算A'!$A$3,'計算A'!$A$4=0))),0,IF(22=$K31,200000,ABS(22-$K31)*100)),100000+ABS(1-$J31)*1000+220)+'計算A'!Y$5*50+IF(AND($E31=1,JL31=0),25,0),IF($F31&gt;0,INDEX('計算A'!Y$110:Y$114,$F31+1)+IF(AND($E31=1,JL31=0),1000,0),MIN(TU31,20)*400+(IF('計算A'!X$106=1,1-DV31,0)+IF('計算A'!Y$106=1,1-DX31,0))*150+221+'計算A'!Y$5*100000+IF(AND($E31=1,JL31=0),50000,0))+IF($H31=1,(IF('計算A'!X$117=1,INDEX('計算A'!X$10:X$54,$B31),0)+IF('計算A'!Y$117=1,INDEX('計算A'!Z$10:Z$54,$B31),0))*4000,0)-IF(AND('計算A'!X$117=1,UV31&gt;0),2000,0)-IF(AND($L31=1,'計算A'!Y$117=1,DX31=0),2000,0))),1000000))</f>
        <v/>
      </c>
      <c r="PB31">
        <f>IF($B31=0,1000000,IF(INDEX('計算A'!$D$60:$EQ$104,$B31,23)*DX31=1,IF(AND($E31=2,JM31=0),1000000,IF($I31&gt;0,IF(1=$J31,IF(OR(AND(23=$I31+1,OR($K31&lt;&gt;'計算A'!$A$3,'計算A'!$A$4=0)),AND(23=$I31-1,OR(23&lt;&gt;'計算A'!$A$3,'計算A'!$A$4=0))),0,IF(23=$K31,200000,ABS(23-$K31)*100)),100000+ABS(1-$J31)*1000+230)+'計算A'!Z$5*50+IF(AND($E31=1,JM31=0),25,0),IF($F31&gt;0,INDEX('計算A'!Z$110:Z$114,$F31+1)+IF(AND($E31=1,JM31=0),1000,0),MIN(TU31,20)*400+(IF('計算A'!Y$106=1,1-DW31,0)+IF('計算A'!Z$106=1,1-DY31,0))*150+231+'計算A'!Z$5*100000+IF(AND($E31=1,JM31=0),50000,0))+IF($H31=1,(IF('計算A'!Y$117=1,INDEX('計算A'!Y$10:Y$54,$B31),0)+IF('計算A'!Z$117=1,INDEX('計算A'!AA$10:AA$54,$B31),0))*4000,0)-IF(AND('計算A'!Y$117=1,UW31&gt;0),2000,0)-IF(AND($L31=1,'計算A'!Z$117=1,DY31=0),2000,0))),1000000))</f>
        <v/>
      </c>
      <c r="PC31">
        <f>IF($B31=0,1000000,IF(INDEX('計算A'!$D$60:$EQ$104,$B31,24)*DY31=1,IF(AND($E31=2,JN31=0),1000000,IF($I31&gt;0,IF(1=$J31,IF(OR(AND(24=$I31+1,OR($K31&lt;&gt;'計算A'!$A$3,'計算A'!$A$4=0)),AND(24=$I31-1,OR(24&lt;&gt;'計算A'!$A$3,'計算A'!$A$4=0))),0,IF(24=$K31,200000,ABS(24-$K31)*100)),100000+ABS(1-$J31)*1000+240)+'計算A'!AA$5*50+IF(AND($E31=1,JN31=0),25,0),IF($F31&gt;0,INDEX('計算A'!AA$110:AA$114,$F31+1)+IF(AND($E31=1,JN31=0),1000,0),MIN(TU31,20)*400+(IF('計算A'!Z$106=1,1-DX31,0))*150+241+'計算A'!AA$5*100000+IF(AND($E31=1,JN31=0),50000,0))+IF($H31=1,(IF('計算A'!Z$117=1,INDEX('計算A'!Z$10:Z$54,$B31),0))*4000,0)-IF(AND('計算A'!Z$117=1,UX31&gt;0),2000,0))),1000000))</f>
        <v/>
      </c>
      <c r="PD31">
        <f>IF($B31=0,1000000,IF(INDEX('計算A'!$D$60:$EQ$104,$B31,25)*DZ31=1,IF(AND($E31=2,JO31=0),1000000,IF($I31&gt;0,IF(2=$J31,IF(OR(AND(25=$I31+1,OR($K31&lt;&gt;'計算A'!$A$3,'計算A'!$A$4=0)),AND(25=$I31-1,OR(1&lt;&gt;'計算A'!$A$3,'計算A'!$A$4=0))),0,IF(1=$K31,200000,ABS(1-$K31)*100)),100000+ABS(2-$J31)*1000+10)+'計算A'!AB$5*50+IF(AND($E31=1,JO31=0),25,0),IF($F31&gt;0,INDEX('計算A'!AB$110:AB$114,$F31+1)+IF(AND($E31=1,JO31=0),1000,0),MIN(TV31,20)*400+(IF('計算A'!AB$106=1,1-EA31,0))*150+12+'計算A'!AB$5*100000+IF(AND($E31=1,JO31=0),50000,0))+IF($H31=1,(IF('計算A'!AB$117=1,INDEX('計算A'!AC$10:AC$54,$B31),0))*4000,0)-IF(AND($L31=1,'計算A'!AB$117=1,EA31=0),2000,0))),1000000))</f>
        <v/>
      </c>
      <c r="PE31">
        <f>IF($B31=0,1000000,IF(INDEX('計算A'!$D$60:$EQ$104,$B31,26)*EA31=1,IF(AND($E31=2,JP31=0),1000000,IF($I31&gt;0,IF(2=$J31,IF(OR(AND(26=$I31+1,OR($K31&lt;&gt;'計算A'!$A$3,'計算A'!$A$4=0)),AND(26=$I31-1,OR(2&lt;&gt;'計算A'!$A$3,'計算A'!$A$4=0))),0,IF(2=$K31,200000,ABS(2-$K31)*100)),100000+ABS(2-$J31)*1000+20)+'計算A'!AC$5*50+IF(AND($E31=1,JP31=0),25,0),IF($F31&gt;0,INDEX('計算A'!AC$110:AC$114,$F31+1)+IF(AND($E31=1,JP31=0),1000,0),MIN(TV31,20)*400+(IF('計算A'!AB$106=1,1-DZ31,0)+IF('計算A'!AC$106=1,1-EB31,0))*150+22+'計算A'!AC$5*100000+IF(AND($E31=1,JP31=0),50000,0))+IF($H31=1,(IF('計算A'!AB$117=1,INDEX('計算A'!AB$10:AB$54,$B31),0)+IF('計算A'!AC$117=1,INDEX('計算A'!AD$10:AD$54,$B31),0))*4000,0)-IF(AND('計算A'!AB$117=1,UZ31&gt;0),2000,0)-IF(AND($L31=1,'計算A'!AC$117=1,EB31=0),2000,0))),1000000))</f>
        <v/>
      </c>
      <c r="PF31">
        <f>IF($B31=0,1000000,IF(INDEX('計算A'!$D$60:$EQ$104,$B31,27)*EB31=1,IF(AND($E31=2,JQ31=0),1000000,IF($I31&gt;0,IF(2=$J31,IF(OR(AND(27=$I31+1,OR($K31&lt;&gt;'計算A'!$A$3,'計算A'!$A$4=0)),AND(27=$I31-1,OR(3&lt;&gt;'計算A'!$A$3,'計算A'!$A$4=0))),0,IF(3=$K31,200000,ABS(3-$K31)*100)),100000+ABS(2-$J31)*1000+30)+'計算A'!AD$5*50+IF(AND($E31=1,JQ31=0),25,0),IF($F31&gt;0,INDEX('計算A'!AD$110:AD$114,$F31+1)+IF(AND($E31=1,JQ31=0),1000,0),MIN(TV31,20)*400+(IF('計算A'!AC$106=1,1-EA31,0)+IF('計算A'!AD$106=1,1-EC31,0))*150+32+'計算A'!AD$5*100000+IF(AND($E31=1,JQ31=0),50000,0))+IF($H31=1,(IF('計算A'!AC$117=1,INDEX('計算A'!AC$10:AC$54,$B31),0)+IF('計算A'!AD$117=1,INDEX('計算A'!AE$10:AE$54,$B31),0))*4000,0)-IF(AND('計算A'!AC$117=1,VA31&gt;0),2000,0)-IF(AND($L31=1,'計算A'!AD$117=1,EC31=0),2000,0))),1000000))</f>
        <v/>
      </c>
      <c r="PG31">
        <f>IF($B31=0,1000000,IF(INDEX('計算A'!$D$60:$EQ$104,$B31,28)*EC31=1,IF(AND($E31=2,JR31=0),1000000,IF($I31&gt;0,IF(2=$J31,IF(OR(AND(28=$I31+1,OR($K31&lt;&gt;'計算A'!$A$3,'計算A'!$A$4=0)),AND(28=$I31-1,OR(4&lt;&gt;'計算A'!$A$3,'計算A'!$A$4=0))),0,IF(4=$K31,200000,ABS(4-$K31)*100)),100000+ABS(2-$J31)*1000+40)+'計算A'!AE$5*50+IF(AND($E31=1,JR31=0),25,0),IF($F31&gt;0,INDEX('計算A'!AE$110:AE$114,$F31+1)+IF(AND($E31=1,JR31=0),1000,0),MIN(TV31,20)*400+(IF('計算A'!AD$106=1,1-EB31,0)+IF('計算A'!AE$106=1,1-ED31,0))*150+42+'計算A'!AE$5*100000+IF(AND($E31=1,JR31=0),50000,0))+IF($H31=1,(IF('計算A'!AD$117=1,INDEX('計算A'!AD$10:AD$54,$B31),0)+IF('計算A'!AE$117=1,INDEX('計算A'!AF$10:AF$54,$B31),0))*4000,0)-IF(AND('計算A'!AD$117=1,VB31&gt;0),2000,0)-IF(AND($L31=1,'計算A'!AE$117=1,ED31=0),2000,0))),1000000))</f>
        <v/>
      </c>
      <c r="PH31">
        <f>IF($B31=0,1000000,IF(INDEX('計算A'!$D$60:$EQ$104,$B31,29)*ED31=1,IF(AND($E31=2,JS31=0),1000000,IF($I31&gt;0,IF(2=$J31,IF(OR(AND(29=$I31+1,OR($K31&lt;&gt;'計算A'!$A$3,'計算A'!$A$4=0)),AND(29=$I31-1,OR(5&lt;&gt;'計算A'!$A$3,'計算A'!$A$4=0))),0,IF(5=$K31,200000,ABS(5-$K31)*100)),100000+ABS(2-$J31)*1000+50)+'計算A'!AF$5*50+IF(AND($E31=1,JS31=0),25,0),IF($F31&gt;0,INDEX('計算A'!AF$110:AF$114,$F31+1)+IF(AND($E31=1,JS31=0),1000,0),MIN(TV31,20)*400+(IF('計算A'!AE$106=1,1-EC31,0)+IF('計算A'!AF$106=1,1-EE31,0))*150+52+'計算A'!AF$5*100000+IF(AND($E31=1,JS31=0),50000,0))+IF($H31=1,(IF('計算A'!AE$117=1,INDEX('計算A'!AE$10:AE$54,$B31),0)+IF('計算A'!AF$117=1,INDEX('計算A'!AG$10:AG$54,$B31),0))*4000,0)-IF(AND('計算A'!AE$117=1,VC31&gt;0),2000,0)-IF(AND($L31=1,'計算A'!AF$117=1,EE31=0),2000,0))),1000000))</f>
        <v/>
      </c>
      <c r="PI31">
        <f>IF($B31=0,1000000,IF(INDEX('計算A'!$D$60:$EQ$104,$B31,30)*EE31=1,IF(AND($E31=2,JT31=0),1000000,IF($I31&gt;0,IF(2=$J31,IF(OR(AND(30=$I31+1,OR($K31&lt;&gt;'計算A'!$A$3,'計算A'!$A$4=0)),AND(30=$I31-1,OR(6&lt;&gt;'計算A'!$A$3,'計算A'!$A$4=0))),0,IF(6=$K31,200000,ABS(6-$K31)*100)),100000+ABS(2-$J31)*1000+60)+'計算A'!AG$5*50+IF(AND($E31=1,JT31=0),25,0),IF($F31&gt;0,INDEX('計算A'!AG$110:AG$114,$F31+1)+IF(AND($E31=1,JT31=0),1000,0),MIN(TV31,20)*400+(IF('計算A'!AF$106=1,1-ED31,0)+IF('計算A'!AG$106=1,1-EF31,0))*150+62+'計算A'!AG$5*100000+IF(AND($E31=1,JT31=0),50000,0))+IF($H31=1,(IF('計算A'!AF$117=1,INDEX('計算A'!AF$10:AF$54,$B31),0)+IF('計算A'!AG$117=1,INDEX('計算A'!AH$10:AH$54,$B31),0))*4000,0)-IF(AND('計算A'!AF$117=1,VD31&gt;0),2000,0)-IF(AND($L31=1,'計算A'!AG$117=1,EF31=0),2000,0))),1000000))</f>
        <v/>
      </c>
      <c r="PJ31">
        <f>IF($B31=0,1000000,IF(INDEX('計算A'!$D$60:$EQ$104,$B31,31)*EF31=1,IF(AND($E31=2,JU31=0),1000000,IF($I31&gt;0,IF(2=$J31,IF(OR(AND(31=$I31+1,OR($K31&lt;&gt;'計算A'!$A$3,'計算A'!$A$4=0)),AND(31=$I31-1,OR(7&lt;&gt;'計算A'!$A$3,'計算A'!$A$4=0))),0,IF(7=$K31,200000,ABS(7-$K31)*100)),100000+ABS(2-$J31)*1000+70)+'計算A'!AH$5*50+IF(AND($E31=1,JU31=0),25,0),IF($F31&gt;0,INDEX('計算A'!AH$110:AH$114,$F31+1)+IF(AND($E31=1,JU31=0),1000,0),MIN(TV31,20)*400+(IF('計算A'!AG$106=1,1-EE31,0)+IF('計算A'!AH$106=1,1-EG31,0))*150+72+'計算A'!AH$5*100000+IF(AND($E31=1,JU31=0),50000,0))+IF($H31=1,(IF('計算A'!AG$117=1,INDEX('計算A'!AG$10:AG$54,$B31),0)+IF('計算A'!AH$117=1,INDEX('計算A'!AI$10:AI$54,$B31),0))*4000,0)-IF(AND('計算A'!AG$117=1,VE31&gt;0),2000,0)-IF(AND($L31=1,'計算A'!AH$117=1,EG31=0),2000,0))),1000000))</f>
        <v/>
      </c>
      <c r="PK31">
        <f>IF($B31=0,1000000,IF(INDEX('計算A'!$D$60:$EQ$104,$B31,32)*EG31=1,IF(AND($E31=2,JV31=0),1000000,IF($I31&gt;0,IF(2=$J31,IF(OR(AND(32=$I31+1,OR($K31&lt;&gt;'計算A'!$A$3,'計算A'!$A$4=0)),AND(32=$I31-1,OR(8&lt;&gt;'計算A'!$A$3,'計算A'!$A$4=0))),0,IF(8=$K31,200000,ABS(8-$K31)*100)),100000+ABS(2-$J31)*1000+80)+'計算A'!AI$5*50+IF(AND($E31=1,JV31=0),25,0),IF($F31&gt;0,INDEX('計算A'!AI$110:AI$114,$F31+1)+IF(AND($E31=1,JV31=0),1000,0),MIN(TV31,20)*400+(IF('計算A'!AH$106=1,1-EF31,0)+IF('計算A'!AI$106=1,1-EH31,0))*150+82+'計算A'!AI$5*100000+IF(AND($E31=1,JV31=0),50000,0))+IF($H31=1,(IF('計算A'!AH$117=1,INDEX('計算A'!AH$10:AH$54,$B31),0)+IF('計算A'!AI$117=1,INDEX('計算A'!AJ$10:AJ$54,$B31),0))*4000,0)-IF(AND('計算A'!AH$117=1,VF31&gt;0),2000,0)-IF(AND($L31=1,'計算A'!AI$117=1,EH31=0),2000,0))),1000000))</f>
        <v/>
      </c>
      <c r="PL31">
        <f>IF($B31=0,1000000,IF(INDEX('計算A'!$D$60:$EQ$104,$B31,33)*EH31=1,IF(AND($E31=2,JW31=0),1000000,IF($I31&gt;0,IF(2=$J31,IF(OR(AND(33=$I31+1,OR($K31&lt;&gt;'計算A'!$A$3,'計算A'!$A$4=0)),AND(33=$I31-1,OR(9&lt;&gt;'計算A'!$A$3,'計算A'!$A$4=0))),0,IF(9=$K31,200000,ABS(9-$K31)*100)),100000+ABS(2-$J31)*1000+90)+'計算A'!AJ$5*50+IF(AND($E31=1,JW31=0),25,0),IF($F31&gt;0,INDEX('計算A'!AJ$110:AJ$114,$F31+1)+IF(AND($E31=1,JW31=0),1000,0),MIN(TV31,20)*400+(IF('計算A'!AI$106=1,1-EG31,0)+IF('計算A'!AJ$106=1,1-EI31,0))*150+92+'計算A'!AJ$5*100000+IF(AND($E31=1,JW31=0),50000,0))+IF($H31=1,(IF('計算A'!AI$117=1,INDEX('計算A'!AI$10:AI$54,$B31),0)+IF('計算A'!AJ$117=1,INDEX('計算A'!AK$10:AK$54,$B31),0))*4000,0)-IF(AND('計算A'!AI$117=1,VG31&gt;0),2000,0)-IF(AND($L31=1,'計算A'!AJ$117=1,EI31=0),2000,0))),1000000))</f>
        <v/>
      </c>
      <c r="PM31">
        <f>IF($B31=0,1000000,IF(INDEX('計算A'!$D$60:$EQ$104,$B31,34)*EI31=1,IF(AND($E31=2,JX31=0),1000000,IF($I31&gt;0,IF(2=$J31,IF(OR(AND(34=$I31+1,OR($K31&lt;&gt;'計算A'!$A$3,'計算A'!$A$4=0)),AND(34=$I31-1,OR(10&lt;&gt;'計算A'!$A$3,'計算A'!$A$4=0))),0,IF(10=$K31,200000,ABS(10-$K31)*100)),100000+ABS(2-$J31)*1000+100)+'計算A'!AK$5*50+IF(AND($E31=1,JX31=0),25,0),IF($F31&gt;0,INDEX('計算A'!AK$110:AK$114,$F31+1)+IF(AND($E31=1,JX31=0),1000,0),MIN(TV31,20)*400+(IF('計算A'!AJ$106=1,1-EH31,0)+IF('計算A'!AK$106=1,1-EJ31,0))*150+102+'計算A'!AK$5*100000+IF(AND($E31=1,JX31=0),50000,0))+IF($H31=1,(IF('計算A'!AJ$117=1,INDEX('計算A'!AJ$10:AJ$54,$B31),0)+IF('計算A'!AK$117=1,INDEX('計算A'!AL$10:AL$54,$B31),0))*4000,0)-IF(AND('計算A'!AJ$117=1,VH31&gt;0),2000,0)-IF(AND($L31=1,'計算A'!AK$117=1,EJ31=0),2000,0))),1000000))</f>
        <v/>
      </c>
      <c r="PN31">
        <f>IF($B31=0,1000000,IF(INDEX('計算A'!$D$60:$EQ$104,$B31,35)*EJ31=1,IF(AND($E31=2,JY31=0),1000000,IF($I31&gt;0,IF(2=$J31,IF(OR(AND(35=$I31+1,OR($K31&lt;&gt;'計算A'!$A$3,'計算A'!$A$4=0)),AND(35=$I31-1,OR(11&lt;&gt;'計算A'!$A$3,'計算A'!$A$4=0))),0,IF(11=$K31,200000,ABS(11-$K31)*100)),100000+ABS(2-$J31)*1000+110)+'計算A'!AL$5*50+IF(AND($E31=1,JY31=0),25,0),IF($F31&gt;0,INDEX('計算A'!AL$110:AL$114,$F31+1)+IF(AND($E31=1,JY31=0),1000,0),MIN(TV31,20)*400+(IF('計算A'!AK$106=1,1-EI31,0)+IF('計算A'!AL$106=1,1-EK31,0))*150+112+'計算A'!AL$5*100000+IF(AND($E31=1,JY31=0),50000,0))+IF($H31=1,(IF('計算A'!AK$117=1,INDEX('計算A'!AK$10:AK$54,$B31),0)+IF('計算A'!AL$117=1,INDEX('計算A'!AM$10:AM$54,$B31),0))*4000,0)-IF(AND('計算A'!AK$117=1,VI31&gt;0),2000,0)-IF(AND($L31=1,'計算A'!AL$117=1,EK31=0),2000,0))),1000000))</f>
        <v/>
      </c>
      <c r="PO31">
        <f>IF($B31=0,1000000,IF(INDEX('計算A'!$D$60:$EQ$104,$B31,36)*EK31=1,IF(AND($E31=2,JZ31=0),1000000,IF($I31&gt;0,IF(2=$J31,IF(OR(AND(36=$I31+1,OR($K31&lt;&gt;'計算A'!$A$3,'計算A'!$A$4=0)),AND(36=$I31-1,OR(12&lt;&gt;'計算A'!$A$3,'計算A'!$A$4=0))),0,IF(12=$K31,200000,ABS(12-$K31)*100)),100000+ABS(2-$J31)*1000+120)+'計算A'!AM$5*50+IF(AND($E31=1,JZ31=0),25,0),IF($F31&gt;0,INDEX('計算A'!AM$110:AM$114,$F31+1)+IF(AND($E31=1,JZ31=0),1000,0),MIN(TV31,20)*400+(IF('計算A'!AL$106=1,1-EJ31,0)+IF('計算A'!AM$106=1,1-EL31,0))*150+122+'計算A'!AM$5*100000+IF(AND($E31=1,JZ31=0),50000,0))+IF($H31=1,(IF('計算A'!AL$117=1,INDEX('計算A'!AL$10:AL$54,$B31),0)+IF('計算A'!AM$117=1,INDEX('計算A'!AN$10:AN$54,$B31),0))*4000,0)-IF(AND('計算A'!AL$117=1,VJ31&gt;0),2000,0)-IF(AND($L31=1,'計算A'!AM$117=1,EL31=0),2000,0))),1000000))</f>
        <v/>
      </c>
      <c r="PP31">
        <f>IF($B31=0,1000000,IF(INDEX('計算A'!$D$60:$EQ$104,$B31,37)*EL31=1,IF(AND($E31=2,KA31=0),1000000,IF($I31&gt;0,IF(2=$J31,IF(OR(AND(37=$I31+1,OR($K31&lt;&gt;'計算A'!$A$3,'計算A'!$A$4=0)),AND(37=$I31-1,OR(13&lt;&gt;'計算A'!$A$3,'計算A'!$A$4=0))),0,IF(13=$K31,200000,ABS(13-$K31)*100)),100000+ABS(2-$J31)*1000+130)+'計算A'!AN$5*50+IF(AND($E31=1,KA31=0),25,0),IF($F31&gt;0,INDEX('計算A'!AN$110:AN$114,$F31+1)+IF(AND($E31=1,KA31=0),1000,0),MIN(TV31,20)*400+(IF('計算A'!AM$106=1,1-EK31,0)+IF('計算A'!AN$106=1,1-EM31,0))*150+132+'計算A'!AN$5*100000+IF(AND($E31=1,KA31=0),50000,0))+IF($H31=1,(IF('計算A'!AM$117=1,INDEX('計算A'!AM$10:AM$54,$B31),0)+IF('計算A'!AN$117=1,INDEX('計算A'!AO$10:AO$54,$B31),0))*4000,0)-IF(AND('計算A'!AM$117=1,VK31&gt;0),2000,0)-IF(AND($L31=1,'計算A'!AN$117=1,EM31=0),2000,0))),1000000))</f>
        <v/>
      </c>
      <c r="PQ31">
        <f>IF($B31=0,1000000,IF(INDEX('計算A'!$D$60:$EQ$104,$B31,38)*EM31=1,IF(AND($E31=2,KB31=0),1000000,IF($I31&gt;0,IF(2=$J31,IF(OR(AND(38=$I31+1,OR($K31&lt;&gt;'計算A'!$A$3,'計算A'!$A$4=0)),AND(38=$I31-1,OR(14&lt;&gt;'計算A'!$A$3,'計算A'!$A$4=0))),0,IF(14=$K31,200000,ABS(14-$K31)*100)),100000+ABS(2-$J31)*1000+140)+'計算A'!AO$5*50+IF(AND($E31=1,KB31=0),25,0),IF($F31&gt;0,INDEX('計算A'!AO$110:AO$114,$F31+1)+IF(AND($E31=1,KB31=0),1000,0),MIN(TV31,20)*400+(IF('計算A'!AN$106=1,1-EL31,0)+IF('計算A'!AO$106=1,1-EN31,0))*150+142+'計算A'!AO$5*100000+IF(AND($E31=1,KB31=0),50000,0))+IF($H31=1,(IF('計算A'!AN$117=1,INDEX('計算A'!AN$10:AN$54,$B31),0)+IF('計算A'!AO$117=1,INDEX('計算A'!AP$10:AP$54,$B31),0))*4000,0)-IF(AND('計算A'!AN$117=1,VL31&gt;0),2000,0)-IF(AND($L31=1,'計算A'!AO$117=1,EN31=0),2000,0))),1000000))</f>
        <v/>
      </c>
      <c r="PR31">
        <f>IF($B31=0,1000000,IF(INDEX('計算A'!$D$60:$EQ$104,$B31,39)*EN31=1,IF(AND($E31=2,KC31=0),1000000,IF($I31&gt;0,IF(2=$J31,IF(OR(AND(39=$I31+1,OR($K31&lt;&gt;'計算A'!$A$3,'計算A'!$A$4=0)),AND(39=$I31-1,OR(15&lt;&gt;'計算A'!$A$3,'計算A'!$A$4=0))),0,IF(15=$K31,200000,ABS(15-$K31)*100)),100000+ABS(2-$J31)*1000+150)+'計算A'!AP$5*50+IF(AND($E31=1,KC31=0),25,0),IF($F31&gt;0,INDEX('計算A'!AP$110:AP$114,$F31+1)+IF(AND($E31=1,KC31=0),1000,0),MIN(TV31,20)*400+(IF('計算A'!AO$106=1,1-EM31,0)+IF('計算A'!AP$106=1,1-EO31,0))*150+152+'計算A'!AP$5*100000+IF(AND($E31=1,KC31=0),50000,0))+IF($H31=1,(IF('計算A'!AO$117=1,INDEX('計算A'!AO$10:AO$54,$B31),0)+IF('計算A'!AP$117=1,INDEX('計算A'!AQ$10:AQ$54,$B31),0))*4000,0)-IF(AND('計算A'!AO$117=1,VM31&gt;0),2000,0)-IF(AND($L31=1,'計算A'!AP$117=1,EO31=0),2000,0))),1000000))</f>
        <v/>
      </c>
      <c r="PS31">
        <f>IF($B31=0,1000000,IF(INDEX('計算A'!$D$60:$EQ$104,$B31,40)*EO31=1,IF(AND($E31=2,KD31=0),1000000,IF($I31&gt;0,IF(2=$J31,IF(OR(AND(40=$I31+1,OR($K31&lt;&gt;'計算A'!$A$3,'計算A'!$A$4=0)),AND(40=$I31-1,OR(16&lt;&gt;'計算A'!$A$3,'計算A'!$A$4=0))),0,IF(16=$K31,200000,ABS(16-$K31)*100)),100000+ABS(2-$J31)*1000+160)+'計算A'!AQ$5*50+IF(AND($E31=1,KD31=0),25,0),IF($F31&gt;0,INDEX('計算A'!AQ$110:AQ$114,$F31+1)+IF(AND($E31=1,KD31=0),1000,0),MIN(TV31,20)*400+(IF('計算A'!AP$106=1,1-EN31,0)+IF('計算A'!AQ$106=1,1-EP31,0))*150+162+'計算A'!AQ$5*100000+IF(AND($E31=1,KD31=0),50000,0))+IF($H31=1,(IF('計算A'!AP$117=1,INDEX('計算A'!AP$10:AP$54,$B31),0)+IF('計算A'!AQ$117=1,INDEX('計算A'!AR$10:AR$54,$B31),0))*4000,0)-IF(AND('計算A'!AP$117=1,VN31&gt;0),2000,0)-IF(AND($L31=1,'計算A'!AQ$117=1,EP31=0),2000,0))),1000000))</f>
        <v/>
      </c>
      <c r="PT31">
        <f>IF($B31=0,1000000,IF(INDEX('計算A'!$D$60:$EQ$104,$B31,41)*EP31=1,IF(AND($E31=2,KE31=0),1000000,IF($I31&gt;0,IF(2=$J31,IF(OR(AND(41=$I31+1,OR($K31&lt;&gt;'計算A'!$A$3,'計算A'!$A$4=0)),AND(41=$I31-1,OR(17&lt;&gt;'計算A'!$A$3,'計算A'!$A$4=0))),0,IF(17=$K31,200000,ABS(17-$K31)*100)),100000+ABS(2-$J31)*1000+170)+'計算A'!AR$5*50+IF(AND($E31=1,KE31=0),25,0),IF($F31&gt;0,INDEX('計算A'!AR$110:AR$114,$F31+1)+IF(AND($E31=1,KE31=0),1000,0),MIN(TV31,20)*400+(IF('計算A'!AQ$106=1,1-EO31,0)+IF('計算A'!AR$106=1,1-EQ31,0))*150+172+'計算A'!AR$5*100000+IF(AND($E31=1,KE31=0),50000,0))+IF($H31=1,(IF('計算A'!AQ$117=1,INDEX('計算A'!AQ$10:AQ$54,$B31),0)+IF('計算A'!AR$117=1,INDEX('計算A'!AS$10:AS$54,$B31),0))*4000,0)-IF(AND('計算A'!AQ$117=1,VO31&gt;0),2000,0)-IF(AND($L31=1,'計算A'!AR$117=1,EQ31=0),2000,0))),1000000))</f>
        <v/>
      </c>
      <c r="PU31">
        <f>IF($B31=0,1000000,IF(INDEX('計算A'!$D$60:$EQ$104,$B31,42)*EQ31=1,IF(AND($E31=2,KF31=0),1000000,IF($I31&gt;0,IF(2=$J31,IF(OR(AND(42=$I31+1,OR($K31&lt;&gt;'計算A'!$A$3,'計算A'!$A$4=0)),AND(42=$I31-1,OR(18&lt;&gt;'計算A'!$A$3,'計算A'!$A$4=0))),0,IF(18=$K31,200000,ABS(18-$K31)*100)),100000+ABS(2-$J31)*1000+180)+'計算A'!AS$5*50+IF(AND($E31=1,KF31=0),25,0),IF($F31&gt;0,INDEX('計算A'!AS$110:AS$114,$F31+1)+IF(AND($E31=1,KF31=0),1000,0),MIN(TV31,20)*400+(IF('計算A'!AR$106=1,1-EP31,0)+IF('計算A'!AS$106=1,1-ER31,0))*150+182+'計算A'!AS$5*100000+IF(AND($E31=1,KF31=0),50000,0))+IF($H31=1,(IF('計算A'!AR$117=1,INDEX('計算A'!AR$10:AR$54,$B31),0)+IF('計算A'!AS$117=1,INDEX('計算A'!AT$10:AT$54,$B31),0))*4000,0)-IF(AND('計算A'!AR$117=1,VP31&gt;0),2000,0)-IF(AND($L31=1,'計算A'!AS$117=1,ER31=0),2000,0))),1000000))</f>
        <v/>
      </c>
      <c r="PV31">
        <f>IF($B31=0,1000000,IF(INDEX('計算A'!$D$60:$EQ$104,$B31,43)*ER31=1,IF(AND($E31=2,KG31=0),1000000,IF($I31&gt;0,IF(2=$J31,IF(OR(AND(43=$I31+1,OR($K31&lt;&gt;'計算A'!$A$3,'計算A'!$A$4=0)),AND(43=$I31-1,OR(19&lt;&gt;'計算A'!$A$3,'計算A'!$A$4=0))),0,IF(19=$K31,200000,ABS(19-$K31)*100)),100000+ABS(2-$J31)*1000+190)+'計算A'!AT$5*50+IF(AND($E31=1,KG31=0),25,0),IF($F31&gt;0,INDEX('計算A'!AT$110:AT$114,$F31+1)+IF(AND($E31=1,KG31=0),1000,0),MIN(TV31,20)*400+(IF('計算A'!AS$106=1,1-EQ31,0)+IF('計算A'!AT$106=1,1-ES31,0))*150+192+'計算A'!AT$5*100000+IF(AND($E31=1,KG31=0),50000,0))+IF($H31=1,(IF('計算A'!AS$117=1,INDEX('計算A'!AS$10:AS$54,$B31),0)+IF('計算A'!AT$117=1,INDEX('計算A'!AU$10:AU$54,$B31),0))*4000,0)-IF(AND('計算A'!AS$117=1,VQ31&gt;0),2000,0)-IF(AND($L31=1,'計算A'!AT$117=1,ES31=0),2000,0))),1000000))</f>
        <v/>
      </c>
      <c r="PW31">
        <f>IF($B31=0,1000000,IF(INDEX('計算A'!$D$60:$EQ$104,$B31,44)*ES31=1,IF(AND($E31=2,KH31=0),1000000,IF($I31&gt;0,IF(2=$J31,IF(OR(AND(44=$I31+1,OR($K31&lt;&gt;'計算A'!$A$3,'計算A'!$A$4=0)),AND(44=$I31-1,OR(20&lt;&gt;'計算A'!$A$3,'計算A'!$A$4=0))),0,IF(20=$K31,200000,ABS(20-$K31)*100)),100000+ABS(2-$J31)*1000+200)+'計算A'!AU$5*50+IF(AND($E31=1,KH31=0),25,0),IF($F31&gt;0,INDEX('計算A'!AU$110:AU$114,$F31+1)+IF(AND($E31=1,KH31=0),1000,0),MIN(TV31,20)*400+(IF('計算A'!AT$106=1,1-ER31,0)+IF('計算A'!AU$106=1,1-ET31,0))*150+202+'計算A'!AU$5*100000+IF(AND($E31=1,KH31=0),50000,0))+IF($H31=1,(IF('計算A'!AT$117=1,INDEX('計算A'!AT$10:AT$54,$B31),0)+IF('計算A'!AU$117=1,INDEX('計算A'!AV$10:AV$54,$B31),0))*4000,0)-IF(AND('計算A'!AT$117=1,VR31&gt;0),2000,0)-IF(AND($L31=1,'計算A'!AU$117=1,ET31=0),2000,0))),1000000))</f>
        <v/>
      </c>
      <c r="PX31">
        <f>IF($B31=0,1000000,IF(INDEX('計算A'!$D$60:$EQ$104,$B31,45)*ET31=1,IF(AND($E31=2,KI31=0),1000000,IF($I31&gt;0,IF(2=$J31,IF(OR(AND(45=$I31+1,OR($K31&lt;&gt;'計算A'!$A$3,'計算A'!$A$4=0)),AND(45=$I31-1,OR(21&lt;&gt;'計算A'!$A$3,'計算A'!$A$4=0))),0,IF(21=$K31,200000,ABS(21-$K31)*100)),100000+ABS(2-$J31)*1000+210)+'計算A'!AV$5*50+IF(AND($E31=1,KI31=0),25,0),IF($F31&gt;0,INDEX('計算A'!AV$110:AV$114,$F31+1)+IF(AND($E31=1,KI31=0),1000,0),MIN(TV31,20)*400+(IF('計算A'!AU$106=1,1-ES31,0)+IF('計算A'!AV$106=1,1-EU31,0))*150+212+'計算A'!AV$5*100000+IF(AND($E31=1,KI31=0),50000,0))+IF($H31=1,(IF('計算A'!AU$117=1,INDEX('計算A'!AU$10:AU$54,$B31),0)+IF('計算A'!AV$117=1,INDEX('計算A'!AW$10:AW$54,$B31),0))*4000,0)-IF(AND('計算A'!AU$117=1,VS31&gt;0),2000,0)-IF(AND($L31=1,'計算A'!AV$117=1,EU31=0),2000,0))),1000000))</f>
        <v/>
      </c>
      <c r="PY31">
        <f>IF($B31=0,1000000,IF(INDEX('計算A'!$D$60:$EQ$104,$B31,46)*EU31=1,IF(AND($E31=2,KJ31=0),1000000,IF($I31&gt;0,IF(2=$J31,IF(OR(AND(46=$I31+1,OR($K31&lt;&gt;'計算A'!$A$3,'計算A'!$A$4=0)),AND(46=$I31-1,OR(22&lt;&gt;'計算A'!$A$3,'計算A'!$A$4=0))),0,IF(22=$K31,200000,ABS(22-$K31)*100)),100000+ABS(2-$J31)*1000+220)+'計算A'!AW$5*50+IF(AND($E31=1,KJ31=0),25,0),IF($F31&gt;0,INDEX('計算A'!AW$110:AW$114,$F31+1)+IF(AND($E31=1,KJ31=0),1000,0),MIN(TV31,20)*400+(IF('計算A'!AV$106=1,1-ET31,0)+IF('計算A'!AW$106=1,1-EV31,0))*150+222+'計算A'!AW$5*100000+IF(AND($E31=1,KJ31=0),50000,0))+IF($H31=1,(IF('計算A'!AV$117=1,INDEX('計算A'!AV$10:AV$54,$B31),0)+IF('計算A'!AW$117=1,INDEX('計算A'!AX$10:AX$54,$B31),0))*4000,0)-IF(AND('計算A'!AV$117=1,VT31&gt;0),2000,0)-IF(AND($L31=1,'計算A'!AW$117=1,EV31=0),2000,0))),1000000))</f>
        <v/>
      </c>
      <c r="PZ31">
        <f>IF($B31=0,1000000,IF(INDEX('計算A'!$D$60:$EQ$104,$B31,47)*EV31=1,IF(AND($E31=2,KK31=0),1000000,IF($I31&gt;0,IF(2=$J31,IF(OR(AND(47=$I31+1,OR($K31&lt;&gt;'計算A'!$A$3,'計算A'!$A$4=0)),AND(47=$I31-1,OR(23&lt;&gt;'計算A'!$A$3,'計算A'!$A$4=0))),0,IF(23=$K31,200000,ABS(23-$K31)*100)),100000+ABS(2-$J31)*1000+230)+'計算A'!AX$5*50+IF(AND($E31=1,KK31=0),25,0),IF($F31&gt;0,INDEX('計算A'!AX$110:AX$114,$F31+1)+IF(AND($E31=1,KK31=0),1000,0),MIN(TV31,20)*400+(IF('計算A'!AW$106=1,1-EU31,0)+IF('計算A'!AX$106=1,1-EW31,0))*150+232+'計算A'!AX$5*100000+IF(AND($E31=1,KK31=0),50000,0))+IF($H31=1,(IF('計算A'!AW$117=1,INDEX('計算A'!AW$10:AW$54,$B31),0)+IF('計算A'!AX$117=1,INDEX('計算A'!AY$10:AY$54,$B31),0))*4000,0)-IF(AND('計算A'!AW$117=1,VU31&gt;0),2000,0)-IF(AND($L31=1,'計算A'!AX$117=1,EW31=0),2000,0))),1000000))</f>
        <v/>
      </c>
      <c r="QA31">
        <f>IF($B31=0,1000000,IF(INDEX('計算A'!$D$60:$EQ$104,$B31,48)*EW31=1,IF(AND($E31=2,KL31=0),1000000,IF($I31&gt;0,IF(2=$J31,IF(OR(AND(48=$I31+1,OR($K31&lt;&gt;'計算A'!$A$3,'計算A'!$A$4=0)),AND(48=$I31-1,OR(24&lt;&gt;'計算A'!$A$3,'計算A'!$A$4=0))),0,IF(24=$K31,200000,ABS(24-$K31)*100)),100000+ABS(2-$J31)*1000+240)+'計算A'!AY$5*50+IF(AND($E31=1,KL31=0),25,0),IF($F31&gt;0,INDEX('計算A'!AY$110:AY$114,$F31+1)+IF(AND($E31=1,KL31=0),1000,0),MIN(TV31,20)*400+(IF('計算A'!AX$106=1,1-EV31,0))*150+242+'計算A'!AY$5*100000+IF(AND($E31=1,KL31=0),50000,0))+IF($H31=1,(IF('計算A'!AX$117=1,INDEX('計算A'!AX$10:AX$54,$B31),0))*4000,0)-IF(AND('計算A'!AX$117=1,VV31&gt;0),2000,0))),1000000))</f>
        <v/>
      </c>
      <c r="QB31">
        <f>IF($B31=0,1000000,IF(INDEX('計算A'!$D$60:$EQ$104,$B31,49)*EX31=1,IF(AND($E31=2,KM31=0),1000000,IF($I31&gt;0,IF(3=$J31,IF(OR(AND(49=$I31+1,OR($K31&lt;&gt;'計算A'!$A$3,'計算A'!$A$4=0)),AND(49=$I31-1,OR(1&lt;&gt;'計算A'!$A$3,'計算A'!$A$4=0))),0,IF(1=$K31,200000,ABS(1-$K31)*100)),100000+ABS(3-$J31)*1000+10)+'計算A'!AZ$5*50+IF(AND($E31=1,KM31=0),25,0),IF($F31&gt;0,INDEX('計算A'!AZ$110:AZ$114,$F31+1)+IF(AND($E31=1,KM31=0),1000,0),MIN(TW31,20)*400+(IF('計算A'!AZ$106=1,1-EY31,0))*150+13+'計算A'!AZ$5*100000+IF(AND($E31=1,KM31=0),50000,0))+IF($H31=1,(IF('計算A'!AZ$117=1,INDEX('計算A'!BA$10:BA$54,$B31),0))*4000,0)-IF(AND($L31=1,'計算A'!AZ$117=1,EY31=0),2000,0))),1000000))</f>
        <v/>
      </c>
      <c r="QC31">
        <f>IF($B31=0,1000000,IF(INDEX('計算A'!$D$60:$EQ$104,$B31,50)*EY31=1,IF(AND($E31=2,KN31=0),1000000,IF($I31&gt;0,IF(3=$J31,IF(OR(AND(50=$I31+1,OR($K31&lt;&gt;'計算A'!$A$3,'計算A'!$A$4=0)),AND(50=$I31-1,OR(2&lt;&gt;'計算A'!$A$3,'計算A'!$A$4=0))),0,IF(2=$K31,200000,ABS(2-$K31)*100)),100000+ABS(3-$J31)*1000+20)+'計算A'!BA$5*50+IF(AND($E31=1,KN31=0),25,0),IF($F31&gt;0,INDEX('計算A'!BA$110:BA$114,$F31+1)+IF(AND($E31=1,KN31=0),1000,0),MIN(TW31,20)*400+(IF('計算A'!AZ$106=1,1-EX31,0)+IF('計算A'!BA$106=1,1-EZ31,0))*150+23+'計算A'!BA$5*100000+IF(AND($E31=1,KN31=0),50000,0))+IF($H31=1,(IF('計算A'!AZ$117=1,INDEX('計算A'!AZ$10:AZ$54,$B31),0)+IF('計算A'!BA$117=1,INDEX('計算A'!BB$10:BB$54,$B31),0))*4000,0)-IF(AND('計算A'!AZ$117=1,VX31&gt;0),2000,0)-IF(AND($L31=1,'計算A'!BA$117=1,EZ31=0),2000,0))),1000000))</f>
        <v/>
      </c>
      <c r="QD31">
        <f>IF($B31=0,1000000,IF(INDEX('計算A'!$D$60:$EQ$104,$B31,51)*EZ31=1,IF(AND($E31=2,KO31=0),1000000,IF($I31&gt;0,IF(3=$J31,IF(OR(AND(51=$I31+1,OR($K31&lt;&gt;'計算A'!$A$3,'計算A'!$A$4=0)),AND(51=$I31-1,OR(3&lt;&gt;'計算A'!$A$3,'計算A'!$A$4=0))),0,IF(3=$K31,200000,ABS(3-$K31)*100)),100000+ABS(3-$J31)*1000+30)+'計算A'!BB$5*50+IF(AND($E31=1,KO31=0),25,0),IF($F31&gt;0,INDEX('計算A'!BB$110:BB$114,$F31+1)+IF(AND($E31=1,KO31=0),1000,0),MIN(TW31,20)*400+(IF('計算A'!BA$106=1,1-EY31,0)+IF('計算A'!BB$106=1,1-FA31,0))*150+33+'計算A'!BB$5*100000+IF(AND($E31=1,KO31=0),50000,0))+IF($H31=1,(IF('計算A'!BA$117=1,INDEX('計算A'!BA$10:BA$54,$B31),0)+IF('計算A'!BB$117=1,INDEX('計算A'!BC$10:BC$54,$B31),0))*4000,0)-IF(AND('計算A'!BA$117=1,VY31&gt;0),2000,0)-IF(AND($L31=1,'計算A'!BB$117=1,FA31=0),2000,0))),1000000))</f>
        <v/>
      </c>
      <c r="QE31">
        <f>IF($B31=0,1000000,IF(INDEX('計算A'!$D$60:$EQ$104,$B31,52)*FA31=1,IF(AND($E31=2,KP31=0),1000000,IF($I31&gt;0,IF(3=$J31,IF(OR(AND(52=$I31+1,OR($K31&lt;&gt;'計算A'!$A$3,'計算A'!$A$4=0)),AND(52=$I31-1,OR(4&lt;&gt;'計算A'!$A$3,'計算A'!$A$4=0))),0,IF(4=$K31,200000,ABS(4-$K31)*100)),100000+ABS(3-$J31)*1000+40)+'計算A'!BC$5*50+IF(AND($E31=1,KP31=0),25,0),IF($F31&gt;0,INDEX('計算A'!BC$110:BC$114,$F31+1)+IF(AND($E31=1,KP31=0),1000,0),MIN(TW31,20)*400+(IF('計算A'!BB$106=1,1-EZ31,0)+IF('計算A'!BC$106=1,1-FB31,0))*150+43+'計算A'!BC$5*100000+IF(AND($E31=1,KP31=0),50000,0))+IF($H31=1,(IF('計算A'!BB$117=1,INDEX('計算A'!BB$10:BB$54,$B31),0)+IF('計算A'!BC$117=1,INDEX('計算A'!BD$10:BD$54,$B31),0))*4000,0)-IF(AND('計算A'!BB$117=1,VZ31&gt;0),2000,0)-IF(AND($L31=1,'計算A'!BC$117=1,FB31=0),2000,0))),1000000))</f>
        <v/>
      </c>
      <c r="QF31">
        <f>IF($B31=0,1000000,IF(INDEX('計算A'!$D$60:$EQ$104,$B31,53)*FB31=1,IF(AND($E31=2,KQ31=0),1000000,IF($I31&gt;0,IF(3=$J31,IF(OR(AND(53=$I31+1,OR($K31&lt;&gt;'計算A'!$A$3,'計算A'!$A$4=0)),AND(53=$I31-1,OR(5&lt;&gt;'計算A'!$A$3,'計算A'!$A$4=0))),0,IF(5=$K31,200000,ABS(5-$K31)*100)),100000+ABS(3-$J31)*1000+50)+'計算A'!BD$5*50+IF(AND($E31=1,KQ31=0),25,0),IF($F31&gt;0,INDEX('計算A'!BD$110:BD$114,$F31+1)+IF(AND($E31=1,KQ31=0),1000,0),MIN(TW31,20)*400+(IF('計算A'!BC$106=1,1-FA31,0)+IF('計算A'!BD$106=1,1-FC31,0))*150+53+'計算A'!BD$5*100000+IF(AND($E31=1,KQ31=0),50000,0))+IF($H31=1,(IF('計算A'!BC$117=1,INDEX('計算A'!BC$10:BC$54,$B31),0)+IF('計算A'!BD$117=1,INDEX('計算A'!BE$10:BE$54,$B31),0))*4000,0)-IF(AND('計算A'!BC$117=1,WA31&gt;0),2000,0)-IF(AND($L31=1,'計算A'!BD$117=1,FC31=0),2000,0))),1000000))</f>
        <v/>
      </c>
      <c r="QG31">
        <f>IF($B31=0,1000000,IF(INDEX('計算A'!$D$60:$EQ$104,$B31,54)*FC31=1,IF(AND($E31=2,KR31=0),1000000,IF($I31&gt;0,IF(3=$J31,IF(OR(AND(54=$I31+1,OR($K31&lt;&gt;'計算A'!$A$3,'計算A'!$A$4=0)),AND(54=$I31-1,OR(6&lt;&gt;'計算A'!$A$3,'計算A'!$A$4=0))),0,IF(6=$K31,200000,ABS(6-$K31)*100)),100000+ABS(3-$J31)*1000+60)+'計算A'!BE$5*50+IF(AND($E31=1,KR31=0),25,0),IF($F31&gt;0,INDEX('計算A'!BE$110:BE$114,$F31+1)+IF(AND($E31=1,KR31=0),1000,0),MIN(TW31,20)*400+(IF('計算A'!BD$106=1,1-FB31,0)+IF('計算A'!BE$106=1,1-FD31,0))*150+63+'計算A'!BE$5*100000+IF(AND($E31=1,KR31=0),50000,0))+IF($H31=1,(IF('計算A'!BD$117=1,INDEX('計算A'!BD$10:BD$54,$B31),0)+IF('計算A'!BE$117=1,INDEX('計算A'!BF$10:BF$54,$B31),0))*4000,0)-IF(AND('計算A'!BD$117=1,WB31&gt;0),2000,0)-IF(AND($L31=1,'計算A'!BE$117=1,FD31=0),2000,0))),1000000))</f>
        <v/>
      </c>
      <c r="QH31">
        <f>IF($B31=0,1000000,IF(INDEX('計算A'!$D$60:$EQ$104,$B31,55)*FD31=1,IF(AND($E31=2,KS31=0),1000000,IF($I31&gt;0,IF(3=$J31,IF(OR(AND(55=$I31+1,OR($K31&lt;&gt;'計算A'!$A$3,'計算A'!$A$4=0)),AND(55=$I31-1,OR(7&lt;&gt;'計算A'!$A$3,'計算A'!$A$4=0))),0,IF(7=$K31,200000,ABS(7-$K31)*100)),100000+ABS(3-$J31)*1000+70)+'計算A'!BF$5*50+IF(AND($E31=1,KS31=0),25,0),IF($F31&gt;0,INDEX('計算A'!BF$110:BF$114,$F31+1)+IF(AND($E31=1,KS31=0),1000,0),MIN(TW31,20)*400+(IF('計算A'!BE$106=1,1-FC31,0)+IF('計算A'!BF$106=1,1-FE31,0))*150+73+'計算A'!BF$5*100000+IF(AND($E31=1,KS31=0),50000,0))+IF($H31=1,(IF('計算A'!BE$117=1,INDEX('計算A'!BE$10:BE$54,$B31),0)+IF('計算A'!BF$117=1,INDEX('計算A'!BG$10:BG$54,$B31),0))*4000,0)-IF(AND('計算A'!BE$117=1,WC31&gt;0),2000,0)-IF(AND($L31=1,'計算A'!BF$117=1,FE31=0),2000,0))),1000000))</f>
        <v/>
      </c>
      <c r="QI31">
        <f>IF($B31=0,1000000,IF(INDEX('計算A'!$D$60:$EQ$104,$B31,56)*FE31=1,IF(AND($E31=2,KT31=0),1000000,IF($I31&gt;0,IF(3=$J31,IF(OR(AND(56=$I31+1,OR($K31&lt;&gt;'計算A'!$A$3,'計算A'!$A$4=0)),AND(56=$I31-1,OR(8&lt;&gt;'計算A'!$A$3,'計算A'!$A$4=0))),0,IF(8=$K31,200000,ABS(8-$K31)*100)),100000+ABS(3-$J31)*1000+80)+'計算A'!BG$5*50+IF(AND($E31=1,KT31=0),25,0),IF($F31&gt;0,INDEX('計算A'!BG$110:BG$114,$F31+1)+IF(AND($E31=1,KT31=0),1000,0),MIN(TW31,20)*400+(IF('計算A'!BF$106=1,1-FD31,0)+IF('計算A'!BG$106=1,1-FF31,0))*150+83+'計算A'!BG$5*100000+IF(AND($E31=1,KT31=0),50000,0))+IF($H31=1,(IF('計算A'!BF$117=1,INDEX('計算A'!BF$10:BF$54,$B31),0)+IF('計算A'!BG$117=1,INDEX('計算A'!BH$10:BH$54,$B31),0))*4000,0)-IF(AND('計算A'!BF$117=1,WD31&gt;0),2000,0)-IF(AND($L31=1,'計算A'!BG$117=1,FF31=0),2000,0))),1000000))</f>
        <v/>
      </c>
      <c r="QJ31">
        <f>IF($B31=0,1000000,IF(INDEX('計算A'!$D$60:$EQ$104,$B31,57)*FF31=1,IF(AND($E31=2,KU31=0),1000000,IF($I31&gt;0,IF(3=$J31,IF(OR(AND(57=$I31+1,OR($K31&lt;&gt;'計算A'!$A$3,'計算A'!$A$4=0)),AND(57=$I31-1,OR(9&lt;&gt;'計算A'!$A$3,'計算A'!$A$4=0))),0,IF(9=$K31,200000,ABS(9-$K31)*100)),100000+ABS(3-$J31)*1000+90)+'計算A'!BH$5*50+IF(AND($E31=1,KU31=0),25,0),IF($F31&gt;0,INDEX('計算A'!BH$110:BH$114,$F31+1)+IF(AND($E31=1,KU31=0),1000,0),MIN(TW31,20)*400+(IF('計算A'!BG$106=1,1-FE31,0)+IF('計算A'!BH$106=1,1-FG31,0))*150+93+'計算A'!BH$5*100000+IF(AND($E31=1,KU31=0),50000,0))+IF($H31=1,(IF('計算A'!BG$117=1,INDEX('計算A'!BG$10:BG$54,$B31),0)+IF('計算A'!BH$117=1,INDEX('計算A'!BI$10:BI$54,$B31),0))*4000,0)-IF(AND('計算A'!BG$117=1,WE31&gt;0),2000,0)-IF(AND($L31=1,'計算A'!BH$117=1,FG31=0),2000,0))),1000000))</f>
        <v/>
      </c>
      <c r="QK31">
        <f>IF($B31=0,1000000,IF(INDEX('計算A'!$D$60:$EQ$104,$B31,58)*FG31=1,IF(AND($E31=2,KV31=0),1000000,IF($I31&gt;0,IF(3=$J31,IF(OR(AND(58=$I31+1,OR($K31&lt;&gt;'計算A'!$A$3,'計算A'!$A$4=0)),AND(58=$I31-1,OR(10&lt;&gt;'計算A'!$A$3,'計算A'!$A$4=0))),0,IF(10=$K31,200000,ABS(10-$K31)*100)),100000+ABS(3-$J31)*1000+100)+'計算A'!BI$5*50+IF(AND($E31=1,KV31=0),25,0),IF($F31&gt;0,INDEX('計算A'!BI$110:BI$114,$F31+1)+IF(AND($E31=1,KV31=0),1000,0),MIN(TW31,20)*400+(IF('計算A'!BH$106=1,1-FF31,0)+IF('計算A'!BI$106=1,1-FH31,0))*150+103+'計算A'!BI$5*100000+IF(AND($E31=1,KV31=0),50000,0))+IF($H31=1,(IF('計算A'!BH$117=1,INDEX('計算A'!BH$10:BH$54,$B31),0)+IF('計算A'!BI$117=1,INDEX('計算A'!BJ$10:BJ$54,$B31),0))*4000,0)-IF(AND('計算A'!BH$117=1,WF31&gt;0),2000,0)-IF(AND($L31=1,'計算A'!BI$117=1,FH31=0),2000,0))),1000000))</f>
        <v/>
      </c>
      <c r="QL31">
        <f>IF($B31=0,1000000,IF(INDEX('計算A'!$D$60:$EQ$104,$B31,59)*FH31=1,IF(AND($E31=2,KW31=0),1000000,IF($I31&gt;0,IF(3=$J31,IF(OR(AND(59=$I31+1,OR($K31&lt;&gt;'計算A'!$A$3,'計算A'!$A$4=0)),AND(59=$I31-1,OR(11&lt;&gt;'計算A'!$A$3,'計算A'!$A$4=0))),0,IF(11=$K31,200000,ABS(11-$K31)*100)),100000+ABS(3-$J31)*1000+110)+'計算A'!BJ$5*50+IF(AND($E31=1,KW31=0),25,0),IF($F31&gt;0,INDEX('計算A'!BJ$110:BJ$114,$F31+1)+IF(AND($E31=1,KW31=0),1000,0),MIN(TW31,20)*400+(IF('計算A'!BI$106=1,1-FG31,0)+IF('計算A'!BJ$106=1,1-FI31,0))*150+113+'計算A'!BJ$5*100000+IF(AND($E31=1,KW31=0),50000,0))+IF($H31=1,(IF('計算A'!BI$117=1,INDEX('計算A'!BI$10:BI$54,$B31),0)+IF('計算A'!BJ$117=1,INDEX('計算A'!BK$10:BK$54,$B31),0))*4000,0)-IF(AND('計算A'!BI$117=1,WG31&gt;0),2000,0)-IF(AND($L31=1,'計算A'!BJ$117=1,FI31=0),2000,0))),1000000))</f>
        <v/>
      </c>
      <c r="QM31">
        <f>IF($B31=0,1000000,IF(INDEX('計算A'!$D$60:$EQ$104,$B31,60)*FI31=1,IF(AND($E31=2,KX31=0),1000000,IF($I31&gt;0,IF(3=$J31,IF(OR(AND(60=$I31+1,OR($K31&lt;&gt;'計算A'!$A$3,'計算A'!$A$4=0)),AND(60=$I31-1,OR(12&lt;&gt;'計算A'!$A$3,'計算A'!$A$4=0))),0,IF(12=$K31,200000,ABS(12-$K31)*100)),100000+ABS(3-$J31)*1000+120)+'計算A'!BK$5*50+IF(AND($E31=1,KX31=0),25,0),IF($F31&gt;0,INDEX('計算A'!BK$110:BK$114,$F31+1)+IF(AND($E31=1,KX31=0),1000,0),MIN(TW31,20)*400+(IF('計算A'!BJ$106=1,1-FH31,0)+IF('計算A'!BK$106=1,1-FJ31,0))*150+123+'計算A'!BK$5*100000+IF(AND($E31=1,KX31=0),50000,0))+IF($H31=1,(IF('計算A'!BJ$117=1,INDEX('計算A'!BJ$10:BJ$54,$B31),0)+IF('計算A'!BK$117=1,INDEX('計算A'!BL$10:BL$54,$B31),0))*4000,0)-IF(AND('計算A'!BJ$117=1,WH31&gt;0),2000,0)-IF(AND($L31=1,'計算A'!BK$117=1,FJ31=0),2000,0))),1000000))</f>
        <v/>
      </c>
      <c r="QN31">
        <f>IF($B31=0,1000000,IF(INDEX('計算A'!$D$60:$EQ$104,$B31,61)*FJ31=1,IF(AND($E31=2,KY31=0),1000000,IF($I31&gt;0,IF(3=$J31,IF(OR(AND(61=$I31+1,OR($K31&lt;&gt;'計算A'!$A$3,'計算A'!$A$4=0)),AND(61=$I31-1,OR(13&lt;&gt;'計算A'!$A$3,'計算A'!$A$4=0))),0,IF(13=$K31,200000,ABS(13-$K31)*100)),100000+ABS(3-$J31)*1000+130)+'計算A'!BL$5*50+IF(AND($E31=1,KY31=0),25,0),IF($F31&gt;0,INDEX('計算A'!BL$110:BL$114,$F31+1)+IF(AND($E31=1,KY31=0),1000,0),MIN(TW31,20)*400+(IF('計算A'!BK$106=1,1-FI31,0)+IF('計算A'!BL$106=1,1-FK31,0))*150+133+'計算A'!BL$5*100000+IF(AND($E31=1,KY31=0),50000,0))+IF($H31=1,(IF('計算A'!BK$117=1,INDEX('計算A'!BK$10:BK$54,$B31),0)+IF('計算A'!BL$117=1,INDEX('計算A'!BM$10:BM$54,$B31),0))*4000,0)-IF(AND('計算A'!BK$117=1,WI31&gt;0),2000,0)-IF(AND($L31=1,'計算A'!BL$117=1,FK31=0),2000,0))),1000000))</f>
        <v/>
      </c>
      <c r="QO31">
        <f>IF($B31=0,1000000,IF(INDEX('計算A'!$D$60:$EQ$104,$B31,62)*FK31=1,IF(AND($E31=2,KZ31=0),1000000,IF($I31&gt;0,IF(3=$J31,IF(OR(AND(62=$I31+1,OR($K31&lt;&gt;'計算A'!$A$3,'計算A'!$A$4=0)),AND(62=$I31-1,OR(14&lt;&gt;'計算A'!$A$3,'計算A'!$A$4=0))),0,IF(14=$K31,200000,ABS(14-$K31)*100)),100000+ABS(3-$J31)*1000+140)+'計算A'!BM$5*50+IF(AND($E31=1,KZ31=0),25,0),IF($F31&gt;0,INDEX('計算A'!BM$110:BM$114,$F31+1)+IF(AND($E31=1,KZ31=0),1000,0),MIN(TW31,20)*400+(IF('計算A'!BL$106=1,1-FJ31,0)+IF('計算A'!BM$106=1,1-FL31,0))*150+143+'計算A'!BM$5*100000+IF(AND($E31=1,KZ31=0),50000,0))+IF($H31=1,(IF('計算A'!BL$117=1,INDEX('計算A'!BL$10:BL$54,$B31),0)+IF('計算A'!BM$117=1,INDEX('計算A'!BN$10:BN$54,$B31),0))*4000,0)-IF(AND('計算A'!BL$117=1,WJ31&gt;0),2000,0)-IF(AND($L31=1,'計算A'!BM$117=1,FL31=0),2000,0))),1000000))</f>
        <v/>
      </c>
      <c r="QP31">
        <f>IF($B31=0,1000000,IF(INDEX('計算A'!$D$60:$EQ$104,$B31,63)*FL31=1,IF(AND($E31=2,LA31=0),1000000,IF($I31&gt;0,IF(3=$J31,IF(OR(AND(63=$I31+1,OR($K31&lt;&gt;'計算A'!$A$3,'計算A'!$A$4=0)),AND(63=$I31-1,OR(15&lt;&gt;'計算A'!$A$3,'計算A'!$A$4=0))),0,IF(15=$K31,200000,ABS(15-$K31)*100)),100000+ABS(3-$J31)*1000+150)+'計算A'!BN$5*50+IF(AND($E31=1,LA31=0),25,0),IF($F31&gt;0,INDEX('計算A'!BN$110:BN$114,$F31+1)+IF(AND($E31=1,LA31=0),1000,0),MIN(TW31,20)*400+(IF('計算A'!BM$106=1,1-FK31,0)+IF('計算A'!BN$106=1,1-FM31,0))*150+153+'計算A'!BN$5*100000+IF(AND($E31=1,LA31=0),50000,0))+IF($H31=1,(IF('計算A'!BM$117=1,INDEX('計算A'!BM$10:BM$54,$B31),0)+IF('計算A'!BN$117=1,INDEX('計算A'!BO$10:BO$54,$B31),0))*4000,0)-IF(AND('計算A'!BM$117=1,WK31&gt;0),2000,0)-IF(AND($L31=1,'計算A'!BN$117=1,FM31=0),2000,0))),1000000))</f>
        <v/>
      </c>
      <c r="QQ31">
        <f>IF($B31=0,1000000,IF(INDEX('計算A'!$D$60:$EQ$104,$B31,64)*FM31=1,IF(AND($E31=2,LB31=0),1000000,IF($I31&gt;0,IF(3=$J31,IF(OR(AND(64=$I31+1,OR($K31&lt;&gt;'計算A'!$A$3,'計算A'!$A$4=0)),AND(64=$I31-1,OR(16&lt;&gt;'計算A'!$A$3,'計算A'!$A$4=0))),0,IF(16=$K31,200000,ABS(16-$K31)*100)),100000+ABS(3-$J31)*1000+160)+'計算A'!BO$5*50+IF(AND($E31=1,LB31=0),25,0),IF($F31&gt;0,INDEX('計算A'!BO$110:BO$114,$F31+1)+IF(AND($E31=1,LB31=0),1000,0),MIN(TW31,20)*400+(IF('計算A'!BN$106=1,1-FL31,0)+IF('計算A'!BO$106=1,1-FN31,0))*150+163+'計算A'!BO$5*100000+IF(AND($E31=1,LB31=0),50000,0))+IF($H31=1,(IF('計算A'!BN$117=1,INDEX('計算A'!BN$10:BN$54,$B31),0)+IF('計算A'!BO$117=1,INDEX('計算A'!BP$10:BP$54,$B31),0))*4000,0)-IF(AND('計算A'!BN$117=1,WL31&gt;0),2000,0)-IF(AND($L31=1,'計算A'!BO$117=1,FN31=0),2000,0))),1000000))</f>
        <v/>
      </c>
      <c r="QR31">
        <f>IF($B31=0,1000000,IF(INDEX('計算A'!$D$60:$EQ$104,$B31,65)*FN31=1,IF(AND($E31=2,LC31=0),1000000,IF($I31&gt;0,IF(3=$J31,IF(OR(AND(65=$I31+1,OR($K31&lt;&gt;'計算A'!$A$3,'計算A'!$A$4=0)),AND(65=$I31-1,OR(17&lt;&gt;'計算A'!$A$3,'計算A'!$A$4=0))),0,IF(17=$K31,200000,ABS(17-$K31)*100)),100000+ABS(3-$J31)*1000+170)+'計算A'!BP$5*50+IF(AND($E31=1,LC31=0),25,0),IF($F31&gt;0,INDEX('計算A'!BP$110:BP$114,$F31+1)+IF(AND($E31=1,LC31=0),1000,0),MIN(TW31,20)*400+(IF('計算A'!BO$106=1,1-FM31,0)+IF('計算A'!BP$106=1,1-FO31,0))*150+173+'計算A'!BP$5*100000+IF(AND($E31=1,LC31=0),50000,0))+IF($H31=1,(IF('計算A'!BO$117=1,INDEX('計算A'!BO$10:BO$54,$B31),0)+IF('計算A'!BP$117=1,INDEX('計算A'!BQ$10:BQ$54,$B31),0))*4000,0)-IF(AND('計算A'!BO$117=1,WM31&gt;0),2000,0)-IF(AND($L31=1,'計算A'!BP$117=1,FO31=0),2000,0))),1000000))</f>
        <v/>
      </c>
      <c r="QS31">
        <f>IF($B31=0,1000000,IF(INDEX('計算A'!$D$60:$EQ$104,$B31,66)*FO31=1,IF(AND($E31=2,LD31=0),1000000,IF($I31&gt;0,IF(3=$J31,IF(OR(AND(66=$I31+1,OR($K31&lt;&gt;'計算A'!$A$3,'計算A'!$A$4=0)),AND(66=$I31-1,OR(18&lt;&gt;'計算A'!$A$3,'計算A'!$A$4=0))),0,IF(18=$K31,200000,ABS(18-$K31)*100)),100000+ABS(3-$J31)*1000+180)+'計算A'!BQ$5*50+IF(AND($E31=1,LD31=0),25,0),IF($F31&gt;0,INDEX('計算A'!BQ$110:BQ$114,$F31+1)+IF(AND($E31=1,LD31=0),1000,0),MIN(TW31,20)*400+(IF('計算A'!BP$106=1,1-FN31,0)+IF('計算A'!BQ$106=1,1-FP31,0))*150+183+'計算A'!BQ$5*100000+IF(AND($E31=1,LD31=0),50000,0))+IF($H31=1,(IF('計算A'!BP$117=1,INDEX('計算A'!BP$10:BP$54,$B31),0)+IF('計算A'!BQ$117=1,INDEX('計算A'!BR$10:BR$54,$B31),0))*4000,0)-IF(AND('計算A'!BP$117=1,WN31&gt;0),2000,0)-IF(AND($L31=1,'計算A'!BQ$117=1,FP31=0),2000,0))),1000000))</f>
        <v/>
      </c>
      <c r="QT31">
        <f>IF($B31=0,1000000,IF(INDEX('計算A'!$D$60:$EQ$104,$B31,67)*FP31=1,IF(AND($E31=2,LE31=0),1000000,IF($I31&gt;0,IF(3=$J31,IF(OR(AND(67=$I31+1,OR($K31&lt;&gt;'計算A'!$A$3,'計算A'!$A$4=0)),AND(67=$I31-1,OR(19&lt;&gt;'計算A'!$A$3,'計算A'!$A$4=0))),0,IF(19=$K31,200000,ABS(19-$K31)*100)),100000+ABS(3-$J31)*1000+190)+'計算A'!BR$5*50+IF(AND($E31=1,LE31=0),25,0),IF($F31&gt;0,INDEX('計算A'!BR$110:BR$114,$F31+1)+IF(AND($E31=1,LE31=0),1000,0),MIN(TW31,20)*400+(IF('計算A'!BQ$106=1,1-FO31,0)+IF('計算A'!BR$106=1,1-FQ31,0))*150+193+'計算A'!BR$5*100000+IF(AND($E31=1,LE31=0),50000,0))+IF($H31=1,(IF('計算A'!BQ$117=1,INDEX('計算A'!BQ$10:BQ$54,$B31),0)+IF('計算A'!BR$117=1,INDEX('計算A'!BS$10:BS$54,$B31),0))*4000,0)-IF(AND('計算A'!BQ$117=1,WO31&gt;0),2000,0)-IF(AND($L31=1,'計算A'!BR$117=1,FQ31=0),2000,0))),1000000))</f>
        <v/>
      </c>
      <c r="QU31">
        <f>IF($B31=0,1000000,IF(INDEX('計算A'!$D$60:$EQ$104,$B31,68)*FQ31=1,IF(AND($E31=2,LF31=0),1000000,IF($I31&gt;0,IF(3=$J31,IF(OR(AND(68=$I31+1,OR($K31&lt;&gt;'計算A'!$A$3,'計算A'!$A$4=0)),AND(68=$I31-1,OR(20&lt;&gt;'計算A'!$A$3,'計算A'!$A$4=0))),0,IF(20=$K31,200000,ABS(20-$K31)*100)),100000+ABS(3-$J31)*1000+200)+'計算A'!BS$5*50+IF(AND($E31=1,LF31=0),25,0),IF($F31&gt;0,INDEX('計算A'!BS$110:BS$114,$F31+1)+IF(AND($E31=1,LF31=0),1000,0),MIN(TW31,20)*400+(IF('計算A'!BR$106=1,1-FP31,0)+IF('計算A'!BS$106=1,1-FR31,0))*150+203+'計算A'!BS$5*100000+IF(AND($E31=1,LF31=0),50000,0))+IF($H31=1,(IF('計算A'!BR$117=1,INDEX('計算A'!BR$10:BR$54,$B31),0)+IF('計算A'!BS$117=1,INDEX('計算A'!BT$10:BT$54,$B31),0))*4000,0)-IF(AND('計算A'!BR$117=1,WP31&gt;0),2000,0)-IF(AND($L31=1,'計算A'!BS$117=1,FR31=0),2000,0))),1000000))</f>
        <v/>
      </c>
      <c r="QV31">
        <f>IF($B31=0,1000000,IF(INDEX('計算A'!$D$60:$EQ$104,$B31,69)*FR31=1,IF(AND($E31=2,LG31=0),1000000,IF($I31&gt;0,IF(3=$J31,IF(OR(AND(69=$I31+1,OR($K31&lt;&gt;'計算A'!$A$3,'計算A'!$A$4=0)),AND(69=$I31-1,OR(21&lt;&gt;'計算A'!$A$3,'計算A'!$A$4=0))),0,IF(21=$K31,200000,ABS(21-$K31)*100)),100000+ABS(3-$J31)*1000+210)+'計算A'!BT$5*50+IF(AND($E31=1,LG31=0),25,0),IF($F31&gt;0,INDEX('計算A'!BT$110:BT$114,$F31+1)+IF(AND($E31=1,LG31=0),1000,0),MIN(TW31,20)*400+(IF('計算A'!BS$106=1,1-FQ31,0)+IF('計算A'!BT$106=1,1-FS31,0))*150+213+'計算A'!BT$5*100000+IF(AND($E31=1,LG31=0),50000,0))+IF($H31=1,(IF('計算A'!BS$117=1,INDEX('計算A'!BS$10:BS$54,$B31),0)+IF('計算A'!BT$117=1,INDEX('計算A'!BU$10:BU$54,$B31),0))*4000,0)-IF(AND('計算A'!BS$117=1,WQ31&gt;0),2000,0)-IF(AND($L31=1,'計算A'!BT$117=1,FS31=0),2000,0))),1000000))</f>
        <v/>
      </c>
      <c r="QW31">
        <f>IF($B31=0,1000000,IF(INDEX('計算A'!$D$60:$EQ$104,$B31,70)*FS31=1,IF(AND($E31=2,LH31=0),1000000,IF($I31&gt;0,IF(3=$J31,IF(OR(AND(70=$I31+1,OR($K31&lt;&gt;'計算A'!$A$3,'計算A'!$A$4=0)),AND(70=$I31-1,OR(22&lt;&gt;'計算A'!$A$3,'計算A'!$A$4=0))),0,IF(22=$K31,200000,ABS(22-$K31)*100)),100000+ABS(3-$J31)*1000+220)+'計算A'!BU$5*50+IF(AND($E31=1,LH31=0),25,0),IF($F31&gt;0,INDEX('計算A'!BU$110:BU$114,$F31+1)+IF(AND($E31=1,LH31=0),1000,0),MIN(TW31,20)*400+(IF('計算A'!BT$106=1,1-FR31,0)+IF('計算A'!BU$106=1,1-FT31,0))*150+223+'計算A'!BU$5*100000+IF(AND($E31=1,LH31=0),50000,0))+IF($H31=1,(IF('計算A'!BT$117=1,INDEX('計算A'!BT$10:BT$54,$B31),0)+IF('計算A'!BU$117=1,INDEX('計算A'!BV$10:BV$54,$B31),0))*4000,0)-IF(AND('計算A'!BT$117=1,WR31&gt;0),2000,0)-IF(AND($L31=1,'計算A'!BU$117=1,FT31=0),2000,0))),1000000))</f>
        <v/>
      </c>
      <c r="QX31">
        <f>IF($B31=0,1000000,IF(INDEX('計算A'!$D$60:$EQ$104,$B31,71)*FT31=1,IF(AND($E31=2,LI31=0),1000000,IF($I31&gt;0,IF(3=$J31,IF(OR(AND(71=$I31+1,OR($K31&lt;&gt;'計算A'!$A$3,'計算A'!$A$4=0)),AND(71=$I31-1,OR(23&lt;&gt;'計算A'!$A$3,'計算A'!$A$4=0))),0,IF(23=$K31,200000,ABS(23-$K31)*100)),100000+ABS(3-$J31)*1000+230)+'計算A'!BV$5*50+IF(AND($E31=1,LI31=0),25,0),IF($F31&gt;0,INDEX('計算A'!BV$110:BV$114,$F31+1)+IF(AND($E31=1,LI31=0),1000,0),MIN(TW31,20)*400+(IF('計算A'!BU$106=1,1-FS31,0)+IF('計算A'!BV$106=1,1-FU31,0))*150+233+'計算A'!BV$5*100000+IF(AND($E31=1,LI31=0),50000,0))+IF($H31=1,(IF('計算A'!BU$117=1,INDEX('計算A'!BU$10:BU$54,$B31),0)+IF('計算A'!BV$117=1,INDEX('計算A'!BW$10:BW$54,$B31),0))*4000,0)-IF(AND('計算A'!BU$117=1,WS31&gt;0),2000,0)-IF(AND($L31=1,'計算A'!BV$117=1,FU31=0),2000,0))),1000000))</f>
        <v/>
      </c>
      <c r="QY31">
        <f>IF($B31=0,1000000,IF(INDEX('計算A'!$D$60:$EQ$104,$B31,72)*FU31=1,IF(AND($E31=2,LJ31=0),1000000,IF($I31&gt;0,IF(3=$J31,IF(OR(AND(72=$I31+1,OR($K31&lt;&gt;'計算A'!$A$3,'計算A'!$A$4=0)),AND(72=$I31-1,OR(24&lt;&gt;'計算A'!$A$3,'計算A'!$A$4=0))),0,IF(24=$K31,200000,ABS(24-$K31)*100)),100000+ABS(3-$J31)*1000+240)+'計算A'!BW$5*50+IF(AND($E31=1,LJ31=0),25,0),IF($F31&gt;0,INDEX('計算A'!BW$110:BW$114,$F31+1)+IF(AND($E31=1,LJ31=0),1000,0),MIN(TW31,20)*400+(IF('計算A'!BV$106=1,1-FT31,0))*150+243+'計算A'!BW$5*100000+IF(AND($E31=1,LJ31=0),50000,0))+IF($H31=1,(IF('計算A'!BV$117=1,INDEX('計算A'!BV$10:BV$54,$B31),0))*4000,0)-IF(AND('計算A'!BV$117=1,WT31&gt;0),2000,0))),1000000))</f>
        <v/>
      </c>
      <c r="QZ31">
        <f>IF($B31=0,1000000,IF(INDEX('計算A'!$D$60:$EQ$104,$B31,73)*FV31=1,IF(AND($E31=2,LK31=0),1000000,IF($I31&gt;0,IF(4=$J31,IF(OR(AND(73=$I31+1,OR($K31&lt;&gt;'計算A'!$A$3,'計算A'!$A$4=0)),AND(73=$I31-1,OR(1&lt;&gt;'計算A'!$A$3,'計算A'!$A$4=0))),0,IF(1=$K31,200000,ABS(1-$K31)*100)),100000+ABS(4-$J31)*1000+10)+'計算A'!BX$5*50+IF(AND($E31=1,LK31=0),25,0),IF($F31&gt;0,INDEX('計算A'!BX$110:BX$114,$F31+1)+IF(AND($E31=1,LK31=0),1000,0),MIN(TX31,20)*400+(IF('計算A'!BX$106=1,1-FW31,0))*150+14+'計算A'!BX$5*100000+IF(AND($E31=1,LK31=0),50000,0))+IF($H31=1,(IF('計算A'!BX$117=1,INDEX('計算A'!BY$10:BY$54,$B31),0))*4000,0)-IF(AND($L31=1,'計算A'!BX$117=1,FW31=0),2000,0))),1000000))</f>
        <v/>
      </c>
      <c r="RA31">
        <f>IF($B31=0,1000000,IF(INDEX('計算A'!$D$60:$EQ$104,$B31,74)*FW31=1,IF(AND($E31=2,LL31=0),1000000,IF($I31&gt;0,IF(4=$J31,IF(OR(AND(74=$I31+1,OR($K31&lt;&gt;'計算A'!$A$3,'計算A'!$A$4=0)),AND(74=$I31-1,OR(2&lt;&gt;'計算A'!$A$3,'計算A'!$A$4=0))),0,IF(2=$K31,200000,ABS(2-$K31)*100)),100000+ABS(4-$J31)*1000+20)+'計算A'!BY$5*50+IF(AND($E31=1,LL31=0),25,0),IF($F31&gt;0,INDEX('計算A'!BY$110:BY$114,$F31+1)+IF(AND($E31=1,LL31=0),1000,0),MIN(TX31,20)*400+(IF('計算A'!BX$106=1,1-FV31,0)+IF('計算A'!BY$106=1,1-FX31,0))*150+24+'計算A'!BY$5*100000+IF(AND($E31=1,LL31=0),50000,0))+IF($H31=1,(IF('計算A'!BX$117=1,INDEX('計算A'!BX$10:BX$54,$B31),0)+IF('計算A'!BY$117=1,INDEX('計算A'!BZ$10:BZ$54,$B31),0))*4000,0)-IF(AND('計算A'!BX$117=1,WV31&gt;0),2000,0)-IF(AND($L31=1,'計算A'!BY$117=1,FX31=0),2000,0))),1000000))</f>
        <v/>
      </c>
      <c r="RB31">
        <f>IF($B31=0,1000000,IF(INDEX('計算A'!$D$60:$EQ$104,$B31,75)*FX31=1,IF(AND($E31=2,LM31=0),1000000,IF($I31&gt;0,IF(4=$J31,IF(OR(AND(75=$I31+1,OR($K31&lt;&gt;'計算A'!$A$3,'計算A'!$A$4=0)),AND(75=$I31-1,OR(3&lt;&gt;'計算A'!$A$3,'計算A'!$A$4=0))),0,IF(3=$K31,200000,ABS(3-$K31)*100)),100000+ABS(4-$J31)*1000+30)+'計算A'!BZ$5*50+IF(AND($E31=1,LM31=0),25,0),IF($F31&gt;0,INDEX('計算A'!BZ$110:BZ$114,$F31+1)+IF(AND($E31=1,LM31=0),1000,0),MIN(TX31,20)*400+(IF('計算A'!BY$106=1,1-FW31,0)+IF('計算A'!BZ$106=1,1-FY31,0))*150+34+'計算A'!BZ$5*100000+IF(AND($E31=1,LM31=0),50000,0))+IF($H31=1,(IF('計算A'!BY$117=1,INDEX('計算A'!BY$10:BY$54,$B31),0)+IF('計算A'!BZ$117=1,INDEX('計算A'!CA$10:CA$54,$B31),0))*4000,0)-IF(AND('計算A'!BY$117=1,WW31&gt;0),2000,0)-IF(AND($L31=1,'計算A'!BZ$117=1,FY31=0),2000,0))),1000000))</f>
        <v/>
      </c>
      <c r="RC31">
        <f>IF($B31=0,1000000,IF(INDEX('計算A'!$D$60:$EQ$104,$B31,76)*FY31=1,IF(AND($E31=2,LN31=0),1000000,IF($I31&gt;0,IF(4=$J31,IF(OR(AND(76=$I31+1,OR($K31&lt;&gt;'計算A'!$A$3,'計算A'!$A$4=0)),AND(76=$I31-1,OR(4&lt;&gt;'計算A'!$A$3,'計算A'!$A$4=0))),0,IF(4=$K31,200000,ABS(4-$K31)*100)),100000+ABS(4-$J31)*1000+40)+'計算A'!CA$5*50+IF(AND($E31=1,LN31=0),25,0),IF($F31&gt;0,INDEX('計算A'!CA$110:CA$114,$F31+1)+IF(AND($E31=1,LN31=0),1000,0),MIN(TX31,20)*400+(IF('計算A'!BZ$106=1,1-FX31,0)+IF('計算A'!CA$106=1,1-FZ31,0))*150+44+'計算A'!CA$5*100000+IF(AND($E31=1,LN31=0),50000,0))+IF($H31=1,(IF('計算A'!BZ$117=1,INDEX('計算A'!BZ$10:BZ$54,$B31),0)+IF('計算A'!CA$117=1,INDEX('計算A'!CB$10:CB$54,$B31),0))*4000,0)-IF(AND('計算A'!BZ$117=1,WX31&gt;0),2000,0)-IF(AND($L31=1,'計算A'!CA$117=1,FZ31=0),2000,0))),1000000))</f>
        <v/>
      </c>
      <c r="RD31">
        <f>IF($B31=0,1000000,IF(INDEX('計算A'!$D$60:$EQ$104,$B31,77)*FZ31=1,IF(AND($E31=2,LO31=0),1000000,IF($I31&gt;0,IF(4=$J31,IF(OR(AND(77=$I31+1,OR($K31&lt;&gt;'計算A'!$A$3,'計算A'!$A$4=0)),AND(77=$I31-1,OR(5&lt;&gt;'計算A'!$A$3,'計算A'!$A$4=0))),0,IF(5=$K31,200000,ABS(5-$K31)*100)),100000+ABS(4-$J31)*1000+50)+'計算A'!CB$5*50+IF(AND($E31=1,LO31=0),25,0),IF($F31&gt;0,INDEX('計算A'!CB$110:CB$114,$F31+1)+IF(AND($E31=1,LO31=0),1000,0),MIN(TX31,20)*400+(IF('計算A'!CA$106=1,1-FY31,0)+IF('計算A'!CB$106=1,1-GA31,0))*150+54+'計算A'!CB$5*100000+IF(AND($E31=1,LO31=0),50000,0))+IF($H31=1,(IF('計算A'!CA$117=1,INDEX('計算A'!CA$10:CA$54,$B31),0)+IF('計算A'!CB$117=1,INDEX('計算A'!CC$10:CC$54,$B31),0))*4000,0)-IF(AND('計算A'!CA$117=1,WY31&gt;0),2000,0)-IF(AND($L31=1,'計算A'!CB$117=1,GA31=0),2000,0))),1000000))</f>
        <v/>
      </c>
      <c r="RE31">
        <f>IF($B31=0,1000000,IF(INDEX('計算A'!$D$60:$EQ$104,$B31,78)*GA31=1,IF(AND($E31=2,LP31=0),1000000,IF($I31&gt;0,IF(4=$J31,IF(OR(AND(78=$I31+1,OR($K31&lt;&gt;'計算A'!$A$3,'計算A'!$A$4=0)),AND(78=$I31-1,OR(6&lt;&gt;'計算A'!$A$3,'計算A'!$A$4=0))),0,IF(6=$K31,200000,ABS(6-$K31)*100)),100000+ABS(4-$J31)*1000+60)+'計算A'!CC$5*50+IF(AND($E31=1,LP31=0),25,0),IF($F31&gt;0,INDEX('計算A'!CC$110:CC$114,$F31+1)+IF(AND($E31=1,LP31=0),1000,0),MIN(TX31,20)*400+(IF('計算A'!CB$106=1,1-FZ31,0)+IF('計算A'!CC$106=1,1-GB31,0))*150+64+'計算A'!CC$5*100000+IF(AND($E31=1,LP31=0),50000,0))+IF($H31=1,(IF('計算A'!CB$117=1,INDEX('計算A'!CB$10:CB$54,$B31),0)+IF('計算A'!CC$117=1,INDEX('計算A'!CD$10:CD$54,$B31),0))*4000,0)-IF(AND('計算A'!CB$117=1,WZ31&gt;0),2000,0)-IF(AND($L31=1,'計算A'!CC$117=1,GB31=0),2000,0))),1000000))</f>
        <v/>
      </c>
      <c r="RF31">
        <f>IF($B31=0,1000000,IF(INDEX('計算A'!$D$60:$EQ$104,$B31,79)*GB31=1,IF(AND($E31=2,LQ31=0),1000000,IF($I31&gt;0,IF(4=$J31,IF(OR(AND(79=$I31+1,OR($K31&lt;&gt;'計算A'!$A$3,'計算A'!$A$4=0)),AND(79=$I31-1,OR(7&lt;&gt;'計算A'!$A$3,'計算A'!$A$4=0))),0,IF(7=$K31,200000,ABS(7-$K31)*100)),100000+ABS(4-$J31)*1000+70)+'計算A'!CD$5*50+IF(AND($E31=1,LQ31=0),25,0),IF($F31&gt;0,INDEX('計算A'!CD$110:CD$114,$F31+1)+IF(AND($E31=1,LQ31=0),1000,0),MIN(TX31,20)*400+(IF('計算A'!CC$106=1,1-GA31,0)+IF('計算A'!CD$106=1,1-GC31,0))*150+74+'計算A'!CD$5*100000+IF(AND($E31=1,LQ31=0),50000,0))+IF($H31=1,(IF('計算A'!CC$117=1,INDEX('計算A'!CC$10:CC$54,$B31),0)+IF('計算A'!CD$117=1,INDEX('計算A'!CE$10:CE$54,$B31),0))*4000,0)-IF(AND('計算A'!CC$117=1,XA31&gt;0),2000,0)-IF(AND($L31=1,'計算A'!CD$117=1,GC31=0),2000,0))),1000000))</f>
        <v/>
      </c>
      <c r="RG31">
        <f>IF($B31=0,1000000,IF(INDEX('計算A'!$D$60:$EQ$104,$B31,80)*GC31=1,IF(AND($E31=2,LR31=0),1000000,IF($I31&gt;0,IF(4=$J31,IF(OR(AND(80=$I31+1,OR($K31&lt;&gt;'計算A'!$A$3,'計算A'!$A$4=0)),AND(80=$I31-1,OR(8&lt;&gt;'計算A'!$A$3,'計算A'!$A$4=0))),0,IF(8=$K31,200000,ABS(8-$K31)*100)),100000+ABS(4-$J31)*1000+80)+'計算A'!CE$5*50+IF(AND($E31=1,LR31=0),25,0),IF($F31&gt;0,INDEX('計算A'!CE$110:CE$114,$F31+1)+IF(AND($E31=1,LR31=0),1000,0),MIN(TX31,20)*400+(IF('計算A'!CD$106=1,1-GB31,0)+IF('計算A'!CE$106=1,1-GD31,0))*150+84+'計算A'!CE$5*100000+IF(AND($E31=1,LR31=0),50000,0))+IF($H31=1,(IF('計算A'!CD$117=1,INDEX('計算A'!CD$10:CD$54,$B31),0)+IF('計算A'!CE$117=1,INDEX('計算A'!CF$10:CF$54,$B31),0))*4000,0)-IF(AND('計算A'!CD$117=1,XB31&gt;0),2000,0)-IF(AND($L31=1,'計算A'!CE$117=1,GD31=0),2000,0))),1000000))</f>
        <v/>
      </c>
      <c r="RH31">
        <f>IF($B31=0,1000000,IF(INDEX('計算A'!$D$60:$EQ$104,$B31,81)*GD31=1,IF(AND($E31=2,LS31=0),1000000,IF($I31&gt;0,IF(4=$J31,IF(OR(AND(81=$I31+1,OR($K31&lt;&gt;'計算A'!$A$3,'計算A'!$A$4=0)),AND(81=$I31-1,OR(9&lt;&gt;'計算A'!$A$3,'計算A'!$A$4=0))),0,IF(9=$K31,200000,ABS(9-$K31)*100)),100000+ABS(4-$J31)*1000+90)+'計算A'!CF$5*50+IF(AND($E31=1,LS31=0),25,0),IF($F31&gt;0,INDEX('計算A'!CF$110:CF$114,$F31+1)+IF(AND($E31=1,LS31=0),1000,0),MIN(TX31,20)*400+(IF('計算A'!CE$106=1,1-GC31,0)+IF('計算A'!CF$106=1,1-GE31,0))*150+94+'計算A'!CF$5*100000+IF(AND($E31=1,LS31=0),50000,0))+IF($H31=1,(IF('計算A'!CE$117=1,INDEX('計算A'!CE$10:CE$54,$B31),0)+IF('計算A'!CF$117=1,INDEX('計算A'!CG$10:CG$54,$B31),0))*4000,0)-IF(AND('計算A'!CE$117=1,XC31&gt;0),2000,0)-IF(AND($L31=1,'計算A'!CF$117=1,GE31=0),2000,0))),1000000))</f>
        <v/>
      </c>
      <c r="RI31">
        <f>IF($B31=0,1000000,IF(INDEX('計算A'!$D$60:$EQ$104,$B31,82)*GE31=1,IF(AND($E31=2,LT31=0),1000000,IF($I31&gt;0,IF(4=$J31,IF(OR(AND(82=$I31+1,OR($K31&lt;&gt;'計算A'!$A$3,'計算A'!$A$4=0)),AND(82=$I31-1,OR(10&lt;&gt;'計算A'!$A$3,'計算A'!$A$4=0))),0,IF(10=$K31,200000,ABS(10-$K31)*100)),100000+ABS(4-$J31)*1000+100)+'計算A'!CG$5*50+IF(AND($E31=1,LT31=0),25,0),IF($F31&gt;0,INDEX('計算A'!CG$110:CG$114,$F31+1)+IF(AND($E31=1,LT31=0),1000,0),MIN(TX31,20)*400+(IF('計算A'!CF$106=1,1-GD31,0)+IF('計算A'!CG$106=1,1-GF31,0))*150+104+'計算A'!CG$5*100000+IF(AND($E31=1,LT31=0),50000,0))+IF($H31=1,(IF('計算A'!CF$117=1,INDEX('計算A'!CF$10:CF$54,$B31),0)+IF('計算A'!CG$117=1,INDEX('計算A'!CH$10:CH$54,$B31),0))*4000,0)-IF(AND('計算A'!CF$117=1,XD31&gt;0),2000,0)-IF(AND($L31=1,'計算A'!CG$117=1,GF31=0),2000,0))),1000000))</f>
        <v/>
      </c>
      <c r="RJ31">
        <f>IF($B31=0,1000000,IF(INDEX('計算A'!$D$60:$EQ$104,$B31,83)*GF31=1,IF(AND($E31=2,LU31=0),1000000,IF($I31&gt;0,IF(4=$J31,IF(OR(AND(83=$I31+1,OR($K31&lt;&gt;'計算A'!$A$3,'計算A'!$A$4=0)),AND(83=$I31-1,OR(11&lt;&gt;'計算A'!$A$3,'計算A'!$A$4=0))),0,IF(11=$K31,200000,ABS(11-$K31)*100)),100000+ABS(4-$J31)*1000+110)+'計算A'!CH$5*50+IF(AND($E31=1,LU31=0),25,0),IF($F31&gt;0,INDEX('計算A'!CH$110:CH$114,$F31+1)+IF(AND($E31=1,LU31=0),1000,0),MIN(TX31,20)*400+(IF('計算A'!CG$106=1,1-GE31,0)+IF('計算A'!CH$106=1,1-GG31,0))*150+114+'計算A'!CH$5*100000+IF(AND($E31=1,LU31=0),50000,0))+IF($H31=1,(IF('計算A'!CG$117=1,INDEX('計算A'!CG$10:CG$54,$B31),0)+IF('計算A'!CH$117=1,INDEX('計算A'!CI$10:CI$54,$B31),0))*4000,0)-IF(AND('計算A'!CG$117=1,XE31&gt;0),2000,0)-IF(AND($L31=1,'計算A'!CH$117=1,GG31=0),2000,0))),1000000))</f>
        <v/>
      </c>
      <c r="RK31">
        <f>IF($B31=0,1000000,IF(INDEX('計算A'!$D$60:$EQ$104,$B31,84)*GG31=1,IF(AND($E31=2,LV31=0),1000000,IF($I31&gt;0,IF(4=$J31,IF(OR(AND(84=$I31+1,OR($K31&lt;&gt;'計算A'!$A$3,'計算A'!$A$4=0)),AND(84=$I31-1,OR(12&lt;&gt;'計算A'!$A$3,'計算A'!$A$4=0))),0,IF(12=$K31,200000,ABS(12-$K31)*100)),100000+ABS(4-$J31)*1000+120)+'計算A'!CI$5*50+IF(AND($E31=1,LV31=0),25,0),IF($F31&gt;0,INDEX('計算A'!CI$110:CI$114,$F31+1)+IF(AND($E31=1,LV31=0),1000,0),MIN(TX31,20)*400+(IF('計算A'!CH$106=1,1-GF31,0)+IF('計算A'!CI$106=1,1-GH31,0))*150+124+'計算A'!CI$5*100000+IF(AND($E31=1,LV31=0),50000,0))+IF($H31=1,(IF('計算A'!CH$117=1,INDEX('計算A'!CH$10:CH$54,$B31),0)+IF('計算A'!CI$117=1,INDEX('計算A'!CJ$10:CJ$54,$B31),0))*4000,0)-IF(AND('計算A'!CH$117=1,XF31&gt;0),2000,0)-IF(AND($L31=1,'計算A'!CI$117=1,GH31=0),2000,0))),1000000))</f>
        <v/>
      </c>
      <c r="RL31">
        <f>IF($B31=0,1000000,IF(INDEX('計算A'!$D$60:$EQ$104,$B31,85)*GH31=1,IF(AND($E31=2,LW31=0),1000000,IF($I31&gt;0,IF(4=$J31,IF(OR(AND(85=$I31+1,OR($K31&lt;&gt;'計算A'!$A$3,'計算A'!$A$4=0)),AND(85=$I31-1,OR(13&lt;&gt;'計算A'!$A$3,'計算A'!$A$4=0))),0,IF(13=$K31,200000,ABS(13-$K31)*100)),100000+ABS(4-$J31)*1000+130)+'計算A'!CJ$5*50+IF(AND($E31=1,LW31=0),25,0),IF($F31&gt;0,INDEX('計算A'!CJ$110:CJ$114,$F31+1)+IF(AND($E31=1,LW31=0),1000,0),MIN(TX31,20)*400+(IF('計算A'!CI$106=1,1-GG31,0)+IF('計算A'!CJ$106=1,1-GI31,0))*150+134+'計算A'!CJ$5*100000+IF(AND($E31=1,LW31=0),50000,0))+IF($H31=1,(IF('計算A'!CI$117=1,INDEX('計算A'!CI$10:CI$54,$B31),0)+IF('計算A'!CJ$117=1,INDEX('計算A'!CK$10:CK$54,$B31),0))*4000,0)-IF(AND('計算A'!CI$117=1,XG31&gt;0),2000,0)-IF(AND($L31=1,'計算A'!CJ$117=1,GI31=0),2000,0))),1000000))</f>
        <v/>
      </c>
      <c r="RM31">
        <f>IF($B31=0,1000000,IF(INDEX('計算A'!$D$60:$EQ$104,$B31,86)*GI31=1,IF(AND($E31=2,LX31=0),1000000,IF($I31&gt;0,IF(4=$J31,IF(OR(AND(86=$I31+1,OR($K31&lt;&gt;'計算A'!$A$3,'計算A'!$A$4=0)),AND(86=$I31-1,OR(14&lt;&gt;'計算A'!$A$3,'計算A'!$A$4=0))),0,IF(14=$K31,200000,ABS(14-$K31)*100)),100000+ABS(4-$J31)*1000+140)+'計算A'!CK$5*50+IF(AND($E31=1,LX31=0),25,0),IF($F31&gt;0,INDEX('計算A'!CK$110:CK$114,$F31+1)+IF(AND($E31=1,LX31=0),1000,0),MIN(TX31,20)*400+(IF('計算A'!CJ$106=1,1-GH31,0)+IF('計算A'!CK$106=1,1-GJ31,0))*150+144+'計算A'!CK$5*100000+IF(AND($E31=1,LX31=0),50000,0))+IF($H31=1,(IF('計算A'!CJ$117=1,INDEX('計算A'!CJ$10:CJ$54,$B31),0)+IF('計算A'!CK$117=1,INDEX('計算A'!CL$10:CL$54,$B31),0))*4000,0)-IF(AND('計算A'!CJ$117=1,XH31&gt;0),2000,0)-IF(AND($L31=1,'計算A'!CK$117=1,GJ31=0),2000,0))),1000000))</f>
        <v/>
      </c>
      <c r="RN31">
        <f>IF($B31=0,1000000,IF(INDEX('計算A'!$D$60:$EQ$104,$B31,87)*GJ31=1,IF(AND($E31=2,LY31=0),1000000,IF($I31&gt;0,IF(4=$J31,IF(OR(AND(87=$I31+1,OR($K31&lt;&gt;'計算A'!$A$3,'計算A'!$A$4=0)),AND(87=$I31-1,OR(15&lt;&gt;'計算A'!$A$3,'計算A'!$A$4=0))),0,IF(15=$K31,200000,ABS(15-$K31)*100)),100000+ABS(4-$J31)*1000+150)+'計算A'!CL$5*50+IF(AND($E31=1,LY31=0),25,0),IF($F31&gt;0,INDEX('計算A'!CL$110:CL$114,$F31+1)+IF(AND($E31=1,LY31=0),1000,0),MIN(TX31,20)*400+(IF('計算A'!CK$106=1,1-GI31,0)+IF('計算A'!CL$106=1,1-GK31,0))*150+154+'計算A'!CL$5*100000+IF(AND($E31=1,LY31=0),50000,0))+IF($H31=1,(IF('計算A'!CK$117=1,INDEX('計算A'!CK$10:CK$54,$B31),0)+IF('計算A'!CL$117=1,INDEX('計算A'!CM$10:CM$54,$B31),0))*4000,0)-IF(AND('計算A'!CK$117=1,XI31&gt;0),2000,0)-IF(AND($L31=1,'計算A'!CL$117=1,GK31=0),2000,0))),1000000))</f>
        <v/>
      </c>
      <c r="RO31">
        <f>IF($B31=0,1000000,IF(INDEX('計算A'!$D$60:$EQ$104,$B31,88)*GK31=1,IF(AND($E31=2,LZ31=0),1000000,IF($I31&gt;0,IF(4=$J31,IF(OR(AND(88=$I31+1,OR($K31&lt;&gt;'計算A'!$A$3,'計算A'!$A$4=0)),AND(88=$I31-1,OR(16&lt;&gt;'計算A'!$A$3,'計算A'!$A$4=0))),0,IF(16=$K31,200000,ABS(16-$K31)*100)),100000+ABS(4-$J31)*1000+160)+'計算A'!CM$5*50+IF(AND($E31=1,LZ31=0),25,0),IF($F31&gt;0,INDEX('計算A'!CM$110:CM$114,$F31+1)+IF(AND($E31=1,LZ31=0),1000,0),MIN(TX31,20)*400+(IF('計算A'!CL$106=1,1-GJ31,0)+IF('計算A'!CM$106=1,1-GL31,0))*150+164+'計算A'!CM$5*100000+IF(AND($E31=1,LZ31=0),50000,0))+IF($H31=1,(IF('計算A'!CL$117=1,INDEX('計算A'!CL$10:CL$54,$B31),0)+IF('計算A'!CM$117=1,INDEX('計算A'!CN$10:CN$54,$B31),0))*4000,0)-IF(AND('計算A'!CL$117=1,XJ31&gt;0),2000,0)-IF(AND($L31=1,'計算A'!CM$117=1,GL31=0),2000,0))),1000000))</f>
        <v/>
      </c>
      <c r="RP31">
        <f>IF($B31=0,1000000,IF(INDEX('計算A'!$D$60:$EQ$104,$B31,89)*GL31=1,IF(AND($E31=2,MA31=0),1000000,IF($I31&gt;0,IF(4=$J31,IF(OR(AND(89=$I31+1,OR($K31&lt;&gt;'計算A'!$A$3,'計算A'!$A$4=0)),AND(89=$I31-1,OR(17&lt;&gt;'計算A'!$A$3,'計算A'!$A$4=0))),0,IF(17=$K31,200000,ABS(17-$K31)*100)),100000+ABS(4-$J31)*1000+170)+'計算A'!CN$5*50+IF(AND($E31=1,MA31=0),25,0),IF($F31&gt;0,INDEX('計算A'!CN$110:CN$114,$F31+1)+IF(AND($E31=1,MA31=0),1000,0),MIN(TX31,20)*400+(IF('計算A'!CM$106=1,1-GK31,0)+IF('計算A'!CN$106=1,1-GM31,0))*150+174+'計算A'!CN$5*100000+IF(AND($E31=1,MA31=0),50000,0))+IF($H31=1,(IF('計算A'!CM$117=1,INDEX('計算A'!CM$10:CM$54,$B31),0)+IF('計算A'!CN$117=1,INDEX('計算A'!CO$10:CO$54,$B31),0))*4000,0)-IF(AND('計算A'!CM$117=1,XK31&gt;0),2000,0)-IF(AND($L31=1,'計算A'!CN$117=1,GM31=0),2000,0))),1000000))</f>
        <v/>
      </c>
      <c r="RQ31">
        <f>IF($B31=0,1000000,IF(INDEX('計算A'!$D$60:$EQ$104,$B31,90)*GM31=1,IF(AND($E31=2,MB31=0),1000000,IF($I31&gt;0,IF(4=$J31,IF(OR(AND(90=$I31+1,OR($K31&lt;&gt;'計算A'!$A$3,'計算A'!$A$4=0)),AND(90=$I31-1,OR(18&lt;&gt;'計算A'!$A$3,'計算A'!$A$4=0))),0,IF(18=$K31,200000,ABS(18-$K31)*100)),100000+ABS(4-$J31)*1000+180)+'計算A'!CO$5*50+IF(AND($E31=1,MB31=0),25,0),IF($F31&gt;0,INDEX('計算A'!CO$110:CO$114,$F31+1)+IF(AND($E31=1,MB31=0),1000,0),MIN(TX31,20)*400+(IF('計算A'!CN$106=1,1-GL31,0)+IF('計算A'!CO$106=1,1-GN31,0))*150+184+'計算A'!CO$5*100000+IF(AND($E31=1,MB31=0),50000,0))+IF($H31=1,(IF('計算A'!CN$117=1,INDEX('計算A'!CN$10:CN$54,$B31),0)+IF('計算A'!CO$117=1,INDEX('計算A'!CP$10:CP$54,$B31),0))*4000,0)-IF(AND('計算A'!CN$117=1,XL31&gt;0),2000,0)-IF(AND($L31=1,'計算A'!CO$117=1,GN31=0),2000,0))),1000000))</f>
        <v/>
      </c>
      <c r="RR31">
        <f>IF($B31=0,1000000,IF(INDEX('計算A'!$D$60:$EQ$104,$B31,91)*GN31=1,IF(AND($E31=2,MC31=0),1000000,IF($I31&gt;0,IF(4=$J31,IF(OR(AND(91=$I31+1,OR($K31&lt;&gt;'計算A'!$A$3,'計算A'!$A$4=0)),AND(91=$I31-1,OR(19&lt;&gt;'計算A'!$A$3,'計算A'!$A$4=0))),0,IF(19=$K31,200000,ABS(19-$K31)*100)),100000+ABS(4-$J31)*1000+190)+'計算A'!CP$5*50+IF(AND($E31=1,MC31=0),25,0),IF($F31&gt;0,INDEX('計算A'!CP$110:CP$114,$F31+1)+IF(AND($E31=1,MC31=0),1000,0),MIN(TX31,20)*400+(IF('計算A'!CO$106=1,1-GM31,0)+IF('計算A'!CP$106=1,1-GO31,0))*150+194+'計算A'!CP$5*100000+IF(AND($E31=1,MC31=0),50000,0))+IF($H31=1,(IF('計算A'!CO$117=1,INDEX('計算A'!CO$10:CO$54,$B31),0)+IF('計算A'!CP$117=1,INDEX('計算A'!CQ$10:CQ$54,$B31),0))*4000,0)-IF(AND('計算A'!CO$117=1,XM31&gt;0),2000,0)-IF(AND($L31=1,'計算A'!CP$117=1,GO31=0),2000,0))),1000000))</f>
        <v/>
      </c>
      <c r="RS31">
        <f>IF($B31=0,1000000,IF(INDEX('計算A'!$D$60:$EQ$104,$B31,92)*GO31=1,IF(AND($E31=2,MD31=0),1000000,IF($I31&gt;0,IF(4=$J31,IF(OR(AND(92=$I31+1,OR($K31&lt;&gt;'計算A'!$A$3,'計算A'!$A$4=0)),AND(92=$I31-1,OR(20&lt;&gt;'計算A'!$A$3,'計算A'!$A$4=0))),0,IF(20=$K31,200000,ABS(20-$K31)*100)),100000+ABS(4-$J31)*1000+200)+'計算A'!CQ$5*50+IF(AND($E31=1,MD31=0),25,0),IF($F31&gt;0,INDEX('計算A'!CQ$110:CQ$114,$F31+1)+IF(AND($E31=1,MD31=0),1000,0),MIN(TX31,20)*400+(IF('計算A'!CP$106=1,1-GN31,0)+IF('計算A'!CQ$106=1,1-GP31,0))*150+204+'計算A'!CQ$5*100000+IF(AND($E31=1,MD31=0),50000,0))+IF($H31=1,(IF('計算A'!CP$117=1,INDEX('計算A'!CP$10:CP$54,$B31),0)+IF('計算A'!CQ$117=1,INDEX('計算A'!CR$10:CR$54,$B31),0))*4000,0)-IF(AND('計算A'!CP$117=1,XN31&gt;0),2000,0)-IF(AND($L31=1,'計算A'!CQ$117=1,GP31=0),2000,0))),1000000))</f>
        <v/>
      </c>
      <c r="RT31">
        <f>IF($B31=0,1000000,IF(INDEX('計算A'!$D$60:$EQ$104,$B31,93)*GP31=1,IF(AND($E31=2,ME31=0),1000000,IF($I31&gt;0,IF(4=$J31,IF(OR(AND(93=$I31+1,OR($K31&lt;&gt;'計算A'!$A$3,'計算A'!$A$4=0)),AND(93=$I31-1,OR(21&lt;&gt;'計算A'!$A$3,'計算A'!$A$4=0))),0,IF(21=$K31,200000,ABS(21-$K31)*100)),100000+ABS(4-$J31)*1000+210)+'計算A'!CR$5*50+IF(AND($E31=1,ME31=0),25,0),IF($F31&gt;0,INDEX('計算A'!CR$110:CR$114,$F31+1)+IF(AND($E31=1,ME31=0),1000,0),MIN(TX31,20)*400+(IF('計算A'!CQ$106=1,1-GO31,0)+IF('計算A'!CR$106=1,1-GQ31,0))*150+214+'計算A'!CR$5*100000+IF(AND($E31=1,ME31=0),50000,0))+IF($H31=1,(IF('計算A'!CQ$117=1,INDEX('計算A'!CQ$10:CQ$54,$B31),0)+IF('計算A'!CR$117=1,INDEX('計算A'!CS$10:CS$54,$B31),0))*4000,0)-IF(AND('計算A'!CQ$117=1,XO31&gt;0),2000,0)-IF(AND($L31=1,'計算A'!CR$117=1,GQ31=0),2000,0))),1000000))</f>
        <v/>
      </c>
      <c r="RU31">
        <f>IF($B31=0,1000000,IF(INDEX('計算A'!$D$60:$EQ$104,$B31,94)*GQ31=1,IF(AND($E31=2,MF31=0),1000000,IF($I31&gt;0,IF(4=$J31,IF(OR(AND(94=$I31+1,OR($K31&lt;&gt;'計算A'!$A$3,'計算A'!$A$4=0)),AND(94=$I31-1,OR(22&lt;&gt;'計算A'!$A$3,'計算A'!$A$4=0))),0,IF(22=$K31,200000,ABS(22-$K31)*100)),100000+ABS(4-$J31)*1000+220)+'計算A'!CS$5*50+IF(AND($E31=1,MF31=0),25,0),IF($F31&gt;0,INDEX('計算A'!CS$110:CS$114,$F31+1)+IF(AND($E31=1,MF31=0),1000,0),MIN(TX31,20)*400+(IF('計算A'!CR$106=1,1-GP31,0)+IF('計算A'!CS$106=1,1-GR31,0))*150+224+'計算A'!CS$5*100000+IF(AND($E31=1,MF31=0),50000,0))+IF($H31=1,(IF('計算A'!CR$117=1,INDEX('計算A'!CR$10:CR$54,$B31),0)+IF('計算A'!CS$117=1,INDEX('計算A'!CT$10:CT$54,$B31),0))*4000,0)-IF(AND('計算A'!CR$117=1,XP31&gt;0),2000,0)-IF(AND($L31=1,'計算A'!CS$117=1,GR31=0),2000,0))),1000000))</f>
        <v/>
      </c>
      <c r="RV31">
        <f>IF($B31=0,1000000,IF(INDEX('計算A'!$D$60:$EQ$104,$B31,95)*GR31=1,IF(AND($E31=2,MG31=0),1000000,IF($I31&gt;0,IF(4=$J31,IF(OR(AND(95=$I31+1,OR($K31&lt;&gt;'計算A'!$A$3,'計算A'!$A$4=0)),AND(95=$I31-1,OR(23&lt;&gt;'計算A'!$A$3,'計算A'!$A$4=0))),0,IF(23=$K31,200000,ABS(23-$K31)*100)),100000+ABS(4-$J31)*1000+230)+'計算A'!CT$5*50+IF(AND($E31=1,MG31=0),25,0),IF($F31&gt;0,INDEX('計算A'!CT$110:CT$114,$F31+1)+IF(AND($E31=1,MG31=0),1000,0),MIN(TX31,20)*400+(IF('計算A'!CS$106=1,1-GQ31,0)+IF('計算A'!CT$106=1,1-GS31,0))*150+234+'計算A'!CT$5*100000+IF(AND($E31=1,MG31=0),50000,0))+IF($H31=1,(IF('計算A'!CS$117=1,INDEX('計算A'!CS$10:CS$54,$B31),0)+IF('計算A'!CT$117=1,INDEX('計算A'!CU$10:CU$54,$B31),0))*4000,0)-IF(AND('計算A'!CS$117=1,XQ31&gt;0),2000,0)-IF(AND($L31=1,'計算A'!CT$117=1,GS31=0),2000,0))),1000000))</f>
        <v/>
      </c>
      <c r="RW31">
        <f>IF($B31=0,1000000,IF(INDEX('計算A'!$D$60:$EQ$104,$B31,96)*GS31=1,IF(AND($E31=2,MH31=0),1000000,IF($I31&gt;0,IF(4=$J31,IF(OR(AND(96=$I31+1,OR($K31&lt;&gt;'計算A'!$A$3,'計算A'!$A$4=0)),AND(96=$I31-1,OR(24&lt;&gt;'計算A'!$A$3,'計算A'!$A$4=0))),0,IF(24=$K31,200000,ABS(24-$K31)*100)),100000+ABS(4-$J31)*1000+240)+'計算A'!CU$5*50+IF(AND($E31=1,MH31=0),25,0),IF($F31&gt;0,INDEX('計算A'!CU$110:CU$114,$F31+1)+IF(AND($E31=1,MH31=0),1000,0),MIN(TX31,20)*400+(IF('計算A'!CT$106=1,1-GR31,0))*150+244+'計算A'!CU$5*100000+IF(AND($E31=1,MH31=0),50000,0))+IF($H31=1,(IF('計算A'!CT$117=1,INDEX('計算A'!CT$10:CT$54,$B31),0))*4000,0)-IF(AND('計算A'!CT$117=1,XR31&gt;0),2000,0))),1000000))</f>
        <v/>
      </c>
      <c r="RX31">
        <f>IF($B31=0,1000000,IF(INDEX('計算A'!$D$60:$EQ$104,$B31,97)*GT31=1,IF(AND($E31=2,MI31=0),1000000,IF($I31&gt;0,IF(5=$J31,IF(OR(AND(97=$I31+1,OR($K31&lt;&gt;'計算A'!$A$3,'計算A'!$A$4=0)),AND(97=$I31-1,OR(1&lt;&gt;'計算A'!$A$3,'計算A'!$A$4=0))),0,IF(1=$K31,200000,ABS(1-$K31)*100)),100000+ABS(5-$J31)*1000+10)+'計算A'!CV$5*50+IF(AND($E31=1,MI31=0),25,0),IF($F31&gt;0,INDEX('計算A'!CV$110:CV$114,$F31+1)+IF(AND($E31=1,MI31=0),1000,0),MIN(TY31,20)*400+(IF('計算A'!CV$106=1,1-GU31,0))*150+15+'計算A'!CV$5*100000+IF(AND($E31=1,MI31=0),50000,0))+IF($H31=1,(IF('計算A'!CV$117=1,INDEX('計算A'!CW$10:CW$54,$B31),0))*4000,0)-IF(AND($L31=1,'計算A'!CV$117=1,GU31=0),2000,0))),1000000))</f>
        <v/>
      </c>
      <c r="RY31">
        <f>IF($B31=0,1000000,IF(INDEX('計算A'!$D$60:$EQ$104,$B31,98)*GU31=1,IF(AND($E31=2,MJ31=0),1000000,IF($I31&gt;0,IF(5=$J31,IF(OR(AND(98=$I31+1,OR($K31&lt;&gt;'計算A'!$A$3,'計算A'!$A$4=0)),AND(98=$I31-1,OR(2&lt;&gt;'計算A'!$A$3,'計算A'!$A$4=0))),0,IF(2=$K31,200000,ABS(2-$K31)*100)),100000+ABS(5-$J31)*1000+20)+'計算A'!CW$5*50+IF(AND($E31=1,MJ31=0),25,0),IF($F31&gt;0,INDEX('計算A'!CW$110:CW$114,$F31+1)+IF(AND($E31=1,MJ31=0),1000,0),MIN(TY31,20)*400+(IF('計算A'!CV$106=1,1-GT31,0)+IF('計算A'!CW$106=1,1-GV31,0))*150+25+'計算A'!CW$5*100000+IF(AND($E31=1,MJ31=0),50000,0))+IF($H31=1,(IF('計算A'!CV$117=1,INDEX('計算A'!CV$10:CV$54,$B31),0)+IF('計算A'!CW$117=1,INDEX('計算A'!CX$10:CX$54,$B31),0))*4000,0)-IF(AND('計算A'!CV$117=1,XT31&gt;0),2000,0)-IF(AND($L31=1,'計算A'!CW$117=1,GV31=0),2000,0))),1000000))</f>
        <v/>
      </c>
      <c r="RZ31">
        <f>IF($B31=0,1000000,IF(INDEX('計算A'!$D$60:$EQ$104,$B31,99)*GV31=1,IF(AND($E31=2,MK31=0),1000000,IF($I31&gt;0,IF(5=$J31,IF(OR(AND(99=$I31+1,OR($K31&lt;&gt;'計算A'!$A$3,'計算A'!$A$4=0)),AND(99=$I31-1,OR(3&lt;&gt;'計算A'!$A$3,'計算A'!$A$4=0))),0,IF(3=$K31,200000,ABS(3-$K31)*100)),100000+ABS(5-$J31)*1000+30)+'計算A'!CX$5*50+IF(AND($E31=1,MK31=0),25,0),IF($F31&gt;0,INDEX('計算A'!CX$110:CX$114,$F31+1)+IF(AND($E31=1,MK31=0),1000,0),MIN(TY31,20)*400+(IF('計算A'!CW$106=1,1-GU31,0)+IF('計算A'!CX$106=1,1-GW31,0))*150+35+'計算A'!CX$5*100000+IF(AND($E31=1,MK31=0),50000,0))+IF($H31=1,(IF('計算A'!CW$117=1,INDEX('計算A'!CW$10:CW$54,$B31),0)+IF('計算A'!CX$117=1,INDEX('計算A'!CY$10:CY$54,$B31),0))*4000,0)-IF(AND('計算A'!CW$117=1,XU31&gt;0),2000,0)-IF(AND($L31=1,'計算A'!CX$117=1,GW31=0),2000,0))),1000000))</f>
        <v/>
      </c>
      <c r="SA31">
        <f>IF($B31=0,1000000,IF(INDEX('計算A'!$D$60:$EQ$104,$B31,100)*GW31=1,IF(AND($E31=2,ML31=0),1000000,IF($I31&gt;0,IF(5=$J31,IF(OR(AND(100=$I31+1,OR($K31&lt;&gt;'計算A'!$A$3,'計算A'!$A$4=0)),AND(100=$I31-1,OR(4&lt;&gt;'計算A'!$A$3,'計算A'!$A$4=0))),0,IF(4=$K31,200000,ABS(4-$K31)*100)),100000+ABS(5-$J31)*1000+40)+'計算A'!CY$5*50+IF(AND($E31=1,ML31=0),25,0),IF($F31&gt;0,INDEX('計算A'!CY$110:CY$114,$F31+1)+IF(AND($E31=1,ML31=0),1000,0),MIN(TY31,20)*400+(IF('計算A'!CX$106=1,1-GV31,0)+IF('計算A'!CY$106=1,1-GX31,0))*150+45+'計算A'!CY$5*100000+IF(AND($E31=1,ML31=0),50000,0))+IF($H31=1,(IF('計算A'!CX$117=1,INDEX('計算A'!CX$10:CX$54,$B31),0)+IF('計算A'!CY$117=1,INDEX('計算A'!CZ$10:CZ$54,$B31),0))*4000,0)-IF(AND('計算A'!CX$117=1,XV31&gt;0),2000,0)-IF(AND($L31=1,'計算A'!CY$117=1,GX31=0),2000,0))),1000000))</f>
        <v/>
      </c>
      <c r="SB31">
        <f>IF($B31=0,1000000,IF(INDEX('計算A'!$D$60:$EQ$104,$B31,101)*GX31=1,IF(AND($E31=2,MM31=0),1000000,IF($I31&gt;0,IF(5=$J31,IF(OR(AND(101=$I31+1,OR($K31&lt;&gt;'計算A'!$A$3,'計算A'!$A$4=0)),AND(101=$I31-1,OR(5&lt;&gt;'計算A'!$A$3,'計算A'!$A$4=0))),0,IF(5=$K31,200000,ABS(5-$K31)*100)),100000+ABS(5-$J31)*1000+50)+'計算A'!CZ$5*50+IF(AND($E31=1,MM31=0),25,0),IF($F31&gt;0,INDEX('計算A'!CZ$110:CZ$114,$F31+1)+IF(AND($E31=1,MM31=0),1000,0),MIN(TY31,20)*400+(IF('計算A'!CY$106=1,1-GW31,0)+IF('計算A'!CZ$106=1,1-GY31,0))*150+55+'計算A'!CZ$5*100000+IF(AND($E31=1,MM31=0),50000,0))+IF($H31=1,(IF('計算A'!CY$117=1,INDEX('計算A'!CY$10:CY$54,$B31),0)+IF('計算A'!CZ$117=1,INDEX('計算A'!DA$10:DA$54,$B31),0))*4000,0)-IF(AND('計算A'!CY$117=1,XW31&gt;0),2000,0)-IF(AND($L31=1,'計算A'!CZ$117=1,GY31=0),2000,0))),1000000))</f>
        <v/>
      </c>
      <c r="SC31">
        <f>IF($B31=0,1000000,IF(INDEX('計算A'!$D$60:$EQ$104,$B31,102)*GY31=1,IF(AND($E31=2,MN31=0),1000000,IF($I31&gt;0,IF(5=$J31,IF(OR(AND(102=$I31+1,OR($K31&lt;&gt;'計算A'!$A$3,'計算A'!$A$4=0)),AND(102=$I31-1,OR(6&lt;&gt;'計算A'!$A$3,'計算A'!$A$4=0))),0,IF(6=$K31,200000,ABS(6-$K31)*100)),100000+ABS(5-$J31)*1000+60)+'計算A'!DA$5*50+IF(AND($E31=1,MN31=0),25,0),IF($F31&gt;0,INDEX('計算A'!DA$110:DA$114,$F31+1)+IF(AND($E31=1,MN31=0),1000,0),MIN(TY31,20)*400+(IF('計算A'!CZ$106=1,1-GX31,0)+IF('計算A'!DA$106=1,1-GZ31,0))*150+65+'計算A'!DA$5*100000+IF(AND($E31=1,MN31=0),50000,0))+IF($H31=1,(IF('計算A'!CZ$117=1,INDEX('計算A'!CZ$10:CZ$54,$B31),0)+IF('計算A'!DA$117=1,INDEX('計算A'!DB$10:DB$54,$B31),0))*4000,0)-IF(AND('計算A'!CZ$117=1,XX31&gt;0),2000,0)-IF(AND($L31=1,'計算A'!DA$117=1,GZ31=0),2000,0))),1000000))</f>
        <v/>
      </c>
      <c r="SD31">
        <f>IF($B31=0,1000000,IF(INDEX('計算A'!$D$60:$EQ$104,$B31,103)*GZ31=1,IF(AND($E31=2,MO31=0),1000000,IF($I31&gt;0,IF(5=$J31,IF(OR(AND(103=$I31+1,OR($K31&lt;&gt;'計算A'!$A$3,'計算A'!$A$4=0)),AND(103=$I31-1,OR(7&lt;&gt;'計算A'!$A$3,'計算A'!$A$4=0))),0,IF(7=$K31,200000,ABS(7-$K31)*100)),100000+ABS(5-$J31)*1000+70)+'計算A'!DB$5*50+IF(AND($E31=1,MO31=0),25,0),IF($F31&gt;0,INDEX('計算A'!DB$110:DB$114,$F31+1)+IF(AND($E31=1,MO31=0),1000,0),MIN(TY31,20)*400+(IF('計算A'!DA$106=1,1-GY31,0)+IF('計算A'!DB$106=1,1-HA31,0))*150+75+'計算A'!DB$5*100000+IF(AND($E31=1,MO31=0),50000,0))+IF($H31=1,(IF('計算A'!DA$117=1,INDEX('計算A'!DA$10:DA$54,$B31),0)+IF('計算A'!DB$117=1,INDEX('計算A'!DC$10:DC$54,$B31),0))*4000,0)-IF(AND('計算A'!DA$117=1,XY31&gt;0),2000,0)-IF(AND($L31=1,'計算A'!DB$117=1,HA31=0),2000,0))),1000000))</f>
        <v/>
      </c>
      <c r="SE31">
        <f>IF($B31=0,1000000,IF(INDEX('計算A'!$D$60:$EQ$104,$B31,104)*HA31=1,IF(AND($E31=2,MP31=0),1000000,IF($I31&gt;0,IF(5=$J31,IF(OR(AND(104=$I31+1,OR($K31&lt;&gt;'計算A'!$A$3,'計算A'!$A$4=0)),AND(104=$I31-1,OR(8&lt;&gt;'計算A'!$A$3,'計算A'!$A$4=0))),0,IF(8=$K31,200000,ABS(8-$K31)*100)),100000+ABS(5-$J31)*1000+80)+'計算A'!DC$5*50+IF(AND($E31=1,MP31=0),25,0),IF($F31&gt;0,INDEX('計算A'!DC$110:DC$114,$F31+1)+IF(AND($E31=1,MP31=0),1000,0),MIN(TY31,20)*400+(IF('計算A'!DB$106=1,1-GZ31,0)+IF('計算A'!DC$106=1,1-HB31,0))*150+85+'計算A'!DC$5*100000+IF(AND($E31=1,MP31=0),50000,0))+IF($H31=1,(IF('計算A'!DB$117=1,INDEX('計算A'!DB$10:DB$54,$B31),0)+IF('計算A'!DC$117=1,INDEX('計算A'!DD$10:DD$54,$B31),0))*4000,0)-IF(AND('計算A'!DB$117=1,XZ31&gt;0),2000,0)-IF(AND($L31=1,'計算A'!DC$117=1,HB31=0),2000,0))),1000000))</f>
        <v/>
      </c>
      <c r="SF31">
        <f>IF($B31=0,1000000,IF(INDEX('計算A'!$D$60:$EQ$104,$B31,105)*HB31=1,IF(AND($E31=2,MQ31=0),1000000,IF($I31&gt;0,IF(5=$J31,IF(OR(AND(105=$I31+1,OR($K31&lt;&gt;'計算A'!$A$3,'計算A'!$A$4=0)),AND(105=$I31-1,OR(9&lt;&gt;'計算A'!$A$3,'計算A'!$A$4=0))),0,IF(9=$K31,200000,ABS(9-$K31)*100)),100000+ABS(5-$J31)*1000+90)+'計算A'!DD$5*50+IF(AND($E31=1,MQ31=0),25,0),IF($F31&gt;0,INDEX('計算A'!DD$110:DD$114,$F31+1)+IF(AND($E31=1,MQ31=0),1000,0),MIN(TY31,20)*400+(IF('計算A'!DC$106=1,1-HA31,0)+IF('計算A'!DD$106=1,1-HC31,0))*150+95+'計算A'!DD$5*100000+IF(AND($E31=1,MQ31=0),50000,0))+IF($H31=1,(IF('計算A'!DC$117=1,INDEX('計算A'!DC$10:DC$54,$B31),0)+IF('計算A'!DD$117=1,INDEX('計算A'!DE$10:DE$54,$B31),0))*4000,0)-IF(AND('計算A'!DC$117=1,YA31&gt;0),2000,0)-IF(AND($L31=1,'計算A'!DD$117=1,HC31=0),2000,0))),1000000))</f>
        <v/>
      </c>
      <c r="SG31">
        <f>IF($B31=0,1000000,IF(INDEX('計算A'!$D$60:$EQ$104,$B31,106)*HC31=1,IF(AND($E31=2,MR31=0),1000000,IF($I31&gt;0,IF(5=$J31,IF(OR(AND(106=$I31+1,OR($K31&lt;&gt;'計算A'!$A$3,'計算A'!$A$4=0)),AND(106=$I31-1,OR(10&lt;&gt;'計算A'!$A$3,'計算A'!$A$4=0))),0,IF(10=$K31,200000,ABS(10-$K31)*100)),100000+ABS(5-$J31)*1000+100)+'計算A'!DE$5*50+IF(AND($E31=1,MR31=0),25,0),IF($F31&gt;0,INDEX('計算A'!DE$110:DE$114,$F31+1)+IF(AND($E31=1,MR31=0),1000,0),MIN(TY31,20)*400+(IF('計算A'!DD$106=1,1-HB31,0)+IF('計算A'!DE$106=1,1-HD31,0))*150+105+'計算A'!DE$5*100000+IF(AND($E31=1,MR31=0),50000,0))+IF($H31=1,(IF('計算A'!DD$117=1,INDEX('計算A'!DD$10:DD$54,$B31),0)+IF('計算A'!DE$117=1,INDEX('計算A'!DF$10:DF$54,$B31),0))*4000,0)-IF(AND('計算A'!DD$117=1,YB31&gt;0),2000,0)-IF(AND($L31=1,'計算A'!DE$117=1,HD31=0),2000,0))),1000000))</f>
        <v/>
      </c>
      <c r="SH31">
        <f>IF($B31=0,1000000,IF(INDEX('計算A'!$D$60:$EQ$104,$B31,107)*HD31=1,IF(AND($E31=2,MS31=0),1000000,IF($I31&gt;0,IF(5=$J31,IF(OR(AND(107=$I31+1,OR($K31&lt;&gt;'計算A'!$A$3,'計算A'!$A$4=0)),AND(107=$I31-1,OR(11&lt;&gt;'計算A'!$A$3,'計算A'!$A$4=0))),0,IF(11=$K31,200000,ABS(11-$K31)*100)),100000+ABS(5-$J31)*1000+110)+'計算A'!DF$5*50+IF(AND($E31=1,MS31=0),25,0),IF($F31&gt;0,INDEX('計算A'!DF$110:DF$114,$F31+1)+IF(AND($E31=1,MS31=0),1000,0),MIN(TY31,20)*400+(IF('計算A'!DE$106=1,1-HC31,0)+IF('計算A'!DF$106=1,1-HE31,0))*150+115+'計算A'!DF$5*100000+IF(AND($E31=1,MS31=0),50000,0))+IF($H31=1,(IF('計算A'!DE$117=1,INDEX('計算A'!DE$10:DE$54,$B31),0)+IF('計算A'!DF$117=1,INDEX('計算A'!DG$10:DG$54,$B31),0))*4000,0)-IF(AND('計算A'!DE$117=1,YC31&gt;0),2000,0)-IF(AND($L31=1,'計算A'!DF$117=1,HE31=0),2000,0))),1000000))</f>
        <v/>
      </c>
      <c r="SI31">
        <f>IF($B31=0,1000000,IF(INDEX('計算A'!$D$60:$EQ$104,$B31,108)*HE31=1,IF(AND($E31=2,MT31=0),1000000,IF($I31&gt;0,IF(5=$J31,IF(OR(AND(108=$I31+1,OR($K31&lt;&gt;'計算A'!$A$3,'計算A'!$A$4=0)),AND(108=$I31-1,OR(12&lt;&gt;'計算A'!$A$3,'計算A'!$A$4=0))),0,IF(12=$K31,200000,ABS(12-$K31)*100)),100000+ABS(5-$J31)*1000+120)+'計算A'!DG$5*50+IF(AND($E31=1,MT31=0),25,0),IF($F31&gt;0,INDEX('計算A'!DG$110:DG$114,$F31+1)+IF(AND($E31=1,MT31=0),1000,0),MIN(TY31,20)*400+(IF('計算A'!DF$106=1,1-HD31,0)+IF('計算A'!DG$106=1,1-HF31,0))*150+125+'計算A'!DG$5*100000+IF(AND($E31=1,MT31=0),50000,0))+IF($H31=1,(IF('計算A'!DF$117=1,INDEX('計算A'!DF$10:DF$54,$B31),0)+IF('計算A'!DG$117=1,INDEX('計算A'!DH$10:DH$54,$B31),0))*4000,0)-IF(AND('計算A'!DF$117=1,YD31&gt;0),2000,0)-IF(AND($L31=1,'計算A'!DG$117=1,HF31=0),2000,0))),1000000))</f>
        <v/>
      </c>
      <c r="SJ31">
        <f>IF($B31=0,1000000,IF(INDEX('計算A'!$D$60:$EQ$104,$B31,109)*HF31=1,IF(AND($E31=2,MU31=0),1000000,IF($I31&gt;0,IF(5=$J31,IF(OR(AND(109=$I31+1,OR($K31&lt;&gt;'計算A'!$A$3,'計算A'!$A$4=0)),AND(109=$I31-1,OR(13&lt;&gt;'計算A'!$A$3,'計算A'!$A$4=0))),0,IF(13=$K31,200000,ABS(13-$K31)*100)),100000+ABS(5-$J31)*1000+130)+'計算A'!DH$5*50+IF(AND($E31=1,MU31=0),25,0),IF($F31&gt;0,INDEX('計算A'!DH$110:DH$114,$F31+1)+IF(AND($E31=1,MU31=0),1000,0),MIN(TY31,20)*400+(IF('計算A'!DG$106=1,1-HE31,0)+IF('計算A'!DH$106=1,1-HG31,0))*150+135+'計算A'!DH$5*100000+IF(AND($E31=1,MU31=0),50000,0))+IF($H31=1,(IF('計算A'!DG$117=1,INDEX('計算A'!DG$10:DG$54,$B31),0)+IF('計算A'!DH$117=1,INDEX('計算A'!DI$10:DI$54,$B31),0))*4000,0)-IF(AND('計算A'!DG$117=1,YE31&gt;0),2000,0)-IF(AND($L31=1,'計算A'!DH$117=1,HG31=0),2000,0))),1000000))</f>
        <v/>
      </c>
      <c r="SK31">
        <f>IF($B31=0,1000000,IF(INDEX('計算A'!$D$60:$EQ$104,$B31,110)*HG31=1,IF(AND($E31=2,MV31=0),1000000,IF($I31&gt;0,IF(5=$J31,IF(OR(AND(110=$I31+1,OR($K31&lt;&gt;'計算A'!$A$3,'計算A'!$A$4=0)),AND(110=$I31-1,OR(14&lt;&gt;'計算A'!$A$3,'計算A'!$A$4=0))),0,IF(14=$K31,200000,ABS(14-$K31)*100)),100000+ABS(5-$J31)*1000+140)+'計算A'!DI$5*50+IF(AND($E31=1,MV31=0),25,0),IF($F31&gt;0,INDEX('計算A'!DI$110:DI$114,$F31+1)+IF(AND($E31=1,MV31=0),1000,0),MIN(TY31,20)*400+(IF('計算A'!DH$106=1,1-HF31,0)+IF('計算A'!DI$106=1,1-HH31,0))*150+145+'計算A'!DI$5*100000+IF(AND($E31=1,MV31=0),50000,0))+IF($H31=1,(IF('計算A'!DH$117=1,INDEX('計算A'!DH$10:DH$54,$B31),0)+IF('計算A'!DI$117=1,INDEX('計算A'!DJ$10:DJ$54,$B31),0))*4000,0)-IF(AND('計算A'!DH$117=1,YF31&gt;0),2000,0)-IF(AND($L31=1,'計算A'!DI$117=1,HH31=0),2000,0))),1000000))</f>
        <v/>
      </c>
      <c r="SL31">
        <f>IF($B31=0,1000000,IF(INDEX('計算A'!$D$60:$EQ$104,$B31,111)*HH31=1,IF(AND($E31=2,MW31=0),1000000,IF($I31&gt;0,IF(5=$J31,IF(OR(AND(111=$I31+1,OR($K31&lt;&gt;'計算A'!$A$3,'計算A'!$A$4=0)),AND(111=$I31-1,OR(15&lt;&gt;'計算A'!$A$3,'計算A'!$A$4=0))),0,IF(15=$K31,200000,ABS(15-$K31)*100)),100000+ABS(5-$J31)*1000+150)+'計算A'!DJ$5*50+IF(AND($E31=1,MW31=0),25,0),IF($F31&gt;0,INDEX('計算A'!DJ$110:DJ$114,$F31+1)+IF(AND($E31=1,MW31=0),1000,0),MIN(TY31,20)*400+(IF('計算A'!DI$106=1,1-HG31,0)+IF('計算A'!DJ$106=1,1-HI31,0))*150+155+'計算A'!DJ$5*100000+IF(AND($E31=1,MW31=0),50000,0))+IF($H31=1,(IF('計算A'!DI$117=1,INDEX('計算A'!DI$10:DI$54,$B31),0)+IF('計算A'!DJ$117=1,INDEX('計算A'!DK$10:DK$54,$B31),0))*4000,0)-IF(AND('計算A'!DI$117=1,YG31&gt;0),2000,0)-IF(AND($L31=1,'計算A'!DJ$117=1,HI31=0),2000,0))),1000000))</f>
        <v/>
      </c>
      <c r="SM31">
        <f>IF($B31=0,1000000,IF(INDEX('計算A'!$D$60:$EQ$104,$B31,112)*HI31=1,IF(AND($E31=2,MX31=0),1000000,IF($I31&gt;0,IF(5=$J31,IF(OR(AND(112=$I31+1,OR($K31&lt;&gt;'計算A'!$A$3,'計算A'!$A$4=0)),AND(112=$I31-1,OR(16&lt;&gt;'計算A'!$A$3,'計算A'!$A$4=0))),0,IF(16=$K31,200000,ABS(16-$K31)*100)),100000+ABS(5-$J31)*1000+160)+'計算A'!DK$5*50+IF(AND($E31=1,MX31=0),25,0),IF($F31&gt;0,INDEX('計算A'!DK$110:DK$114,$F31+1)+IF(AND($E31=1,MX31=0),1000,0),MIN(TY31,20)*400+(IF('計算A'!DJ$106=1,1-HH31,0)+IF('計算A'!DK$106=1,1-HJ31,0))*150+165+'計算A'!DK$5*100000+IF(AND($E31=1,MX31=0),50000,0))+IF($H31=1,(IF('計算A'!DJ$117=1,INDEX('計算A'!DJ$10:DJ$54,$B31),0)+IF('計算A'!DK$117=1,INDEX('計算A'!DL$10:DL$54,$B31),0))*4000,0)-IF(AND('計算A'!DJ$117=1,YH31&gt;0),2000,0)-IF(AND($L31=1,'計算A'!DK$117=1,HJ31=0),2000,0))),1000000))</f>
        <v/>
      </c>
      <c r="SN31">
        <f>IF($B31=0,1000000,IF(INDEX('計算A'!$D$60:$EQ$104,$B31,113)*HJ31=1,IF(AND($E31=2,MY31=0),1000000,IF($I31&gt;0,IF(5=$J31,IF(OR(AND(113=$I31+1,OR($K31&lt;&gt;'計算A'!$A$3,'計算A'!$A$4=0)),AND(113=$I31-1,OR(17&lt;&gt;'計算A'!$A$3,'計算A'!$A$4=0))),0,IF(17=$K31,200000,ABS(17-$K31)*100)),100000+ABS(5-$J31)*1000+170)+'計算A'!DL$5*50+IF(AND($E31=1,MY31=0),25,0),IF($F31&gt;0,INDEX('計算A'!DL$110:DL$114,$F31+1)+IF(AND($E31=1,MY31=0),1000,0),MIN(TY31,20)*400+(IF('計算A'!DK$106=1,1-HI31,0)+IF('計算A'!DL$106=1,1-HK31,0))*150+175+'計算A'!DL$5*100000+IF(AND($E31=1,MY31=0),50000,0))+IF($H31=1,(IF('計算A'!DK$117=1,INDEX('計算A'!DK$10:DK$54,$B31),0)+IF('計算A'!DL$117=1,INDEX('計算A'!DM$10:DM$54,$B31),0))*4000,0)-IF(AND('計算A'!DK$117=1,YI31&gt;0),2000,0)-IF(AND($L31=1,'計算A'!DL$117=1,HK31=0),2000,0))),1000000))</f>
        <v/>
      </c>
      <c r="SO31">
        <f>IF($B31=0,1000000,IF(INDEX('計算A'!$D$60:$EQ$104,$B31,114)*HK31=1,IF(AND($E31=2,MZ31=0),1000000,IF($I31&gt;0,IF(5=$J31,IF(OR(AND(114=$I31+1,OR($K31&lt;&gt;'計算A'!$A$3,'計算A'!$A$4=0)),AND(114=$I31-1,OR(18&lt;&gt;'計算A'!$A$3,'計算A'!$A$4=0))),0,IF(18=$K31,200000,ABS(18-$K31)*100)),100000+ABS(5-$J31)*1000+180)+'計算A'!DM$5*50+IF(AND($E31=1,MZ31=0),25,0),IF($F31&gt;0,INDEX('計算A'!DM$110:DM$114,$F31+1)+IF(AND($E31=1,MZ31=0),1000,0),MIN(TY31,20)*400+(IF('計算A'!DL$106=1,1-HJ31,0)+IF('計算A'!DM$106=1,1-HL31,0))*150+185+'計算A'!DM$5*100000+IF(AND($E31=1,MZ31=0),50000,0))+IF($H31=1,(IF('計算A'!DL$117=1,INDEX('計算A'!DL$10:DL$54,$B31),0)+IF('計算A'!DM$117=1,INDEX('計算A'!DN$10:DN$54,$B31),0))*4000,0)-IF(AND('計算A'!DL$117=1,YJ31&gt;0),2000,0)-IF(AND($L31=1,'計算A'!DM$117=1,HL31=0),2000,0))),1000000))</f>
        <v/>
      </c>
      <c r="SP31">
        <f>IF($B31=0,1000000,IF(INDEX('計算A'!$D$60:$EQ$104,$B31,115)*HL31=1,IF(AND($E31=2,NA31=0),1000000,IF($I31&gt;0,IF(5=$J31,IF(OR(AND(115=$I31+1,OR($K31&lt;&gt;'計算A'!$A$3,'計算A'!$A$4=0)),AND(115=$I31-1,OR(19&lt;&gt;'計算A'!$A$3,'計算A'!$A$4=0))),0,IF(19=$K31,200000,ABS(19-$K31)*100)),100000+ABS(5-$J31)*1000+190)+'計算A'!DN$5*50+IF(AND($E31=1,NA31=0),25,0),IF($F31&gt;0,INDEX('計算A'!DN$110:DN$114,$F31+1)+IF(AND($E31=1,NA31=0),1000,0),MIN(TY31,20)*400+(IF('計算A'!DM$106=1,1-HK31,0)+IF('計算A'!DN$106=1,1-HM31,0))*150+195+'計算A'!DN$5*100000+IF(AND($E31=1,NA31=0),50000,0))+IF($H31=1,(IF('計算A'!DM$117=1,INDEX('計算A'!DM$10:DM$54,$B31),0)+IF('計算A'!DN$117=1,INDEX('計算A'!DO$10:DO$54,$B31),0))*4000,0)-IF(AND('計算A'!DM$117=1,YK31&gt;0),2000,0)-IF(AND($L31=1,'計算A'!DN$117=1,HM31=0),2000,0))),1000000))</f>
        <v/>
      </c>
      <c r="SQ31">
        <f>IF($B31=0,1000000,IF(INDEX('計算A'!$D$60:$EQ$104,$B31,116)*HM31=1,IF(AND($E31=2,NB31=0),1000000,IF($I31&gt;0,IF(5=$J31,IF(OR(AND(116=$I31+1,OR($K31&lt;&gt;'計算A'!$A$3,'計算A'!$A$4=0)),AND(116=$I31-1,OR(20&lt;&gt;'計算A'!$A$3,'計算A'!$A$4=0))),0,IF(20=$K31,200000,ABS(20-$K31)*100)),100000+ABS(5-$J31)*1000+200)+'計算A'!DO$5*50+IF(AND($E31=1,NB31=0),25,0),IF($F31&gt;0,INDEX('計算A'!DO$110:DO$114,$F31+1)+IF(AND($E31=1,NB31=0),1000,0),MIN(TY31,20)*400+(IF('計算A'!DN$106=1,1-HL31,0)+IF('計算A'!DO$106=1,1-HN31,0))*150+205+'計算A'!DO$5*100000+IF(AND($E31=1,NB31=0),50000,0))+IF($H31=1,(IF('計算A'!DN$117=1,INDEX('計算A'!DN$10:DN$54,$B31),0)+IF('計算A'!DO$117=1,INDEX('計算A'!DP$10:DP$54,$B31),0))*4000,0)-IF(AND('計算A'!DN$117=1,YL31&gt;0),2000,0)-IF(AND($L31=1,'計算A'!DO$117=1,HN31=0),2000,0))),1000000))</f>
        <v/>
      </c>
      <c r="SR31">
        <f>IF($B31=0,1000000,IF(INDEX('計算A'!$D$60:$EQ$104,$B31,117)*HN31=1,IF(AND($E31=2,NC31=0),1000000,IF($I31&gt;0,IF(5=$J31,IF(OR(AND(117=$I31+1,OR($K31&lt;&gt;'計算A'!$A$3,'計算A'!$A$4=0)),AND(117=$I31-1,OR(21&lt;&gt;'計算A'!$A$3,'計算A'!$A$4=0))),0,IF(21=$K31,200000,ABS(21-$K31)*100)),100000+ABS(5-$J31)*1000+210)+'計算A'!DP$5*50+IF(AND($E31=1,NC31=0),25,0),IF($F31&gt;0,INDEX('計算A'!DP$110:DP$114,$F31+1)+IF(AND($E31=1,NC31=0),1000,0),MIN(TY31,20)*400+(IF('計算A'!DO$106=1,1-HM31,0)+IF('計算A'!DP$106=1,1-HO31,0))*150+215+'計算A'!DP$5*100000+IF(AND($E31=1,NC31=0),50000,0))+IF($H31=1,(IF('計算A'!DO$117=1,INDEX('計算A'!DO$10:DO$54,$B31),0)+IF('計算A'!DP$117=1,INDEX('計算A'!DQ$10:DQ$54,$B31),0))*4000,0)-IF(AND('計算A'!DO$117=1,YM31&gt;0),2000,0)-IF(AND($L31=1,'計算A'!DP$117=1,HO31=0),2000,0))),1000000))</f>
        <v/>
      </c>
      <c r="SS31">
        <f>IF($B31=0,1000000,IF(INDEX('計算A'!$D$60:$EQ$104,$B31,118)*HO31=1,IF(AND($E31=2,ND31=0),1000000,IF($I31&gt;0,IF(5=$J31,IF(OR(AND(118=$I31+1,OR($K31&lt;&gt;'計算A'!$A$3,'計算A'!$A$4=0)),AND(118=$I31-1,OR(22&lt;&gt;'計算A'!$A$3,'計算A'!$A$4=0))),0,IF(22=$K31,200000,ABS(22-$K31)*100)),100000+ABS(5-$J31)*1000+220)+'計算A'!DQ$5*50+IF(AND($E31=1,ND31=0),25,0),IF($F31&gt;0,INDEX('計算A'!DQ$110:DQ$114,$F31+1)+IF(AND($E31=1,ND31=0),1000,0),MIN(TY31,20)*400+(IF('計算A'!DP$106=1,1-HN31,0)+IF('計算A'!DQ$106=1,1-HP31,0))*150+225+'計算A'!DQ$5*100000+IF(AND($E31=1,ND31=0),50000,0))+IF($H31=1,(IF('計算A'!DP$117=1,INDEX('計算A'!DP$10:DP$54,$B31),0)+IF('計算A'!DQ$117=1,INDEX('計算A'!DR$10:DR$54,$B31),0))*4000,0)-IF(AND('計算A'!DP$117=1,YN31&gt;0),2000,0)-IF(AND($L31=1,'計算A'!DQ$117=1,HP31=0),2000,0))),1000000))</f>
        <v/>
      </c>
      <c r="ST31">
        <f>IF($B31=0,1000000,IF(INDEX('計算A'!$D$60:$EQ$104,$B31,119)*HP31=1,IF(AND($E31=2,NE31=0),1000000,IF($I31&gt;0,IF(5=$J31,IF(OR(AND(119=$I31+1,OR($K31&lt;&gt;'計算A'!$A$3,'計算A'!$A$4=0)),AND(119=$I31-1,OR(23&lt;&gt;'計算A'!$A$3,'計算A'!$A$4=0))),0,IF(23=$K31,200000,ABS(23-$K31)*100)),100000+ABS(5-$J31)*1000+230)+'計算A'!DR$5*50+IF(AND($E31=1,NE31=0),25,0),IF($F31&gt;0,INDEX('計算A'!DR$110:DR$114,$F31+1)+IF(AND($E31=1,NE31=0),1000,0),MIN(TY31,20)*400+(IF('計算A'!DQ$106=1,1-HO31,0)+IF('計算A'!DR$106=1,1-HQ31,0))*150+235+'計算A'!DR$5*100000+IF(AND($E31=1,NE31=0),50000,0))+IF($H31=1,(IF('計算A'!DQ$117=1,INDEX('計算A'!DQ$10:DQ$54,$B31),0)+IF('計算A'!DR$117=1,INDEX('計算A'!DS$10:DS$54,$B31),0))*4000,0)-IF(AND('計算A'!DQ$117=1,YO31&gt;0),2000,0)-IF(AND($L31=1,'計算A'!DR$117=1,HQ31=0),2000,0))),1000000))</f>
        <v/>
      </c>
      <c r="SU31">
        <f>IF($B31=0,1000000,IF(INDEX('計算A'!$D$60:$EQ$104,$B31,120)*HQ31=1,IF(AND($E31=2,NF31=0),1000000,IF($I31&gt;0,IF(5=$J31,IF(OR(AND(120=$I31+1,OR($K31&lt;&gt;'計算A'!$A$3,'計算A'!$A$4=0)),AND(120=$I31-1,OR(24&lt;&gt;'計算A'!$A$3,'計算A'!$A$4=0))),0,IF(24=$K31,200000,ABS(24-$K31)*100)),100000+ABS(5-$J31)*1000+240)+'計算A'!DS$5*50+IF(AND($E31=1,NF31=0),25,0),IF($F31&gt;0,INDEX('計算A'!DS$110:DS$114,$F31+1)+IF(AND($E31=1,NF31=0),1000,0),MIN(TY31,20)*400+(IF('計算A'!DR$106=1,1-HP31,0))*150+245+'計算A'!DS$5*100000+IF(AND($E31=1,NF31=0),50000,0))+IF($H31=1,(IF('計算A'!DR$117=1,INDEX('計算A'!DR$10:DR$54,$B31),0))*4000,0)-IF(AND('計算A'!DR$117=1,YP31&gt;0),2000,0))),1000000))</f>
        <v/>
      </c>
      <c r="SV31">
        <f>IF($B31=0,1000000,IF(INDEX('計算A'!$D$60:$EQ$104,$B31,121)*HR31=1,IF(AND($E31=2,NG31=0),1000000,IF($I31&gt;0,IF(6=$J31,IF(OR(AND(121=$I31+1,OR($K31&lt;&gt;'計算A'!$A$3,'計算A'!$A$4=0)),AND(121=$I31-1,OR(1&lt;&gt;'計算A'!$A$3,'計算A'!$A$4=0))),0,IF(1=$K31,200000,ABS(1-$K31)*100)),100000+ABS(6-$J31)*1000+10)+'計算A'!DT$5*50+IF(AND($E31=1,NG31=0),25,0),IF($F31&gt;0,INDEX('計算A'!DT$110:DT$114,$F31+1)+IF(AND($E31=1,NG31=0),1000,0),MIN(TZ31,20)*400+(IF('計算A'!DT$106=1,1-HS31,0))*150+16+'計算A'!DT$5*100000+IF(AND($E31=1,NG31=0),50000,0))+IF($H31=1,(IF('計算A'!DT$117=1,INDEX('計算A'!DU$10:DU$54,$B31),0))*4000,0)-IF(AND($L31=1,'計算A'!DT$117=1,HS31=0),2000,0))),1000000))</f>
        <v/>
      </c>
      <c r="SW31">
        <f>IF($B31=0,1000000,IF(INDEX('計算A'!$D$60:$EQ$104,$B31,122)*HS31=1,IF(AND($E31=2,NH31=0),1000000,IF($I31&gt;0,IF(6=$J31,IF(OR(AND(122=$I31+1,OR($K31&lt;&gt;'計算A'!$A$3,'計算A'!$A$4=0)),AND(122=$I31-1,OR(2&lt;&gt;'計算A'!$A$3,'計算A'!$A$4=0))),0,IF(2=$K31,200000,ABS(2-$K31)*100)),100000+ABS(6-$J31)*1000+20)+'計算A'!DU$5*50+IF(AND($E31=1,NH31=0),25,0),IF($F31&gt;0,INDEX('計算A'!DU$110:DU$114,$F31+1)+IF(AND($E31=1,NH31=0),1000,0),MIN(TZ31,20)*400+(IF('計算A'!DT$106=1,1-HR31,0)+IF('計算A'!DU$106=1,1-HT31,0))*150+26+'計算A'!DU$5*100000+IF(AND($E31=1,NH31=0),50000,0))+IF($H31=1,(IF('計算A'!DT$117=1,INDEX('計算A'!DT$10:DT$54,$B31),0)+IF('計算A'!DU$117=1,INDEX('計算A'!DV$10:DV$54,$B31),0))*4000,0)-IF(AND('計算A'!DT$117=1,YR31&gt;0),2000,0)-IF(AND($L31=1,'計算A'!DU$117=1,HT31=0),2000,0))),1000000))</f>
        <v/>
      </c>
      <c r="SX31">
        <f>IF($B31=0,1000000,IF(INDEX('計算A'!$D$60:$EQ$104,$B31,123)*HT31=1,IF(AND($E31=2,NI31=0),1000000,IF($I31&gt;0,IF(6=$J31,IF(OR(AND(123=$I31+1,OR($K31&lt;&gt;'計算A'!$A$3,'計算A'!$A$4=0)),AND(123=$I31-1,OR(3&lt;&gt;'計算A'!$A$3,'計算A'!$A$4=0))),0,IF(3=$K31,200000,ABS(3-$K31)*100)),100000+ABS(6-$J31)*1000+30)+'計算A'!DV$5*50+IF(AND($E31=1,NI31=0),25,0),IF($F31&gt;0,INDEX('計算A'!DV$110:DV$114,$F31+1)+IF(AND($E31=1,NI31=0),1000,0),MIN(TZ31,20)*400+(IF('計算A'!DU$106=1,1-HS31,0)+IF('計算A'!DV$106=1,1-HU31,0))*150+36+'計算A'!DV$5*100000+IF(AND($E31=1,NI31=0),50000,0))+IF($H31=1,(IF('計算A'!DU$117=1,INDEX('計算A'!DU$10:DU$54,$B31),0)+IF('計算A'!DV$117=1,INDEX('計算A'!DW$10:DW$54,$B31),0))*4000,0)-IF(AND('計算A'!DU$117=1,YS31&gt;0),2000,0)-IF(AND($L31=1,'計算A'!DV$117=1,HU31=0),2000,0))),1000000))</f>
        <v/>
      </c>
      <c r="SY31">
        <f>IF($B31=0,1000000,IF(INDEX('計算A'!$D$60:$EQ$104,$B31,124)*HU31=1,IF(AND($E31=2,NJ31=0),1000000,IF($I31&gt;0,IF(6=$J31,IF(OR(AND(124=$I31+1,OR($K31&lt;&gt;'計算A'!$A$3,'計算A'!$A$4=0)),AND(124=$I31-1,OR(4&lt;&gt;'計算A'!$A$3,'計算A'!$A$4=0))),0,IF(4=$K31,200000,ABS(4-$K31)*100)),100000+ABS(6-$J31)*1000+40)+'計算A'!DW$5*50+IF(AND($E31=1,NJ31=0),25,0),IF($F31&gt;0,INDEX('計算A'!DW$110:DW$114,$F31+1)+IF(AND($E31=1,NJ31=0),1000,0),MIN(TZ31,20)*400+(IF('計算A'!DV$106=1,1-HT31,0)+IF('計算A'!DW$106=1,1-HV31,0))*150+46+'計算A'!DW$5*100000+IF(AND($E31=1,NJ31=0),50000,0))+IF($H31=1,(IF('計算A'!DV$117=1,INDEX('計算A'!DV$10:DV$54,$B31),0)+IF('計算A'!DW$117=1,INDEX('計算A'!DX$10:DX$54,$B31),0))*4000,0)-IF(AND('計算A'!DV$117=1,YT31&gt;0),2000,0)-IF(AND($L31=1,'計算A'!DW$117=1,HV31=0),2000,0))),1000000))</f>
        <v/>
      </c>
      <c r="SZ31">
        <f>IF($B31=0,1000000,IF(INDEX('計算A'!$D$60:$EQ$104,$B31,125)*HV31=1,IF(AND($E31=2,NK31=0),1000000,IF($I31&gt;0,IF(6=$J31,IF(OR(AND(125=$I31+1,OR($K31&lt;&gt;'計算A'!$A$3,'計算A'!$A$4=0)),AND(125=$I31-1,OR(5&lt;&gt;'計算A'!$A$3,'計算A'!$A$4=0))),0,IF(5=$K31,200000,ABS(5-$K31)*100)),100000+ABS(6-$J31)*1000+50)+'計算A'!DX$5*50+IF(AND($E31=1,NK31=0),25,0),IF($F31&gt;0,INDEX('計算A'!DX$110:DX$114,$F31+1)+IF(AND($E31=1,NK31=0),1000,0),MIN(TZ31,20)*400+(IF('計算A'!DW$106=1,1-HU31,0)+IF('計算A'!DX$106=1,1-HW31,0))*150+56+'計算A'!DX$5*100000+IF(AND($E31=1,NK31=0),50000,0))+IF($H31=1,(IF('計算A'!DW$117=1,INDEX('計算A'!DW$10:DW$54,$B31),0)+IF('計算A'!DX$117=1,INDEX('計算A'!DY$10:DY$54,$B31),0))*4000,0)-IF(AND('計算A'!DW$117=1,YU31&gt;0),2000,0)-IF(AND($L31=1,'計算A'!DX$117=1,HW31=0),2000,0))),1000000))</f>
        <v/>
      </c>
      <c r="TA31">
        <f>IF($B31=0,1000000,IF(INDEX('計算A'!$D$60:$EQ$104,$B31,126)*HW31=1,IF(AND($E31=2,NL31=0),1000000,IF($I31&gt;0,IF(6=$J31,IF(OR(AND(126=$I31+1,OR($K31&lt;&gt;'計算A'!$A$3,'計算A'!$A$4=0)),AND(126=$I31-1,OR(6&lt;&gt;'計算A'!$A$3,'計算A'!$A$4=0))),0,IF(6=$K31,200000,ABS(6-$K31)*100)),100000+ABS(6-$J31)*1000+60)+'計算A'!DY$5*50+IF(AND($E31=1,NL31=0),25,0),IF($F31&gt;0,INDEX('計算A'!DY$110:DY$114,$F31+1)+IF(AND($E31=1,NL31=0),1000,0),MIN(TZ31,20)*400+(IF('計算A'!DX$106=1,1-HV31,0)+IF('計算A'!DY$106=1,1-HX31,0))*150+66+'計算A'!DY$5*100000+IF(AND($E31=1,NL31=0),50000,0))+IF($H31=1,(IF('計算A'!DX$117=1,INDEX('計算A'!DX$10:DX$54,$B31),0)+IF('計算A'!DY$117=1,INDEX('計算A'!DZ$10:DZ$54,$B31),0))*4000,0)-IF(AND('計算A'!DX$117=1,YV31&gt;0),2000,0)-IF(AND($L31=1,'計算A'!DY$117=1,HX31=0),2000,0))),1000000))</f>
        <v/>
      </c>
      <c r="TB31">
        <f>IF($B31=0,1000000,IF(INDEX('計算A'!$D$60:$EQ$104,$B31,127)*HX31=1,IF(AND($E31=2,NM31=0),1000000,IF($I31&gt;0,IF(6=$J31,IF(OR(AND(127=$I31+1,OR($K31&lt;&gt;'計算A'!$A$3,'計算A'!$A$4=0)),AND(127=$I31-1,OR(7&lt;&gt;'計算A'!$A$3,'計算A'!$A$4=0))),0,IF(7=$K31,200000,ABS(7-$K31)*100)),100000+ABS(6-$J31)*1000+70)+'計算A'!DZ$5*50+IF(AND($E31=1,NM31=0),25,0),IF($F31&gt;0,INDEX('計算A'!DZ$110:DZ$114,$F31+1)+IF(AND($E31=1,NM31=0),1000,0),MIN(TZ31,20)*400+(IF('計算A'!DY$106=1,1-HW31,0)+IF('計算A'!DZ$106=1,1-HY31,0))*150+76+'計算A'!DZ$5*100000+IF(AND($E31=1,NM31=0),50000,0))+IF($H31=1,(IF('計算A'!DY$117=1,INDEX('計算A'!DY$10:DY$54,$B31),0)+IF('計算A'!DZ$117=1,INDEX('計算A'!EA$10:EA$54,$B31),0))*4000,0)-IF(AND('計算A'!DY$117=1,YW31&gt;0),2000,0)-IF(AND($L31=1,'計算A'!DZ$117=1,HY31=0),2000,0))),1000000))</f>
        <v/>
      </c>
      <c r="TC31">
        <f>IF($B31=0,1000000,IF(INDEX('計算A'!$D$60:$EQ$104,$B31,128)*HY31=1,IF(AND($E31=2,NN31=0),1000000,IF($I31&gt;0,IF(6=$J31,IF(OR(AND(128=$I31+1,OR($K31&lt;&gt;'計算A'!$A$3,'計算A'!$A$4=0)),AND(128=$I31-1,OR(8&lt;&gt;'計算A'!$A$3,'計算A'!$A$4=0))),0,IF(8=$K31,200000,ABS(8-$K31)*100)),100000+ABS(6-$J31)*1000+80)+'計算A'!EA$5*50+IF(AND($E31=1,NN31=0),25,0),IF($F31&gt;0,INDEX('計算A'!EA$110:EA$114,$F31+1)+IF(AND($E31=1,NN31=0),1000,0),MIN(TZ31,20)*400+(IF('計算A'!DZ$106=1,1-HX31,0)+IF('計算A'!EA$106=1,1-HZ31,0))*150+86+'計算A'!EA$5*100000+IF(AND($E31=1,NN31=0),50000,0))+IF($H31=1,(IF('計算A'!DZ$117=1,INDEX('計算A'!DZ$10:DZ$54,$B31),0)+IF('計算A'!EA$117=1,INDEX('計算A'!EB$10:EB$54,$B31),0))*4000,0)-IF(AND('計算A'!DZ$117=1,YX31&gt;0),2000,0)-IF(AND($L31=1,'計算A'!EA$117=1,HZ31=0),2000,0))),1000000))</f>
        <v/>
      </c>
      <c r="TD31">
        <f>IF($B31=0,1000000,IF(INDEX('計算A'!$D$60:$EQ$104,$B31,129)*HZ31=1,IF(AND($E31=2,NO31=0),1000000,IF($I31&gt;0,IF(6=$J31,IF(OR(AND(129=$I31+1,OR($K31&lt;&gt;'計算A'!$A$3,'計算A'!$A$4=0)),AND(129=$I31-1,OR(9&lt;&gt;'計算A'!$A$3,'計算A'!$A$4=0))),0,IF(9=$K31,200000,ABS(9-$K31)*100)),100000+ABS(6-$J31)*1000+90)+'計算A'!EB$5*50+IF(AND($E31=1,NO31=0),25,0),IF($F31&gt;0,INDEX('計算A'!EB$110:EB$114,$F31+1)+IF(AND($E31=1,NO31=0),1000,0),MIN(TZ31,20)*400+(IF('計算A'!EA$106=1,1-HY31,0)+IF('計算A'!EB$106=1,1-IA31,0))*150+96+'計算A'!EB$5*100000+IF(AND($E31=1,NO31=0),50000,0))+IF($H31=1,(IF('計算A'!EA$117=1,INDEX('計算A'!EA$10:EA$54,$B31),0)+IF('計算A'!EB$117=1,INDEX('計算A'!EC$10:EC$54,$B31),0))*4000,0)-IF(AND('計算A'!EA$117=1,YY31&gt;0),2000,0)-IF(AND($L31=1,'計算A'!EB$117=1,IA31=0),2000,0))),1000000))</f>
        <v/>
      </c>
      <c r="TE31">
        <f>IF($B31=0,1000000,IF(INDEX('計算A'!$D$60:$EQ$104,$B31,130)*IA31=1,IF(AND($E31=2,NP31=0),1000000,IF($I31&gt;0,IF(6=$J31,IF(OR(AND(130=$I31+1,OR($K31&lt;&gt;'計算A'!$A$3,'計算A'!$A$4=0)),AND(130=$I31-1,OR(10&lt;&gt;'計算A'!$A$3,'計算A'!$A$4=0))),0,IF(10=$K31,200000,ABS(10-$K31)*100)),100000+ABS(6-$J31)*1000+100)+'計算A'!EC$5*50+IF(AND($E31=1,NP31=0),25,0),IF($F31&gt;0,INDEX('計算A'!EC$110:EC$114,$F31+1)+IF(AND($E31=1,NP31=0),1000,0),MIN(TZ31,20)*400+(IF('計算A'!EB$106=1,1-HZ31,0)+IF('計算A'!EC$106=1,1-IB31,0))*150+106+'計算A'!EC$5*100000+IF(AND($E31=1,NP31=0),50000,0))+IF($H31=1,(IF('計算A'!EB$117=1,INDEX('計算A'!EB$10:EB$54,$B31),0)+IF('計算A'!EC$117=1,INDEX('計算A'!ED$10:ED$54,$B31),0))*4000,0)-IF(AND('計算A'!EB$117=1,YZ31&gt;0),2000,0)-IF(AND($L31=1,'計算A'!EC$117=1,IB31=0),2000,0))),1000000))</f>
        <v/>
      </c>
      <c r="TF31">
        <f>IF($B31=0,1000000,IF(INDEX('計算A'!$D$60:$EQ$104,$B31,131)*IB31=1,IF(AND($E31=2,NQ31=0),1000000,IF($I31&gt;0,IF(6=$J31,IF(OR(AND(131=$I31+1,OR($K31&lt;&gt;'計算A'!$A$3,'計算A'!$A$4=0)),AND(131=$I31-1,OR(11&lt;&gt;'計算A'!$A$3,'計算A'!$A$4=0))),0,IF(11=$K31,200000,ABS(11-$K31)*100)),100000+ABS(6-$J31)*1000+110)+'計算A'!ED$5*50+IF(AND($E31=1,NQ31=0),25,0),IF($F31&gt;0,INDEX('計算A'!ED$110:ED$114,$F31+1)+IF(AND($E31=1,NQ31=0),1000,0),MIN(TZ31,20)*400+(IF('計算A'!EC$106=1,1-IA31,0)+IF('計算A'!ED$106=1,1-IC31,0))*150+116+'計算A'!ED$5*100000+IF(AND($E31=1,NQ31=0),50000,0))+IF($H31=1,(IF('計算A'!EC$117=1,INDEX('計算A'!EC$10:EC$54,$B31),0)+IF('計算A'!ED$117=1,INDEX('計算A'!EE$10:EE$54,$B31),0))*4000,0)-IF(AND('計算A'!EC$117=1,ZA31&gt;0),2000,0)-IF(AND($L31=1,'計算A'!ED$117=1,IC31=0),2000,0))),1000000))</f>
        <v/>
      </c>
      <c r="TG31">
        <f>IF($B31=0,1000000,IF(INDEX('計算A'!$D$60:$EQ$104,$B31,132)*IC31=1,IF(AND($E31=2,NR31=0),1000000,IF($I31&gt;0,IF(6=$J31,IF(OR(AND(132=$I31+1,OR($K31&lt;&gt;'計算A'!$A$3,'計算A'!$A$4=0)),AND(132=$I31-1,OR(12&lt;&gt;'計算A'!$A$3,'計算A'!$A$4=0))),0,IF(12=$K31,200000,ABS(12-$K31)*100)),100000+ABS(6-$J31)*1000+120)+'計算A'!EE$5*50+IF(AND($E31=1,NR31=0),25,0),IF($F31&gt;0,INDEX('計算A'!EE$110:EE$114,$F31+1)+IF(AND($E31=1,NR31=0),1000,0),MIN(TZ31,20)*400+(IF('計算A'!ED$106=1,1-IB31,0)+IF('計算A'!EE$106=1,1-ID31,0))*150+126+'計算A'!EE$5*100000+IF(AND($E31=1,NR31=0),50000,0))+IF($H31=1,(IF('計算A'!ED$117=1,INDEX('計算A'!ED$10:ED$54,$B31),0)+IF('計算A'!EE$117=1,INDEX('計算A'!EF$10:EF$54,$B31),0))*4000,0)-IF(AND('計算A'!ED$117=1,ZB31&gt;0),2000,0)-IF(AND($L31=1,'計算A'!EE$117=1,ID31=0),2000,0))),1000000))</f>
        <v/>
      </c>
      <c r="TH31">
        <f>IF($B31=0,1000000,IF(INDEX('計算A'!$D$60:$EQ$104,$B31,133)*ID31=1,IF(AND($E31=2,NS31=0),1000000,IF($I31&gt;0,IF(6=$J31,IF(OR(AND(133=$I31+1,OR($K31&lt;&gt;'計算A'!$A$3,'計算A'!$A$4=0)),AND(133=$I31-1,OR(13&lt;&gt;'計算A'!$A$3,'計算A'!$A$4=0))),0,IF(13=$K31,200000,ABS(13-$K31)*100)),100000+ABS(6-$J31)*1000+130)+'計算A'!EF$5*50+IF(AND($E31=1,NS31=0),25,0),IF($F31&gt;0,INDEX('計算A'!EF$110:EF$114,$F31+1)+IF(AND($E31=1,NS31=0),1000,0),MIN(TZ31,20)*400+(IF('計算A'!EE$106=1,1-IC31,0)+IF('計算A'!EF$106=1,1-IE31,0))*150+136+'計算A'!EF$5*100000+IF(AND($E31=1,NS31=0),50000,0))+IF($H31=1,(IF('計算A'!EE$117=1,INDEX('計算A'!EE$10:EE$54,$B31),0)+IF('計算A'!EF$117=1,INDEX('計算A'!EG$10:EG$54,$B31),0))*4000,0)-IF(AND('計算A'!EE$117=1,ZC31&gt;0),2000,0)-IF(AND($L31=1,'計算A'!EF$117=1,IE31=0),2000,0))),1000000))</f>
        <v/>
      </c>
      <c r="TI31">
        <f>IF($B31=0,1000000,IF(INDEX('計算A'!$D$60:$EQ$104,$B31,134)*IE31=1,IF(AND($E31=2,NT31=0),1000000,IF($I31&gt;0,IF(6=$J31,IF(OR(AND(134=$I31+1,OR($K31&lt;&gt;'計算A'!$A$3,'計算A'!$A$4=0)),AND(134=$I31-1,OR(14&lt;&gt;'計算A'!$A$3,'計算A'!$A$4=0))),0,IF(14=$K31,200000,ABS(14-$K31)*100)),100000+ABS(6-$J31)*1000+140)+'計算A'!EG$5*50+IF(AND($E31=1,NT31=0),25,0),IF($F31&gt;0,INDEX('計算A'!EG$110:EG$114,$F31+1)+IF(AND($E31=1,NT31=0),1000,0),MIN(TZ31,20)*400+(IF('計算A'!EF$106=1,1-ID31,0)+IF('計算A'!EG$106=1,1-IF31,0))*150+146+'計算A'!EG$5*100000+IF(AND($E31=1,NT31=0),50000,0))+IF($H31=1,(IF('計算A'!EF$117=1,INDEX('計算A'!EF$10:EF$54,$B31),0)+IF('計算A'!EG$117=1,INDEX('計算A'!EH$10:EH$54,$B31),0))*4000,0)-IF(AND('計算A'!EF$117=1,ZD31&gt;0),2000,0)-IF(AND($L31=1,'計算A'!EG$117=1,IF31=0),2000,0))),1000000))</f>
        <v/>
      </c>
      <c r="TJ31">
        <f>IF($B31=0,1000000,IF(INDEX('計算A'!$D$60:$EQ$104,$B31,135)*IF31=1,IF(AND($E31=2,NU31=0),1000000,IF($I31&gt;0,IF(6=$J31,IF(OR(AND(135=$I31+1,OR($K31&lt;&gt;'計算A'!$A$3,'計算A'!$A$4=0)),AND(135=$I31-1,OR(15&lt;&gt;'計算A'!$A$3,'計算A'!$A$4=0))),0,IF(15=$K31,200000,ABS(15-$K31)*100)),100000+ABS(6-$J31)*1000+150)+'計算A'!EH$5*50+IF(AND($E31=1,NU31=0),25,0),IF($F31&gt;0,INDEX('計算A'!EH$110:EH$114,$F31+1)+IF(AND($E31=1,NU31=0),1000,0),MIN(TZ31,20)*400+(IF('計算A'!EG$106=1,1-IE31,0)+IF('計算A'!EH$106=1,1-IG31,0))*150+156+'計算A'!EH$5*100000+IF(AND($E31=1,NU31=0),50000,0))+IF($H31=1,(IF('計算A'!EG$117=1,INDEX('計算A'!EG$10:EG$54,$B31),0)+IF('計算A'!EH$117=1,INDEX('計算A'!EI$10:EI$54,$B31),0))*4000,0)-IF(AND('計算A'!EG$117=1,ZE31&gt;0),2000,0)-IF(AND($L31=1,'計算A'!EH$117=1,IG31=0),2000,0))),1000000))</f>
        <v/>
      </c>
      <c r="TK31">
        <f>IF($B31=0,1000000,IF(INDEX('計算A'!$D$60:$EQ$104,$B31,136)*IG31=1,IF(AND($E31=2,NV31=0),1000000,IF($I31&gt;0,IF(6=$J31,IF(OR(AND(136=$I31+1,OR($K31&lt;&gt;'計算A'!$A$3,'計算A'!$A$4=0)),AND(136=$I31-1,OR(16&lt;&gt;'計算A'!$A$3,'計算A'!$A$4=0))),0,IF(16=$K31,200000,ABS(16-$K31)*100)),100000+ABS(6-$J31)*1000+160)+'計算A'!EI$5*50+IF(AND($E31=1,NV31=0),25,0),IF($F31&gt;0,INDEX('計算A'!EI$110:EI$114,$F31+1)+IF(AND($E31=1,NV31=0),1000,0),MIN(TZ31,20)*400+(IF('計算A'!EH$106=1,1-IF31,0)+IF('計算A'!EI$106=1,1-IH31,0))*150+166+'計算A'!EI$5*100000+IF(AND($E31=1,NV31=0),50000,0))+IF($H31=1,(IF('計算A'!EH$117=1,INDEX('計算A'!EH$10:EH$54,$B31),0)+IF('計算A'!EI$117=1,INDEX('計算A'!EJ$10:EJ$54,$B31),0))*4000,0)-IF(AND('計算A'!EH$117=1,ZF31&gt;0),2000,0)-IF(AND($L31=1,'計算A'!EI$117=1,IH31=0),2000,0))),1000000))</f>
        <v/>
      </c>
      <c r="TL31">
        <f>IF($B31=0,1000000,IF(INDEX('計算A'!$D$60:$EQ$104,$B31,137)*IH31=1,IF(AND($E31=2,NW31=0),1000000,IF($I31&gt;0,IF(6=$J31,IF(OR(AND(137=$I31+1,OR($K31&lt;&gt;'計算A'!$A$3,'計算A'!$A$4=0)),AND(137=$I31-1,OR(17&lt;&gt;'計算A'!$A$3,'計算A'!$A$4=0))),0,IF(17=$K31,200000,ABS(17-$K31)*100)),100000+ABS(6-$J31)*1000+170)+'計算A'!EJ$5*50+IF(AND($E31=1,NW31=0),25,0),IF($F31&gt;0,INDEX('計算A'!EJ$110:EJ$114,$F31+1)+IF(AND($E31=1,NW31=0),1000,0),MIN(TZ31,20)*400+(IF('計算A'!EI$106=1,1-IG31,0)+IF('計算A'!EJ$106=1,1-II31,0))*150+176+'計算A'!EJ$5*100000+IF(AND($E31=1,NW31=0),50000,0))+IF($H31=1,(IF('計算A'!EI$117=1,INDEX('計算A'!EI$10:EI$54,$B31),0)+IF('計算A'!EJ$117=1,INDEX('計算A'!EK$10:EK$54,$B31),0))*4000,0)-IF(AND('計算A'!EI$117=1,ZG31&gt;0),2000,0)-IF(AND($L31=1,'計算A'!EJ$117=1,II31=0),2000,0))),1000000))</f>
        <v/>
      </c>
      <c r="TM31">
        <f>IF($B31=0,1000000,IF(INDEX('計算A'!$D$60:$EQ$104,$B31,138)*II31=1,IF(AND($E31=2,NX31=0),1000000,IF($I31&gt;0,IF(6=$J31,IF(OR(AND(138=$I31+1,OR($K31&lt;&gt;'計算A'!$A$3,'計算A'!$A$4=0)),AND(138=$I31-1,OR(18&lt;&gt;'計算A'!$A$3,'計算A'!$A$4=0))),0,IF(18=$K31,200000,ABS(18-$K31)*100)),100000+ABS(6-$J31)*1000+180)+'計算A'!EK$5*50+IF(AND($E31=1,NX31=0),25,0),IF($F31&gt;0,INDEX('計算A'!EK$110:EK$114,$F31+1)+IF(AND($E31=1,NX31=0),1000,0),MIN(TZ31,20)*400+(IF('計算A'!EJ$106=1,1-IH31,0)+IF('計算A'!EK$106=1,1-IJ31,0))*150+186+'計算A'!EK$5*100000+IF(AND($E31=1,NX31=0),50000,0))+IF($H31=1,(IF('計算A'!EJ$117=1,INDEX('計算A'!EJ$10:EJ$54,$B31),0)+IF('計算A'!EK$117=1,INDEX('計算A'!EL$10:EL$54,$B31),0))*4000,0)-IF(AND('計算A'!EJ$117=1,ZH31&gt;0),2000,0)-IF(AND($L31=1,'計算A'!EK$117=1,IJ31=0),2000,0))),1000000))</f>
        <v/>
      </c>
      <c r="TN31">
        <f>IF($B31=0,1000000,IF(INDEX('計算A'!$D$60:$EQ$104,$B31,139)*IJ31=1,IF(AND($E31=2,NY31=0),1000000,IF($I31&gt;0,IF(6=$J31,IF(OR(AND(139=$I31+1,OR($K31&lt;&gt;'計算A'!$A$3,'計算A'!$A$4=0)),AND(139=$I31-1,OR(19&lt;&gt;'計算A'!$A$3,'計算A'!$A$4=0))),0,IF(19=$K31,200000,ABS(19-$K31)*100)),100000+ABS(6-$J31)*1000+190)+'計算A'!EL$5*50+IF(AND($E31=1,NY31=0),25,0),IF($F31&gt;0,INDEX('計算A'!EL$110:EL$114,$F31+1)+IF(AND($E31=1,NY31=0),1000,0),MIN(TZ31,20)*400+(IF('計算A'!EK$106=1,1-II31,0)+IF('計算A'!EL$106=1,1-IK31,0))*150+196+'計算A'!EL$5*100000+IF(AND($E31=1,NY31=0),50000,0))+IF($H31=1,(IF('計算A'!EK$117=1,INDEX('計算A'!EK$10:EK$54,$B31),0)+IF('計算A'!EL$117=1,INDEX('計算A'!EM$10:EM$54,$B31),0))*4000,0)-IF(AND('計算A'!EK$117=1,ZI31&gt;0),2000,0)-IF(AND($L31=1,'計算A'!EL$117=1,IK31=0),2000,0))),1000000))</f>
        <v/>
      </c>
      <c r="TO31">
        <f>IF($B31=0,1000000,IF(INDEX('計算A'!$D$60:$EQ$104,$B31,140)*IK31=1,IF(AND($E31=2,NZ31=0),1000000,IF($I31&gt;0,IF(6=$J31,IF(OR(AND(140=$I31+1,OR($K31&lt;&gt;'計算A'!$A$3,'計算A'!$A$4=0)),AND(140=$I31-1,OR(20&lt;&gt;'計算A'!$A$3,'計算A'!$A$4=0))),0,IF(20=$K31,200000,ABS(20-$K31)*100)),100000+ABS(6-$J31)*1000+200)+'計算A'!EM$5*50+IF(AND($E31=1,NZ31=0),25,0),IF($F31&gt;0,INDEX('計算A'!EM$110:EM$114,$F31+1)+IF(AND($E31=1,NZ31=0),1000,0),MIN(TZ31,20)*400+(IF('計算A'!EL$106=1,1-IJ31,0)+IF('計算A'!EM$106=1,1-IL31,0))*150+206+'計算A'!EM$5*100000+IF(AND($E31=1,NZ31=0),50000,0))+IF($H31=1,(IF('計算A'!EL$117=1,INDEX('計算A'!EL$10:EL$54,$B31),0)+IF('計算A'!EM$117=1,INDEX('計算A'!EN$10:EN$54,$B31),0))*4000,0)-IF(AND('計算A'!EL$117=1,ZJ31&gt;0),2000,0)-IF(AND($L31=1,'計算A'!EM$117=1,IL31=0),2000,0))),1000000))</f>
        <v/>
      </c>
      <c r="TP31">
        <f>IF($B31=0,1000000,IF(INDEX('計算A'!$D$60:$EQ$104,$B31,141)*IL31=1,IF(AND($E31=2,OA31=0),1000000,IF($I31&gt;0,IF(6=$J31,IF(OR(AND(141=$I31+1,OR($K31&lt;&gt;'計算A'!$A$3,'計算A'!$A$4=0)),AND(141=$I31-1,OR(21&lt;&gt;'計算A'!$A$3,'計算A'!$A$4=0))),0,IF(21=$K31,200000,ABS(21-$K31)*100)),100000+ABS(6-$J31)*1000+210)+'計算A'!EN$5*50+IF(AND($E31=1,OA31=0),25,0),IF($F31&gt;0,INDEX('計算A'!EN$110:EN$114,$F31+1)+IF(AND($E31=1,OA31=0),1000,0),MIN(TZ31,20)*400+(IF('計算A'!EM$106=1,1-IK31,0)+IF('計算A'!EN$106=1,1-IM31,0))*150+216+'計算A'!EN$5*100000+IF(AND($E31=1,OA31=0),50000,0))+IF($H31=1,(IF('計算A'!EM$117=1,INDEX('計算A'!EM$10:EM$54,$B31),0)+IF('計算A'!EN$117=1,INDEX('計算A'!EO$10:EO$54,$B31),0))*4000,0)-IF(AND('計算A'!EM$117=1,ZK31&gt;0),2000,0)-IF(AND($L31=1,'計算A'!EN$117=1,IM31=0),2000,0))),1000000))</f>
        <v/>
      </c>
      <c r="TQ31">
        <f>IF($B31=0,1000000,IF(INDEX('計算A'!$D$60:$EQ$104,$B31,142)*IM31=1,IF(AND($E31=2,OB31=0),1000000,IF($I31&gt;0,IF(6=$J31,IF(OR(AND(142=$I31+1,OR($K31&lt;&gt;'計算A'!$A$3,'計算A'!$A$4=0)),AND(142=$I31-1,OR(22&lt;&gt;'計算A'!$A$3,'計算A'!$A$4=0))),0,IF(22=$K31,200000,ABS(22-$K31)*100)),100000+ABS(6-$J31)*1000+220)+'計算A'!EO$5*50+IF(AND($E31=1,OB31=0),25,0),IF($F31&gt;0,INDEX('計算A'!EO$110:EO$114,$F31+1)+IF(AND($E31=1,OB31=0),1000,0),MIN(TZ31,20)*400+(IF('計算A'!EN$106=1,1-IL31,0)+IF('計算A'!EO$106=1,1-IN31,0))*150+226+'計算A'!EO$5*100000+IF(AND($E31=1,OB31=0),50000,0))+IF($H31=1,(IF('計算A'!EN$117=1,INDEX('計算A'!EN$10:EN$54,$B31),0)+IF('計算A'!EO$117=1,INDEX('計算A'!EP$10:EP$54,$B31),0))*4000,0)-IF(AND('計算A'!EN$117=1,ZL31&gt;0),2000,0)-IF(AND($L31=1,'計算A'!EO$117=1,IN31=0),2000,0))),1000000))</f>
        <v/>
      </c>
      <c r="TR31">
        <f>IF($B31=0,1000000,IF(INDEX('計算A'!$D$60:$EQ$104,$B31,143)*IN31=1,IF(AND($E31=2,OC31=0),1000000,IF($I31&gt;0,IF(6=$J31,IF(OR(AND(143=$I31+1,OR($K31&lt;&gt;'計算A'!$A$3,'計算A'!$A$4=0)),AND(143=$I31-1,OR(23&lt;&gt;'計算A'!$A$3,'計算A'!$A$4=0))),0,IF(23=$K31,200000,ABS(23-$K31)*100)),100000+ABS(6-$J31)*1000+230)+'計算A'!EP$5*50+IF(AND($E31=1,OC31=0),25,0),IF($F31&gt;0,INDEX('計算A'!EP$110:EP$114,$F31+1)+IF(AND($E31=1,OC31=0),1000,0),MIN(TZ31,20)*400+(IF('計算A'!EO$106=1,1-IM31,0)+IF('計算A'!EP$106=1,1-IO31,0))*150+236+'計算A'!EP$5*100000+IF(AND($E31=1,OC31=0),50000,0))+IF($H31=1,(IF('計算A'!EO$117=1,INDEX('計算A'!EO$10:EO$54,$B31),0)+IF('計算A'!EP$117=1,INDEX('計算A'!EQ$10:EQ$54,$B31),0))*4000,0)-IF(AND('計算A'!EO$117=1,ZM31&gt;0),2000,0)-IF(AND($L31=1,'計算A'!EP$117=1,IO31=0),2000,0))),1000000))</f>
        <v/>
      </c>
      <c r="TS31">
        <f>IF($B31=0,1000000,IF(INDEX('計算A'!$D$60:$EQ$104,$B31,144)*IO31=1,IF(AND($E31=2,OD31=0),1000000,IF($I31&gt;0,IF(6=$J31,IF(OR(AND(144=$I31+1,OR($K31&lt;&gt;'計算A'!$A$3,'計算A'!$A$4=0)),AND(144=$I31-1,OR(24&lt;&gt;'計算A'!$A$3,'計算A'!$A$4=0))),0,IF(24=$K31,200000,ABS(24-$K31)*100)),100000+ABS(6-$J31)*1000+240)+'計算A'!EQ$5*50+IF(AND($E31=1,OD31=0),25,0),IF($F31&gt;0,INDEX('計算A'!EQ$110:EQ$114,$F31+1)+IF(AND($E31=1,OD31=0),1000,0),MIN(TZ31,20)*400+(IF('計算A'!EP$106=1,1-IN31,0))*150+246+'計算A'!EQ$5*100000+IF(AND($E31=1,OD31=0),50000,0))+IF($H31=1,(IF('計算A'!EP$117=1,INDEX('計算A'!EP$10:EP$54,$B31),0))*4000,0)-IF(AND('計算A'!EP$117=1,ZN31&gt;0),2000,0))),1000000))</f>
        <v/>
      </c>
      <c r="TU31">
        <f>TU30+IF($C30&gt;0,IF(INDEX('計算A'!$D$2:$EQ$2,$C30)=1,1,0),0)</f>
        <v/>
      </c>
      <c r="TV31">
        <f>TV30+IF($C30&gt;0,IF(INDEX('計算A'!$D$2:$EQ$2,$C30)=2,1,0),0)</f>
        <v/>
      </c>
      <c r="TW31">
        <f>TW30+IF($C30&gt;0,IF(INDEX('計算A'!$D$2:$EQ$2,$C30)=3,1,0),0)</f>
        <v/>
      </c>
      <c r="TX31">
        <f>TX30+IF($C30&gt;0,IF(INDEX('計算A'!$D$2:$EQ$2,$C30)=4,1,0),0)</f>
        <v/>
      </c>
      <c r="TY31">
        <f>TY30+IF($C30&gt;0,IF(INDEX('計算A'!$D$2:$EQ$2,$C30)=5,1,0),0)</f>
        <v/>
      </c>
      <c r="TZ31">
        <f>TZ30+IF($C30&gt;0,IF(INDEX('計算A'!$D$2:$EQ$2,$C30)=6,1,0),0)</f>
        <v/>
      </c>
      <c r="UB31">
        <f>UB30+IF(AND($C30=1,$L30=1),1,0)</f>
        <v/>
      </c>
      <c r="UC31">
        <f>UC30+IF(AND($C30=2,$L30=1),1,0)</f>
        <v/>
      </c>
      <c r="UD31">
        <f>UD30+IF(AND($C30=3,$L30=1),1,0)</f>
        <v/>
      </c>
      <c r="UE31">
        <f>UE30+IF(AND($C30=4,$L30=1),1,0)</f>
        <v/>
      </c>
      <c r="UF31">
        <f>UF30+IF(AND($C30=5,$L30=1),1,0)</f>
        <v/>
      </c>
      <c r="UG31">
        <f>UG30+IF(AND($C30=6,$L30=1),1,0)</f>
        <v/>
      </c>
      <c r="UH31">
        <f>UH30+IF(AND($C30=7,$L30=1),1,0)</f>
        <v/>
      </c>
      <c r="UI31">
        <f>UI30+IF(AND($C30=8,$L30=1),1,0)</f>
        <v/>
      </c>
      <c r="UJ31">
        <f>UJ30+IF(AND($C30=9,$L30=1),1,0)</f>
        <v/>
      </c>
      <c r="UK31">
        <f>UK30+IF(AND($C30=10,$L30=1),1,0)</f>
        <v/>
      </c>
      <c r="UL31">
        <f>UL30+IF(AND($C30=11,$L30=1),1,0)</f>
        <v/>
      </c>
      <c r="UM31">
        <f>UM30+IF(AND($C30=12,$L30=1),1,0)</f>
        <v/>
      </c>
      <c r="UN31">
        <f>UN30+IF(AND($C30=13,$L30=1),1,0)</f>
        <v/>
      </c>
      <c r="UO31">
        <f>UO30+IF(AND($C30=14,$L30=1),1,0)</f>
        <v/>
      </c>
      <c r="UP31">
        <f>UP30+IF(AND($C30=15,$L30=1),1,0)</f>
        <v/>
      </c>
      <c r="UQ31">
        <f>UQ30+IF(AND($C30=16,$L30=1),1,0)</f>
        <v/>
      </c>
      <c r="UR31">
        <f>UR30+IF(AND($C30=17,$L30=1),1,0)</f>
        <v/>
      </c>
      <c r="US31">
        <f>US30+IF(AND($C30=18,$L30=1),1,0)</f>
        <v/>
      </c>
      <c r="UT31">
        <f>UT30+IF(AND($C30=19,$L30=1),1,0)</f>
        <v/>
      </c>
      <c r="UU31">
        <f>UU30+IF(AND($C30=20,$L30=1),1,0)</f>
        <v/>
      </c>
      <c r="UV31">
        <f>UV30+IF(AND($C30=21,$L30=1),1,0)</f>
        <v/>
      </c>
      <c r="UW31">
        <f>UW30+IF(AND($C30=22,$L30=1),1,0)</f>
        <v/>
      </c>
      <c r="UX31">
        <f>UX30+IF(AND($C30=23,$L30=1),1,0)</f>
        <v/>
      </c>
      <c r="UY31">
        <f>UY30+IF(AND($C30=24,$L30=1),1,0)</f>
        <v/>
      </c>
      <c r="UZ31">
        <f>UZ30+IF(AND($C30=25,$L30=1),1,0)</f>
        <v/>
      </c>
      <c r="VA31">
        <f>VA30+IF(AND($C30=26,$L30=1),1,0)</f>
        <v/>
      </c>
      <c r="VB31">
        <f>VB30+IF(AND($C30=27,$L30=1),1,0)</f>
        <v/>
      </c>
      <c r="VC31">
        <f>VC30+IF(AND($C30=28,$L30=1),1,0)</f>
        <v/>
      </c>
      <c r="VD31">
        <f>VD30+IF(AND($C30=29,$L30=1),1,0)</f>
        <v/>
      </c>
      <c r="VE31">
        <f>VE30+IF(AND($C30=30,$L30=1),1,0)</f>
        <v/>
      </c>
      <c r="VF31">
        <f>VF30+IF(AND($C30=31,$L30=1),1,0)</f>
        <v/>
      </c>
      <c r="VG31">
        <f>VG30+IF(AND($C30=32,$L30=1),1,0)</f>
        <v/>
      </c>
      <c r="VH31">
        <f>VH30+IF(AND($C30=33,$L30=1),1,0)</f>
        <v/>
      </c>
      <c r="VI31">
        <f>VI30+IF(AND($C30=34,$L30=1),1,0)</f>
        <v/>
      </c>
      <c r="VJ31">
        <f>VJ30+IF(AND($C30=35,$L30=1),1,0)</f>
        <v/>
      </c>
      <c r="VK31">
        <f>VK30+IF(AND($C30=36,$L30=1),1,0)</f>
        <v/>
      </c>
      <c r="VL31">
        <f>VL30+IF(AND($C30=37,$L30=1),1,0)</f>
        <v/>
      </c>
      <c r="VM31">
        <f>VM30+IF(AND($C30=38,$L30=1),1,0)</f>
        <v/>
      </c>
      <c r="VN31">
        <f>VN30+IF(AND($C30=39,$L30=1),1,0)</f>
        <v/>
      </c>
      <c r="VO31">
        <f>VO30+IF(AND($C30=40,$L30=1),1,0)</f>
        <v/>
      </c>
      <c r="VP31">
        <f>VP30+IF(AND($C30=41,$L30=1),1,0)</f>
        <v/>
      </c>
      <c r="VQ31">
        <f>VQ30+IF(AND($C30=42,$L30=1),1,0)</f>
        <v/>
      </c>
      <c r="VR31">
        <f>VR30+IF(AND($C30=43,$L30=1),1,0)</f>
        <v/>
      </c>
      <c r="VS31">
        <f>VS30+IF(AND($C30=44,$L30=1),1,0)</f>
        <v/>
      </c>
      <c r="VT31">
        <f>VT30+IF(AND($C30=45,$L30=1),1,0)</f>
        <v/>
      </c>
      <c r="VU31">
        <f>VU30+IF(AND($C30=46,$L30=1),1,0)</f>
        <v/>
      </c>
      <c r="VV31">
        <f>VV30+IF(AND($C30=47,$L30=1),1,0)</f>
        <v/>
      </c>
      <c r="VW31">
        <f>VW30+IF(AND($C30=48,$L30=1),1,0)</f>
        <v/>
      </c>
      <c r="VX31">
        <f>VX30+IF(AND($C30=49,$L30=1),1,0)</f>
        <v/>
      </c>
      <c r="VY31">
        <f>VY30+IF(AND($C30=50,$L30=1),1,0)</f>
        <v/>
      </c>
      <c r="VZ31">
        <f>VZ30+IF(AND($C30=51,$L30=1),1,0)</f>
        <v/>
      </c>
      <c r="WA31">
        <f>WA30+IF(AND($C30=52,$L30=1),1,0)</f>
        <v/>
      </c>
      <c r="WB31">
        <f>WB30+IF(AND($C30=53,$L30=1),1,0)</f>
        <v/>
      </c>
      <c r="WC31">
        <f>WC30+IF(AND($C30=54,$L30=1),1,0)</f>
        <v/>
      </c>
      <c r="WD31">
        <f>WD30+IF(AND($C30=55,$L30=1),1,0)</f>
        <v/>
      </c>
      <c r="WE31">
        <f>WE30+IF(AND($C30=56,$L30=1),1,0)</f>
        <v/>
      </c>
      <c r="WF31">
        <f>WF30+IF(AND($C30=57,$L30=1),1,0)</f>
        <v/>
      </c>
      <c r="WG31">
        <f>WG30+IF(AND($C30=58,$L30=1),1,0)</f>
        <v/>
      </c>
      <c r="WH31">
        <f>WH30+IF(AND($C30=59,$L30=1),1,0)</f>
        <v/>
      </c>
      <c r="WI31">
        <f>WI30+IF(AND($C30=60,$L30=1),1,0)</f>
        <v/>
      </c>
      <c r="WJ31">
        <f>WJ30+IF(AND($C30=61,$L30=1),1,0)</f>
        <v/>
      </c>
      <c r="WK31">
        <f>WK30+IF(AND($C30=62,$L30=1),1,0)</f>
        <v/>
      </c>
      <c r="WL31">
        <f>WL30+IF(AND($C30=63,$L30=1),1,0)</f>
        <v/>
      </c>
      <c r="WM31">
        <f>WM30+IF(AND($C30=64,$L30=1),1,0)</f>
        <v/>
      </c>
      <c r="WN31">
        <f>WN30+IF(AND($C30=65,$L30=1),1,0)</f>
        <v/>
      </c>
      <c r="WO31">
        <f>WO30+IF(AND($C30=66,$L30=1),1,0)</f>
        <v/>
      </c>
      <c r="WP31">
        <f>WP30+IF(AND($C30=67,$L30=1),1,0)</f>
        <v/>
      </c>
      <c r="WQ31">
        <f>WQ30+IF(AND($C30=68,$L30=1),1,0)</f>
        <v/>
      </c>
      <c r="WR31">
        <f>WR30+IF(AND($C30=69,$L30=1),1,0)</f>
        <v/>
      </c>
      <c r="WS31">
        <f>WS30+IF(AND($C30=70,$L30=1),1,0)</f>
        <v/>
      </c>
      <c r="WT31">
        <f>WT30+IF(AND($C30=71,$L30=1),1,0)</f>
        <v/>
      </c>
      <c r="WU31">
        <f>WU30+IF(AND($C30=72,$L30=1),1,0)</f>
        <v/>
      </c>
      <c r="WV31">
        <f>WV30+IF(AND($C30=73,$L30=1),1,0)</f>
        <v/>
      </c>
      <c r="WW31">
        <f>WW30+IF(AND($C30=74,$L30=1),1,0)</f>
        <v/>
      </c>
      <c r="WX31">
        <f>WX30+IF(AND($C30=75,$L30=1),1,0)</f>
        <v/>
      </c>
      <c r="WY31">
        <f>WY30+IF(AND($C30=76,$L30=1),1,0)</f>
        <v/>
      </c>
      <c r="WZ31">
        <f>WZ30+IF(AND($C30=77,$L30=1),1,0)</f>
        <v/>
      </c>
      <c r="XA31">
        <f>XA30+IF(AND($C30=78,$L30=1),1,0)</f>
        <v/>
      </c>
      <c r="XB31">
        <f>XB30+IF(AND($C30=79,$L30=1),1,0)</f>
        <v/>
      </c>
      <c r="XC31">
        <f>XC30+IF(AND($C30=80,$L30=1),1,0)</f>
        <v/>
      </c>
      <c r="XD31">
        <f>XD30+IF(AND($C30=81,$L30=1),1,0)</f>
        <v/>
      </c>
      <c r="XE31">
        <f>XE30+IF(AND($C30=82,$L30=1),1,0)</f>
        <v/>
      </c>
      <c r="XF31">
        <f>XF30+IF(AND($C30=83,$L30=1),1,0)</f>
        <v/>
      </c>
      <c r="XG31">
        <f>XG30+IF(AND($C30=84,$L30=1),1,0)</f>
        <v/>
      </c>
      <c r="XH31">
        <f>XH30+IF(AND($C30=85,$L30=1),1,0)</f>
        <v/>
      </c>
      <c r="XI31">
        <f>XI30+IF(AND($C30=86,$L30=1),1,0)</f>
        <v/>
      </c>
      <c r="XJ31">
        <f>XJ30+IF(AND($C30=87,$L30=1),1,0)</f>
        <v/>
      </c>
      <c r="XK31">
        <f>XK30+IF(AND($C30=88,$L30=1),1,0)</f>
        <v/>
      </c>
      <c r="XL31">
        <f>XL30+IF(AND($C30=89,$L30=1),1,0)</f>
        <v/>
      </c>
      <c r="XM31">
        <f>XM30+IF(AND($C30=90,$L30=1),1,0)</f>
        <v/>
      </c>
      <c r="XN31">
        <f>XN30+IF(AND($C30=91,$L30=1),1,0)</f>
        <v/>
      </c>
      <c r="XO31">
        <f>XO30+IF(AND($C30=92,$L30=1),1,0)</f>
        <v/>
      </c>
      <c r="XP31">
        <f>XP30+IF(AND($C30=93,$L30=1),1,0)</f>
        <v/>
      </c>
      <c r="XQ31">
        <f>XQ30+IF(AND($C30=94,$L30=1),1,0)</f>
        <v/>
      </c>
      <c r="XR31">
        <f>XR30+IF(AND($C30=95,$L30=1),1,0)</f>
        <v/>
      </c>
      <c r="XS31">
        <f>XS30+IF(AND($C30=96,$L30=1),1,0)</f>
        <v/>
      </c>
      <c r="XT31">
        <f>XT30+IF(AND($C30=97,$L30=1),1,0)</f>
        <v/>
      </c>
      <c r="XU31">
        <f>XU30+IF(AND($C30=98,$L30=1),1,0)</f>
        <v/>
      </c>
      <c r="XV31">
        <f>XV30+IF(AND($C30=99,$L30=1),1,0)</f>
        <v/>
      </c>
      <c r="XW31">
        <f>XW30+IF(AND($C30=100,$L30=1),1,0)</f>
        <v/>
      </c>
      <c r="XX31">
        <f>XX30+IF(AND($C30=101,$L30=1),1,0)</f>
        <v/>
      </c>
      <c r="XY31">
        <f>XY30+IF(AND($C30=102,$L30=1),1,0)</f>
        <v/>
      </c>
      <c r="XZ31">
        <f>XZ30+IF(AND($C30=103,$L30=1),1,0)</f>
        <v/>
      </c>
      <c r="YA31">
        <f>YA30+IF(AND($C30=104,$L30=1),1,0)</f>
        <v/>
      </c>
      <c r="YB31">
        <f>YB30+IF(AND($C30=105,$L30=1),1,0)</f>
        <v/>
      </c>
      <c r="YC31">
        <f>YC30+IF(AND($C30=106,$L30=1),1,0)</f>
        <v/>
      </c>
      <c r="YD31">
        <f>YD30+IF(AND($C30=107,$L30=1),1,0)</f>
        <v/>
      </c>
      <c r="YE31">
        <f>YE30+IF(AND($C30=108,$L30=1),1,0)</f>
        <v/>
      </c>
      <c r="YF31">
        <f>YF30+IF(AND($C30=109,$L30=1),1,0)</f>
        <v/>
      </c>
      <c r="YG31">
        <f>YG30+IF(AND($C30=110,$L30=1),1,0)</f>
        <v/>
      </c>
      <c r="YH31">
        <f>YH30+IF(AND($C30=111,$L30=1),1,0)</f>
        <v/>
      </c>
      <c r="YI31">
        <f>YI30+IF(AND($C30=112,$L30=1),1,0)</f>
        <v/>
      </c>
      <c r="YJ31">
        <f>YJ30+IF(AND($C30=113,$L30=1),1,0)</f>
        <v/>
      </c>
      <c r="YK31">
        <f>YK30+IF(AND($C30=114,$L30=1),1,0)</f>
        <v/>
      </c>
      <c r="YL31">
        <f>YL30+IF(AND($C30=115,$L30=1),1,0)</f>
        <v/>
      </c>
      <c r="YM31">
        <f>YM30+IF(AND($C30=116,$L30=1),1,0)</f>
        <v/>
      </c>
      <c r="YN31">
        <f>YN30+IF(AND($C30=117,$L30=1),1,0)</f>
        <v/>
      </c>
      <c r="YO31">
        <f>YO30+IF(AND($C30=118,$L30=1),1,0)</f>
        <v/>
      </c>
      <c r="YP31">
        <f>YP30+IF(AND($C30=119,$L30=1),1,0)</f>
        <v/>
      </c>
      <c r="YQ31">
        <f>YQ30+IF(AND($C30=120,$L30=1),1,0)</f>
        <v/>
      </c>
      <c r="YR31">
        <f>YR30+IF(AND($C30=121,$L30=1),1,0)</f>
        <v/>
      </c>
      <c r="YS31">
        <f>YS30+IF(AND($C30=122,$L30=1),1,0)</f>
        <v/>
      </c>
      <c r="YT31">
        <f>YT30+IF(AND($C30=123,$L30=1),1,0)</f>
        <v/>
      </c>
      <c r="YU31">
        <f>YU30+IF(AND($C30=124,$L30=1),1,0)</f>
        <v/>
      </c>
      <c r="YV31">
        <f>YV30+IF(AND($C30=125,$L30=1),1,0)</f>
        <v/>
      </c>
      <c r="YW31">
        <f>YW30+IF(AND($C30=126,$L30=1),1,0)</f>
        <v/>
      </c>
      <c r="YX31">
        <f>YX30+IF(AND($C30=127,$L30=1),1,0)</f>
        <v/>
      </c>
      <c r="YY31">
        <f>YY30+IF(AND($C30=128,$L30=1),1,0)</f>
        <v/>
      </c>
      <c r="YZ31">
        <f>YZ30+IF(AND($C30=129,$L30=1),1,0)</f>
        <v/>
      </c>
      <c r="ZA31">
        <f>ZA30+IF(AND($C30=130,$L30=1),1,0)</f>
        <v/>
      </c>
      <c r="ZB31">
        <f>ZB30+IF(AND($C30=131,$L30=1),1,0)</f>
        <v/>
      </c>
      <c r="ZC31">
        <f>ZC30+IF(AND($C30=132,$L30=1),1,0)</f>
        <v/>
      </c>
      <c r="ZD31">
        <f>ZD30+IF(AND($C30=133,$L30=1),1,0)</f>
        <v/>
      </c>
      <c r="ZE31">
        <f>ZE30+IF(AND($C30=134,$L30=1),1,0)</f>
        <v/>
      </c>
      <c r="ZF31">
        <f>ZF30+IF(AND($C30=135,$L30=1),1,0)</f>
        <v/>
      </c>
      <c r="ZG31">
        <f>ZG30+IF(AND($C30=136,$L30=1),1,0)</f>
        <v/>
      </c>
      <c r="ZH31">
        <f>ZH30+IF(AND($C30=137,$L30=1),1,0)</f>
        <v/>
      </c>
      <c r="ZI31">
        <f>ZI30+IF(AND($C30=138,$L30=1),1,0)</f>
        <v/>
      </c>
      <c r="ZJ31">
        <f>ZJ30+IF(AND($C30=139,$L30=1),1,0)</f>
        <v/>
      </c>
      <c r="ZK31">
        <f>ZK30+IF(AND($C30=140,$L30=1),1,0)</f>
        <v/>
      </c>
      <c r="ZL31">
        <f>ZL30+IF(AND($C30=141,$L30=1),1,0)</f>
        <v/>
      </c>
      <c r="ZM31">
        <f>ZM30+IF(AND($C30=142,$L30=1),1,0)</f>
        <v/>
      </c>
      <c r="ZN31">
        <f>ZN30+IF(AND($C30=143,$L30=1),1,0)</f>
        <v/>
      </c>
      <c r="ZO31">
        <f>ZO30+IF(AND($C30=144,$L30=1),1,0)</f>
        <v/>
      </c>
    </row>
    <row r="32">
      <c r="A32" t="n">
        <v>30</v>
      </c>
      <c r="B32">
        <f>IF(MIN(BH32:CZ32)&gt;=1000000,0,MATCH(MIN(BH32:CZ32),BH32:CZ32,0))</f>
        <v/>
      </c>
      <c r="C32">
        <f>IF(MIN(OF32:TS32)&gt;=1000000,0,MATCH(MIN(OF32:TS32),OF32:TS32,0))</f>
        <v/>
      </c>
      <c r="D32">
        <f>IF(C32&gt;0,INDEX('計算A'!$D$5:$EQ$5,C32),0)</f>
        <v/>
      </c>
      <c r="E32">
        <f>IF(B32=0,0,INDEX('計算A'!$IQ$10:$IQ$54,B32))</f>
        <v/>
      </c>
      <c r="F32">
        <f>IF(B32=0,0,INDEX('計算A'!$IP$10:$IP$54,B32))</f>
        <v/>
      </c>
      <c r="G32">
        <f>IF(AND(C32&gt;0,E32&gt;0),IF(AND(INDEX('計算A'!$D$106:$EQ$106,C32)=1,INDEX($IQ32:$OD32,C32)=1),C32+1,0),0)</f>
        <v/>
      </c>
      <c r="H32">
        <f>IF(B32=0,0,INDEX('計算A'!$IW$10:$IW$54,B32))</f>
        <v/>
      </c>
      <c r="I32">
        <f>IF(B32=0,0,MAX(0,INDEX('計算A'!$IT$10:$IT$54,B32)))</f>
        <v/>
      </c>
      <c r="J32">
        <f>IF(I32=0,0,INDEX('計算A'!$D$2:$EQ$2,I32))</f>
        <v/>
      </c>
      <c r="K32">
        <f>IF(I32=0,0,INDEX('計算A'!$D$3:$EQ$3,I32))</f>
        <v/>
      </c>
      <c r="L32">
        <f>IF(B32=0,0,INDEX('計算A'!$IX$10:$IX$54,B32))</f>
        <v/>
      </c>
      <c r="N32">
        <f>MAX(N31,IF($B31=1,1,0))</f>
        <v/>
      </c>
      <c r="O32">
        <f>MAX(O31,IF($B31=2,1,0))</f>
        <v/>
      </c>
      <c r="P32">
        <f>MAX(P31,IF($B31=3,1,0))</f>
        <v/>
      </c>
      <c r="Q32">
        <f>MAX(Q31,IF($B31=4,1,0))</f>
        <v/>
      </c>
      <c r="R32">
        <f>MAX(R31,IF($B31=5,1,0))</f>
        <v/>
      </c>
      <c r="S32">
        <f>MAX(S31,IF($B31=6,1,0))</f>
        <v/>
      </c>
      <c r="T32">
        <f>MAX(T31,IF($B31=7,1,0))</f>
        <v/>
      </c>
      <c r="U32">
        <f>MAX(U31,IF($B31=8,1,0))</f>
        <v/>
      </c>
      <c r="V32">
        <f>MAX(V31,IF($B31=9,1,0))</f>
        <v/>
      </c>
      <c r="W32">
        <f>MAX(W31,IF($B31=10,1,0))</f>
        <v/>
      </c>
      <c r="X32">
        <f>MAX(X31,IF($B31=11,1,0))</f>
        <v/>
      </c>
      <c r="Y32">
        <f>MAX(Y31,IF($B31=12,1,0))</f>
        <v/>
      </c>
      <c r="Z32">
        <f>MAX(Z31,IF($B31=13,1,0))</f>
        <v/>
      </c>
      <c r="AA32">
        <f>MAX(AA31,IF($B31=14,1,0))</f>
        <v/>
      </c>
      <c r="AB32">
        <f>MAX(AB31,IF($B31=15,1,0))</f>
        <v/>
      </c>
      <c r="AC32">
        <f>MAX(AC31,IF($B31=16,1,0))</f>
        <v/>
      </c>
      <c r="AD32">
        <f>MAX(AD31,IF($B31=17,1,0))</f>
        <v/>
      </c>
      <c r="AE32">
        <f>MAX(AE31,IF($B31=18,1,0))</f>
        <v/>
      </c>
      <c r="AF32">
        <f>MAX(AF31,IF($B31=19,1,0))</f>
        <v/>
      </c>
      <c r="AG32">
        <f>MAX(AG31,IF($B31=20,1,0))</f>
        <v/>
      </c>
      <c r="AH32">
        <f>MAX(AH31,IF($B31=21,1,0))</f>
        <v/>
      </c>
      <c r="AI32">
        <f>MAX(AI31,IF($B31=22,1,0))</f>
        <v/>
      </c>
      <c r="AJ32">
        <f>MAX(AJ31,IF($B31=23,1,0))</f>
        <v/>
      </c>
      <c r="AK32">
        <f>MAX(AK31,IF($B31=24,1,0))</f>
        <v/>
      </c>
      <c r="AL32">
        <f>MAX(AL31,IF($B31=25,1,0))</f>
        <v/>
      </c>
      <c r="AM32">
        <f>MAX(AM31,IF($B31=26,1,0))</f>
        <v/>
      </c>
      <c r="AN32">
        <f>MAX(AN31,IF($B31=27,1,0))</f>
        <v/>
      </c>
      <c r="AO32">
        <f>MAX(AO31,IF($B31=28,1,0))</f>
        <v/>
      </c>
      <c r="AP32">
        <f>MAX(AP31,IF($B31=29,1,0))</f>
        <v/>
      </c>
      <c r="AQ32">
        <f>MAX(AQ31,IF($B31=30,1,0))</f>
        <v/>
      </c>
      <c r="AR32">
        <f>MAX(AR31,IF($B31=31,1,0))</f>
        <v/>
      </c>
      <c r="AS32">
        <f>MAX(AS31,IF($B31=32,1,0))</f>
        <v/>
      </c>
      <c r="AT32">
        <f>MAX(AT31,IF($B31=33,1,0))</f>
        <v/>
      </c>
      <c r="AU32">
        <f>MAX(AU31,IF($B31=34,1,0))</f>
        <v/>
      </c>
      <c r="AV32">
        <f>MAX(AV31,IF($B31=35,1,0))</f>
        <v/>
      </c>
      <c r="AW32">
        <f>MAX(AW31,IF($B31=36,1,0))</f>
        <v/>
      </c>
      <c r="AX32">
        <f>MAX(AX31,IF($B31=37,1,0))</f>
        <v/>
      </c>
      <c r="AY32">
        <f>MAX(AY31,IF($B31=38,1,0))</f>
        <v/>
      </c>
      <c r="AZ32">
        <f>MAX(AZ31,IF($B31=39,1,0))</f>
        <v/>
      </c>
      <c r="BA32">
        <f>MAX(BA31,IF($B31=40,1,0))</f>
        <v/>
      </c>
      <c r="BB32">
        <f>MAX(BB31,IF($B31=41,1,0))</f>
        <v/>
      </c>
      <c r="BC32">
        <f>MAX(BC31,IF($B31=42,1,0))</f>
        <v/>
      </c>
      <c r="BD32">
        <f>MAX(BD31,IF($B31=43,1,0))</f>
        <v/>
      </c>
      <c r="BE32">
        <f>MAX(BE31,IF($B31=44,1,0))</f>
        <v/>
      </c>
      <c r="BF32">
        <f>MAX(BF31,IF($B31=45,1,0))</f>
        <v/>
      </c>
      <c r="BH32">
        <f>IF(N32=1,1000000,IF('計算A'!$IT$10&gt;0,0,500000)+IF('計算A'!$IQ$10=2,SUMPRODUCT('計算A'!$D$60:$EQ$60,$DB32:$IO32,$IQ32:$OD32),SUMPRODUCT('計算A'!$D$60:$EQ$60,$DB32:$IO32))*1000+1)</f>
        <v/>
      </c>
      <c r="BI32">
        <f>IF(O32=1,1000000,IF('計算A'!$IT$11&gt;0,0,500000)+IF('計算A'!$IQ$11=2,SUMPRODUCT('計算A'!$D$61:$EQ$61,$DB32:$IO32,$IQ32:$OD32),SUMPRODUCT('計算A'!$D$61:$EQ$61,$DB32:$IO32))*1000+2)</f>
        <v/>
      </c>
      <c r="BJ32">
        <f>IF(P32=1,1000000,IF('計算A'!$IT$12&gt;0,0,500000)+IF('計算A'!$IQ$12=2,SUMPRODUCT('計算A'!$D$62:$EQ$62,$DB32:$IO32,$IQ32:$OD32),SUMPRODUCT('計算A'!$D$62:$EQ$62,$DB32:$IO32))*1000+3)</f>
        <v/>
      </c>
      <c r="BK32">
        <f>IF(Q32=1,1000000,IF('計算A'!$IT$13&gt;0,0,500000)+IF('計算A'!$IQ$13=2,SUMPRODUCT('計算A'!$D$63:$EQ$63,$DB32:$IO32,$IQ32:$OD32),SUMPRODUCT('計算A'!$D$63:$EQ$63,$DB32:$IO32))*1000+4)</f>
        <v/>
      </c>
      <c r="BL32">
        <f>IF(R32=1,1000000,IF('計算A'!$IT$14&gt;0,0,500000)+IF('計算A'!$IQ$14=2,SUMPRODUCT('計算A'!$D$64:$EQ$64,$DB32:$IO32,$IQ32:$OD32),SUMPRODUCT('計算A'!$D$64:$EQ$64,$DB32:$IO32))*1000+5)</f>
        <v/>
      </c>
      <c r="BM32">
        <f>IF(S32=1,1000000,IF('計算A'!$IT$15&gt;0,0,500000)+IF('計算A'!$IQ$15=2,SUMPRODUCT('計算A'!$D$65:$EQ$65,$DB32:$IO32,$IQ32:$OD32),SUMPRODUCT('計算A'!$D$65:$EQ$65,$DB32:$IO32))*1000+6)</f>
        <v/>
      </c>
      <c r="BN32">
        <f>IF(T32=1,1000000,IF('計算A'!$IT$16&gt;0,0,500000)+IF('計算A'!$IQ$16=2,SUMPRODUCT('計算A'!$D$66:$EQ$66,$DB32:$IO32,$IQ32:$OD32),SUMPRODUCT('計算A'!$D$66:$EQ$66,$DB32:$IO32))*1000+7)</f>
        <v/>
      </c>
      <c r="BO32">
        <f>IF(U32=1,1000000,IF('計算A'!$IT$17&gt;0,0,500000)+IF('計算A'!$IQ$17=2,SUMPRODUCT('計算A'!$D$67:$EQ$67,$DB32:$IO32,$IQ32:$OD32),SUMPRODUCT('計算A'!$D$67:$EQ$67,$DB32:$IO32))*1000+8)</f>
        <v/>
      </c>
      <c r="BP32">
        <f>IF(V32=1,1000000,IF('計算A'!$IT$18&gt;0,0,500000)+IF('計算A'!$IQ$18=2,SUMPRODUCT('計算A'!$D$68:$EQ$68,$DB32:$IO32,$IQ32:$OD32),SUMPRODUCT('計算A'!$D$68:$EQ$68,$DB32:$IO32))*1000+9)</f>
        <v/>
      </c>
      <c r="BQ32">
        <f>IF(W32=1,1000000,IF('計算A'!$IT$19&gt;0,0,500000)+IF('計算A'!$IQ$19=2,SUMPRODUCT('計算A'!$D$69:$EQ$69,$DB32:$IO32,$IQ32:$OD32),SUMPRODUCT('計算A'!$D$69:$EQ$69,$DB32:$IO32))*1000+10)</f>
        <v/>
      </c>
      <c r="BR32">
        <f>IF(X32=1,1000000,IF('計算A'!$IT$20&gt;0,0,500000)+IF('計算A'!$IQ$20=2,SUMPRODUCT('計算A'!$D$70:$EQ$70,$DB32:$IO32,$IQ32:$OD32),SUMPRODUCT('計算A'!$D$70:$EQ$70,$DB32:$IO32))*1000+11)</f>
        <v/>
      </c>
      <c r="BS32">
        <f>IF(Y32=1,1000000,IF('計算A'!$IT$21&gt;0,0,500000)+IF('計算A'!$IQ$21=2,SUMPRODUCT('計算A'!$D$71:$EQ$71,$DB32:$IO32,$IQ32:$OD32),SUMPRODUCT('計算A'!$D$71:$EQ$71,$DB32:$IO32))*1000+12)</f>
        <v/>
      </c>
      <c r="BT32">
        <f>IF(Z32=1,1000000,IF('計算A'!$IT$22&gt;0,0,500000)+IF('計算A'!$IQ$22=2,SUMPRODUCT('計算A'!$D$72:$EQ$72,$DB32:$IO32,$IQ32:$OD32),SUMPRODUCT('計算A'!$D$72:$EQ$72,$DB32:$IO32))*1000+13)</f>
        <v/>
      </c>
      <c r="BU32">
        <f>IF(AA32=1,1000000,IF('計算A'!$IT$23&gt;0,0,500000)+IF('計算A'!$IQ$23=2,SUMPRODUCT('計算A'!$D$73:$EQ$73,$DB32:$IO32,$IQ32:$OD32),SUMPRODUCT('計算A'!$D$73:$EQ$73,$DB32:$IO32))*1000+14)</f>
        <v/>
      </c>
      <c r="BV32">
        <f>IF(AB32=1,1000000,IF('計算A'!$IT$24&gt;0,0,500000)+IF('計算A'!$IQ$24=2,SUMPRODUCT('計算A'!$D$74:$EQ$74,$DB32:$IO32,$IQ32:$OD32),SUMPRODUCT('計算A'!$D$74:$EQ$74,$DB32:$IO32))*1000+15)</f>
        <v/>
      </c>
      <c r="BW32">
        <f>IF(AC32=1,1000000,IF('計算A'!$IT$25&gt;0,0,500000)+IF('計算A'!$IQ$25=2,SUMPRODUCT('計算A'!$D$75:$EQ$75,$DB32:$IO32,$IQ32:$OD32),SUMPRODUCT('計算A'!$D$75:$EQ$75,$DB32:$IO32))*1000+16)</f>
        <v/>
      </c>
      <c r="BX32">
        <f>IF(AD32=1,1000000,IF('計算A'!$IT$26&gt;0,0,500000)+IF('計算A'!$IQ$26=2,SUMPRODUCT('計算A'!$D$76:$EQ$76,$DB32:$IO32,$IQ32:$OD32),SUMPRODUCT('計算A'!$D$76:$EQ$76,$DB32:$IO32))*1000+17)</f>
        <v/>
      </c>
      <c r="BY32">
        <f>IF(AE32=1,1000000,IF('計算A'!$IT$27&gt;0,0,500000)+IF('計算A'!$IQ$27=2,SUMPRODUCT('計算A'!$D$77:$EQ$77,$DB32:$IO32,$IQ32:$OD32),SUMPRODUCT('計算A'!$D$77:$EQ$77,$DB32:$IO32))*1000+18)</f>
        <v/>
      </c>
      <c r="BZ32">
        <f>IF(AF32=1,1000000,IF('計算A'!$IT$28&gt;0,0,500000)+IF('計算A'!$IQ$28=2,SUMPRODUCT('計算A'!$D$78:$EQ$78,$DB32:$IO32,$IQ32:$OD32),SUMPRODUCT('計算A'!$D$78:$EQ$78,$DB32:$IO32))*1000+19)</f>
        <v/>
      </c>
      <c r="CA32">
        <f>IF(AG32=1,1000000,IF('計算A'!$IT$29&gt;0,0,500000)+IF('計算A'!$IQ$29=2,SUMPRODUCT('計算A'!$D$79:$EQ$79,$DB32:$IO32,$IQ32:$OD32),SUMPRODUCT('計算A'!$D$79:$EQ$79,$DB32:$IO32))*1000+20)</f>
        <v/>
      </c>
      <c r="CB32">
        <f>IF(AH32=1,1000000,IF('計算A'!$IT$30&gt;0,0,500000)+IF('計算A'!$IQ$30=2,SUMPRODUCT('計算A'!$D$80:$EQ$80,$DB32:$IO32,$IQ32:$OD32),SUMPRODUCT('計算A'!$D$80:$EQ$80,$DB32:$IO32))*1000+21)</f>
        <v/>
      </c>
      <c r="CC32">
        <f>IF(AI32=1,1000000,IF('計算A'!$IT$31&gt;0,0,500000)+IF('計算A'!$IQ$31=2,SUMPRODUCT('計算A'!$D$81:$EQ$81,$DB32:$IO32,$IQ32:$OD32),SUMPRODUCT('計算A'!$D$81:$EQ$81,$DB32:$IO32))*1000+22)</f>
        <v/>
      </c>
      <c r="CD32">
        <f>IF(AJ32=1,1000000,IF('計算A'!$IT$32&gt;0,0,500000)+IF('計算A'!$IQ$32=2,SUMPRODUCT('計算A'!$D$82:$EQ$82,$DB32:$IO32,$IQ32:$OD32),SUMPRODUCT('計算A'!$D$82:$EQ$82,$DB32:$IO32))*1000+23)</f>
        <v/>
      </c>
      <c r="CE32">
        <f>IF(AK32=1,1000000,IF('計算A'!$IT$33&gt;0,0,500000)+IF('計算A'!$IQ$33=2,SUMPRODUCT('計算A'!$D$83:$EQ$83,$DB32:$IO32,$IQ32:$OD32),SUMPRODUCT('計算A'!$D$83:$EQ$83,$DB32:$IO32))*1000+24)</f>
        <v/>
      </c>
      <c r="CF32">
        <f>IF(AL32=1,1000000,IF('計算A'!$IT$34&gt;0,0,500000)+IF('計算A'!$IQ$34=2,SUMPRODUCT('計算A'!$D$84:$EQ$84,$DB32:$IO32,$IQ32:$OD32),SUMPRODUCT('計算A'!$D$84:$EQ$84,$DB32:$IO32))*1000+25)</f>
        <v/>
      </c>
      <c r="CG32">
        <f>IF(AM32=1,1000000,IF('計算A'!$IT$35&gt;0,0,500000)+IF('計算A'!$IQ$35=2,SUMPRODUCT('計算A'!$D$85:$EQ$85,$DB32:$IO32,$IQ32:$OD32),SUMPRODUCT('計算A'!$D$85:$EQ$85,$DB32:$IO32))*1000+26)</f>
        <v/>
      </c>
      <c r="CH32">
        <f>IF(AN32=1,1000000,IF('計算A'!$IT$36&gt;0,0,500000)+IF('計算A'!$IQ$36=2,SUMPRODUCT('計算A'!$D$86:$EQ$86,$DB32:$IO32,$IQ32:$OD32),SUMPRODUCT('計算A'!$D$86:$EQ$86,$DB32:$IO32))*1000+27)</f>
        <v/>
      </c>
      <c r="CI32">
        <f>IF(AO32=1,1000000,IF('計算A'!$IT$37&gt;0,0,500000)+IF('計算A'!$IQ$37=2,SUMPRODUCT('計算A'!$D$87:$EQ$87,$DB32:$IO32,$IQ32:$OD32),SUMPRODUCT('計算A'!$D$87:$EQ$87,$DB32:$IO32))*1000+28)</f>
        <v/>
      </c>
      <c r="CJ32">
        <f>IF(AP32=1,1000000,IF('計算A'!$IT$38&gt;0,0,500000)+IF('計算A'!$IQ$38=2,SUMPRODUCT('計算A'!$D$88:$EQ$88,$DB32:$IO32,$IQ32:$OD32),SUMPRODUCT('計算A'!$D$88:$EQ$88,$DB32:$IO32))*1000+29)</f>
        <v/>
      </c>
      <c r="CK32">
        <f>IF(AQ32=1,1000000,IF('計算A'!$IT$39&gt;0,0,500000)+IF('計算A'!$IQ$39=2,SUMPRODUCT('計算A'!$D$89:$EQ$89,$DB32:$IO32,$IQ32:$OD32),SUMPRODUCT('計算A'!$D$89:$EQ$89,$DB32:$IO32))*1000+30)</f>
        <v/>
      </c>
      <c r="CL32">
        <f>IF(AR32=1,1000000,IF('計算A'!$IT$40&gt;0,0,500000)+IF('計算A'!$IQ$40=2,SUMPRODUCT('計算A'!$D$90:$EQ$90,$DB32:$IO32,$IQ32:$OD32),SUMPRODUCT('計算A'!$D$90:$EQ$90,$DB32:$IO32))*1000+31)</f>
        <v/>
      </c>
      <c r="CM32">
        <f>IF(AS32=1,1000000,IF('計算A'!$IT$41&gt;0,0,500000)+IF('計算A'!$IQ$41=2,SUMPRODUCT('計算A'!$D$91:$EQ$91,$DB32:$IO32,$IQ32:$OD32),SUMPRODUCT('計算A'!$D$91:$EQ$91,$DB32:$IO32))*1000+32)</f>
        <v/>
      </c>
      <c r="CN32">
        <f>IF(AT32=1,1000000,IF('計算A'!$IT$42&gt;0,0,500000)+IF('計算A'!$IQ$42=2,SUMPRODUCT('計算A'!$D$92:$EQ$92,$DB32:$IO32,$IQ32:$OD32),SUMPRODUCT('計算A'!$D$92:$EQ$92,$DB32:$IO32))*1000+33)</f>
        <v/>
      </c>
      <c r="CO32">
        <f>IF(AU32=1,1000000,IF('計算A'!$IT$43&gt;0,0,500000)+IF('計算A'!$IQ$43=2,SUMPRODUCT('計算A'!$D$93:$EQ$93,$DB32:$IO32,$IQ32:$OD32),SUMPRODUCT('計算A'!$D$93:$EQ$93,$DB32:$IO32))*1000+34)</f>
        <v/>
      </c>
      <c r="CP32">
        <f>IF(AV32=1,1000000,IF('計算A'!$IT$44&gt;0,0,500000)+IF('計算A'!$IQ$44=2,SUMPRODUCT('計算A'!$D$94:$EQ$94,$DB32:$IO32,$IQ32:$OD32),SUMPRODUCT('計算A'!$D$94:$EQ$94,$DB32:$IO32))*1000+35)</f>
        <v/>
      </c>
      <c r="CQ32">
        <f>IF(AW32=1,1000000,IF('計算A'!$IT$45&gt;0,0,500000)+IF('計算A'!$IQ$45=2,SUMPRODUCT('計算A'!$D$95:$EQ$95,$DB32:$IO32,$IQ32:$OD32),SUMPRODUCT('計算A'!$D$95:$EQ$95,$DB32:$IO32))*1000+36)</f>
        <v/>
      </c>
      <c r="CR32">
        <f>IF(AX32=1,1000000,IF('計算A'!$IT$46&gt;0,0,500000)+IF('計算A'!$IQ$46=2,SUMPRODUCT('計算A'!$D$96:$EQ$96,$DB32:$IO32,$IQ32:$OD32),SUMPRODUCT('計算A'!$D$96:$EQ$96,$DB32:$IO32))*1000+37)</f>
        <v/>
      </c>
      <c r="CS32">
        <f>IF(AY32=1,1000000,IF('計算A'!$IT$47&gt;0,0,500000)+IF('計算A'!$IQ$47=2,SUMPRODUCT('計算A'!$D$97:$EQ$97,$DB32:$IO32,$IQ32:$OD32),SUMPRODUCT('計算A'!$D$97:$EQ$97,$DB32:$IO32))*1000+38)</f>
        <v/>
      </c>
      <c r="CT32">
        <f>IF(AZ32=1,1000000,IF('計算A'!$IT$48&gt;0,0,500000)+IF('計算A'!$IQ$48=2,SUMPRODUCT('計算A'!$D$98:$EQ$98,$DB32:$IO32,$IQ32:$OD32),SUMPRODUCT('計算A'!$D$98:$EQ$98,$DB32:$IO32))*1000+39)</f>
        <v/>
      </c>
      <c r="CU32">
        <f>IF(BA32=1,1000000,IF('計算A'!$IT$49&gt;0,0,500000)+IF('計算A'!$IQ$49=2,SUMPRODUCT('計算A'!$D$99:$EQ$99,$DB32:$IO32,$IQ32:$OD32),SUMPRODUCT('計算A'!$D$99:$EQ$99,$DB32:$IO32))*1000+40)</f>
        <v/>
      </c>
      <c r="CV32">
        <f>IF(BB32=1,1000000,IF('計算A'!$IT$50&gt;0,0,500000)+IF('計算A'!$IQ$50=2,SUMPRODUCT('計算A'!$D$100:$EQ$100,$DB32:$IO32,$IQ32:$OD32),SUMPRODUCT('計算A'!$D$100:$EQ$100,$DB32:$IO32))*1000+41)</f>
        <v/>
      </c>
      <c r="CW32">
        <f>IF(BC32=1,1000000,IF('計算A'!$IT$51&gt;0,0,500000)+IF('計算A'!$IQ$51=2,SUMPRODUCT('計算A'!$D$101:$EQ$101,$DB32:$IO32,$IQ32:$OD32),SUMPRODUCT('計算A'!$D$101:$EQ$101,$DB32:$IO32))*1000+42)</f>
        <v/>
      </c>
      <c r="CX32">
        <f>IF(BD32=1,1000000,IF('計算A'!$IT$52&gt;0,0,500000)+IF('計算A'!$IQ$52=2,SUMPRODUCT('計算A'!$D$102:$EQ$102,$DB32:$IO32,$IQ32:$OD32),SUMPRODUCT('計算A'!$D$102:$EQ$102,$DB32:$IO32))*1000+43)</f>
        <v/>
      </c>
      <c r="CY32">
        <f>IF(BE32=1,1000000,IF('計算A'!$IT$53&gt;0,0,500000)+IF('計算A'!$IQ$53=2,SUMPRODUCT('計算A'!$D$103:$EQ$103,$DB32:$IO32,$IQ32:$OD32),SUMPRODUCT('計算A'!$D$103:$EQ$103,$DB32:$IO32))*1000+44)</f>
        <v/>
      </c>
      <c r="CZ32">
        <f>IF(BF32=1,1000000,IF('計算A'!$IT$54&gt;0,0,500000)+IF('計算A'!$IQ$54=2,SUMPRODUCT('計算A'!$D$104:$EQ$104,$DB32:$IO32,$IQ32:$OD32),SUMPRODUCT('計算A'!$D$104:$EQ$104,$DB32:$IO32))*1000+45)</f>
        <v/>
      </c>
      <c r="DB32">
        <f>DB31*IF(OR($C31=1,$G31=1),0,1)</f>
        <v/>
      </c>
      <c r="DC32">
        <f>DC31*IF(OR($C31=2,$G31=2),0,1)</f>
        <v/>
      </c>
      <c r="DD32">
        <f>DD31*IF(OR($C31=3,$G31=3),0,1)</f>
        <v/>
      </c>
      <c r="DE32">
        <f>DE31*IF(OR($C31=4,$G31=4),0,1)</f>
        <v/>
      </c>
      <c r="DF32">
        <f>DF31*IF(OR($C31=5,$G31=5),0,1)</f>
        <v/>
      </c>
      <c r="DG32">
        <f>DG31*IF(OR($C31=6,$G31=6),0,1)</f>
        <v/>
      </c>
      <c r="DH32">
        <f>DH31*IF(OR($C31=7,$G31=7),0,1)</f>
        <v/>
      </c>
      <c r="DI32">
        <f>DI31*IF(OR($C31=8,$G31=8),0,1)</f>
        <v/>
      </c>
      <c r="DJ32">
        <f>DJ31*IF(OR($C31=9,$G31=9),0,1)</f>
        <v/>
      </c>
      <c r="DK32">
        <f>DK31*IF(OR($C31=10,$G31=10),0,1)</f>
        <v/>
      </c>
      <c r="DL32">
        <f>DL31*IF(OR($C31=11,$G31=11),0,1)</f>
        <v/>
      </c>
      <c r="DM32">
        <f>DM31*IF(OR($C31=12,$G31=12),0,1)</f>
        <v/>
      </c>
      <c r="DN32">
        <f>DN31*IF(OR($C31=13,$G31=13),0,1)</f>
        <v/>
      </c>
      <c r="DO32">
        <f>DO31*IF(OR($C31=14,$G31=14),0,1)</f>
        <v/>
      </c>
      <c r="DP32">
        <f>DP31*IF(OR($C31=15,$G31=15),0,1)</f>
        <v/>
      </c>
      <c r="DQ32">
        <f>DQ31*IF(OR($C31=16,$G31=16),0,1)</f>
        <v/>
      </c>
      <c r="DR32">
        <f>DR31*IF(OR($C31=17,$G31=17),0,1)</f>
        <v/>
      </c>
      <c r="DS32">
        <f>DS31*IF(OR($C31=18,$G31=18),0,1)</f>
        <v/>
      </c>
      <c r="DT32">
        <f>DT31*IF(OR($C31=19,$G31=19),0,1)</f>
        <v/>
      </c>
      <c r="DU32">
        <f>DU31*IF(OR($C31=20,$G31=20),0,1)</f>
        <v/>
      </c>
      <c r="DV32">
        <f>DV31*IF(OR($C31=21,$G31=21),0,1)</f>
        <v/>
      </c>
      <c r="DW32">
        <f>DW31*IF(OR($C31=22,$G31=22),0,1)</f>
        <v/>
      </c>
      <c r="DX32">
        <f>DX31*IF(OR($C31=23,$G31=23),0,1)</f>
        <v/>
      </c>
      <c r="DY32">
        <f>DY31*IF(OR($C31=24,$G31=24),0,1)</f>
        <v/>
      </c>
      <c r="DZ32">
        <f>DZ31*IF(OR($C31=25,$G31=25),0,1)</f>
        <v/>
      </c>
      <c r="EA32">
        <f>EA31*IF(OR($C31=26,$G31=26),0,1)</f>
        <v/>
      </c>
      <c r="EB32">
        <f>EB31*IF(OR($C31=27,$G31=27),0,1)</f>
        <v/>
      </c>
      <c r="EC32">
        <f>EC31*IF(OR($C31=28,$G31=28),0,1)</f>
        <v/>
      </c>
      <c r="ED32">
        <f>ED31*IF(OR($C31=29,$G31=29),0,1)</f>
        <v/>
      </c>
      <c r="EE32">
        <f>EE31*IF(OR($C31=30,$G31=30),0,1)</f>
        <v/>
      </c>
      <c r="EF32">
        <f>EF31*IF(OR($C31=31,$G31=31),0,1)</f>
        <v/>
      </c>
      <c r="EG32">
        <f>EG31*IF(OR($C31=32,$G31=32),0,1)</f>
        <v/>
      </c>
      <c r="EH32">
        <f>EH31*IF(OR($C31=33,$G31=33),0,1)</f>
        <v/>
      </c>
      <c r="EI32">
        <f>EI31*IF(OR($C31=34,$G31=34),0,1)</f>
        <v/>
      </c>
      <c r="EJ32">
        <f>EJ31*IF(OR($C31=35,$G31=35),0,1)</f>
        <v/>
      </c>
      <c r="EK32">
        <f>EK31*IF(OR($C31=36,$G31=36),0,1)</f>
        <v/>
      </c>
      <c r="EL32">
        <f>EL31*IF(OR($C31=37,$G31=37),0,1)</f>
        <v/>
      </c>
      <c r="EM32">
        <f>EM31*IF(OR($C31=38,$G31=38),0,1)</f>
        <v/>
      </c>
      <c r="EN32">
        <f>EN31*IF(OR($C31=39,$G31=39),0,1)</f>
        <v/>
      </c>
      <c r="EO32">
        <f>EO31*IF(OR($C31=40,$G31=40),0,1)</f>
        <v/>
      </c>
      <c r="EP32">
        <f>EP31*IF(OR($C31=41,$G31=41),0,1)</f>
        <v/>
      </c>
      <c r="EQ32">
        <f>EQ31*IF(OR($C31=42,$G31=42),0,1)</f>
        <v/>
      </c>
      <c r="ER32">
        <f>ER31*IF(OR($C31=43,$G31=43),0,1)</f>
        <v/>
      </c>
      <c r="ES32">
        <f>ES31*IF(OR($C31=44,$G31=44),0,1)</f>
        <v/>
      </c>
      <c r="ET32">
        <f>ET31*IF(OR($C31=45,$G31=45),0,1)</f>
        <v/>
      </c>
      <c r="EU32">
        <f>EU31*IF(OR($C31=46,$G31=46),0,1)</f>
        <v/>
      </c>
      <c r="EV32">
        <f>EV31*IF(OR($C31=47,$G31=47),0,1)</f>
        <v/>
      </c>
      <c r="EW32">
        <f>EW31*IF(OR($C31=48,$G31=48),0,1)</f>
        <v/>
      </c>
      <c r="EX32">
        <f>EX31*IF(OR($C31=49,$G31=49),0,1)</f>
        <v/>
      </c>
      <c r="EY32">
        <f>EY31*IF(OR($C31=50,$G31=50),0,1)</f>
        <v/>
      </c>
      <c r="EZ32">
        <f>EZ31*IF(OR($C31=51,$G31=51),0,1)</f>
        <v/>
      </c>
      <c r="FA32">
        <f>FA31*IF(OR($C31=52,$G31=52),0,1)</f>
        <v/>
      </c>
      <c r="FB32">
        <f>FB31*IF(OR($C31=53,$G31=53),0,1)</f>
        <v/>
      </c>
      <c r="FC32">
        <f>FC31*IF(OR($C31=54,$G31=54),0,1)</f>
        <v/>
      </c>
      <c r="FD32">
        <f>FD31*IF(OR($C31=55,$G31=55),0,1)</f>
        <v/>
      </c>
      <c r="FE32">
        <f>FE31*IF(OR($C31=56,$G31=56),0,1)</f>
        <v/>
      </c>
      <c r="FF32">
        <f>FF31*IF(OR($C31=57,$G31=57),0,1)</f>
        <v/>
      </c>
      <c r="FG32">
        <f>FG31*IF(OR($C31=58,$G31=58),0,1)</f>
        <v/>
      </c>
      <c r="FH32">
        <f>FH31*IF(OR($C31=59,$G31=59),0,1)</f>
        <v/>
      </c>
      <c r="FI32">
        <f>FI31*IF(OR($C31=60,$G31=60),0,1)</f>
        <v/>
      </c>
      <c r="FJ32">
        <f>FJ31*IF(OR($C31=61,$G31=61),0,1)</f>
        <v/>
      </c>
      <c r="FK32">
        <f>FK31*IF(OR($C31=62,$G31=62),0,1)</f>
        <v/>
      </c>
      <c r="FL32">
        <f>FL31*IF(OR($C31=63,$G31=63),0,1)</f>
        <v/>
      </c>
      <c r="FM32">
        <f>FM31*IF(OR($C31=64,$G31=64),0,1)</f>
        <v/>
      </c>
      <c r="FN32">
        <f>FN31*IF(OR($C31=65,$G31=65),0,1)</f>
        <v/>
      </c>
      <c r="FO32">
        <f>FO31*IF(OR($C31=66,$G31=66),0,1)</f>
        <v/>
      </c>
      <c r="FP32">
        <f>FP31*IF(OR($C31=67,$G31=67),0,1)</f>
        <v/>
      </c>
      <c r="FQ32">
        <f>FQ31*IF(OR($C31=68,$G31=68),0,1)</f>
        <v/>
      </c>
      <c r="FR32">
        <f>FR31*IF(OR($C31=69,$G31=69),0,1)</f>
        <v/>
      </c>
      <c r="FS32">
        <f>FS31*IF(OR($C31=70,$G31=70),0,1)</f>
        <v/>
      </c>
      <c r="FT32">
        <f>FT31*IF(OR($C31=71,$G31=71),0,1)</f>
        <v/>
      </c>
      <c r="FU32">
        <f>FU31*IF(OR($C31=72,$G31=72),0,1)</f>
        <v/>
      </c>
      <c r="FV32">
        <f>FV31*IF(OR($C31=73,$G31=73),0,1)</f>
        <v/>
      </c>
      <c r="FW32">
        <f>FW31*IF(OR($C31=74,$G31=74),0,1)</f>
        <v/>
      </c>
      <c r="FX32">
        <f>FX31*IF(OR($C31=75,$G31=75),0,1)</f>
        <v/>
      </c>
      <c r="FY32">
        <f>FY31*IF(OR($C31=76,$G31=76),0,1)</f>
        <v/>
      </c>
      <c r="FZ32">
        <f>FZ31*IF(OR($C31=77,$G31=77),0,1)</f>
        <v/>
      </c>
      <c r="GA32">
        <f>GA31*IF(OR($C31=78,$G31=78),0,1)</f>
        <v/>
      </c>
      <c r="GB32">
        <f>GB31*IF(OR($C31=79,$G31=79),0,1)</f>
        <v/>
      </c>
      <c r="GC32">
        <f>GC31*IF(OR($C31=80,$G31=80),0,1)</f>
        <v/>
      </c>
      <c r="GD32">
        <f>GD31*IF(OR($C31=81,$G31=81),0,1)</f>
        <v/>
      </c>
      <c r="GE32">
        <f>GE31*IF(OR($C31=82,$G31=82),0,1)</f>
        <v/>
      </c>
      <c r="GF32">
        <f>GF31*IF(OR($C31=83,$G31=83),0,1)</f>
        <v/>
      </c>
      <c r="GG32">
        <f>GG31*IF(OR($C31=84,$G31=84),0,1)</f>
        <v/>
      </c>
      <c r="GH32">
        <f>GH31*IF(OR($C31=85,$G31=85),0,1)</f>
        <v/>
      </c>
      <c r="GI32">
        <f>GI31*IF(OR($C31=86,$G31=86),0,1)</f>
        <v/>
      </c>
      <c r="GJ32">
        <f>GJ31*IF(OR($C31=87,$G31=87),0,1)</f>
        <v/>
      </c>
      <c r="GK32">
        <f>GK31*IF(OR($C31=88,$G31=88),0,1)</f>
        <v/>
      </c>
      <c r="GL32">
        <f>GL31*IF(OR($C31=89,$G31=89),0,1)</f>
        <v/>
      </c>
      <c r="GM32">
        <f>GM31*IF(OR($C31=90,$G31=90),0,1)</f>
        <v/>
      </c>
      <c r="GN32">
        <f>GN31*IF(OR($C31=91,$G31=91),0,1)</f>
        <v/>
      </c>
      <c r="GO32">
        <f>GO31*IF(OR($C31=92,$G31=92),0,1)</f>
        <v/>
      </c>
      <c r="GP32">
        <f>GP31*IF(OR($C31=93,$G31=93),0,1)</f>
        <v/>
      </c>
      <c r="GQ32">
        <f>GQ31*IF(OR($C31=94,$G31=94),0,1)</f>
        <v/>
      </c>
      <c r="GR32">
        <f>GR31*IF(OR($C31=95,$G31=95),0,1)</f>
        <v/>
      </c>
      <c r="GS32">
        <f>GS31*IF(OR($C31=96,$G31=96),0,1)</f>
        <v/>
      </c>
      <c r="GT32">
        <f>GT31*IF(OR($C31=97,$G31=97),0,1)</f>
        <v/>
      </c>
      <c r="GU32">
        <f>GU31*IF(OR($C31=98,$G31=98),0,1)</f>
        <v/>
      </c>
      <c r="GV32">
        <f>GV31*IF(OR($C31=99,$G31=99),0,1)</f>
        <v/>
      </c>
      <c r="GW32">
        <f>GW31*IF(OR($C31=100,$G31=100),0,1)</f>
        <v/>
      </c>
      <c r="GX32">
        <f>GX31*IF(OR($C31=101,$G31=101),0,1)</f>
        <v/>
      </c>
      <c r="GY32">
        <f>GY31*IF(OR($C31=102,$G31=102),0,1)</f>
        <v/>
      </c>
      <c r="GZ32">
        <f>GZ31*IF(OR($C31=103,$G31=103),0,1)</f>
        <v/>
      </c>
      <c r="HA32">
        <f>HA31*IF(OR($C31=104,$G31=104),0,1)</f>
        <v/>
      </c>
      <c r="HB32">
        <f>HB31*IF(OR($C31=105,$G31=105),0,1)</f>
        <v/>
      </c>
      <c r="HC32">
        <f>HC31*IF(OR($C31=106,$G31=106),0,1)</f>
        <v/>
      </c>
      <c r="HD32">
        <f>HD31*IF(OR($C31=107,$G31=107),0,1)</f>
        <v/>
      </c>
      <c r="HE32">
        <f>HE31*IF(OR($C31=108,$G31=108),0,1)</f>
        <v/>
      </c>
      <c r="HF32">
        <f>HF31*IF(OR($C31=109,$G31=109),0,1)</f>
        <v/>
      </c>
      <c r="HG32">
        <f>HG31*IF(OR($C31=110,$G31=110),0,1)</f>
        <v/>
      </c>
      <c r="HH32">
        <f>HH31*IF(OR($C31=111,$G31=111),0,1)</f>
        <v/>
      </c>
      <c r="HI32">
        <f>HI31*IF(OR($C31=112,$G31=112),0,1)</f>
        <v/>
      </c>
      <c r="HJ32">
        <f>HJ31*IF(OR($C31=113,$G31=113),0,1)</f>
        <v/>
      </c>
      <c r="HK32">
        <f>HK31*IF(OR($C31=114,$G31=114),0,1)</f>
        <v/>
      </c>
      <c r="HL32">
        <f>HL31*IF(OR($C31=115,$G31=115),0,1)</f>
        <v/>
      </c>
      <c r="HM32">
        <f>HM31*IF(OR($C31=116,$G31=116),0,1)</f>
        <v/>
      </c>
      <c r="HN32">
        <f>HN31*IF(OR($C31=117,$G31=117),0,1)</f>
        <v/>
      </c>
      <c r="HO32">
        <f>HO31*IF(OR($C31=118,$G31=118),0,1)</f>
        <v/>
      </c>
      <c r="HP32">
        <f>HP31*IF(OR($C31=119,$G31=119),0,1)</f>
        <v/>
      </c>
      <c r="HQ32">
        <f>HQ31*IF(OR($C31=120,$G31=120),0,1)</f>
        <v/>
      </c>
      <c r="HR32">
        <f>HR31*IF(OR($C31=121,$G31=121),0,1)</f>
        <v/>
      </c>
      <c r="HS32">
        <f>HS31*IF(OR($C31=122,$G31=122),0,1)</f>
        <v/>
      </c>
      <c r="HT32">
        <f>HT31*IF(OR($C31=123,$G31=123),0,1)</f>
        <v/>
      </c>
      <c r="HU32">
        <f>HU31*IF(OR($C31=124,$G31=124),0,1)</f>
        <v/>
      </c>
      <c r="HV32">
        <f>HV31*IF(OR($C31=125,$G31=125),0,1)</f>
        <v/>
      </c>
      <c r="HW32">
        <f>HW31*IF(OR($C31=126,$G31=126),0,1)</f>
        <v/>
      </c>
      <c r="HX32">
        <f>HX31*IF(OR($C31=127,$G31=127),0,1)</f>
        <v/>
      </c>
      <c r="HY32">
        <f>HY31*IF(OR($C31=128,$G31=128),0,1)</f>
        <v/>
      </c>
      <c r="HZ32">
        <f>HZ31*IF(OR($C31=129,$G31=129),0,1)</f>
        <v/>
      </c>
      <c r="IA32">
        <f>IA31*IF(OR($C31=130,$G31=130),0,1)</f>
        <v/>
      </c>
      <c r="IB32">
        <f>IB31*IF(OR($C31=131,$G31=131),0,1)</f>
        <v/>
      </c>
      <c r="IC32">
        <f>IC31*IF(OR($C31=132,$G31=132),0,1)</f>
        <v/>
      </c>
      <c r="ID32">
        <f>ID31*IF(OR($C31=133,$G31=133),0,1)</f>
        <v/>
      </c>
      <c r="IE32">
        <f>IE31*IF(OR($C31=134,$G31=134),0,1)</f>
        <v/>
      </c>
      <c r="IF32">
        <f>IF31*IF(OR($C31=135,$G31=135),0,1)</f>
        <v/>
      </c>
      <c r="IG32">
        <f>IG31*IF(OR($C31=136,$G31=136),0,1)</f>
        <v/>
      </c>
      <c r="IH32">
        <f>IH31*IF(OR($C31=137,$G31=137),0,1)</f>
        <v/>
      </c>
      <c r="II32">
        <f>II31*IF(OR($C31=138,$G31=138),0,1)</f>
        <v/>
      </c>
      <c r="IJ32">
        <f>IJ31*IF(OR($C31=139,$G31=139),0,1)</f>
        <v/>
      </c>
      <c r="IK32">
        <f>IK31*IF(OR($C31=140,$G31=140),0,1)</f>
        <v/>
      </c>
      <c r="IL32">
        <f>IL31*IF(OR($C31=141,$G31=141),0,1)</f>
        <v/>
      </c>
      <c r="IM32">
        <f>IM31*IF(OR($C31=142,$G31=142),0,1)</f>
        <v/>
      </c>
      <c r="IN32">
        <f>IN31*IF(OR($C31=143,$G31=143),0,1)</f>
        <v/>
      </c>
      <c r="IO32">
        <f>IO31*IF(OR($C31=144,$G31=144),0,1)</f>
        <v/>
      </c>
      <c r="IQ32">
        <f>IF('計算A'!D$106=1,DC32,1)</f>
        <v/>
      </c>
      <c r="IR32">
        <f>IF('計算A'!E$106=1,DD32,1)</f>
        <v/>
      </c>
      <c r="IS32">
        <f>IF('計算A'!F$106=1,DE32,1)</f>
        <v/>
      </c>
      <c r="IT32">
        <f>IF('計算A'!G$106=1,DF32,1)</f>
        <v/>
      </c>
      <c r="IU32">
        <f>IF('計算A'!H$106=1,DG32,1)</f>
        <v/>
      </c>
      <c r="IV32">
        <f>IF('計算A'!I$106=1,DH32,1)</f>
        <v/>
      </c>
      <c r="IW32">
        <f>IF('計算A'!J$106=1,DI32,1)</f>
        <v/>
      </c>
      <c r="IX32">
        <f>IF('計算A'!K$106=1,DJ32,1)</f>
        <v/>
      </c>
      <c r="IY32">
        <f>IF('計算A'!L$106=1,DK32,1)</f>
        <v/>
      </c>
      <c r="IZ32">
        <f>IF('計算A'!M$106=1,DL32,1)</f>
        <v/>
      </c>
      <c r="JA32">
        <f>IF('計算A'!N$106=1,DM32,1)</f>
        <v/>
      </c>
      <c r="JB32">
        <f>IF('計算A'!O$106=1,DN32,1)</f>
        <v/>
      </c>
      <c r="JC32">
        <f>IF('計算A'!P$106=1,DO32,1)</f>
        <v/>
      </c>
      <c r="JD32">
        <f>IF('計算A'!Q$106=1,DP32,1)</f>
        <v/>
      </c>
      <c r="JE32">
        <f>IF('計算A'!R$106=1,DQ32,1)</f>
        <v/>
      </c>
      <c r="JF32">
        <f>IF('計算A'!S$106=1,DR32,1)</f>
        <v/>
      </c>
      <c r="JG32">
        <f>IF('計算A'!T$106=1,DS32,1)</f>
        <v/>
      </c>
      <c r="JH32">
        <f>IF('計算A'!U$106=1,DT32,1)</f>
        <v/>
      </c>
      <c r="JI32">
        <f>IF('計算A'!V$106=1,DU32,1)</f>
        <v/>
      </c>
      <c r="JJ32">
        <f>IF('計算A'!W$106=1,DV32,1)</f>
        <v/>
      </c>
      <c r="JK32">
        <f>IF('計算A'!X$106=1,DW32,1)</f>
        <v/>
      </c>
      <c r="JL32">
        <f>IF('計算A'!Y$106=1,DX32,1)</f>
        <v/>
      </c>
      <c r="JM32">
        <f>IF('計算A'!Z$106=1,DY32,1)</f>
        <v/>
      </c>
      <c r="JN32">
        <f>IF('計算A'!AA$106=1,DZ32,1)</f>
        <v/>
      </c>
      <c r="JO32">
        <f>IF('計算A'!AB$106=1,EA32,1)</f>
        <v/>
      </c>
      <c r="JP32">
        <f>IF('計算A'!AC$106=1,EB32,1)</f>
        <v/>
      </c>
      <c r="JQ32">
        <f>IF('計算A'!AD$106=1,EC32,1)</f>
        <v/>
      </c>
      <c r="JR32">
        <f>IF('計算A'!AE$106=1,ED32,1)</f>
        <v/>
      </c>
      <c r="JS32">
        <f>IF('計算A'!AF$106=1,EE32,1)</f>
        <v/>
      </c>
      <c r="JT32">
        <f>IF('計算A'!AG$106=1,EF32,1)</f>
        <v/>
      </c>
      <c r="JU32">
        <f>IF('計算A'!AH$106=1,EG32,1)</f>
        <v/>
      </c>
      <c r="JV32">
        <f>IF('計算A'!AI$106=1,EH32,1)</f>
        <v/>
      </c>
      <c r="JW32">
        <f>IF('計算A'!AJ$106=1,EI32,1)</f>
        <v/>
      </c>
      <c r="JX32">
        <f>IF('計算A'!AK$106=1,EJ32,1)</f>
        <v/>
      </c>
      <c r="JY32">
        <f>IF('計算A'!AL$106=1,EK32,1)</f>
        <v/>
      </c>
      <c r="JZ32">
        <f>IF('計算A'!AM$106=1,EL32,1)</f>
        <v/>
      </c>
      <c r="KA32">
        <f>IF('計算A'!AN$106=1,EM32,1)</f>
        <v/>
      </c>
      <c r="KB32">
        <f>IF('計算A'!AO$106=1,EN32,1)</f>
        <v/>
      </c>
      <c r="KC32">
        <f>IF('計算A'!AP$106=1,EO32,1)</f>
        <v/>
      </c>
      <c r="KD32">
        <f>IF('計算A'!AQ$106=1,EP32,1)</f>
        <v/>
      </c>
      <c r="KE32">
        <f>IF('計算A'!AR$106=1,EQ32,1)</f>
        <v/>
      </c>
      <c r="KF32">
        <f>IF('計算A'!AS$106=1,ER32,1)</f>
        <v/>
      </c>
      <c r="KG32">
        <f>IF('計算A'!AT$106=1,ES32,1)</f>
        <v/>
      </c>
      <c r="KH32">
        <f>IF('計算A'!AU$106=1,ET32,1)</f>
        <v/>
      </c>
      <c r="KI32">
        <f>IF('計算A'!AV$106=1,EU32,1)</f>
        <v/>
      </c>
      <c r="KJ32">
        <f>IF('計算A'!AW$106=1,EV32,1)</f>
        <v/>
      </c>
      <c r="KK32">
        <f>IF('計算A'!AX$106=1,EW32,1)</f>
        <v/>
      </c>
      <c r="KL32">
        <f>IF('計算A'!AY$106=1,EX32,1)</f>
        <v/>
      </c>
      <c r="KM32">
        <f>IF('計算A'!AZ$106=1,EY32,1)</f>
        <v/>
      </c>
      <c r="KN32">
        <f>IF('計算A'!BA$106=1,EZ32,1)</f>
        <v/>
      </c>
      <c r="KO32">
        <f>IF('計算A'!BB$106=1,FA32,1)</f>
        <v/>
      </c>
      <c r="KP32">
        <f>IF('計算A'!BC$106=1,FB32,1)</f>
        <v/>
      </c>
      <c r="KQ32">
        <f>IF('計算A'!BD$106=1,FC32,1)</f>
        <v/>
      </c>
      <c r="KR32">
        <f>IF('計算A'!BE$106=1,FD32,1)</f>
        <v/>
      </c>
      <c r="KS32">
        <f>IF('計算A'!BF$106=1,FE32,1)</f>
        <v/>
      </c>
      <c r="KT32">
        <f>IF('計算A'!BG$106=1,FF32,1)</f>
        <v/>
      </c>
      <c r="KU32">
        <f>IF('計算A'!BH$106=1,FG32,1)</f>
        <v/>
      </c>
      <c r="KV32">
        <f>IF('計算A'!BI$106=1,FH32,1)</f>
        <v/>
      </c>
      <c r="KW32">
        <f>IF('計算A'!BJ$106=1,FI32,1)</f>
        <v/>
      </c>
      <c r="KX32">
        <f>IF('計算A'!BK$106=1,FJ32,1)</f>
        <v/>
      </c>
      <c r="KY32">
        <f>IF('計算A'!BL$106=1,FK32,1)</f>
        <v/>
      </c>
      <c r="KZ32">
        <f>IF('計算A'!BM$106=1,FL32,1)</f>
        <v/>
      </c>
      <c r="LA32">
        <f>IF('計算A'!BN$106=1,FM32,1)</f>
        <v/>
      </c>
      <c r="LB32">
        <f>IF('計算A'!BO$106=1,FN32,1)</f>
        <v/>
      </c>
      <c r="LC32">
        <f>IF('計算A'!BP$106=1,FO32,1)</f>
        <v/>
      </c>
      <c r="LD32">
        <f>IF('計算A'!BQ$106=1,FP32,1)</f>
        <v/>
      </c>
      <c r="LE32">
        <f>IF('計算A'!BR$106=1,FQ32,1)</f>
        <v/>
      </c>
      <c r="LF32">
        <f>IF('計算A'!BS$106=1,FR32,1)</f>
        <v/>
      </c>
      <c r="LG32">
        <f>IF('計算A'!BT$106=1,FS32,1)</f>
        <v/>
      </c>
      <c r="LH32">
        <f>IF('計算A'!BU$106=1,FT32,1)</f>
        <v/>
      </c>
      <c r="LI32">
        <f>IF('計算A'!BV$106=1,FU32,1)</f>
        <v/>
      </c>
      <c r="LJ32">
        <f>IF('計算A'!BW$106=1,FV32,1)</f>
        <v/>
      </c>
      <c r="LK32">
        <f>IF('計算A'!BX$106=1,FW32,1)</f>
        <v/>
      </c>
      <c r="LL32">
        <f>IF('計算A'!BY$106=1,FX32,1)</f>
        <v/>
      </c>
      <c r="LM32">
        <f>IF('計算A'!BZ$106=1,FY32,1)</f>
        <v/>
      </c>
      <c r="LN32">
        <f>IF('計算A'!CA$106=1,FZ32,1)</f>
        <v/>
      </c>
      <c r="LO32">
        <f>IF('計算A'!CB$106=1,GA32,1)</f>
        <v/>
      </c>
      <c r="LP32">
        <f>IF('計算A'!CC$106=1,GB32,1)</f>
        <v/>
      </c>
      <c r="LQ32">
        <f>IF('計算A'!CD$106=1,GC32,1)</f>
        <v/>
      </c>
      <c r="LR32">
        <f>IF('計算A'!CE$106=1,GD32,1)</f>
        <v/>
      </c>
      <c r="LS32">
        <f>IF('計算A'!CF$106=1,GE32,1)</f>
        <v/>
      </c>
      <c r="LT32">
        <f>IF('計算A'!CG$106=1,GF32,1)</f>
        <v/>
      </c>
      <c r="LU32">
        <f>IF('計算A'!CH$106=1,GG32,1)</f>
        <v/>
      </c>
      <c r="LV32">
        <f>IF('計算A'!CI$106=1,GH32,1)</f>
        <v/>
      </c>
      <c r="LW32">
        <f>IF('計算A'!CJ$106=1,GI32,1)</f>
        <v/>
      </c>
      <c r="LX32">
        <f>IF('計算A'!CK$106=1,GJ32,1)</f>
        <v/>
      </c>
      <c r="LY32">
        <f>IF('計算A'!CL$106=1,GK32,1)</f>
        <v/>
      </c>
      <c r="LZ32">
        <f>IF('計算A'!CM$106=1,GL32,1)</f>
        <v/>
      </c>
      <c r="MA32">
        <f>IF('計算A'!CN$106=1,GM32,1)</f>
        <v/>
      </c>
      <c r="MB32">
        <f>IF('計算A'!CO$106=1,GN32,1)</f>
        <v/>
      </c>
      <c r="MC32">
        <f>IF('計算A'!CP$106=1,GO32,1)</f>
        <v/>
      </c>
      <c r="MD32">
        <f>IF('計算A'!CQ$106=1,GP32,1)</f>
        <v/>
      </c>
      <c r="ME32">
        <f>IF('計算A'!CR$106=1,GQ32,1)</f>
        <v/>
      </c>
      <c r="MF32">
        <f>IF('計算A'!CS$106=1,GR32,1)</f>
        <v/>
      </c>
      <c r="MG32">
        <f>IF('計算A'!CT$106=1,GS32,1)</f>
        <v/>
      </c>
      <c r="MH32">
        <f>IF('計算A'!CU$106=1,GT32,1)</f>
        <v/>
      </c>
      <c r="MI32">
        <f>IF('計算A'!CV$106=1,GU32,1)</f>
        <v/>
      </c>
      <c r="MJ32">
        <f>IF('計算A'!CW$106=1,GV32,1)</f>
        <v/>
      </c>
      <c r="MK32">
        <f>IF('計算A'!CX$106=1,GW32,1)</f>
        <v/>
      </c>
      <c r="ML32">
        <f>IF('計算A'!CY$106=1,GX32,1)</f>
        <v/>
      </c>
      <c r="MM32">
        <f>IF('計算A'!CZ$106=1,GY32,1)</f>
        <v/>
      </c>
      <c r="MN32">
        <f>IF('計算A'!DA$106=1,GZ32,1)</f>
        <v/>
      </c>
      <c r="MO32">
        <f>IF('計算A'!DB$106=1,HA32,1)</f>
        <v/>
      </c>
      <c r="MP32">
        <f>IF('計算A'!DC$106=1,HB32,1)</f>
        <v/>
      </c>
      <c r="MQ32">
        <f>IF('計算A'!DD$106=1,HC32,1)</f>
        <v/>
      </c>
      <c r="MR32">
        <f>IF('計算A'!DE$106=1,HD32,1)</f>
        <v/>
      </c>
      <c r="MS32">
        <f>IF('計算A'!DF$106=1,HE32,1)</f>
        <v/>
      </c>
      <c r="MT32">
        <f>IF('計算A'!DG$106=1,HF32,1)</f>
        <v/>
      </c>
      <c r="MU32">
        <f>IF('計算A'!DH$106=1,HG32,1)</f>
        <v/>
      </c>
      <c r="MV32">
        <f>IF('計算A'!DI$106=1,HH32,1)</f>
        <v/>
      </c>
      <c r="MW32">
        <f>IF('計算A'!DJ$106=1,HI32,1)</f>
        <v/>
      </c>
      <c r="MX32">
        <f>IF('計算A'!DK$106=1,HJ32,1)</f>
        <v/>
      </c>
      <c r="MY32">
        <f>IF('計算A'!DL$106=1,HK32,1)</f>
        <v/>
      </c>
      <c r="MZ32">
        <f>IF('計算A'!DM$106=1,HL32,1)</f>
        <v/>
      </c>
      <c r="NA32">
        <f>IF('計算A'!DN$106=1,HM32,1)</f>
        <v/>
      </c>
      <c r="NB32">
        <f>IF('計算A'!DO$106=1,HN32,1)</f>
        <v/>
      </c>
      <c r="NC32">
        <f>IF('計算A'!DP$106=1,HO32,1)</f>
        <v/>
      </c>
      <c r="ND32">
        <f>IF('計算A'!DQ$106=1,HP32,1)</f>
        <v/>
      </c>
      <c r="NE32">
        <f>IF('計算A'!DR$106=1,HQ32,1)</f>
        <v/>
      </c>
      <c r="NF32">
        <f>IF('計算A'!DS$106=1,HR32,1)</f>
        <v/>
      </c>
      <c r="NG32">
        <f>IF('計算A'!DT$106=1,HS32,1)</f>
        <v/>
      </c>
      <c r="NH32">
        <f>IF('計算A'!DU$106=1,HT32,1)</f>
        <v/>
      </c>
      <c r="NI32">
        <f>IF('計算A'!DV$106=1,HU32,1)</f>
        <v/>
      </c>
      <c r="NJ32">
        <f>IF('計算A'!DW$106=1,HV32,1)</f>
        <v/>
      </c>
      <c r="NK32">
        <f>IF('計算A'!DX$106=1,HW32,1)</f>
        <v/>
      </c>
      <c r="NL32">
        <f>IF('計算A'!DY$106=1,HX32,1)</f>
        <v/>
      </c>
      <c r="NM32">
        <f>IF('計算A'!DZ$106=1,HY32,1)</f>
        <v/>
      </c>
      <c r="NN32">
        <f>IF('計算A'!EA$106=1,HZ32,1)</f>
        <v/>
      </c>
      <c r="NO32">
        <f>IF('計算A'!EB$106=1,IA32,1)</f>
        <v/>
      </c>
      <c r="NP32">
        <f>IF('計算A'!EC$106=1,IB32,1)</f>
        <v/>
      </c>
      <c r="NQ32">
        <f>IF('計算A'!ED$106=1,IC32,1)</f>
        <v/>
      </c>
      <c r="NR32">
        <f>IF('計算A'!EE$106=1,ID32,1)</f>
        <v/>
      </c>
      <c r="NS32">
        <f>IF('計算A'!EF$106=1,IE32,1)</f>
        <v/>
      </c>
      <c r="NT32">
        <f>IF('計算A'!EG$106=1,IF32,1)</f>
        <v/>
      </c>
      <c r="NU32">
        <f>IF('計算A'!EH$106=1,IG32,1)</f>
        <v/>
      </c>
      <c r="NV32">
        <f>IF('計算A'!EI$106=1,IH32,1)</f>
        <v/>
      </c>
      <c r="NW32">
        <f>IF('計算A'!EJ$106=1,II32,1)</f>
        <v/>
      </c>
      <c r="NX32">
        <f>IF('計算A'!EK$106=1,IJ32,1)</f>
        <v/>
      </c>
      <c r="NY32">
        <f>IF('計算A'!EL$106=1,IK32,1)</f>
        <v/>
      </c>
      <c r="NZ32">
        <f>IF('計算A'!EM$106=1,IL32,1)</f>
        <v/>
      </c>
      <c r="OA32">
        <f>IF('計算A'!EN$106=1,IM32,1)</f>
        <v/>
      </c>
      <c r="OB32">
        <f>IF('計算A'!EO$106=1,IN32,1)</f>
        <v/>
      </c>
      <c r="OC32">
        <f>IF('計算A'!EP$106=1,IO32,1)</f>
        <v/>
      </c>
      <c r="OD32" t="n">
        <v>1</v>
      </c>
      <c r="OF32">
        <f>IF($B32=0,1000000,IF(INDEX('計算A'!$D$60:$EQ$104,$B32,1)*DB32=1,IF(AND($E32=2,IQ32=0),1000000,IF($I32&gt;0,IF(1=$J32,IF(OR(AND(1=$I32+1,OR($K32&lt;&gt;'計算A'!$A$3,'計算A'!$A$4=0)),AND(1=$I32-1,OR(1&lt;&gt;'計算A'!$A$3,'計算A'!$A$4=0))),0,IF(1=$K32,200000,ABS(1-$K32)*100)),100000+ABS(1-$J32)*1000+10)+'計算A'!D$5*50+IF(AND($E32=1,IQ32=0),25,0),IF($F32&gt;0,INDEX('計算A'!D$110:D$114,$F32+1)+IF(AND($E32=1,IQ32=0),1000,0),MIN(TU32,20)*400+(IF('計算A'!D$106=1,1-DC32,0))*150+11+'計算A'!D$5*100000+IF(AND($E32=1,IQ32=0),50000,0))+IF($H32=1,(IF('計算A'!D$117=1,INDEX('計算A'!E$10:E$54,$B32),0))*4000,0)-IF(AND($L32=1,'計算A'!D$117=1,DC32=0),2000,0))),1000000))</f>
        <v/>
      </c>
      <c r="OG32">
        <f>IF($B32=0,1000000,IF(INDEX('計算A'!$D$60:$EQ$104,$B32,2)*DC32=1,IF(AND($E32=2,IR32=0),1000000,IF($I32&gt;0,IF(1=$J32,IF(OR(AND(2=$I32+1,OR($K32&lt;&gt;'計算A'!$A$3,'計算A'!$A$4=0)),AND(2=$I32-1,OR(2&lt;&gt;'計算A'!$A$3,'計算A'!$A$4=0))),0,IF(2=$K32,200000,ABS(2-$K32)*100)),100000+ABS(1-$J32)*1000+20)+'計算A'!E$5*50+IF(AND($E32=1,IR32=0),25,0),IF($F32&gt;0,INDEX('計算A'!E$110:E$114,$F32+1)+IF(AND($E32=1,IR32=0),1000,0),MIN(TU32,20)*400+(IF('計算A'!D$106=1,1-DB32,0)+IF('計算A'!E$106=1,1-DD32,0))*150+21+'計算A'!E$5*100000+IF(AND($E32=1,IR32=0),50000,0))+IF($H32=1,(IF('計算A'!D$117=1,INDEX('計算A'!D$10:D$54,$B32),0)+IF('計算A'!E$117=1,INDEX('計算A'!F$10:F$54,$B32),0))*4000,0)-IF(AND('計算A'!D$117=1,UB32&gt;0),2000,0)-IF(AND($L32=1,'計算A'!E$117=1,DD32=0),2000,0))),1000000))</f>
        <v/>
      </c>
      <c r="OH32">
        <f>IF($B32=0,1000000,IF(INDEX('計算A'!$D$60:$EQ$104,$B32,3)*DD32=1,IF(AND($E32=2,IS32=0),1000000,IF($I32&gt;0,IF(1=$J32,IF(OR(AND(3=$I32+1,OR($K32&lt;&gt;'計算A'!$A$3,'計算A'!$A$4=0)),AND(3=$I32-1,OR(3&lt;&gt;'計算A'!$A$3,'計算A'!$A$4=0))),0,IF(3=$K32,200000,ABS(3-$K32)*100)),100000+ABS(1-$J32)*1000+30)+'計算A'!F$5*50+IF(AND($E32=1,IS32=0),25,0),IF($F32&gt;0,INDEX('計算A'!F$110:F$114,$F32+1)+IF(AND($E32=1,IS32=0),1000,0),MIN(TU32,20)*400+(IF('計算A'!E$106=1,1-DC32,0)+IF('計算A'!F$106=1,1-DE32,0))*150+31+'計算A'!F$5*100000+IF(AND($E32=1,IS32=0),50000,0))+IF($H32=1,(IF('計算A'!E$117=1,INDEX('計算A'!E$10:E$54,$B32),0)+IF('計算A'!F$117=1,INDEX('計算A'!G$10:G$54,$B32),0))*4000,0)-IF(AND('計算A'!E$117=1,UC32&gt;0),2000,0)-IF(AND($L32=1,'計算A'!F$117=1,DE32=0),2000,0))),1000000))</f>
        <v/>
      </c>
      <c r="OI32">
        <f>IF($B32=0,1000000,IF(INDEX('計算A'!$D$60:$EQ$104,$B32,4)*DE32=1,IF(AND($E32=2,IT32=0),1000000,IF($I32&gt;0,IF(1=$J32,IF(OR(AND(4=$I32+1,OR($K32&lt;&gt;'計算A'!$A$3,'計算A'!$A$4=0)),AND(4=$I32-1,OR(4&lt;&gt;'計算A'!$A$3,'計算A'!$A$4=0))),0,IF(4=$K32,200000,ABS(4-$K32)*100)),100000+ABS(1-$J32)*1000+40)+'計算A'!G$5*50+IF(AND($E32=1,IT32=0),25,0),IF($F32&gt;0,INDEX('計算A'!G$110:G$114,$F32+1)+IF(AND($E32=1,IT32=0),1000,0),MIN(TU32,20)*400+(IF('計算A'!F$106=1,1-DD32,0)+IF('計算A'!G$106=1,1-DF32,0))*150+41+'計算A'!G$5*100000+IF(AND($E32=1,IT32=0),50000,0))+IF($H32=1,(IF('計算A'!F$117=1,INDEX('計算A'!F$10:F$54,$B32),0)+IF('計算A'!G$117=1,INDEX('計算A'!H$10:H$54,$B32),0))*4000,0)-IF(AND('計算A'!F$117=1,UD32&gt;0),2000,0)-IF(AND($L32=1,'計算A'!G$117=1,DF32=0),2000,0))),1000000))</f>
        <v/>
      </c>
      <c r="OJ32">
        <f>IF($B32=0,1000000,IF(INDEX('計算A'!$D$60:$EQ$104,$B32,5)*DF32=1,IF(AND($E32=2,IU32=0),1000000,IF($I32&gt;0,IF(1=$J32,IF(OR(AND(5=$I32+1,OR($K32&lt;&gt;'計算A'!$A$3,'計算A'!$A$4=0)),AND(5=$I32-1,OR(5&lt;&gt;'計算A'!$A$3,'計算A'!$A$4=0))),0,IF(5=$K32,200000,ABS(5-$K32)*100)),100000+ABS(1-$J32)*1000+50)+'計算A'!H$5*50+IF(AND($E32=1,IU32=0),25,0),IF($F32&gt;0,INDEX('計算A'!H$110:H$114,$F32+1)+IF(AND($E32=1,IU32=0),1000,0),MIN(TU32,20)*400+(IF('計算A'!G$106=1,1-DE32,0)+IF('計算A'!H$106=1,1-DG32,0))*150+51+'計算A'!H$5*100000+IF(AND($E32=1,IU32=0),50000,0))+IF($H32=1,(IF('計算A'!G$117=1,INDEX('計算A'!G$10:G$54,$B32),0)+IF('計算A'!H$117=1,INDEX('計算A'!I$10:I$54,$B32),0))*4000,0)-IF(AND('計算A'!G$117=1,UE32&gt;0),2000,0)-IF(AND($L32=1,'計算A'!H$117=1,DG32=0),2000,0))),1000000))</f>
        <v/>
      </c>
      <c r="OK32">
        <f>IF($B32=0,1000000,IF(INDEX('計算A'!$D$60:$EQ$104,$B32,6)*DG32=1,IF(AND($E32=2,IV32=0),1000000,IF($I32&gt;0,IF(1=$J32,IF(OR(AND(6=$I32+1,OR($K32&lt;&gt;'計算A'!$A$3,'計算A'!$A$4=0)),AND(6=$I32-1,OR(6&lt;&gt;'計算A'!$A$3,'計算A'!$A$4=0))),0,IF(6=$K32,200000,ABS(6-$K32)*100)),100000+ABS(1-$J32)*1000+60)+'計算A'!I$5*50+IF(AND($E32=1,IV32=0),25,0),IF($F32&gt;0,INDEX('計算A'!I$110:I$114,$F32+1)+IF(AND($E32=1,IV32=0),1000,0),MIN(TU32,20)*400+(IF('計算A'!H$106=1,1-DF32,0)+IF('計算A'!I$106=1,1-DH32,0))*150+61+'計算A'!I$5*100000+IF(AND($E32=1,IV32=0),50000,0))+IF($H32=1,(IF('計算A'!H$117=1,INDEX('計算A'!H$10:H$54,$B32),0)+IF('計算A'!I$117=1,INDEX('計算A'!J$10:J$54,$B32),0))*4000,0)-IF(AND('計算A'!H$117=1,UF32&gt;0),2000,0)-IF(AND($L32=1,'計算A'!I$117=1,DH32=0),2000,0))),1000000))</f>
        <v/>
      </c>
      <c r="OL32">
        <f>IF($B32=0,1000000,IF(INDEX('計算A'!$D$60:$EQ$104,$B32,7)*DH32=1,IF(AND($E32=2,IW32=0),1000000,IF($I32&gt;0,IF(1=$J32,IF(OR(AND(7=$I32+1,OR($K32&lt;&gt;'計算A'!$A$3,'計算A'!$A$4=0)),AND(7=$I32-1,OR(7&lt;&gt;'計算A'!$A$3,'計算A'!$A$4=0))),0,IF(7=$K32,200000,ABS(7-$K32)*100)),100000+ABS(1-$J32)*1000+70)+'計算A'!J$5*50+IF(AND($E32=1,IW32=0),25,0),IF($F32&gt;0,INDEX('計算A'!J$110:J$114,$F32+1)+IF(AND($E32=1,IW32=0),1000,0),MIN(TU32,20)*400+(IF('計算A'!I$106=1,1-DG32,0)+IF('計算A'!J$106=1,1-DI32,0))*150+71+'計算A'!J$5*100000+IF(AND($E32=1,IW32=0),50000,0))+IF($H32=1,(IF('計算A'!I$117=1,INDEX('計算A'!I$10:I$54,$B32),0)+IF('計算A'!J$117=1,INDEX('計算A'!K$10:K$54,$B32),0))*4000,0)-IF(AND('計算A'!I$117=1,UG32&gt;0),2000,0)-IF(AND($L32=1,'計算A'!J$117=1,DI32=0),2000,0))),1000000))</f>
        <v/>
      </c>
      <c r="OM32">
        <f>IF($B32=0,1000000,IF(INDEX('計算A'!$D$60:$EQ$104,$B32,8)*DI32=1,IF(AND($E32=2,IX32=0),1000000,IF($I32&gt;0,IF(1=$J32,IF(OR(AND(8=$I32+1,OR($K32&lt;&gt;'計算A'!$A$3,'計算A'!$A$4=0)),AND(8=$I32-1,OR(8&lt;&gt;'計算A'!$A$3,'計算A'!$A$4=0))),0,IF(8=$K32,200000,ABS(8-$K32)*100)),100000+ABS(1-$J32)*1000+80)+'計算A'!K$5*50+IF(AND($E32=1,IX32=0),25,0),IF($F32&gt;0,INDEX('計算A'!K$110:K$114,$F32+1)+IF(AND($E32=1,IX32=0),1000,0),MIN(TU32,20)*400+(IF('計算A'!J$106=1,1-DH32,0)+IF('計算A'!K$106=1,1-DJ32,0))*150+81+'計算A'!K$5*100000+IF(AND($E32=1,IX32=0),50000,0))+IF($H32=1,(IF('計算A'!J$117=1,INDEX('計算A'!J$10:J$54,$B32),0)+IF('計算A'!K$117=1,INDEX('計算A'!L$10:L$54,$B32),0))*4000,0)-IF(AND('計算A'!J$117=1,UH32&gt;0),2000,0)-IF(AND($L32=1,'計算A'!K$117=1,DJ32=0),2000,0))),1000000))</f>
        <v/>
      </c>
      <c r="ON32">
        <f>IF($B32=0,1000000,IF(INDEX('計算A'!$D$60:$EQ$104,$B32,9)*DJ32=1,IF(AND($E32=2,IY32=0),1000000,IF($I32&gt;0,IF(1=$J32,IF(OR(AND(9=$I32+1,OR($K32&lt;&gt;'計算A'!$A$3,'計算A'!$A$4=0)),AND(9=$I32-1,OR(9&lt;&gt;'計算A'!$A$3,'計算A'!$A$4=0))),0,IF(9=$K32,200000,ABS(9-$K32)*100)),100000+ABS(1-$J32)*1000+90)+'計算A'!L$5*50+IF(AND($E32=1,IY32=0),25,0),IF($F32&gt;0,INDEX('計算A'!L$110:L$114,$F32+1)+IF(AND($E32=1,IY32=0),1000,0),MIN(TU32,20)*400+(IF('計算A'!K$106=1,1-DI32,0)+IF('計算A'!L$106=1,1-DK32,0))*150+91+'計算A'!L$5*100000+IF(AND($E32=1,IY32=0),50000,0))+IF($H32=1,(IF('計算A'!K$117=1,INDEX('計算A'!K$10:K$54,$B32),0)+IF('計算A'!L$117=1,INDEX('計算A'!M$10:M$54,$B32),0))*4000,0)-IF(AND('計算A'!K$117=1,UI32&gt;0),2000,0)-IF(AND($L32=1,'計算A'!L$117=1,DK32=0),2000,0))),1000000))</f>
        <v/>
      </c>
      <c r="OO32">
        <f>IF($B32=0,1000000,IF(INDEX('計算A'!$D$60:$EQ$104,$B32,10)*DK32=1,IF(AND($E32=2,IZ32=0),1000000,IF($I32&gt;0,IF(1=$J32,IF(OR(AND(10=$I32+1,OR($K32&lt;&gt;'計算A'!$A$3,'計算A'!$A$4=0)),AND(10=$I32-1,OR(10&lt;&gt;'計算A'!$A$3,'計算A'!$A$4=0))),0,IF(10=$K32,200000,ABS(10-$K32)*100)),100000+ABS(1-$J32)*1000+100)+'計算A'!M$5*50+IF(AND($E32=1,IZ32=0),25,0),IF($F32&gt;0,INDEX('計算A'!M$110:M$114,$F32+1)+IF(AND($E32=1,IZ32=0),1000,0),MIN(TU32,20)*400+(IF('計算A'!L$106=1,1-DJ32,0)+IF('計算A'!M$106=1,1-DL32,0))*150+101+'計算A'!M$5*100000+IF(AND($E32=1,IZ32=0),50000,0))+IF($H32=1,(IF('計算A'!L$117=1,INDEX('計算A'!L$10:L$54,$B32),0)+IF('計算A'!M$117=1,INDEX('計算A'!N$10:N$54,$B32),0))*4000,0)-IF(AND('計算A'!L$117=1,UJ32&gt;0),2000,0)-IF(AND($L32=1,'計算A'!M$117=1,DL32=0),2000,0))),1000000))</f>
        <v/>
      </c>
      <c r="OP32">
        <f>IF($B32=0,1000000,IF(INDEX('計算A'!$D$60:$EQ$104,$B32,11)*DL32=1,IF(AND($E32=2,JA32=0),1000000,IF($I32&gt;0,IF(1=$J32,IF(OR(AND(11=$I32+1,OR($K32&lt;&gt;'計算A'!$A$3,'計算A'!$A$4=0)),AND(11=$I32-1,OR(11&lt;&gt;'計算A'!$A$3,'計算A'!$A$4=0))),0,IF(11=$K32,200000,ABS(11-$K32)*100)),100000+ABS(1-$J32)*1000+110)+'計算A'!N$5*50+IF(AND($E32=1,JA32=0),25,0),IF($F32&gt;0,INDEX('計算A'!N$110:N$114,$F32+1)+IF(AND($E32=1,JA32=0),1000,0),MIN(TU32,20)*400+(IF('計算A'!M$106=1,1-DK32,0)+IF('計算A'!N$106=1,1-DM32,0))*150+111+'計算A'!N$5*100000+IF(AND($E32=1,JA32=0),50000,0))+IF($H32=1,(IF('計算A'!M$117=1,INDEX('計算A'!M$10:M$54,$B32),0)+IF('計算A'!N$117=1,INDEX('計算A'!O$10:O$54,$B32),0))*4000,0)-IF(AND('計算A'!M$117=1,UK32&gt;0),2000,0)-IF(AND($L32=1,'計算A'!N$117=1,DM32=0),2000,0))),1000000))</f>
        <v/>
      </c>
      <c r="OQ32">
        <f>IF($B32=0,1000000,IF(INDEX('計算A'!$D$60:$EQ$104,$B32,12)*DM32=1,IF(AND($E32=2,JB32=0),1000000,IF($I32&gt;0,IF(1=$J32,IF(OR(AND(12=$I32+1,OR($K32&lt;&gt;'計算A'!$A$3,'計算A'!$A$4=0)),AND(12=$I32-1,OR(12&lt;&gt;'計算A'!$A$3,'計算A'!$A$4=0))),0,IF(12=$K32,200000,ABS(12-$K32)*100)),100000+ABS(1-$J32)*1000+120)+'計算A'!O$5*50+IF(AND($E32=1,JB32=0),25,0),IF($F32&gt;0,INDEX('計算A'!O$110:O$114,$F32+1)+IF(AND($E32=1,JB32=0),1000,0),MIN(TU32,20)*400+(IF('計算A'!N$106=1,1-DL32,0)+IF('計算A'!O$106=1,1-DN32,0))*150+121+'計算A'!O$5*100000+IF(AND($E32=1,JB32=0),50000,0))+IF($H32=1,(IF('計算A'!N$117=1,INDEX('計算A'!N$10:N$54,$B32),0)+IF('計算A'!O$117=1,INDEX('計算A'!P$10:P$54,$B32),0))*4000,0)-IF(AND('計算A'!N$117=1,UL32&gt;0),2000,0)-IF(AND($L32=1,'計算A'!O$117=1,DN32=0),2000,0))),1000000))</f>
        <v/>
      </c>
      <c r="OR32">
        <f>IF($B32=0,1000000,IF(INDEX('計算A'!$D$60:$EQ$104,$B32,13)*DN32=1,IF(AND($E32=2,JC32=0),1000000,IF($I32&gt;0,IF(1=$J32,IF(OR(AND(13=$I32+1,OR($K32&lt;&gt;'計算A'!$A$3,'計算A'!$A$4=0)),AND(13=$I32-1,OR(13&lt;&gt;'計算A'!$A$3,'計算A'!$A$4=0))),0,IF(13=$K32,200000,ABS(13-$K32)*100)),100000+ABS(1-$J32)*1000+130)+'計算A'!P$5*50+IF(AND($E32=1,JC32=0),25,0),IF($F32&gt;0,INDEX('計算A'!P$110:P$114,$F32+1)+IF(AND($E32=1,JC32=0),1000,0),MIN(TU32,20)*400+(IF('計算A'!O$106=1,1-DM32,0)+IF('計算A'!P$106=1,1-DO32,0))*150+131+'計算A'!P$5*100000+IF(AND($E32=1,JC32=0),50000,0))+IF($H32=1,(IF('計算A'!O$117=1,INDEX('計算A'!O$10:O$54,$B32),0)+IF('計算A'!P$117=1,INDEX('計算A'!Q$10:Q$54,$B32),0))*4000,0)-IF(AND('計算A'!O$117=1,UM32&gt;0),2000,0)-IF(AND($L32=1,'計算A'!P$117=1,DO32=0),2000,0))),1000000))</f>
        <v/>
      </c>
      <c r="OS32">
        <f>IF($B32=0,1000000,IF(INDEX('計算A'!$D$60:$EQ$104,$B32,14)*DO32=1,IF(AND($E32=2,JD32=0),1000000,IF($I32&gt;0,IF(1=$J32,IF(OR(AND(14=$I32+1,OR($K32&lt;&gt;'計算A'!$A$3,'計算A'!$A$4=0)),AND(14=$I32-1,OR(14&lt;&gt;'計算A'!$A$3,'計算A'!$A$4=0))),0,IF(14=$K32,200000,ABS(14-$K32)*100)),100000+ABS(1-$J32)*1000+140)+'計算A'!Q$5*50+IF(AND($E32=1,JD32=0),25,0),IF($F32&gt;0,INDEX('計算A'!Q$110:Q$114,$F32+1)+IF(AND($E32=1,JD32=0),1000,0),MIN(TU32,20)*400+(IF('計算A'!P$106=1,1-DN32,0)+IF('計算A'!Q$106=1,1-DP32,0))*150+141+'計算A'!Q$5*100000+IF(AND($E32=1,JD32=0),50000,0))+IF($H32=1,(IF('計算A'!P$117=1,INDEX('計算A'!P$10:P$54,$B32),0)+IF('計算A'!Q$117=1,INDEX('計算A'!R$10:R$54,$B32),0))*4000,0)-IF(AND('計算A'!P$117=1,UN32&gt;0),2000,0)-IF(AND($L32=1,'計算A'!Q$117=1,DP32=0),2000,0))),1000000))</f>
        <v/>
      </c>
      <c r="OT32">
        <f>IF($B32=0,1000000,IF(INDEX('計算A'!$D$60:$EQ$104,$B32,15)*DP32=1,IF(AND($E32=2,JE32=0),1000000,IF($I32&gt;0,IF(1=$J32,IF(OR(AND(15=$I32+1,OR($K32&lt;&gt;'計算A'!$A$3,'計算A'!$A$4=0)),AND(15=$I32-1,OR(15&lt;&gt;'計算A'!$A$3,'計算A'!$A$4=0))),0,IF(15=$K32,200000,ABS(15-$K32)*100)),100000+ABS(1-$J32)*1000+150)+'計算A'!R$5*50+IF(AND($E32=1,JE32=0),25,0),IF($F32&gt;0,INDEX('計算A'!R$110:R$114,$F32+1)+IF(AND($E32=1,JE32=0),1000,0),MIN(TU32,20)*400+(IF('計算A'!Q$106=1,1-DO32,0)+IF('計算A'!R$106=1,1-DQ32,0))*150+151+'計算A'!R$5*100000+IF(AND($E32=1,JE32=0),50000,0))+IF($H32=1,(IF('計算A'!Q$117=1,INDEX('計算A'!Q$10:Q$54,$B32),0)+IF('計算A'!R$117=1,INDEX('計算A'!S$10:S$54,$B32),0))*4000,0)-IF(AND('計算A'!Q$117=1,UO32&gt;0),2000,0)-IF(AND($L32=1,'計算A'!R$117=1,DQ32=0),2000,0))),1000000))</f>
        <v/>
      </c>
      <c r="OU32">
        <f>IF($B32=0,1000000,IF(INDEX('計算A'!$D$60:$EQ$104,$B32,16)*DQ32=1,IF(AND($E32=2,JF32=0),1000000,IF($I32&gt;0,IF(1=$J32,IF(OR(AND(16=$I32+1,OR($K32&lt;&gt;'計算A'!$A$3,'計算A'!$A$4=0)),AND(16=$I32-1,OR(16&lt;&gt;'計算A'!$A$3,'計算A'!$A$4=0))),0,IF(16=$K32,200000,ABS(16-$K32)*100)),100000+ABS(1-$J32)*1000+160)+'計算A'!S$5*50+IF(AND($E32=1,JF32=0),25,0),IF($F32&gt;0,INDEX('計算A'!S$110:S$114,$F32+1)+IF(AND($E32=1,JF32=0),1000,0),MIN(TU32,20)*400+(IF('計算A'!R$106=1,1-DP32,0)+IF('計算A'!S$106=1,1-DR32,0))*150+161+'計算A'!S$5*100000+IF(AND($E32=1,JF32=0),50000,0))+IF($H32=1,(IF('計算A'!R$117=1,INDEX('計算A'!R$10:R$54,$B32),0)+IF('計算A'!S$117=1,INDEX('計算A'!T$10:T$54,$B32),0))*4000,0)-IF(AND('計算A'!R$117=1,UP32&gt;0),2000,0)-IF(AND($L32=1,'計算A'!S$117=1,DR32=0),2000,0))),1000000))</f>
        <v/>
      </c>
      <c r="OV32">
        <f>IF($B32=0,1000000,IF(INDEX('計算A'!$D$60:$EQ$104,$B32,17)*DR32=1,IF(AND($E32=2,JG32=0),1000000,IF($I32&gt;0,IF(1=$J32,IF(OR(AND(17=$I32+1,OR($K32&lt;&gt;'計算A'!$A$3,'計算A'!$A$4=0)),AND(17=$I32-1,OR(17&lt;&gt;'計算A'!$A$3,'計算A'!$A$4=0))),0,IF(17=$K32,200000,ABS(17-$K32)*100)),100000+ABS(1-$J32)*1000+170)+'計算A'!T$5*50+IF(AND($E32=1,JG32=0),25,0),IF($F32&gt;0,INDEX('計算A'!T$110:T$114,$F32+1)+IF(AND($E32=1,JG32=0),1000,0),MIN(TU32,20)*400+(IF('計算A'!S$106=1,1-DQ32,0)+IF('計算A'!T$106=1,1-DS32,0))*150+171+'計算A'!T$5*100000+IF(AND($E32=1,JG32=0),50000,0))+IF($H32=1,(IF('計算A'!S$117=1,INDEX('計算A'!S$10:S$54,$B32),0)+IF('計算A'!T$117=1,INDEX('計算A'!U$10:U$54,$B32),0))*4000,0)-IF(AND('計算A'!S$117=1,UQ32&gt;0),2000,0)-IF(AND($L32=1,'計算A'!T$117=1,DS32=0),2000,0))),1000000))</f>
        <v/>
      </c>
      <c r="OW32">
        <f>IF($B32=0,1000000,IF(INDEX('計算A'!$D$60:$EQ$104,$B32,18)*DS32=1,IF(AND($E32=2,JH32=0),1000000,IF($I32&gt;0,IF(1=$J32,IF(OR(AND(18=$I32+1,OR($K32&lt;&gt;'計算A'!$A$3,'計算A'!$A$4=0)),AND(18=$I32-1,OR(18&lt;&gt;'計算A'!$A$3,'計算A'!$A$4=0))),0,IF(18=$K32,200000,ABS(18-$K32)*100)),100000+ABS(1-$J32)*1000+180)+'計算A'!U$5*50+IF(AND($E32=1,JH32=0),25,0),IF($F32&gt;0,INDEX('計算A'!U$110:U$114,$F32+1)+IF(AND($E32=1,JH32=0),1000,0),MIN(TU32,20)*400+(IF('計算A'!T$106=1,1-DR32,0)+IF('計算A'!U$106=1,1-DT32,0))*150+181+'計算A'!U$5*100000+IF(AND($E32=1,JH32=0),50000,0))+IF($H32=1,(IF('計算A'!T$117=1,INDEX('計算A'!T$10:T$54,$B32),0)+IF('計算A'!U$117=1,INDEX('計算A'!V$10:V$54,$B32),0))*4000,0)-IF(AND('計算A'!T$117=1,UR32&gt;0),2000,0)-IF(AND($L32=1,'計算A'!U$117=1,DT32=0),2000,0))),1000000))</f>
        <v/>
      </c>
      <c r="OX32">
        <f>IF($B32=0,1000000,IF(INDEX('計算A'!$D$60:$EQ$104,$B32,19)*DT32=1,IF(AND($E32=2,JI32=0),1000000,IF($I32&gt;0,IF(1=$J32,IF(OR(AND(19=$I32+1,OR($K32&lt;&gt;'計算A'!$A$3,'計算A'!$A$4=0)),AND(19=$I32-1,OR(19&lt;&gt;'計算A'!$A$3,'計算A'!$A$4=0))),0,IF(19=$K32,200000,ABS(19-$K32)*100)),100000+ABS(1-$J32)*1000+190)+'計算A'!V$5*50+IF(AND($E32=1,JI32=0),25,0),IF($F32&gt;0,INDEX('計算A'!V$110:V$114,$F32+1)+IF(AND($E32=1,JI32=0),1000,0),MIN(TU32,20)*400+(IF('計算A'!U$106=1,1-DS32,0)+IF('計算A'!V$106=1,1-DU32,0))*150+191+'計算A'!V$5*100000+IF(AND($E32=1,JI32=0),50000,0))+IF($H32=1,(IF('計算A'!U$117=1,INDEX('計算A'!U$10:U$54,$B32),0)+IF('計算A'!V$117=1,INDEX('計算A'!W$10:W$54,$B32),0))*4000,0)-IF(AND('計算A'!U$117=1,US32&gt;0),2000,0)-IF(AND($L32=1,'計算A'!V$117=1,DU32=0),2000,0))),1000000))</f>
        <v/>
      </c>
      <c r="OY32">
        <f>IF($B32=0,1000000,IF(INDEX('計算A'!$D$60:$EQ$104,$B32,20)*DU32=1,IF(AND($E32=2,JJ32=0),1000000,IF($I32&gt;0,IF(1=$J32,IF(OR(AND(20=$I32+1,OR($K32&lt;&gt;'計算A'!$A$3,'計算A'!$A$4=0)),AND(20=$I32-1,OR(20&lt;&gt;'計算A'!$A$3,'計算A'!$A$4=0))),0,IF(20=$K32,200000,ABS(20-$K32)*100)),100000+ABS(1-$J32)*1000+200)+'計算A'!W$5*50+IF(AND($E32=1,JJ32=0),25,0),IF($F32&gt;0,INDEX('計算A'!W$110:W$114,$F32+1)+IF(AND($E32=1,JJ32=0),1000,0),MIN(TU32,20)*400+(IF('計算A'!V$106=1,1-DT32,0)+IF('計算A'!W$106=1,1-DV32,0))*150+201+'計算A'!W$5*100000+IF(AND($E32=1,JJ32=0),50000,0))+IF($H32=1,(IF('計算A'!V$117=1,INDEX('計算A'!V$10:V$54,$B32),0)+IF('計算A'!W$117=1,INDEX('計算A'!X$10:X$54,$B32),0))*4000,0)-IF(AND('計算A'!V$117=1,UT32&gt;0),2000,0)-IF(AND($L32=1,'計算A'!W$117=1,DV32=0),2000,0))),1000000))</f>
        <v/>
      </c>
      <c r="OZ32">
        <f>IF($B32=0,1000000,IF(INDEX('計算A'!$D$60:$EQ$104,$B32,21)*DV32=1,IF(AND($E32=2,JK32=0),1000000,IF($I32&gt;0,IF(1=$J32,IF(OR(AND(21=$I32+1,OR($K32&lt;&gt;'計算A'!$A$3,'計算A'!$A$4=0)),AND(21=$I32-1,OR(21&lt;&gt;'計算A'!$A$3,'計算A'!$A$4=0))),0,IF(21=$K32,200000,ABS(21-$K32)*100)),100000+ABS(1-$J32)*1000+210)+'計算A'!X$5*50+IF(AND($E32=1,JK32=0),25,0),IF($F32&gt;0,INDEX('計算A'!X$110:X$114,$F32+1)+IF(AND($E32=1,JK32=0),1000,0),MIN(TU32,20)*400+(IF('計算A'!W$106=1,1-DU32,0)+IF('計算A'!X$106=1,1-DW32,0))*150+211+'計算A'!X$5*100000+IF(AND($E32=1,JK32=0),50000,0))+IF($H32=1,(IF('計算A'!W$117=1,INDEX('計算A'!W$10:W$54,$B32),0)+IF('計算A'!X$117=1,INDEX('計算A'!Y$10:Y$54,$B32),0))*4000,0)-IF(AND('計算A'!W$117=1,UU32&gt;0),2000,0)-IF(AND($L32=1,'計算A'!X$117=1,DW32=0),2000,0))),1000000))</f>
        <v/>
      </c>
      <c r="PA32">
        <f>IF($B32=0,1000000,IF(INDEX('計算A'!$D$60:$EQ$104,$B32,22)*DW32=1,IF(AND($E32=2,JL32=0),1000000,IF($I32&gt;0,IF(1=$J32,IF(OR(AND(22=$I32+1,OR($K32&lt;&gt;'計算A'!$A$3,'計算A'!$A$4=0)),AND(22=$I32-1,OR(22&lt;&gt;'計算A'!$A$3,'計算A'!$A$4=0))),0,IF(22=$K32,200000,ABS(22-$K32)*100)),100000+ABS(1-$J32)*1000+220)+'計算A'!Y$5*50+IF(AND($E32=1,JL32=0),25,0),IF($F32&gt;0,INDEX('計算A'!Y$110:Y$114,$F32+1)+IF(AND($E32=1,JL32=0),1000,0),MIN(TU32,20)*400+(IF('計算A'!X$106=1,1-DV32,0)+IF('計算A'!Y$106=1,1-DX32,0))*150+221+'計算A'!Y$5*100000+IF(AND($E32=1,JL32=0),50000,0))+IF($H32=1,(IF('計算A'!X$117=1,INDEX('計算A'!X$10:X$54,$B32),0)+IF('計算A'!Y$117=1,INDEX('計算A'!Z$10:Z$54,$B32),0))*4000,0)-IF(AND('計算A'!X$117=1,UV32&gt;0),2000,0)-IF(AND($L32=1,'計算A'!Y$117=1,DX32=0),2000,0))),1000000))</f>
        <v/>
      </c>
      <c r="PB32">
        <f>IF($B32=0,1000000,IF(INDEX('計算A'!$D$60:$EQ$104,$B32,23)*DX32=1,IF(AND($E32=2,JM32=0),1000000,IF($I32&gt;0,IF(1=$J32,IF(OR(AND(23=$I32+1,OR($K32&lt;&gt;'計算A'!$A$3,'計算A'!$A$4=0)),AND(23=$I32-1,OR(23&lt;&gt;'計算A'!$A$3,'計算A'!$A$4=0))),0,IF(23=$K32,200000,ABS(23-$K32)*100)),100000+ABS(1-$J32)*1000+230)+'計算A'!Z$5*50+IF(AND($E32=1,JM32=0),25,0),IF($F32&gt;0,INDEX('計算A'!Z$110:Z$114,$F32+1)+IF(AND($E32=1,JM32=0),1000,0),MIN(TU32,20)*400+(IF('計算A'!Y$106=1,1-DW32,0)+IF('計算A'!Z$106=1,1-DY32,0))*150+231+'計算A'!Z$5*100000+IF(AND($E32=1,JM32=0),50000,0))+IF($H32=1,(IF('計算A'!Y$117=1,INDEX('計算A'!Y$10:Y$54,$B32),0)+IF('計算A'!Z$117=1,INDEX('計算A'!AA$10:AA$54,$B32),0))*4000,0)-IF(AND('計算A'!Y$117=1,UW32&gt;0),2000,0)-IF(AND($L32=1,'計算A'!Z$117=1,DY32=0),2000,0))),1000000))</f>
        <v/>
      </c>
      <c r="PC32">
        <f>IF($B32=0,1000000,IF(INDEX('計算A'!$D$60:$EQ$104,$B32,24)*DY32=1,IF(AND($E32=2,JN32=0),1000000,IF($I32&gt;0,IF(1=$J32,IF(OR(AND(24=$I32+1,OR($K32&lt;&gt;'計算A'!$A$3,'計算A'!$A$4=0)),AND(24=$I32-1,OR(24&lt;&gt;'計算A'!$A$3,'計算A'!$A$4=0))),0,IF(24=$K32,200000,ABS(24-$K32)*100)),100000+ABS(1-$J32)*1000+240)+'計算A'!AA$5*50+IF(AND($E32=1,JN32=0),25,0),IF($F32&gt;0,INDEX('計算A'!AA$110:AA$114,$F32+1)+IF(AND($E32=1,JN32=0),1000,0),MIN(TU32,20)*400+(IF('計算A'!Z$106=1,1-DX32,0))*150+241+'計算A'!AA$5*100000+IF(AND($E32=1,JN32=0),50000,0))+IF($H32=1,(IF('計算A'!Z$117=1,INDEX('計算A'!Z$10:Z$54,$B32),0))*4000,0)-IF(AND('計算A'!Z$117=1,UX32&gt;0),2000,0))),1000000))</f>
        <v/>
      </c>
      <c r="PD32">
        <f>IF($B32=0,1000000,IF(INDEX('計算A'!$D$60:$EQ$104,$B32,25)*DZ32=1,IF(AND($E32=2,JO32=0),1000000,IF($I32&gt;0,IF(2=$J32,IF(OR(AND(25=$I32+1,OR($K32&lt;&gt;'計算A'!$A$3,'計算A'!$A$4=0)),AND(25=$I32-1,OR(1&lt;&gt;'計算A'!$A$3,'計算A'!$A$4=0))),0,IF(1=$K32,200000,ABS(1-$K32)*100)),100000+ABS(2-$J32)*1000+10)+'計算A'!AB$5*50+IF(AND($E32=1,JO32=0),25,0),IF($F32&gt;0,INDEX('計算A'!AB$110:AB$114,$F32+1)+IF(AND($E32=1,JO32=0),1000,0),MIN(TV32,20)*400+(IF('計算A'!AB$106=1,1-EA32,0))*150+12+'計算A'!AB$5*100000+IF(AND($E32=1,JO32=0),50000,0))+IF($H32=1,(IF('計算A'!AB$117=1,INDEX('計算A'!AC$10:AC$54,$B32),0))*4000,0)-IF(AND($L32=1,'計算A'!AB$117=1,EA32=0),2000,0))),1000000))</f>
        <v/>
      </c>
      <c r="PE32">
        <f>IF($B32=0,1000000,IF(INDEX('計算A'!$D$60:$EQ$104,$B32,26)*EA32=1,IF(AND($E32=2,JP32=0),1000000,IF($I32&gt;0,IF(2=$J32,IF(OR(AND(26=$I32+1,OR($K32&lt;&gt;'計算A'!$A$3,'計算A'!$A$4=0)),AND(26=$I32-1,OR(2&lt;&gt;'計算A'!$A$3,'計算A'!$A$4=0))),0,IF(2=$K32,200000,ABS(2-$K32)*100)),100000+ABS(2-$J32)*1000+20)+'計算A'!AC$5*50+IF(AND($E32=1,JP32=0),25,0),IF($F32&gt;0,INDEX('計算A'!AC$110:AC$114,$F32+1)+IF(AND($E32=1,JP32=0),1000,0),MIN(TV32,20)*400+(IF('計算A'!AB$106=1,1-DZ32,0)+IF('計算A'!AC$106=1,1-EB32,0))*150+22+'計算A'!AC$5*100000+IF(AND($E32=1,JP32=0),50000,0))+IF($H32=1,(IF('計算A'!AB$117=1,INDEX('計算A'!AB$10:AB$54,$B32),0)+IF('計算A'!AC$117=1,INDEX('計算A'!AD$10:AD$54,$B32),0))*4000,0)-IF(AND('計算A'!AB$117=1,UZ32&gt;0),2000,0)-IF(AND($L32=1,'計算A'!AC$117=1,EB32=0),2000,0))),1000000))</f>
        <v/>
      </c>
      <c r="PF32">
        <f>IF($B32=0,1000000,IF(INDEX('計算A'!$D$60:$EQ$104,$B32,27)*EB32=1,IF(AND($E32=2,JQ32=0),1000000,IF($I32&gt;0,IF(2=$J32,IF(OR(AND(27=$I32+1,OR($K32&lt;&gt;'計算A'!$A$3,'計算A'!$A$4=0)),AND(27=$I32-1,OR(3&lt;&gt;'計算A'!$A$3,'計算A'!$A$4=0))),0,IF(3=$K32,200000,ABS(3-$K32)*100)),100000+ABS(2-$J32)*1000+30)+'計算A'!AD$5*50+IF(AND($E32=1,JQ32=0),25,0),IF($F32&gt;0,INDEX('計算A'!AD$110:AD$114,$F32+1)+IF(AND($E32=1,JQ32=0),1000,0),MIN(TV32,20)*400+(IF('計算A'!AC$106=1,1-EA32,0)+IF('計算A'!AD$106=1,1-EC32,0))*150+32+'計算A'!AD$5*100000+IF(AND($E32=1,JQ32=0),50000,0))+IF($H32=1,(IF('計算A'!AC$117=1,INDEX('計算A'!AC$10:AC$54,$B32),0)+IF('計算A'!AD$117=1,INDEX('計算A'!AE$10:AE$54,$B32),0))*4000,0)-IF(AND('計算A'!AC$117=1,VA32&gt;0),2000,0)-IF(AND($L32=1,'計算A'!AD$117=1,EC32=0),2000,0))),1000000))</f>
        <v/>
      </c>
      <c r="PG32">
        <f>IF($B32=0,1000000,IF(INDEX('計算A'!$D$60:$EQ$104,$B32,28)*EC32=1,IF(AND($E32=2,JR32=0),1000000,IF($I32&gt;0,IF(2=$J32,IF(OR(AND(28=$I32+1,OR($K32&lt;&gt;'計算A'!$A$3,'計算A'!$A$4=0)),AND(28=$I32-1,OR(4&lt;&gt;'計算A'!$A$3,'計算A'!$A$4=0))),0,IF(4=$K32,200000,ABS(4-$K32)*100)),100000+ABS(2-$J32)*1000+40)+'計算A'!AE$5*50+IF(AND($E32=1,JR32=0),25,0),IF($F32&gt;0,INDEX('計算A'!AE$110:AE$114,$F32+1)+IF(AND($E32=1,JR32=0),1000,0),MIN(TV32,20)*400+(IF('計算A'!AD$106=1,1-EB32,0)+IF('計算A'!AE$106=1,1-ED32,0))*150+42+'計算A'!AE$5*100000+IF(AND($E32=1,JR32=0),50000,0))+IF($H32=1,(IF('計算A'!AD$117=1,INDEX('計算A'!AD$10:AD$54,$B32),0)+IF('計算A'!AE$117=1,INDEX('計算A'!AF$10:AF$54,$B32),0))*4000,0)-IF(AND('計算A'!AD$117=1,VB32&gt;0),2000,0)-IF(AND($L32=1,'計算A'!AE$117=1,ED32=0),2000,0))),1000000))</f>
        <v/>
      </c>
      <c r="PH32">
        <f>IF($B32=0,1000000,IF(INDEX('計算A'!$D$60:$EQ$104,$B32,29)*ED32=1,IF(AND($E32=2,JS32=0),1000000,IF($I32&gt;0,IF(2=$J32,IF(OR(AND(29=$I32+1,OR($K32&lt;&gt;'計算A'!$A$3,'計算A'!$A$4=0)),AND(29=$I32-1,OR(5&lt;&gt;'計算A'!$A$3,'計算A'!$A$4=0))),0,IF(5=$K32,200000,ABS(5-$K32)*100)),100000+ABS(2-$J32)*1000+50)+'計算A'!AF$5*50+IF(AND($E32=1,JS32=0),25,0),IF($F32&gt;0,INDEX('計算A'!AF$110:AF$114,$F32+1)+IF(AND($E32=1,JS32=0),1000,0),MIN(TV32,20)*400+(IF('計算A'!AE$106=1,1-EC32,0)+IF('計算A'!AF$106=1,1-EE32,0))*150+52+'計算A'!AF$5*100000+IF(AND($E32=1,JS32=0),50000,0))+IF($H32=1,(IF('計算A'!AE$117=1,INDEX('計算A'!AE$10:AE$54,$B32),0)+IF('計算A'!AF$117=1,INDEX('計算A'!AG$10:AG$54,$B32),0))*4000,0)-IF(AND('計算A'!AE$117=1,VC32&gt;0),2000,0)-IF(AND($L32=1,'計算A'!AF$117=1,EE32=0),2000,0))),1000000))</f>
        <v/>
      </c>
      <c r="PI32">
        <f>IF($B32=0,1000000,IF(INDEX('計算A'!$D$60:$EQ$104,$B32,30)*EE32=1,IF(AND($E32=2,JT32=0),1000000,IF($I32&gt;0,IF(2=$J32,IF(OR(AND(30=$I32+1,OR($K32&lt;&gt;'計算A'!$A$3,'計算A'!$A$4=0)),AND(30=$I32-1,OR(6&lt;&gt;'計算A'!$A$3,'計算A'!$A$4=0))),0,IF(6=$K32,200000,ABS(6-$K32)*100)),100000+ABS(2-$J32)*1000+60)+'計算A'!AG$5*50+IF(AND($E32=1,JT32=0),25,0),IF($F32&gt;0,INDEX('計算A'!AG$110:AG$114,$F32+1)+IF(AND($E32=1,JT32=0),1000,0),MIN(TV32,20)*400+(IF('計算A'!AF$106=1,1-ED32,0)+IF('計算A'!AG$106=1,1-EF32,0))*150+62+'計算A'!AG$5*100000+IF(AND($E32=1,JT32=0),50000,0))+IF($H32=1,(IF('計算A'!AF$117=1,INDEX('計算A'!AF$10:AF$54,$B32),0)+IF('計算A'!AG$117=1,INDEX('計算A'!AH$10:AH$54,$B32),0))*4000,0)-IF(AND('計算A'!AF$117=1,VD32&gt;0),2000,0)-IF(AND($L32=1,'計算A'!AG$117=1,EF32=0),2000,0))),1000000))</f>
        <v/>
      </c>
      <c r="PJ32">
        <f>IF($B32=0,1000000,IF(INDEX('計算A'!$D$60:$EQ$104,$B32,31)*EF32=1,IF(AND($E32=2,JU32=0),1000000,IF($I32&gt;0,IF(2=$J32,IF(OR(AND(31=$I32+1,OR($K32&lt;&gt;'計算A'!$A$3,'計算A'!$A$4=0)),AND(31=$I32-1,OR(7&lt;&gt;'計算A'!$A$3,'計算A'!$A$4=0))),0,IF(7=$K32,200000,ABS(7-$K32)*100)),100000+ABS(2-$J32)*1000+70)+'計算A'!AH$5*50+IF(AND($E32=1,JU32=0),25,0),IF($F32&gt;0,INDEX('計算A'!AH$110:AH$114,$F32+1)+IF(AND($E32=1,JU32=0),1000,0),MIN(TV32,20)*400+(IF('計算A'!AG$106=1,1-EE32,0)+IF('計算A'!AH$106=1,1-EG32,0))*150+72+'計算A'!AH$5*100000+IF(AND($E32=1,JU32=0),50000,0))+IF($H32=1,(IF('計算A'!AG$117=1,INDEX('計算A'!AG$10:AG$54,$B32),0)+IF('計算A'!AH$117=1,INDEX('計算A'!AI$10:AI$54,$B32),0))*4000,0)-IF(AND('計算A'!AG$117=1,VE32&gt;0),2000,0)-IF(AND($L32=1,'計算A'!AH$117=1,EG32=0),2000,0))),1000000))</f>
        <v/>
      </c>
      <c r="PK32">
        <f>IF($B32=0,1000000,IF(INDEX('計算A'!$D$60:$EQ$104,$B32,32)*EG32=1,IF(AND($E32=2,JV32=0),1000000,IF($I32&gt;0,IF(2=$J32,IF(OR(AND(32=$I32+1,OR($K32&lt;&gt;'計算A'!$A$3,'計算A'!$A$4=0)),AND(32=$I32-1,OR(8&lt;&gt;'計算A'!$A$3,'計算A'!$A$4=0))),0,IF(8=$K32,200000,ABS(8-$K32)*100)),100000+ABS(2-$J32)*1000+80)+'計算A'!AI$5*50+IF(AND($E32=1,JV32=0),25,0),IF($F32&gt;0,INDEX('計算A'!AI$110:AI$114,$F32+1)+IF(AND($E32=1,JV32=0),1000,0),MIN(TV32,20)*400+(IF('計算A'!AH$106=1,1-EF32,0)+IF('計算A'!AI$106=1,1-EH32,0))*150+82+'計算A'!AI$5*100000+IF(AND($E32=1,JV32=0),50000,0))+IF($H32=1,(IF('計算A'!AH$117=1,INDEX('計算A'!AH$10:AH$54,$B32),0)+IF('計算A'!AI$117=1,INDEX('計算A'!AJ$10:AJ$54,$B32),0))*4000,0)-IF(AND('計算A'!AH$117=1,VF32&gt;0),2000,0)-IF(AND($L32=1,'計算A'!AI$117=1,EH32=0),2000,0))),1000000))</f>
        <v/>
      </c>
      <c r="PL32">
        <f>IF($B32=0,1000000,IF(INDEX('計算A'!$D$60:$EQ$104,$B32,33)*EH32=1,IF(AND($E32=2,JW32=0),1000000,IF($I32&gt;0,IF(2=$J32,IF(OR(AND(33=$I32+1,OR($K32&lt;&gt;'計算A'!$A$3,'計算A'!$A$4=0)),AND(33=$I32-1,OR(9&lt;&gt;'計算A'!$A$3,'計算A'!$A$4=0))),0,IF(9=$K32,200000,ABS(9-$K32)*100)),100000+ABS(2-$J32)*1000+90)+'計算A'!AJ$5*50+IF(AND($E32=1,JW32=0),25,0),IF($F32&gt;0,INDEX('計算A'!AJ$110:AJ$114,$F32+1)+IF(AND($E32=1,JW32=0),1000,0),MIN(TV32,20)*400+(IF('計算A'!AI$106=1,1-EG32,0)+IF('計算A'!AJ$106=1,1-EI32,0))*150+92+'計算A'!AJ$5*100000+IF(AND($E32=1,JW32=0),50000,0))+IF($H32=1,(IF('計算A'!AI$117=1,INDEX('計算A'!AI$10:AI$54,$B32),0)+IF('計算A'!AJ$117=1,INDEX('計算A'!AK$10:AK$54,$B32),0))*4000,0)-IF(AND('計算A'!AI$117=1,VG32&gt;0),2000,0)-IF(AND($L32=1,'計算A'!AJ$117=1,EI32=0),2000,0))),1000000))</f>
        <v/>
      </c>
      <c r="PM32">
        <f>IF($B32=0,1000000,IF(INDEX('計算A'!$D$60:$EQ$104,$B32,34)*EI32=1,IF(AND($E32=2,JX32=0),1000000,IF($I32&gt;0,IF(2=$J32,IF(OR(AND(34=$I32+1,OR($K32&lt;&gt;'計算A'!$A$3,'計算A'!$A$4=0)),AND(34=$I32-1,OR(10&lt;&gt;'計算A'!$A$3,'計算A'!$A$4=0))),0,IF(10=$K32,200000,ABS(10-$K32)*100)),100000+ABS(2-$J32)*1000+100)+'計算A'!AK$5*50+IF(AND($E32=1,JX32=0),25,0),IF($F32&gt;0,INDEX('計算A'!AK$110:AK$114,$F32+1)+IF(AND($E32=1,JX32=0),1000,0),MIN(TV32,20)*400+(IF('計算A'!AJ$106=1,1-EH32,0)+IF('計算A'!AK$106=1,1-EJ32,0))*150+102+'計算A'!AK$5*100000+IF(AND($E32=1,JX32=0),50000,0))+IF($H32=1,(IF('計算A'!AJ$117=1,INDEX('計算A'!AJ$10:AJ$54,$B32),0)+IF('計算A'!AK$117=1,INDEX('計算A'!AL$10:AL$54,$B32),0))*4000,0)-IF(AND('計算A'!AJ$117=1,VH32&gt;0),2000,0)-IF(AND($L32=1,'計算A'!AK$117=1,EJ32=0),2000,0))),1000000))</f>
        <v/>
      </c>
      <c r="PN32">
        <f>IF($B32=0,1000000,IF(INDEX('計算A'!$D$60:$EQ$104,$B32,35)*EJ32=1,IF(AND($E32=2,JY32=0),1000000,IF($I32&gt;0,IF(2=$J32,IF(OR(AND(35=$I32+1,OR($K32&lt;&gt;'計算A'!$A$3,'計算A'!$A$4=0)),AND(35=$I32-1,OR(11&lt;&gt;'計算A'!$A$3,'計算A'!$A$4=0))),0,IF(11=$K32,200000,ABS(11-$K32)*100)),100000+ABS(2-$J32)*1000+110)+'計算A'!AL$5*50+IF(AND($E32=1,JY32=0),25,0),IF($F32&gt;0,INDEX('計算A'!AL$110:AL$114,$F32+1)+IF(AND($E32=1,JY32=0),1000,0),MIN(TV32,20)*400+(IF('計算A'!AK$106=1,1-EI32,0)+IF('計算A'!AL$106=1,1-EK32,0))*150+112+'計算A'!AL$5*100000+IF(AND($E32=1,JY32=0),50000,0))+IF($H32=1,(IF('計算A'!AK$117=1,INDEX('計算A'!AK$10:AK$54,$B32),0)+IF('計算A'!AL$117=1,INDEX('計算A'!AM$10:AM$54,$B32),0))*4000,0)-IF(AND('計算A'!AK$117=1,VI32&gt;0),2000,0)-IF(AND($L32=1,'計算A'!AL$117=1,EK32=0),2000,0))),1000000))</f>
        <v/>
      </c>
      <c r="PO32">
        <f>IF($B32=0,1000000,IF(INDEX('計算A'!$D$60:$EQ$104,$B32,36)*EK32=1,IF(AND($E32=2,JZ32=0),1000000,IF($I32&gt;0,IF(2=$J32,IF(OR(AND(36=$I32+1,OR($K32&lt;&gt;'計算A'!$A$3,'計算A'!$A$4=0)),AND(36=$I32-1,OR(12&lt;&gt;'計算A'!$A$3,'計算A'!$A$4=0))),0,IF(12=$K32,200000,ABS(12-$K32)*100)),100000+ABS(2-$J32)*1000+120)+'計算A'!AM$5*50+IF(AND($E32=1,JZ32=0),25,0),IF($F32&gt;0,INDEX('計算A'!AM$110:AM$114,$F32+1)+IF(AND($E32=1,JZ32=0),1000,0),MIN(TV32,20)*400+(IF('計算A'!AL$106=1,1-EJ32,0)+IF('計算A'!AM$106=1,1-EL32,0))*150+122+'計算A'!AM$5*100000+IF(AND($E32=1,JZ32=0),50000,0))+IF($H32=1,(IF('計算A'!AL$117=1,INDEX('計算A'!AL$10:AL$54,$B32),0)+IF('計算A'!AM$117=1,INDEX('計算A'!AN$10:AN$54,$B32),0))*4000,0)-IF(AND('計算A'!AL$117=1,VJ32&gt;0),2000,0)-IF(AND($L32=1,'計算A'!AM$117=1,EL32=0),2000,0))),1000000))</f>
        <v/>
      </c>
      <c r="PP32">
        <f>IF($B32=0,1000000,IF(INDEX('計算A'!$D$60:$EQ$104,$B32,37)*EL32=1,IF(AND($E32=2,KA32=0),1000000,IF($I32&gt;0,IF(2=$J32,IF(OR(AND(37=$I32+1,OR($K32&lt;&gt;'計算A'!$A$3,'計算A'!$A$4=0)),AND(37=$I32-1,OR(13&lt;&gt;'計算A'!$A$3,'計算A'!$A$4=0))),0,IF(13=$K32,200000,ABS(13-$K32)*100)),100000+ABS(2-$J32)*1000+130)+'計算A'!AN$5*50+IF(AND($E32=1,KA32=0),25,0),IF($F32&gt;0,INDEX('計算A'!AN$110:AN$114,$F32+1)+IF(AND($E32=1,KA32=0),1000,0),MIN(TV32,20)*400+(IF('計算A'!AM$106=1,1-EK32,0)+IF('計算A'!AN$106=1,1-EM32,0))*150+132+'計算A'!AN$5*100000+IF(AND($E32=1,KA32=0),50000,0))+IF($H32=1,(IF('計算A'!AM$117=1,INDEX('計算A'!AM$10:AM$54,$B32),0)+IF('計算A'!AN$117=1,INDEX('計算A'!AO$10:AO$54,$B32),0))*4000,0)-IF(AND('計算A'!AM$117=1,VK32&gt;0),2000,0)-IF(AND($L32=1,'計算A'!AN$117=1,EM32=0),2000,0))),1000000))</f>
        <v/>
      </c>
      <c r="PQ32">
        <f>IF($B32=0,1000000,IF(INDEX('計算A'!$D$60:$EQ$104,$B32,38)*EM32=1,IF(AND($E32=2,KB32=0),1000000,IF($I32&gt;0,IF(2=$J32,IF(OR(AND(38=$I32+1,OR($K32&lt;&gt;'計算A'!$A$3,'計算A'!$A$4=0)),AND(38=$I32-1,OR(14&lt;&gt;'計算A'!$A$3,'計算A'!$A$4=0))),0,IF(14=$K32,200000,ABS(14-$K32)*100)),100000+ABS(2-$J32)*1000+140)+'計算A'!AO$5*50+IF(AND($E32=1,KB32=0),25,0),IF($F32&gt;0,INDEX('計算A'!AO$110:AO$114,$F32+1)+IF(AND($E32=1,KB32=0),1000,0),MIN(TV32,20)*400+(IF('計算A'!AN$106=1,1-EL32,0)+IF('計算A'!AO$106=1,1-EN32,0))*150+142+'計算A'!AO$5*100000+IF(AND($E32=1,KB32=0),50000,0))+IF($H32=1,(IF('計算A'!AN$117=1,INDEX('計算A'!AN$10:AN$54,$B32),0)+IF('計算A'!AO$117=1,INDEX('計算A'!AP$10:AP$54,$B32),0))*4000,0)-IF(AND('計算A'!AN$117=1,VL32&gt;0),2000,0)-IF(AND($L32=1,'計算A'!AO$117=1,EN32=0),2000,0))),1000000))</f>
        <v/>
      </c>
      <c r="PR32">
        <f>IF($B32=0,1000000,IF(INDEX('計算A'!$D$60:$EQ$104,$B32,39)*EN32=1,IF(AND($E32=2,KC32=0),1000000,IF($I32&gt;0,IF(2=$J32,IF(OR(AND(39=$I32+1,OR($K32&lt;&gt;'計算A'!$A$3,'計算A'!$A$4=0)),AND(39=$I32-1,OR(15&lt;&gt;'計算A'!$A$3,'計算A'!$A$4=0))),0,IF(15=$K32,200000,ABS(15-$K32)*100)),100000+ABS(2-$J32)*1000+150)+'計算A'!AP$5*50+IF(AND($E32=1,KC32=0),25,0),IF($F32&gt;0,INDEX('計算A'!AP$110:AP$114,$F32+1)+IF(AND($E32=1,KC32=0),1000,0),MIN(TV32,20)*400+(IF('計算A'!AO$106=1,1-EM32,0)+IF('計算A'!AP$106=1,1-EO32,0))*150+152+'計算A'!AP$5*100000+IF(AND($E32=1,KC32=0),50000,0))+IF($H32=1,(IF('計算A'!AO$117=1,INDEX('計算A'!AO$10:AO$54,$B32),0)+IF('計算A'!AP$117=1,INDEX('計算A'!AQ$10:AQ$54,$B32),0))*4000,0)-IF(AND('計算A'!AO$117=1,VM32&gt;0),2000,0)-IF(AND($L32=1,'計算A'!AP$117=1,EO32=0),2000,0))),1000000))</f>
        <v/>
      </c>
      <c r="PS32">
        <f>IF($B32=0,1000000,IF(INDEX('計算A'!$D$60:$EQ$104,$B32,40)*EO32=1,IF(AND($E32=2,KD32=0),1000000,IF($I32&gt;0,IF(2=$J32,IF(OR(AND(40=$I32+1,OR($K32&lt;&gt;'計算A'!$A$3,'計算A'!$A$4=0)),AND(40=$I32-1,OR(16&lt;&gt;'計算A'!$A$3,'計算A'!$A$4=0))),0,IF(16=$K32,200000,ABS(16-$K32)*100)),100000+ABS(2-$J32)*1000+160)+'計算A'!AQ$5*50+IF(AND($E32=1,KD32=0),25,0),IF($F32&gt;0,INDEX('計算A'!AQ$110:AQ$114,$F32+1)+IF(AND($E32=1,KD32=0),1000,0),MIN(TV32,20)*400+(IF('計算A'!AP$106=1,1-EN32,0)+IF('計算A'!AQ$106=1,1-EP32,0))*150+162+'計算A'!AQ$5*100000+IF(AND($E32=1,KD32=0),50000,0))+IF($H32=1,(IF('計算A'!AP$117=1,INDEX('計算A'!AP$10:AP$54,$B32),0)+IF('計算A'!AQ$117=1,INDEX('計算A'!AR$10:AR$54,$B32),0))*4000,0)-IF(AND('計算A'!AP$117=1,VN32&gt;0),2000,0)-IF(AND($L32=1,'計算A'!AQ$117=1,EP32=0),2000,0))),1000000))</f>
        <v/>
      </c>
      <c r="PT32">
        <f>IF($B32=0,1000000,IF(INDEX('計算A'!$D$60:$EQ$104,$B32,41)*EP32=1,IF(AND($E32=2,KE32=0),1000000,IF($I32&gt;0,IF(2=$J32,IF(OR(AND(41=$I32+1,OR($K32&lt;&gt;'計算A'!$A$3,'計算A'!$A$4=0)),AND(41=$I32-1,OR(17&lt;&gt;'計算A'!$A$3,'計算A'!$A$4=0))),0,IF(17=$K32,200000,ABS(17-$K32)*100)),100000+ABS(2-$J32)*1000+170)+'計算A'!AR$5*50+IF(AND($E32=1,KE32=0),25,0),IF($F32&gt;0,INDEX('計算A'!AR$110:AR$114,$F32+1)+IF(AND($E32=1,KE32=0),1000,0),MIN(TV32,20)*400+(IF('計算A'!AQ$106=1,1-EO32,0)+IF('計算A'!AR$106=1,1-EQ32,0))*150+172+'計算A'!AR$5*100000+IF(AND($E32=1,KE32=0),50000,0))+IF($H32=1,(IF('計算A'!AQ$117=1,INDEX('計算A'!AQ$10:AQ$54,$B32),0)+IF('計算A'!AR$117=1,INDEX('計算A'!AS$10:AS$54,$B32),0))*4000,0)-IF(AND('計算A'!AQ$117=1,VO32&gt;0),2000,0)-IF(AND($L32=1,'計算A'!AR$117=1,EQ32=0),2000,0))),1000000))</f>
        <v/>
      </c>
      <c r="PU32">
        <f>IF($B32=0,1000000,IF(INDEX('計算A'!$D$60:$EQ$104,$B32,42)*EQ32=1,IF(AND($E32=2,KF32=0),1000000,IF($I32&gt;0,IF(2=$J32,IF(OR(AND(42=$I32+1,OR($K32&lt;&gt;'計算A'!$A$3,'計算A'!$A$4=0)),AND(42=$I32-1,OR(18&lt;&gt;'計算A'!$A$3,'計算A'!$A$4=0))),0,IF(18=$K32,200000,ABS(18-$K32)*100)),100000+ABS(2-$J32)*1000+180)+'計算A'!AS$5*50+IF(AND($E32=1,KF32=0),25,0),IF($F32&gt;0,INDEX('計算A'!AS$110:AS$114,$F32+1)+IF(AND($E32=1,KF32=0),1000,0),MIN(TV32,20)*400+(IF('計算A'!AR$106=1,1-EP32,0)+IF('計算A'!AS$106=1,1-ER32,0))*150+182+'計算A'!AS$5*100000+IF(AND($E32=1,KF32=0),50000,0))+IF($H32=1,(IF('計算A'!AR$117=1,INDEX('計算A'!AR$10:AR$54,$B32),0)+IF('計算A'!AS$117=1,INDEX('計算A'!AT$10:AT$54,$B32),0))*4000,0)-IF(AND('計算A'!AR$117=1,VP32&gt;0),2000,0)-IF(AND($L32=1,'計算A'!AS$117=1,ER32=0),2000,0))),1000000))</f>
        <v/>
      </c>
      <c r="PV32">
        <f>IF($B32=0,1000000,IF(INDEX('計算A'!$D$60:$EQ$104,$B32,43)*ER32=1,IF(AND($E32=2,KG32=0),1000000,IF($I32&gt;0,IF(2=$J32,IF(OR(AND(43=$I32+1,OR($K32&lt;&gt;'計算A'!$A$3,'計算A'!$A$4=0)),AND(43=$I32-1,OR(19&lt;&gt;'計算A'!$A$3,'計算A'!$A$4=0))),0,IF(19=$K32,200000,ABS(19-$K32)*100)),100000+ABS(2-$J32)*1000+190)+'計算A'!AT$5*50+IF(AND($E32=1,KG32=0),25,0),IF($F32&gt;0,INDEX('計算A'!AT$110:AT$114,$F32+1)+IF(AND($E32=1,KG32=0),1000,0),MIN(TV32,20)*400+(IF('計算A'!AS$106=1,1-EQ32,0)+IF('計算A'!AT$106=1,1-ES32,0))*150+192+'計算A'!AT$5*100000+IF(AND($E32=1,KG32=0),50000,0))+IF($H32=1,(IF('計算A'!AS$117=1,INDEX('計算A'!AS$10:AS$54,$B32),0)+IF('計算A'!AT$117=1,INDEX('計算A'!AU$10:AU$54,$B32),0))*4000,0)-IF(AND('計算A'!AS$117=1,VQ32&gt;0),2000,0)-IF(AND($L32=1,'計算A'!AT$117=1,ES32=0),2000,0))),1000000))</f>
        <v/>
      </c>
      <c r="PW32">
        <f>IF($B32=0,1000000,IF(INDEX('計算A'!$D$60:$EQ$104,$B32,44)*ES32=1,IF(AND($E32=2,KH32=0),1000000,IF($I32&gt;0,IF(2=$J32,IF(OR(AND(44=$I32+1,OR($K32&lt;&gt;'計算A'!$A$3,'計算A'!$A$4=0)),AND(44=$I32-1,OR(20&lt;&gt;'計算A'!$A$3,'計算A'!$A$4=0))),0,IF(20=$K32,200000,ABS(20-$K32)*100)),100000+ABS(2-$J32)*1000+200)+'計算A'!AU$5*50+IF(AND($E32=1,KH32=0),25,0),IF($F32&gt;0,INDEX('計算A'!AU$110:AU$114,$F32+1)+IF(AND($E32=1,KH32=0),1000,0),MIN(TV32,20)*400+(IF('計算A'!AT$106=1,1-ER32,0)+IF('計算A'!AU$106=1,1-ET32,0))*150+202+'計算A'!AU$5*100000+IF(AND($E32=1,KH32=0),50000,0))+IF($H32=1,(IF('計算A'!AT$117=1,INDEX('計算A'!AT$10:AT$54,$B32),0)+IF('計算A'!AU$117=1,INDEX('計算A'!AV$10:AV$54,$B32),0))*4000,0)-IF(AND('計算A'!AT$117=1,VR32&gt;0),2000,0)-IF(AND($L32=1,'計算A'!AU$117=1,ET32=0),2000,0))),1000000))</f>
        <v/>
      </c>
      <c r="PX32">
        <f>IF($B32=0,1000000,IF(INDEX('計算A'!$D$60:$EQ$104,$B32,45)*ET32=1,IF(AND($E32=2,KI32=0),1000000,IF($I32&gt;0,IF(2=$J32,IF(OR(AND(45=$I32+1,OR($K32&lt;&gt;'計算A'!$A$3,'計算A'!$A$4=0)),AND(45=$I32-1,OR(21&lt;&gt;'計算A'!$A$3,'計算A'!$A$4=0))),0,IF(21=$K32,200000,ABS(21-$K32)*100)),100000+ABS(2-$J32)*1000+210)+'計算A'!AV$5*50+IF(AND($E32=1,KI32=0),25,0),IF($F32&gt;0,INDEX('計算A'!AV$110:AV$114,$F32+1)+IF(AND($E32=1,KI32=0),1000,0),MIN(TV32,20)*400+(IF('計算A'!AU$106=1,1-ES32,0)+IF('計算A'!AV$106=1,1-EU32,0))*150+212+'計算A'!AV$5*100000+IF(AND($E32=1,KI32=0),50000,0))+IF($H32=1,(IF('計算A'!AU$117=1,INDEX('計算A'!AU$10:AU$54,$B32),0)+IF('計算A'!AV$117=1,INDEX('計算A'!AW$10:AW$54,$B32),0))*4000,0)-IF(AND('計算A'!AU$117=1,VS32&gt;0),2000,0)-IF(AND($L32=1,'計算A'!AV$117=1,EU32=0),2000,0))),1000000))</f>
        <v/>
      </c>
      <c r="PY32">
        <f>IF($B32=0,1000000,IF(INDEX('計算A'!$D$60:$EQ$104,$B32,46)*EU32=1,IF(AND($E32=2,KJ32=0),1000000,IF($I32&gt;0,IF(2=$J32,IF(OR(AND(46=$I32+1,OR($K32&lt;&gt;'計算A'!$A$3,'計算A'!$A$4=0)),AND(46=$I32-1,OR(22&lt;&gt;'計算A'!$A$3,'計算A'!$A$4=0))),0,IF(22=$K32,200000,ABS(22-$K32)*100)),100000+ABS(2-$J32)*1000+220)+'計算A'!AW$5*50+IF(AND($E32=1,KJ32=0),25,0),IF($F32&gt;0,INDEX('計算A'!AW$110:AW$114,$F32+1)+IF(AND($E32=1,KJ32=0),1000,0),MIN(TV32,20)*400+(IF('計算A'!AV$106=1,1-ET32,0)+IF('計算A'!AW$106=1,1-EV32,0))*150+222+'計算A'!AW$5*100000+IF(AND($E32=1,KJ32=0),50000,0))+IF($H32=1,(IF('計算A'!AV$117=1,INDEX('計算A'!AV$10:AV$54,$B32),0)+IF('計算A'!AW$117=1,INDEX('計算A'!AX$10:AX$54,$B32),0))*4000,0)-IF(AND('計算A'!AV$117=1,VT32&gt;0),2000,0)-IF(AND($L32=1,'計算A'!AW$117=1,EV32=0),2000,0))),1000000))</f>
        <v/>
      </c>
      <c r="PZ32">
        <f>IF($B32=0,1000000,IF(INDEX('計算A'!$D$60:$EQ$104,$B32,47)*EV32=1,IF(AND($E32=2,KK32=0),1000000,IF($I32&gt;0,IF(2=$J32,IF(OR(AND(47=$I32+1,OR($K32&lt;&gt;'計算A'!$A$3,'計算A'!$A$4=0)),AND(47=$I32-1,OR(23&lt;&gt;'計算A'!$A$3,'計算A'!$A$4=0))),0,IF(23=$K32,200000,ABS(23-$K32)*100)),100000+ABS(2-$J32)*1000+230)+'計算A'!AX$5*50+IF(AND($E32=1,KK32=0),25,0),IF($F32&gt;0,INDEX('計算A'!AX$110:AX$114,$F32+1)+IF(AND($E32=1,KK32=0),1000,0),MIN(TV32,20)*400+(IF('計算A'!AW$106=1,1-EU32,0)+IF('計算A'!AX$106=1,1-EW32,0))*150+232+'計算A'!AX$5*100000+IF(AND($E32=1,KK32=0),50000,0))+IF($H32=1,(IF('計算A'!AW$117=1,INDEX('計算A'!AW$10:AW$54,$B32),0)+IF('計算A'!AX$117=1,INDEX('計算A'!AY$10:AY$54,$B32),0))*4000,0)-IF(AND('計算A'!AW$117=1,VU32&gt;0),2000,0)-IF(AND($L32=1,'計算A'!AX$117=1,EW32=0),2000,0))),1000000))</f>
        <v/>
      </c>
      <c r="QA32">
        <f>IF($B32=0,1000000,IF(INDEX('計算A'!$D$60:$EQ$104,$B32,48)*EW32=1,IF(AND($E32=2,KL32=0),1000000,IF($I32&gt;0,IF(2=$J32,IF(OR(AND(48=$I32+1,OR($K32&lt;&gt;'計算A'!$A$3,'計算A'!$A$4=0)),AND(48=$I32-1,OR(24&lt;&gt;'計算A'!$A$3,'計算A'!$A$4=0))),0,IF(24=$K32,200000,ABS(24-$K32)*100)),100000+ABS(2-$J32)*1000+240)+'計算A'!AY$5*50+IF(AND($E32=1,KL32=0),25,0),IF($F32&gt;0,INDEX('計算A'!AY$110:AY$114,$F32+1)+IF(AND($E32=1,KL32=0),1000,0),MIN(TV32,20)*400+(IF('計算A'!AX$106=1,1-EV32,0))*150+242+'計算A'!AY$5*100000+IF(AND($E32=1,KL32=0),50000,0))+IF($H32=1,(IF('計算A'!AX$117=1,INDEX('計算A'!AX$10:AX$54,$B32),0))*4000,0)-IF(AND('計算A'!AX$117=1,VV32&gt;0),2000,0))),1000000))</f>
        <v/>
      </c>
      <c r="QB32">
        <f>IF($B32=0,1000000,IF(INDEX('計算A'!$D$60:$EQ$104,$B32,49)*EX32=1,IF(AND($E32=2,KM32=0),1000000,IF($I32&gt;0,IF(3=$J32,IF(OR(AND(49=$I32+1,OR($K32&lt;&gt;'計算A'!$A$3,'計算A'!$A$4=0)),AND(49=$I32-1,OR(1&lt;&gt;'計算A'!$A$3,'計算A'!$A$4=0))),0,IF(1=$K32,200000,ABS(1-$K32)*100)),100000+ABS(3-$J32)*1000+10)+'計算A'!AZ$5*50+IF(AND($E32=1,KM32=0),25,0),IF($F32&gt;0,INDEX('計算A'!AZ$110:AZ$114,$F32+1)+IF(AND($E32=1,KM32=0),1000,0),MIN(TW32,20)*400+(IF('計算A'!AZ$106=1,1-EY32,0))*150+13+'計算A'!AZ$5*100000+IF(AND($E32=1,KM32=0),50000,0))+IF($H32=1,(IF('計算A'!AZ$117=1,INDEX('計算A'!BA$10:BA$54,$B32),0))*4000,0)-IF(AND($L32=1,'計算A'!AZ$117=1,EY32=0),2000,0))),1000000))</f>
        <v/>
      </c>
      <c r="QC32">
        <f>IF($B32=0,1000000,IF(INDEX('計算A'!$D$60:$EQ$104,$B32,50)*EY32=1,IF(AND($E32=2,KN32=0),1000000,IF($I32&gt;0,IF(3=$J32,IF(OR(AND(50=$I32+1,OR($K32&lt;&gt;'計算A'!$A$3,'計算A'!$A$4=0)),AND(50=$I32-1,OR(2&lt;&gt;'計算A'!$A$3,'計算A'!$A$4=0))),0,IF(2=$K32,200000,ABS(2-$K32)*100)),100000+ABS(3-$J32)*1000+20)+'計算A'!BA$5*50+IF(AND($E32=1,KN32=0),25,0),IF($F32&gt;0,INDEX('計算A'!BA$110:BA$114,$F32+1)+IF(AND($E32=1,KN32=0),1000,0),MIN(TW32,20)*400+(IF('計算A'!AZ$106=1,1-EX32,0)+IF('計算A'!BA$106=1,1-EZ32,0))*150+23+'計算A'!BA$5*100000+IF(AND($E32=1,KN32=0),50000,0))+IF($H32=1,(IF('計算A'!AZ$117=1,INDEX('計算A'!AZ$10:AZ$54,$B32),0)+IF('計算A'!BA$117=1,INDEX('計算A'!BB$10:BB$54,$B32),0))*4000,0)-IF(AND('計算A'!AZ$117=1,VX32&gt;0),2000,0)-IF(AND($L32=1,'計算A'!BA$117=1,EZ32=0),2000,0))),1000000))</f>
        <v/>
      </c>
      <c r="QD32">
        <f>IF($B32=0,1000000,IF(INDEX('計算A'!$D$60:$EQ$104,$B32,51)*EZ32=1,IF(AND($E32=2,KO32=0),1000000,IF($I32&gt;0,IF(3=$J32,IF(OR(AND(51=$I32+1,OR($K32&lt;&gt;'計算A'!$A$3,'計算A'!$A$4=0)),AND(51=$I32-1,OR(3&lt;&gt;'計算A'!$A$3,'計算A'!$A$4=0))),0,IF(3=$K32,200000,ABS(3-$K32)*100)),100000+ABS(3-$J32)*1000+30)+'計算A'!BB$5*50+IF(AND($E32=1,KO32=0),25,0),IF($F32&gt;0,INDEX('計算A'!BB$110:BB$114,$F32+1)+IF(AND($E32=1,KO32=0),1000,0),MIN(TW32,20)*400+(IF('計算A'!BA$106=1,1-EY32,0)+IF('計算A'!BB$106=1,1-FA32,0))*150+33+'計算A'!BB$5*100000+IF(AND($E32=1,KO32=0),50000,0))+IF($H32=1,(IF('計算A'!BA$117=1,INDEX('計算A'!BA$10:BA$54,$B32),0)+IF('計算A'!BB$117=1,INDEX('計算A'!BC$10:BC$54,$B32),0))*4000,0)-IF(AND('計算A'!BA$117=1,VY32&gt;0),2000,0)-IF(AND($L32=1,'計算A'!BB$117=1,FA32=0),2000,0))),1000000))</f>
        <v/>
      </c>
      <c r="QE32">
        <f>IF($B32=0,1000000,IF(INDEX('計算A'!$D$60:$EQ$104,$B32,52)*FA32=1,IF(AND($E32=2,KP32=0),1000000,IF($I32&gt;0,IF(3=$J32,IF(OR(AND(52=$I32+1,OR($K32&lt;&gt;'計算A'!$A$3,'計算A'!$A$4=0)),AND(52=$I32-1,OR(4&lt;&gt;'計算A'!$A$3,'計算A'!$A$4=0))),0,IF(4=$K32,200000,ABS(4-$K32)*100)),100000+ABS(3-$J32)*1000+40)+'計算A'!BC$5*50+IF(AND($E32=1,KP32=0),25,0),IF($F32&gt;0,INDEX('計算A'!BC$110:BC$114,$F32+1)+IF(AND($E32=1,KP32=0),1000,0),MIN(TW32,20)*400+(IF('計算A'!BB$106=1,1-EZ32,0)+IF('計算A'!BC$106=1,1-FB32,0))*150+43+'計算A'!BC$5*100000+IF(AND($E32=1,KP32=0),50000,0))+IF($H32=1,(IF('計算A'!BB$117=1,INDEX('計算A'!BB$10:BB$54,$B32),0)+IF('計算A'!BC$117=1,INDEX('計算A'!BD$10:BD$54,$B32),0))*4000,0)-IF(AND('計算A'!BB$117=1,VZ32&gt;0),2000,0)-IF(AND($L32=1,'計算A'!BC$117=1,FB32=0),2000,0))),1000000))</f>
        <v/>
      </c>
      <c r="QF32">
        <f>IF($B32=0,1000000,IF(INDEX('計算A'!$D$60:$EQ$104,$B32,53)*FB32=1,IF(AND($E32=2,KQ32=0),1000000,IF($I32&gt;0,IF(3=$J32,IF(OR(AND(53=$I32+1,OR($K32&lt;&gt;'計算A'!$A$3,'計算A'!$A$4=0)),AND(53=$I32-1,OR(5&lt;&gt;'計算A'!$A$3,'計算A'!$A$4=0))),0,IF(5=$K32,200000,ABS(5-$K32)*100)),100000+ABS(3-$J32)*1000+50)+'計算A'!BD$5*50+IF(AND($E32=1,KQ32=0),25,0),IF($F32&gt;0,INDEX('計算A'!BD$110:BD$114,$F32+1)+IF(AND($E32=1,KQ32=0),1000,0),MIN(TW32,20)*400+(IF('計算A'!BC$106=1,1-FA32,0)+IF('計算A'!BD$106=1,1-FC32,0))*150+53+'計算A'!BD$5*100000+IF(AND($E32=1,KQ32=0),50000,0))+IF($H32=1,(IF('計算A'!BC$117=1,INDEX('計算A'!BC$10:BC$54,$B32),0)+IF('計算A'!BD$117=1,INDEX('計算A'!BE$10:BE$54,$B32),0))*4000,0)-IF(AND('計算A'!BC$117=1,WA32&gt;0),2000,0)-IF(AND($L32=1,'計算A'!BD$117=1,FC32=0),2000,0))),1000000))</f>
        <v/>
      </c>
      <c r="QG32">
        <f>IF($B32=0,1000000,IF(INDEX('計算A'!$D$60:$EQ$104,$B32,54)*FC32=1,IF(AND($E32=2,KR32=0),1000000,IF($I32&gt;0,IF(3=$J32,IF(OR(AND(54=$I32+1,OR($K32&lt;&gt;'計算A'!$A$3,'計算A'!$A$4=0)),AND(54=$I32-1,OR(6&lt;&gt;'計算A'!$A$3,'計算A'!$A$4=0))),0,IF(6=$K32,200000,ABS(6-$K32)*100)),100000+ABS(3-$J32)*1000+60)+'計算A'!BE$5*50+IF(AND($E32=1,KR32=0),25,0),IF($F32&gt;0,INDEX('計算A'!BE$110:BE$114,$F32+1)+IF(AND($E32=1,KR32=0),1000,0),MIN(TW32,20)*400+(IF('計算A'!BD$106=1,1-FB32,0)+IF('計算A'!BE$106=1,1-FD32,0))*150+63+'計算A'!BE$5*100000+IF(AND($E32=1,KR32=0),50000,0))+IF($H32=1,(IF('計算A'!BD$117=1,INDEX('計算A'!BD$10:BD$54,$B32),0)+IF('計算A'!BE$117=1,INDEX('計算A'!BF$10:BF$54,$B32),0))*4000,0)-IF(AND('計算A'!BD$117=1,WB32&gt;0),2000,0)-IF(AND($L32=1,'計算A'!BE$117=1,FD32=0),2000,0))),1000000))</f>
        <v/>
      </c>
      <c r="QH32">
        <f>IF($B32=0,1000000,IF(INDEX('計算A'!$D$60:$EQ$104,$B32,55)*FD32=1,IF(AND($E32=2,KS32=0),1000000,IF($I32&gt;0,IF(3=$J32,IF(OR(AND(55=$I32+1,OR($K32&lt;&gt;'計算A'!$A$3,'計算A'!$A$4=0)),AND(55=$I32-1,OR(7&lt;&gt;'計算A'!$A$3,'計算A'!$A$4=0))),0,IF(7=$K32,200000,ABS(7-$K32)*100)),100000+ABS(3-$J32)*1000+70)+'計算A'!BF$5*50+IF(AND($E32=1,KS32=0),25,0),IF($F32&gt;0,INDEX('計算A'!BF$110:BF$114,$F32+1)+IF(AND($E32=1,KS32=0),1000,0),MIN(TW32,20)*400+(IF('計算A'!BE$106=1,1-FC32,0)+IF('計算A'!BF$106=1,1-FE32,0))*150+73+'計算A'!BF$5*100000+IF(AND($E32=1,KS32=0),50000,0))+IF($H32=1,(IF('計算A'!BE$117=1,INDEX('計算A'!BE$10:BE$54,$B32),0)+IF('計算A'!BF$117=1,INDEX('計算A'!BG$10:BG$54,$B32),0))*4000,0)-IF(AND('計算A'!BE$117=1,WC32&gt;0),2000,0)-IF(AND($L32=1,'計算A'!BF$117=1,FE32=0),2000,0))),1000000))</f>
        <v/>
      </c>
      <c r="QI32">
        <f>IF($B32=0,1000000,IF(INDEX('計算A'!$D$60:$EQ$104,$B32,56)*FE32=1,IF(AND($E32=2,KT32=0),1000000,IF($I32&gt;0,IF(3=$J32,IF(OR(AND(56=$I32+1,OR($K32&lt;&gt;'計算A'!$A$3,'計算A'!$A$4=0)),AND(56=$I32-1,OR(8&lt;&gt;'計算A'!$A$3,'計算A'!$A$4=0))),0,IF(8=$K32,200000,ABS(8-$K32)*100)),100000+ABS(3-$J32)*1000+80)+'計算A'!BG$5*50+IF(AND($E32=1,KT32=0),25,0),IF($F32&gt;0,INDEX('計算A'!BG$110:BG$114,$F32+1)+IF(AND($E32=1,KT32=0),1000,0),MIN(TW32,20)*400+(IF('計算A'!BF$106=1,1-FD32,0)+IF('計算A'!BG$106=1,1-FF32,0))*150+83+'計算A'!BG$5*100000+IF(AND($E32=1,KT32=0),50000,0))+IF($H32=1,(IF('計算A'!BF$117=1,INDEX('計算A'!BF$10:BF$54,$B32),0)+IF('計算A'!BG$117=1,INDEX('計算A'!BH$10:BH$54,$B32),0))*4000,0)-IF(AND('計算A'!BF$117=1,WD32&gt;0),2000,0)-IF(AND($L32=1,'計算A'!BG$117=1,FF32=0),2000,0))),1000000))</f>
        <v/>
      </c>
      <c r="QJ32">
        <f>IF($B32=0,1000000,IF(INDEX('計算A'!$D$60:$EQ$104,$B32,57)*FF32=1,IF(AND($E32=2,KU32=0),1000000,IF($I32&gt;0,IF(3=$J32,IF(OR(AND(57=$I32+1,OR($K32&lt;&gt;'計算A'!$A$3,'計算A'!$A$4=0)),AND(57=$I32-1,OR(9&lt;&gt;'計算A'!$A$3,'計算A'!$A$4=0))),0,IF(9=$K32,200000,ABS(9-$K32)*100)),100000+ABS(3-$J32)*1000+90)+'計算A'!BH$5*50+IF(AND($E32=1,KU32=0),25,0),IF($F32&gt;0,INDEX('計算A'!BH$110:BH$114,$F32+1)+IF(AND($E32=1,KU32=0),1000,0),MIN(TW32,20)*400+(IF('計算A'!BG$106=1,1-FE32,0)+IF('計算A'!BH$106=1,1-FG32,0))*150+93+'計算A'!BH$5*100000+IF(AND($E32=1,KU32=0),50000,0))+IF($H32=1,(IF('計算A'!BG$117=1,INDEX('計算A'!BG$10:BG$54,$B32),0)+IF('計算A'!BH$117=1,INDEX('計算A'!BI$10:BI$54,$B32),0))*4000,0)-IF(AND('計算A'!BG$117=1,WE32&gt;0),2000,0)-IF(AND($L32=1,'計算A'!BH$117=1,FG32=0),2000,0))),1000000))</f>
        <v/>
      </c>
      <c r="QK32">
        <f>IF($B32=0,1000000,IF(INDEX('計算A'!$D$60:$EQ$104,$B32,58)*FG32=1,IF(AND($E32=2,KV32=0),1000000,IF($I32&gt;0,IF(3=$J32,IF(OR(AND(58=$I32+1,OR($K32&lt;&gt;'計算A'!$A$3,'計算A'!$A$4=0)),AND(58=$I32-1,OR(10&lt;&gt;'計算A'!$A$3,'計算A'!$A$4=0))),0,IF(10=$K32,200000,ABS(10-$K32)*100)),100000+ABS(3-$J32)*1000+100)+'計算A'!BI$5*50+IF(AND($E32=1,KV32=0),25,0),IF($F32&gt;0,INDEX('計算A'!BI$110:BI$114,$F32+1)+IF(AND($E32=1,KV32=0),1000,0),MIN(TW32,20)*400+(IF('計算A'!BH$106=1,1-FF32,0)+IF('計算A'!BI$106=1,1-FH32,0))*150+103+'計算A'!BI$5*100000+IF(AND($E32=1,KV32=0),50000,0))+IF($H32=1,(IF('計算A'!BH$117=1,INDEX('計算A'!BH$10:BH$54,$B32),0)+IF('計算A'!BI$117=1,INDEX('計算A'!BJ$10:BJ$54,$B32),0))*4000,0)-IF(AND('計算A'!BH$117=1,WF32&gt;0),2000,0)-IF(AND($L32=1,'計算A'!BI$117=1,FH32=0),2000,0))),1000000))</f>
        <v/>
      </c>
      <c r="QL32">
        <f>IF($B32=0,1000000,IF(INDEX('計算A'!$D$60:$EQ$104,$B32,59)*FH32=1,IF(AND($E32=2,KW32=0),1000000,IF($I32&gt;0,IF(3=$J32,IF(OR(AND(59=$I32+1,OR($K32&lt;&gt;'計算A'!$A$3,'計算A'!$A$4=0)),AND(59=$I32-1,OR(11&lt;&gt;'計算A'!$A$3,'計算A'!$A$4=0))),0,IF(11=$K32,200000,ABS(11-$K32)*100)),100000+ABS(3-$J32)*1000+110)+'計算A'!BJ$5*50+IF(AND($E32=1,KW32=0),25,0),IF($F32&gt;0,INDEX('計算A'!BJ$110:BJ$114,$F32+1)+IF(AND($E32=1,KW32=0),1000,0),MIN(TW32,20)*400+(IF('計算A'!BI$106=1,1-FG32,0)+IF('計算A'!BJ$106=1,1-FI32,0))*150+113+'計算A'!BJ$5*100000+IF(AND($E32=1,KW32=0),50000,0))+IF($H32=1,(IF('計算A'!BI$117=1,INDEX('計算A'!BI$10:BI$54,$B32),0)+IF('計算A'!BJ$117=1,INDEX('計算A'!BK$10:BK$54,$B32),0))*4000,0)-IF(AND('計算A'!BI$117=1,WG32&gt;0),2000,0)-IF(AND($L32=1,'計算A'!BJ$117=1,FI32=0),2000,0))),1000000))</f>
        <v/>
      </c>
      <c r="QM32">
        <f>IF($B32=0,1000000,IF(INDEX('計算A'!$D$60:$EQ$104,$B32,60)*FI32=1,IF(AND($E32=2,KX32=0),1000000,IF($I32&gt;0,IF(3=$J32,IF(OR(AND(60=$I32+1,OR($K32&lt;&gt;'計算A'!$A$3,'計算A'!$A$4=0)),AND(60=$I32-1,OR(12&lt;&gt;'計算A'!$A$3,'計算A'!$A$4=0))),0,IF(12=$K32,200000,ABS(12-$K32)*100)),100000+ABS(3-$J32)*1000+120)+'計算A'!BK$5*50+IF(AND($E32=1,KX32=0),25,0),IF($F32&gt;0,INDEX('計算A'!BK$110:BK$114,$F32+1)+IF(AND($E32=1,KX32=0),1000,0),MIN(TW32,20)*400+(IF('計算A'!BJ$106=1,1-FH32,0)+IF('計算A'!BK$106=1,1-FJ32,0))*150+123+'計算A'!BK$5*100000+IF(AND($E32=1,KX32=0),50000,0))+IF($H32=1,(IF('計算A'!BJ$117=1,INDEX('計算A'!BJ$10:BJ$54,$B32),0)+IF('計算A'!BK$117=1,INDEX('計算A'!BL$10:BL$54,$B32),0))*4000,0)-IF(AND('計算A'!BJ$117=1,WH32&gt;0),2000,0)-IF(AND($L32=1,'計算A'!BK$117=1,FJ32=0),2000,0))),1000000))</f>
        <v/>
      </c>
      <c r="QN32">
        <f>IF($B32=0,1000000,IF(INDEX('計算A'!$D$60:$EQ$104,$B32,61)*FJ32=1,IF(AND($E32=2,KY32=0),1000000,IF($I32&gt;0,IF(3=$J32,IF(OR(AND(61=$I32+1,OR($K32&lt;&gt;'計算A'!$A$3,'計算A'!$A$4=0)),AND(61=$I32-1,OR(13&lt;&gt;'計算A'!$A$3,'計算A'!$A$4=0))),0,IF(13=$K32,200000,ABS(13-$K32)*100)),100000+ABS(3-$J32)*1000+130)+'計算A'!BL$5*50+IF(AND($E32=1,KY32=0),25,0),IF($F32&gt;0,INDEX('計算A'!BL$110:BL$114,$F32+1)+IF(AND($E32=1,KY32=0),1000,0),MIN(TW32,20)*400+(IF('計算A'!BK$106=1,1-FI32,0)+IF('計算A'!BL$106=1,1-FK32,0))*150+133+'計算A'!BL$5*100000+IF(AND($E32=1,KY32=0),50000,0))+IF($H32=1,(IF('計算A'!BK$117=1,INDEX('計算A'!BK$10:BK$54,$B32),0)+IF('計算A'!BL$117=1,INDEX('計算A'!BM$10:BM$54,$B32),0))*4000,0)-IF(AND('計算A'!BK$117=1,WI32&gt;0),2000,0)-IF(AND($L32=1,'計算A'!BL$117=1,FK32=0),2000,0))),1000000))</f>
        <v/>
      </c>
      <c r="QO32">
        <f>IF($B32=0,1000000,IF(INDEX('計算A'!$D$60:$EQ$104,$B32,62)*FK32=1,IF(AND($E32=2,KZ32=0),1000000,IF($I32&gt;0,IF(3=$J32,IF(OR(AND(62=$I32+1,OR($K32&lt;&gt;'計算A'!$A$3,'計算A'!$A$4=0)),AND(62=$I32-1,OR(14&lt;&gt;'計算A'!$A$3,'計算A'!$A$4=0))),0,IF(14=$K32,200000,ABS(14-$K32)*100)),100000+ABS(3-$J32)*1000+140)+'計算A'!BM$5*50+IF(AND($E32=1,KZ32=0),25,0),IF($F32&gt;0,INDEX('計算A'!BM$110:BM$114,$F32+1)+IF(AND($E32=1,KZ32=0),1000,0),MIN(TW32,20)*400+(IF('計算A'!BL$106=1,1-FJ32,0)+IF('計算A'!BM$106=1,1-FL32,0))*150+143+'計算A'!BM$5*100000+IF(AND($E32=1,KZ32=0),50000,0))+IF($H32=1,(IF('計算A'!BL$117=1,INDEX('計算A'!BL$10:BL$54,$B32),0)+IF('計算A'!BM$117=1,INDEX('計算A'!BN$10:BN$54,$B32),0))*4000,0)-IF(AND('計算A'!BL$117=1,WJ32&gt;0),2000,0)-IF(AND($L32=1,'計算A'!BM$117=1,FL32=0),2000,0))),1000000))</f>
        <v/>
      </c>
      <c r="QP32">
        <f>IF($B32=0,1000000,IF(INDEX('計算A'!$D$60:$EQ$104,$B32,63)*FL32=1,IF(AND($E32=2,LA32=0),1000000,IF($I32&gt;0,IF(3=$J32,IF(OR(AND(63=$I32+1,OR($K32&lt;&gt;'計算A'!$A$3,'計算A'!$A$4=0)),AND(63=$I32-1,OR(15&lt;&gt;'計算A'!$A$3,'計算A'!$A$4=0))),0,IF(15=$K32,200000,ABS(15-$K32)*100)),100000+ABS(3-$J32)*1000+150)+'計算A'!BN$5*50+IF(AND($E32=1,LA32=0),25,0),IF($F32&gt;0,INDEX('計算A'!BN$110:BN$114,$F32+1)+IF(AND($E32=1,LA32=0),1000,0),MIN(TW32,20)*400+(IF('計算A'!BM$106=1,1-FK32,0)+IF('計算A'!BN$106=1,1-FM32,0))*150+153+'計算A'!BN$5*100000+IF(AND($E32=1,LA32=0),50000,0))+IF($H32=1,(IF('計算A'!BM$117=1,INDEX('計算A'!BM$10:BM$54,$B32),0)+IF('計算A'!BN$117=1,INDEX('計算A'!BO$10:BO$54,$B32),0))*4000,0)-IF(AND('計算A'!BM$117=1,WK32&gt;0),2000,0)-IF(AND($L32=1,'計算A'!BN$117=1,FM32=0),2000,0))),1000000))</f>
        <v/>
      </c>
      <c r="QQ32">
        <f>IF($B32=0,1000000,IF(INDEX('計算A'!$D$60:$EQ$104,$B32,64)*FM32=1,IF(AND($E32=2,LB32=0),1000000,IF($I32&gt;0,IF(3=$J32,IF(OR(AND(64=$I32+1,OR($K32&lt;&gt;'計算A'!$A$3,'計算A'!$A$4=0)),AND(64=$I32-1,OR(16&lt;&gt;'計算A'!$A$3,'計算A'!$A$4=0))),0,IF(16=$K32,200000,ABS(16-$K32)*100)),100000+ABS(3-$J32)*1000+160)+'計算A'!BO$5*50+IF(AND($E32=1,LB32=0),25,0),IF($F32&gt;0,INDEX('計算A'!BO$110:BO$114,$F32+1)+IF(AND($E32=1,LB32=0),1000,0),MIN(TW32,20)*400+(IF('計算A'!BN$106=1,1-FL32,0)+IF('計算A'!BO$106=1,1-FN32,0))*150+163+'計算A'!BO$5*100000+IF(AND($E32=1,LB32=0),50000,0))+IF($H32=1,(IF('計算A'!BN$117=1,INDEX('計算A'!BN$10:BN$54,$B32),0)+IF('計算A'!BO$117=1,INDEX('計算A'!BP$10:BP$54,$B32),0))*4000,0)-IF(AND('計算A'!BN$117=1,WL32&gt;0),2000,0)-IF(AND($L32=1,'計算A'!BO$117=1,FN32=0),2000,0))),1000000))</f>
        <v/>
      </c>
      <c r="QR32">
        <f>IF($B32=0,1000000,IF(INDEX('計算A'!$D$60:$EQ$104,$B32,65)*FN32=1,IF(AND($E32=2,LC32=0),1000000,IF($I32&gt;0,IF(3=$J32,IF(OR(AND(65=$I32+1,OR($K32&lt;&gt;'計算A'!$A$3,'計算A'!$A$4=0)),AND(65=$I32-1,OR(17&lt;&gt;'計算A'!$A$3,'計算A'!$A$4=0))),0,IF(17=$K32,200000,ABS(17-$K32)*100)),100000+ABS(3-$J32)*1000+170)+'計算A'!BP$5*50+IF(AND($E32=1,LC32=0),25,0),IF($F32&gt;0,INDEX('計算A'!BP$110:BP$114,$F32+1)+IF(AND($E32=1,LC32=0),1000,0),MIN(TW32,20)*400+(IF('計算A'!BO$106=1,1-FM32,0)+IF('計算A'!BP$106=1,1-FO32,0))*150+173+'計算A'!BP$5*100000+IF(AND($E32=1,LC32=0),50000,0))+IF($H32=1,(IF('計算A'!BO$117=1,INDEX('計算A'!BO$10:BO$54,$B32),0)+IF('計算A'!BP$117=1,INDEX('計算A'!BQ$10:BQ$54,$B32),0))*4000,0)-IF(AND('計算A'!BO$117=1,WM32&gt;0),2000,0)-IF(AND($L32=1,'計算A'!BP$117=1,FO32=0),2000,0))),1000000))</f>
        <v/>
      </c>
      <c r="QS32">
        <f>IF($B32=0,1000000,IF(INDEX('計算A'!$D$60:$EQ$104,$B32,66)*FO32=1,IF(AND($E32=2,LD32=0),1000000,IF($I32&gt;0,IF(3=$J32,IF(OR(AND(66=$I32+1,OR($K32&lt;&gt;'計算A'!$A$3,'計算A'!$A$4=0)),AND(66=$I32-1,OR(18&lt;&gt;'計算A'!$A$3,'計算A'!$A$4=0))),0,IF(18=$K32,200000,ABS(18-$K32)*100)),100000+ABS(3-$J32)*1000+180)+'計算A'!BQ$5*50+IF(AND($E32=1,LD32=0),25,0),IF($F32&gt;0,INDEX('計算A'!BQ$110:BQ$114,$F32+1)+IF(AND($E32=1,LD32=0),1000,0),MIN(TW32,20)*400+(IF('計算A'!BP$106=1,1-FN32,0)+IF('計算A'!BQ$106=1,1-FP32,0))*150+183+'計算A'!BQ$5*100000+IF(AND($E32=1,LD32=0),50000,0))+IF($H32=1,(IF('計算A'!BP$117=1,INDEX('計算A'!BP$10:BP$54,$B32),0)+IF('計算A'!BQ$117=1,INDEX('計算A'!BR$10:BR$54,$B32),0))*4000,0)-IF(AND('計算A'!BP$117=1,WN32&gt;0),2000,0)-IF(AND($L32=1,'計算A'!BQ$117=1,FP32=0),2000,0))),1000000))</f>
        <v/>
      </c>
      <c r="QT32">
        <f>IF($B32=0,1000000,IF(INDEX('計算A'!$D$60:$EQ$104,$B32,67)*FP32=1,IF(AND($E32=2,LE32=0),1000000,IF($I32&gt;0,IF(3=$J32,IF(OR(AND(67=$I32+1,OR($K32&lt;&gt;'計算A'!$A$3,'計算A'!$A$4=0)),AND(67=$I32-1,OR(19&lt;&gt;'計算A'!$A$3,'計算A'!$A$4=0))),0,IF(19=$K32,200000,ABS(19-$K32)*100)),100000+ABS(3-$J32)*1000+190)+'計算A'!BR$5*50+IF(AND($E32=1,LE32=0),25,0),IF($F32&gt;0,INDEX('計算A'!BR$110:BR$114,$F32+1)+IF(AND($E32=1,LE32=0),1000,0),MIN(TW32,20)*400+(IF('計算A'!BQ$106=1,1-FO32,0)+IF('計算A'!BR$106=1,1-FQ32,0))*150+193+'計算A'!BR$5*100000+IF(AND($E32=1,LE32=0),50000,0))+IF($H32=1,(IF('計算A'!BQ$117=1,INDEX('計算A'!BQ$10:BQ$54,$B32),0)+IF('計算A'!BR$117=1,INDEX('計算A'!BS$10:BS$54,$B32),0))*4000,0)-IF(AND('計算A'!BQ$117=1,WO32&gt;0),2000,0)-IF(AND($L32=1,'計算A'!BR$117=1,FQ32=0),2000,0))),1000000))</f>
        <v/>
      </c>
      <c r="QU32">
        <f>IF($B32=0,1000000,IF(INDEX('計算A'!$D$60:$EQ$104,$B32,68)*FQ32=1,IF(AND($E32=2,LF32=0),1000000,IF($I32&gt;0,IF(3=$J32,IF(OR(AND(68=$I32+1,OR($K32&lt;&gt;'計算A'!$A$3,'計算A'!$A$4=0)),AND(68=$I32-1,OR(20&lt;&gt;'計算A'!$A$3,'計算A'!$A$4=0))),0,IF(20=$K32,200000,ABS(20-$K32)*100)),100000+ABS(3-$J32)*1000+200)+'計算A'!BS$5*50+IF(AND($E32=1,LF32=0),25,0),IF($F32&gt;0,INDEX('計算A'!BS$110:BS$114,$F32+1)+IF(AND($E32=1,LF32=0),1000,0),MIN(TW32,20)*400+(IF('計算A'!BR$106=1,1-FP32,0)+IF('計算A'!BS$106=1,1-FR32,0))*150+203+'計算A'!BS$5*100000+IF(AND($E32=1,LF32=0),50000,0))+IF($H32=1,(IF('計算A'!BR$117=1,INDEX('計算A'!BR$10:BR$54,$B32),0)+IF('計算A'!BS$117=1,INDEX('計算A'!BT$10:BT$54,$B32),0))*4000,0)-IF(AND('計算A'!BR$117=1,WP32&gt;0),2000,0)-IF(AND($L32=1,'計算A'!BS$117=1,FR32=0),2000,0))),1000000))</f>
        <v/>
      </c>
      <c r="QV32">
        <f>IF($B32=0,1000000,IF(INDEX('計算A'!$D$60:$EQ$104,$B32,69)*FR32=1,IF(AND($E32=2,LG32=0),1000000,IF($I32&gt;0,IF(3=$J32,IF(OR(AND(69=$I32+1,OR($K32&lt;&gt;'計算A'!$A$3,'計算A'!$A$4=0)),AND(69=$I32-1,OR(21&lt;&gt;'計算A'!$A$3,'計算A'!$A$4=0))),0,IF(21=$K32,200000,ABS(21-$K32)*100)),100000+ABS(3-$J32)*1000+210)+'計算A'!BT$5*50+IF(AND($E32=1,LG32=0),25,0),IF($F32&gt;0,INDEX('計算A'!BT$110:BT$114,$F32+1)+IF(AND($E32=1,LG32=0),1000,0),MIN(TW32,20)*400+(IF('計算A'!BS$106=1,1-FQ32,0)+IF('計算A'!BT$106=1,1-FS32,0))*150+213+'計算A'!BT$5*100000+IF(AND($E32=1,LG32=0),50000,0))+IF($H32=1,(IF('計算A'!BS$117=1,INDEX('計算A'!BS$10:BS$54,$B32),0)+IF('計算A'!BT$117=1,INDEX('計算A'!BU$10:BU$54,$B32),0))*4000,0)-IF(AND('計算A'!BS$117=1,WQ32&gt;0),2000,0)-IF(AND($L32=1,'計算A'!BT$117=1,FS32=0),2000,0))),1000000))</f>
        <v/>
      </c>
      <c r="QW32">
        <f>IF($B32=0,1000000,IF(INDEX('計算A'!$D$60:$EQ$104,$B32,70)*FS32=1,IF(AND($E32=2,LH32=0),1000000,IF($I32&gt;0,IF(3=$J32,IF(OR(AND(70=$I32+1,OR($K32&lt;&gt;'計算A'!$A$3,'計算A'!$A$4=0)),AND(70=$I32-1,OR(22&lt;&gt;'計算A'!$A$3,'計算A'!$A$4=0))),0,IF(22=$K32,200000,ABS(22-$K32)*100)),100000+ABS(3-$J32)*1000+220)+'計算A'!BU$5*50+IF(AND($E32=1,LH32=0),25,0),IF($F32&gt;0,INDEX('計算A'!BU$110:BU$114,$F32+1)+IF(AND($E32=1,LH32=0),1000,0),MIN(TW32,20)*400+(IF('計算A'!BT$106=1,1-FR32,0)+IF('計算A'!BU$106=1,1-FT32,0))*150+223+'計算A'!BU$5*100000+IF(AND($E32=1,LH32=0),50000,0))+IF($H32=1,(IF('計算A'!BT$117=1,INDEX('計算A'!BT$10:BT$54,$B32),0)+IF('計算A'!BU$117=1,INDEX('計算A'!BV$10:BV$54,$B32),0))*4000,0)-IF(AND('計算A'!BT$117=1,WR32&gt;0),2000,0)-IF(AND($L32=1,'計算A'!BU$117=1,FT32=0),2000,0))),1000000))</f>
        <v/>
      </c>
      <c r="QX32">
        <f>IF($B32=0,1000000,IF(INDEX('計算A'!$D$60:$EQ$104,$B32,71)*FT32=1,IF(AND($E32=2,LI32=0),1000000,IF($I32&gt;0,IF(3=$J32,IF(OR(AND(71=$I32+1,OR($K32&lt;&gt;'計算A'!$A$3,'計算A'!$A$4=0)),AND(71=$I32-1,OR(23&lt;&gt;'計算A'!$A$3,'計算A'!$A$4=0))),0,IF(23=$K32,200000,ABS(23-$K32)*100)),100000+ABS(3-$J32)*1000+230)+'計算A'!BV$5*50+IF(AND($E32=1,LI32=0),25,0),IF($F32&gt;0,INDEX('計算A'!BV$110:BV$114,$F32+1)+IF(AND($E32=1,LI32=0),1000,0),MIN(TW32,20)*400+(IF('計算A'!BU$106=1,1-FS32,0)+IF('計算A'!BV$106=1,1-FU32,0))*150+233+'計算A'!BV$5*100000+IF(AND($E32=1,LI32=0),50000,0))+IF($H32=1,(IF('計算A'!BU$117=1,INDEX('計算A'!BU$10:BU$54,$B32),0)+IF('計算A'!BV$117=1,INDEX('計算A'!BW$10:BW$54,$B32),0))*4000,0)-IF(AND('計算A'!BU$117=1,WS32&gt;0),2000,0)-IF(AND($L32=1,'計算A'!BV$117=1,FU32=0),2000,0))),1000000))</f>
        <v/>
      </c>
      <c r="QY32">
        <f>IF($B32=0,1000000,IF(INDEX('計算A'!$D$60:$EQ$104,$B32,72)*FU32=1,IF(AND($E32=2,LJ32=0),1000000,IF($I32&gt;0,IF(3=$J32,IF(OR(AND(72=$I32+1,OR($K32&lt;&gt;'計算A'!$A$3,'計算A'!$A$4=0)),AND(72=$I32-1,OR(24&lt;&gt;'計算A'!$A$3,'計算A'!$A$4=0))),0,IF(24=$K32,200000,ABS(24-$K32)*100)),100000+ABS(3-$J32)*1000+240)+'計算A'!BW$5*50+IF(AND($E32=1,LJ32=0),25,0),IF($F32&gt;0,INDEX('計算A'!BW$110:BW$114,$F32+1)+IF(AND($E32=1,LJ32=0),1000,0),MIN(TW32,20)*400+(IF('計算A'!BV$106=1,1-FT32,0))*150+243+'計算A'!BW$5*100000+IF(AND($E32=1,LJ32=0),50000,0))+IF($H32=1,(IF('計算A'!BV$117=1,INDEX('計算A'!BV$10:BV$54,$B32),0))*4000,0)-IF(AND('計算A'!BV$117=1,WT32&gt;0),2000,0))),1000000))</f>
        <v/>
      </c>
      <c r="QZ32">
        <f>IF($B32=0,1000000,IF(INDEX('計算A'!$D$60:$EQ$104,$B32,73)*FV32=1,IF(AND($E32=2,LK32=0),1000000,IF($I32&gt;0,IF(4=$J32,IF(OR(AND(73=$I32+1,OR($K32&lt;&gt;'計算A'!$A$3,'計算A'!$A$4=0)),AND(73=$I32-1,OR(1&lt;&gt;'計算A'!$A$3,'計算A'!$A$4=0))),0,IF(1=$K32,200000,ABS(1-$K32)*100)),100000+ABS(4-$J32)*1000+10)+'計算A'!BX$5*50+IF(AND($E32=1,LK32=0),25,0),IF($F32&gt;0,INDEX('計算A'!BX$110:BX$114,$F32+1)+IF(AND($E32=1,LK32=0),1000,0),MIN(TX32,20)*400+(IF('計算A'!BX$106=1,1-FW32,0))*150+14+'計算A'!BX$5*100000+IF(AND($E32=1,LK32=0),50000,0))+IF($H32=1,(IF('計算A'!BX$117=1,INDEX('計算A'!BY$10:BY$54,$B32),0))*4000,0)-IF(AND($L32=1,'計算A'!BX$117=1,FW32=0),2000,0))),1000000))</f>
        <v/>
      </c>
      <c r="RA32">
        <f>IF($B32=0,1000000,IF(INDEX('計算A'!$D$60:$EQ$104,$B32,74)*FW32=1,IF(AND($E32=2,LL32=0),1000000,IF($I32&gt;0,IF(4=$J32,IF(OR(AND(74=$I32+1,OR($K32&lt;&gt;'計算A'!$A$3,'計算A'!$A$4=0)),AND(74=$I32-1,OR(2&lt;&gt;'計算A'!$A$3,'計算A'!$A$4=0))),0,IF(2=$K32,200000,ABS(2-$K32)*100)),100000+ABS(4-$J32)*1000+20)+'計算A'!BY$5*50+IF(AND($E32=1,LL32=0),25,0),IF($F32&gt;0,INDEX('計算A'!BY$110:BY$114,$F32+1)+IF(AND($E32=1,LL32=0),1000,0),MIN(TX32,20)*400+(IF('計算A'!BX$106=1,1-FV32,0)+IF('計算A'!BY$106=1,1-FX32,0))*150+24+'計算A'!BY$5*100000+IF(AND($E32=1,LL32=0),50000,0))+IF($H32=1,(IF('計算A'!BX$117=1,INDEX('計算A'!BX$10:BX$54,$B32),0)+IF('計算A'!BY$117=1,INDEX('計算A'!BZ$10:BZ$54,$B32),0))*4000,0)-IF(AND('計算A'!BX$117=1,WV32&gt;0),2000,0)-IF(AND($L32=1,'計算A'!BY$117=1,FX32=0),2000,0))),1000000))</f>
        <v/>
      </c>
      <c r="RB32">
        <f>IF($B32=0,1000000,IF(INDEX('計算A'!$D$60:$EQ$104,$B32,75)*FX32=1,IF(AND($E32=2,LM32=0),1000000,IF($I32&gt;0,IF(4=$J32,IF(OR(AND(75=$I32+1,OR($K32&lt;&gt;'計算A'!$A$3,'計算A'!$A$4=0)),AND(75=$I32-1,OR(3&lt;&gt;'計算A'!$A$3,'計算A'!$A$4=0))),0,IF(3=$K32,200000,ABS(3-$K32)*100)),100000+ABS(4-$J32)*1000+30)+'計算A'!BZ$5*50+IF(AND($E32=1,LM32=0),25,0),IF($F32&gt;0,INDEX('計算A'!BZ$110:BZ$114,$F32+1)+IF(AND($E32=1,LM32=0),1000,0),MIN(TX32,20)*400+(IF('計算A'!BY$106=1,1-FW32,0)+IF('計算A'!BZ$106=1,1-FY32,0))*150+34+'計算A'!BZ$5*100000+IF(AND($E32=1,LM32=0),50000,0))+IF($H32=1,(IF('計算A'!BY$117=1,INDEX('計算A'!BY$10:BY$54,$B32),0)+IF('計算A'!BZ$117=1,INDEX('計算A'!CA$10:CA$54,$B32),0))*4000,0)-IF(AND('計算A'!BY$117=1,WW32&gt;0),2000,0)-IF(AND($L32=1,'計算A'!BZ$117=1,FY32=0),2000,0))),1000000))</f>
        <v/>
      </c>
      <c r="RC32">
        <f>IF($B32=0,1000000,IF(INDEX('計算A'!$D$60:$EQ$104,$B32,76)*FY32=1,IF(AND($E32=2,LN32=0),1000000,IF($I32&gt;0,IF(4=$J32,IF(OR(AND(76=$I32+1,OR($K32&lt;&gt;'計算A'!$A$3,'計算A'!$A$4=0)),AND(76=$I32-1,OR(4&lt;&gt;'計算A'!$A$3,'計算A'!$A$4=0))),0,IF(4=$K32,200000,ABS(4-$K32)*100)),100000+ABS(4-$J32)*1000+40)+'計算A'!CA$5*50+IF(AND($E32=1,LN32=0),25,0),IF($F32&gt;0,INDEX('計算A'!CA$110:CA$114,$F32+1)+IF(AND($E32=1,LN32=0),1000,0),MIN(TX32,20)*400+(IF('計算A'!BZ$106=1,1-FX32,0)+IF('計算A'!CA$106=1,1-FZ32,0))*150+44+'計算A'!CA$5*100000+IF(AND($E32=1,LN32=0),50000,0))+IF($H32=1,(IF('計算A'!BZ$117=1,INDEX('計算A'!BZ$10:BZ$54,$B32),0)+IF('計算A'!CA$117=1,INDEX('計算A'!CB$10:CB$54,$B32),0))*4000,0)-IF(AND('計算A'!BZ$117=1,WX32&gt;0),2000,0)-IF(AND($L32=1,'計算A'!CA$117=1,FZ32=0),2000,0))),1000000))</f>
        <v/>
      </c>
      <c r="RD32">
        <f>IF($B32=0,1000000,IF(INDEX('計算A'!$D$60:$EQ$104,$B32,77)*FZ32=1,IF(AND($E32=2,LO32=0),1000000,IF($I32&gt;0,IF(4=$J32,IF(OR(AND(77=$I32+1,OR($K32&lt;&gt;'計算A'!$A$3,'計算A'!$A$4=0)),AND(77=$I32-1,OR(5&lt;&gt;'計算A'!$A$3,'計算A'!$A$4=0))),0,IF(5=$K32,200000,ABS(5-$K32)*100)),100000+ABS(4-$J32)*1000+50)+'計算A'!CB$5*50+IF(AND($E32=1,LO32=0),25,0),IF($F32&gt;0,INDEX('計算A'!CB$110:CB$114,$F32+1)+IF(AND($E32=1,LO32=0),1000,0),MIN(TX32,20)*400+(IF('計算A'!CA$106=1,1-FY32,0)+IF('計算A'!CB$106=1,1-GA32,0))*150+54+'計算A'!CB$5*100000+IF(AND($E32=1,LO32=0),50000,0))+IF($H32=1,(IF('計算A'!CA$117=1,INDEX('計算A'!CA$10:CA$54,$B32),0)+IF('計算A'!CB$117=1,INDEX('計算A'!CC$10:CC$54,$B32),0))*4000,0)-IF(AND('計算A'!CA$117=1,WY32&gt;0),2000,0)-IF(AND($L32=1,'計算A'!CB$117=1,GA32=0),2000,0))),1000000))</f>
        <v/>
      </c>
      <c r="RE32">
        <f>IF($B32=0,1000000,IF(INDEX('計算A'!$D$60:$EQ$104,$B32,78)*GA32=1,IF(AND($E32=2,LP32=0),1000000,IF($I32&gt;0,IF(4=$J32,IF(OR(AND(78=$I32+1,OR($K32&lt;&gt;'計算A'!$A$3,'計算A'!$A$4=0)),AND(78=$I32-1,OR(6&lt;&gt;'計算A'!$A$3,'計算A'!$A$4=0))),0,IF(6=$K32,200000,ABS(6-$K32)*100)),100000+ABS(4-$J32)*1000+60)+'計算A'!CC$5*50+IF(AND($E32=1,LP32=0),25,0),IF($F32&gt;0,INDEX('計算A'!CC$110:CC$114,$F32+1)+IF(AND($E32=1,LP32=0),1000,0),MIN(TX32,20)*400+(IF('計算A'!CB$106=1,1-FZ32,0)+IF('計算A'!CC$106=1,1-GB32,0))*150+64+'計算A'!CC$5*100000+IF(AND($E32=1,LP32=0),50000,0))+IF($H32=1,(IF('計算A'!CB$117=1,INDEX('計算A'!CB$10:CB$54,$B32),0)+IF('計算A'!CC$117=1,INDEX('計算A'!CD$10:CD$54,$B32),0))*4000,0)-IF(AND('計算A'!CB$117=1,WZ32&gt;0),2000,0)-IF(AND($L32=1,'計算A'!CC$117=1,GB32=0),2000,0))),1000000))</f>
        <v/>
      </c>
      <c r="RF32">
        <f>IF($B32=0,1000000,IF(INDEX('計算A'!$D$60:$EQ$104,$B32,79)*GB32=1,IF(AND($E32=2,LQ32=0),1000000,IF($I32&gt;0,IF(4=$J32,IF(OR(AND(79=$I32+1,OR($K32&lt;&gt;'計算A'!$A$3,'計算A'!$A$4=0)),AND(79=$I32-1,OR(7&lt;&gt;'計算A'!$A$3,'計算A'!$A$4=0))),0,IF(7=$K32,200000,ABS(7-$K32)*100)),100000+ABS(4-$J32)*1000+70)+'計算A'!CD$5*50+IF(AND($E32=1,LQ32=0),25,0),IF($F32&gt;0,INDEX('計算A'!CD$110:CD$114,$F32+1)+IF(AND($E32=1,LQ32=0),1000,0),MIN(TX32,20)*400+(IF('計算A'!CC$106=1,1-GA32,0)+IF('計算A'!CD$106=1,1-GC32,0))*150+74+'計算A'!CD$5*100000+IF(AND($E32=1,LQ32=0),50000,0))+IF($H32=1,(IF('計算A'!CC$117=1,INDEX('計算A'!CC$10:CC$54,$B32),0)+IF('計算A'!CD$117=1,INDEX('計算A'!CE$10:CE$54,$B32),0))*4000,0)-IF(AND('計算A'!CC$117=1,XA32&gt;0),2000,0)-IF(AND($L32=1,'計算A'!CD$117=1,GC32=0),2000,0))),1000000))</f>
        <v/>
      </c>
      <c r="RG32">
        <f>IF($B32=0,1000000,IF(INDEX('計算A'!$D$60:$EQ$104,$B32,80)*GC32=1,IF(AND($E32=2,LR32=0),1000000,IF($I32&gt;0,IF(4=$J32,IF(OR(AND(80=$I32+1,OR($K32&lt;&gt;'計算A'!$A$3,'計算A'!$A$4=0)),AND(80=$I32-1,OR(8&lt;&gt;'計算A'!$A$3,'計算A'!$A$4=0))),0,IF(8=$K32,200000,ABS(8-$K32)*100)),100000+ABS(4-$J32)*1000+80)+'計算A'!CE$5*50+IF(AND($E32=1,LR32=0),25,0),IF($F32&gt;0,INDEX('計算A'!CE$110:CE$114,$F32+1)+IF(AND($E32=1,LR32=0),1000,0),MIN(TX32,20)*400+(IF('計算A'!CD$106=1,1-GB32,0)+IF('計算A'!CE$106=1,1-GD32,0))*150+84+'計算A'!CE$5*100000+IF(AND($E32=1,LR32=0),50000,0))+IF($H32=1,(IF('計算A'!CD$117=1,INDEX('計算A'!CD$10:CD$54,$B32),0)+IF('計算A'!CE$117=1,INDEX('計算A'!CF$10:CF$54,$B32),0))*4000,0)-IF(AND('計算A'!CD$117=1,XB32&gt;0),2000,0)-IF(AND($L32=1,'計算A'!CE$117=1,GD32=0),2000,0))),1000000))</f>
        <v/>
      </c>
      <c r="RH32">
        <f>IF($B32=0,1000000,IF(INDEX('計算A'!$D$60:$EQ$104,$B32,81)*GD32=1,IF(AND($E32=2,LS32=0),1000000,IF($I32&gt;0,IF(4=$J32,IF(OR(AND(81=$I32+1,OR($K32&lt;&gt;'計算A'!$A$3,'計算A'!$A$4=0)),AND(81=$I32-1,OR(9&lt;&gt;'計算A'!$A$3,'計算A'!$A$4=0))),0,IF(9=$K32,200000,ABS(9-$K32)*100)),100000+ABS(4-$J32)*1000+90)+'計算A'!CF$5*50+IF(AND($E32=1,LS32=0),25,0),IF($F32&gt;0,INDEX('計算A'!CF$110:CF$114,$F32+1)+IF(AND($E32=1,LS32=0),1000,0),MIN(TX32,20)*400+(IF('計算A'!CE$106=1,1-GC32,0)+IF('計算A'!CF$106=1,1-GE32,0))*150+94+'計算A'!CF$5*100000+IF(AND($E32=1,LS32=0),50000,0))+IF($H32=1,(IF('計算A'!CE$117=1,INDEX('計算A'!CE$10:CE$54,$B32),0)+IF('計算A'!CF$117=1,INDEX('計算A'!CG$10:CG$54,$B32),0))*4000,0)-IF(AND('計算A'!CE$117=1,XC32&gt;0),2000,0)-IF(AND($L32=1,'計算A'!CF$117=1,GE32=0),2000,0))),1000000))</f>
        <v/>
      </c>
      <c r="RI32">
        <f>IF($B32=0,1000000,IF(INDEX('計算A'!$D$60:$EQ$104,$B32,82)*GE32=1,IF(AND($E32=2,LT32=0),1000000,IF($I32&gt;0,IF(4=$J32,IF(OR(AND(82=$I32+1,OR($K32&lt;&gt;'計算A'!$A$3,'計算A'!$A$4=0)),AND(82=$I32-1,OR(10&lt;&gt;'計算A'!$A$3,'計算A'!$A$4=0))),0,IF(10=$K32,200000,ABS(10-$K32)*100)),100000+ABS(4-$J32)*1000+100)+'計算A'!CG$5*50+IF(AND($E32=1,LT32=0),25,0),IF($F32&gt;0,INDEX('計算A'!CG$110:CG$114,$F32+1)+IF(AND($E32=1,LT32=0),1000,0),MIN(TX32,20)*400+(IF('計算A'!CF$106=1,1-GD32,0)+IF('計算A'!CG$106=1,1-GF32,0))*150+104+'計算A'!CG$5*100000+IF(AND($E32=1,LT32=0),50000,0))+IF($H32=1,(IF('計算A'!CF$117=1,INDEX('計算A'!CF$10:CF$54,$B32),0)+IF('計算A'!CG$117=1,INDEX('計算A'!CH$10:CH$54,$B32),0))*4000,0)-IF(AND('計算A'!CF$117=1,XD32&gt;0),2000,0)-IF(AND($L32=1,'計算A'!CG$117=1,GF32=0),2000,0))),1000000))</f>
        <v/>
      </c>
      <c r="RJ32">
        <f>IF($B32=0,1000000,IF(INDEX('計算A'!$D$60:$EQ$104,$B32,83)*GF32=1,IF(AND($E32=2,LU32=0),1000000,IF($I32&gt;0,IF(4=$J32,IF(OR(AND(83=$I32+1,OR($K32&lt;&gt;'計算A'!$A$3,'計算A'!$A$4=0)),AND(83=$I32-1,OR(11&lt;&gt;'計算A'!$A$3,'計算A'!$A$4=0))),0,IF(11=$K32,200000,ABS(11-$K32)*100)),100000+ABS(4-$J32)*1000+110)+'計算A'!CH$5*50+IF(AND($E32=1,LU32=0),25,0),IF($F32&gt;0,INDEX('計算A'!CH$110:CH$114,$F32+1)+IF(AND($E32=1,LU32=0),1000,0),MIN(TX32,20)*400+(IF('計算A'!CG$106=1,1-GE32,0)+IF('計算A'!CH$106=1,1-GG32,0))*150+114+'計算A'!CH$5*100000+IF(AND($E32=1,LU32=0),50000,0))+IF($H32=1,(IF('計算A'!CG$117=1,INDEX('計算A'!CG$10:CG$54,$B32),0)+IF('計算A'!CH$117=1,INDEX('計算A'!CI$10:CI$54,$B32),0))*4000,0)-IF(AND('計算A'!CG$117=1,XE32&gt;0),2000,0)-IF(AND($L32=1,'計算A'!CH$117=1,GG32=0),2000,0))),1000000))</f>
        <v/>
      </c>
      <c r="RK32">
        <f>IF($B32=0,1000000,IF(INDEX('計算A'!$D$60:$EQ$104,$B32,84)*GG32=1,IF(AND($E32=2,LV32=0),1000000,IF($I32&gt;0,IF(4=$J32,IF(OR(AND(84=$I32+1,OR($K32&lt;&gt;'計算A'!$A$3,'計算A'!$A$4=0)),AND(84=$I32-1,OR(12&lt;&gt;'計算A'!$A$3,'計算A'!$A$4=0))),0,IF(12=$K32,200000,ABS(12-$K32)*100)),100000+ABS(4-$J32)*1000+120)+'計算A'!CI$5*50+IF(AND($E32=1,LV32=0),25,0),IF($F32&gt;0,INDEX('計算A'!CI$110:CI$114,$F32+1)+IF(AND($E32=1,LV32=0),1000,0),MIN(TX32,20)*400+(IF('計算A'!CH$106=1,1-GF32,0)+IF('計算A'!CI$106=1,1-GH32,0))*150+124+'計算A'!CI$5*100000+IF(AND($E32=1,LV32=0),50000,0))+IF($H32=1,(IF('計算A'!CH$117=1,INDEX('計算A'!CH$10:CH$54,$B32),0)+IF('計算A'!CI$117=1,INDEX('計算A'!CJ$10:CJ$54,$B32),0))*4000,0)-IF(AND('計算A'!CH$117=1,XF32&gt;0),2000,0)-IF(AND($L32=1,'計算A'!CI$117=1,GH32=0),2000,0))),1000000))</f>
        <v/>
      </c>
      <c r="RL32">
        <f>IF($B32=0,1000000,IF(INDEX('計算A'!$D$60:$EQ$104,$B32,85)*GH32=1,IF(AND($E32=2,LW32=0),1000000,IF($I32&gt;0,IF(4=$J32,IF(OR(AND(85=$I32+1,OR($K32&lt;&gt;'計算A'!$A$3,'計算A'!$A$4=0)),AND(85=$I32-1,OR(13&lt;&gt;'計算A'!$A$3,'計算A'!$A$4=0))),0,IF(13=$K32,200000,ABS(13-$K32)*100)),100000+ABS(4-$J32)*1000+130)+'計算A'!CJ$5*50+IF(AND($E32=1,LW32=0),25,0),IF($F32&gt;0,INDEX('計算A'!CJ$110:CJ$114,$F32+1)+IF(AND($E32=1,LW32=0),1000,0),MIN(TX32,20)*400+(IF('計算A'!CI$106=1,1-GG32,0)+IF('計算A'!CJ$106=1,1-GI32,0))*150+134+'計算A'!CJ$5*100000+IF(AND($E32=1,LW32=0),50000,0))+IF($H32=1,(IF('計算A'!CI$117=1,INDEX('計算A'!CI$10:CI$54,$B32),0)+IF('計算A'!CJ$117=1,INDEX('計算A'!CK$10:CK$54,$B32),0))*4000,0)-IF(AND('計算A'!CI$117=1,XG32&gt;0),2000,0)-IF(AND($L32=1,'計算A'!CJ$117=1,GI32=0),2000,0))),1000000))</f>
        <v/>
      </c>
      <c r="RM32">
        <f>IF($B32=0,1000000,IF(INDEX('計算A'!$D$60:$EQ$104,$B32,86)*GI32=1,IF(AND($E32=2,LX32=0),1000000,IF($I32&gt;0,IF(4=$J32,IF(OR(AND(86=$I32+1,OR($K32&lt;&gt;'計算A'!$A$3,'計算A'!$A$4=0)),AND(86=$I32-1,OR(14&lt;&gt;'計算A'!$A$3,'計算A'!$A$4=0))),0,IF(14=$K32,200000,ABS(14-$K32)*100)),100000+ABS(4-$J32)*1000+140)+'計算A'!CK$5*50+IF(AND($E32=1,LX32=0),25,0),IF($F32&gt;0,INDEX('計算A'!CK$110:CK$114,$F32+1)+IF(AND($E32=1,LX32=0),1000,0),MIN(TX32,20)*400+(IF('計算A'!CJ$106=1,1-GH32,0)+IF('計算A'!CK$106=1,1-GJ32,0))*150+144+'計算A'!CK$5*100000+IF(AND($E32=1,LX32=0),50000,0))+IF($H32=1,(IF('計算A'!CJ$117=1,INDEX('計算A'!CJ$10:CJ$54,$B32),0)+IF('計算A'!CK$117=1,INDEX('計算A'!CL$10:CL$54,$B32),0))*4000,0)-IF(AND('計算A'!CJ$117=1,XH32&gt;0),2000,0)-IF(AND($L32=1,'計算A'!CK$117=1,GJ32=0),2000,0))),1000000))</f>
        <v/>
      </c>
      <c r="RN32">
        <f>IF($B32=0,1000000,IF(INDEX('計算A'!$D$60:$EQ$104,$B32,87)*GJ32=1,IF(AND($E32=2,LY32=0),1000000,IF($I32&gt;0,IF(4=$J32,IF(OR(AND(87=$I32+1,OR($K32&lt;&gt;'計算A'!$A$3,'計算A'!$A$4=0)),AND(87=$I32-1,OR(15&lt;&gt;'計算A'!$A$3,'計算A'!$A$4=0))),0,IF(15=$K32,200000,ABS(15-$K32)*100)),100000+ABS(4-$J32)*1000+150)+'計算A'!CL$5*50+IF(AND($E32=1,LY32=0),25,0),IF($F32&gt;0,INDEX('計算A'!CL$110:CL$114,$F32+1)+IF(AND($E32=1,LY32=0),1000,0),MIN(TX32,20)*400+(IF('計算A'!CK$106=1,1-GI32,0)+IF('計算A'!CL$106=1,1-GK32,0))*150+154+'計算A'!CL$5*100000+IF(AND($E32=1,LY32=0),50000,0))+IF($H32=1,(IF('計算A'!CK$117=1,INDEX('計算A'!CK$10:CK$54,$B32),0)+IF('計算A'!CL$117=1,INDEX('計算A'!CM$10:CM$54,$B32),0))*4000,0)-IF(AND('計算A'!CK$117=1,XI32&gt;0),2000,0)-IF(AND($L32=1,'計算A'!CL$117=1,GK32=0),2000,0))),1000000))</f>
        <v/>
      </c>
      <c r="RO32">
        <f>IF($B32=0,1000000,IF(INDEX('計算A'!$D$60:$EQ$104,$B32,88)*GK32=1,IF(AND($E32=2,LZ32=0),1000000,IF($I32&gt;0,IF(4=$J32,IF(OR(AND(88=$I32+1,OR($K32&lt;&gt;'計算A'!$A$3,'計算A'!$A$4=0)),AND(88=$I32-1,OR(16&lt;&gt;'計算A'!$A$3,'計算A'!$A$4=0))),0,IF(16=$K32,200000,ABS(16-$K32)*100)),100000+ABS(4-$J32)*1000+160)+'計算A'!CM$5*50+IF(AND($E32=1,LZ32=0),25,0),IF($F32&gt;0,INDEX('計算A'!CM$110:CM$114,$F32+1)+IF(AND($E32=1,LZ32=0),1000,0),MIN(TX32,20)*400+(IF('計算A'!CL$106=1,1-GJ32,0)+IF('計算A'!CM$106=1,1-GL32,0))*150+164+'計算A'!CM$5*100000+IF(AND($E32=1,LZ32=0),50000,0))+IF($H32=1,(IF('計算A'!CL$117=1,INDEX('計算A'!CL$10:CL$54,$B32),0)+IF('計算A'!CM$117=1,INDEX('計算A'!CN$10:CN$54,$B32),0))*4000,0)-IF(AND('計算A'!CL$117=1,XJ32&gt;0),2000,0)-IF(AND($L32=1,'計算A'!CM$117=1,GL32=0),2000,0))),1000000))</f>
        <v/>
      </c>
      <c r="RP32">
        <f>IF($B32=0,1000000,IF(INDEX('計算A'!$D$60:$EQ$104,$B32,89)*GL32=1,IF(AND($E32=2,MA32=0),1000000,IF($I32&gt;0,IF(4=$J32,IF(OR(AND(89=$I32+1,OR($K32&lt;&gt;'計算A'!$A$3,'計算A'!$A$4=0)),AND(89=$I32-1,OR(17&lt;&gt;'計算A'!$A$3,'計算A'!$A$4=0))),0,IF(17=$K32,200000,ABS(17-$K32)*100)),100000+ABS(4-$J32)*1000+170)+'計算A'!CN$5*50+IF(AND($E32=1,MA32=0),25,0),IF($F32&gt;0,INDEX('計算A'!CN$110:CN$114,$F32+1)+IF(AND($E32=1,MA32=0),1000,0),MIN(TX32,20)*400+(IF('計算A'!CM$106=1,1-GK32,0)+IF('計算A'!CN$106=1,1-GM32,0))*150+174+'計算A'!CN$5*100000+IF(AND($E32=1,MA32=0),50000,0))+IF($H32=1,(IF('計算A'!CM$117=1,INDEX('計算A'!CM$10:CM$54,$B32),0)+IF('計算A'!CN$117=1,INDEX('計算A'!CO$10:CO$54,$B32),0))*4000,0)-IF(AND('計算A'!CM$117=1,XK32&gt;0),2000,0)-IF(AND($L32=1,'計算A'!CN$117=1,GM32=0),2000,0))),1000000))</f>
        <v/>
      </c>
      <c r="RQ32">
        <f>IF($B32=0,1000000,IF(INDEX('計算A'!$D$60:$EQ$104,$B32,90)*GM32=1,IF(AND($E32=2,MB32=0),1000000,IF($I32&gt;0,IF(4=$J32,IF(OR(AND(90=$I32+1,OR($K32&lt;&gt;'計算A'!$A$3,'計算A'!$A$4=0)),AND(90=$I32-1,OR(18&lt;&gt;'計算A'!$A$3,'計算A'!$A$4=0))),0,IF(18=$K32,200000,ABS(18-$K32)*100)),100000+ABS(4-$J32)*1000+180)+'計算A'!CO$5*50+IF(AND($E32=1,MB32=0),25,0),IF($F32&gt;0,INDEX('計算A'!CO$110:CO$114,$F32+1)+IF(AND($E32=1,MB32=0),1000,0),MIN(TX32,20)*400+(IF('計算A'!CN$106=1,1-GL32,0)+IF('計算A'!CO$106=1,1-GN32,0))*150+184+'計算A'!CO$5*100000+IF(AND($E32=1,MB32=0),50000,0))+IF($H32=1,(IF('計算A'!CN$117=1,INDEX('計算A'!CN$10:CN$54,$B32),0)+IF('計算A'!CO$117=1,INDEX('計算A'!CP$10:CP$54,$B32),0))*4000,0)-IF(AND('計算A'!CN$117=1,XL32&gt;0),2000,0)-IF(AND($L32=1,'計算A'!CO$117=1,GN32=0),2000,0))),1000000))</f>
        <v/>
      </c>
      <c r="RR32">
        <f>IF($B32=0,1000000,IF(INDEX('計算A'!$D$60:$EQ$104,$B32,91)*GN32=1,IF(AND($E32=2,MC32=0),1000000,IF($I32&gt;0,IF(4=$J32,IF(OR(AND(91=$I32+1,OR($K32&lt;&gt;'計算A'!$A$3,'計算A'!$A$4=0)),AND(91=$I32-1,OR(19&lt;&gt;'計算A'!$A$3,'計算A'!$A$4=0))),0,IF(19=$K32,200000,ABS(19-$K32)*100)),100000+ABS(4-$J32)*1000+190)+'計算A'!CP$5*50+IF(AND($E32=1,MC32=0),25,0),IF($F32&gt;0,INDEX('計算A'!CP$110:CP$114,$F32+1)+IF(AND($E32=1,MC32=0),1000,0),MIN(TX32,20)*400+(IF('計算A'!CO$106=1,1-GM32,0)+IF('計算A'!CP$106=1,1-GO32,0))*150+194+'計算A'!CP$5*100000+IF(AND($E32=1,MC32=0),50000,0))+IF($H32=1,(IF('計算A'!CO$117=1,INDEX('計算A'!CO$10:CO$54,$B32),0)+IF('計算A'!CP$117=1,INDEX('計算A'!CQ$10:CQ$54,$B32),0))*4000,0)-IF(AND('計算A'!CO$117=1,XM32&gt;0),2000,0)-IF(AND($L32=1,'計算A'!CP$117=1,GO32=0),2000,0))),1000000))</f>
        <v/>
      </c>
      <c r="RS32">
        <f>IF($B32=0,1000000,IF(INDEX('計算A'!$D$60:$EQ$104,$B32,92)*GO32=1,IF(AND($E32=2,MD32=0),1000000,IF($I32&gt;0,IF(4=$J32,IF(OR(AND(92=$I32+1,OR($K32&lt;&gt;'計算A'!$A$3,'計算A'!$A$4=0)),AND(92=$I32-1,OR(20&lt;&gt;'計算A'!$A$3,'計算A'!$A$4=0))),0,IF(20=$K32,200000,ABS(20-$K32)*100)),100000+ABS(4-$J32)*1000+200)+'計算A'!CQ$5*50+IF(AND($E32=1,MD32=0),25,0),IF($F32&gt;0,INDEX('計算A'!CQ$110:CQ$114,$F32+1)+IF(AND($E32=1,MD32=0),1000,0),MIN(TX32,20)*400+(IF('計算A'!CP$106=1,1-GN32,0)+IF('計算A'!CQ$106=1,1-GP32,0))*150+204+'計算A'!CQ$5*100000+IF(AND($E32=1,MD32=0),50000,0))+IF($H32=1,(IF('計算A'!CP$117=1,INDEX('計算A'!CP$10:CP$54,$B32),0)+IF('計算A'!CQ$117=1,INDEX('計算A'!CR$10:CR$54,$B32),0))*4000,0)-IF(AND('計算A'!CP$117=1,XN32&gt;0),2000,0)-IF(AND($L32=1,'計算A'!CQ$117=1,GP32=0),2000,0))),1000000))</f>
        <v/>
      </c>
      <c r="RT32">
        <f>IF($B32=0,1000000,IF(INDEX('計算A'!$D$60:$EQ$104,$B32,93)*GP32=1,IF(AND($E32=2,ME32=0),1000000,IF($I32&gt;0,IF(4=$J32,IF(OR(AND(93=$I32+1,OR($K32&lt;&gt;'計算A'!$A$3,'計算A'!$A$4=0)),AND(93=$I32-1,OR(21&lt;&gt;'計算A'!$A$3,'計算A'!$A$4=0))),0,IF(21=$K32,200000,ABS(21-$K32)*100)),100000+ABS(4-$J32)*1000+210)+'計算A'!CR$5*50+IF(AND($E32=1,ME32=0),25,0),IF($F32&gt;0,INDEX('計算A'!CR$110:CR$114,$F32+1)+IF(AND($E32=1,ME32=0),1000,0),MIN(TX32,20)*400+(IF('計算A'!CQ$106=1,1-GO32,0)+IF('計算A'!CR$106=1,1-GQ32,0))*150+214+'計算A'!CR$5*100000+IF(AND($E32=1,ME32=0),50000,0))+IF($H32=1,(IF('計算A'!CQ$117=1,INDEX('計算A'!CQ$10:CQ$54,$B32),0)+IF('計算A'!CR$117=1,INDEX('計算A'!CS$10:CS$54,$B32),0))*4000,0)-IF(AND('計算A'!CQ$117=1,XO32&gt;0),2000,0)-IF(AND($L32=1,'計算A'!CR$117=1,GQ32=0),2000,0))),1000000))</f>
        <v/>
      </c>
      <c r="RU32">
        <f>IF($B32=0,1000000,IF(INDEX('計算A'!$D$60:$EQ$104,$B32,94)*GQ32=1,IF(AND($E32=2,MF32=0),1000000,IF($I32&gt;0,IF(4=$J32,IF(OR(AND(94=$I32+1,OR($K32&lt;&gt;'計算A'!$A$3,'計算A'!$A$4=0)),AND(94=$I32-1,OR(22&lt;&gt;'計算A'!$A$3,'計算A'!$A$4=0))),0,IF(22=$K32,200000,ABS(22-$K32)*100)),100000+ABS(4-$J32)*1000+220)+'計算A'!CS$5*50+IF(AND($E32=1,MF32=0),25,0),IF($F32&gt;0,INDEX('計算A'!CS$110:CS$114,$F32+1)+IF(AND($E32=1,MF32=0),1000,0),MIN(TX32,20)*400+(IF('計算A'!CR$106=1,1-GP32,0)+IF('計算A'!CS$106=1,1-GR32,0))*150+224+'計算A'!CS$5*100000+IF(AND($E32=1,MF32=0),50000,0))+IF($H32=1,(IF('計算A'!CR$117=1,INDEX('計算A'!CR$10:CR$54,$B32),0)+IF('計算A'!CS$117=1,INDEX('計算A'!CT$10:CT$54,$B32),0))*4000,0)-IF(AND('計算A'!CR$117=1,XP32&gt;0),2000,0)-IF(AND($L32=1,'計算A'!CS$117=1,GR32=0),2000,0))),1000000))</f>
        <v/>
      </c>
      <c r="RV32">
        <f>IF($B32=0,1000000,IF(INDEX('計算A'!$D$60:$EQ$104,$B32,95)*GR32=1,IF(AND($E32=2,MG32=0),1000000,IF($I32&gt;0,IF(4=$J32,IF(OR(AND(95=$I32+1,OR($K32&lt;&gt;'計算A'!$A$3,'計算A'!$A$4=0)),AND(95=$I32-1,OR(23&lt;&gt;'計算A'!$A$3,'計算A'!$A$4=0))),0,IF(23=$K32,200000,ABS(23-$K32)*100)),100000+ABS(4-$J32)*1000+230)+'計算A'!CT$5*50+IF(AND($E32=1,MG32=0),25,0),IF($F32&gt;0,INDEX('計算A'!CT$110:CT$114,$F32+1)+IF(AND($E32=1,MG32=0),1000,0),MIN(TX32,20)*400+(IF('計算A'!CS$106=1,1-GQ32,0)+IF('計算A'!CT$106=1,1-GS32,0))*150+234+'計算A'!CT$5*100000+IF(AND($E32=1,MG32=0),50000,0))+IF($H32=1,(IF('計算A'!CS$117=1,INDEX('計算A'!CS$10:CS$54,$B32),0)+IF('計算A'!CT$117=1,INDEX('計算A'!CU$10:CU$54,$B32),0))*4000,0)-IF(AND('計算A'!CS$117=1,XQ32&gt;0),2000,0)-IF(AND($L32=1,'計算A'!CT$117=1,GS32=0),2000,0))),1000000))</f>
        <v/>
      </c>
      <c r="RW32">
        <f>IF($B32=0,1000000,IF(INDEX('計算A'!$D$60:$EQ$104,$B32,96)*GS32=1,IF(AND($E32=2,MH32=0),1000000,IF($I32&gt;0,IF(4=$J32,IF(OR(AND(96=$I32+1,OR($K32&lt;&gt;'計算A'!$A$3,'計算A'!$A$4=0)),AND(96=$I32-1,OR(24&lt;&gt;'計算A'!$A$3,'計算A'!$A$4=0))),0,IF(24=$K32,200000,ABS(24-$K32)*100)),100000+ABS(4-$J32)*1000+240)+'計算A'!CU$5*50+IF(AND($E32=1,MH32=0),25,0),IF($F32&gt;0,INDEX('計算A'!CU$110:CU$114,$F32+1)+IF(AND($E32=1,MH32=0),1000,0),MIN(TX32,20)*400+(IF('計算A'!CT$106=1,1-GR32,0))*150+244+'計算A'!CU$5*100000+IF(AND($E32=1,MH32=0),50000,0))+IF($H32=1,(IF('計算A'!CT$117=1,INDEX('計算A'!CT$10:CT$54,$B32),0))*4000,0)-IF(AND('計算A'!CT$117=1,XR32&gt;0),2000,0))),1000000))</f>
        <v/>
      </c>
      <c r="RX32">
        <f>IF($B32=0,1000000,IF(INDEX('計算A'!$D$60:$EQ$104,$B32,97)*GT32=1,IF(AND($E32=2,MI32=0),1000000,IF($I32&gt;0,IF(5=$J32,IF(OR(AND(97=$I32+1,OR($K32&lt;&gt;'計算A'!$A$3,'計算A'!$A$4=0)),AND(97=$I32-1,OR(1&lt;&gt;'計算A'!$A$3,'計算A'!$A$4=0))),0,IF(1=$K32,200000,ABS(1-$K32)*100)),100000+ABS(5-$J32)*1000+10)+'計算A'!CV$5*50+IF(AND($E32=1,MI32=0),25,0),IF($F32&gt;0,INDEX('計算A'!CV$110:CV$114,$F32+1)+IF(AND($E32=1,MI32=0),1000,0),MIN(TY32,20)*400+(IF('計算A'!CV$106=1,1-GU32,0))*150+15+'計算A'!CV$5*100000+IF(AND($E32=1,MI32=0),50000,0))+IF($H32=1,(IF('計算A'!CV$117=1,INDEX('計算A'!CW$10:CW$54,$B32),0))*4000,0)-IF(AND($L32=1,'計算A'!CV$117=1,GU32=0),2000,0))),1000000))</f>
        <v/>
      </c>
      <c r="RY32">
        <f>IF($B32=0,1000000,IF(INDEX('計算A'!$D$60:$EQ$104,$B32,98)*GU32=1,IF(AND($E32=2,MJ32=0),1000000,IF($I32&gt;0,IF(5=$J32,IF(OR(AND(98=$I32+1,OR($K32&lt;&gt;'計算A'!$A$3,'計算A'!$A$4=0)),AND(98=$I32-1,OR(2&lt;&gt;'計算A'!$A$3,'計算A'!$A$4=0))),0,IF(2=$K32,200000,ABS(2-$K32)*100)),100000+ABS(5-$J32)*1000+20)+'計算A'!CW$5*50+IF(AND($E32=1,MJ32=0),25,0),IF($F32&gt;0,INDEX('計算A'!CW$110:CW$114,$F32+1)+IF(AND($E32=1,MJ32=0),1000,0),MIN(TY32,20)*400+(IF('計算A'!CV$106=1,1-GT32,0)+IF('計算A'!CW$106=1,1-GV32,0))*150+25+'計算A'!CW$5*100000+IF(AND($E32=1,MJ32=0),50000,0))+IF($H32=1,(IF('計算A'!CV$117=1,INDEX('計算A'!CV$10:CV$54,$B32),0)+IF('計算A'!CW$117=1,INDEX('計算A'!CX$10:CX$54,$B32),0))*4000,0)-IF(AND('計算A'!CV$117=1,XT32&gt;0),2000,0)-IF(AND($L32=1,'計算A'!CW$117=1,GV32=0),2000,0))),1000000))</f>
        <v/>
      </c>
      <c r="RZ32">
        <f>IF($B32=0,1000000,IF(INDEX('計算A'!$D$60:$EQ$104,$B32,99)*GV32=1,IF(AND($E32=2,MK32=0),1000000,IF($I32&gt;0,IF(5=$J32,IF(OR(AND(99=$I32+1,OR($K32&lt;&gt;'計算A'!$A$3,'計算A'!$A$4=0)),AND(99=$I32-1,OR(3&lt;&gt;'計算A'!$A$3,'計算A'!$A$4=0))),0,IF(3=$K32,200000,ABS(3-$K32)*100)),100000+ABS(5-$J32)*1000+30)+'計算A'!CX$5*50+IF(AND($E32=1,MK32=0),25,0),IF($F32&gt;0,INDEX('計算A'!CX$110:CX$114,$F32+1)+IF(AND($E32=1,MK32=0),1000,0),MIN(TY32,20)*400+(IF('計算A'!CW$106=1,1-GU32,0)+IF('計算A'!CX$106=1,1-GW32,0))*150+35+'計算A'!CX$5*100000+IF(AND($E32=1,MK32=0),50000,0))+IF($H32=1,(IF('計算A'!CW$117=1,INDEX('計算A'!CW$10:CW$54,$B32),0)+IF('計算A'!CX$117=1,INDEX('計算A'!CY$10:CY$54,$B32),0))*4000,0)-IF(AND('計算A'!CW$117=1,XU32&gt;0),2000,0)-IF(AND($L32=1,'計算A'!CX$117=1,GW32=0),2000,0))),1000000))</f>
        <v/>
      </c>
      <c r="SA32">
        <f>IF($B32=0,1000000,IF(INDEX('計算A'!$D$60:$EQ$104,$B32,100)*GW32=1,IF(AND($E32=2,ML32=0),1000000,IF($I32&gt;0,IF(5=$J32,IF(OR(AND(100=$I32+1,OR($K32&lt;&gt;'計算A'!$A$3,'計算A'!$A$4=0)),AND(100=$I32-1,OR(4&lt;&gt;'計算A'!$A$3,'計算A'!$A$4=0))),0,IF(4=$K32,200000,ABS(4-$K32)*100)),100000+ABS(5-$J32)*1000+40)+'計算A'!CY$5*50+IF(AND($E32=1,ML32=0),25,0),IF($F32&gt;0,INDEX('計算A'!CY$110:CY$114,$F32+1)+IF(AND($E32=1,ML32=0),1000,0),MIN(TY32,20)*400+(IF('計算A'!CX$106=1,1-GV32,0)+IF('計算A'!CY$106=1,1-GX32,0))*150+45+'計算A'!CY$5*100000+IF(AND($E32=1,ML32=0),50000,0))+IF($H32=1,(IF('計算A'!CX$117=1,INDEX('計算A'!CX$10:CX$54,$B32),0)+IF('計算A'!CY$117=1,INDEX('計算A'!CZ$10:CZ$54,$B32),0))*4000,0)-IF(AND('計算A'!CX$117=1,XV32&gt;0),2000,0)-IF(AND($L32=1,'計算A'!CY$117=1,GX32=0),2000,0))),1000000))</f>
        <v/>
      </c>
      <c r="SB32">
        <f>IF($B32=0,1000000,IF(INDEX('計算A'!$D$60:$EQ$104,$B32,101)*GX32=1,IF(AND($E32=2,MM32=0),1000000,IF($I32&gt;0,IF(5=$J32,IF(OR(AND(101=$I32+1,OR($K32&lt;&gt;'計算A'!$A$3,'計算A'!$A$4=0)),AND(101=$I32-1,OR(5&lt;&gt;'計算A'!$A$3,'計算A'!$A$4=0))),0,IF(5=$K32,200000,ABS(5-$K32)*100)),100000+ABS(5-$J32)*1000+50)+'計算A'!CZ$5*50+IF(AND($E32=1,MM32=0),25,0),IF($F32&gt;0,INDEX('計算A'!CZ$110:CZ$114,$F32+1)+IF(AND($E32=1,MM32=0),1000,0),MIN(TY32,20)*400+(IF('計算A'!CY$106=1,1-GW32,0)+IF('計算A'!CZ$106=1,1-GY32,0))*150+55+'計算A'!CZ$5*100000+IF(AND($E32=1,MM32=0),50000,0))+IF($H32=1,(IF('計算A'!CY$117=1,INDEX('計算A'!CY$10:CY$54,$B32),0)+IF('計算A'!CZ$117=1,INDEX('計算A'!DA$10:DA$54,$B32),0))*4000,0)-IF(AND('計算A'!CY$117=1,XW32&gt;0),2000,0)-IF(AND($L32=1,'計算A'!CZ$117=1,GY32=0),2000,0))),1000000))</f>
        <v/>
      </c>
      <c r="SC32">
        <f>IF($B32=0,1000000,IF(INDEX('計算A'!$D$60:$EQ$104,$B32,102)*GY32=1,IF(AND($E32=2,MN32=0),1000000,IF($I32&gt;0,IF(5=$J32,IF(OR(AND(102=$I32+1,OR($K32&lt;&gt;'計算A'!$A$3,'計算A'!$A$4=0)),AND(102=$I32-1,OR(6&lt;&gt;'計算A'!$A$3,'計算A'!$A$4=0))),0,IF(6=$K32,200000,ABS(6-$K32)*100)),100000+ABS(5-$J32)*1000+60)+'計算A'!DA$5*50+IF(AND($E32=1,MN32=0),25,0),IF($F32&gt;0,INDEX('計算A'!DA$110:DA$114,$F32+1)+IF(AND($E32=1,MN32=0),1000,0),MIN(TY32,20)*400+(IF('計算A'!CZ$106=1,1-GX32,0)+IF('計算A'!DA$106=1,1-GZ32,0))*150+65+'計算A'!DA$5*100000+IF(AND($E32=1,MN32=0),50000,0))+IF($H32=1,(IF('計算A'!CZ$117=1,INDEX('計算A'!CZ$10:CZ$54,$B32),0)+IF('計算A'!DA$117=1,INDEX('計算A'!DB$10:DB$54,$B32),0))*4000,0)-IF(AND('計算A'!CZ$117=1,XX32&gt;0),2000,0)-IF(AND($L32=1,'計算A'!DA$117=1,GZ32=0),2000,0))),1000000))</f>
        <v/>
      </c>
      <c r="SD32">
        <f>IF($B32=0,1000000,IF(INDEX('計算A'!$D$60:$EQ$104,$B32,103)*GZ32=1,IF(AND($E32=2,MO32=0),1000000,IF($I32&gt;0,IF(5=$J32,IF(OR(AND(103=$I32+1,OR($K32&lt;&gt;'計算A'!$A$3,'計算A'!$A$4=0)),AND(103=$I32-1,OR(7&lt;&gt;'計算A'!$A$3,'計算A'!$A$4=0))),0,IF(7=$K32,200000,ABS(7-$K32)*100)),100000+ABS(5-$J32)*1000+70)+'計算A'!DB$5*50+IF(AND($E32=1,MO32=0),25,0),IF($F32&gt;0,INDEX('計算A'!DB$110:DB$114,$F32+1)+IF(AND($E32=1,MO32=0),1000,0),MIN(TY32,20)*400+(IF('計算A'!DA$106=1,1-GY32,0)+IF('計算A'!DB$106=1,1-HA32,0))*150+75+'計算A'!DB$5*100000+IF(AND($E32=1,MO32=0),50000,0))+IF($H32=1,(IF('計算A'!DA$117=1,INDEX('計算A'!DA$10:DA$54,$B32),0)+IF('計算A'!DB$117=1,INDEX('計算A'!DC$10:DC$54,$B32),0))*4000,0)-IF(AND('計算A'!DA$117=1,XY32&gt;0),2000,0)-IF(AND($L32=1,'計算A'!DB$117=1,HA32=0),2000,0))),1000000))</f>
        <v/>
      </c>
      <c r="SE32">
        <f>IF($B32=0,1000000,IF(INDEX('計算A'!$D$60:$EQ$104,$B32,104)*HA32=1,IF(AND($E32=2,MP32=0),1000000,IF($I32&gt;0,IF(5=$J32,IF(OR(AND(104=$I32+1,OR($K32&lt;&gt;'計算A'!$A$3,'計算A'!$A$4=0)),AND(104=$I32-1,OR(8&lt;&gt;'計算A'!$A$3,'計算A'!$A$4=0))),0,IF(8=$K32,200000,ABS(8-$K32)*100)),100000+ABS(5-$J32)*1000+80)+'計算A'!DC$5*50+IF(AND($E32=1,MP32=0),25,0),IF($F32&gt;0,INDEX('計算A'!DC$110:DC$114,$F32+1)+IF(AND($E32=1,MP32=0),1000,0),MIN(TY32,20)*400+(IF('計算A'!DB$106=1,1-GZ32,0)+IF('計算A'!DC$106=1,1-HB32,0))*150+85+'計算A'!DC$5*100000+IF(AND($E32=1,MP32=0),50000,0))+IF($H32=1,(IF('計算A'!DB$117=1,INDEX('計算A'!DB$10:DB$54,$B32),0)+IF('計算A'!DC$117=1,INDEX('計算A'!DD$10:DD$54,$B32),0))*4000,0)-IF(AND('計算A'!DB$117=1,XZ32&gt;0),2000,0)-IF(AND($L32=1,'計算A'!DC$117=1,HB32=0),2000,0))),1000000))</f>
        <v/>
      </c>
      <c r="SF32">
        <f>IF($B32=0,1000000,IF(INDEX('計算A'!$D$60:$EQ$104,$B32,105)*HB32=1,IF(AND($E32=2,MQ32=0),1000000,IF($I32&gt;0,IF(5=$J32,IF(OR(AND(105=$I32+1,OR($K32&lt;&gt;'計算A'!$A$3,'計算A'!$A$4=0)),AND(105=$I32-1,OR(9&lt;&gt;'計算A'!$A$3,'計算A'!$A$4=0))),0,IF(9=$K32,200000,ABS(9-$K32)*100)),100000+ABS(5-$J32)*1000+90)+'計算A'!DD$5*50+IF(AND($E32=1,MQ32=0),25,0),IF($F32&gt;0,INDEX('計算A'!DD$110:DD$114,$F32+1)+IF(AND($E32=1,MQ32=0),1000,0),MIN(TY32,20)*400+(IF('計算A'!DC$106=1,1-HA32,0)+IF('計算A'!DD$106=1,1-HC32,0))*150+95+'計算A'!DD$5*100000+IF(AND($E32=1,MQ32=0),50000,0))+IF($H32=1,(IF('計算A'!DC$117=1,INDEX('計算A'!DC$10:DC$54,$B32),0)+IF('計算A'!DD$117=1,INDEX('計算A'!DE$10:DE$54,$B32),0))*4000,0)-IF(AND('計算A'!DC$117=1,YA32&gt;0),2000,0)-IF(AND($L32=1,'計算A'!DD$117=1,HC32=0),2000,0))),1000000))</f>
        <v/>
      </c>
      <c r="SG32">
        <f>IF($B32=0,1000000,IF(INDEX('計算A'!$D$60:$EQ$104,$B32,106)*HC32=1,IF(AND($E32=2,MR32=0),1000000,IF($I32&gt;0,IF(5=$J32,IF(OR(AND(106=$I32+1,OR($K32&lt;&gt;'計算A'!$A$3,'計算A'!$A$4=0)),AND(106=$I32-1,OR(10&lt;&gt;'計算A'!$A$3,'計算A'!$A$4=0))),0,IF(10=$K32,200000,ABS(10-$K32)*100)),100000+ABS(5-$J32)*1000+100)+'計算A'!DE$5*50+IF(AND($E32=1,MR32=0),25,0),IF($F32&gt;0,INDEX('計算A'!DE$110:DE$114,$F32+1)+IF(AND($E32=1,MR32=0),1000,0),MIN(TY32,20)*400+(IF('計算A'!DD$106=1,1-HB32,0)+IF('計算A'!DE$106=1,1-HD32,0))*150+105+'計算A'!DE$5*100000+IF(AND($E32=1,MR32=0),50000,0))+IF($H32=1,(IF('計算A'!DD$117=1,INDEX('計算A'!DD$10:DD$54,$B32),0)+IF('計算A'!DE$117=1,INDEX('計算A'!DF$10:DF$54,$B32),0))*4000,0)-IF(AND('計算A'!DD$117=1,YB32&gt;0),2000,0)-IF(AND($L32=1,'計算A'!DE$117=1,HD32=0),2000,0))),1000000))</f>
        <v/>
      </c>
      <c r="SH32">
        <f>IF($B32=0,1000000,IF(INDEX('計算A'!$D$60:$EQ$104,$B32,107)*HD32=1,IF(AND($E32=2,MS32=0),1000000,IF($I32&gt;0,IF(5=$J32,IF(OR(AND(107=$I32+1,OR($K32&lt;&gt;'計算A'!$A$3,'計算A'!$A$4=0)),AND(107=$I32-1,OR(11&lt;&gt;'計算A'!$A$3,'計算A'!$A$4=0))),0,IF(11=$K32,200000,ABS(11-$K32)*100)),100000+ABS(5-$J32)*1000+110)+'計算A'!DF$5*50+IF(AND($E32=1,MS32=0),25,0),IF($F32&gt;0,INDEX('計算A'!DF$110:DF$114,$F32+1)+IF(AND($E32=1,MS32=0),1000,0),MIN(TY32,20)*400+(IF('計算A'!DE$106=1,1-HC32,0)+IF('計算A'!DF$106=1,1-HE32,0))*150+115+'計算A'!DF$5*100000+IF(AND($E32=1,MS32=0),50000,0))+IF($H32=1,(IF('計算A'!DE$117=1,INDEX('計算A'!DE$10:DE$54,$B32),0)+IF('計算A'!DF$117=1,INDEX('計算A'!DG$10:DG$54,$B32),0))*4000,0)-IF(AND('計算A'!DE$117=1,YC32&gt;0),2000,0)-IF(AND($L32=1,'計算A'!DF$117=1,HE32=0),2000,0))),1000000))</f>
        <v/>
      </c>
      <c r="SI32">
        <f>IF($B32=0,1000000,IF(INDEX('計算A'!$D$60:$EQ$104,$B32,108)*HE32=1,IF(AND($E32=2,MT32=0),1000000,IF($I32&gt;0,IF(5=$J32,IF(OR(AND(108=$I32+1,OR($K32&lt;&gt;'計算A'!$A$3,'計算A'!$A$4=0)),AND(108=$I32-1,OR(12&lt;&gt;'計算A'!$A$3,'計算A'!$A$4=0))),0,IF(12=$K32,200000,ABS(12-$K32)*100)),100000+ABS(5-$J32)*1000+120)+'計算A'!DG$5*50+IF(AND($E32=1,MT32=0),25,0),IF($F32&gt;0,INDEX('計算A'!DG$110:DG$114,$F32+1)+IF(AND($E32=1,MT32=0),1000,0),MIN(TY32,20)*400+(IF('計算A'!DF$106=1,1-HD32,0)+IF('計算A'!DG$106=1,1-HF32,0))*150+125+'計算A'!DG$5*100000+IF(AND($E32=1,MT32=0),50000,0))+IF($H32=1,(IF('計算A'!DF$117=1,INDEX('計算A'!DF$10:DF$54,$B32),0)+IF('計算A'!DG$117=1,INDEX('計算A'!DH$10:DH$54,$B32),0))*4000,0)-IF(AND('計算A'!DF$117=1,YD32&gt;0),2000,0)-IF(AND($L32=1,'計算A'!DG$117=1,HF32=0),2000,0))),1000000))</f>
        <v/>
      </c>
      <c r="SJ32">
        <f>IF($B32=0,1000000,IF(INDEX('計算A'!$D$60:$EQ$104,$B32,109)*HF32=1,IF(AND($E32=2,MU32=0),1000000,IF($I32&gt;0,IF(5=$J32,IF(OR(AND(109=$I32+1,OR($K32&lt;&gt;'計算A'!$A$3,'計算A'!$A$4=0)),AND(109=$I32-1,OR(13&lt;&gt;'計算A'!$A$3,'計算A'!$A$4=0))),0,IF(13=$K32,200000,ABS(13-$K32)*100)),100000+ABS(5-$J32)*1000+130)+'計算A'!DH$5*50+IF(AND($E32=1,MU32=0),25,0),IF($F32&gt;0,INDEX('計算A'!DH$110:DH$114,$F32+1)+IF(AND($E32=1,MU32=0),1000,0),MIN(TY32,20)*400+(IF('計算A'!DG$106=1,1-HE32,0)+IF('計算A'!DH$106=1,1-HG32,0))*150+135+'計算A'!DH$5*100000+IF(AND($E32=1,MU32=0),50000,0))+IF($H32=1,(IF('計算A'!DG$117=1,INDEX('計算A'!DG$10:DG$54,$B32),0)+IF('計算A'!DH$117=1,INDEX('計算A'!DI$10:DI$54,$B32),0))*4000,0)-IF(AND('計算A'!DG$117=1,YE32&gt;0),2000,0)-IF(AND($L32=1,'計算A'!DH$117=1,HG32=0),2000,0))),1000000))</f>
        <v/>
      </c>
      <c r="SK32">
        <f>IF($B32=0,1000000,IF(INDEX('計算A'!$D$60:$EQ$104,$B32,110)*HG32=1,IF(AND($E32=2,MV32=0),1000000,IF($I32&gt;0,IF(5=$J32,IF(OR(AND(110=$I32+1,OR($K32&lt;&gt;'計算A'!$A$3,'計算A'!$A$4=0)),AND(110=$I32-1,OR(14&lt;&gt;'計算A'!$A$3,'計算A'!$A$4=0))),0,IF(14=$K32,200000,ABS(14-$K32)*100)),100000+ABS(5-$J32)*1000+140)+'計算A'!DI$5*50+IF(AND($E32=1,MV32=0),25,0),IF($F32&gt;0,INDEX('計算A'!DI$110:DI$114,$F32+1)+IF(AND($E32=1,MV32=0),1000,0),MIN(TY32,20)*400+(IF('計算A'!DH$106=1,1-HF32,0)+IF('計算A'!DI$106=1,1-HH32,0))*150+145+'計算A'!DI$5*100000+IF(AND($E32=1,MV32=0),50000,0))+IF($H32=1,(IF('計算A'!DH$117=1,INDEX('計算A'!DH$10:DH$54,$B32),0)+IF('計算A'!DI$117=1,INDEX('計算A'!DJ$10:DJ$54,$B32),0))*4000,0)-IF(AND('計算A'!DH$117=1,YF32&gt;0),2000,0)-IF(AND($L32=1,'計算A'!DI$117=1,HH32=0),2000,0))),1000000))</f>
        <v/>
      </c>
      <c r="SL32">
        <f>IF($B32=0,1000000,IF(INDEX('計算A'!$D$60:$EQ$104,$B32,111)*HH32=1,IF(AND($E32=2,MW32=0),1000000,IF($I32&gt;0,IF(5=$J32,IF(OR(AND(111=$I32+1,OR($K32&lt;&gt;'計算A'!$A$3,'計算A'!$A$4=0)),AND(111=$I32-1,OR(15&lt;&gt;'計算A'!$A$3,'計算A'!$A$4=0))),0,IF(15=$K32,200000,ABS(15-$K32)*100)),100000+ABS(5-$J32)*1000+150)+'計算A'!DJ$5*50+IF(AND($E32=1,MW32=0),25,0),IF($F32&gt;0,INDEX('計算A'!DJ$110:DJ$114,$F32+1)+IF(AND($E32=1,MW32=0),1000,0),MIN(TY32,20)*400+(IF('計算A'!DI$106=1,1-HG32,0)+IF('計算A'!DJ$106=1,1-HI32,0))*150+155+'計算A'!DJ$5*100000+IF(AND($E32=1,MW32=0),50000,0))+IF($H32=1,(IF('計算A'!DI$117=1,INDEX('計算A'!DI$10:DI$54,$B32),0)+IF('計算A'!DJ$117=1,INDEX('計算A'!DK$10:DK$54,$B32),0))*4000,0)-IF(AND('計算A'!DI$117=1,YG32&gt;0),2000,0)-IF(AND($L32=1,'計算A'!DJ$117=1,HI32=0),2000,0))),1000000))</f>
        <v/>
      </c>
      <c r="SM32">
        <f>IF($B32=0,1000000,IF(INDEX('計算A'!$D$60:$EQ$104,$B32,112)*HI32=1,IF(AND($E32=2,MX32=0),1000000,IF($I32&gt;0,IF(5=$J32,IF(OR(AND(112=$I32+1,OR($K32&lt;&gt;'計算A'!$A$3,'計算A'!$A$4=0)),AND(112=$I32-1,OR(16&lt;&gt;'計算A'!$A$3,'計算A'!$A$4=0))),0,IF(16=$K32,200000,ABS(16-$K32)*100)),100000+ABS(5-$J32)*1000+160)+'計算A'!DK$5*50+IF(AND($E32=1,MX32=0),25,0),IF($F32&gt;0,INDEX('計算A'!DK$110:DK$114,$F32+1)+IF(AND($E32=1,MX32=0),1000,0),MIN(TY32,20)*400+(IF('計算A'!DJ$106=1,1-HH32,0)+IF('計算A'!DK$106=1,1-HJ32,0))*150+165+'計算A'!DK$5*100000+IF(AND($E32=1,MX32=0),50000,0))+IF($H32=1,(IF('計算A'!DJ$117=1,INDEX('計算A'!DJ$10:DJ$54,$B32),0)+IF('計算A'!DK$117=1,INDEX('計算A'!DL$10:DL$54,$B32),0))*4000,0)-IF(AND('計算A'!DJ$117=1,YH32&gt;0),2000,0)-IF(AND($L32=1,'計算A'!DK$117=1,HJ32=0),2000,0))),1000000))</f>
        <v/>
      </c>
      <c r="SN32">
        <f>IF($B32=0,1000000,IF(INDEX('計算A'!$D$60:$EQ$104,$B32,113)*HJ32=1,IF(AND($E32=2,MY32=0),1000000,IF($I32&gt;0,IF(5=$J32,IF(OR(AND(113=$I32+1,OR($K32&lt;&gt;'計算A'!$A$3,'計算A'!$A$4=0)),AND(113=$I32-1,OR(17&lt;&gt;'計算A'!$A$3,'計算A'!$A$4=0))),0,IF(17=$K32,200000,ABS(17-$K32)*100)),100000+ABS(5-$J32)*1000+170)+'計算A'!DL$5*50+IF(AND($E32=1,MY32=0),25,0),IF($F32&gt;0,INDEX('計算A'!DL$110:DL$114,$F32+1)+IF(AND($E32=1,MY32=0),1000,0),MIN(TY32,20)*400+(IF('計算A'!DK$106=1,1-HI32,0)+IF('計算A'!DL$106=1,1-HK32,0))*150+175+'計算A'!DL$5*100000+IF(AND($E32=1,MY32=0),50000,0))+IF($H32=1,(IF('計算A'!DK$117=1,INDEX('計算A'!DK$10:DK$54,$B32),0)+IF('計算A'!DL$117=1,INDEX('計算A'!DM$10:DM$54,$B32),0))*4000,0)-IF(AND('計算A'!DK$117=1,YI32&gt;0),2000,0)-IF(AND($L32=1,'計算A'!DL$117=1,HK32=0),2000,0))),1000000))</f>
        <v/>
      </c>
      <c r="SO32">
        <f>IF($B32=0,1000000,IF(INDEX('計算A'!$D$60:$EQ$104,$B32,114)*HK32=1,IF(AND($E32=2,MZ32=0),1000000,IF($I32&gt;0,IF(5=$J32,IF(OR(AND(114=$I32+1,OR($K32&lt;&gt;'計算A'!$A$3,'計算A'!$A$4=0)),AND(114=$I32-1,OR(18&lt;&gt;'計算A'!$A$3,'計算A'!$A$4=0))),0,IF(18=$K32,200000,ABS(18-$K32)*100)),100000+ABS(5-$J32)*1000+180)+'計算A'!DM$5*50+IF(AND($E32=1,MZ32=0),25,0),IF($F32&gt;0,INDEX('計算A'!DM$110:DM$114,$F32+1)+IF(AND($E32=1,MZ32=0),1000,0),MIN(TY32,20)*400+(IF('計算A'!DL$106=1,1-HJ32,0)+IF('計算A'!DM$106=1,1-HL32,0))*150+185+'計算A'!DM$5*100000+IF(AND($E32=1,MZ32=0),50000,0))+IF($H32=1,(IF('計算A'!DL$117=1,INDEX('計算A'!DL$10:DL$54,$B32),0)+IF('計算A'!DM$117=1,INDEX('計算A'!DN$10:DN$54,$B32),0))*4000,0)-IF(AND('計算A'!DL$117=1,YJ32&gt;0),2000,0)-IF(AND($L32=1,'計算A'!DM$117=1,HL32=0),2000,0))),1000000))</f>
        <v/>
      </c>
      <c r="SP32">
        <f>IF($B32=0,1000000,IF(INDEX('計算A'!$D$60:$EQ$104,$B32,115)*HL32=1,IF(AND($E32=2,NA32=0),1000000,IF($I32&gt;0,IF(5=$J32,IF(OR(AND(115=$I32+1,OR($K32&lt;&gt;'計算A'!$A$3,'計算A'!$A$4=0)),AND(115=$I32-1,OR(19&lt;&gt;'計算A'!$A$3,'計算A'!$A$4=0))),0,IF(19=$K32,200000,ABS(19-$K32)*100)),100000+ABS(5-$J32)*1000+190)+'計算A'!DN$5*50+IF(AND($E32=1,NA32=0),25,0),IF($F32&gt;0,INDEX('計算A'!DN$110:DN$114,$F32+1)+IF(AND($E32=1,NA32=0),1000,0),MIN(TY32,20)*400+(IF('計算A'!DM$106=1,1-HK32,0)+IF('計算A'!DN$106=1,1-HM32,0))*150+195+'計算A'!DN$5*100000+IF(AND($E32=1,NA32=0),50000,0))+IF($H32=1,(IF('計算A'!DM$117=1,INDEX('計算A'!DM$10:DM$54,$B32),0)+IF('計算A'!DN$117=1,INDEX('計算A'!DO$10:DO$54,$B32),0))*4000,0)-IF(AND('計算A'!DM$117=1,YK32&gt;0),2000,0)-IF(AND($L32=1,'計算A'!DN$117=1,HM32=0),2000,0))),1000000))</f>
        <v/>
      </c>
      <c r="SQ32">
        <f>IF($B32=0,1000000,IF(INDEX('計算A'!$D$60:$EQ$104,$B32,116)*HM32=1,IF(AND($E32=2,NB32=0),1000000,IF($I32&gt;0,IF(5=$J32,IF(OR(AND(116=$I32+1,OR($K32&lt;&gt;'計算A'!$A$3,'計算A'!$A$4=0)),AND(116=$I32-1,OR(20&lt;&gt;'計算A'!$A$3,'計算A'!$A$4=0))),0,IF(20=$K32,200000,ABS(20-$K32)*100)),100000+ABS(5-$J32)*1000+200)+'計算A'!DO$5*50+IF(AND($E32=1,NB32=0),25,0),IF($F32&gt;0,INDEX('計算A'!DO$110:DO$114,$F32+1)+IF(AND($E32=1,NB32=0),1000,0),MIN(TY32,20)*400+(IF('計算A'!DN$106=1,1-HL32,0)+IF('計算A'!DO$106=1,1-HN32,0))*150+205+'計算A'!DO$5*100000+IF(AND($E32=1,NB32=0),50000,0))+IF($H32=1,(IF('計算A'!DN$117=1,INDEX('計算A'!DN$10:DN$54,$B32),0)+IF('計算A'!DO$117=1,INDEX('計算A'!DP$10:DP$54,$B32),0))*4000,0)-IF(AND('計算A'!DN$117=1,YL32&gt;0),2000,0)-IF(AND($L32=1,'計算A'!DO$117=1,HN32=0),2000,0))),1000000))</f>
        <v/>
      </c>
      <c r="SR32">
        <f>IF($B32=0,1000000,IF(INDEX('計算A'!$D$60:$EQ$104,$B32,117)*HN32=1,IF(AND($E32=2,NC32=0),1000000,IF($I32&gt;0,IF(5=$J32,IF(OR(AND(117=$I32+1,OR($K32&lt;&gt;'計算A'!$A$3,'計算A'!$A$4=0)),AND(117=$I32-1,OR(21&lt;&gt;'計算A'!$A$3,'計算A'!$A$4=0))),0,IF(21=$K32,200000,ABS(21-$K32)*100)),100000+ABS(5-$J32)*1000+210)+'計算A'!DP$5*50+IF(AND($E32=1,NC32=0),25,0),IF($F32&gt;0,INDEX('計算A'!DP$110:DP$114,$F32+1)+IF(AND($E32=1,NC32=0),1000,0),MIN(TY32,20)*400+(IF('計算A'!DO$106=1,1-HM32,0)+IF('計算A'!DP$106=1,1-HO32,0))*150+215+'計算A'!DP$5*100000+IF(AND($E32=1,NC32=0),50000,0))+IF($H32=1,(IF('計算A'!DO$117=1,INDEX('計算A'!DO$10:DO$54,$B32),0)+IF('計算A'!DP$117=1,INDEX('計算A'!DQ$10:DQ$54,$B32),0))*4000,0)-IF(AND('計算A'!DO$117=1,YM32&gt;0),2000,0)-IF(AND($L32=1,'計算A'!DP$117=1,HO32=0),2000,0))),1000000))</f>
        <v/>
      </c>
      <c r="SS32">
        <f>IF($B32=0,1000000,IF(INDEX('計算A'!$D$60:$EQ$104,$B32,118)*HO32=1,IF(AND($E32=2,ND32=0),1000000,IF($I32&gt;0,IF(5=$J32,IF(OR(AND(118=$I32+1,OR($K32&lt;&gt;'計算A'!$A$3,'計算A'!$A$4=0)),AND(118=$I32-1,OR(22&lt;&gt;'計算A'!$A$3,'計算A'!$A$4=0))),0,IF(22=$K32,200000,ABS(22-$K32)*100)),100000+ABS(5-$J32)*1000+220)+'計算A'!DQ$5*50+IF(AND($E32=1,ND32=0),25,0),IF($F32&gt;0,INDEX('計算A'!DQ$110:DQ$114,$F32+1)+IF(AND($E32=1,ND32=0),1000,0),MIN(TY32,20)*400+(IF('計算A'!DP$106=1,1-HN32,0)+IF('計算A'!DQ$106=1,1-HP32,0))*150+225+'計算A'!DQ$5*100000+IF(AND($E32=1,ND32=0),50000,0))+IF($H32=1,(IF('計算A'!DP$117=1,INDEX('計算A'!DP$10:DP$54,$B32),0)+IF('計算A'!DQ$117=1,INDEX('計算A'!DR$10:DR$54,$B32),0))*4000,0)-IF(AND('計算A'!DP$117=1,YN32&gt;0),2000,0)-IF(AND($L32=1,'計算A'!DQ$117=1,HP32=0),2000,0))),1000000))</f>
        <v/>
      </c>
      <c r="ST32">
        <f>IF($B32=0,1000000,IF(INDEX('計算A'!$D$60:$EQ$104,$B32,119)*HP32=1,IF(AND($E32=2,NE32=0),1000000,IF($I32&gt;0,IF(5=$J32,IF(OR(AND(119=$I32+1,OR($K32&lt;&gt;'計算A'!$A$3,'計算A'!$A$4=0)),AND(119=$I32-1,OR(23&lt;&gt;'計算A'!$A$3,'計算A'!$A$4=0))),0,IF(23=$K32,200000,ABS(23-$K32)*100)),100000+ABS(5-$J32)*1000+230)+'計算A'!DR$5*50+IF(AND($E32=1,NE32=0),25,0),IF($F32&gt;0,INDEX('計算A'!DR$110:DR$114,$F32+1)+IF(AND($E32=1,NE32=0),1000,0),MIN(TY32,20)*400+(IF('計算A'!DQ$106=1,1-HO32,0)+IF('計算A'!DR$106=1,1-HQ32,0))*150+235+'計算A'!DR$5*100000+IF(AND($E32=1,NE32=0),50000,0))+IF($H32=1,(IF('計算A'!DQ$117=1,INDEX('計算A'!DQ$10:DQ$54,$B32),0)+IF('計算A'!DR$117=1,INDEX('計算A'!DS$10:DS$54,$B32),0))*4000,0)-IF(AND('計算A'!DQ$117=1,YO32&gt;0),2000,0)-IF(AND($L32=1,'計算A'!DR$117=1,HQ32=0),2000,0))),1000000))</f>
        <v/>
      </c>
      <c r="SU32">
        <f>IF($B32=0,1000000,IF(INDEX('計算A'!$D$60:$EQ$104,$B32,120)*HQ32=1,IF(AND($E32=2,NF32=0),1000000,IF($I32&gt;0,IF(5=$J32,IF(OR(AND(120=$I32+1,OR($K32&lt;&gt;'計算A'!$A$3,'計算A'!$A$4=0)),AND(120=$I32-1,OR(24&lt;&gt;'計算A'!$A$3,'計算A'!$A$4=0))),0,IF(24=$K32,200000,ABS(24-$K32)*100)),100000+ABS(5-$J32)*1000+240)+'計算A'!DS$5*50+IF(AND($E32=1,NF32=0),25,0),IF($F32&gt;0,INDEX('計算A'!DS$110:DS$114,$F32+1)+IF(AND($E32=1,NF32=0),1000,0),MIN(TY32,20)*400+(IF('計算A'!DR$106=1,1-HP32,0))*150+245+'計算A'!DS$5*100000+IF(AND($E32=1,NF32=0),50000,0))+IF($H32=1,(IF('計算A'!DR$117=1,INDEX('計算A'!DR$10:DR$54,$B32),0))*4000,0)-IF(AND('計算A'!DR$117=1,YP32&gt;0),2000,0))),1000000))</f>
        <v/>
      </c>
      <c r="SV32">
        <f>IF($B32=0,1000000,IF(INDEX('計算A'!$D$60:$EQ$104,$B32,121)*HR32=1,IF(AND($E32=2,NG32=0),1000000,IF($I32&gt;0,IF(6=$J32,IF(OR(AND(121=$I32+1,OR($K32&lt;&gt;'計算A'!$A$3,'計算A'!$A$4=0)),AND(121=$I32-1,OR(1&lt;&gt;'計算A'!$A$3,'計算A'!$A$4=0))),0,IF(1=$K32,200000,ABS(1-$K32)*100)),100000+ABS(6-$J32)*1000+10)+'計算A'!DT$5*50+IF(AND($E32=1,NG32=0),25,0),IF($F32&gt;0,INDEX('計算A'!DT$110:DT$114,$F32+1)+IF(AND($E32=1,NG32=0),1000,0),MIN(TZ32,20)*400+(IF('計算A'!DT$106=1,1-HS32,0))*150+16+'計算A'!DT$5*100000+IF(AND($E32=1,NG32=0),50000,0))+IF($H32=1,(IF('計算A'!DT$117=1,INDEX('計算A'!DU$10:DU$54,$B32),0))*4000,0)-IF(AND($L32=1,'計算A'!DT$117=1,HS32=0),2000,0))),1000000))</f>
        <v/>
      </c>
      <c r="SW32">
        <f>IF($B32=0,1000000,IF(INDEX('計算A'!$D$60:$EQ$104,$B32,122)*HS32=1,IF(AND($E32=2,NH32=0),1000000,IF($I32&gt;0,IF(6=$J32,IF(OR(AND(122=$I32+1,OR($K32&lt;&gt;'計算A'!$A$3,'計算A'!$A$4=0)),AND(122=$I32-1,OR(2&lt;&gt;'計算A'!$A$3,'計算A'!$A$4=0))),0,IF(2=$K32,200000,ABS(2-$K32)*100)),100000+ABS(6-$J32)*1000+20)+'計算A'!DU$5*50+IF(AND($E32=1,NH32=0),25,0),IF($F32&gt;0,INDEX('計算A'!DU$110:DU$114,$F32+1)+IF(AND($E32=1,NH32=0),1000,0),MIN(TZ32,20)*400+(IF('計算A'!DT$106=1,1-HR32,0)+IF('計算A'!DU$106=1,1-HT32,0))*150+26+'計算A'!DU$5*100000+IF(AND($E32=1,NH32=0),50000,0))+IF($H32=1,(IF('計算A'!DT$117=1,INDEX('計算A'!DT$10:DT$54,$B32),0)+IF('計算A'!DU$117=1,INDEX('計算A'!DV$10:DV$54,$B32),0))*4000,0)-IF(AND('計算A'!DT$117=1,YR32&gt;0),2000,0)-IF(AND($L32=1,'計算A'!DU$117=1,HT32=0),2000,0))),1000000))</f>
        <v/>
      </c>
      <c r="SX32">
        <f>IF($B32=0,1000000,IF(INDEX('計算A'!$D$60:$EQ$104,$B32,123)*HT32=1,IF(AND($E32=2,NI32=0),1000000,IF($I32&gt;0,IF(6=$J32,IF(OR(AND(123=$I32+1,OR($K32&lt;&gt;'計算A'!$A$3,'計算A'!$A$4=0)),AND(123=$I32-1,OR(3&lt;&gt;'計算A'!$A$3,'計算A'!$A$4=0))),0,IF(3=$K32,200000,ABS(3-$K32)*100)),100000+ABS(6-$J32)*1000+30)+'計算A'!DV$5*50+IF(AND($E32=1,NI32=0),25,0),IF($F32&gt;0,INDEX('計算A'!DV$110:DV$114,$F32+1)+IF(AND($E32=1,NI32=0),1000,0),MIN(TZ32,20)*400+(IF('計算A'!DU$106=1,1-HS32,0)+IF('計算A'!DV$106=1,1-HU32,0))*150+36+'計算A'!DV$5*100000+IF(AND($E32=1,NI32=0),50000,0))+IF($H32=1,(IF('計算A'!DU$117=1,INDEX('計算A'!DU$10:DU$54,$B32),0)+IF('計算A'!DV$117=1,INDEX('計算A'!DW$10:DW$54,$B32),0))*4000,0)-IF(AND('計算A'!DU$117=1,YS32&gt;0),2000,0)-IF(AND($L32=1,'計算A'!DV$117=1,HU32=0),2000,0))),1000000))</f>
        <v/>
      </c>
      <c r="SY32">
        <f>IF($B32=0,1000000,IF(INDEX('計算A'!$D$60:$EQ$104,$B32,124)*HU32=1,IF(AND($E32=2,NJ32=0),1000000,IF($I32&gt;0,IF(6=$J32,IF(OR(AND(124=$I32+1,OR($K32&lt;&gt;'計算A'!$A$3,'計算A'!$A$4=0)),AND(124=$I32-1,OR(4&lt;&gt;'計算A'!$A$3,'計算A'!$A$4=0))),0,IF(4=$K32,200000,ABS(4-$K32)*100)),100000+ABS(6-$J32)*1000+40)+'計算A'!DW$5*50+IF(AND($E32=1,NJ32=0),25,0),IF($F32&gt;0,INDEX('計算A'!DW$110:DW$114,$F32+1)+IF(AND($E32=1,NJ32=0),1000,0),MIN(TZ32,20)*400+(IF('計算A'!DV$106=1,1-HT32,0)+IF('計算A'!DW$106=1,1-HV32,0))*150+46+'計算A'!DW$5*100000+IF(AND($E32=1,NJ32=0),50000,0))+IF($H32=1,(IF('計算A'!DV$117=1,INDEX('計算A'!DV$10:DV$54,$B32),0)+IF('計算A'!DW$117=1,INDEX('計算A'!DX$10:DX$54,$B32),0))*4000,0)-IF(AND('計算A'!DV$117=1,YT32&gt;0),2000,0)-IF(AND($L32=1,'計算A'!DW$117=1,HV32=0),2000,0))),1000000))</f>
        <v/>
      </c>
      <c r="SZ32">
        <f>IF($B32=0,1000000,IF(INDEX('計算A'!$D$60:$EQ$104,$B32,125)*HV32=1,IF(AND($E32=2,NK32=0),1000000,IF($I32&gt;0,IF(6=$J32,IF(OR(AND(125=$I32+1,OR($K32&lt;&gt;'計算A'!$A$3,'計算A'!$A$4=0)),AND(125=$I32-1,OR(5&lt;&gt;'計算A'!$A$3,'計算A'!$A$4=0))),0,IF(5=$K32,200000,ABS(5-$K32)*100)),100000+ABS(6-$J32)*1000+50)+'計算A'!DX$5*50+IF(AND($E32=1,NK32=0),25,0),IF($F32&gt;0,INDEX('計算A'!DX$110:DX$114,$F32+1)+IF(AND($E32=1,NK32=0),1000,0),MIN(TZ32,20)*400+(IF('計算A'!DW$106=1,1-HU32,0)+IF('計算A'!DX$106=1,1-HW32,0))*150+56+'計算A'!DX$5*100000+IF(AND($E32=1,NK32=0),50000,0))+IF($H32=1,(IF('計算A'!DW$117=1,INDEX('計算A'!DW$10:DW$54,$B32),0)+IF('計算A'!DX$117=1,INDEX('計算A'!DY$10:DY$54,$B32),0))*4000,0)-IF(AND('計算A'!DW$117=1,YU32&gt;0),2000,0)-IF(AND($L32=1,'計算A'!DX$117=1,HW32=0),2000,0))),1000000))</f>
        <v/>
      </c>
      <c r="TA32">
        <f>IF($B32=0,1000000,IF(INDEX('計算A'!$D$60:$EQ$104,$B32,126)*HW32=1,IF(AND($E32=2,NL32=0),1000000,IF($I32&gt;0,IF(6=$J32,IF(OR(AND(126=$I32+1,OR($K32&lt;&gt;'計算A'!$A$3,'計算A'!$A$4=0)),AND(126=$I32-1,OR(6&lt;&gt;'計算A'!$A$3,'計算A'!$A$4=0))),0,IF(6=$K32,200000,ABS(6-$K32)*100)),100000+ABS(6-$J32)*1000+60)+'計算A'!DY$5*50+IF(AND($E32=1,NL32=0),25,0),IF($F32&gt;0,INDEX('計算A'!DY$110:DY$114,$F32+1)+IF(AND($E32=1,NL32=0),1000,0),MIN(TZ32,20)*400+(IF('計算A'!DX$106=1,1-HV32,0)+IF('計算A'!DY$106=1,1-HX32,0))*150+66+'計算A'!DY$5*100000+IF(AND($E32=1,NL32=0),50000,0))+IF($H32=1,(IF('計算A'!DX$117=1,INDEX('計算A'!DX$10:DX$54,$B32),0)+IF('計算A'!DY$117=1,INDEX('計算A'!DZ$10:DZ$54,$B32),0))*4000,0)-IF(AND('計算A'!DX$117=1,YV32&gt;0),2000,0)-IF(AND($L32=1,'計算A'!DY$117=1,HX32=0),2000,0))),1000000))</f>
        <v/>
      </c>
      <c r="TB32">
        <f>IF($B32=0,1000000,IF(INDEX('計算A'!$D$60:$EQ$104,$B32,127)*HX32=1,IF(AND($E32=2,NM32=0),1000000,IF($I32&gt;0,IF(6=$J32,IF(OR(AND(127=$I32+1,OR($K32&lt;&gt;'計算A'!$A$3,'計算A'!$A$4=0)),AND(127=$I32-1,OR(7&lt;&gt;'計算A'!$A$3,'計算A'!$A$4=0))),0,IF(7=$K32,200000,ABS(7-$K32)*100)),100000+ABS(6-$J32)*1000+70)+'計算A'!DZ$5*50+IF(AND($E32=1,NM32=0),25,0),IF($F32&gt;0,INDEX('計算A'!DZ$110:DZ$114,$F32+1)+IF(AND($E32=1,NM32=0),1000,0),MIN(TZ32,20)*400+(IF('計算A'!DY$106=1,1-HW32,0)+IF('計算A'!DZ$106=1,1-HY32,0))*150+76+'計算A'!DZ$5*100000+IF(AND($E32=1,NM32=0),50000,0))+IF($H32=1,(IF('計算A'!DY$117=1,INDEX('計算A'!DY$10:DY$54,$B32),0)+IF('計算A'!DZ$117=1,INDEX('計算A'!EA$10:EA$54,$B32),0))*4000,0)-IF(AND('計算A'!DY$117=1,YW32&gt;0),2000,0)-IF(AND($L32=1,'計算A'!DZ$117=1,HY32=0),2000,0))),1000000))</f>
        <v/>
      </c>
      <c r="TC32">
        <f>IF($B32=0,1000000,IF(INDEX('計算A'!$D$60:$EQ$104,$B32,128)*HY32=1,IF(AND($E32=2,NN32=0),1000000,IF($I32&gt;0,IF(6=$J32,IF(OR(AND(128=$I32+1,OR($K32&lt;&gt;'計算A'!$A$3,'計算A'!$A$4=0)),AND(128=$I32-1,OR(8&lt;&gt;'計算A'!$A$3,'計算A'!$A$4=0))),0,IF(8=$K32,200000,ABS(8-$K32)*100)),100000+ABS(6-$J32)*1000+80)+'計算A'!EA$5*50+IF(AND($E32=1,NN32=0),25,0),IF($F32&gt;0,INDEX('計算A'!EA$110:EA$114,$F32+1)+IF(AND($E32=1,NN32=0),1000,0),MIN(TZ32,20)*400+(IF('計算A'!DZ$106=1,1-HX32,0)+IF('計算A'!EA$106=1,1-HZ32,0))*150+86+'計算A'!EA$5*100000+IF(AND($E32=1,NN32=0),50000,0))+IF($H32=1,(IF('計算A'!DZ$117=1,INDEX('計算A'!DZ$10:DZ$54,$B32),0)+IF('計算A'!EA$117=1,INDEX('計算A'!EB$10:EB$54,$B32),0))*4000,0)-IF(AND('計算A'!DZ$117=1,YX32&gt;0),2000,0)-IF(AND($L32=1,'計算A'!EA$117=1,HZ32=0),2000,0))),1000000))</f>
        <v/>
      </c>
      <c r="TD32">
        <f>IF($B32=0,1000000,IF(INDEX('計算A'!$D$60:$EQ$104,$B32,129)*HZ32=1,IF(AND($E32=2,NO32=0),1000000,IF($I32&gt;0,IF(6=$J32,IF(OR(AND(129=$I32+1,OR($K32&lt;&gt;'計算A'!$A$3,'計算A'!$A$4=0)),AND(129=$I32-1,OR(9&lt;&gt;'計算A'!$A$3,'計算A'!$A$4=0))),0,IF(9=$K32,200000,ABS(9-$K32)*100)),100000+ABS(6-$J32)*1000+90)+'計算A'!EB$5*50+IF(AND($E32=1,NO32=0),25,0),IF($F32&gt;0,INDEX('計算A'!EB$110:EB$114,$F32+1)+IF(AND($E32=1,NO32=0),1000,0),MIN(TZ32,20)*400+(IF('計算A'!EA$106=1,1-HY32,0)+IF('計算A'!EB$106=1,1-IA32,0))*150+96+'計算A'!EB$5*100000+IF(AND($E32=1,NO32=0),50000,0))+IF($H32=1,(IF('計算A'!EA$117=1,INDEX('計算A'!EA$10:EA$54,$B32),0)+IF('計算A'!EB$117=1,INDEX('計算A'!EC$10:EC$54,$B32),0))*4000,0)-IF(AND('計算A'!EA$117=1,YY32&gt;0),2000,0)-IF(AND($L32=1,'計算A'!EB$117=1,IA32=0),2000,0))),1000000))</f>
        <v/>
      </c>
      <c r="TE32">
        <f>IF($B32=0,1000000,IF(INDEX('計算A'!$D$60:$EQ$104,$B32,130)*IA32=1,IF(AND($E32=2,NP32=0),1000000,IF($I32&gt;0,IF(6=$J32,IF(OR(AND(130=$I32+1,OR($K32&lt;&gt;'計算A'!$A$3,'計算A'!$A$4=0)),AND(130=$I32-1,OR(10&lt;&gt;'計算A'!$A$3,'計算A'!$A$4=0))),0,IF(10=$K32,200000,ABS(10-$K32)*100)),100000+ABS(6-$J32)*1000+100)+'計算A'!EC$5*50+IF(AND($E32=1,NP32=0),25,0),IF($F32&gt;0,INDEX('計算A'!EC$110:EC$114,$F32+1)+IF(AND($E32=1,NP32=0),1000,0),MIN(TZ32,20)*400+(IF('計算A'!EB$106=1,1-HZ32,0)+IF('計算A'!EC$106=1,1-IB32,0))*150+106+'計算A'!EC$5*100000+IF(AND($E32=1,NP32=0),50000,0))+IF($H32=1,(IF('計算A'!EB$117=1,INDEX('計算A'!EB$10:EB$54,$B32),0)+IF('計算A'!EC$117=1,INDEX('計算A'!ED$10:ED$54,$B32),0))*4000,0)-IF(AND('計算A'!EB$117=1,YZ32&gt;0),2000,0)-IF(AND($L32=1,'計算A'!EC$117=1,IB32=0),2000,0))),1000000))</f>
        <v/>
      </c>
      <c r="TF32">
        <f>IF($B32=0,1000000,IF(INDEX('計算A'!$D$60:$EQ$104,$B32,131)*IB32=1,IF(AND($E32=2,NQ32=0),1000000,IF($I32&gt;0,IF(6=$J32,IF(OR(AND(131=$I32+1,OR($K32&lt;&gt;'計算A'!$A$3,'計算A'!$A$4=0)),AND(131=$I32-1,OR(11&lt;&gt;'計算A'!$A$3,'計算A'!$A$4=0))),0,IF(11=$K32,200000,ABS(11-$K32)*100)),100000+ABS(6-$J32)*1000+110)+'計算A'!ED$5*50+IF(AND($E32=1,NQ32=0),25,0),IF($F32&gt;0,INDEX('計算A'!ED$110:ED$114,$F32+1)+IF(AND($E32=1,NQ32=0),1000,0),MIN(TZ32,20)*400+(IF('計算A'!EC$106=1,1-IA32,0)+IF('計算A'!ED$106=1,1-IC32,0))*150+116+'計算A'!ED$5*100000+IF(AND($E32=1,NQ32=0),50000,0))+IF($H32=1,(IF('計算A'!EC$117=1,INDEX('計算A'!EC$10:EC$54,$B32),0)+IF('計算A'!ED$117=1,INDEX('計算A'!EE$10:EE$54,$B32),0))*4000,0)-IF(AND('計算A'!EC$117=1,ZA32&gt;0),2000,0)-IF(AND($L32=1,'計算A'!ED$117=1,IC32=0),2000,0))),1000000))</f>
        <v/>
      </c>
      <c r="TG32">
        <f>IF($B32=0,1000000,IF(INDEX('計算A'!$D$60:$EQ$104,$B32,132)*IC32=1,IF(AND($E32=2,NR32=0),1000000,IF($I32&gt;0,IF(6=$J32,IF(OR(AND(132=$I32+1,OR($K32&lt;&gt;'計算A'!$A$3,'計算A'!$A$4=0)),AND(132=$I32-1,OR(12&lt;&gt;'計算A'!$A$3,'計算A'!$A$4=0))),0,IF(12=$K32,200000,ABS(12-$K32)*100)),100000+ABS(6-$J32)*1000+120)+'計算A'!EE$5*50+IF(AND($E32=1,NR32=0),25,0),IF($F32&gt;0,INDEX('計算A'!EE$110:EE$114,$F32+1)+IF(AND($E32=1,NR32=0),1000,0),MIN(TZ32,20)*400+(IF('計算A'!ED$106=1,1-IB32,0)+IF('計算A'!EE$106=1,1-ID32,0))*150+126+'計算A'!EE$5*100000+IF(AND($E32=1,NR32=0),50000,0))+IF($H32=1,(IF('計算A'!ED$117=1,INDEX('計算A'!ED$10:ED$54,$B32),0)+IF('計算A'!EE$117=1,INDEX('計算A'!EF$10:EF$54,$B32),0))*4000,0)-IF(AND('計算A'!ED$117=1,ZB32&gt;0),2000,0)-IF(AND($L32=1,'計算A'!EE$117=1,ID32=0),2000,0))),1000000))</f>
        <v/>
      </c>
      <c r="TH32">
        <f>IF($B32=0,1000000,IF(INDEX('計算A'!$D$60:$EQ$104,$B32,133)*ID32=1,IF(AND($E32=2,NS32=0),1000000,IF($I32&gt;0,IF(6=$J32,IF(OR(AND(133=$I32+1,OR($K32&lt;&gt;'計算A'!$A$3,'計算A'!$A$4=0)),AND(133=$I32-1,OR(13&lt;&gt;'計算A'!$A$3,'計算A'!$A$4=0))),0,IF(13=$K32,200000,ABS(13-$K32)*100)),100000+ABS(6-$J32)*1000+130)+'計算A'!EF$5*50+IF(AND($E32=1,NS32=0),25,0),IF($F32&gt;0,INDEX('計算A'!EF$110:EF$114,$F32+1)+IF(AND($E32=1,NS32=0),1000,0),MIN(TZ32,20)*400+(IF('計算A'!EE$106=1,1-IC32,0)+IF('計算A'!EF$106=1,1-IE32,0))*150+136+'計算A'!EF$5*100000+IF(AND($E32=1,NS32=0),50000,0))+IF($H32=1,(IF('計算A'!EE$117=1,INDEX('計算A'!EE$10:EE$54,$B32),0)+IF('計算A'!EF$117=1,INDEX('計算A'!EG$10:EG$54,$B32),0))*4000,0)-IF(AND('計算A'!EE$117=1,ZC32&gt;0),2000,0)-IF(AND($L32=1,'計算A'!EF$117=1,IE32=0),2000,0))),1000000))</f>
        <v/>
      </c>
      <c r="TI32">
        <f>IF($B32=0,1000000,IF(INDEX('計算A'!$D$60:$EQ$104,$B32,134)*IE32=1,IF(AND($E32=2,NT32=0),1000000,IF($I32&gt;0,IF(6=$J32,IF(OR(AND(134=$I32+1,OR($K32&lt;&gt;'計算A'!$A$3,'計算A'!$A$4=0)),AND(134=$I32-1,OR(14&lt;&gt;'計算A'!$A$3,'計算A'!$A$4=0))),0,IF(14=$K32,200000,ABS(14-$K32)*100)),100000+ABS(6-$J32)*1000+140)+'計算A'!EG$5*50+IF(AND($E32=1,NT32=0),25,0),IF($F32&gt;0,INDEX('計算A'!EG$110:EG$114,$F32+1)+IF(AND($E32=1,NT32=0),1000,0),MIN(TZ32,20)*400+(IF('計算A'!EF$106=1,1-ID32,0)+IF('計算A'!EG$106=1,1-IF32,0))*150+146+'計算A'!EG$5*100000+IF(AND($E32=1,NT32=0),50000,0))+IF($H32=1,(IF('計算A'!EF$117=1,INDEX('計算A'!EF$10:EF$54,$B32),0)+IF('計算A'!EG$117=1,INDEX('計算A'!EH$10:EH$54,$B32),0))*4000,0)-IF(AND('計算A'!EF$117=1,ZD32&gt;0),2000,0)-IF(AND($L32=1,'計算A'!EG$117=1,IF32=0),2000,0))),1000000))</f>
        <v/>
      </c>
      <c r="TJ32">
        <f>IF($B32=0,1000000,IF(INDEX('計算A'!$D$60:$EQ$104,$B32,135)*IF32=1,IF(AND($E32=2,NU32=0),1000000,IF($I32&gt;0,IF(6=$J32,IF(OR(AND(135=$I32+1,OR($K32&lt;&gt;'計算A'!$A$3,'計算A'!$A$4=0)),AND(135=$I32-1,OR(15&lt;&gt;'計算A'!$A$3,'計算A'!$A$4=0))),0,IF(15=$K32,200000,ABS(15-$K32)*100)),100000+ABS(6-$J32)*1000+150)+'計算A'!EH$5*50+IF(AND($E32=1,NU32=0),25,0),IF($F32&gt;0,INDEX('計算A'!EH$110:EH$114,$F32+1)+IF(AND($E32=1,NU32=0),1000,0),MIN(TZ32,20)*400+(IF('計算A'!EG$106=1,1-IE32,0)+IF('計算A'!EH$106=1,1-IG32,0))*150+156+'計算A'!EH$5*100000+IF(AND($E32=1,NU32=0),50000,0))+IF($H32=1,(IF('計算A'!EG$117=1,INDEX('計算A'!EG$10:EG$54,$B32),0)+IF('計算A'!EH$117=1,INDEX('計算A'!EI$10:EI$54,$B32),0))*4000,0)-IF(AND('計算A'!EG$117=1,ZE32&gt;0),2000,0)-IF(AND($L32=1,'計算A'!EH$117=1,IG32=0),2000,0))),1000000))</f>
        <v/>
      </c>
      <c r="TK32">
        <f>IF($B32=0,1000000,IF(INDEX('計算A'!$D$60:$EQ$104,$B32,136)*IG32=1,IF(AND($E32=2,NV32=0),1000000,IF($I32&gt;0,IF(6=$J32,IF(OR(AND(136=$I32+1,OR($K32&lt;&gt;'計算A'!$A$3,'計算A'!$A$4=0)),AND(136=$I32-1,OR(16&lt;&gt;'計算A'!$A$3,'計算A'!$A$4=0))),0,IF(16=$K32,200000,ABS(16-$K32)*100)),100000+ABS(6-$J32)*1000+160)+'計算A'!EI$5*50+IF(AND($E32=1,NV32=0),25,0),IF($F32&gt;0,INDEX('計算A'!EI$110:EI$114,$F32+1)+IF(AND($E32=1,NV32=0),1000,0),MIN(TZ32,20)*400+(IF('計算A'!EH$106=1,1-IF32,0)+IF('計算A'!EI$106=1,1-IH32,0))*150+166+'計算A'!EI$5*100000+IF(AND($E32=1,NV32=0),50000,0))+IF($H32=1,(IF('計算A'!EH$117=1,INDEX('計算A'!EH$10:EH$54,$B32),0)+IF('計算A'!EI$117=1,INDEX('計算A'!EJ$10:EJ$54,$B32),0))*4000,0)-IF(AND('計算A'!EH$117=1,ZF32&gt;0),2000,0)-IF(AND($L32=1,'計算A'!EI$117=1,IH32=0),2000,0))),1000000))</f>
        <v/>
      </c>
      <c r="TL32">
        <f>IF($B32=0,1000000,IF(INDEX('計算A'!$D$60:$EQ$104,$B32,137)*IH32=1,IF(AND($E32=2,NW32=0),1000000,IF($I32&gt;0,IF(6=$J32,IF(OR(AND(137=$I32+1,OR($K32&lt;&gt;'計算A'!$A$3,'計算A'!$A$4=0)),AND(137=$I32-1,OR(17&lt;&gt;'計算A'!$A$3,'計算A'!$A$4=0))),0,IF(17=$K32,200000,ABS(17-$K32)*100)),100000+ABS(6-$J32)*1000+170)+'計算A'!EJ$5*50+IF(AND($E32=1,NW32=0),25,0),IF($F32&gt;0,INDEX('計算A'!EJ$110:EJ$114,$F32+1)+IF(AND($E32=1,NW32=0),1000,0),MIN(TZ32,20)*400+(IF('計算A'!EI$106=1,1-IG32,0)+IF('計算A'!EJ$106=1,1-II32,0))*150+176+'計算A'!EJ$5*100000+IF(AND($E32=1,NW32=0),50000,0))+IF($H32=1,(IF('計算A'!EI$117=1,INDEX('計算A'!EI$10:EI$54,$B32),0)+IF('計算A'!EJ$117=1,INDEX('計算A'!EK$10:EK$54,$B32),0))*4000,0)-IF(AND('計算A'!EI$117=1,ZG32&gt;0),2000,0)-IF(AND($L32=1,'計算A'!EJ$117=1,II32=0),2000,0))),1000000))</f>
        <v/>
      </c>
      <c r="TM32">
        <f>IF($B32=0,1000000,IF(INDEX('計算A'!$D$60:$EQ$104,$B32,138)*II32=1,IF(AND($E32=2,NX32=0),1000000,IF($I32&gt;0,IF(6=$J32,IF(OR(AND(138=$I32+1,OR($K32&lt;&gt;'計算A'!$A$3,'計算A'!$A$4=0)),AND(138=$I32-1,OR(18&lt;&gt;'計算A'!$A$3,'計算A'!$A$4=0))),0,IF(18=$K32,200000,ABS(18-$K32)*100)),100000+ABS(6-$J32)*1000+180)+'計算A'!EK$5*50+IF(AND($E32=1,NX32=0),25,0),IF($F32&gt;0,INDEX('計算A'!EK$110:EK$114,$F32+1)+IF(AND($E32=1,NX32=0),1000,0),MIN(TZ32,20)*400+(IF('計算A'!EJ$106=1,1-IH32,0)+IF('計算A'!EK$106=1,1-IJ32,0))*150+186+'計算A'!EK$5*100000+IF(AND($E32=1,NX32=0),50000,0))+IF($H32=1,(IF('計算A'!EJ$117=1,INDEX('計算A'!EJ$10:EJ$54,$B32),0)+IF('計算A'!EK$117=1,INDEX('計算A'!EL$10:EL$54,$B32),0))*4000,0)-IF(AND('計算A'!EJ$117=1,ZH32&gt;0),2000,0)-IF(AND($L32=1,'計算A'!EK$117=1,IJ32=0),2000,0))),1000000))</f>
        <v/>
      </c>
      <c r="TN32">
        <f>IF($B32=0,1000000,IF(INDEX('計算A'!$D$60:$EQ$104,$B32,139)*IJ32=1,IF(AND($E32=2,NY32=0),1000000,IF($I32&gt;0,IF(6=$J32,IF(OR(AND(139=$I32+1,OR($K32&lt;&gt;'計算A'!$A$3,'計算A'!$A$4=0)),AND(139=$I32-1,OR(19&lt;&gt;'計算A'!$A$3,'計算A'!$A$4=0))),0,IF(19=$K32,200000,ABS(19-$K32)*100)),100000+ABS(6-$J32)*1000+190)+'計算A'!EL$5*50+IF(AND($E32=1,NY32=0),25,0),IF($F32&gt;0,INDEX('計算A'!EL$110:EL$114,$F32+1)+IF(AND($E32=1,NY32=0),1000,0),MIN(TZ32,20)*400+(IF('計算A'!EK$106=1,1-II32,0)+IF('計算A'!EL$106=1,1-IK32,0))*150+196+'計算A'!EL$5*100000+IF(AND($E32=1,NY32=0),50000,0))+IF($H32=1,(IF('計算A'!EK$117=1,INDEX('計算A'!EK$10:EK$54,$B32),0)+IF('計算A'!EL$117=1,INDEX('計算A'!EM$10:EM$54,$B32),0))*4000,0)-IF(AND('計算A'!EK$117=1,ZI32&gt;0),2000,0)-IF(AND($L32=1,'計算A'!EL$117=1,IK32=0),2000,0))),1000000))</f>
        <v/>
      </c>
      <c r="TO32">
        <f>IF($B32=0,1000000,IF(INDEX('計算A'!$D$60:$EQ$104,$B32,140)*IK32=1,IF(AND($E32=2,NZ32=0),1000000,IF($I32&gt;0,IF(6=$J32,IF(OR(AND(140=$I32+1,OR($K32&lt;&gt;'計算A'!$A$3,'計算A'!$A$4=0)),AND(140=$I32-1,OR(20&lt;&gt;'計算A'!$A$3,'計算A'!$A$4=0))),0,IF(20=$K32,200000,ABS(20-$K32)*100)),100000+ABS(6-$J32)*1000+200)+'計算A'!EM$5*50+IF(AND($E32=1,NZ32=0),25,0),IF($F32&gt;0,INDEX('計算A'!EM$110:EM$114,$F32+1)+IF(AND($E32=1,NZ32=0),1000,0),MIN(TZ32,20)*400+(IF('計算A'!EL$106=1,1-IJ32,0)+IF('計算A'!EM$106=1,1-IL32,0))*150+206+'計算A'!EM$5*100000+IF(AND($E32=1,NZ32=0),50000,0))+IF($H32=1,(IF('計算A'!EL$117=1,INDEX('計算A'!EL$10:EL$54,$B32),0)+IF('計算A'!EM$117=1,INDEX('計算A'!EN$10:EN$54,$B32),0))*4000,0)-IF(AND('計算A'!EL$117=1,ZJ32&gt;0),2000,0)-IF(AND($L32=1,'計算A'!EM$117=1,IL32=0),2000,0))),1000000))</f>
        <v/>
      </c>
      <c r="TP32">
        <f>IF($B32=0,1000000,IF(INDEX('計算A'!$D$60:$EQ$104,$B32,141)*IL32=1,IF(AND($E32=2,OA32=0),1000000,IF($I32&gt;0,IF(6=$J32,IF(OR(AND(141=$I32+1,OR($K32&lt;&gt;'計算A'!$A$3,'計算A'!$A$4=0)),AND(141=$I32-1,OR(21&lt;&gt;'計算A'!$A$3,'計算A'!$A$4=0))),0,IF(21=$K32,200000,ABS(21-$K32)*100)),100000+ABS(6-$J32)*1000+210)+'計算A'!EN$5*50+IF(AND($E32=1,OA32=0),25,0),IF($F32&gt;0,INDEX('計算A'!EN$110:EN$114,$F32+1)+IF(AND($E32=1,OA32=0),1000,0),MIN(TZ32,20)*400+(IF('計算A'!EM$106=1,1-IK32,0)+IF('計算A'!EN$106=1,1-IM32,0))*150+216+'計算A'!EN$5*100000+IF(AND($E32=1,OA32=0),50000,0))+IF($H32=1,(IF('計算A'!EM$117=1,INDEX('計算A'!EM$10:EM$54,$B32),0)+IF('計算A'!EN$117=1,INDEX('計算A'!EO$10:EO$54,$B32),0))*4000,0)-IF(AND('計算A'!EM$117=1,ZK32&gt;0),2000,0)-IF(AND($L32=1,'計算A'!EN$117=1,IM32=0),2000,0))),1000000))</f>
        <v/>
      </c>
      <c r="TQ32">
        <f>IF($B32=0,1000000,IF(INDEX('計算A'!$D$60:$EQ$104,$B32,142)*IM32=1,IF(AND($E32=2,OB32=0),1000000,IF($I32&gt;0,IF(6=$J32,IF(OR(AND(142=$I32+1,OR($K32&lt;&gt;'計算A'!$A$3,'計算A'!$A$4=0)),AND(142=$I32-1,OR(22&lt;&gt;'計算A'!$A$3,'計算A'!$A$4=0))),0,IF(22=$K32,200000,ABS(22-$K32)*100)),100000+ABS(6-$J32)*1000+220)+'計算A'!EO$5*50+IF(AND($E32=1,OB32=0),25,0),IF($F32&gt;0,INDEX('計算A'!EO$110:EO$114,$F32+1)+IF(AND($E32=1,OB32=0),1000,0),MIN(TZ32,20)*400+(IF('計算A'!EN$106=1,1-IL32,0)+IF('計算A'!EO$106=1,1-IN32,0))*150+226+'計算A'!EO$5*100000+IF(AND($E32=1,OB32=0),50000,0))+IF($H32=1,(IF('計算A'!EN$117=1,INDEX('計算A'!EN$10:EN$54,$B32),0)+IF('計算A'!EO$117=1,INDEX('計算A'!EP$10:EP$54,$B32),0))*4000,0)-IF(AND('計算A'!EN$117=1,ZL32&gt;0),2000,0)-IF(AND($L32=1,'計算A'!EO$117=1,IN32=0),2000,0))),1000000))</f>
        <v/>
      </c>
      <c r="TR32">
        <f>IF($B32=0,1000000,IF(INDEX('計算A'!$D$60:$EQ$104,$B32,143)*IN32=1,IF(AND($E32=2,OC32=0),1000000,IF($I32&gt;0,IF(6=$J32,IF(OR(AND(143=$I32+1,OR($K32&lt;&gt;'計算A'!$A$3,'計算A'!$A$4=0)),AND(143=$I32-1,OR(23&lt;&gt;'計算A'!$A$3,'計算A'!$A$4=0))),0,IF(23=$K32,200000,ABS(23-$K32)*100)),100000+ABS(6-$J32)*1000+230)+'計算A'!EP$5*50+IF(AND($E32=1,OC32=0),25,0),IF($F32&gt;0,INDEX('計算A'!EP$110:EP$114,$F32+1)+IF(AND($E32=1,OC32=0),1000,0),MIN(TZ32,20)*400+(IF('計算A'!EO$106=1,1-IM32,0)+IF('計算A'!EP$106=1,1-IO32,0))*150+236+'計算A'!EP$5*100000+IF(AND($E32=1,OC32=0),50000,0))+IF($H32=1,(IF('計算A'!EO$117=1,INDEX('計算A'!EO$10:EO$54,$B32),0)+IF('計算A'!EP$117=1,INDEX('計算A'!EQ$10:EQ$54,$B32),0))*4000,0)-IF(AND('計算A'!EO$117=1,ZM32&gt;0),2000,0)-IF(AND($L32=1,'計算A'!EP$117=1,IO32=0),2000,0))),1000000))</f>
        <v/>
      </c>
      <c r="TS32">
        <f>IF($B32=0,1000000,IF(INDEX('計算A'!$D$60:$EQ$104,$B32,144)*IO32=1,IF(AND($E32=2,OD32=0),1000000,IF($I32&gt;0,IF(6=$J32,IF(OR(AND(144=$I32+1,OR($K32&lt;&gt;'計算A'!$A$3,'計算A'!$A$4=0)),AND(144=$I32-1,OR(24&lt;&gt;'計算A'!$A$3,'計算A'!$A$4=0))),0,IF(24=$K32,200000,ABS(24-$K32)*100)),100000+ABS(6-$J32)*1000+240)+'計算A'!EQ$5*50+IF(AND($E32=1,OD32=0),25,0),IF($F32&gt;0,INDEX('計算A'!EQ$110:EQ$114,$F32+1)+IF(AND($E32=1,OD32=0),1000,0),MIN(TZ32,20)*400+(IF('計算A'!EP$106=1,1-IN32,0))*150+246+'計算A'!EQ$5*100000+IF(AND($E32=1,OD32=0),50000,0))+IF($H32=1,(IF('計算A'!EP$117=1,INDEX('計算A'!EP$10:EP$54,$B32),0))*4000,0)-IF(AND('計算A'!EP$117=1,ZN32&gt;0),2000,0))),1000000))</f>
        <v/>
      </c>
      <c r="TU32">
        <f>TU31+IF($C31&gt;0,IF(INDEX('計算A'!$D$2:$EQ$2,$C31)=1,1,0),0)</f>
        <v/>
      </c>
      <c r="TV32">
        <f>TV31+IF($C31&gt;0,IF(INDEX('計算A'!$D$2:$EQ$2,$C31)=2,1,0),0)</f>
        <v/>
      </c>
      <c r="TW32">
        <f>TW31+IF($C31&gt;0,IF(INDEX('計算A'!$D$2:$EQ$2,$C31)=3,1,0),0)</f>
        <v/>
      </c>
      <c r="TX32">
        <f>TX31+IF($C31&gt;0,IF(INDEX('計算A'!$D$2:$EQ$2,$C31)=4,1,0),0)</f>
        <v/>
      </c>
      <c r="TY32">
        <f>TY31+IF($C31&gt;0,IF(INDEX('計算A'!$D$2:$EQ$2,$C31)=5,1,0),0)</f>
        <v/>
      </c>
      <c r="TZ32">
        <f>TZ31+IF($C31&gt;0,IF(INDEX('計算A'!$D$2:$EQ$2,$C31)=6,1,0),0)</f>
        <v/>
      </c>
      <c r="UB32">
        <f>UB31+IF(AND($C31=1,$L31=1),1,0)</f>
        <v/>
      </c>
      <c r="UC32">
        <f>UC31+IF(AND($C31=2,$L31=1),1,0)</f>
        <v/>
      </c>
      <c r="UD32">
        <f>UD31+IF(AND($C31=3,$L31=1),1,0)</f>
        <v/>
      </c>
      <c r="UE32">
        <f>UE31+IF(AND($C31=4,$L31=1),1,0)</f>
        <v/>
      </c>
      <c r="UF32">
        <f>UF31+IF(AND($C31=5,$L31=1),1,0)</f>
        <v/>
      </c>
      <c r="UG32">
        <f>UG31+IF(AND($C31=6,$L31=1),1,0)</f>
        <v/>
      </c>
      <c r="UH32">
        <f>UH31+IF(AND($C31=7,$L31=1),1,0)</f>
        <v/>
      </c>
      <c r="UI32">
        <f>UI31+IF(AND($C31=8,$L31=1),1,0)</f>
        <v/>
      </c>
      <c r="UJ32">
        <f>UJ31+IF(AND($C31=9,$L31=1),1,0)</f>
        <v/>
      </c>
      <c r="UK32">
        <f>UK31+IF(AND($C31=10,$L31=1),1,0)</f>
        <v/>
      </c>
      <c r="UL32">
        <f>UL31+IF(AND($C31=11,$L31=1),1,0)</f>
        <v/>
      </c>
      <c r="UM32">
        <f>UM31+IF(AND($C31=12,$L31=1),1,0)</f>
        <v/>
      </c>
      <c r="UN32">
        <f>UN31+IF(AND($C31=13,$L31=1),1,0)</f>
        <v/>
      </c>
      <c r="UO32">
        <f>UO31+IF(AND($C31=14,$L31=1),1,0)</f>
        <v/>
      </c>
      <c r="UP32">
        <f>UP31+IF(AND($C31=15,$L31=1),1,0)</f>
        <v/>
      </c>
      <c r="UQ32">
        <f>UQ31+IF(AND($C31=16,$L31=1),1,0)</f>
        <v/>
      </c>
      <c r="UR32">
        <f>UR31+IF(AND($C31=17,$L31=1),1,0)</f>
        <v/>
      </c>
      <c r="US32">
        <f>US31+IF(AND($C31=18,$L31=1),1,0)</f>
        <v/>
      </c>
      <c r="UT32">
        <f>UT31+IF(AND($C31=19,$L31=1),1,0)</f>
        <v/>
      </c>
      <c r="UU32">
        <f>UU31+IF(AND($C31=20,$L31=1),1,0)</f>
        <v/>
      </c>
      <c r="UV32">
        <f>UV31+IF(AND($C31=21,$L31=1),1,0)</f>
        <v/>
      </c>
      <c r="UW32">
        <f>UW31+IF(AND($C31=22,$L31=1),1,0)</f>
        <v/>
      </c>
      <c r="UX32">
        <f>UX31+IF(AND($C31=23,$L31=1),1,0)</f>
        <v/>
      </c>
      <c r="UY32">
        <f>UY31+IF(AND($C31=24,$L31=1),1,0)</f>
        <v/>
      </c>
      <c r="UZ32">
        <f>UZ31+IF(AND($C31=25,$L31=1),1,0)</f>
        <v/>
      </c>
      <c r="VA32">
        <f>VA31+IF(AND($C31=26,$L31=1),1,0)</f>
        <v/>
      </c>
      <c r="VB32">
        <f>VB31+IF(AND($C31=27,$L31=1),1,0)</f>
        <v/>
      </c>
      <c r="VC32">
        <f>VC31+IF(AND($C31=28,$L31=1),1,0)</f>
        <v/>
      </c>
      <c r="VD32">
        <f>VD31+IF(AND($C31=29,$L31=1),1,0)</f>
        <v/>
      </c>
      <c r="VE32">
        <f>VE31+IF(AND($C31=30,$L31=1),1,0)</f>
        <v/>
      </c>
      <c r="VF32">
        <f>VF31+IF(AND($C31=31,$L31=1),1,0)</f>
        <v/>
      </c>
      <c r="VG32">
        <f>VG31+IF(AND($C31=32,$L31=1),1,0)</f>
        <v/>
      </c>
      <c r="VH32">
        <f>VH31+IF(AND($C31=33,$L31=1),1,0)</f>
        <v/>
      </c>
      <c r="VI32">
        <f>VI31+IF(AND($C31=34,$L31=1),1,0)</f>
        <v/>
      </c>
      <c r="VJ32">
        <f>VJ31+IF(AND($C31=35,$L31=1),1,0)</f>
        <v/>
      </c>
      <c r="VK32">
        <f>VK31+IF(AND($C31=36,$L31=1),1,0)</f>
        <v/>
      </c>
      <c r="VL32">
        <f>VL31+IF(AND($C31=37,$L31=1),1,0)</f>
        <v/>
      </c>
      <c r="VM32">
        <f>VM31+IF(AND($C31=38,$L31=1),1,0)</f>
        <v/>
      </c>
      <c r="VN32">
        <f>VN31+IF(AND($C31=39,$L31=1),1,0)</f>
        <v/>
      </c>
      <c r="VO32">
        <f>VO31+IF(AND($C31=40,$L31=1),1,0)</f>
        <v/>
      </c>
      <c r="VP32">
        <f>VP31+IF(AND($C31=41,$L31=1),1,0)</f>
        <v/>
      </c>
      <c r="VQ32">
        <f>VQ31+IF(AND($C31=42,$L31=1),1,0)</f>
        <v/>
      </c>
      <c r="VR32">
        <f>VR31+IF(AND($C31=43,$L31=1),1,0)</f>
        <v/>
      </c>
      <c r="VS32">
        <f>VS31+IF(AND($C31=44,$L31=1),1,0)</f>
        <v/>
      </c>
      <c r="VT32">
        <f>VT31+IF(AND($C31=45,$L31=1),1,0)</f>
        <v/>
      </c>
      <c r="VU32">
        <f>VU31+IF(AND($C31=46,$L31=1),1,0)</f>
        <v/>
      </c>
      <c r="VV32">
        <f>VV31+IF(AND($C31=47,$L31=1),1,0)</f>
        <v/>
      </c>
      <c r="VW32">
        <f>VW31+IF(AND($C31=48,$L31=1),1,0)</f>
        <v/>
      </c>
      <c r="VX32">
        <f>VX31+IF(AND($C31=49,$L31=1),1,0)</f>
        <v/>
      </c>
      <c r="VY32">
        <f>VY31+IF(AND($C31=50,$L31=1),1,0)</f>
        <v/>
      </c>
      <c r="VZ32">
        <f>VZ31+IF(AND($C31=51,$L31=1),1,0)</f>
        <v/>
      </c>
      <c r="WA32">
        <f>WA31+IF(AND($C31=52,$L31=1),1,0)</f>
        <v/>
      </c>
      <c r="WB32">
        <f>WB31+IF(AND($C31=53,$L31=1),1,0)</f>
        <v/>
      </c>
      <c r="WC32">
        <f>WC31+IF(AND($C31=54,$L31=1),1,0)</f>
        <v/>
      </c>
      <c r="WD32">
        <f>WD31+IF(AND($C31=55,$L31=1),1,0)</f>
        <v/>
      </c>
      <c r="WE32">
        <f>WE31+IF(AND($C31=56,$L31=1),1,0)</f>
        <v/>
      </c>
      <c r="WF32">
        <f>WF31+IF(AND($C31=57,$L31=1),1,0)</f>
        <v/>
      </c>
      <c r="WG32">
        <f>WG31+IF(AND($C31=58,$L31=1),1,0)</f>
        <v/>
      </c>
      <c r="WH32">
        <f>WH31+IF(AND($C31=59,$L31=1),1,0)</f>
        <v/>
      </c>
      <c r="WI32">
        <f>WI31+IF(AND($C31=60,$L31=1),1,0)</f>
        <v/>
      </c>
      <c r="WJ32">
        <f>WJ31+IF(AND($C31=61,$L31=1),1,0)</f>
        <v/>
      </c>
      <c r="WK32">
        <f>WK31+IF(AND($C31=62,$L31=1),1,0)</f>
        <v/>
      </c>
      <c r="WL32">
        <f>WL31+IF(AND($C31=63,$L31=1),1,0)</f>
        <v/>
      </c>
      <c r="WM32">
        <f>WM31+IF(AND($C31=64,$L31=1),1,0)</f>
        <v/>
      </c>
      <c r="WN32">
        <f>WN31+IF(AND($C31=65,$L31=1),1,0)</f>
        <v/>
      </c>
      <c r="WO32">
        <f>WO31+IF(AND($C31=66,$L31=1),1,0)</f>
        <v/>
      </c>
      <c r="WP32">
        <f>WP31+IF(AND($C31=67,$L31=1),1,0)</f>
        <v/>
      </c>
      <c r="WQ32">
        <f>WQ31+IF(AND($C31=68,$L31=1),1,0)</f>
        <v/>
      </c>
      <c r="WR32">
        <f>WR31+IF(AND($C31=69,$L31=1),1,0)</f>
        <v/>
      </c>
      <c r="WS32">
        <f>WS31+IF(AND($C31=70,$L31=1),1,0)</f>
        <v/>
      </c>
      <c r="WT32">
        <f>WT31+IF(AND($C31=71,$L31=1),1,0)</f>
        <v/>
      </c>
      <c r="WU32">
        <f>WU31+IF(AND($C31=72,$L31=1),1,0)</f>
        <v/>
      </c>
      <c r="WV32">
        <f>WV31+IF(AND($C31=73,$L31=1),1,0)</f>
        <v/>
      </c>
      <c r="WW32">
        <f>WW31+IF(AND($C31=74,$L31=1),1,0)</f>
        <v/>
      </c>
      <c r="WX32">
        <f>WX31+IF(AND($C31=75,$L31=1),1,0)</f>
        <v/>
      </c>
      <c r="WY32">
        <f>WY31+IF(AND($C31=76,$L31=1),1,0)</f>
        <v/>
      </c>
      <c r="WZ32">
        <f>WZ31+IF(AND($C31=77,$L31=1),1,0)</f>
        <v/>
      </c>
      <c r="XA32">
        <f>XA31+IF(AND($C31=78,$L31=1),1,0)</f>
        <v/>
      </c>
      <c r="XB32">
        <f>XB31+IF(AND($C31=79,$L31=1),1,0)</f>
        <v/>
      </c>
      <c r="XC32">
        <f>XC31+IF(AND($C31=80,$L31=1),1,0)</f>
        <v/>
      </c>
      <c r="XD32">
        <f>XD31+IF(AND($C31=81,$L31=1),1,0)</f>
        <v/>
      </c>
      <c r="XE32">
        <f>XE31+IF(AND($C31=82,$L31=1),1,0)</f>
        <v/>
      </c>
      <c r="XF32">
        <f>XF31+IF(AND($C31=83,$L31=1),1,0)</f>
        <v/>
      </c>
      <c r="XG32">
        <f>XG31+IF(AND($C31=84,$L31=1),1,0)</f>
        <v/>
      </c>
      <c r="XH32">
        <f>XH31+IF(AND($C31=85,$L31=1),1,0)</f>
        <v/>
      </c>
      <c r="XI32">
        <f>XI31+IF(AND($C31=86,$L31=1),1,0)</f>
        <v/>
      </c>
      <c r="XJ32">
        <f>XJ31+IF(AND($C31=87,$L31=1),1,0)</f>
        <v/>
      </c>
      <c r="XK32">
        <f>XK31+IF(AND($C31=88,$L31=1),1,0)</f>
        <v/>
      </c>
      <c r="XL32">
        <f>XL31+IF(AND($C31=89,$L31=1),1,0)</f>
        <v/>
      </c>
      <c r="XM32">
        <f>XM31+IF(AND($C31=90,$L31=1),1,0)</f>
        <v/>
      </c>
      <c r="XN32">
        <f>XN31+IF(AND($C31=91,$L31=1),1,0)</f>
        <v/>
      </c>
      <c r="XO32">
        <f>XO31+IF(AND($C31=92,$L31=1),1,0)</f>
        <v/>
      </c>
      <c r="XP32">
        <f>XP31+IF(AND($C31=93,$L31=1),1,0)</f>
        <v/>
      </c>
      <c r="XQ32">
        <f>XQ31+IF(AND($C31=94,$L31=1),1,0)</f>
        <v/>
      </c>
      <c r="XR32">
        <f>XR31+IF(AND($C31=95,$L31=1),1,0)</f>
        <v/>
      </c>
      <c r="XS32">
        <f>XS31+IF(AND($C31=96,$L31=1),1,0)</f>
        <v/>
      </c>
      <c r="XT32">
        <f>XT31+IF(AND($C31=97,$L31=1),1,0)</f>
        <v/>
      </c>
      <c r="XU32">
        <f>XU31+IF(AND($C31=98,$L31=1),1,0)</f>
        <v/>
      </c>
      <c r="XV32">
        <f>XV31+IF(AND($C31=99,$L31=1),1,0)</f>
        <v/>
      </c>
      <c r="XW32">
        <f>XW31+IF(AND($C31=100,$L31=1),1,0)</f>
        <v/>
      </c>
      <c r="XX32">
        <f>XX31+IF(AND($C31=101,$L31=1),1,0)</f>
        <v/>
      </c>
      <c r="XY32">
        <f>XY31+IF(AND($C31=102,$L31=1),1,0)</f>
        <v/>
      </c>
      <c r="XZ32">
        <f>XZ31+IF(AND($C31=103,$L31=1),1,0)</f>
        <v/>
      </c>
      <c r="YA32">
        <f>YA31+IF(AND($C31=104,$L31=1),1,0)</f>
        <v/>
      </c>
      <c r="YB32">
        <f>YB31+IF(AND($C31=105,$L31=1),1,0)</f>
        <v/>
      </c>
      <c r="YC32">
        <f>YC31+IF(AND($C31=106,$L31=1),1,0)</f>
        <v/>
      </c>
      <c r="YD32">
        <f>YD31+IF(AND($C31=107,$L31=1),1,0)</f>
        <v/>
      </c>
      <c r="YE32">
        <f>YE31+IF(AND($C31=108,$L31=1),1,0)</f>
        <v/>
      </c>
      <c r="YF32">
        <f>YF31+IF(AND($C31=109,$L31=1),1,0)</f>
        <v/>
      </c>
      <c r="YG32">
        <f>YG31+IF(AND($C31=110,$L31=1),1,0)</f>
        <v/>
      </c>
      <c r="YH32">
        <f>YH31+IF(AND($C31=111,$L31=1),1,0)</f>
        <v/>
      </c>
      <c r="YI32">
        <f>YI31+IF(AND($C31=112,$L31=1),1,0)</f>
        <v/>
      </c>
      <c r="YJ32">
        <f>YJ31+IF(AND($C31=113,$L31=1),1,0)</f>
        <v/>
      </c>
      <c r="YK32">
        <f>YK31+IF(AND($C31=114,$L31=1),1,0)</f>
        <v/>
      </c>
      <c r="YL32">
        <f>YL31+IF(AND($C31=115,$L31=1),1,0)</f>
        <v/>
      </c>
      <c r="YM32">
        <f>YM31+IF(AND($C31=116,$L31=1),1,0)</f>
        <v/>
      </c>
      <c r="YN32">
        <f>YN31+IF(AND($C31=117,$L31=1),1,0)</f>
        <v/>
      </c>
      <c r="YO32">
        <f>YO31+IF(AND($C31=118,$L31=1),1,0)</f>
        <v/>
      </c>
      <c r="YP32">
        <f>YP31+IF(AND($C31=119,$L31=1),1,0)</f>
        <v/>
      </c>
      <c r="YQ32">
        <f>YQ31+IF(AND($C31=120,$L31=1),1,0)</f>
        <v/>
      </c>
      <c r="YR32">
        <f>YR31+IF(AND($C31=121,$L31=1),1,0)</f>
        <v/>
      </c>
      <c r="YS32">
        <f>YS31+IF(AND($C31=122,$L31=1),1,0)</f>
        <v/>
      </c>
      <c r="YT32">
        <f>YT31+IF(AND($C31=123,$L31=1),1,0)</f>
        <v/>
      </c>
      <c r="YU32">
        <f>YU31+IF(AND($C31=124,$L31=1),1,0)</f>
        <v/>
      </c>
      <c r="YV32">
        <f>YV31+IF(AND($C31=125,$L31=1),1,0)</f>
        <v/>
      </c>
      <c r="YW32">
        <f>YW31+IF(AND($C31=126,$L31=1),1,0)</f>
        <v/>
      </c>
      <c r="YX32">
        <f>YX31+IF(AND($C31=127,$L31=1),1,0)</f>
        <v/>
      </c>
      <c r="YY32">
        <f>YY31+IF(AND($C31=128,$L31=1),1,0)</f>
        <v/>
      </c>
      <c r="YZ32">
        <f>YZ31+IF(AND($C31=129,$L31=1),1,0)</f>
        <v/>
      </c>
      <c r="ZA32">
        <f>ZA31+IF(AND($C31=130,$L31=1),1,0)</f>
        <v/>
      </c>
      <c r="ZB32">
        <f>ZB31+IF(AND($C31=131,$L31=1),1,0)</f>
        <v/>
      </c>
      <c r="ZC32">
        <f>ZC31+IF(AND($C31=132,$L31=1),1,0)</f>
        <v/>
      </c>
      <c r="ZD32">
        <f>ZD31+IF(AND($C31=133,$L31=1),1,0)</f>
        <v/>
      </c>
      <c r="ZE32">
        <f>ZE31+IF(AND($C31=134,$L31=1),1,0)</f>
        <v/>
      </c>
      <c r="ZF32">
        <f>ZF31+IF(AND($C31=135,$L31=1),1,0)</f>
        <v/>
      </c>
      <c r="ZG32">
        <f>ZG31+IF(AND($C31=136,$L31=1),1,0)</f>
        <v/>
      </c>
      <c r="ZH32">
        <f>ZH31+IF(AND($C31=137,$L31=1),1,0)</f>
        <v/>
      </c>
      <c r="ZI32">
        <f>ZI31+IF(AND($C31=138,$L31=1),1,0)</f>
        <v/>
      </c>
      <c r="ZJ32">
        <f>ZJ31+IF(AND($C31=139,$L31=1),1,0)</f>
        <v/>
      </c>
      <c r="ZK32">
        <f>ZK31+IF(AND($C31=140,$L31=1),1,0)</f>
        <v/>
      </c>
      <c r="ZL32">
        <f>ZL31+IF(AND($C31=141,$L31=1),1,0)</f>
        <v/>
      </c>
      <c r="ZM32">
        <f>ZM31+IF(AND($C31=142,$L31=1),1,0)</f>
        <v/>
      </c>
      <c r="ZN32">
        <f>ZN31+IF(AND($C31=143,$L31=1),1,0)</f>
        <v/>
      </c>
      <c r="ZO32">
        <f>ZO31+IF(AND($C31=144,$L31=1),1,0)</f>
        <v/>
      </c>
    </row>
    <row r="33">
      <c r="A33" t="n">
        <v>31</v>
      </c>
      <c r="B33">
        <f>IF(MIN(BH33:CZ33)&gt;=1000000,0,MATCH(MIN(BH33:CZ33),BH33:CZ33,0))</f>
        <v/>
      </c>
      <c r="C33">
        <f>IF(MIN(OF33:TS33)&gt;=1000000,0,MATCH(MIN(OF33:TS33),OF33:TS33,0))</f>
        <v/>
      </c>
      <c r="D33">
        <f>IF(C33&gt;0,INDEX('計算A'!$D$5:$EQ$5,C33),0)</f>
        <v/>
      </c>
      <c r="E33">
        <f>IF(B33=0,0,INDEX('計算A'!$IQ$10:$IQ$54,B33))</f>
        <v/>
      </c>
      <c r="F33">
        <f>IF(B33=0,0,INDEX('計算A'!$IP$10:$IP$54,B33))</f>
        <v/>
      </c>
      <c r="G33">
        <f>IF(AND(C33&gt;0,E33&gt;0),IF(AND(INDEX('計算A'!$D$106:$EQ$106,C33)=1,INDEX($IQ33:$OD33,C33)=1),C33+1,0),0)</f>
        <v/>
      </c>
      <c r="H33">
        <f>IF(B33=0,0,INDEX('計算A'!$IW$10:$IW$54,B33))</f>
        <v/>
      </c>
      <c r="I33">
        <f>IF(B33=0,0,MAX(0,INDEX('計算A'!$IT$10:$IT$54,B33)))</f>
        <v/>
      </c>
      <c r="J33">
        <f>IF(I33=0,0,INDEX('計算A'!$D$2:$EQ$2,I33))</f>
        <v/>
      </c>
      <c r="K33">
        <f>IF(I33=0,0,INDEX('計算A'!$D$3:$EQ$3,I33))</f>
        <v/>
      </c>
      <c r="L33">
        <f>IF(B33=0,0,INDEX('計算A'!$IX$10:$IX$54,B33))</f>
        <v/>
      </c>
      <c r="N33">
        <f>MAX(N32,IF($B32=1,1,0))</f>
        <v/>
      </c>
      <c r="O33">
        <f>MAX(O32,IF($B32=2,1,0))</f>
        <v/>
      </c>
      <c r="P33">
        <f>MAX(P32,IF($B32=3,1,0))</f>
        <v/>
      </c>
      <c r="Q33">
        <f>MAX(Q32,IF($B32=4,1,0))</f>
        <v/>
      </c>
      <c r="R33">
        <f>MAX(R32,IF($B32=5,1,0))</f>
        <v/>
      </c>
      <c r="S33">
        <f>MAX(S32,IF($B32=6,1,0))</f>
        <v/>
      </c>
      <c r="T33">
        <f>MAX(T32,IF($B32=7,1,0))</f>
        <v/>
      </c>
      <c r="U33">
        <f>MAX(U32,IF($B32=8,1,0))</f>
        <v/>
      </c>
      <c r="V33">
        <f>MAX(V32,IF($B32=9,1,0))</f>
        <v/>
      </c>
      <c r="W33">
        <f>MAX(W32,IF($B32=10,1,0))</f>
        <v/>
      </c>
      <c r="X33">
        <f>MAX(X32,IF($B32=11,1,0))</f>
        <v/>
      </c>
      <c r="Y33">
        <f>MAX(Y32,IF($B32=12,1,0))</f>
        <v/>
      </c>
      <c r="Z33">
        <f>MAX(Z32,IF($B32=13,1,0))</f>
        <v/>
      </c>
      <c r="AA33">
        <f>MAX(AA32,IF($B32=14,1,0))</f>
        <v/>
      </c>
      <c r="AB33">
        <f>MAX(AB32,IF($B32=15,1,0))</f>
        <v/>
      </c>
      <c r="AC33">
        <f>MAX(AC32,IF($B32=16,1,0))</f>
        <v/>
      </c>
      <c r="AD33">
        <f>MAX(AD32,IF($B32=17,1,0))</f>
        <v/>
      </c>
      <c r="AE33">
        <f>MAX(AE32,IF($B32=18,1,0))</f>
        <v/>
      </c>
      <c r="AF33">
        <f>MAX(AF32,IF($B32=19,1,0))</f>
        <v/>
      </c>
      <c r="AG33">
        <f>MAX(AG32,IF($B32=20,1,0))</f>
        <v/>
      </c>
      <c r="AH33">
        <f>MAX(AH32,IF($B32=21,1,0))</f>
        <v/>
      </c>
      <c r="AI33">
        <f>MAX(AI32,IF($B32=22,1,0))</f>
        <v/>
      </c>
      <c r="AJ33">
        <f>MAX(AJ32,IF($B32=23,1,0))</f>
        <v/>
      </c>
      <c r="AK33">
        <f>MAX(AK32,IF($B32=24,1,0))</f>
        <v/>
      </c>
      <c r="AL33">
        <f>MAX(AL32,IF($B32=25,1,0))</f>
        <v/>
      </c>
      <c r="AM33">
        <f>MAX(AM32,IF($B32=26,1,0))</f>
        <v/>
      </c>
      <c r="AN33">
        <f>MAX(AN32,IF($B32=27,1,0))</f>
        <v/>
      </c>
      <c r="AO33">
        <f>MAX(AO32,IF($B32=28,1,0))</f>
        <v/>
      </c>
      <c r="AP33">
        <f>MAX(AP32,IF($B32=29,1,0))</f>
        <v/>
      </c>
      <c r="AQ33">
        <f>MAX(AQ32,IF($B32=30,1,0))</f>
        <v/>
      </c>
      <c r="AR33">
        <f>MAX(AR32,IF($B32=31,1,0))</f>
        <v/>
      </c>
      <c r="AS33">
        <f>MAX(AS32,IF($B32=32,1,0))</f>
        <v/>
      </c>
      <c r="AT33">
        <f>MAX(AT32,IF($B32=33,1,0))</f>
        <v/>
      </c>
      <c r="AU33">
        <f>MAX(AU32,IF($B32=34,1,0))</f>
        <v/>
      </c>
      <c r="AV33">
        <f>MAX(AV32,IF($B32=35,1,0))</f>
        <v/>
      </c>
      <c r="AW33">
        <f>MAX(AW32,IF($B32=36,1,0))</f>
        <v/>
      </c>
      <c r="AX33">
        <f>MAX(AX32,IF($B32=37,1,0))</f>
        <v/>
      </c>
      <c r="AY33">
        <f>MAX(AY32,IF($B32=38,1,0))</f>
        <v/>
      </c>
      <c r="AZ33">
        <f>MAX(AZ32,IF($B32=39,1,0))</f>
        <v/>
      </c>
      <c r="BA33">
        <f>MAX(BA32,IF($B32=40,1,0))</f>
        <v/>
      </c>
      <c r="BB33">
        <f>MAX(BB32,IF($B32=41,1,0))</f>
        <v/>
      </c>
      <c r="BC33">
        <f>MAX(BC32,IF($B32=42,1,0))</f>
        <v/>
      </c>
      <c r="BD33">
        <f>MAX(BD32,IF($B32=43,1,0))</f>
        <v/>
      </c>
      <c r="BE33">
        <f>MAX(BE32,IF($B32=44,1,0))</f>
        <v/>
      </c>
      <c r="BF33">
        <f>MAX(BF32,IF($B32=45,1,0))</f>
        <v/>
      </c>
      <c r="BH33">
        <f>IF(N33=1,1000000,IF('計算A'!$IT$10&gt;0,0,500000)+IF('計算A'!$IQ$10=2,SUMPRODUCT('計算A'!$D$60:$EQ$60,$DB33:$IO33,$IQ33:$OD33),SUMPRODUCT('計算A'!$D$60:$EQ$60,$DB33:$IO33))*1000+1)</f>
        <v/>
      </c>
      <c r="BI33">
        <f>IF(O33=1,1000000,IF('計算A'!$IT$11&gt;0,0,500000)+IF('計算A'!$IQ$11=2,SUMPRODUCT('計算A'!$D$61:$EQ$61,$DB33:$IO33,$IQ33:$OD33),SUMPRODUCT('計算A'!$D$61:$EQ$61,$DB33:$IO33))*1000+2)</f>
        <v/>
      </c>
      <c r="BJ33">
        <f>IF(P33=1,1000000,IF('計算A'!$IT$12&gt;0,0,500000)+IF('計算A'!$IQ$12=2,SUMPRODUCT('計算A'!$D$62:$EQ$62,$DB33:$IO33,$IQ33:$OD33),SUMPRODUCT('計算A'!$D$62:$EQ$62,$DB33:$IO33))*1000+3)</f>
        <v/>
      </c>
      <c r="BK33">
        <f>IF(Q33=1,1000000,IF('計算A'!$IT$13&gt;0,0,500000)+IF('計算A'!$IQ$13=2,SUMPRODUCT('計算A'!$D$63:$EQ$63,$DB33:$IO33,$IQ33:$OD33),SUMPRODUCT('計算A'!$D$63:$EQ$63,$DB33:$IO33))*1000+4)</f>
        <v/>
      </c>
      <c r="BL33">
        <f>IF(R33=1,1000000,IF('計算A'!$IT$14&gt;0,0,500000)+IF('計算A'!$IQ$14=2,SUMPRODUCT('計算A'!$D$64:$EQ$64,$DB33:$IO33,$IQ33:$OD33),SUMPRODUCT('計算A'!$D$64:$EQ$64,$DB33:$IO33))*1000+5)</f>
        <v/>
      </c>
      <c r="BM33">
        <f>IF(S33=1,1000000,IF('計算A'!$IT$15&gt;0,0,500000)+IF('計算A'!$IQ$15=2,SUMPRODUCT('計算A'!$D$65:$EQ$65,$DB33:$IO33,$IQ33:$OD33),SUMPRODUCT('計算A'!$D$65:$EQ$65,$DB33:$IO33))*1000+6)</f>
        <v/>
      </c>
      <c r="BN33">
        <f>IF(T33=1,1000000,IF('計算A'!$IT$16&gt;0,0,500000)+IF('計算A'!$IQ$16=2,SUMPRODUCT('計算A'!$D$66:$EQ$66,$DB33:$IO33,$IQ33:$OD33),SUMPRODUCT('計算A'!$D$66:$EQ$66,$DB33:$IO33))*1000+7)</f>
        <v/>
      </c>
      <c r="BO33">
        <f>IF(U33=1,1000000,IF('計算A'!$IT$17&gt;0,0,500000)+IF('計算A'!$IQ$17=2,SUMPRODUCT('計算A'!$D$67:$EQ$67,$DB33:$IO33,$IQ33:$OD33),SUMPRODUCT('計算A'!$D$67:$EQ$67,$DB33:$IO33))*1000+8)</f>
        <v/>
      </c>
      <c r="BP33">
        <f>IF(V33=1,1000000,IF('計算A'!$IT$18&gt;0,0,500000)+IF('計算A'!$IQ$18=2,SUMPRODUCT('計算A'!$D$68:$EQ$68,$DB33:$IO33,$IQ33:$OD33),SUMPRODUCT('計算A'!$D$68:$EQ$68,$DB33:$IO33))*1000+9)</f>
        <v/>
      </c>
      <c r="BQ33">
        <f>IF(W33=1,1000000,IF('計算A'!$IT$19&gt;0,0,500000)+IF('計算A'!$IQ$19=2,SUMPRODUCT('計算A'!$D$69:$EQ$69,$DB33:$IO33,$IQ33:$OD33),SUMPRODUCT('計算A'!$D$69:$EQ$69,$DB33:$IO33))*1000+10)</f>
        <v/>
      </c>
      <c r="BR33">
        <f>IF(X33=1,1000000,IF('計算A'!$IT$20&gt;0,0,500000)+IF('計算A'!$IQ$20=2,SUMPRODUCT('計算A'!$D$70:$EQ$70,$DB33:$IO33,$IQ33:$OD33),SUMPRODUCT('計算A'!$D$70:$EQ$70,$DB33:$IO33))*1000+11)</f>
        <v/>
      </c>
      <c r="BS33">
        <f>IF(Y33=1,1000000,IF('計算A'!$IT$21&gt;0,0,500000)+IF('計算A'!$IQ$21=2,SUMPRODUCT('計算A'!$D$71:$EQ$71,$DB33:$IO33,$IQ33:$OD33),SUMPRODUCT('計算A'!$D$71:$EQ$71,$DB33:$IO33))*1000+12)</f>
        <v/>
      </c>
      <c r="BT33">
        <f>IF(Z33=1,1000000,IF('計算A'!$IT$22&gt;0,0,500000)+IF('計算A'!$IQ$22=2,SUMPRODUCT('計算A'!$D$72:$EQ$72,$DB33:$IO33,$IQ33:$OD33),SUMPRODUCT('計算A'!$D$72:$EQ$72,$DB33:$IO33))*1000+13)</f>
        <v/>
      </c>
      <c r="BU33">
        <f>IF(AA33=1,1000000,IF('計算A'!$IT$23&gt;0,0,500000)+IF('計算A'!$IQ$23=2,SUMPRODUCT('計算A'!$D$73:$EQ$73,$DB33:$IO33,$IQ33:$OD33),SUMPRODUCT('計算A'!$D$73:$EQ$73,$DB33:$IO33))*1000+14)</f>
        <v/>
      </c>
      <c r="BV33">
        <f>IF(AB33=1,1000000,IF('計算A'!$IT$24&gt;0,0,500000)+IF('計算A'!$IQ$24=2,SUMPRODUCT('計算A'!$D$74:$EQ$74,$DB33:$IO33,$IQ33:$OD33),SUMPRODUCT('計算A'!$D$74:$EQ$74,$DB33:$IO33))*1000+15)</f>
        <v/>
      </c>
      <c r="BW33">
        <f>IF(AC33=1,1000000,IF('計算A'!$IT$25&gt;0,0,500000)+IF('計算A'!$IQ$25=2,SUMPRODUCT('計算A'!$D$75:$EQ$75,$DB33:$IO33,$IQ33:$OD33),SUMPRODUCT('計算A'!$D$75:$EQ$75,$DB33:$IO33))*1000+16)</f>
        <v/>
      </c>
      <c r="BX33">
        <f>IF(AD33=1,1000000,IF('計算A'!$IT$26&gt;0,0,500000)+IF('計算A'!$IQ$26=2,SUMPRODUCT('計算A'!$D$76:$EQ$76,$DB33:$IO33,$IQ33:$OD33),SUMPRODUCT('計算A'!$D$76:$EQ$76,$DB33:$IO33))*1000+17)</f>
        <v/>
      </c>
      <c r="BY33">
        <f>IF(AE33=1,1000000,IF('計算A'!$IT$27&gt;0,0,500000)+IF('計算A'!$IQ$27=2,SUMPRODUCT('計算A'!$D$77:$EQ$77,$DB33:$IO33,$IQ33:$OD33),SUMPRODUCT('計算A'!$D$77:$EQ$77,$DB33:$IO33))*1000+18)</f>
        <v/>
      </c>
      <c r="BZ33">
        <f>IF(AF33=1,1000000,IF('計算A'!$IT$28&gt;0,0,500000)+IF('計算A'!$IQ$28=2,SUMPRODUCT('計算A'!$D$78:$EQ$78,$DB33:$IO33,$IQ33:$OD33),SUMPRODUCT('計算A'!$D$78:$EQ$78,$DB33:$IO33))*1000+19)</f>
        <v/>
      </c>
      <c r="CA33">
        <f>IF(AG33=1,1000000,IF('計算A'!$IT$29&gt;0,0,500000)+IF('計算A'!$IQ$29=2,SUMPRODUCT('計算A'!$D$79:$EQ$79,$DB33:$IO33,$IQ33:$OD33),SUMPRODUCT('計算A'!$D$79:$EQ$79,$DB33:$IO33))*1000+20)</f>
        <v/>
      </c>
      <c r="CB33">
        <f>IF(AH33=1,1000000,IF('計算A'!$IT$30&gt;0,0,500000)+IF('計算A'!$IQ$30=2,SUMPRODUCT('計算A'!$D$80:$EQ$80,$DB33:$IO33,$IQ33:$OD33),SUMPRODUCT('計算A'!$D$80:$EQ$80,$DB33:$IO33))*1000+21)</f>
        <v/>
      </c>
      <c r="CC33">
        <f>IF(AI33=1,1000000,IF('計算A'!$IT$31&gt;0,0,500000)+IF('計算A'!$IQ$31=2,SUMPRODUCT('計算A'!$D$81:$EQ$81,$DB33:$IO33,$IQ33:$OD33),SUMPRODUCT('計算A'!$D$81:$EQ$81,$DB33:$IO33))*1000+22)</f>
        <v/>
      </c>
      <c r="CD33">
        <f>IF(AJ33=1,1000000,IF('計算A'!$IT$32&gt;0,0,500000)+IF('計算A'!$IQ$32=2,SUMPRODUCT('計算A'!$D$82:$EQ$82,$DB33:$IO33,$IQ33:$OD33),SUMPRODUCT('計算A'!$D$82:$EQ$82,$DB33:$IO33))*1000+23)</f>
        <v/>
      </c>
      <c r="CE33">
        <f>IF(AK33=1,1000000,IF('計算A'!$IT$33&gt;0,0,500000)+IF('計算A'!$IQ$33=2,SUMPRODUCT('計算A'!$D$83:$EQ$83,$DB33:$IO33,$IQ33:$OD33),SUMPRODUCT('計算A'!$D$83:$EQ$83,$DB33:$IO33))*1000+24)</f>
        <v/>
      </c>
      <c r="CF33">
        <f>IF(AL33=1,1000000,IF('計算A'!$IT$34&gt;0,0,500000)+IF('計算A'!$IQ$34=2,SUMPRODUCT('計算A'!$D$84:$EQ$84,$DB33:$IO33,$IQ33:$OD33),SUMPRODUCT('計算A'!$D$84:$EQ$84,$DB33:$IO33))*1000+25)</f>
        <v/>
      </c>
      <c r="CG33">
        <f>IF(AM33=1,1000000,IF('計算A'!$IT$35&gt;0,0,500000)+IF('計算A'!$IQ$35=2,SUMPRODUCT('計算A'!$D$85:$EQ$85,$DB33:$IO33,$IQ33:$OD33),SUMPRODUCT('計算A'!$D$85:$EQ$85,$DB33:$IO33))*1000+26)</f>
        <v/>
      </c>
      <c r="CH33">
        <f>IF(AN33=1,1000000,IF('計算A'!$IT$36&gt;0,0,500000)+IF('計算A'!$IQ$36=2,SUMPRODUCT('計算A'!$D$86:$EQ$86,$DB33:$IO33,$IQ33:$OD33),SUMPRODUCT('計算A'!$D$86:$EQ$86,$DB33:$IO33))*1000+27)</f>
        <v/>
      </c>
      <c r="CI33">
        <f>IF(AO33=1,1000000,IF('計算A'!$IT$37&gt;0,0,500000)+IF('計算A'!$IQ$37=2,SUMPRODUCT('計算A'!$D$87:$EQ$87,$DB33:$IO33,$IQ33:$OD33),SUMPRODUCT('計算A'!$D$87:$EQ$87,$DB33:$IO33))*1000+28)</f>
        <v/>
      </c>
      <c r="CJ33">
        <f>IF(AP33=1,1000000,IF('計算A'!$IT$38&gt;0,0,500000)+IF('計算A'!$IQ$38=2,SUMPRODUCT('計算A'!$D$88:$EQ$88,$DB33:$IO33,$IQ33:$OD33),SUMPRODUCT('計算A'!$D$88:$EQ$88,$DB33:$IO33))*1000+29)</f>
        <v/>
      </c>
      <c r="CK33">
        <f>IF(AQ33=1,1000000,IF('計算A'!$IT$39&gt;0,0,500000)+IF('計算A'!$IQ$39=2,SUMPRODUCT('計算A'!$D$89:$EQ$89,$DB33:$IO33,$IQ33:$OD33),SUMPRODUCT('計算A'!$D$89:$EQ$89,$DB33:$IO33))*1000+30)</f>
        <v/>
      </c>
      <c r="CL33">
        <f>IF(AR33=1,1000000,IF('計算A'!$IT$40&gt;0,0,500000)+IF('計算A'!$IQ$40=2,SUMPRODUCT('計算A'!$D$90:$EQ$90,$DB33:$IO33,$IQ33:$OD33),SUMPRODUCT('計算A'!$D$90:$EQ$90,$DB33:$IO33))*1000+31)</f>
        <v/>
      </c>
      <c r="CM33">
        <f>IF(AS33=1,1000000,IF('計算A'!$IT$41&gt;0,0,500000)+IF('計算A'!$IQ$41=2,SUMPRODUCT('計算A'!$D$91:$EQ$91,$DB33:$IO33,$IQ33:$OD33),SUMPRODUCT('計算A'!$D$91:$EQ$91,$DB33:$IO33))*1000+32)</f>
        <v/>
      </c>
      <c r="CN33">
        <f>IF(AT33=1,1000000,IF('計算A'!$IT$42&gt;0,0,500000)+IF('計算A'!$IQ$42=2,SUMPRODUCT('計算A'!$D$92:$EQ$92,$DB33:$IO33,$IQ33:$OD33),SUMPRODUCT('計算A'!$D$92:$EQ$92,$DB33:$IO33))*1000+33)</f>
        <v/>
      </c>
      <c r="CO33">
        <f>IF(AU33=1,1000000,IF('計算A'!$IT$43&gt;0,0,500000)+IF('計算A'!$IQ$43=2,SUMPRODUCT('計算A'!$D$93:$EQ$93,$DB33:$IO33,$IQ33:$OD33),SUMPRODUCT('計算A'!$D$93:$EQ$93,$DB33:$IO33))*1000+34)</f>
        <v/>
      </c>
      <c r="CP33">
        <f>IF(AV33=1,1000000,IF('計算A'!$IT$44&gt;0,0,500000)+IF('計算A'!$IQ$44=2,SUMPRODUCT('計算A'!$D$94:$EQ$94,$DB33:$IO33,$IQ33:$OD33),SUMPRODUCT('計算A'!$D$94:$EQ$94,$DB33:$IO33))*1000+35)</f>
        <v/>
      </c>
      <c r="CQ33">
        <f>IF(AW33=1,1000000,IF('計算A'!$IT$45&gt;0,0,500000)+IF('計算A'!$IQ$45=2,SUMPRODUCT('計算A'!$D$95:$EQ$95,$DB33:$IO33,$IQ33:$OD33),SUMPRODUCT('計算A'!$D$95:$EQ$95,$DB33:$IO33))*1000+36)</f>
        <v/>
      </c>
      <c r="CR33">
        <f>IF(AX33=1,1000000,IF('計算A'!$IT$46&gt;0,0,500000)+IF('計算A'!$IQ$46=2,SUMPRODUCT('計算A'!$D$96:$EQ$96,$DB33:$IO33,$IQ33:$OD33),SUMPRODUCT('計算A'!$D$96:$EQ$96,$DB33:$IO33))*1000+37)</f>
        <v/>
      </c>
      <c r="CS33">
        <f>IF(AY33=1,1000000,IF('計算A'!$IT$47&gt;0,0,500000)+IF('計算A'!$IQ$47=2,SUMPRODUCT('計算A'!$D$97:$EQ$97,$DB33:$IO33,$IQ33:$OD33),SUMPRODUCT('計算A'!$D$97:$EQ$97,$DB33:$IO33))*1000+38)</f>
        <v/>
      </c>
      <c r="CT33">
        <f>IF(AZ33=1,1000000,IF('計算A'!$IT$48&gt;0,0,500000)+IF('計算A'!$IQ$48=2,SUMPRODUCT('計算A'!$D$98:$EQ$98,$DB33:$IO33,$IQ33:$OD33),SUMPRODUCT('計算A'!$D$98:$EQ$98,$DB33:$IO33))*1000+39)</f>
        <v/>
      </c>
      <c r="CU33">
        <f>IF(BA33=1,1000000,IF('計算A'!$IT$49&gt;0,0,500000)+IF('計算A'!$IQ$49=2,SUMPRODUCT('計算A'!$D$99:$EQ$99,$DB33:$IO33,$IQ33:$OD33),SUMPRODUCT('計算A'!$D$99:$EQ$99,$DB33:$IO33))*1000+40)</f>
        <v/>
      </c>
      <c r="CV33">
        <f>IF(BB33=1,1000000,IF('計算A'!$IT$50&gt;0,0,500000)+IF('計算A'!$IQ$50=2,SUMPRODUCT('計算A'!$D$100:$EQ$100,$DB33:$IO33,$IQ33:$OD33),SUMPRODUCT('計算A'!$D$100:$EQ$100,$DB33:$IO33))*1000+41)</f>
        <v/>
      </c>
      <c r="CW33">
        <f>IF(BC33=1,1000000,IF('計算A'!$IT$51&gt;0,0,500000)+IF('計算A'!$IQ$51=2,SUMPRODUCT('計算A'!$D$101:$EQ$101,$DB33:$IO33,$IQ33:$OD33),SUMPRODUCT('計算A'!$D$101:$EQ$101,$DB33:$IO33))*1000+42)</f>
        <v/>
      </c>
      <c r="CX33">
        <f>IF(BD33=1,1000000,IF('計算A'!$IT$52&gt;0,0,500000)+IF('計算A'!$IQ$52=2,SUMPRODUCT('計算A'!$D$102:$EQ$102,$DB33:$IO33,$IQ33:$OD33),SUMPRODUCT('計算A'!$D$102:$EQ$102,$DB33:$IO33))*1000+43)</f>
        <v/>
      </c>
      <c r="CY33">
        <f>IF(BE33=1,1000000,IF('計算A'!$IT$53&gt;0,0,500000)+IF('計算A'!$IQ$53=2,SUMPRODUCT('計算A'!$D$103:$EQ$103,$DB33:$IO33,$IQ33:$OD33),SUMPRODUCT('計算A'!$D$103:$EQ$103,$DB33:$IO33))*1000+44)</f>
        <v/>
      </c>
      <c r="CZ33">
        <f>IF(BF33=1,1000000,IF('計算A'!$IT$54&gt;0,0,500000)+IF('計算A'!$IQ$54=2,SUMPRODUCT('計算A'!$D$104:$EQ$104,$DB33:$IO33,$IQ33:$OD33),SUMPRODUCT('計算A'!$D$104:$EQ$104,$DB33:$IO33))*1000+45)</f>
        <v/>
      </c>
      <c r="DB33">
        <f>DB32*IF(OR($C32=1,$G32=1),0,1)</f>
        <v/>
      </c>
      <c r="DC33">
        <f>DC32*IF(OR($C32=2,$G32=2),0,1)</f>
        <v/>
      </c>
      <c r="DD33">
        <f>DD32*IF(OR($C32=3,$G32=3),0,1)</f>
        <v/>
      </c>
      <c r="DE33">
        <f>DE32*IF(OR($C32=4,$G32=4),0,1)</f>
        <v/>
      </c>
      <c r="DF33">
        <f>DF32*IF(OR($C32=5,$G32=5),0,1)</f>
        <v/>
      </c>
      <c r="DG33">
        <f>DG32*IF(OR($C32=6,$G32=6),0,1)</f>
        <v/>
      </c>
      <c r="DH33">
        <f>DH32*IF(OR($C32=7,$G32=7),0,1)</f>
        <v/>
      </c>
      <c r="DI33">
        <f>DI32*IF(OR($C32=8,$G32=8),0,1)</f>
        <v/>
      </c>
      <c r="DJ33">
        <f>DJ32*IF(OR($C32=9,$G32=9),0,1)</f>
        <v/>
      </c>
      <c r="DK33">
        <f>DK32*IF(OR($C32=10,$G32=10),0,1)</f>
        <v/>
      </c>
      <c r="DL33">
        <f>DL32*IF(OR($C32=11,$G32=11),0,1)</f>
        <v/>
      </c>
      <c r="DM33">
        <f>DM32*IF(OR($C32=12,$G32=12),0,1)</f>
        <v/>
      </c>
      <c r="DN33">
        <f>DN32*IF(OR($C32=13,$G32=13),0,1)</f>
        <v/>
      </c>
      <c r="DO33">
        <f>DO32*IF(OR($C32=14,$G32=14),0,1)</f>
        <v/>
      </c>
      <c r="DP33">
        <f>DP32*IF(OR($C32=15,$G32=15),0,1)</f>
        <v/>
      </c>
      <c r="DQ33">
        <f>DQ32*IF(OR($C32=16,$G32=16),0,1)</f>
        <v/>
      </c>
      <c r="DR33">
        <f>DR32*IF(OR($C32=17,$G32=17),0,1)</f>
        <v/>
      </c>
      <c r="DS33">
        <f>DS32*IF(OR($C32=18,$G32=18),0,1)</f>
        <v/>
      </c>
      <c r="DT33">
        <f>DT32*IF(OR($C32=19,$G32=19),0,1)</f>
        <v/>
      </c>
      <c r="DU33">
        <f>DU32*IF(OR($C32=20,$G32=20),0,1)</f>
        <v/>
      </c>
      <c r="DV33">
        <f>DV32*IF(OR($C32=21,$G32=21),0,1)</f>
        <v/>
      </c>
      <c r="DW33">
        <f>DW32*IF(OR($C32=22,$G32=22),0,1)</f>
        <v/>
      </c>
      <c r="DX33">
        <f>DX32*IF(OR($C32=23,$G32=23),0,1)</f>
        <v/>
      </c>
      <c r="DY33">
        <f>DY32*IF(OR($C32=24,$G32=24),0,1)</f>
        <v/>
      </c>
      <c r="DZ33">
        <f>DZ32*IF(OR($C32=25,$G32=25),0,1)</f>
        <v/>
      </c>
      <c r="EA33">
        <f>EA32*IF(OR($C32=26,$G32=26),0,1)</f>
        <v/>
      </c>
      <c r="EB33">
        <f>EB32*IF(OR($C32=27,$G32=27),0,1)</f>
        <v/>
      </c>
      <c r="EC33">
        <f>EC32*IF(OR($C32=28,$G32=28),0,1)</f>
        <v/>
      </c>
      <c r="ED33">
        <f>ED32*IF(OR($C32=29,$G32=29),0,1)</f>
        <v/>
      </c>
      <c r="EE33">
        <f>EE32*IF(OR($C32=30,$G32=30),0,1)</f>
        <v/>
      </c>
      <c r="EF33">
        <f>EF32*IF(OR($C32=31,$G32=31),0,1)</f>
        <v/>
      </c>
      <c r="EG33">
        <f>EG32*IF(OR($C32=32,$G32=32),0,1)</f>
        <v/>
      </c>
      <c r="EH33">
        <f>EH32*IF(OR($C32=33,$G32=33),0,1)</f>
        <v/>
      </c>
      <c r="EI33">
        <f>EI32*IF(OR($C32=34,$G32=34),0,1)</f>
        <v/>
      </c>
      <c r="EJ33">
        <f>EJ32*IF(OR($C32=35,$G32=35),0,1)</f>
        <v/>
      </c>
      <c r="EK33">
        <f>EK32*IF(OR($C32=36,$G32=36),0,1)</f>
        <v/>
      </c>
      <c r="EL33">
        <f>EL32*IF(OR($C32=37,$G32=37),0,1)</f>
        <v/>
      </c>
      <c r="EM33">
        <f>EM32*IF(OR($C32=38,$G32=38),0,1)</f>
        <v/>
      </c>
      <c r="EN33">
        <f>EN32*IF(OR($C32=39,$G32=39),0,1)</f>
        <v/>
      </c>
      <c r="EO33">
        <f>EO32*IF(OR($C32=40,$G32=40),0,1)</f>
        <v/>
      </c>
      <c r="EP33">
        <f>EP32*IF(OR($C32=41,$G32=41),0,1)</f>
        <v/>
      </c>
      <c r="EQ33">
        <f>EQ32*IF(OR($C32=42,$G32=42),0,1)</f>
        <v/>
      </c>
      <c r="ER33">
        <f>ER32*IF(OR($C32=43,$G32=43),0,1)</f>
        <v/>
      </c>
      <c r="ES33">
        <f>ES32*IF(OR($C32=44,$G32=44),0,1)</f>
        <v/>
      </c>
      <c r="ET33">
        <f>ET32*IF(OR($C32=45,$G32=45),0,1)</f>
        <v/>
      </c>
      <c r="EU33">
        <f>EU32*IF(OR($C32=46,$G32=46),0,1)</f>
        <v/>
      </c>
      <c r="EV33">
        <f>EV32*IF(OR($C32=47,$G32=47),0,1)</f>
        <v/>
      </c>
      <c r="EW33">
        <f>EW32*IF(OR($C32=48,$G32=48),0,1)</f>
        <v/>
      </c>
      <c r="EX33">
        <f>EX32*IF(OR($C32=49,$G32=49),0,1)</f>
        <v/>
      </c>
      <c r="EY33">
        <f>EY32*IF(OR($C32=50,$G32=50),0,1)</f>
        <v/>
      </c>
      <c r="EZ33">
        <f>EZ32*IF(OR($C32=51,$G32=51),0,1)</f>
        <v/>
      </c>
      <c r="FA33">
        <f>FA32*IF(OR($C32=52,$G32=52),0,1)</f>
        <v/>
      </c>
      <c r="FB33">
        <f>FB32*IF(OR($C32=53,$G32=53),0,1)</f>
        <v/>
      </c>
      <c r="FC33">
        <f>FC32*IF(OR($C32=54,$G32=54),0,1)</f>
        <v/>
      </c>
      <c r="FD33">
        <f>FD32*IF(OR($C32=55,$G32=55),0,1)</f>
        <v/>
      </c>
      <c r="FE33">
        <f>FE32*IF(OR($C32=56,$G32=56),0,1)</f>
        <v/>
      </c>
      <c r="FF33">
        <f>FF32*IF(OR($C32=57,$G32=57),0,1)</f>
        <v/>
      </c>
      <c r="FG33">
        <f>FG32*IF(OR($C32=58,$G32=58),0,1)</f>
        <v/>
      </c>
      <c r="FH33">
        <f>FH32*IF(OR($C32=59,$G32=59),0,1)</f>
        <v/>
      </c>
      <c r="FI33">
        <f>FI32*IF(OR($C32=60,$G32=60),0,1)</f>
        <v/>
      </c>
      <c r="FJ33">
        <f>FJ32*IF(OR($C32=61,$G32=61),0,1)</f>
        <v/>
      </c>
      <c r="FK33">
        <f>FK32*IF(OR($C32=62,$G32=62),0,1)</f>
        <v/>
      </c>
      <c r="FL33">
        <f>FL32*IF(OR($C32=63,$G32=63),0,1)</f>
        <v/>
      </c>
      <c r="FM33">
        <f>FM32*IF(OR($C32=64,$G32=64),0,1)</f>
        <v/>
      </c>
      <c r="FN33">
        <f>FN32*IF(OR($C32=65,$G32=65),0,1)</f>
        <v/>
      </c>
      <c r="FO33">
        <f>FO32*IF(OR($C32=66,$G32=66),0,1)</f>
        <v/>
      </c>
      <c r="FP33">
        <f>FP32*IF(OR($C32=67,$G32=67),0,1)</f>
        <v/>
      </c>
      <c r="FQ33">
        <f>FQ32*IF(OR($C32=68,$G32=68),0,1)</f>
        <v/>
      </c>
      <c r="FR33">
        <f>FR32*IF(OR($C32=69,$G32=69),0,1)</f>
        <v/>
      </c>
      <c r="FS33">
        <f>FS32*IF(OR($C32=70,$G32=70),0,1)</f>
        <v/>
      </c>
      <c r="FT33">
        <f>FT32*IF(OR($C32=71,$G32=71),0,1)</f>
        <v/>
      </c>
      <c r="FU33">
        <f>FU32*IF(OR($C32=72,$G32=72),0,1)</f>
        <v/>
      </c>
      <c r="FV33">
        <f>FV32*IF(OR($C32=73,$G32=73),0,1)</f>
        <v/>
      </c>
      <c r="FW33">
        <f>FW32*IF(OR($C32=74,$G32=74),0,1)</f>
        <v/>
      </c>
      <c r="FX33">
        <f>FX32*IF(OR($C32=75,$G32=75),0,1)</f>
        <v/>
      </c>
      <c r="FY33">
        <f>FY32*IF(OR($C32=76,$G32=76),0,1)</f>
        <v/>
      </c>
      <c r="FZ33">
        <f>FZ32*IF(OR($C32=77,$G32=77),0,1)</f>
        <v/>
      </c>
      <c r="GA33">
        <f>GA32*IF(OR($C32=78,$G32=78),0,1)</f>
        <v/>
      </c>
      <c r="GB33">
        <f>GB32*IF(OR($C32=79,$G32=79),0,1)</f>
        <v/>
      </c>
      <c r="GC33">
        <f>GC32*IF(OR($C32=80,$G32=80),0,1)</f>
        <v/>
      </c>
      <c r="GD33">
        <f>GD32*IF(OR($C32=81,$G32=81),0,1)</f>
        <v/>
      </c>
      <c r="GE33">
        <f>GE32*IF(OR($C32=82,$G32=82),0,1)</f>
        <v/>
      </c>
      <c r="GF33">
        <f>GF32*IF(OR($C32=83,$G32=83),0,1)</f>
        <v/>
      </c>
      <c r="GG33">
        <f>GG32*IF(OR($C32=84,$G32=84),0,1)</f>
        <v/>
      </c>
      <c r="GH33">
        <f>GH32*IF(OR($C32=85,$G32=85),0,1)</f>
        <v/>
      </c>
      <c r="GI33">
        <f>GI32*IF(OR($C32=86,$G32=86),0,1)</f>
        <v/>
      </c>
      <c r="GJ33">
        <f>GJ32*IF(OR($C32=87,$G32=87),0,1)</f>
        <v/>
      </c>
      <c r="GK33">
        <f>GK32*IF(OR($C32=88,$G32=88),0,1)</f>
        <v/>
      </c>
      <c r="GL33">
        <f>GL32*IF(OR($C32=89,$G32=89),0,1)</f>
        <v/>
      </c>
      <c r="GM33">
        <f>GM32*IF(OR($C32=90,$G32=90),0,1)</f>
        <v/>
      </c>
      <c r="GN33">
        <f>GN32*IF(OR($C32=91,$G32=91),0,1)</f>
        <v/>
      </c>
      <c r="GO33">
        <f>GO32*IF(OR($C32=92,$G32=92),0,1)</f>
        <v/>
      </c>
      <c r="GP33">
        <f>GP32*IF(OR($C32=93,$G32=93),0,1)</f>
        <v/>
      </c>
      <c r="GQ33">
        <f>GQ32*IF(OR($C32=94,$G32=94),0,1)</f>
        <v/>
      </c>
      <c r="GR33">
        <f>GR32*IF(OR($C32=95,$G32=95),0,1)</f>
        <v/>
      </c>
      <c r="GS33">
        <f>GS32*IF(OR($C32=96,$G32=96),0,1)</f>
        <v/>
      </c>
      <c r="GT33">
        <f>GT32*IF(OR($C32=97,$G32=97),0,1)</f>
        <v/>
      </c>
      <c r="GU33">
        <f>GU32*IF(OR($C32=98,$G32=98),0,1)</f>
        <v/>
      </c>
      <c r="GV33">
        <f>GV32*IF(OR($C32=99,$G32=99),0,1)</f>
        <v/>
      </c>
      <c r="GW33">
        <f>GW32*IF(OR($C32=100,$G32=100),0,1)</f>
        <v/>
      </c>
      <c r="GX33">
        <f>GX32*IF(OR($C32=101,$G32=101),0,1)</f>
        <v/>
      </c>
      <c r="GY33">
        <f>GY32*IF(OR($C32=102,$G32=102),0,1)</f>
        <v/>
      </c>
      <c r="GZ33">
        <f>GZ32*IF(OR($C32=103,$G32=103),0,1)</f>
        <v/>
      </c>
      <c r="HA33">
        <f>HA32*IF(OR($C32=104,$G32=104),0,1)</f>
        <v/>
      </c>
      <c r="HB33">
        <f>HB32*IF(OR($C32=105,$G32=105),0,1)</f>
        <v/>
      </c>
      <c r="HC33">
        <f>HC32*IF(OR($C32=106,$G32=106),0,1)</f>
        <v/>
      </c>
      <c r="HD33">
        <f>HD32*IF(OR($C32=107,$G32=107),0,1)</f>
        <v/>
      </c>
      <c r="HE33">
        <f>HE32*IF(OR($C32=108,$G32=108),0,1)</f>
        <v/>
      </c>
      <c r="HF33">
        <f>HF32*IF(OR($C32=109,$G32=109),0,1)</f>
        <v/>
      </c>
      <c r="HG33">
        <f>HG32*IF(OR($C32=110,$G32=110),0,1)</f>
        <v/>
      </c>
      <c r="HH33">
        <f>HH32*IF(OR($C32=111,$G32=111),0,1)</f>
        <v/>
      </c>
      <c r="HI33">
        <f>HI32*IF(OR($C32=112,$G32=112),0,1)</f>
        <v/>
      </c>
      <c r="HJ33">
        <f>HJ32*IF(OR($C32=113,$G32=113),0,1)</f>
        <v/>
      </c>
      <c r="HK33">
        <f>HK32*IF(OR($C32=114,$G32=114),0,1)</f>
        <v/>
      </c>
      <c r="HL33">
        <f>HL32*IF(OR($C32=115,$G32=115),0,1)</f>
        <v/>
      </c>
      <c r="HM33">
        <f>HM32*IF(OR($C32=116,$G32=116),0,1)</f>
        <v/>
      </c>
      <c r="HN33">
        <f>HN32*IF(OR($C32=117,$G32=117),0,1)</f>
        <v/>
      </c>
      <c r="HO33">
        <f>HO32*IF(OR($C32=118,$G32=118),0,1)</f>
        <v/>
      </c>
      <c r="HP33">
        <f>HP32*IF(OR($C32=119,$G32=119),0,1)</f>
        <v/>
      </c>
      <c r="HQ33">
        <f>HQ32*IF(OR($C32=120,$G32=120),0,1)</f>
        <v/>
      </c>
      <c r="HR33">
        <f>HR32*IF(OR($C32=121,$G32=121),0,1)</f>
        <v/>
      </c>
      <c r="HS33">
        <f>HS32*IF(OR($C32=122,$G32=122),0,1)</f>
        <v/>
      </c>
      <c r="HT33">
        <f>HT32*IF(OR($C32=123,$G32=123),0,1)</f>
        <v/>
      </c>
      <c r="HU33">
        <f>HU32*IF(OR($C32=124,$G32=124),0,1)</f>
        <v/>
      </c>
      <c r="HV33">
        <f>HV32*IF(OR($C32=125,$G32=125),0,1)</f>
        <v/>
      </c>
      <c r="HW33">
        <f>HW32*IF(OR($C32=126,$G32=126),0,1)</f>
        <v/>
      </c>
      <c r="HX33">
        <f>HX32*IF(OR($C32=127,$G32=127),0,1)</f>
        <v/>
      </c>
      <c r="HY33">
        <f>HY32*IF(OR($C32=128,$G32=128),0,1)</f>
        <v/>
      </c>
      <c r="HZ33">
        <f>HZ32*IF(OR($C32=129,$G32=129),0,1)</f>
        <v/>
      </c>
      <c r="IA33">
        <f>IA32*IF(OR($C32=130,$G32=130),0,1)</f>
        <v/>
      </c>
      <c r="IB33">
        <f>IB32*IF(OR($C32=131,$G32=131),0,1)</f>
        <v/>
      </c>
      <c r="IC33">
        <f>IC32*IF(OR($C32=132,$G32=132),0,1)</f>
        <v/>
      </c>
      <c r="ID33">
        <f>ID32*IF(OR($C32=133,$G32=133),0,1)</f>
        <v/>
      </c>
      <c r="IE33">
        <f>IE32*IF(OR($C32=134,$G32=134),0,1)</f>
        <v/>
      </c>
      <c r="IF33">
        <f>IF32*IF(OR($C32=135,$G32=135),0,1)</f>
        <v/>
      </c>
      <c r="IG33">
        <f>IG32*IF(OR($C32=136,$G32=136),0,1)</f>
        <v/>
      </c>
      <c r="IH33">
        <f>IH32*IF(OR($C32=137,$G32=137),0,1)</f>
        <v/>
      </c>
      <c r="II33">
        <f>II32*IF(OR($C32=138,$G32=138),0,1)</f>
        <v/>
      </c>
      <c r="IJ33">
        <f>IJ32*IF(OR($C32=139,$G32=139),0,1)</f>
        <v/>
      </c>
      <c r="IK33">
        <f>IK32*IF(OR($C32=140,$G32=140),0,1)</f>
        <v/>
      </c>
      <c r="IL33">
        <f>IL32*IF(OR($C32=141,$G32=141),0,1)</f>
        <v/>
      </c>
      <c r="IM33">
        <f>IM32*IF(OR($C32=142,$G32=142),0,1)</f>
        <v/>
      </c>
      <c r="IN33">
        <f>IN32*IF(OR($C32=143,$G32=143),0,1)</f>
        <v/>
      </c>
      <c r="IO33">
        <f>IO32*IF(OR($C32=144,$G32=144),0,1)</f>
        <v/>
      </c>
      <c r="IQ33">
        <f>IF('計算A'!D$106=1,DC33,1)</f>
        <v/>
      </c>
      <c r="IR33">
        <f>IF('計算A'!E$106=1,DD33,1)</f>
        <v/>
      </c>
      <c r="IS33">
        <f>IF('計算A'!F$106=1,DE33,1)</f>
        <v/>
      </c>
      <c r="IT33">
        <f>IF('計算A'!G$106=1,DF33,1)</f>
        <v/>
      </c>
      <c r="IU33">
        <f>IF('計算A'!H$106=1,DG33,1)</f>
        <v/>
      </c>
      <c r="IV33">
        <f>IF('計算A'!I$106=1,DH33,1)</f>
        <v/>
      </c>
      <c r="IW33">
        <f>IF('計算A'!J$106=1,DI33,1)</f>
        <v/>
      </c>
      <c r="IX33">
        <f>IF('計算A'!K$106=1,DJ33,1)</f>
        <v/>
      </c>
      <c r="IY33">
        <f>IF('計算A'!L$106=1,DK33,1)</f>
        <v/>
      </c>
      <c r="IZ33">
        <f>IF('計算A'!M$106=1,DL33,1)</f>
        <v/>
      </c>
      <c r="JA33">
        <f>IF('計算A'!N$106=1,DM33,1)</f>
        <v/>
      </c>
      <c r="JB33">
        <f>IF('計算A'!O$106=1,DN33,1)</f>
        <v/>
      </c>
      <c r="JC33">
        <f>IF('計算A'!P$106=1,DO33,1)</f>
        <v/>
      </c>
      <c r="JD33">
        <f>IF('計算A'!Q$106=1,DP33,1)</f>
        <v/>
      </c>
      <c r="JE33">
        <f>IF('計算A'!R$106=1,DQ33,1)</f>
        <v/>
      </c>
      <c r="JF33">
        <f>IF('計算A'!S$106=1,DR33,1)</f>
        <v/>
      </c>
      <c r="JG33">
        <f>IF('計算A'!T$106=1,DS33,1)</f>
        <v/>
      </c>
      <c r="JH33">
        <f>IF('計算A'!U$106=1,DT33,1)</f>
        <v/>
      </c>
      <c r="JI33">
        <f>IF('計算A'!V$106=1,DU33,1)</f>
        <v/>
      </c>
      <c r="JJ33">
        <f>IF('計算A'!W$106=1,DV33,1)</f>
        <v/>
      </c>
      <c r="JK33">
        <f>IF('計算A'!X$106=1,DW33,1)</f>
        <v/>
      </c>
      <c r="JL33">
        <f>IF('計算A'!Y$106=1,DX33,1)</f>
        <v/>
      </c>
      <c r="JM33">
        <f>IF('計算A'!Z$106=1,DY33,1)</f>
        <v/>
      </c>
      <c r="JN33">
        <f>IF('計算A'!AA$106=1,DZ33,1)</f>
        <v/>
      </c>
      <c r="JO33">
        <f>IF('計算A'!AB$106=1,EA33,1)</f>
        <v/>
      </c>
      <c r="JP33">
        <f>IF('計算A'!AC$106=1,EB33,1)</f>
        <v/>
      </c>
      <c r="JQ33">
        <f>IF('計算A'!AD$106=1,EC33,1)</f>
        <v/>
      </c>
      <c r="JR33">
        <f>IF('計算A'!AE$106=1,ED33,1)</f>
        <v/>
      </c>
      <c r="JS33">
        <f>IF('計算A'!AF$106=1,EE33,1)</f>
        <v/>
      </c>
      <c r="JT33">
        <f>IF('計算A'!AG$106=1,EF33,1)</f>
        <v/>
      </c>
      <c r="JU33">
        <f>IF('計算A'!AH$106=1,EG33,1)</f>
        <v/>
      </c>
      <c r="JV33">
        <f>IF('計算A'!AI$106=1,EH33,1)</f>
        <v/>
      </c>
      <c r="JW33">
        <f>IF('計算A'!AJ$106=1,EI33,1)</f>
        <v/>
      </c>
      <c r="JX33">
        <f>IF('計算A'!AK$106=1,EJ33,1)</f>
        <v/>
      </c>
      <c r="JY33">
        <f>IF('計算A'!AL$106=1,EK33,1)</f>
        <v/>
      </c>
      <c r="JZ33">
        <f>IF('計算A'!AM$106=1,EL33,1)</f>
        <v/>
      </c>
      <c r="KA33">
        <f>IF('計算A'!AN$106=1,EM33,1)</f>
        <v/>
      </c>
      <c r="KB33">
        <f>IF('計算A'!AO$106=1,EN33,1)</f>
        <v/>
      </c>
      <c r="KC33">
        <f>IF('計算A'!AP$106=1,EO33,1)</f>
        <v/>
      </c>
      <c r="KD33">
        <f>IF('計算A'!AQ$106=1,EP33,1)</f>
        <v/>
      </c>
      <c r="KE33">
        <f>IF('計算A'!AR$106=1,EQ33,1)</f>
        <v/>
      </c>
      <c r="KF33">
        <f>IF('計算A'!AS$106=1,ER33,1)</f>
        <v/>
      </c>
      <c r="KG33">
        <f>IF('計算A'!AT$106=1,ES33,1)</f>
        <v/>
      </c>
      <c r="KH33">
        <f>IF('計算A'!AU$106=1,ET33,1)</f>
        <v/>
      </c>
      <c r="KI33">
        <f>IF('計算A'!AV$106=1,EU33,1)</f>
        <v/>
      </c>
      <c r="KJ33">
        <f>IF('計算A'!AW$106=1,EV33,1)</f>
        <v/>
      </c>
      <c r="KK33">
        <f>IF('計算A'!AX$106=1,EW33,1)</f>
        <v/>
      </c>
      <c r="KL33">
        <f>IF('計算A'!AY$106=1,EX33,1)</f>
        <v/>
      </c>
      <c r="KM33">
        <f>IF('計算A'!AZ$106=1,EY33,1)</f>
        <v/>
      </c>
      <c r="KN33">
        <f>IF('計算A'!BA$106=1,EZ33,1)</f>
        <v/>
      </c>
      <c r="KO33">
        <f>IF('計算A'!BB$106=1,FA33,1)</f>
        <v/>
      </c>
      <c r="KP33">
        <f>IF('計算A'!BC$106=1,FB33,1)</f>
        <v/>
      </c>
      <c r="KQ33">
        <f>IF('計算A'!BD$106=1,FC33,1)</f>
        <v/>
      </c>
      <c r="KR33">
        <f>IF('計算A'!BE$106=1,FD33,1)</f>
        <v/>
      </c>
      <c r="KS33">
        <f>IF('計算A'!BF$106=1,FE33,1)</f>
        <v/>
      </c>
      <c r="KT33">
        <f>IF('計算A'!BG$106=1,FF33,1)</f>
        <v/>
      </c>
      <c r="KU33">
        <f>IF('計算A'!BH$106=1,FG33,1)</f>
        <v/>
      </c>
      <c r="KV33">
        <f>IF('計算A'!BI$106=1,FH33,1)</f>
        <v/>
      </c>
      <c r="KW33">
        <f>IF('計算A'!BJ$106=1,FI33,1)</f>
        <v/>
      </c>
      <c r="KX33">
        <f>IF('計算A'!BK$106=1,FJ33,1)</f>
        <v/>
      </c>
      <c r="KY33">
        <f>IF('計算A'!BL$106=1,FK33,1)</f>
        <v/>
      </c>
      <c r="KZ33">
        <f>IF('計算A'!BM$106=1,FL33,1)</f>
        <v/>
      </c>
      <c r="LA33">
        <f>IF('計算A'!BN$106=1,FM33,1)</f>
        <v/>
      </c>
      <c r="LB33">
        <f>IF('計算A'!BO$106=1,FN33,1)</f>
        <v/>
      </c>
      <c r="LC33">
        <f>IF('計算A'!BP$106=1,FO33,1)</f>
        <v/>
      </c>
      <c r="LD33">
        <f>IF('計算A'!BQ$106=1,FP33,1)</f>
        <v/>
      </c>
      <c r="LE33">
        <f>IF('計算A'!BR$106=1,FQ33,1)</f>
        <v/>
      </c>
      <c r="LF33">
        <f>IF('計算A'!BS$106=1,FR33,1)</f>
        <v/>
      </c>
      <c r="LG33">
        <f>IF('計算A'!BT$106=1,FS33,1)</f>
        <v/>
      </c>
      <c r="LH33">
        <f>IF('計算A'!BU$106=1,FT33,1)</f>
        <v/>
      </c>
      <c r="LI33">
        <f>IF('計算A'!BV$106=1,FU33,1)</f>
        <v/>
      </c>
      <c r="LJ33">
        <f>IF('計算A'!BW$106=1,FV33,1)</f>
        <v/>
      </c>
      <c r="LK33">
        <f>IF('計算A'!BX$106=1,FW33,1)</f>
        <v/>
      </c>
      <c r="LL33">
        <f>IF('計算A'!BY$106=1,FX33,1)</f>
        <v/>
      </c>
      <c r="LM33">
        <f>IF('計算A'!BZ$106=1,FY33,1)</f>
        <v/>
      </c>
      <c r="LN33">
        <f>IF('計算A'!CA$106=1,FZ33,1)</f>
        <v/>
      </c>
      <c r="LO33">
        <f>IF('計算A'!CB$106=1,GA33,1)</f>
        <v/>
      </c>
      <c r="LP33">
        <f>IF('計算A'!CC$106=1,GB33,1)</f>
        <v/>
      </c>
      <c r="LQ33">
        <f>IF('計算A'!CD$106=1,GC33,1)</f>
        <v/>
      </c>
      <c r="LR33">
        <f>IF('計算A'!CE$106=1,GD33,1)</f>
        <v/>
      </c>
      <c r="LS33">
        <f>IF('計算A'!CF$106=1,GE33,1)</f>
        <v/>
      </c>
      <c r="LT33">
        <f>IF('計算A'!CG$106=1,GF33,1)</f>
        <v/>
      </c>
      <c r="LU33">
        <f>IF('計算A'!CH$106=1,GG33,1)</f>
        <v/>
      </c>
      <c r="LV33">
        <f>IF('計算A'!CI$106=1,GH33,1)</f>
        <v/>
      </c>
      <c r="LW33">
        <f>IF('計算A'!CJ$106=1,GI33,1)</f>
        <v/>
      </c>
      <c r="LX33">
        <f>IF('計算A'!CK$106=1,GJ33,1)</f>
        <v/>
      </c>
      <c r="LY33">
        <f>IF('計算A'!CL$106=1,GK33,1)</f>
        <v/>
      </c>
      <c r="LZ33">
        <f>IF('計算A'!CM$106=1,GL33,1)</f>
        <v/>
      </c>
      <c r="MA33">
        <f>IF('計算A'!CN$106=1,GM33,1)</f>
        <v/>
      </c>
      <c r="MB33">
        <f>IF('計算A'!CO$106=1,GN33,1)</f>
        <v/>
      </c>
      <c r="MC33">
        <f>IF('計算A'!CP$106=1,GO33,1)</f>
        <v/>
      </c>
      <c r="MD33">
        <f>IF('計算A'!CQ$106=1,GP33,1)</f>
        <v/>
      </c>
      <c r="ME33">
        <f>IF('計算A'!CR$106=1,GQ33,1)</f>
        <v/>
      </c>
      <c r="MF33">
        <f>IF('計算A'!CS$106=1,GR33,1)</f>
        <v/>
      </c>
      <c r="MG33">
        <f>IF('計算A'!CT$106=1,GS33,1)</f>
        <v/>
      </c>
      <c r="MH33">
        <f>IF('計算A'!CU$106=1,GT33,1)</f>
        <v/>
      </c>
      <c r="MI33">
        <f>IF('計算A'!CV$106=1,GU33,1)</f>
        <v/>
      </c>
      <c r="MJ33">
        <f>IF('計算A'!CW$106=1,GV33,1)</f>
        <v/>
      </c>
      <c r="MK33">
        <f>IF('計算A'!CX$106=1,GW33,1)</f>
        <v/>
      </c>
      <c r="ML33">
        <f>IF('計算A'!CY$106=1,GX33,1)</f>
        <v/>
      </c>
      <c r="MM33">
        <f>IF('計算A'!CZ$106=1,GY33,1)</f>
        <v/>
      </c>
      <c r="MN33">
        <f>IF('計算A'!DA$106=1,GZ33,1)</f>
        <v/>
      </c>
      <c r="MO33">
        <f>IF('計算A'!DB$106=1,HA33,1)</f>
        <v/>
      </c>
      <c r="MP33">
        <f>IF('計算A'!DC$106=1,HB33,1)</f>
        <v/>
      </c>
      <c r="MQ33">
        <f>IF('計算A'!DD$106=1,HC33,1)</f>
        <v/>
      </c>
      <c r="MR33">
        <f>IF('計算A'!DE$106=1,HD33,1)</f>
        <v/>
      </c>
      <c r="MS33">
        <f>IF('計算A'!DF$106=1,HE33,1)</f>
        <v/>
      </c>
      <c r="MT33">
        <f>IF('計算A'!DG$106=1,HF33,1)</f>
        <v/>
      </c>
      <c r="MU33">
        <f>IF('計算A'!DH$106=1,HG33,1)</f>
        <v/>
      </c>
      <c r="MV33">
        <f>IF('計算A'!DI$106=1,HH33,1)</f>
        <v/>
      </c>
      <c r="MW33">
        <f>IF('計算A'!DJ$106=1,HI33,1)</f>
        <v/>
      </c>
      <c r="MX33">
        <f>IF('計算A'!DK$106=1,HJ33,1)</f>
        <v/>
      </c>
      <c r="MY33">
        <f>IF('計算A'!DL$106=1,HK33,1)</f>
        <v/>
      </c>
      <c r="MZ33">
        <f>IF('計算A'!DM$106=1,HL33,1)</f>
        <v/>
      </c>
      <c r="NA33">
        <f>IF('計算A'!DN$106=1,HM33,1)</f>
        <v/>
      </c>
      <c r="NB33">
        <f>IF('計算A'!DO$106=1,HN33,1)</f>
        <v/>
      </c>
      <c r="NC33">
        <f>IF('計算A'!DP$106=1,HO33,1)</f>
        <v/>
      </c>
      <c r="ND33">
        <f>IF('計算A'!DQ$106=1,HP33,1)</f>
        <v/>
      </c>
      <c r="NE33">
        <f>IF('計算A'!DR$106=1,HQ33,1)</f>
        <v/>
      </c>
      <c r="NF33">
        <f>IF('計算A'!DS$106=1,HR33,1)</f>
        <v/>
      </c>
      <c r="NG33">
        <f>IF('計算A'!DT$106=1,HS33,1)</f>
        <v/>
      </c>
      <c r="NH33">
        <f>IF('計算A'!DU$106=1,HT33,1)</f>
        <v/>
      </c>
      <c r="NI33">
        <f>IF('計算A'!DV$106=1,HU33,1)</f>
        <v/>
      </c>
      <c r="NJ33">
        <f>IF('計算A'!DW$106=1,HV33,1)</f>
        <v/>
      </c>
      <c r="NK33">
        <f>IF('計算A'!DX$106=1,HW33,1)</f>
        <v/>
      </c>
      <c r="NL33">
        <f>IF('計算A'!DY$106=1,HX33,1)</f>
        <v/>
      </c>
      <c r="NM33">
        <f>IF('計算A'!DZ$106=1,HY33,1)</f>
        <v/>
      </c>
      <c r="NN33">
        <f>IF('計算A'!EA$106=1,HZ33,1)</f>
        <v/>
      </c>
      <c r="NO33">
        <f>IF('計算A'!EB$106=1,IA33,1)</f>
        <v/>
      </c>
      <c r="NP33">
        <f>IF('計算A'!EC$106=1,IB33,1)</f>
        <v/>
      </c>
      <c r="NQ33">
        <f>IF('計算A'!ED$106=1,IC33,1)</f>
        <v/>
      </c>
      <c r="NR33">
        <f>IF('計算A'!EE$106=1,ID33,1)</f>
        <v/>
      </c>
      <c r="NS33">
        <f>IF('計算A'!EF$106=1,IE33,1)</f>
        <v/>
      </c>
      <c r="NT33">
        <f>IF('計算A'!EG$106=1,IF33,1)</f>
        <v/>
      </c>
      <c r="NU33">
        <f>IF('計算A'!EH$106=1,IG33,1)</f>
        <v/>
      </c>
      <c r="NV33">
        <f>IF('計算A'!EI$106=1,IH33,1)</f>
        <v/>
      </c>
      <c r="NW33">
        <f>IF('計算A'!EJ$106=1,II33,1)</f>
        <v/>
      </c>
      <c r="NX33">
        <f>IF('計算A'!EK$106=1,IJ33,1)</f>
        <v/>
      </c>
      <c r="NY33">
        <f>IF('計算A'!EL$106=1,IK33,1)</f>
        <v/>
      </c>
      <c r="NZ33">
        <f>IF('計算A'!EM$106=1,IL33,1)</f>
        <v/>
      </c>
      <c r="OA33">
        <f>IF('計算A'!EN$106=1,IM33,1)</f>
        <v/>
      </c>
      <c r="OB33">
        <f>IF('計算A'!EO$106=1,IN33,1)</f>
        <v/>
      </c>
      <c r="OC33">
        <f>IF('計算A'!EP$106=1,IO33,1)</f>
        <v/>
      </c>
      <c r="OD33" t="n">
        <v>1</v>
      </c>
      <c r="OF33">
        <f>IF($B33=0,1000000,IF(INDEX('計算A'!$D$60:$EQ$104,$B33,1)*DB33=1,IF(AND($E33=2,IQ33=0),1000000,IF($I33&gt;0,IF(1=$J33,IF(OR(AND(1=$I33+1,OR($K33&lt;&gt;'計算A'!$A$3,'計算A'!$A$4=0)),AND(1=$I33-1,OR(1&lt;&gt;'計算A'!$A$3,'計算A'!$A$4=0))),0,IF(1=$K33,200000,ABS(1-$K33)*100)),100000+ABS(1-$J33)*1000+10)+'計算A'!D$5*50+IF(AND($E33=1,IQ33=0),25,0),IF($F33&gt;0,INDEX('計算A'!D$110:D$114,$F33+1)+IF(AND($E33=1,IQ33=0),1000,0),MIN(TU33,20)*400+(IF('計算A'!D$106=1,1-DC33,0))*150+11+'計算A'!D$5*100000+IF(AND($E33=1,IQ33=0),50000,0))+IF($H33=1,(IF('計算A'!D$117=1,INDEX('計算A'!E$10:E$54,$B33),0))*4000,0)-IF(AND($L33=1,'計算A'!D$117=1,DC33=0),2000,0))),1000000))</f>
        <v/>
      </c>
      <c r="OG33">
        <f>IF($B33=0,1000000,IF(INDEX('計算A'!$D$60:$EQ$104,$B33,2)*DC33=1,IF(AND($E33=2,IR33=0),1000000,IF($I33&gt;0,IF(1=$J33,IF(OR(AND(2=$I33+1,OR($K33&lt;&gt;'計算A'!$A$3,'計算A'!$A$4=0)),AND(2=$I33-1,OR(2&lt;&gt;'計算A'!$A$3,'計算A'!$A$4=0))),0,IF(2=$K33,200000,ABS(2-$K33)*100)),100000+ABS(1-$J33)*1000+20)+'計算A'!E$5*50+IF(AND($E33=1,IR33=0),25,0),IF($F33&gt;0,INDEX('計算A'!E$110:E$114,$F33+1)+IF(AND($E33=1,IR33=0),1000,0),MIN(TU33,20)*400+(IF('計算A'!D$106=1,1-DB33,0)+IF('計算A'!E$106=1,1-DD33,0))*150+21+'計算A'!E$5*100000+IF(AND($E33=1,IR33=0),50000,0))+IF($H33=1,(IF('計算A'!D$117=1,INDEX('計算A'!D$10:D$54,$B33),0)+IF('計算A'!E$117=1,INDEX('計算A'!F$10:F$54,$B33),0))*4000,0)-IF(AND('計算A'!D$117=1,UB33&gt;0),2000,0)-IF(AND($L33=1,'計算A'!E$117=1,DD33=0),2000,0))),1000000))</f>
        <v/>
      </c>
      <c r="OH33">
        <f>IF($B33=0,1000000,IF(INDEX('計算A'!$D$60:$EQ$104,$B33,3)*DD33=1,IF(AND($E33=2,IS33=0),1000000,IF($I33&gt;0,IF(1=$J33,IF(OR(AND(3=$I33+1,OR($K33&lt;&gt;'計算A'!$A$3,'計算A'!$A$4=0)),AND(3=$I33-1,OR(3&lt;&gt;'計算A'!$A$3,'計算A'!$A$4=0))),0,IF(3=$K33,200000,ABS(3-$K33)*100)),100000+ABS(1-$J33)*1000+30)+'計算A'!F$5*50+IF(AND($E33=1,IS33=0),25,0),IF($F33&gt;0,INDEX('計算A'!F$110:F$114,$F33+1)+IF(AND($E33=1,IS33=0),1000,0),MIN(TU33,20)*400+(IF('計算A'!E$106=1,1-DC33,0)+IF('計算A'!F$106=1,1-DE33,0))*150+31+'計算A'!F$5*100000+IF(AND($E33=1,IS33=0),50000,0))+IF($H33=1,(IF('計算A'!E$117=1,INDEX('計算A'!E$10:E$54,$B33),0)+IF('計算A'!F$117=1,INDEX('計算A'!G$10:G$54,$B33),0))*4000,0)-IF(AND('計算A'!E$117=1,UC33&gt;0),2000,0)-IF(AND($L33=1,'計算A'!F$117=1,DE33=0),2000,0))),1000000))</f>
        <v/>
      </c>
      <c r="OI33">
        <f>IF($B33=0,1000000,IF(INDEX('計算A'!$D$60:$EQ$104,$B33,4)*DE33=1,IF(AND($E33=2,IT33=0),1000000,IF($I33&gt;0,IF(1=$J33,IF(OR(AND(4=$I33+1,OR($K33&lt;&gt;'計算A'!$A$3,'計算A'!$A$4=0)),AND(4=$I33-1,OR(4&lt;&gt;'計算A'!$A$3,'計算A'!$A$4=0))),0,IF(4=$K33,200000,ABS(4-$K33)*100)),100000+ABS(1-$J33)*1000+40)+'計算A'!G$5*50+IF(AND($E33=1,IT33=0),25,0),IF($F33&gt;0,INDEX('計算A'!G$110:G$114,$F33+1)+IF(AND($E33=1,IT33=0),1000,0),MIN(TU33,20)*400+(IF('計算A'!F$106=1,1-DD33,0)+IF('計算A'!G$106=1,1-DF33,0))*150+41+'計算A'!G$5*100000+IF(AND($E33=1,IT33=0),50000,0))+IF($H33=1,(IF('計算A'!F$117=1,INDEX('計算A'!F$10:F$54,$B33),0)+IF('計算A'!G$117=1,INDEX('計算A'!H$10:H$54,$B33),0))*4000,0)-IF(AND('計算A'!F$117=1,UD33&gt;0),2000,0)-IF(AND($L33=1,'計算A'!G$117=1,DF33=0),2000,0))),1000000))</f>
        <v/>
      </c>
      <c r="OJ33">
        <f>IF($B33=0,1000000,IF(INDEX('計算A'!$D$60:$EQ$104,$B33,5)*DF33=1,IF(AND($E33=2,IU33=0),1000000,IF($I33&gt;0,IF(1=$J33,IF(OR(AND(5=$I33+1,OR($K33&lt;&gt;'計算A'!$A$3,'計算A'!$A$4=0)),AND(5=$I33-1,OR(5&lt;&gt;'計算A'!$A$3,'計算A'!$A$4=0))),0,IF(5=$K33,200000,ABS(5-$K33)*100)),100000+ABS(1-$J33)*1000+50)+'計算A'!H$5*50+IF(AND($E33=1,IU33=0),25,0),IF($F33&gt;0,INDEX('計算A'!H$110:H$114,$F33+1)+IF(AND($E33=1,IU33=0),1000,0),MIN(TU33,20)*400+(IF('計算A'!G$106=1,1-DE33,0)+IF('計算A'!H$106=1,1-DG33,0))*150+51+'計算A'!H$5*100000+IF(AND($E33=1,IU33=0),50000,0))+IF($H33=1,(IF('計算A'!G$117=1,INDEX('計算A'!G$10:G$54,$B33),0)+IF('計算A'!H$117=1,INDEX('計算A'!I$10:I$54,$B33),0))*4000,0)-IF(AND('計算A'!G$117=1,UE33&gt;0),2000,0)-IF(AND($L33=1,'計算A'!H$117=1,DG33=0),2000,0))),1000000))</f>
        <v/>
      </c>
      <c r="OK33">
        <f>IF($B33=0,1000000,IF(INDEX('計算A'!$D$60:$EQ$104,$B33,6)*DG33=1,IF(AND($E33=2,IV33=0),1000000,IF($I33&gt;0,IF(1=$J33,IF(OR(AND(6=$I33+1,OR($K33&lt;&gt;'計算A'!$A$3,'計算A'!$A$4=0)),AND(6=$I33-1,OR(6&lt;&gt;'計算A'!$A$3,'計算A'!$A$4=0))),0,IF(6=$K33,200000,ABS(6-$K33)*100)),100000+ABS(1-$J33)*1000+60)+'計算A'!I$5*50+IF(AND($E33=1,IV33=0),25,0),IF($F33&gt;0,INDEX('計算A'!I$110:I$114,$F33+1)+IF(AND($E33=1,IV33=0),1000,0),MIN(TU33,20)*400+(IF('計算A'!H$106=1,1-DF33,0)+IF('計算A'!I$106=1,1-DH33,0))*150+61+'計算A'!I$5*100000+IF(AND($E33=1,IV33=0),50000,0))+IF($H33=1,(IF('計算A'!H$117=1,INDEX('計算A'!H$10:H$54,$B33),0)+IF('計算A'!I$117=1,INDEX('計算A'!J$10:J$54,$B33),0))*4000,0)-IF(AND('計算A'!H$117=1,UF33&gt;0),2000,0)-IF(AND($L33=1,'計算A'!I$117=1,DH33=0),2000,0))),1000000))</f>
        <v/>
      </c>
      <c r="OL33">
        <f>IF($B33=0,1000000,IF(INDEX('計算A'!$D$60:$EQ$104,$B33,7)*DH33=1,IF(AND($E33=2,IW33=0),1000000,IF($I33&gt;0,IF(1=$J33,IF(OR(AND(7=$I33+1,OR($K33&lt;&gt;'計算A'!$A$3,'計算A'!$A$4=0)),AND(7=$I33-1,OR(7&lt;&gt;'計算A'!$A$3,'計算A'!$A$4=0))),0,IF(7=$K33,200000,ABS(7-$K33)*100)),100000+ABS(1-$J33)*1000+70)+'計算A'!J$5*50+IF(AND($E33=1,IW33=0),25,0),IF($F33&gt;0,INDEX('計算A'!J$110:J$114,$F33+1)+IF(AND($E33=1,IW33=0),1000,0),MIN(TU33,20)*400+(IF('計算A'!I$106=1,1-DG33,0)+IF('計算A'!J$106=1,1-DI33,0))*150+71+'計算A'!J$5*100000+IF(AND($E33=1,IW33=0),50000,0))+IF($H33=1,(IF('計算A'!I$117=1,INDEX('計算A'!I$10:I$54,$B33),0)+IF('計算A'!J$117=1,INDEX('計算A'!K$10:K$54,$B33),0))*4000,0)-IF(AND('計算A'!I$117=1,UG33&gt;0),2000,0)-IF(AND($L33=1,'計算A'!J$117=1,DI33=0),2000,0))),1000000))</f>
        <v/>
      </c>
      <c r="OM33">
        <f>IF($B33=0,1000000,IF(INDEX('計算A'!$D$60:$EQ$104,$B33,8)*DI33=1,IF(AND($E33=2,IX33=0),1000000,IF($I33&gt;0,IF(1=$J33,IF(OR(AND(8=$I33+1,OR($K33&lt;&gt;'計算A'!$A$3,'計算A'!$A$4=0)),AND(8=$I33-1,OR(8&lt;&gt;'計算A'!$A$3,'計算A'!$A$4=0))),0,IF(8=$K33,200000,ABS(8-$K33)*100)),100000+ABS(1-$J33)*1000+80)+'計算A'!K$5*50+IF(AND($E33=1,IX33=0),25,0),IF($F33&gt;0,INDEX('計算A'!K$110:K$114,$F33+1)+IF(AND($E33=1,IX33=0),1000,0),MIN(TU33,20)*400+(IF('計算A'!J$106=1,1-DH33,0)+IF('計算A'!K$106=1,1-DJ33,0))*150+81+'計算A'!K$5*100000+IF(AND($E33=1,IX33=0),50000,0))+IF($H33=1,(IF('計算A'!J$117=1,INDEX('計算A'!J$10:J$54,$B33),0)+IF('計算A'!K$117=1,INDEX('計算A'!L$10:L$54,$B33),0))*4000,0)-IF(AND('計算A'!J$117=1,UH33&gt;0),2000,0)-IF(AND($L33=1,'計算A'!K$117=1,DJ33=0),2000,0))),1000000))</f>
        <v/>
      </c>
      <c r="ON33">
        <f>IF($B33=0,1000000,IF(INDEX('計算A'!$D$60:$EQ$104,$B33,9)*DJ33=1,IF(AND($E33=2,IY33=0),1000000,IF($I33&gt;0,IF(1=$J33,IF(OR(AND(9=$I33+1,OR($K33&lt;&gt;'計算A'!$A$3,'計算A'!$A$4=0)),AND(9=$I33-1,OR(9&lt;&gt;'計算A'!$A$3,'計算A'!$A$4=0))),0,IF(9=$K33,200000,ABS(9-$K33)*100)),100000+ABS(1-$J33)*1000+90)+'計算A'!L$5*50+IF(AND($E33=1,IY33=0),25,0),IF($F33&gt;0,INDEX('計算A'!L$110:L$114,$F33+1)+IF(AND($E33=1,IY33=0),1000,0),MIN(TU33,20)*400+(IF('計算A'!K$106=1,1-DI33,0)+IF('計算A'!L$106=1,1-DK33,0))*150+91+'計算A'!L$5*100000+IF(AND($E33=1,IY33=0),50000,0))+IF($H33=1,(IF('計算A'!K$117=1,INDEX('計算A'!K$10:K$54,$B33),0)+IF('計算A'!L$117=1,INDEX('計算A'!M$10:M$54,$B33),0))*4000,0)-IF(AND('計算A'!K$117=1,UI33&gt;0),2000,0)-IF(AND($L33=1,'計算A'!L$117=1,DK33=0),2000,0))),1000000))</f>
        <v/>
      </c>
      <c r="OO33">
        <f>IF($B33=0,1000000,IF(INDEX('計算A'!$D$60:$EQ$104,$B33,10)*DK33=1,IF(AND($E33=2,IZ33=0),1000000,IF($I33&gt;0,IF(1=$J33,IF(OR(AND(10=$I33+1,OR($K33&lt;&gt;'計算A'!$A$3,'計算A'!$A$4=0)),AND(10=$I33-1,OR(10&lt;&gt;'計算A'!$A$3,'計算A'!$A$4=0))),0,IF(10=$K33,200000,ABS(10-$K33)*100)),100000+ABS(1-$J33)*1000+100)+'計算A'!M$5*50+IF(AND($E33=1,IZ33=0),25,0),IF($F33&gt;0,INDEX('計算A'!M$110:M$114,$F33+1)+IF(AND($E33=1,IZ33=0),1000,0),MIN(TU33,20)*400+(IF('計算A'!L$106=1,1-DJ33,0)+IF('計算A'!M$106=1,1-DL33,0))*150+101+'計算A'!M$5*100000+IF(AND($E33=1,IZ33=0),50000,0))+IF($H33=1,(IF('計算A'!L$117=1,INDEX('計算A'!L$10:L$54,$B33),0)+IF('計算A'!M$117=1,INDEX('計算A'!N$10:N$54,$B33),0))*4000,0)-IF(AND('計算A'!L$117=1,UJ33&gt;0),2000,0)-IF(AND($L33=1,'計算A'!M$117=1,DL33=0),2000,0))),1000000))</f>
        <v/>
      </c>
      <c r="OP33">
        <f>IF($B33=0,1000000,IF(INDEX('計算A'!$D$60:$EQ$104,$B33,11)*DL33=1,IF(AND($E33=2,JA33=0),1000000,IF($I33&gt;0,IF(1=$J33,IF(OR(AND(11=$I33+1,OR($K33&lt;&gt;'計算A'!$A$3,'計算A'!$A$4=0)),AND(11=$I33-1,OR(11&lt;&gt;'計算A'!$A$3,'計算A'!$A$4=0))),0,IF(11=$K33,200000,ABS(11-$K33)*100)),100000+ABS(1-$J33)*1000+110)+'計算A'!N$5*50+IF(AND($E33=1,JA33=0),25,0),IF($F33&gt;0,INDEX('計算A'!N$110:N$114,$F33+1)+IF(AND($E33=1,JA33=0),1000,0),MIN(TU33,20)*400+(IF('計算A'!M$106=1,1-DK33,0)+IF('計算A'!N$106=1,1-DM33,0))*150+111+'計算A'!N$5*100000+IF(AND($E33=1,JA33=0),50000,0))+IF($H33=1,(IF('計算A'!M$117=1,INDEX('計算A'!M$10:M$54,$B33),0)+IF('計算A'!N$117=1,INDEX('計算A'!O$10:O$54,$B33),0))*4000,0)-IF(AND('計算A'!M$117=1,UK33&gt;0),2000,0)-IF(AND($L33=1,'計算A'!N$117=1,DM33=0),2000,0))),1000000))</f>
        <v/>
      </c>
      <c r="OQ33">
        <f>IF($B33=0,1000000,IF(INDEX('計算A'!$D$60:$EQ$104,$B33,12)*DM33=1,IF(AND($E33=2,JB33=0),1000000,IF($I33&gt;0,IF(1=$J33,IF(OR(AND(12=$I33+1,OR($K33&lt;&gt;'計算A'!$A$3,'計算A'!$A$4=0)),AND(12=$I33-1,OR(12&lt;&gt;'計算A'!$A$3,'計算A'!$A$4=0))),0,IF(12=$K33,200000,ABS(12-$K33)*100)),100000+ABS(1-$J33)*1000+120)+'計算A'!O$5*50+IF(AND($E33=1,JB33=0),25,0),IF($F33&gt;0,INDEX('計算A'!O$110:O$114,$F33+1)+IF(AND($E33=1,JB33=0),1000,0),MIN(TU33,20)*400+(IF('計算A'!N$106=1,1-DL33,0)+IF('計算A'!O$106=1,1-DN33,0))*150+121+'計算A'!O$5*100000+IF(AND($E33=1,JB33=0),50000,0))+IF($H33=1,(IF('計算A'!N$117=1,INDEX('計算A'!N$10:N$54,$B33),0)+IF('計算A'!O$117=1,INDEX('計算A'!P$10:P$54,$B33),0))*4000,0)-IF(AND('計算A'!N$117=1,UL33&gt;0),2000,0)-IF(AND($L33=1,'計算A'!O$117=1,DN33=0),2000,0))),1000000))</f>
        <v/>
      </c>
      <c r="OR33">
        <f>IF($B33=0,1000000,IF(INDEX('計算A'!$D$60:$EQ$104,$B33,13)*DN33=1,IF(AND($E33=2,JC33=0),1000000,IF($I33&gt;0,IF(1=$J33,IF(OR(AND(13=$I33+1,OR($K33&lt;&gt;'計算A'!$A$3,'計算A'!$A$4=0)),AND(13=$I33-1,OR(13&lt;&gt;'計算A'!$A$3,'計算A'!$A$4=0))),0,IF(13=$K33,200000,ABS(13-$K33)*100)),100000+ABS(1-$J33)*1000+130)+'計算A'!P$5*50+IF(AND($E33=1,JC33=0),25,0),IF($F33&gt;0,INDEX('計算A'!P$110:P$114,$F33+1)+IF(AND($E33=1,JC33=0),1000,0),MIN(TU33,20)*400+(IF('計算A'!O$106=1,1-DM33,0)+IF('計算A'!P$106=1,1-DO33,0))*150+131+'計算A'!P$5*100000+IF(AND($E33=1,JC33=0),50000,0))+IF($H33=1,(IF('計算A'!O$117=1,INDEX('計算A'!O$10:O$54,$B33),0)+IF('計算A'!P$117=1,INDEX('計算A'!Q$10:Q$54,$B33),0))*4000,0)-IF(AND('計算A'!O$117=1,UM33&gt;0),2000,0)-IF(AND($L33=1,'計算A'!P$117=1,DO33=0),2000,0))),1000000))</f>
        <v/>
      </c>
      <c r="OS33">
        <f>IF($B33=0,1000000,IF(INDEX('計算A'!$D$60:$EQ$104,$B33,14)*DO33=1,IF(AND($E33=2,JD33=0),1000000,IF($I33&gt;0,IF(1=$J33,IF(OR(AND(14=$I33+1,OR($K33&lt;&gt;'計算A'!$A$3,'計算A'!$A$4=0)),AND(14=$I33-1,OR(14&lt;&gt;'計算A'!$A$3,'計算A'!$A$4=0))),0,IF(14=$K33,200000,ABS(14-$K33)*100)),100000+ABS(1-$J33)*1000+140)+'計算A'!Q$5*50+IF(AND($E33=1,JD33=0),25,0),IF($F33&gt;0,INDEX('計算A'!Q$110:Q$114,$F33+1)+IF(AND($E33=1,JD33=0),1000,0),MIN(TU33,20)*400+(IF('計算A'!P$106=1,1-DN33,0)+IF('計算A'!Q$106=1,1-DP33,0))*150+141+'計算A'!Q$5*100000+IF(AND($E33=1,JD33=0),50000,0))+IF($H33=1,(IF('計算A'!P$117=1,INDEX('計算A'!P$10:P$54,$B33),0)+IF('計算A'!Q$117=1,INDEX('計算A'!R$10:R$54,$B33),0))*4000,0)-IF(AND('計算A'!P$117=1,UN33&gt;0),2000,0)-IF(AND($L33=1,'計算A'!Q$117=1,DP33=0),2000,0))),1000000))</f>
        <v/>
      </c>
      <c r="OT33">
        <f>IF($B33=0,1000000,IF(INDEX('計算A'!$D$60:$EQ$104,$B33,15)*DP33=1,IF(AND($E33=2,JE33=0),1000000,IF($I33&gt;0,IF(1=$J33,IF(OR(AND(15=$I33+1,OR($K33&lt;&gt;'計算A'!$A$3,'計算A'!$A$4=0)),AND(15=$I33-1,OR(15&lt;&gt;'計算A'!$A$3,'計算A'!$A$4=0))),0,IF(15=$K33,200000,ABS(15-$K33)*100)),100000+ABS(1-$J33)*1000+150)+'計算A'!R$5*50+IF(AND($E33=1,JE33=0),25,0),IF($F33&gt;0,INDEX('計算A'!R$110:R$114,$F33+1)+IF(AND($E33=1,JE33=0),1000,0),MIN(TU33,20)*400+(IF('計算A'!Q$106=1,1-DO33,0)+IF('計算A'!R$106=1,1-DQ33,0))*150+151+'計算A'!R$5*100000+IF(AND($E33=1,JE33=0),50000,0))+IF($H33=1,(IF('計算A'!Q$117=1,INDEX('計算A'!Q$10:Q$54,$B33),0)+IF('計算A'!R$117=1,INDEX('計算A'!S$10:S$54,$B33),0))*4000,0)-IF(AND('計算A'!Q$117=1,UO33&gt;0),2000,0)-IF(AND($L33=1,'計算A'!R$117=1,DQ33=0),2000,0))),1000000))</f>
        <v/>
      </c>
      <c r="OU33">
        <f>IF($B33=0,1000000,IF(INDEX('計算A'!$D$60:$EQ$104,$B33,16)*DQ33=1,IF(AND($E33=2,JF33=0),1000000,IF($I33&gt;0,IF(1=$J33,IF(OR(AND(16=$I33+1,OR($K33&lt;&gt;'計算A'!$A$3,'計算A'!$A$4=0)),AND(16=$I33-1,OR(16&lt;&gt;'計算A'!$A$3,'計算A'!$A$4=0))),0,IF(16=$K33,200000,ABS(16-$K33)*100)),100000+ABS(1-$J33)*1000+160)+'計算A'!S$5*50+IF(AND($E33=1,JF33=0),25,0),IF($F33&gt;0,INDEX('計算A'!S$110:S$114,$F33+1)+IF(AND($E33=1,JF33=0),1000,0),MIN(TU33,20)*400+(IF('計算A'!R$106=1,1-DP33,0)+IF('計算A'!S$106=1,1-DR33,0))*150+161+'計算A'!S$5*100000+IF(AND($E33=1,JF33=0),50000,0))+IF($H33=1,(IF('計算A'!R$117=1,INDEX('計算A'!R$10:R$54,$B33),0)+IF('計算A'!S$117=1,INDEX('計算A'!T$10:T$54,$B33),0))*4000,0)-IF(AND('計算A'!R$117=1,UP33&gt;0),2000,0)-IF(AND($L33=1,'計算A'!S$117=1,DR33=0),2000,0))),1000000))</f>
        <v/>
      </c>
      <c r="OV33">
        <f>IF($B33=0,1000000,IF(INDEX('計算A'!$D$60:$EQ$104,$B33,17)*DR33=1,IF(AND($E33=2,JG33=0),1000000,IF($I33&gt;0,IF(1=$J33,IF(OR(AND(17=$I33+1,OR($K33&lt;&gt;'計算A'!$A$3,'計算A'!$A$4=0)),AND(17=$I33-1,OR(17&lt;&gt;'計算A'!$A$3,'計算A'!$A$4=0))),0,IF(17=$K33,200000,ABS(17-$K33)*100)),100000+ABS(1-$J33)*1000+170)+'計算A'!T$5*50+IF(AND($E33=1,JG33=0),25,0),IF($F33&gt;0,INDEX('計算A'!T$110:T$114,$F33+1)+IF(AND($E33=1,JG33=0),1000,0),MIN(TU33,20)*400+(IF('計算A'!S$106=1,1-DQ33,0)+IF('計算A'!T$106=1,1-DS33,0))*150+171+'計算A'!T$5*100000+IF(AND($E33=1,JG33=0),50000,0))+IF($H33=1,(IF('計算A'!S$117=1,INDEX('計算A'!S$10:S$54,$B33),0)+IF('計算A'!T$117=1,INDEX('計算A'!U$10:U$54,$B33),0))*4000,0)-IF(AND('計算A'!S$117=1,UQ33&gt;0),2000,0)-IF(AND($L33=1,'計算A'!T$117=1,DS33=0),2000,0))),1000000))</f>
        <v/>
      </c>
      <c r="OW33">
        <f>IF($B33=0,1000000,IF(INDEX('計算A'!$D$60:$EQ$104,$B33,18)*DS33=1,IF(AND($E33=2,JH33=0),1000000,IF($I33&gt;0,IF(1=$J33,IF(OR(AND(18=$I33+1,OR($K33&lt;&gt;'計算A'!$A$3,'計算A'!$A$4=0)),AND(18=$I33-1,OR(18&lt;&gt;'計算A'!$A$3,'計算A'!$A$4=0))),0,IF(18=$K33,200000,ABS(18-$K33)*100)),100000+ABS(1-$J33)*1000+180)+'計算A'!U$5*50+IF(AND($E33=1,JH33=0),25,0),IF($F33&gt;0,INDEX('計算A'!U$110:U$114,$F33+1)+IF(AND($E33=1,JH33=0),1000,0),MIN(TU33,20)*400+(IF('計算A'!T$106=1,1-DR33,0)+IF('計算A'!U$106=1,1-DT33,0))*150+181+'計算A'!U$5*100000+IF(AND($E33=1,JH33=0),50000,0))+IF($H33=1,(IF('計算A'!T$117=1,INDEX('計算A'!T$10:T$54,$B33),0)+IF('計算A'!U$117=1,INDEX('計算A'!V$10:V$54,$B33),0))*4000,0)-IF(AND('計算A'!T$117=1,UR33&gt;0),2000,0)-IF(AND($L33=1,'計算A'!U$117=1,DT33=0),2000,0))),1000000))</f>
        <v/>
      </c>
      <c r="OX33">
        <f>IF($B33=0,1000000,IF(INDEX('計算A'!$D$60:$EQ$104,$B33,19)*DT33=1,IF(AND($E33=2,JI33=0),1000000,IF($I33&gt;0,IF(1=$J33,IF(OR(AND(19=$I33+1,OR($K33&lt;&gt;'計算A'!$A$3,'計算A'!$A$4=0)),AND(19=$I33-1,OR(19&lt;&gt;'計算A'!$A$3,'計算A'!$A$4=0))),0,IF(19=$K33,200000,ABS(19-$K33)*100)),100000+ABS(1-$J33)*1000+190)+'計算A'!V$5*50+IF(AND($E33=1,JI33=0),25,0),IF($F33&gt;0,INDEX('計算A'!V$110:V$114,$F33+1)+IF(AND($E33=1,JI33=0),1000,0),MIN(TU33,20)*400+(IF('計算A'!U$106=1,1-DS33,0)+IF('計算A'!V$106=1,1-DU33,0))*150+191+'計算A'!V$5*100000+IF(AND($E33=1,JI33=0),50000,0))+IF($H33=1,(IF('計算A'!U$117=1,INDEX('計算A'!U$10:U$54,$B33),0)+IF('計算A'!V$117=1,INDEX('計算A'!W$10:W$54,$B33),0))*4000,0)-IF(AND('計算A'!U$117=1,US33&gt;0),2000,0)-IF(AND($L33=1,'計算A'!V$117=1,DU33=0),2000,0))),1000000))</f>
        <v/>
      </c>
      <c r="OY33">
        <f>IF($B33=0,1000000,IF(INDEX('計算A'!$D$60:$EQ$104,$B33,20)*DU33=1,IF(AND($E33=2,JJ33=0),1000000,IF($I33&gt;0,IF(1=$J33,IF(OR(AND(20=$I33+1,OR($K33&lt;&gt;'計算A'!$A$3,'計算A'!$A$4=0)),AND(20=$I33-1,OR(20&lt;&gt;'計算A'!$A$3,'計算A'!$A$4=0))),0,IF(20=$K33,200000,ABS(20-$K33)*100)),100000+ABS(1-$J33)*1000+200)+'計算A'!W$5*50+IF(AND($E33=1,JJ33=0),25,0),IF($F33&gt;0,INDEX('計算A'!W$110:W$114,$F33+1)+IF(AND($E33=1,JJ33=0),1000,0),MIN(TU33,20)*400+(IF('計算A'!V$106=1,1-DT33,0)+IF('計算A'!W$106=1,1-DV33,0))*150+201+'計算A'!W$5*100000+IF(AND($E33=1,JJ33=0),50000,0))+IF($H33=1,(IF('計算A'!V$117=1,INDEX('計算A'!V$10:V$54,$B33),0)+IF('計算A'!W$117=1,INDEX('計算A'!X$10:X$54,$B33),0))*4000,0)-IF(AND('計算A'!V$117=1,UT33&gt;0),2000,0)-IF(AND($L33=1,'計算A'!W$117=1,DV33=0),2000,0))),1000000))</f>
        <v/>
      </c>
      <c r="OZ33">
        <f>IF($B33=0,1000000,IF(INDEX('計算A'!$D$60:$EQ$104,$B33,21)*DV33=1,IF(AND($E33=2,JK33=0),1000000,IF($I33&gt;0,IF(1=$J33,IF(OR(AND(21=$I33+1,OR($K33&lt;&gt;'計算A'!$A$3,'計算A'!$A$4=0)),AND(21=$I33-1,OR(21&lt;&gt;'計算A'!$A$3,'計算A'!$A$4=0))),0,IF(21=$K33,200000,ABS(21-$K33)*100)),100000+ABS(1-$J33)*1000+210)+'計算A'!X$5*50+IF(AND($E33=1,JK33=0),25,0),IF($F33&gt;0,INDEX('計算A'!X$110:X$114,$F33+1)+IF(AND($E33=1,JK33=0),1000,0),MIN(TU33,20)*400+(IF('計算A'!W$106=1,1-DU33,0)+IF('計算A'!X$106=1,1-DW33,0))*150+211+'計算A'!X$5*100000+IF(AND($E33=1,JK33=0),50000,0))+IF($H33=1,(IF('計算A'!W$117=1,INDEX('計算A'!W$10:W$54,$B33),0)+IF('計算A'!X$117=1,INDEX('計算A'!Y$10:Y$54,$B33),0))*4000,0)-IF(AND('計算A'!W$117=1,UU33&gt;0),2000,0)-IF(AND($L33=1,'計算A'!X$117=1,DW33=0),2000,0))),1000000))</f>
        <v/>
      </c>
      <c r="PA33">
        <f>IF($B33=0,1000000,IF(INDEX('計算A'!$D$60:$EQ$104,$B33,22)*DW33=1,IF(AND($E33=2,JL33=0),1000000,IF($I33&gt;0,IF(1=$J33,IF(OR(AND(22=$I33+1,OR($K33&lt;&gt;'計算A'!$A$3,'計算A'!$A$4=0)),AND(22=$I33-1,OR(22&lt;&gt;'計算A'!$A$3,'計算A'!$A$4=0))),0,IF(22=$K33,200000,ABS(22-$K33)*100)),100000+ABS(1-$J33)*1000+220)+'計算A'!Y$5*50+IF(AND($E33=1,JL33=0),25,0),IF($F33&gt;0,INDEX('計算A'!Y$110:Y$114,$F33+1)+IF(AND($E33=1,JL33=0),1000,0),MIN(TU33,20)*400+(IF('計算A'!X$106=1,1-DV33,0)+IF('計算A'!Y$106=1,1-DX33,0))*150+221+'計算A'!Y$5*100000+IF(AND($E33=1,JL33=0),50000,0))+IF($H33=1,(IF('計算A'!X$117=1,INDEX('計算A'!X$10:X$54,$B33),0)+IF('計算A'!Y$117=1,INDEX('計算A'!Z$10:Z$54,$B33),0))*4000,0)-IF(AND('計算A'!X$117=1,UV33&gt;0),2000,0)-IF(AND($L33=1,'計算A'!Y$117=1,DX33=0),2000,0))),1000000))</f>
        <v/>
      </c>
      <c r="PB33">
        <f>IF($B33=0,1000000,IF(INDEX('計算A'!$D$60:$EQ$104,$B33,23)*DX33=1,IF(AND($E33=2,JM33=0),1000000,IF($I33&gt;0,IF(1=$J33,IF(OR(AND(23=$I33+1,OR($K33&lt;&gt;'計算A'!$A$3,'計算A'!$A$4=0)),AND(23=$I33-1,OR(23&lt;&gt;'計算A'!$A$3,'計算A'!$A$4=0))),0,IF(23=$K33,200000,ABS(23-$K33)*100)),100000+ABS(1-$J33)*1000+230)+'計算A'!Z$5*50+IF(AND($E33=1,JM33=0),25,0),IF($F33&gt;0,INDEX('計算A'!Z$110:Z$114,$F33+1)+IF(AND($E33=1,JM33=0),1000,0),MIN(TU33,20)*400+(IF('計算A'!Y$106=1,1-DW33,0)+IF('計算A'!Z$106=1,1-DY33,0))*150+231+'計算A'!Z$5*100000+IF(AND($E33=1,JM33=0),50000,0))+IF($H33=1,(IF('計算A'!Y$117=1,INDEX('計算A'!Y$10:Y$54,$B33),0)+IF('計算A'!Z$117=1,INDEX('計算A'!AA$10:AA$54,$B33),0))*4000,0)-IF(AND('計算A'!Y$117=1,UW33&gt;0),2000,0)-IF(AND($L33=1,'計算A'!Z$117=1,DY33=0),2000,0))),1000000))</f>
        <v/>
      </c>
      <c r="PC33">
        <f>IF($B33=0,1000000,IF(INDEX('計算A'!$D$60:$EQ$104,$B33,24)*DY33=1,IF(AND($E33=2,JN33=0),1000000,IF($I33&gt;0,IF(1=$J33,IF(OR(AND(24=$I33+1,OR($K33&lt;&gt;'計算A'!$A$3,'計算A'!$A$4=0)),AND(24=$I33-1,OR(24&lt;&gt;'計算A'!$A$3,'計算A'!$A$4=0))),0,IF(24=$K33,200000,ABS(24-$K33)*100)),100000+ABS(1-$J33)*1000+240)+'計算A'!AA$5*50+IF(AND($E33=1,JN33=0),25,0),IF($F33&gt;0,INDEX('計算A'!AA$110:AA$114,$F33+1)+IF(AND($E33=1,JN33=0),1000,0),MIN(TU33,20)*400+(IF('計算A'!Z$106=1,1-DX33,0))*150+241+'計算A'!AA$5*100000+IF(AND($E33=1,JN33=0),50000,0))+IF($H33=1,(IF('計算A'!Z$117=1,INDEX('計算A'!Z$10:Z$54,$B33),0))*4000,0)-IF(AND('計算A'!Z$117=1,UX33&gt;0),2000,0))),1000000))</f>
        <v/>
      </c>
      <c r="PD33">
        <f>IF($B33=0,1000000,IF(INDEX('計算A'!$D$60:$EQ$104,$B33,25)*DZ33=1,IF(AND($E33=2,JO33=0),1000000,IF($I33&gt;0,IF(2=$J33,IF(OR(AND(25=$I33+1,OR($K33&lt;&gt;'計算A'!$A$3,'計算A'!$A$4=0)),AND(25=$I33-1,OR(1&lt;&gt;'計算A'!$A$3,'計算A'!$A$4=0))),0,IF(1=$K33,200000,ABS(1-$K33)*100)),100000+ABS(2-$J33)*1000+10)+'計算A'!AB$5*50+IF(AND($E33=1,JO33=0),25,0),IF($F33&gt;0,INDEX('計算A'!AB$110:AB$114,$F33+1)+IF(AND($E33=1,JO33=0),1000,0),MIN(TV33,20)*400+(IF('計算A'!AB$106=1,1-EA33,0))*150+12+'計算A'!AB$5*100000+IF(AND($E33=1,JO33=0),50000,0))+IF($H33=1,(IF('計算A'!AB$117=1,INDEX('計算A'!AC$10:AC$54,$B33),0))*4000,0)-IF(AND($L33=1,'計算A'!AB$117=1,EA33=0),2000,0))),1000000))</f>
        <v/>
      </c>
      <c r="PE33">
        <f>IF($B33=0,1000000,IF(INDEX('計算A'!$D$60:$EQ$104,$B33,26)*EA33=1,IF(AND($E33=2,JP33=0),1000000,IF($I33&gt;0,IF(2=$J33,IF(OR(AND(26=$I33+1,OR($K33&lt;&gt;'計算A'!$A$3,'計算A'!$A$4=0)),AND(26=$I33-1,OR(2&lt;&gt;'計算A'!$A$3,'計算A'!$A$4=0))),0,IF(2=$K33,200000,ABS(2-$K33)*100)),100000+ABS(2-$J33)*1000+20)+'計算A'!AC$5*50+IF(AND($E33=1,JP33=0),25,0),IF($F33&gt;0,INDEX('計算A'!AC$110:AC$114,$F33+1)+IF(AND($E33=1,JP33=0),1000,0),MIN(TV33,20)*400+(IF('計算A'!AB$106=1,1-DZ33,0)+IF('計算A'!AC$106=1,1-EB33,0))*150+22+'計算A'!AC$5*100000+IF(AND($E33=1,JP33=0),50000,0))+IF($H33=1,(IF('計算A'!AB$117=1,INDEX('計算A'!AB$10:AB$54,$B33),0)+IF('計算A'!AC$117=1,INDEX('計算A'!AD$10:AD$54,$B33),0))*4000,0)-IF(AND('計算A'!AB$117=1,UZ33&gt;0),2000,0)-IF(AND($L33=1,'計算A'!AC$117=1,EB33=0),2000,0))),1000000))</f>
        <v/>
      </c>
      <c r="PF33">
        <f>IF($B33=0,1000000,IF(INDEX('計算A'!$D$60:$EQ$104,$B33,27)*EB33=1,IF(AND($E33=2,JQ33=0),1000000,IF($I33&gt;0,IF(2=$J33,IF(OR(AND(27=$I33+1,OR($K33&lt;&gt;'計算A'!$A$3,'計算A'!$A$4=0)),AND(27=$I33-1,OR(3&lt;&gt;'計算A'!$A$3,'計算A'!$A$4=0))),0,IF(3=$K33,200000,ABS(3-$K33)*100)),100000+ABS(2-$J33)*1000+30)+'計算A'!AD$5*50+IF(AND($E33=1,JQ33=0),25,0),IF($F33&gt;0,INDEX('計算A'!AD$110:AD$114,$F33+1)+IF(AND($E33=1,JQ33=0),1000,0),MIN(TV33,20)*400+(IF('計算A'!AC$106=1,1-EA33,0)+IF('計算A'!AD$106=1,1-EC33,0))*150+32+'計算A'!AD$5*100000+IF(AND($E33=1,JQ33=0),50000,0))+IF($H33=1,(IF('計算A'!AC$117=1,INDEX('計算A'!AC$10:AC$54,$B33),0)+IF('計算A'!AD$117=1,INDEX('計算A'!AE$10:AE$54,$B33),0))*4000,0)-IF(AND('計算A'!AC$117=1,VA33&gt;0),2000,0)-IF(AND($L33=1,'計算A'!AD$117=1,EC33=0),2000,0))),1000000))</f>
        <v/>
      </c>
      <c r="PG33">
        <f>IF($B33=0,1000000,IF(INDEX('計算A'!$D$60:$EQ$104,$B33,28)*EC33=1,IF(AND($E33=2,JR33=0),1000000,IF($I33&gt;0,IF(2=$J33,IF(OR(AND(28=$I33+1,OR($K33&lt;&gt;'計算A'!$A$3,'計算A'!$A$4=0)),AND(28=$I33-1,OR(4&lt;&gt;'計算A'!$A$3,'計算A'!$A$4=0))),0,IF(4=$K33,200000,ABS(4-$K33)*100)),100000+ABS(2-$J33)*1000+40)+'計算A'!AE$5*50+IF(AND($E33=1,JR33=0),25,0),IF($F33&gt;0,INDEX('計算A'!AE$110:AE$114,$F33+1)+IF(AND($E33=1,JR33=0),1000,0),MIN(TV33,20)*400+(IF('計算A'!AD$106=1,1-EB33,0)+IF('計算A'!AE$106=1,1-ED33,0))*150+42+'計算A'!AE$5*100000+IF(AND($E33=1,JR33=0),50000,0))+IF($H33=1,(IF('計算A'!AD$117=1,INDEX('計算A'!AD$10:AD$54,$B33),0)+IF('計算A'!AE$117=1,INDEX('計算A'!AF$10:AF$54,$B33),0))*4000,0)-IF(AND('計算A'!AD$117=1,VB33&gt;0),2000,0)-IF(AND($L33=1,'計算A'!AE$117=1,ED33=0),2000,0))),1000000))</f>
        <v/>
      </c>
      <c r="PH33">
        <f>IF($B33=0,1000000,IF(INDEX('計算A'!$D$60:$EQ$104,$B33,29)*ED33=1,IF(AND($E33=2,JS33=0),1000000,IF($I33&gt;0,IF(2=$J33,IF(OR(AND(29=$I33+1,OR($K33&lt;&gt;'計算A'!$A$3,'計算A'!$A$4=0)),AND(29=$I33-1,OR(5&lt;&gt;'計算A'!$A$3,'計算A'!$A$4=0))),0,IF(5=$K33,200000,ABS(5-$K33)*100)),100000+ABS(2-$J33)*1000+50)+'計算A'!AF$5*50+IF(AND($E33=1,JS33=0),25,0),IF($F33&gt;0,INDEX('計算A'!AF$110:AF$114,$F33+1)+IF(AND($E33=1,JS33=0),1000,0),MIN(TV33,20)*400+(IF('計算A'!AE$106=1,1-EC33,0)+IF('計算A'!AF$106=1,1-EE33,0))*150+52+'計算A'!AF$5*100000+IF(AND($E33=1,JS33=0),50000,0))+IF($H33=1,(IF('計算A'!AE$117=1,INDEX('計算A'!AE$10:AE$54,$B33),0)+IF('計算A'!AF$117=1,INDEX('計算A'!AG$10:AG$54,$B33),0))*4000,0)-IF(AND('計算A'!AE$117=1,VC33&gt;0),2000,0)-IF(AND($L33=1,'計算A'!AF$117=1,EE33=0),2000,0))),1000000))</f>
        <v/>
      </c>
      <c r="PI33">
        <f>IF($B33=0,1000000,IF(INDEX('計算A'!$D$60:$EQ$104,$B33,30)*EE33=1,IF(AND($E33=2,JT33=0),1000000,IF($I33&gt;0,IF(2=$J33,IF(OR(AND(30=$I33+1,OR($K33&lt;&gt;'計算A'!$A$3,'計算A'!$A$4=0)),AND(30=$I33-1,OR(6&lt;&gt;'計算A'!$A$3,'計算A'!$A$4=0))),0,IF(6=$K33,200000,ABS(6-$K33)*100)),100000+ABS(2-$J33)*1000+60)+'計算A'!AG$5*50+IF(AND($E33=1,JT33=0),25,0),IF($F33&gt;0,INDEX('計算A'!AG$110:AG$114,$F33+1)+IF(AND($E33=1,JT33=0),1000,0),MIN(TV33,20)*400+(IF('計算A'!AF$106=1,1-ED33,0)+IF('計算A'!AG$106=1,1-EF33,0))*150+62+'計算A'!AG$5*100000+IF(AND($E33=1,JT33=0),50000,0))+IF($H33=1,(IF('計算A'!AF$117=1,INDEX('計算A'!AF$10:AF$54,$B33),0)+IF('計算A'!AG$117=1,INDEX('計算A'!AH$10:AH$54,$B33),0))*4000,0)-IF(AND('計算A'!AF$117=1,VD33&gt;0),2000,0)-IF(AND($L33=1,'計算A'!AG$117=1,EF33=0),2000,0))),1000000))</f>
        <v/>
      </c>
      <c r="PJ33">
        <f>IF($B33=0,1000000,IF(INDEX('計算A'!$D$60:$EQ$104,$B33,31)*EF33=1,IF(AND($E33=2,JU33=0),1000000,IF($I33&gt;0,IF(2=$J33,IF(OR(AND(31=$I33+1,OR($K33&lt;&gt;'計算A'!$A$3,'計算A'!$A$4=0)),AND(31=$I33-1,OR(7&lt;&gt;'計算A'!$A$3,'計算A'!$A$4=0))),0,IF(7=$K33,200000,ABS(7-$K33)*100)),100000+ABS(2-$J33)*1000+70)+'計算A'!AH$5*50+IF(AND($E33=1,JU33=0),25,0),IF($F33&gt;0,INDEX('計算A'!AH$110:AH$114,$F33+1)+IF(AND($E33=1,JU33=0),1000,0),MIN(TV33,20)*400+(IF('計算A'!AG$106=1,1-EE33,0)+IF('計算A'!AH$106=1,1-EG33,0))*150+72+'計算A'!AH$5*100000+IF(AND($E33=1,JU33=0),50000,0))+IF($H33=1,(IF('計算A'!AG$117=1,INDEX('計算A'!AG$10:AG$54,$B33),0)+IF('計算A'!AH$117=1,INDEX('計算A'!AI$10:AI$54,$B33),0))*4000,0)-IF(AND('計算A'!AG$117=1,VE33&gt;0),2000,0)-IF(AND($L33=1,'計算A'!AH$117=1,EG33=0),2000,0))),1000000))</f>
        <v/>
      </c>
      <c r="PK33">
        <f>IF($B33=0,1000000,IF(INDEX('計算A'!$D$60:$EQ$104,$B33,32)*EG33=1,IF(AND($E33=2,JV33=0),1000000,IF($I33&gt;0,IF(2=$J33,IF(OR(AND(32=$I33+1,OR($K33&lt;&gt;'計算A'!$A$3,'計算A'!$A$4=0)),AND(32=$I33-1,OR(8&lt;&gt;'計算A'!$A$3,'計算A'!$A$4=0))),0,IF(8=$K33,200000,ABS(8-$K33)*100)),100000+ABS(2-$J33)*1000+80)+'計算A'!AI$5*50+IF(AND($E33=1,JV33=0),25,0),IF($F33&gt;0,INDEX('計算A'!AI$110:AI$114,$F33+1)+IF(AND($E33=1,JV33=0),1000,0),MIN(TV33,20)*400+(IF('計算A'!AH$106=1,1-EF33,0)+IF('計算A'!AI$106=1,1-EH33,0))*150+82+'計算A'!AI$5*100000+IF(AND($E33=1,JV33=0),50000,0))+IF($H33=1,(IF('計算A'!AH$117=1,INDEX('計算A'!AH$10:AH$54,$B33),0)+IF('計算A'!AI$117=1,INDEX('計算A'!AJ$10:AJ$54,$B33),0))*4000,0)-IF(AND('計算A'!AH$117=1,VF33&gt;0),2000,0)-IF(AND($L33=1,'計算A'!AI$117=1,EH33=0),2000,0))),1000000))</f>
        <v/>
      </c>
      <c r="PL33">
        <f>IF($B33=0,1000000,IF(INDEX('計算A'!$D$60:$EQ$104,$B33,33)*EH33=1,IF(AND($E33=2,JW33=0),1000000,IF($I33&gt;0,IF(2=$J33,IF(OR(AND(33=$I33+1,OR($K33&lt;&gt;'計算A'!$A$3,'計算A'!$A$4=0)),AND(33=$I33-1,OR(9&lt;&gt;'計算A'!$A$3,'計算A'!$A$4=0))),0,IF(9=$K33,200000,ABS(9-$K33)*100)),100000+ABS(2-$J33)*1000+90)+'計算A'!AJ$5*50+IF(AND($E33=1,JW33=0),25,0),IF($F33&gt;0,INDEX('計算A'!AJ$110:AJ$114,$F33+1)+IF(AND($E33=1,JW33=0),1000,0),MIN(TV33,20)*400+(IF('計算A'!AI$106=1,1-EG33,0)+IF('計算A'!AJ$106=1,1-EI33,0))*150+92+'計算A'!AJ$5*100000+IF(AND($E33=1,JW33=0),50000,0))+IF($H33=1,(IF('計算A'!AI$117=1,INDEX('計算A'!AI$10:AI$54,$B33),0)+IF('計算A'!AJ$117=1,INDEX('計算A'!AK$10:AK$54,$B33),0))*4000,0)-IF(AND('計算A'!AI$117=1,VG33&gt;0),2000,0)-IF(AND($L33=1,'計算A'!AJ$117=1,EI33=0),2000,0))),1000000))</f>
        <v/>
      </c>
      <c r="PM33">
        <f>IF($B33=0,1000000,IF(INDEX('計算A'!$D$60:$EQ$104,$B33,34)*EI33=1,IF(AND($E33=2,JX33=0),1000000,IF($I33&gt;0,IF(2=$J33,IF(OR(AND(34=$I33+1,OR($K33&lt;&gt;'計算A'!$A$3,'計算A'!$A$4=0)),AND(34=$I33-1,OR(10&lt;&gt;'計算A'!$A$3,'計算A'!$A$4=0))),0,IF(10=$K33,200000,ABS(10-$K33)*100)),100000+ABS(2-$J33)*1000+100)+'計算A'!AK$5*50+IF(AND($E33=1,JX33=0),25,0),IF($F33&gt;0,INDEX('計算A'!AK$110:AK$114,$F33+1)+IF(AND($E33=1,JX33=0),1000,0),MIN(TV33,20)*400+(IF('計算A'!AJ$106=1,1-EH33,0)+IF('計算A'!AK$106=1,1-EJ33,0))*150+102+'計算A'!AK$5*100000+IF(AND($E33=1,JX33=0),50000,0))+IF($H33=1,(IF('計算A'!AJ$117=1,INDEX('計算A'!AJ$10:AJ$54,$B33),0)+IF('計算A'!AK$117=1,INDEX('計算A'!AL$10:AL$54,$B33),0))*4000,0)-IF(AND('計算A'!AJ$117=1,VH33&gt;0),2000,0)-IF(AND($L33=1,'計算A'!AK$117=1,EJ33=0),2000,0))),1000000))</f>
        <v/>
      </c>
      <c r="PN33">
        <f>IF($B33=0,1000000,IF(INDEX('計算A'!$D$60:$EQ$104,$B33,35)*EJ33=1,IF(AND($E33=2,JY33=0),1000000,IF($I33&gt;0,IF(2=$J33,IF(OR(AND(35=$I33+1,OR($K33&lt;&gt;'計算A'!$A$3,'計算A'!$A$4=0)),AND(35=$I33-1,OR(11&lt;&gt;'計算A'!$A$3,'計算A'!$A$4=0))),0,IF(11=$K33,200000,ABS(11-$K33)*100)),100000+ABS(2-$J33)*1000+110)+'計算A'!AL$5*50+IF(AND($E33=1,JY33=0),25,0),IF($F33&gt;0,INDEX('計算A'!AL$110:AL$114,$F33+1)+IF(AND($E33=1,JY33=0),1000,0),MIN(TV33,20)*400+(IF('計算A'!AK$106=1,1-EI33,0)+IF('計算A'!AL$106=1,1-EK33,0))*150+112+'計算A'!AL$5*100000+IF(AND($E33=1,JY33=0),50000,0))+IF($H33=1,(IF('計算A'!AK$117=1,INDEX('計算A'!AK$10:AK$54,$B33),0)+IF('計算A'!AL$117=1,INDEX('計算A'!AM$10:AM$54,$B33),0))*4000,0)-IF(AND('計算A'!AK$117=1,VI33&gt;0),2000,0)-IF(AND($L33=1,'計算A'!AL$117=1,EK33=0),2000,0))),1000000))</f>
        <v/>
      </c>
      <c r="PO33">
        <f>IF($B33=0,1000000,IF(INDEX('計算A'!$D$60:$EQ$104,$B33,36)*EK33=1,IF(AND($E33=2,JZ33=0),1000000,IF($I33&gt;0,IF(2=$J33,IF(OR(AND(36=$I33+1,OR($K33&lt;&gt;'計算A'!$A$3,'計算A'!$A$4=0)),AND(36=$I33-1,OR(12&lt;&gt;'計算A'!$A$3,'計算A'!$A$4=0))),0,IF(12=$K33,200000,ABS(12-$K33)*100)),100000+ABS(2-$J33)*1000+120)+'計算A'!AM$5*50+IF(AND($E33=1,JZ33=0),25,0),IF($F33&gt;0,INDEX('計算A'!AM$110:AM$114,$F33+1)+IF(AND($E33=1,JZ33=0),1000,0),MIN(TV33,20)*400+(IF('計算A'!AL$106=1,1-EJ33,0)+IF('計算A'!AM$106=1,1-EL33,0))*150+122+'計算A'!AM$5*100000+IF(AND($E33=1,JZ33=0),50000,0))+IF($H33=1,(IF('計算A'!AL$117=1,INDEX('計算A'!AL$10:AL$54,$B33),0)+IF('計算A'!AM$117=1,INDEX('計算A'!AN$10:AN$54,$B33),0))*4000,0)-IF(AND('計算A'!AL$117=1,VJ33&gt;0),2000,0)-IF(AND($L33=1,'計算A'!AM$117=1,EL33=0),2000,0))),1000000))</f>
        <v/>
      </c>
      <c r="PP33">
        <f>IF($B33=0,1000000,IF(INDEX('計算A'!$D$60:$EQ$104,$B33,37)*EL33=1,IF(AND($E33=2,KA33=0),1000000,IF($I33&gt;0,IF(2=$J33,IF(OR(AND(37=$I33+1,OR($K33&lt;&gt;'計算A'!$A$3,'計算A'!$A$4=0)),AND(37=$I33-1,OR(13&lt;&gt;'計算A'!$A$3,'計算A'!$A$4=0))),0,IF(13=$K33,200000,ABS(13-$K33)*100)),100000+ABS(2-$J33)*1000+130)+'計算A'!AN$5*50+IF(AND($E33=1,KA33=0),25,0),IF($F33&gt;0,INDEX('計算A'!AN$110:AN$114,$F33+1)+IF(AND($E33=1,KA33=0),1000,0),MIN(TV33,20)*400+(IF('計算A'!AM$106=1,1-EK33,0)+IF('計算A'!AN$106=1,1-EM33,0))*150+132+'計算A'!AN$5*100000+IF(AND($E33=1,KA33=0),50000,0))+IF($H33=1,(IF('計算A'!AM$117=1,INDEX('計算A'!AM$10:AM$54,$B33),0)+IF('計算A'!AN$117=1,INDEX('計算A'!AO$10:AO$54,$B33),0))*4000,0)-IF(AND('計算A'!AM$117=1,VK33&gt;0),2000,0)-IF(AND($L33=1,'計算A'!AN$117=1,EM33=0),2000,0))),1000000))</f>
        <v/>
      </c>
      <c r="PQ33">
        <f>IF($B33=0,1000000,IF(INDEX('計算A'!$D$60:$EQ$104,$B33,38)*EM33=1,IF(AND($E33=2,KB33=0),1000000,IF($I33&gt;0,IF(2=$J33,IF(OR(AND(38=$I33+1,OR($K33&lt;&gt;'計算A'!$A$3,'計算A'!$A$4=0)),AND(38=$I33-1,OR(14&lt;&gt;'計算A'!$A$3,'計算A'!$A$4=0))),0,IF(14=$K33,200000,ABS(14-$K33)*100)),100000+ABS(2-$J33)*1000+140)+'計算A'!AO$5*50+IF(AND($E33=1,KB33=0),25,0),IF($F33&gt;0,INDEX('計算A'!AO$110:AO$114,$F33+1)+IF(AND($E33=1,KB33=0),1000,0),MIN(TV33,20)*400+(IF('計算A'!AN$106=1,1-EL33,0)+IF('計算A'!AO$106=1,1-EN33,0))*150+142+'計算A'!AO$5*100000+IF(AND($E33=1,KB33=0),50000,0))+IF($H33=1,(IF('計算A'!AN$117=1,INDEX('計算A'!AN$10:AN$54,$B33),0)+IF('計算A'!AO$117=1,INDEX('計算A'!AP$10:AP$54,$B33),0))*4000,0)-IF(AND('計算A'!AN$117=1,VL33&gt;0),2000,0)-IF(AND($L33=1,'計算A'!AO$117=1,EN33=0),2000,0))),1000000))</f>
        <v/>
      </c>
      <c r="PR33">
        <f>IF($B33=0,1000000,IF(INDEX('計算A'!$D$60:$EQ$104,$B33,39)*EN33=1,IF(AND($E33=2,KC33=0),1000000,IF($I33&gt;0,IF(2=$J33,IF(OR(AND(39=$I33+1,OR($K33&lt;&gt;'計算A'!$A$3,'計算A'!$A$4=0)),AND(39=$I33-1,OR(15&lt;&gt;'計算A'!$A$3,'計算A'!$A$4=0))),0,IF(15=$K33,200000,ABS(15-$K33)*100)),100000+ABS(2-$J33)*1000+150)+'計算A'!AP$5*50+IF(AND($E33=1,KC33=0),25,0),IF($F33&gt;0,INDEX('計算A'!AP$110:AP$114,$F33+1)+IF(AND($E33=1,KC33=0),1000,0),MIN(TV33,20)*400+(IF('計算A'!AO$106=1,1-EM33,0)+IF('計算A'!AP$106=1,1-EO33,0))*150+152+'計算A'!AP$5*100000+IF(AND($E33=1,KC33=0),50000,0))+IF($H33=1,(IF('計算A'!AO$117=1,INDEX('計算A'!AO$10:AO$54,$B33),0)+IF('計算A'!AP$117=1,INDEX('計算A'!AQ$10:AQ$54,$B33),0))*4000,0)-IF(AND('計算A'!AO$117=1,VM33&gt;0),2000,0)-IF(AND($L33=1,'計算A'!AP$117=1,EO33=0),2000,0))),1000000))</f>
        <v/>
      </c>
      <c r="PS33">
        <f>IF($B33=0,1000000,IF(INDEX('計算A'!$D$60:$EQ$104,$B33,40)*EO33=1,IF(AND($E33=2,KD33=0),1000000,IF($I33&gt;0,IF(2=$J33,IF(OR(AND(40=$I33+1,OR($K33&lt;&gt;'計算A'!$A$3,'計算A'!$A$4=0)),AND(40=$I33-1,OR(16&lt;&gt;'計算A'!$A$3,'計算A'!$A$4=0))),0,IF(16=$K33,200000,ABS(16-$K33)*100)),100000+ABS(2-$J33)*1000+160)+'計算A'!AQ$5*50+IF(AND($E33=1,KD33=0),25,0),IF($F33&gt;0,INDEX('計算A'!AQ$110:AQ$114,$F33+1)+IF(AND($E33=1,KD33=0),1000,0),MIN(TV33,20)*400+(IF('計算A'!AP$106=1,1-EN33,0)+IF('計算A'!AQ$106=1,1-EP33,0))*150+162+'計算A'!AQ$5*100000+IF(AND($E33=1,KD33=0),50000,0))+IF($H33=1,(IF('計算A'!AP$117=1,INDEX('計算A'!AP$10:AP$54,$B33),0)+IF('計算A'!AQ$117=1,INDEX('計算A'!AR$10:AR$54,$B33),0))*4000,0)-IF(AND('計算A'!AP$117=1,VN33&gt;0),2000,0)-IF(AND($L33=1,'計算A'!AQ$117=1,EP33=0),2000,0))),1000000))</f>
        <v/>
      </c>
      <c r="PT33">
        <f>IF($B33=0,1000000,IF(INDEX('計算A'!$D$60:$EQ$104,$B33,41)*EP33=1,IF(AND($E33=2,KE33=0),1000000,IF($I33&gt;0,IF(2=$J33,IF(OR(AND(41=$I33+1,OR($K33&lt;&gt;'計算A'!$A$3,'計算A'!$A$4=0)),AND(41=$I33-1,OR(17&lt;&gt;'計算A'!$A$3,'計算A'!$A$4=0))),0,IF(17=$K33,200000,ABS(17-$K33)*100)),100000+ABS(2-$J33)*1000+170)+'計算A'!AR$5*50+IF(AND($E33=1,KE33=0),25,0),IF($F33&gt;0,INDEX('計算A'!AR$110:AR$114,$F33+1)+IF(AND($E33=1,KE33=0),1000,0),MIN(TV33,20)*400+(IF('計算A'!AQ$106=1,1-EO33,0)+IF('計算A'!AR$106=1,1-EQ33,0))*150+172+'計算A'!AR$5*100000+IF(AND($E33=1,KE33=0),50000,0))+IF($H33=1,(IF('計算A'!AQ$117=1,INDEX('計算A'!AQ$10:AQ$54,$B33),0)+IF('計算A'!AR$117=1,INDEX('計算A'!AS$10:AS$54,$B33),0))*4000,0)-IF(AND('計算A'!AQ$117=1,VO33&gt;0),2000,0)-IF(AND($L33=1,'計算A'!AR$117=1,EQ33=0),2000,0))),1000000))</f>
        <v/>
      </c>
      <c r="PU33">
        <f>IF($B33=0,1000000,IF(INDEX('計算A'!$D$60:$EQ$104,$B33,42)*EQ33=1,IF(AND($E33=2,KF33=0),1000000,IF($I33&gt;0,IF(2=$J33,IF(OR(AND(42=$I33+1,OR($K33&lt;&gt;'計算A'!$A$3,'計算A'!$A$4=0)),AND(42=$I33-1,OR(18&lt;&gt;'計算A'!$A$3,'計算A'!$A$4=0))),0,IF(18=$K33,200000,ABS(18-$K33)*100)),100000+ABS(2-$J33)*1000+180)+'計算A'!AS$5*50+IF(AND($E33=1,KF33=0),25,0),IF($F33&gt;0,INDEX('計算A'!AS$110:AS$114,$F33+1)+IF(AND($E33=1,KF33=0),1000,0),MIN(TV33,20)*400+(IF('計算A'!AR$106=1,1-EP33,0)+IF('計算A'!AS$106=1,1-ER33,0))*150+182+'計算A'!AS$5*100000+IF(AND($E33=1,KF33=0),50000,0))+IF($H33=1,(IF('計算A'!AR$117=1,INDEX('計算A'!AR$10:AR$54,$B33),0)+IF('計算A'!AS$117=1,INDEX('計算A'!AT$10:AT$54,$B33),0))*4000,0)-IF(AND('計算A'!AR$117=1,VP33&gt;0),2000,0)-IF(AND($L33=1,'計算A'!AS$117=1,ER33=0),2000,0))),1000000))</f>
        <v/>
      </c>
      <c r="PV33">
        <f>IF($B33=0,1000000,IF(INDEX('計算A'!$D$60:$EQ$104,$B33,43)*ER33=1,IF(AND($E33=2,KG33=0),1000000,IF($I33&gt;0,IF(2=$J33,IF(OR(AND(43=$I33+1,OR($K33&lt;&gt;'計算A'!$A$3,'計算A'!$A$4=0)),AND(43=$I33-1,OR(19&lt;&gt;'計算A'!$A$3,'計算A'!$A$4=0))),0,IF(19=$K33,200000,ABS(19-$K33)*100)),100000+ABS(2-$J33)*1000+190)+'計算A'!AT$5*50+IF(AND($E33=1,KG33=0),25,0),IF($F33&gt;0,INDEX('計算A'!AT$110:AT$114,$F33+1)+IF(AND($E33=1,KG33=0),1000,0),MIN(TV33,20)*400+(IF('計算A'!AS$106=1,1-EQ33,0)+IF('計算A'!AT$106=1,1-ES33,0))*150+192+'計算A'!AT$5*100000+IF(AND($E33=1,KG33=0),50000,0))+IF($H33=1,(IF('計算A'!AS$117=1,INDEX('計算A'!AS$10:AS$54,$B33),0)+IF('計算A'!AT$117=1,INDEX('計算A'!AU$10:AU$54,$B33),0))*4000,0)-IF(AND('計算A'!AS$117=1,VQ33&gt;0),2000,0)-IF(AND($L33=1,'計算A'!AT$117=1,ES33=0),2000,0))),1000000))</f>
        <v/>
      </c>
      <c r="PW33">
        <f>IF($B33=0,1000000,IF(INDEX('計算A'!$D$60:$EQ$104,$B33,44)*ES33=1,IF(AND($E33=2,KH33=0),1000000,IF($I33&gt;0,IF(2=$J33,IF(OR(AND(44=$I33+1,OR($K33&lt;&gt;'計算A'!$A$3,'計算A'!$A$4=0)),AND(44=$I33-1,OR(20&lt;&gt;'計算A'!$A$3,'計算A'!$A$4=0))),0,IF(20=$K33,200000,ABS(20-$K33)*100)),100000+ABS(2-$J33)*1000+200)+'計算A'!AU$5*50+IF(AND($E33=1,KH33=0),25,0),IF($F33&gt;0,INDEX('計算A'!AU$110:AU$114,$F33+1)+IF(AND($E33=1,KH33=0),1000,0),MIN(TV33,20)*400+(IF('計算A'!AT$106=1,1-ER33,0)+IF('計算A'!AU$106=1,1-ET33,0))*150+202+'計算A'!AU$5*100000+IF(AND($E33=1,KH33=0),50000,0))+IF($H33=1,(IF('計算A'!AT$117=1,INDEX('計算A'!AT$10:AT$54,$B33),0)+IF('計算A'!AU$117=1,INDEX('計算A'!AV$10:AV$54,$B33),0))*4000,0)-IF(AND('計算A'!AT$117=1,VR33&gt;0),2000,0)-IF(AND($L33=1,'計算A'!AU$117=1,ET33=0),2000,0))),1000000))</f>
        <v/>
      </c>
      <c r="PX33">
        <f>IF($B33=0,1000000,IF(INDEX('計算A'!$D$60:$EQ$104,$B33,45)*ET33=1,IF(AND($E33=2,KI33=0),1000000,IF($I33&gt;0,IF(2=$J33,IF(OR(AND(45=$I33+1,OR($K33&lt;&gt;'計算A'!$A$3,'計算A'!$A$4=0)),AND(45=$I33-1,OR(21&lt;&gt;'計算A'!$A$3,'計算A'!$A$4=0))),0,IF(21=$K33,200000,ABS(21-$K33)*100)),100000+ABS(2-$J33)*1000+210)+'計算A'!AV$5*50+IF(AND($E33=1,KI33=0),25,0),IF($F33&gt;0,INDEX('計算A'!AV$110:AV$114,$F33+1)+IF(AND($E33=1,KI33=0),1000,0),MIN(TV33,20)*400+(IF('計算A'!AU$106=1,1-ES33,0)+IF('計算A'!AV$106=1,1-EU33,0))*150+212+'計算A'!AV$5*100000+IF(AND($E33=1,KI33=0),50000,0))+IF($H33=1,(IF('計算A'!AU$117=1,INDEX('計算A'!AU$10:AU$54,$B33),0)+IF('計算A'!AV$117=1,INDEX('計算A'!AW$10:AW$54,$B33),0))*4000,0)-IF(AND('計算A'!AU$117=1,VS33&gt;0),2000,0)-IF(AND($L33=1,'計算A'!AV$117=1,EU33=0),2000,0))),1000000))</f>
        <v/>
      </c>
      <c r="PY33">
        <f>IF($B33=0,1000000,IF(INDEX('計算A'!$D$60:$EQ$104,$B33,46)*EU33=1,IF(AND($E33=2,KJ33=0),1000000,IF($I33&gt;0,IF(2=$J33,IF(OR(AND(46=$I33+1,OR($K33&lt;&gt;'計算A'!$A$3,'計算A'!$A$4=0)),AND(46=$I33-1,OR(22&lt;&gt;'計算A'!$A$3,'計算A'!$A$4=0))),0,IF(22=$K33,200000,ABS(22-$K33)*100)),100000+ABS(2-$J33)*1000+220)+'計算A'!AW$5*50+IF(AND($E33=1,KJ33=0),25,0),IF($F33&gt;0,INDEX('計算A'!AW$110:AW$114,$F33+1)+IF(AND($E33=1,KJ33=0),1000,0),MIN(TV33,20)*400+(IF('計算A'!AV$106=1,1-ET33,0)+IF('計算A'!AW$106=1,1-EV33,0))*150+222+'計算A'!AW$5*100000+IF(AND($E33=1,KJ33=0),50000,0))+IF($H33=1,(IF('計算A'!AV$117=1,INDEX('計算A'!AV$10:AV$54,$B33),0)+IF('計算A'!AW$117=1,INDEX('計算A'!AX$10:AX$54,$B33),0))*4000,0)-IF(AND('計算A'!AV$117=1,VT33&gt;0),2000,0)-IF(AND($L33=1,'計算A'!AW$117=1,EV33=0),2000,0))),1000000))</f>
        <v/>
      </c>
      <c r="PZ33">
        <f>IF($B33=0,1000000,IF(INDEX('計算A'!$D$60:$EQ$104,$B33,47)*EV33=1,IF(AND($E33=2,KK33=0),1000000,IF($I33&gt;0,IF(2=$J33,IF(OR(AND(47=$I33+1,OR($K33&lt;&gt;'計算A'!$A$3,'計算A'!$A$4=0)),AND(47=$I33-1,OR(23&lt;&gt;'計算A'!$A$3,'計算A'!$A$4=0))),0,IF(23=$K33,200000,ABS(23-$K33)*100)),100000+ABS(2-$J33)*1000+230)+'計算A'!AX$5*50+IF(AND($E33=1,KK33=0),25,0),IF($F33&gt;0,INDEX('計算A'!AX$110:AX$114,$F33+1)+IF(AND($E33=1,KK33=0),1000,0),MIN(TV33,20)*400+(IF('計算A'!AW$106=1,1-EU33,0)+IF('計算A'!AX$106=1,1-EW33,0))*150+232+'計算A'!AX$5*100000+IF(AND($E33=1,KK33=0),50000,0))+IF($H33=1,(IF('計算A'!AW$117=1,INDEX('計算A'!AW$10:AW$54,$B33),0)+IF('計算A'!AX$117=1,INDEX('計算A'!AY$10:AY$54,$B33),0))*4000,0)-IF(AND('計算A'!AW$117=1,VU33&gt;0),2000,0)-IF(AND($L33=1,'計算A'!AX$117=1,EW33=0),2000,0))),1000000))</f>
        <v/>
      </c>
      <c r="QA33">
        <f>IF($B33=0,1000000,IF(INDEX('計算A'!$D$60:$EQ$104,$B33,48)*EW33=1,IF(AND($E33=2,KL33=0),1000000,IF($I33&gt;0,IF(2=$J33,IF(OR(AND(48=$I33+1,OR($K33&lt;&gt;'計算A'!$A$3,'計算A'!$A$4=0)),AND(48=$I33-1,OR(24&lt;&gt;'計算A'!$A$3,'計算A'!$A$4=0))),0,IF(24=$K33,200000,ABS(24-$K33)*100)),100000+ABS(2-$J33)*1000+240)+'計算A'!AY$5*50+IF(AND($E33=1,KL33=0),25,0),IF($F33&gt;0,INDEX('計算A'!AY$110:AY$114,$F33+1)+IF(AND($E33=1,KL33=0),1000,0),MIN(TV33,20)*400+(IF('計算A'!AX$106=1,1-EV33,0))*150+242+'計算A'!AY$5*100000+IF(AND($E33=1,KL33=0),50000,0))+IF($H33=1,(IF('計算A'!AX$117=1,INDEX('計算A'!AX$10:AX$54,$B33),0))*4000,0)-IF(AND('計算A'!AX$117=1,VV33&gt;0),2000,0))),1000000))</f>
        <v/>
      </c>
      <c r="QB33">
        <f>IF($B33=0,1000000,IF(INDEX('計算A'!$D$60:$EQ$104,$B33,49)*EX33=1,IF(AND($E33=2,KM33=0),1000000,IF($I33&gt;0,IF(3=$J33,IF(OR(AND(49=$I33+1,OR($K33&lt;&gt;'計算A'!$A$3,'計算A'!$A$4=0)),AND(49=$I33-1,OR(1&lt;&gt;'計算A'!$A$3,'計算A'!$A$4=0))),0,IF(1=$K33,200000,ABS(1-$K33)*100)),100000+ABS(3-$J33)*1000+10)+'計算A'!AZ$5*50+IF(AND($E33=1,KM33=0),25,0),IF($F33&gt;0,INDEX('計算A'!AZ$110:AZ$114,$F33+1)+IF(AND($E33=1,KM33=0),1000,0),MIN(TW33,20)*400+(IF('計算A'!AZ$106=1,1-EY33,0))*150+13+'計算A'!AZ$5*100000+IF(AND($E33=1,KM33=0),50000,0))+IF($H33=1,(IF('計算A'!AZ$117=1,INDEX('計算A'!BA$10:BA$54,$B33),0))*4000,0)-IF(AND($L33=1,'計算A'!AZ$117=1,EY33=0),2000,0))),1000000))</f>
        <v/>
      </c>
      <c r="QC33">
        <f>IF($B33=0,1000000,IF(INDEX('計算A'!$D$60:$EQ$104,$B33,50)*EY33=1,IF(AND($E33=2,KN33=0),1000000,IF($I33&gt;0,IF(3=$J33,IF(OR(AND(50=$I33+1,OR($K33&lt;&gt;'計算A'!$A$3,'計算A'!$A$4=0)),AND(50=$I33-1,OR(2&lt;&gt;'計算A'!$A$3,'計算A'!$A$4=0))),0,IF(2=$K33,200000,ABS(2-$K33)*100)),100000+ABS(3-$J33)*1000+20)+'計算A'!BA$5*50+IF(AND($E33=1,KN33=0),25,0),IF($F33&gt;0,INDEX('計算A'!BA$110:BA$114,$F33+1)+IF(AND($E33=1,KN33=0),1000,0),MIN(TW33,20)*400+(IF('計算A'!AZ$106=1,1-EX33,0)+IF('計算A'!BA$106=1,1-EZ33,0))*150+23+'計算A'!BA$5*100000+IF(AND($E33=1,KN33=0),50000,0))+IF($H33=1,(IF('計算A'!AZ$117=1,INDEX('計算A'!AZ$10:AZ$54,$B33),0)+IF('計算A'!BA$117=1,INDEX('計算A'!BB$10:BB$54,$B33),0))*4000,0)-IF(AND('計算A'!AZ$117=1,VX33&gt;0),2000,0)-IF(AND($L33=1,'計算A'!BA$117=1,EZ33=0),2000,0))),1000000))</f>
        <v/>
      </c>
      <c r="QD33">
        <f>IF($B33=0,1000000,IF(INDEX('計算A'!$D$60:$EQ$104,$B33,51)*EZ33=1,IF(AND($E33=2,KO33=0),1000000,IF($I33&gt;0,IF(3=$J33,IF(OR(AND(51=$I33+1,OR($K33&lt;&gt;'計算A'!$A$3,'計算A'!$A$4=0)),AND(51=$I33-1,OR(3&lt;&gt;'計算A'!$A$3,'計算A'!$A$4=0))),0,IF(3=$K33,200000,ABS(3-$K33)*100)),100000+ABS(3-$J33)*1000+30)+'計算A'!BB$5*50+IF(AND($E33=1,KO33=0),25,0),IF($F33&gt;0,INDEX('計算A'!BB$110:BB$114,$F33+1)+IF(AND($E33=1,KO33=0),1000,0),MIN(TW33,20)*400+(IF('計算A'!BA$106=1,1-EY33,0)+IF('計算A'!BB$106=1,1-FA33,0))*150+33+'計算A'!BB$5*100000+IF(AND($E33=1,KO33=0),50000,0))+IF($H33=1,(IF('計算A'!BA$117=1,INDEX('計算A'!BA$10:BA$54,$B33),0)+IF('計算A'!BB$117=1,INDEX('計算A'!BC$10:BC$54,$B33),0))*4000,0)-IF(AND('計算A'!BA$117=1,VY33&gt;0),2000,0)-IF(AND($L33=1,'計算A'!BB$117=1,FA33=0),2000,0))),1000000))</f>
        <v/>
      </c>
      <c r="QE33">
        <f>IF($B33=0,1000000,IF(INDEX('計算A'!$D$60:$EQ$104,$B33,52)*FA33=1,IF(AND($E33=2,KP33=0),1000000,IF($I33&gt;0,IF(3=$J33,IF(OR(AND(52=$I33+1,OR($K33&lt;&gt;'計算A'!$A$3,'計算A'!$A$4=0)),AND(52=$I33-1,OR(4&lt;&gt;'計算A'!$A$3,'計算A'!$A$4=0))),0,IF(4=$K33,200000,ABS(4-$K33)*100)),100000+ABS(3-$J33)*1000+40)+'計算A'!BC$5*50+IF(AND($E33=1,KP33=0),25,0),IF($F33&gt;0,INDEX('計算A'!BC$110:BC$114,$F33+1)+IF(AND($E33=1,KP33=0),1000,0),MIN(TW33,20)*400+(IF('計算A'!BB$106=1,1-EZ33,0)+IF('計算A'!BC$106=1,1-FB33,0))*150+43+'計算A'!BC$5*100000+IF(AND($E33=1,KP33=0),50000,0))+IF($H33=1,(IF('計算A'!BB$117=1,INDEX('計算A'!BB$10:BB$54,$B33),0)+IF('計算A'!BC$117=1,INDEX('計算A'!BD$10:BD$54,$B33),0))*4000,0)-IF(AND('計算A'!BB$117=1,VZ33&gt;0),2000,0)-IF(AND($L33=1,'計算A'!BC$117=1,FB33=0),2000,0))),1000000))</f>
        <v/>
      </c>
      <c r="QF33">
        <f>IF($B33=0,1000000,IF(INDEX('計算A'!$D$60:$EQ$104,$B33,53)*FB33=1,IF(AND($E33=2,KQ33=0),1000000,IF($I33&gt;0,IF(3=$J33,IF(OR(AND(53=$I33+1,OR($K33&lt;&gt;'計算A'!$A$3,'計算A'!$A$4=0)),AND(53=$I33-1,OR(5&lt;&gt;'計算A'!$A$3,'計算A'!$A$4=0))),0,IF(5=$K33,200000,ABS(5-$K33)*100)),100000+ABS(3-$J33)*1000+50)+'計算A'!BD$5*50+IF(AND($E33=1,KQ33=0),25,0),IF($F33&gt;0,INDEX('計算A'!BD$110:BD$114,$F33+1)+IF(AND($E33=1,KQ33=0),1000,0),MIN(TW33,20)*400+(IF('計算A'!BC$106=1,1-FA33,0)+IF('計算A'!BD$106=1,1-FC33,0))*150+53+'計算A'!BD$5*100000+IF(AND($E33=1,KQ33=0),50000,0))+IF($H33=1,(IF('計算A'!BC$117=1,INDEX('計算A'!BC$10:BC$54,$B33),0)+IF('計算A'!BD$117=1,INDEX('計算A'!BE$10:BE$54,$B33),0))*4000,0)-IF(AND('計算A'!BC$117=1,WA33&gt;0),2000,0)-IF(AND($L33=1,'計算A'!BD$117=1,FC33=0),2000,0))),1000000))</f>
        <v/>
      </c>
      <c r="QG33">
        <f>IF($B33=0,1000000,IF(INDEX('計算A'!$D$60:$EQ$104,$B33,54)*FC33=1,IF(AND($E33=2,KR33=0),1000000,IF($I33&gt;0,IF(3=$J33,IF(OR(AND(54=$I33+1,OR($K33&lt;&gt;'計算A'!$A$3,'計算A'!$A$4=0)),AND(54=$I33-1,OR(6&lt;&gt;'計算A'!$A$3,'計算A'!$A$4=0))),0,IF(6=$K33,200000,ABS(6-$K33)*100)),100000+ABS(3-$J33)*1000+60)+'計算A'!BE$5*50+IF(AND($E33=1,KR33=0),25,0),IF($F33&gt;0,INDEX('計算A'!BE$110:BE$114,$F33+1)+IF(AND($E33=1,KR33=0),1000,0),MIN(TW33,20)*400+(IF('計算A'!BD$106=1,1-FB33,0)+IF('計算A'!BE$106=1,1-FD33,0))*150+63+'計算A'!BE$5*100000+IF(AND($E33=1,KR33=0),50000,0))+IF($H33=1,(IF('計算A'!BD$117=1,INDEX('計算A'!BD$10:BD$54,$B33),0)+IF('計算A'!BE$117=1,INDEX('計算A'!BF$10:BF$54,$B33),0))*4000,0)-IF(AND('計算A'!BD$117=1,WB33&gt;0),2000,0)-IF(AND($L33=1,'計算A'!BE$117=1,FD33=0),2000,0))),1000000))</f>
        <v/>
      </c>
      <c r="QH33">
        <f>IF($B33=0,1000000,IF(INDEX('計算A'!$D$60:$EQ$104,$B33,55)*FD33=1,IF(AND($E33=2,KS33=0),1000000,IF($I33&gt;0,IF(3=$J33,IF(OR(AND(55=$I33+1,OR($K33&lt;&gt;'計算A'!$A$3,'計算A'!$A$4=0)),AND(55=$I33-1,OR(7&lt;&gt;'計算A'!$A$3,'計算A'!$A$4=0))),0,IF(7=$K33,200000,ABS(7-$K33)*100)),100000+ABS(3-$J33)*1000+70)+'計算A'!BF$5*50+IF(AND($E33=1,KS33=0),25,0),IF($F33&gt;0,INDEX('計算A'!BF$110:BF$114,$F33+1)+IF(AND($E33=1,KS33=0),1000,0),MIN(TW33,20)*400+(IF('計算A'!BE$106=1,1-FC33,0)+IF('計算A'!BF$106=1,1-FE33,0))*150+73+'計算A'!BF$5*100000+IF(AND($E33=1,KS33=0),50000,0))+IF($H33=1,(IF('計算A'!BE$117=1,INDEX('計算A'!BE$10:BE$54,$B33),0)+IF('計算A'!BF$117=1,INDEX('計算A'!BG$10:BG$54,$B33),0))*4000,0)-IF(AND('計算A'!BE$117=1,WC33&gt;0),2000,0)-IF(AND($L33=1,'計算A'!BF$117=1,FE33=0),2000,0))),1000000))</f>
        <v/>
      </c>
      <c r="QI33">
        <f>IF($B33=0,1000000,IF(INDEX('計算A'!$D$60:$EQ$104,$B33,56)*FE33=1,IF(AND($E33=2,KT33=0),1000000,IF($I33&gt;0,IF(3=$J33,IF(OR(AND(56=$I33+1,OR($K33&lt;&gt;'計算A'!$A$3,'計算A'!$A$4=0)),AND(56=$I33-1,OR(8&lt;&gt;'計算A'!$A$3,'計算A'!$A$4=0))),0,IF(8=$K33,200000,ABS(8-$K33)*100)),100000+ABS(3-$J33)*1000+80)+'計算A'!BG$5*50+IF(AND($E33=1,KT33=0),25,0),IF($F33&gt;0,INDEX('計算A'!BG$110:BG$114,$F33+1)+IF(AND($E33=1,KT33=0),1000,0),MIN(TW33,20)*400+(IF('計算A'!BF$106=1,1-FD33,0)+IF('計算A'!BG$106=1,1-FF33,0))*150+83+'計算A'!BG$5*100000+IF(AND($E33=1,KT33=0),50000,0))+IF($H33=1,(IF('計算A'!BF$117=1,INDEX('計算A'!BF$10:BF$54,$B33),0)+IF('計算A'!BG$117=1,INDEX('計算A'!BH$10:BH$54,$B33),0))*4000,0)-IF(AND('計算A'!BF$117=1,WD33&gt;0),2000,0)-IF(AND($L33=1,'計算A'!BG$117=1,FF33=0),2000,0))),1000000))</f>
        <v/>
      </c>
      <c r="QJ33">
        <f>IF($B33=0,1000000,IF(INDEX('計算A'!$D$60:$EQ$104,$B33,57)*FF33=1,IF(AND($E33=2,KU33=0),1000000,IF($I33&gt;0,IF(3=$J33,IF(OR(AND(57=$I33+1,OR($K33&lt;&gt;'計算A'!$A$3,'計算A'!$A$4=0)),AND(57=$I33-1,OR(9&lt;&gt;'計算A'!$A$3,'計算A'!$A$4=0))),0,IF(9=$K33,200000,ABS(9-$K33)*100)),100000+ABS(3-$J33)*1000+90)+'計算A'!BH$5*50+IF(AND($E33=1,KU33=0),25,0),IF($F33&gt;0,INDEX('計算A'!BH$110:BH$114,$F33+1)+IF(AND($E33=1,KU33=0),1000,0),MIN(TW33,20)*400+(IF('計算A'!BG$106=1,1-FE33,0)+IF('計算A'!BH$106=1,1-FG33,0))*150+93+'計算A'!BH$5*100000+IF(AND($E33=1,KU33=0),50000,0))+IF($H33=1,(IF('計算A'!BG$117=1,INDEX('計算A'!BG$10:BG$54,$B33),0)+IF('計算A'!BH$117=1,INDEX('計算A'!BI$10:BI$54,$B33),0))*4000,0)-IF(AND('計算A'!BG$117=1,WE33&gt;0),2000,0)-IF(AND($L33=1,'計算A'!BH$117=1,FG33=0),2000,0))),1000000))</f>
        <v/>
      </c>
      <c r="QK33">
        <f>IF($B33=0,1000000,IF(INDEX('計算A'!$D$60:$EQ$104,$B33,58)*FG33=1,IF(AND($E33=2,KV33=0),1000000,IF($I33&gt;0,IF(3=$J33,IF(OR(AND(58=$I33+1,OR($K33&lt;&gt;'計算A'!$A$3,'計算A'!$A$4=0)),AND(58=$I33-1,OR(10&lt;&gt;'計算A'!$A$3,'計算A'!$A$4=0))),0,IF(10=$K33,200000,ABS(10-$K33)*100)),100000+ABS(3-$J33)*1000+100)+'計算A'!BI$5*50+IF(AND($E33=1,KV33=0),25,0),IF($F33&gt;0,INDEX('計算A'!BI$110:BI$114,$F33+1)+IF(AND($E33=1,KV33=0),1000,0),MIN(TW33,20)*400+(IF('計算A'!BH$106=1,1-FF33,0)+IF('計算A'!BI$106=1,1-FH33,0))*150+103+'計算A'!BI$5*100000+IF(AND($E33=1,KV33=0),50000,0))+IF($H33=1,(IF('計算A'!BH$117=1,INDEX('計算A'!BH$10:BH$54,$B33),0)+IF('計算A'!BI$117=1,INDEX('計算A'!BJ$10:BJ$54,$B33),0))*4000,0)-IF(AND('計算A'!BH$117=1,WF33&gt;0),2000,0)-IF(AND($L33=1,'計算A'!BI$117=1,FH33=0),2000,0))),1000000))</f>
        <v/>
      </c>
      <c r="QL33">
        <f>IF($B33=0,1000000,IF(INDEX('計算A'!$D$60:$EQ$104,$B33,59)*FH33=1,IF(AND($E33=2,KW33=0),1000000,IF($I33&gt;0,IF(3=$J33,IF(OR(AND(59=$I33+1,OR($K33&lt;&gt;'計算A'!$A$3,'計算A'!$A$4=0)),AND(59=$I33-1,OR(11&lt;&gt;'計算A'!$A$3,'計算A'!$A$4=0))),0,IF(11=$K33,200000,ABS(11-$K33)*100)),100000+ABS(3-$J33)*1000+110)+'計算A'!BJ$5*50+IF(AND($E33=1,KW33=0),25,0),IF($F33&gt;0,INDEX('計算A'!BJ$110:BJ$114,$F33+1)+IF(AND($E33=1,KW33=0),1000,0),MIN(TW33,20)*400+(IF('計算A'!BI$106=1,1-FG33,0)+IF('計算A'!BJ$106=1,1-FI33,0))*150+113+'計算A'!BJ$5*100000+IF(AND($E33=1,KW33=0),50000,0))+IF($H33=1,(IF('計算A'!BI$117=1,INDEX('計算A'!BI$10:BI$54,$B33),0)+IF('計算A'!BJ$117=1,INDEX('計算A'!BK$10:BK$54,$B33),0))*4000,0)-IF(AND('計算A'!BI$117=1,WG33&gt;0),2000,0)-IF(AND($L33=1,'計算A'!BJ$117=1,FI33=0),2000,0))),1000000))</f>
        <v/>
      </c>
      <c r="QM33">
        <f>IF($B33=0,1000000,IF(INDEX('計算A'!$D$60:$EQ$104,$B33,60)*FI33=1,IF(AND($E33=2,KX33=0),1000000,IF($I33&gt;0,IF(3=$J33,IF(OR(AND(60=$I33+1,OR($K33&lt;&gt;'計算A'!$A$3,'計算A'!$A$4=0)),AND(60=$I33-1,OR(12&lt;&gt;'計算A'!$A$3,'計算A'!$A$4=0))),0,IF(12=$K33,200000,ABS(12-$K33)*100)),100000+ABS(3-$J33)*1000+120)+'計算A'!BK$5*50+IF(AND($E33=1,KX33=0),25,0),IF($F33&gt;0,INDEX('計算A'!BK$110:BK$114,$F33+1)+IF(AND($E33=1,KX33=0),1000,0),MIN(TW33,20)*400+(IF('計算A'!BJ$106=1,1-FH33,0)+IF('計算A'!BK$106=1,1-FJ33,0))*150+123+'計算A'!BK$5*100000+IF(AND($E33=1,KX33=0),50000,0))+IF($H33=1,(IF('計算A'!BJ$117=1,INDEX('計算A'!BJ$10:BJ$54,$B33),0)+IF('計算A'!BK$117=1,INDEX('計算A'!BL$10:BL$54,$B33),0))*4000,0)-IF(AND('計算A'!BJ$117=1,WH33&gt;0),2000,0)-IF(AND($L33=1,'計算A'!BK$117=1,FJ33=0),2000,0))),1000000))</f>
        <v/>
      </c>
      <c r="QN33">
        <f>IF($B33=0,1000000,IF(INDEX('計算A'!$D$60:$EQ$104,$B33,61)*FJ33=1,IF(AND($E33=2,KY33=0),1000000,IF($I33&gt;0,IF(3=$J33,IF(OR(AND(61=$I33+1,OR($K33&lt;&gt;'計算A'!$A$3,'計算A'!$A$4=0)),AND(61=$I33-1,OR(13&lt;&gt;'計算A'!$A$3,'計算A'!$A$4=0))),0,IF(13=$K33,200000,ABS(13-$K33)*100)),100000+ABS(3-$J33)*1000+130)+'計算A'!BL$5*50+IF(AND($E33=1,KY33=0),25,0),IF($F33&gt;0,INDEX('計算A'!BL$110:BL$114,$F33+1)+IF(AND($E33=1,KY33=0),1000,0),MIN(TW33,20)*400+(IF('計算A'!BK$106=1,1-FI33,0)+IF('計算A'!BL$106=1,1-FK33,0))*150+133+'計算A'!BL$5*100000+IF(AND($E33=1,KY33=0),50000,0))+IF($H33=1,(IF('計算A'!BK$117=1,INDEX('計算A'!BK$10:BK$54,$B33),0)+IF('計算A'!BL$117=1,INDEX('計算A'!BM$10:BM$54,$B33),0))*4000,0)-IF(AND('計算A'!BK$117=1,WI33&gt;0),2000,0)-IF(AND($L33=1,'計算A'!BL$117=1,FK33=0),2000,0))),1000000))</f>
        <v/>
      </c>
      <c r="QO33">
        <f>IF($B33=0,1000000,IF(INDEX('計算A'!$D$60:$EQ$104,$B33,62)*FK33=1,IF(AND($E33=2,KZ33=0),1000000,IF($I33&gt;0,IF(3=$J33,IF(OR(AND(62=$I33+1,OR($K33&lt;&gt;'計算A'!$A$3,'計算A'!$A$4=0)),AND(62=$I33-1,OR(14&lt;&gt;'計算A'!$A$3,'計算A'!$A$4=0))),0,IF(14=$K33,200000,ABS(14-$K33)*100)),100000+ABS(3-$J33)*1000+140)+'計算A'!BM$5*50+IF(AND($E33=1,KZ33=0),25,0),IF($F33&gt;0,INDEX('計算A'!BM$110:BM$114,$F33+1)+IF(AND($E33=1,KZ33=0),1000,0),MIN(TW33,20)*400+(IF('計算A'!BL$106=1,1-FJ33,0)+IF('計算A'!BM$106=1,1-FL33,0))*150+143+'計算A'!BM$5*100000+IF(AND($E33=1,KZ33=0),50000,0))+IF($H33=1,(IF('計算A'!BL$117=1,INDEX('計算A'!BL$10:BL$54,$B33),0)+IF('計算A'!BM$117=1,INDEX('計算A'!BN$10:BN$54,$B33),0))*4000,0)-IF(AND('計算A'!BL$117=1,WJ33&gt;0),2000,0)-IF(AND($L33=1,'計算A'!BM$117=1,FL33=0),2000,0))),1000000))</f>
        <v/>
      </c>
      <c r="QP33">
        <f>IF($B33=0,1000000,IF(INDEX('計算A'!$D$60:$EQ$104,$B33,63)*FL33=1,IF(AND($E33=2,LA33=0),1000000,IF($I33&gt;0,IF(3=$J33,IF(OR(AND(63=$I33+1,OR($K33&lt;&gt;'計算A'!$A$3,'計算A'!$A$4=0)),AND(63=$I33-1,OR(15&lt;&gt;'計算A'!$A$3,'計算A'!$A$4=0))),0,IF(15=$K33,200000,ABS(15-$K33)*100)),100000+ABS(3-$J33)*1000+150)+'計算A'!BN$5*50+IF(AND($E33=1,LA33=0),25,0),IF($F33&gt;0,INDEX('計算A'!BN$110:BN$114,$F33+1)+IF(AND($E33=1,LA33=0),1000,0),MIN(TW33,20)*400+(IF('計算A'!BM$106=1,1-FK33,0)+IF('計算A'!BN$106=1,1-FM33,0))*150+153+'計算A'!BN$5*100000+IF(AND($E33=1,LA33=0),50000,0))+IF($H33=1,(IF('計算A'!BM$117=1,INDEX('計算A'!BM$10:BM$54,$B33),0)+IF('計算A'!BN$117=1,INDEX('計算A'!BO$10:BO$54,$B33),0))*4000,0)-IF(AND('計算A'!BM$117=1,WK33&gt;0),2000,0)-IF(AND($L33=1,'計算A'!BN$117=1,FM33=0),2000,0))),1000000))</f>
        <v/>
      </c>
      <c r="QQ33">
        <f>IF($B33=0,1000000,IF(INDEX('計算A'!$D$60:$EQ$104,$B33,64)*FM33=1,IF(AND($E33=2,LB33=0),1000000,IF($I33&gt;0,IF(3=$J33,IF(OR(AND(64=$I33+1,OR($K33&lt;&gt;'計算A'!$A$3,'計算A'!$A$4=0)),AND(64=$I33-1,OR(16&lt;&gt;'計算A'!$A$3,'計算A'!$A$4=0))),0,IF(16=$K33,200000,ABS(16-$K33)*100)),100000+ABS(3-$J33)*1000+160)+'計算A'!BO$5*50+IF(AND($E33=1,LB33=0),25,0),IF($F33&gt;0,INDEX('計算A'!BO$110:BO$114,$F33+1)+IF(AND($E33=1,LB33=0),1000,0),MIN(TW33,20)*400+(IF('計算A'!BN$106=1,1-FL33,0)+IF('計算A'!BO$106=1,1-FN33,0))*150+163+'計算A'!BO$5*100000+IF(AND($E33=1,LB33=0),50000,0))+IF($H33=1,(IF('計算A'!BN$117=1,INDEX('計算A'!BN$10:BN$54,$B33),0)+IF('計算A'!BO$117=1,INDEX('計算A'!BP$10:BP$54,$B33),0))*4000,0)-IF(AND('計算A'!BN$117=1,WL33&gt;0),2000,0)-IF(AND($L33=1,'計算A'!BO$117=1,FN33=0),2000,0))),1000000))</f>
        <v/>
      </c>
      <c r="QR33">
        <f>IF($B33=0,1000000,IF(INDEX('計算A'!$D$60:$EQ$104,$B33,65)*FN33=1,IF(AND($E33=2,LC33=0),1000000,IF($I33&gt;0,IF(3=$J33,IF(OR(AND(65=$I33+1,OR($K33&lt;&gt;'計算A'!$A$3,'計算A'!$A$4=0)),AND(65=$I33-1,OR(17&lt;&gt;'計算A'!$A$3,'計算A'!$A$4=0))),0,IF(17=$K33,200000,ABS(17-$K33)*100)),100000+ABS(3-$J33)*1000+170)+'計算A'!BP$5*50+IF(AND($E33=1,LC33=0),25,0),IF($F33&gt;0,INDEX('計算A'!BP$110:BP$114,$F33+1)+IF(AND($E33=1,LC33=0),1000,0),MIN(TW33,20)*400+(IF('計算A'!BO$106=1,1-FM33,0)+IF('計算A'!BP$106=1,1-FO33,0))*150+173+'計算A'!BP$5*100000+IF(AND($E33=1,LC33=0),50000,0))+IF($H33=1,(IF('計算A'!BO$117=1,INDEX('計算A'!BO$10:BO$54,$B33),0)+IF('計算A'!BP$117=1,INDEX('計算A'!BQ$10:BQ$54,$B33),0))*4000,0)-IF(AND('計算A'!BO$117=1,WM33&gt;0),2000,0)-IF(AND($L33=1,'計算A'!BP$117=1,FO33=0),2000,0))),1000000))</f>
        <v/>
      </c>
      <c r="QS33">
        <f>IF($B33=0,1000000,IF(INDEX('計算A'!$D$60:$EQ$104,$B33,66)*FO33=1,IF(AND($E33=2,LD33=0),1000000,IF($I33&gt;0,IF(3=$J33,IF(OR(AND(66=$I33+1,OR($K33&lt;&gt;'計算A'!$A$3,'計算A'!$A$4=0)),AND(66=$I33-1,OR(18&lt;&gt;'計算A'!$A$3,'計算A'!$A$4=0))),0,IF(18=$K33,200000,ABS(18-$K33)*100)),100000+ABS(3-$J33)*1000+180)+'計算A'!BQ$5*50+IF(AND($E33=1,LD33=0),25,0),IF($F33&gt;0,INDEX('計算A'!BQ$110:BQ$114,$F33+1)+IF(AND($E33=1,LD33=0),1000,0),MIN(TW33,20)*400+(IF('計算A'!BP$106=1,1-FN33,0)+IF('計算A'!BQ$106=1,1-FP33,0))*150+183+'計算A'!BQ$5*100000+IF(AND($E33=1,LD33=0),50000,0))+IF($H33=1,(IF('計算A'!BP$117=1,INDEX('計算A'!BP$10:BP$54,$B33),0)+IF('計算A'!BQ$117=1,INDEX('計算A'!BR$10:BR$54,$B33),0))*4000,0)-IF(AND('計算A'!BP$117=1,WN33&gt;0),2000,0)-IF(AND($L33=1,'計算A'!BQ$117=1,FP33=0),2000,0))),1000000))</f>
        <v/>
      </c>
      <c r="QT33">
        <f>IF($B33=0,1000000,IF(INDEX('計算A'!$D$60:$EQ$104,$B33,67)*FP33=1,IF(AND($E33=2,LE33=0),1000000,IF($I33&gt;0,IF(3=$J33,IF(OR(AND(67=$I33+1,OR($K33&lt;&gt;'計算A'!$A$3,'計算A'!$A$4=0)),AND(67=$I33-1,OR(19&lt;&gt;'計算A'!$A$3,'計算A'!$A$4=0))),0,IF(19=$K33,200000,ABS(19-$K33)*100)),100000+ABS(3-$J33)*1000+190)+'計算A'!BR$5*50+IF(AND($E33=1,LE33=0),25,0),IF($F33&gt;0,INDEX('計算A'!BR$110:BR$114,$F33+1)+IF(AND($E33=1,LE33=0),1000,0),MIN(TW33,20)*400+(IF('計算A'!BQ$106=1,1-FO33,0)+IF('計算A'!BR$106=1,1-FQ33,0))*150+193+'計算A'!BR$5*100000+IF(AND($E33=1,LE33=0),50000,0))+IF($H33=1,(IF('計算A'!BQ$117=1,INDEX('計算A'!BQ$10:BQ$54,$B33),0)+IF('計算A'!BR$117=1,INDEX('計算A'!BS$10:BS$54,$B33),0))*4000,0)-IF(AND('計算A'!BQ$117=1,WO33&gt;0),2000,0)-IF(AND($L33=1,'計算A'!BR$117=1,FQ33=0),2000,0))),1000000))</f>
        <v/>
      </c>
      <c r="QU33">
        <f>IF($B33=0,1000000,IF(INDEX('計算A'!$D$60:$EQ$104,$B33,68)*FQ33=1,IF(AND($E33=2,LF33=0),1000000,IF($I33&gt;0,IF(3=$J33,IF(OR(AND(68=$I33+1,OR($K33&lt;&gt;'計算A'!$A$3,'計算A'!$A$4=0)),AND(68=$I33-1,OR(20&lt;&gt;'計算A'!$A$3,'計算A'!$A$4=0))),0,IF(20=$K33,200000,ABS(20-$K33)*100)),100000+ABS(3-$J33)*1000+200)+'計算A'!BS$5*50+IF(AND($E33=1,LF33=0),25,0),IF($F33&gt;0,INDEX('計算A'!BS$110:BS$114,$F33+1)+IF(AND($E33=1,LF33=0),1000,0),MIN(TW33,20)*400+(IF('計算A'!BR$106=1,1-FP33,0)+IF('計算A'!BS$106=1,1-FR33,0))*150+203+'計算A'!BS$5*100000+IF(AND($E33=1,LF33=0),50000,0))+IF($H33=1,(IF('計算A'!BR$117=1,INDEX('計算A'!BR$10:BR$54,$B33),0)+IF('計算A'!BS$117=1,INDEX('計算A'!BT$10:BT$54,$B33),0))*4000,0)-IF(AND('計算A'!BR$117=1,WP33&gt;0),2000,0)-IF(AND($L33=1,'計算A'!BS$117=1,FR33=0),2000,0))),1000000))</f>
        <v/>
      </c>
      <c r="QV33">
        <f>IF($B33=0,1000000,IF(INDEX('計算A'!$D$60:$EQ$104,$B33,69)*FR33=1,IF(AND($E33=2,LG33=0),1000000,IF($I33&gt;0,IF(3=$J33,IF(OR(AND(69=$I33+1,OR($K33&lt;&gt;'計算A'!$A$3,'計算A'!$A$4=0)),AND(69=$I33-1,OR(21&lt;&gt;'計算A'!$A$3,'計算A'!$A$4=0))),0,IF(21=$K33,200000,ABS(21-$K33)*100)),100000+ABS(3-$J33)*1000+210)+'計算A'!BT$5*50+IF(AND($E33=1,LG33=0),25,0),IF($F33&gt;0,INDEX('計算A'!BT$110:BT$114,$F33+1)+IF(AND($E33=1,LG33=0),1000,0),MIN(TW33,20)*400+(IF('計算A'!BS$106=1,1-FQ33,0)+IF('計算A'!BT$106=1,1-FS33,0))*150+213+'計算A'!BT$5*100000+IF(AND($E33=1,LG33=0),50000,0))+IF($H33=1,(IF('計算A'!BS$117=1,INDEX('計算A'!BS$10:BS$54,$B33),0)+IF('計算A'!BT$117=1,INDEX('計算A'!BU$10:BU$54,$B33),0))*4000,0)-IF(AND('計算A'!BS$117=1,WQ33&gt;0),2000,0)-IF(AND($L33=1,'計算A'!BT$117=1,FS33=0),2000,0))),1000000))</f>
        <v/>
      </c>
      <c r="QW33">
        <f>IF($B33=0,1000000,IF(INDEX('計算A'!$D$60:$EQ$104,$B33,70)*FS33=1,IF(AND($E33=2,LH33=0),1000000,IF($I33&gt;0,IF(3=$J33,IF(OR(AND(70=$I33+1,OR($K33&lt;&gt;'計算A'!$A$3,'計算A'!$A$4=0)),AND(70=$I33-1,OR(22&lt;&gt;'計算A'!$A$3,'計算A'!$A$4=0))),0,IF(22=$K33,200000,ABS(22-$K33)*100)),100000+ABS(3-$J33)*1000+220)+'計算A'!BU$5*50+IF(AND($E33=1,LH33=0),25,0),IF($F33&gt;0,INDEX('計算A'!BU$110:BU$114,$F33+1)+IF(AND($E33=1,LH33=0),1000,0),MIN(TW33,20)*400+(IF('計算A'!BT$106=1,1-FR33,0)+IF('計算A'!BU$106=1,1-FT33,0))*150+223+'計算A'!BU$5*100000+IF(AND($E33=1,LH33=0),50000,0))+IF($H33=1,(IF('計算A'!BT$117=1,INDEX('計算A'!BT$10:BT$54,$B33),0)+IF('計算A'!BU$117=1,INDEX('計算A'!BV$10:BV$54,$B33),0))*4000,0)-IF(AND('計算A'!BT$117=1,WR33&gt;0),2000,0)-IF(AND($L33=1,'計算A'!BU$117=1,FT33=0),2000,0))),1000000))</f>
        <v/>
      </c>
      <c r="QX33">
        <f>IF($B33=0,1000000,IF(INDEX('計算A'!$D$60:$EQ$104,$B33,71)*FT33=1,IF(AND($E33=2,LI33=0),1000000,IF($I33&gt;0,IF(3=$J33,IF(OR(AND(71=$I33+1,OR($K33&lt;&gt;'計算A'!$A$3,'計算A'!$A$4=0)),AND(71=$I33-1,OR(23&lt;&gt;'計算A'!$A$3,'計算A'!$A$4=0))),0,IF(23=$K33,200000,ABS(23-$K33)*100)),100000+ABS(3-$J33)*1000+230)+'計算A'!BV$5*50+IF(AND($E33=1,LI33=0),25,0),IF($F33&gt;0,INDEX('計算A'!BV$110:BV$114,$F33+1)+IF(AND($E33=1,LI33=0),1000,0),MIN(TW33,20)*400+(IF('計算A'!BU$106=1,1-FS33,0)+IF('計算A'!BV$106=1,1-FU33,0))*150+233+'計算A'!BV$5*100000+IF(AND($E33=1,LI33=0),50000,0))+IF($H33=1,(IF('計算A'!BU$117=1,INDEX('計算A'!BU$10:BU$54,$B33),0)+IF('計算A'!BV$117=1,INDEX('計算A'!BW$10:BW$54,$B33),0))*4000,0)-IF(AND('計算A'!BU$117=1,WS33&gt;0),2000,0)-IF(AND($L33=1,'計算A'!BV$117=1,FU33=0),2000,0))),1000000))</f>
        <v/>
      </c>
      <c r="QY33">
        <f>IF($B33=0,1000000,IF(INDEX('計算A'!$D$60:$EQ$104,$B33,72)*FU33=1,IF(AND($E33=2,LJ33=0),1000000,IF($I33&gt;0,IF(3=$J33,IF(OR(AND(72=$I33+1,OR($K33&lt;&gt;'計算A'!$A$3,'計算A'!$A$4=0)),AND(72=$I33-1,OR(24&lt;&gt;'計算A'!$A$3,'計算A'!$A$4=0))),0,IF(24=$K33,200000,ABS(24-$K33)*100)),100000+ABS(3-$J33)*1000+240)+'計算A'!BW$5*50+IF(AND($E33=1,LJ33=0),25,0),IF($F33&gt;0,INDEX('計算A'!BW$110:BW$114,$F33+1)+IF(AND($E33=1,LJ33=0),1000,0),MIN(TW33,20)*400+(IF('計算A'!BV$106=1,1-FT33,0))*150+243+'計算A'!BW$5*100000+IF(AND($E33=1,LJ33=0),50000,0))+IF($H33=1,(IF('計算A'!BV$117=1,INDEX('計算A'!BV$10:BV$54,$B33),0))*4000,0)-IF(AND('計算A'!BV$117=1,WT33&gt;0),2000,0))),1000000))</f>
        <v/>
      </c>
      <c r="QZ33">
        <f>IF($B33=0,1000000,IF(INDEX('計算A'!$D$60:$EQ$104,$B33,73)*FV33=1,IF(AND($E33=2,LK33=0),1000000,IF($I33&gt;0,IF(4=$J33,IF(OR(AND(73=$I33+1,OR($K33&lt;&gt;'計算A'!$A$3,'計算A'!$A$4=0)),AND(73=$I33-1,OR(1&lt;&gt;'計算A'!$A$3,'計算A'!$A$4=0))),0,IF(1=$K33,200000,ABS(1-$K33)*100)),100000+ABS(4-$J33)*1000+10)+'計算A'!BX$5*50+IF(AND($E33=1,LK33=0),25,0),IF($F33&gt;0,INDEX('計算A'!BX$110:BX$114,$F33+1)+IF(AND($E33=1,LK33=0),1000,0),MIN(TX33,20)*400+(IF('計算A'!BX$106=1,1-FW33,0))*150+14+'計算A'!BX$5*100000+IF(AND($E33=1,LK33=0),50000,0))+IF($H33=1,(IF('計算A'!BX$117=1,INDEX('計算A'!BY$10:BY$54,$B33),0))*4000,0)-IF(AND($L33=1,'計算A'!BX$117=1,FW33=0),2000,0))),1000000))</f>
        <v/>
      </c>
      <c r="RA33">
        <f>IF($B33=0,1000000,IF(INDEX('計算A'!$D$60:$EQ$104,$B33,74)*FW33=1,IF(AND($E33=2,LL33=0),1000000,IF($I33&gt;0,IF(4=$J33,IF(OR(AND(74=$I33+1,OR($K33&lt;&gt;'計算A'!$A$3,'計算A'!$A$4=0)),AND(74=$I33-1,OR(2&lt;&gt;'計算A'!$A$3,'計算A'!$A$4=0))),0,IF(2=$K33,200000,ABS(2-$K33)*100)),100000+ABS(4-$J33)*1000+20)+'計算A'!BY$5*50+IF(AND($E33=1,LL33=0),25,0),IF($F33&gt;0,INDEX('計算A'!BY$110:BY$114,$F33+1)+IF(AND($E33=1,LL33=0),1000,0),MIN(TX33,20)*400+(IF('計算A'!BX$106=1,1-FV33,0)+IF('計算A'!BY$106=1,1-FX33,0))*150+24+'計算A'!BY$5*100000+IF(AND($E33=1,LL33=0),50000,0))+IF($H33=1,(IF('計算A'!BX$117=1,INDEX('計算A'!BX$10:BX$54,$B33),0)+IF('計算A'!BY$117=1,INDEX('計算A'!BZ$10:BZ$54,$B33),0))*4000,0)-IF(AND('計算A'!BX$117=1,WV33&gt;0),2000,0)-IF(AND($L33=1,'計算A'!BY$117=1,FX33=0),2000,0))),1000000))</f>
        <v/>
      </c>
      <c r="RB33">
        <f>IF($B33=0,1000000,IF(INDEX('計算A'!$D$60:$EQ$104,$B33,75)*FX33=1,IF(AND($E33=2,LM33=0),1000000,IF($I33&gt;0,IF(4=$J33,IF(OR(AND(75=$I33+1,OR($K33&lt;&gt;'計算A'!$A$3,'計算A'!$A$4=0)),AND(75=$I33-1,OR(3&lt;&gt;'計算A'!$A$3,'計算A'!$A$4=0))),0,IF(3=$K33,200000,ABS(3-$K33)*100)),100000+ABS(4-$J33)*1000+30)+'計算A'!BZ$5*50+IF(AND($E33=1,LM33=0),25,0),IF($F33&gt;0,INDEX('計算A'!BZ$110:BZ$114,$F33+1)+IF(AND($E33=1,LM33=0),1000,0),MIN(TX33,20)*400+(IF('計算A'!BY$106=1,1-FW33,0)+IF('計算A'!BZ$106=1,1-FY33,0))*150+34+'計算A'!BZ$5*100000+IF(AND($E33=1,LM33=0),50000,0))+IF($H33=1,(IF('計算A'!BY$117=1,INDEX('計算A'!BY$10:BY$54,$B33),0)+IF('計算A'!BZ$117=1,INDEX('計算A'!CA$10:CA$54,$B33),0))*4000,0)-IF(AND('計算A'!BY$117=1,WW33&gt;0),2000,0)-IF(AND($L33=1,'計算A'!BZ$117=1,FY33=0),2000,0))),1000000))</f>
        <v/>
      </c>
      <c r="RC33">
        <f>IF($B33=0,1000000,IF(INDEX('計算A'!$D$60:$EQ$104,$B33,76)*FY33=1,IF(AND($E33=2,LN33=0),1000000,IF($I33&gt;0,IF(4=$J33,IF(OR(AND(76=$I33+1,OR($K33&lt;&gt;'計算A'!$A$3,'計算A'!$A$4=0)),AND(76=$I33-1,OR(4&lt;&gt;'計算A'!$A$3,'計算A'!$A$4=0))),0,IF(4=$K33,200000,ABS(4-$K33)*100)),100000+ABS(4-$J33)*1000+40)+'計算A'!CA$5*50+IF(AND($E33=1,LN33=0),25,0),IF($F33&gt;0,INDEX('計算A'!CA$110:CA$114,$F33+1)+IF(AND($E33=1,LN33=0),1000,0),MIN(TX33,20)*400+(IF('計算A'!BZ$106=1,1-FX33,0)+IF('計算A'!CA$106=1,1-FZ33,0))*150+44+'計算A'!CA$5*100000+IF(AND($E33=1,LN33=0),50000,0))+IF($H33=1,(IF('計算A'!BZ$117=1,INDEX('計算A'!BZ$10:BZ$54,$B33),0)+IF('計算A'!CA$117=1,INDEX('計算A'!CB$10:CB$54,$B33),0))*4000,0)-IF(AND('計算A'!BZ$117=1,WX33&gt;0),2000,0)-IF(AND($L33=1,'計算A'!CA$117=1,FZ33=0),2000,0))),1000000))</f>
        <v/>
      </c>
      <c r="RD33">
        <f>IF($B33=0,1000000,IF(INDEX('計算A'!$D$60:$EQ$104,$B33,77)*FZ33=1,IF(AND($E33=2,LO33=0),1000000,IF($I33&gt;0,IF(4=$J33,IF(OR(AND(77=$I33+1,OR($K33&lt;&gt;'計算A'!$A$3,'計算A'!$A$4=0)),AND(77=$I33-1,OR(5&lt;&gt;'計算A'!$A$3,'計算A'!$A$4=0))),0,IF(5=$K33,200000,ABS(5-$K33)*100)),100000+ABS(4-$J33)*1000+50)+'計算A'!CB$5*50+IF(AND($E33=1,LO33=0),25,0),IF($F33&gt;0,INDEX('計算A'!CB$110:CB$114,$F33+1)+IF(AND($E33=1,LO33=0),1000,0),MIN(TX33,20)*400+(IF('計算A'!CA$106=1,1-FY33,0)+IF('計算A'!CB$106=1,1-GA33,0))*150+54+'計算A'!CB$5*100000+IF(AND($E33=1,LO33=0),50000,0))+IF($H33=1,(IF('計算A'!CA$117=1,INDEX('計算A'!CA$10:CA$54,$B33),0)+IF('計算A'!CB$117=1,INDEX('計算A'!CC$10:CC$54,$B33),0))*4000,0)-IF(AND('計算A'!CA$117=1,WY33&gt;0),2000,0)-IF(AND($L33=1,'計算A'!CB$117=1,GA33=0),2000,0))),1000000))</f>
        <v/>
      </c>
      <c r="RE33">
        <f>IF($B33=0,1000000,IF(INDEX('計算A'!$D$60:$EQ$104,$B33,78)*GA33=1,IF(AND($E33=2,LP33=0),1000000,IF($I33&gt;0,IF(4=$J33,IF(OR(AND(78=$I33+1,OR($K33&lt;&gt;'計算A'!$A$3,'計算A'!$A$4=0)),AND(78=$I33-1,OR(6&lt;&gt;'計算A'!$A$3,'計算A'!$A$4=0))),0,IF(6=$K33,200000,ABS(6-$K33)*100)),100000+ABS(4-$J33)*1000+60)+'計算A'!CC$5*50+IF(AND($E33=1,LP33=0),25,0),IF($F33&gt;0,INDEX('計算A'!CC$110:CC$114,$F33+1)+IF(AND($E33=1,LP33=0),1000,0),MIN(TX33,20)*400+(IF('計算A'!CB$106=1,1-FZ33,0)+IF('計算A'!CC$106=1,1-GB33,0))*150+64+'計算A'!CC$5*100000+IF(AND($E33=1,LP33=0),50000,0))+IF($H33=1,(IF('計算A'!CB$117=1,INDEX('計算A'!CB$10:CB$54,$B33),0)+IF('計算A'!CC$117=1,INDEX('計算A'!CD$10:CD$54,$B33),0))*4000,0)-IF(AND('計算A'!CB$117=1,WZ33&gt;0),2000,0)-IF(AND($L33=1,'計算A'!CC$117=1,GB33=0),2000,0))),1000000))</f>
        <v/>
      </c>
      <c r="RF33">
        <f>IF($B33=0,1000000,IF(INDEX('計算A'!$D$60:$EQ$104,$B33,79)*GB33=1,IF(AND($E33=2,LQ33=0),1000000,IF($I33&gt;0,IF(4=$J33,IF(OR(AND(79=$I33+1,OR($K33&lt;&gt;'計算A'!$A$3,'計算A'!$A$4=0)),AND(79=$I33-1,OR(7&lt;&gt;'計算A'!$A$3,'計算A'!$A$4=0))),0,IF(7=$K33,200000,ABS(7-$K33)*100)),100000+ABS(4-$J33)*1000+70)+'計算A'!CD$5*50+IF(AND($E33=1,LQ33=0),25,0),IF($F33&gt;0,INDEX('計算A'!CD$110:CD$114,$F33+1)+IF(AND($E33=1,LQ33=0),1000,0),MIN(TX33,20)*400+(IF('計算A'!CC$106=1,1-GA33,0)+IF('計算A'!CD$106=1,1-GC33,0))*150+74+'計算A'!CD$5*100000+IF(AND($E33=1,LQ33=0),50000,0))+IF($H33=1,(IF('計算A'!CC$117=1,INDEX('計算A'!CC$10:CC$54,$B33),0)+IF('計算A'!CD$117=1,INDEX('計算A'!CE$10:CE$54,$B33),0))*4000,0)-IF(AND('計算A'!CC$117=1,XA33&gt;0),2000,0)-IF(AND($L33=1,'計算A'!CD$117=1,GC33=0),2000,0))),1000000))</f>
        <v/>
      </c>
      <c r="RG33">
        <f>IF($B33=0,1000000,IF(INDEX('計算A'!$D$60:$EQ$104,$B33,80)*GC33=1,IF(AND($E33=2,LR33=0),1000000,IF($I33&gt;0,IF(4=$J33,IF(OR(AND(80=$I33+1,OR($K33&lt;&gt;'計算A'!$A$3,'計算A'!$A$4=0)),AND(80=$I33-1,OR(8&lt;&gt;'計算A'!$A$3,'計算A'!$A$4=0))),0,IF(8=$K33,200000,ABS(8-$K33)*100)),100000+ABS(4-$J33)*1000+80)+'計算A'!CE$5*50+IF(AND($E33=1,LR33=0),25,0),IF($F33&gt;0,INDEX('計算A'!CE$110:CE$114,$F33+1)+IF(AND($E33=1,LR33=0),1000,0),MIN(TX33,20)*400+(IF('計算A'!CD$106=1,1-GB33,0)+IF('計算A'!CE$106=1,1-GD33,0))*150+84+'計算A'!CE$5*100000+IF(AND($E33=1,LR33=0),50000,0))+IF($H33=1,(IF('計算A'!CD$117=1,INDEX('計算A'!CD$10:CD$54,$B33),0)+IF('計算A'!CE$117=1,INDEX('計算A'!CF$10:CF$54,$B33),0))*4000,0)-IF(AND('計算A'!CD$117=1,XB33&gt;0),2000,0)-IF(AND($L33=1,'計算A'!CE$117=1,GD33=0),2000,0))),1000000))</f>
        <v/>
      </c>
      <c r="RH33">
        <f>IF($B33=0,1000000,IF(INDEX('計算A'!$D$60:$EQ$104,$B33,81)*GD33=1,IF(AND($E33=2,LS33=0),1000000,IF($I33&gt;0,IF(4=$J33,IF(OR(AND(81=$I33+1,OR($K33&lt;&gt;'計算A'!$A$3,'計算A'!$A$4=0)),AND(81=$I33-1,OR(9&lt;&gt;'計算A'!$A$3,'計算A'!$A$4=0))),0,IF(9=$K33,200000,ABS(9-$K33)*100)),100000+ABS(4-$J33)*1000+90)+'計算A'!CF$5*50+IF(AND($E33=1,LS33=0),25,0),IF($F33&gt;0,INDEX('計算A'!CF$110:CF$114,$F33+1)+IF(AND($E33=1,LS33=0),1000,0),MIN(TX33,20)*400+(IF('計算A'!CE$106=1,1-GC33,0)+IF('計算A'!CF$106=1,1-GE33,0))*150+94+'計算A'!CF$5*100000+IF(AND($E33=1,LS33=0),50000,0))+IF($H33=1,(IF('計算A'!CE$117=1,INDEX('計算A'!CE$10:CE$54,$B33),0)+IF('計算A'!CF$117=1,INDEX('計算A'!CG$10:CG$54,$B33),0))*4000,0)-IF(AND('計算A'!CE$117=1,XC33&gt;0),2000,0)-IF(AND($L33=1,'計算A'!CF$117=1,GE33=0),2000,0))),1000000))</f>
        <v/>
      </c>
      <c r="RI33">
        <f>IF($B33=0,1000000,IF(INDEX('計算A'!$D$60:$EQ$104,$B33,82)*GE33=1,IF(AND($E33=2,LT33=0),1000000,IF($I33&gt;0,IF(4=$J33,IF(OR(AND(82=$I33+1,OR($K33&lt;&gt;'計算A'!$A$3,'計算A'!$A$4=0)),AND(82=$I33-1,OR(10&lt;&gt;'計算A'!$A$3,'計算A'!$A$4=0))),0,IF(10=$K33,200000,ABS(10-$K33)*100)),100000+ABS(4-$J33)*1000+100)+'計算A'!CG$5*50+IF(AND($E33=1,LT33=0),25,0),IF($F33&gt;0,INDEX('計算A'!CG$110:CG$114,$F33+1)+IF(AND($E33=1,LT33=0),1000,0),MIN(TX33,20)*400+(IF('計算A'!CF$106=1,1-GD33,0)+IF('計算A'!CG$106=1,1-GF33,0))*150+104+'計算A'!CG$5*100000+IF(AND($E33=1,LT33=0),50000,0))+IF($H33=1,(IF('計算A'!CF$117=1,INDEX('計算A'!CF$10:CF$54,$B33),0)+IF('計算A'!CG$117=1,INDEX('計算A'!CH$10:CH$54,$B33),0))*4000,0)-IF(AND('計算A'!CF$117=1,XD33&gt;0),2000,0)-IF(AND($L33=1,'計算A'!CG$117=1,GF33=0),2000,0))),1000000))</f>
        <v/>
      </c>
      <c r="RJ33">
        <f>IF($B33=0,1000000,IF(INDEX('計算A'!$D$60:$EQ$104,$B33,83)*GF33=1,IF(AND($E33=2,LU33=0),1000000,IF($I33&gt;0,IF(4=$J33,IF(OR(AND(83=$I33+1,OR($K33&lt;&gt;'計算A'!$A$3,'計算A'!$A$4=0)),AND(83=$I33-1,OR(11&lt;&gt;'計算A'!$A$3,'計算A'!$A$4=0))),0,IF(11=$K33,200000,ABS(11-$K33)*100)),100000+ABS(4-$J33)*1000+110)+'計算A'!CH$5*50+IF(AND($E33=1,LU33=0),25,0),IF($F33&gt;0,INDEX('計算A'!CH$110:CH$114,$F33+1)+IF(AND($E33=1,LU33=0),1000,0),MIN(TX33,20)*400+(IF('計算A'!CG$106=1,1-GE33,0)+IF('計算A'!CH$106=1,1-GG33,0))*150+114+'計算A'!CH$5*100000+IF(AND($E33=1,LU33=0),50000,0))+IF($H33=1,(IF('計算A'!CG$117=1,INDEX('計算A'!CG$10:CG$54,$B33),0)+IF('計算A'!CH$117=1,INDEX('計算A'!CI$10:CI$54,$B33),0))*4000,0)-IF(AND('計算A'!CG$117=1,XE33&gt;0),2000,0)-IF(AND($L33=1,'計算A'!CH$117=1,GG33=0),2000,0))),1000000))</f>
        <v/>
      </c>
      <c r="RK33">
        <f>IF($B33=0,1000000,IF(INDEX('計算A'!$D$60:$EQ$104,$B33,84)*GG33=1,IF(AND($E33=2,LV33=0),1000000,IF($I33&gt;0,IF(4=$J33,IF(OR(AND(84=$I33+1,OR($K33&lt;&gt;'計算A'!$A$3,'計算A'!$A$4=0)),AND(84=$I33-1,OR(12&lt;&gt;'計算A'!$A$3,'計算A'!$A$4=0))),0,IF(12=$K33,200000,ABS(12-$K33)*100)),100000+ABS(4-$J33)*1000+120)+'計算A'!CI$5*50+IF(AND($E33=1,LV33=0),25,0),IF($F33&gt;0,INDEX('計算A'!CI$110:CI$114,$F33+1)+IF(AND($E33=1,LV33=0),1000,0),MIN(TX33,20)*400+(IF('計算A'!CH$106=1,1-GF33,0)+IF('計算A'!CI$106=1,1-GH33,0))*150+124+'計算A'!CI$5*100000+IF(AND($E33=1,LV33=0),50000,0))+IF($H33=1,(IF('計算A'!CH$117=1,INDEX('計算A'!CH$10:CH$54,$B33),0)+IF('計算A'!CI$117=1,INDEX('計算A'!CJ$10:CJ$54,$B33),0))*4000,0)-IF(AND('計算A'!CH$117=1,XF33&gt;0),2000,0)-IF(AND($L33=1,'計算A'!CI$117=1,GH33=0),2000,0))),1000000))</f>
        <v/>
      </c>
      <c r="RL33">
        <f>IF($B33=0,1000000,IF(INDEX('計算A'!$D$60:$EQ$104,$B33,85)*GH33=1,IF(AND($E33=2,LW33=0),1000000,IF($I33&gt;0,IF(4=$J33,IF(OR(AND(85=$I33+1,OR($K33&lt;&gt;'計算A'!$A$3,'計算A'!$A$4=0)),AND(85=$I33-1,OR(13&lt;&gt;'計算A'!$A$3,'計算A'!$A$4=0))),0,IF(13=$K33,200000,ABS(13-$K33)*100)),100000+ABS(4-$J33)*1000+130)+'計算A'!CJ$5*50+IF(AND($E33=1,LW33=0),25,0),IF($F33&gt;0,INDEX('計算A'!CJ$110:CJ$114,$F33+1)+IF(AND($E33=1,LW33=0),1000,0),MIN(TX33,20)*400+(IF('計算A'!CI$106=1,1-GG33,0)+IF('計算A'!CJ$106=1,1-GI33,0))*150+134+'計算A'!CJ$5*100000+IF(AND($E33=1,LW33=0),50000,0))+IF($H33=1,(IF('計算A'!CI$117=1,INDEX('計算A'!CI$10:CI$54,$B33),0)+IF('計算A'!CJ$117=1,INDEX('計算A'!CK$10:CK$54,$B33),0))*4000,0)-IF(AND('計算A'!CI$117=1,XG33&gt;0),2000,0)-IF(AND($L33=1,'計算A'!CJ$117=1,GI33=0),2000,0))),1000000))</f>
        <v/>
      </c>
      <c r="RM33">
        <f>IF($B33=0,1000000,IF(INDEX('計算A'!$D$60:$EQ$104,$B33,86)*GI33=1,IF(AND($E33=2,LX33=0),1000000,IF($I33&gt;0,IF(4=$J33,IF(OR(AND(86=$I33+1,OR($K33&lt;&gt;'計算A'!$A$3,'計算A'!$A$4=0)),AND(86=$I33-1,OR(14&lt;&gt;'計算A'!$A$3,'計算A'!$A$4=0))),0,IF(14=$K33,200000,ABS(14-$K33)*100)),100000+ABS(4-$J33)*1000+140)+'計算A'!CK$5*50+IF(AND($E33=1,LX33=0),25,0),IF($F33&gt;0,INDEX('計算A'!CK$110:CK$114,$F33+1)+IF(AND($E33=1,LX33=0),1000,0),MIN(TX33,20)*400+(IF('計算A'!CJ$106=1,1-GH33,0)+IF('計算A'!CK$106=1,1-GJ33,0))*150+144+'計算A'!CK$5*100000+IF(AND($E33=1,LX33=0),50000,0))+IF($H33=1,(IF('計算A'!CJ$117=1,INDEX('計算A'!CJ$10:CJ$54,$B33),0)+IF('計算A'!CK$117=1,INDEX('計算A'!CL$10:CL$54,$B33),0))*4000,0)-IF(AND('計算A'!CJ$117=1,XH33&gt;0),2000,0)-IF(AND($L33=1,'計算A'!CK$117=1,GJ33=0),2000,0))),1000000))</f>
        <v/>
      </c>
      <c r="RN33">
        <f>IF($B33=0,1000000,IF(INDEX('計算A'!$D$60:$EQ$104,$B33,87)*GJ33=1,IF(AND($E33=2,LY33=0),1000000,IF($I33&gt;0,IF(4=$J33,IF(OR(AND(87=$I33+1,OR($K33&lt;&gt;'計算A'!$A$3,'計算A'!$A$4=0)),AND(87=$I33-1,OR(15&lt;&gt;'計算A'!$A$3,'計算A'!$A$4=0))),0,IF(15=$K33,200000,ABS(15-$K33)*100)),100000+ABS(4-$J33)*1000+150)+'計算A'!CL$5*50+IF(AND($E33=1,LY33=0),25,0),IF($F33&gt;0,INDEX('計算A'!CL$110:CL$114,$F33+1)+IF(AND($E33=1,LY33=0),1000,0),MIN(TX33,20)*400+(IF('計算A'!CK$106=1,1-GI33,0)+IF('計算A'!CL$106=1,1-GK33,0))*150+154+'計算A'!CL$5*100000+IF(AND($E33=1,LY33=0),50000,0))+IF($H33=1,(IF('計算A'!CK$117=1,INDEX('計算A'!CK$10:CK$54,$B33),0)+IF('計算A'!CL$117=1,INDEX('計算A'!CM$10:CM$54,$B33),0))*4000,0)-IF(AND('計算A'!CK$117=1,XI33&gt;0),2000,0)-IF(AND($L33=1,'計算A'!CL$117=1,GK33=0),2000,0))),1000000))</f>
        <v/>
      </c>
      <c r="RO33">
        <f>IF($B33=0,1000000,IF(INDEX('計算A'!$D$60:$EQ$104,$B33,88)*GK33=1,IF(AND($E33=2,LZ33=0),1000000,IF($I33&gt;0,IF(4=$J33,IF(OR(AND(88=$I33+1,OR($K33&lt;&gt;'計算A'!$A$3,'計算A'!$A$4=0)),AND(88=$I33-1,OR(16&lt;&gt;'計算A'!$A$3,'計算A'!$A$4=0))),0,IF(16=$K33,200000,ABS(16-$K33)*100)),100000+ABS(4-$J33)*1000+160)+'計算A'!CM$5*50+IF(AND($E33=1,LZ33=0),25,0),IF($F33&gt;0,INDEX('計算A'!CM$110:CM$114,$F33+1)+IF(AND($E33=1,LZ33=0),1000,0),MIN(TX33,20)*400+(IF('計算A'!CL$106=1,1-GJ33,0)+IF('計算A'!CM$106=1,1-GL33,0))*150+164+'計算A'!CM$5*100000+IF(AND($E33=1,LZ33=0),50000,0))+IF($H33=1,(IF('計算A'!CL$117=1,INDEX('計算A'!CL$10:CL$54,$B33),0)+IF('計算A'!CM$117=1,INDEX('計算A'!CN$10:CN$54,$B33),0))*4000,0)-IF(AND('計算A'!CL$117=1,XJ33&gt;0),2000,0)-IF(AND($L33=1,'計算A'!CM$117=1,GL33=0),2000,0))),1000000))</f>
        <v/>
      </c>
      <c r="RP33">
        <f>IF($B33=0,1000000,IF(INDEX('計算A'!$D$60:$EQ$104,$B33,89)*GL33=1,IF(AND($E33=2,MA33=0),1000000,IF($I33&gt;0,IF(4=$J33,IF(OR(AND(89=$I33+1,OR($K33&lt;&gt;'計算A'!$A$3,'計算A'!$A$4=0)),AND(89=$I33-1,OR(17&lt;&gt;'計算A'!$A$3,'計算A'!$A$4=0))),0,IF(17=$K33,200000,ABS(17-$K33)*100)),100000+ABS(4-$J33)*1000+170)+'計算A'!CN$5*50+IF(AND($E33=1,MA33=0),25,0),IF($F33&gt;0,INDEX('計算A'!CN$110:CN$114,$F33+1)+IF(AND($E33=1,MA33=0),1000,0),MIN(TX33,20)*400+(IF('計算A'!CM$106=1,1-GK33,0)+IF('計算A'!CN$106=1,1-GM33,0))*150+174+'計算A'!CN$5*100000+IF(AND($E33=1,MA33=0),50000,0))+IF($H33=1,(IF('計算A'!CM$117=1,INDEX('計算A'!CM$10:CM$54,$B33),0)+IF('計算A'!CN$117=1,INDEX('計算A'!CO$10:CO$54,$B33),0))*4000,0)-IF(AND('計算A'!CM$117=1,XK33&gt;0),2000,0)-IF(AND($L33=1,'計算A'!CN$117=1,GM33=0),2000,0))),1000000))</f>
        <v/>
      </c>
      <c r="RQ33">
        <f>IF($B33=0,1000000,IF(INDEX('計算A'!$D$60:$EQ$104,$B33,90)*GM33=1,IF(AND($E33=2,MB33=0),1000000,IF($I33&gt;0,IF(4=$J33,IF(OR(AND(90=$I33+1,OR($K33&lt;&gt;'計算A'!$A$3,'計算A'!$A$4=0)),AND(90=$I33-1,OR(18&lt;&gt;'計算A'!$A$3,'計算A'!$A$4=0))),0,IF(18=$K33,200000,ABS(18-$K33)*100)),100000+ABS(4-$J33)*1000+180)+'計算A'!CO$5*50+IF(AND($E33=1,MB33=0),25,0),IF($F33&gt;0,INDEX('計算A'!CO$110:CO$114,$F33+1)+IF(AND($E33=1,MB33=0),1000,0),MIN(TX33,20)*400+(IF('計算A'!CN$106=1,1-GL33,0)+IF('計算A'!CO$106=1,1-GN33,0))*150+184+'計算A'!CO$5*100000+IF(AND($E33=1,MB33=0),50000,0))+IF($H33=1,(IF('計算A'!CN$117=1,INDEX('計算A'!CN$10:CN$54,$B33),0)+IF('計算A'!CO$117=1,INDEX('計算A'!CP$10:CP$54,$B33),0))*4000,0)-IF(AND('計算A'!CN$117=1,XL33&gt;0),2000,0)-IF(AND($L33=1,'計算A'!CO$117=1,GN33=0),2000,0))),1000000))</f>
        <v/>
      </c>
      <c r="RR33">
        <f>IF($B33=0,1000000,IF(INDEX('計算A'!$D$60:$EQ$104,$B33,91)*GN33=1,IF(AND($E33=2,MC33=0),1000000,IF($I33&gt;0,IF(4=$J33,IF(OR(AND(91=$I33+1,OR($K33&lt;&gt;'計算A'!$A$3,'計算A'!$A$4=0)),AND(91=$I33-1,OR(19&lt;&gt;'計算A'!$A$3,'計算A'!$A$4=0))),0,IF(19=$K33,200000,ABS(19-$K33)*100)),100000+ABS(4-$J33)*1000+190)+'計算A'!CP$5*50+IF(AND($E33=1,MC33=0),25,0),IF($F33&gt;0,INDEX('計算A'!CP$110:CP$114,$F33+1)+IF(AND($E33=1,MC33=0),1000,0),MIN(TX33,20)*400+(IF('計算A'!CO$106=1,1-GM33,0)+IF('計算A'!CP$106=1,1-GO33,0))*150+194+'計算A'!CP$5*100000+IF(AND($E33=1,MC33=0),50000,0))+IF($H33=1,(IF('計算A'!CO$117=1,INDEX('計算A'!CO$10:CO$54,$B33),0)+IF('計算A'!CP$117=1,INDEX('計算A'!CQ$10:CQ$54,$B33),0))*4000,0)-IF(AND('計算A'!CO$117=1,XM33&gt;0),2000,0)-IF(AND($L33=1,'計算A'!CP$117=1,GO33=0),2000,0))),1000000))</f>
        <v/>
      </c>
      <c r="RS33">
        <f>IF($B33=0,1000000,IF(INDEX('計算A'!$D$60:$EQ$104,$B33,92)*GO33=1,IF(AND($E33=2,MD33=0),1000000,IF($I33&gt;0,IF(4=$J33,IF(OR(AND(92=$I33+1,OR($K33&lt;&gt;'計算A'!$A$3,'計算A'!$A$4=0)),AND(92=$I33-1,OR(20&lt;&gt;'計算A'!$A$3,'計算A'!$A$4=0))),0,IF(20=$K33,200000,ABS(20-$K33)*100)),100000+ABS(4-$J33)*1000+200)+'計算A'!CQ$5*50+IF(AND($E33=1,MD33=0),25,0),IF($F33&gt;0,INDEX('計算A'!CQ$110:CQ$114,$F33+1)+IF(AND($E33=1,MD33=0),1000,0),MIN(TX33,20)*400+(IF('計算A'!CP$106=1,1-GN33,0)+IF('計算A'!CQ$106=1,1-GP33,0))*150+204+'計算A'!CQ$5*100000+IF(AND($E33=1,MD33=0),50000,0))+IF($H33=1,(IF('計算A'!CP$117=1,INDEX('計算A'!CP$10:CP$54,$B33),0)+IF('計算A'!CQ$117=1,INDEX('計算A'!CR$10:CR$54,$B33),0))*4000,0)-IF(AND('計算A'!CP$117=1,XN33&gt;0),2000,0)-IF(AND($L33=1,'計算A'!CQ$117=1,GP33=0),2000,0))),1000000))</f>
        <v/>
      </c>
      <c r="RT33">
        <f>IF($B33=0,1000000,IF(INDEX('計算A'!$D$60:$EQ$104,$B33,93)*GP33=1,IF(AND($E33=2,ME33=0),1000000,IF($I33&gt;0,IF(4=$J33,IF(OR(AND(93=$I33+1,OR($K33&lt;&gt;'計算A'!$A$3,'計算A'!$A$4=0)),AND(93=$I33-1,OR(21&lt;&gt;'計算A'!$A$3,'計算A'!$A$4=0))),0,IF(21=$K33,200000,ABS(21-$K33)*100)),100000+ABS(4-$J33)*1000+210)+'計算A'!CR$5*50+IF(AND($E33=1,ME33=0),25,0),IF($F33&gt;0,INDEX('計算A'!CR$110:CR$114,$F33+1)+IF(AND($E33=1,ME33=0),1000,0),MIN(TX33,20)*400+(IF('計算A'!CQ$106=1,1-GO33,0)+IF('計算A'!CR$106=1,1-GQ33,0))*150+214+'計算A'!CR$5*100000+IF(AND($E33=1,ME33=0),50000,0))+IF($H33=1,(IF('計算A'!CQ$117=1,INDEX('計算A'!CQ$10:CQ$54,$B33),0)+IF('計算A'!CR$117=1,INDEX('計算A'!CS$10:CS$54,$B33),0))*4000,0)-IF(AND('計算A'!CQ$117=1,XO33&gt;0),2000,0)-IF(AND($L33=1,'計算A'!CR$117=1,GQ33=0),2000,0))),1000000))</f>
        <v/>
      </c>
      <c r="RU33">
        <f>IF($B33=0,1000000,IF(INDEX('計算A'!$D$60:$EQ$104,$B33,94)*GQ33=1,IF(AND($E33=2,MF33=0),1000000,IF($I33&gt;0,IF(4=$J33,IF(OR(AND(94=$I33+1,OR($K33&lt;&gt;'計算A'!$A$3,'計算A'!$A$4=0)),AND(94=$I33-1,OR(22&lt;&gt;'計算A'!$A$3,'計算A'!$A$4=0))),0,IF(22=$K33,200000,ABS(22-$K33)*100)),100000+ABS(4-$J33)*1000+220)+'計算A'!CS$5*50+IF(AND($E33=1,MF33=0),25,0),IF($F33&gt;0,INDEX('計算A'!CS$110:CS$114,$F33+1)+IF(AND($E33=1,MF33=0),1000,0),MIN(TX33,20)*400+(IF('計算A'!CR$106=1,1-GP33,0)+IF('計算A'!CS$106=1,1-GR33,0))*150+224+'計算A'!CS$5*100000+IF(AND($E33=1,MF33=0),50000,0))+IF($H33=1,(IF('計算A'!CR$117=1,INDEX('計算A'!CR$10:CR$54,$B33),0)+IF('計算A'!CS$117=1,INDEX('計算A'!CT$10:CT$54,$B33),0))*4000,0)-IF(AND('計算A'!CR$117=1,XP33&gt;0),2000,0)-IF(AND($L33=1,'計算A'!CS$117=1,GR33=0),2000,0))),1000000))</f>
        <v/>
      </c>
      <c r="RV33">
        <f>IF($B33=0,1000000,IF(INDEX('計算A'!$D$60:$EQ$104,$B33,95)*GR33=1,IF(AND($E33=2,MG33=0),1000000,IF($I33&gt;0,IF(4=$J33,IF(OR(AND(95=$I33+1,OR($K33&lt;&gt;'計算A'!$A$3,'計算A'!$A$4=0)),AND(95=$I33-1,OR(23&lt;&gt;'計算A'!$A$3,'計算A'!$A$4=0))),0,IF(23=$K33,200000,ABS(23-$K33)*100)),100000+ABS(4-$J33)*1000+230)+'計算A'!CT$5*50+IF(AND($E33=1,MG33=0),25,0),IF($F33&gt;0,INDEX('計算A'!CT$110:CT$114,$F33+1)+IF(AND($E33=1,MG33=0),1000,0),MIN(TX33,20)*400+(IF('計算A'!CS$106=1,1-GQ33,0)+IF('計算A'!CT$106=1,1-GS33,0))*150+234+'計算A'!CT$5*100000+IF(AND($E33=1,MG33=0),50000,0))+IF($H33=1,(IF('計算A'!CS$117=1,INDEX('計算A'!CS$10:CS$54,$B33),0)+IF('計算A'!CT$117=1,INDEX('計算A'!CU$10:CU$54,$B33),0))*4000,0)-IF(AND('計算A'!CS$117=1,XQ33&gt;0),2000,0)-IF(AND($L33=1,'計算A'!CT$117=1,GS33=0),2000,0))),1000000))</f>
        <v/>
      </c>
      <c r="RW33">
        <f>IF($B33=0,1000000,IF(INDEX('計算A'!$D$60:$EQ$104,$B33,96)*GS33=1,IF(AND($E33=2,MH33=0),1000000,IF($I33&gt;0,IF(4=$J33,IF(OR(AND(96=$I33+1,OR($K33&lt;&gt;'計算A'!$A$3,'計算A'!$A$4=0)),AND(96=$I33-1,OR(24&lt;&gt;'計算A'!$A$3,'計算A'!$A$4=0))),0,IF(24=$K33,200000,ABS(24-$K33)*100)),100000+ABS(4-$J33)*1000+240)+'計算A'!CU$5*50+IF(AND($E33=1,MH33=0),25,0),IF($F33&gt;0,INDEX('計算A'!CU$110:CU$114,$F33+1)+IF(AND($E33=1,MH33=0),1000,0),MIN(TX33,20)*400+(IF('計算A'!CT$106=1,1-GR33,0))*150+244+'計算A'!CU$5*100000+IF(AND($E33=1,MH33=0),50000,0))+IF($H33=1,(IF('計算A'!CT$117=1,INDEX('計算A'!CT$10:CT$54,$B33),0))*4000,0)-IF(AND('計算A'!CT$117=1,XR33&gt;0),2000,0))),1000000))</f>
        <v/>
      </c>
      <c r="RX33">
        <f>IF($B33=0,1000000,IF(INDEX('計算A'!$D$60:$EQ$104,$B33,97)*GT33=1,IF(AND($E33=2,MI33=0),1000000,IF($I33&gt;0,IF(5=$J33,IF(OR(AND(97=$I33+1,OR($K33&lt;&gt;'計算A'!$A$3,'計算A'!$A$4=0)),AND(97=$I33-1,OR(1&lt;&gt;'計算A'!$A$3,'計算A'!$A$4=0))),0,IF(1=$K33,200000,ABS(1-$K33)*100)),100000+ABS(5-$J33)*1000+10)+'計算A'!CV$5*50+IF(AND($E33=1,MI33=0),25,0),IF($F33&gt;0,INDEX('計算A'!CV$110:CV$114,$F33+1)+IF(AND($E33=1,MI33=0),1000,0),MIN(TY33,20)*400+(IF('計算A'!CV$106=1,1-GU33,0))*150+15+'計算A'!CV$5*100000+IF(AND($E33=1,MI33=0),50000,0))+IF($H33=1,(IF('計算A'!CV$117=1,INDEX('計算A'!CW$10:CW$54,$B33),0))*4000,0)-IF(AND($L33=1,'計算A'!CV$117=1,GU33=0),2000,0))),1000000))</f>
        <v/>
      </c>
      <c r="RY33">
        <f>IF($B33=0,1000000,IF(INDEX('計算A'!$D$60:$EQ$104,$B33,98)*GU33=1,IF(AND($E33=2,MJ33=0),1000000,IF($I33&gt;0,IF(5=$J33,IF(OR(AND(98=$I33+1,OR($K33&lt;&gt;'計算A'!$A$3,'計算A'!$A$4=0)),AND(98=$I33-1,OR(2&lt;&gt;'計算A'!$A$3,'計算A'!$A$4=0))),0,IF(2=$K33,200000,ABS(2-$K33)*100)),100000+ABS(5-$J33)*1000+20)+'計算A'!CW$5*50+IF(AND($E33=1,MJ33=0),25,0),IF($F33&gt;0,INDEX('計算A'!CW$110:CW$114,$F33+1)+IF(AND($E33=1,MJ33=0),1000,0),MIN(TY33,20)*400+(IF('計算A'!CV$106=1,1-GT33,0)+IF('計算A'!CW$106=1,1-GV33,0))*150+25+'計算A'!CW$5*100000+IF(AND($E33=1,MJ33=0),50000,0))+IF($H33=1,(IF('計算A'!CV$117=1,INDEX('計算A'!CV$10:CV$54,$B33),0)+IF('計算A'!CW$117=1,INDEX('計算A'!CX$10:CX$54,$B33),0))*4000,0)-IF(AND('計算A'!CV$117=1,XT33&gt;0),2000,0)-IF(AND($L33=1,'計算A'!CW$117=1,GV33=0),2000,0))),1000000))</f>
        <v/>
      </c>
      <c r="RZ33">
        <f>IF($B33=0,1000000,IF(INDEX('計算A'!$D$60:$EQ$104,$B33,99)*GV33=1,IF(AND($E33=2,MK33=0),1000000,IF($I33&gt;0,IF(5=$J33,IF(OR(AND(99=$I33+1,OR($K33&lt;&gt;'計算A'!$A$3,'計算A'!$A$4=0)),AND(99=$I33-1,OR(3&lt;&gt;'計算A'!$A$3,'計算A'!$A$4=0))),0,IF(3=$K33,200000,ABS(3-$K33)*100)),100000+ABS(5-$J33)*1000+30)+'計算A'!CX$5*50+IF(AND($E33=1,MK33=0),25,0),IF($F33&gt;0,INDEX('計算A'!CX$110:CX$114,$F33+1)+IF(AND($E33=1,MK33=0),1000,0),MIN(TY33,20)*400+(IF('計算A'!CW$106=1,1-GU33,0)+IF('計算A'!CX$106=1,1-GW33,0))*150+35+'計算A'!CX$5*100000+IF(AND($E33=1,MK33=0),50000,0))+IF($H33=1,(IF('計算A'!CW$117=1,INDEX('計算A'!CW$10:CW$54,$B33),0)+IF('計算A'!CX$117=1,INDEX('計算A'!CY$10:CY$54,$B33),0))*4000,0)-IF(AND('計算A'!CW$117=1,XU33&gt;0),2000,0)-IF(AND($L33=1,'計算A'!CX$117=1,GW33=0),2000,0))),1000000))</f>
        <v/>
      </c>
      <c r="SA33">
        <f>IF($B33=0,1000000,IF(INDEX('計算A'!$D$60:$EQ$104,$B33,100)*GW33=1,IF(AND($E33=2,ML33=0),1000000,IF($I33&gt;0,IF(5=$J33,IF(OR(AND(100=$I33+1,OR($K33&lt;&gt;'計算A'!$A$3,'計算A'!$A$4=0)),AND(100=$I33-1,OR(4&lt;&gt;'計算A'!$A$3,'計算A'!$A$4=0))),0,IF(4=$K33,200000,ABS(4-$K33)*100)),100000+ABS(5-$J33)*1000+40)+'計算A'!CY$5*50+IF(AND($E33=1,ML33=0),25,0),IF($F33&gt;0,INDEX('計算A'!CY$110:CY$114,$F33+1)+IF(AND($E33=1,ML33=0),1000,0),MIN(TY33,20)*400+(IF('計算A'!CX$106=1,1-GV33,0)+IF('計算A'!CY$106=1,1-GX33,0))*150+45+'計算A'!CY$5*100000+IF(AND($E33=1,ML33=0),50000,0))+IF($H33=1,(IF('計算A'!CX$117=1,INDEX('計算A'!CX$10:CX$54,$B33),0)+IF('計算A'!CY$117=1,INDEX('計算A'!CZ$10:CZ$54,$B33),0))*4000,0)-IF(AND('計算A'!CX$117=1,XV33&gt;0),2000,0)-IF(AND($L33=1,'計算A'!CY$117=1,GX33=0),2000,0))),1000000))</f>
        <v/>
      </c>
      <c r="SB33">
        <f>IF($B33=0,1000000,IF(INDEX('計算A'!$D$60:$EQ$104,$B33,101)*GX33=1,IF(AND($E33=2,MM33=0),1000000,IF($I33&gt;0,IF(5=$J33,IF(OR(AND(101=$I33+1,OR($K33&lt;&gt;'計算A'!$A$3,'計算A'!$A$4=0)),AND(101=$I33-1,OR(5&lt;&gt;'計算A'!$A$3,'計算A'!$A$4=0))),0,IF(5=$K33,200000,ABS(5-$K33)*100)),100000+ABS(5-$J33)*1000+50)+'計算A'!CZ$5*50+IF(AND($E33=1,MM33=0),25,0),IF($F33&gt;0,INDEX('計算A'!CZ$110:CZ$114,$F33+1)+IF(AND($E33=1,MM33=0),1000,0),MIN(TY33,20)*400+(IF('計算A'!CY$106=1,1-GW33,0)+IF('計算A'!CZ$106=1,1-GY33,0))*150+55+'計算A'!CZ$5*100000+IF(AND($E33=1,MM33=0),50000,0))+IF($H33=1,(IF('計算A'!CY$117=1,INDEX('計算A'!CY$10:CY$54,$B33),0)+IF('計算A'!CZ$117=1,INDEX('計算A'!DA$10:DA$54,$B33),0))*4000,0)-IF(AND('計算A'!CY$117=1,XW33&gt;0),2000,0)-IF(AND($L33=1,'計算A'!CZ$117=1,GY33=0),2000,0))),1000000))</f>
        <v/>
      </c>
      <c r="SC33">
        <f>IF($B33=0,1000000,IF(INDEX('計算A'!$D$60:$EQ$104,$B33,102)*GY33=1,IF(AND($E33=2,MN33=0),1000000,IF($I33&gt;0,IF(5=$J33,IF(OR(AND(102=$I33+1,OR($K33&lt;&gt;'計算A'!$A$3,'計算A'!$A$4=0)),AND(102=$I33-1,OR(6&lt;&gt;'計算A'!$A$3,'計算A'!$A$4=0))),0,IF(6=$K33,200000,ABS(6-$K33)*100)),100000+ABS(5-$J33)*1000+60)+'計算A'!DA$5*50+IF(AND($E33=1,MN33=0),25,0),IF($F33&gt;0,INDEX('計算A'!DA$110:DA$114,$F33+1)+IF(AND($E33=1,MN33=0),1000,0),MIN(TY33,20)*400+(IF('計算A'!CZ$106=1,1-GX33,0)+IF('計算A'!DA$106=1,1-GZ33,0))*150+65+'計算A'!DA$5*100000+IF(AND($E33=1,MN33=0),50000,0))+IF($H33=1,(IF('計算A'!CZ$117=1,INDEX('計算A'!CZ$10:CZ$54,$B33),0)+IF('計算A'!DA$117=1,INDEX('計算A'!DB$10:DB$54,$B33),0))*4000,0)-IF(AND('計算A'!CZ$117=1,XX33&gt;0),2000,0)-IF(AND($L33=1,'計算A'!DA$117=1,GZ33=0),2000,0))),1000000))</f>
        <v/>
      </c>
      <c r="SD33">
        <f>IF($B33=0,1000000,IF(INDEX('計算A'!$D$60:$EQ$104,$B33,103)*GZ33=1,IF(AND($E33=2,MO33=0),1000000,IF($I33&gt;0,IF(5=$J33,IF(OR(AND(103=$I33+1,OR($K33&lt;&gt;'計算A'!$A$3,'計算A'!$A$4=0)),AND(103=$I33-1,OR(7&lt;&gt;'計算A'!$A$3,'計算A'!$A$4=0))),0,IF(7=$K33,200000,ABS(7-$K33)*100)),100000+ABS(5-$J33)*1000+70)+'計算A'!DB$5*50+IF(AND($E33=1,MO33=0),25,0),IF($F33&gt;0,INDEX('計算A'!DB$110:DB$114,$F33+1)+IF(AND($E33=1,MO33=0),1000,0),MIN(TY33,20)*400+(IF('計算A'!DA$106=1,1-GY33,0)+IF('計算A'!DB$106=1,1-HA33,0))*150+75+'計算A'!DB$5*100000+IF(AND($E33=1,MO33=0),50000,0))+IF($H33=1,(IF('計算A'!DA$117=1,INDEX('計算A'!DA$10:DA$54,$B33),0)+IF('計算A'!DB$117=1,INDEX('計算A'!DC$10:DC$54,$B33),0))*4000,0)-IF(AND('計算A'!DA$117=1,XY33&gt;0),2000,0)-IF(AND($L33=1,'計算A'!DB$117=1,HA33=0),2000,0))),1000000))</f>
        <v/>
      </c>
      <c r="SE33">
        <f>IF($B33=0,1000000,IF(INDEX('計算A'!$D$60:$EQ$104,$B33,104)*HA33=1,IF(AND($E33=2,MP33=0),1000000,IF($I33&gt;0,IF(5=$J33,IF(OR(AND(104=$I33+1,OR($K33&lt;&gt;'計算A'!$A$3,'計算A'!$A$4=0)),AND(104=$I33-1,OR(8&lt;&gt;'計算A'!$A$3,'計算A'!$A$4=0))),0,IF(8=$K33,200000,ABS(8-$K33)*100)),100000+ABS(5-$J33)*1000+80)+'計算A'!DC$5*50+IF(AND($E33=1,MP33=0),25,0),IF($F33&gt;0,INDEX('計算A'!DC$110:DC$114,$F33+1)+IF(AND($E33=1,MP33=0),1000,0),MIN(TY33,20)*400+(IF('計算A'!DB$106=1,1-GZ33,0)+IF('計算A'!DC$106=1,1-HB33,0))*150+85+'計算A'!DC$5*100000+IF(AND($E33=1,MP33=0),50000,0))+IF($H33=1,(IF('計算A'!DB$117=1,INDEX('計算A'!DB$10:DB$54,$B33),0)+IF('計算A'!DC$117=1,INDEX('計算A'!DD$10:DD$54,$B33),0))*4000,0)-IF(AND('計算A'!DB$117=1,XZ33&gt;0),2000,0)-IF(AND($L33=1,'計算A'!DC$117=1,HB33=0),2000,0))),1000000))</f>
        <v/>
      </c>
      <c r="SF33">
        <f>IF($B33=0,1000000,IF(INDEX('計算A'!$D$60:$EQ$104,$B33,105)*HB33=1,IF(AND($E33=2,MQ33=0),1000000,IF($I33&gt;0,IF(5=$J33,IF(OR(AND(105=$I33+1,OR($K33&lt;&gt;'計算A'!$A$3,'計算A'!$A$4=0)),AND(105=$I33-1,OR(9&lt;&gt;'計算A'!$A$3,'計算A'!$A$4=0))),0,IF(9=$K33,200000,ABS(9-$K33)*100)),100000+ABS(5-$J33)*1000+90)+'計算A'!DD$5*50+IF(AND($E33=1,MQ33=0),25,0),IF($F33&gt;0,INDEX('計算A'!DD$110:DD$114,$F33+1)+IF(AND($E33=1,MQ33=0),1000,0),MIN(TY33,20)*400+(IF('計算A'!DC$106=1,1-HA33,0)+IF('計算A'!DD$106=1,1-HC33,0))*150+95+'計算A'!DD$5*100000+IF(AND($E33=1,MQ33=0),50000,0))+IF($H33=1,(IF('計算A'!DC$117=1,INDEX('計算A'!DC$10:DC$54,$B33),0)+IF('計算A'!DD$117=1,INDEX('計算A'!DE$10:DE$54,$B33),0))*4000,0)-IF(AND('計算A'!DC$117=1,YA33&gt;0),2000,0)-IF(AND($L33=1,'計算A'!DD$117=1,HC33=0),2000,0))),1000000))</f>
        <v/>
      </c>
      <c r="SG33">
        <f>IF($B33=0,1000000,IF(INDEX('計算A'!$D$60:$EQ$104,$B33,106)*HC33=1,IF(AND($E33=2,MR33=0),1000000,IF($I33&gt;0,IF(5=$J33,IF(OR(AND(106=$I33+1,OR($K33&lt;&gt;'計算A'!$A$3,'計算A'!$A$4=0)),AND(106=$I33-1,OR(10&lt;&gt;'計算A'!$A$3,'計算A'!$A$4=0))),0,IF(10=$K33,200000,ABS(10-$K33)*100)),100000+ABS(5-$J33)*1000+100)+'計算A'!DE$5*50+IF(AND($E33=1,MR33=0),25,0),IF($F33&gt;0,INDEX('計算A'!DE$110:DE$114,$F33+1)+IF(AND($E33=1,MR33=0),1000,0),MIN(TY33,20)*400+(IF('計算A'!DD$106=1,1-HB33,0)+IF('計算A'!DE$106=1,1-HD33,0))*150+105+'計算A'!DE$5*100000+IF(AND($E33=1,MR33=0),50000,0))+IF($H33=1,(IF('計算A'!DD$117=1,INDEX('計算A'!DD$10:DD$54,$B33),0)+IF('計算A'!DE$117=1,INDEX('計算A'!DF$10:DF$54,$B33),0))*4000,0)-IF(AND('計算A'!DD$117=1,YB33&gt;0),2000,0)-IF(AND($L33=1,'計算A'!DE$117=1,HD33=0),2000,0))),1000000))</f>
        <v/>
      </c>
      <c r="SH33">
        <f>IF($B33=0,1000000,IF(INDEX('計算A'!$D$60:$EQ$104,$B33,107)*HD33=1,IF(AND($E33=2,MS33=0),1000000,IF($I33&gt;0,IF(5=$J33,IF(OR(AND(107=$I33+1,OR($K33&lt;&gt;'計算A'!$A$3,'計算A'!$A$4=0)),AND(107=$I33-1,OR(11&lt;&gt;'計算A'!$A$3,'計算A'!$A$4=0))),0,IF(11=$K33,200000,ABS(11-$K33)*100)),100000+ABS(5-$J33)*1000+110)+'計算A'!DF$5*50+IF(AND($E33=1,MS33=0),25,0),IF($F33&gt;0,INDEX('計算A'!DF$110:DF$114,$F33+1)+IF(AND($E33=1,MS33=0),1000,0),MIN(TY33,20)*400+(IF('計算A'!DE$106=1,1-HC33,0)+IF('計算A'!DF$106=1,1-HE33,0))*150+115+'計算A'!DF$5*100000+IF(AND($E33=1,MS33=0),50000,0))+IF($H33=1,(IF('計算A'!DE$117=1,INDEX('計算A'!DE$10:DE$54,$B33),0)+IF('計算A'!DF$117=1,INDEX('計算A'!DG$10:DG$54,$B33),0))*4000,0)-IF(AND('計算A'!DE$117=1,YC33&gt;0),2000,0)-IF(AND($L33=1,'計算A'!DF$117=1,HE33=0),2000,0))),1000000))</f>
        <v/>
      </c>
      <c r="SI33">
        <f>IF($B33=0,1000000,IF(INDEX('計算A'!$D$60:$EQ$104,$B33,108)*HE33=1,IF(AND($E33=2,MT33=0),1000000,IF($I33&gt;0,IF(5=$J33,IF(OR(AND(108=$I33+1,OR($K33&lt;&gt;'計算A'!$A$3,'計算A'!$A$4=0)),AND(108=$I33-1,OR(12&lt;&gt;'計算A'!$A$3,'計算A'!$A$4=0))),0,IF(12=$K33,200000,ABS(12-$K33)*100)),100000+ABS(5-$J33)*1000+120)+'計算A'!DG$5*50+IF(AND($E33=1,MT33=0),25,0),IF($F33&gt;0,INDEX('計算A'!DG$110:DG$114,$F33+1)+IF(AND($E33=1,MT33=0),1000,0),MIN(TY33,20)*400+(IF('計算A'!DF$106=1,1-HD33,0)+IF('計算A'!DG$106=1,1-HF33,0))*150+125+'計算A'!DG$5*100000+IF(AND($E33=1,MT33=0),50000,0))+IF($H33=1,(IF('計算A'!DF$117=1,INDEX('計算A'!DF$10:DF$54,$B33),0)+IF('計算A'!DG$117=1,INDEX('計算A'!DH$10:DH$54,$B33),0))*4000,0)-IF(AND('計算A'!DF$117=1,YD33&gt;0),2000,0)-IF(AND($L33=1,'計算A'!DG$117=1,HF33=0),2000,0))),1000000))</f>
        <v/>
      </c>
      <c r="SJ33">
        <f>IF($B33=0,1000000,IF(INDEX('計算A'!$D$60:$EQ$104,$B33,109)*HF33=1,IF(AND($E33=2,MU33=0),1000000,IF($I33&gt;0,IF(5=$J33,IF(OR(AND(109=$I33+1,OR($K33&lt;&gt;'計算A'!$A$3,'計算A'!$A$4=0)),AND(109=$I33-1,OR(13&lt;&gt;'計算A'!$A$3,'計算A'!$A$4=0))),0,IF(13=$K33,200000,ABS(13-$K33)*100)),100000+ABS(5-$J33)*1000+130)+'計算A'!DH$5*50+IF(AND($E33=1,MU33=0),25,0),IF($F33&gt;0,INDEX('計算A'!DH$110:DH$114,$F33+1)+IF(AND($E33=1,MU33=0),1000,0),MIN(TY33,20)*400+(IF('計算A'!DG$106=1,1-HE33,0)+IF('計算A'!DH$106=1,1-HG33,0))*150+135+'計算A'!DH$5*100000+IF(AND($E33=1,MU33=0),50000,0))+IF($H33=1,(IF('計算A'!DG$117=1,INDEX('計算A'!DG$10:DG$54,$B33),0)+IF('計算A'!DH$117=1,INDEX('計算A'!DI$10:DI$54,$B33),0))*4000,0)-IF(AND('計算A'!DG$117=1,YE33&gt;0),2000,0)-IF(AND($L33=1,'計算A'!DH$117=1,HG33=0),2000,0))),1000000))</f>
        <v/>
      </c>
      <c r="SK33">
        <f>IF($B33=0,1000000,IF(INDEX('計算A'!$D$60:$EQ$104,$B33,110)*HG33=1,IF(AND($E33=2,MV33=0),1000000,IF($I33&gt;0,IF(5=$J33,IF(OR(AND(110=$I33+1,OR($K33&lt;&gt;'計算A'!$A$3,'計算A'!$A$4=0)),AND(110=$I33-1,OR(14&lt;&gt;'計算A'!$A$3,'計算A'!$A$4=0))),0,IF(14=$K33,200000,ABS(14-$K33)*100)),100000+ABS(5-$J33)*1000+140)+'計算A'!DI$5*50+IF(AND($E33=1,MV33=0),25,0),IF($F33&gt;0,INDEX('計算A'!DI$110:DI$114,$F33+1)+IF(AND($E33=1,MV33=0),1000,0),MIN(TY33,20)*400+(IF('計算A'!DH$106=1,1-HF33,0)+IF('計算A'!DI$106=1,1-HH33,0))*150+145+'計算A'!DI$5*100000+IF(AND($E33=1,MV33=0),50000,0))+IF($H33=1,(IF('計算A'!DH$117=1,INDEX('計算A'!DH$10:DH$54,$B33),0)+IF('計算A'!DI$117=1,INDEX('計算A'!DJ$10:DJ$54,$B33),0))*4000,0)-IF(AND('計算A'!DH$117=1,YF33&gt;0),2000,0)-IF(AND($L33=1,'計算A'!DI$117=1,HH33=0),2000,0))),1000000))</f>
        <v/>
      </c>
      <c r="SL33">
        <f>IF($B33=0,1000000,IF(INDEX('計算A'!$D$60:$EQ$104,$B33,111)*HH33=1,IF(AND($E33=2,MW33=0),1000000,IF($I33&gt;0,IF(5=$J33,IF(OR(AND(111=$I33+1,OR($K33&lt;&gt;'計算A'!$A$3,'計算A'!$A$4=0)),AND(111=$I33-1,OR(15&lt;&gt;'計算A'!$A$3,'計算A'!$A$4=0))),0,IF(15=$K33,200000,ABS(15-$K33)*100)),100000+ABS(5-$J33)*1000+150)+'計算A'!DJ$5*50+IF(AND($E33=1,MW33=0),25,0),IF($F33&gt;0,INDEX('計算A'!DJ$110:DJ$114,$F33+1)+IF(AND($E33=1,MW33=0),1000,0),MIN(TY33,20)*400+(IF('計算A'!DI$106=1,1-HG33,0)+IF('計算A'!DJ$106=1,1-HI33,0))*150+155+'計算A'!DJ$5*100000+IF(AND($E33=1,MW33=0),50000,0))+IF($H33=1,(IF('計算A'!DI$117=1,INDEX('計算A'!DI$10:DI$54,$B33),0)+IF('計算A'!DJ$117=1,INDEX('計算A'!DK$10:DK$54,$B33),0))*4000,0)-IF(AND('計算A'!DI$117=1,YG33&gt;0),2000,0)-IF(AND($L33=1,'計算A'!DJ$117=1,HI33=0),2000,0))),1000000))</f>
        <v/>
      </c>
      <c r="SM33">
        <f>IF($B33=0,1000000,IF(INDEX('計算A'!$D$60:$EQ$104,$B33,112)*HI33=1,IF(AND($E33=2,MX33=0),1000000,IF($I33&gt;0,IF(5=$J33,IF(OR(AND(112=$I33+1,OR($K33&lt;&gt;'計算A'!$A$3,'計算A'!$A$4=0)),AND(112=$I33-1,OR(16&lt;&gt;'計算A'!$A$3,'計算A'!$A$4=0))),0,IF(16=$K33,200000,ABS(16-$K33)*100)),100000+ABS(5-$J33)*1000+160)+'計算A'!DK$5*50+IF(AND($E33=1,MX33=0),25,0),IF($F33&gt;0,INDEX('計算A'!DK$110:DK$114,$F33+1)+IF(AND($E33=1,MX33=0),1000,0),MIN(TY33,20)*400+(IF('計算A'!DJ$106=1,1-HH33,0)+IF('計算A'!DK$106=1,1-HJ33,0))*150+165+'計算A'!DK$5*100000+IF(AND($E33=1,MX33=0),50000,0))+IF($H33=1,(IF('計算A'!DJ$117=1,INDEX('計算A'!DJ$10:DJ$54,$B33),0)+IF('計算A'!DK$117=1,INDEX('計算A'!DL$10:DL$54,$B33),0))*4000,0)-IF(AND('計算A'!DJ$117=1,YH33&gt;0),2000,0)-IF(AND($L33=1,'計算A'!DK$117=1,HJ33=0),2000,0))),1000000))</f>
        <v/>
      </c>
      <c r="SN33">
        <f>IF($B33=0,1000000,IF(INDEX('計算A'!$D$60:$EQ$104,$B33,113)*HJ33=1,IF(AND($E33=2,MY33=0),1000000,IF($I33&gt;0,IF(5=$J33,IF(OR(AND(113=$I33+1,OR($K33&lt;&gt;'計算A'!$A$3,'計算A'!$A$4=0)),AND(113=$I33-1,OR(17&lt;&gt;'計算A'!$A$3,'計算A'!$A$4=0))),0,IF(17=$K33,200000,ABS(17-$K33)*100)),100000+ABS(5-$J33)*1000+170)+'計算A'!DL$5*50+IF(AND($E33=1,MY33=0),25,0),IF($F33&gt;0,INDEX('計算A'!DL$110:DL$114,$F33+1)+IF(AND($E33=1,MY33=0),1000,0),MIN(TY33,20)*400+(IF('計算A'!DK$106=1,1-HI33,0)+IF('計算A'!DL$106=1,1-HK33,0))*150+175+'計算A'!DL$5*100000+IF(AND($E33=1,MY33=0),50000,0))+IF($H33=1,(IF('計算A'!DK$117=1,INDEX('計算A'!DK$10:DK$54,$B33),0)+IF('計算A'!DL$117=1,INDEX('計算A'!DM$10:DM$54,$B33),0))*4000,0)-IF(AND('計算A'!DK$117=1,YI33&gt;0),2000,0)-IF(AND($L33=1,'計算A'!DL$117=1,HK33=0),2000,0))),1000000))</f>
        <v/>
      </c>
      <c r="SO33">
        <f>IF($B33=0,1000000,IF(INDEX('計算A'!$D$60:$EQ$104,$B33,114)*HK33=1,IF(AND($E33=2,MZ33=0),1000000,IF($I33&gt;0,IF(5=$J33,IF(OR(AND(114=$I33+1,OR($K33&lt;&gt;'計算A'!$A$3,'計算A'!$A$4=0)),AND(114=$I33-1,OR(18&lt;&gt;'計算A'!$A$3,'計算A'!$A$4=0))),0,IF(18=$K33,200000,ABS(18-$K33)*100)),100000+ABS(5-$J33)*1000+180)+'計算A'!DM$5*50+IF(AND($E33=1,MZ33=0),25,0),IF($F33&gt;0,INDEX('計算A'!DM$110:DM$114,$F33+1)+IF(AND($E33=1,MZ33=0),1000,0),MIN(TY33,20)*400+(IF('計算A'!DL$106=1,1-HJ33,0)+IF('計算A'!DM$106=1,1-HL33,0))*150+185+'計算A'!DM$5*100000+IF(AND($E33=1,MZ33=0),50000,0))+IF($H33=1,(IF('計算A'!DL$117=1,INDEX('計算A'!DL$10:DL$54,$B33),0)+IF('計算A'!DM$117=1,INDEX('計算A'!DN$10:DN$54,$B33),0))*4000,0)-IF(AND('計算A'!DL$117=1,YJ33&gt;0),2000,0)-IF(AND($L33=1,'計算A'!DM$117=1,HL33=0),2000,0))),1000000))</f>
        <v/>
      </c>
      <c r="SP33">
        <f>IF($B33=0,1000000,IF(INDEX('計算A'!$D$60:$EQ$104,$B33,115)*HL33=1,IF(AND($E33=2,NA33=0),1000000,IF($I33&gt;0,IF(5=$J33,IF(OR(AND(115=$I33+1,OR($K33&lt;&gt;'計算A'!$A$3,'計算A'!$A$4=0)),AND(115=$I33-1,OR(19&lt;&gt;'計算A'!$A$3,'計算A'!$A$4=0))),0,IF(19=$K33,200000,ABS(19-$K33)*100)),100000+ABS(5-$J33)*1000+190)+'計算A'!DN$5*50+IF(AND($E33=1,NA33=0),25,0),IF($F33&gt;0,INDEX('計算A'!DN$110:DN$114,$F33+1)+IF(AND($E33=1,NA33=0),1000,0),MIN(TY33,20)*400+(IF('計算A'!DM$106=1,1-HK33,0)+IF('計算A'!DN$106=1,1-HM33,0))*150+195+'計算A'!DN$5*100000+IF(AND($E33=1,NA33=0),50000,0))+IF($H33=1,(IF('計算A'!DM$117=1,INDEX('計算A'!DM$10:DM$54,$B33),0)+IF('計算A'!DN$117=1,INDEX('計算A'!DO$10:DO$54,$B33),0))*4000,0)-IF(AND('計算A'!DM$117=1,YK33&gt;0),2000,0)-IF(AND($L33=1,'計算A'!DN$117=1,HM33=0),2000,0))),1000000))</f>
        <v/>
      </c>
      <c r="SQ33">
        <f>IF($B33=0,1000000,IF(INDEX('計算A'!$D$60:$EQ$104,$B33,116)*HM33=1,IF(AND($E33=2,NB33=0),1000000,IF($I33&gt;0,IF(5=$J33,IF(OR(AND(116=$I33+1,OR($K33&lt;&gt;'計算A'!$A$3,'計算A'!$A$4=0)),AND(116=$I33-1,OR(20&lt;&gt;'計算A'!$A$3,'計算A'!$A$4=0))),0,IF(20=$K33,200000,ABS(20-$K33)*100)),100000+ABS(5-$J33)*1000+200)+'計算A'!DO$5*50+IF(AND($E33=1,NB33=0),25,0),IF($F33&gt;0,INDEX('計算A'!DO$110:DO$114,$F33+1)+IF(AND($E33=1,NB33=0),1000,0),MIN(TY33,20)*400+(IF('計算A'!DN$106=1,1-HL33,0)+IF('計算A'!DO$106=1,1-HN33,0))*150+205+'計算A'!DO$5*100000+IF(AND($E33=1,NB33=0),50000,0))+IF($H33=1,(IF('計算A'!DN$117=1,INDEX('計算A'!DN$10:DN$54,$B33),0)+IF('計算A'!DO$117=1,INDEX('計算A'!DP$10:DP$54,$B33),0))*4000,0)-IF(AND('計算A'!DN$117=1,YL33&gt;0),2000,0)-IF(AND($L33=1,'計算A'!DO$117=1,HN33=0),2000,0))),1000000))</f>
        <v/>
      </c>
      <c r="SR33">
        <f>IF($B33=0,1000000,IF(INDEX('計算A'!$D$60:$EQ$104,$B33,117)*HN33=1,IF(AND($E33=2,NC33=0),1000000,IF($I33&gt;0,IF(5=$J33,IF(OR(AND(117=$I33+1,OR($K33&lt;&gt;'計算A'!$A$3,'計算A'!$A$4=0)),AND(117=$I33-1,OR(21&lt;&gt;'計算A'!$A$3,'計算A'!$A$4=0))),0,IF(21=$K33,200000,ABS(21-$K33)*100)),100000+ABS(5-$J33)*1000+210)+'計算A'!DP$5*50+IF(AND($E33=1,NC33=0),25,0),IF($F33&gt;0,INDEX('計算A'!DP$110:DP$114,$F33+1)+IF(AND($E33=1,NC33=0),1000,0),MIN(TY33,20)*400+(IF('計算A'!DO$106=1,1-HM33,0)+IF('計算A'!DP$106=1,1-HO33,0))*150+215+'計算A'!DP$5*100000+IF(AND($E33=1,NC33=0),50000,0))+IF($H33=1,(IF('計算A'!DO$117=1,INDEX('計算A'!DO$10:DO$54,$B33),0)+IF('計算A'!DP$117=1,INDEX('計算A'!DQ$10:DQ$54,$B33),0))*4000,0)-IF(AND('計算A'!DO$117=1,YM33&gt;0),2000,0)-IF(AND($L33=1,'計算A'!DP$117=1,HO33=0),2000,0))),1000000))</f>
        <v/>
      </c>
      <c r="SS33">
        <f>IF($B33=0,1000000,IF(INDEX('計算A'!$D$60:$EQ$104,$B33,118)*HO33=1,IF(AND($E33=2,ND33=0),1000000,IF($I33&gt;0,IF(5=$J33,IF(OR(AND(118=$I33+1,OR($K33&lt;&gt;'計算A'!$A$3,'計算A'!$A$4=0)),AND(118=$I33-1,OR(22&lt;&gt;'計算A'!$A$3,'計算A'!$A$4=0))),0,IF(22=$K33,200000,ABS(22-$K33)*100)),100000+ABS(5-$J33)*1000+220)+'計算A'!DQ$5*50+IF(AND($E33=1,ND33=0),25,0),IF($F33&gt;0,INDEX('計算A'!DQ$110:DQ$114,$F33+1)+IF(AND($E33=1,ND33=0),1000,0),MIN(TY33,20)*400+(IF('計算A'!DP$106=1,1-HN33,0)+IF('計算A'!DQ$106=1,1-HP33,0))*150+225+'計算A'!DQ$5*100000+IF(AND($E33=1,ND33=0),50000,0))+IF($H33=1,(IF('計算A'!DP$117=1,INDEX('計算A'!DP$10:DP$54,$B33),0)+IF('計算A'!DQ$117=1,INDEX('計算A'!DR$10:DR$54,$B33),0))*4000,0)-IF(AND('計算A'!DP$117=1,YN33&gt;0),2000,0)-IF(AND($L33=1,'計算A'!DQ$117=1,HP33=0),2000,0))),1000000))</f>
        <v/>
      </c>
      <c r="ST33">
        <f>IF($B33=0,1000000,IF(INDEX('計算A'!$D$60:$EQ$104,$B33,119)*HP33=1,IF(AND($E33=2,NE33=0),1000000,IF($I33&gt;0,IF(5=$J33,IF(OR(AND(119=$I33+1,OR($K33&lt;&gt;'計算A'!$A$3,'計算A'!$A$4=0)),AND(119=$I33-1,OR(23&lt;&gt;'計算A'!$A$3,'計算A'!$A$4=0))),0,IF(23=$K33,200000,ABS(23-$K33)*100)),100000+ABS(5-$J33)*1000+230)+'計算A'!DR$5*50+IF(AND($E33=1,NE33=0),25,0),IF($F33&gt;0,INDEX('計算A'!DR$110:DR$114,$F33+1)+IF(AND($E33=1,NE33=0),1000,0),MIN(TY33,20)*400+(IF('計算A'!DQ$106=1,1-HO33,0)+IF('計算A'!DR$106=1,1-HQ33,0))*150+235+'計算A'!DR$5*100000+IF(AND($E33=1,NE33=0),50000,0))+IF($H33=1,(IF('計算A'!DQ$117=1,INDEX('計算A'!DQ$10:DQ$54,$B33),0)+IF('計算A'!DR$117=1,INDEX('計算A'!DS$10:DS$54,$B33),0))*4000,0)-IF(AND('計算A'!DQ$117=1,YO33&gt;0),2000,0)-IF(AND($L33=1,'計算A'!DR$117=1,HQ33=0),2000,0))),1000000))</f>
        <v/>
      </c>
      <c r="SU33">
        <f>IF($B33=0,1000000,IF(INDEX('計算A'!$D$60:$EQ$104,$B33,120)*HQ33=1,IF(AND($E33=2,NF33=0),1000000,IF($I33&gt;0,IF(5=$J33,IF(OR(AND(120=$I33+1,OR($K33&lt;&gt;'計算A'!$A$3,'計算A'!$A$4=0)),AND(120=$I33-1,OR(24&lt;&gt;'計算A'!$A$3,'計算A'!$A$4=0))),0,IF(24=$K33,200000,ABS(24-$K33)*100)),100000+ABS(5-$J33)*1000+240)+'計算A'!DS$5*50+IF(AND($E33=1,NF33=0),25,0),IF($F33&gt;0,INDEX('計算A'!DS$110:DS$114,$F33+1)+IF(AND($E33=1,NF33=0),1000,0),MIN(TY33,20)*400+(IF('計算A'!DR$106=1,1-HP33,0))*150+245+'計算A'!DS$5*100000+IF(AND($E33=1,NF33=0),50000,0))+IF($H33=1,(IF('計算A'!DR$117=1,INDEX('計算A'!DR$10:DR$54,$B33),0))*4000,0)-IF(AND('計算A'!DR$117=1,YP33&gt;0),2000,0))),1000000))</f>
        <v/>
      </c>
      <c r="SV33">
        <f>IF($B33=0,1000000,IF(INDEX('計算A'!$D$60:$EQ$104,$B33,121)*HR33=1,IF(AND($E33=2,NG33=0),1000000,IF($I33&gt;0,IF(6=$J33,IF(OR(AND(121=$I33+1,OR($K33&lt;&gt;'計算A'!$A$3,'計算A'!$A$4=0)),AND(121=$I33-1,OR(1&lt;&gt;'計算A'!$A$3,'計算A'!$A$4=0))),0,IF(1=$K33,200000,ABS(1-$K33)*100)),100000+ABS(6-$J33)*1000+10)+'計算A'!DT$5*50+IF(AND($E33=1,NG33=0),25,0),IF($F33&gt;0,INDEX('計算A'!DT$110:DT$114,$F33+1)+IF(AND($E33=1,NG33=0),1000,0),MIN(TZ33,20)*400+(IF('計算A'!DT$106=1,1-HS33,0))*150+16+'計算A'!DT$5*100000+IF(AND($E33=1,NG33=0),50000,0))+IF($H33=1,(IF('計算A'!DT$117=1,INDEX('計算A'!DU$10:DU$54,$B33),0))*4000,0)-IF(AND($L33=1,'計算A'!DT$117=1,HS33=0),2000,0))),1000000))</f>
        <v/>
      </c>
      <c r="SW33">
        <f>IF($B33=0,1000000,IF(INDEX('計算A'!$D$60:$EQ$104,$B33,122)*HS33=1,IF(AND($E33=2,NH33=0),1000000,IF($I33&gt;0,IF(6=$J33,IF(OR(AND(122=$I33+1,OR($K33&lt;&gt;'計算A'!$A$3,'計算A'!$A$4=0)),AND(122=$I33-1,OR(2&lt;&gt;'計算A'!$A$3,'計算A'!$A$4=0))),0,IF(2=$K33,200000,ABS(2-$K33)*100)),100000+ABS(6-$J33)*1000+20)+'計算A'!DU$5*50+IF(AND($E33=1,NH33=0),25,0),IF($F33&gt;0,INDEX('計算A'!DU$110:DU$114,$F33+1)+IF(AND($E33=1,NH33=0),1000,0),MIN(TZ33,20)*400+(IF('計算A'!DT$106=1,1-HR33,0)+IF('計算A'!DU$106=1,1-HT33,0))*150+26+'計算A'!DU$5*100000+IF(AND($E33=1,NH33=0),50000,0))+IF($H33=1,(IF('計算A'!DT$117=1,INDEX('計算A'!DT$10:DT$54,$B33),0)+IF('計算A'!DU$117=1,INDEX('計算A'!DV$10:DV$54,$B33),0))*4000,0)-IF(AND('計算A'!DT$117=1,YR33&gt;0),2000,0)-IF(AND($L33=1,'計算A'!DU$117=1,HT33=0),2000,0))),1000000))</f>
        <v/>
      </c>
      <c r="SX33">
        <f>IF($B33=0,1000000,IF(INDEX('計算A'!$D$60:$EQ$104,$B33,123)*HT33=1,IF(AND($E33=2,NI33=0),1000000,IF($I33&gt;0,IF(6=$J33,IF(OR(AND(123=$I33+1,OR($K33&lt;&gt;'計算A'!$A$3,'計算A'!$A$4=0)),AND(123=$I33-1,OR(3&lt;&gt;'計算A'!$A$3,'計算A'!$A$4=0))),0,IF(3=$K33,200000,ABS(3-$K33)*100)),100000+ABS(6-$J33)*1000+30)+'計算A'!DV$5*50+IF(AND($E33=1,NI33=0),25,0),IF($F33&gt;0,INDEX('計算A'!DV$110:DV$114,$F33+1)+IF(AND($E33=1,NI33=0),1000,0),MIN(TZ33,20)*400+(IF('計算A'!DU$106=1,1-HS33,0)+IF('計算A'!DV$106=1,1-HU33,0))*150+36+'計算A'!DV$5*100000+IF(AND($E33=1,NI33=0),50000,0))+IF($H33=1,(IF('計算A'!DU$117=1,INDEX('計算A'!DU$10:DU$54,$B33),0)+IF('計算A'!DV$117=1,INDEX('計算A'!DW$10:DW$54,$B33),0))*4000,0)-IF(AND('計算A'!DU$117=1,YS33&gt;0),2000,0)-IF(AND($L33=1,'計算A'!DV$117=1,HU33=0),2000,0))),1000000))</f>
        <v/>
      </c>
      <c r="SY33">
        <f>IF($B33=0,1000000,IF(INDEX('計算A'!$D$60:$EQ$104,$B33,124)*HU33=1,IF(AND($E33=2,NJ33=0),1000000,IF($I33&gt;0,IF(6=$J33,IF(OR(AND(124=$I33+1,OR($K33&lt;&gt;'計算A'!$A$3,'計算A'!$A$4=0)),AND(124=$I33-1,OR(4&lt;&gt;'計算A'!$A$3,'計算A'!$A$4=0))),0,IF(4=$K33,200000,ABS(4-$K33)*100)),100000+ABS(6-$J33)*1000+40)+'計算A'!DW$5*50+IF(AND($E33=1,NJ33=0),25,0),IF($F33&gt;0,INDEX('計算A'!DW$110:DW$114,$F33+1)+IF(AND($E33=1,NJ33=0),1000,0),MIN(TZ33,20)*400+(IF('計算A'!DV$106=1,1-HT33,0)+IF('計算A'!DW$106=1,1-HV33,0))*150+46+'計算A'!DW$5*100000+IF(AND($E33=1,NJ33=0),50000,0))+IF($H33=1,(IF('計算A'!DV$117=1,INDEX('計算A'!DV$10:DV$54,$B33),0)+IF('計算A'!DW$117=1,INDEX('計算A'!DX$10:DX$54,$B33),0))*4000,0)-IF(AND('計算A'!DV$117=1,YT33&gt;0),2000,0)-IF(AND($L33=1,'計算A'!DW$117=1,HV33=0),2000,0))),1000000))</f>
        <v/>
      </c>
      <c r="SZ33">
        <f>IF($B33=0,1000000,IF(INDEX('計算A'!$D$60:$EQ$104,$B33,125)*HV33=1,IF(AND($E33=2,NK33=0),1000000,IF($I33&gt;0,IF(6=$J33,IF(OR(AND(125=$I33+1,OR($K33&lt;&gt;'計算A'!$A$3,'計算A'!$A$4=0)),AND(125=$I33-1,OR(5&lt;&gt;'計算A'!$A$3,'計算A'!$A$4=0))),0,IF(5=$K33,200000,ABS(5-$K33)*100)),100000+ABS(6-$J33)*1000+50)+'計算A'!DX$5*50+IF(AND($E33=1,NK33=0),25,0),IF($F33&gt;0,INDEX('計算A'!DX$110:DX$114,$F33+1)+IF(AND($E33=1,NK33=0),1000,0),MIN(TZ33,20)*400+(IF('計算A'!DW$106=1,1-HU33,0)+IF('計算A'!DX$106=1,1-HW33,0))*150+56+'計算A'!DX$5*100000+IF(AND($E33=1,NK33=0),50000,0))+IF($H33=1,(IF('計算A'!DW$117=1,INDEX('計算A'!DW$10:DW$54,$B33),0)+IF('計算A'!DX$117=1,INDEX('計算A'!DY$10:DY$54,$B33),0))*4000,0)-IF(AND('計算A'!DW$117=1,YU33&gt;0),2000,0)-IF(AND($L33=1,'計算A'!DX$117=1,HW33=0),2000,0))),1000000))</f>
        <v/>
      </c>
      <c r="TA33">
        <f>IF($B33=0,1000000,IF(INDEX('計算A'!$D$60:$EQ$104,$B33,126)*HW33=1,IF(AND($E33=2,NL33=0),1000000,IF($I33&gt;0,IF(6=$J33,IF(OR(AND(126=$I33+1,OR($K33&lt;&gt;'計算A'!$A$3,'計算A'!$A$4=0)),AND(126=$I33-1,OR(6&lt;&gt;'計算A'!$A$3,'計算A'!$A$4=0))),0,IF(6=$K33,200000,ABS(6-$K33)*100)),100000+ABS(6-$J33)*1000+60)+'計算A'!DY$5*50+IF(AND($E33=1,NL33=0),25,0),IF($F33&gt;0,INDEX('計算A'!DY$110:DY$114,$F33+1)+IF(AND($E33=1,NL33=0),1000,0),MIN(TZ33,20)*400+(IF('計算A'!DX$106=1,1-HV33,0)+IF('計算A'!DY$106=1,1-HX33,0))*150+66+'計算A'!DY$5*100000+IF(AND($E33=1,NL33=0),50000,0))+IF($H33=1,(IF('計算A'!DX$117=1,INDEX('計算A'!DX$10:DX$54,$B33),0)+IF('計算A'!DY$117=1,INDEX('計算A'!DZ$10:DZ$54,$B33),0))*4000,0)-IF(AND('計算A'!DX$117=1,YV33&gt;0),2000,0)-IF(AND($L33=1,'計算A'!DY$117=1,HX33=0),2000,0))),1000000))</f>
        <v/>
      </c>
      <c r="TB33">
        <f>IF($B33=0,1000000,IF(INDEX('計算A'!$D$60:$EQ$104,$B33,127)*HX33=1,IF(AND($E33=2,NM33=0),1000000,IF($I33&gt;0,IF(6=$J33,IF(OR(AND(127=$I33+1,OR($K33&lt;&gt;'計算A'!$A$3,'計算A'!$A$4=0)),AND(127=$I33-1,OR(7&lt;&gt;'計算A'!$A$3,'計算A'!$A$4=0))),0,IF(7=$K33,200000,ABS(7-$K33)*100)),100000+ABS(6-$J33)*1000+70)+'計算A'!DZ$5*50+IF(AND($E33=1,NM33=0),25,0),IF($F33&gt;0,INDEX('計算A'!DZ$110:DZ$114,$F33+1)+IF(AND($E33=1,NM33=0),1000,0),MIN(TZ33,20)*400+(IF('計算A'!DY$106=1,1-HW33,0)+IF('計算A'!DZ$106=1,1-HY33,0))*150+76+'計算A'!DZ$5*100000+IF(AND($E33=1,NM33=0),50000,0))+IF($H33=1,(IF('計算A'!DY$117=1,INDEX('計算A'!DY$10:DY$54,$B33),0)+IF('計算A'!DZ$117=1,INDEX('計算A'!EA$10:EA$54,$B33),0))*4000,0)-IF(AND('計算A'!DY$117=1,YW33&gt;0),2000,0)-IF(AND($L33=1,'計算A'!DZ$117=1,HY33=0),2000,0))),1000000))</f>
        <v/>
      </c>
      <c r="TC33">
        <f>IF($B33=0,1000000,IF(INDEX('計算A'!$D$60:$EQ$104,$B33,128)*HY33=1,IF(AND($E33=2,NN33=0),1000000,IF($I33&gt;0,IF(6=$J33,IF(OR(AND(128=$I33+1,OR($K33&lt;&gt;'計算A'!$A$3,'計算A'!$A$4=0)),AND(128=$I33-1,OR(8&lt;&gt;'計算A'!$A$3,'計算A'!$A$4=0))),0,IF(8=$K33,200000,ABS(8-$K33)*100)),100000+ABS(6-$J33)*1000+80)+'計算A'!EA$5*50+IF(AND($E33=1,NN33=0),25,0),IF($F33&gt;0,INDEX('計算A'!EA$110:EA$114,$F33+1)+IF(AND($E33=1,NN33=0),1000,0),MIN(TZ33,20)*400+(IF('計算A'!DZ$106=1,1-HX33,0)+IF('計算A'!EA$106=1,1-HZ33,0))*150+86+'計算A'!EA$5*100000+IF(AND($E33=1,NN33=0),50000,0))+IF($H33=1,(IF('計算A'!DZ$117=1,INDEX('計算A'!DZ$10:DZ$54,$B33),0)+IF('計算A'!EA$117=1,INDEX('計算A'!EB$10:EB$54,$B33),0))*4000,0)-IF(AND('計算A'!DZ$117=1,YX33&gt;0),2000,0)-IF(AND($L33=1,'計算A'!EA$117=1,HZ33=0),2000,0))),1000000))</f>
        <v/>
      </c>
      <c r="TD33">
        <f>IF($B33=0,1000000,IF(INDEX('計算A'!$D$60:$EQ$104,$B33,129)*HZ33=1,IF(AND($E33=2,NO33=0),1000000,IF($I33&gt;0,IF(6=$J33,IF(OR(AND(129=$I33+1,OR($K33&lt;&gt;'計算A'!$A$3,'計算A'!$A$4=0)),AND(129=$I33-1,OR(9&lt;&gt;'計算A'!$A$3,'計算A'!$A$4=0))),0,IF(9=$K33,200000,ABS(9-$K33)*100)),100000+ABS(6-$J33)*1000+90)+'計算A'!EB$5*50+IF(AND($E33=1,NO33=0),25,0),IF($F33&gt;0,INDEX('計算A'!EB$110:EB$114,$F33+1)+IF(AND($E33=1,NO33=0),1000,0),MIN(TZ33,20)*400+(IF('計算A'!EA$106=1,1-HY33,0)+IF('計算A'!EB$106=1,1-IA33,0))*150+96+'計算A'!EB$5*100000+IF(AND($E33=1,NO33=0),50000,0))+IF($H33=1,(IF('計算A'!EA$117=1,INDEX('計算A'!EA$10:EA$54,$B33),0)+IF('計算A'!EB$117=1,INDEX('計算A'!EC$10:EC$54,$B33),0))*4000,0)-IF(AND('計算A'!EA$117=1,YY33&gt;0),2000,0)-IF(AND($L33=1,'計算A'!EB$117=1,IA33=0),2000,0))),1000000))</f>
        <v/>
      </c>
      <c r="TE33">
        <f>IF($B33=0,1000000,IF(INDEX('計算A'!$D$60:$EQ$104,$B33,130)*IA33=1,IF(AND($E33=2,NP33=0),1000000,IF($I33&gt;0,IF(6=$J33,IF(OR(AND(130=$I33+1,OR($K33&lt;&gt;'計算A'!$A$3,'計算A'!$A$4=0)),AND(130=$I33-1,OR(10&lt;&gt;'計算A'!$A$3,'計算A'!$A$4=0))),0,IF(10=$K33,200000,ABS(10-$K33)*100)),100000+ABS(6-$J33)*1000+100)+'計算A'!EC$5*50+IF(AND($E33=1,NP33=0),25,0),IF($F33&gt;0,INDEX('計算A'!EC$110:EC$114,$F33+1)+IF(AND($E33=1,NP33=0),1000,0),MIN(TZ33,20)*400+(IF('計算A'!EB$106=1,1-HZ33,0)+IF('計算A'!EC$106=1,1-IB33,0))*150+106+'計算A'!EC$5*100000+IF(AND($E33=1,NP33=0),50000,0))+IF($H33=1,(IF('計算A'!EB$117=1,INDEX('計算A'!EB$10:EB$54,$B33),0)+IF('計算A'!EC$117=1,INDEX('計算A'!ED$10:ED$54,$B33),0))*4000,0)-IF(AND('計算A'!EB$117=1,YZ33&gt;0),2000,0)-IF(AND($L33=1,'計算A'!EC$117=1,IB33=0),2000,0))),1000000))</f>
        <v/>
      </c>
      <c r="TF33">
        <f>IF($B33=0,1000000,IF(INDEX('計算A'!$D$60:$EQ$104,$B33,131)*IB33=1,IF(AND($E33=2,NQ33=0),1000000,IF($I33&gt;0,IF(6=$J33,IF(OR(AND(131=$I33+1,OR($K33&lt;&gt;'計算A'!$A$3,'計算A'!$A$4=0)),AND(131=$I33-1,OR(11&lt;&gt;'計算A'!$A$3,'計算A'!$A$4=0))),0,IF(11=$K33,200000,ABS(11-$K33)*100)),100000+ABS(6-$J33)*1000+110)+'計算A'!ED$5*50+IF(AND($E33=1,NQ33=0),25,0),IF($F33&gt;0,INDEX('計算A'!ED$110:ED$114,$F33+1)+IF(AND($E33=1,NQ33=0),1000,0),MIN(TZ33,20)*400+(IF('計算A'!EC$106=1,1-IA33,0)+IF('計算A'!ED$106=1,1-IC33,0))*150+116+'計算A'!ED$5*100000+IF(AND($E33=1,NQ33=0),50000,0))+IF($H33=1,(IF('計算A'!EC$117=1,INDEX('計算A'!EC$10:EC$54,$B33),0)+IF('計算A'!ED$117=1,INDEX('計算A'!EE$10:EE$54,$B33),0))*4000,0)-IF(AND('計算A'!EC$117=1,ZA33&gt;0),2000,0)-IF(AND($L33=1,'計算A'!ED$117=1,IC33=0),2000,0))),1000000))</f>
        <v/>
      </c>
      <c r="TG33">
        <f>IF($B33=0,1000000,IF(INDEX('計算A'!$D$60:$EQ$104,$B33,132)*IC33=1,IF(AND($E33=2,NR33=0),1000000,IF($I33&gt;0,IF(6=$J33,IF(OR(AND(132=$I33+1,OR($K33&lt;&gt;'計算A'!$A$3,'計算A'!$A$4=0)),AND(132=$I33-1,OR(12&lt;&gt;'計算A'!$A$3,'計算A'!$A$4=0))),0,IF(12=$K33,200000,ABS(12-$K33)*100)),100000+ABS(6-$J33)*1000+120)+'計算A'!EE$5*50+IF(AND($E33=1,NR33=0),25,0),IF($F33&gt;0,INDEX('計算A'!EE$110:EE$114,$F33+1)+IF(AND($E33=1,NR33=0),1000,0),MIN(TZ33,20)*400+(IF('計算A'!ED$106=1,1-IB33,0)+IF('計算A'!EE$106=1,1-ID33,0))*150+126+'計算A'!EE$5*100000+IF(AND($E33=1,NR33=0),50000,0))+IF($H33=1,(IF('計算A'!ED$117=1,INDEX('計算A'!ED$10:ED$54,$B33),0)+IF('計算A'!EE$117=1,INDEX('計算A'!EF$10:EF$54,$B33),0))*4000,0)-IF(AND('計算A'!ED$117=1,ZB33&gt;0),2000,0)-IF(AND($L33=1,'計算A'!EE$117=1,ID33=0),2000,0))),1000000))</f>
        <v/>
      </c>
      <c r="TH33">
        <f>IF($B33=0,1000000,IF(INDEX('計算A'!$D$60:$EQ$104,$B33,133)*ID33=1,IF(AND($E33=2,NS33=0),1000000,IF($I33&gt;0,IF(6=$J33,IF(OR(AND(133=$I33+1,OR($K33&lt;&gt;'計算A'!$A$3,'計算A'!$A$4=0)),AND(133=$I33-1,OR(13&lt;&gt;'計算A'!$A$3,'計算A'!$A$4=0))),0,IF(13=$K33,200000,ABS(13-$K33)*100)),100000+ABS(6-$J33)*1000+130)+'計算A'!EF$5*50+IF(AND($E33=1,NS33=0),25,0),IF($F33&gt;0,INDEX('計算A'!EF$110:EF$114,$F33+1)+IF(AND($E33=1,NS33=0),1000,0),MIN(TZ33,20)*400+(IF('計算A'!EE$106=1,1-IC33,0)+IF('計算A'!EF$106=1,1-IE33,0))*150+136+'計算A'!EF$5*100000+IF(AND($E33=1,NS33=0),50000,0))+IF($H33=1,(IF('計算A'!EE$117=1,INDEX('計算A'!EE$10:EE$54,$B33),0)+IF('計算A'!EF$117=1,INDEX('計算A'!EG$10:EG$54,$B33),0))*4000,0)-IF(AND('計算A'!EE$117=1,ZC33&gt;0),2000,0)-IF(AND($L33=1,'計算A'!EF$117=1,IE33=0),2000,0))),1000000))</f>
        <v/>
      </c>
      <c r="TI33">
        <f>IF($B33=0,1000000,IF(INDEX('計算A'!$D$60:$EQ$104,$B33,134)*IE33=1,IF(AND($E33=2,NT33=0),1000000,IF($I33&gt;0,IF(6=$J33,IF(OR(AND(134=$I33+1,OR($K33&lt;&gt;'計算A'!$A$3,'計算A'!$A$4=0)),AND(134=$I33-1,OR(14&lt;&gt;'計算A'!$A$3,'計算A'!$A$4=0))),0,IF(14=$K33,200000,ABS(14-$K33)*100)),100000+ABS(6-$J33)*1000+140)+'計算A'!EG$5*50+IF(AND($E33=1,NT33=0),25,0),IF($F33&gt;0,INDEX('計算A'!EG$110:EG$114,$F33+1)+IF(AND($E33=1,NT33=0),1000,0),MIN(TZ33,20)*400+(IF('計算A'!EF$106=1,1-ID33,0)+IF('計算A'!EG$106=1,1-IF33,0))*150+146+'計算A'!EG$5*100000+IF(AND($E33=1,NT33=0),50000,0))+IF($H33=1,(IF('計算A'!EF$117=1,INDEX('計算A'!EF$10:EF$54,$B33),0)+IF('計算A'!EG$117=1,INDEX('計算A'!EH$10:EH$54,$B33),0))*4000,0)-IF(AND('計算A'!EF$117=1,ZD33&gt;0),2000,0)-IF(AND($L33=1,'計算A'!EG$117=1,IF33=0),2000,0))),1000000))</f>
        <v/>
      </c>
      <c r="TJ33">
        <f>IF($B33=0,1000000,IF(INDEX('計算A'!$D$60:$EQ$104,$B33,135)*IF33=1,IF(AND($E33=2,NU33=0),1000000,IF($I33&gt;0,IF(6=$J33,IF(OR(AND(135=$I33+1,OR($K33&lt;&gt;'計算A'!$A$3,'計算A'!$A$4=0)),AND(135=$I33-1,OR(15&lt;&gt;'計算A'!$A$3,'計算A'!$A$4=0))),0,IF(15=$K33,200000,ABS(15-$K33)*100)),100000+ABS(6-$J33)*1000+150)+'計算A'!EH$5*50+IF(AND($E33=1,NU33=0),25,0),IF($F33&gt;0,INDEX('計算A'!EH$110:EH$114,$F33+1)+IF(AND($E33=1,NU33=0),1000,0),MIN(TZ33,20)*400+(IF('計算A'!EG$106=1,1-IE33,0)+IF('計算A'!EH$106=1,1-IG33,0))*150+156+'計算A'!EH$5*100000+IF(AND($E33=1,NU33=0),50000,0))+IF($H33=1,(IF('計算A'!EG$117=1,INDEX('計算A'!EG$10:EG$54,$B33),0)+IF('計算A'!EH$117=1,INDEX('計算A'!EI$10:EI$54,$B33),0))*4000,0)-IF(AND('計算A'!EG$117=1,ZE33&gt;0),2000,0)-IF(AND($L33=1,'計算A'!EH$117=1,IG33=0),2000,0))),1000000))</f>
        <v/>
      </c>
      <c r="TK33">
        <f>IF($B33=0,1000000,IF(INDEX('計算A'!$D$60:$EQ$104,$B33,136)*IG33=1,IF(AND($E33=2,NV33=0),1000000,IF($I33&gt;0,IF(6=$J33,IF(OR(AND(136=$I33+1,OR($K33&lt;&gt;'計算A'!$A$3,'計算A'!$A$4=0)),AND(136=$I33-1,OR(16&lt;&gt;'計算A'!$A$3,'計算A'!$A$4=0))),0,IF(16=$K33,200000,ABS(16-$K33)*100)),100000+ABS(6-$J33)*1000+160)+'計算A'!EI$5*50+IF(AND($E33=1,NV33=0),25,0),IF($F33&gt;0,INDEX('計算A'!EI$110:EI$114,$F33+1)+IF(AND($E33=1,NV33=0),1000,0),MIN(TZ33,20)*400+(IF('計算A'!EH$106=1,1-IF33,0)+IF('計算A'!EI$106=1,1-IH33,0))*150+166+'計算A'!EI$5*100000+IF(AND($E33=1,NV33=0),50000,0))+IF($H33=1,(IF('計算A'!EH$117=1,INDEX('計算A'!EH$10:EH$54,$B33),0)+IF('計算A'!EI$117=1,INDEX('計算A'!EJ$10:EJ$54,$B33),0))*4000,0)-IF(AND('計算A'!EH$117=1,ZF33&gt;0),2000,0)-IF(AND($L33=1,'計算A'!EI$117=1,IH33=0),2000,0))),1000000))</f>
        <v/>
      </c>
      <c r="TL33">
        <f>IF($B33=0,1000000,IF(INDEX('計算A'!$D$60:$EQ$104,$B33,137)*IH33=1,IF(AND($E33=2,NW33=0),1000000,IF($I33&gt;0,IF(6=$J33,IF(OR(AND(137=$I33+1,OR($K33&lt;&gt;'計算A'!$A$3,'計算A'!$A$4=0)),AND(137=$I33-1,OR(17&lt;&gt;'計算A'!$A$3,'計算A'!$A$4=0))),0,IF(17=$K33,200000,ABS(17-$K33)*100)),100000+ABS(6-$J33)*1000+170)+'計算A'!EJ$5*50+IF(AND($E33=1,NW33=0),25,0),IF($F33&gt;0,INDEX('計算A'!EJ$110:EJ$114,$F33+1)+IF(AND($E33=1,NW33=0),1000,0),MIN(TZ33,20)*400+(IF('計算A'!EI$106=1,1-IG33,0)+IF('計算A'!EJ$106=1,1-II33,0))*150+176+'計算A'!EJ$5*100000+IF(AND($E33=1,NW33=0),50000,0))+IF($H33=1,(IF('計算A'!EI$117=1,INDEX('計算A'!EI$10:EI$54,$B33),0)+IF('計算A'!EJ$117=1,INDEX('計算A'!EK$10:EK$54,$B33),0))*4000,0)-IF(AND('計算A'!EI$117=1,ZG33&gt;0),2000,0)-IF(AND($L33=1,'計算A'!EJ$117=1,II33=0),2000,0))),1000000))</f>
        <v/>
      </c>
      <c r="TM33">
        <f>IF($B33=0,1000000,IF(INDEX('計算A'!$D$60:$EQ$104,$B33,138)*II33=1,IF(AND($E33=2,NX33=0),1000000,IF($I33&gt;0,IF(6=$J33,IF(OR(AND(138=$I33+1,OR($K33&lt;&gt;'計算A'!$A$3,'計算A'!$A$4=0)),AND(138=$I33-1,OR(18&lt;&gt;'計算A'!$A$3,'計算A'!$A$4=0))),0,IF(18=$K33,200000,ABS(18-$K33)*100)),100000+ABS(6-$J33)*1000+180)+'計算A'!EK$5*50+IF(AND($E33=1,NX33=0),25,0),IF($F33&gt;0,INDEX('計算A'!EK$110:EK$114,$F33+1)+IF(AND($E33=1,NX33=0),1000,0),MIN(TZ33,20)*400+(IF('計算A'!EJ$106=1,1-IH33,0)+IF('計算A'!EK$106=1,1-IJ33,0))*150+186+'計算A'!EK$5*100000+IF(AND($E33=1,NX33=0),50000,0))+IF($H33=1,(IF('計算A'!EJ$117=1,INDEX('計算A'!EJ$10:EJ$54,$B33),0)+IF('計算A'!EK$117=1,INDEX('計算A'!EL$10:EL$54,$B33),0))*4000,0)-IF(AND('計算A'!EJ$117=1,ZH33&gt;0),2000,0)-IF(AND($L33=1,'計算A'!EK$117=1,IJ33=0),2000,0))),1000000))</f>
        <v/>
      </c>
      <c r="TN33">
        <f>IF($B33=0,1000000,IF(INDEX('計算A'!$D$60:$EQ$104,$B33,139)*IJ33=1,IF(AND($E33=2,NY33=0),1000000,IF($I33&gt;0,IF(6=$J33,IF(OR(AND(139=$I33+1,OR($K33&lt;&gt;'計算A'!$A$3,'計算A'!$A$4=0)),AND(139=$I33-1,OR(19&lt;&gt;'計算A'!$A$3,'計算A'!$A$4=0))),0,IF(19=$K33,200000,ABS(19-$K33)*100)),100000+ABS(6-$J33)*1000+190)+'計算A'!EL$5*50+IF(AND($E33=1,NY33=0),25,0),IF($F33&gt;0,INDEX('計算A'!EL$110:EL$114,$F33+1)+IF(AND($E33=1,NY33=0),1000,0),MIN(TZ33,20)*400+(IF('計算A'!EK$106=1,1-II33,0)+IF('計算A'!EL$106=1,1-IK33,0))*150+196+'計算A'!EL$5*100000+IF(AND($E33=1,NY33=0),50000,0))+IF($H33=1,(IF('計算A'!EK$117=1,INDEX('計算A'!EK$10:EK$54,$B33),0)+IF('計算A'!EL$117=1,INDEX('計算A'!EM$10:EM$54,$B33),0))*4000,0)-IF(AND('計算A'!EK$117=1,ZI33&gt;0),2000,0)-IF(AND($L33=1,'計算A'!EL$117=1,IK33=0),2000,0))),1000000))</f>
        <v/>
      </c>
      <c r="TO33">
        <f>IF($B33=0,1000000,IF(INDEX('計算A'!$D$60:$EQ$104,$B33,140)*IK33=1,IF(AND($E33=2,NZ33=0),1000000,IF($I33&gt;0,IF(6=$J33,IF(OR(AND(140=$I33+1,OR($K33&lt;&gt;'計算A'!$A$3,'計算A'!$A$4=0)),AND(140=$I33-1,OR(20&lt;&gt;'計算A'!$A$3,'計算A'!$A$4=0))),0,IF(20=$K33,200000,ABS(20-$K33)*100)),100000+ABS(6-$J33)*1000+200)+'計算A'!EM$5*50+IF(AND($E33=1,NZ33=0),25,0),IF($F33&gt;0,INDEX('計算A'!EM$110:EM$114,$F33+1)+IF(AND($E33=1,NZ33=0),1000,0),MIN(TZ33,20)*400+(IF('計算A'!EL$106=1,1-IJ33,0)+IF('計算A'!EM$106=1,1-IL33,0))*150+206+'計算A'!EM$5*100000+IF(AND($E33=1,NZ33=0),50000,0))+IF($H33=1,(IF('計算A'!EL$117=1,INDEX('計算A'!EL$10:EL$54,$B33),0)+IF('計算A'!EM$117=1,INDEX('計算A'!EN$10:EN$54,$B33),0))*4000,0)-IF(AND('計算A'!EL$117=1,ZJ33&gt;0),2000,0)-IF(AND($L33=1,'計算A'!EM$117=1,IL33=0),2000,0))),1000000))</f>
        <v/>
      </c>
      <c r="TP33">
        <f>IF($B33=0,1000000,IF(INDEX('計算A'!$D$60:$EQ$104,$B33,141)*IL33=1,IF(AND($E33=2,OA33=0),1000000,IF($I33&gt;0,IF(6=$J33,IF(OR(AND(141=$I33+1,OR($K33&lt;&gt;'計算A'!$A$3,'計算A'!$A$4=0)),AND(141=$I33-1,OR(21&lt;&gt;'計算A'!$A$3,'計算A'!$A$4=0))),0,IF(21=$K33,200000,ABS(21-$K33)*100)),100000+ABS(6-$J33)*1000+210)+'計算A'!EN$5*50+IF(AND($E33=1,OA33=0),25,0),IF($F33&gt;0,INDEX('計算A'!EN$110:EN$114,$F33+1)+IF(AND($E33=1,OA33=0),1000,0),MIN(TZ33,20)*400+(IF('計算A'!EM$106=1,1-IK33,0)+IF('計算A'!EN$106=1,1-IM33,0))*150+216+'計算A'!EN$5*100000+IF(AND($E33=1,OA33=0),50000,0))+IF($H33=1,(IF('計算A'!EM$117=1,INDEX('計算A'!EM$10:EM$54,$B33),0)+IF('計算A'!EN$117=1,INDEX('計算A'!EO$10:EO$54,$B33),0))*4000,0)-IF(AND('計算A'!EM$117=1,ZK33&gt;0),2000,0)-IF(AND($L33=1,'計算A'!EN$117=1,IM33=0),2000,0))),1000000))</f>
        <v/>
      </c>
      <c r="TQ33">
        <f>IF($B33=0,1000000,IF(INDEX('計算A'!$D$60:$EQ$104,$B33,142)*IM33=1,IF(AND($E33=2,OB33=0),1000000,IF($I33&gt;0,IF(6=$J33,IF(OR(AND(142=$I33+1,OR($K33&lt;&gt;'計算A'!$A$3,'計算A'!$A$4=0)),AND(142=$I33-1,OR(22&lt;&gt;'計算A'!$A$3,'計算A'!$A$4=0))),0,IF(22=$K33,200000,ABS(22-$K33)*100)),100000+ABS(6-$J33)*1000+220)+'計算A'!EO$5*50+IF(AND($E33=1,OB33=0),25,0),IF($F33&gt;0,INDEX('計算A'!EO$110:EO$114,$F33+1)+IF(AND($E33=1,OB33=0),1000,0),MIN(TZ33,20)*400+(IF('計算A'!EN$106=1,1-IL33,0)+IF('計算A'!EO$106=1,1-IN33,0))*150+226+'計算A'!EO$5*100000+IF(AND($E33=1,OB33=0),50000,0))+IF($H33=1,(IF('計算A'!EN$117=1,INDEX('計算A'!EN$10:EN$54,$B33),0)+IF('計算A'!EO$117=1,INDEX('計算A'!EP$10:EP$54,$B33),0))*4000,0)-IF(AND('計算A'!EN$117=1,ZL33&gt;0),2000,0)-IF(AND($L33=1,'計算A'!EO$117=1,IN33=0),2000,0))),1000000))</f>
        <v/>
      </c>
      <c r="TR33">
        <f>IF($B33=0,1000000,IF(INDEX('計算A'!$D$60:$EQ$104,$B33,143)*IN33=1,IF(AND($E33=2,OC33=0),1000000,IF($I33&gt;0,IF(6=$J33,IF(OR(AND(143=$I33+1,OR($K33&lt;&gt;'計算A'!$A$3,'計算A'!$A$4=0)),AND(143=$I33-1,OR(23&lt;&gt;'計算A'!$A$3,'計算A'!$A$4=0))),0,IF(23=$K33,200000,ABS(23-$K33)*100)),100000+ABS(6-$J33)*1000+230)+'計算A'!EP$5*50+IF(AND($E33=1,OC33=0),25,0),IF($F33&gt;0,INDEX('計算A'!EP$110:EP$114,$F33+1)+IF(AND($E33=1,OC33=0),1000,0),MIN(TZ33,20)*400+(IF('計算A'!EO$106=1,1-IM33,0)+IF('計算A'!EP$106=1,1-IO33,0))*150+236+'計算A'!EP$5*100000+IF(AND($E33=1,OC33=0),50000,0))+IF($H33=1,(IF('計算A'!EO$117=1,INDEX('計算A'!EO$10:EO$54,$B33),0)+IF('計算A'!EP$117=1,INDEX('計算A'!EQ$10:EQ$54,$B33),0))*4000,0)-IF(AND('計算A'!EO$117=1,ZM33&gt;0),2000,0)-IF(AND($L33=1,'計算A'!EP$117=1,IO33=0),2000,0))),1000000))</f>
        <v/>
      </c>
      <c r="TS33">
        <f>IF($B33=0,1000000,IF(INDEX('計算A'!$D$60:$EQ$104,$B33,144)*IO33=1,IF(AND($E33=2,OD33=0),1000000,IF($I33&gt;0,IF(6=$J33,IF(OR(AND(144=$I33+1,OR($K33&lt;&gt;'計算A'!$A$3,'計算A'!$A$4=0)),AND(144=$I33-1,OR(24&lt;&gt;'計算A'!$A$3,'計算A'!$A$4=0))),0,IF(24=$K33,200000,ABS(24-$K33)*100)),100000+ABS(6-$J33)*1000+240)+'計算A'!EQ$5*50+IF(AND($E33=1,OD33=0),25,0),IF($F33&gt;0,INDEX('計算A'!EQ$110:EQ$114,$F33+1)+IF(AND($E33=1,OD33=0),1000,0),MIN(TZ33,20)*400+(IF('計算A'!EP$106=1,1-IN33,0))*150+246+'計算A'!EQ$5*100000+IF(AND($E33=1,OD33=0),50000,0))+IF($H33=1,(IF('計算A'!EP$117=1,INDEX('計算A'!EP$10:EP$54,$B33),0))*4000,0)-IF(AND('計算A'!EP$117=1,ZN33&gt;0),2000,0))),1000000))</f>
        <v/>
      </c>
      <c r="TU33">
        <f>TU32+IF($C32&gt;0,IF(INDEX('計算A'!$D$2:$EQ$2,$C32)=1,1,0),0)</f>
        <v/>
      </c>
      <c r="TV33">
        <f>TV32+IF($C32&gt;0,IF(INDEX('計算A'!$D$2:$EQ$2,$C32)=2,1,0),0)</f>
        <v/>
      </c>
      <c r="TW33">
        <f>TW32+IF($C32&gt;0,IF(INDEX('計算A'!$D$2:$EQ$2,$C32)=3,1,0),0)</f>
        <v/>
      </c>
      <c r="TX33">
        <f>TX32+IF($C32&gt;0,IF(INDEX('計算A'!$D$2:$EQ$2,$C32)=4,1,0),0)</f>
        <v/>
      </c>
      <c r="TY33">
        <f>TY32+IF($C32&gt;0,IF(INDEX('計算A'!$D$2:$EQ$2,$C32)=5,1,0),0)</f>
        <v/>
      </c>
      <c r="TZ33">
        <f>TZ32+IF($C32&gt;0,IF(INDEX('計算A'!$D$2:$EQ$2,$C32)=6,1,0),0)</f>
        <v/>
      </c>
      <c r="UB33">
        <f>UB32+IF(AND($C32=1,$L32=1),1,0)</f>
        <v/>
      </c>
      <c r="UC33">
        <f>UC32+IF(AND($C32=2,$L32=1),1,0)</f>
        <v/>
      </c>
      <c r="UD33">
        <f>UD32+IF(AND($C32=3,$L32=1),1,0)</f>
        <v/>
      </c>
      <c r="UE33">
        <f>UE32+IF(AND($C32=4,$L32=1),1,0)</f>
        <v/>
      </c>
      <c r="UF33">
        <f>UF32+IF(AND($C32=5,$L32=1),1,0)</f>
        <v/>
      </c>
      <c r="UG33">
        <f>UG32+IF(AND($C32=6,$L32=1),1,0)</f>
        <v/>
      </c>
      <c r="UH33">
        <f>UH32+IF(AND($C32=7,$L32=1),1,0)</f>
        <v/>
      </c>
      <c r="UI33">
        <f>UI32+IF(AND($C32=8,$L32=1),1,0)</f>
        <v/>
      </c>
      <c r="UJ33">
        <f>UJ32+IF(AND($C32=9,$L32=1),1,0)</f>
        <v/>
      </c>
      <c r="UK33">
        <f>UK32+IF(AND($C32=10,$L32=1),1,0)</f>
        <v/>
      </c>
      <c r="UL33">
        <f>UL32+IF(AND($C32=11,$L32=1),1,0)</f>
        <v/>
      </c>
      <c r="UM33">
        <f>UM32+IF(AND($C32=12,$L32=1),1,0)</f>
        <v/>
      </c>
      <c r="UN33">
        <f>UN32+IF(AND($C32=13,$L32=1),1,0)</f>
        <v/>
      </c>
      <c r="UO33">
        <f>UO32+IF(AND($C32=14,$L32=1),1,0)</f>
        <v/>
      </c>
      <c r="UP33">
        <f>UP32+IF(AND($C32=15,$L32=1),1,0)</f>
        <v/>
      </c>
      <c r="UQ33">
        <f>UQ32+IF(AND($C32=16,$L32=1),1,0)</f>
        <v/>
      </c>
      <c r="UR33">
        <f>UR32+IF(AND($C32=17,$L32=1),1,0)</f>
        <v/>
      </c>
      <c r="US33">
        <f>US32+IF(AND($C32=18,$L32=1),1,0)</f>
        <v/>
      </c>
      <c r="UT33">
        <f>UT32+IF(AND($C32=19,$L32=1),1,0)</f>
        <v/>
      </c>
      <c r="UU33">
        <f>UU32+IF(AND($C32=20,$L32=1),1,0)</f>
        <v/>
      </c>
      <c r="UV33">
        <f>UV32+IF(AND($C32=21,$L32=1),1,0)</f>
        <v/>
      </c>
      <c r="UW33">
        <f>UW32+IF(AND($C32=22,$L32=1),1,0)</f>
        <v/>
      </c>
      <c r="UX33">
        <f>UX32+IF(AND($C32=23,$L32=1),1,0)</f>
        <v/>
      </c>
      <c r="UY33">
        <f>UY32+IF(AND($C32=24,$L32=1),1,0)</f>
        <v/>
      </c>
      <c r="UZ33">
        <f>UZ32+IF(AND($C32=25,$L32=1),1,0)</f>
        <v/>
      </c>
      <c r="VA33">
        <f>VA32+IF(AND($C32=26,$L32=1),1,0)</f>
        <v/>
      </c>
      <c r="VB33">
        <f>VB32+IF(AND($C32=27,$L32=1),1,0)</f>
        <v/>
      </c>
      <c r="VC33">
        <f>VC32+IF(AND($C32=28,$L32=1),1,0)</f>
        <v/>
      </c>
      <c r="VD33">
        <f>VD32+IF(AND($C32=29,$L32=1),1,0)</f>
        <v/>
      </c>
      <c r="VE33">
        <f>VE32+IF(AND($C32=30,$L32=1),1,0)</f>
        <v/>
      </c>
      <c r="VF33">
        <f>VF32+IF(AND($C32=31,$L32=1),1,0)</f>
        <v/>
      </c>
      <c r="VG33">
        <f>VG32+IF(AND($C32=32,$L32=1),1,0)</f>
        <v/>
      </c>
      <c r="VH33">
        <f>VH32+IF(AND($C32=33,$L32=1),1,0)</f>
        <v/>
      </c>
      <c r="VI33">
        <f>VI32+IF(AND($C32=34,$L32=1),1,0)</f>
        <v/>
      </c>
      <c r="VJ33">
        <f>VJ32+IF(AND($C32=35,$L32=1),1,0)</f>
        <v/>
      </c>
      <c r="VK33">
        <f>VK32+IF(AND($C32=36,$L32=1),1,0)</f>
        <v/>
      </c>
      <c r="VL33">
        <f>VL32+IF(AND($C32=37,$L32=1),1,0)</f>
        <v/>
      </c>
      <c r="VM33">
        <f>VM32+IF(AND($C32=38,$L32=1),1,0)</f>
        <v/>
      </c>
      <c r="VN33">
        <f>VN32+IF(AND($C32=39,$L32=1),1,0)</f>
        <v/>
      </c>
      <c r="VO33">
        <f>VO32+IF(AND($C32=40,$L32=1),1,0)</f>
        <v/>
      </c>
      <c r="VP33">
        <f>VP32+IF(AND($C32=41,$L32=1),1,0)</f>
        <v/>
      </c>
      <c r="VQ33">
        <f>VQ32+IF(AND($C32=42,$L32=1),1,0)</f>
        <v/>
      </c>
      <c r="VR33">
        <f>VR32+IF(AND($C32=43,$L32=1),1,0)</f>
        <v/>
      </c>
      <c r="VS33">
        <f>VS32+IF(AND($C32=44,$L32=1),1,0)</f>
        <v/>
      </c>
      <c r="VT33">
        <f>VT32+IF(AND($C32=45,$L32=1),1,0)</f>
        <v/>
      </c>
      <c r="VU33">
        <f>VU32+IF(AND($C32=46,$L32=1),1,0)</f>
        <v/>
      </c>
      <c r="VV33">
        <f>VV32+IF(AND($C32=47,$L32=1),1,0)</f>
        <v/>
      </c>
      <c r="VW33">
        <f>VW32+IF(AND($C32=48,$L32=1),1,0)</f>
        <v/>
      </c>
      <c r="VX33">
        <f>VX32+IF(AND($C32=49,$L32=1),1,0)</f>
        <v/>
      </c>
      <c r="VY33">
        <f>VY32+IF(AND($C32=50,$L32=1),1,0)</f>
        <v/>
      </c>
      <c r="VZ33">
        <f>VZ32+IF(AND($C32=51,$L32=1),1,0)</f>
        <v/>
      </c>
      <c r="WA33">
        <f>WA32+IF(AND($C32=52,$L32=1),1,0)</f>
        <v/>
      </c>
      <c r="WB33">
        <f>WB32+IF(AND($C32=53,$L32=1),1,0)</f>
        <v/>
      </c>
      <c r="WC33">
        <f>WC32+IF(AND($C32=54,$L32=1),1,0)</f>
        <v/>
      </c>
      <c r="WD33">
        <f>WD32+IF(AND($C32=55,$L32=1),1,0)</f>
        <v/>
      </c>
      <c r="WE33">
        <f>WE32+IF(AND($C32=56,$L32=1),1,0)</f>
        <v/>
      </c>
      <c r="WF33">
        <f>WF32+IF(AND($C32=57,$L32=1),1,0)</f>
        <v/>
      </c>
      <c r="WG33">
        <f>WG32+IF(AND($C32=58,$L32=1),1,0)</f>
        <v/>
      </c>
      <c r="WH33">
        <f>WH32+IF(AND($C32=59,$L32=1),1,0)</f>
        <v/>
      </c>
      <c r="WI33">
        <f>WI32+IF(AND($C32=60,$L32=1),1,0)</f>
        <v/>
      </c>
      <c r="WJ33">
        <f>WJ32+IF(AND($C32=61,$L32=1),1,0)</f>
        <v/>
      </c>
      <c r="WK33">
        <f>WK32+IF(AND($C32=62,$L32=1),1,0)</f>
        <v/>
      </c>
      <c r="WL33">
        <f>WL32+IF(AND($C32=63,$L32=1),1,0)</f>
        <v/>
      </c>
      <c r="WM33">
        <f>WM32+IF(AND($C32=64,$L32=1),1,0)</f>
        <v/>
      </c>
      <c r="WN33">
        <f>WN32+IF(AND($C32=65,$L32=1),1,0)</f>
        <v/>
      </c>
      <c r="WO33">
        <f>WO32+IF(AND($C32=66,$L32=1),1,0)</f>
        <v/>
      </c>
      <c r="WP33">
        <f>WP32+IF(AND($C32=67,$L32=1),1,0)</f>
        <v/>
      </c>
      <c r="WQ33">
        <f>WQ32+IF(AND($C32=68,$L32=1),1,0)</f>
        <v/>
      </c>
      <c r="WR33">
        <f>WR32+IF(AND($C32=69,$L32=1),1,0)</f>
        <v/>
      </c>
      <c r="WS33">
        <f>WS32+IF(AND($C32=70,$L32=1),1,0)</f>
        <v/>
      </c>
      <c r="WT33">
        <f>WT32+IF(AND($C32=71,$L32=1),1,0)</f>
        <v/>
      </c>
      <c r="WU33">
        <f>WU32+IF(AND($C32=72,$L32=1),1,0)</f>
        <v/>
      </c>
      <c r="WV33">
        <f>WV32+IF(AND($C32=73,$L32=1),1,0)</f>
        <v/>
      </c>
      <c r="WW33">
        <f>WW32+IF(AND($C32=74,$L32=1),1,0)</f>
        <v/>
      </c>
      <c r="WX33">
        <f>WX32+IF(AND($C32=75,$L32=1),1,0)</f>
        <v/>
      </c>
      <c r="WY33">
        <f>WY32+IF(AND($C32=76,$L32=1),1,0)</f>
        <v/>
      </c>
      <c r="WZ33">
        <f>WZ32+IF(AND($C32=77,$L32=1),1,0)</f>
        <v/>
      </c>
      <c r="XA33">
        <f>XA32+IF(AND($C32=78,$L32=1),1,0)</f>
        <v/>
      </c>
      <c r="XB33">
        <f>XB32+IF(AND($C32=79,$L32=1),1,0)</f>
        <v/>
      </c>
      <c r="XC33">
        <f>XC32+IF(AND($C32=80,$L32=1),1,0)</f>
        <v/>
      </c>
      <c r="XD33">
        <f>XD32+IF(AND($C32=81,$L32=1),1,0)</f>
        <v/>
      </c>
      <c r="XE33">
        <f>XE32+IF(AND($C32=82,$L32=1),1,0)</f>
        <v/>
      </c>
      <c r="XF33">
        <f>XF32+IF(AND($C32=83,$L32=1),1,0)</f>
        <v/>
      </c>
      <c r="XG33">
        <f>XG32+IF(AND($C32=84,$L32=1),1,0)</f>
        <v/>
      </c>
      <c r="XH33">
        <f>XH32+IF(AND($C32=85,$L32=1),1,0)</f>
        <v/>
      </c>
      <c r="XI33">
        <f>XI32+IF(AND($C32=86,$L32=1),1,0)</f>
        <v/>
      </c>
      <c r="XJ33">
        <f>XJ32+IF(AND($C32=87,$L32=1),1,0)</f>
        <v/>
      </c>
      <c r="XK33">
        <f>XK32+IF(AND($C32=88,$L32=1),1,0)</f>
        <v/>
      </c>
      <c r="XL33">
        <f>XL32+IF(AND($C32=89,$L32=1),1,0)</f>
        <v/>
      </c>
      <c r="XM33">
        <f>XM32+IF(AND($C32=90,$L32=1),1,0)</f>
        <v/>
      </c>
      <c r="XN33">
        <f>XN32+IF(AND($C32=91,$L32=1),1,0)</f>
        <v/>
      </c>
      <c r="XO33">
        <f>XO32+IF(AND($C32=92,$L32=1),1,0)</f>
        <v/>
      </c>
      <c r="XP33">
        <f>XP32+IF(AND($C32=93,$L32=1),1,0)</f>
        <v/>
      </c>
      <c r="XQ33">
        <f>XQ32+IF(AND($C32=94,$L32=1),1,0)</f>
        <v/>
      </c>
      <c r="XR33">
        <f>XR32+IF(AND($C32=95,$L32=1),1,0)</f>
        <v/>
      </c>
      <c r="XS33">
        <f>XS32+IF(AND($C32=96,$L32=1),1,0)</f>
        <v/>
      </c>
      <c r="XT33">
        <f>XT32+IF(AND($C32=97,$L32=1),1,0)</f>
        <v/>
      </c>
      <c r="XU33">
        <f>XU32+IF(AND($C32=98,$L32=1),1,0)</f>
        <v/>
      </c>
      <c r="XV33">
        <f>XV32+IF(AND($C32=99,$L32=1),1,0)</f>
        <v/>
      </c>
      <c r="XW33">
        <f>XW32+IF(AND($C32=100,$L32=1),1,0)</f>
        <v/>
      </c>
      <c r="XX33">
        <f>XX32+IF(AND($C32=101,$L32=1),1,0)</f>
        <v/>
      </c>
      <c r="XY33">
        <f>XY32+IF(AND($C32=102,$L32=1),1,0)</f>
        <v/>
      </c>
      <c r="XZ33">
        <f>XZ32+IF(AND($C32=103,$L32=1),1,0)</f>
        <v/>
      </c>
      <c r="YA33">
        <f>YA32+IF(AND($C32=104,$L32=1),1,0)</f>
        <v/>
      </c>
      <c r="YB33">
        <f>YB32+IF(AND($C32=105,$L32=1),1,0)</f>
        <v/>
      </c>
      <c r="YC33">
        <f>YC32+IF(AND($C32=106,$L32=1),1,0)</f>
        <v/>
      </c>
      <c r="YD33">
        <f>YD32+IF(AND($C32=107,$L32=1),1,0)</f>
        <v/>
      </c>
      <c r="YE33">
        <f>YE32+IF(AND($C32=108,$L32=1),1,0)</f>
        <v/>
      </c>
      <c r="YF33">
        <f>YF32+IF(AND($C32=109,$L32=1),1,0)</f>
        <v/>
      </c>
      <c r="YG33">
        <f>YG32+IF(AND($C32=110,$L32=1),1,0)</f>
        <v/>
      </c>
      <c r="YH33">
        <f>YH32+IF(AND($C32=111,$L32=1),1,0)</f>
        <v/>
      </c>
      <c r="YI33">
        <f>YI32+IF(AND($C32=112,$L32=1),1,0)</f>
        <v/>
      </c>
      <c r="YJ33">
        <f>YJ32+IF(AND($C32=113,$L32=1),1,0)</f>
        <v/>
      </c>
      <c r="YK33">
        <f>YK32+IF(AND($C32=114,$L32=1),1,0)</f>
        <v/>
      </c>
      <c r="YL33">
        <f>YL32+IF(AND($C32=115,$L32=1),1,0)</f>
        <v/>
      </c>
      <c r="YM33">
        <f>YM32+IF(AND($C32=116,$L32=1),1,0)</f>
        <v/>
      </c>
      <c r="YN33">
        <f>YN32+IF(AND($C32=117,$L32=1),1,0)</f>
        <v/>
      </c>
      <c r="YO33">
        <f>YO32+IF(AND($C32=118,$L32=1),1,0)</f>
        <v/>
      </c>
      <c r="YP33">
        <f>YP32+IF(AND($C32=119,$L32=1),1,0)</f>
        <v/>
      </c>
      <c r="YQ33">
        <f>YQ32+IF(AND($C32=120,$L32=1),1,0)</f>
        <v/>
      </c>
      <c r="YR33">
        <f>YR32+IF(AND($C32=121,$L32=1),1,0)</f>
        <v/>
      </c>
      <c r="YS33">
        <f>YS32+IF(AND($C32=122,$L32=1),1,0)</f>
        <v/>
      </c>
      <c r="YT33">
        <f>YT32+IF(AND($C32=123,$L32=1),1,0)</f>
        <v/>
      </c>
      <c r="YU33">
        <f>YU32+IF(AND($C32=124,$L32=1),1,0)</f>
        <v/>
      </c>
      <c r="YV33">
        <f>YV32+IF(AND($C32=125,$L32=1),1,0)</f>
        <v/>
      </c>
      <c r="YW33">
        <f>YW32+IF(AND($C32=126,$L32=1),1,0)</f>
        <v/>
      </c>
      <c r="YX33">
        <f>YX32+IF(AND($C32=127,$L32=1),1,0)</f>
        <v/>
      </c>
      <c r="YY33">
        <f>YY32+IF(AND($C32=128,$L32=1),1,0)</f>
        <v/>
      </c>
      <c r="YZ33">
        <f>YZ32+IF(AND($C32=129,$L32=1),1,0)</f>
        <v/>
      </c>
      <c r="ZA33">
        <f>ZA32+IF(AND($C32=130,$L32=1),1,0)</f>
        <v/>
      </c>
      <c r="ZB33">
        <f>ZB32+IF(AND($C32=131,$L32=1),1,0)</f>
        <v/>
      </c>
      <c r="ZC33">
        <f>ZC32+IF(AND($C32=132,$L32=1),1,0)</f>
        <v/>
      </c>
      <c r="ZD33">
        <f>ZD32+IF(AND($C32=133,$L32=1),1,0)</f>
        <v/>
      </c>
      <c r="ZE33">
        <f>ZE32+IF(AND($C32=134,$L32=1),1,0)</f>
        <v/>
      </c>
      <c r="ZF33">
        <f>ZF32+IF(AND($C32=135,$L32=1),1,0)</f>
        <v/>
      </c>
      <c r="ZG33">
        <f>ZG32+IF(AND($C32=136,$L32=1),1,0)</f>
        <v/>
      </c>
      <c r="ZH33">
        <f>ZH32+IF(AND($C32=137,$L32=1),1,0)</f>
        <v/>
      </c>
      <c r="ZI33">
        <f>ZI32+IF(AND($C32=138,$L32=1),1,0)</f>
        <v/>
      </c>
      <c r="ZJ33">
        <f>ZJ32+IF(AND($C32=139,$L32=1),1,0)</f>
        <v/>
      </c>
      <c r="ZK33">
        <f>ZK32+IF(AND($C32=140,$L32=1),1,0)</f>
        <v/>
      </c>
      <c r="ZL33">
        <f>ZL32+IF(AND($C32=141,$L32=1),1,0)</f>
        <v/>
      </c>
      <c r="ZM33">
        <f>ZM32+IF(AND($C32=142,$L32=1),1,0)</f>
        <v/>
      </c>
      <c r="ZN33">
        <f>ZN32+IF(AND($C32=143,$L32=1),1,0)</f>
        <v/>
      </c>
      <c r="ZO33">
        <f>ZO32+IF(AND($C32=144,$L32=1),1,0)</f>
        <v/>
      </c>
    </row>
    <row r="34">
      <c r="A34" t="n">
        <v>32</v>
      </c>
      <c r="B34">
        <f>IF(MIN(BH34:CZ34)&gt;=1000000,0,MATCH(MIN(BH34:CZ34),BH34:CZ34,0))</f>
        <v/>
      </c>
      <c r="C34">
        <f>IF(MIN(OF34:TS34)&gt;=1000000,0,MATCH(MIN(OF34:TS34),OF34:TS34,0))</f>
        <v/>
      </c>
      <c r="D34">
        <f>IF(C34&gt;0,INDEX('計算A'!$D$5:$EQ$5,C34),0)</f>
        <v/>
      </c>
      <c r="E34">
        <f>IF(B34=0,0,INDEX('計算A'!$IQ$10:$IQ$54,B34))</f>
        <v/>
      </c>
      <c r="F34">
        <f>IF(B34=0,0,INDEX('計算A'!$IP$10:$IP$54,B34))</f>
        <v/>
      </c>
      <c r="G34">
        <f>IF(AND(C34&gt;0,E34&gt;0),IF(AND(INDEX('計算A'!$D$106:$EQ$106,C34)=1,INDEX($IQ34:$OD34,C34)=1),C34+1,0),0)</f>
        <v/>
      </c>
      <c r="H34">
        <f>IF(B34=0,0,INDEX('計算A'!$IW$10:$IW$54,B34))</f>
        <v/>
      </c>
      <c r="I34">
        <f>IF(B34=0,0,MAX(0,INDEX('計算A'!$IT$10:$IT$54,B34)))</f>
        <v/>
      </c>
      <c r="J34">
        <f>IF(I34=0,0,INDEX('計算A'!$D$2:$EQ$2,I34))</f>
        <v/>
      </c>
      <c r="K34">
        <f>IF(I34=0,0,INDEX('計算A'!$D$3:$EQ$3,I34))</f>
        <v/>
      </c>
      <c r="L34">
        <f>IF(B34=0,0,INDEX('計算A'!$IX$10:$IX$54,B34))</f>
        <v/>
      </c>
      <c r="N34">
        <f>MAX(N33,IF($B33=1,1,0))</f>
        <v/>
      </c>
      <c r="O34">
        <f>MAX(O33,IF($B33=2,1,0))</f>
        <v/>
      </c>
      <c r="P34">
        <f>MAX(P33,IF($B33=3,1,0))</f>
        <v/>
      </c>
      <c r="Q34">
        <f>MAX(Q33,IF($B33=4,1,0))</f>
        <v/>
      </c>
      <c r="R34">
        <f>MAX(R33,IF($B33=5,1,0))</f>
        <v/>
      </c>
      <c r="S34">
        <f>MAX(S33,IF($B33=6,1,0))</f>
        <v/>
      </c>
      <c r="T34">
        <f>MAX(T33,IF($B33=7,1,0))</f>
        <v/>
      </c>
      <c r="U34">
        <f>MAX(U33,IF($B33=8,1,0))</f>
        <v/>
      </c>
      <c r="V34">
        <f>MAX(V33,IF($B33=9,1,0))</f>
        <v/>
      </c>
      <c r="W34">
        <f>MAX(W33,IF($B33=10,1,0))</f>
        <v/>
      </c>
      <c r="X34">
        <f>MAX(X33,IF($B33=11,1,0))</f>
        <v/>
      </c>
      <c r="Y34">
        <f>MAX(Y33,IF($B33=12,1,0))</f>
        <v/>
      </c>
      <c r="Z34">
        <f>MAX(Z33,IF($B33=13,1,0))</f>
        <v/>
      </c>
      <c r="AA34">
        <f>MAX(AA33,IF($B33=14,1,0))</f>
        <v/>
      </c>
      <c r="AB34">
        <f>MAX(AB33,IF($B33=15,1,0))</f>
        <v/>
      </c>
      <c r="AC34">
        <f>MAX(AC33,IF($B33=16,1,0))</f>
        <v/>
      </c>
      <c r="AD34">
        <f>MAX(AD33,IF($B33=17,1,0))</f>
        <v/>
      </c>
      <c r="AE34">
        <f>MAX(AE33,IF($B33=18,1,0))</f>
        <v/>
      </c>
      <c r="AF34">
        <f>MAX(AF33,IF($B33=19,1,0))</f>
        <v/>
      </c>
      <c r="AG34">
        <f>MAX(AG33,IF($B33=20,1,0))</f>
        <v/>
      </c>
      <c r="AH34">
        <f>MAX(AH33,IF($B33=21,1,0))</f>
        <v/>
      </c>
      <c r="AI34">
        <f>MAX(AI33,IF($B33=22,1,0))</f>
        <v/>
      </c>
      <c r="AJ34">
        <f>MAX(AJ33,IF($B33=23,1,0))</f>
        <v/>
      </c>
      <c r="AK34">
        <f>MAX(AK33,IF($B33=24,1,0))</f>
        <v/>
      </c>
      <c r="AL34">
        <f>MAX(AL33,IF($B33=25,1,0))</f>
        <v/>
      </c>
      <c r="AM34">
        <f>MAX(AM33,IF($B33=26,1,0))</f>
        <v/>
      </c>
      <c r="AN34">
        <f>MAX(AN33,IF($B33=27,1,0))</f>
        <v/>
      </c>
      <c r="AO34">
        <f>MAX(AO33,IF($B33=28,1,0))</f>
        <v/>
      </c>
      <c r="AP34">
        <f>MAX(AP33,IF($B33=29,1,0))</f>
        <v/>
      </c>
      <c r="AQ34">
        <f>MAX(AQ33,IF($B33=30,1,0))</f>
        <v/>
      </c>
      <c r="AR34">
        <f>MAX(AR33,IF($B33=31,1,0))</f>
        <v/>
      </c>
      <c r="AS34">
        <f>MAX(AS33,IF($B33=32,1,0))</f>
        <v/>
      </c>
      <c r="AT34">
        <f>MAX(AT33,IF($B33=33,1,0))</f>
        <v/>
      </c>
      <c r="AU34">
        <f>MAX(AU33,IF($B33=34,1,0))</f>
        <v/>
      </c>
      <c r="AV34">
        <f>MAX(AV33,IF($B33=35,1,0))</f>
        <v/>
      </c>
      <c r="AW34">
        <f>MAX(AW33,IF($B33=36,1,0))</f>
        <v/>
      </c>
      <c r="AX34">
        <f>MAX(AX33,IF($B33=37,1,0))</f>
        <v/>
      </c>
      <c r="AY34">
        <f>MAX(AY33,IF($B33=38,1,0))</f>
        <v/>
      </c>
      <c r="AZ34">
        <f>MAX(AZ33,IF($B33=39,1,0))</f>
        <v/>
      </c>
      <c r="BA34">
        <f>MAX(BA33,IF($B33=40,1,0))</f>
        <v/>
      </c>
      <c r="BB34">
        <f>MAX(BB33,IF($B33=41,1,0))</f>
        <v/>
      </c>
      <c r="BC34">
        <f>MAX(BC33,IF($B33=42,1,0))</f>
        <v/>
      </c>
      <c r="BD34">
        <f>MAX(BD33,IF($B33=43,1,0))</f>
        <v/>
      </c>
      <c r="BE34">
        <f>MAX(BE33,IF($B33=44,1,0))</f>
        <v/>
      </c>
      <c r="BF34">
        <f>MAX(BF33,IF($B33=45,1,0))</f>
        <v/>
      </c>
      <c r="BH34">
        <f>IF(N34=1,1000000,IF('計算A'!$IT$10&gt;0,0,500000)+IF('計算A'!$IQ$10=2,SUMPRODUCT('計算A'!$D$60:$EQ$60,$DB34:$IO34,$IQ34:$OD34),SUMPRODUCT('計算A'!$D$60:$EQ$60,$DB34:$IO34))*1000+1)</f>
        <v/>
      </c>
      <c r="BI34">
        <f>IF(O34=1,1000000,IF('計算A'!$IT$11&gt;0,0,500000)+IF('計算A'!$IQ$11=2,SUMPRODUCT('計算A'!$D$61:$EQ$61,$DB34:$IO34,$IQ34:$OD34),SUMPRODUCT('計算A'!$D$61:$EQ$61,$DB34:$IO34))*1000+2)</f>
        <v/>
      </c>
      <c r="BJ34">
        <f>IF(P34=1,1000000,IF('計算A'!$IT$12&gt;0,0,500000)+IF('計算A'!$IQ$12=2,SUMPRODUCT('計算A'!$D$62:$EQ$62,$DB34:$IO34,$IQ34:$OD34),SUMPRODUCT('計算A'!$D$62:$EQ$62,$DB34:$IO34))*1000+3)</f>
        <v/>
      </c>
      <c r="BK34">
        <f>IF(Q34=1,1000000,IF('計算A'!$IT$13&gt;0,0,500000)+IF('計算A'!$IQ$13=2,SUMPRODUCT('計算A'!$D$63:$EQ$63,$DB34:$IO34,$IQ34:$OD34),SUMPRODUCT('計算A'!$D$63:$EQ$63,$DB34:$IO34))*1000+4)</f>
        <v/>
      </c>
      <c r="BL34">
        <f>IF(R34=1,1000000,IF('計算A'!$IT$14&gt;0,0,500000)+IF('計算A'!$IQ$14=2,SUMPRODUCT('計算A'!$D$64:$EQ$64,$DB34:$IO34,$IQ34:$OD34),SUMPRODUCT('計算A'!$D$64:$EQ$64,$DB34:$IO34))*1000+5)</f>
        <v/>
      </c>
      <c r="BM34">
        <f>IF(S34=1,1000000,IF('計算A'!$IT$15&gt;0,0,500000)+IF('計算A'!$IQ$15=2,SUMPRODUCT('計算A'!$D$65:$EQ$65,$DB34:$IO34,$IQ34:$OD34),SUMPRODUCT('計算A'!$D$65:$EQ$65,$DB34:$IO34))*1000+6)</f>
        <v/>
      </c>
      <c r="BN34">
        <f>IF(T34=1,1000000,IF('計算A'!$IT$16&gt;0,0,500000)+IF('計算A'!$IQ$16=2,SUMPRODUCT('計算A'!$D$66:$EQ$66,$DB34:$IO34,$IQ34:$OD34),SUMPRODUCT('計算A'!$D$66:$EQ$66,$DB34:$IO34))*1000+7)</f>
        <v/>
      </c>
      <c r="BO34">
        <f>IF(U34=1,1000000,IF('計算A'!$IT$17&gt;0,0,500000)+IF('計算A'!$IQ$17=2,SUMPRODUCT('計算A'!$D$67:$EQ$67,$DB34:$IO34,$IQ34:$OD34),SUMPRODUCT('計算A'!$D$67:$EQ$67,$DB34:$IO34))*1000+8)</f>
        <v/>
      </c>
      <c r="BP34">
        <f>IF(V34=1,1000000,IF('計算A'!$IT$18&gt;0,0,500000)+IF('計算A'!$IQ$18=2,SUMPRODUCT('計算A'!$D$68:$EQ$68,$DB34:$IO34,$IQ34:$OD34),SUMPRODUCT('計算A'!$D$68:$EQ$68,$DB34:$IO34))*1000+9)</f>
        <v/>
      </c>
      <c r="BQ34">
        <f>IF(W34=1,1000000,IF('計算A'!$IT$19&gt;0,0,500000)+IF('計算A'!$IQ$19=2,SUMPRODUCT('計算A'!$D$69:$EQ$69,$DB34:$IO34,$IQ34:$OD34),SUMPRODUCT('計算A'!$D$69:$EQ$69,$DB34:$IO34))*1000+10)</f>
        <v/>
      </c>
      <c r="BR34">
        <f>IF(X34=1,1000000,IF('計算A'!$IT$20&gt;0,0,500000)+IF('計算A'!$IQ$20=2,SUMPRODUCT('計算A'!$D$70:$EQ$70,$DB34:$IO34,$IQ34:$OD34),SUMPRODUCT('計算A'!$D$70:$EQ$70,$DB34:$IO34))*1000+11)</f>
        <v/>
      </c>
      <c r="BS34">
        <f>IF(Y34=1,1000000,IF('計算A'!$IT$21&gt;0,0,500000)+IF('計算A'!$IQ$21=2,SUMPRODUCT('計算A'!$D$71:$EQ$71,$DB34:$IO34,$IQ34:$OD34),SUMPRODUCT('計算A'!$D$71:$EQ$71,$DB34:$IO34))*1000+12)</f>
        <v/>
      </c>
      <c r="BT34">
        <f>IF(Z34=1,1000000,IF('計算A'!$IT$22&gt;0,0,500000)+IF('計算A'!$IQ$22=2,SUMPRODUCT('計算A'!$D$72:$EQ$72,$DB34:$IO34,$IQ34:$OD34),SUMPRODUCT('計算A'!$D$72:$EQ$72,$DB34:$IO34))*1000+13)</f>
        <v/>
      </c>
      <c r="BU34">
        <f>IF(AA34=1,1000000,IF('計算A'!$IT$23&gt;0,0,500000)+IF('計算A'!$IQ$23=2,SUMPRODUCT('計算A'!$D$73:$EQ$73,$DB34:$IO34,$IQ34:$OD34),SUMPRODUCT('計算A'!$D$73:$EQ$73,$DB34:$IO34))*1000+14)</f>
        <v/>
      </c>
      <c r="BV34">
        <f>IF(AB34=1,1000000,IF('計算A'!$IT$24&gt;0,0,500000)+IF('計算A'!$IQ$24=2,SUMPRODUCT('計算A'!$D$74:$EQ$74,$DB34:$IO34,$IQ34:$OD34),SUMPRODUCT('計算A'!$D$74:$EQ$74,$DB34:$IO34))*1000+15)</f>
        <v/>
      </c>
      <c r="BW34">
        <f>IF(AC34=1,1000000,IF('計算A'!$IT$25&gt;0,0,500000)+IF('計算A'!$IQ$25=2,SUMPRODUCT('計算A'!$D$75:$EQ$75,$DB34:$IO34,$IQ34:$OD34),SUMPRODUCT('計算A'!$D$75:$EQ$75,$DB34:$IO34))*1000+16)</f>
        <v/>
      </c>
      <c r="BX34">
        <f>IF(AD34=1,1000000,IF('計算A'!$IT$26&gt;0,0,500000)+IF('計算A'!$IQ$26=2,SUMPRODUCT('計算A'!$D$76:$EQ$76,$DB34:$IO34,$IQ34:$OD34),SUMPRODUCT('計算A'!$D$76:$EQ$76,$DB34:$IO34))*1000+17)</f>
        <v/>
      </c>
      <c r="BY34">
        <f>IF(AE34=1,1000000,IF('計算A'!$IT$27&gt;0,0,500000)+IF('計算A'!$IQ$27=2,SUMPRODUCT('計算A'!$D$77:$EQ$77,$DB34:$IO34,$IQ34:$OD34),SUMPRODUCT('計算A'!$D$77:$EQ$77,$DB34:$IO34))*1000+18)</f>
        <v/>
      </c>
      <c r="BZ34">
        <f>IF(AF34=1,1000000,IF('計算A'!$IT$28&gt;0,0,500000)+IF('計算A'!$IQ$28=2,SUMPRODUCT('計算A'!$D$78:$EQ$78,$DB34:$IO34,$IQ34:$OD34),SUMPRODUCT('計算A'!$D$78:$EQ$78,$DB34:$IO34))*1000+19)</f>
        <v/>
      </c>
      <c r="CA34">
        <f>IF(AG34=1,1000000,IF('計算A'!$IT$29&gt;0,0,500000)+IF('計算A'!$IQ$29=2,SUMPRODUCT('計算A'!$D$79:$EQ$79,$DB34:$IO34,$IQ34:$OD34),SUMPRODUCT('計算A'!$D$79:$EQ$79,$DB34:$IO34))*1000+20)</f>
        <v/>
      </c>
      <c r="CB34">
        <f>IF(AH34=1,1000000,IF('計算A'!$IT$30&gt;0,0,500000)+IF('計算A'!$IQ$30=2,SUMPRODUCT('計算A'!$D$80:$EQ$80,$DB34:$IO34,$IQ34:$OD34),SUMPRODUCT('計算A'!$D$80:$EQ$80,$DB34:$IO34))*1000+21)</f>
        <v/>
      </c>
      <c r="CC34">
        <f>IF(AI34=1,1000000,IF('計算A'!$IT$31&gt;0,0,500000)+IF('計算A'!$IQ$31=2,SUMPRODUCT('計算A'!$D$81:$EQ$81,$DB34:$IO34,$IQ34:$OD34),SUMPRODUCT('計算A'!$D$81:$EQ$81,$DB34:$IO34))*1000+22)</f>
        <v/>
      </c>
      <c r="CD34">
        <f>IF(AJ34=1,1000000,IF('計算A'!$IT$32&gt;0,0,500000)+IF('計算A'!$IQ$32=2,SUMPRODUCT('計算A'!$D$82:$EQ$82,$DB34:$IO34,$IQ34:$OD34),SUMPRODUCT('計算A'!$D$82:$EQ$82,$DB34:$IO34))*1000+23)</f>
        <v/>
      </c>
      <c r="CE34">
        <f>IF(AK34=1,1000000,IF('計算A'!$IT$33&gt;0,0,500000)+IF('計算A'!$IQ$33=2,SUMPRODUCT('計算A'!$D$83:$EQ$83,$DB34:$IO34,$IQ34:$OD34),SUMPRODUCT('計算A'!$D$83:$EQ$83,$DB34:$IO34))*1000+24)</f>
        <v/>
      </c>
      <c r="CF34">
        <f>IF(AL34=1,1000000,IF('計算A'!$IT$34&gt;0,0,500000)+IF('計算A'!$IQ$34=2,SUMPRODUCT('計算A'!$D$84:$EQ$84,$DB34:$IO34,$IQ34:$OD34),SUMPRODUCT('計算A'!$D$84:$EQ$84,$DB34:$IO34))*1000+25)</f>
        <v/>
      </c>
      <c r="CG34">
        <f>IF(AM34=1,1000000,IF('計算A'!$IT$35&gt;0,0,500000)+IF('計算A'!$IQ$35=2,SUMPRODUCT('計算A'!$D$85:$EQ$85,$DB34:$IO34,$IQ34:$OD34),SUMPRODUCT('計算A'!$D$85:$EQ$85,$DB34:$IO34))*1000+26)</f>
        <v/>
      </c>
      <c r="CH34">
        <f>IF(AN34=1,1000000,IF('計算A'!$IT$36&gt;0,0,500000)+IF('計算A'!$IQ$36=2,SUMPRODUCT('計算A'!$D$86:$EQ$86,$DB34:$IO34,$IQ34:$OD34),SUMPRODUCT('計算A'!$D$86:$EQ$86,$DB34:$IO34))*1000+27)</f>
        <v/>
      </c>
      <c r="CI34">
        <f>IF(AO34=1,1000000,IF('計算A'!$IT$37&gt;0,0,500000)+IF('計算A'!$IQ$37=2,SUMPRODUCT('計算A'!$D$87:$EQ$87,$DB34:$IO34,$IQ34:$OD34),SUMPRODUCT('計算A'!$D$87:$EQ$87,$DB34:$IO34))*1000+28)</f>
        <v/>
      </c>
      <c r="CJ34">
        <f>IF(AP34=1,1000000,IF('計算A'!$IT$38&gt;0,0,500000)+IF('計算A'!$IQ$38=2,SUMPRODUCT('計算A'!$D$88:$EQ$88,$DB34:$IO34,$IQ34:$OD34),SUMPRODUCT('計算A'!$D$88:$EQ$88,$DB34:$IO34))*1000+29)</f>
        <v/>
      </c>
      <c r="CK34">
        <f>IF(AQ34=1,1000000,IF('計算A'!$IT$39&gt;0,0,500000)+IF('計算A'!$IQ$39=2,SUMPRODUCT('計算A'!$D$89:$EQ$89,$DB34:$IO34,$IQ34:$OD34),SUMPRODUCT('計算A'!$D$89:$EQ$89,$DB34:$IO34))*1000+30)</f>
        <v/>
      </c>
      <c r="CL34">
        <f>IF(AR34=1,1000000,IF('計算A'!$IT$40&gt;0,0,500000)+IF('計算A'!$IQ$40=2,SUMPRODUCT('計算A'!$D$90:$EQ$90,$DB34:$IO34,$IQ34:$OD34),SUMPRODUCT('計算A'!$D$90:$EQ$90,$DB34:$IO34))*1000+31)</f>
        <v/>
      </c>
      <c r="CM34">
        <f>IF(AS34=1,1000000,IF('計算A'!$IT$41&gt;0,0,500000)+IF('計算A'!$IQ$41=2,SUMPRODUCT('計算A'!$D$91:$EQ$91,$DB34:$IO34,$IQ34:$OD34),SUMPRODUCT('計算A'!$D$91:$EQ$91,$DB34:$IO34))*1000+32)</f>
        <v/>
      </c>
      <c r="CN34">
        <f>IF(AT34=1,1000000,IF('計算A'!$IT$42&gt;0,0,500000)+IF('計算A'!$IQ$42=2,SUMPRODUCT('計算A'!$D$92:$EQ$92,$DB34:$IO34,$IQ34:$OD34),SUMPRODUCT('計算A'!$D$92:$EQ$92,$DB34:$IO34))*1000+33)</f>
        <v/>
      </c>
      <c r="CO34">
        <f>IF(AU34=1,1000000,IF('計算A'!$IT$43&gt;0,0,500000)+IF('計算A'!$IQ$43=2,SUMPRODUCT('計算A'!$D$93:$EQ$93,$DB34:$IO34,$IQ34:$OD34),SUMPRODUCT('計算A'!$D$93:$EQ$93,$DB34:$IO34))*1000+34)</f>
        <v/>
      </c>
      <c r="CP34">
        <f>IF(AV34=1,1000000,IF('計算A'!$IT$44&gt;0,0,500000)+IF('計算A'!$IQ$44=2,SUMPRODUCT('計算A'!$D$94:$EQ$94,$DB34:$IO34,$IQ34:$OD34),SUMPRODUCT('計算A'!$D$94:$EQ$94,$DB34:$IO34))*1000+35)</f>
        <v/>
      </c>
      <c r="CQ34">
        <f>IF(AW34=1,1000000,IF('計算A'!$IT$45&gt;0,0,500000)+IF('計算A'!$IQ$45=2,SUMPRODUCT('計算A'!$D$95:$EQ$95,$DB34:$IO34,$IQ34:$OD34),SUMPRODUCT('計算A'!$D$95:$EQ$95,$DB34:$IO34))*1000+36)</f>
        <v/>
      </c>
      <c r="CR34">
        <f>IF(AX34=1,1000000,IF('計算A'!$IT$46&gt;0,0,500000)+IF('計算A'!$IQ$46=2,SUMPRODUCT('計算A'!$D$96:$EQ$96,$DB34:$IO34,$IQ34:$OD34),SUMPRODUCT('計算A'!$D$96:$EQ$96,$DB34:$IO34))*1000+37)</f>
        <v/>
      </c>
      <c r="CS34">
        <f>IF(AY34=1,1000000,IF('計算A'!$IT$47&gt;0,0,500000)+IF('計算A'!$IQ$47=2,SUMPRODUCT('計算A'!$D$97:$EQ$97,$DB34:$IO34,$IQ34:$OD34),SUMPRODUCT('計算A'!$D$97:$EQ$97,$DB34:$IO34))*1000+38)</f>
        <v/>
      </c>
      <c r="CT34">
        <f>IF(AZ34=1,1000000,IF('計算A'!$IT$48&gt;0,0,500000)+IF('計算A'!$IQ$48=2,SUMPRODUCT('計算A'!$D$98:$EQ$98,$DB34:$IO34,$IQ34:$OD34),SUMPRODUCT('計算A'!$D$98:$EQ$98,$DB34:$IO34))*1000+39)</f>
        <v/>
      </c>
      <c r="CU34">
        <f>IF(BA34=1,1000000,IF('計算A'!$IT$49&gt;0,0,500000)+IF('計算A'!$IQ$49=2,SUMPRODUCT('計算A'!$D$99:$EQ$99,$DB34:$IO34,$IQ34:$OD34),SUMPRODUCT('計算A'!$D$99:$EQ$99,$DB34:$IO34))*1000+40)</f>
        <v/>
      </c>
      <c r="CV34">
        <f>IF(BB34=1,1000000,IF('計算A'!$IT$50&gt;0,0,500000)+IF('計算A'!$IQ$50=2,SUMPRODUCT('計算A'!$D$100:$EQ$100,$DB34:$IO34,$IQ34:$OD34),SUMPRODUCT('計算A'!$D$100:$EQ$100,$DB34:$IO34))*1000+41)</f>
        <v/>
      </c>
      <c r="CW34">
        <f>IF(BC34=1,1000000,IF('計算A'!$IT$51&gt;0,0,500000)+IF('計算A'!$IQ$51=2,SUMPRODUCT('計算A'!$D$101:$EQ$101,$DB34:$IO34,$IQ34:$OD34),SUMPRODUCT('計算A'!$D$101:$EQ$101,$DB34:$IO34))*1000+42)</f>
        <v/>
      </c>
      <c r="CX34">
        <f>IF(BD34=1,1000000,IF('計算A'!$IT$52&gt;0,0,500000)+IF('計算A'!$IQ$52=2,SUMPRODUCT('計算A'!$D$102:$EQ$102,$DB34:$IO34,$IQ34:$OD34),SUMPRODUCT('計算A'!$D$102:$EQ$102,$DB34:$IO34))*1000+43)</f>
        <v/>
      </c>
      <c r="CY34">
        <f>IF(BE34=1,1000000,IF('計算A'!$IT$53&gt;0,0,500000)+IF('計算A'!$IQ$53=2,SUMPRODUCT('計算A'!$D$103:$EQ$103,$DB34:$IO34,$IQ34:$OD34),SUMPRODUCT('計算A'!$D$103:$EQ$103,$DB34:$IO34))*1000+44)</f>
        <v/>
      </c>
      <c r="CZ34">
        <f>IF(BF34=1,1000000,IF('計算A'!$IT$54&gt;0,0,500000)+IF('計算A'!$IQ$54=2,SUMPRODUCT('計算A'!$D$104:$EQ$104,$DB34:$IO34,$IQ34:$OD34),SUMPRODUCT('計算A'!$D$104:$EQ$104,$DB34:$IO34))*1000+45)</f>
        <v/>
      </c>
      <c r="DB34">
        <f>DB33*IF(OR($C33=1,$G33=1),0,1)</f>
        <v/>
      </c>
      <c r="DC34">
        <f>DC33*IF(OR($C33=2,$G33=2),0,1)</f>
        <v/>
      </c>
      <c r="DD34">
        <f>DD33*IF(OR($C33=3,$G33=3),0,1)</f>
        <v/>
      </c>
      <c r="DE34">
        <f>DE33*IF(OR($C33=4,$G33=4),0,1)</f>
        <v/>
      </c>
      <c r="DF34">
        <f>DF33*IF(OR($C33=5,$G33=5),0,1)</f>
        <v/>
      </c>
      <c r="DG34">
        <f>DG33*IF(OR($C33=6,$G33=6),0,1)</f>
        <v/>
      </c>
      <c r="DH34">
        <f>DH33*IF(OR($C33=7,$G33=7),0,1)</f>
        <v/>
      </c>
      <c r="DI34">
        <f>DI33*IF(OR($C33=8,$G33=8),0,1)</f>
        <v/>
      </c>
      <c r="DJ34">
        <f>DJ33*IF(OR($C33=9,$G33=9),0,1)</f>
        <v/>
      </c>
      <c r="DK34">
        <f>DK33*IF(OR($C33=10,$G33=10),0,1)</f>
        <v/>
      </c>
      <c r="DL34">
        <f>DL33*IF(OR($C33=11,$G33=11),0,1)</f>
        <v/>
      </c>
      <c r="DM34">
        <f>DM33*IF(OR($C33=12,$G33=12),0,1)</f>
        <v/>
      </c>
      <c r="DN34">
        <f>DN33*IF(OR($C33=13,$G33=13),0,1)</f>
        <v/>
      </c>
      <c r="DO34">
        <f>DO33*IF(OR($C33=14,$G33=14),0,1)</f>
        <v/>
      </c>
      <c r="DP34">
        <f>DP33*IF(OR($C33=15,$G33=15),0,1)</f>
        <v/>
      </c>
      <c r="DQ34">
        <f>DQ33*IF(OR($C33=16,$G33=16),0,1)</f>
        <v/>
      </c>
      <c r="DR34">
        <f>DR33*IF(OR($C33=17,$G33=17),0,1)</f>
        <v/>
      </c>
      <c r="DS34">
        <f>DS33*IF(OR($C33=18,$G33=18),0,1)</f>
        <v/>
      </c>
      <c r="DT34">
        <f>DT33*IF(OR($C33=19,$G33=19),0,1)</f>
        <v/>
      </c>
      <c r="DU34">
        <f>DU33*IF(OR($C33=20,$G33=20),0,1)</f>
        <v/>
      </c>
      <c r="DV34">
        <f>DV33*IF(OR($C33=21,$G33=21),0,1)</f>
        <v/>
      </c>
      <c r="DW34">
        <f>DW33*IF(OR($C33=22,$G33=22),0,1)</f>
        <v/>
      </c>
      <c r="DX34">
        <f>DX33*IF(OR($C33=23,$G33=23),0,1)</f>
        <v/>
      </c>
      <c r="DY34">
        <f>DY33*IF(OR($C33=24,$G33=24),0,1)</f>
        <v/>
      </c>
      <c r="DZ34">
        <f>DZ33*IF(OR($C33=25,$G33=25),0,1)</f>
        <v/>
      </c>
      <c r="EA34">
        <f>EA33*IF(OR($C33=26,$G33=26),0,1)</f>
        <v/>
      </c>
      <c r="EB34">
        <f>EB33*IF(OR($C33=27,$G33=27),0,1)</f>
        <v/>
      </c>
      <c r="EC34">
        <f>EC33*IF(OR($C33=28,$G33=28),0,1)</f>
        <v/>
      </c>
      <c r="ED34">
        <f>ED33*IF(OR($C33=29,$G33=29),0,1)</f>
        <v/>
      </c>
      <c r="EE34">
        <f>EE33*IF(OR($C33=30,$G33=30),0,1)</f>
        <v/>
      </c>
      <c r="EF34">
        <f>EF33*IF(OR($C33=31,$G33=31),0,1)</f>
        <v/>
      </c>
      <c r="EG34">
        <f>EG33*IF(OR($C33=32,$G33=32),0,1)</f>
        <v/>
      </c>
      <c r="EH34">
        <f>EH33*IF(OR($C33=33,$G33=33),0,1)</f>
        <v/>
      </c>
      <c r="EI34">
        <f>EI33*IF(OR($C33=34,$G33=34),0,1)</f>
        <v/>
      </c>
      <c r="EJ34">
        <f>EJ33*IF(OR($C33=35,$G33=35),0,1)</f>
        <v/>
      </c>
      <c r="EK34">
        <f>EK33*IF(OR($C33=36,$G33=36),0,1)</f>
        <v/>
      </c>
      <c r="EL34">
        <f>EL33*IF(OR($C33=37,$G33=37),0,1)</f>
        <v/>
      </c>
      <c r="EM34">
        <f>EM33*IF(OR($C33=38,$G33=38),0,1)</f>
        <v/>
      </c>
      <c r="EN34">
        <f>EN33*IF(OR($C33=39,$G33=39),0,1)</f>
        <v/>
      </c>
      <c r="EO34">
        <f>EO33*IF(OR($C33=40,$G33=40),0,1)</f>
        <v/>
      </c>
      <c r="EP34">
        <f>EP33*IF(OR($C33=41,$G33=41),0,1)</f>
        <v/>
      </c>
      <c r="EQ34">
        <f>EQ33*IF(OR($C33=42,$G33=42),0,1)</f>
        <v/>
      </c>
      <c r="ER34">
        <f>ER33*IF(OR($C33=43,$G33=43),0,1)</f>
        <v/>
      </c>
      <c r="ES34">
        <f>ES33*IF(OR($C33=44,$G33=44),0,1)</f>
        <v/>
      </c>
      <c r="ET34">
        <f>ET33*IF(OR($C33=45,$G33=45),0,1)</f>
        <v/>
      </c>
      <c r="EU34">
        <f>EU33*IF(OR($C33=46,$G33=46),0,1)</f>
        <v/>
      </c>
      <c r="EV34">
        <f>EV33*IF(OR($C33=47,$G33=47),0,1)</f>
        <v/>
      </c>
      <c r="EW34">
        <f>EW33*IF(OR($C33=48,$G33=48),0,1)</f>
        <v/>
      </c>
      <c r="EX34">
        <f>EX33*IF(OR($C33=49,$G33=49),0,1)</f>
        <v/>
      </c>
      <c r="EY34">
        <f>EY33*IF(OR($C33=50,$G33=50),0,1)</f>
        <v/>
      </c>
      <c r="EZ34">
        <f>EZ33*IF(OR($C33=51,$G33=51),0,1)</f>
        <v/>
      </c>
      <c r="FA34">
        <f>FA33*IF(OR($C33=52,$G33=52),0,1)</f>
        <v/>
      </c>
      <c r="FB34">
        <f>FB33*IF(OR($C33=53,$G33=53),0,1)</f>
        <v/>
      </c>
      <c r="FC34">
        <f>FC33*IF(OR($C33=54,$G33=54),0,1)</f>
        <v/>
      </c>
      <c r="FD34">
        <f>FD33*IF(OR($C33=55,$G33=55),0,1)</f>
        <v/>
      </c>
      <c r="FE34">
        <f>FE33*IF(OR($C33=56,$G33=56),0,1)</f>
        <v/>
      </c>
      <c r="FF34">
        <f>FF33*IF(OR($C33=57,$G33=57),0,1)</f>
        <v/>
      </c>
      <c r="FG34">
        <f>FG33*IF(OR($C33=58,$G33=58),0,1)</f>
        <v/>
      </c>
      <c r="FH34">
        <f>FH33*IF(OR($C33=59,$G33=59),0,1)</f>
        <v/>
      </c>
      <c r="FI34">
        <f>FI33*IF(OR($C33=60,$G33=60),0,1)</f>
        <v/>
      </c>
      <c r="FJ34">
        <f>FJ33*IF(OR($C33=61,$G33=61),0,1)</f>
        <v/>
      </c>
      <c r="FK34">
        <f>FK33*IF(OR($C33=62,$G33=62),0,1)</f>
        <v/>
      </c>
      <c r="FL34">
        <f>FL33*IF(OR($C33=63,$G33=63),0,1)</f>
        <v/>
      </c>
      <c r="FM34">
        <f>FM33*IF(OR($C33=64,$G33=64),0,1)</f>
        <v/>
      </c>
      <c r="FN34">
        <f>FN33*IF(OR($C33=65,$G33=65),0,1)</f>
        <v/>
      </c>
      <c r="FO34">
        <f>FO33*IF(OR($C33=66,$G33=66),0,1)</f>
        <v/>
      </c>
      <c r="FP34">
        <f>FP33*IF(OR($C33=67,$G33=67),0,1)</f>
        <v/>
      </c>
      <c r="FQ34">
        <f>FQ33*IF(OR($C33=68,$G33=68),0,1)</f>
        <v/>
      </c>
      <c r="FR34">
        <f>FR33*IF(OR($C33=69,$G33=69),0,1)</f>
        <v/>
      </c>
      <c r="FS34">
        <f>FS33*IF(OR($C33=70,$G33=70),0,1)</f>
        <v/>
      </c>
      <c r="FT34">
        <f>FT33*IF(OR($C33=71,$G33=71),0,1)</f>
        <v/>
      </c>
      <c r="FU34">
        <f>FU33*IF(OR($C33=72,$G33=72),0,1)</f>
        <v/>
      </c>
      <c r="FV34">
        <f>FV33*IF(OR($C33=73,$G33=73),0,1)</f>
        <v/>
      </c>
      <c r="FW34">
        <f>FW33*IF(OR($C33=74,$G33=74),0,1)</f>
        <v/>
      </c>
      <c r="FX34">
        <f>FX33*IF(OR($C33=75,$G33=75),0,1)</f>
        <v/>
      </c>
      <c r="FY34">
        <f>FY33*IF(OR($C33=76,$G33=76),0,1)</f>
        <v/>
      </c>
      <c r="FZ34">
        <f>FZ33*IF(OR($C33=77,$G33=77),0,1)</f>
        <v/>
      </c>
      <c r="GA34">
        <f>GA33*IF(OR($C33=78,$G33=78),0,1)</f>
        <v/>
      </c>
      <c r="GB34">
        <f>GB33*IF(OR($C33=79,$G33=79),0,1)</f>
        <v/>
      </c>
      <c r="GC34">
        <f>GC33*IF(OR($C33=80,$G33=80),0,1)</f>
        <v/>
      </c>
      <c r="GD34">
        <f>GD33*IF(OR($C33=81,$G33=81),0,1)</f>
        <v/>
      </c>
      <c r="GE34">
        <f>GE33*IF(OR($C33=82,$G33=82),0,1)</f>
        <v/>
      </c>
      <c r="GF34">
        <f>GF33*IF(OR($C33=83,$G33=83),0,1)</f>
        <v/>
      </c>
      <c r="GG34">
        <f>GG33*IF(OR($C33=84,$G33=84),0,1)</f>
        <v/>
      </c>
      <c r="GH34">
        <f>GH33*IF(OR($C33=85,$G33=85),0,1)</f>
        <v/>
      </c>
      <c r="GI34">
        <f>GI33*IF(OR($C33=86,$G33=86),0,1)</f>
        <v/>
      </c>
      <c r="GJ34">
        <f>GJ33*IF(OR($C33=87,$G33=87),0,1)</f>
        <v/>
      </c>
      <c r="GK34">
        <f>GK33*IF(OR($C33=88,$G33=88),0,1)</f>
        <v/>
      </c>
      <c r="GL34">
        <f>GL33*IF(OR($C33=89,$G33=89),0,1)</f>
        <v/>
      </c>
      <c r="GM34">
        <f>GM33*IF(OR($C33=90,$G33=90),0,1)</f>
        <v/>
      </c>
      <c r="GN34">
        <f>GN33*IF(OR($C33=91,$G33=91),0,1)</f>
        <v/>
      </c>
      <c r="GO34">
        <f>GO33*IF(OR($C33=92,$G33=92),0,1)</f>
        <v/>
      </c>
      <c r="GP34">
        <f>GP33*IF(OR($C33=93,$G33=93),0,1)</f>
        <v/>
      </c>
      <c r="GQ34">
        <f>GQ33*IF(OR($C33=94,$G33=94),0,1)</f>
        <v/>
      </c>
      <c r="GR34">
        <f>GR33*IF(OR($C33=95,$G33=95),0,1)</f>
        <v/>
      </c>
      <c r="GS34">
        <f>GS33*IF(OR($C33=96,$G33=96),0,1)</f>
        <v/>
      </c>
      <c r="GT34">
        <f>GT33*IF(OR($C33=97,$G33=97),0,1)</f>
        <v/>
      </c>
      <c r="GU34">
        <f>GU33*IF(OR($C33=98,$G33=98),0,1)</f>
        <v/>
      </c>
      <c r="GV34">
        <f>GV33*IF(OR($C33=99,$G33=99),0,1)</f>
        <v/>
      </c>
      <c r="GW34">
        <f>GW33*IF(OR($C33=100,$G33=100),0,1)</f>
        <v/>
      </c>
      <c r="GX34">
        <f>GX33*IF(OR($C33=101,$G33=101),0,1)</f>
        <v/>
      </c>
      <c r="GY34">
        <f>GY33*IF(OR($C33=102,$G33=102),0,1)</f>
        <v/>
      </c>
      <c r="GZ34">
        <f>GZ33*IF(OR($C33=103,$G33=103),0,1)</f>
        <v/>
      </c>
      <c r="HA34">
        <f>HA33*IF(OR($C33=104,$G33=104),0,1)</f>
        <v/>
      </c>
      <c r="HB34">
        <f>HB33*IF(OR($C33=105,$G33=105),0,1)</f>
        <v/>
      </c>
      <c r="HC34">
        <f>HC33*IF(OR($C33=106,$G33=106),0,1)</f>
        <v/>
      </c>
      <c r="HD34">
        <f>HD33*IF(OR($C33=107,$G33=107),0,1)</f>
        <v/>
      </c>
      <c r="HE34">
        <f>HE33*IF(OR($C33=108,$G33=108),0,1)</f>
        <v/>
      </c>
      <c r="HF34">
        <f>HF33*IF(OR($C33=109,$G33=109),0,1)</f>
        <v/>
      </c>
      <c r="HG34">
        <f>HG33*IF(OR($C33=110,$G33=110),0,1)</f>
        <v/>
      </c>
      <c r="HH34">
        <f>HH33*IF(OR($C33=111,$G33=111),0,1)</f>
        <v/>
      </c>
      <c r="HI34">
        <f>HI33*IF(OR($C33=112,$G33=112),0,1)</f>
        <v/>
      </c>
      <c r="HJ34">
        <f>HJ33*IF(OR($C33=113,$G33=113),0,1)</f>
        <v/>
      </c>
      <c r="HK34">
        <f>HK33*IF(OR($C33=114,$G33=114),0,1)</f>
        <v/>
      </c>
      <c r="HL34">
        <f>HL33*IF(OR($C33=115,$G33=115),0,1)</f>
        <v/>
      </c>
      <c r="HM34">
        <f>HM33*IF(OR($C33=116,$G33=116),0,1)</f>
        <v/>
      </c>
      <c r="HN34">
        <f>HN33*IF(OR($C33=117,$G33=117),0,1)</f>
        <v/>
      </c>
      <c r="HO34">
        <f>HO33*IF(OR($C33=118,$G33=118),0,1)</f>
        <v/>
      </c>
      <c r="HP34">
        <f>HP33*IF(OR($C33=119,$G33=119),0,1)</f>
        <v/>
      </c>
      <c r="HQ34">
        <f>HQ33*IF(OR($C33=120,$G33=120),0,1)</f>
        <v/>
      </c>
      <c r="HR34">
        <f>HR33*IF(OR($C33=121,$G33=121),0,1)</f>
        <v/>
      </c>
      <c r="HS34">
        <f>HS33*IF(OR($C33=122,$G33=122),0,1)</f>
        <v/>
      </c>
      <c r="HT34">
        <f>HT33*IF(OR($C33=123,$G33=123),0,1)</f>
        <v/>
      </c>
      <c r="HU34">
        <f>HU33*IF(OR($C33=124,$G33=124),0,1)</f>
        <v/>
      </c>
      <c r="HV34">
        <f>HV33*IF(OR($C33=125,$G33=125),0,1)</f>
        <v/>
      </c>
      <c r="HW34">
        <f>HW33*IF(OR($C33=126,$G33=126),0,1)</f>
        <v/>
      </c>
      <c r="HX34">
        <f>HX33*IF(OR($C33=127,$G33=127),0,1)</f>
        <v/>
      </c>
      <c r="HY34">
        <f>HY33*IF(OR($C33=128,$G33=128),0,1)</f>
        <v/>
      </c>
      <c r="HZ34">
        <f>HZ33*IF(OR($C33=129,$G33=129),0,1)</f>
        <v/>
      </c>
      <c r="IA34">
        <f>IA33*IF(OR($C33=130,$G33=130),0,1)</f>
        <v/>
      </c>
      <c r="IB34">
        <f>IB33*IF(OR($C33=131,$G33=131),0,1)</f>
        <v/>
      </c>
      <c r="IC34">
        <f>IC33*IF(OR($C33=132,$G33=132),0,1)</f>
        <v/>
      </c>
      <c r="ID34">
        <f>ID33*IF(OR($C33=133,$G33=133),0,1)</f>
        <v/>
      </c>
      <c r="IE34">
        <f>IE33*IF(OR($C33=134,$G33=134),0,1)</f>
        <v/>
      </c>
      <c r="IF34">
        <f>IF33*IF(OR($C33=135,$G33=135),0,1)</f>
        <v/>
      </c>
      <c r="IG34">
        <f>IG33*IF(OR($C33=136,$G33=136),0,1)</f>
        <v/>
      </c>
      <c r="IH34">
        <f>IH33*IF(OR($C33=137,$G33=137),0,1)</f>
        <v/>
      </c>
      <c r="II34">
        <f>II33*IF(OR($C33=138,$G33=138),0,1)</f>
        <v/>
      </c>
      <c r="IJ34">
        <f>IJ33*IF(OR($C33=139,$G33=139),0,1)</f>
        <v/>
      </c>
      <c r="IK34">
        <f>IK33*IF(OR($C33=140,$G33=140),0,1)</f>
        <v/>
      </c>
      <c r="IL34">
        <f>IL33*IF(OR($C33=141,$G33=141),0,1)</f>
        <v/>
      </c>
      <c r="IM34">
        <f>IM33*IF(OR($C33=142,$G33=142),0,1)</f>
        <v/>
      </c>
      <c r="IN34">
        <f>IN33*IF(OR($C33=143,$G33=143),0,1)</f>
        <v/>
      </c>
      <c r="IO34">
        <f>IO33*IF(OR($C33=144,$G33=144),0,1)</f>
        <v/>
      </c>
      <c r="IQ34">
        <f>IF('計算A'!D$106=1,DC34,1)</f>
        <v/>
      </c>
      <c r="IR34">
        <f>IF('計算A'!E$106=1,DD34,1)</f>
        <v/>
      </c>
      <c r="IS34">
        <f>IF('計算A'!F$106=1,DE34,1)</f>
        <v/>
      </c>
      <c r="IT34">
        <f>IF('計算A'!G$106=1,DF34,1)</f>
        <v/>
      </c>
      <c r="IU34">
        <f>IF('計算A'!H$106=1,DG34,1)</f>
        <v/>
      </c>
      <c r="IV34">
        <f>IF('計算A'!I$106=1,DH34,1)</f>
        <v/>
      </c>
      <c r="IW34">
        <f>IF('計算A'!J$106=1,DI34,1)</f>
        <v/>
      </c>
      <c r="IX34">
        <f>IF('計算A'!K$106=1,DJ34,1)</f>
        <v/>
      </c>
      <c r="IY34">
        <f>IF('計算A'!L$106=1,DK34,1)</f>
        <v/>
      </c>
      <c r="IZ34">
        <f>IF('計算A'!M$106=1,DL34,1)</f>
        <v/>
      </c>
      <c r="JA34">
        <f>IF('計算A'!N$106=1,DM34,1)</f>
        <v/>
      </c>
      <c r="JB34">
        <f>IF('計算A'!O$106=1,DN34,1)</f>
        <v/>
      </c>
      <c r="JC34">
        <f>IF('計算A'!P$106=1,DO34,1)</f>
        <v/>
      </c>
      <c r="JD34">
        <f>IF('計算A'!Q$106=1,DP34,1)</f>
        <v/>
      </c>
      <c r="JE34">
        <f>IF('計算A'!R$106=1,DQ34,1)</f>
        <v/>
      </c>
      <c r="JF34">
        <f>IF('計算A'!S$106=1,DR34,1)</f>
        <v/>
      </c>
      <c r="JG34">
        <f>IF('計算A'!T$106=1,DS34,1)</f>
        <v/>
      </c>
      <c r="JH34">
        <f>IF('計算A'!U$106=1,DT34,1)</f>
        <v/>
      </c>
      <c r="JI34">
        <f>IF('計算A'!V$106=1,DU34,1)</f>
        <v/>
      </c>
      <c r="JJ34">
        <f>IF('計算A'!W$106=1,DV34,1)</f>
        <v/>
      </c>
      <c r="JK34">
        <f>IF('計算A'!X$106=1,DW34,1)</f>
        <v/>
      </c>
      <c r="JL34">
        <f>IF('計算A'!Y$106=1,DX34,1)</f>
        <v/>
      </c>
      <c r="JM34">
        <f>IF('計算A'!Z$106=1,DY34,1)</f>
        <v/>
      </c>
      <c r="JN34">
        <f>IF('計算A'!AA$106=1,DZ34,1)</f>
        <v/>
      </c>
      <c r="JO34">
        <f>IF('計算A'!AB$106=1,EA34,1)</f>
        <v/>
      </c>
      <c r="JP34">
        <f>IF('計算A'!AC$106=1,EB34,1)</f>
        <v/>
      </c>
      <c r="JQ34">
        <f>IF('計算A'!AD$106=1,EC34,1)</f>
        <v/>
      </c>
      <c r="JR34">
        <f>IF('計算A'!AE$106=1,ED34,1)</f>
        <v/>
      </c>
      <c r="JS34">
        <f>IF('計算A'!AF$106=1,EE34,1)</f>
        <v/>
      </c>
      <c r="JT34">
        <f>IF('計算A'!AG$106=1,EF34,1)</f>
        <v/>
      </c>
      <c r="JU34">
        <f>IF('計算A'!AH$106=1,EG34,1)</f>
        <v/>
      </c>
      <c r="JV34">
        <f>IF('計算A'!AI$106=1,EH34,1)</f>
        <v/>
      </c>
      <c r="JW34">
        <f>IF('計算A'!AJ$106=1,EI34,1)</f>
        <v/>
      </c>
      <c r="JX34">
        <f>IF('計算A'!AK$106=1,EJ34,1)</f>
        <v/>
      </c>
      <c r="JY34">
        <f>IF('計算A'!AL$106=1,EK34,1)</f>
        <v/>
      </c>
      <c r="JZ34">
        <f>IF('計算A'!AM$106=1,EL34,1)</f>
        <v/>
      </c>
      <c r="KA34">
        <f>IF('計算A'!AN$106=1,EM34,1)</f>
        <v/>
      </c>
      <c r="KB34">
        <f>IF('計算A'!AO$106=1,EN34,1)</f>
        <v/>
      </c>
      <c r="KC34">
        <f>IF('計算A'!AP$106=1,EO34,1)</f>
        <v/>
      </c>
      <c r="KD34">
        <f>IF('計算A'!AQ$106=1,EP34,1)</f>
        <v/>
      </c>
      <c r="KE34">
        <f>IF('計算A'!AR$106=1,EQ34,1)</f>
        <v/>
      </c>
      <c r="KF34">
        <f>IF('計算A'!AS$106=1,ER34,1)</f>
        <v/>
      </c>
      <c r="KG34">
        <f>IF('計算A'!AT$106=1,ES34,1)</f>
        <v/>
      </c>
      <c r="KH34">
        <f>IF('計算A'!AU$106=1,ET34,1)</f>
        <v/>
      </c>
      <c r="KI34">
        <f>IF('計算A'!AV$106=1,EU34,1)</f>
        <v/>
      </c>
      <c r="KJ34">
        <f>IF('計算A'!AW$106=1,EV34,1)</f>
        <v/>
      </c>
      <c r="KK34">
        <f>IF('計算A'!AX$106=1,EW34,1)</f>
        <v/>
      </c>
      <c r="KL34">
        <f>IF('計算A'!AY$106=1,EX34,1)</f>
        <v/>
      </c>
      <c r="KM34">
        <f>IF('計算A'!AZ$106=1,EY34,1)</f>
        <v/>
      </c>
      <c r="KN34">
        <f>IF('計算A'!BA$106=1,EZ34,1)</f>
        <v/>
      </c>
      <c r="KO34">
        <f>IF('計算A'!BB$106=1,FA34,1)</f>
        <v/>
      </c>
      <c r="KP34">
        <f>IF('計算A'!BC$106=1,FB34,1)</f>
        <v/>
      </c>
      <c r="KQ34">
        <f>IF('計算A'!BD$106=1,FC34,1)</f>
        <v/>
      </c>
      <c r="KR34">
        <f>IF('計算A'!BE$106=1,FD34,1)</f>
        <v/>
      </c>
      <c r="KS34">
        <f>IF('計算A'!BF$106=1,FE34,1)</f>
        <v/>
      </c>
      <c r="KT34">
        <f>IF('計算A'!BG$106=1,FF34,1)</f>
        <v/>
      </c>
      <c r="KU34">
        <f>IF('計算A'!BH$106=1,FG34,1)</f>
        <v/>
      </c>
      <c r="KV34">
        <f>IF('計算A'!BI$106=1,FH34,1)</f>
        <v/>
      </c>
      <c r="KW34">
        <f>IF('計算A'!BJ$106=1,FI34,1)</f>
        <v/>
      </c>
      <c r="KX34">
        <f>IF('計算A'!BK$106=1,FJ34,1)</f>
        <v/>
      </c>
      <c r="KY34">
        <f>IF('計算A'!BL$106=1,FK34,1)</f>
        <v/>
      </c>
      <c r="KZ34">
        <f>IF('計算A'!BM$106=1,FL34,1)</f>
        <v/>
      </c>
      <c r="LA34">
        <f>IF('計算A'!BN$106=1,FM34,1)</f>
        <v/>
      </c>
      <c r="LB34">
        <f>IF('計算A'!BO$106=1,FN34,1)</f>
        <v/>
      </c>
      <c r="LC34">
        <f>IF('計算A'!BP$106=1,FO34,1)</f>
        <v/>
      </c>
      <c r="LD34">
        <f>IF('計算A'!BQ$106=1,FP34,1)</f>
        <v/>
      </c>
      <c r="LE34">
        <f>IF('計算A'!BR$106=1,FQ34,1)</f>
        <v/>
      </c>
      <c r="LF34">
        <f>IF('計算A'!BS$106=1,FR34,1)</f>
        <v/>
      </c>
      <c r="LG34">
        <f>IF('計算A'!BT$106=1,FS34,1)</f>
        <v/>
      </c>
      <c r="LH34">
        <f>IF('計算A'!BU$106=1,FT34,1)</f>
        <v/>
      </c>
      <c r="LI34">
        <f>IF('計算A'!BV$106=1,FU34,1)</f>
        <v/>
      </c>
      <c r="LJ34">
        <f>IF('計算A'!BW$106=1,FV34,1)</f>
        <v/>
      </c>
      <c r="LK34">
        <f>IF('計算A'!BX$106=1,FW34,1)</f>
        <v/>
      </c>
      <c r="LL34">
        <f>IF('計算A'!BY$106=1,FX34,1)</f>
        <v/>
      </c>
      <c r="LM34">
        <f>IF('計算A'!BZ$106=1,FY34,1)</f>
        <v/>
      </c>
      <c r="LN34">
        <f>IF('計算A'!CA$106=1,FZ34,1)</f>
        <v/>
      </c>
      <c r="LO34">
        <f>IF('計算A'!CB$106=1,GA34,1)</f>
        <v/>
      </c>
      <c r="LP34">
        <f>IF('計算A'!CC$106=1,GB34,1)</f>
        <v/>
      </c>
      <c r="LQ34">
        <f>IF('計算A'!CD$106=1,GC34,1)</f>
        <v/>
      </c>
      <c r="LR34">
        <f>IF('計算A'!CE$106=1,GD34,1)</f>
        <v/>
      </c>
      <c r="LS34">
        <f>IF('計算A'!CF$106=1,GE34,1)</f>
        <v/>
      </c>
      <c r="LT34">
        <f>IF('計算A'!CG$106=1,GF34,1)</f>
        <v/>
      </c>
      <c r="LU34">
        <f>IF('計算A'!CH$106=1,GG34,1)</f>
        <v/>
      </c>
      <c r="LV34">
        <f>IF('計算A'!CI$106=1,GH34,1)</f>
        <v/>
      </c>
      <c r="LW34">
        <f>IF('計算A'!CJ$106=1,GI34,1)</f>
        <v/>
      </c>
      <c r="LX34">
        <f>IF('計算A'!CK$106=1,GJ34,1)</f>
        <v/>
      </c>
      <c r="LY34">
        <f>IF('計算A'!CL$106=1,GK34,1)</f>
        <v/>
      </c>
      <c r="LZ34">
        <f>IF('計算A'!CM$106=1,GL34,1)</f>
        <v/>
      </c>
      <c r="MA34">
        <f>IF('計算A'!CN$106=1,GM34,1)</f>
        <v/>
      </c>
      <c r="MB34">
        <f>IF('計算A'!CO$106=1,GN34,1)</f>
        <v/>
      </c>
      <c r="MC34">
        <f>IF('計算A'!CP$106=1,GO34,1)</f>
        <v/>
      </c>
      <c r="MD34">
        <f>IF('計算A'!CQ$106=1,GP34,1)</f>
        <v/>
      </c>
      <c r="ME34">
        <f>IF('計算A'!CR$106=1,GQ34,1)</f>
        <v/>
      </c>
      <c r="MF34">
        <f>IF('計算A'!CS$106=1,GR34,1)</f>
        <v/>
      </c>
      <c r="MG34">
        <f>IF('計算A'!CT$106=1,GS34,1)</f>
        <v/>
      </c>
      <c r="MH34">
        <f>IF('計算A'!CU$106=1,GT34,1)</f>
        <v/>
      </c>
      <c r="MI34">
        <f>IF('計算A'!CV$106=1,GU34,1)</f>
        <v/>
      </c>
      <c r="MJ34">
        <f>IF('計算A'!CW$106=1,GV34,1)</f>
        <v/>
      </c>
      <c r="MK34">
        <f>IF('計算A'!CX$106=1,GW34,1)</f>
        <v/>
      </c>
      <c r="ML34">
        <f>IF('計算A'!CY$106=1,GX34,1)</f>
        <v/>
      </c>
      <c r="MM34">
        <f>IF('計算A'!CZ$106=1,GY34,1)</f>
        <v/>
      </c>
      <c r="MN34">
        <f>IF('計算A'!DA$106=1,GZ34,1)</f>
        <v/>
      </c>
      <c r="MO34">
        <f>IF('計算A'!DB$106=1,HA34,1)</f>
        <v/>
      </c>
      <c r="MP34">
        <f>IF('計算A'!DC$106=1,HB34,1)</f>
        <v/>
      </c>
      <c r="MQ34">
        <f>IF('計算A'!DD$106=1,HC34,1)</f>
        <v/>
      </c>
      <c r="MR34">
        <f>IF('計算A'!DE$106=1,HD34,1)</f>
        <v/>
      </c>
      <c r="MS34">
        <f>IF('計算A'!DF$106=1,HE34,1)</f>
        <v/>
      </c>
      <c r="MT34">
        <f>IF('計算A'!DG$106=1,HF34,1)</f>
        <v/>
      </c>
      <c r="MU34">
        <f>IF('計算A'!DH$106=1,HG34,1)</f>
        <v/>
      </c>
      <c r="MV34">
        <f>IF('計算A'!DI$106=1,HH34,1)</f>
        <v/>
      </c>
      <c r="MW34">
        <f>IF('計算A'!DJ$106=1,HI34,1)</f>
        <v/>
      </c>
      <c r="MX34">
        <f>IF('計算A'!DK$106=1,HJ34,1)</f>
        <v/>
      </c>
      <c r="MY34">
        <f>IF('計算A'!DL$106=1,HK34,1)</f>
        <v/>
      </c>
      <c r="MZ34">
        <f>IF('計算A'!DM$106=1,HL34,1)</f>
        <v/>
      </c>
      <c r="NA34">
        <f>IF('計算A'!DN$106=1,HM34,1)</f>
        <v/>
      </c>
      <c r="NB34">
        <f>IF('計算A'!DO$106=1,HN34,1)</f>
        <v/>
      </c>
      <c r="NC34">
        <f>IF('計算A'!DP$106=1,HO34,1)</f>
        <v/>
      </c>
      <c r="ND34">
        <f>IF('計算A'!DQ$106=1,HP34,1)</f>
        <v/>
      </c>
      <c r="NE34">
        <f>IF('計算A'!DR$106=1,HQ34,1)</f>
        <v/>
      </c>
      <c r="NF34">
        <f>IF('計算A'!DS$106=1,HR34,1)</f>
        <v/>
      </c>
      <c r="NG34">
        <f>IF('計算A'!DT$106=1,HS34,1)</f>
        <v/>
      </c>
      <c r="NH34">
        <f>IF('計算A'!DU$106=1,HT34,1)</f>
        <v/>
      </c>
      <c r="NI34">
        <f>IF('計算A'!DV$106=1,HU34,1)</f>
        <v/>
      </c>
      <c r="NJ34">
        <f>IF('計算A'!DW$106=1,HV34,1)</f>
        <v/>
      </c>
      <c r="NK34">
        <f>IF('計算A'!DX$106=1,HW34,1)</f>
        <v/>
      </c>
      <c r="NL34">
        <f>IF('計算A'!DY$106=1,HX34,1)</f>
        <v/>
      </c>
      <c r="NM34">
        <f>IF('計算A'!DZ$106=1,HY34,1)</f>
        <v/>
      </c>
      <c r="NN34">
        <f>IF('計算A'!EA$106=1,HZ34,1)</f>
        <v/>
      </c>
      <c r="NO34">
        <f>IF('計算A'!EB$106=1,IA34,1)</f>
        <v/>
      </c>
      <c r="NP34">
        <f>IF('計算A'!EC$106=1,IB34,1)</f>
        <v/>
      </c>
      <c r="NQ34">
        <f>IF('計算A'!ED$106=1,IC34,1)</f>
        <v/>
      </c>
      <c r="NR34">
        <f>IF('計算A'!EE$106=1,ID34,1)</f>
        <v/>
      </c>
      <c r="NS34">
        <f>IF('計算A'!EF$106=1,IE34,1)</f>
        <v/>
      </c>
      <c r="NT34">
        <f>IF('計算A'!EG$106=1,IF34,1)</f>
        <v/>
      </c>
      <c r="NU34">
        <f>IF('計算A'!EH$106=1,IG34,1)</f>
        <v/>
      </c>
      <c r="NV34">
        <f>IF('計算A'!EI$106=1,IH34,1)</f>
        <v/>
      </c>
      <c r="NW34">
        <f>IF('計算A'!EJ$106=1,II34,1)</f>
        <v/>
      </c>
      <c r="NX34">
        <f>IF('計算A'!EK$106=1,IJ34,1)</f>
        <v/>
      </c>
      <c r="NY34">
        <f>IF('計算A'!EL$106=1,IK34,1)</f>
        <v/>
      </c>
      <c r="NZ34">
        <f>IF('計算A'!EM$106=1,IL34,1)</f>
        <v/>
      </c>
      <c r="OA34">
        <f>IF('計算A'!EN$106=1,IM34,1)</f>
        <v/>
      </c>
      <c r="OB34">
        <f>IF('計算A'!EO$106=1,IN34,1)</f>
        <v/>
      </c>
      <c r="OC34">
        <f>IF('計算A'!EP$106=1,IO34,1)</f>
        <v/>
      </c>
      <c r="OD34" t="n">
        <v>1</v>
      </c>
      <c r="OF34">
        <f>IF($B34=0,1000000,IF(INDEX('計算A'!$D$60:$EQ$104,$B34,1)*DB34=1,IF(AND($E34=2,IQ34=0),1000000,IF($I34&gt;0,IF(1=$J34,IF(OR(AND(1=$I34+1,OR($K34&lt;&gt;'計算A'!$A$3,'計算A'!$A$4=0)),AND(1=$I34-1,OR(1&lt;&gt;'計算A'!$A$3,'計算A'!$A$4=0))),0,IF(1=$K34,200000,ABS(1-$K34)*100)),100000+ABS(1-$J34)*1000+10)+'計算A'!D$5*50+IF(AND($E34=1,IQ34=0),25,0),IF($F34&gt;0,INDEX('計算A'!D$110:D$114,$F34+1)+IF(AND($E34=1,IQ34=0),1000,0),MIN(TU34,20)*400+(IF('計算A'!D$106=1,1-DC34,0))*150+11+'計算A'!D$5*100000+IF(AND($E34=1,IQ34=0),50000,0))+IF($H34=1,(IF('計算A'!D$117=1,INDEX('計算A'!E$10:E$54,$B34),0))*4000,0)-IF(AND($L34=1,'計算A'!D$117=1,DC34=0),2000,0))),1000000))</f>
        <v/>
      </c>
      <c r="OG34">
        <f>IF($B34=0,1000000,IF(INDEX('計算A'!$D$60:$EQ$104,$B34,2)*DC34=1,IF(AND($E34=2,IR34=0),1000000,IF($I34&gt;0,IF(1=$J34,IF(OR(AND(2=$I34+1,OR($K34&lt;&gt;'計算A'!$A$3,'計算A'!$A$4=0)),AND(2=$I34-1,OR(2&lt;&gt;'計算A'!$A$3,'計算A'!$A$4=0))),0,IF(2=$K34,200000,ABS(2-$K34)*100)),100000+ABS(1-$J34)*1000+20)+'計算A'!E$5*50+IF(AND($E34=1,IR34=0),25,0),IF($F34&gt;0,INDEX('計算A'!E$110:E$114,$F34+1)+IF(AND($E34=1,IR34=0),1000,0),MIN(TU34,20)*400+(IF('計算A'!D$106=1,1-DB34,0)+IF('計算A'!E$106=1,1-DD34,0))*150+21+'計算A'!E$5*100000+IF(AND($E34=1,IR34=0),50000,0))+IF($H34=1,(IF('計算A'!D$117=1,INDEX('計算A'!D$10:D$54,$B34),0)+IF('計算A'!E$117=1,INDEX('計算A'!F$10:F$54,$B34),0))*4000,0)-IF(AND('計算A'!D$117=1,UB34&gt;0),2000,0)-IF(AND($L34=1,'計算A'!E$117=1,DD34=0),2000,0))),1000000))</f>
        <v/>
      </c>
      <c r="OH34">
        <f>IF($B34=0,1000000,IF(INDEX('計算A'!$D$60:$EQ$104,$B34,3)*DD34=1,IF(AND($E34=2,IS34=0),1000000,IF($I34&gt;0,IF(1=$J34,IF(OR(AND(3=$I34+1,OR($K34&lt;&gt;'計算A'!$A$3,'計算A'!$A$4=0)),AND(3=$I34-1,OR(3&lt;&gt;'計算A'!$A$3,'計算A'!$A$4=0))),0,IF(3=$K34,200000,ABS(3-$K34)*100)),100000+ABS(1-$J34)*1000+30)+'計算A'!F$5*50+IF(AND($E34=1,IS34=0),25,0),IF($F34&gt;0,INDEX('計算A'!F$110:F$114,$F34+1)+IF(AND($E34=1,IS34=0),1000,0),MIN(TU34,20)*400+(IF('計算A'!E$106=1,1-DC34,0)+IF('計算A'!F$106=1,1-DE34,0))*150+31+'計算A'!F$5*100000+IF(AND($E34=1,IS34=0),50000,0))+IF($H34=1,(IF('計算A'!E$117=1,INDEX('計算A'!E$10:E$54,$B34),0)+IF('計算A'!F$117=1,INDEX('計算A'!G$10:G$54,$B34),0))*4000,0)-IF(AND('計算A'!E$117=1,UC34&gt;0),2000,0)-IF(AND($L34=1,'計算A'!F$117=1,DE34=0),2000,0))),1000000))</f>
        <v/>
      </c>
      <c r="OI34">
        <f>IF($B34=0,1000000,IF(INDEX('計算A'!$D$60:$EQ$104,$B34,4)*DE34=1,IF(AND($E34=2,IT34=0),1000000,IF($I34&gt;0,IF(1=$J34,IF(OR(AND(4=$I34+1,OR($K34&lt;&gt;'計算A'!$A$3,'計算A'!$A$4=0)),AND(4=$I34-1,OR(4&lt;&gt;'計算A'!$A$3,'計算A'!$A$4=0))),0,IF(4=$K34,200000,ABS(4-$K34)*100)),100000+ABS(1-$J34)*1000+40)+'計算A'!G$5*50+IF(AND($E34=1,IT34=0),25,0),IF($F34&gt;0,INDEX('計算A'!G$110:G$114,$F34+1)+IF(AND($E34=1,IT34=0),1000,0),MIN(TU34,20)*400+(IF('計算A'!F$106=1,1-DD34,0)+IF('計算A'!G$106=1,1-DF34,0))*150+41+'計算A'!G$5*100000+IF(AND($E34=1,IT34=0),50000,0))+IF($H34=1,(IF('計算A'!F$117=1,INDEX('計算A'!F$10:F$54,$B34),0)+IF('計算A'!G$117=1,INDEX('計算A'!H$10:H$54,$B34),0))*4000,0)-IF(AND('計算A'!F$117=1,UD34&gt;0),2000,0)-IF(AND($L34=1,'計算A'!G$117=1,DF34=0),2000,0))),1000000))</f>
        <v/>
      </c>
      <c r="OJ34">
        <f>IF($B34=0,1000000,IF(INDEX('計算A'!$D$60:$EQ$104,$B34,5)*DF34=1,IF(AND($E34=2,IU34=0),1000000,IF($I34&gt;0,IF(1=$J34,IF(OR(AND(5=$I34+1,OR($K34&lt;&gt;'計算A'!$A$3,'計算A'!$A$4=0)),AND(5=$I34-1,OR(5&lt;&gt;'計算A'!$A$3,'計算A'!$A$4=0))),0,IF(5=$K34,200000,ABS(5-$K34)*100)),100000+ABS(1-$J34)*1000+50)+'計算A'!H$5*50+IF(AND($E34=1,IU34=0),25,0),IF($F34&gt;0,INDEX('計算A'!H$110:H$114,$F34+1)+IF(AND($E34=1,IU34=0),1000,0),MIN(TU34,20)*400+(IF('計算A'!G$106=1,1-DE34,0)+IF('計算A'!H$106=1,1-DG34,0))*150+51+'計算A'!H$5*100000+IF(AND($E34=1,IU34=0),50000,0))+IF($H34=1,(IF('計算A'!G$117=1,INDEX('計算A'!G$10:G$54,$B34),0)+IF('計算A'!H$117=1,INDEX('計算A'!I$10:I$54,$B34),0))*4000,0)-IF(AND('計算A'!G$117=1,UE34&gt;0),2000,0)-IF(AND($L34=1,'計算A'!H$117=1,DG34=0),2000,0))),1000000))</f>
        <v/>
      </c>
      <c r="OK34">
        <f>IF($B34=0,1000000,IF(INDEX('計算A'!$D$60:$EQ$104,$B34,6)*DG34=1,IF(AND($E34=2,IV34=0),1000000,IF($I34&gt;0,IF(1=$J34,IF(OR(AND(6=$I34+1,OR($K34&lt;&gt;'計算A'!$A$3,'計算A'!$A$4=0)),AND(6=$I34-1,OR(6&lt;&gt;'計算A'!$A$3,'計算A'!$A$4=0))),0,IF(6=$K34,200000,ABS(6-$K34)*100)),100000+ABS(1-$J34)*1000+60)+'計算A'!I$5*50+IF(AND($E34=1,IV34=0),25,0),IF($F34&gt;0,INDEX('計算A'!I$110:I$114,$F34+1)+IF(AND($E34=1,IV34=0),1000,0),MIN(TU34,20)*400+(IF('計算A'!H$106=1,1-DF34,0)+IF('計算A'!I$106=1,1-DH34,0))*150+61+'計算A'!I$5*100000+IF(AND($E34=1,IV34=0),50000,0))+IF($H34=1,(IF('計算A'!H$117=1,INDEX('計算A'!H$10:H$54,$B34),0)+IF('計算A'!I$117=1,INDEX('計算A'!J$10:J$54,$B34),0))*4000,0)-IF(AND('計算A'!H$117=1,UF34&gt;0),2000,0)-IF(AND($L34=1,'計算A'!I$117=1,DH34=0),2000,0))),1000000))</f>
        <v/>
      </c>
      <c r="OL34">
        <f>IF($B34=0,1000000,IF(INDEX('計算A'!$D$60:$EQ$104,$B34,7)*DH34=1,IF(AND($E34=2,IW34=0),1000000,IF($I34&gt;0,IF(1=$J34,IF(OR(AND(7=$I34+1,OR($K34&lt;&gt;'計算A'!$A$3,'計算A'!$A$4=0)),AND(7=$I34-1,OR(7&lt;&gt;'計算A'!$A$3,'計算A'!$A$4=0))),0,IF(7=$K34,200000,ABS(7-$K34)*100)),100000+ABS(1-$J34)*1000+70)+'計算A'!J$5*50+IF(AND($E34=1,IW34=0),25,0),IF($F34&gt;0,INDEX('計算A'!J$110:J$114,$F34+1)+IF(AND($E34=1,IW34=0),1000,0),MIN(TU34,20)*400+(IF('計算A'!I$106=1,1-DG34,0)+IF('計算A'!J$106=1,1-DI34,0))*150+71+'計算A'!J$5*100000+IF(AND($E34=1,IW34=0),50000,0))+IF($H34=1,(IF('計算A'!I$117=1,INDEX('計算A'!I$10:I$54,$B34),0)+IF('計算A'!J$117=1,INDEX('計算A'!K$10:K$54,$B34),0))*4000,0)-IF(AND('計算A'!I$117=1,UG34&gt;0),2000,0)-IF(AND($L34=1,'計算A'!J$117=1,DI34=0),2000,0))),1000000))</f>
        <v/>
      </c>
      <c r="OM34">
        <f>IF($B34=0,1000000,IF(INDEX('計算A'!$D$60:$EQ$104,$B34,8)*DI34=1,IF(AND($E34=2,IX34=0),1000000,IF($I34&gt;0,IF(1=$J34,IF(OR(AND(8=$I34+1,OR($K34&lt;&gt;'計算A'!$A$3,'計算A'!$A$4=0)),AND(8=$I34-1,OR(8&lt;&gt;'計算A'!$A$3,'計算A'!$A$4=0))),0,IF(8=$K34,200000,ABS(8-$K34)*100)),100000+ABS(1-$J34)*1000+80)+'計算A'!K$5*50+IF(AND($E34=1,IX34=0),25,0),IF($F34&gt;0,INDEX('計算A'!K$110:K$114,$F34+1)+IF(AND($E34=1,IX34=0),1000,0),MIN(TU34,20)*400+(IF('計算A'!J$106=1,1-DH34,0)+IF('計算A'!K$106=1,1-DJ34,0))*150+81+'計算A'!K$5*100000+IF(AND($E34=1,IX34=0),50000,0))+IF($H34=1,(IF('計算A'!J$117=1,INDEX('計算A'!J$10:J$54,$B34),0)+IF('計算A'!K$117=1,INDEX('計算A'!L$10:L$54,$B34),0))*4000,0)-IF(AND('計算A'!J$117=1,UH34&gt;0),2000,0)-IF(AND($L34=1,'計算A'!K$117=1,DJ34=0),2000,0))),1000000))</f>
        <v/>
      </c>
      <c r="ON34">
        <f>IF($B34=0,1000000,IF(INDEX('計算A'!$D$60:$EQ$104,$B34,9)*DJ34=1,IF(AND($E34=2,IY34=0),1000000,IF($I34&gt;0,IF(1=$J34,IF(OR(AND(9=$I34+1,OR($K34&lt;&gt;'計算A'!$A$3,'計算A'!$A$4=0)),AND(9=$I34-1,OR(9&lt;&gt;'計算A'!$A$3,'計算A'!$A$4=0))),0,IF(9=$K34,200000,ABS(9-$K34)*100)),100000+ABS(1-$J34)*1000+90)+'計算A'!L$5*50+IF(AND($E34=1,IY34=0),25,0),IF($F34&gt;0,INDEX('計算A'!L$110:L$114,$F34+1)+IF(AND($E34=1,IY34=0),1000,0),MIN(TU34,20)*400+(IF('計算A'!K$106=1,1-DI34,0)+IF('計算A'!L$106=1,1-DK34,0))*150+91+'計算A'!L$5*100000+IF(AND($E34=1,IY34=0),50000,0))+IF($H34=1,(IF('計算A'!K$117=1,INDEX('計算A'!K$10:K$54,$B34),0)+IF('計算A'!L$117=1,INDEX('計算A'!M$10:M$54,$B34),0))*4000,0)-IF(AND('計算A'!K$117=1,UI34&gt;0),2000,0)-IF(AND($L34=1,'計算A'!L$117=1,DK34=0),2000,0))),1000000))</f>
        <v/>
      </c>
      <c r="OO34">
        <f>IF($B34=0,1000000,IF(INDEX('計算A'!$D$60:$EQ$104,$B34,10)*DK34=1,IF(AND($E34=2,IZ34=0),1000000,IF($I34&gt;0,IF(1=$J34,IF(OR(AND(10=$I34+1,OR($K34&lt;&gt;'計算A'!$A$3,'計算A'!$A$4=0)),AND(10=$I34-1,OR(10&lt;&gt;'計算A'!$A$3,'計算A'!$A$4=0))),0,IF(10=$K34,200000,ABS(10-$K34)*100)),100000+ABS(1-$J34)*1000+100)+'計算A'!M$5*50+IF(AND($E34=1,IZ34=0),25,0),IF($F34&gt;0,INDEX('計算A'!M$110:M$114,$F34+1)+IF(AND($E34=1,IZ34=0),1000,0),MIN(TU34,20)*400+(IF('計算A'!L$106=1,1-DJ34,0)+IF('計算A'!M$106=1,1-DL34,0))*150+101+'計算A'!M$5*100000+IF(AND($E34=1,IZ34=0),50000,0))+IF($H34=1,(IF('計算A'!L$117=1,INDEX('計算A'!L$10:L$54,$B34),0)+IF('計算A'!M$117=1,INDEX('計算A'!N$10:N$54,$B34),0))*4000,0)-IF(AND('計算A'!L$117=1,UJ34&gt;0),2000,0)-IF(AND($L34=1,'計算A'!M$117=1,DL34=0),2000,0))),1000000))</f>
        <v/>
      </c>
      <c r="OP34">
        <f>IF($B34=0,1000000,IF(INDEX('計算A'!$D$60:$EQ$104,$B34,11)*DL34=1,IF(AND($E34=2,JA34=0),1000000,IF($I34&gt;0,IF(1=$J34,IF(OR(AND(11=$I34+1,OR($K34&lt;&gt;'計算A'!$A$3,'計算A'!$A$4=0)),AND(11=$I34-1,OR(11&lt;&gt;'計算A'!$A$3,'計算A'!$A$4=0))),0,IF(11=$K34,200000,ABS(11-$K34)*100)),100000+ABS(1-$J34)*1000+110)+'計算A'!N$5*50+IF(AND($E34=1,JA34=0),25,0),IF($F34&gt;0,INDEX('計算A'!N$110:N$114,$F34+1)+IF(AND($E34=1,JA34=0),1000,0),MIN(TU34,20)*400+(IF('計算A'!M$106=1,1-DK34,0)+IF('計算A'!N$106=1,1-DM34,0))*150+111+'計算A'!N$5*100000+IF(AND($E34=1,JA34=0),50000,0))+IF($H34=1,(IF('計算A'!M$117=1,INDEX('計算A'!M$10:M$54,$B34),0)+IF('計算A'!N$117=1,INDEX('計算A'!O$10:O$54,$B34),0))*4000,0)-IF(AND('計算A'!M$117=1,UK34&gt;0),2000,0)-IF(AND($L34=1,'計算A'!N$117=1,DM34=0),2000,0))),1000000))</f>
        <v/>
      </c>
      <c r="OQ34">
        <f>IF($B34=0,1000000,IF(INDEX('計算A'!$D$60:$EQ$104,$B34,12)*DM34=1,IF(AND($E34=2,JB34=0),1000000,IF($I34&gt;0,IF(1=$J34,IF(OR(AND(12=$I34+1,OR($K34&lt;&gt;'計算A'!$A$3,'計算A'!$A$4=0)),AND(12=$I34-1,OR(12&lt;&gt;'計算A'!$A$3,'計算A'!$A$4=0))),0,IF(12=$K34,200000,ABS(12-$K34)*100)),100000+ABS(1-$J34)*1000+120)+'計算A'!O$5*50+IF(AND($E34=1,JB34=0),25,0),IF($F34&gt;0,INDEX('計算A'!O$110:O$114,$F34+1)+IF(AND($E34=1,JB34=0),1000,0),MIN(TU34,20)*400+(IF('計算A'!N$106=1,1-DL34,0)+IF('計算A'!O$106=1,1-DN34,0))*150+121+'計算A'!O$5*100000+IF(AND($E34=1,JB34=0),50000,0))+IF($H34=1,(IF('計算A'!N$117=1,INDEX('計算A'!N$10:N$54,$B34),0)+IF('計算A'!O$117=1,INDEX('計算A'!P$10:P$54,$B34),0))*4000,0)-IF(AND('計算A'!N$117=1,UL34&gt;0),2000,0)-IF(AND($L34=1,'計算A'!O$117=1,DN34=0),2000,0))),1000000))</f>
        <v/>
      </c>
      <c r="OR34">
        <f>IF($B34=0,1000000,IF(INDEX('計算A'!$D$60:$EQ$104,$B34,13)*DN34=1,IF(AND($E34=2,JC34=0),1000000,IF($I34&gt;0,IF(1=$J34,IF(OR(AND(13=$I34+1,OR($K34&lt;&gt;'計算A'!$A$3,'計算A'!$A$4=0)),AND(13=$I34-1,OR(13&lt;&gt;'計算A'!$A$3,'計算A'!$A$4=0))),0,IF(13=$K34,200000,ABS(13-$K34)*100)),100000+ABS(1-$J34)*1000+130)+'計算A'!P$5*50+IF(AND($E34=1,JC34=0),25,0),IF($F34&gt;0,INDEX('計算A'!P$110:P$114,$F34+1)+IF(AND($E34=1,JC34=0),1000,0),MIN(TU34,20)*400+(IF('計算A'!O$106=1,1-DM34,0)+IF('計算A'!P$106=1,1-DO34,0))*150+131+'計算A'!P$5*100000+IF(AND($E34=1,JC34=0),50000,0))+IF($H34=1,(IF('計算A'!O$117=1,INDEX('計算A'!O$10:O$54,$B34),0)+IF('計算A'!P$117=1,INDEX('計算A'!Q$10:Q$54,$B34),0))*4000,0)-IF(AND('計算A'!O$117=1,UM34&gt;0),2000,0)-IF(AND($L34=1,'計算A'!P$117=1,DO34=0),2000,0))),1000000))</f>
        <v/>
      </c>
      <c r="OS34">
        <f>IF($B34=0,1000000,IF(INDEX('計算A'!$D$60:$EQ$104,$B34,14)*DO34=1,IF(AND($E34=2,JD34=0),1000000,IF($I34&gt;0,IF(1=$J34,IF(OR(AND(14=$I34+1,OR($K34&lt;&gt;'計算A'!$A$3,'計算A'!$A$4=0)),AND(14=$I34-1,OR(14&lt;&gt;'計算A'!$A$3,'計算A'!$A$4=0))),0,IF(14=$K34,200000,ABS(14-$K34)*100)),100000+ABS(1-$J34)*1000+140)+'計算A'!Q$5*50+IF(AND($E34=1,JD34=0),25,0),IF($F34&gt;0,INDEX('計算A'!Q$110:Q$114,$F34+1)+IF(AND($E34=1,JD34=0),1000,0),MIN(TU34,20)*400+(IF('計算A'!P$106=1,1-DN34,0)+IF('計算A'!Q$106=1,1-DP34,0))*150+141+'計算A'!Q$5*100000+IF(AND($E34=1,JD34=0),50000,0))+IF($H34=1,(IF('計算A'!P$117=1,INDEX('計算A'!P$10:P$54,$B34),0)+IF('計算A'!Q$117=1,INDEX('計算A'!R$10:R$54,$B34),0))*4000,0)-IF(AND('計算A'!P$117=1,UN34&gt;0),2000,0)-IF(AND($L34=1,'計算A'!Q$117=1,DP34=0),2000,0))),1000000))</f>
        <v/>
      </c>
      <c r="OT34">
        <f>IF($B34=0,1000000,IF(INDEX('計算A'!$D$60:$EQ$104,$B34,15)*DP34=1,IF(AND($E34=2,JE34=0),1000000,IF($I34&gt;0,IF(1=$J34,IF(OR(AND(15=$I34+1,OR($K34&lt;&gt;'計算A'!$A$3,'計算A'!$A$4=0)),AND(15=$I34-1,OR(15&lt;&gt;'計算A'!$A$3,'計算A'!$A$4=0))),0,IF(15=$K34,200000,ABS(15-$K34)*100)),100000+ABS(1-$J34)*1000+150)+'計算A'!R$5*50+IF(AND($E34=1,JE34=0),25,0),IF($F34&gt;0,INDEX('計算A'!R$110:R$114,$F34+1)+IF(AND($E34=1,JE34=0),1000,0),MIN(TU34,20)*400+(IF('計算A'!Q$106=1,1-DO34,0)+IF('計算A'!R$106=1,1-DQ34,0))*150+151+'計算A'!R$5*100000+IF(AND($E34=1,JE34=0),50000,0))+IF($H34=1,(IF('計算A'!Q$117=1,INDEX('計算A'!Q$10:Q$54,$B34),0)+IF('計算A'!R$117=1,INDEX('計算A'!S$10:S$54,$B34),0))*4000,0)-IF(AND('計算A'!Q$117=1,UO34&gt;0),2000,0)-IF(AND($L34=1,'計算A'!R$117=1,DQ34=0),2000,0))),1000000))</f>
        <v/>
      </c>
      <c r="OU34">
        <f>IF($B34=0,1000000,IF(INDEX('計算A'!$D$60:$EQ$104,$B34,16)*DQ34=1,IF(AND($E34=2,JF34=0),1000000,IF($I34&gt;0,IF(1=$J34,IF(OR(AND(16=$I34+1,OR($K34&lt;&gt;'計算A'!$A$3,'計算A'!$A$4=0)),AND(16=$I34-1,OR(16&lt;&gt;'計算A'!$A$3,'計算A'!$A$4=0))),0,IF(16=$K34,200000,ABS(16-$K34)*100)),100000+ABS(1-$J34)*1000+160)+'計算A'!S$5*50+IF(AND($E34=1,JF34=0),25,0),IF($F34&gt;0,INDEX('計算A'!S$110:S$114,$F34+1)+IF(AND($E34=1,JF34=0),1000,0),MIN(TU34,20)*400+(IF('計算A'!R$106=1,1-DP34,0)+IF('計算A'!S$106=1,1-DR34,0))*150+161+'計算A'!S$5*100000+IF(AND($E34=1,JF34=0),50000,0))+IF($H34=1,(IF('計算A'!R$117=1,INDEX('計算A'!R$10:R$54,$B34),0)+IF('計算A'!S$117=1,INDEX('計算A'!T$10:T$54,$B34),0))*4000,0)-IF(AND('計算A'!R$117=1,UP34&gt;0),2000,0)-IF(AND($L34=1,'計算A'!S$117=1,DR34=0),2000,0))),1000000))</f>
        <v/>
      </c>
      <c r="OV34">
        <f>IF($B34=0,1000000,IF(INDEX('計算A'!$D$60:$EQ$104,$B34,17)*DR34=1,IF(AND($E34=2,JG34=0),1000000,IF($I34&gt;0,IF(1=$J34,IF(OR(AND(17=$I34+1,OR($K34&lt;&gt;'計算A'!$A$3,'計算A'!$A$4=0)),AND(17=$I34-1,OR(17&lt;&gt;'計算A'!$A$3,'計算A'!$A$4=0))),0,IF(17=$K34,200000,ABS(17-$K34)*100)),100000+ABS(1-$J34)*1000+170)+'計算A'!T$5*50+IF(AND($E34=1,JG34=0),25,0),IF($F34&gt;0,INDEX('計算A'!T$110:T$114,$F34+1)+IF(AND($E34=1,JG34=0),1000,0),MIN(TU34,20)*400+(IF('計算A'!S$106=1,1-DQ34,0)+IF('計算A'!T$106=1,1-DS34,0))*150+171+'計算A'!T$5*100000+IF(AND($E34=1,JG34=0),50000,0))+IF($H34=1,(IF('計算A'!S$117=1,INDEX('計算A'!S$10:S$54,$B34),0)+IF('計算A'!T$117=1,INDEX('計算A'!U$10:U$54,$B34),0))*4000,0)-IF(AND('計算A'!S$117=1,UQ34&gt;0),2000,0)-IF(AND($L34=1,'計算A'!T$117=1,DS34=0),2000,0))),1000000))</f>
        <v/>
      </c>
      <c r="OW34">
        <f>IF($B34=0,1000000,IF(INDEX('計算A'!$D$60:$EQ$104,$B34,18)*DS34=1,IF(AND($E34=2,JH34=0),1000000,IF($I34&gt;0,IF(1=$J34,IF(OR(AND(18=$I34+1,OR($K34&lt;&gt;'計算A'!$A$3,'計算A'!$A$4=0)),AND(18=$I34-1,OR(18&lt;&gt;'計算A'!$A$3,'計算A'!$A$4=0))),0,IF(18=$K34,200000,ABS(18-$K34)*100)),100000+ABS(1-$J34)*1000+180)+'計算A'!U$5*50+IF(AND($E34=1,JH34=0),25,0),IF($F34&gt;0,INDEX('計算A'!U$110:U$114,$F34+1)+IF(AND($E34=1,JH34=0),1000,0),MIN(TU34,20)*400+(IF('計算A'!T$106=1,1-DR34,0)+IF('計算A'!U$106=1,1-DT34,0))*150+181+'計算A'!U$5*100000+IF(AND($E34=1,JH34=0),50000,0))+IF($H34=1,(IF('計算A'!T$117=1,INDEX('計算A'!T$10:T$54,$B34),0)+IF('計算A'!U$117=1,INDEX('計算A'!V$10:V$54,$B34),0))*4000,0)-IF(AND('計算A'!T$117=1,UR34&gt;0),2000,0)-IF(AND($L34=1,'計算A'!U$117=1,DT34=0),2000,0))),1000000))</f>
        <v/>
      </c>
      <c r="OX34">
        <f>IF($B34=0,1000000,IF(INDEX('計算A'!$D$60:$EQ$104,$B34,19)*DT34=1,IF(AND($E34=2,JI34=0),1000000,IF($I34&gt;0,IF(1=$J34,IF(OR(AND(19=$I34+1,OR($K34&lt;&gt;'計算A'!$A$3,'計算A'!$A$4=0)),AND(19=$I34-1,OR(19&lt;&gt;'計算A'!$A$3,'計算A'!$A$4=0))),0,IF(19=$K34,200000,ABS(19-$K34)*100)),100000+ABS(1-$J34)*1000+190)+'計算A'!V$5*50+IF(AND($E34=1,JI34=0),25,0),IF($F34&gt;0,INDEX('計算A'!V$110:V$114,$F34+1)+IF(AND($E34=1,JI34=0),1000,0),MIN(TU34,20)*400+(IF('計算A'!U$106=1,1-DS34,0)+IF('計算A'!V$106=1,1-DU34,0))*150+191+'計算A'!V$5*100000+IF(AND($E34=1,JI34=0),50000,0))+IF($H34=1,(IF('計算A'!U$117=1,INDEX('計算A'!U$10:U$54,$B34),0)+IF('計算A'!V$117=1,INDEX('計算A'!W$10:W$54,$B34),0))*4000,0)-IF(AND('計算A'!U$117=1,US34&gt;0),2000,0)-IF(AND($L34=1,'計算A'!V$117=1,DU34=0),2000,0))),1000000))</f>
        <v/>
      </c>
      <c r="OY34">
        <f>IF($B34=0,1000000,IF(INDEX('計算A'!$D$60:$EQ$104,$B34,20)*DU34=1,IF(AND($E34=2,JJ34=0),1000000,IF($I34&gt;0,IF(1=$J34,IF(OR(AND(20=$I34+1,OR($K34&lt;&gt;'計算A'!$A$3,'計算A'!$A$4=0)),AND(20=$I34-1,OR(20&lt;&gt;'計算A'!$A$3,'計算A'!$A$4=0))),0,IF(20=$K34,200000,ABS(20-$K34)*100)),100000+ABS(1-$J34)*1000+200)+'計算A'!W$5*50+IF(AND($E34=1,JJ34=0),25,0),IF($F34&gt;0,INDEX('計算A'!W$110:W$114,$F34+1)+IF(AND($E34=1,JJ34=0),1000,0),MIN(TU34,20)*400+(IF('計算A'!V$106=1,1-DT34,0)+IF('計算A'!W$106=1,1-DV34,0))*150+201+'計算A'!W$5*100000+IF(AND($E34=1,JJ34=0),50000,0))+IF($H34=1,(IF('計算A'!V$117=1,INDEX('計算A'!V$10:V$54,$B34),0)+IF('計算A'!W$117=1,INDEX('計算A'!X$10:X$54,$B34),0))*4000,0)-IF(AND('計算A'!V$117=1,UT34&gt;0),2000,0)-IF(AND($L34=1,'計算A'!W$117=1,DV34=0),2000,0))),1000000))</f>
        <v/>
      </c>
      <c r="OZ34">
        <f>IF($B34=0,1000000,IF(INDEX('計算A'!$D$60:$EQ$104,$B34,21)*DV34=1,IF(AND($E34=2,JK34=0),1000000,IF($I34&gt;0,IF(1=$J34,IF(OR(AND(21=$I34+1,OR($K34&lt;&gt;'計算A'!$A$3,'計算A'!$A$4=0)),AND(21=$I34-1,OR(21&lt;&gt;'計算A'!$A$3,'計算A'!$A$4=0))),0,IF(21=$K34,200000,ABS(21-$K34)*100)),100000+ABS(1-$J34)*1000+210)+'計算A'!X$5*50+IF(AND($E34=1,JK34=0),25,0),IF($F34&gt;0,INDEX('計算A'!X$110:X$114,$F34+1)+IF(AND($E34=1,JK34=0),1000,0),MIN(TU34,20)*400+(IF('計算A'!W$106=1,1-DU34,0)+IF('計算A'!X$106=1,1-DW34,0))*150+211+'計算A'!X$5*100000+IF(AND($E34=1,JK34=0),50000,0))+IF($H34=1,(IF('計算A'!W$117=1,INDEX('計算A'!W$10:W$54,$B34),0)+IF('計算A'!X$117=1,INDEX('計算A'!Y$10:Y$54,$B34),0))*4000,0)-IF(AND('計算A'!W$117=1,UU34&gt;0),2000,0)-IF(AND($L34=1,'計算A'!X$117=1,DW34=0),2000,0))),1000000))</f>
        <v/>
      </c>
      <c r="PA34">
        <f>IF($B34=0,1000000,IF(INDEX('計算A'!$D$60:$EQ$104,$B34,22)*DW34=1,IF(AND($E34=2,JL34=0),1000000,IF($I34&gt;0,IF(1=$J34,IF(OR(AND(22=$I34+1,OR($K34&lt;&gt;'計算A'!$A$3,'計算A'!$A$4=0)),AND(22=$I34-1,OR(22&lt;&gt;'計算A'!$A$3,'計算A'!$A$4=0))),0,IF(22=$K34,200000,ABS(22-$K34)*100)),100000+ABS(1-$J34)*1000+220)+'計算A'!Y$5*50+IF(AND($E34=1,JL34=0),25,0),IF($F34&gt;0,INDEX('計算A'!Y$110:Y$114,$F34+1)+IF(AND($E34=1,JL34=0),1000,0),MIN(TU34,20)*400+(IF('計算A'!X$106=1,1-DV34,0)+IF('計算A'!Y$106=1,1-DX34,0))*150+221+'計算A'!Y$5*100000+IF(AND($E34=1,JL34=0),50000,0))+IF($H34=1,(IF('計算A'!X$117=1,INDEX('計算A'!X$10:X$54,$B34),0)+IF('計算A'!Y$117=1,INDEX('計算A'!Z$10:Z$54,$B34),0))*4000,0)-IF(AND('計算A'!X$117=1,UV34&gt;0),2000,0)-IF(AND($L34=1,'計算A'!Y$117=1,DX34=0),2000,0))),1000000))</f>
        <v/>
      </c>
      <c r="PB34">
        <f>IF($B34=0,1000000,IF(INDEX('計算A'!$D$60:$EQ$104,$B34,23)*DX34=1,IF(AND($E34=2,JM34=0),1000000,IF($I34&gt;0,IF(1=$J34,IF(OR(AND(23=$I34+1,OR($K34&lt;&gt;'計算A'!$A$3,'計算A'!$A$4=0)),AND(23=$I34-1,OR(23&lt;&gt;'計算A'!$A$3,'計算A'!$A$4=0))),0,IF(23=$K34,200000,ABS(23-$K34)*100)),100000+ABS(1-$J34)*1000+230)+'計算A'!Z$5*50+IF(AND($E34=1,JM34=0),25,0),IF($F34&gt;0,INDEX('計算A'!Z$110:Z$114,$F34+1)+IF(AND($E34=1,JM34=0),1000,0),MIN(TU34,20)*400+(IF('計算A'!Y$106=1,1-DW34,0)+IF('計算A'!Z$106=1,1-DY34,0))*150+231+'計算A'!Z$5*100000+IF(AND($E34=1,JM34=0),50000,0))+IF($H34=1,(IF('計算A'!Y$117=1,INDEX('計算A'!Y$10:Y$54,$B34),0)+IF('計算A'!Z$117=1,INDEX('計算A'!AA$10:AA$54,$B34),0))*4000,0)-IF(AND('計算A'!Y$117=1,UW34&gt;0),2000,0)-IF(AND($L34=1,'計算A'!Z$117=1,DY34=0),2000,0))),1000000))</f>
        <v/>
      </c>
      <c r="PC34">
        <f>IF($B34=0,1000000,IF(INDEX('計算A'!$D$60:$EQ$104,$B34,24)*DY34=1,IF(AND($E34=2,JN34=0),1000000,IF($I34&gt;0,IF(1=$J34,IF(OR(AND(24=$I34+1,OR($K34&lt;&gt;'計算A'!$A$3,'計算A'!$A$4=0)),AND(24=$I34-1,OR(24&lt;&gt;'計算A'!$A$3,'計算A'!$A$4=0))),0,IF(24=$K34,200000,ABS(24-$K34)*100)),100000+ABS(1-$J34)*1000+240)+'計算A'!AA$5*50+IF(AND($E34=1,JN34=0),25,0),IF($F34&gt;0,INDEX('計算A'!AA$110:AA$114,$F34+1)+IF(AND($E34=1,JN34=0),1000,0),MIN(TU34,20)*400+(IF('計算A'!Z$106=1,1-DX34,0))*150+241+'計算A'!AA$5*100000+IF(AND($E34=1,JN34=0),50000,0))+IF($H34=1,(IF('計算A'!Z$117=1,INDEX('計算A'!Z$10:Z$54,$B34),0))*4000,0)-IF(AND('計算A'!Z$117=1,UX34&gt;0),2000,0))),1000000))</f>
        <v/>
      </c>
      <c r="PD34">
        <f>IF($B34=0,1000000,IF(INDEX('計算A'!$D$60:$EQ$104,$B34,25)*DZ34=1,IF(AND($E34=2,JO34=0),1000000,IF($I34&gt;0,IF(2=$J34,IF(OR(AND(25=$I34+1,OR($K34&lt;&gt;'計算A'!$A$3,'計算A'!$A$4=0)),AND(25=$I34-1,OR(1&lt;&gt;'計算A'!$A$3,'計算A'!$A$4=0))),0,IF(1=$K34,200000,ABS(1-$K34)*100)),100000+ABS(2-$J34)*1000+10)+'計算A'!AB$5*50+IF(AND($E34=1,JO34=0),25,0),IF($F34&gt;0,INDEX('計算A'!AB$110:AB$114,$F34+1)+IF(AND($E34=1,JO34=0),1000,0),MIN(TV34,20)*400+(IF('計算A'!AB$106=1,1-EA34,0))*150+12+'計算A'!AB$5*100000+IF(AND($E34=1,JO34=0),50000,0))+IF($H34=1,(IF('計算A'!AB$117=1,INDEX('計算A'!AC$10:AC$54,$B34),0))*4000,0)-IF(AND($L34=1,'計算A'!AB$117=1,EA34=0),2000,0))),1000000))</f>
        <v/>
      </c>
      <c r="PE34">
        <f>IF($B34=0,1000000,IF(INDEX('計算A'!$D$60:$EQ$104,$B34,26)*EA34=1,IF(AND($E34=2,JP34=0),1000000,IF($I34&gt;0,IF(2=$J34,IF(OR(AND(26=$I34+1,OR($K34&lt;&gt;'計算A'!$A$3,'計算A'!$A$4=0)),AND(26=$I34-1,OR(2&lt;&gt;'計算A'!$A$3,'計算A'!$A$4=0))),0,IF(2=$K34,200000,ABS(2-$K34)*100)),100000+ABS(2-$J34)*1000+20)+'計算A'!AC$5*50+IF(AND($E34=1,JP34=0),25,0),IF($F34&gt;0,INDEX('計算A'!AC$110:AC$114,$F34+1)+IF(AND($E34=1,JP34=0),1000,0),MIN(TV34,20)*400+(IF('計算A'!AB$106=1,1-DZ34,0)+IF('計算A'!AC$106=1,1-EB34,0))*150+22+'計算A'!AC$5*100000+IF(AND($E34=1,JP34=0),50000,0))+IF($H34=1,(IF('計算A'!AB$117=1,INDEX('計算A'!AB$10:AB$54,$B34),0)+IF('計算A'!AC$117=1,INDEX('計算A'!AD$10:AD$54,$B34),0))*4000,0)-IF(AND('計算A'!AB$117=1,UZ34&gt;0),2000,0)-IF(AND($L34=1,'計算A'!AC$117=1,EB34=0),2000,0))),1000000))</f>
        <v/>
      </c>
      <c r="PF34">
        <f>IF($B34=0,1000000,IF(INDEX('計算A'!$D$60:$EQ$104,$B34,27)*EB34=1,IF(AND($E34=2,JQ34=0),1000000,IF($I34&gt;0,IF(2=$J34,IF(OR(AND(27=$I34+1,OR($K34&lt;&gt;'計算A'!$A$3,'計算A'!$A$4=0)),AND(27=$I34-1,OR(3&lt;&gt;'計算A'!$A$3,'計算A'!$A$4=0))),0,IF(3=$K34,200000,ABS(3-$K34)*100)),100000+ABS(2-$J34)*1000+30)+'計算A'!AD$5*50+IF(AND($E34=1,JQ34=0),25,0),IF($F34&gt;0,INDEX('計算A'!AD$110:AD$114,$F34+1)+IF(AND($E34=1,JQ34=0),1000,0),MIN(TV34,20)*400+(IF('計算A'!AC$106=1,1-EA34,0)+IF('計算A'!AD$106=1,1-EC34,0))*150+32+'計算A'!AD$5*100000+IF(AND($E34=1,JQ34=0),50000,0))+IF($H34=1,(IF('計算A'!AC$117=1,INDEX('計算A'!AC$10:AC$54,$B34),0)+IF('計算A'!AD$117=1,INDEX('計算A'!AE$10:AE$54,$B34),0))*4000,0)-IF(AND('計算A'!AC$117=1,VA34&gt;0),2000,0)-IF(AND($L34=1,'計算A'!AD$117=1,EC34=0),2000,0))),1000000))</f>
        <v/>
      </c>
      <c r="PG34">
        <f>IF($B34=0,1000000,IF(INDEX('計算A'!$D$60:$EQ$104,$B34,28)*EC34=1,IF(AND($E34=2,JR34=0),1000000,IF($I34&gt;0,IF(2=$J34,IF(OR(AND(28=$I34+1,OR($K34&lt;&gt;'計算A'!$A$3,'計算A'!$A$4=0)),AND(28=$I34-1,OR(4&lt;&gt;'計算A'!$A$3,'計算A'!$A$4=0))),0,IF(4=$K34,200000,ABS(4-$K34)*100)),100000+ABS(2-$J34)*1000+40)+'計算A'!AE$5*50+IF(AND($E34=1,JR34=0),25,0),IF($F34&gt;0,INDEX('計算A'!AE$110:AE$114,$F34+1)+IF(AND($E34=1,JR34=0),1000,0),MIN(TV34,20)*400+(IF('計算A'!AD$106=1,1-EB34,0)+IF('計算A'!AE$106=1,1-ED34,0))*150+42+'計算A'!AE$5*100000+IF(AND($E34=1,JR34=0),50000,0))+IF($H34=1,(IF('計算A'!AD$117=1,INDEX('計算A'!AD$10:AD$54,$B34),0)+IF('計算A'!AE$117=1,INDEX('計算A'!AF$10:AF$54,$B34),0))*4000,0)-IF(AND('計算A'!AD$117=1,VB34&gt;0),2000,0)-IF(AND($L34=1,'計算A'!AE$117=1,ED34=0),2000,0))),1000000))</f>
        <v/>
      </c>
      <c r="PH34">
        <f>IF($B34=0,1000000,IF(INDEX('計算A'!$D$60:$EQ$104,$B34,29)*ED34=1,IF(AND($E34=2,JS34=0),1000000,IF($I34&gt;0,IF(2=$J34,IF(OR(AND(29=$I34+1,OR($K34&lt;&gt;'計算A'!$A$3,'計算A'!$A$4=0)),AND(29=$I34-1,OR(5&lt;&gt;'計算A'!$A$3,'計算A'!$A$4=0))),0,IF(5=$K34,200000,ABS(5-$K34)*100)),100000+ABS(2-$J34)*1000+50)+'計算A'!AF$5*50+IF(AND($E34=1,JS34=0),25,0),IF($F34&gt;0,INDEX('計算A'!AF$110:AF$114,$F34+1)+IF(AND($E34=1,JS34=0),1000,0),MIN(TV34,20)*400+(IF('計算A'!AE$106=1,1-EC34,0)+IF('計算A'!AF$106=1,1-EE34,0))*150+52+'計算A'!AF$5*100000+IF(AND($E34=1,JS34=0),50000,0))+IF($H34=1,(IF('計算A'!AE$117=1,INDEX('計算A'!AE$10:AE$54,$B34),0)+IF('計算A'!AF$117=1,INDEX('計算A'!AG$10:AG$54,$B34),0))*4000,0)-IF(AND('計算A'!AE$117=1,VC34&gt;0),2000,0)-IF(AND($L34=1,'計算A'!AF$117=1,EE34=0),2000,0))),1000000))</f>
        <v/>
      </c>
      <c r="PI34">
        <f>IF($B34=0,1000000,IF(INDEX('計算A'!$D$60:$EQ$104,$B34,30)*EE34=1,IF(AND($E34=2,JT34=0),1000000,IF($I34&gt;0,IF(2=$J34,IF(OR(AND(30=$I34+1,OR($K34&lt;&gt;'計算A'!$A$3,'計算A'!$A$4=0)),AND(30=$I34-1,OR(6&lt;&gt;'計算A'!$A$3,'計算A'!$A$4=0))),0,IF(6=$K34,200000,ABS(6-$K34)*100)),100000+ABS(2-$J34)*1000+60)+'計算A'!AG$5*50+IF(AND($E34=1,JT34=0),25,0),IF($F34&gt;0,INDEX('計算A'!AG$110:AG$114,$F34+1)+IF(AND($E34=1,JT34=0),1000,0),MIN(TV34,20)*400+(IF('計算A'!AF$106=1,1-ED34,0)+IF('計算A'!AG$106=1,1-EF34,0))*150+62+'計算A'!AG$5*100000+IF(AND($E34=1,JT34=0),50000,0))+IF($H34=1,(IF('計算A'!AF$117=1,INDEX('計算A'!AF$10:AF$54,$B34),0)+IF('計算A'!AG$117=1,INDEX('計算A'!AH$10:AH$54,$B34),0))*4000,0)-IF(AND('計算A'!AF$117=1,VD34&gt;0),2000,0)-IF(AND($L34=1,'計算A'!AG$117=1,EF34=0),2000,0))),1000000))</f>
        <v/>
      </c>
      <c r="PJ34">
        <f>IF($B34=0,1000000,IF(INDEX('計算A'!$D$60:$EQ$104,$B34,31)*EF34=1,IF(AND($E34=2,JU34=0),1000000,IF($I34&gt;0,IF(2=$J34,IF(OR(AND(31=$I34+1,OR($K34&lt;&gt;'計算A'!$A$3,'計算A'!$A$4=0)),AND(31=$I34-1,OR(7&lt;&gt;'計算A'!$A$3,'計算A'!$A$4=0))),0,IF(7=$K34,200000,ABS(7-$K34)*100)),100000+ABS(2-$J34)*1000+70)+'計算A'!AH$5*50+IF(AND($E34=1,JU34=0),25,0),IF($F34&gt;0,INDEX('計算A'!AH$110:AH$114,$F34+1)+IF(AND($E34=1,JU34=0),1000,0),MIN(TV34,20)*400+(IF('計算A'!AG$106=1,1-EE34,0)+IF('計算A'!AH$106=1,1-EG34,0))*150+72+'計算A'!AH$5*100000+IF(AND($E34=1,JU34=0),50000,0))+IF($H34=1,(IF('計算A'!AG$117=1,INDEX('計算A'!AG$10:AG$54,$B34),0)+IF('計算A'!AH$117=1,INDEX('計算A'!AI$10:AI$54,$B34),0))*4000,0)-IF(AND('計算A'!AG$117=1,VE34&gt;0),2000,0)-IF(AND($L34=1,'計算A'!AH$117=1,EG34=0),2000,0))),1000000))</f>
        <v/>
      </c>
      <c r="PK34">
        <f>IF($B34=0,1000000,IF(INDEX('計算A'!$D$60:$EQ$104,$B34,32)*EG34=1,IF(AND($E34=2,JV34=0),1000000,IF($I34&gt;0,IF(2=$J34,IF(OR(AND(32=$I34+1,OR($K34&lt;&gt;'計算A'!$A$3,'計算A'!$A$4=0)),AND(32=$I34-1,OR(8&lt;&gt;'計算A'!$A$3,'計算A'!$A$4=0))),0,IF(8=$K34,200000,ABS(8-$K34)*100)),100000+ABS(2-$J34)*1000+80)+'計算A'!AI$5*50+IF(AND($E34=1,JV34=0),25,0),IF($F34&gt;0,INDEX('計算A'!AI$110:AI$114,$F34+1)+IF(AND($E34=1,JV34=0),1000,0),MIN(TV34,20)*400+(IF('計算A'!AH$106=1,1-EF34,0)+IF('計算A'!AI$106=1,1-EH34,0))*150+82+'計算A'!AI$5*100000+IF(AND($E34=1,JV34=0),50000,0))+IF($H34=1,(IF('計算A'!AH$117=1,INDEX('計算A'!AH$10:AH$54,$B34),0)+IF('計算A'!AI$117=1,INDEX('計算A'!AJ$10:AJ$54,$B34),0))*4000,0)-IF(AND('計算A'!AH$117=1,VF34&gt;0),2000,0)-IF(AND($L34=1,'計算A'!AI$117=1,EH34=0),2000,0))),1000000))</f>
        <v/>
      </c>
      <c r="PL34">
        <f>IF($B34=0,1000000,IF(INDEX('計算A'!$D$60:$EQ$104,$B34,33)*EH34=1,IF(AND($E34=2,JW34=0),1000000,IF($I34&gt;0,IF(2=$J34,IF(OR(AND(33=$I34+1,OR($K34&lt;&gt;'計算A'!$A$3,'計算A'!$A$4=0)),AND(33=$I34-1,OR(9&lt;&gt;'計算A'!$A$3,'計算A'!$A$4=0))),0,IF(9=$K34,200000,ABS(9-$K34)*100)),100000+ABS(2-$J34)*1000+90)+'計算A'!AJ$5*50+IF(AND($E34=1,JW34=0),25,0),IF($F34&gt;0,INDEX('計算A'!AJ$110:AJ$114,$F34+1)+IF(AND($E34=1,JW34=0),1000,0),MIN(TV34,20)*400+(IF('計算A'!AI$106=1,1-EG34,0)+IF('計算A'!AJ$106=1,1-EI34,0))*150+92+'計算A'!AJ$5*100000+IF(AND($E34=1,JW34=0),50000,0))+IF($H34=1,(IF('計算A'!AI$117=1,INDEX('計算A'!AI$10:AI$54,$B34),0)+IF('計算A'!AJ$117=1,INDEX('計算A'!AK$10:AK$54,$B34),0))*4000,0)-IF(AND('計算A'!AI$117=1,VG34&gt;0),2000,0)-IF(AND($L34=1,'計算A'!AJ$117=1,EI34=0),2000,0))),1000000))</f>
        <v/>
      </c>
      <c r="PM34">
        <f>IF($B34=0,1000000,IF(INDEX('計算A'!$D$60:$EQ$104,$B34,34)*EI34=1,IF(AND($E34=2,JX34=0),1000000,IF($I34&gt;0,IF(2=$J34,IF(OR(AND(34=$I34+1,OR($K34&lt;&gt;'計算A'!$A$3,'計算A'!$A$4=0)),AND(34=$I34-1,OR(10&lt;&gt;'計算A'!$A$3,'計算A'!$A$4=0))),0,IF(10=$K34,200000,ABS(10-$K34)*100)),100000+ABS(2-$J34)*1000+100)+'計算A'!AK$5*50+IF(AND($E34=1,JX34=0),25,0),IF($F34&gt;0,INDEX('計算A'!AK$110:AK$114,$F34+1)+IF(AND($E34=1,JX34=0),1000,0),MIN(TV34,20)*400+(IF('計算A'!AJ$106=1,1-EH34,0)+IF('計算A'!AK$106=1,1-EJ34,0))*150+102+'計算A'!AK$5*100000+IF(AND($E34=1,JX34=0),50000,0))+IF($H34=1,(IF('計算A'!AJ$117=1,INDEX('計算A'!AJ$10:AJ$54,$B34),0)+IF('計算A'!AK$117=1,INDEX('計算A'!AL$10:AL$54,$B34),0))*4000,0)-IF(AND('計算A'!AJ$117=1,VH34&gt;0),2000,0)-IF(AND($L34=1,'計算A'!AK$117=1,EJ34=0),2000,0))),1000000))</f>
        <v/>
      </c>
      <c r="PN34">
        <f>IF($B34=0,1000000,IF(INDEX('計算A'!$D$60:$EQ$104,$B34,35)*EJ34=1,IF(AND($E34=2,JY34=0),1000000,IF($I34&gt;0,IF(2=$J34,IF(OR(AND(35=$I34+1,OR($K34&lt;&gt;'計算A'!$A$3,'計算A'!$A$4=0)),AND(35=$I34-1,OR(11&lt;&gt;'計算A'!$A$3,'計算A'!$A$4=0))),0,IF(11=$K34,200000,ABS(11-$K34)*100)),100000+ABS(2-$J34)*1000+110)+'計算A'!AL$5*50+IF(AND($E34=1,JY34=0),25,0),IF($F34&gt;0,INDEX('計算A'!AL$110:AL$114,$F34+1)+IF(AND($E34=1,JY34=0),1000,0),MIN(TV34,20)*400+(IF('計算A'!AK$106=1,1-EI34,0)+IF('計算A'!AL$106=1,1-EK34,0))*150+112+'計算A'!AL$5*100000+IF(AND($E34=1,JY34=0),50000,0))+IF($H34=1,(IF('計算A'!AK$117=1,INDEX('計算A'!AK$10:AK$54,$B34),0)+IF('計算A'!AL$117=1,INDEX('計算A'!AM$10:AM$54,$B34),0))*4000,0)-IF(AND('計算A'!AK$117=1,VI34&gt;0),2000,0)-IF(AND($L34=1,'計算A'!AL$117=1,EK34=0),2000,0))),1000000))</f>
        <v/>
      </c>
      <c r="PO34">
        <f>IF($B34=0,1000000,IF(INDEX('計算A'!$D$60:$EQ$104,$B34,36)*EK34=1,IF(AND($E34=2,JZ34=0),1000000,IF($I34&gt;0,IF(2=$J34,IF(OR(AND(36=$I34+1,OR($K34&lt;&gt;'計算A'!$A$3,'計算A'!$A$4=0)),AND(36=$I34-1,OR(12&lt;&gt;'計算A'!$A$3,'計算A'!$A$4=0))),0,IF(12=$K34,200000,ABS(12-$K34)*100)),100000+ABS(2-$J34)*1000+120)+'計算A'!AM$5*50+IF(AND($E34=1,JZ34=0),25,0),IF($F34&gt;0,INDEX('計算A'!AM$110:AM$114,$F34+1)+IF(AND($E34=1,JZ34=0),1000,0),MIN(TV34,20)*400+(IF('計算A'!AL$106=1,1-EJ34,0)+IF('計算A'!AM$106=1,1-EL34,0))*150+122+'計算A'!AM$5*100000+IF(AND($E34=1,JZ34=0),50000,0))+IF($H34=1,(IF('計算A'!AL$117=1,INDEX('計算A'!AL$10:AL$54,$B34),0)+IF('計算A'!AM$117=1,INDEX('計算A'!AN$10:AN$54,$B34),0))*4000,0)-IF(AND('計算A'!AL$117=1,VJ34&gt;0),2000,0)-IF(AND($L34=1,'計算A'!AM$117=1,EL34=0),2000,0))),1000000))</f>
        <v/>
      </c>
      <c r="PP34">
        <f>IF($B34=0,1000000,IF(INDEX('計算A'!$D$60:$EQ$104,$B34,37)*EL34=1,IF(AND($E34=2,KA34=0),1000000,IF($I34&gt;0,IF(2=$J34,IF(OR(AND(37=$I34+1,OR($K34&lt;&gt;'計算A'!$A$3,'計算A'!$A$4=0)),AND(37=$I34-1,OR(13&lt;&gt;'計算A'!$A$3,'計算A'!$A$4=0))),0,IF(13=$K34,200000,ABS(13-$K34)*100)),100000+ABS(2-$J34)*1000+130)+'計算A'!AN$5*50+IF(AND($E34=1,KA34=0),25,0),IF($F34&gt;0,INDEX('計算A'!AN$110:AN$114,$F34+1)+IF(AND($E34=1,KA34=0),1000,0),MIN(TV34,20)*400+(IF('計算A'!AM$106=1,1-EK34,0)+IF('計算A'!AN$106=1,1-EM34,0))*150+132+'計算A'!AN$5*100000+IF(AND($E34=1,KA34=0),50000,0))+IF($H34=1,(IF('計算A'!AM$117=1,INDEX('計算A'!AM$10:AM$54,$B34),0)+IF('計算A'!AN$117=1,INDEX('計算A'!AO$10:AO$54,$B34),0))*4000,0)-IF(AND('計算A'!AM$117=1,VK34&gt;0),2000,0)-IF(AND($L34=1,'計算A'!AN$117=1,EM34=0),2000,0))),1000000))</f>
        <v/>
      </c>
      <c r="PQ34">
        <f>IF($B34=0,1000000,IF(INDEX('計算A'!$D$60:$EQ$104,$B34,38)*EM34=1,IF(AND($E34=2,KB34=0),1000000,IF($I34&gt;0,IF(2=$J34,IF(OR(AND(38=$I34+1,OR($K34&lt;&gt;'計算A'!$A$3,'計算A'!$A$4=0)),AND(38=$I34-1,OR(14&lt;&gt;'計算A'!$A$3,'計算A'!$A$4=0))),0,IF(14=$K34,200000,ABS(14-$K34)*100)),100000+ABS(2-$J34)*1000+140)+'計算A'!AO$5*50+IF(AND($E34=1,KB34=0),25,0),IF($F34&gt;0,INDEX('計算A'!AO$110:AO$114,$F34+1)+IF(AND($E34=1,KB34=0),1000,0),MIN(TV34,20)*400+(IF('計算A'!AN$106=1,1-EL34,0)+IF('計算A'!AO$106=1,1-EN34,0))*150+142+'計算A'!AO$5*100000+IF(AND($E34=1,KB34=0),50000,0))+IF($H34=1,(IF('計算A'!AN$117=1,INDEX('計算A'!AN$10:AN$54,$B34),0)+IF('計算A'!AO$117=1,INDEX('計算A'!AP$10:AP$54,$B34),0))*4000,0)-IF(AND('計算A'!AN$117=1,VL34&gt;0),2000,0)-IF(AND($L34=1,'計算A'!AO$117=1,EN34=0),2000,0))),1000000))</f>
        <v/>
      </c>
      <c r="PR34">
        <f>IF($B34=0,1000000,IF(INDEX('計算A'!$D$60:$EQ$104,$B34,39)*EN34=1,IF(AND($E34=2,KC34=0),1000000,IF($I34&gt;0,IF(2=$J34,IF(OR(AND(39=$I34+1,OR($K34&lt;&gt;'計算A'!$A$3,'計算A'!$A$4=0)),AND(39=$I34-1,OR(15&lt;&gt;'計算A'!$A$3,'計算A'!$A$4=0))),0,IF(15=$K34,200000,ABS(15-$K34)*100)),100000+ABS(2-$J34)*1000+150)+'計算A'!AP$5*50+IF(AND($E34=1,KC34=0),25,0),IF($F34&gt;0,INDEX('計算A'!AP$110:AP$114,$F34+1)+IF(AND($E34=1,KC34=0),1000,0),MIN(TV34,20)*400+(IF('計算A'!AO$106=1,1-EM34,0)+IF('計算A'!AP$106=1,1-EO34,0))*150+152+'計算A'!AP$5*100000+IF(AND($E34=1,KC34=0),50000,0))+IF($H34=1,(IF('計算A'!AO$117=1,INDEX('計算A'!AO$10:AO$54,$B34),0)+IF('計算A'!AP$117=1,INDEX('計算A'!AQ$10:AQ$54,$B34),0))*4000,0)-IF(AND('計算A'!AO$117=1,VM34&gt;0),2000,0)-IF(AND($L34=1,'計算A'!AP$117=1,EO34=0),2000,0))),1000000))</f>
        <v/>
      </c>
      <c r="PS34">
        <f>IF($B34=0,1000000,IF(INDEX('計算A'!$D$60:$EQ$104,$B34,40)*EO34=1,IF(AND($E34=2,KD34=0),1000000,IF($I34&gt;0,IF(2=$J34,IF(OR(AND(40=$I34+1,OR($K34&lt;&gt;'計算A'!$A$3,'計算A'!$A$4=0)),AND(40=$I34-1,OR(16&lt;&gt;'計算A'!$A$3,'計算A'!$A$4=0))),0,IF(16=$K34,200000,ABS(16-$K34)*100)),100000+ABS(2-$J34)*1000+160)+'計算A'!AQ$5*50+IF(AND($E34=1,KD34=0),25,0),IF($F34&gt;0,INDEX('計算A'!AQ$110:AQ$114,$F34+1)+IF(AND($E34=1,KD34=0),1000,0),MIN(TV34,20)*400+(IF('計算A'!AP$106=1,1-EN34,0)+IF('計算A'!AQ$106=1,1-EP34,0))*150+162+'計算A'!AQ$5*100000+IF(AND($E34=1,KD34=0),50000,0))+IF($H34=1,(IF('計算A'!AP$117=1,INDEX('計算A'!AP$10:AP$54,$B34),0)+IF('計算A'!AQ$117=1,INDEX('計算A'!AR$10:AR$54,$B34),0))*4000,0)-IF(AND('計算A'!AP$117=1,VN34&gt;0),2000,0)-IF(AND($L34=1,'計算A'!AQ$117=1,EP34=0),2000,0))),1000000))</f>
        <v/>
      </c>
      <c r="PT34">
        <f>IF($B34=0,1000000,IF(INDEX('計算A'!$D$60:$EQ$104,$B34,41)*EP34=1,IF(AND($E34=2,KE34=0),1000000,IF($I34&gt;0,IF(2=$J34,IF(OR(AND(41=$I34+1,OR($K34&lt;&gt;'計算A'!$A$3,'計算A'!$A$4=0)),AND(41=$I34-1,OR(17&lt;&gt;'計算A'!$A$3,'計算A'!$A$4=0))),0,IF(17=$K34,200000,ABS(17-$K34)*100)),100000+ABS(2-$J34)*1000+170)+'計算A'!AR$5*50+IF(AND($E34=1,KE34=0),25,0),IF($F34&gt;0,INDEX('計算A'!AR$110:AR$114,$F34+1)+IF(AND($E34=1,KE34=0),1000,0),MIN(TV34,20)*400+(IF('計算A'!AQ$106=1,1-EO34,0)+IF('計算A'!AR$106=1,1-EQ34,0))*150+172+'計算A'!AR$5*100000+IF(AND($E34=1,KE34=0),50000,0))+IF($H34=1,(IF('計算A'!AQ$117=1,INDEX('計算A'!AQ$10:AQ$54,$B34),0)+IF('計算A'!AR$117=1,INDEX('計算A'!AS$10:AS$54,$B34),0))*4000,0)-IF(AND('計算A'!AQ$117=1,VO34&gt;0),2000,0)-IF(AND($L34=1,'計算A'!AR$117=1,EQ34=0),2000,0))),1000000))</f>
        <v/>
      </c>
      <c r="PU34">
        <f>IF($B34=0,1000000,IF(INDEX('計算A'!$D$60:$EQ$104,$B34,42)*EQ34=1,IF(AND($E34=2,KF34=0),1000000,IF($I34&gt;0,IF(2=$J34,IF(OR(AND(42=$I34+1,OR($K34&lt;&gt;'計算A'!$A$3,'計算A'!$A$4=0)),AND(42=$I34-1,OR(18&lt;&gt;'計算A'!$A$3,'計算A'!$A$4=0))),0,IF(18=$K34,200000,ABS(18-$K34)*100)),100000+ABS(2-$J34)*1000+180)+'計算A'!AS$5*50+IF(AND($E34=1,KF34=0),25,0),IF($F34&gt;0,INDEX('計算A'!AS$110:AS$114,$F34+1)+IF(AND($E34=1,KF34=0),1000,0),MIN(TV34,20)*400+(IF('計算A'!AR$106=1,1-EP34,0)+IF('計算A'!AS$106=1,1-ER34,0))*150+182+'計算A'!AS$5*100000+IF(AND($E34=1,KF34=0),50000,0))+IF($H34=1,(IF('計算A'!AR$117=1,INDEX('計算A'!AR$10:AR$54,$B34),0)+IF('計算A'!AS$117=1,INDEX('計算A'!AT$10:AT$54,$B34),0))*4000,0)-IF(AND('計算A'!AR$117=1,VP34&gt;0),2000,0)-IF(AND($L34=1,'計算A'!AS$117=1,ER34=0),2000,0))),1000000))</f>
        <v/>
      </c>
      <c r="PV34">
        <f>IF($B34=0,1000000,IF(INDEX('計算A'!$D$60:$EQ$104,$B34,43)*ER34=1,IF(AND($E34=2,KG34=0),1000000,IF($I34&gt;0,IF(2=$J34,IF(OR(AND(43=$I34+1,OR($K34&lt;&gt;'計算A'!$A$3,'計算A'!$A$4=0)),AND(43=$I34-1,OR(19&lt;&gt;'計算A'!$A$3,'計算A'!$A$4=0))),0,IF(19=$K34,200000,ABS(19-$K34)*100)),100000+ABS(2-$J34)*1000+190)+'計算A'!AT$5*50+IF(AND($E34=1,KG34=0),25,0),IF($F34&gt;0,INDEX('計算A'!AT$110:AT$114,$F34+1)+IF(AND($E34=1,KG34=0),1000,0),MIN(TV34,20)*400+(IF('計算A'!AS$106=1,1-EQ34,0)+IF('計算A'!AT$106=1,1-ES34,0))*150+192+'計算A'!AT$5*100000+IF(AND($E34=1,KG34=0),50000,0))+IF($H34=1,(IF('計算A'!AS$117=1,INDEX('計算A'!AS$10:AS$54,$B34),0)+IF('計算A'!AT$117=1,INDEX('計算A'!AU$10:AU$54,$B34),0))*4000,0)-IF(AND('計算A'!AS$117=1,VQ34&gt;0),2000,0)-IF(AND($L34=1,'計算A'!AT$117=1,ES34=0),2000,0))),1000000))</f>
        <v/>
      </c>
      <c r="PW34">
        <f>IF($B34=0,1000000,IF(INDEX('計算A'!$D$60:$EQ$104,$B34,44)*ES34=1,IF(AND($E34=2,KH34=0),1000000,IF($I34&gt;0,IF(2=$J34,IF(OR(AND(44=$I34+1,OR($K34&lt;&gt;'計算A'!$A$3,'計算A'!$A$4=0)),AND(44=$I34-1,OR(20&lt;&gt;'計算A'!$A$3,'計算A'!$A$4=0))),0,IF(20=$K34,200000,ABS(20-$K34)*100)),100000+ABS(2-$J34)*1000+200)+'計算A'!AU$5*50+IF(AND($E34=1,KH34=0),25,0),IF($F34&gt;0,INDEX('計算A'!AU$110:AU$114,$F34+1)+IF(AND($E34=1,KH34=0),1000,0),MIN(TV34,20)*400+(IF('計算A'!AT$106=1,1-ER34,0)+IF('計算A'!AU$106=1,1-ET34,0))*150+202+'計算A'!AU$5*100000+IF(AND($E34=1,KH34=0),50000,0))+IF($H34=1,(IF('計算A'!AT$117=1,INDEX('計算A'!AT$10:AT$54,$B34),0)+IF('計算A'!AU$117=1,INDEX('計算A'!AV$10:AV$54,$B34),0))*4000,0)-IF(AND('計算A'!AT$117=1,VR34&gt;0),2000,0)-IF(AND($L34=1,'計算A'!AU$117=1,ET34=0),2000,0))),1000000))</f>
        <v/>
      </c>
      <c r="PX34">
        <f>IF($B34=0,1000000,IF(INDEX('計算A'!$D$60:$EQ$104,$B34,45)*ET34=1,IF(AND($E34=2,KI34=0),1000000,IF($I34&gt;0,IF(2=$J34,IF(OR(AND(45=$I34+1,OR($K34&lt;&gt;'計算A'!$A$3,'計算A'!$A$4=0)),AND(45=$I34-1,OR(21&lt;&gt;'計算A'!$A$3,'計算A'!$A$4=0))),0,IF(21=$K34,200000,ABS(21-$K34)*100)),100000+ABS(2-$J34)*1000+210)+'計算A'!AV$5*50+IF(AND($E34=1,KI34=0),25,0),IF($F34&gt;0,INDEX('計算A'!AV$110:AV$114,$F34+1)+IF(AND($E34=1,KI34=0),1000,0),MIN(TV34,20)*400+(IF('計算A'!AU$106=1,1-ES34,0)+IF('計算A'!AV$106=1,1-EU34,0))*150+212+'計算A'!AV$5*100000+IF(AND($E34=1,KI34=0),50000,0))+IF($H34=1,(IF('計算A'!AU$117=1,INDEX('計算A'!AU$10:AU$54,$B34),0)+IF('計算A'!AV$117=1,INDEX('計算A'!AW$10:AW$54,$B34),0))*4000,0)-IF(AND('計算A'!AU$117=1,VS34&gt;0),2000,0)-IF(AND($L34=1,'計算A'!AV$117=1,EU34=0),2000,0))),1000000))</f>
        <v/>
      </c>
      <c r="PY34">
        <f>IF($B34=0,1000000,IF(INDEX('計算A'!$D$60:$EQ$104,$B34,46)*EU34=1,IF(AND($E34=2,KJ34=0),1000000,IF($I34&gt;0,IF(2=$J34,IF(OR(AND(46=$I34+1,OR($K34&lt;&gt;'計算A'!$A$3,'計算A'!$A$4=0)),AND(46=$I34-1,OR(22&lt;&gt;'計算A'!$A$3,'計算A'!$A$4=0))),0,IF(22=$K34,200000,ABS(22-$K34)*100)),100000+ABS(2-$J34)*1000+220)+'計算A'!AW$5*50+IF(AND($E34=1,KJ34=0),25,0),IF($F34&gt;0,INDEX('計算A'!AW$110:AW$114,$F34+1)+IF(AND($E34=1,KJ34=0),1000,0),MIN(TV34,20)*400+(IF('計算A'!AV$106=1,1-ET34,0)+IF('計算A'!AW$106=1,1-EV34,0))*150+222+'計算A'!AW$5*100000+IF(AND($E34=1,KJ34=0),50000,0))+IF($H34=1,(IF('計算A'!AV$117=1,INDEX('計算A'!AV$10:AV$54,$B34),0)+IF('計算A'!AW$117=1,INDEX('計算A'!AX$10:AX$54,$B34),0))*4000,0)-IF(AND('計算A'!AV$117=1,VT34&gt;0),2000,0)-IF(AND($L34=1,'計算A'!AW$117=1,EV34=0),2000,0))),1000000))</f>
        <v/>
      </c>
      <c r="PZ34">
        <f>IF($B34=0,1000000,IF(INDEX('計算A'!$D$60:$EQ$104,$B34,47)*EV34=1,IF(AND($E34=2,KK34=0),1000000,IF($I34&gt;0,IF(2=$J34,IF(OR(AND(47=$I34+1,OR($K34&lt;&gt;'計算A'!$A$3,'計算A'!$A$4=0)),AND(47=$I34-1,OR(23&lt;&gt;'計算A'!$A$3,'計算A'!$A$4=0))),0,IF(23=$K34,200000,ABS(23-$K34)*100)),100000+ABS(2-$J34)*1000+230)+'計算A'!AX$5*50+IF(AND($E34=1,KK34=0),25,0),IF($F34&gt;0,INDEX('計算A'!AX$110:AX$114,$F34+1)+IF(AND($E34=1,KK34=0),1000,0),MIN(TV34,20)*400+(IF('計算A'!AW$106=1,1-EU34,0)+IF('計算A'!AX$106=1,1-EW34,0))*150+232+'計算A'!AX$5*100000+IF(AND($E34=1,KK34=0),50000,0))+IF($H34=1,(IF('計算A'!AW$117=1,INDEX('計算A'!AW$10:AW$54,$B34),0)+IF('計算A'!AX$117=1,INDEX('計算A'!AY$10:AY$54,$B34),0))*4000,0)-IF(AND('計算A'!AW$117=1,VU34&gt;0),2000,0)-IF(AND($L34=1,'計算A'!AX$117=1,EW34=0),2000,0))),1000000))</f>
        <v/>
      </c>
      <c r="QA34">
        <f>IF($B34=0,1000000,IF(INDEX('計算A'!$D$60:$EQ$104,$B34,48)*EW34=1,IF(AND($E34=2,KL34=0),1000000,IF($I34&gt;0,IF(2=$J34,IF(OR(AND(48=$I34+1,OR($K34&lt;&gt;'計算A'!$A$3,'計算A'!$A$4=0)),AND(48=$I34-1,OR(24&lt;&gt;'計算A'!$A$3,'計算A'!$A$4=0))),0,IF(24=$K34,200000,ABS(24-$K34)*100)),100000+ABS(2-$J34)*1000+240)+'計算A'!AY$5*50+IF(AND($E34=1,KL34=0),25,0),IF($F34&gt;0,INDEX('計算A'!AY$110:AY$114,$F34+1)+IF(AND($E34=1,KL34=0),1000,0),MIN(TV34,20)*400+(IF('計算A'!AX$106=1,1-EV34,0))*150+242+'計算A'!AY$5*100000+IF(AND($E34=1,KL34=0),50000,0))+IF($H34=1,(IF('計算A'!AX$117=1,INDEX('計算A'!AX$10:AX$54,$B34),0))*4000,0)-IF(AND('計算A'!AX$117=1,VV34&gt;0),2000,0))),1000000))</f>
        <v/>
      </c>
      <c r="QB34">
        <f>IF($B34=0,1000000,IF(INDEX('計算A'!$D$60:$EQ$104,$B34,49)*EX34=1,IF(AND($E34=2,KM34=0),1000000,IF($I34&gt;0,IF(3=$J34,IF(OR(AND(49=$I34+1,OR($K34&lt;&gt;'計算A'!$A$3,'計算A'!$A$4=0)),AND(49=$I34-1,OR(1&lt;&gt;'計算A'!$A$3,'計算A'!$A$4=0))),0,IF(1=$K34,200000,ABS(1-$K34)*100)),100000+ABS(3-$J34)*1000+10)+'計算A'!AZ$5*50+IF(AND($E34=1,KM34=0),25,0),IF($F34&gt;0,INDEX('計算A'!AZ$110:AZ$114,$F34+1)+IF(AND($E34=1,KM34=0),1000,0),MIN(TW34,20)*400+(IF('計算A'!AZ$106=1,1-EY34,0))*150+13+'計算A'!AZ$5*100000+IF(AND($E34=1,KM34=0),50000,0))+IF($H34=1,(IF('計算A'!AZ$117=1,INDEX('計算A'!BA$10:BA$54,$B34),0))*4000,0)-IF(AND($L34=1,'計算A'!AZ$117=1,EY34=0),2000,0))),1000000))</f>
        <v/>
      </c>
      <c r="QC34">
        <f>IF($B34=0,1000000,IF(INDEX('計算A'!$D$60:$EQ$104,$B34,50)*EY34=1,IF(AND($E34=2,KN34=0),1000000,IF($I34&gt;0,IF(3=$J34,IF(OR(AND(50=$I34+1,OR($K34&lt;&gt;'計算A'!$A$3,'計算A'!$A$4=0)),AND(50=$I34-1,OR(2&lt;&gt;'計算A'!$A$3,'計算A'!$A$4=0))),0,IF(2=$K34,200000,ABS(2-$K34)*100)),100000+ABS(3-$J34)*1000+20)+'計算A'!BA$5*50+IF(AND($E34=1,KN34=0),25,0),IF($F34&gt;0,INDEX('計算A'!BA$110:BA$114,$F34+1)+IF(AND($E34=1,KN34=0),1000,0),MIN(TW34,20)*400+(IF('計算A'!AZ$106=1,1-EX34,0)+IF('計算A'!BA$106=1,1-EZ34,0))*150+23+'計算A'!BA$5*100000+IF(AND($E34=1,KN34=0),50000,0))+IF($H34=1,(IF('計算A'!AZ$117=1,INDEX('計算A'!AZ$10:AZ$54,$B34),0)+IF('計算A'!BA$117=1,INDEX('計算A'!BB$10:BB$54,$B34),0))*4000,0)-IF(AND('計算A'!AZ$117=1,VX34&gt;0),2000,0)-IF(AND($L34=1,'計算A'!BA$117=1,EZ34=0),2000,0))),1000000))</f>
        <v/>
      </c>
      <c r="QD34">
        <f>IF($B34=0,1000000,IF(INDEX('計算A'!$D$60:$EQ$104,$B34,51)*EZ34=1,IF(AND($E34=2,KO34=0),1000000,IF($I34&gt;0,IF(3=$J34,IF(OR(AND(51=$I34+1,OR($K34&lt;&gt;'計算A'!$A$3,'計算A'!$A$4=0)),AND(51=$I34-1,OR(3&lt;&gt;'計算A'!$A$3,'計算A'!$A$4=0))),0,IF(3=$K34,200000,ABS(3-$K34)*100)),100000+ABS(3-$J34)*1000+30)+'計算A'!BB$5*50+IF(AND($E34=1,KO34=0),25,0),IF($F34&gt;0,INDEX('計算A'!BB$110:BB$114,$F34+1)+IF(AND($E34=1,KO34=0),1000,0),MIN(TW34,20)*400+(IF('計算A'!BA$106=1,1-EY34,0)+IF('計算A'!BB$106=1,1-FA34,0))*150+33+'計算A'!BB$5*100000+IF(AND($E34=1,KO34=0),50000,0))+IF($H34=1,(IF('計算A'!BA$117=1,INDEX('計算A'!BA$10:BA$54,$B34),0)+IF('計算A'!BB$117=1,INDEX('計算A'!BC$10:BC$54,$B34),0))*4000,0)-IF(AND('計算A'!BA$117=1,VY34&gt;0),2000,0)-IF(AND($L34=1,'計算A'!BB$117=1,FA34=0),2000,0))),1000000))</f>
        <v/>
      </c>
      <c r="QE34">
        <f>IF($B34=0,1000000,IF(INDEX('計算A'!$D$60:$EQ$104,$B34,52)*FA34=1,IF(AND($E34=2,KP34=0),1000000,IF($I34&gt;0,IF(3=$J34,IF(OR(AND(52=$I34+1,OR($K34&lt;&gt;'計算A'!$A$3,'計算A'!$A$4=0)),AND(52=$I34-1,OR(4&lt;&gt;'計算A'!$A$3,'計算A'!$A$4=0))),0,IF(4=$K34,200000,ABS(4-$K34)*100)),100000+ABS(3-$J34)*1000+40)+'計算A'!BC$5*50+IF(AND($E34=1,KP34=0),25,0),IF($F34&gt;0,INDEX('計算A'!BC$110:BC$114,$F34+1)+IF(AND($E34=1,KP34=0),1000,0),MIN(TW34,20)*400+(IF('計算A'!BB$106=1,1-EZ34,0)+IF('計算A'!BC$106=1,1-FB34,0))*150+43+'計算A'!BC$5*100000+IF(AND($E34=1,KP34=0),50000,0))+IF($H34=1,(IF('計算A'!BB$117=1,INDEX('計算A'!BB$10:BB$54,$B34),0)+IF('計算A'!BC$117=1,INDEX('計算A'!BD$10:BD$54,$B34),0))*4000,0)-IF(AND('計算A'!BB$117=1,VZ34&gt;0),2000,0)-IF(AND($L34=1,'計算A'!BC$117=1,FB34=0),2000,0))),1000000))</f>
        <v/>
      </c>
      <c r="QF34">
        <f>IF($B34=0,1000000,IF(INDEX('計算A'!$D$60:$EQ$104,$B34,53)*FB34=1,IF(AND($E34=2,KQ34=0),1000000,IF($I34&gt;0,IF(3=$J34,IF(OR(AND(53=$I34+1,OR($K34&lt;&gt;'計算A'!$A$3,'計算A'!$A$4=0)),AND(53=$I34-1,OR(5&lt;&gt;'計算A'!$A$3,'計算A'!$A$4=0))),0,IF(5=$K34,200000,ABS(5-$K34)*100)),100000+ABS(3-$J34)*1000+50)+'計算A'!BD$5*50+IF(AND($E34=1,KQ34=0),25,0),IF($F34&gt;0,INDEX('計算A'!BD$110:BD$114,$F34+1)+IF(AND($E34=1,KQ34=0),1000,0),MIN(TW34,20)*400+(IF('計算A'!BC$106=1,1-FA34,0)+IF('計算A'!BD$106=1,1-FC34,0))*150+53+'計算A'!BD$5*100000+IF(AND($E34=1,KQ34=0),50000,0))+IF($H34=1,(IF('計算A'!BC$117=1,INDEX('計算A'!BC$10:BC$54,$B34),0)+IF('計算A'!BD$117=1,INDEX('計算A'!BE$10:BE$54,$B34),0))*4000,0)-IF(AND('計算A'!BC$117=1,WA34&gt;0),2000,0)-IF(AND($L34=1,'計算A'!BD$117=1,FC34=0),2000,0))),1000000))</f>
        <v/>
      </c>
      <c r="QG34">
        <f>IF($B34=0,1000000,IF(INDEX('計算A'!$D$60:$EQ$104,$B34,54)*FC34=1,IF(AND($E34=2,KR34=0),1000000,IF($I34&gt;0,IF(3=$J34,IF(OR(AND(54=$I34+1,OR($K34&lt;&gt;'計算A'!$A$3,'計算A'!$A$4=0)),AND(54=$I34-1,OR(6&lt;&gt;'計算A'!$A$3,'計算A'!$A$4=0))),0,IF(6=$K34,200000,ABS(6-$K34)*100)),100000+ABS(3-$J34)*1000+60)+'計算A'!BE$5*50+IF(AND($E34=1,KR34=0),25,0),IF($F34&gt;0,INDEX('計算A'!BE$110:BE$114,$F34+1)+IF(AND($E34=1,KR34=0),1000,0),MIN(TW34,20)*400+(IF('計算A'!BD$106=1,1-FB34,0)+IF('計算A'!BE$106=1,1-FD34,0))*150+63+'計算A'!BE$5*100000+IF(AND($E34=1,KR34=0),50000,0))+IF($H34=1,(IF('計算A'!BD$117=1,INDEX('計算A'!BD$10:BD$54,$B34),0)+IF('計算A'!BE$117=1,INDEX('計算A'!BF$10:BF$54,$B34),0))*4000,0)-IF(AND('計算A'!BD$117=1,WB34&gt;0),2000,0)-IF(AND($L34=1,'計算A'!BE$117=1,FD34=0),2000,0))),1000000))</f>
        <v/>
      </c>
      <c r="QH34">
        <f>IF($B34=0,1000000,IF(INDEX('計算A'!$D$60:$EQ$104,$B34,55)*FD34=1,IF(AND($E34=2,KS34=0),1000000,IF($I34&gt;0,IF(3=$J34,IF(OR(AND(55=$I34+1,OR($K34&lt;&gt;'計算A'!$A$3,'計算A'!$A$4=0)),AND(55=$I34-1,OR(7&lt;&gt;'計算A'!$A$3,'計算A'!$A$4=0))),0,IF(7=$K34,200000,ABS(7-$K34)*100)),100000+ABS(3-$J34)*1000+70)+'計算A'!BF$5*50+IF(AND($E34=1,KS34=0),25,0),IF($F34&gt;0,INDEX('計算A'!BF$110:BF$114,$F34+1)+IF(AND($E34=1,KS34=0),1000,0),MIN(TW34,20)*400+(IF('計算A'!BE$106=1,1-FC34,0)+IF('計算A'!BF$106=1,1-FE34,0))*150+73+'計算A'!BF$5*100000+IF(AND($E34=1,KS34=0),50000,0))+IF($H34=1,(IF('計算A'!BE$117=1,INDEX('計算A'!BE$10:BE$54,$B34),0)+IF('計算A'!BF$117=1,INDEX('計算A'!BG$10:BG$54,$B34),0))*4000,0)-IF(AND('計算A'!BE$117=1,WC34&gt;0),2000,0)-IF(AND($L34=1,'計算A'!BF$117=1,FE34=0),2000,0))),1000000))</f>
        <v/>
      </c>
      <c r="QI34">
        <f>IF($B34=0,1000000,IF(INDEX('計算A'!$D$60:$EQ$104,$B34,56)*FE34=1,IF(AND($E34=2,KT34=0),1000000,IF($I34&gt;0,IF(3=$J34,IF(OR(AND(56=$I34+1,OR($K34&lt;&gt;'計算A'!$A$3,'計算A'!$A$4=0)),AND(56=$I34-1,OR(8&lt;&gt;'計算A'!$A$3,'計算A'!$A$4=0))),0,IF(8=$K34,200000,ABS(8-$K34)*100)),100000+ABS(3-$J34)*1000+80)+'計算A'!BG$5*50+IF(AND($E34=1,KT34=0),25,0),IF($F34&gt;0,INDEX('計算A'!BG$110:BG$114,$F34+1)+IF(AND($E34=1,KT34=0),1000,0),MIN(TW34,20)*400+(IF('計算A'!BF$106=1,1-FD34,0)+IF('計算A'!BG$106=1,1-FF34,0))*150+83+'計算A'!BG$5*100000+IF(AND($E34=1,KT34=0),50000,0))+IF($H34=1,(IF('計算A'!BF$117=1,INDEX('計算A'!BF$10:BF$54,$B34),0)+IF('計算A'!BG$117=1,INDEX('計算A'!BH$10:BH$54,$B34),0))*4000,0)-IF(AND('計算A'!BF$117=1,WD34&gt;0),2000,0)-IF(AND($L34=1,'計算A'!BG$117=1,FF34=0),2000,0))),1000000))</f>
        <v/>
      </c>
      <c r="QJ34">
        <f>IF($B34=0,1000000,IF(INDEX('計算A'!$D$60:$EQ$104,$B34,57)*FF34=1,IF(AND($E34=2,KU34=0),1000000,IF($I34&gt;0,IF(3=$J34,IF(OR(AND(57=$I34+1,OR($K34&lt;&gt;'計算A'!$A$3,'計算A'!$A$4=0)),AND(57=$I34-1,OR(9&lt;&gt;'計算A'!$A$3,'計算A'!$A$4=0))),0,IF(9=$K34,200000,ABS(9-$K34)*100)),100000+ABS(3-$J34)*1000+90)+'計算A'!BH$5*50+IF(AND($E34=1,KU34=0),25,0),IF($F34&gt;0,INDEX('計算A'!BH$110:BH$114,$F34+1)+IF(AND($E34=1,KU34=0),1000,0),MIN(TW34,20)*400+(IF('計算A'!BG$106=1,1-FE34,0)+IF('計算A'!BH$106=1,1-FG34,0))*150+93+'計算A'!BH$5*100000+IF(AND($E34=1,KU34=0),50000,0))+IF($H34=1,(IF('計算A'!BG$117=1,INDEX('計算A'!BG$10:BG$54,$B34),0)+IF('計算A'!BH$117=1,INDEX('計算A'!BI$10:BI$54,$B34),0))*4000,0)-IF(AND('計算A'!BG$117=1,WE34&gt;0),2000,0)-IF(AND($L34=1,'計算A'!BH$117=1,FG34=0),2000,0))),1000000))</f>
        <v/>
      </c>
      <c r="QK34">
        <f>IF($B34=0,1000000,IF(INDEX('計算A'!$D$60:$EQ$104,$B34,58)*FG34=1,IF(AND($E34=2,KV34=0),1000000,IF($I34&gt;0,IF(3=$J34,IF(OR(AND(58=$I34+1,OR($K34&lt;&gt;'計算A'!$A$3,'計算A'!$A$4=0)),AND(58=$I34-1,OR(10&lt;&gt;'計算A'!$A$3,'計算A'!$A$4=0))),0,IF(10=$K34,200000,ABS(10-$K34)*100)),100000+ABS(3-$J34)*1000+100)+'計算A'!BI$5*50+IF(AND($E34=1,KV34=0),25,0),IF($F34&gt;0,INDEX('計算A'!BI$110:BI$114,$F34+1)+IF(AND($E34=1,KV34=0),1000,0),MIN(TW34,20)*400+(IF('計算A'!BH$106=1,1-FF34,0)+IF('計算A'!BI$106=1,1-FH34,0))*150+103+'計算A'!BI$5*100000+IF(AND($E34=1,KV34=0),50000,0))+IF($H34=1,(IF('計算A'!BH$117=1,INDEX('計算A'!BH$10:BH$54,$B34),0)+IF('計算A'!BI$117=1,INDEX('計算A'!BJ$10:BJ$54,$B34),0))*4000,0)-IF(AND('計算A'!BH$117=1,WF34&gt;0),2000,0)-IF(AND($L34=1,'計算A'!BI$117=1,FH34=0),2000,0))),1000000))</f>
        <v/>
      </c>
      <c r="QL34">
        <f>IF($B34=0,1000000,IF(INDEX('計算A'!$D$60:$EQ$104,$B34,59)*FH34=1,IF(AND($E34=2,KW34=0),1000000,IF($I34&gt;0,IF(3=$J34,IF(OR(AND(59=$I34+1,OR($K34&lt;&gt;'計算A'!$A$3,'計算A'!$A$4=0)),AND(59=$I34-1,OR(11&lt;&gt;'計算A'!$A$3,'計算A'!$A$4=0))),0,IF(11=$K34,200000,ABS(11-$K34)*100)),100000+ABS(3-$J34)*1000+110)+'計算A'!BJ$5*50+IF(AND($E34=1,KW34=0),25,0),IF($F34&gt;0,INDEX('計算A'!BJ$110:BJ$114,$F34+1)+IF(AND($E34=1,KW34=0),1000,0),MIN(TW34,20)*400+(IF('計算A'!BI$106=1,1-FG34,0)+IF('計算A'!BJ$106=1,1-FI34,0))*150+113+'計算A'!BJ$5*100000+IF(AND($E34=1,KW34=0),50000,0))+IF($H34=1,(IF('計算A'!BI$117=1,INDEX('計算A'!BI$10:BI$54,$B34),0)+IF('計算A'!BJ$117=1,INDEX('計算A'!BK$10:BK$54,$B34),0))*4000,0)-IF(AND('計算A'!BI$117=1,WG34&gt;0),2000,0)-IF(AND($L34=1,'計算A'!BJ$117=1,FI34=0),2000,0))),1000000))</f>
        <v/>
      </c>
      <c r="QM34">
        <f>IF($B34=0,1000000,IF(INDEX('計算A'!$D$60:$EQ$104,$B34,60)*FI34=1,IF(AND($E34=2,KX34=0),1000000,IF($I34&gt;0,IF(3=$J34,IF(OR(AND(60=$I34+1,OR($K34&lt;&gt;'計算A'!$A$3,'計算A'!$A$4=0)),AND(60=$I34-1,OR(12&lt;&gt;'計算A'!$A$3,'計算A'!$A$4=0))),0,IF(12=$K34,200000,ABS(12-$K34)*100)),100000+ABS(3-$J34)*1000+120)+'計算A'!BK$5*50+IF(AND($E34=1,KX34=0),25,0),IF($F34&gt;0,INDEX('計算A'!BK$110:BK$114,$F34+1)+IF(AND($E34=1,KX34=0),1000,0),MIN(TW34,20)*400+(IF('計算A'!BJ$106=1,1-FH34,0)+IF('計算A'!BK$106=1,1-FJ34,0))*150+123+'計算A'!BK$5*100000+IF(AND($E34=1,KX34=0),50000,0))+IF($H34=1,(IF('計算A'!BJ$117=1,INDEX('計算A'!BJ$10:BJ$54,$B34),0)+IF('計算A'!BK$117=1,INDEX('計算A'!BL$10:BL$54,$B34),0))*4000,0)-IF(AND('計算A'!BJ$117=1,WH34&gt;0),2000,0)-IF(AND($L34=1,'計算A'!BK$117=1,FJ34=0),2000,0))),1000000))</f>
        <v/>
      </c>
      <c r="QN34">
        <f>IF($B34=0,1000000,IF(INDEX('計算A'!$D$60:$EQ$104,$B34,61)*FJ34=1,IF(AND($E34=2,KY34=0),1000000,IF($I34&gt;0,IF(3=$J34,IF(OR(AND(61=$I34+1,OR($K34&lt;&gt;'計算A'!$A$3,'計算A'!$A$4=0)),AND(61=$I34-1,OR(13&lt;&gt;'計算A'!$A$3,'計算A'!$A$4=0))),0,IF(13=$K34,200000,ABS(13-$K34)*100)),100000+ABS(3-$J34)*1000+130)+'計算A'!BL$5*50+IF(AND($E34=1,KY34=0),25,0),IF($F34&gt;0,INDEX('計算A'!BL$110:BL$114,$F34+1)+IF(AND($E34=1,KY34=0),1000,0),MIN(TW34,20)*400+(IF('計算A'!BK$106=1,1-FI34,0)+IF('計算A'!BL$106=1,1-FK34,0))*150+133+'計算A'!BL$5*100000+IF(AND($E34=1,KY34=0),50000,0))+IF($H34=1,(IF('計算A'!BK$117=1,INDEX('計算A'!BK$10:BK$54,$B34),0)+IF('計算A'!BL$117=1,INDEX('計算A'!BM$10:BM$54,$B34),0))*4000,0)-IF(AND('計算A'!BK$117=1,WI34&gt;0),2000,0)-IF(AND($L34=1,'計算A'!BL$117=1,FK34=0),2000,0))),1000000))</f>
        <v/>
      </c>
      <c r="QO34">
        <f>IF($B34=0,1000000,IF(INDEX('計算A'!$D$60:$EQ$104,$B34,62)*FK34=1,IF(AND($E34=2,KZ34=0),1000000,IF($I34&gt;0,IF(3=$J34,IF(OR(AND(62=$I34+1,OR($K34&lt;&gt;'計算A'!$A$3,'計算A'!$A$4=0)),AND(62=$I34-1,OR(14&lt;&gt;'計算A'!$A$3,'計算A'!$A$4=0))),0,IF(14=$K34,200000,ABS(14-$K34)*100)),100000+ABS(3-$J34)*1000+140)+'計算A'!BM$5*50+IF(AND($E34=1,KZ34=0),25,0),IF($F34&gt;0,INDEX('計算A'!BM$110:BM$114,$F34+1)+IF(AND($E34=1,KZ34=0),1000,0),MIN(TW34,20)*400+(IF('計算A'!BL$106=1,1-FJ34,0)+IF('計算A'!BM$106=1,1-FL34,0))*150+143+'計算A'!BM$5*100000+IF(AND($E34=1,KZ34=0),50000,0))+IF($H34=1,(IF('計算A'!BL$117=1,INDEX('計算A'!BL$10:BL$54,$B34),0)+IF('計算A'!BM$117=1,INDEX('計算A'!BN$10:BN$54,$B34),0))*4000,0)-IF(AND('計算A'!BL$117=1,WJ34&gt;0),2000,0)-IF(AND($L34=1,'計算A'!BM$117=1,FL34=0),2000,0))),1000000))</f>
        <v/>
      </c>
      <c r="QP34">
        <f>IF($B34=0,1000000,IF(INDEX('計算A'!$D$60:$EQ$104,$B34,63)*FL34=1,IF(AND($E34=2,LA34=0),1000000,IF($I34&gt;0,IF(3=$J34,IF(OR(AND(63=$I34+1,OR($K34&lt;&gt;'計算A'!$A$3,'計算A'!$A$4=0)),AND(63=$I34-1,OR(15&lt;&gt;'計算A'!$A$3,'計算A'!$A$4=0))),0,IF(15=$K34,200000,ABS(15-$K34)*100)),100000+ABS(3-$J34)*1000+150)+'計算A'!BN$5*50+IF(AND($E34=1,LA34=0),25,0),IF($F34&gt;0,INDEX('計算A'!BN$110:BN$114,$F34+1)+IF(AND($E34=1,LA34=0),1000,0),MIN(TW34,20)*400+(IF('計算A'!BM$106=1,1-FK34,0)+IF('計算A'!BN$106=1,1-FM34,0))*150+153+'計算A'!BN$5*100000+IF(AND($E34=1,LA34=0),50000,0))+IF($H34=1,(IF('計算A'!BM$117=1,INDEX('計算A'!BM$10:BM$54,$B34),0)+IF('計算A'!BN$117=1,INDEX('計算A'!BO$10:BO$54,$B34),0))*4000,0)-IF(AND('計算A'!BM$117=1,WK34&gt;0),2000,0)-IF(AND($L34=1,'計算A'!BN$117=1,FM34=0),2000,0))),1000000))</f>
        <v/>
      </c>
      <c r="QQ34">
        <f>IF($B34=0,1000000,IF(INDEX('計算A'!$D$60:$EQ$104,$B34,64)*FM34=1,IF(AND($E34=2,LB34=0),1000000,IF($I34&gt;0,IF(3=$J34,IF(OR(AND(64=$I34+1,OR($K34&lt;&gt;'計算A'!$A$3,'計算A'!$A$4=0)),AND(64=$I34-1,OR(16&lt;&gt;'計算A'!$A$3,'計算A'!$A$4=0))),0,IF(16=$K34,200000,ABS(16-$K34)*100)),100000+ABS(3-$J34)*1000+160)+'計算A'!BO$5*50+IF(AND($E34=1,LB34=0),25,0),IF($F34&gt;0,INDEX('計算A'!BO$110:BO$114,$F34+1)+IF(AND($E34=1,LB34=0),1000,0),MIN(TW34,20)*400+(IF('計算A'!BN$106=1,1-FL34,0)+IF('計算A'!BO$106=1,1-FN34,0))*150+163+'計算A'!BO$5*100000+IF(AND($E34=1,LB34=0),50000,0))+IF($H34=1,(IF('計算A'!BN$117=1,INDEX('計算A'!BN$10:BN$54,$B34),0)+IF('計算A'!BO$117=1,INDEX('計算A'!BP$10:BP$54,$B34),0))*4000,0)-IF(AND('計算A'!BN$117=1,WL34&gt;0),2000,0)-IF(AND($L34=1,'計算A'!BO$117=1,FN34=0),2000,0))),1000000))</f>
        <v/>
      </c>
      <c r="QR34">
        <f>IF($B34=0,1000000,IF(INDEX('計算A'!$D$60:$EQ$104,$B34,65)*FN34=1,IF(AND($E34=2,LC34=0),1000000,IF($I34&gt;0,IF(3=$J34,IF(OR(AND(65=$I34+1,OR($K34&lt;&gt;'計算A'!$A$3,'計算A'!$A$4=0)),AND(65=$I34-1,OR(17&lt;&gt;'計算A'!$A$3,'計算A'!$A$4=0))),0,IF(17=$K34,200000,ABS(17-$K34)*100)),100000+ABS(3-$J34)*1000+170)+'計算A'!BP$5*50+IF(AND($E34=1,LC34=0),25,0),IF($F34&gt;0,INDEX('計算A'!BP$110:BP$114,$F34+1)+IF(AND($E34=1,LC34=0),1000,0),MIN(TW34,20)*400+(IF('計算A'!BO$106=1,1-FM34,0)+IF('計算A'!BP$106=1,1-FO34,0))*150+173+'計算A'!BP$5*100000+IF(AND($E34=1,LC34=0),50000,0))+IF($H34=1,(IF('計算A'!BO$117=1,INDEX('計算A'!BO$10:BO$54,$B34),0)+IF('計算A'!BP$117=1,INDEX('計算A'!BQ$10:BQ$54,$B34),0))*4000,0)-IF(AND('計算A'!BO$117=1,WM34&gt;0),2000,0)-IF(AND($L34=1,'計算A'!BP$117=1,FO34=0),2000,0))),1000000))</f>
        <v/>
      </c>
      <c r="QS34">
        <f>IF($B34=0,1000000,IF(INDEX('計算A'!$D$60:$EQ$104,$B34,66)*FO34=1,IF(AND($E34=2,LD34=0),1000000,IF($I34&gt;0,IF(3=$J34,IF(OR(AND(66=$I34+1,OR($K34&lt;&gt;'計算A'!$A$3,'計算A'!$A$4=0)),AND(66=$I34-1,OR(18&lt;&gt;'計算A'!$A$3,'計算A'!$A$4=0))),0,IF(18=$K34,200000,ABS(18-$K34)*100)),100000+ABS(3-$J34)*1000+180)+'計算A'!BQ$5*50+IF(AND($E34=1,LD34=0),25,0),IF($F34&gt;0,INDEX('計算A'!BQ$110:BQ$114,$F34+1)+IF(AND($E34=1,LD34=0),1000,0),MIN(TW34,20)*400+(IF('計算A'!BP$106=1,1-FN34,0)+IF('計算A'!BQ$106=1,1-FP34,0))*150+183+'計算A'!BQ$5*100000+IF(AND($E34=1,LD34=0),50000,0))+IF($H34=1,(IF('計算A'!BP$117=1,INDEX('計算A'!BP$10:BP$54,$B34),0)+IF('計算A'!BQ$117=1,INDEX('計算A'!BR$10:BR$54,$B34),0))*4000,0)-IF(AND('計算A'!BP$117=1,WN34&gt;0),2000,0)-IF(AND($L34=1,'計算A'!BQ$117=1,FP34=0),2000,0))),1000000))</f>
        <v/>
      </c>
      <c r="QT34">
        <f>IF($B34=0,1000000,IF(INDEX('計算A'!$D$60:$EQ$104,$B34,67)*FP34=1,IF(AND($E34=2,LE34=0),1000000,IF($I34&gt;0,IF(3=$J34,IF(OR(AND(67=$I34+1,OR($K34&lt;&gt;'計算A'!$A$3,'計算A'!$A$4=0)),AND(67=$I34-1,OR(19&lt;&gt;'計算A'!$A$3,'計算A'!$A$4=0))),0,IF(19=$K34,200000,ABS(19-$K34)*100)),100000+ABS(3-$J34)*1000+190)+'計算A'!BR$5*50+IF(AND($E34=1,LE34=0),25,0),IF($F34&gt;0,INDEX('計算A'!BR$110:BR$114,$F34+1)+IF(AND($E34=1,LE34=0),1000,0),MIN(TW34,20)*400+(IF('計算A'!BQ$106=1,1-FO34,0)+IF('計算A'!BR$106=1,1-FQ34,0))*150+193+'計算A'!BR$5*100000+IF(AND($E34=1,LE34=0),50000,0))+IF($H34=1,(IF('計算A'!BQ$117=1,INDEX('計算A'!BQ$10:BQ$54,$B34),0)+IF('計算A'!BR$117=1,INDEX('計算A'!BS$10:BS$54,$B34),0))*4000,0)-IF(AND('計算A'!BQ$117=1,WO34&gt;0),2000,0)-IF(AND($L34=1,'計算A'!BR$117=1,FQ34=0),2000,0))),1000000))</f>
        <v/>
      </c>
      <c r="QU34">
        <f>IF($B34=0,1000000,IF(INDEX('計算A'!$D$60:$EQ$104,$B34,68)*FQ34=1,IF(AND($E34=2,LF34=0),1000000,IF($I34&gt;0,IF(3=$J34,IF(OR(AND(68=$I34+1,OR($K34&lt;&gt;'計算A'!$A$3,'計算A'!$A$4=0)),AND(68=$I34-1,OR(20&lt;&gt;'計算A'!$A$3,'計算A'!$A$4=0))),0,IF(20=$K34,200000,ABS(20-$K34)*100)),100000+ABS(3-$J34)*1000+200)+'計算A'!BS$5*50+IF(AND($E34=1,LF34=0),25,0),IF($F34&gt;0,INDEX('計算A'!BS$110:BS$114,$F34+1)+IF(AND($E34=1,LF34=0),1000,0),MIN(TW34,20)*400+(IF('計算A'!BR$106=1,1-FP34,0)+IF('計算A'!BS$106=1,1-FR34,0))*150+203+'計算A'!BS$5*100000+IF(AND($E34=1,LF34=0),50000,0))+IF($H34=1,(IF('計算A'!BR$117=1,INDEX('計算A'!BR$10:BR$54,$B34),0)+IF('計算A'!BS$117=1,INDEX('計算A'!BT$10:BT$54,$B34),0))*4000,0)-IF(AND('計算A'!BR$117=1,WP34&gt;0),2000,0)-IF(AND($L34=1,'計算A'!BS$117=1,FR34=0),2000,0))),1000000))</f>
        <v/>
      </c>
      <c r="QV34">
        <f>IF($B34=0,1000000,IF(INDEX('計算A'!$D$60:$EQ$104,$B34,69)*FR34=1,IF(AND($E34=2,LG34=0),1000000,IF($I34&gt;0,IF(3=$J34,IF(OR(AND(69=$I34+1,OR($K34&lt;&gt;'計算A'!$A$3,'計算A'!$A$4=0)),AND(69=$I34-1,OR(21&lt;&gt;'計算A'!$A$3,'計算A'!$A$4=0))),0,IF(21=$K34,200000,ABS(21-$K34)*100)),100000+ABS(3-$J34)*1000+210)+'計算A'!BT$5*50+IF(AND($E34=1,LG34=0),25,0),IF($F34&gt;0,INDEX('計算A'!BT$110:BT$114,$F34+1)+IF(AND($E34=1,LG34=0),1000,0),MIN(TW34,20)*400+(IF('計算A'!BS$106=1,1-FQ34,0)+IF('計算A'!BT$106=1,1-FS34,0))*150+213+'計算A'!BT$5*100000+IF(AND($E34=1,LG34=0),50000,0))+IF($H34=1,(IF('計算A'!BS$117=1,INDEX('計算A'!BS$10:BS$54,$B34),0)+IF('計算A'!BT$117=1,INDEX('計算A'!BU$10:BU$54,$B34),0))*4000,0)-IF(AND('計算A'!BS$117=1,WQ34&gt;0),2000,0)-IF(AND($L34=1,'計算A'!BT$117=1,FS34=0),2000,0))),1000000))</f>
        <v/>
      </c>
      <c r="QW34">
        <f>IF($B34=0,1000000,IF(INDEX('計算A'!$D$60:$EQ$104,$B34,70)*FS34=1,IF(AND($E34=2,LH34=0),1000000,IF($I34&gt;0,IF(3=$J34,IF(OR(AND(70=$I34+1,OR($K34&lt;&gt;'計算A'!$A$3,'計算A'!$A$4=0)),AND(70=$I34-1,OR(22&lt;&gt;'計算A'!$A$3,'計算A'!$A$4=0))),0,IF(22=$K34,200000,ABS(22-$K34)*100)),100000+ABS(3-$J34)*1000+220)+'計算A'!BU$5*50+IF(AND($E34=1,LH34=0),25,0),IF($F34&gt;0,INDEX('計算A'!BU$110:BU$114,$F34+1)+IF(AND($E34=1,LH34=0),1000,0),MIN(TW34,20)*400+(IF('計算A'!BT$106=1,1-FR34,0)+IF('計算A'!BU$106=1,1-FT34,0))*150+223+'計算A'!BU$5*100000+IF(AND($E34=1,LH34=0),50000,0))+IF($H34=1,(IF('計算A'!BT$117=1,INDEX('計算A'!BT$10:BT$54,$B34),0)+IF('計算A'!BU$117=1,INDEX('計算A'!BV$10:BV$54,$B34),0))*4000,0)-IF(AND('計算A'!BT$117=1,WR34&gt;0),2000,0)-IF(AND($L34=1,'計算A'!BU$117=1,FT34=0),2000,0))),1000000))</f>
        <v/>
      </c>
      <c r="QX34">
        <f>IF($B34=0,1000000,IF(INDEX('計算A'!$D$60:$EQ$104,$B34,71)*FT34=1,IF(AND($E34=2,LI34=0),1000000,IF($I34&gt;0,IF(3=$J34,IF(OR(AND(71=$I34+1,OR($K34&lt;&gt;'計算A'!$A$3,'計算A'!$A$4=0)),AND(71=$I34-1,OR(23&lt;&gt;'計算A'!$A$3,'計算A'!$A$4=0))),0,IF(23=$K34,200000,ABS(23-$K34)*100)),100000+ABS(3-$J34)*1000+230)+'計算A'!BV$5*50+IF(AND($E34=1,LI34=0),25,0),IF($F34&gt;0,INDEX('計算A'!BV$110:BV$114,$F34+1)+IF(AND($E34=1,LI34=0),1000,0),MIN(TW34,20)*400+(IF('計算A'!BU$106=1,1-FS34,0)+IF('計算A'!BV$106=1,1-FU34,0))*150+233+'計算A'!BV$5*100000+IF(AND($E34=1,LI34=0),50000,0))+IF($H34=1,(IF('計算A'!BU$117=1,INDEX('計算A'!BU$10:BU$54,$B34),0)+IF('計算A'!BV$117=1,INDEX('計算A'!BW$10:BW$54,$B34),0))*4000,0)-IF(AND('計算A'!BU$117=1,WS34&gt;0),2000,0)-IF(AND($L34=1,'計算A'!BV$117=1,FU34=0),2000,0))),1000000))</f>
        <v/>
      </c>
      <c r="QY34">
        <f>IF($B34=0,1000000,IF(INDEX('計算A'!$D$60:$EQ$104,$B34,72)*FU34=1,IF(AND($E34=2,LJ34=0),1000000,IF($I34&gt;0,IF(3=$J34,IF(OR(AND(72=$I34+1,OR($K34&lt;&gt;'計算A'!$A$3,'計算A'!$A$4=0)),AND(72=$I34-1,OR(24&lt;&gt;'計算A'!$A$3,'計算A'!$A$4=0))),0,IF(24=$K34,200000,ABS(24-$K34)*100)),100000+ABS(3-$J34)*1000+240)+'計算A'!BW$5*50+IF(AND($E34=1,LJ34=0),25,0),IF($F34&gt;0,INDEX('計算A'!BW$110:BW$114,$F34+1)+IF(AND($E34=1,LJ34=0),1000,0),MIN(TW34,20)*400+(IF('計算A'!BV$106=1,1-FT34,0))*150+243+'計算A'!BW$5*100000+IF(AND($E34=1,LJ34=0),50000,0))+IF($H34=1,(IF('計算A'!BV$117=1,INDEX('計算A'!BV$10:BV$54,$B34),0))*4000,0)-IF(AND('計算A'!BV$117=1,WT34&gt;0),2000,0))),1000000))</f>
        <v/>
      </c>
      <c r="QZ34">
        <f>IF($B34=0,1000000,IF(INDEX('計算A'!$D$60:$EQ$104,$B34,73)*FV34=1,IF(AND($E34=2,LK34=0),1000000,IF($I34&gt;0,IF(4=$J34,IF(OR(AND(73=$I34+1,OR($K34&lt;&gt;'計算A'!$A$3,'計算A'!$A$4=0)),AND(73=$I34-1,OR(1&lt;&gt;'計算A'!$A$3,'計算A'!$A$4=0))),0,IF(1=$K34,200000,ABS(1-$K34)*100)),100000+ABS(4-$J34)*1000+10)+'計算A'!BX$5*50+IF(AND($E34=1,LK34=0),25,0),IF($F34&gt;0,INDEX('計算A'!BX$110:BX$114,$F34+1)+IF(AND($E34=1,LK34=0),1000,0),MIN(TX34,20)*400+(IF('計算A'!BX$106=1,1-FW34,0))*150+14+'計算A'!BX$5*100000+IF(AND($E34=1,LK34=0),50000,0))+IF($H34=1,(IF('計算A'!BX$117=1,INDEX('計算A'!BY$10:BY$54,$B34),0))*4000,0)-IF(AND($L34=1,'計算A'!BX$117=1,FW34=0),2000,0))),1000000))</f>
        <v/>
      </c>
      <c r="RA34">
        <f>IF($B34=0,1000000,IF(INDEX('計算A'!$D$60:$EQ$104,$B34,74)*FW34=1,IF(AND($E34=2,LL34=0),1000000,IF($I34&gt;0,IF(4=$J34,IF(OR(AND(74=$I34+1,OR($K34&lt;&gt;'計算A'!$A$3,'計算A'!$A$4=0)),AND(74=$I34-1,OR(2&lt;&gt;'計算A'!$A$3,'計算A'!$A$4=0))),0,IF(2=$K34,200000,ABS(2-$K34)*100)),100000+ABS(4-$J34)*1000+20)+'計算A'!BY$5*50+IF(AND($E34=1,LL34=0),25,0),IF($F34&gt;0,INDEX('計算A'!BY$110:BY$114,$F34+1)+IF(AND($E34=1,LL34=0),1000,0),MIN(TX34,20)*400+(IF('計算A'!BX$106=1,1-FV34,0)+IF('計算A'!BY$106=1,1-FX34,0))*150+24+'計算A'!BY$5*100000+IF(AND($E34=1,LL34=0),50000,0))+IF($H34=1,(IF('計算A'!BX$117=1,INDEX('計算A'!BX$10:BX$54,$B34),0)+IF('計算A'!BY$117=1,INDEX('計算A'!BZ$10:BZ$54,$B34),0))*4000,0)-IF(AND('計算A'!BX$117=1,WV34&gt;0),2000,0)-IF(AND($L34=1,'計算A'!BY$117=1,FX34=0),2000,0))),1000000))</f>
        <v/>
      </c>
      <c r="RB34">
        <f>IF($B34=0,1000000,IF(INDEX('計算A'!$D$60:$EQ$104,$B34,75)*FX34=1,IF(AND($E34=2,LM34=0),1000000,IF($I34&gt;0,IF(4=$J34,IF(OR(AND(75=$I34+1,OR($K34&lt;&gt;'計算A'!$A$3,'計算A'!$A$4=0)),AND(75=$I34-1,OR(3&lt;&gt;'計算A'!$A$3,'計算A'!$A$4=0))),0,IF(3=$K34,200000,ABS(3-$K34)*100)),100000+ABS(4-$J34)*1000+30)+'計算A'!BZ$5*50+IF(AND($E34=1,LM34=0),25,0),IF($F34&gt;0,INDEX('計算A'!BZ$110:BZ$114,$F34+1)+IF(AND($E34=1,LM34=0),1000,0),MIN(TX34,20)*400+(IF('計算A'!BY$106=1,1-FW34,0)+IF('計算A'!BZ$106=1,1-FY34,0))*150+34+'計算A'!BZ$5*100000+IF(AND($E34=1,LM34=0),50000,0))+IF($H34=1,(IF('計算A'!BY$117=1,INDEX('計算A'!BY$10:BY$54,$B34),0)+IF('計算A'!BZ$117=1,INDEX('計算A'!CA$10:CA$54,$B34),0))*4000,0)-IF(AND('計算A'!BY$117=1,WW34&gt;0),2000,0)-IF(AND($L34=1,'計算A'!BZ$117=1,FY34=0),2000,0))),1000000))</f>
        <v/>
      </c>
      <c r="RC34">
        <f>IF($B34=0,1000000,IF(INDEX('計算A'!$D$60:$EQ$104,$B34,76)*FY34=1,IF(AND($E34=2,LN34=0),1000000,IF($I34&gt;0,IF(4=$J34,IF(OR(AND(76=$I34+1,OR($K34&lt;&gt;'計算A'!$A$3,'計算A'!$A$4=0)),AND(76=$I34-1,OR(4&lt;&gt;'計算A'!$A$3,'計算A'!$A$4=0))),0,IF(4=$K34,200000,ABS(4-$K34)*100)),100000+ABS(4-$J34)*1000+40)+'計算A'!CA$5*50+IF(AND($E34=1,LN34=0),25,0),IF($F34&gt;0,INDEX('計算A'!CA$110:CA$114,$F34+1)+IF(AND($E34=1,LN34=0),1000,0),MIN(TX34,20)*400+(IF('計算A'!BZ$106=1,1-FX34,0)+IF('計算A'!CA$106=1,1-FZ34,0))*150+44+'計算A'!CA$5*100000+IF(AND($E34=1,LN34=0),50000,0))+IF($H34=1,(IF('計算A'!BZ$117=1,INDEX('計算A'!BZ$10:BZ$54,$B34),0)+IF('計算A'!CA$117=1,INDEX('計算A'!CB$10:CB$54,$B34),0))*4000,0)-IF(AND('計算A'!BZ$117=1,WX34&gt;0),2000,0)-IF(AND($L34=1,'計算A'!CA$117=1,FZ34=0),2000,0))),1000000))</f>
        <v/>
      </c>
      <c r="RD34">
        <f>IF($B34=0,1000000,IF(INDEX('計算A'!$D$60:$EQ$104,$B34,77)*FZ34=1,IF(AND($E34=2,LO34=0),1000000,IF($I34&gt;0,IF(4=$J34,IF(OR(AND(77=$I34+1,OR($K34&lt;&gt;'計算A'!$A$3,'計算A'!$A$4=0)),AND(77=$I34-1,OR(5&lt;&gt;'計算A'!$A$3,'計算A'!$A$4=0))),0,IF(5=$K34,200000,ABS(5-$K34)*100)),100000+ABS(4-$J34)*1000+50)+'計算A'!CB$5*50+IF(AND($E34=1,LO34=0),25,0),IF($F34&gt;0,INDEX('計算A'!CB$110:CB$114,$F34+1)+IF(AND($E34=1,LO34=0),1000,0),MIN(TX34,20)*400+(IF('計算A'!CA$106=1,1-FY34,0)+IF('計算A'!CB$106=1,1-GA34,0))*150+54+'計算A'!CB$5*100000+IF(AND($E34=1,LO34=0),50000,0))+IF($H34=1,(IF('計算A'!CA$117=1,INDEX('計算A'!CA$10:CA$54,$B34),0)+IF('計算A'!CB$117=1,INDEX('計算A'!CC$10:CC$54,$B34),0))*4000,0)-IF(AND('計算A'!CA$117=1,WY34&gt;0),2000,0)-IF(AND($L34=1,'計算A'!CB$117=1,GA34=0),2000,0))),1000000))</f>
        <v/>
      </c>
      <c r="RE34">
        <f>IF($B34=0,1000000,IF(INDEX('計算A'!$D$60:$EQ$104,$B34,78)*GA34=1,IF(AND($E34=2,LP34=0),1000000,IF($I34&gt;0,IF(4=$J34,IF(OR(AND(78=$I34+1,OR($K34&lt;&gt;'計算A'!$A$3,'計算A'!$A$4=0)),AND(78=$I34-1,OR(6&lt;&gt;'計算A'!$A$3,'計算A'!$A$4=0))),0,IF(6=$K34,200000,ABS(6-$K34)*100)),100000+ABS(4-$J34)*1000+60)+'計算A'!CC$5*50+IF(AND($E34=1,LP34=0),25,0),IF($F34&gt;0,INDEX('計算A'!CC$110:CC$114,$F34+1)+IF(AND($E34=1,LP34=0),1000,0),MIN(TX34,20)*400+(IF('計算A'!CB$106=1,1-FZ34,0)+IF('計算A'!CC$106=1,1-GB34,0))*150+64+'計算A'!CC$5*100000+IF(AND($E34=1,LP34=0),50000,0))+IF($H34=1,(IF('計算A'!CB$117=1,INDEX('計算A'!CB$10:CB$54,$B34),0)+IF('計算A'!CC$117=1,INDEX('計算A'!CD$10:CD$54,$B34),0))*4000,0)-IF(AND('計算A'!CB$117=1,WZ34&gt;0),2000,0)-IF(AND($L34=1,'計算A'!CC$117=1,GB34=0),2000,0))),1000000))</f>
        <v/>
      </c>
      <c r="RF34">
        <f>IF($B34=0,1000000,IF(INDEX('計算A'!$D$60:$EQ$104,$B34,79)*GB34=1,IF(AND($E34=2,LQ34=0),1000000,IF($I34&gt;0,IF(4=$J34,IF(OR(AND(79=$I34+1,OR($K34&lt;&gt;'計算A'!$A$3,'計算A'!$A$4=0)),AND(79=$I34-1,OR(7&lt;&gt;'計算A'!$A$3,'計算A'!$A$4=0))),0,IF(7=$K34,200000,ABS(7-$K34)*100)),100000+ABS(4-$J34)*1000+70)+'計算A'!CD$5*50+IF(AND($E34=1,LQ34=0),25,0),IF($F34&gt;0,INDEX('計算A'!CD$110:CD$114,$F34+1)+IF(AND($E34=1,LQ34=0),1000,0),MIN(TX34,20)*400+(IF('計算A'!CC$106=1,1-GA34,0)+IF('計算A'!CD$106=1,1-GC34,0))*150+74+'計算A'!CD$5*100000+IF(AND($E34=1,LQ34=0),50000,0))+IF($H34=1,(IF('計算A'!CC$117=1,INDEX('計算A'!CC$10:CC$54,$B34),0)+IF('計算A'!CD$117=1,INDEX('計算A'!CE$10:CE$54,$B34),0))*4000,0)-IF(AND('計算A'!CC$117=1,XA34&gt;0),2000,0)-IF(AND($L34=1,'計算A'!CD$117=1,GC34=0),2000,0))),1000000))</f>
        <v/>
      </c>
      <c r="RG34">
        <f>IF($B34=0,1000000,IF(INDEX('計算A'!$D$60:$EQ$104,$B34,80)*GC34=1,IF(AND($E34=2,LR34=0),1000000,IF($I34&gt;0,IF(4=$J34,IF(OR(AND(80=$I34+1,OR($K34&lt;&gt;'計算A'!$A$3,'計算A'!$A$4=0)),AND(80=$I34-1,OR(8&lt;&gt;'計算A'!$A$3,'計算A'!$A$4=0))),0,IF(8=$K34,200000,ABS(8-$K34)*100)),100000+ABS(4-$J34)*1000+80)+'計算A'!CE$5*50+IF(AND($E34=1,LR34=0),25,0),IF($F34&gt;0,INDEX('計算A'!CE$110:CE$114,$F34+1)+IF(AND($E34=1,LR34=0),1000,0),MIN(TX34,20)*400+(IF('計算A'!CD$106=1,1-GB34,0)+IF('計算A'!CE$106=1,1-GD34,0))*150+84+'計算A'!CE$5*100000+IF(AND($E34=1,LR34=0),50000,0))+IF($H34=1,(IF('計算A'!CD$117=1,INDEX('計算A'!CD$10:CD$54,$B34),0)+IF('計算A'!CE$117=1,INDEX('計算A'!CF$10:CF$54,$B34),0))*4000,0)-IF(AND('計算A'!CD$117=1,XB34&gt;0),2000,0)-IF(AND($L34=1,'計算A'!CE$117=1,GD34=0),2000,0))),1000000))</f>
        <v/>
      </c>
      <c r="RH34">
        <f>IF($B34=0,1000000,IF(INDEX('計算A'!$D$60:$EQ$104,$B34,81)*GD34=1,IF(AND($E34=2,LS34=0),1000000,IF($I34&gt;0,IF(4=$J34,IF(OR(AND(81=$I34+1,OR($K34&lt;&gt;'計算A'!$A$3,'計算A'!$A$4=0)),AND(81=$I34-1,OR(9&lt;&gt;'計算A'!$A$3,'計算A'!$A$4=0))),0,IF(9=$K34,200000,ABS(9-$K34)*100)),100000+ABS(4-$J34)*1000+90)+'計算A'!CF$5*50+IF(AND($E34=1,LS34=0),25,0),IF($F34&gt;0,INDEX('計算A'!CF$110:CF$114,$F34+1)+IF(AND($E34=1,LS34=0),1000,0),MIN(TX34,20)*400+(IF('計算A'!CE$106=1,1-GC34,0)+IF('計算A'!CF$106=1,1-GE34,0))*150+94+'計算A'!CF$5*100000+IF(AND($E34=1,LS34=0),50000,0))+IF($H34=1,(IF('計算A'!CE$117=1,INDEX('計算A'!CE$10:CE$54,$B34),0)+IF('計算A'!CF$117=1,INDEX('計算A'!CG$10:CG$54,$B34),0))*4000,0)-IF(AND('計算A'!CE$117=1,XC34&gt;0),2000,0)-IF(AND($L34=1,'計算A'!CF$117=1,GE34=0),2000,0))),1000000))</f>
        <v/>
      </c>
      <c r="RI34">
        <f>IF($B34=0,1000000,IF(INDEX('計算A'!$D$60:$EQ$104,$B34,82)*GE34=1,IF(AND($E34=2,LT34=0),1000000,IF($I34&gt;0,IF(4=$J34,IF(OR(AND(82=$I34+1,OR($K34&lt;&gt;'計算A'!$A$3,'計算A'!$A$4=0)),AND(82=$I34-1,OR(10&lt;&gt;'計算A'!$A$3,'計算A'!$A$4=0))),0,IF(10=$K34,200000,ABS(10-$K34)*100)),100000+ABS(4-$J34)*1000+100)+'計算A'!CG$5*50+IF(AND($E34=1,LT34=0),25,0),IF($F34&gt;0,INDEX('計算A'!CG$110:CG$114,$F34+1)+IF(AND($E34=1,LT34=0),1000,0),MIN(TX34,20)*400+(IF('計算A'!CF$106=1,1-GD34,0)+IF('計算A'!CG$106=1,1-GF34,0))*150+104+'計算A'!CG$5*100000+IF(AND($E34=1,LT34=0),50000,0))+IF($H34=1,(IF('計算A'!CF$117=1,INDEX('計算A'!CF$10:CF$54,$B34),0)+IF('計算A'!CG$117=1,INDEX('計算A'!CH$10:CH$54,$B34),0))*4000,0)-IF(AND('計算A'!CF$117=1,XD34&gt;0),2000,0)-IF(AND($L34=1,'計算A'!CG$117=1,GF34=0),2000,0))),1000000))</f>
        <v/>
      </c>
      <c r="RJ34">
        <f>IF($B34=0,1000000,IF(INDEX('計算A'!$D$60:$EQ$104,$B34,83)*GF34=1,IF(AND($E34=2,LU34=0),1000000,IF($I34&gt;0,IF(4=$J34,IF(OR(AND(83=$I34+1,OR($K34&lt;&gt;'計算A'!$A$3,'計算A'!$A$4=0)),AND(83=$I34-1,OR(11&lt;&gt;'計算A'!$A$3,'計算A'!$A$4=0))),0,IF(11=$K34,200000,ABS(11-$K34)*100)),100000+ABS(4-$J34)*1000+110)+'計算A'!CH$5*50+IF(AND($E34=1,LU34=0),25,0),IF($F34&gt;0,INDEX('計算A'!CH$110:CH$114,$F34+1)+IF(AND($E34=1,LU34=0),1000,0),MIN(TX34,20)*400+(IF('計算A'!CG$106=1,1-GE34,0)+IF('計算A'!CH$106=1,1-GG34,0))*150+114+'計算A'!CH$5*100000+IF(AND($E34=1,LU34=0),50000,0))+IF($H34=1,(IF('計算A'!CG$117=1,INDEX('計算A'!CG$10:CG$54,$B34),0)+IF('計算A'!CH$117=1,INDEX('計算A'!CI$10:CI$54,$B34),0))*4000,0)-IF(AND('計算A'!CG$117=1,XE34&gt;0),2000,0)-IF(AND($L34=1,'計算A'!CH$117=1,GG34=0),2000,0))),1000000))</f>
        <v/>
      </c>
      <c r="RK34">
        <f>IF($B34=0,1000000,IF(INDEX('計算A'!$D$60:$EQ$104,$B34,84)*GG34=1,IF(AND($E34=2,LV34=0),1000000,IF($I34&gt;0,IF(4=$J34,IF(OR(AND(84=$I34+1,OR($K34&lt;&gt;'計算A'!$A$3,'計算A'!$A$4=0)),AND(84=$I34-1,OR(12&lt;&gt;'計算A'!$A$3,'計算A'!$A$4=0))),0,IF(12=$K34,200000,ABS(12-$K34)*100)),100000+ABS(4-$J34)*1000+120)+'計算A'!CI$5*50+IF(AND($E34=1,LV34=0),25,0),IF($F34&gt;0,INDEX('計算A'!CI$110:CI$114,$F34+1)+IF(AND($E34=1,LV34=0),1000,0),MIN(TX34,20)*400+(IF('計算A'!CH$106=1,1-GF34,0)+IF('計算A'!CI$106=1,1-GH34,0))*150+124+'計算A'!CI$5*100000+IF(AND($E34=1,LV34=0),50000,0))+IF($H34=1,(IF('計算A'!CH$117=1,INDEX('計算A'!CH$10:CH$54,$B34),0)+IF('計算A'!CI$117=1,INDEX('計算A'!CJ$10:CJ$54,$B34),0))*4000,0)-IF(AND('計算A'!CH$117=1,XF34&gt;0),2000,0)-IF(AND($L34=1,'計算A'!CI$117=1,GH34=0),2000,0))),1000000))</f>
        <v/>
      </c>
      <c r="RL34">
        <f>IF($B34=0,1000000,IF(INDEX('計算A'!$D$60:$EQ$104,$B34,85)*GH34=1,IF(AND($E34=2,LW34=0),1000000,IF($I34&gt;0,IF(4=$J34,IF(OR(AND(85=$I34+1,OR($K34&lt;&gt;'計算A'!$A$3,'計算A'!$A$4=0)),AND(85=$I34-1,OR(13&lt;&gt;'計算A'!$A$3,'計算A'!$A$4=0))),0,IF(13=$K34,200000,ABS(13-$K34)*100)),100000+ABS(4-$J34)*1000+130)+'計算A'!CJ$5*50+IF(AND($E34=1,LW34=0),25,0),IF($F34&gt;0,INDEX('計算A'!CJ$110:CJ$114,$F34+1)+IF(AND($E34=1,LW34=0),1000,0),MIN(TX34,20)*400+(IF('計算A'!CI$106=1,1-GG34,0)+IF('計算A'!CJ$106=1,1-GI34,0))*150+134+'計算A'!CJ$5*100000+IF(AND($E34=1,LW34=0),50000,0))+IF($H34=1,(IF('計算A'!CI$117=1,INDEX('計算A'!CI$10:CI$54,$B34),0)+IF('計算A'!CJ$117=1,INDEX('計算A'!CK$10:CK$54,$B34),0))*4000,0)-IF(AND('計算A'!CI$117=1,XG34&gt;0),2000,0)-IF(AND($L34=1,'計算A'!CJ$117=1,GI34=0),2000,0))),1000000))</f>
        <v/>
      </c>
      <c r="RM34">
        <f>IF($B34=0,1000000,IF(INDEX('計算A'!$D$60:$EQ$104,$B34,86)*GI34=1,IF(AND($E34=2,LX34=0),1000000,IF($I34&gt;0,IF(4=$J34,IF(OR(AND(86=$I34+1,OR($K34&lt;&gt;'計算A'!$A$3,'計算A'!$A$4=0)),AND(86=$I34-1,OR(14&lt;&gt;'計算A'!$A$3,'計算A'!$A$4=0))),0,IF(14=$K34,200000,ABS(14-$K34)*100)),100000+ABS(4-$J34)*1000+140)+'計算A'!CK$5*50+IF(AND($E34=1,LX34=0),25,0),IF($F34&gt;0,INDEX('計算A'!CK$110:CK$114,$F34+1)+IF(AND($E34=1,LX34=0),1000,0),MIN(TX34,20)*400+(IF('計算A'!CJ$106=1,1-GH34,0)+IF('計算A'!CK$106=1,1-GJ34,0))*150+144+'計算A'!CK$5*100000+IF(AND($E34=1,LX34=0),50000,0))+IF($H34=1,(IF('計算A'!CJ$117=1,INDEX('計算A'!CJ$10:CJ$54,$B34),0)+IF('計算A'!CK$117=1,INDEX('計算A'!CL$10:CL$54,$B34),0))*4000,0)-IF(AND('計算A'!CJ$117=1,XH34&gt;0),2000,0)-IF(AND($L34=1,'計算A'!CK$117=1,GJ34=0),2000,0))),1000000))</f>
        <v/>
      </c>
      <c r="RN34">
        <f>IF($B34=0,1000000,IF(INDEX('計算A'!$D$60:$EQ$104,$B34,87)*GJ34=1,IF(AND($E34=2,LY34=0),1000000,IF($I34&gt;0,IF(4=$J34,IF(OR(AND(87=$I34+1,OR($K34&lt;&gt;'計算A'!$A$3,'計算A'!$A$4=0)),AND(87=$I34-1,OR(15&lt;&gt;'計算A'!$A$3,'計算A'!$A$4=0))),0,IF(15=$K34,200000,ABS(15-$K34)*100)),100000+ABS(4-$J34)*1000+150)+'計算A'!CL$5*50+IF(AND($E34=1,LY34=0),25,0),IF($F34&gt;0,INDEX('計算A'!CL$110:CL$114,$F34+1)+IF(AND($E34=1,LY34=0),1000,0),MIN(TX34,20)*400+(IF('計算A'!CK$106=1,1-GI34,0)+IF('計算A'!CL$106=1,1-GK34,0))*150+154+'計算A'!CL$5*100000+IF(AND($E34=1,LY34=0),50000,0))+IF($H34=1,(IF('計算A'!CK$117=1,INDEX('計算A'!CK$10:CK$54,$B34),0)+IF('計算A'!CL$117=1,INDEX('計算A'!CM$10:CM$54,$B34),0))*4000,0)-IF(AND('計算A'!CK$117=1,XI34&gt;0),2000,0)-IF(AND($L34=1,'計算A'!CL$117=1,GK34=0),2000,0))),1000000))</f>
        <v/>
      </c>
      <c r="RO34">
        <f>IF($B34=0,1000000,IF(INDEX('計算A'!$D$60:$EQ$104,$B34,88)*GK34=1,IF(AND($E34=2,LZ34=0),1000000,IF($I34&gt;0,IF(4=$J34,IF(OR(AND(88=$I34+1,OR($K34&lt;&gt;'計算A'!$A$3,'計算A'!$A$4=0)),AND(88=$I34-1,OR(16&lt;&gt;'計算A'!$A$3,'計算A'!$A$4=0))),0,IF(16=$K34,200000,ABS(16-$K34)*100)),100000+ABS(4-$J34)*1000+160)+'計算A'!CM$5*50+IF(AND($E34=1,LZ34=0),25,0),IF($F34&gt;0,INDEX('計算A'!CM$110:CM$114,$F34+1)+IF(AND($E34=1,LZ34=0),1000,0),MIN(TX34,20)*400+(IF('計算A'!CL$106=1,1-GJ34,0)+IF('計算A'!CM$106=1,1-GL34,0))*150+164+'計算A'!CM$5*100000+IF(AND($E34=1,LZ34=0),50000,0))+IF($H34=1,(IF('計算A'!CL$117=1,INDEX('計算A'!CL$10:CL$54,$B34),0)+IF('計算A'!CM$117=1,INDEX('計算A'!CN$10:CN$54,$B34),0))*4000,0)-IF(AND('計算A'!CL$117=1,XJ34&gt;0),2000,0)-IF(AND($L34=1,'計算A'!CM$117=1,GL34=0),2000,0))),1000000))</f>
        <v/>
      </c>
      <c r="RP34">
        <f>IF($B34=0,1000000,IF(INDEX('計算A'!$D$60:$EQ$104,$B34,89)*GL34=1,IF(AND($E34=2,MA34=0),1000000,IF($I34&gt;0,IF(4=$J34,IF(OR(AND(89=$I34+1,OR($K34&lt;&gt;'計算A'!$A$3,'計算A'!$A$4=0)),AND(89=$I34-1,OR(17&lt;&gt;'計算A'!$A$3,'計算A'!$A$4=0))),0,IF(17=$K34,200000,ABS(17-$K34)*100)),100000+ABS(4-$J34)*1000+170)+'計算A'!CN$5*50+IF(AND($E34=1,MA34=0),25,0),IF($F34&gt;0,INDEX('計算A'!CN$110:CN$114,$F34+1)+IF(AND($E34=1,MA34=0),1000,0),MIN(TX34,20)*400+(IF('計算A'!CM$106=1,1-GK34,0)+IF('計算A'!CN$106=1,1-GM34,0))*150+174+'計算A'!CN$5*100000+IF(AND($E34=1,MA34=0),50000,0))+IF($H34=1,(IF('計算A'!CM$117=1,INDEX('計算A'!CM$10:CM$54,$B34),0)+IF('計算A'!CN$117=1,INDEX('計算A'!CO$10:CO$54,$B34),0))*4000,0)-IF(AND('計算A'!CM$117=1,XK34&gt;0),2000,0)-IF(AND($L34=1,'計算A'!CN$117=1,GM34=0),2000,0))),1000000))</f>
        <v/>
      </c>
      <c r="RQ34">
        <f>IF($B34=0,1000000,IF(INDEX('計算A'!$D$60:$EQ$104,$B34,90)*GM34=1,IF(AND($E34=2,MB34=0),1000000,IF($I34&gt;0,IF(4=$J34,IF(OR(AND(90=$I34+1,OR($K34&lt;&gt;'計算A'!$A$3,'計算A'!$A$4=0)),AND(90=$I34-1,OR(18&lt;&gt;'計算A'!$A$3,'計算A'!$A$4=0))),0,IF(18=$K34,200000,ABS(18-$K34)*100)),100000+ABS(4-$J34)*1000+180)+'計算A'!CO$5*50+IF(AND($E34=1,MB34=0),25,0),IF($F34&gt;0,INDEX('計算A'!CO$110:CO$114,$F34+1)+IF(AND($E34=1,MB34=0),1000,0),MIN(TX34,20)*400+(IF('計算A'!CN$106=1,1-GL34,0)+IF('計算A'!CO$106=1,1-GN34,0))*150+184+'計算A'!CO$5*100000+IF(AND($E34=1,MB34=0),50000,0))+IF($H34=1,(IF('計算A'!CN$117=1,INDEX('計算A'!CN$10:CN$54,$B34),0)+IF('計算A'!CO$117=1,INDEX('計算A'!CP$10:CP$54,$B34),0))*4000,0)-IF(AND('計算A'!CN$117=1,XL34&gt;0),2000,0)-IF(AND($L34=1,'計算A'!CO$117=1,GN34=0),2000,0))),1000000))</f>
        <v/>
      </c>
      <c r="RR34">
        <f>IF($B34=0,1000000,IF(INDEX('計算A'!$D$60:$EQ$104,$B34,91)*GN34=1,IF(AND($E34=2,MC34=0),1000000,IF($I34&gt;0,IF(4=$J34,IF(OR(AND(91=$I34+1,OR($K34&lt;&gt;'計算A'!$A$3,'計算A'!$A$4=0)),AND(91=$I34-1,OR(19&lt;&gt;'計算A'!$A$3,'計算A'!$A$4=0))),0,IF(19=$K34,200000,ABS(19-$K34)*100)),100000+ABS(4-$J34)*1000+190)+'計算A'!CP$5*50+IF(AND($E34=1,MC34=0),25,0),IF($F34&gt;0,INDEX('計算A'!CP$110:CP$114,$F34+1)+IF(AND($E34=1,MC34=0),1000,0),MIN(TX34,20)*400+(IF('計算A'!CO$106=1,1-GM34,0)+IF('計算A'!CP$106=1,1-GO34,0))*150+194+'計算A'!CP$5*100000+IF(AND($E34=1,MC34=0),50000,0))+IF($H34=1,(IF('計算A'!CO$117=1,INDEX('計算A'!CO$10:CO$54,$B34),0)+IF('計算A'!CP$117=1,INDEX('計算A'!CQ$10:CQ$54,$B34),0))*4000,0)-IF(AND('計算A'!CO$117=1,XM34&gt;0),2000,0)-IF(AND($L34=1,'計算A'!CP$117=1,GO34=0),2000,0))),1000000))</f>
        <v/>
      </c>
      <c r="RS34">
        <f>IF($B34=0,1000000,IF(INDEX('計算A'!$D$60:$EQ$104,$B34,92)*GO34=1,IF(AND($E34=2,MD34=0),1000000,IF($I34&gt;0,IF(4=$J34,IF(OR(AND(92=$I34+1,OR($K34&lt;&gt;'計算A'!$A$3,'計算A'!$A$4=0)),AND(92=$I34-1,OR(20&lt;&gt;'計算A'!$A$3,'計算A'!$A$4=0))),0,IF(20=$K34,200000,ABS(20-$K34)*100)),100000+ABS(4-$J34)*1000+200)+'計算A'!CQ$5*50+IF(AND($E34=1,MD34=0),25,0),IF($F34&gt;0,INDEX('計算A'!CQ$110:CQ$114,$F34+1)+IF(AND($E34=1,MD34=0),1000,0),MIN(TX34,20)*400+(IF('計算A'!CP$106=1,1-GN34,0)+IF('計算A'!CQ$106=1,1-GP34,0))*150+204+'計算A'!CQ$5*100000+IF(AND($E34=1,MD34=0),50000,0))+IF($H34=1,(IF('計算A'!CP$117=1,INDEX('計算A'!CP$10:CP$54,$B34),0)+IF('計算A'!CQ$117=1,INDEX('計算A'!CR$10:CR$54,$B34),0))*4000,0)-IF(AND('計算A'!CP$117=1,XN34&gt;0),2000,0)-IF(AND($L34=1,'計算A'!CQ$117=1,GP34=0),2000,0))),1000000))</f>
        <v/>
      </c>
      <c r="RT34">
        <f>IF($B34=0,1000000,IF(INDEX('計算A'!$D$60:$EQ$104,$B34,93)*GP34=1,IF(AND($E34=2,ME34=0),1000000,IF($I34&gt;0,IF(4=$J34,IF(OR(AND(93=$I34+1,OR($K34&lt;&gt;'計算A'!$A$3,'計算A'!$A$4=0)),AND(93=$I34-1,OR(21&lt;&gt;'計算A'!$A$3,'計算A'!$A$4=0))),0,IF(21=$K34,200000,ABS(21-$K34)*100)),100000+ABS(4-$J34)*1000+210)+'計算A'!CR$5*50+IF(AND($E34=1,ME34=0),25,0),IF($F34&gt;0,INDEX('計算A'!CR$110:CR$114,$F34+1)+IF(AND($E34=1,ME34=0),1000,0),MIN(TX34,20)*400+(IF('計算A'!CQ$106=1,1-GO34,0)+IF('計算A'!CR$106=1,1-GQ34,0))*150+214+'計算A'!CR$5*100000+IF(AND($E34=1,ME34=0),50000,0))+IF($H34=1,(IF('計算A'!CQ$117=1,INDEX('計算A'!CQ$10:CQ$54,$B34),0)+IF('計算A'!CR$117=1,INDEX('計算A'!CS$10:CS$54,$B34),0))*4000,0)-IF(AND('計算A'!CQ$117=1,XO34&gt;0),2000,0)-IF(AND($L34=1,'計算A'!CR$117=1,GQ34=0),2000,0))),1000000))</f>
        <v/>
      </c>
      <c r="RU34">
        <f>IF($B34=0,1000000,IF(INDEX('計算A'!$D$60:$EQ$104,$B34,94)*GQ34=1,IF(AND($E34=2,MF34=0),1000000,IF($I34&gt;0,IF(4=$J34,IF(OR(AND(94=$I34+1,OR($K34&lt;&gt;'計算A'!$A$3,'計算A'!$A$4=0)),AND(94=$I34-1,OR(22&lt;&gt;'計算A'!$A$3,'計算A'!$A$4=0))),0,IF(22=$K34,200000,ABS(22-$K34)*100)),100000+ABS(4-$J34)*1000+220)+'計算A'!CS$5*50+IF(AND($E34=1,MF34=0),25,0),IF($F34&gt;0,INDEX('計算A'!CS$110:CS$114,$F34+1)+IF(AND($E34=1,MF34=0),1000,0),MIN(TX34,20)*400+(IF('計算A'!CR$106=1,1-GP34,0)+IF('計算A'!CS$106=1,1-GR34,0))*150+224+'計算A'!CS$5*100000+IF(AND($E34=1,MF34=0),50000,0))+IF($H34=1,(IF('計算A'!CR$117=1,INDEX('計算A'!CR$10:CR$54,$B34),0)+IF('計算A'!CS$117=1,INDEX('計算A'!CT$10:CT$54,$B34),0))*4000,0)-IF(AND('計算A'!CR$117=1,XP34&gt;0),2000,0)-IF(AND($L34=1,'計算A'!CS$117=1,GR34=0),2000,0))),1000000))</f>
        <v/>
      </c>
      <c r="RV34">
        <f>IF($B34=0,1000000,IF(INDEX('計算A'!$D$60:$EQ$104,$B34,95)*GR34=1,IF(AND($E34=2,MG34=0),1000000,IF($I34&gt;0,IF(4=$J34,IF(OR(AND(95=$I34+1,OR($K34&lt;&gt;'計算A'!$A$3,'計算A'!$A$4=0)),AND(95=$I34-1,OR(23&lt;&gt;'計算A'!$A$3,'計算A'!$A$4=0))),0,IF(23=$K34,200000,ABS(23-$K34)*100)),100000+ABS(4-$J34)*1000+230)+'計算A'!CT$5*50+IF(AND($E34=1,MG34=0),25,0),IF($F34&gt;0,INDEX('計算A'!CT$110:CT$114,$F34+1)+IF(AND($E34=1,MG34=0),1000,0),MIN(TX34,20)*400+(IF('計算A'!CS$106=1,1-GQ34,0)+IF('計算A'!CT$106=1,1-GS34,0))*150+234+'計算A'!CT$5*100000+IF(AND($E34=1,MG34=0),50000,0))+IF($H34=1,(IF('計算A'!CS$117=1,INDEX('計算A'!CS$10:CS$54,$B34),0)+IF('計算A'!CT$117=1,INDEX('計算A'!CU$10:CU$54,$B34),0))*4000,0)-IF(AND('計算A'!CS$117=1,XQ34&gt;0),2000,0)-IF(AND($L34=1,'計算A'!CT$117=1,GS34=0),2000,0))),1000000))</f>
        <v/>
      </c>
      <c r="RW34">
        <f>IF($B34=0,1000000,IF(INDEX('計算A'!$D$60:$EQ$104,$B34,96)*GS34=1,IF(AND($E34=2,MH34=0),1000000,IF($I34&gt;0,IF(4=$J34,IF(OR(AND(96=$I34+1,OR($K34&lt;&gt;'計算A'!$A$3,'計算A'!$A$4=0)),AND(96=$I34-1,OR(24&lt;&gt;'計算A'!$A$3,'計算A'!$A$4=0))),0,IF(24=$K34,200000,ABS(24-$K34)*100)),100000+ABS(4-$J34)*1000+240)+'計算A'!CU$5*50+IF(AND($E34=1,MH34=0),25,0),IF($F34&gt;0,INDEX('計算A'!CU$110:CU$114,$F34+1)+IF(AND($E34=1,MH34=0),1000,0),MIN(TX34,20)*400+(IF('計算A'!CT$106=1,1-GR34,0))*150+244+'計算A'!CU$5*100000+IF(AND($E34=1,MH34=0),50000,0))+IF($H34=1,(IF('計算A'!CT$117=1,INDEX('計算A'!CT$10:CT$54,$B34),0))*4000,0)-IF(AND('計算A'!CT$117=1,XR34&gt;0),2000,0))),1000000))</f>
        <v/>
      </c>
      <c r="RX34">
        <f>IF($B34=0,1000000,IF(INDEX('計算A'!$D$60:$EQ$104,$B34,97)*GT34=1,IF(AND($E34=2,MI34=0),1000000,IF($I34&gt;0,IF(5=$J34,IF(OR(AND(97=$I34+1,OR($K34&lt;&gt;'計算A'!$A$3,'計算A'!$A$4=0)),AND(97=$I34-1,OR(1&lt;&gt;'計算A'!$A$3,'計算A'!$A$4=0))),0,IF(1=$K34,200000,ABS(1-$K34)*100)),100000+ABS(5-$J34)*1000+10)+'計算A'!CV$5*50+IF(AND($E34=1,MI34=0),25,0),IF($F34&gt;0,INDEX('計算A'!CV$110:CV$114,$F34+1)+IF(AND($E34=1,MI34=0),1000,0),MIN(TY34,20)*400+(IF('計算A'!CV$106=1,1-GU34,0))*150+15+'計算A'!CV$5*100000+IF(AND($E34=1,MI34=0),50000,0))+IF($H34=1,(IF('計算A'!CV$117=1,INDEX('計算A'!CW$10:CW$54,$B34),0))*4000,0)-IF(AND($L34=1,'計算A'!CV$117=1,GU34=0),2000,0))),1000000))</f>
        <v/>
      </c>
      <c r="RY34">
        <f>IF($B34=0,1000000,IF(INDEX('計算A'!$D$60:$EQ$104,$B34,98)*GU34=1,IF(AND($E34=2,MJ34=0),1000000,IF($I34&gt;0,IF(5=$J34,IF(OR(AND(98=$I34+1,OR($K34&lt;&gt;'計算A'!$A$3,'計算A'!$A$4=0)),AND(98=$I34-1,OR(2&lt;&gt;'計算A'!$A$3,'計算A'!$A$4=0))),0,IF(2=$K34,200000,ABS(2-$K34)*100)),100000+ABS(5-$J34)*1000+20)+'計算A'!CW$5*50+IF(AND($E34=1,MJ34=0),25,0),IF($F34&gt;0,INDEX('計算A'!CW$110:CW$114,$F34+1)+IF(AND($E34=1,MJ34=0),1000,0),MIN(TY34,20)*400+(IF('計算A'!CV$106=1,1-GT34,0)+IF('計算A'!CW$106=1,1-GV34,0))*150+25+'計算A'!CW$5*100000+IF(AND($E34=1,MJ34=0),50000,0))+IF($H34=1,(IF('計算A'!CV$117=1,INDEX('計算A'!CV$10:CV$54,$B34),0)+IF('計算A'!CW$117=1,INDEX('計算A'!CX$10:CX$54,$B34),0))*4000,0)-IF(AND('計算A'!CV$117=1,XT34&gt;0),2000,0)-IF(AND($L34=1,'計算A'!CW$117=1,GV34=0),2000,0))),1000000))</f>
        <v/>
      </c>
      <c r="RZ34">
        <f>IF($B34=0,1000000,IF(INDEX('計算A'!$D$60:$EQ$104,$B34,99)*GV34=1,IF(AND($E34=2,MK34=0),1000000,IF($I34&gt;0,IF(5=$J34,IF(OR(AND(99=$I34+1,OR($K34&lt;&gt;'計算A'!$A$3,'計算A'!$A$4=0)),AND(99=$I34-1,OR(3&lt;&gt;'計算A'!$A$3,'計算A'!$A$4=0))),0,IF(3=$K34,200000,ABS(3-$K34)*100)),100000+ABS(5-$J34)*1000+30)+'計算A'!CX$5*50+IF(AND($E34=1,MK34=0),25,0),IF($F34&gt;0,INDEX('計算A'!CX$110:CX$114,$F34+1)+IF(AND($E34=1,MK34=0),1000,0),MIN(TY34,20)*400+(IF('計算A'!CW$106=1,1-GU34,0)+IF('計算A'!CX$106=1,1-GW34,0))*150+35+'計算A'!CX$5*100000+IF(AND($E34=1,MK34=0),50000,0))+IF($H34=1,(IF('計算A'!CW$117=1,INDEX('計算A'!CW$10:CW$54,$B34),0)+IF('計算A'!CX$117=1,INDEX('計算A'!CY$10:CY$54,$B34),0))*4000,0)-IF(AND('計算A'!CW$117=1,XU34&gt;0),2000,0)-IF(AND($L34=1,'計算A'!CX$117=1,GW34=0),2000,0))),1000000))</f>
        <v/>
      </c>
      <c r="SA34">
        <f>IF($B34=0,1000000,IF(INDEX('計算A'!$D$60:$EQ$104,$B34,100)*GW34=1,IF(AND($E34=2,ML34=0),1000000,IF($I34&gt;0,IF(5=$J34,IF(OR(AND(100=$I34+1,OR($K34&lt;&gt;'計算A'!$A$3,'計算A'!$A$4=0)),AND(100=$I34-1,OR(4&lt;&gt;'計算A'!$A$3,'計算A'!$A$4=0))),0,IF(4=$K34,200000,ABS(4-$K34)*100)),100000+ABS(5-$J34)*1000+40)+'計算A'!CY$5*50+IF(AND($E34=1,ML34=0),25,0),IF($F34&gt;0,INDEX('計算A'!CY$110:CY$114,$F34+1)+IF(AND($E34=1,ML34=0),1000,0),MIN(TY34,20)*400+(IF('計算A'!CX$106=1,1-GV34,0)+IF('計算A'!CY$106=1,1-GX34,0))*150+45+'計算A'!CY$5*100000+IF(AND($E34=1,ML34=0),50000,0))+IF($H34=1,(IF('計算A'!CX$117=1,INDEX('計算A'!CX$10:CX$54,$B34),0)+IF('計算A'!CY$117=1,INDEX('計算A'!CZ$10:CZ$54,$B34),0))*4000,0)-IF(AND('計算A'!CX$117=1,XV34&gt;0),2000,0)-IF(AND($L34=1,'計算A'!CY$117=1,GX34=0),2000,0))),1000000))</f>
        <v/>
      </c>
      <c r="SB34">
        <f>IF($B34=0,1000000,IF(INDEX('計算A'!$D$60:$EQ$104,$B34,101)*GX34=1,IF(AND($E34=2,MM34=0),1000000,IF($I34&gt;0,IF(5=$J34,IF(OR(AND(101=$I34+1,OR($K34&lt;&gt;'計算A'!$A$3,'計算A'!$A$4=0)),AND(101=$I34-1,OR(5&lt;&gt;'計算A'!$A$3,'計算A'!$A$4=0))),0,IF(5=$K34,200000,ABS(5-$K34)*100)),100000+ABS(5-$J34)*1000+50)+'計算A'!CZ$5*50+IF(AND($E34=1,MM34=0),25,0),IF($F34&gt;0,INDEX('計算A'!CZ$110:CZ$114,$F34+1)+IF(AND($E34=1,MM34=0),1000,0),MIN(TY34,20)*400+(IF('計算A'!CY$106=1,1-GW34,0)+IF('計算A'!CZ$106=1,1-GY34,0))*150+55+'計算A'!CZ$5*100000+IF(AND($E34=1,MM34=0),50000,0))+IF($H34=1,(IF('計算A'!CY$117=1,INDEX('計算A'!CY$10:CY$54,$B34),0)+IF('計算A'!CZ$117=1,INDEX('計算A'!DA$10:DA$54,$B34),0))*4000,0)-IF(AND('計算A'!CY$117=1,XW34&gt;0),2000,0)-IF(AND($L34=1,'計算A'!CZ$117=1,GY34=0),2000,0))),1000000))</f>
        <v/>
      </c>
      <c r="SC34">
        <f>IF($B34=0,1000000,IF(INDEX('計算A'!$D$60:$EQ$104,$B34,102)*GY34=1,IF(AND($E34=2,MN34=0),1000000,IF($I34&gt;0,IF(5=$J34,IF(OR(AND(102=$I34+1,OR($K34&lt;&gt;'計算A'!$A$3,'計算A'!$A$4=0)),AND(102=$I34-1,OR(6&lt;&gt;'計算A'!$A$3,'計算A'!$A$4=0))),0,IF(6=$K34,200000,ABS(6-$K34)*100)),100000+ABS(5-$J34)*1000+60)+'計算A'!DA$5*50+IF(AND($E34=1,MN34=0),25,0),IF($F34&gt;0,INDEX('計算A'!DA$110:DA$114,$F34+1)+IF(AND($E34=1,MN34=0),1000,0),MIN(TY34,20)*400+(IF('計算A'!CZ$106=1,1-GX34,0)+IF('計算A'!DA$106=1,1-GZ34,0))*150+65+'計算A'!DA$5*100000+IF(AND($E34=1,MN34=0),50000,0))+IF($H34=1,(IF('計算A'!CZ$117=1,INDEX('計算A'!CZ$10:CZ$54,$B34),0)+IF('計算A'!DA$117=1,INDEX('計算A'!DB$10:DB$54,$B34),0))*4000,0)-IF(AND('計算A'!CZ$117=1,XX34&gt;0),2000,0)-IF(AND($L34=1,'計算A'!DA$117=1,GZ34=0),2000,0))),1000000))</f>
        <v/>
      </c>
      <c r="SD34">
        <f>IF($B34=0,1000000,IF(INDEX('計算A'!$D$60:$EQ$104,$B34,103)*GZ34=1,IF(AND($E34=2,MO34=0),1000000,IF($I34&gt;0,IF(5=$J34,IF(OR(AND(103=$I34+1,OR($K34&lt;&gt;'計算A'!$A$3,'計算A'!$A$4=0)),AND(103=$I34-1,OR(7&lt;&gt;'計算A'!$A$3,'計算A'!$A$4=0))),0,IF(7=$K34,200000,ABS(7-$K34)*100)),100000+ABS(5-$J34)*1000+70)+'計算A'!DB$5*50+IF(AND($E34=1,MO34=0),25,0),IF($F34&gt;0,INDEX('計算A'!DB$110:DB$114,$F34+1)+IF(AND($E34=1,MO34=0),1000,0),MIN(TY34,20)*400+(IF('計算A'!DA$106=1,1-GY34,0)+IF('計算A'!DB$106=1,1-HA34,0))*150+75+'計算A'!DB$5*100000+IF(AND($E34=1,MO34=0),50000,0))+IF($H34=1,(IF('計算A'!DA$117=1,INDEX('計算A'!DA$10:DA$54,$B34),0)+IF('計算A'!DB$117=1,INDEX('計算A'!DC$10:DC$54,$B34),0))*4000,0)-IF(AND('計算A'!DA$117=1,XY34&gt;0),2000,0)-IF(AND($L34=1,'計算A'!DB$117=1,HA34=0),2000,0))),1000000))</f>
        <v/>
      </c>
      <c r="SE34">
        <f>IF($B34=0,1000000,IF(INDEX('計算A'!$D$60:$EQ$104,$B34,104)*HA34=1,IF(AND($E34=2,MP34=0),1000000,IF($I34&gt;0,IF(5=$J34,IF(OR(AND(104=$I34+1,OR($K34&lt;&gt;'計算A'!$A$3,'計算A'!$A$4=0)),AND(104=$I34-1,OR(8&lt;&gt;'計算A'!$A$3,'計算A'!$A$4=0))),0,IF(8=$K34,200000,ABS(8-$K34)*100)),100000+ABS(5-$J34)*1000+80)+'計算A'!DC$5*50+IF(AND($E34=1,MP34=0),25,0),IF($F34&gt;0,INDEX('計算A'!DC$110:DC$114,$F34+1)+IF(AND($E34=1,MP34=0),1000,0),MIN(TY34,20)*400+(IF('計算A'!DB$106=1,1-GZ34,0)+IF('計算A'!DC$106=1,1-HB34,0))*150+85+'計算A'!DC$5*100000+IF(AND($E34=1,MP34=0),50000,0))+IF($H34=1,(IF('計算A'!DB$117=1,INDEX('計算A'!DB$10:DB$54,$B34),0)+IF('計算A'!DC$117=1,INDEX('計算A'!DD$10:DD$54,$B34),0))*4000,0)-IF(AND('計算A'!DB$117=1,XZ34&gt;0),2000,0)-IF(AND($L34=1,'計算A'!DC$117=1,HB34=0),2000,0))),1000000))</f>
        <v/>
      </c>
      <c r="SF34">
        <f>IF($B34=0,1000000,IF(INDEX('計算A'!$D$60:$EQ$104,$B34,105)*HB34=1,IF(AND($E34=2,MQ34=0),1000000,IF($I34&gt;0,IF(5=$J34,IF(OR(AND(105=$I34+1,OR($K34&lt;&gt;'計算A'!$A$3,'計算A'!$A$4=0)),AND(105=$I34-1,OR(9&lt;&gt;'計算A'!$A$3,'計算A'!$A$4=0))),0,IF(9=$K34,200000,ABS(9-$K34)*100)),100000+ABS(5-$J34)*1000+90)+'計算A'!DD$5*50+IF(AND($E34=1,MQ34=0),25,0),IF($F34&gt;0,INDEX('計算A'!DD$110:DD$114,$F34+1)+IF(AND($E34=1,MQ34=0),1000,0),MIN(TY34,20)*400+(IF('計算A'!DC$106=1,1-HA34,0)+IF('計算A'!DD$106=1,1-HC34,0))*150+95+'計算A'!DD$5*100000+IF(AND($E34=1,MQ34=0),50000,0))+IF($H34=1,(IF('計算A'!DC$117=1,INDEX('計算A'!DC$10:DC$54,$B34),0)+IF('計算A'!DD$117=1,INDEX('計算A'!DE$10:DE$54,$B34),0))*4000,0)-IF(AND('計算A'!DC$117=1,YA34&gt;0),2000,0)-IF(AND($L34=1,'計算A'!DD$117=1,HC34=0),2000,0))),1000000))</f>
        <v/>
      </c>
      <c r="SG34">
        <f>IF($B34=0,1000000,IF(INDEX('計算A'!$D$60:$EQ$104,$B34,106)*HC34=1,IF(AND($E34=2,MR34=0),1000000,IF($I34&gt;0,IF(5=$J34,IF(OR(AND(106=$I34+1,OR($K34&lt;&gt;'計算A'!$A$3,'計算A'!$A$4=0)),AND(106=$I34-1,OR(10&lt;&gt;'計算A'!$A$3,'計算A'!$A$4=0))),0,IF(10=$K34,200000,ABS(10-$K34)*100)),100000+ABS(5-$J34)*1000+100)+'計算A'!DE$5*50+IF(AND($E34=1,MR34=0),25,0),IF($F34&gt;0,INDEX('計算A'!DE$110:DE$114,$F34+1)+IF(AND($E34=1,MR34=0),1000,0),MIN(TY34,20)*400+(IF('計算A'!DD$106=1,1-HB34,0)+IF('計算A'!DE$106=1,1-HD34,0))*150+105+'計算A'!DE$5*100000+IF(AND($E34=1,MR34=0),50000,0))+IF($H34=1,(IF('計算A'!DD$117=1,INDEX('計算A'!DD$10:DD$54,$B34),0)+IF('計算A'!DE$117=1,INDEX('計算A'!DF$10:DF$54,$B34),0))*4000,0)-IF(AND('計算A'!DD$117=1,YB34&gt;0),2000,0)-IF(AND($L34=1,'計算A'!DE$117=1,HD34=0),2000,0))),1000000))</f>
        <v/>
      </c>
      <c r="SH34">
        <f>IF($B34=0,1000000,IF(INDEX('計算A'!$D$60:$EQ$104,$B34,107)*HD34=1,IF(AND($E34=2,MS34=0),1000000,IF($I34&gt;0,IF(5=$J34,IF(OR(AND(107=$I34+1,OR($K34&lt;&gt;'計算A'!$A$3,'計算A'!$A$4=0)),AND(107=$I34-1,OR(11&lt;&gt;'計算A'!$A$3,'計算A'!$A$4=0))),0,IF(11=$K34,200000,ABS(11-$K34)*100)),100000+ABS(5-$J34)*1000+110)+'計算A'!DF$5*50+IF(AND($E34=1,MS34=0),25,0),IF($F34&gt;0,INDEX('計算A'!DF$110:DF$114,$F34+1)+IF(AND($E34=1,MS34=0),1000,0),MIN(TY34,20)*400+(IF('計算A'!DE$106=1,1-HC34,0)+IF('計算A'!DF$106=1,1-HE34,0))*150+115+'計算A'!DF$5*100000+IF(AND($E34=1,MS34=0),50000,0))+IF($H34=1,(IF('計算A'!DE$117=1,INDEX('計算A'!DE$10:DE$54,$B34),0)+IF('計算A'!DF$117=1,INDEX('計算A'!DG$10:DG$54,$B34),0))*4000,0)-IF(AND('計算A'!DE$117=1,YC34&gt;0),2000,0)-IF(AND($L34=1,'計算A'!DF$117=1,HE34=0),2000,0))),1000000))</f>
        <v/>
      </c>
      <c r="SI34">
        <f>IF($B34=0,1000000,IF(INDEX('計算A'!$D$60:$EQ$104,$B34,108)*HE34=1,IF(AND($E34=2,MT34=0),1000000,IF($I34&gt;0,IF(5=$J34,IF(OR(AND(108=$I34+1,OR($K34&lt;&gt;'計算A'!$A$3,'計算A'!$A$4=0)),AND(108=$I34-1,OR(12&lt;&gt;'計算A'!$A$3,'計算A'!$A$4=0))),0,IF(12=$K34,200000,ABS(12-$K34)*100)),100000+ABS(5-$J34)*1000+120)+'計算A'!DG$5*50+IF(AND($E34=1,MT34=0),25,0),IF($F34&gt;0,INDEX('計算A'!DG$110:DG$114,$F34+1)+IF(AND($E34=1,MT34=0),1000,0),MIN(TY34,20)*400+(IF('計算A'!DF$106=1,1-HD34,0)+IF('計算A'!DG$106=1,1-HF34,0))*150+125+'計算A'!DG$5*100000+IF(AND($E34=1,MT34=0),50000,0))+IF($H34=1,(IF('計算A'!DF$117=1,INDEX('計算A'!DF$10:DF$54,$B34),0)+IF('計算A'!DG$117=1,INDEX('計算A'!DH$10:DH$54,$B34),0))*4000,0)-IF(AND('計算A'!DF$117=1,YD34&gt;0),2000,0)-IF(AND($L34=1,'計算A'!DG$117=1,HF34=0),2000,0))),1000000))</f>
        <v/>
      </c>
      <c r="SJ34">
        <f>IF($B34=0,1000000,IF(INDEX('計算A'!$D$60:$EQ$104,$B34,109)*HF34=1,IF(AND($E34=2,MU34=0),1000000,IF($I34&gt;0,IF(5=$J34,IF(OR(AND(109=$I34+1,OR($K34&lt;&gt;'計算A'!$A$3,'計算A'!$A$4=0)),AND(109=$I34-1,OR(13&lt;&gt;'計算A'!$A$3,'計算A'!$A$4=0))),0,IF(13=$K34,200000,ABS(13-$K34)*100)),100000+ABS(5-$J34)*1000+130)+'計算A'!DH$5*50+IF(AND($E34=1,MU34=0),25,0),IF($F34&gt;0,INDEX('計算A'!DH$110:DH$114,$F34+1)+IF(AND($E34=1,MU34=0),1000,0),MIN(TY34,20)*400+(IF('計算A'!DG$106=1,1-HE34,0)+IF('計算A'!DH$106=1,1-HG34,0))*150+135+'計算A'!DH$5*100000+IF(AND($E34=1,MU34=0),50000,0))+IF($H34=1,(IF('計算A'!DG$117=1,INDEX('計算A'!DG$10:DG$54,$B34),0)+IF('計算A'!DH$117=1,INDEX('計算A'!DI$10:DI$54,$B34),0))*4000,0)-IF(AND('計算A'!DG$117=1,YE34&gt;0),2000,0)-IF(AND($L34=1,'計算A'!DH$117=1,HG34=0),2000,0))),1000000))</f>
        <v/>
      </c>
      <c r="SK34">
        <f>IF($B34=0,1000000,IF(INDEX('計算A'!$D$60:$EQ$104,$B34,110)*HG34=1,IF(AND($E34=2,MV34=0),1000000,IF($I34&gt;0,IF(5=$J34,IF(OR(AND(110=$I34+1,OR($K34&lt;&gt;'計算A'!$A$3,'計算A'!$A$4=0)),AND(110=$I34-1,OR(14&lt;&gt;'計算A'!$A$3,'計算A'!$A$4=0))),0,IF(14=$K34,200000,ABS(14-$K34)*100)),100000+ABS(5-$J34)*1000+140)+'計算A'!DI$5*50+IF(AND($E34=1,MV34=0),25,0),IF($F34&gt;0,INDEX('計算A'!DI$110:DI$114,$F34+1)+IF(AND($E34=1,MV34=0),1000,0),MIN(TY34,20)*400+(IF('計算A'!DH$106=1,1-HF34,0)+IF('計算A'!DI$106=1,1-HH34,0))*150+145+'計算A'!DI$5*100000+IF(AND($E34=1,MV34=0),50000,0))+IF($H34=1,(IF('計算A'!DH$117=1,INDEX('計算A'!DH$10:DH$54,$B34),0)+IF('計算A'!DI$117=1,INDEX('計算A'!DJ$10:DJ$54,$B34),0))*4000,0)-IF(AND('計算A'!DH$117=1,YF34&gt;0),2000,0)-IF(AND($L34=1,'計算A'!DI$117=1,HH34=0),2000,0))),1000000))</f>
        <v/>
      </c>
      <c r="SL34">
        <f>IF($B34=0,1000000,IF(INDEX('計算A'!$D$60:$EQ$104,$B34,111)*HH34=1,IF(AND($E34=2,MW34=0),1000000,IF($I34&gt;0,IF(5=$J34,IF(OR(AND(111=$I34+1,OR($K34&lt;&gt;'計算A'!$A$3,'計算A'!$A$4=0)),AND(111=$I34-1,OR(15&lt;&gt;'計算A'!$A$3,'計算A'!$A$4=0))),0,IF(15=$K34,200000,ABS(15-$K34)*100)),100000+ABS(5-$J34)*1000+150)+'計算A'!DJ$5*50+IF(AND($E34=1,MW34=0),25,0),IF($F34&gt;0,INDEX('計算A'!DJ$110:DJ$114,$F34+1)+IF(AND($E34=1,MW34=0),1000,0),MIN(TY34,20)*400+(IF('計算A'!DI$106=1,1-HG34,0)+IF('計算A'!DJ$106=1,1-HI34,0))*150+155+'計算A'!DJ$5*100000+IF(AND($E34=1,MW34=0),50000,0))+IF($H34=1,(IF('計算A'!DI$117=1,INDEX('計算A'!DI$10:DI$54,$B34),0)+IF('計算A'!DJ$117=1,INDEX('計算A'!DK$10:DK$54,$B34),0))*4000,0)-IF(AND('計算A'!DI$117=1,YG34&gt;0),2000,0)-IF(AND($L34=1,'計算A'!DJ$117=1,HI34=0),2000,0))),1000000))</f>
        <v/>
      </c>
      <c r="SM34">
        <f>IF($B34=0,1000000,IF(INDEX('計算A'!$D$60:$EQ$104,$B34,112)*HI34=1,IF(AND($E34=2,MX34=0),1000000,IF($I34&gt;0,IF(5=$J34,IF(OR(AND(112=$I34+1,OR($K34&lt;&gt;'計算A'!$A$3,'計算A'!$A$4=0)),AND(112=$I34-1,OR(16&lt;&gt;'計算A'!$A$3,'計算A'!$A$4=0))),0,IF(16=$K34,200000,ABS(16-$K34)*100)),100000+ABS(5-$J34)*1000+160)+'計算A'!DK$5*50+IF(AND($E34=1,MX34=0),25,0),IF($F34&gt;0,INDEX('計算A'!DK$110:DK$114,$F34+1)+IF(AND($E34=1,MX34=0),1000,0),MIN(TY34,20)*400+(IF('計算A'!DJ$106=1,1-HH34,0)+IF('計算A'!DK$106=1,1-HJ34,0))*150+165+'計算A'!DK$5*100000+IF(AND($E34=1,MX34=0),50000,0))+IF($H34=1,(IF('計算A'!DJ$117=1,INDEX('計算A'!DJ$10:DJ$54,$B34),0)+IF('計算A'!DK$117=1,INDEX('計算A'!DL$10:DL$54,$B34),0))*4000,0)-IF(AND('計算A'!DJ$117=1,YH34&gt;0),2000,0)-IF(AND($L34=1,'計算A'!DK$117=1,HJ34=0),2000,0))),1000000))</f>
        <v/>
      </c>
      <c r="SN34">
        <f>IF($B34=0,1000000,IF(INDEX('計算A'!$D$60:$EQ$104,$B34,113)*HJ34=1,IF(AND($E34=2,MY34=0),1000000,IF($I34&gt;0,IF(5=$J34,IF(OR(AND(113=$I34+1,OR($K34&lt;&gt;'計算A'!$A$3,'計算A'!$A$4=0)),AND(113=$I34-1,OR(17&lt;&gt;'計算A'!$A$3,'計算A'!$A$4=0))),0,IF(17=$K34,200000,ABS(17-$K34)*100)),100000+ABS(5-$J34)*1000+170)+'計算A'!DL$5*50+IF(AND($E34=1,MY34=0),25,0),IF($F34&gt;0,INDEX('計算A'!DL$110:DL$114,$F34+1)+IF(AND($E34=1,MY34=0),1000,0),MIN(TY34,20)*400+(IF('計算A'!DK$106=1,1-HI34,0)+IF('計算A'!DL$106=1,1-HK34,0))*150+175+'計算A'!DL$5*100000+IF(AND($E34=1,MY34=0),50000,0))+IF($H34=1,(IF('計算A'!DK$117=1,INDEX('計算A'!DK$10:DK$54,$B34),0)+IF('計算A'!DL$117=1,INDEX('計算A'!DM$10:DM$54,$B34),0))*4000,0)-IF(AND('計算A'!DK$117=1,YI34&gt;0),2000,0)-IF(AND($L34=1,'計算A'!DL$117=1,HK34=0),2000,0))),1000000))</f>
        <v/>
      </c>
      <c r="SO34">
        <f>IF($B34=0,1000000,IF(INDEX('計算A'!$D$60:$EQ$104,$B34,114)*HK34=1,IF(AND($E34=2,MZ34=0),1000000,IF($I34&gt;0,IF(5=$J34,IF(OR(AND(114=$I34+1,OR($K34&lt;&gt;'計算A'!$A$3,'計算A'!$A$4=0)),AND(114=$I34-1,OR(18&lt;&gt;'計算A'!$A$3,'計算A'!$A$4=0))),0,IF(18=$K34,200000,ABS(18-$K34)*100)),100000+ABS(5-$J34)*1000+180)+'計算A'!DM$5*50+IF(AND($E34=1,MZ34=0),25,0),IF($F34&gt;0,INDEX('計算A'!DM$110:DM$114,$F34+1)+IF(AND($E34=1,MZ34=0),1000,0),MIN(TY34,20)*400+(IF('計算A'!DL$106=1,1-HJ34,0)+IF('計算A'!DM$106=1,1-HL34,0))*150+185+'計算A'!DM$5*100000+IF(AND($E34=1,MZ34=0),50000,0))+IF($H34=1,(IF('計算A'!DL$117=1,INDEX('計算A'!DL$10:DL$54,$B34),0)+IF('計算A'!DM$117=1,INDEX('計算A'!DN$10:DN$54,$B34),0))*4000,0)-IF(AND('計算A'!DL$117=1,YJ34&gt;0),2000,0)-IF(AND($L34=1,'計算A'!DM$117=1,HL34=0),2000,0))),1000000))</f>
        <v/>
      </c>
      <c r="SP34">
        <f>IF($B34=0,1000000,IF(INDEX('計算A'!$D$60:$EQ$104,$B34,115)*HL34=1,IF(AND($E34=2,NA34=0),1000000,IF($I34&gt;0,IF(5=$J34,IF(OR(AND(115=$I34+1,OR($K34&lt;&gt;'計算A'!$A$3,'計算A'!$A$4=0)),AND(115=$I34-1,OR(19&lt;&gt;'計算A'!$A$3,'計算A'!$A$4=0))),0,IF(19=$K34,200000,ABS(19-$K34)*100)),100000+ABS(5-$J34)*1000+190)+'計算A'!DN$5*50+IF(AND($E34=1,NA34=0),25,0),IF($F34&gt;0,INDEX('計算A'!DN$110:DN$114,$F34+1)+IF(AND($E34=1,NA34=0),1000,0),MIN(TY34,20)*400+(IF('計算A'!DM$106=1,1-HK34,0)+IF('計算A'!DN$106=1,1-HM34,0))*150+195+'計算A'!DN$5*100000+IF(AND($E34=1,NA34=0),50000,0))+IF($H34=1,(IF('計算A'!DM$117=1,INDEX('計算A'!DM$10:DM$54,$B34),0)+IF('計算A'!DN$117=1,INDEX('計算A'!DO$10:DO$54,$B34),0))*4000,0)-IF(AND('計算A'!DM$117=1,YK34&gt;0),2000,0)-IF(AND($L34=1,'計算A'!DN$117=1,HM34=0),2000,0))),1000000))</f>
        <v/>
      </c>
      <c r="SQ34">
        <f>IF($B34=0,1000000,IF(INDEX('計算A'!$D$60:$EQ$104,$B34,116)*HM34=1,IF(AND($E34=2,NB34=0),1000000,IF($I34&gt;0,IF(5=$J34,IF(OR(AND(116=$I34+1,OR($K34&lt;&gt;'計算A'!$A$3,'計算A'!$A$4=0)),AND(116=$I34-1,OR(20&lt;&gt;'計算A'!$A$3,'計算A'!$A$4=0))),0,IF(20=$K34,200000,ABS(20-$K34)*100)),100000+ABS(5-$J34)*1000+200)+'計算A'!DO$5*50+IF(AND($E34=1,NB34=0),25,0),IF($F34&gt;0,INDEX('計算A'!DO$110:DO$114,$F34+1)+IF(AND($E34=1,NB34=0),1000,0),MIN(TY34,20)*400+(IF('計算A'!DN$106=1,1-HL34,0)+IF('計算A'!DO$106=1,1-HN34,0))*150+205+'計算A'!DO$5*100000+IF(AND($E34=1,NB34=0),50000,0))+IF($H34=1,(IF('計算A'!DN$117=1,INDEX('計算A'!DN$10:DN$54,$B34),0)+IF('計算A'!DO$117=1,INDEX('計算A'!DP$10:DP$54,$B34),0))*4000,0)-IF(AND('計算A'!DN$117=1,YL34&gt;0),2000,0)-IF(AND($L34=1,'計算A'!DO$117=1,HN34=0),2000,0))),1000000))</f>
        <v/>
      </c>
      <c r="SR34">
        <f>IF($B34=0,1000000,IF(INDEX('計算A'!$D$60:$EQ$104,$B34,117)*HN34=1,IF(AND($E34=2,NC34=0),1000000,IF($I34&gt;0,IF(5=$J34,IF(OR(AND(117=$I34+1,OR($K34&lt;&gt;'計算A'!$A$3,'計算A'!$A$4=0)),AND(117=$I34-1,OR(21&lt;&gt;'計算A'!$A$3,'計算A'!$A$4=0))),0,IF(21=$K34,200000,ABS(21-$K34)*100)),100000+ABS(5-$J34)*1000+210)+'計算A'!DP$5*50+IF(AND($E34=1,NC34=0),25,0),IF($F34&gt;0,INDEX('計算A'!DP$110:DP$114,$F34+1)+IF(AND($E34=1,NC34=0),1000,0),MIN(TY34,20)*400+(IF('計算A'!DO$106=1,1-HM34,0)+IF('計算A'!DP$106=1,1-HO34,0))*150+215+'計算A'!DP$5*100000+IF(AND($E34=1,NC34=0),50000,0))+IF($H34=1,(IF('計算A'!DO$117=1,INDEX('計算A'!DO$10:DO$54,$B34),0)+IF('計算A'!DP$117=1,INDEX('計算A'!DQ$10:DQ$54,$B34),0))*4000,0)-IF(AND('計算A'!DO$117=1,YM34&gt;0),2000,0)-IF(AND($L34=1,'計算A'!DP$117=1,HO34=0),2000,0))),1000000))</f>
        <v/>
      </c>
      <c r="SS34">
        <f>IF($B34=0,1000000,IF(INDEX('計算A'!$D$60:$EQ$104,$B34,118)*HO34=1,IF(AND($E34=2,ND34=0),1000000,IF($I34&gt;0,IF(5=$J34,IF(OR(AND(118=$I34+1,OR($K34&lt;&gt;'計算A'!$A$3,'計算A'!$A$4=0)),AND(118=$I34-1,OR(22&lt;&gt;'計算A'!$A$3,'計算A'!$A$4=0))),0,IF(22=$K34,200000,ABS(22-$K34)*100)),100000+ABS(5-$J34)*1000+220)+'計算A'!DQ$5*50+IF(AND($E34=1,ND34=0),25,0),IF($F34&gt;0,INDEX('計算A'!DQ$110:DQ$114,$F34+1)+IF(AND($E34=1,ND34=0),1000,0),MIN(TY34,20)*400+(IF('計算A'!DP$106=1,1-HN34,0)+IF('計算A'!DQ$106=1,1-HP34,0))*150+225+'計算A'!DQ$5*100000+IF(AND($E34=1,ND34=0),50000,0))+IF($H34=1,(IF('計算A'!DP$117=1,INDEX('計算A'!DP$10:DP$54,$B34),0)+IF('計算A'!DQ$117=1,INDEX('計算A'!DR$10:DR$54,$B34),0))*4000,0)-IF(AND('計算A'!DP$117=1,YN34&gt;0),2000,0)-IF(AND($L34=1,'計算A'!DQ$117=1,HP34=0),2000,0))),1000000))</f>
        <v/>
      </c>
      <c r="ST34">
        <f>IF($B34=0,1000000,IF(INDEX('計算A'!$D$60:$EQ$104,$B34,119)*HP34=1,IF(AND($E34=2,NE34=0),1000000,IF($I34&gt;0,IF(5=$J34,IF(OR(AND(119=$I34+1,OR($K34&lt;&gt;'計算A'!$A$3,'計算A'!$A$4=0)),AND(119=$I34-1,OR(23&lt;&gt;'計算A'!$A$3,'計算A'!$A$4=0))),0,IF(23=$K34,200000,ABS(23-$K34)*100)),100000+ABS(5-$J34)*1000+230)+'計算A'!DR$5*50+IF(AND($E34=1,NE34=0),25,0),IF($F34&gt;0,INDEX('計算A'!DR$110:DR$114,$F34+1)+IF(AND($E34=1,NE34=0),1000,0),MIN(TY34,20)*400+(IF('計算A'!DQ$106=1,1-HO34,0)+IF('計算A'!DR$106=1,1-HQ34,0))*150+235+'計算A'!DR$5*100000+IF(AND($E34=1,NE34=0),50000,0))+IF($H34=1,(IF('計算A'!DQ$117=1,INDEX('計算A'!DQ$10:DQ$54,$B34),0)+IF('計算A'!DR$117=1,INDEX('計算A'!DS$10:DS$54,$B34),0))*4000,0)-IF(AND('計算A'!DQ$117=1,YO34&gt;0),2000,0)-IF(AND($L34=1,'計算A'!DR$117=1,HQ34=0),2000,0))),1000000))</f>
        <v/>
      </c>
      <c r="SU34">
        <f>IF($B34=0,1000000,IF(INDEX('計算A'!$D$60:$EQ$104,$B34,120)*HQ34=1,IF(AND($E34=2,NF34=0),1000000,IF($I34&gt;0,IF(5=$J34,IF(OR(AND(120=$I34+1,OR($K34&lt;&gt;'計算A'!$A$3,'計算A'!$A$4=0)),AND(120=$I34-1,OR(24&lt;&gt;'計算A'!$A$3,'計算A'!$A$4=0))),0,IF(24=$K34,200000,ABS(24-$K34)*100)),100000+ABS(5-$J34)*1000+240)+'計算A'!DS$5*50+IF(AND($E34=1,NF34=0),25,0),IF($F34&gt;0,INDEX('計算A'!DS$110:DS$114,$F34+1)+IF(AND($E34=1,NF34=0),1000,0),MIN(TY34,20)*400+(IF('計算A'!DR$106=1,1-HP34,0))*150+245+'計算A'!DS$5*100000+IF(AND($E34=1,NF34=0),50000,0))+IF($H34=1,(IF('計算A'!DR$117=1,INDEX('計算A'!DR$10:DR$54,$B34),0))*4000,0)-IF(AND('計算A'!DR$117=1,YP34&gt;0),2000,0))),1000000))</f>
        <v/>
      </c>
      <c r="SV34">
        <f>IF($B34=0,1000000,IF(INDEX('計算A'!$D$60:$EQ$104,$B34,121)*HR34=1,IF(AND($E34=2,NG34=0),1000000,IF($I34&gt;0,IF(6=$J34,IF(OR(AND(121=$I34+1,OR($K34&lt;&gt;'計算A'!$A$3,'計算A'!$A$4=0)),AND(121=$I34-1,OR(1&lt;&gt;'計算A'!$A$3,'計算A'!$A$4=0))),0,IF(1=$K34,200000,ABS(1-$K34)*100)),100000+ABS(6-$J34)*1000+10)+'計算A'!DT$5*50+IF(AND($E34=1,NG34=0),25,0),IF($F34&gt;0,INDEX('計算A'!DT$110:DT$114,$F34+1)+IF(AND($E34=1,NG34=0),1000,0),MIN(TZ34,20)*400+(IF('計算A'!DT$106=1,1-HS34,0))*150+16+'計算A'!DT$5*100000+IF(AND($E34=1,NG34=0),50000,0))+IF($H34=1,(IF('計算A'!DT$117=1,INDEX('計算A'!DU$10:DU$54,$B34),0))*4000,0)-IF(AND($L34=1,'計算A'!DT$117=1,HS34=0),2000,0))),1000000))</f>
        <v/>
      </c>
      <c r="SW34">
        <f>IF($B34=0,1000000,IF(INDEX('計算A'!$D$60:$EQ$104,$B34,122)*HS34=1,IF(AND($E34=2,NH34=0),1000000,IF($I34&gt;0,IF(6=$J34,IF(OR(AND(122=$I34+1,OR($K34&lt;&gt;'計算A'!$A$3,'計算A'!$A$4=0)),AND(122=$I34-1,OR(2&lt;&gt;'計算A'!$A$3,'計算A'!$A$4=0))),0,IF(2=$K34,200000,ABS(2-$K34)*100)),100000+ABS(6-$J34)*1000+20)+'計算A'!DU$5*50+IF(AND($E34=1,NH34=0),25,0),IF($F34&gt;0,INDEX('計算A'!DU$110:DU$114,$F34+1)+IF(AND($E34=1,NH34=0),1000,0),MIN(TZ34,20)*400+(IF('計算A'!DT$106=1,1-HR34,0)+IF('計算A'!DU$106=1,1-HT34,0))*150+26+'計算A'!DU$5*100000+IF(AND($E34=1,NH34=0),50000,0))+IF($H34=1,(IF('計算A'!DT$117=1,INDEX('計算A'!DT$10:DT$54,$B34),0)+IF('計算A'!DU$117=1,INDEX('計算A'!DV$10:DV$54,$B34),0))*4000,0)-IF(AND('計算A'!DT$117=1,YR34&gt;0),2000,0)-IF(AND($L34=1,'計算A'!DU$117=1,HT34=0),2000,0))),1000000))</f>
        <v/>
      </c>
      <c r="SX34">
        <f>IF($B34=0,1000000,IF(INDEX('計算A'!$D$60:$EQ$104,$B34,123)*HT34=1,IF(AND($E34=2,NI34=0),1000000,IF($I34&gt;0,IF(6=$J34,IF(OR(AND(123=$I34+1,OR($K34&lt;&gt;'計算A'!$A$3,'計算A'!$A$4=0)),AND(123=$I34-1,OR(3&lt;&gt;'計算A'!$A$3,'計算A'!$A$4=0))),0,IF(3=$K34,200000,ABS(3-$K34)*100)),100000+ABS(6-$J34)*1000+30)+'計算A'!DV$5*50+IF(AND($E34=1,NI34=0),25,0),IF($F34&gt;0,INDEX('計算A'!DV$110:DV$114,$F34+1)+IF(AND($E34=1,NI34=0),1000,0),MIN(TZ34,20)*400+(IF('計算A'!DU$106=1,1-HS34,0)+IF('計算A'!DV$106=1,1-HU34,0))*150+36+'計算A'!DV$5*100000+IF(AND($E34=1,NI34=0),50000,0))+IF($H34=1,(IF('計算A'!DU$117=1,INDEX('計算A'!DU$10:DU$54,$B34),0)+IF('計算A'!DV$117=1,INDEX('計算A'!DW$10:DW$54,$B34),0))*4000,0)-IF(AND('計算A'!DU$117=1,YS34&gt;0),2000,0)-IF(AND($L34=1,'計算A'!DV$117=1,HU34=0),2000,0))),1000000))</f>
        <v/>
      </c>
      <c r="SY34">
        <f>IF($B34=0,1000000,IF(INDEX('計算A'!$D$60:$EQ$104,$B34,124)*HU34=1,IF(AND($E34=2,NJ34=0),1000000,IF($I34&gt;0,IF(6=$J34,IF(OR(AND(124=$I34+1,OR($K34&lt;&gt;'計算A'!$A$3,'計算A'!$A$4=0)),AND(124=$I34-1,OR(4&lt;&gt;'計算A'!$A$3,'計算A'!$A$4=0))),0,IF(4=$K34,200000,ABS(4-$K34)*100)),100000+ABS(6-$J34)*1000+40)+'計算A'!DW$5*50+IF(AND($E34=1,NJ34=0),25,0),IF($F34&gt;0,INDEX('計算A'!DW$110:DW$114,$F34+1)+IF(AND($E34=1,NJ34=0),1000,0),MIN(TZ34,20)*400+(IF('計算A'!DV$106=1,1-HT34,0)+IF('計算A'!DW$106=1,1-HV34,0))*150+46+'計算A'!DW$5*100000+IF(AND($E34=1,NJ34=0),50000,0))+IF($H34=1,(IF('計算A'!DV$117=1,INDEX('計算A'!DV$10:DV$54,$B34),0)+IF('計算A'!DW$117=1,INDEX('計算A'!DX$10:DX$54,$B34),0))*4000,0)-IF(AND('計算A'!DV$117=1,YT34&gt;0),2000,0)-IF(AND($L34=1,'計算A'!DW$117=1,HV34=0),2000,0))),1000000))</f>
        <v/>
      </c>
      <c r="SZ34">
        <f>IF($B34=0,1000000,IF(INDEX('計算A'!$D$60:$EQ$104,$B34,125)*HV34=1,IF(AND($E34=2,NK34=0),1000000,IF($I34&gt;0,IF(6=$J34,IF(OR(AND(125=$I34+1,OR($K34&lt;&gt;'計算A'!$A$3,'計算A'!$A$4=0)),AND(125=$I34-1,OR(5&lt;&gt;'計算A'!$A$3,'計算A'!$A$4=0))),0,IF(5=$K34,200000,ABS(5-$K34)*100)),100000+ABS(6-$J34)*1000+50)+'計算A'!DX$5*50+IF(AND($E34=1,NK34=0),25,0),IF($F34&gt;0,INDEX('計算A'!DX$110:DX$114,$F34+1)+IF(AND($E34=1,NK34=0),1000,0),MIN(TZ34,20)*400+(IF('計算A'!DW$106=1,1-HU34,0)+IF('計算A'!DX$106=1,1-HW34,0))*150+56+'計算A'!DX$5*100000+IF(AND($E34=1,NK34=0),50000,0))+IF($H34=1,(IF('計算A'!DW$117=1,INDEX('計算A'!DW$10:DW$54,$B34),0)+IF('計算A'!DX$117=1,INDEX('計算A'!DY$10:DY$54,$B34),0))*4000,0)-IF(AND('計算A'!DW$117=1,YU34&gt;0),2000,0)-IF(AND($L34=1,'計算A'!DX$117=1,HW34=0),2000,0))),1000000))</f>
        <v/>
      </c>
      <c r="TA34">
        <f>IF($B34=0,1000000,IF(INDEX('計算A'!$D$60:$EQ$104,$B34,126)*HW34=1,IF(AND($E34=2,NL34=0),1000000,IF($I34&gt;0,IF(6=$J34,IF(OR(AND(126=$I34+1,OR($K34&lt;&gt;'計算A'!$A$3,'計算A'!$A$4=0)),AND(126=$I34-1,OR(6&lt;&gt;'計算A'!$A$3,'計算A'!$A$4=0))),0,IF(6=$K34,200000,ABS(6-$K34)*100)),100000+ABS(6-$J34)*1000+60)+'計算A'!DY$5*50+IF(AND($E34=1,NL34=0),25,0),IF($F34&gt;0,INDEX('計算A'!DY$110:DY$114,$F34+1)+IF(AND($E34=1,NL34=0),1000,0),MIN(TZ34,20)*400+(IF('計算A'!DX$106=1,1-HV34,0)+IF('計算A'!DY$106=1,1-HX34,0))*150+66+'計算A'!DY$5*100000+IF(AND($E34=1,NL34=0),50000,0))+IF($H34=1,(IF('計算A'!DX$117=1,INDEX('計算A'!DX$10:DX$54,$B34),0)+IF('計算A'!DY$117=1,INDEX('計算A'!DZ$10:DZ$54,$B34),0))*4000,0)-IF(AND('計算A'!DX$117=1,YV34&gt;0),2000,0)-IF(AND($L34=1,'計算A'!DY$117=1,HX34=0),2000,0))),1000000))</f>
        <v/>
      </c>
      <c r="TB34">
        <f>IF($B34=0,1000000,IF(INDEX('計算A'!$D$60:$EQ$104,$B34,127)*HX34=1,IF(AND($E34=2,NM34=0),1000000,IF($I34&gt;0,IF(6=$J34,IF(OR(AND(127=$I34+1,OR($K34&lt;&gt;'計算A'!$A$3,'計算A'!$A$4=0)),AND(127=$I34-1,OR(7&lt;&gt;'計算A'!$A$3,'計算A'!$A$4=0))),0,IF(7=$K34,200000,ABS(7-$K34)*100)),100000+ABS(6-$J34)*1000+70)+'計算A'!DZ$5*50+IF(AND($E34=1,NM34=0),25,0),IF($F34&gt;0,INDEX('計算A'!DZ$110:DZ$114,$F34+1)+IF(AND($E34=1,NM34=0),1000,0),MIN(TZ34,20)*400+(IF('計算A'!DY$106=1,1-HW34,0)+IF('計算A'!DZ$106=1,1-HY34,0))*150+76+'計算A'!DZ$5*100000+IF(AND($E34=1,NM34=0),50000,0))+IF($H34=1,(IF('計算A'!DY$117=1,INDEX('計算A'!DY$10:DY$54,$B34),0)+IF('計算A'!DZ$117=1,INDEX('計算A'!EA$10:EA$54,$B34),0))*4000,0)-IF(AND('計算A'!DY$117=1,YW34&gt;0),2000,0)-IF(AND($L34=1,'計算A'!DZ$117=1,HY34=0),2000,0))),1000000))</f>
        <v/>
      </c>
      <c r="TC34">
        <f>IF($B34=0,1000000,IF(INDEX('計算A'!$D$60:$EQ$104,$B34,128)*HY34=1,IF(AND($E34=2,NN34=0),1000000,IF($I34&gt;0,IF(6=$J34,IF(OR(AND(128=$I34+1,OR($K34&lt;&gt;'計算A'!$A$3,'計算A'!$A$4=0)),AND(128=$I34-1,OR(8&lt;&gt;'計算A'!$A$3,'計算A'!$A$4=0))),0,IF(8=$K34,200000,ABS(8-$K34)*100)),100000+ABS(6-$J34)*1000+80)+'計算A'!EA$5*50+IF(AND($E34=1,NN34=0),25,0),IF($F34&gt;0,INDEX('計算A'!EA$110:EA$114,$F34+1)+IF(AND($E34=1,NN34=0),1000,0),MIN(TZ34,20)*400+(IF('計算A'!DZ$106=1,1-HX34,0)+IF('計算A'!EA$106=1,1-HZ34,0))*150+86+'計算A'!EA$5*100000+IF(AND($E34=1,NN34=0),50000,0))+IF($H34=1,(IF('計算A'!DZ$117=1,INDEX('計算A'!DZ$10:DZ$54,$B34),0)+IF('計算A'!EA$117=1,INDEX('計算A'!EB$10:EB$54,$B34),0))*4000,0)-IF(AND('計算A'!DZ$117=1,YX34&gt;0),2000,0)-IF(AND($L34=1,'計算A'!EA$117=1,HZ34=0),2000,0))),1000000))</f>
        <v/>
      </c>
      <c r="TD34">
        <f>IF($B34=0,1000000,IF(INDEX('計算A'!$D$60:$EQ$104,$B34,129)*HZ34=1,IF(AND($E34=2,NO34=0),1000000,IF($I34&gt;0,IF(6=$J34,IF(OR(AND(129=$I34+1,OR($K34&lt;&gt;'計算A'!$A$3,'計算A'!$A$4=0)),AND(129=$I34-1,OR(9&lt;&gt;'計算A'!$A$3,'計算A'!$A$4=0))),0,IF(9=$K34,200000,ABS(9-$K34)*100)),100000+ABS(6-$J34)*1000+90)+'計算A'!EB$5*50+IF(AND($E34=1,NO34=0),25,0),IF($F34&gt;0,INDEX('計算A'!EB$110:EB$114,$F34+1)+IF(AND($E34=1,NO34=0),1000,0),MIN(TZ34,20)*400+(IF('計算A'!EA$106=1,1-HY34,0)+IF('計算A'!EB$106=1,1-IA34,0))*150+96+'計算A'!EB$5*100000+IF(AND($E34=1,NO34=0),50000,0))+IF($H34=1,(IF('計算A'!EA$117=1,INDEX('計算A'!EA$10:EA$54,$B34),0)+IF('計算A'!EB$117=1,INDEX('計算A'!EC$10:EC$54,$B34),0))*4000,0)-IF(AND('計算A'!EA$117=1,YY34&gt;0),2000,0)-IF(AND($L34=1,'計算A'!EB$117=1,IA34=0),2000,0))),1000000))</f>
        <v/>
      </c>
      <c r="TE34">
        <f>IF($B34=0,1000000,IF(INDEX('計算A'!$D$60:$EQ$104,$B34,130)*IA34=1,IF(AND($E34=2,NP34=0),1000000,IF($I34&gt;0,IF(6=$J34,IF(OR(AND(130=$I34+1,OR($K34&lt;&gt;'計算A'!$A$3,'計算A'!$A$4=0)),AND(130=$I34-1,OR(10&lt;&gt;'計算A'!$A$3,'計算A'!$A$4=0))),0,IF(10=$K34,200000,ABS(10-$K34)*100)),100000+ABS(6-$J34)*1000+100)+'計算A'!EC$5*50+IF(AND($E34=1,NP34=0),25,0),IF($F34&gt;0,INDEX('計算A'!EC$110:EC$114,$F34+1)+IF(AND($E34=1,NP34=0),1000,0),MIN(TZ34,20)*400+(IF('計算A'!EB$106=1,1-HZ34,0)+IF('計算A'!EC$106=1,1-IB34,0))*150+106+'計算A'!EC$5*100000+IF(AND($E34=1,NP34=0),50000,0))+IF($H34=1,(IF('計算A'!EB$117=1,INDEX('計算A'!EB$10:EB$54,$B34),0)+IF('計算A'!EC$117=1,INDEX('計算A'!ED$10:ED$54,$B34),0))*4000,0)-IF(AND('計算A'!EB$117=1,YZ34&gt;0),2000,0)-IF(AND($L34=1,'計算A'!EC$117=1,IB34=0),2000,0))),1000000))</f>
        <v/>
      </c>
      <c r="TF34">
        <f>IF($B34=0,1000000,IF(INDEX('計算A'!$D$60:$EQ$104,$B34,131)*IB34=1,IF(AND($E34=2,NQ34=0),1000000,IF($I34&gt;0,IF(6=$J34,IF(OR(AND(131=$I34+1,OR($K34&lt;&gt;'計算A'!$A$3,'計算A'!$A$4=0)),AND(131=$I34-1,OR(11&lt;&gt;'計算A'!$A$3,'計算A'!$A$4=0))),0,IF(11=$K34,200000,ABS(11-$K34)*100)),100000+ABS(6-$J34)*1000+110)+'計算A'!ED$5*50+IF(AND($E34=1,NQ34=0),25,0),IF($F34&gt;0,INDEX('計算A'!ED$110:ED$114,$F34+1)+IF(AND($E34=1,NQ34=0),1000,0),MIN(TZ34,20)*400+(IF('計算A'!EC$106=1,1-IA34,0)+IF('計算A'!ED$106=1,1-IC34,0))*150+116+'計算A'!ED$5*100000+IF(AND($E34=1,NQ34=0),50000,0))+IF($H34=1,(IF('計算A'!EC$117=1,INDEX('計算A'!EC$10:EC$54,$B34),0)+IF('計算A'!ED$117=1,INDEX('計算A'!EE$10:EE$54,$B34),0))*4000,0)-IF(AND('計算A'!EC$117=1,ZA34&gt;0),2000,0)-IF(AND($L34=1,'計算A'!ED$117=1,IC34=0),2000,0))),1000000))</f>
        <v/>
      </c>
      <c r="TG34">
        <f>IF($B34=0,1000000,IF(INDEX('計算A'!$D$60:$EQ$104,$B34,132)*IC34=1,IF(AND($E34=2,NR34=0),1000000,IF($I34&gt;0,IF(6=$J34,IF(OR(AND(132=$I34+1,OR($K34&lt;&gt;'計算A'!$A$3,'計算A'!$A$4=0)),AND(132=$I34-1,OR(12&lt;&gt;'計算A'!$A$3,'計算A'!$A$4=0))),0,IF(12=$K34,200000,ABS(12-$K34)*100)),100000+ABS(6-$J34)*1000+120)+'計算A'!EE$5*50+IF(AND($E34=1,NR34=0),25,0),IF($F34&gt;0,INDEX('計算A'!EE$110:EE$114,$F34+1)+IF(AND($E34=1,NR34=0),1000,0),MIN(TZ34,20)*400+(IF('計算A'!ED$106=1,1-IB34,0)+IF('計算A'!EE$106=1,1-ID34,0))*150+126+'計算A'!EE$5*100000+IF(AND($E34=1,NR34=0),50000,0))+IF($H34=1,(IF('計算A'!ED$117=1,INDEX('計算A'!ED$10:ED$54,$B34),0)+IF('計算A'!EE$117=1,INDEX('計算A'!EF$10:EF$54,$B34),0))*4000,0)-IF(AND('計算A'!ED$117=1,ZB34&gt;0),2000,0)-IF(AND($L34=1,'計算A'!EE$117=1,ID34=0),2000,0))),1000000))</f>
        <v/>
      </c>
      <c r="TH34">
        <f>IF($B34=0,1000000,IF(INDEX('計算A'!$D$60:$EQ$104,$B34,133)*ID34=1,IF(AND($E34=2,NS34=0),1000000,IF($I34&gt;0,IF(6=$J34,IF(OR(AND(133=$I34+1,OR($K34&lt;&gt;'計算A'!$A$3,'計算A'!$A$4=0)),AND(133=$I34-1,OR(13&lt;&gt;'計算A'!$A$3,'計算A'!$A$4=0))),0,IF(13=$K34,200000,ABS(13-$K34)*100)),100000+ABS(6-$J34)*1000+130)+'計算A'!EF$5*50+IF(AND($E34=1,NS34=0),25,0),IF($F34&gt;0,INDEX('計算A'!EF$110:EF$114,$F34+1)+IF(AND($E34=1,NS34=0),1000,0),MIN(TZ34,20)*400+(IF('計算A'!EE$106=1,1-IC34,0)+IF('計算A'!EF$106=1,1-IE34,0))*150+136+'計算A'!EF$5*100000+IF(AND($E34=1,NS34=0),50000,0))+IF($H34=1,(IF('計算A'!EE$117=1,INDEX('計算A'!EE$10:EE$54,$B34),0)+IF('計算A'!EF$117=1,INDEX('計算A'!EG$10:EG$54,$B34),0))*4000,0)-IF(AND('計算A'!EE$117=1,ZC34&gt;0),2000,0)-IF(AND($L34=1,'計算A'!EF$117=1,IE34=0),2000,0))),1000000))</f>
        <v/>
      </c>
      <c r="TI34">
        <f>IF($B34=0,1000000,IF(INDEX('計算A'!$D$60:$EQ$104,$B34,134)*IE34=1,IF(AND($E34=2,NT34=0),1000000,IF($I34&gt;0,IF(6=$J34,IF(OR(AND(134=$I34+1,OR($K34&lt;&gt;'計算A'!$A$3,'計算A'!$A$4=0)),AND(134=$I34-1,OR(14&lt;&gt;'計算A'!$A$3,'計算A'!$A$4=0))),0,IF(14=$K34,200000,ABS(14-$K34)*100)),100000+ABS(6-$J34)*1000+140)+'計算A'!EG$5*50+IF(AND($E34=1,NT34=0),25,0),IF($F34&gt;0,INDEX('計算A'!EG$110:EG$114,$F34+1)+IF(AND($E34=1,NT34=0),1000,0),MIN(TZ34,20)*400+(IF('計算A'!EF$106=1,1-ID34,0)+IF('計算A'!EG$106=1,1-IF34,0))*150+146+'計算A'!EG$5*100000+IF(AND($E34=1,NT34=0),50000,0))+IF($H34=1,(IF('計算A'!EF$117=1,INDEX('計算A'!EF$10:EF$54,$B34),0)+IF('計算A'!EG$117=1,INDEX('計算A'!EH$10:EH$54,$B34),0))*4000,0)-IF(AND('計算A'!EF$117=1,ZD34&gt;0),2000,0)-IF(AND($L34=1,'計算A'!EG$117=1,IF34=0),2000,0))),1000000))</f>
        <v/>
      </c>
      <c r="TJ34">
        <f>IF($B34=0,1000000,IF(INDEX('計算A'!$D$60:$EQ$104,$B34,135)*IF34=1,IF(AND($E34=2,NU34=0),1000000,IF($I34&gt;0,IF(6=$J34,IF(OR(AND(135=$I34+1,OR($K34&lt;&gt;'計算A'!$A$3,'計算A'!$A$4=0)),AND(135=$I34-1,OR(15&lt;&gt;'計算A'!$A$3,'計算A'!$A$4=0))),0,IF(15=$K34,200000,ABS(15-$K34)*100)),100000+ABS(6-$J34)*1000+150)+'計算A'!EH$5*50+IF(AND($E34=1,NU34=0),25,0),IF($F34&gt;0,INDEX('計算A'!EH$110:EH$114,$F34+1)+IF(AND($E34=1,NU34=0),1000,0),MIN(TZ34,20)*400+(IF('計算A'!EG$106=1,1-IE34,0)+IF('計算A'!EH$106=1,1-IG34,0))*150+156+'計算A'!EH$5*100000+IF(AND($E34=1,NU34=0),50000,0))+IF($H34=1,(IF('計算A'!EG$117=1,INDEX('計算A'!EG$10:EG$54,$B34),0)+IF('計算A'!EH$117=1,INDEX('計算A'!EI$10:EI$54,$B34),0))*4000,0)-IF(AND('計算A'!EG$117=1,ZE34&gt;0),2000,0)-IF(AND($L34=1,'計算A'!EH$117=1,IG34=0),2000,0))),1000000))</f>
        <v/>
      </c>
      <c r="TK34">
        <f>IF($B34=0,1000000,IF(INDEX('計算A'!$D$60:$EQ$104,$B34,136)*IG34=1,IF(AND($E34=2,NV34=0),1000000,IF($I34&gt;0,IF(6=$J34,IF(OR(AND(136=$I34+1,OR($K34&lt;&gt;'計算A'!$A$3,'計算A'!$A$4=0)),AND(136=$I34-1,OR(16&lt;&gt;'計算A'!$A$3,'計算A'!$A$4=0))),0,IF(16=$K34,200000,ABS(16-$K34)*100)),100000+ABS(6-$J34)*1000+160)+'計算A'!EI$5*50+IF(AND($E34=1,NV34=0),25,0),IF($F34&gt;0,INDEX('計算A'!EI$110:EI$114,$F34+1)+IF(AND($E34=1,NV34=0),1000,0),MIN(TZ34,20)*400+(IF('計算A'!EH$106=1,1-IF34,0)+IF('計算A'!EI$106=1,1-IH34,0))*150+166+'計算A'!EI$5*100000+IF(AND($E34=1,NV34=0),50000,0))+IF($H34=1,(IF('計算A'!EH$117=1,INDEX('計算A'!EH$10:EH$54,$B34),0)+IF('計算A'!EI$117=1,INDEX('計算A'!EJ$10:EJ$54,$B34),0))*4000,0)-IF(AND('計算A'!EH$117=1,ZF34&gt;0),2000,0)-IF(AND($L34=1,'計算A'!EI$117=1,IH34=0),2000,0))),1000000))</f>
        <v/>
      </c>
      <c r="TL34">
        <f>IF($B34=0,1000000,IF(INDEX('計算A'!$D$60:$EQ$104,$B34,137)*IH34=1,IF(AND($E34=2,NW34=0),1000000,IF($I34&gt;0,IF(6=$J34,IF(OR(AND(137=$I34+1,OR($K34&lt;&gt;'計算A'!$A$3,'計算A'!$A$4=0)),AND(137=$I34-1,OR(17&lt;&gt;'計算A'!$A$3,'計算A'!$A$4=0))),0,IF(17=$K34,200000,ABS(17-$K34)*100)),100000+ABS(6-$J34)*1000+170)+'計算A'!EJ$5*50+IF(AND($E34=1,NW34=0),25,0),IF($F34&gt;0,INDEX('計算A'!EJ$110:EJ$114,$F34+1)+IF(AND($E34=1,NW34=0),1000,0),MIN(TZ34,20)*400+(IF('計算A'!EI$106=1,1-IG34,0)+IF('計算A'!EJ$106=1,1-II34,0))*150+176+'計算A'!EJ$5*100000+IF(AND($E34=1,NW34=0),50000,0))+IF($H34=1,(IF('計算A'!EI$117=1,INDEX('計算A'!EI$10:EI$54,$B34),0)+IF('計算A'!EJ$117=1,INDEX('計算A'!EK$10:EK$54,$B34),0))*4000,0)-IF(AND('計算A'!EI$117=1,ZG34&gt;0),2000,0)-IF(AND($L34=1,'計算A'!EJ$117=1,II34=0),2000,0))),1000000))</f>
        <v/>
      </c>
      <c r="TM34">
        <f>IF($B34=0,1000000,IF(INDEX('計算A'!$D$60:$EQ$104,$B34,138)*II34=1,IF(AND($E34=2,NX34=0),1000000,IF($I34&gt;0,IF(6=$J34,IF(OR(AND(138=$I34+1,OR($K34&lt;&gt;'計算A'!$A$3,'計算A'!$A$4=0)),AND(138=$I34-1,OR(18&lt;&gt;'計算A'!$A$3,'計算A'!$A$4=0))),0,IF(18=$K34,200000,ABS(18-$K34)*100)),100000+ABS(6-$J34)*1000+180)+'計算A'!EK$5*50+IF(AND($E34=1,NX34=0),25,0),IF($F34&gt;0,INDEX('計算A'!EK$110:EK$114,$F34+1)+IF(AND($E34=1,NX34=0),1000,0),MIN(TZ34,20)*400+(IF('計算A'!EJ$106=1,1-IH34,0)+IF('計算A'!EK$106=1,1-IJ34,0))*150+186+'計算A'!EK$5*100000+IF(AND($E34=1,NX34=0),50000,0))+IF($H34=1,(IF('計算A'!EJ$117=1,INDEX('計算A'!EJ$10:EJ$54,$B34),0)+IF('計算A'!EK$117=1,INDEX('計算A'!EL$10:EL$54,$B34),0))*4000,0)-IF(AND('計算A'!EJ$117=1,ZH34&gt;0),2000,0)-IF(AND($L34=1,'計算A'!EK$117=1,IJ34=0),2000,0))),1000000))</f>
        <v/>
      </c>
      <c r="TN34">
        <f>IF($B34=0,1000000,IF(INDEX('計算A'!$D$60:$EQ$104,$B34,139)*IJ34=1,IF(AND($E34=2,NY34=0),1000000,IF($I34&gt;0,IF(6=$J34,IF(OR(AND(139=$I34+1,OR($K34&lt;&gt;'計算A'!$A$3,'計算A'!$A$4=0)),AND(139=$I34-1,OR(19&lt;&gt;'計算A'!$A$3,'計算A'!$A$4=0))),0,IF(19=$K34,200000,ABS(19-$K34)*100)),100000+ABS(6-$J34)*1000+190)+'計算A'!EL$5*50+IF(AND($E34=1,NY34=0),25,0),IF($F34&gt;0,INDEX('計算A'!EL$110:EL$114,$F34+1)+IF(AND($E34=1,NY34=0),1000,0),MIN(TZ34,20)*400+(IF('計算A'!EK$106=1,1-II34,0)+IF('計算A'!EL$106=1,1-IK34,0))*150+196+'計算A'!EL$5*100000+IF(AND($E34=1,NY34=0),50000,0))+IF($H34=1,(IF('計算A'!EK$117=1,INDEX('計算A'!EK$10:EK$54,$B34),0)+IF('計算A'!EL$117=1,INDEX('計算A'!EM$10:EM$54,$B34),0))*4000,0)-IF(AND('計算A'!EK$117=1,ZI34&gt;0),2000,0)-IF(AND($L34=1,'計算A'!EL$117=1,IK34=0),2000,0))),1000000))</f>
        <v/>
      </c>
      <c r="TO34">
        <f>IF($B34=0,1000000,IF(INDEX('計算A'!$D$60:$EQ$104,$B34,140)*IK34=1,IF(AND($E34=2,NZ34=0),1000000,IF($I34&gt;0,IF(6=$J34,IF(OR(AND(140=$I34+1,OR($K34&lt;&gt;'計算A'!$A$3,'計算A'!$A$4=0)),AND(140=$I34-1,OR(20&lt;&gt;'計算A'!$A$3,'計算A'!$A$4=0))),0,IF(20=$K34,200000,ABS(20-$K34)*100)),100000+ABS(6-$J34)*1000+200)+'計算A'!EM$5*50+IF(AND($E34=1,NZ34=0),25,0),IF($F34&gt;0,INDEX('計算A'!EM$110:EM$114,$F34+1)+IF(AND($E34=1,NZ34=0),1000,0),MIN(TZ34,20)*400+(IF('計算A'!EL$106=1,1-IJ34,0)+IF('計算A'!EM$106=1,1-IL34,0))*150+206+'計算A'!EM$5*100000+IF(AND($E34=1,NZ34=0),50000,0))+IF($H34=1,(IF('計算A'!EL$117=1,INDEX('計算A'!EL$10:EL$54,$B34),0)+IF('計算A'!EM$117=1,INDEX('計算A'!EN$10:EN$54,$B34),0))*4000,0)-IF(AND('計算A'!EL$117=1,ZJ34&gt;0),2000,0)-IF(AND($L34=1,'計算A'!EM$117=1,IL34=0),2000,0))),1000000))</f>
        <v/>
      </c>
      <c r="TP34">
        <f>IF($B34=0,1000000,IF(INDEX('計算A'!$D$60:$EQ$104,$B34,141)*IL34=1,IF(AND($E34=2,OA34=0),1000000,IF($I34&gt;0,IF(6=$J34,IF(OR(AND(141=$I34+1,OR($K34&lt;&gt;'計算A'!$A$3,'計算A'!$A$4=0)),AND(141=$I34-1,OR(21&lt;&gt;'計算A'!$A$3,'計算A'!$A$4=0))),0,IF(21=$K34,200000,ABS(21-$K34)*100)),100000+ABS(6-$J34)*1000+210)+'計算A'!EN$5*50+IF(AND($E34=1,OA34=0),25,0),IF($F34&gt;0,INDEX('計算A'!EN$110:EN$114,$F34+1)+IF(AND($E34=1,OA34=0),1000,0),MIN(TZ34,20)*400+(IF('計算A'!EM$106=1,1-IK34,0)+IF('計算A'!EN$106=1,1-IM34,0))*150+216+'計算A'!EN$5*100000+IF(AND($E34=1,OA34=0),50000,0))+IF($H34=1,(IF('計算A'!EM$117=1,INDEX('計算A'!EM$10:EM$54,$B34),0)+IF('計算A'!EN$117=1,INDEX('計算A'!EO$10:EO$54,$B34),0))*4000,0)-IF(AND('計算A'!EM$117=1,ZK34&gt;0),2000,0)-IF(AND($L34=1,'計算A'!EN$117=1,IM34=0),2000,0))),1000000))</f>
        <v/>
      </c>
      <c r="TQ34">
        <f>IF($B34=0,1000000,IF(INDEX('計算A'!$D$60:$EQ$104,$B34,142)*IM34=1,IF(AND($E34=2,OB34=0),1000000,IF($I34&gt;0,IF(6=$J34,IF(OR(AND(142=$I34+1,OR($K34&lt;&gt;'計算A'!$A$3,'計算A'!$A$4=0)),AND(142=$I34-1,OR(22&lt;&gt;'計算A'!$A$3,'計算A'!$A$4=0))),0,IF(22=$K34,200000,ABS(22-$K34)*100)),100000+ABS(6-$J34)*1000+220)+'計算A'!EO$5*50+IF(AND($E34=1,OB34=0),25,0),IF($F34&gt;0,INDEX('計算A'!EO$110:EO$114,$F34+1)+IF(AND($E34=1,OB34=0),1000,0),MIN(TZ34,20)*400+(IF('計算A'!EN$106=1,1-IL34,0)+IF('計算A'!EO$106=1,1-IN34,0))*150+226+'計算A'!EO$5*100000+IF(AND($E34=1,OB34=0),50000,0))+IF($H34=1,(IF('計算A'!EN$117=1,INDEX('計算A'!EN$10:EN$54,$B34),0)+IF('計算A'!EO$117=1,INDEX('計算A'!EP$10:EP$54,$B34),0))*4000,0)-IF(AND('計算A'!EN$117=1,ZL34&gt;0),2000,0)-IF(AND($L34=1,'計算A'!EO$117=1,IN34=0),2000,0))),1000000))</f>
        <v/>
      </c>
      <c r="TR34">
        <f>IF($B34=0,1000000,IF(INDEX('計算A'!$D$60:$EQ$104,$B34,143)*IN34=1,IF(AND($E34=2,OC34=0),1000000,IF($I34&gt;0,IF(6=$J34,IF(OR(AND(143=$I34+1,OR($K34&lt;&gt;'計算A'!$A$3,'計算A'!$A$4=0)),AND(143=$I34-1,OR(23&lt;&gt;'計算A'!$A$3,'計算A'!$A$4=0))),0,IF(23=$K34,200000,ABS(23-$K34)*100)),100000+ABS(6-$J34)*1000+230)+'計算A'!EP$5*50+IF(AND($E34=1,OC34=0),25,0),IF($F34&gt;0,INDEX('計算A'!EP$110:EP$114,$F34+1)+IF(AND($E34=1,OC34=0),1000,0),MIN(TZ34,20)*400+(IF('計算A'!EO$106=1,1-IM34,0)+IF('計算A'!EP$106=1,1-IO34,0))*150+236+'計算A'!EP$5*100000+IF(AND($E34=1,OC34=0),50000,0))+IF($H34=1,(IF('計算A'!EO$117=1,INDEX('計算A'!EO$10:EO$54,$B34),0)+IF('計算A'!EP$117=1,INDEX('計算A'!EQ$10:EQ$54,$B34),0))*4000,0)-IF(AND('計算A'!EO$117=1,ZM34&gt;0),2000,0)-IF(AND($L34=1,'計算A'!EP$117=1,IO34=0),2000,0))),1000000))</f>
        <v/>
      </c>
      <c r="TS34">
        <f>IF($B34=0,1000000,IF(INDEX('計算A'!$D$60:$EQ$104,$B34,144)*IO34=1,IF(AND($E34=2,OD34=0),1000000,IF($I34&gt;0,IF(6=$J34,IF(OR(AND(144=$I34+1,OR($K34&lt;&gt;'計算A'!$A$3,'計算A'!$A$4=0)),AND(144=$I34-1,OR(24&lt;&gt;'計算A'!$A$3,'計算A'!$A$4=0))),0,IF(24=$K34,200000,ABS(24-$K34)*100)),100000+ABS(6-$J34)*1000+240)+'計算A'!EQ$5*50+IF(AND($E34=1,OD34=0),25,0),IF($F34&gt;0,INDEX('計算A'!EQ$110:EQ$114,$F34+1)+IF(AND($E34=1,OD34=0),1000,0),MIN(TZ34,20)*400+(IF('計算A'!EP$106=1,1-IN34,0))*150+246+'計算A'!EQ$5*100000+IF(AND($E34=1,OD34=0),50000,0))+IF($H34=1,(IF('計算A'!EP$117=1,INDEX('計算A'!EP$10:EP$54,$B34),0))*4000,0)-IF(AND('計算A'!EP$117=1,ZN34&gt;0),2000,0))),1000000))</f>
        <v/>
      </c>
      <c r="TU34">
        <f>TU33+IF($C33&gt;0,IF(INDEX('計算A'!$D$2:$EQ$2,$C33)=1,1,0),0)</f>
        <v/>
      </c>
      <c r="TV34">
        <f>TV33+IF($C33&gt;0,IF(INDEX('計算A'!$D$2:$EQ$2,$C33)=2,1,0),0)</f>
        <v/>
      </c>
      <c r="TW34">
        <f>TW33+IF($C33&gt;0,IF(INDEX('計算A'!$D$2:$EQ$2,$C33)=3,1,0),0)</f>
        <v/>
      </c>
      <c r="TX34">
        <f>TX33+IF($C33&gt;0,IF(INDEX('計算A'!$D$2:$EQ$2,$C33)=4,1,0),0)</f>
        <v/>
      </c>
      <c r="TY34">
        <f>TY33+IF($C33&gt;0,IF(INDEX('計算A'!$D$2:$EQ$2,$C33)=5,1,0),0)</f>
        <v/>
      </c>
      <c r="TZ34">
        <f>TZ33+IF($C33&gt;0,IF(INDEX('計算A'!$D$2:$EQ$2,$C33)=6,1,0),0)</f>
        <v/>
      </c>
      <c r="UB34">
        <f>UB33+IF(AND($C33=1,$L33=1),1,0)</f>
        <v/>
      </c>
      <c r="UC34">
        <f>UC33+IF(AND($C33=2,$L33=1),1,0)</f>
        <v/>
      </c>
      <c r="UD34">
        <f>UD33+IF(AND($C33=3,$L33=1),1,0)</f>
        <v/>
      </c>
      <c r="UE34">
        <f>UE33+IF(AND($C33=4,$L33=1),1,0)</f>
        <v/>
      </c>
      <c r="UF34">
        <f>UF33+IF(AND($C33=5,$L33=1),1,0)</f>
        <v/>
      </c>
      <c r="UG34">
        <f>UG33+IF(AND($C33=6,$L33=1),1,0)</f>
        <v/>
      </c>
      <c r="UH34">
        <f>UH33+IF(AND($C33=7,$L33=1),1,0)</f>
        <v/>
      </c>
      <c r="UI34">
        <f>UI33+IF(AND($C33=8,$L33=1),1,0)</f>
        <v/>
      </c>
      <c r="UJ34">
        <f>UJ33+IF(AND($C33=9,$L33=1),1,0)</f>
        <v/>
      </c>
      <c r="UK34">
        <f>UK33+IF(AND($C33=10,$L33=1),1,0)</f>
        <v/>
      </c>
      <c r="UL34">
        <f>UL33+IF(AND($C33=11,$L33=1),1,0)</f>
        <v/>
      </c>
      <c r="UM34">
        <f>UM33+IF(AND($C33=12,$L33=1),1,0)</f>
        <v/>
      </c>
      <c r="UN34">
        <f>UN33+IF(AND($C33=13,$L33=1),1,0)</f>
        <v/>
      </c>
      <c r="UO34">
        <f>UO33+IF(AND($C33=14,$L33=1),1,0)</f>
        <v/>
      </c>
      <c r="UP34">
        <f>UP33+IF(AND($C33=15,$L33=1),1,0)</f>
        <v/>
      </c>
      <c r="UQ34">
        <f>UQ33+IF(AND($C33=16,$L33=1),1,0)</f>
        <v/>
      </c>
      <c r="UR34">
        <f>UR33+IF(AND($C33=17,$L33=1),1,0)</f>
        <v/>
      </c>
      <c r="US34">
        <f>US33+IF(AND($C33=18,$L33=1),1,0)</f>
        <v/>
      </c>
      <c r="UT34">
        <f>UT33+IF(AND($C33=19,$L33=1),1,0)</f>
        <v/>
      </c>
      <c r="UU34">
        <f>UU33+IF(AND($C33=20,$L33=1),1,0)</f>
        <v/>
      </c>
      <c r="UV34">
        <f>UV33+IF(AND($C33=21,$L33=1),1,0)</f>
        <v/>
      </c>
      <c r="UW34">
        <f>UW33+IF(AND($C33=22,$L33=1),1,0)</f>
        <v/>
      </c>
      <c r="UX34">
        <f>UX33+IF(AND($C33=23,$L33=1),1,0)</f>
        <v/>
      </c>
      <c r="UY34">
        <f>UY33+IF(AND($C33=24,$L33=1),1,0)</f>
        <v/>
      </c>
      <c r="UZ34">
        <f>UZ33+IF(AND($C33=25,$L33=1),1,0)</f>
        <v/>
      </c>
      <c r="VA34">
        <f>VA33+IF(AND($C33=26,$L33=1),1,0)</f>
        <v/>
      </c>
      <c r="VB34">
        <f>VB33+IF(AND($C33=27,$L33=1),1,0)</f>
        <v/>
      </c>
      <c r="VC34">
        <f>VC33+IF(AND($C33=28,$L33=1),1,0)</f>
        <v/>
      </c>
      <c r="VD34">
        <f>VD33+IF(AND($C33=29,$L33=1),1,0)</f>
        <v/>
      </c>
      <c r="VE34">
        <f>VE33+IF(AND($C33=30,$L33=1),1,0)</f>
        <v/>
      </c>
      <c r="VF34">
        <f>VF33+IF(AND($C33=31,$L33=1),1,0)</f>
        <v/>
      </c>
      <c r="VG34">
        <f>VG33+IF(AND($C33=32,$L33=1),1,0)</f>
        <v/>
      </c>
      <c r="VH34">
        <f>VH33+IF(AND($C33=33,$L33=1),1,0)</f>
        <v/>
      </c>
      <c r="VI34">
        <f>VI33+IF(AND($C33=34,$L33=1),1,0)</f>
        <v/>
      </c>
      <c r="VJ34">
        <f>VJ33+IF(AND($C33=35,$L33=1),1,0)</f>
        <v/>
      </c>
      <c r="VK34">
        <f>VK33+IF(AND($C33=36,$L33=1),1,0)</f>
        <v/>
      </c>
      <c r="VL34">
        <f>VL33+IF(AND($C33=37,$L33=1),1,0)</f>
        <v/>
      </c>
      <c r="VM34">
        <f>VM33+IF(AND($C33=38,$L33=1),1,0)</f>
        <v/>
      </c>
      <c r="VN34">
        <f>VN33+IF(AND($C33=39,$L33=1),1,0)</f>
        <v/>
      </c>
      <c r="VO34">
        <f>VO33+IF(AND($C33=40,$L33=1),1,0)</f>
        <v/>
      </c>
      <c r="VP34">
        <f>VP33+IF(AND($C33=41,$L33=1),1,0)</f>
        <v/>
      </c>
      <c r="VQ34">
        <f>VQ33+IF(AND($C33=42,$L33=1),1,0)</f>
        <v/>
      </c>
      <c r="VR34">
        <f>VR33+IF(AND($C33=43,$L33=1),1,0)</f>
        <v/>
      </c>
      <c r="VS34">
        <f>VS33+IF(AND($C33=44,$L33=1),1,0)</f>
        <v/>
      </c>
      <c r="VT34">
        <f>VT33+IF(AND($C33=45,$L33=1),1,0)</f>
        <v/>
      </c>
      <c r="VU34">
        <f>VU33+IF(AND($C33=46,$L33=1),1,0)</f>
        <v/>
      </c>
      <c r="VV34">
        <f>VV33+IF(AND($C33=47,$L33=1),1,0)</f>
        <v/>
      </c>
      <c r="VW34">
        <f>VW33+IF(AND($C33=48,$L33=1),1,0)</f>
        <v/>
      </c>
      <c r="VX34">
        <f>VX33+IF(AND($C33=49,$L33=1),1,0)</f>
        <v/>
      </c>
      <c r="VY34">
        <f>VY33+IF(AND($C33=50,$L33=1),1,0)</f>
        <v/>
      </c>
      <c r="VZ34">
        <f>VZ33+IF(AND($C33=51,$L33=1),1,0)</f>
        <v/>
      </c>
      <c r="WA34">
        <f>WA33+IF(AND($C33=52,$L33=1),1,0)</f>
        <v/>
      </c>
      <c r="WB34">
        <f>WB33+IF(AND($C33=53,$L33=1),1,0)</f>
        <v/>
      </c>
      <c r="WC34">
        <f>WC33+IF(AND($C33=54,$L33=1),1,0)</f>
        <v/>
      </c>
      <c r="WD34">
        <f>WD33+IF(AND($C33=55,$L33=1),1,0)</f>
        <v/>
      </c>
      <c r="WE34">
        <f>WE33+IF(AND($C33=56,$L33=1),1,0)</f>
        <v/>
      </c>
      <c r="WF34">
        <f>WF33+IF(AND($C33=57,$L33=1),1,0)</f>
        <v/>
      </c>
      <c r="WG34">
        <f>WG33+IF(AND($C33=58,$L33=1),1,0)</f>
        <v/>
      </c>
      <c r="WH34">
        <f>WH33+IF(AND($C33=59,$L33=1),1,0)</f>
        <v/>
      </c>
      <c r="WI34">
        <f>WI33+IF(AND($C33=60,$L33=1),1,0)</f>
        <v/>
      </c>
      <c r="WJ34">
        <f>WJ33+IF(AND($C33=61,$L33=1),1,0)</f>
        <v/>
      </c>
      <c r="WK34">
        <f>WK33+IF(AND($C33=62,$L33=1),1,0)</f>
        <v/>
      </c>
      <c r="WL34">
        <f>WL33+IF(AND($C33=63,$L33=1),1,0)</f>
        <v/>
      </c>
      <c r="WM34">
        <f>WM33+IF(AND($C33=64,$L33=1),1,0)</f>
        <v/>
      </c>
      <c r="WN34">
        <f>WN33+IF(AND($C33=65,$L33=1),1,0)</f>
        <v/>
      </c>
      <c r="WO34">
        <f>WO33+IF(AND($C33=66,$L33=1),1,0)</f>
        <v/>
      </c>
      <c r="WP34">
        <f>WP33+IF(AND($C33=67,$L33=1),1,0)</f>
        <v/>
      </c>
      <c r="WQ34">
        <f>WQ33+IF(AND($C33=68,$L33=1),1,0)</f>
        <v/>
      </c>
      <c r="WR34">
        <f>WR33+IF(AND($C33=69,$L33=1),1,0)</f>
        <v/>
      </c>
      <c r="WS34">
        <f>WS33+IF(AND($C33=70,$L33=1),1,0)</f>
        <v/>
      </c>
      <c r="WT34">
        <f>WT33+IF(AND($C33=71,$L33=1),1,0)</f>
        <v/>
      </c>
      <c r="WU34">
        <f>WU33+IF(AND($C33=72,$L33=1),1,0)</f>
        <v/>
      </c>
      <c r="WV34">
        <f>WV33+IF(AND($C33=73,$L33=1),1,0)</f>
        <v/>
      </c>
      <c r="WW34">
        <f>WW33+IF(AND($C33=74,$L33=1),1,0)</f>
        <v/>
      </c>
      <c r="WX34">
        <f>WX33+IF(AND($C33=75,$L33=1),1,0)</f>
        <v/>
      </c>
      <c r="WY34">
        <f>WY33+IF(AND($C33=76,$L33=1),1,0)</f>
        <v/>
      </c>
      <c r="WZ34">
        <f>WZ33+IF(AND($C33=77,$L33=1),1,0)</f>
        <v/>
      </c>
      <c r="XA34">
        <f>XA33+IF(AND($C33=78,$L33=1),1,0)</f>
        <v/>
      </c>
      <c r="XB34">
        <f>XB33+IF(AND($C33=79,$L33=1),1,0)</f>
        <v/>
      </c>
      <c r="XC34">
        <f>XC33+IF(AND($C33=80,$L33=1),1,0)</f>
        <v/>
      </c>
      <c r="XD34">
        <f>XD33+IF(AND($C33=81,$L33=1),1,0)</f>
        <v/>
      </c>
      <c r="XE34">
        <f>XE33+IF(AND($C33=82,$L33=1),1,0)</f>
        <v/>
      </c>
      <c r="XF34">
        <f>XF33+IF(AND($C33=83,$L33=1),1,0)</f>
        <v/>
      </c>
      <c r="XG34">
        <f>XG33+IF(AND($C33=84,$L33=1),1,0)</f>
        <v/>
      </c>
      <c r="XH34">
        <f>XH33+IF(AND($C33=85,$L33=1),1,0)</f>
        <v/>
      </c>
      <c r="XI34">
        <f>XI33+IF(AND($C33=86,$L33=1),1,0)</f>
        <v/>
      </c>
      <c r="XJ34">
        <f>XJ33+IF(AND($C33=87,$L33=1),1,0)</f>
        <v/>
      </c>
      <c r="XK34">
        <f>XK33+IF(AND($C33=88,$L33=1),1,0)</f>
        <v/>
      </c>
      <c r="XL34">
        <f>XL33+IF(AND($C33=89,$L33=1),1,0)</f>
        <v/>
      </c>
      <c r="XM34">
        <f>XM33+IF(AND($C33=90,$L33=1),1,0)</f>
        <v/>
      </c>
      <c r="XN34">
        <f>XN33+IF(AND($C33=91,$L33=1),1,0)</f>
        <v/>
      </c>
      <c r="XO34">
        <f>XO33+IF(AND($C33=92,$L33=1),1,0)</f>
        <v/>
      </c>
      <c r="XP34">
        <f>XP33+IF(AND($C33=93,$L33=1),1,0)</f>
        <v/>
      </c>
      <c r="XQ34">
        <f>XQ33+IF(AND($C33=94,$L33=1),1,0)</f>
        <v/>
      </c>
      <c r="XR34">
        <f>XR33+IF(AND($C33=95,$L33=1),1,0)</f>
        <v/>
      </c>
      <c r="XS34">
        <f>XS33+IF(AND($C33=96,$L33=1),1,0)</f>
        <v/>
      </c>
      <c r="XT34">
        <f>XT33+IF(AND($C33=97,$L33=1),1,0)</f>
        <v/>
      </c>
      <c r="XU34">
        <f>XU33+IF(AND($C33=98,$L33=1),1,0)</f>
        <v/>
      </c>
      <c r="XV34">
        <f>XV33+IF(AND($C33=99,$L33=1),1,0)</f>
        <v/>
      </c>
      <c r="XW34">
        <f>XW33+IF(AND($C33=100,$L33=1),1,0)</f>
        <v/>
      </c>
      <c r="XX34">
        <f>XX33+IF(AND($C33=101,$L33=1),1,0)</f>
        <v/>
      </c>
      <c r="XY34">
        <f>XY33+IF(AND($C33=102,$L33=1),1,0)</f>
        <v/>
      </c>
      <c r="XZ34">
        <f>XZ33+IF(AND($C33=103,$L33=1),1,0)</f>
        <v/>
      </c>
      <c r="YA34">
        <f>YA33+IF(AND($C33=104,$L33=1),1,0)</f>
        <v/>
      </c>
      <c r="YB34">
        <f>YB33+IF(AND($C33=105,$L33=1),1,0)</f>
        <v/>
      </c>
      <c r="YC34">
        <f>YC33+IF(AND($C33=106,$L33=1),1,0)</f>
        <v/>
      </c>
      <c r="YD34">
        <f>YD33+IF(AND($C33=107,$L33=1),1,0)</f>
        <v/>
      </c>
      <c r="YE34">
        <f>YE33+IF(AND($C33=108,$L33=1),1,0)</f>
        <v/>
      </c>
      <c r="YF34">
        <f>YF33+IF(AND($C33=109,$L33=1),1,0)</f>
        <v/>
      </c>
      <c r="YG34">
        <f>YG33+IF(AND($C33=110,$L33=1),1,0)</f>
        <v/>
      </c>
      <c r="YH34">
        <f>YH33+IF(AND($C33=111,$L33=1),1,0)</f>
        <v/>
      </c>
      <c r="YI34">
        <f>YI33+IF(AND($C33=112,$L33=1),1,0)</f>
        <v/>
      </c>
      <c r="YJ34">
        <f>YJ33+IF(AND($C33=113,$L33=1),1,0)</f>
        <v/>
      </c>
      <c r="YK34">
        <f>YK33+IF(AND($C33=114,$L33=1),1,0)</f>
        <v/>
      </c>
      <c r="YL34">
        <f>YL33+IF(AND($C33=115,$L33=1),1,0)</f>
        <v/>
      </c>
      <c r="YM34">
        <f>YM33+IF(AND($C33=116,$L33=1),1,0)</f>
        <v/>
      </c>
      <c r="YN34">
        <f>YN33+IF(AND($C33=117,$L33=1),1,0)</f>
        <v/>
      </c>
      <c r="YO34">
        <f>YO33+IF(AND($C33=118,$L33=1),1,0)</f>
        <v/>
      </c>
      <c r="YP34">
        <f>YP33+IF(AND($C33=119,$L33=1),1,0)</f>
        <v/>
      </c>
      <c r="YQ34">
        <f>YQ33+IF(AND($C33=120,$L33=1),1,0)</f>
        <v/>
      </c>
      <c r="YR34">
        <f>YR33+IF(AND($C33=121,$L33=1),1,0)</f>
        <v/>
      </c>
      <c r="YS34">
        <f>YS33+IF(AND($C33=122,$L33=1),1,0)</f>
        <v/>
      </c>
      <c r="YT34">
        <f>YT33+IF(AND($C33=123,$L33=1),1,0)</f>
        <v/>
      </c>
      <c r="YU34">
        <f>YU33+IF(AND($C33=124,$L33=1),1,0)</f>
        <v/>
      </c>
      <c r="YV34">
        <f>YV33+IF(AND($C33=125,$L33=1),1,0)</f>
        <v/>
      </c>
      <c r="YW34">
        <f>YW33+IF(AND($C33=126,$L33=1),1,0)</f>
        <v/>
      </c>
      <c r="YX34">
        <f>YX33+IF(AND($C33=127,$L33=1),1,0)</f>
        <v/>
      </c>
      <c r="YY34">
        <f>YY33+IF(AND($C33=128,$L33=1),1,0)</f>
        <v/>
      </c>
      <c r="YZ34">
        <f>YZ33+IF(AND($C33=129,$L33=1),1,0)</f>
        <v/>
      </c>
      <c r="ZA34">
        <f>ZA33+IF(AND($C33=130,$L33=1),1,0)</f>
        <v/>
      </c>
      <c r="ZB34">
        <f>ZB33+IF(AND($C33=131,$L33=1),1,0)</f>
        <v/>
      </c>
      <c r="ZC34">
        <f>ZC33+IF(AND($C33=132,$L33=1),1,0)</f>
        <v/>
      </c>
      <c r="ZD34">
        <f>ZD33+IF(AND($C33=133,$L33=1),1,0)</f>
        <v/>
      </c>
      <c r="ZE34">
        <f>ZE33+IF(AND($C33=134,$L33=1),1,0)</f>
        <v/>
      </c>
      <c r="ZF34">
        <f>ZF33+IF(AND($C33=135,$L33=1),1,0)</f>
        <v/>
      </c>
      <c r="ZG34">
        <f>ZG33+IF(AND($C33=136,$L33=1),1,0)</f>
        <v/>
      </c>
      <c r="ZH34">
        <f>ZH33+IF(AND($C33=137,$L33=1),1,0)</f>
        <v/>
      </c>
      <c r="ZI34">
        <f>ZI33+IF(AND($C33=138,$L33=1),1,0)</f>
        <v/>
      </c>
      <c r="ZJ34">
        <f>ZJ33+IF(AND($C33=139,$L33=1),1,0)</f>
        <v/>
      </c>
      <c r="ZK34">
        <f>ZK33+IF(AND($C33=140,$L33=1),1,0)</f>
        <v/>
      </c>
      <c r="ZL34">
        <f>ZL33+IF(AND($C33=141,$L33=1),1,0)</f>
        <v/>
      </c>
      <c r="ZM34">
        <f>ZM33+IF(AND($C33=142,$L33=1),1,0)</f>
        <v/>
      </c>
      <c r="ZN34">
        <f>ZN33+IF(AND($C33=143,$L33=1),1,0)</f>
        <v/>
      </c>
      <c r="ZO34">
        <f>ZO33+IF(AND($C33=144,$L33=1),1,0)</f>
        <v/>
      </c>
    </row>
    <row r="35">
      <c r="A35" t="n">
        <v>33</v>
      </c>
      <c r="B35">
        <f>IF(MIN(BH35:CZ35)&gt;=1000000,0,MATCH(MIN(BH35:CZ35),BH35:CZ35,0))</f>
        <v/>
      </c>
      <c r="C35">
        <f>IF(MIN(OF35:TS35)&gt;=1000000,0,MATCH(MIN(OF35:TS35),OF35:TS35,0))</f>
        <v/>
      </c>
      <c r="D35">
        <f>IF(C35&gt;0,INDEX('計算A'!$D$5:$EQ$5,C35),0)</f>
        <v/>
      </c>
      <c r="E35">
        <f>IF(B35=0,0,INDEX('計算A'!$IQ$10:$IQ$54,B35))</f>
        <v/>
      </c>
      <c r="F35">
        <f>IF(B35=0,0,INDEX('計算A'!$IP$10:$IP$54,B35))</f>
        <v/>
      </c>
      <c r="G35">
        <f>IF(AND(C35&gt;0,E35&gt;0),IF(AND(INDEX('計算A'!$D$106:$EQ$106,C35)=1,INDEX($IQ35:$OD35,C35)=1),C35+1,0),0)</f>
        <v/>
      </c>
      <c r="H35">
        <f>IF(B35=0,0,INDEX('計算A'!$IW$10:$IW$54,B35))</f>
        <v/>
      </c>
      <c r="I35">
        <f>IF(B35=0,0,MAX(0,INDEX('計算A'!$IT$10:$IT$54,B35)))</f>
        <v/>
      </c>
      <c r="J35">
        <f>IF(I35=0,0,INDEX('計算A'!$D$2:$EQ$2,I35))</f>
        <v/>
      </c>
      <c r="K35">
        <f>IF(I35=0,0,INDEX('計算A'!$D$3:$EQ$3,I35))</f>
        <v/>
      </c>
      <c r="L35">
        <f>IF(B35=0,0,INDEX('計算A'!$IX$10:$IX$54,B35))</f>
        <v/>
      </c>
      <c r="N35">
        <f>MAX(N34,IF($B34=1,1,0))</f>
        <v/>
      </c>
      <c r="O35">
        <f>MAX(O34,IF($B34=2,1,0))</f>
        <v/>
      </c>
      <c r="P35">
        <f>MAX(P34,IF($B34=3,1,0))</f>
        <v/>
      </c>
      <c r="Q35">
        <f>MAX(Q34,IF($B34=4,1,0))</f>
        <v/>
      </c>
      <c r="R35">
        <f>MAX(R34,IF($B34=5,1,0))</f>
        <v/>
      </c>
      <c r="S35">
        <f>MAX(S34,IF($B34=6,1,0))</f>
        <v/>
      </c>
      <c r="T35">
        <f>MAX(T34,IF($B34=7,1,0))</f>
        <v/>
      </c>
      <c r="U35">
        <f>MAX(U34,IF($B34=8,1,0))</f>
        <v/>
      </c>
      <c r="V35">
        <f>MAX(V34,IF($B34=9,1,0))</f>
        <v/>
      </c>
      <c r="W35">
        <f>MAX(W34,IF($B34=10,1,0))</f>
        <v/>
      </c>
      <c r="X35">
        <f>MAX(X34,IF($B34=11,1,0))</f>
        <v/>
      </c>
      <c r="Y35">
        <f>MAX(Y34,IF($B34=12,1,0))</f>
        <v/>
      </c>
      <c r="Z35">
        <f>MAX(Z34,IF($B34=13,1,0))</f>
        <v/>
      </c>
      <c r="AA35">
        <f>MAX(AA34,IF($B34=14,1,0))</f>
        <v/>
      </c>
      <c r="AB35">
        <f>MAX(AB34,IF($B34=15,1,0))</f>
        <v/>
      </c>
      <c r="AC35">
        <f>MAX(AC34,IF($B34=16,1,0))</f>
        <v/>
      </c>
      <c r="AD35">
        <f>MAX(AD34,IF($B34=17,1,0))</f>
        <v/>
      </c>
      <c r="AE35">
        <f>MAX(AE34,IF($B34=18,1,0))</f>
        <v/>
      </c>
      <c r="AF35">
        <f>MAX(AF34,IF($B34=19,1,0))</f>
        <v/>
      </c>
      <c r="AG35">
        <f>MAX(AG34,IF($B34=20,1,0))</f>
        <v/>
      </c>
      <c r="AH35">
        <f>MAX(AH34,IF($B34=21,1,0))</f>
        <v/>
      </c>
      <c r="AI35">
        <f>MAX(AI34,IF($B34=22,1,0))</f>
        <v/>
      </c>
      <c r="AJ35">
        <f>MAX(AJ34,IF($B34=23,1,0))</f>
        <v/>
      </c>
      <c r="AK35">
        <f>MAX(AK34,IF($B34=24,1,0))</f>
        <v/>
      </c>
      <c r="AL35">
        <f>MAX(AL34,IF($B34=25,1,0))</f>
        <v/>
      </c>
      <c r="AM35">
        <f>MAX(AM34,IF($B34=26,1,0))</f>
        <v/>
      </c>
      <c r="AN35">
        <f>MAX(AN34,IF($B34=27,1,0))</f>
        <v/>
      </c>
      <c r="AO35">
        <f>MAX(AO34,IF($B34=28,1,0))</f>
        <v/>
      </c>
      <c r="AP35">
        <f>MAX(AP34,IF($B34=29,1,0))</f>
        <v/>
      </c>
      <c r="AQ35">
        <f>MAX(AQ34,IF($B34=30,1,0))</f>
        <v/>
      </c>
      <c r="AR35">
        <f>MAX(AR34,IF($B34=31,1,0))</f>
        <v/>
      </c>
      <c r="AS35">
        <f>MAX(AS34,IF($B34=32,1,0))</f>
        <v/>
      </c>
      <c r="AT35">
        <f>MAX(AT34,IF($B34=33,1,0))</f>
        <v/>
      </c>
      <c r="AU35">
        <f>MAX(AU34,IF($B34=34,1,0))</f>
        <v/>
      </c>
      <c r="AV35">
        <f>MAX(AV34,IF($B34=35,1,0))</f>
        <v/>
      </c>
      <c r="AW35">
        <f>MAX(AW34,IF($B34=36,1,0))</f>
        <v/>
      </c>
      <c r="AX35">
        <f>MAX(AX34,IF($B34=37,1,0))</f>
        <v/>
      </c>
      <c r="AY35">
        <f>MAX(AY34,IF($B34=38,1,0))</f>
        <v/>
      </c>
      <c r="AZ35">
        <f>MAX(AZ34,IF($B34=39,1,0))</f>
        <v/>
      </c>
      <c r="BA35">
        <f>MAX(BA34,IF($B34=40,1,0))</f>
        <v/>
      </c>
      <c r="BB35">
        <f>MAX(BB34,IF($B34=41,1,0))</f>
        <v/>
      </c>
      <c r="BC35">
        <f>MAX(BC34,IF($B34=42,1,0))</f>
        <v/>
      </c>
      <c r="BD35">
        <f>MAX(BD34,IF($B34=43,1,0))</f>
        <v/>
      </c>
      <c r="BE35">
        <f>MAX(BE34,IF($B34=44,1,0))</f>
        <v/>
      </c>
      <c r="BF35">
        <f>MAX(BF34,IF($B34=45,1,0))</f>
        <v/>
      </c>
      <c r="BH35">
        <f>IF(N35=1,1000000,IF('計算A'!$IT$10&gt;0,0,500000)+IF('計算A'!$IQ$10=2,SUMPRODUCT('計算A'!$D$60:$EQ$60,$DB35:$IO35,$IQ35:$OD35),SUMPRODUCT('計算A'!$D$60:$EQ$60,$DB35:$IO35))*1000+1)</f>
        <v/>
      </c>
      <c r="BI35">
        <f>IF(O35=1,1000000,IF('計算A'!$IT$11&gt;0,0,500000)+IF('計算A'!$IQ$11=2,SUMPRODUCT('計算A'!$D$61:$EQ$61,$DB35:$IO35,$IQ35:$OD35),SUMPRODUCT('計算A'!$D$61:$EQ$61,$DB35:$IO35))*1000+2)</f>
        <v/>
      </c>
      <c r="BJ35">
        <f>IF(P35=1,1000000,IF('計算A'!$IT$12&gt;0,0,500000)+IF('計算A'!$IQ$12=2,SUMPRODUCT('計算A'!$D$62:$EQ$62,$DB35:$IO35,$IQ35:$OD35),SUMPRODUCT('計算A'!$D$62:$EQ$62,$DB35:$IO35))*1000+3)</f>
        <v/>
      </c>
      <c r="BK35">
        <f>IF(Q35=1,1000000,IF('計算A'!$IT$13&gt;0,0,500000)+IF('計算A'!$IQ$13=2,SUMPRODUCT('計算A'!$D$63:$EQ$63,$DB35:$IO35,$IQ35:$OD35),SUMPRODUCT('計算A'!$D$63:$EQ$63,$DB35:$IO35))*1000+4)</f>
        <v/>
      </c>
      <c r="BL35">
        <f>IF(R35=1,1000000,IF('計算A'!$IT$14&gt;0,0,500000)+IF('計算A'!$IQ$14=2,SUMPRODUCT('計算A'!$D$64:$EQ$64,$DB35:$IO35,$IQ35:$OD35),SUMPRODUCT('計算A'!$D$64:$EQ$64,$DB35:$IO35))*1000+5)</f>
        <v/>
      </c>
      <c r="BM35">
        <f>IF(S35=1,1000000,IF('計算A'!$IT$15&gt;0,0,500000)+IF('計算A'!$IQ$15=2,SUMPRODUCT('計算A'!$D$65:$EQ$65,$DB35:$IO35,$IQ35:$OD35),SUMPRODUCT('計算A'!$D$65:$EQ$65,$DB35:$IO35))*1000+6)</f>
        <v/>
      </c>
      <c r="BN35">
        <f>IF(T35=1,1000000,IF('計算A'!$IT$16&gt;0,0,500000)+IF('計算A'!$IQ$16=2,SUMPRODUCT('計算A'!$D$66:$EQ$66,$DB35:$IO35,$IQ35:$OD35),SUMPRODUCT('計算A'!$D$66:$EQ$66,$DB35:$IO35))*1000+7)</f>
        <v/>
      </c>
      <c r="BO35">
        <f>IF(U35=1,1000000,IF('計算A'!$IT$17&gt;0,0,500000)+IF('計算A'!$IQ$17=2,SUMPRODUCT('計算A'!$D$67:$EQ$67,$DB35:$IO35,$IQ35:$OD35),SUMPRODUCT('計算A'!$D$67:$EQ$67,$DB35:$IO35))*1000+8)</f>
        <v/>
      </c>
      <c r="BP35">
        <f>IF(V35=1,1000000,IF('計算A'!$IT$18&gt;0,0,500000)+IF('計算A'!$IQ$18=2,SUMPRODUCT('計算A'!$D$68:$EQ$68,$DB35:$IO35,$IQ35:$OD35),SUMPRODUCT('計算A'!$D$68:$EQ$68,$DB35:$IO35))*1000+9)</f>
        <v/>
      </c>
      <c r="BQ35">
        <f>IF(W35=1,1000000,IF('計算A'!$IT$19&gt;0,0,500000)+IF('計算A'!$IQ$19=2,SUMPRODUCT('計算A'!$D$69:$EQ$69,$DB35:$IO35,$IQ35:$OD35),SUMPRODUCT('計算A'!$D$69:$EQ$69,$DB35:$IO35))*1000+10)</f>
        <v/>
      </c>
      <c r="BR35">
        <f>IF(X35=1,1000000,IF('計算A'!$IT$20&gt;0,0,500000)+IF('計算A'!$IQ$20=2,SUMPRODUCT('計算A'!$D$70:$EQ$70,$DB35:$IO35,$IQ35:$OD35),SUMPRODUCT('計算A'!$D$70:$EQ$70,$DB35:$IO35))*1000+11)</f>
        <v/>
      </c>
      <c r="BS35">
        <f>IF(Y35=1,1000000,IF('計算A'!$IT$21&gt;0,0,500000)+IF('計算A'!$IQ$21=2,SUMPRODUCT('計算A'!$D$71:$EQ$71,$DB35:$IO35,$IQ35:$OD35),SUMPRODUCT('計算A'!$D$71:$EQ$71,$DB35:$IO35))*1000+12)</f>
        <v/>
      </c>
      <c r="BT35">
        <f>IF(Z35=1,1000000,IF('計算A'!$IT$22&gt;0,0,500000)+IF('計算A'!$IQ$22=2,SUMPRODUCT('計算A'!$D$72:$EQ$72,$DB35:$IO35,$IQ35:$OD35),SUMPRODUCT('計算A'!$D$72:$EQ$72,$DB35:$IO35))*1000+13)</f>
        <v/>
      </c>
      <c r="BU35">
        <f>IF(AA35=1,1000000,IF('計算A'!$IT$23&gt;0,0,500000)+IF('計算A'!$IQ$23=2,SUMPRODUCT('計算A'!$D$73:$EQ$73,$DB35:$IO35,$IQ35:$OD35),SUMPRODUCT('計算A'!$D$73:$EQ$73,$DB35:$IO35))*1000+14)</f>
        <v/>
      </c>
      <c r="BV35">
        <f>IF(AB35=1,1000000,IF('計算A'!$IT$24&gt;0,0,500000)+IF('計算A'!$IQ$24=2,SUMPRODUCT('計算A'!$D$74:$EQ$74,$DB35:$IO35,$IQ35:$OD35),SUMPRODUCT('計算A'!$D$74:$EQ$74,$DB35:$IO35))*1000+15)</f>
        <v/>
      </c>
      <c r="BW35">
        <f>IF(AC35=1,1000000,IF('計算A'!$IT$25&gt;0,0,500000)+IF('計算A'!$IQ$25=2,SUMPRODUCT('計算A'!$D$75:$EQ$75,$DB35:$IO35,$IQ35:$OD35),SUMPRODUCT('計算A'!$D$75:$EQ$75,$DB35:$IO35))*1000+16)</f>
        <v/>
      </c>
      <c r="BX35">
        <f>IF(AD35=1,1000000,IF('計算A'!$IT$26&gt;0,0,500000)+IF('計算A'!$IQ$26=2,SUMPRODUCT('計算A'!$D$76:$EQ$76,$DB35:$IO35,$IQ35:$OD35),SUMPRODUCT('計算A'!$D$76:$EQ$76,$DB35:$IO35))*1000+17)</f>
        <v/>
      </c>
      <c r="BY35">
        <f>IF(AE35=1,1000000,IF('計算A'!$IT$27&gt;0,0,500000)+IF('計算A'!$IQ$27=2,SUMPRODUCT('計算A'!$D$77:$EQ$77,$DB35:$IO35,$IQ35:$OD35),SUMPRODUCT('計算A'!$D$77:$EQ$77,$DB35:$IO35))*1000+18)</f>
        <v/>
      </c>
      <c r="BZ35">
        <f>IF(AF35=1,1000000,IF('計算A'!$IT$28&gt;0,0,500000)+IF('計算A'!$IQ$28=2,SUMPRODUCT('計算A'!$D$78:$EQ$78,$DB35:$IO35,$IQ35:$OD35),SUMPRODUCT('計算A'!$D$78:$EQ$78,$DB35:$IO35))*1000+19)</f>
        <v/>
      </c>
      <c r="CA35">
        <f>IF(AG35=1,1000000,IF('計算A'!$IT$29&gt;0,0,500000)+IF('計算A'!$IQ$29=2,SUMPRODUCT('計算A'!$D$79:$EQ$79,$DB35:$IO35,$IQ35:$OD35),SUMPRODUCT('計算A'!$D$79:$EQ$79,$DB35:$IO35))*1000+20)</f>
        <v/>
      </c>
      <c r="CB35">
        <f>IF(AH35=1,1000000,IF('計算A'!$IT$30&gt;0,0,500000)+IF('計算A'!$IQ$30=2,SUMPRODUCT('計算A'!$D$80:$EQ$80,$DB35:$IO35,$IQ35:$OD35),SUMPRODUCT('計算A'!$D$80:$EQ$80,$DB35:$IO35))*1000+21)</f>
        <v/>
      </c>
      <c r="CC35">
        <f>IF(AI35=1,1000000,IF('計算A'!$IT$31&gt;0,0,500000)+IF('計算A'!$IQ$31=2,SUMPRODUCT('計算A'!$D$81:$EQ$81,$DB35:$IO35,$IQ35:$OD35),SUMPRODUCT('計算A'!$D$81:$EQ$81,$DB35:$IO35))*1000+22)</f>
        <v/>
      </c>
      <c r="CD35">
        <f>IF(AJ35=1,1000000,IF('計算A'!$IT$32&gt;0,0,500000)+IF('計算A'!$IQ$32=2,SUMPRODUCT('計算A'!$D$82:$EQ$82,$DB35:$IO35,$IQ35:$OD35),SUMPRODUCT('計算A'!$D$82:$EQ$82,$DB35:$IO35))*1000+23)</f>
        <v/>
      </c>
      <c r="CE35">
        <f>IF(AK35=1,1000000,IF('計算A'!$IT$33&gt;0,0,500000)+IF('計算A'!$IQ$33=2,SUMPRODUCT('計算A'!$D$83:$EQ$83,$DB35:$IO35,$IQ35:$OD35),SUMPRODUCT('計算A'!$D$83:$EQ$83,$DB35:$IO35))*1000+24)</f>
        <v/>
      </c>
      <c r="CF35">
        <f>IF(AL35=1,1000000,IF('計算A'!$IT$34&gt;0,0,500000)+IF('計算A'!$IQ$34=2,SUMPRODUCT('計算A'!$D$84:$EQ$84,$DB35:$IO35,$IQ35:$OD35),SUMPRODUCT('計算A'!$D$84:$EQ$84,$DB35:$IO35))*1000+25)</f>
        <v/>
      </c>
      <c r="CG35">
        <f>IF(AM35=1,1000000,IF('計算A'!$IT$35&gt;0,0,500000)+IF('計算A'!$IQ$35=2,SUMPRODUCT('計算A'!$D$85:$EQ$85,$DB35:$IO35,$IQ35:$OD35),SUMPRODUCT('計算A'!$D$85:$EQ$85,$DB35:$IO35))*1000+26)</f>
        <v/>
      </c>
      <c r="CH35">
        <f>IF(AN35=1,1000000,IF('計算A'!$IT$36&gt;0,0,500000)+IF('計算A'!$IQ$36=2,SUMPRODUCT('計算A'!$D$86:$EQ$86,$DB35:$IO35,$IQ35:$OD35),SUMPRODUCT('計算A'!$D$86:$EQ$86,$DB35:$IO35))*1000+27)</f>
        <v/>
      </c>
      <c r="CI35">
        <f>IF(AO35=1,1000000,IF('計算A'!$IT$37&gt;0,0,500000)+IF('計算A'!$IQ$37=2,SUMPRODUCT('計算A'!$D$87:$EQ$87,$DB35:$IO35,$IQ35:$OD35),SUMPRODUCT('計算A'!$D$87:$EQ$87,$DB35:$IO35))*1000+28)</f>
        <v/>
      </c>
      <c r="CJ35">
        <f>IF(AP35=1,1000000,IF('計算A'!$IT$38&gt;0,0,500000)+IF('計算A'!$IQ$38=2,SUMPRODUCT('計算A'!$D$88:$EQ$88,$DB35:$IO35,$IQ35:$OD35),SUMPRODUCT('計算A'!$D$88:$EQ$88,$DB35:$IO35))*1000+29)</f>
        <v/>
      </c>
      <c r="CK35">
        <f>IF(AQ35=1,1000000,IF('計算A'!$IT$39&gt;0,0,500000)+IF('計算A'!$IQ$39=2,SUMPRODUCT('計算A'!$D$89:$EQ$89,$DB35:$IO35,$IQ35:$OD35),SUMPRODUCT('計算A'!$D$89:$EQ$89,$DB35:$IO35))*1000+30)</f>
        <v/>
      </c>
      <c r="CL35">
        <f>IF(AR35=1,1000000,IF('計算A'!$IT$40&gt;0,0,500000)+IF('計算A'!$IQ$40=2,SUMPRODUCT('計算A'!$D$90:$EQ$90,$DB35:$IO35,$IQ35:$OD35),SUMPRODUCT('計算A'!$D$90:$EQ$90,$DB35:$IO35))*1000+31)</f>
        <v/>
      </c>
      <c r="CM35">
        <f>IF(AS35=1,1000000,IF('計算A'!$IT$41&gt;0,0,500000)+IF('計算A'!$IQ$41=2,SUMPRODUCT('計算A'!$D$91:$EQ$91,$DB35:$IO35,$IQ35:$OD35),SUMPRODUCT('計算A'!$D$91:$EQ$91,$DB35:$IO35))*1000+32)</f>
        <v/>
      </c>
      <c r="CN35">
        <f>IF(AT35=1,1000000,IF('計算A'!$IT$42&gt;0,0,500000)+IF('計算A'!$IQ$42=2,SUMPRODUCT('計算A'!$D$92:$EQ$92,$DB35:$IO35,$IQ35:$OD35),SUMPRODUCT('計算A'!$D$92:$EQ$92,$DB35:$IO35))*1000+33)</f>
        <v/>
      </c>
      <c r="CO35">
        <f>IF(AU35=1,1000000,IF('計算A'!$IT$43&gt;0,0,500000)+IF('計算A'!$IQ$43=2,SUMPRODUCT('計算A'!$D$93:$EQ$93,$DB35:$IO35,$IQ35:$OD35),SUMPRODUCT('計算A'!$D$93:$EQ$93,$DB35:$IO35))*1000+34)</f>
        <v/>
      </c>
      <c r="CP35">
        <f>IF(AV35=1,1000000,IF('計算A'!$IT$44&gt;0,0,500000)+IF('計算A'!$IQ$44=2,SUMPRODUCT('計算A'!$D$94:$EQ$94,$DB35:$IO35,$IQ35:$OD35),SUMPRODUCT('計算A'!$D$94:$EQ$94,$DB35:$IO35))*1000+35)</f>
        <v/>
      </c>
      <c r="CQ35">
        <f>IF(AW35=1,1000000,IF('計算A'!$IT$45&gt;0,0,500000)+IF('計算A'!$IQ$45=2,SUMPRODUCT('計算A'!$D$95:$EQ$95,$DB35:$IO35,$IQ35:$OD35),SUMPRODUCT('計算A'!$D$95:$EQ$95,$DB35:$IO35))*1000+36)</f>
        <v/>
      </c>
      <c r="CR35">
        <f>IF(AX35=1,1000000,IF('計算A'!$IT$46&gt;0,0,500000)+IF('計算A'!$IQ$46=2,SUMPRODUCT('計算A'!$D$96:$EQ$96,$DB35:$IO35,$IQ35:$OD35),SUMPRODUCT('計算A'!$D$96:$EQ$96,$DB35:$IO35))*1000+37)</f>
        <v/>
      </c>
      <c r="CS35">
        <f>IF(AY35=1,1000000,IF('計算A'!$IT$47&gt;0,0,500000)+IF('計算A'!$IQ$47=2,SUMPRODUCT('計算A'!$D$97:$EQ$97,$DB35:$IO35,$IQ35:$OD35),SUMPRODUCT('計算A'!$D$97:$EQ$97,$DB35:$IO35))*1000+38)</f>
        <v/>
      </c>
      <c r="CT35">
        <f>IF(AZ35=1,1000000,IF('計算A'!$IT$48&gt;0,0,500000)+IF('計算A'!$IQ$48=2,SUMPRODUCT('計算A'!$D$98:$EQ$98,$DB35:$IO35,$IQ35:$OD35),SUMPRODUCT('計算A'!$D$98:$EQ$98,$DB35:$IO35))*1000+39)</f>
        <v/>
      </c>
      <c r="CU35">
        <f>IF(BA35=1,1000000,IF('計算A'!$IT$49&gt;0,0,500000)+IF('計算A'!$IQ$49=2,SUMPRODUCT('計算A'!$D$99:$EQ$99,$DB35:$IO35,$IQ35:$OD35),SUMPRODUCT('計算A'!$D$99:$EQ$99,$DB35:$IO35))*1000+40)</f>
        <v/>
      </c>
      <c r="CV35">
        <f>IF(BB35=1,1000000,IF('計算A'!$IT$50&gt;0,0,500000)+IF('計算A'!$IQ$50=2,SUMPRODUCT('計算A'!$D$100:$EQ$100,$DB35:$IO35,$IQ35:$OD35),SUMPRODUCT('計算A'!$D$100:$EQ$100,$DB35:$IO35))*1000+41)</f>
        <v/>
      </c>
      <c r="CW35">
        <f>IF(BC35=1,1000000,IF('計算A'!$IT$51&gt;0,0,500000)+IF('計算A'!$IQ$51=2,SUMPRODUCT('計算A'!$D$101:$EQ$101,$DB35:$IO35,$IQ35:$OD35),SUMPRODUCT('計算A'!$D$101:$EQ$101,$DB35:$IO35))*1000+42)</f>
        <v/>
      </c>
      <c r="CX35">
        <f>IF(BD35=1,1000000,IF('計算A'!$IT$52&gt;0,0,500000)+IF('計算A'!$IQ$52=2,SUMPRODUCT('計算A'!$D$102:$EQ$102,$DB35:$IO35,$IQ35:$OD35),SUMPRODUCT('計算A'!$D$102:$EQ$102,$DB35:$IO35))*1000+43)</f>
        <v/>
      </c>
      <c r="CY35">
        <f>IF(BE35=1,1000000,IF('計算A'!$IT$53&gt;0,0,500000)+IF('計算A'!$IQ$53=2,SUMPRODUCT('計算A'!$D$103:$EQ$103,$DB35:$IO35,$IQ35:$OD35),SUMPRODUCT('計算A'!$D$103:$EQ$103,$DB35:$IO35))*1000+44)</f>
        <v/>
      </c>
      <c r="CZ35">
        <f>IF(BF35=1,1000000,IF('計算A'!$IT$54&gt;0,0,500000)+IF('計算A'!$IQ$54=2,SUMPRODUCT('計算A'!$D$104:$EQ$104,$DB35:$IO35,$IQ35:$OD35),SUMPRODUCT('計算A'!$D$104:$EQ$104,$DB35:$IO35))*1000+45)</f>
        <v/>
      </c>
      <c r="DB35">
        <f>DB34*IF(OR($C34=1,$G34=1),0,1)</f>
        <v/>
      </c>
      <c r="DC35">
        <f>DC34*IF(OR($C34=2,$G34=2),0,1)</f>
        <v/>
      </c>
      <c r="DD35">
        <f>DD34*IF(OR($C34=3,$G34=3),0,1)</f>
        <v/>
      </c>
      <c r="DE35">
        <f>DE34*IF(OR($C34=4,$G34=4),0,1)</f>
        <v/>
      </c>
      <c r="DF35">
        <f>DF34*IF(OR($C34=5,$G34=5),0,1)</f>
        <v/>
      </c>
      <c r="DG35">
        <f>DG34*IF(OR($C34=6,$G34=6),0,1)</f>
        <v/>
      </c>
      <c r="DH35">
        <f>DH34*IF(OR($C34=7,$G34=7),0,1)</f>
        <v/>
      </c>
      <c r="DI35">
        <f>DI34*IF(OR($C34=8,$G34=8),0,1)</f>
        <v/>
      </c>
      <c r="DJ35">
        <f>DJ34*IF(OR($C34=9,$G34=9),0,1)</f>
        <v/>
      </c>
      <c r="DK35">
        <f>DK34*IF(OR($C34=10,$G34=10),0,1)</f>
        <v/>
      </c>
      <c r="DL35">
        <f>DL34*IF(OR($C34=11,$G34=11),0,1)</f>
        <v/>
      </c>
      <c r="DM35">
        <f>DM34*IF(OR($C34=12,$G34=12),0,1)</f>
        <v/>
      </c>
      <c r="DN35">
        <f>DN34*IF(OR($C34=13,$G34=13),0,1)</f>
        <v/>
      </c>
      <c r="DO35">
        <f>DO34*IF(OR($C34=14,$G34=14),0,1)</f>
        <v/>
      </c>
      <c r="DP35">
        <f>DP34*IF(OR($C34=15,$G34=15),0,1)</f>
        <v/>
      </c>
      <c r="DQ35">
        <f>DQ34*IF(OR($C34=16,$G34=16),0,1)</f>
        <v/>
      </c>
      <c r="DR35">
        <f>DR34*IF(OR($C34=17,$G34=17),0,1)</f>
        <v/>
      </c>
      <c r="DS35">
        <f>DS34*IF(OR($C34=18,$G34=18),0,1)</f>
        <v/>
      </c>
      <c r="DT35">
        <f>DT34*IF(OR($C34=19,$G34=19),0,1)</f>
        <v/>
      </c>
      <c r="DU35">
        <f>DU34*IF(OR($C34=20,$G34=20),0,1)</f>
        <v/>
      </c>
      <c r="DV35">
        <f>DV34*IF(OR($C34=21,$G34=21),0,1)</f>
        <v/>
      </c>
      <c r="DW35">
        <f>DW34*IF(OR($C34=22,$G34=22),0,1)</f>
        <v/>
      </c>
      <c r="DX35">
        <f>DX34*IF(OR($C34=23,$G34=23),0,1)</f>
        <v/>
      </c>
      <c r="DY35">
        <f>DY34*IF(OR($C34=24,$G34=24),0,1)</f>
        <v/>
      </c>
      <c r="DZ35">
        <f>DZ34*IF(OR($C34=25,$G34=25),0,1)</f>
        <v/>
      </c>
      <c r="EA35">
        <f>EA34*IF(OR($C34=26,$G34=26),0,1)</f>
        <v/>
      </c>
      <c r="EB35">
        <f>EB34*IF(OR($C34=27,$G34=27),0,1)</f>
        <v/>
      </c>
      <c r="EC35">
        <f>EC34*IF(OR($C34=28,$G34=28),0,1)</f>
        <v/>
      </c>
      <c r="ED35">
        <f>ED34*IF(OR($C34=29,$G34=29),0,1)</f>
        <v/>
      </c>
      <c r="EE35">
        <f>EE34*IF(OR($C34=30,$G34=30),0,1)</f>
        <v/>
      </c>
      <c r="EF35">
        <f>EF34*IF(OR($C34=31,$G34=31),0,1)</f>
        <v/>
      </c>
      <c r="EG35">
        <f>EG34*IF(OR($C34=32,$G34=32),0,1)</f>
        <v/>
      </c>
      <c r="EH35">
        <f>EH34*IF(OR($C34=33,$G34=33),0,1)</f>
        <v/>
      </c>
      <c r="EI35">
        <f>EI34*IF(OR($C34=34,$G34=34),0,1)</f>
        <v/>
      </c>
      <c r="EJ35">
        <f>EJ34*IF(OR($C34=35,$G34=35),0,1)</f>
        <v/>
      </c>
      <c r="EK35">
        <f>EK34*IF(OR($C34=36,$G34=36),0,1)</f>
        <v/>
      </c>
      <c r="EL35">
        <f>EL34*IF(OR($C34=37,$G34=37),0,1)</f>
        <v/>
      </c>
      <c r="EM35">
        <f>EM34*IF(OR($C34=38,$G34=38),0,1)</f>
        <v/>
      </c>
      <c r="EN35">
        <f>EN34*IF(OR($C34=39,$G34=39),0,1)</f>
        <v/>
      </c>
      <c r="EO35">
        <f>EO34*IF(OR($C34=40,$G34=40),0,1)</f>
        <v/>
      </c>
      <c r="EP35">
        <f>EP34*IF(OR($C34=41,$G34=41),0,1)</f>
        <v/>
      </c>
      <c r="EQ35">
        <f>EQ34*IF(OR($C34=42,$G34=42),0,1)</f>
        <v/>
      </c>
      <c r="ER35">
        <f>ER34*IF(OR($C34=43,$G34=43),0,1)</f>
        <v/>
      </c>
      <c r="ES35">
        <f>ES34*IF(OR($C34=44,$G34=44),0,1)</f>
        <v/>
      </c>
      <c r="ET35">
        <f>ET34*IF(OR($C34=45,$G34=45),0,1)</f>
        <v/>
      </c>
      <c r="EU35">
        <f>EU34*IF(OR($C34=46,$G34=46),0,1)</f>
        <v/>
      </c>
      <c r="EV35">
        <f>EV34*IF(OR($C34=47,$G34=47),0,1)</f>
        <v/>
      </c>
      <c r="EW35">
        <f>EW34*IF(OR($C34=48,$G34=48),0,1)</f>
        <v/>
      </c>
      <c r="EX35">
        <f>EX34*IF(OR($C34=49,$G34=49),0,1)</f>
        <v/>
      </c>
      <c r="EY35">
        <f>EY34*IF(OR($C34=50,$G34=50),0,1)</f>
        <v/>
      </c>
      <c r="EZ35">
        <f>EZ34*IF(OR($C34=51,$G34=51),0,1)</f>
        <v/>
      </c>
      <c r="FA35">
        <f>FA34*IF(OR($C34=52,$G34=52),0,1)</f>
        <v/>
      </c>
      <c r="FB35">
        <f>FB34*IF(OR($C34=53,$G34=53),0,1)</f>
        <v/>
      </c>
      <c r="FC35">
        <f>FC34*IF(OR($C34=54,$G34=54),0,1)</f>
        <v/>
      </c>
      <c r="FD35">
        <f>FD34*IF(OR($C34=55,$G34=55),0,1)</f>
        <v/>
      </c>
      <c r="FE35">
        <f>FE34*IF(OR($C34=56,$G34=56),0,1)</f>
        <v/>
      </c>
      <c r="FF35">
        <f>FF34*IF(OR($C34=57,$G34=57),0,1)</f>
        <v/>
      </c>
      <c r="FG35">
        <f>FG34*IF(OR($C34=58,$G34=58),0,1)</f>
        <v/>
      </c>
      <c r="FH35">
        <f>FH34*IF(OR($C34=59,$G34=59),0,1)</f>
        <v/>
      </c>
      <c r="FI35">
        <f>FI34*IF(OR($C34=60,$G34=60),0,1)</f>
        <v/>
      </c>
      <c r="FJ35">
        <f>FJ34*IF(OR($C34=61,$G34=61),0,1)</f>
        <v/>
      </c>
      <c r="FK35">
        <f>FK34*IF(OR($C34=62,$G34=62),0,1)</f>
        <v/>
      </c>
      <c r="FL35">
        <f>FL34*IF(OR($C34=63,$G34=63),0,1)</f>
        <v/>
      </c>
      <c r="FM35">
        <f>FM34*IF(OR($C34=64,$G34=64),0,1)</f>
        <v/>
      </c>
      <c r="FN35">
        <f>FN34*IF(OR($C34=65,$G34=65),0,1)</f>
        <v/>
      </c>
      <c r="FO35">
        <f>FO34*IF(OR($C34=66,$G34=66),0,1)</f>
        <v/>
      </c>
      <c r="FP35">
        <f>FP34*IF(OR($C34=67,$G34=67),0,1)</f>
        <v/>
      </c>
      <c r="FQ35">
        <f>FQ34*IF(OR($C34=68,$G34=68),0,1)</f>
        <v/>
      </c>
      <c r="FR35">
        <f>FR34*IF(OR($C34=69,$G34=69),0,1)</f>
        <v/>
      </c>
      <c r="FS35">
        <f>FS34*IF(OR($C34=70,$G34=70),0,1)</f>
        <v/>
      </c>
      <c r="FT35">
        <f>FT34*IF(OR($C34=71,$G34=71),0,1)</f>
        <v/>
      </c>
      <c r="FU35">
        <f>FU34*IF(OR($C34=72,$G34=72),0,1)</f>
        <v/>
      </c>
      <c r="FV35">
        <f>FV34*IF(OR($C34=73,$G34=73),0,1)</f>
        <v/>
      </c>
      <c r="FW35">
        <f>FW34*IF(OR($C34=74,$G34=74),0,1)</f>
        <v/>
      </c>
      <c r="FX35">
        <f>FX34*IF(OR($C34=75,$G34=75),0,1)</f>
        <v/>
      </c>
      <c r="FY35">
        <f>FY34*IF(OR($C34=76,$G34=76),0,1)</f>
        <v/>
      </c>
      <c r="FZ35">
        <f>FZ34*IF(OR($C34=77,$G34=77),0,1)</f>
        <v/>
      </c>
      <c r="GA35">
        <f>GA34*IF(OR($C34=78,$G34=78),0,1)</f>
        <v/>
      </c>
      <c r="GB35">
        <f>GB34*IF(OR($C34=79,$G34=79),0,1)</f>
        <v/>
      </c>
      <c r="GC35">
        <f>GC34*IF(OR($C34=80,$G34=80),0,1)</f>
        <v/>
      </c>
      <c r="GD35">
        <f>GD34*IF(OR($C34=81,$G34=81),0,1)</f>
        <v/>
      </c>
      <c r="GE35">
        <f>GE34*IF(OR($C34=82,$G34=82),0,1)</f>
        <v/>
      </c>
      <c r="GF35">
        <f>GF34*IF(OR($C34=83,$G34=83),0,1)</f>
        <v/>
      </c>
      <c r="GG35">
        <f>GG34*IF(OR($C34=84,$G34=84),0,1)</f>
        <v/>
      </c>
      <c r="GH35">
        <f>GH34*IF(OR($C34=85,$G34=85),0,1)</f>
        <v/>
      </c>
      <c r="GI35">
        <f>GI34*IF(OR($C34=86,$G34=86),0,1)</f>
        <v/>
      </c>
      <c r="GJ35">
        <f>GJ34*IF(OR($C34=87,$G34=87),0,1)</f>
        <v/>
      </c>
      <c r="GK35">
        <f>GK34*IF(OR($C34=88,$G34=88),0,1)</f>
        <v/>
      </c>
      <c r="GL35">
        <f>GL34*IF(OR($C34=89,$G34=89),0,1)</f>
        <v/>
      </c>
      <c r="GM35">
        <f>GM34*IF(OR($C34=90,$G34=90),0,1)</f>
        <v/>
      </c>
      <c r="GN35">
        <f>GN34*IF(OR($C34=91,$G34=91),0,1)</f>
        <v/>
      </c>
      <c r="GO35">
        <f>GO34*IF(OR($C34=92,$G34=92),0,1)</f>
        <v/>
      </c>
      <c r="GP35">
        <f>GP34*IF(OR($C34=93,$G34=93),0,1)</f>
        <v/>
      </c>
      <c r="GQ35">
        <f>GQ34*IF(OR($C34=94,$G34=94),0,1)</f>
        <v/>
      </c>
      <c r="GR35">
        <f>GR34*IF(OR($C34=95,$G34=95),0,1)</f>
        <v/>
      </c>
      <c r="GS35">
        <f>GS34*IF(OR($C34=96,$G34=96),0,1)</f>
        <v/>
      </c>
      <c r="GT35">
        <f>GT34*IF(OR($C34=97,$G34=97),0,1)</f>
        <v/>
      </c>
      <c r="GU35">
        <f>GU34*IF(OR($C34=98,$G34=98),0,1)</f>
        <v/>
      </c>
      <c r="GV35">
        <f>GV34*IF(OR($C34=99,$G34=99),0,1)</f>
        <v/>
      </c>
      <c r="GW35">
        <f>GW34*IF(OR($C34=100,$G34=100),0,1)</f>
        <v/>
      </c>
      <c r="GX35">
        <f>GX34*IF(OR($C34=101,$G34=101),0,1)</f>
        <v/>
      </c>
      <c r="GY35">
        <f>GY34*IF(OR($C34=102,$G34=102),0,1)</f>
        <v/>
      </c>
      <c r="GZ35">
        <f>GZ34*IF(OR($C34=103,$G34=103),0,1)</f>
        <v/>
      </c>
      <c r="HA35">
        <f>HA34*IF(OR($C34=104,$G34=104),0,1)</f>
        <v/>
      </c>
      <c r="HB35">
        <f>HB34*IF(OR($C34=105,$G34=105),0,1)</f>
        <v/>
      </c>
      <c r="HC35">
        <f>HC34*IF(OR($C34=106,$G34=106),0,1)</f>
        <v/>
      </c>
      <c r="HD35">
        <f>HD34*IF(OR($C34=107,$G34=107),0,1)</f>
        <v/>
      </c>
      <c r="HE35">
        <f>HE34*IF(OR($C34=108,$G34=108),0,1)</f>
        <v/>
      </c>
      <c r="HF35">
        <f>HF34*IF(OR($C34=109,$G34=109),0,1)</f>
        <v/>
      </c>
      <c r="HG35">
        <f>HG34*IF(OR($C34=110,$G34=110),0,1)</f>
        <v/>
      </c>
      <c r="HH35">
        <f>HH34*IF(OR($C34=111,$G34=111),0,1)</f>
        <v/>
      </c>
      <c r="HI35">
        <f>HI34*IF(OR($C34=112,$G34=112),0,1)</f>
        <v/>
      </c>
      <c r="HJ35">
        <f>HJ34*IF(OR($C34=113,$G34=113),0,1)</f>
        <v/>
      </c>
      <c r="HK35">
        <f>HK34*IF(OR($C34=114,$G34=114),0,1)</f>
        <v/>
      </c>
      <c r="HL35">
        <f>HL34*IF(OR($C34=115,$G34=115),0,1)</f>
        <v/>
      </c>
      <c r="HM35">
        <f>HM34*IF(OR($C34=116,$G34=116),0,1)</f>
        <v/>
      </c>
      <c r="HN35">
        <f>HN34*IF(OR($C34=117,$G34=117),0,1)</f>
        <v/>
      </c>
      <c r="HO35">
        <f>HO34*IF(OR($C34=118,$G34=118),0,1)</f>
        <v/>
      </c>
      <c r="HP35">
        <f>HP34*IF(OR($C34=119,$G34=119),0,1)</f>
        <v/>
      </c>
      <c r="HQ35">
        <f>HQ34*IF(OR($C34=120,$G34=120),0,1)</f>
        <v/>
      </c>
      <c r="HR35">
        <f>HR34*IF(OR($C34=121,$G34=121),0,1)</f>
        <v/>
      </c>
      <c r="HS35">
        <f>HS34*IF(OR($C34=122,$G34=122),0,1)</f>
        <v/>
      </c>
      <c r="HT35">
        <f>HT34*IF(OR($C34=123,$G34=123),0,1)</f>
        <v/>
      </c>
      <c r="HU35">
        <f>HU34*IF(OR($C34=124,$G34=124),0,1)</f>
        <v/>
      </c>
      <c r="HV35">
        <f>HV34*IF(OR($C34=125,$G34=125),0,1)</f>
        <v/>
      </c>
      <c r="HW35">
        <f>HW34*IF(OR($C34=126,$G34=126),0,1)</f>
        <v/>
      </c>
      <c r="HX35">
        <f>HX34*IF(OR($C34=127,$G34=127),0,1)</f>
        <v/>
      </c>
      <c r="HY35">
        <f>HY34*IF(OR($C34=128,$G34=128),0,1)</f>
        <v/>
      </c>
      <c r="HZ35">
        <f>HZ34*IF(OR($C34=129,$G34=129),0,1)</f>
        <v/>
      </c>
      <c r="IA35">
        <f>IA34*IF(OR($C34=130,$G34=130),0,1)</f>
        <v/>
      </c>
      <c r="IB35">
        <f>IB34*IF(OR($C34=131,$G34=131),0,1)</f>
        <v/>
      </c>
      <c r="IC35">
        <f>IC34*IF(OR($C34=132,$G34=132),0,1)</f>
        <v/>
      </c>
      <c r="ID35">
        <f>ID34*IF(OR($C34=133,$G34=133),0,1)</f>
        <v/>
      </c>
      <c r="IE35">
        <f>IE34*IF(OR($C34=134,$G34=134),0,1)</f>
        <v/>
      </c>
      <c r="IF35">
        <f>IF34*IF(OR($C34=135,$G34=135),0,1)</f>
        <v/>
      </c>
      <c r="IG35">
        <f>IG34*IF(OR($C34=136,$G34=136),0,1)</f>
        <v/>
      </c>
      <c r="IH35">
        <f>IH34*IF(OR($C34=137,$G34=137),0,1)</f>
        <v/>
      </c>
      <c r="II35">
        <f>II34*IF(OR($C34=138,$G34=138),0,1)</f>
        <v/>
      </c>
      <c r="IJ35">
        <f>IJ34*IF(OR($C34=139,$G34=139),0,1)</f>
        <v/>
      </c>
      <c r="IK35">
        <f>IK34*IF(OR($C34=140,$G34=140),0,1)</f>
        <v/>
      </c>
      <c r="IL35">
        <f>IL34*IF(OR($C34=141,$G34=141),0,1)</f>
        <v/>
      </c>
      <c r="IM35">
        <f>IM34*IF(OR($C34=142,$G34=142),0,1)</f>
        <v/>
      </c>
      <c r="IN35">
        <f>IN34*IF(OR($C34=143,$G34=143),0,1)</f>
        <v/>
      </c>
      <c r="IO35">
        <f>IO34*IF(OR($C34=144,$G34=144),0,1)</f>
        <v/>
      </c>
      <c r="IQ35">
        <f>IF('計算A'!D$106=1,DC35,1)</f>
        <v/>
      </c>
      <c r="IR35">
        <f>IF('計算A'!E$106=1,DD35,1)</f>
        <v/>
      </c>
      <c r="IS35">
        <f>IF('計算A'!F$106=1,DE35,1)</f>
        <v/>
      </c>
      <c r="IT35">
        <f>IF('計算A'!G$106=1,DF35,1)</f>
        <v/>
      </c>
      <c r="IU35">
        <f>IF('計算A'!H$106=1,DG35,1)</f>
        <v/>
      </c>
      <c r="IV35">
        <f>IF('計算A'!I$106=1,DH35,1)</f>
        <v/>
      </c>
      <c r="IW35">
        <f>IF('計算A'!J$106=1,DI35,1)</f>
        <v/>
      </c>
      <c r="IX35">
        <f>IF('計算A'!K$106=1,DJ35,1)</f>
        <v/>
      </c>
      <c r="IY35">
        <f>IF('計算A'!L$106=1,DK35,1)</f>
        <v/>
      </c>
      <c r="IZ35">
        <f>IF('計算A'!M$106=1,DL35,1)</f>
        <v/>
      </c>
      <c r="JA35">
        <f>IF('計算A'!N$106=1,DM35,1)</f>
        <v/>
      </c>
      <c r="JB35">
        <f>IF('計算A'!O$106=1,DN35,1)</f>
        <v/>
      </c>
      <c r="JC35">
        <f>IF('計算A'!P$106=1,DO35,1)</f>
        <v/>
      </c>
      <c r="JD35">
        <f>IF('計算A'!Q$106=1,DP35,1)</f>
        <v/>
      </c>
      <c r="JE35">
        <f>IF('計算A'!R$106=1,DQ35,1)</f>
        <v/>
      </c>
      <c r="JF35">
        <f>IF('計算A'!S$106=1,DR35,1)</f>
        <v/>
      </c>
      <c r="JG35">
        <f>IF('計算A'!T$106=1,DS35,1)</f>
        <v/>
      </c>
      <c r="JH35">
        <f>IF('計算A'!U$106=1,DT35,1)</f>
        <v/>
      </c>
      <c r="JI35">
        <f>IF('計算A'!V$106=1,DU35,1)</f>
        <v/>
      </c>
      <c r="JJ35">
        <f>IF('計算A'!W$106=1,DV35,1)</f>
        <v/>
      </c>
      <c r="JK35">
        <f>IF('計算A'!X$106=1,DW35,1)</f>
        <v/>
      </c>
      <c r="JL35">
        <f>IF('計算A'!Y$106=1,DX35,1)</f>
        <v/>
      </c>
      <c r="JM35">
        <f>IF('計算A'!Z$106=1,DY35,1)</f>
        <v/>
      </c>
      <c r="JN35">
        <f>IF('計算A'!AA$106=1,DZ35,1)</f>
        <v/>
      </c>
      <c r="JO35">
        <f>IF('計算A'!AB$106=1,EA35,1)</f>
        <v/>
      </c>
      <c r="JP35">
        <f>IF('計算A'!AC$106=1,EB35,1)</f>
        <v/>
      </c>
      <c r="JQ35">
        <f>IF('計算A'!AD$106=1,EC35,1)</f>
        <v/>
      </c>
      <c r="JR35">
        <f>IF('計算A'!AE$106=1,ED35,1)</f>
        <v/>
      </c>
      <c r="JS35">
        <f>IF('計算A'!AF$106=1,EE35,1)</f>
        <v/>
      </c>
      <c r="JT35">
        <f>IF('計算A'!AG$106=1,EF35,1)</f>
        <v/>
      </c>
      <c r="JU35">
        <f>IF('計算A'!AH$106=1,EG35,1)</f>
        <v/>
      </c>
      <c r="JV35">
        <f>IF('計算A'!AI$106=1,EH35,1)</f>
        <v/>
      </c>
      <c r="JW35">
        <f>IF('計算A'!AJ$106=1,EI35,1)</f>
        <v/>
      </c>
      <c r="JX35">
        <f>IF('計算A'!AK$106=1,EJ35,1)</f>
        <v/>
      </c>
      <c r="JY35">
        <f>IF('計算A'!AL$106=1,EK35,1)</f>
        <v/>
      </c>
      <c r="JZ35">
        <f>IF('計算A'!AM$106=1,EL35,1)</f>
        <v/>
      </c>
      <c r="KA35">
        <f>IF('計算A'!AN$106=1,EM35,1)</f>
        <v/>
      </c>
      <c r="KB35">
        <f>IF('計算A'!AO$106=1,EN35,1)</f>
        <v/>
      </c>
      <c r="KC35">
        <f>IF('計算A'!AP$106=1,EO35,1)</f>
        <v/>
      </c>
      <c r="KD35">
        <f>IF('計算A'!AQ$106=1,EP35,1)</f>
        <v/>
      </c>
      <c r="KE35">
        <f>IF('計算A'!AR$106=1,EQ35,1)</f>
        <v/>
      </c>
      <c r="KF35">
        <f>IF('計算A'!AS$106=1,ER35,1)</f>
        <v/>
      </c>
      <c r="KG35">
        <f>IF('計算A'!AT$106=1,ES35,1)</f>
        <v/>
      </c>
      <c r="KH35">
        <f>IF('計算A'!AU$106=1,ET35,1)</f>
        <v/>
      </c>
      <c r="KI35">
        <f>IF('計算A'!AV$106=1,EU35,1)</f>
        <v/>
      </c>
      <c r="KJ35">
        <f>IF('計算A'!AW$106=1,EV35,1)</f>
        <v/>
      </c>
      <c r="KK35">
        <f>IF('計算A'!AX$106=1,EW35,1)</f>
        <v/>
      </c>
      <c r="KL35">
        <f>IF('計算A'!AY$106=1,EX35,1)</f>
        <v/>
      </c>
      <c r="KM35">
        <f>IF('計算A'!AZ$106=1,EY35,1)</f>
        <v/>
      </c>
      <c r="KN35">
        <f>IF('計算A'!BA$106=1,EZ35,1)</f>
        <v/>
      </c>
      <c r="KO35">
        <f>IF('計算A'!BB$106=1,FA35,1)</f>
        <v/>
      </c>
      <c r="KP35">
        <f>IF('計算A'!BC$106=1,FB35,1)</f>
        <v/>
      </c>
      <c r="KQ35">
        <f>IF('計算A'!BD$106=1,FC35,1)</f>
        <v/>
      </c>
      <c r="KR35">
        <f>IF('計算A'!BE$106=1,FD35,1)</f>
        <v/>
      </c>
      <c r="KS35">
        <f>IF('計算A'!BF$106=1,FE35,1)</f>
        <v/>
      </c>
      <c r="KT35">
        <f>IF('計算A'!BG$106=1,FF35,1)</f>
        <v/>
      </c>
      <c r="KU35">
        <f>IF('計算A'!BH$106=1,FG35,1)</f>
        <v/>
      </c>
      <c r="KV35">
        <f>IF('計算A'!BI$106=1,FH35,1)</f>
        <v/>
      </c>
      <c r="KW35">
        <f>IF('計算A'!BJ$106=1,FI35,1)</f>
        <v/>
      </c>
      <c r="KX35">
        <f>IF('計算A'!BK$106=1,FJ35,1)</f>
        <v/>
      </c>
      <c r="KY35">
        <f>IF('計算A'!BL$106=1,FK35,1)</f>
        <v/>
      </c>
      <c r="KZ35">
        <f>IF('計算A'!BM$106=1,FL35,1)</f>
        <v/>
      </c>
      <c r="LA35">
        <f>IF('計算A'!BN$106=1,FM35,1)</f>
        <v/>
      </c>
      <c r="LB35">
        <f>IF('計算A'!BO$106=1,FN35,1)</f>
        <v/>
      </c>
      <c r="LC35">
        <f>IF('計算A'!BP$106=1,FO35,1)</f>
        <v/>
      </c>
      <c r="LD35">
        <f>IF('計算A'!BQ$106=1,FP35,1)</f>
        <v/>
      </c>
      <c r="LE35">
        <f>IF('計算A'!BR$106=1,FQ35,1)</f>
        <v/>
      </c>
      <c r="LF35">
        <f>IF('計算A'!BS$106=1,FR35,1)</f>
        <v/>
      </c>
      <c r="LG35">
        <f>IF('計算A'!BT$106=1,FS35,1)</f>
        <v/>
      </c>
      <c r="LH35">
        <f>IF('計算A'!BU$106=1,FT35,1)</f>
        <v/>
      </c>
      <c r="LI35">
        <f>IF('計算A'!BV$106=1,FU35,1)</f>
        <v/>
      </c>
      <c r="LJ35">
        <f>IF('計算A'!BW$106=1,FV35,1)</f>
        <v/>
      </c>
      <c r="LK35">
        <f>IF('計算A'!BX$106=1,FW35,1)</f>
        <v/>
      </c>
      <c r="LL35">
        <f>IF('計算A'!BY$106=1,FX35,1)</f>
        <v/>
      </c>
      <c r="LM35">
        <f>IF('計算A'!BZ$106=1,FY35,1)</f>
        <v/>
      </c>
      <c r="LN35">
        <f>IF('計算A'!CA$106=1,FZ35,1)</f>
        <v/>
      </c>
      <c r="LO35">
        <f>IF('計算A'!CB$106=1,GA35,1)</f>
        <v/>
      </c>
      <c r="LP35">
        <f>IF('計算A'!CC$106=1,GB35,1)</f>
        <v/>
      </c>
      <c r="LQ35">
        <f>IF('計算A'!CD$106=1,GC35,1)</f>
        <v/>
      </c>
      <c r="LR35">
        <f>IF('計算A'!CE$106=1,GD35,1)</f>
        <v/>
      </c>
      <c r="LS35">
        <f>IF('計算A'!CF$106=1,GE35,1)</f>
        <v/>
      </c>
      <c r="LT35">
        <f>IF('計算A'!CG$106=1,GF35,1)</f>
        <v/>
      </c>
      <c r="LU35">
        <f>IF('計算A'!CH$106=1,GG35,1)</f>
        <v/>
      </c>
      <c r="LV35">
        <f>IF('計算A'!CI$106=1,GH35,1)</f>
        <v/>
      </c>
      <c r="LW35">
        <f>IF('計算A'!CJ$106=1,GI35,1)</f>
        <v/>
      </c>
      <c r="LX35">
        <f>IF('計算A'!CK$106=1,GJ35,1)</f>
        <v/>
      </c>
      <c r="LY35">
        <f>IF('計算A'!CL$106=1,GK35,1)</f>
        <v/>
      </c>
      <c r="LZ35">
        <f>IF('計算A'!CM$106=1,GL35,1)</f>
        <v/>
      </c>
      <c r="MA35">
        <f>IF('計算A'!CN$106=1,GM35,1)</f>
        <v/>
      </c>
      <c r="MB35">
        <f>IF('計算A'!CO$106=1,GN35,1)</f>
        <v/>
      </c>
      <c r="MC35">
        <f>IF('計算A'!CP$106=1,GO35,1)</f>
        <v/>
      </c>
      <c r="MD35">
        <f>IF('計算A'!CQ$106=1,GP35,1)</f>
        <v/>
      </c>
      <c r="ME35">
        <f>IF('計算A'!CR$106=1,GQ35,1)</f>
        <v/>
      </c>
      <c r="MF35">
        <f>IF('計算A'!CS$106=1,GR35,1)</f>
        <v/>
      </c>
      <c r="MG35">
        <f>IF('計算A'!CT$106=1,GS35,1)</f>
        <v/>
      </c>
      <c r="MH35">
        <f>IF('計算A'!CU$106=1,GT35,1)</f>
        <v/>
      </c>
      <c r="MI35">
        <f>IF('計算A'!CV$106=1,GU35,1)</f>
        <v/>
      </c>
      <c r="MJ35">
        <f>IF('計算A'!CW$106=1,GV35,1)</f>
        <v/>
      </c>
      <c r="MK35">
        <f>IF('計算A'!CX$106=1,GW35,1)</f>
        <v/>
      </c>
      <c r="ML35">
        <f>IF('計算A'!CY$106=1,GX35,1)</f>
        <v/>
      </c>
      <c r="MM35">
        <f>IF('計算A'!CZ$106=1,GY35,1)</f>
        <v/>
      </c>
      <c r="MN35">
        <f>IF('計算A'!DA$106=1,GZ35,1)</f>
        <v/>
      </c>
      <c r="MO35">
        <f>IF('計算A'!DB$106=1,HA35,1)</f>
        <v/>
      </c>
      <c r="MP35">
        <f>IF('計算A'!DC$106=1,HB35,1)</f>
        <v/>
      </c>
      <c r="MQ35">
        <f>IF('計算A'!DD$106=1,HC35,1)</f>
        <v/>
      </c>
      <c r="MR35">
        <f>IF('計算A'!DE$106=1,HD35,1)</f>
        <v/>
      </c>
      <c r="MS35">
        <f>IF('計算A'!DF$106=1,HE35,1)</f>
        <v/>
      </c>
      <c r="MT35">
        <f>IF('計算A'!DG$106=1,HF35,1)</f>
        <v/>
      </c>
      <c r="MU35">
        <f>IF('計算A'!DH$106=1,HG35,1)</f>
        <v/>
      </c>
      <c r="MV35">
        <f>IF('計算A'!DI$106=1,HH35,1)</f>
        <v/>
      </c>
      <c r="MW35">
        <f>IF('計算A'!DJ$106=1,HI35,1)</f>
        <v/>
      </c>
      <c r="MX35">
        <f>IF('計算A'!DK$106=1,HJ35,1)</f>
        <v/>
      </c>
      <c r="MY35">
        <f>IF('計算A'!DL$106=1,HK35,1)</f>
        <v/>
      </c>
      <c r="MZ35">
        <f>IF('計算A'!DM$106=1,HL35,1)</f>
        <v/>
      </c>
      <c r="NA35">
        <f>IF('計算A'!DN$106=1,HM35,1)</f>
        <v/>
      </c>
      <c r="NB35">
        <f>IF('計算A'!DO$106=1,HN35,1)</f>
        <v/>
      </c>
      <c r="NC35">
        <f>IF('計算A'!DP$106=1,HO35,1)</f>
        <v/>
      </c>
      <c r="ND35">
        <f>IF('計算A'!DQ$106=1,HP35,1)</f>
        <v/>
      </c>
      <c r="NE35">
        <f>IF('計算A'!DR$106=1,HQ35,1)</f>
        <v/>
      </c>
      <c r="NF35">
        <f>IF('計算A'!DS$106=1,HR35,1)</f>
        <v/>
      </c>
      <c r="NG35">
        <f>IF('計算A'!DT$106=1,HS35,1)</f>
        <v/>
      </c>
      <c r="NH35">
        <f>IF('計算A'!DU$106=1,HT35,1)</f>
        <v/>
      </c>
      <c r="NI35">
        <f>IF('計算A'!DV$106=1,HU35,1)</f>
        <v/>
      </c>
      <c r="NJ35">
        <f>IF('計算A'!DW$106=1,HV35,1)</f>
        <v/>
      </c>
      <c r="NK35">
        <f>IF('計算A'!DX$106=1,HW35,1)</f>
        <v/>
      </c>
      <c r="NL35">
        <f>IF('計算A'!DY$106=1,HX35,1)</f>
        <v/>
      </c>
      <c r="NM35">
        <f>IF('計算A'!DZ$106=1,HY35,1)</f>
        <v/>
      </c>
      <c r="NN35">
        <f>IF('計算A'!EA$106=1,HZ35,1)</f>
        <v/>
      </c>
      <c r="NO35">
        <f>IF('計算A'!EB$106=1,IA35,1)</f>
        <v/>
      </c>
      <c r="NP35">
        <f>IF('計算A'!EC$106=1,IB35,1)</f>
        <v/>
      </c>
      <c r="NQ35">
        <f>IF('計算A'!ED$106=1,IC35,1)</f>
        <v/>
      </c>
      <c r="NR35">
        <f>IF('計算A'!EE$106=1,ID35,1)</f>
        <v/>
      </c>
      <c r="NS35">
        <f>IF('計算A'!EF$106=1,IE35,1)</f>
        <v/>
      </c>
      <c r="NT35">
        <f>IF('計算A'!EG$106=1,IF35,1)</f>
        <v/>
      </c>
      <c r="NU35">
        <f>IF('計算A'!EH$106=1,IG35,1)</f>
        <v/>
      </c>
      <c r="NV35">
        <f>IF('計算A'!EI$106=1,IH35,1)</f>
        <v/>
      </c>
      <c r="NW35">
        <f>IF('計算A'!EJ$106=1,II35,1)</f>
        <v/>
      </c>
      <c r="NX35">
        <f>IF('計算A'!EK$106=1,IJ35,1)</f>
        <v/>
      </c>
      <c r="NY35">
        <f>IF('計算A'!EL$106=1,IK35,1)</f>
        <v/>
      </c>
      <c r="NZ35">
        <f>IF('計算A'!EM$106=1,IL35,1)</f>
        <v/>
      </c>
      <c r="OA35">
        <f>IF('計算A'!EN$106=1,IM35,1)</f>
        <v/>
      </c>
      <c r="OB35">
        <f>IF('計算A'!EO$106=1,IN35,1)</f>
        <v/>
      </c>
      <c r="OC35">
        <f>IF('計算A'!EP$106=1,IO35,1)</f>
        <v/>
      </c>
      <c r="OD35" t="n">
        <v>1</v>
      </c>
      <c r="OF35">
        <f>IF($B35=0,1000000,IF(INDEX('計算A'!$D$60:$EQ$104,$B35,1)*DB35=1,IF(AND($E35=2,IQ35=0),1000000,IF($I35&gt;0,IF(1=$J35,IF(OR(AND(1=$I35+1,OR($K35&lt;&gt;'計算A'!$A$3,'計算A'!$A$4=0)),AND(1=$I35-1,OR(1&lt;&gt;'計算A'!$A$3,'計算A'!$A$4=0))),0,IF(1=$K35,200000,ABS(1-$K35)*100)),100000+ABS(1-$J35)*1000+10)+'計算A'!D$5*50+IF(AND($E35=1,IQ35=0),25,0),IF($F35&gt;0,INDEX('計算A'!D$110:D$114,$F35+1)+IF(AND($E35=1,IQ35=0),1000,0),MIN(TU35,20)*400+(IF('計算A'!D$106=1,1-DC35,0))*150+11+'計算A'!D$5*100000+IF(AND($E35=1,IQ35=0),50000,0))+IF($H35=1,(IF('計算A'!D$117=1,INDEX('計算A'!E$10:E$54,$B35),0))*4000,0)-IF(AND($L35=1,'計算A'!D$117=1,DC35=0),2000,0))),1000000))</f>
        <v/>
      </c>
      <c r="OG35">
        <f>IF($B35=0,1000000,IF(INDEX('計算A'!$D$60:$EQ$104,$B35,2)*DC35=1,IF(AND($E35=2,IR35=0),1000000,IF($I35&gt;0,IF(1=$J35,IF(OR(AND(2=$I35+1,OR($K35&lt;&gt;'計算A'!$A$3,'計算A'!$A$4=0)),AND(2=$I35-1,OR(2&lt;&gt;'計算A'!$A$3,'計算A'!$A$4=0))),0,IF(2=$K35,200000,ABS(2-$K35)*100)),100000+ABS(1-$J35)*1000+20)+'計算A'!E$5*50+IF(AND($E35=1,IR35=0),25,0),IF($F35&gt;0,INDEX('計算A'!E$110:E$114,$F35+1)+IF(AND($E35=1,IR35=0),1000,0),MIN(TU35,20)*400+(IF('計算A'!D$106=1,1-DB35,0)+IF('計算A'!E$106=1,1-DD35,0))*150+21+'計算A'!E$5*100000+IF(AND($E35=1,IR35=0),50000,0))+IF($H35=1,(IF('計算A'!D$117=1,INDEX('計算A'!D$10:D$54,$B35),0)+IF('計算A'!E$117=1,INDEX('計算A'!F$10:F$54,$B35),0))*4000,0)-IF(AND('計算A'!D$117=1,UB35&gt;0),2000,0)-IF(AND($L35=1,'計算A'!E$117=1,DD35=0),2000,0))),1000000))</f>
        <v/>
      </c>
      <c r="OH35">
        <f>IF($B35=0,1000000,IF(INDEX('計算A'!$D$60:$EQ$104,$B35,3)*DD35=1,IF(AND($E35=2,IS35=0),1000000,IF($I35&gt;0,IF(1=$J35,IF(OR(AND(3=$I35+1,OR($K35&lt;&gt;'計算A'!$A$3,'計算A'!$A$4=0)),AND(3=$I35-1,OR(3&lt;&gt;'計算A'!$A$3,'計算A'!$A$4=0))),0,IF(3=$K35,200000,ABS(3-$K35)*100)),100000+ABS(1-$J35)*1000+30)+'計算A'!F$5*50+IF(AND($E35=1,IS35=0),25,0),IF($F35&gt;0,INDEX('計算A'!F$110:F$114,$F35+1)+IF(AND($E35=1,IS35=0),1000,0),MIN(TU35,20)*400+(IF('計算A'!E$106=1,1-DC35,0)+IF('計算A'!F$106=1,1-DE35,0))*150+31+'計算A'!F$5*100000+IF(AND($E35=1,IS35=0),50000,0))+IF($H35=1,(IF('計算A'!E$117=1,INDEX('計算A'!E$10:E$54,$B35),0)+IF('計算A'!F$117=1,INDEX('計算A'!G$10:G$54,$B35),0))*4000,0)-IF(AND('計算A'!E$117=1,UC35&gt;0),2000,0)-IF(AND($L35=1,'計算A'!F$117=1,DE35=0),2000,0))),1000000))</f>
        <v/>
      </c>
      <c r="OI35">
        <f>IF($B35=0,1000000,IF(INDEX('計算A'!$D$60:$EQ$104,$B35,4)*DE35=1,IF(AND($E35=2,IT35=0),1000000,IF($I35&gt;0,IF(1=$J35,IF(OR(AND(4=$I35+1,OR($K35&lt;&gt;'計算A'!$A$3,'計算A'!$A$4=0)),AND(4=$I35-1,OR(4&lt;&gt;'計算A'!$A$3,'計算A'!$A$4=0))),0,IF(4=$K35,200000,ABS(4-$K35)*100)),100000+ABS(1-$J35)*1000+40)+'計算A'!G$5*50+IF(AND($E35=1,IT35=0),25,0),IF($F35&gt;0,INDEX('計算A'!G$110:G$114,$F35+1)+IF(AND($E35=1,IT35=0),1000,0),MIN(TU35,20)*400+(IF('計算A'!F$106=1,1-DD35,0)+IF('計算A'!G$106=1,1-DF35,0))*150+41+'計算A'!G$5*100000+IF(AND($E35=1,IT35=0),50000,0))+IF($H35=1,(IF('計算A'!F$117=1,INDEX('計算A'!F$10:F$54,$B35),0)+IF('計算A'!G$117=1,INDEX('計算A'!H$10:H$54,$B35),0))*4000,0)-IF(AND('計算A'!F$117=1,UD35&gt;0),2000,0)-IF(AND($L35=1,'計算A'!G$117=1,DF35=0),2000,0))),1000000))</f>
        <v/>
      </c>
      <c r="OJ35">
        <f>IF($B35=0,1000000,IF(INDEX('計算A'!$D$60:$EQ$104,$B35,5)*DF35=1,IF(AND($E35=2,IU35=0),1000000,IF($I35&gt;0,IF(1=$J35,IF(OR(AND(5=$I35+1,OR($K35&lt;&gt;'計算A'!$A$3,'計算A'!$A$4=0)),AND(5=$I35-1,OR(5&lt;&gt;'計算A'!$A$3,'計算A'!$A$4=0))),0,IF(5=$K35,200000,ABS(5-$K35)*100)),100000+ABS(1-$J35)*1000+50)+'計算A'!H$5*50+IF(AND($E35=1,IU35=0),25,0),IF($F35&gt;0,INDEX('計算A'!H$110:H$114,$F35+1)+IF(AND($E35=1,IU35=0),1000,0),MIN(TU35,20)*400+(IF('計算A'!G$106=1,1-DE35,0)+IF('計算A'!H$106=1,1-DG35,0))*150+51+'計算A'!H$5*100000+IF(AND($E35=1,IU35=0),50000,0))+IF($H35=1,(IF('計算A'!G$117=1,INDEX('計算A'!G$10:G$54,$B35),0)+IF('計算A'!H$117=1,INDEX('計算A'!I$10:I$54,$B35),0))*4000,0)-IF(AND('計算A'!G$117=1,UE35&gt;0),2000,0)-IF(AND($L35=1,'計算A'!H$117=1,DG35=0),2000,0))),1000000))</f>
        <v/>
      </c>
      <c r="OK35">
        <f>IF($B35=0,1000000,IF(INDEX('計算A'!$D$60:$EQ$104,$B35,6)*DG35=1,IF(AND($E35=2,IV35=0),1000000,IF($I35&gt;0,IF(1=$J35,IF(OR(AND(6=$I35+1,OR($K35&lt;&gt;'計算A'!$A$3,'計算A'!$A$4=0)),AND(6=$I35-1,OR(6&lt;&gt;'計算A'!$A$3,'計算A'!$A$4=0))),0,IF(6=$K35,200000,ABS(6-$K35)*100)),100000+ABS(1-$J35)*1000+60)+'計算A'!I$5*50+IF(AND($E35=1,IV35=0),25,0),IF($F35&gt;0,INDEX('計算A'!I$110:I$114,$F35+1)+IF(AND($E35=1,IV35=0),1000,0),MIN(TU35,20)*400+(IF('計算A'!H$106=1,1-DF35,0)+IF('計算A'!I$106=1,1-DH35,0))*150+61+'計算A'!I$5*100000+IF(AND($E35=1,IV35=0),50000,0))+IF($H35=1,(IF('計算A'!H$117=1,INDEX('計算A'!H$10:H$54,$B35),0)+IF('計算A'!I$117=1,INDEX('計算A'!J$10:J$54,$B35),0))*4000,0)-IF(AND('計算A'!H$117=1,UF35&gt;0),2000,0)-IF(AND($L35=1,'計算A'!I$117=1,DH35=0),2000,0))),1000000))</f>
        <v/>
      </c>
      <c r="OL35">
        <f>IF($B35=0,1000000,IF(INDEX('計算A'!$D$60:$EQ$104,$B35,7)*DH35=1,IF(AND($E35=2,IW35=0),1000000,IF($I35&gt;0,IF(1=$J35,IF(OR(AND(7=$I35+1,OR($K35&lt;&gt;'計算A'!$A$3,'計算A'!$A$4=0)),AND(7=$I35-1,OR(7&lt;&gt;'計算A'!$A$3,'計算A'!$A$4=0))),0,IF(7=$K35,200000,ABS(7-$K35)*100)),100000+ABS(1-$J35)*1000+70)+'計算A'!J$5*50+IF(AND($E35=1,IW35=0),25,0),IF($F35&gt;0,INDEX('計算A'!J$110:J$114,$F35+1)+IF(AND($E35=1,IW35=0),1000,0),MIN(TU35,20)*400+(IF('計算A'!I$106=1,1-DG35,0)+IF('計算A'!J$106=1,1-DI35,0))*150+71+'計算A'!J$5*100000+IF(AND($E35=1,IW35=0),50000,0))+IF($H35=1,(IF('計算A'!I$117=1,INDEX('計算A'!I$10:I$54,$B35),0)+IF('計算A'!J$117=1,INDEX('計算A'!K$10:K$54,$B35),0))*4000,0)-IF(AND('計算A'!I$117=1,UG35&gt;0),2000,0)-IF(AND($L35=1,'計算A'!J$117=1,DI35=0),2000,0))),1000000))</f>
        <v/>
      </c>
      <c r="OM35">
        <f>IF($B35=0,1000000,IF(INDEX('計算A'!$D$60:$EQ$104,$B35,8)*DI35=1,IF(AND($E35=2,IX35=0),1000000,IF($I35&gt;0,IF(1=$J35,IF(OR(AND(8=$I35+1,OR($K35&lt;&gt;'計算A'!$A$3,'計算A'!$A$4=0)),AND(8=$I35-1,OR(8&lt;&gt;'計算A'!$A$3,'計算A'!$A$4=0))),0,IF(8=$K35,200000,ABS(8-$K35)*100)),100000+ABS(1-$J35)*1000+80)+'計算A'!K$5*50+IF(AND($E35=1,IX35=0),25,0),IF($F35&gt;0,INDEX('計算A'!K$110:K$114,$F35+1)+IF(AND($E35=1,IX35=0),1000,0),MIN(TU35,20)*400+(IF('計算A'!J$106=1,1-DH35,0)+IF('計算A'!K$106=1,1-DJ35,0))*150+81+'計算A'!K$5*100000+IF(AND($E35=1,IX35=0),50000,0))+IF($H35=1,(IF('計算A'!J$117=1,INDEX('計算A'!J$10:J$54,$B35),0)+IF('計算A'!K$117=1,INDEX('計算A'!L$10:L$54,$B35),0))*4000,0)-IF(AND('計算A'!J$117=1,UH35&gt;0),2000,0)-IF(AND($L35=1,'計算A'!K$117=1,DJ35=0),2000,0))),1000000))</f>
        <v/>
      </c>
      <c r="ON35">
        <f>IF($B35=0,1000000,IF(INDEX('計算A'!$D$60:$EQ$104,$B35,9)*DJ35=1,IF(AND($E35=2,IY35=0),1000000,IF($I35&gt;0,IF(1=$J35,IF(OR(AND(9=$I35+1,OR($K35&lt;&gt;'計算A'!$A$3,'計算A'!$A$4=0)),AND(9=$I35-1,OR(9&lt;&gt;'計算A'!$A$3,'計算A'!$A$4=0))),0,IF(9=$K35,200000,ABS(9-$K35)*100)),100000+ABS(1-$J35)*1000+90)+'計算A'!L$5*50+IF(AND($E35=1,IY35=0),25,0),IF($F35&gt;0,INDEX('計算A'!L$110:L$114,$F35+1)+IF(AND($E35=1,IY35=0),1000,0),MIN(TU35,20)*400+(IF('計算A'!K$106=1,1-DI35,0)+IF('計算A'!L$106=1,1-DK35,0))*150+91+'計算A'!L$5*100000+IF(AND($E35=1,IY35=0),50000,0))+IF($H35=1,(IF('計算A'!K$117=1,INDEX('計算A'!K$10:K$54,$B35),0)+IF('計算A'!L$117=1,INDEX('計算A'!M$10:M$54,$B35),0))*4000,0)-IF(AND('計算A'!K$117=1,UI35&gt;0),2000,0)-IF(AND($L35=1,'計算A'!L$117=1,DK35=0),2000,0))),1000000))</f>
        <v/>
      </c>
      <c r="OO35">
        <f>IF($B35=0,1000000,IF(INDEX('計算A'!$D$60:$EQ$104,$B35,10)*DK35=1,IF(AND($E35=2,IZ35=0),1000000,IF($I35&gt;0,IF(1=$J35,IF(OR(AND(10=$I35+1,OR($K35&lt;&gt;'計算A'!$A$3,'計算A'!$A$4=0)),AND(10=$I35-1,OR(10&lt;&gt;'計算A'!$A$3,'計算A'!$A$4=0))),0,IF(10=$K35,200000,ABS(10-$K35)*100)),100000+ABS(1-$J35)*1000+100)+'計算A'!M$5*50+IF(AND($E35=1,IZ35=0),25,0),IF($F35&gt;0,INDEX('計算A'!M$110:M$114,$F35+1)+IF(AND($E35=1,IZ35=0),1000,0),MIN(TU35,20)*400+(IF('計算A'!L$106=1,1-DJ35,0)+IF('計算A'!M$106=1,1-DL35,0))*150+101+'計算A'!M$5*100000+IF(AND($E35=1,IZ35=0),50000,0))+IF($H35=1,(IF('計算A'!L$117=1,INDEX('計算A'!L$10:L$54,$B35),0)+IF('計算A'!M$117=1,INDEX('計算A'!N$10:N$54,$B35),0))*4000,0)-IF(AND('計算A'!L$117=1,UJ35&gt;0),2000,0)-IF(AND($L35=1,'計算A'!M$117=1,DL35=0),2000,0))),1000000))</f>
        <v/>
      </c>
      <c r="OP35">
        <f>IF($B35=0,1000000,IF(INDEX('計算A'!$D$60:$EQ$104,$B35,11)*DL35=1,IF(AND($E35=2,JA35=0),1000000,IF($I35&gt;0,IF(1=$J35,IF(OR(AND(11=$I35+1,OR($K35&lt;&gt;'計算A'!$A$3,'計算A'!$A$4=0)),AND(11=$I35-1,OR(11&lt;&gt;'計算A'!$A$3,'計算A'!$A$4=0))),0,IF(11=$K35,200000,ABS(11-$K35)*100)),100000+ABS(1-$J35)*1000+110)+'計算A'!N$5*50+IF(AND($E35=1,JA35=0),25,0),IF($F35&gt;0,INDEX('計算A'!N$110:N$114,$F35+1)+IF(AND($E35=1,JA35=0),1000,0),MIN(TU35,20)*400+(IF('計算A'!M$106=1,1-DK35,0)+IF('計算A'!N$106=1,1-DM35,0))*150+111+'計算A'!N$5*100000+IF(AND($E35=1,JA35=0),50000,0))+IF($H35=1,(IF('計算A'!M$117=1,INDEX('計算A'!M$10:M$54,$B35),0)+IF('計算A'!N$117=1,INDEX('計算A'!O$10:O$54,$B35),0))*4000,0)-IF(AND('計算A'!M$117=1,UK35&gt;0),2000,0)-IF(AND($L35=1,'計算A'!N$117=1,DM35=0),2000,0))),1000000))</f>
        <v/>
      </c>
      <c r="OQ35">
        <f>IF($B35=0,1000000,IF(INDEX('計算A'!$D$60:$EQ$104,$B35,12)*DM35=1,IF(AND($E35=2,JB35=0),1000000,IF($I35&gt;0,IF(1=$J35,IF(OR(AND(12=$I35+1,OR($K35&lt;&gt;'計算A'!$A$3,'計算A'!$A$4=0)),AND(12=$I35-1,OR(12&lt;&gt;'計算A'!$A$3,'計算A'!$A$4=0))),0,IF(12=$K35,200000,ABS(12-$K35)*100)),100000+ABS(1-$J35)*1000+120)+'計算A'!O$5*50+IF(AND($E35=1,JB35=0),25,0),IF($F35&gt;0,INDEX('計算A'!O$110:O$114,$F35+1)+IF(AND($E35=1,JB35=0),1000,0),MIN(TU35,20)*400+(IF('計算A'!N$106=1,1-DL35,0)+IF('計算A'!O$106=1,1-DN35,0))*150+121+'計算A'!O$5*100000+IF(AND($E35=1,JB35=0),50000,0))+IF($H35=1,(IF('計算A'!N$117=1,INDEX('計算A'!N$10:N$54,$B35),0)+IF('計算A'!O$117=1,INDEX('計算A'!P$10:P$54,$B35),0))*4000,0)-IF(AND('計算A'!N$117=1,UL35&gt;0),2000,0)-IF(AND($L35=1,'計算A'!O$117=1,DN35=0),2000,0))),1000000))</f>
        <v/>
      </c>
      <c r="OR35">
        <f>IF($B35=0,1000000,IF(INDEX('計算A'!$D$60:$EQ$104,$B35,13)*DN35=1,IF(AND($E35=2,JC35=0),1000000,IF($I35&gt;0,IF(1=$J35,IF(OR(AND(13=$I35+1,OR($K35&lt;&gt;'計算A'!$A$3,'計算A'!$A$4=0)),AND(13=$I35-1,OR(13&lt;&gt;'計算A'!$A$3,'計算A'!$A$4=0))),0,IF(13=$K35,200000,ABS(13-$K35)*100)),100000+ABS(1-$J35)*1000+130)+'計算A'!P$5*50+IF(AND($E35=1,JC35=0),25,0),IF($F35&gt;0,INDEX('計算A'!P$110:P$114,$F35+1)+IF(AND($E35=1,JC35=0),1000,0),MIN(TU35,20)*400+(IF('計算A'!O$106=1,1-DM35,0)+IF('計算A'!P$106=1,1-DO35,0))*150+131+'計算A'!P$5*100000+IF(AND($E35=1,JC35=0),50000,0))+IF($H35=1,(IF('計算A'!O$117=1,INDEX('計算A'!O$10:O$54,$B35),0)+IF('計算A'!P$117=1,INDEX('計算A'!Q$10:Q$54,$B35),0))*4000,0)-IF(AND('計算A'!O$117=1,UM35&gt;0),2000,0)-IF(AND($L35=1,'計算A'!P$117=1,DO35=0),2000,0))),1000000))</f>
        <v/>
      </c>
      <c r="OS35">
        <f>IF($B35=0,1000000,IF(INDEX('計算A'!$D$60:$EQ$104,$B35,14)*DO35=1,IF(AND($E35=2,JD35=0),1000000,IF($I35&gt;0,IF(1=$J35,IF(OR(AND(14=$I35+1,OR($K35&lt;&gt;'計算A'!$A$3,'計算A'!$A$4=0)),AND(14=$I35-1,OR(14&lt;&gt;'計算A'!$A$3,'計算A'!$A$4=0))),0,IF(14=$K35,200000,ABS(14-$K35)*100)),100000+ABS(1-$J35)*1000+140)+'計算A'!Q$5*50+IF(AND($E35=1,JD35=0),25,0),IF($F35&gt;0,INDEX('計算A'!Q$110:Q$114,$F35+1)+IF(AND($E35=1,JD35=0),1000,0),MIN(TU35,20)*400+(IF('計算A'!P$106=1,1-DN35,0)+IF('計算A'!Q$106=1,1-DP35,0))*150+141+'計算A'!Q$5*100000+IF(AND($E35=1,JD35=0),50000,0))+IF($H35=1,(IF('計算A'!P$117=1,INDEX('計算A'!P$10:P$54,$B35),0)+IF('計算A'!Q$117=1,INDEX('計算A'!R$10:R$54,$B35),0))*4000,0)-IF(AND('計算A'!P$117=1,UN35&gt;0),2000,0)-IF(AND($L35=1,'計算A'!Q$117=1,DP35=0),2000,0))),1000000))</f>
        <v/>
      </c>
      <c r="OT35">
        <f>IF($B35=0,1000000,IF(INDEX('計算A'!$D$60:$EQ$104,$B35,15)*DP35=1,IF(AND($E35=2,JE35=0),1000000,IF($I35&gt;0,IF(1=$J35,IF(OR(AND(15=$I35+1,OR($K35&lt;&gt;'計算A'!$A$3,'計算A'!$A$4=0)),AND(15=$I35-1,OR(15&lt;&gt;'計算A'!$A$3,'計算A'!$A$4=0))),0,IF(15=$K35,200000,ABS(15-$K35)*100)),100000+ABS(1-$J35)*1000+150)+'計算A'!R$5*50+IF(AND($E35=1,JE35=0),25,0),IF($F35&gt;0,INDEX('計算A'!R$110:R$114,$F35+1)+IF(AND($E35=1,JE35=0),1000,0),MIN(TU35,20)*400+(IF('計算A'!Q$106=1,1-DO35,0)+IF('計算A'!R$106=1,1-DQ35,0))*150+151+'計算A'!R$5*100000+IF(AND($E35=1,JE35=0),50000,0))+IF($H35=1,(IF('計算A'!Q$117=1,INDEX('計算A'!Q$10:Q$54,$B35),0)+IF('計算A'!R$117=1,INDEX('計算A'!S$10:S$54,$B35),0))*4000,0)-IF(AND('計算A'!Q$117=1,UO35&gt;0),2000,0)-IF(AND($L35=1,'計算A'!R$117=1,DQ35=0),2000,0))),1000000))</f>
        <v/>
      </c>
      <c r="OU35">
        <f>IF($B35=0,1000000,IF(INDEX('計算A'!$D$60:$EQ$104,$B35,16)*DQ35=1,IF(AND($E35=2,JF35=0),1000000,IF($I35&gt;0,IF(1=$J35,IF(OR(AND(16=$I35+1,OR($K35&lt;&gt;'計算A'!$A$3,'計算A'!$A$4=0)),AND(16=$I35-1,OR(16&lt;&gt;'計算A'!$A$3,'計算A'!$A$4=0))),0,IF(16=$K35,200000,ABS(16-$K35)*100)),100000+ABS(1-$J35)*1000+160)+'計算A'!S$5*50+IF(AND($E35=1,JF35=0),25,0),IF($F35&gt;0,INDEX('計算A'!S$110:S$114,$F35+1)+IF(AND($E35=1,JF35=0),1000,0),MIN(TU35,20)*400+(IF('計算A'!R$106=1,1-DP35,0)+IF('計算A'!S$106=1,1-DR35,0))*150+161+'計算A'!S$5*100000+IF(AND($E35=1,JF35=0),50000,0))+IF($H35=1,(IF('計算A'!R$117=1,INDEX('計算A'!R$10:R$54,$B35),0)+IF('計算A'!S$117=1,INDEX('計算A'!T$10:T$54,$B35),0))*4000,0)-IF(AND('計算A'!R$117=1,UP35&gt;0),2000,0)-IF(AND($L35=1,'計算A'!S$117=1,DR35=0),2000,0))),1000000))</f>
        <v/>
      </c>
      <c r="OV35">
        <f>IF($B35=0,1000000,IF(INDEX('計算A'!$D$60:$EQ$104,$B35,17)*DR35=1,IF(AND($E35=2,JG35=0),1000000,IF($I35&gt;0,IF(1=$J35,IF(OR(AND(17=$I35+1,OR($K35&lt;&gt;'計算A'!$A$3,'計算A'!$A$4=0)),AND(17=$I35-1,OR(17&lt;&gt;'計算A'!$A$3,'計算A'!$A$4=0))),0,IF(17=$K35,200000,ABS(17-$K35)*100)),100000+ABS(1-$J35)*1000+170)+'計算A'!T$5*50+IF(AND($E35=1,JG35=0),25,0),IF($F35&gt;0,INDEX('計算A'!T$110:T$114,$F35+1)+IF(AND($E35=1,JG35=0),1000,0),MIN(TU35,20)*400+(IF('計算A'!S$106=1,1-DQ35,0)+IF('計算A'!T$106=1,1-DS35,0))*150+171+'計算A'!T$5*100000+IF(AND($E35=1,JG35=0),50000,0))+IF($H35=1,(IF('計算A'!S$117=1,INDEX('計算A'!S$10:S$54,$B35),0)+IF('計算A'!T$117=1,INDEX('計算A'!U$10:U$54,$B35),0))*4000,0)-IF(AND('計算A'!S$117=1,UQ35&gt;0),2000,0)-IF(AND($L35=1,'計算A'!T$117=1,DS35=0),2000,0))),1000000))</f>
        <v/>
      </c>
      <c r="OW35">
        <f>IF($B35=0,1000000,IF(INDEX('計算A'!$D$60:$EQ$104,$B35,18)*DS35=1,IF(AND($E35=2,JH35=0),1000000,IF($I35&gt;0,IF(1=$J35,IF(OR(AND(18=$I35+1,OR($K35&lt;&gt;'計算A'!$A$3,'計算A'!$A$4=0)),AND(18=$I35-1,OR(18&lt;&gt;'計算A'!$A$3,'計算A'!$A$4=0))),0,IF(18=$K35,200000,ABS(18-$K35)*100)),100000+ABS(1-$J35)*1000+180)+'計算A'!U$5*50+IF(AND($E35=1,JH35=0),25,0),IF($F35&gt;0,INDEX('計算A'!U$110:U$114,$F35+1)+IF(AND($E35=1,JH35=0),1000,0),MIN(TU35,20)*400+(IF('計算A'!T$106=1,1-DR35,0)+IF('計算A'!U$106=1,1-DT35,0))*150+181+'計算A'!U$5*100000+IF(AND($E35=1,JH35=0),50000,0))+IF($H35=1,(IF('計算A'!T$117=1,INDEX('計算A'!T$10:T$54,$B35),0)+IF('計算A'!U$117=1,INDEX('計算A'!V$10:V$54,$B35),0))*4000,0)-IF(AND('計算A'!T$117=1,UR35&gt;0),2000,0)-IF(AND($L35=1,'計算A'!U$117=1,DT35=0),2000,0))),1000000))</f>
        <v/>
      </c>
      <c r="OX35">
        <f>IF($B35=0,1000000,IF(INDEX('計算A'!$D$60:$EQ$104,$B35,19)*DT35=1,IF(AND($E35=2,JI35=0),1000000,IF($I35&gt;0,IF(1=$J35,IF(OR(AND(19=$I35+1,OR($K35&lt;&gt;'計算A'!$A$3,'計算A'!$A$4=0)),AND(19=$I35-1,OR(19&lt;&gt;'計算A'!$A$3,'計算A'!$A$4=0))),0,IF(19=$K35,200000,ABS(19-$K35)*100)),100000+ABS(1-$J35)*1000+190)+'計算A'!V$5*50+IF(AND($E35=1,JI35=0),25,0),IF($F35&gt;0,INDEX('計算A'!V$110:V$114,$F35+1)+IF(AND($E35=1,JI35=0),1000,0),MIN(TU35,20)*400+(IF('計算A'!U$106=1,1-DS35,0)+IF('計算A'!V$106=1,1-DU35,0))*150+191+'計算A'!V$5*100000+IF(AND($E35=1,JI35=0),50000,0))+IF($H35=1,(IF('計算A'!U$117=1,INDEX('計算A'!U$10:U$54,$B35),0)+IF('計算A'!V$117=1,INDEX('計算A'!W$10:W$54,$B35),0))*4000,0)-IF(AND('計算A'!U$117=1,US35&gt;0),2000,0)-IF(AND($L35=1,'計算A'!V$117=1,DU35=0),2000,0))),1000000))</f>
        <v/>
      </c>
      <c r="OY35">
        <f>IF($B35=0,1000000,IF(INDEX('計算A'!$D$60:$EQ$104,$B35,20)*DU35=1,IF(AND($E35=2,JJ35=0),1000000,IF($I35&gt;0,IF(1=$J35,IF(OR(AND(20=$I35+1,OR($K35&lt;&gt;'計算A'!$A$3,'計算A'!$A$4=0)),AND(20=$I35-1,OR(20&lt;&gt;'計算A'!$A$3,'計算A'!$A$4=0))),0,IF(20=$K35,200000,ABS(20-$K35)*100)),100000+ABS(1-$J35)*1000+200)+'計算A'!W$5*50+IF(AND($E35=1,JJ35=0),25,0),IF($F35&gt;0,INDEX('計算A'!W$110:W$114,$F35+1)+IF(AND($E35=1,JJ35=0),1000,0),MIN(TU35,20)*400+(IF('計算A'!V$106=1,1-DT35,0)+IF('計算A'!W$106=1,1-DV35,0))*150+201+'計算A'!W$5*100000+IF(AND($E35=1,JJ35=0),50000,0))+IF($H35=1,(IF('計算A'!V$117=1,INDEX('計算A'!V$10:V$54,$B35),0)+IF('計算A'!W$117=1,INDEX('計算A'!X$10:X$54,$B35),0))*4000,0)-IF(AND('計算A'!V$117=1,UT35&gt;0),2000,0)-IF(AND($L35=1,'計算A'!W$117=1,DV35=0),2000,0))),1000000))</f>
        <v/>
      </c>
      <c r="OZ35">
        <f>IF($B35=0,1000000,IF(INDEX('計算A'!$D$60:$EQ$104,$B35,21)*DV35=1,IF(AND($E35=2,JK35=0),1000000,IF($I35&gt;0,IF(1=$J35,IF(OR(AND(21=$I35+1,OR($K35&lt;&gt;'計算A'!$A$3,'計算A'!$A$4=0)),AND(21=$I35-1,OR(21&lt;&gt;'計算A'!$A$3,'計算A'!$A$4=0))),0,IF(21=$K35,200000,ABS(21-$K35)*100)),100000+ABS(1-$J35)*1000+210)+'計算A'!X$5*50+IF(AND($E35=1,JK35=0),25,0),IF($F35&gt;0,INDEX('計算A'!X$110:X$114,$F35+1)+IF(AND($E35=1,JK35=0),1000,0),MIN(TU35,20)*400+(IF('計算A'!W$106=1,1-DU35,0)+IF('計算A'!X$106=1,1-DW35,0))*150+211+'計算A'!X$5*100000+IF(AND($E35=1,JK35=0),50000,0))+IF($H35=1,(IF('計算A'!W$117=1,INDEX('計算A'!W$10:W$54,$B35),0)+IF('計算A'!X$117=1,INDEX('計算A'!Y$10:Y$54,$B35),0))*4000,0)-IF(AND('計算A'!W$117=1,UU35&gt;0),2000,0)-IF(AND($L35=1,'計算A'!X$117=1,DW35=0),2000,0))),1000000))</f>
        <v/>
      </c>
      <c r="PA35">
        <f>IF($B35=0,1000000,IF(INDEX('計算A'!$D$60:$EQ$104,$B35,22)*DW35=1,IF(AND($E35=2,JL35=0),1000000,IF($I35&gt;0,IF(1=$J35,IF(OR(AND(22=$I35+1,OR($K35&lt;&gt;'計算A'!$A$3,'計算A'!$A$4=0)),AND(22=$I35-1,OR(22&lt;&gt;'計算A'!$A$3,'計算A'!$A$4=0))),0,IF(22=$K35,200000,ABS(22-$K35)*100)),100000+ABS(1-$J35)*1000+220)+'計算A'!Y$5*50+IF(AND($E35=1,JL35=0),25,0),IF($F35&gt;0,INDEX('計算A'!Y$110:Y$114,$F35+1)+IF(AND($E35=1,JL35=0),1000,0),MIN(TU35,20)*400+(IF('計算A'!X$106=1,1-DV35,0)+IF('計算A'!Y$106=1,1-DX35,0))*150+221+'計算A'!Y$5*100000+IF(AND($E35=1,JL35=0),50000,0))+IF($H35=1,(IF('計算A'!X$117=1,INDEX('計算A'!X$10:X$54,$B35),0)+IF('計算A'!Y$117=1,INDEX('計算A'!Z$10:Z$54,$B35),0))*4000,0)-IF(AND('計算A'!X$117=1,UV35&gt;0),2000,0)-IF(AND($L35=1,'計算A'!Y$117=1,DX35=0),2000,0))),1000000))</f>
        <v/>
      </c>
      <c r="PB35">
        <f>IF($B35=0,1000000,IF(INDEX('計算A'!$D$60:$EQ$104,$B35,23)*DX35=1,IF(AND($E35=2,JM35=0),1000000,IF($I35&gt;0,IF(1=$J35,IF(OR(AND(23=$I35+1,OR($K35&lt;&gt;'計算A'!$A$3,'計算A'!$A$4=0)),AND(23=$I35-1,OR(23&lt;&gt;'計算A'!$A$3,'計算A'!$A$4=0))),0,IF(23=$K35,200000,ABS(23-$K35)*100)),100000+ABS(1-$J35)*1000+230)+'計算A'!Z$5*50+IF(AND($E35=1,JM35=0),25,0),IF($F35&gt;0,INDEX('計算A'!Z$110:Z$114,$F35+1)+IF(AND($E35=1,JM35=0),1000,0),MIN(TU35,20)*400+(IF('計算A'!Y$106=1,1-DW35,0)+IF('計算A'!Z$106=1,1-DY35,0))*150+231+'計算A'!Z$5*100000+IF(AND($E35=1,JM35=0),50000,0))+IF($H35=1,(IF('計算A'!Y$117=1,INDEX('計算A'!Y$10:Y$54,$B35),0)+IF('計算A'!Z$117=1,INDEX('計算A'!AA$10:AA$54,$B35),0))*4000,0)-IF(AND('計算A'!Y$117=1,UW35&gt;0),2000,0)-IF(AND($L35=1,'計算A'!Z$117=1,DY35=0),2000,0))),1000000))</f>
        <v/>
      </c>
      <c r="PC35">
        <f>IF($B35=0,1000000,IF(INDEX('計算A'!$D$60:$EQ$104,$B35,24)*DY35=1,IF(AND($E35=2,JN35=0),1000000,IF($I35&gt;0,IF(1=$J35,IF(OR(AND(24=$I35+1,OR($K35&lt;&gt;'計算A'!$A$3,'計算A'!$A$4=0)),AND(24=$I35-1,OR(24&lt;&gt;'計算A'!$A$3,'計算A'!$A$4=0))),0,IF(24=$K35,200000,ABS(24-$K35)*100)),100000+ABS(1-$J35)*1000+240)+'計算A'!AA$5*50+IF(AND($E35=1,JN35=0),25,0),IF($F35&gt;0,INDEX('計算A'!AA$110:AA$114,$F35+1)+IF(AND($E35=1,JN35=0),1000,0),MIN(TU35,20)*400+(IF('計算A'!Z$106=1,1-DX35,0))*150+241+'計算A'!AA$5*100000+IF(AND($E35=1,JN35=0),50000,0))+IF($H35=1,(IF('計算A'!Z$117=1,INDEX('計算A'!Z$10:Z$54,$B35),0))*4000,0)-IF(AND('計算A'!Z$117=1,UX35&gt;0),2000,0))),1000000))</f>
        <v/>
      </c>
      <c r="PD35">
        <f>IF($B35=0,1000000,IF(INDEX('計算A'!$D$60:$EQ$104,$B35,25)*DZ35=1,IF(AND($E35=2,JO35=0),1000000,IF($I35&gt;0,IF(2=$J35,IF(OR(AND(25=$I35+1,OR($K35&lt;&gt;'計算A'!$A$3,'計算A'!$A$4=0)),AND(25=$I35-1,OR(1&lt;&gt;'計算A'!$A$3,'計算A'!$A$4=0))),0,IF(1=$K35,200000,ABS(1-$K35)*100)),100000+ABS(2-$J35)*1000+10)+'計算A'!AB$5*50+IF(AND($E35=1,JO35=0),25,0),IF($F35&gt;0,INDEX('計算A'!AB$110:AB$114,$F35+1)+IF(AND($E35=1,JO35=0),1000,0),MIN(TV35,20)*400+(IF('計算A'!AB$106=1,1-EA35,0))*150+12+'計算A'!AB$5*100000+IF(AND($E35=1,JO35=0),50000,0))+IF($H35=1,(IF('計算A'!AB$117=1,INDEX('計算A'!AC$10:AC$54,$B35),0))*4000,0)-IF(AND($L35=1,'計算A'!AB$117=1,EA35=0),2000,0))),1000000))</f>
        <v/>
      </c>
      <c r="PE35">
        <f>IF($B35=0,1000000,IF(INDEX('計算A'!$D$60:$EQ$104,$B35,26)*EA35=1,IF(AND($E35=2,JP35=0),1000000,IF($I35&gt;0,IF(2=$J35,IF(OR(AND(26=$I35+1,OR($K35&lt;&gt;'計算A'!$A$3,'計算A'!$A$4=0)),AND(26=$I35-1,OR(2&lt;&gt;'計算A'!$A$3,'計算A'!$A$4=0))),0,IF(2=$K35,200000,ABS(2-$K35)*100)),100000+ABS(2-$J35)*1000+20)+'計算A'!AC$5*50+IF(AND($E35=1,JP35=0),25,0),IF($F35&gt;0,INDEX('計算A'!AC$110:AC$114,$F35+1)+IF(AND($E35=1,JP35=0),1000,0),MIN(TV35,20)*400+(IF('計算A'!AB$106=1,1-DZ35,0)+IF('計算A'!AC$106=1,1-EB35,0))*150+22+'計算A'!AC$5*100000+IF(AND($E35=1,JP35=0),50000,0))+IF($H35=1,(IF('計算A'!AB$117=1,INDEX('計算A'!AB$10:AB$54,$B35),0)+IF('計算A'!AC$117=1,INDEX('計算A'!AD$10:AD$54,$B35),0))*4000,0)-IF(AND('計算A'!AB$117=1,UZ35&gt;0),2000,0)-IF(AND($L35=1,'計算A'!AC$117=1,EB35=0),2000,0))),1000000))</f>
        <v/>
      </c>
      <c r="PF35">
        <f>IF($B35=0,1000000,IF(INDEX('計算A'!$D$60:$EQ$104,$B35,27)*EB35=1,IF(AND($E35=2,JQ35=0),1000000,IF($I35&gt;0,IF(2=$J35,IF(OR(AND(27=$I35+1,OR($K35&lt;&gt;'計算A'!$A$3,'計算A'!$A$4=0)),AND(27=$I35-1,OR(3&lt;&gt;'計算A'!$A$3,'計算A'!$A$4=0))),0,IF(3=$K35,200000,ABS(3-$K35)*100)),100000+ABS(2-$J35)*1000+30)+'計算A'!AD$5*50+IF(AND($E35=1,JQ35=0),25,0),IF($F35&gt;0,INDEX('計算A'!AD$110:AD$114,$F35+1)+IF(AND($E35=1,JQ35=0),1000,0),MIN(TV35,20)*400+(IF('計算A'!AC$106=1,1-EA35,0)+IF('計算A'!AD$106=1,1-EC35,0))*150+32+'計算A'!AD$5*100000+IF(AND($E35=1,JQ35=0),50000,0))+IF($H35=1,(IF('計算A'!AC$117=1,INDEX('計算A'!AC$10:AC$54,$B35),0)+IF('計算A'!AD$117=1,INDEX('計算A'!AE$10:AE$54,$B35),0))*4000,0)-IF(AND('計算A'!AC$117=1,VA35&gt;0),2000,0)-IF(AND($L35=1,'計算A'!AD$117=1,EC35=0),2000,0))),1000000))</f>
        <v/>
      </c>
      <c r="PG35">
        <f>IF($B35=0,1000000,IF(INDEX('計算A'!$D$60:$EQ$104,$B35,28)*EC35=1,IF(AND($E35=2,JR35=0),1000000,IF($I35&gt;0,IF(2=$J35,IF(OR(AND(28=$I35+1,OR($K35&lt;&gt;'計算A'!$A$3,'計算A'!$A$4=0)),AND(28=$I35-1,OR(4&lt;&gt;'計算A'!$A$3,'計算A'!$A$4=0))),0,IF(4=$K35,200000,ABS(4-$K35)*100)),100000+ABS(2-$J35)*1000+40)+'計算A'!AE$5*50+IF(AND($E35=1,JR35=0),25,0),IF($F35&gt;0,INDEX('計算A'!AE$110:AE$114,$F35+1)+IF(AND($E35=1,JR35=0),1000,0),MIN(TV35,20)*400+(IF('計算A'!AD$106=1,1-EB35,0)+IF('計算A'!AE$106=1,1-ED35,0))*150+42+'計算A'!AE$5*100000+IF(AND($E35=1,JR35=0),50000,0))+IF($H35=1,(IF('計算A'!AD$117=1,INDEX('計算A'!AD$10:AD$54,$B35),0)+IF('計算A'!AE$117=1,INDEX('計算A'!AF$10:AF$54,$B35),0))*4000,0)-IF(AND('計算A'!AD$117=1,VB35&gt;0),2000,0)-IF(AND($L35=1,'計算A'!AE$117=1,ED35=0),2000,0))),1000000))</f>
        <v/>
      </c>
      <c r="PH35">
        <f>IF($B35=0,1000000,IF(INDEX('計算A'!$D$60:$EQ$104,$B35,29)*ED35=1,IF(AND($E35=2,JS35=0),1000000,IF($I35&gt;0,IF(2=$J35,IF(OR(AND(29=$I35+1,OR($K35&lt;&gt;'計算A'!$A$3,'計算A'!$A$4=0)),AND(29=$I35-1,OR(5&lt;&gt;'計算A'!$A$3,'計算A'!$A$4=0))),0,IF(5=$K35,200000,ABS(5-$K35)*100)),100000+ABS(2-$J35)*1000+50)+'計算A'!AF$5*50+IF(AND($E35=1,JS35=0),25,0),IF($F35&gt;0,INDEX('計算A'!AF$110:AF$114,$F35+1)+IF(AND($E35=1,JS35=0),1000,0),MIN(TV35,20)*400+(IF('計算A'!AE$106=1,1-EC35,0)+IF('計算A'!AF$106=1,1-EE35,0))*150+52+'計算A'!AF$5*100000+IF(AND($E35=1,JS35=0),50000,0))+IF($H35=1,(IF('計算A'!AE$117=1,INDEX('計算A'!AE$10:AE$54,$B35),0)+IF('計算A'!AF$117=1,INDEX('計算A'!AG$10:AG$54,$B35),0))*4000,0)-IF(AND('計算A'!AE$117=1,VC35&gt;0),2000,0)-IF(AND($L35=1,'計算A'!AF$117=1,EE35=0),2000,0))),1000000))</f>
        <v/>
      </c>
      <c r="PI35">
        <f>IF($B35=0,1000000,IF(INDEX('計算A'!$D$60:$EQ$104,$B35,30)*EE35=1,IF(AND($E35=2,JT35=0),1000000,IF($I35&gt;0,IF(2=$J35,IF(OR(AND(30=$I35+1,OR($K35&lt;&gt;'計算A'!$A$3,'計算A'!$A$4=0)),AND(30=$I35-1,OR(6&lt;&gt;'計算A'!$A$3,'計算A'!$A$4=0))),0,IF(6=$K35,200000,ABS(6-$K35)*100)),100000+ABS(2-$J35)*1000+60)+'計算A'!AG$5*50+IF(AND($E35=1,JT35=0),25,0),IF($F35&gt;0,INDEX('計算A'!AG$110:AG$114,$F35+1)+IF(AND($E35=1,JT35=0),1000,0),MIN(TV35,20)*400+(IF('計算A'!AF$106=1,1-ED35,0)+IF('計算A'!AG$106=1,1-EF35,0))*150+62+'計算A'!AG$5*100000+IF(AND($E35=1,JT35=0),50000,0))+IF($H35=1,(IF('計算A'!AF$117=1,INDEX('計算A'!AF$10:AF$54,$B35),0)+IF('計算A'!AG$117=1,INDEX('計算A'!AH$10:AH$54,$B35),0))*4000,0)-IF(AND('計算A'!AF$117=1,VD35&gt;0),2000,0)-IF(AND($L35=1,'計算A'!AG$117=1,EF35=0),2000,0))),1000000))</f>
        <v/>
      </c>
      <c r="PJ35">
        <f>IF($B35=0,1000000,IF(INDEX('計算A'!$D$60:$EQ$104,$B35,31)*EF35=1,IF(AND($E35=2,JU35=0),1000000,IF($I35&gt;0,IF(2=$J35,IF(OR(AND(31=$I35+1,OR($K35&lt;&gt;'計算A'!$A$3,'計算A'!$A$4=0)),AND(31=$I35-1,OR(7&lt;&gt;'計算A'!$A$3,'計算A'!$A$4=0))),0,IF(7=$K35,200000,ABS(7-$K35)*100)),100000+ABS(2-$J35)*1000+70)+'計算A'!AH$5*50+IF(AND($E35=1,JU35=0),25,0),IF($F35&gt;0,INDEX('計算A'!AH$110:AH$114,$F35+1)+IF(AND($E35=1,JU35=0),1000,0),MIN(TV35,20)*400+(IF('計算A'!AG$106=1,1-EE35,0)+IF('計算A'!AH$106=1,1-EG35,0))*150+72+'計算A'!AH$5*100000+IF(AND($E35=1,JU35=0),50000,0))+IF($H35=1,(IF('計算A'!AG$117=1,INDEX('計算A'!AG$10:AG$54,$B35),0)+IF('計算A'!AH$117=1,INDEX('計算A'!AI$10:AI$54,$B35),0))*4000,0)-IF(AND('計算A'!AG$117=1,VE35&gt;0),2000,0)-IF(AND($L35=1,'計算A'!AH$117=1,EG35=0),2000,0))),1000000))</f>
        <v/>
      </c>
      <c r="PK35">
        <f>IF($B35=0,1000000,IF(INDEX('計算A'!$D$60:$EQ$104,$B35,32)*EG35=1,IF(AND($E35=2,JV35=0),1000000,IF($I35&gt;0,IF(2=$J35,IF(OR(AND(32=$I35+1,OR($K35&lt;&gt;'計算A'!$A$3,'計算A'!$A$4=0)),AND(32=$I35-1,OR(8&lt;&gt;'計算A'!$A$3,'計算A'!$A$4=0))),0,IF(8=$K35,200000,ABS(8-$K35)*100)),100000+ABS(2-$J35)*1000+80)+'計算A'!AI$5*50+IF(AND($E35=1,JV35=0),25,0),IF($F35&gt;0,INDEX('計算A'!AI$110:AI$114,$F35+1)+IF(AND($E35=1,JV35=0),1000,0),MIN(TV35,20)*400+(IF('計算A'!AH$106=1,1-EF35,0)+IF('計算A'!AI$106=1,1-EH35,0))*150+82+'計算A'!AI$5*100000+IF(AND($E35=1,JV35=0),50000,0))+IF($H35=1,(IF('計算A'!AH$117=1,INDEX('計算A'!AH$10:AH$54,$B35),0)+IF('計算A'!AI$117=1,INDEX('計算A'!AJ$10:AJ$54,$B35),0))*4000,0)-IF(AND('計算A'!AH$117=1,VF35&gt;0),2000,0)-IF(AND($L35=1,'計算A'!AI$117=1,EH35=0),2000,0))),1000000))</f>
        <v/>
      </c>
      <c r="PL35">
        <f>IF($B35=0,1000000,IF(INDEX('計算A'!$D$60:$EQ$104,$B35,33)*EH35=1,IF(AND($E35=2,JW35=0),1000000,IF($I35&gt;0,IF(2=$J35,IF(OR(AND(33=$I35+1,OR($K35&lt;&gt;'計算A'!$A$3,'計算A'!$A$4=0)),AND(33=$I35-1,OR(9&lt;&gt;'計算A'!$A$3,'計算A'!$A$4=0))),0,IF(9=$K35,200000,ABS(9-$K35)*100)),100000+ABS(2-$J35)*1000+90)+'計算A'!AJ$5*50+IF(AND($E35=1,JW35=0),25,0),IF($F35&gt;0,INDEX('計算A'!AJ$110:AJ$114,$F35+1)+IF(AND($E35=1,JW35=0),1000,0),MIN(TV35,20)*400+(IF('計算A'!AI$106=1,1-EG35,0)+IF('計算A'!AJ$106=1,1-EI35,0))*150+92+'計算A'!AJ$5*100000+IF(AND($E35=1,JW35=0),50000,0))+IF($H35=1,(IF('計算A'!AI$117=1,INDEX('計算A'!AI$10:AI$54,$B35),0)+IF('計算A'!AJ$117=1,INDEX('計算A'!AK$10:AK$54,$B35),0))*4000,0)-IF(AND('計算A'!AI$117=1,VG35&gt;0),2000,0)-IF(AND($L35=1,'計算A'!AJ$117=1,EI35=0),2000,0))),1000000))</f>
        <v/>
      </c>
      <c r="PM35">
        <f>IF($B35=0,1000000,IF(INDEX('計算A'!$D$60:$EQ$104,$B35,34)*EI35=1,IF(AND($E35=2,JX35=0),1000000,IF($I35&gt;0,IF(2=$J35,IF(OR(AND(34=$I35+1,OR($K35&lt;&gt;'計算A'!$A$3,'計算A'!$A$4=0)),AND(34=$I35-1,OR(10&lt;&gt;'計算A'!$A$3,'計算A'!$A$4=0))),0,IF(10=$K35,200000,ABS(10-$K35)*100)),100000+ABS(2-$J35)*1000+100)+'計算A'!AK$5*50+IF(AND($E35=1,JX35=0),25,0),IF($F35&gt;0,INDEX('計算A'!AK$110:AK$114,$F35+1)+IF(AND($E35=1,JX35=0),1000,0),MIN(TV35,20)*400+(IF('計算A'!AJ$106=1,1-EH35,0)+IF('計算A'!AK$106=1,1-EJ35,0))*150+102+'計算A'!AK$5*100000+IF(AND($E35=1,JX35=0),50000,0))+IF($H35=1,(IF('計算A'!AJ$117=1,INDEX('計算A'!AJ$10:AJ$54,$B35),0)+IF('計算A'!AK$117=1,INDEX('計算A'!AL$10:AL$54,$B35),0))*4000,0)-IF(AND('計算A'!AJ$117=1,VH35&gt;0),2000,0)-IF(AND($L35=1,'計算A'!AK$117=1,EJ35=0),2000,0))),1000000))</f>
        <v/>
      </c>
      <c r="PN35">
        <f>IF($B35=0,1000000,IF(INDEX('計算A'!$D$60:$EQ$104,$B35,35)*EJ35=1,IF(AND($E35=2,JY35=0),1000000,IF($I35&gt;0,IF(2=$J35,IF(OR(AND(35=$I35+1,OR($K35&lt;&gt;'計算A'!$A$3,'計算A'!$A$4=0)),AND(35=$I35-1,OR(11&lt;&gt;'計算A'!$A$3,'計算A'!$A$4=0))),0,IF(11=$K35,200000,ABS(11-$K35)*100)),100000+ABS(2-$J35)*1000+110)+'計算A'!AL$5*50+IF(AND($E35=1,JY35=0),25,0),IF($F35&gt;0,INDEX('計算A'!AL$110:AL$114,$F35+1)+IF(AND($E35=1,JY35=0),1000,0),MIN(TV35,20)*400+(IF('計算A'!AK$106=1,1-EI35,0)+IF('計算A'!AL$106=1,1-EK35,0))*150+112+'計算A'!AL$5*100000+IF(AND($E35=1,JY35=0),50000,0))+IF($H35=1,(IF('計算A'!AK$117=1,INDEX('計算A'!AK$10:AK$54,$B35),0)+IF('計算A'!AL$117=1,INDEX('計算A'!AM$10:AM$54,$B35),0))*4000,0)-IF(AND('計算A'!AK$117=1,VI35&gt;0),2000,0)-IF(AND($L35=1,'計算A'!AL$117=1,EK35=0),2000,0))),1000000))</f>
        <v/>
      </c>
      <c r="PO35">
        <f>IF($B35=0,1000000,IF(INDEX('計算A'!$D$60:$EQ$104,$B35,36)*EK35=1,IF(AND($E35=2,JZ35=0),1000000,IF($I35&gt;0,IF(2=$J35,IF(OR(AND(36=$I35+1,OR($K35&lt;&gt;'計算A'!$A$3,'計算A'!$A$4=0)),AND(36=$I35-1,OR(12&lt;&gt;'計算A'!$A$3,'計算A'!$A$4=0))),0,IF(12=$K35,200000,ABS(12-$K35)*100)),100000+ABS(2-$J35)*1000+120)+'計算A'!AM$5*50+IF(AND($E35=1,JZ35=0),25,0),IF($F35&gt;0,INDEX('計算A'!AM$110:AM$114,$F35+1)+IF(AND($E35=1,JZ35=0),1000,0),MIN(TV35,20)*400+(IF('計算A'!AL$106=1,1-EJ35,0)+IF('計算A'!AM$106=1,1-EL35,0))*150+122+'計算A'!AM$5*100000+IF(AND($E35=1,JZ35=0),50000,0))+IF($H35=1,(IF('計算A'!AL$117=1,INDEX('計算A'!AL$10:AL$54,$B35),0)+IF('計算A'!AM$117=1,INDEX('計算A'!AN$10:AN$54,$B35),0))*4000,0)-IF(AND('計算A'!AL$117=1,VJ35&gt;0),2000,0)-IF(AND($L35=1,'計算A'!AM$117=1,EL35=0),2000,0))),1000000))</f>
        <v/>
      </c>
      <c r="PP35">
        <f>IF($B35=0,1000000,IF(INDEX('計算A'!$D$60:$EQ$104,$B35,37)*EL35=1,IF(AND($E35=2,KA35=0),1000000,IF($I35&gt;0,IF(2=$J35,IF(OR(AND(37=$I35+1,OR($K35&lt;&gt;'計算A'!$A$3,'計算A'!$A$4=0)),AND(37=$I35-1,OR(13&lt;&gt;'計算A'!$A$3,'計算A'!$A$4=0))),0,IF(13=$K35,200000,ABS(13-$K35)*100)),100000+ABS(2-$J35)*1000+130)+'計算A'!AN$5*50+IF(AND($E35=1,KA35=0),25,0),IF($F35&gt;0,INDEX('計算A'!AN$110:AN$114,$F35+1)+IF(AND($E35=1,KA35=0),1000,0),MIN(TV35,20)*400+(IF('計算A'!AM$106=1,1-EK35,0)+IF('計算A'!AN$106=1,1-EM35,0))*150+132+'計算A'!AN$5*100000+IF(AND($E35=1,KA35=0),50000,0))+IF($H35=1,(IF('計算A'!AM$117=1,INDEX('計算A'!AM$10:AM$54,$B35),0)+IF('計算A'!AN$117=1,INDEX('計算A'!AO$10:AO$54,$B35),0))*4000,0)-IF(AND('計算A'!AM$117=1,VK35&gt;0),2000,0)-IF(AND($L35=1,'計算A'!AN$117=1,EM35=0),2000,0))),1000000))</f>
        <v/>
      </c>
      <c r="PQ35">
        <f>IF($B35=0,1000000,IF(INDEX('計算A'!$D$60:$EQ$104,$B35,38)*EM35=1,IF(AND($E35=2,KB35=0),1000000,IF($I35&gt;0,IF(2=$J35,IF(OR(AND(38=$I35+1,OR($K35&lt;&gt;'計算A'!$A$3,'計算A'!$A$4=0)),AND(38=$I35-1,OR(14&lt;&gt;'計算A'!$A$3,'計算A'!$A$4=0))),0,IF(14=$K35,200000,ABS(14-$K35)*100)),100000+ABS(2-$J35)*1000+140)+'計算A'!AO$5*50+IF(AND($E35=1,KB35=0),25,0),IF($F35&gt;0,INDEX('計算A'!AO$110:AO$114,$F35+1)+IF(AND($E35=1,KB35=0),1000,0),MIN(TV35,20)*400+(IF('計算A'!AN$106=1,1-EL35,0)+IF('計算A'!AO$106=1,1-EN35,0))*150+142+'計算A'!AO$5*100000+IF(AND($E35=1,KB35=0),50000,0))+IF($H35=1,(IF('計算A'!AN$117=1,INDEX('計算A'!AN$10:AN$54,$B35),0)+IF('計算A'!AO$117=1,INDEX('計算A'!AP$10:AP$54,$B35),0))*4000,0)-IF(AND('計算A'!AN$117=1,VL35&gt;0),2000,0)-IF(AND($L35=1,'計算A'!AO$117=1,EN35=0),2000,0))),1000000))</f>
        <v/>
      </c>
      <c r="PR35">
        <f>IF($B35=0,1000000,IF(INDEX('計算A'!$D$60:$EQ$104,$B35,39)*EN35=1,IF(AND($E35=2,KC35=0),1000000,IF($I35&gt;0,IF(2=$J35,IF(OR(AND(39=$I35+1,OR($K35&lt;&gt;'計算A'!$A$3,'計算A'!$A$4=0)),AND(39=$I35-1,OR(15&lt;&gt;'計算A'!$A$3,'計算A'!$A$4=0))),0,IF(15=$K35,200000,ABS(15-$K35)*100)),100000+ABS(2-$J35)*1000+150)+'計算A'!AP$5*50+IF(AND($E35=1,KC35=0),25,0),IF($F35&gt;0,INDEX('計算A'!AP$110:AP$114,$F35+1)+IF(AND($E35=1,KC35=0),1000,0),MIN(TV35,20)*400+(IF('計算A'!AO$106=1,1-EM35,0)+IF('計算A'!AP$106=1,1-EO35,0))*150+152+'計算A'!AP$5*100000+IF(AND($E35=1,KC35=0),50000,0))+IF($H35=1,(IF('計算A'!AO$117=1,INDEX('計算A'!AO$10:AO$54,$B35),0)+IF('計算A'!AP$117=1,INDEX('計算A'!AQ$10:AQ$54,$B35),0))*4000,0)-IF(AND('計算A'!AO$117=1,VM35&gt;0),2000,0)-IF(AND($L35=1,'計算A'!AP$117=1,EO35=0),2000,0))),1000000))</f>
        <v/>
      </c>
      <c r="PS35">
        <f>IF($B35=0,1000000,IF(INDEX('計算A'!$D$60:$EQ$104,$B35,40)*EO35=1,IF(AND($E35=2,KD35=0),1000000,IF($I35&gt;0,IF(2=$J35,IF(OR(AND(40=$I35+1,OR($K35&lt;&gt;'計算A'!$A$3,'計算A'!$A$4=0)),AND(40=$I35-1,OR(16&lt;&gt;'計算A'!$A$3,'計算A'!$A$4=0))),0,IF(16=$K35,200000,ABS(16-$K35)*100)),100000+ABS(2-$J35)*1000+160)+'計算A'!AQ$5*50+IF(AND($E35=1,KD35=0),25,0),IF($F35&gt;0,INDEX('計算A'!AQ$110:AQ$114,$F35+1)+IF(AND($E35=1,KD35=0),1000,0),MIN(TV35,20)*400+(IF('計算A'!AP$106=1,1-EN35,0)+IF('計算A'!AQ$106=1,1-EP35,0))*150+162+'計算A'!AQ$5*100000+IF(AND($E35=1,KD35=0),50000,0))+IF($H35=1,(IF('計算A'!AP$117=1,INDEX('計算A'!AP$10:AP$54,$B35),0)+IF('計算A'!AQ$117=1,INDEX('計算A'!AR$10:AR$54,$B35),0))*4000,0)-IF(AND('計算A'!AP$117=1,VN35&gt;0),2000,0)-IF(AND($L35=1,'計算A'!AQ$117=1,EP35=0),2000,0))),1000000))</f>
        <v/>
      </c>
      <c r="PT35">
        <f>IF($B35=0,1000000,IF(INDEX('計算A'!$D$60:$EQ$104,$B35,41)*EP35=1,IF(AND($E35=2,KE35=0),1000000,IF($I35&gt;0,IF(2=$J35,IF(OR(AND(41=$I35+1,OR($K35&lt;&gt;'計算A'!$A$3,'計算A'!$A$4=0)),AND(41=$I35-1,OR(17&lt;&gt;'計算A'!$A$3,'計算A'!$A$4=0))),0,IF(17=$K35,200000,ABS(17-$K35)*100)),100000+ABS(2-$J35)*1000+170)+'計算A'!AR$5*50+IF(AND($E35=1,KE35=0),25,0),IF($F35&gt;0,INDEX('計算A'!AR$110:AR$114,$F35+1)+IF(AND($E35=1,KE35=0),1000,0),MIN(TV35,20)*400+(IF('計算A'!AQ$106=1,1-EO35,0)+IF('計算A'!AR$106=1,1-EQ35,0))*150+172+'計算A'!AR$5*100000+IF(AND($E35=1,KE35=0),50000,0))+IF($H35=1,(IF('計算A'!AQ$117=1,INDEX('計算A'!AQ$10:AQ$54,$B35),0)+IF('計算A'!AR$117=1,INDEX('計算A'!AS$10:AS$54,$B35),0))*4000,0)-IF(AND('計算A'!AQ$117=1,VO35&gt;0),2000,0)-IF(AND($L35=1,'計算A'!AR$117=1,EQ35=0),2000,0))),1000000))</f>
        <v/>
      </c>
      <c r="PU35">
        <f>IF($B35=0,1000000,IF(INDEX('計算A'!$D$60:$EQ$104,$B35,42)*EQ35=1,IF(AND($E35=2,KF35=0),1000000,IF($I35&gt;0,IF(2=$J35,IF(OR(AND(42=$I35+1,OR($K35&lt;&gt;'計算A'!$A$3,'計算A'!$A$4=0)),AND(42=$I35-1,OR(18&lt;&gt;'計算A'!$A$3,'計算A'!$A$4=0))),0,IF(18=$K35,200000,ABS(18-$K35)*100)),100000+ABS(2-$J35)*1000+180)+'計算A'!AS$5*50+IF(AND($E35=1,KF35=0),25,0),IF($F35&gt;0,INDEX('計算A'!AS$110:AS$114,$F35+1)+IF(AND($E35=1,KF35=0),1000,0),MIN(TV35,20)*400+(IF('計算A'!AR$106=1,1-EP35,0)+IF('計算A'!AS$106=1,1-ER35,0))*150+182+'計算A'!AS$5*100000+IF(AND($E35=1,KF35=0),50000,0))+IF($H35=1,(IF('計算A'!AR$117=1,INDEX('計算A'!AR$10:AR$54,$B35),0)+IF('計算A'!AS$117=1,INDEX('計算A'!AT$10:AT$54,$B35),0))*4000,0)-IF(AND('計算A'!AR$117=1,VP35&gt;0),2000,0)-IF(AND($L35=1,'計算A'!AS$117=1,ER35=0),2000,0))),1000000))</f>
        <v/>
      </c>
      <c r="PV35">
        <f>IF($B35=0,1000000,IF(INDEX('計算A'!$D$60:$EQ$104,$B35,43)*ER35=1,IF(AND($E35=2,KG35=0),1000000,IF($I35&gt;0,IF(2=$J35,IF(OR(AND(43=$I35+1,OR($K35&lt;&gt;'計算A'!$A$3,'計算A'!$A$4=0)),AND(43=$I35-1,OR(19&lt;&gt;'計算A'!$A$3,'計算A'!$A$4=0))),0,IF(19=$K35,200000,ABS(19-$K35)*100)),100000+ABS(2-$J35)*1000+190)+'計算A'!AT$5*50+IF(AND($E35=1,KG35=0),25,0),IF($F35&gt;0,INDEX('計算A'!AT$110:AT$114,$F35+1)+IF(AND($E35=1,KG35=0),1000,0),MIN(TV35,20)*400+(IF('計算A'!AS$106=1,1-EQ35,0)+IF('計算A'!AT$106=1,1-ES35,0))*150+192+'計算A'!AT$5*100000+IF(AND($E35=1,KG35=0),50000,0))+IF($H35=1,(IF('計算A'!AS$117=1,INDEX('計算A'!AS$10:AS$54,$B35),0)+IF('計算A'!AT$117=1,INDEX('計算A'!AU$10:AU$54,$B35),0))*4000,0)-IF(AND('計算A'!AS$117=1,VQ35&gt;0),2000,0)-IF(AND($L35=1,'計算A'!AT$117=1,ES35=0),2000,0))),1000000))</f>
        <v/>
      </c>
      <c r="PW35">
        <f>IF($B35=0,1000000,IF(INDEX('計算A'!$D$60:$EQ$104,$B35,44)*ES35=1,IF(AND($E35=2,KH35=0),1000000,IF($I35&gt;0,IF(2=$J35,IF(OR(AND(44=$I35+1,OR($K35&lt;&gt;'計算A'!$A$3,'計算A'!$A$4=0)),AND(44=$I35-1,OR(20&lt;&gt;'計算A'!$A$3,'計算A'!$A$4=0))),0,IF(20=$K35,200000,ABS(20-$K35)*100)),100000+ABS(2-$J35)*1000+200)+'計算A'!AU$5*50+IF(AND($E35=1,KH35=0),25,0),IF($F35&gt;0,INDEX('計算A'!AU$110:AU$114,$F35+1)+IF(AND($E35=1,KH35=0),1000,0),MIN(TV35,20)*400+(IF('計算A'!AT$106=1,1-ER35,0)+IF('計算A'!AU$106=1,1-ET35,0))*150+202+'計算A'!AU$5*100000+IF(AND($E35=1,KH35=0),50000,0))+IF($H35=1,(IF('計算A'!AT$117=1,INDEX('計算A'!AT$10:AT$54,$B35),0)+IF('計算A'!AU$117=1,INDEX('計算A'!AV$10:AV$54,$B35),0))*4000,0)-IF(AND('計算A'!AT$117=1,VR35&gt;0),2000,0)-IF(AND($L35=1,'計算A'!AU$117=1,ET35=0),2000,0))),1000000))</f>
        <v/>
      </c>
      <c r="PX35">
        <f>IF($B35=0,1000000,IF(INDEX('計算A'!$D$60:$EQ$104,$B35,45)*ET35=1,IF(AND($E35=2,KI35=0),1000000,IF($I35&gt;0,IF(2=$J35,IF(OR(AND(45=$I35+1,OR($K35&lt;&gt;'計算A'!$A$3,'計算A'!$A$4=0)),AND(45=$I35-1,OR(21&lt;&gt;'計算A'!$A$3,'計算A'!$A$4=0))),0,IF(21=$K35,200000,ABS(21-$K35)*100)),100000+ABS(2-$J35)*1000+210)+'計算A'!AV$5*50+IF(AND($E35=1,KI35=0),25,0),IF($F35&gt;0,INDEX('計算A'!AV$110:AV$114,$F35+1)+IF(AND($E35=1,KI35=0),1000,0),MIN(TV35,20)*400+(IF('計算A'!AU$106=1,1-ES35,0)+IF('計算A'!AV$106=1,1-EU35,0))*150+212+'計算A'!AV$5*100000+IF(AND($E35=1,KI35=0),50000,0))+IF($H35=1,(IF('計算A'!AU$117=1,INDEX('計算A'!AU$10:AU$54,$B35),0)+IF('計算A'!AV$117=1,INDEX('計算A'!AW$10:AW$54,$B35),0))*4000,0)-IF(AND('計算A'!AU$117=1,VS35&gt;0),2000,0)-IF(AND($L35=1,'計算A'!AV$117=1,EU35=0),2000,0))),1000000))</f>
        <v/>
      </c>
      <c r="PY35">
        <f>IF($B35=0,1000000,IF(INDEX('計算A'!$D$60:$EQ$104,$B35,46)*EU35=1,IF(AND($E35=2,KJ35=0),1000000,IF($I35&gt;0,IF(2=$J35,IF(OR(AND(46=$I35+1,OR($K35&lt;&gt;'計算A'!$A$3,'計算A'!$A$4=0)),AND(46=$I35-1,OR(22&lt;&gt;'計算A'!$A$3,'計算A'!$A$4=0))),0,IF(22=$K35,200000,ABS(22-$K35)*100)),100000+ABS(2-$J35)*1000+220)+'計算A'!AW$5*50+IF(AND($E35=1,KJ35=0),25,0),IF($F35&gt;0,INDEX('計算A'!AW$110:AW$114,$F35+1)+IF(AND($E35=1,KJ35=0),1000,0),MIN(TV35,20)*400+(IF('計算A'!AV$106=1,1-ET35,0)+IF('計算A'!AW$106=1,1-EV35,0))*150+222+'計算A'!AW$5*100000+IF(AND($E35=1,KJ35=0),50000,0))+IF($H35=1,(IF('計算A'!AV$117=1,INDEX('計算A'!AV$10:AV$54,$B35),0)+IF('計算A'!AW$117=1,INDEX('計算A'!AX$10:AX$54,$B35),0))*4000,0)-IF(AND('計算A'!AV$117=1,VT35&gt;0),2000,0)-IF(AND($L35=1,'計算A'!AW$117=1,EV35=0),2000,0))),1000000))</f>
        <v/>
      </c>
      <c r="PZ35">
        <f>IF($B35=0,1000000,IF(INDEX('計算A'!$D$60:$EQ$104,$B35,47)*EV35=1,IF(AND($E35=2,KK35=0),1000000,IF($I35&gt;0,IF(2=$J35,IF(OR(AND(47=$I35+1,OR($K35&lt;&gt;'計算A'!$A$3,'計算A'!$A$4=0)),AND(47=$I35-1,OR(23&lt;&gt;'計算A'!$A$3,'計算A'!$A$4=0))),0,IF(23=$K35,200000,ABS(23-$K35)*100)),100000+ABS(2-$J35)*1000+230)+'計算A'!AX$5*50+IF(AND($E35=1,KK35=0),25,0),IF($F35&gt;0,INDEX('計算A'!AX$110:AX$114,$F35+1)+IF(AND($E35=1,KK35=0),1000,0),MIN(TV35,20)*400+(IF('計算A'!AW$106=1,1-EU35,0)+IF('計算A'!AX$106=1,1-EW35,0))*150+232+'計算A'!AX$5*100000+IF(AND($E35=1,KK35=0),50000,0))+IF($H35=1,(IF('計算A'!AW$117=1,INDEX('計算A'!AW$10:AW$54,$B35),0)+IF('計算A'!AX$117=1,INDEX('計算A'!AY$10:AY$54,$B35),0))*4000,0)-IF(AND('計算A'!AW$117=1,VU35&gt;0),2000,0)-IF(AND($L35=1,'計算A'!AX$117=1,EW35=0),2000,0))),1000000))</f>
        <v/>
      </c>
      <c r="QA35">
        <f>IF($B35=0,1000000,IF(INDEX('計算A'!$D$60:$EQ$104,$B35,48)*EW35=1,IF(AND($E35=2,KL35=0),1000000,IF($I35&gt;0,IF(2=$J35,IF(OR(AND(48=$I35+1,OR($K35&lt;&gt;'計算A'!$A$3,'計算A'!$A$4=0)),AND(48=$I35-1,OR(24&lt;&gt;'計算A'!$A$3,'計算A'!$A$4=0))),0,IF(24=$K35,200000,ABS(24-$K35)*100)),100000+ABS(2-$J35)*1000+240)+'計算A'!AY$5*50+IF(AND($E35=1,KL35=0),25,0),IF($F35&gt;0,INDEX('計算A'!AY$110:AY$114,$F35+1)+IF(AND($E35=1,KL35=0),1000,0),MIN(TV35,20)*400+(IF('計算A'!AX$106=1,1-EV35,0))*150+242+'計算A'!AY$5*100000+IF(AND($E35=1,KL35=0),50000,0))+IF($H35=1,(IF('計算A'!AX$117=1,INDEX('計算A'!AX$10:AX$54,$B35),0))*4000,0)-IF(AND('計算A'!AX$117=1,VV35&gt;0),2000,0))),1000000))</f>
        <v/>
      </c>
      <c r="QB35">
        <f>IF($B35=0,1000000,IF(INDEX('計算A'!$D$60:$EQ$104,$B35,49)*EX35=1,IF(AND($E35=2,KM35=0),1000000,IF($I35&gt;0,IF(3=$J35,IF(OR(AND(49=$I35+1,OR($K35&lt;&gt;'計算A'!$A$3,'計算A'!$A$4=0)),AND(49=$I35-1,OR(1&lt;&gt;'計算A'!$A$3,'計算A'!$A$4=0))),0,IF(1=$K35,200000,ABS(1-$K35)*100)),100000+ABS(3-$J35)*1000+10)+'計算A'!AZ$5*50+IF(AND($E35=1,KM35=0),25,0),IF($F35&gt;0,INDEX('計算A'!AZ$110:AZ$114,$F35+1)+IF(AND($E35=1,KM35=0),1000,0),MIN(TW35,20)*400+(IF('計算A'!AZ$106=1,1-EY35,0))*150+13+'計算A'!AZ$5*100000+IF(AND($E35=1,KM35=0),50000,0))+IF($H35=1,(IF('計算A'!AZ$117=1,INDEX('計算A'!BA$10:BA$54,$B35),0))*4000,0)-IF(AND($L35=1,'計算A'!AZ$117=1,EY35=0),2000,0))),1000000))</f>
        <v/>
      </c>
      <c r="QC35">
        <f>IF($B35=0,1000000,IF(INDEX('計算A'!$D$60:$EQ$104,$B35,50)*EY35=1,IF(AND($E35=2,KN35=0),1000000,IF($I35&gt;0,IF(3=$J35,IF(OR(AND(50=$I35+1,OR($K35&lt;&gt;'計算A'!$A$3,'計算A'!$A$4=0)),AND(50=$I35-1,OR(2&lt;&gt;'計算A'!$A$3,'計算A'!$A$4=0))),0,IF(2=$K35,200000,ABS(2-$K35)*100)),100000+ABS(3-$J35)*1000+20)+'計算A'!BA$5*50+IF(AND($E35=1,KN35=0),25,0),IF($F35&gt;0,INDEX('計算A'!BA$110:BA$114,$F35+1)+IF(AND($E35=1,KN35=0),1000,0),MIN(TW35,20)*400+(IF('計算A'!AZ$106=1,1-EX35,0)+IF('計算A'!BA$106=1,1-EZ35,0))*150+23+'計算A'!BA$5*100000+IF(AND($E35=1,KN35=0),50000,0))+IF($H35=1,(IF('計算A'!AZ$117=1,INDEX('計算A'!AZ$10:AZ$54,$B35),0)+IF('計算A'!BA$117=1,INDEX('計算A'!BB$10:BB$54,$B35),0))*4000,0)-IF(AND('計算A'!AZ$117=1,VX35&gt;0),2000,0)-IF(AND($L35=1,'計算A'!BA$117=1,EZ35=0),2000,0))),1000000))</f>
        <v/>
      </c>
      <c r="QD35">
        <f>IF($B35=0,1000000,IF(INDEX('計算A'!$D$60:$EQ$104,$B35,51)*EZ35=1,IF(AND($E35=2,KO35=0),1000000,IF($I35&gt;0,IF(3=$J35,IF(OR(AND(51=$I35+1,OR($K35&lt;&gt;'計算A'!$A$3,'計算A'!$A$4=0)),AND(51=$I35-1,OR(3&lt;&gt;'計算A'!$A$3,'計算A'!$A$4=0))),0,IF(3=$K35,200000,ABS(3-$K35)*100)),100000+ABS(3-$J35)*1000+30)+'計算A'!BB$5*50+IF(AND($E35=1,KO35=0),25,0),IF($F35&gt;0,INDEX('計算A'!BB$110:BB$114,$F35+1)+IF(AND($E35=1,KO35=0),1000,0),MIN(TW35,20)*400+(IF('計算A'!BA$106=1,1-EY35,0)+IF('計算A'!BB$106=1,1-FA35,0))*150+33+'計算A'!BB$5*100000+IF(AND($E35=1,KO35=0),50000,0))+IF($H35=1,(IF('計算A'!BA$117=1,INDEX('計算A'!BA$10:BA$54,$B35),0)+IF('計算A'!BB$117=1,INDEX('計算A'!BC$10:BC$54,$B35),0))*4000,0)-IF(AND('計算A'!BA$117=1,VY35&gt;0),2000,0)-IF(AND($L35=1,'計算A'!BB$117=1,FA35=0),2000,0))),1000000))</f>
        <v/>
      </c>
      <c r="QE35">
        <f>IF($B35=0,1000000,IF(INDEX('計算A'!$D$60:$EQ$104,$B35,52)*FA35=1,IF(AND($E35=2,KP35=0),1000000,IF($I35&gt;0,IF(3=$J35,IF(OR(AND(52=$I35+1,OR($K35&lt;&gt;'計算A'!$A$3,'計算A'!$A$4=0)),AND(52=$I35-1,OR(4&lt;&gt;'計算A'!$A$3,'計算A'!$A$4=0))),0,IF(4=$K35,200000,ABS(4-$K35)*100)),100000+ABS(3-$J35)*1000+40)+'計算A'!BC$5*50+IF(AND($E35=1,KP35=0),25,0),IF($F35&gt;0,INDEX('計算A'!BC$110:BC$114,$F35+1)+IF(AND($E35=1,KP35=0),1000,0),MIN(TW35,20)*400+(IF('計算A'!BB$106=1,1-EZ35,0)+IF('計算A'!BC$106=1,1-FB35,0))*150+43+'計算A'!BC$5*100000+IF(AND($E35=1,KP35=0),50000,0))+IF($H35=1,(IF('計算A'!BB$117=1,INDEX('計算A'!BB$10:BB$54,$B35),0)+IF('計算A'!BC$117=1,INDEX('計算A'!BD$10:BD$54,$B35),0))*4000,0)-IF(AND('計算A'!BB$117=1,VZ35&gt;0),2000,0)-IF(AND($L35=1,'計算A'!BC$117=1,FB35=0),2000,0))),1000000))</f>
        <v/>
      </c>
      <c r="QF35">
        <f>IF($B35=0,1000000,IF(INDEX('計算A'!$D$60:$EQ$104,$B35,53)*FB35=1,IF(AND($E35=2,KQ35=0),1000000,IF($I35&gt;0,IF(3=$J35,IF(OR(AND(53=$I35+1,OR($K35&lt;&gt;'計算A'!$A$3,'計算A'!$A$4=0)),AND(53=$I35-1,OR(5&lt;&gt;'計算A'!$A$3,'計算A'!$A$4=0))),0,IF(5=$K35,200000,ABS(5-$K35)*100)),100000+ABS(3-$J35)*1000+50)+'計算A'!BD$5*50+IF(AND($E35=1,KQ35=0),25,0),IF($F35&gt;0,INDEX('計算A'!BD$110:BD$114,$F35+1)+IF(AND($E35=1,KQ35=0),1000,0),MIN(TW35,20)*400+(IF('計算A'!BC$106=1,1-FA35,0)+IF('計算A'!BD$106=1,1-FC35,0))*150+53+'計算A'!BD$5*100000+IF(AND($E35=1,KQ35=0),50000,0))+IF($H35=1,(IF('計算A'!BC$117=1,INDEX('計算A'!BC$10:BC$54,$B35),0)+IF('計算A'!BD$117=1,INDEX('計算A'!BE$10:BE$54,$B35),0))*4000,0)-IF(AND('計算A'!BC$117=1,WA35&gt;0),2000,0)-IF(AND($L35=1,'計算A'!BD$117=1,FC35=0),2000,0))),1000000))</f>
        <v/>
      </c>
      <c r="QG35">
        <f>IF($B35=0,1000000,IF(INDEX('計算A'!$D$60:$EQ$104,$B35,54)*FC35=1,IF(AND($E35=2,KR35=0),1000000,IF($I35&gt;0,IF(3=$J35,IF(OR(AND(54=$I35+1,OR($K35&lt;&gt;'計算A'!$A$3,'計算A'!$A$4=0)),AND(54=$I35-1,OR(6&lt;&gt;'計算A'!$A$3,'計算A'!$A$4=0))),0,IF(6=$K35,200000,ABS(6-$K35)*100)),100000+ABS(3-$J35)*1000+60)+'計算A'!BE$5*50+IF(AND($E35=1,KR35=0),25,0),IF($F35&gt;0,INDEX('計算A'!BE$110:BE$114,$F35+1)+IF(AND($E35=1,KR35=0),1000,0),MIN(TW35,20)*400+(IF('計算A'!BD$106=1,1-FB35,0)+IF('計算A'!BE$106=1,1-FD35,0))*150+63+'計算A'!BE$5*100000+IF(AND($E35=1,KR35=0),50000,0))+IF($H35=1,(IF('計算A'!BD$117=1,INDEX('計算A'!BD$10:BD$54,$B35),0)+IF('計算A'!BE$117=1,INDEX('計算A'!BF$10:BF$54,$B35),0))*4000,0)-IF(AND('計算A'!BD$117=1,WB35&gt;0),2000,0)-IF(AND($L35=1,'計算A'!BE$117=1,FD35=0),2000,0))),1000000))</f>
        <v/>
      </c>
      <c r="QH35">
        <f>IF($B35=0,1000000,IF(INDEX('計算A'!$D$60:$EQ$104,$B35,55)*FD35=1,IF(AND($E35=2,KS35=0),1000000,IF($I35&gt;0,IF(3=$J35,IF(OR(AND(55=$I35+1,OR($K35&lt;&gt;'計算A'!$A$3,'計算A'!$A$4=0)),AND(55=$I35-1,OR(7&lt;&gt;'計算A'!$A$3,'計算A'!$A$4=0))),0,IF(7=$K35,200000,ABS(7-$K35)*100)),100000+ABS(3-$J35)*1000+70)+'計算A'!BF$5*50+IF(AND($E35=1,KS35=0),25,0),IF($F35&gt;0,INDEX('計算A'!BF$110:BF$114,$F35+1)+IF(AND($E35=1,KS35=0),1000,0),MIN(TW35,20)*400+(IF('計算A'!BE$106=1,1-FC35,0)+IF('計算A'!BF$106=1,1-FE35,0))*150+73+'計算A'!BF$5*100000+IF(AND($E35=1,KS35=0),50000,0))+IF($H35=1,(IF('計算A'!BE$117=1,INDEX('計算A'!BE$10:BE$54,$B35),0)+IF('計算A'!BF$117=1,INDEX('計算A'!BG$10:BG$54,$B35),0))*4000,0)-IF(AND('計算A'!BE$117=1,WC35&gt;0),2000,0)-IF(AND($L35=1,'計算A'!BF$117=1,FE35=0),2000,0))),1000000))</f>
        <v/>
      </c>
      <c r="QI35">
        <f>IF($B35=0,1000000,IF(INDEX('計算A'!$D$60:$EQ$104,$B35,56)*FE35=1,IF(AND($E35=2,KT35=0),1000000,IF($I35&gt;0,IF(3=$J35,IF(OR(AND(56=$I35+1,OR($K35&lt;&gt;'計算A'!$A$3,'計算A'!$A$4=0)),AND(56=$I35-1,OR(8&lt;&gt;'計算A'!$A$3,'計算A'!$A$4=0))),0,IF(8=$K35,200000,ABS(8-$K35)*100)),100000+ABS(3-$J35)*1000+80)+'計算A'!BG$5*50+IF(AND($E35=1,KT35=0),25,0),IF($F35&gt;0,INDEX('計算A'!BG$110:BG$114,$F35+1)+IF(AND($E35=1,KT35=0),1000,0),MIN(TW35,20)*400+(IF('計算A'!BF$106=1,1-FD35,0)+IF('計算A'!BG$106=1,1-FF35,0))*150+83+'計算A'!BG$5*100000+IF(AND($E35=1,KT35=0),50000,0))+IF($H35=1,(IF('計算A'!BF$117=1,INDEX('計算A'!BF$10:BF$54,$B35),0)+IF('計算A'!BG$117=1,INDEX('計算A'!BH$10:BH$54,$B35),0))*4000,0)-IF(AND('計算A'!BF$117=1,WD35&gt;0),2000,0)-IF(AND($L35=1,'計算A'!BG$117=1,FF35=0),2000,0))),1000000))</f>
        <v/>
      </c>
      <c r="QJ35">
        <f>IF($B35=0,1000000,IF(INDEX('計算A'!$D$60:$EQ$104,$B35,57)*FF35=1,IF(AND($E35=2,KU35=0),1000000,IF($I35&gt;0,IF(3=$J35,IF(OR(AND(57=$I35+1,OR($K35&lt;&gt;'計算A'!$A$3,'計算A'!$A$4=0)),AND(57=$I35-1,OR(9&lt;&gt;'計算A'!$A$3,'計算A'!$A$4=0))),0,IF(9=$K35,200000,ABS(9-$K35)*100)),100000+ABS(3-$J35)*1000+90)+'計算A'!BH$5*50+IF(AND($E35=1,KU35=0),25,0),IF($F35&gt;0,INDEX('計算A'!BH$110:BH$114,$F35+1)+IF(AND($E35=1,KU35=0),1000,0),MIN(TW35,20)*400+(IF('計算A'!BG$106=1,1-FE35,0)+IF('計算A'!BH$106=1,1-FG35,0))*150+93+'計算A'!BH$5*100000+IF(AND($E35=1,KU35=0),50000,0))+IF($H35=1,(IF('計算A'!BG$117=1,INDEX('計算A'!BG$10:BG$54,$B35),0)+IF('計算A'!BH$117=1,INDEX('計算A'!BI$10:BI$54,$B35),0))*4000,0)-IF(AND('計算A'!BG$117=1,WE35&gt;0),2000,0)-IF(AND($L35=1,'計算A'!BH$117=1,FG35=0),2000,0))),1000000))</f>
        <v/>
      </c>
      <c r="QK35">
        <f>IF($B35=0,1000000,IF(INDEX('計算A'!$D$60:$EQ$104,$B35,58)*FG35=1,IF(AND($E35=2,KV35=0),1000000,IF($I35&gt;0,IF(3=$J35,IF(OR(AND(58=$I35+1,OR($K35&lt;&gt;'計算A'!$A$3,'計算A'!$A$4=0)),AND(58=$I35-1,OR(10&lt;&gt;'計算A'!$A$3,'計算A'!$A$4=0))),0,IF(10=$K35,200000,ABS(10-$K35)*100)),100000+ABS(3-$J35)*1000+100)+'計算A'!BI$5*50+IF(AND($E35=1,KV35=0),25,0),IF($F35&gt;0,INDEX('計算A'!BI$110:BI$114,$F35+1)+IF(AND($E35=1,KV35=0),1000,0),MIN(TW35,20)*400+(IF('計算A'!BH$106=1,1-FF35,0)+IF('計算A'!BI$106=1,1-FH35,0))*150+103+'計算A'!BI$5*100000+IF(AND($E35=1,KV35=0),50000,0))+IF($H35=1,(IF('計算A'!BH$117=1,INDEX('計算A'!BH$10:BH$54,$B35),0)+IF('計算A'!BI$117=1,INDEX('計算A'!BJ$10:BJ$54,$B35),0))*4000,0)-IF(AND('計算A'!BH$117=1,WF35&gt;0),2000,0)-IF(AND($L35=1,'計算A'!BI$117=1,FH35=0),2000,0))),1000000))</f>
        <v/>
      </c>
      <c r="QL35">
        <f>IF($B35=0,1000000,IF(INDEX('計算A'!$D$60:$EQ$104,$B35,59)*FH35=1,IF(AND($E35=2,KW35=0),1000000,IF($I35&gt;0,IF(3=$J35,IF(OR(AND(59=$I35+1,OR($K35&lt;&gt;'計算A'!$A$3,'計算A'!$A$4=0)),AND(59=$I35-1,OR(11&lt;&gt;'計算A'!$A$3,'計算A'!$A$4=0))),0,IF(11=$K35,200000,ABS(11-$K35)*100)),100000+ABS(3-$J35)*1000+110)+'計算A'!BJ$5*50+IF(AND($E35=1,KW35=0),25,0),IF($F35&gt;0,INDEX('計算A'!BJ$110:BJ$114,$F35+1)+IF(AND($E35=1,KW35=0),1000,0),MIN(TW35,20)*400+(IF('計算A'!BI$106=1,1-FG35,0)+IF('計算A'!BJ$106=1,1-FI35,0))*150+113+'計算A'!BJ$5*100000+IF(AND($E35=1,KW35=0),50000,0))+IF($H35=1,(IF('計算A'!BI$117=1,INDEX('計算A'!BI$10:BI$54,$B35),0)+IF('計算A'!BJ$117=1,INDEX('計算A'!BK$10:BK$54,$B35),0))*4000,0)-IF(AND('計算A'!BI$117=1,WG35&gt;0),2000,0)-IF(AND($L35=1,'計算A'!BJ$117=1,FI35=0),2000,0))),1000000))</f>
        <v/>
      </c>
      <c r="QM35">
        <f>IF($B35=0,1000000,IF(INDEX('計算A'!$D$60:$EQ$104,$B35,60)*FI35=1,IF(AND($E35=2,KX35=0),1000000,IF($I35&gt;0,IF(3=$J35,IF(OR(AND(60=$I35+1,OR($K35&lt;&gt;'計算A'!$A$3,'計算A'!$A$4=0)),AND(60=$I35-1,OR(12&lt;&gt;'計算A'!$A$3,'計算A'!$A$4=0))),0,IF(12=$K35,200000,ABS(12-$K35)*100)),100000+ABS(3-$J35)*1000+120)+'計算A'!BK$5*50+IF(AND($E35=1,KX35=0),25,0),IF($F35&gt;0,INDEX('計算A'!BK$110:BK$114,$F35+1)+IF(AND($E35=1,KX35=0),1000,0),MIN(TW35,20)*400+(IF('計算A'!BJ$106=1,1-FH35,0)+IF('計算A'!BK$106=1,1-FJ35,0))*150+123+'計算A'!BK$5*100000+IF(AND($E35=1,KX35=0),50000,0))+IF($H35=1,(IF('計算A'!BJ$117=1,INDEX('計算A'!BJ$10:BJ$54,$B35),0)+IF('計算A'!BK$117=1,INDEX('計算A'!BL$10:BL$54,$B35),0))*4000,0)-IF(AND('計算A'!BJ$117=1,WH35&gt;0),2000,0)-IF(AND($L35=1,'計算A'!BK$117=1,FJ35=0),2000,0))),1000000))</f>
        <v/>
      </c>
      <c r="QN35">
        <f>IF($B35=0,1000000,IF(INDEX('計算A'!$D$60:$EQ$104,$B35,61)*FJ35=1,IF(AND($E35=2,KY35=0),1000000,IF($I35&gt;0,IF(3=$J35,IF(OR(AND(61=$I35+1,OR($K35&lt;&gt;'計算A'!$A$3,'計算A'!$A$4=0)),AND(61=$I35-1,OR(13&lt;&gt;'計算A'!$A$3,'計算A'!$A$4=0))),0,IF(13=$K35,200000,ABS(13-$K35)*100)),100000+ABS(3-$J35)*1000+130)+'計算A'!BL$5*50+IF(AND($E35=1,KY35=0),25,0),IF($F35&gt;0,INDEX('計算A'!BL$110:BL$114,$F35+1)+IF(AND($E35=1,KY35=0),1000,0),MIN(TW35,20)*400+(IF('計算A'!BK$106=1,1-FI35,0)+IF('計算A'!BL$106=1,1-FK35,0))*150+133+'計算A'!BL$5*100000+IF(AND($E35=1,KY35=0),50000,0))+IF($H35=1,(IF('計算A'!BK$117=1,INDEX('計算A'!BK$10:BK$54,$B35),0)+IF('計算A'!BL$117=1,INDEX('計算A'!BM$10:BM$54,$B35),0))*4000,0)-IF(AND('計算A'!BK$117=1,WI35&gt;0),2000,0)-IF(AND($L35=1,'計算A'!BL$117=1,FK35=0),2000,0))),1000000))</f>
        <v/>
      </c>
      <c r="QO35">
        <f>IF($B35=0,1000000,IF(INDEX('計算A'!$D$60:$EQ$104,$B35,62)*FK35=1,IF(AND($E35=2,KZ35=0),1000000,IF($I35&gt;0,IF(3=$J35,IF(OR(AND(62=$I35+1,OR($K35&lt;&gt;'計算A'!$A$3,'計算A'!$A$4=0)),AND(62=$I35-1,OR(14&lt;&gt;'計算A'!$A$3,'計算A'!$A$4=0))),0,IF(14=$K35,200000,ABS(14-$K35)*100)),100000+ABS(3-$J35)*1000+140)+'計算A'!BM$5*50+IF(AND($E35=1,KZ35=0),25,0),IF($F35&gt;0,INDEX('計算A'!BM$110:BM$114,$F35+1)+IF(AND($E35=1,KZ35=0),1000,0),MIN(TW35,20)*400+(IF('計算A'!BL$106=1,1-FJ35,0)+IF('計算A'!BM$106=1,1-FL35,0))*150+143+'計算A'!BM$5*100000+IF(AND($E35=1,KZ35=0),50000,0))+IF($H35=1,(IF('計算A'!BL$117=1,INDEX('計算A'!BL$10:BL$54,$B35),0)+IF('計算A'!BM$117=1,INDEX('計算A'!BN$10:BN$54,$B35),0))*4000,0)-IF(AND('計算A'!BL$117=1,WJ35&gt;0),2000,0)-IF(AND($L35=1,'計算A'!BM$117=1,FL35=0),2000,0))),1000000))</f>
        <v/>
      </c>
      <c r="QP35">
        <f>IF($B35=0,1000000,IF(INDEX('計算A'!$D$60:$EQ$104,$B35,63)*FL35=1,IF(AND($E35=2,LA35=0),1000000,IF($I35&gt;0,IF(3=$J35,IF(OR(AND(63=$I35+1,OR($K35&lt;&gt;'計算A'!$A$3,'計算A'!$A$4=0)),AND(63=$I35-1,OR(15&lt;&gt;'計算A'!$A$3,'計算A'!$A$4=0))),0,IF(15=$K35,200000,ABS(15-$K35)*100)),100000+ABS(3-$J35)*1000+150)+'計算A'!BN$5*50+IF(AND($E35=1,LA35=0),25,0),IF($F35&gt;0,INDEX('計算A'!BN$110:BN$114,$F35+1)+IF(AND($E35=1,LA35=0),1000,0),MIN(TW35,20)*400+(IF('計算A'!BM$106=1,1-FK35,0)+IF('計算A'!BN$106=1,1-FM35,0))*150+153+'計算A'!BN$5*100000+IF(AND($E35=1,LA35=0),50000,0))+IF($H35=1,(IF('計算A'!BM$117=1,INDEX('計算A'!BM$10:BM$54,$B35),0)+IF('計算A'!BN$117=1,INDEX('計算A'!BO$10:BO$54,$B35),0))*4000,0)-IF(AND('計算A'!BM$117=1,WK35&gt;0),2000,0)-IF(AND($L35=1,'計算A'!BN$117=1,FM35=0),2000,0))),1000000))</f>
        <v/>
      </c>
      <c r="QQ35">
        <f>IF($B35=0,1000000,IF(INDEX('計算A'!$D$60:$EQ$104,$B35,64)*FM35=1,IF(AND($E35=2,LB35=0),1000000,IF($I35&gt;0,IF(3=$J35,IF(OR(AND(64=$I35+1,OR($K35&lt;&gt;'計算A'!$A$3,'計算A'!$A$4=0)),AND(64=$I35-1,OR(16&lt;&gt;'計算A'!$A$3,'計算A'!$A$4=0))),0,IF(16=$K35,200000,ABS(16-$K35)*100)),100000+ABS(3-$J35)*1000+160)+'計算A'!BO$5*50+IF(AND($E35=1,LB35=0),25,0),IF($F35&gt;0,INDEX('計算A'!BO$110:BO$114,$F35+1)+IF(AND($E35=1,LB35=0),1000,0),MIN(TW35,20)*400+(IF('計算A'!BN$106=1,1-FL35,0)+IF('計算A'!BO$106=1,1-FN35,0))*150+163+'計算A'!BO$5*100000+IF(AND($E35=1,LB35=0),50000,0))+IF($H35=1,(IF('計算A'!BN$117=1,INDEX('計算A'!BN$10:BN$54,$B35),0)+IF('計算A'!BO$117=1,INDEX('計算A'!BP$10:BP$54,$B35),0))*4000,0)-IF(AND('計算A'!BN$117=1,WL35&gt;0),2000,0)-IF(AND($L35=1,'計算A'!BO$117=1,FN35=0),2000,0))),1000000))</f>
        <v/>
      </c>
      <c r="QR35">
        <f>IF($B35=0,1000000,IF(INDEX('計算A'!$D$60:$EQ$104,$B35,65)*FN35=1,IF(AND($E35=2,LC35=0),1000000,IF($I35&gt;0,IF(3=$J35,IF(OR(AND(65=$I35+1,OR($K35&lt;&gt;'計算A'!$A$3,'計算A'!$A$4=0)),AND(65=$I35-1,OR(17&lt;&gt;'計算A'!$A$3,'計算A'!$A$4=0))),0,IF(17=$K35,200000,ABS(17-$K35)*100)),100000+ABS(3-$J35)*1000+170)+'計算A'!BP$5*50+IF(AND($E35=1,LC35=0),25,0),IF($F35&gt;0,INDEX('計算A'!BP$110:BP$114,$F35+1)+IF(AND($E35=1,LC35=0),1000,0),MIN(TW35,20)*400+(IF('計算A'!BO$106=1,1-FM35,0)+IF('計算A'!BP$106=1,1-FO35,0))*150+173+'計算A'!BP$5*100000+IF(AND($E35=1,LC35=0),50000,0))+IF($H35=1,(IF('計算A'!BO$117=1,INDEX('計算A'!BO$10:BO$54,$B35),0)+IF('計算A'!BP$117=1,INDEX('計算A'!BQ$10:BQ$54,$B35),0))*4000,0)-IF(AND('計算A'!BO$117=1,WM35&gt;0),2000,0)-IF(AND($L35=1,'計算A'!BP$117=1,FO35=0),2000,0))),1000000))</f>
        <v/>
      </c>
      <c r="QS35">
        <f>IF($B35=0,1000000,IF(INDEX('計算A'!$D$60:$EQ$104,$B35,66)*FO35=1,IF(AND($E35=2,LD35=0),1000000,IF($I35&gt;0,IF(3=$J35,IF(OR(AND(66=$I35+1,OR($K35&lt;&gt;'計算A'!$A$3,'計算A'!$A$4=0)),AND(66=$I35-1,OR(18&lt;&gt;'計算A'!$A$3,'計算A'!$A$4=0))),0,IF(18=$K35,200000,ABS(18-$K35)*100)),100000+ABS(3-$J35)*1000+180)+'計算A'!BQ$5*50+IF(AND($E35=1,LD35=0),25,0),IF($F35&gt;0,INDEX('計算A'!BQ$110:BQ$114,$F35+1)+IF(AND($E35=1,LD35=0),1000,0),MIN(TW35,20)*400+(IF('計算A'!BP$106=1,1-FN35,0)+IF('計算A'!BQ$106=1,1-FP35,0))*150+183+'計算A'!BQ$5*100000+IF(AND($E35=1,LD35=0),50000,0))+IF($H35=1,(IF('計算A'!BP$117=1,INDEX('計算A'!BP$10:BP$54,$B35),0)+IF('計算A'!BQ$117=1,INDEX('計算A'!BR$10:BR$54,$B35),0))*4000,0)-IF(AND('計算A'!BP$117=1,WN35&gt;0),2000,0)-IF(AND($L35=1,'計算A'!BQ$117=1,FP35=0),2000,0))),1000000))</f>
        <v/>
      </c>
      <c r="QT35">
        <f>IF($B35=0,1000000,IF(INDEX('計算A'!$D$60:$EQ$104,$B35,67)*FP35=1,IF(AND($E35=2,LE35=0),1000000,IF($I35&gt;0,IF(3=$J35,IF(OR(AND(67=$I35+1,OR($K35&lt;&gt;'計算A'!$A$3,'計算A'!$A$4=0)),AND(67=$I35-1,OR(19&lt;&gt;'計算A'!$A$3,'計算A'!$A$4=0))),0,IF(19=$K35,200000,ABS(19-$K35)*100)),100000+ABS(3-$J35)*1000+190)+'計算A'!BR$5*50+IF(AND($E35=1,LE35=0),25,0),IF($F35&gt;0,INDEX('計算A'!BR$110:BR$114,$F35+1)+IF(AND($E35=1,LE35=0),1000,0),MIN(TW35,20)*400+(IF('計算A'!BQ$106=1,1-FO35,0)+IF('計算A'!BR$106=1,1-FQ35,0))*150+193+'計算A'!BR$5*100000+IF(AND($E35=1,LE35=0),50000,0))+IF($H35=1,(IF('計算A'!BQ$117=1,INDEX('計算A'!BQ$10:BQ$54,$B35),0)+IF('計算A'!BR$117=1,INDEX('計算A'!BS$10:BS$54,$B35),0))*4000,0)-IF(AND('計算A'!BQ$117=1,WO35&gt;0),2000,0)-IF(AND($L35=1,'計算A'!BR$117=1,FQ35=0),2000,0))),1000000))</f>
        <v/>
      </c>
      <c r="QU35">
        <f>IF($B35=0,1000000,IF(INDEX('計算A'!$D$60:$EQ$104,$B35,68)*FQ35=1,IF(AND($E35=2,LF35=0),1000000,IF($I35&gt;0,IF(3=$J35,IF(OR(AND(68=$I35+1,OR($K35&lt;&gt;'計算A'!$A$3,'計算A'!$A$4=0)),AND(68=$I35-1,OR(20&lt;&gt;'計算A'!$A$3,'計算A'!$A$4=0))),0,IF(20=$K35,200000,ABS(20-$K35)*100)),100000+ABS(3-$J35)*1000+200)+'計算A'!BS$5*50+IF(AND($E35=1,LF35=0),25,0),IF($F35&gt;0,INDEX('計算A'!BS$110:BS$114,$F35+1)+IF(AND($E35=1,LF35=0),1000,0),MIN(TW35,20)*400+(IF('計算A'!BR$106=1,1-FP35,0)+IF('計算A'!BS$106=1,1-FR35,0))*150+203+'計算A'!BS$5*100000+IF(AND($E35=1,LF35=0),50000,0))+IF($H35=1,(IF('計算A'!BR$117=1,INDEX('計算A'!BR$10:BR$54,$B35),0)+IF('計算A'!BS$117=1,INDEX('計算A'!BT$10:BT$54,$B35),0))*4000,0)-IF(AND('計算A'!BR$117=1,WP35&gt;0),2000,0)-IF(AND($L35=1,'計算A'!BS$117=1,FR35=0),2000,0))),1000000))</f>
        <v/>
      </c>
      <c r="QV35">
        <f>IF($B35=0,1000000,IF(INDEX('計算A'!$D$60:$EQ$104,$B35,69)*FR35=1,IF(AND($E35=2,LG35=0),1000000,IF($I35&gt;0,IF(3=$J35,IF(OR(AND(69=$I35+1,OR($K35&lt;&gt;'計算A'!$A$3,'計算A'!$A$4=0)),AND(69=$I35-1,OR(21&lt;&gt;'計算A'!$A$3,'計算A'!$A$4=0))),0,IF(21=$K35,200000,ABS(21-$K35)*100)),100000+ABS(3-$J35)*1000+210)+'計算A'!BT$5*50+IF(AND($E35=1,LG35=0),25,0),IF($F35&gt;0,INDEX('計算A'!BT$110:BT$114,$F35+1)+IF(AND($E35=1,LG35=0),1000,0),MIN(TW35,20)*400+(IF('計算A'!BS$106=1,1-FQ35,0)+IF('計算A'!BT$106=1,1-FS35,0))*150+213+'計算A'!BT$5*100000+IF(AND($E35=1,LG35=0),50000,0))+IF($H35=1,(IF('計算A'!BS$117=1,INDEX('計算A'!BS$10:BS$54,$B35),0)+IF('計算A'!BT$117=1,INDEX('計算A'!BU$10:BU$54,$B35),0))*4000,0)-IF(AND('計算A'!BS$117=1,WQ35&gt;0),2000,0)-IF(AND($L35=1,'計算A'!BT$117=1,FS35=0),2000,0))),1000000))</f>
        <v/>
      </c>
      <c r="QW35">
        <f>IF($B35=0,1000000,IF(INDEX('計算A'!$D$60:$EQ$104,$B35,70)*FS35=1,IF(AND($E35=2,LH35=0),1000000,IF($I35&gt;0,IF(3=$J35,IF(OR(AND(70=$I35+1,OR($K35&lt;&gt;'計算A'!$A$3,'計算A'!$A$4=0)),AND(70=$I35-1,OR(22&lt;&gt;'計算A'!$A$3,'計算A'!$A$4=0))),0,IF(22=$K35,200000,ABS(22-$K35)*100)),100000+ABS(3-$J35)*1000+220)+'計算A'!BU$5*50+IF(AND($E35=1,LH35=0),25,0),IF($F35&gt;0,INDEX('計算A'!BU$110:BU$114,$F35+1)+IF(AND($E35=1,LH35=0),1000,0),MIN(TW35,20)*400+(IF('計算A'!BT$106=1,1-FR35,0)+IF('計算A'!BU$106=1,1-FT35,0))*150+223+'計算A'!BU$5*100000+IF(AND($E35=1,LH35=0),50000,0))+IF($H35=1,(IF('計算A'!BT$117=1,INDEX('計算A'!BT$10:BT$54,$B35),0)+IF('計算A'!BU$117=1,INDEX('計算A'!BV$10:BV$54,$B35),0))*4000,0)-IF(AND('計算A'!BT$117=1,WR35&gt;0),2000,0)-IF(AND($L35=1,'計算A'!BU$117=1,FT35=0),2000,0))),1000000))</f>
        <v/>
      </c>
      <c r="QX35">
        <f>IF($B35=0,1000000,IF(INDEX('計算A'!$D$60:$EQ$104,$B35,71)*FT35=1,IF(AND($E35=2,LI35=0),1000000,IF($I35&gt;0,IF(3=$J35,IF(OR(AND(71=$I35+1,OR($K35&lt;&gt;'計算A'!$A$3,'計算A'!$A$4=0)),AND(71=$I35-1,OR(23&lt;&gt;'計算A'!$A$3,'計算A'!$A$4=0))),0,IF(23=$K35,200000,ABS(23-$K35)*100)),100000+ABS(3-$J35)*1000+230)+'計算A'!BV$5*50+IF(AND($E35=1,LI35=0),25,0),IF($F35&gt;0,INDEX('計算A'!BV$110:BV$114,$F35+1)+IF(AND($E35=1,LI35=0),1000,0),MIN(TW35,20)*400+(IF('計算A'!BU$106=1,1-FS35,0)+IF('計算A'!BV$106=1,1-FU35,0))*150+233+'計算A'!BV$5*100000+IF(AND($E35=1,LI35=0),50000,0))+IF($H35=1,(IF('計算A'!BU$117=1,INDEX('計算A'!BU$10:BU$54,$B35),0)+IF('計算A'!BV$117=1,INDEX('計算A'!BW$10:BW$54,$B35),0))*4000,0)-IF(AND('計算A'!BU$117=1,WS35&gt;0),2000,0)-IF(AND($L35=1,'計算A'!BV$117=1,FU35=0),2000,0))),1000000))</f>
        <v/>
      </c>
      <c r="QY35">
        <f>IF($B35=0,1000000,IF(INDEX('計算A'!$D$60:$EQ$104,$B35,72)*FU35=1,IF(AND($E35=2,LJ35=0),1000000,IF($I35&gt;0,IF(3=$J35,IF(OR(AND(72=$I35+1,OR($K35&lt;&gt;'計算A'!$A$3,'計算A'!$A$4=0)),AND(72=$I35-1,OR(24&lt;&gt;'計算A'!$A$3,'計算A'!$A$4=0))),0,IF(24=$K35,200000,ABS(24-$K35)*100)),100000+ABS(3-$J35)*1000+240)+'計算A'!BW$5*50+IF(AND($E35=1,LJ35=0),25,0),IF($F35&gt;0,INDEX('計算A'!BW$110:BW$114,$F35+1)+IF(AND($E35=1,LJ35=0),1000,0),MIN(TW35,20)*400+(IF('計算A'!BV$106=1,1-FT35,0))*150+243+'計算A'!BW$5*100000+IF(AND($E35=1,LJ35=0),50000,0))+IF($H35=1,(IF('計算A'!BV$117=1,INDEX('計算A'!BV$10:BV$54,$B35),0))*4000,0)-IF(AND('計算A'!BV$117=1,WT35&gt;0),2000,0))),1000000))</f>
        <v/>
      </c>
      <c r="QZ35">
        <f>IF($B35=0,1000000,IF(INDEX('計算A'!$D$60:$EQ$104,$B35,73)*FV35=1,IF(AND($E35=2,LK35=0),1000000,IF($I35&gt;0,IF(4=$J35,IF(OR(AND(73=$I35+1,OR($K35&lt;&gt;'計算A'!$A$3,'計算A'!$A$4=0)),AND(73=$I35-1,OR(1&lt;&gt;'計算A'!$A$3,'計算A'!$A$4=0))),0,IF(1=$K35,200000,ABS(1-$K35)*100)),100000+ABS(4-$J35)*1000+10)+'計算A'!BX$5*50+IF(AND($E35=1,LK35=0),25,0),IF($F35&gt;0,INDEX('計算A'!BX$110:BX$114,$F35+1)+IF(AND($E35=1,LK35=0),1000,0),MIN(TX35,20)*400+(IF('計算A'!BX$106=1,1-FW35,0))*150+14+'計算A'!BX$5*100000+IF(AND($E35=1,LK35=0),50000,0))+IF($H35=1,(IF('計算A'!BX$117=1,INDEX('計算A'!BY$10:BY$54,$B35),0))*4000,0)-IF(AND($L35=1,'計算A'!BX$117=1,FW35=0),2000,0))),1000000))</f>
        <v/>
      </c>
      <c r="RA35">
        <f>IF($B35=0,1000000,IF(INDEX('計算A'!$D$60:$EQ$104,$B35,74)*FW35=1,IF(AND($E35=2,LL35=0),1000000,IF($I35&gt;0,IF(4=$J35,IF(OR(AND(74=$I35+1,OR($K35&lt;&gt;'計算A'!$A$3,'計算A'!$A$4=0)),AND(74=$I35-1,OR(2&lt;&gt;'計算A'!$A$3,'計算A'!$A$4=0))),0,IF(2=$K35,200000,ABS(2-$K35)*100)),100000+ABS(4-$J35)*1000+20)+'計算A'!BY$5*50+IF(AND($E35=1,LL35=0),25,0),IF($F35&gt;0,INDEX('計算A'!BY$110:BY$114,$F35+1)+IF(AND($E35=1,LL35=0),1000,0),MIN(TX35,20)*400+(IF('計算A'!BX$106=1,1-FV35,0)+IF('計算A'!BY$106=1,1-FX35,0))*150+24+'計算A'!BY$5*100000+IF(AND($E35=1,LL35=0),50000,0))+IF($H35=1,(IF('計算A'!BX$117=1,INDEX('計算A'!BX$10:BX$54,$B35),0)+IF('計算A'!BY$117=1,INDEX('計算A'!BZ$10:BZ$54,$B35),0))*4000,0)-IF(AND('計算A'!BX$117=1,WV35&gt;0),2000,0)-IF(AND($L35=1,'計算A'!BY$117=1,FX35=0),2000,0))),1000000))</f>
        <v/>
      </c>
      <c r="RB35">
        <f>IF($B35=0,1000000,IF(INDEX('計算A'!$D$60:$EQ$104,$B35,75)*FX35=1,IF(AND($E35=2,LM35=0),1000000,IF($I35&gt;0,IF(4=$J35,IF(OR(AND(75=$I35+1,OR($K35&lt;&gt;'計算A'!$A$3,'計算A'!$A$4=0)),AND(75=$I35-1,OR(3&lt;&gt;'計算A'!$A$3,'計算A'!$A$4=0))),0,IF(3=$K35,200000,ABS(3-$K35)*100)),100000+ABS(4-$J35)*1000+30)+'計算A'!BZ$5*50+IF(AND($E35=1,LM35=0),25,0),IF($F35&gt;0,INDEX('計算A'!BZ$110:BZ$114,$F35+1)+IF(AND($E35=1,LM35=0),1000,0),MIN(TX35,20)*400+(IF('計算A'!BY$106=1,1-FW35,0)+IF('計算A'!BZ$106=1,1-FY35,0))*150+34+'計算A'!BZ$5*100000+IF(AND($E35=1,LM35=0),50000,0))+IF($H35=1,(IF('計算A'!BY$117=1,INDEX('計算A'!BY$10:BY$54,$B35),0)+IF('計算A'!BZ$117=1,INDEX('計算A'!CA$10:CA$54,$B35),0))*4000,0)-IF(AND('計算A'!BY$117=1,WW35&gt;0),2000,0)-IF(AND($L35=1,'計算A'!BZ$117=1,FY35=0),2000,0))),1000000))</f>
        <v/>
      </c>
      <c r="RC35">
        <f>IF($B35=0,1000000,IF(INDEX('計算A'!$D$60:$EQ$104,$B35,76)*FY35=1,IF(AND($E35=2,LN35=0),1000000,IF($I35&gt;0,IF(4=$J35,IF(OR(AND(76=$I35+1,OR($K35&lt;&gt;'計算A'!$A$3,'計算A'!$A$4=0)),AND(76=$I35-1,OR(4&lt;&gt;'計算A'!$A$3,'計算A'!$A$4=0))),0,IF(4=$K35,200000,ABS(4-$K35)*100)),100000+ABS(4-$J35)*1000+40)+'計算A'!CA$5*50+IF(AND($E35=1,LN35=0),25,0),IF($F35&gt;0,INDEX('計算A'!CA$110:CA$114,$F35+1)+IF(AND($E35=1,LN35=0),1000,0),MIN(TX35,20)*400+(IF('計算A'!BZ$106=1,1-FX35,0)+IF('計算A'!CA$106=1,1-FZ35,0))*150+44+'計算A'!CA$5*100000+IF(AND($E35=1,LN35=0),50000,0))+IF($H35=1,(IF('計算A'!BZ$117=1,INDEX('計算A'!BZ$10:BZ$54,$B35),0)+IF('計算A'!CA$117=1,INDEX('計算A'!CB$10:CB$54,$B35),0))*4000,0)-IF(AND('計算A'!BZ$117=1,WX35&gt;0),2000,0)-IF(AND($L35=1,'計算A'!CA$117=1,FZ35=0),2000,0))),1000000))</f>
        <v/>
      </c>
      <c r="RD35">
        <f>IF($B35=0,1000000,IF(INDEX('計算A'!$D$60:$EQ$104,$B35,77)*FZ35=1,IF(AND($E35=2,LO35=0),1000000,IF($I35&gt;0,IF(4=$J35,IF(OR(AND(77=$I35+1,OR($K35&lt;&gt;'計算A'!$A$3,'計算A'!$A$4=0)),AND(77=$I35-1,OR(5&lt;&gt;'計算A'!$A$3,'計算A'!$A$4=0))),0,IF(5=$K35,200000,ABS(5-$K35)*100)),100000+ABS(4-$J35)*1000+50)+'計算A'!CB$5*50+IF(AND($E35=1,LO35=0),25,0),IF($F35&gt;0,INDEX('計算A'!CB$110:CB$114,$F35+1)+IF(AND($E35=1,LO35=0),1000,0),MIN(TX35,20)*400+(IF('計算A'!CA$106=1,1-FY35,0)+IF('計算A'!CB$106=1,1-GA35,0))*150+54+'計算A'!CB$5*100000+IF(AND($E35=1,LO35=0),50000,0))+IF($H35=1,(IF('計算A'!CA$117=1,INDEX('計算A'!CA$10:CA$54,$B35),0)+IF('計算A'!CB$117=1,INDEX('計算A'!CC$10:CC$54,$B35),0))*4000,0)-IF(AND('計算A'!CA$117=1,WY35&gt;0),2000,0)-IF(AND($L35=1,'計算A'!CB$117=1,GA35=0),2000,0))),1000000))</f>
        <v/>
      </c>
      <c r="RE35">
        <f>IF($B35=0,1000000,IF(INDEX('計算A'!$D$60:$EQ$104,$B35,78)*GA35=1,IF(AND($E35=2,LP35=0),1000000,IF($I35&gt;0,IF(4=$J35,IF(OR(AND(78=$I35+1,OR($K35&lt;&gt;'計算A'!$A$3,'計算A'!$A$4=0)),AND(78=$I35-1,OR(6&lt;&gt;'計算A'!$A$3,'計算A'!$A$4=0))),0,IF(6=$K35,200000,ABS(6-$K35)*100)),100000+ABS(4-$J35)*1000+60)+'計算A'!CC$5*50+IF(AND($E35=1,LP35=0),25,0),IF($F35&gt;0,INDEX('計算A'!CC$110:CC$114,$F35+1)+IF(AND($E35=1,LP35=0),1000,0),MIN(TX35,20)*400+(IF('計算A'!CB$106=1,1-FZ35,0)+IF('計算A'!CC$106=1,1-GB35,0))*150+64+'計算A'!CC$5*100000+IF(AND($E35=1,LP35=0),50000,0))+IF($H35=1,(IF('計算A'!CB$117=1,INDEX('計算A'!CB$10:CB$54,$B35),0)+IF('計算A'!CC$117=1,INDEX('計算A'!CD$10:CD$54,$B35),0))*4000,0)-IF(AND('計算A'!CB$117=1,WZ35&gt;0),2000,0)-IF(AND($L35=1,'計算A'!CC$117=1,GB35=0),2000,0))),1000000))</f>
        <v/>
      </c>
      <c r="RF35">
        <f>IF($B35=0,1000000,IF(INDEX('計算A'!$D$60:$EQ$104,$B35,79)*GB35=1,IF(AND($E35=2,LQ35=0),1000000,IF($I35&gt;0,IF(4=$J35,IF(OR(AND(79=$I35+1,OR($K35&lt;&gt;'計算A'!$A$3,'計算A'!$A$4=0)),AND(79=$I35-1,OR(7&lt;&gt;'計算A'!$A$3,'計算A'!$A$4=0))),0,IF(7=$K35,200000,ABS(7-$K35)*100)),100000+ABS(4-$J35)*1000+70)+'計算A'!CD$5*50+IF(AND($E35=1,LQ35=0),25,0),IF($F35&gt;0,INDEX('計算A'!CD$110:CD$114,$F35+1)+IF(AND($E35=1,LQ35=0),1000,0),MIN(TX35,20)*400+(IF('計算A'!CC$106=1,1-GA35,0)+IF('計算A'!CD$106=1,1-GC35,0))*150+74+'計算A'!CD$5*100000+IF(AND($E35=1,LQ35=0),50000,0))+IF($H35=1,(IF('計算A'!CC$117=1,INDEX('計算A'!CC$10:CC$54,$B35),0)+IF('計算A'!CD$117=1,INDEX('計算A'!CE$10:CE$54,$B35),0))*4000,0)-IF(AND('計算A'!CC$117=1,XA35&gt;0),2000,0)-IF(AND($L35=1,'計算A'!CD$117=1,GC35=0),2000,0))),1000000))</f>
        <v/>
      </c>
      <c r="RG35">
        <f>IF($B35=0,1000000,IF(INDEX('計算A'!$D$60:$EQ$104,$B35,80)*GC35=1,IF(AND($E35=2,LR35=0),1000000,IF($I35&gt;0,IF(4=$J35,IF(OR(AND(80=$I35+1,OR($K35&lt;&gt;'計算A'!$A$3,'計算A'!$A$4=0)),AND(80=$I35-1,OR(8&lt;&gt;'計算A'!$A$3,'計算A'!$A$4=0))),0,IF(8=$K35,200000,ABS(8-$K35)*100)),100000+ABS(4-$J35)*1000+80)+'計算A'!CE$5*50+IF(AND($E35=1,LR35=0),25,0),IF($F35&gt;0,INDEX('計算A'!CE$110:CE$114,$F35+1)+IF(AND($E35=1,LR35=0),1000,0),MIN(TX35,20)*400+(IF('計算A'!CD$106=1,1-GB35,0)+IF('計算A'!CE$106=1,1-GD35,0))*150+84+'計算A'!CE$5*100000+IF(AND($E35=1,LR35=0),50000,0))+IF($H35=1,(IF('計算A'!CD$117=1,INDEX('計算A'!CD$10:CD$54,$B35),0)+IF('計算A'!CE$117=1,INDEX('計算A'!CF$10:CF$54,$B35),0))*4000,0)-IF(AND('計算A'!CD$117=1,XB35&gt;0),2000,0)-IF(AND($L35=1,'計算A'!CE$117=1,GD35=0),2000,0))),1000000))</f>
        <v/>
      </c>
      <c r="RH35">
        <f>IF($B35=0,1000000,IF(INDEX('計算A'!$D$60:$EQ$104,$B35,81)*GD35=1,IF(AND($E35=2,LS35=0),1000000,IF($I35&gt;0,IF(4=$J35,IF(OR(AND(81=$I35+1,OR($K35&lt;&gt;'計算A'!$A$3,'計算A'!$A$4=0)),AND(81=$I35-1,OR(9&lt;&gt;'計算A'!$A$3,'計算A'!$A$4=0))),0,IF(9=$K35,200000,ABS(9-$K35)*100)),100000+ABS(4-$J35)*1000+90)+'計算A'!CF$5*50+IF(AND($E35=1,LS35=0),25,0),IF($F35&gt;0,INDEX('計算A'!CF$110:CF$114,$F35+1)+IF(AND($E35=1,LS35=0),1000,0),MIN(TX35,20)*400+(IF('計算A'!CE$106=1,1-GC35,0)+IF('計算A'!CF$106=1,1-GE35,0))*150+94+'計算A'!CF$5*100000+IF(AND($E35=1,LS35=0),50000,0))+IF($H35=1,(IF('計算A'!CE$117=1,INDEX('計算A'!CE$10:CE$54,$B35),0)+IF('計算A'!CF$117=1,INDEX('計算A'!CG$10:CG$54,$B35),0))*4000,0)-IF(AND('計算A'!CE$117=1,XC35&gt;0),2000,0)-IF(AND($L35=1,'計算A'!CF$117=1,GE35=0),2000,0))),1000000))</f>
        <v/>
      </c>
      <c r="RI35">
        <f>IF($B35=0,1000000,IF(INDEX('計算A'!$D$60:$EQ$104,$B35,82)*GE35=1,IF(AND($E35=2,LT35=0),1000000,IF($I35&gt;0,IF(4=$J35,IF(OR(AND(82=$I35+1,OR($K35&lt;&gt;'計算A'!$A$3,'計算A'!$A$4=0)),AND(82=$I35-1,OR(10&lt;&gt;'計算A'!$A$3,'計算A'!$A$4=0))),0,IF(10=$K35,200000,ABS(10-$K35)*100)),100000+ABS(4-$J35)*1000+100)+'計算A'!CG$5*50+IF(AND($E35=1,LT35=0),25,0),IF($F35&gt;0,INDEX('計算A'!CG$110:CG$114,$F35+1)+IF(AND($E35=1,LT35=0),1000,0),MIN(TX35,20)*400+(IF('計算A'!CF$106=1,1-GD35,0)+IF('計算A'!CG$106=1,1-GF35,0))*150+104+'計算A'!CG$5*100000+IF(AND($E35=1,LT35=0),50000,0))+IF($H35=1,(IF('計算A'!CF$117=1,INDEX('計算A'!CF$10:CF$54,$B35),0)+IF('計算A'!CG$117=1,INDEX('計算A'!CH$10:CH$54,$B35),0))*4000,0)-IF(AND('計算A'!CF$117=1,XD35&gt;0),2000,0)-IF(AND($L35=1,'計算A'!CG$117=1,GF35=0),2000,0))),1000000))</f>
        <v/>
      </c>
      <c r="RJ35">
        <f>IF($B35=0,1000000,IF(INDEX('計算A'!$D$60:$EQ$104,$B35,83)*GF35=1,IF(AND($E35=2,LU35=0),1000000,IF($I35&gt;0,IF(4=$J35,IF(OR(AND(83=$I35+1,OR($K35&lt;&gt;'計算A'!$A$3,'計算A'!$A$4=0)),AND(83=$I35-1,OR(11&lt;&gt;'計算A'!$A$3,'計算A'!$A$4=0))),0,IF(11=$K35,200000,ABS(11-$K35)*100)),100000+ABS(4-$J35)*1000+110)+'計算A'!CH$5*50+IF(AND($E35=1,LU35=0),25,0),IF($F35&gt;0,INDEX('計算A'!CH$110:CH$114,$F35+1)+IF(AND($E35=1,LU35=0),1000,0),MIN(TX35,20)*400+(IF('計算A'!CG$106=1,1-GE35,0)+IF('計算A'!CH$106=1,1-GG35,0))*150+114+'計算A'!CH$5*100000+IF(AND($E35=1,LU35=0),50000,0))+IF($H35=1,(IF('計算A'!CG$117=1,INDEX('計算A'!CG$10:CG$54,$B35),0)+IF('計算A'!CH$117=1,INDEX('計算A'!CI$10:CI$54,$B35),0))*4000,0)-IF(AND('計算A'!CG$117=1,XE35&gt;0),2000,0)-IF(AND($L35=1,'計算A'!CH$117=1,GG35=0),2000,0))),1000000))</f>
        <v/>
      </c>
      <c r="RK35">
        <f>IF($B35=0,1000000,IF(INDEX('計算A'!$D$60:$EQ$104,$B35,84)*GG35=1,IF(AND($E35=2,LV35=0),1000000,IF($I35&gt;0,IF(4=$J35,IF(OR(AND(84=$I35+1,OR($K35&lt;&gt;'計算A'!$A$3,'計算A'!$A$4=0)),AND(84=$I35-1,OR(12&lt;&gt;'計算A'!$A$3,'計算A'!$A$4=0))),0,IF(12=$K35,200000,ABS(12-$K35)*100)),100000+ABS(4-$J35)*1000+120)+'計算A'!CI$5*50+IF(AND($E35=1,LV35=0),25,0),IF($F35&gt;0,INDEX('計算A'!CI$110:CI$114,$F35+1)+IF(AND($E35=1,LV35=0),1000,0),MIN(TX35,20)*400+(IF('計算A'!CH$106=1,1-GF35,0)+IF('計算A'!CI$106=1,1-GH35,0))*150+124+'計算A'!CI$5*100000+IF(AND($E35=1,LV35=0),50000,0))+IF($H35=1,(IF('計算A'!CH$117=1,INDEX('計算A'!CH$10:CH$54,$B35),0)+IF('計算A'!CI$117=1,INDEX('計算A'!CJ$10:CJ$54,$B35),0))*4000,0)-IF(AND('計算A'!CH$117=1,XF35&gt;0),2000,0)-IF(AND($L35=1,'計算A'!CI$117=1,GH35=0),2000,0))),1000000))</f>
        <v/>
      </c>
      <c r="RL35">
        <f>IF($B35=0,1000000,IF(INDEX('計算A'!$D$60:$EQ$104,$B35,85)*GH35=1,IF(AND($E35=2,LW35=0),1000000,IF($I35&gt;0,IF(4=$J35,IF(OR(AND(85=$I35+1,OR($K35&lt;&gt;'計算A'!$A$3,'計算A'!$A$4=0)),AND(85=$I35-1,OR(13&lt;&gt;'計算A'!$A$3,'計算A'!$A$4=0))),0,IF(13=$K35,200000,ABS(13-$K35)*100)),100000+ABS(4-$J35)*1000+130)+'計算A'!CJ$5*50+IF(AND($E35=1,LW35=0),25,0),IF($F35&gt;0,INDEX('計算A'!CJ$110:CJ$114,$F35+1)+IF(AND($E35=1,LW35=0),1000,0),MIN(TX35,20)*400+(IF('計算A'!CI$106=1,1-GG35,0)+IF('計算A'!CJ$106=1,1-GI35,0))*150+134+'計算A'!CJ$5*100000+IF(AND($E35=1,LW35=0),50000,0))+IF($H35=1,(IF('計算A'!CI$117=1,INDEX('計算A'!CI$10:CI$54,$B35),0)+IF('計算A'!CJ$117=1,INDEX('計算A'!CK$10:CK$54,$B35),0))*4000,0)-IF(AND('計算A'!CI$117=1,XG35&gt;0),2000,0)-IF(AND($L35=1,'計算A'!CJ$117=1,GI35=0),2000,0))),1000000))</f>
        <v/>
      </c>
      <c r="RM35">
        <f>IF($B35=0,1000000,IF(INDEX('計算A'!$D$60:$EQ$104,$B35,86)*GI35=1,IF(AND($E35=2,LX35=0),1000000,IF($I35&gt;0,IF(4=$J35,IF(OR(AND(86=$I35+1,OR($K35&lt;&gt;'計算A'!$A$3,'計算A'!$A$4=0)),AND(86=$I35-1,OR(14&lt;&gt;'計算A'!$A$3,'計算A'!$A$4=0))),0,IF(14=$K35,200000,ABS(14-$K35)*100)),100000+ABS(4-$J35)*1000+140)+'計算A'!CK$5*50+IF(AND($E35=1,LX35=0),25,0),IF($F35&gt;0,INDEX('計算A'!CK$110:CK$114,$F35+1)+IF(AND($E35=1,LX35=0),1000,0),MIN(TX35,20)*400+(IF('計算A'!CJ$106=1,1-GH35,0)+IF('計算A'!CK$106=1,1-GJ35,0))*150+144+'計算A'!CK$5*100000+IF(AND($E35=1,LX35=0),50000,0))+IF($H35=1,(IF('計算A'!CJ$117=1,INDEX('計算A'!CJ$10:CJ$54,$B35),0)+IF('計算A'!CK$117=1,INDEX('計算A'!CL$10:CL$54,$B35),0))*4000,0)-IF(AND('計算A'!CJ$117=1,XH35&gt;0),2000,0)-IF(AND($L35=1,'計算A'!CK$117=1,GJ35=0),2000,0))),1000000))</f>
        <v/>
      </c>
      <c r="RN35">
        <f>IF($B35=0,1000000,IF(INDEX('計算A'!$D$60:$EQ$104,$B35,87)*GJ35=1,IF(AND($E35=2,LY35=0),1000000,IF($I35&gt;0,IF(4=$J35,IF(OR(AND(87=$I35+1,OR($K35&lt;&gt;'計算A'!$A$3,'計算A'!$A$4=0)),AND(87=$I35-1,OR(15&lt;&gt;'計算A'!$A$3,'計算A'!$A$4=0))),0,IF(15=$K35,200000,ABS(15-$K35)*100)),100000+ABS(4-$J35)*1000+150)+'計算A'!CL$5*50+IF(AND($E35=1,LY35=0),25,0),IF($F35&gt;0,INDEX('計算A'!CL$110:CL$114,$F35+1)+IF(AND($E35=1,LY35=0),1000,0),MIN(TX35,20)*400+(IF('計算A'!CK$106=1,1-GI35,0)+IF('計算A'!CL$106=1,1-GK35,0))*150+154+'計算A'!CL$5*100000+IF(AND($E35=1,LY35=0),50000,0))+IF($H35=1,(IF('計算A'!CK$117=1,INDEX('計算A'!CK$10:CK$54,$B35),0)+IF('計算A'!CL$117=1,INDEX('計算A'!CM$10:CM$54,$B35),0))*4000,0)-IF(AND('計算A'!CK$117=1,XI35&gt;0),2000,0)-IF(AND($L35=1,'計算A'!CL$117=1,GK35=0),2000,0))),1000000))</f>
        <v/>
      </c>
      <c r="RO35">
        <f>IF($B35=0,1000000,IF(INDEX('計算A'!$D$60:$EQ$104,$B35,88)*GK35=1,IF(AND($E35=2,LZ35=0),1000000,IF($I35&gt;0,IF(4=$J35,IF(OR(AND(88=$I35+1,OR($K35&lt;&gt;'計算A'!$A$3,'計算A'!$A$4=0)),AND(88=$I35-1,OR(16&lt;&gt;'計算A'!$A$3,'計算A'!$A$4=0))),0,IF(16=$K35,200000,ABS(16-$K35)*100)),100000+ABS(4-$J35)*1000+160)+'計算A'!CM$5*50+IF(AND($E35=1,LZ35=0),25,0),IF($F35&gt;0,INDEX('計算A'!CM$110:CM$114,$F35+1)+IF(AND($E35=1,LZ35=0),1000,0),MIN(TX35,20)*400+(IF('計算A'!CL$106=1,1-GJ35,0)+IF('計算A'!CM$106=1,1-GL35,0))*150+164+'計算A'!CM$5*100000+IF(AND($E35=1,LZ35=0),50000,0))+IF($H35=1,(IF('計算A'!CL$117=1,INDEX('計算A'!CL$10:CL$54,$B35),0)+IF('計算A'!CM$117=1,INDEX('計算A'!CN$10:CN$54,$B35),0))*4000,0)-IF(AND('計算A'!CL$117=1,XJ35&gt;0),2000,0)-IF(AND($L35=1,'計算A'!CM$117=1,GL35=0),2000,0))),1000000))</f>
        <v/>
      </c>
      <c r="RP35">
        <f>IF($B35=0,1000000,IF(INDEX('計算A'!$D$60:$EQ$104,$B35,89)*GL35=1,IF(AND($E35=2,MA35=0),1000000,IF($I35&gt;0,IF(4=$J35,IF(OR(AND(89=$I35+1,OR($K35&lt;&gt;'計算A'!$A$3,'計算A'!$A$4=0)),AND(89=$I35-1,OR(17&lt;&gt;'計算A'!$A$3,'計算A'!$A$4=0))),0,IF(17=$K35,200000,ABS(17-$K35)*100)),100000+ABS(4-$J35)*1000+170)+'計算A'!CN$5*50+IF(AND($E35=1,MA35=0),25,0),IF($F35&gt;0,INDEX('計算A'!CN$110:CN$114,$F35+1)+IF(AND($E35=1,MA35=0),1000,0),MIN(TX35,20)*400+(IF('計算A'!CM$106=1,1-GK35,0)+IF('計算A'!CN$106=1,1-GM35,0))*150+174+'計算A'!CN$5*100000+IF(AND($E35=1,MA35=0),50000,0))+IF($H35=1,(IF('計算A'!CM$117=1,INDEX('計算A'!CM$10:CM$54,$B35),0)+IF('計算A'!CN$117=1,INDEX('計算A'!CO$10:CO$54,$B35),0))*4000,0)-IF(AND('計算A'!CM$117=1,XK35&gt;0),2000,0)-IF(AND($L35=1,'計算A'!CN$117=1,GM35=0),2000,0))),1000000))</f>
        <v/>
      </c>
      <c r="RQ35">
        <f>IF($B35=0,1000000,IF(INDEX('計算A'!$D$60:$EQ$104,$B35,90)*GM35=1,IF(AND($E35=2,MB35=0),1000000,IF($I35&gt;0,IF(4=$J35,IF(OR(AND(90=$I35+1,OR($K35&lt;&gt;'計算A'!$A$3,'計算A'!$A$4=0)),AND(90=$I35-1,OR(18&lt;&gt;'計算A'!$A$3,'計算A'!$A$4=0))),0,IF(18=$K35,200000,ABS(18-$K35)*100)),100000+ABS(4-$J35)*1000+180)+'計算A'!CO$5*50+IF(AND($E35=1,MB35=0),25,0),IF($F35&gt;0,INDEX('計算A'!CO$110:CO$114,$F35+1)+IF(AND($E35=1,MB35=0),1000,0),MIN(TX35,20)*400+(IF('計算A'!CN$106=1,1-GL35,0)+IF('計算A'!CO$106=1,1-GN35,0))*150+184+'計算A'!CO$5*100000+IF(AND($E35=1,MB35=0),50000,0))+IF($H35=1,(IF('計算A'!CN$117=1,INDEX('計算A'!CN$10:CN$54,$B35),0)+IF('計算A'!CO$117=1,INDEX('計算A'!CP$10:CP$54,$B35),0))*4000,0)-IF(AND('計算A'!CN$117=1,XL35&gt;0),2000,0)-IF(AND($L35=1,'計算A'!CO$117=1,GN35=0),2000,0))),1000000))</f>
        <v/>
      </c>
      <c r="RR35">
        <f>IF($B35=0,1000000,IF(INDEX('計算A'!$D$60:$EQ$104,$B35,91)*GN35=1,IF(AND($E35=2,MC35=0),1000000,IF($I35&gt;0,IF(4=$J35,IF(OR(AND(91=$I35+1,OR($K35&lt;&gt;'計算A'!$A$3,'計算A'!$A$4=0)),AND(91=$I35-1,OR(19&lt;&gt;'計算A'!$A$3,'計算A'!$A$4=0))),0,IF(19=$K35,200000,ABS(19-$K35)*100)),100000+ABS(4-$J35)*1000+190)+'計算A'!CP$5*50+IF(AND($E35=1,MC35=0),25,0),IF($F35&gt;0,INDEX('計算A'!CP$110:CP$114,$F35+1)+IF(AND($E35=1,MC35=0),1000,0),MIN(TX35,20)*400+(IF('計算A'!CO$106=1,1-GM35,0)+IF('計算A'!CP$106=1,1-GO35,0))*150+194+'計算A'!CP$5*100000+IF(AND($E35=1,MC35=0),50000,0))+IF($H35=1,(IF('計算A'!CO$117=1,INDEX('計算A'!CO$10:CO$54,$B35),0)+IF('計算A'!CP$117=1,INDEX('計算A'!CQ$10:CQ$54,$B35),0))*4000,0)-IF(AND('計算A'!CO$117=1,XM35&gt;0),2000,0)-IF(AND($L35=1,'計算A'!CP$117=1,GO35=0),2000,0))),1000000))</f>
        <v/>
      </c>
      <c r="RS35">
        <f>IF($B35=0,1000000,IF(INDEX('計算A'!$D$60:$EQ$104,$B35,92)*GO35=1,IF(AND($E35=2,MD35=0),1000000,IF($I35&gt;0,IF(4=$J35,IF(OR(AND(92=$I35+1,OR($K35&lt;&gt;'計算A'!$A$3,'計算A'!$A$4=0)),AND(92=$I35-1,OR(20&lt;&gt;'計算A'!$A$3,'計算A'!$A$4=0))),0,IF(20=$K35,200000,ABS(20-$K35)*100)),100000+ABS(4-$J35)*1000+200)+'計算A'!CQ$5*50+IF(AND($E35=1,MD35=0),25,0),IF($F35&gt;0,INDEX('計算A'!CQ$110:CQ$114,$F35+1)+IF(AND($E35=1,MD35=0),1000,0),MIN(TX35,20)*400+(IF('計算A'!CP$106=1,1-GN35,0)+IF('計算A'!CQ$106=1,1-GP35,0))*150+204+'計算A'!CQ$5*100000+IF(AND($E35=1,MD35=0),50000,0))+IF($H35=1,(IF('計算A'!CP$117=1,INDEX('計算A'!CP$10:CP$54,$B35),0)+IF('計算A'!CQ$117=1,INDEX('計算A'!CR$10:CR$54,$B35),0))*4000,0)-IF(AND('計算A'!CP$117=1,XN35&gt;0),2000,0)-IF(AND($L35=1,'計算A'!CQ$117=1,GP35=0),2000,0))),1000000))</f>
        <v/>
      </c>
      <c r="RT35">
        <f>IF($B35=0,1000000,IF(INDEX('計算A'!$D$60:$EQ$104,$B35,93)*GP35=1,IF(AND($E35=2,ME35=0),1000000,IF($I35&gt;0,IF(4=$J35,IF(OR(AND(93=$I35+1,OR($K35&lt;&gt;'計算A'!$A$3,'計算A'!$A$4=0)),AND(93=$I35-1,OR(21&lt;&gt;'計算A'!$A$3,'計算A'!$A$4=0))),0,IF(21=$K35,200000,ABS(21-$K35)*100)),100000+ABS(4-$J35)*1000+210)+'計算A'!CR$5*50+IF(AND($E35=1,ME35=0),25,0),IF($F35&gt;0,INDEX('計算A'!CR$110:CR$114,$F35+1)+IF(AND($E35=1,ME35=0),1000,0),MIN(TX35,20)*400+(IF('計算A'!CQ$106=1,1-GO35,0)+IF('計算A'!CR$106=1,1-GQ35,0))*150+214+'計算A'!CR$5*100000+IF(AND($E35=1,ME35=0),50000,0))+IF($H35=1,(IF('計算A'!CQ$117=1,INDEX('計算A'!CQ$10:CQ$54,$B35),0)+IF('計算A'!CR$117=1,INDEX('計算A'!CS$10:CS$54,$B35),0))*4000,0)-IF(AND('計算A'!CQ$117=1,XO35&gt;0),2000,0)-IF(AND($L35=1,'計算A'!CR$117=1,GQ35=0),2000,0))),1000000))</f>
        <v/>
      </c>
      <c r="RU35">
        <f>IF($B35=0,1000000,IF(INDEX('計算A'!$D$60:$EQ$104,$B35,94)*GQ35=1,IF(AND($E35=2,MF35=0),1000000,IF($I35&gt;0,IF(4=$J35,IF(OR(AND(94=$I35+1,OR($K35&lt;&gt;'計算A'!$A$3,'計算A'!$A$4=0)),AND(94=$I35-1,OR(22&lt;&gt;'計算A'!$A$3,'計算A'!$A$4=0))),0,IF(22=$K35,200000,ABS(22-$K35)*100)),100000+ABS(4-$J35)*1000+220)+'計算A'!CS$5*50+IF(AND($E35=1,MF35=0),25,0),IF($F35&gt;0,INDEX('計算A'!CS$110:CS$114,$F35+1)+IF(AND($E35=1,MF35=0),1000,0),MIN(TX35,20)*400+(IF('計算A'!CR$106=1,1-GP35,0)+IF('計算A'!CS$106=1,1-GR35,0))*150+224+'計算A'!CS$5*100000+IF(AND($E35=1,MF35=0),50000,0))+IF($H35=1,(IF('計算A'!CR$117=1,INDEX('計算A'!CR$10:CR$54,$B35),0)+IF('計算A'!CS$117=1,INDEX('計算A'!CT$10:CT$54,$B35),0))*4000,0)-IF(AND('計算A'!CR$117=1,XP35&gt;0),2000,0)-IF(AND($L35=1,'計算A'!CS$117=1,GR35=0),2000,0))),1000000))</f>
        <v/>
      </c>
      <c r="RV35">
        <f>IF($B35=0,1000000,IF(INDEX('計算A'!$D$60:$EQ$104,$B35,95)*GR35=1,IF(AND($E35=2,MG35=0),1000000,IF($I35&gt;0,IF(4=$J35,IF(OR(AND(95=$I35+1,OR($K35&lt;&gt;'計算A'!$A$3,'計算A'!$A$4=0)),AND(95=$I35-1,OR(23&lt;&gt;'計算A'!$A$3,'計算A'!$A$4=0))),0,IF(23=$K35,200000,ABS(23-$K35)*100)),100000+ABS(4-$J35)*1000+230)+'計算A'!CT$5*50+IF(AND($E35=1,MG35=0),25,0),IF($F35&gt;0,INDEX('計算A'!CT$110:CT$114,$F35+1)+IF(AND($E35=1,MG35=0),1000,0),MIN(TX35,20)*400+(IF('計算A'!CS$106=1,1-GQ35,0)+IF('計算A'!CT$106=1,1-GS35,0))*150+234+'計算A'!CT$5*100000+IF(AND($E35=1,MG35=0),50000,0))+IF($H35=1,(IF('計算A'!CS$117=1,INDEX('計算A'!CS$10:CS$54,$B35),0)+IF('計算A'!CT$117=1,INDEX('計算A'!CU$10:CU$54,$B35),0))*4000,0)-IF(AND('計算A'!CS$117=1,XQ35&gt;0),2000,0)-IF(AND($L35=1,'計算A'!CT$117=1,GS35=0),2000,0))),1000000))</f>
        <v/>
      </c>
      <c r="RW35">
        <f>IF($B35=0,1000000,IF(INDEX('計算A'!$D$60:$EQ$104,$B35,96)*GS35=1,IF(AND($E35=2,MH35=0),1000000,IF($I35&gt;0,IF(4=$J35,IF(OR(AND(96=$I35+1,OR($K35&lt;&gt;'計算A'!$A$3,'計算A'!$A$4=0)),AND(96=$I35-1,OR(24&lt;&gt;'計算A'!$A$3,'計算A'!$A$4=0))),0,IF(24=$K35,200000,ABS(24-$K35)*100)),100000+ABS(4-$J35)*1000+240)+'計算A'!CU$5*50+IF(AND($E35=1,MH35=0),25,0),IF($F35&gt;0,INDEX('計算A'!CU$110:CU$114,$F35+1)+IF(AND($E35=1,MH35=0),1000,0),MIN(TX35,20)*400+(IF('計算A'!CT$106=1,1-GR35,0))*150+244+'計算A'!CU$5*100000+IF(AND($E35=1,MH35=0),50000,0))+IF($H35=1,(IF('計算A'!CT$117=1,INDEX('計算A'!CT$10:CT$54,$B35),0))*4000,0)-IF(AND('計算A'!CT$117=1,XR35&gt;0),2000,0))),1000000))</f>
        <v/>
      </c>
      <c r="RX35">
        <f>IF($B35=0,1000000,IF(INDEX('計算A'!$D$60:$EQ$104,$B35,97)*GT35=1,IF(AND($E35=2,MI35=0),1000000,IF($I35&gt;0,IF(5=$J35,IF(OR(AND(97=$I35+1,OR($K35&lt;&gt;'計算A'!$A$3,'計算A'!$A$4=0)),AND(97=$I35-1,OR(1&lt;&gt;'計算A'!$A$3,'計算A'!$A$4=0))),0,IF(1=$K35,200000,ABS(1-$K35)*100)),100000+ABS(5-$J35)*1000+10)+'計算A'!CV$5*50+IF(AND($E35=1,MI35=0),25,0),IF($F35&gt;0,INDEX('計算A'!CV$110:CV$114,$F35+1)+IF(AND($E35=1,MI35=0),1000,0),MIN(TY35,20)*400+(IF('計算A'!CV$106=1,1-GU35,0))*150+15+'計算A'!CV$5*100000+IF(AND($E35=1,MI35=0),50000,0))+IF($H35=1,(IF('計算A'!CV$117=1,INDEX('計算A'!CW$10:CW$54,$B35),0))*4000,0)-IF(AND($L35=1,'計算A'!CV$117=1,GU35=0),2000,0))),1000000))</f>
        <v/>
      </c>
      <c r="RY35">
        <f>IF($B35=0,1000000,IF(INDEX('計算A'!$D$60:$EQ$104,$B35,98)*GU35=1,IF(AND($E35=2,MJ35=0),1000000,IF($I35&gt;0,IF(5=$J35,IF(OR(AND(98=$I35+1,OR($K35&lt;&gt;'計算A'!$A$3,'計算A'!$A$4=0)),AND(98=$I35-1,OR(2&lt;&gt;'計算A'!$A$3,'計算A'!$A$4=0))),0,IF(2=$K35,200000,ABS(2-$K35)*100)),100000+ABS(5-$J35)*1000+20)+'計算A'!CW$5*50+IF(AND($E35=1,MJ35=0),25,0),IF($F35&gt;0,INDEX('計算A'!CW$110:CW$114,$F35+1)+IF(AND($E35=1,MJ35=0),1000,0),MIN(TY35,20)*400+(IF('計算A'!CV$106=1,1-GT35,0)+IF('計算A'!CW$106=1,1-GV35,0))*150+25+'計算A'!CW$5*100000+IF(AND($E35=1,MJ35=0),50000,0))+IF($H35=1,(IF('計算A'!CV$117=1,INDEX('計算A'!CV$10:CV$54,$B35),0)+IF('計算A'!CW$117=1,INDEX('計算A'!CX$10:CX$54,$B35),0))*4000,0)-IF(AND('計算A'!CV$117=1,XT35&gt;0),2000,0)-IF(AND($L35=1,'計算A'!CW$117=1,GV35=0),2000,0))),1000000))</f>
        <v/>
      </c>
      <c r="RZ35">
        <f>IF($B35=0,1000000,IF(INDEX('計算A'!$D$60:$EQ$104,$B35,99)*GV35=1,IF(AND($E35=2,MK35=0),1000000,IF($I35&gt;0,IF(5=$J35,IF(OR(AND(99=$I35+1,OR($K35&lt;&gt;'計算A'!$A$3,'計算A'!$A$4=0)),AND(99=$I35-1,OR(3&lt;&gt;'計算A'!$A$3,'計算A'!$A$4=0))),0,IF(3=$K35,200000,ABS(3-$K35)*100)),100000+ABS(5-$J35)*1000+30)+'計算A'!CX$5*50+IF(AND($E35=1,MK35=0),25,0),IF($F35&gt;0,INDEX('計算A'!CX$110:CX$114,$F35+1)+IF(AND($E35=1,MK35=0),1000,0),MIN(TY35,20)*400+(IF('計算A'!CW$106=1,1-GU35,0)+IF('計算A'!CX$106=1,1-GW35,0))*150+35+'計算A'!CX$5*100000+IF(AND($E35=1,MK35=0),50000,0))+IF($H35=1,(IF('計算A'!CW$117=1,INDEX('計算A'!CW$10:CW$54,$B35),0)+IF('計算A'!CX$117=1,INDEX('計算A'!CY$10:CY$54,$B35),0))*4000,0)-IF(AND('計算A'!CW$117=1,XU35&gt;0),2000,0)-IF(AND($L35=1,'計算A'!CX$117=1,GW35=0),2000,0))),1000000))</f>
        <v/>
      </c>
      <c r="SA35">
        <f>IF($B35=0,1000000,IF(INDEX('計算A'!$D$60:$EQ$104,$B35,100)*GW35=1,IF(AND($E35=2,ML35=0),1000000,IF($I35&gt;0,IF(5=$J35,IF(OR(AND(100=$I35+1,OR($K35&lt;&gt;'計算A'!$A$3,'計算A'!$A$4=0)),AND(100=$I35-1,OR(4&lt;&gt;'計算A'!$A$3,'計算A'!$A$4=0))),0,IF(4=$K35,200000,ABS(4-$K35)*100)),100000+ABS(5-$J35)*1000+40)+'計算A'!CY$5*50+IF(AND($E35=1,ML35=0),25,0),IF($F35&gt;0,INDEX('計算A'!CY$110:CY$114,$F35+1)+IF(AND($E35=1,ML35=0),1000,0),MIN(TY35,20)*400+(IF('計算A'!CX$106=1,1-GV35,0)+IF('計算A'!CY$106=1,1-GX35,0))*150+45+'計算A'!CY$5*100000+IF(AND($E35=1,ML35=0),50000,0))+IF($H35=1,(IF('計算A'!CX$117=1,INDEX('計算A'!CX$10:CX$54,$B35),0)+IF('計算A'!CY$117=1,INDEX('計算A'!CZ$10:CZ$54,$B35),0))*4000,0)-IF(AND('計算A'!CX$117=1,XV35&gt;0),2000,0)-IF(AND($L35=1,'計算A'!CY$117=1,GX35=0),2000,0))),1000000))</f>
        <v/>
      </c>
      <c r="SB35">
        <f>IF($B35=0,1000000,IF(INDEX('計算A'!$D$60:$EQ$104,$B35,101)*GX35=1,IF(AND($E35=2,MM35=0),1000000,IF($I35&gt;0,IF(5=$J35,IF(OR(AND(101=$I35+1,OR($K35&lt;&gt;'計算A'!$A$3,'計算A'!$A$4=0)),AND(101=$I35-1,OR(5&lt;&gt;'計算A'!$A$3,'計算A'!$A$4=0))),0,IF(5=$K35,200000,ABS(5-$K35)*100)),100000+ABS(5-$J35)*1000+50)+'計算A'!CZ$5*50+IF(AND($E35=1,MM35=0),25,0),IF($F35&gt;0,INDEX('計算A'!CZ$110:CZ$114,$F35+1)+IF(AND($E35=1,MM35=0),1000,0),MIN(TY35,20)*400+(IF('計算A'!CY$106=1,1-GW35,0)+IF('計算A'!CZ$106=1,1-GY35,0))*150+55+'計算A'!CZ$5*100000+IF(AND($E35=1,MM35=0),50000,0))+IF($H35=1,(IF('計算A'!CY$117=1,INDEX('計算A'!CY$10:CY$54,$B35),0)+IF('計算A'!CZ$117=1,INDEX('計算A'!DA$10:DA$54,$B35),0))*4000,0)-IF(AND('計算A'!CY$117=1,XW35&gt;0),2000,0)-IF(AND($L35=1,'計算A'!CZ$117=1,GY35=0),2000,0))),1000000))</f>
        <v/>
      </c>
      <c r="SC35">
        <f>IF($B35=0,1000000,IF(INDEX('計算A'!$D$60:$EQ$104,$B35,102)*GY35=1,IF(AND($E35=2,MN35=0),1000000,IF($I35&gt;0,IF(5=$J35,IF(OR(AND(102=$I35+1,OR($K35&lt;&gt;'計算A'!$A$3,'計算A'!$A$4=0)),AND(102=$I35-1,OR(6&lt;&gt;'計算A'!$A$3,'計算A'!$A$4=0))),0,IF(6=$K35,200000,ABS(6-$K35)*100)),100000+ABS(5-$J35)*1000+60)+'計算A'!DA$5*50+IF(AND($E35=1,MN35=0),25,0),IF($F35&gt;0,INDEX('計算A'!DA$110:DA$114,$F35+1)+IF(AND($E35=1,MN35=0),1000,0),MIN(TY35,20)*400+(IF('計算A'!CZ$106=1,1-GX35,0)+IF('計算A'!DA$106=1,1-GZ35,0))*150+65+'計算A'!DA$5*100000+IF(AND($E35=1,MN35=0),50000,0))+IF($H35=1,(IF('計算A'!CZ$117=1,INDEX('計算A'!CZ$10:CZ$54,$B35),0)+IF('計算A'!DA$117=1,INDEX('計算A'!DB$10:DB$54,$B35),0))*4000,0)-IF(AND('計算A'!CZ$117=1,XX35&gt;0),2000,0)-IF(AND($L35=1,'計算A'!DA$117=1,GZ35=0),2000,0))),1000000))</f>
        <v/>
      </c>
      <c r="SD35">
        <f>IF($B35=0,1000000,IF(INDEX('計算A'!$D$60:$EQ$104,$B35,103)*GZ35=1,IF(AND($E35=2,MO35=0),1000000,IF($I35&gt;0,IF(5=$J35,IF(OR(AND(103=$I35+1,OR($K35&lt;&gt;'計算A'!$A$3,'計算A'!$A$4=0)),AND(103=$I35-1,OR(7&lt;&gt;'計算A'!$A$3,'計算A'!$A$4=0))),0,IF(7=$K35,200000,ABS(7-$K35)*100)),100000+ABS(5-$J35)*1000+70)+'計算A'!DB$5*50+IF(AND($E35=1,MO35=0),25,0),IF($F35&gt;0,INDEX('計算A'!DB$110:DB$114,$F35+1)+IF(AND($E35=1,MO35=0),1000,0),MIN(TY35,20)*400+(IF('計算A'!DA$106=1,1-GY35,0)+IF('計算A'!DB$106=1,1-HA35,0))*150+75+'計算A'!DB$5*100000+IF(AND($E35=1,MO35=0),50000,0))+IF($H35=1,(IF('計算A'!DA$117=1,INDEX('計算A'!DA$10:DA$54,$B35),0)+IF('計算A'!DB$117=1,INDEX('計算A'!DC$10:DC$54,$B35),0))*4000,0)-IF(AND('計算A'!DA$117=1,XY35&gt;0),2000,0)-IF(AND($L35=1,'計算A'!DB$117=1,HA35=0),2000,0))),1000000))</f>
        <v/>
      </c>
      <c r="SE35">
        <f>IF($B35=0,1000000,IF(INDEX('計算A'!$D$60:$EQ$104,$B35,104)*HA35=1,IF(AND($E35=2,MP35=0),1000000,IF($I35&gt;0,IF(5=$J35,IF(OR(AND(104=$I35+1,OR($K35&lt;&gt;'計算A'!$A$3,'計算A'!$A$4=0)),AND(104=$I35-1,OR(8&lt;&gt;'計算A'!$A$3,'計算A'!$A$4=0))),0,IF(8=$K35,200000,ABS(8-$K35)*100)),100000+ABS(5-$J35)*1000+80)+'計算A'!DC$5*50+IF(AND($E35=1,MP35=0),25,0),IF($F35&gt;0,INDEX('計算A'!DC$110:DC$114,$F35+1)+IF(AND($E35=1,MP35=0),1000,0),MIN(TY35,20)*400+(IF('計算A'!DB$106=1,1-GZ35,0)+IF('計算A'!DC$106=1,1-HB35,0))*150+85+'計算A'!DC$5*100000+IF(AND($E35=1,MP35=0),50000,0))+IF($H35=1,(IF('計算A'!DB$117=1,INDEX('計算A'!DB$10:DB$54,$B35),0)+IF('計算A'!DC$117=1,INDEX('計算A'!DD$10:DD$54,$B35),0))*4000,0)-IF(AND('計算A'!DB$117=1,XZ35&gt;0),2000,0)-IF(AND($L35=1,'計算A'!DC$117=1,HB35=0),2000,0))),1000000))</f>
        <v/>
      </c>
      <c r="SF35">
        <f>IF($B35=0,1000000,IF(INDEX('計算A'!$D$60:$EQ$104,$B35,105)*HB35=1,IF(AND($E35=2,MQ35=0),1000000,IF($I35&gt;0,IF(5=$J35,IF(OR(AND(105=$I35+1,OR($K35&lt;&gt;'計算A'!$A$3,'計算A'!$A$4=0)),AND(105=$I35-1,OR(9&lt;&gt;'計算A'!$A$3,'計算A'!$A$4=0))),0,IF(9=$K35,200000,ABS(9-$K35)*100)),100000+ABS(5-$J35)*1000+90)+'計算A'!DD$5*50+IF(AND($E35=1,MQ35=0),25,0),IF($F35&gt;0,INDEX('計算A'!DD$110:DD$114,$F35+1)+IF(AND($E35=1,MQ35=0),1000,0),MIN(TY35,20)*400+(IF('計算A'!DC$106=1,1-HA35,0)+IF('計算A'!DD$106=1,1-HC35,0))*150+95+'計算A'!DD$5*100000+IF(AND($E35=1,MQ35=0),50000,0))+IF($H35=1,(IF('計算A'!DC$117=1,INDEX('計算A'!DC$10:DC$54,$B35),0)+IF('計算A'!DD$117=1,INDEX('計算A'!DE$10:DE$54,$B35),0))*4000,0)-IF(AND('計算A'!DC$117=1,YA35&gt;0),2000,0)-IF(AND($L35=1,'計算A'!DD$117=1,HC35=0),2000,0))),1000000))</f>
        <v/>
      </c>
      <c r="SG35">
        <f>IF($B35=0,1000000,IF(INDEX('計算A'!$D$60:$EQ$104,$B35,106)*HC35=1,IF(AND($E35=2,MR35=0),1000000,IF($I35&gt;0,IF(5=$J35,IF(OR(AND(106=$I35+1,OR($K35&lt;&gt;'計算A'!$A$3,'計算A'!$A$4=0)),AND(106=$I35-1,OR(10&lt;&gt;'計算A'!$A$3,'計算A'!$A$4=0))),0,IF(10=$K35,200000,ABS(10-$K35)*100)),100000+ABS(5-$J35)*1000+100)+'計算A'!DE$5*50+IF(AND($E35=1,MR35=0),25,0),IF($F35&gt;0,INDEX('計算A'!DE$110:DE$114,$F35+1)+IF(AND($E35=1,MR35=0),1000,0),MIN(TY35,20)*400+(IF('計算A'!DD$106=1,1-HB35,0)+IF('計算A'!DE$106=1,1-HD35,0))*150+105+'計算A'!DE$5*100000+IF(AND($E35=1,MR35=0),50000,0))+IF($H35=1,(IF('計算A'!DD$117=1,INDEX('計算A'!DD$10:DD$54,$B35),0)+IF('計算A'!DE$117=1,INDEX('計算A'!DF$10:DF$54,$B35),0))*4000,0)-IF(AND('計算A'!DD$117=1,YB35&gt;0),2000,0)-IF(AND($L35=1,'計算A'!DE$117=1,HD35=0),2000,0))),1000000))</f>
        <v/>
      </c>
      <c r="SH35">
        <f>IF($B35=0,1000000,IF(INDEX('計算A'!$D$60:$EQ$104,$B35,107)*HD35=1,IF(AND($E35=2,MS35=0),1000000,IF($I35&gt;0,IF(5=$J35,IF(OR(AND(107=$I35+1,OR($K35&lt;&gt;'計算A'!$A$3,'計算A'!$A$4=0)),AND(107=$I35-1,OR(11&lt;&gt;'計算A'!$A$3,'計算A'!$A$4=0))),0,IF(11=$K35,200000,ABS(11-$K35)*100)),100000+ABS(5-$J35)*1000+110)+'計算A'!DF$5*50+IF(AND($E35=1,MS35=0),25,0),IF($F35&gt;0,INDEX('計算A'!DF$110:DF$114,$F35+1)+IF(AND($E35=1,MS35=0),1000,0),MIN(TY35,20)*400+(IF('計算A'!DE$106=1,1-HC35,0)+IF('計算A'!DF$106=1,1-HE35,0))*150+115+'計算A'!DF$5*100000+IF(AND($E35=1,MS35=0),50000,0))+IF($H35=1,(IF('計算A'!DE$117=1,INDEX('計算A'!DE$10:DE$54,$B35),0)+IF('計算A'!DF$117=1,INDEX('計算A'!DG$10:DG$54,$B35),0))*4000,0)-IF(AND('計算A'!DE$117=1,YC35&gt;0),2000,0)-IF(AND($L35=1,'計算A'!DF$117=1,HE35=0),2000,0))),1000000))</f>
        <v/>
      </c>
      <c r="SI35">
        <f>IF($B35=0,1000000,IF(INDEX('計算A'!$D$60:$EQ$104,$B35,108)*HE35=1,IF(AND($E35=2,MT35=0),1000000,IF($I35&gt;0,IF(5=$J35,IF(OR(AND(108=$I35+1,OR($K35&lt;&gt;'計算A'!$A$3,'計算A'!$A$4=0)),AND(108=$I35-1,OR(12&lt;&gt;'計算A'!$A$3,'計算A'!$A$4=0))),0,IF(12=$K35,200000,ABS(12-$K35)*100)),100000+ABS(5-$J35)*1000+120)+'計算A'!DG$5*50+IF(AND($E35=1,MT35=0),25,0),IF($F35&gt;0,INDEX('計算A'!DG$110:DG$114,$F35+1)+IF(AND($E35=1,MT35=0),1000,0),MIN(TY35,20)*400+(IF('計算A'!DF$106=1,1-HD35,0)+IF('計算A'!DG$106=1,1-HF35,0))*150+125+'計算A'!DG$5*100000+IF(AND($E35=1,MT35=0),50000,0))+IF($H35=1,(IF('計算A'!DF$117=1,INDEX('計算A'!DF$10:DF$54,$B35),0)+IF('計算A'!DG$117=1,INDEX('計算A'!DH$10:DH$54,$B35),0))*4000,0)-IF(AND('計算A'!DF$117=1,YD35&gt;0),2000,0)-IF(AND($L35=1,'計算A'!DG$117=1,HF35=0),2000,0))),1000000))</f>
        <v/>
      </c>
      <c r="SJ35">
        <f>IF($B35=0,1000000,IF(INDEX('計算A'!$D$60:$EQ$104,$B35,109)*HF35=1,IF(AND($E35=2,MU35=0),1000000,IF($I35&gt;0,IF(5=$J35,IF(OR(AND(109=$I35+1,OR($K35&lt;&gt;'計算A'!$A$3,'計算A'!$A$4=0)),AND(109=$I35-1,OR(13&lt;&gt;'計算A'!$A$3,'計算A'!$A$4=0))),0,IF(13=$K35,200000,ABS(13-$K35)*100)),100000+ABS(5-$J35)*1000+130)+'計算A'!DH$5*50+IF(AND($E35=1,MU35=0),25,0),IF($F35&gt;0,INDEX('計算A'!DH$110:DH$114,$F35+1)+IF(AND($E35=1,MU35=0),1000,0),MIN(TY35,20)*400+(IF('計算A'!DG$106=1,1-HE35,0)+IF('計算A'!DH$106=1,1-HG35,0))*150+135+'計算A'!DH$5*100000+IF(AND($E35=1,MU35=0),50000,0))+IF($H35=1,(IF('計算A'!DG$117=1,INDEX('計算A'!DG$10:DG$54,$B35),0)+IF('計算A'!DH$117=1,INDEX('計算A'!DI$10:DI$54,$B35),0))*4000,0)-IF(AND('計算A'!DG$117=1,YE35&gt;0),2000,0)-IF(AND($L35=1,'計算A'!DH$117=1,HG35=0),2000,0))),1000000))</f>
        <v/>
      </c>
      <c r="SK35">
        <f>IF($B35=0,1000000,IF(INDEX('計算A'!$D$60:$EQ$104,$B35,110)*HG35=1,IF(AND($E35=2,MV35=0),1000000,IF($I35&gt;0,IF(5=$J35,IF(OR(AND(110=$I35+1,OR($K35&lt;&gt;'計算A'!$A$3,'計算A'!$A$4=0)),AND(110=$I35-1,OR(14&lt;&gt;'計算A'!$A$3,'計算A'!$A$4=0))),0,IF(14=$K35,200000,ABS(14-$K35)*100)),100000+ABS(5-$J35)*1000+140)+'計算A'!DI$5*50+IF(AND($E35=1,MV35=0),25,0),IF($F35&gt;0,INDEX('計算A'!DI$110:DI$114,$F35+1)+IF(AND($E35=1,MV35=0),1000,0),MIN(TY35,20)*400+(IF('計算A'!DH$106=1,1-HF35,0)+IF('計算A'!DI$106=1,1-HH35,0))*150+145+'計算A'!DI$5*100000+IF(AND($E35=1,MV35=0),50000,0))+IF($H35=1,(IF('計算A'!DH$117=1,INDEX('計算A'!DH$10:DH$54,$B35),0)+IF('計算A'!DI$117=1,INDEX('計算A'!DJ$10:DJ$54,$B35),0))*4000,0)-IF(AND('計算A'!DH$117=1,YF35&gt;0),2000,0)-IF(AND($L35=1,'計算A'!DI$117=1,HH35=0),2000,0))),1000000))</f>
        <v/>
      </c>
      <c r="SL35">
        <f>IF($B35=0,1000000,IF(INDEX('計算A'!$D$60:$EQ$104,$B35,111)*HH35=1,IF(AND($E35=2,MW35=0),1000000,IF($I35&gt;0,IF(5=$J35,IF(OR(AND(111=$I35+1,OR($K35&lt;&gt;'計算A'!$A$3,'計算A'!$A$4=0)),AND(111=$I35-1,OR(15&lt;&gt;'計算A'!$A$3,'計算A'!$A$4=0))),0,IF(15=$K35,200000,ABS(15-$K35)*100)),100000+ABS(5-$J35)*1000+150)+'計算A'!DJ$5*50+IF(AND($E35=1,MW35=0),25,0),IF($F35&gt;0,INDEX('計算A'!DJ$110:DJ$114,$F35+1)+IF(AND($E35=1,MW35=0),1000,0),MIN(TY35,20)*400+(IF('計算A'!DI$106=1,1-HG35,0)+IF('計算A'!DJ$106=1,1-HI35,0))*150+155+'計算A'!DJ$5*100000+IF(AND($E35=1,MW35=0),50000,0))+IF($H35=1,(IF('計算A'!DI$117=1,INDEX('計算A'!DI$10:DI$54,$B35),0)+IF('計算A'!DJ$117=1,INDEX('計算A'!DK$10:DK$54,$B35),0))*4000,0)-IF(AND('計算A'!DI$117=1,YG35&gt;0),2000,0)-IF(AND($L35=1,'計算A'!DJ$117=1,HI35=0),2000,0))),1000000))</f>
        <v/>
      </c>
      <c r="SM35">
        <f>IF($B35=0,1000000,IF(INDEX('計算A'!$D$60:$EQ$104,$B35,112)*HI35=1,IF(AND($E35=2,MX35=0),1000000,IF($I35&gt;0,IF(5=$J35,IF(OR(AND(112=$I35+1,OR($K35&lt;&gt;'計算A'!$A$3,'計算A'!$A$4=0)),AND(112=$I35-1,OR(16&lt;&gt;'計算A'!$A$3,'計算A'!$A$4=0))),0,IF(16=$K35,200000,ABS(16-$K35)*100)),100000+ABS(5-$J35)*1000+160)+'計算A'!DK$5*50+IF(AND($E35=1,MX35=0),25,0),IF($F35&gt;0,INDEX('計算A'!DK$110:DK$114,$F35+1)+IF(AND($E35=1,MX35=0),1000,0),MIN(TY35,20)*400+(IF('計算A'!DJ$106=1,1-HH35,0)+IF('計算A'!DK$106=1,1-HJ35,0))*150+165+'計算A'!DK$5*100000+IF(AND($E35=1,MX35=0),50000,0))+IF($H35=1,(IF('計算A'!DJ$117=1,INDEX('計算A'!DJ$10:DJ$54,$B35),0)+IF('計算A'!DK$117=1,INDEX('計算A'!DL$10:DL$54,$B35),0))*4000,0)-IF(AND('計算A'!DJ$117=1,YH35&gt;0),2000,0)-IF(AND($L35=1,'計算A'!DK$117=1,HJ35=0),2000,0))),1000000))</f>
        <v/>
      </c>
      <c r="SN35">
        <f>IF($B35=0,1000000,IF(INDEX('計算A'!$D$60:$EQ$104,$B35,113)*HJ35=1,IF(AND($E35=2,MY35=0),1000000,IF($I35&gt;0,IF(5=$J35,IF(OR(AND(113=$I35+1,OR($K35&lt;&gt;'計算A'!$A$3,'計算A'!$A$4=0)),AND(113=$I35-1,OR(17&lt;&gt;'計算A'!$A$3,'計算A'!$A$4=0))),0,IF(17=$K35,200000,ABS(17-$K35)*100)),100000+ABS(5-$J35)*1000+170)+'計算A'!DL$5*50+IF(AND($E35=1,MY35=0),25,0),IF($F35&gt;0,INDEX('計算A'!DL$110:DL$114,$F35+1)+IF(AND($E35=1,MY35=0),1000,0),MIN(TY35,20)*400+(IF('計算A'!DK$106=1,1-HI35,0)+IF('計算A'!DL$106=1,1-HK35,0))*150+175+'計算A'!DL$5*100000+IF(AND($E35=1,MY35=0),50000,0))+IF($H35=1,(IF('計算A'!DK$117=1,INDEX('計算A'!DK$10:DK$54,$B35),0)+IF('計算A'!DL$117=1,INDEX('計算A'!DM$10:DM$54,$B35),0))*4000,0)-IF(AND('計算A'!DK$117=1,YI35&gt;0),2000,0)-IF(AND($L35=1,'計算A'!DL$117=1,HK35=0),2000,0))),1000000))</f>
        <v/>
      </c>
      <c r="SO35">
        <f>IF($B35=0,1000000,IF(INDEX('計算A'!$D$60:$EQ$104,$B35,114)*HK35=1,IF(AND($E35=2,MZ35=0),1000000,IF($I35&gt;0,IF(5=$J35,IF(OR(AND(114=$I35+1,OR($K35&lt;&gt;'計算A'!$A$3,'計算A'!$A$4=0)),AND(114=$I35-1,OR(18&lt;&gt;'計算A'!$A$3,'計算A'!$A$4=0))),0,IF(18=$K35,200000,ABS(18-$K35)*100)),100000+ABS(5-$J35)*1000+180)+'計算A'!DM$5*50+IF(AND($E35=1,MZ35=0),25,0),IF($F35&gt;0,INDEX('計算A'!DM$110:DM$114,$F35+1)+IF(AND($E35=1,MZ35=0),1000,0),MIN(TY35,20)*400+(IF('計算A'!DL$106=1,1-HJ35,0)+IF('計算A'!DM$106=1,1-HL35,0))*150+185+'計算A'!DM$5*100000+IF(AND($E35=1,MZ35=0),50000,0))+IF($H35=1,(IF('計算A'!DL$117=1,INDEX('計算A'!DL$10:DL$54,$B35),0)+IF('計算A'!DM$117=1,INDEX('計算A'!DN$10:DN$54,$B35),0))*4000,0)-IF(AND('計算A'!DL$117=1,YJ35&gt;0),2000,0)-IF(AND($L35=1,'計算A'!DM$117=1,HL35=0),2000,0))),1000000))</f>
        <v/>
      </c>
      <c r="SP35">
        <f>IF($B35=0,1000000,IF(INDEX('計算A'!$D$60:$EQ$104,$B35,115)*HL35=1,IF(AND($E35=2,NA35=0),1000000,IF($I35&gt;0,IF(5=$J35,IF(OR(AND(115=$I35+1,OR($K35&lt;&gt;'計算A'!$A$3,'計算A'!$A$4=0)),AND(115=$I35-1,OR(19&lt;&gt;'計算A'!$A$3,'計算A'!$A$4=0))),0,IF(19=$K35,200000,ABS(19-$K35)*100)),100000+ABS(5-$J35)*1000+190)+'計算A'!DN$5*50+IF(AND($E35=1,NA35=0),25,0),IF($F35&gt;0,INDEX('計算A'!DN$110:DN$114,$F35+1)+IF(AND($E35=1,NA35=0),1000,0),MIN(TY35,20)*400+(IF('計算A'!DM$106=1,1-HK35,0)+IF('計算A'!DN$106=1,1-HM35,0))*150+195+'計算A'!DN$5*100000+IF(AND($E35=1,NA35=0),50000,0))+IF($H35=1,(IF('計算A'!DM$117=1,INDEX('計算A'!DM$10:DM$54,$B35),0)+IF('計算A'!DN$117=1,INDEX('計算A'!DO$10:DO$54,$B35),0))*4000,0)-IF(AND('計算A'!DM$117=1,YK35&gt;0),2000,0)-IF(AND($L35=1,'計算A'!DN$117=1,HM35=0),2000,0))),1000000))</f>
        <v/>
      </c>
      <c r="SQ35">
        <f>IF($B35=0,1000000,IF(INDEX('計算A'!$D$60:$EQ$104,$B35,116)*HM35=1,IF(AND($E35=2,NB35=0),1000000,IF($I35&gt;0,IF(5=$J35,IF(OR(AND(116=$I35+1,OR($K35&lt;&gt;'計算A'!$A$3,'計算A'!$A$4=0)),AND(116=$I35-1,OR(20&lt;&gt;'計算A'!$A$3,'計算A'!$A$4=0))),0,IF(20=$K35,200000,ABS(20-$K35)*100)),100000+ABS(5-$J35)*1000+200)+'計算A'!DO$5*50+IF(AND($E35=1,NB35=0),25,0),IF($F35&gt;0,INDEX('計算A'!DO$110:DO$114,$F35+1)+IF(AND($E35=1,NB35=0),1000,0),MIN(TY35,20)*400+(IF('計算A'!DN$106=1,1-HL35,0)+IF('計算A'!DO$106=1,1-HN35,0))*150+205+'計算A'!DO$5*100000+IF(AND($E35=1,NB35=0),50000,0))+IF($H35=1,(IF('計算A'!DN$117=1,INDEX('計算A'!DN$10:DN$54,$B35),0)+IF('計算A'!DO$117=1,INDEX('計算A'!DP$10:DP$54,$B35),0))*4000,0)-IF(AND('計算A'!DN$117=1,YL35&gt;0),2000,0)-IF(AND($L35=1,'計算A'!DO$117=1,HN35=0),2000,0))),1000000))</f>
        <v/>
      </c>
      <c r="SR35">
        <f>IF($B35=0,1000000,IF(INDEX('計算A'!$D$60:$EQ$104,$B35,117)*HN35=1,IF(AND($E35=2,NC35=0),1000000,IF($I35&gt;0,IF(5=$J35,IF(OR(AND(117=$I35+1,OR($K35&lt;&gt;'計算A'!$A$3,'計算A'!$A$4=0)),AND(117=$I35-1,OR(21&lt;&gt;'計算A'!$A$3,'計算A'!$A$4=0))),0,IF(21=$K35,200000,ABS(21-$K35)*100)),100000+ABS(5-$J35)*1000+210)+'計算A'!DP$5*50+IF(AND($E35=1,NC35=0),25,0),IF($F35&gt;0,INDEX('計算A'!DP$110:DP$114,$F35+1)+IF(AND($E35=1,NC35=0),1000,0),MIN(TY35,20)*400+(IF('計算A'!DO$106=1,1-HM35,0)+IF('計算A'!DP$106=1,1-HO35,0))*150+215+'計算A'!DP$5*100000+IF(AND($E35=1,NC35=0),50000,0))+IF($H35=1,(IF('計算A'!DO$117=1,INDEX('計算A'!DO$10:DO$54,$B35),0)+IF('計算A'!DP$117=1,INDEX('計算A'!DQ$10:DQ$54,$B35),0))*4000,0)-IF(AND('計算A'!DO$117=1,YM35&gt;0),2000,0)-IF(AND($L35=1,'計算A'!DP$117=1,HO35=0),2000,0))),1000000))</f>
        <v/>
      </c>
      <c r="SS35">
        <f>IF($B35=0,1000000,IF(INDEX('計算A'!$D$60:$EQ$104,$B35,118)*HO35=1,IF(AND($E35=2,ND35=0),1000000,IF($I35&gt;0,IF(5=$J35,IF(OR(AND(118=$I35+1,OR($K35&lt;&gt;'計算A'!$A$3,'計算A'!$A$4=0)),AND(118=$I35-1,OR(22&lt;&gt;'計算A'!$A$3,'計算A'!$A$4=0))),0,IF(22=$K35,200000,ABS(22-$K35)*100)),100000+ABS(5-$J35)*1000+220)+'計算A'!DQ$5*50+IF(AND($E35=1,ND35=0),25,0),IF($F35&gt;0,INDEX('計算A'!DQ$110:DQ$114,$F35+1)+IF(AND($E35=1,ND35=0),1000,0),MIN(TY35,20)*400+(IF('計算A'!DP$106=1,1-HN35,0)+IF('計算A'!DQ$106=1,1-HP35,0))*150+225+'計算A'!DQ$5*100000+IF(AND($E35=1,ND35=0),50000,0))+IF($H35=1,(IF('計算A'!DP$117=1,INDEX('計算A'!DP$10:DP$54,$B35),0)+IF('計算A'!DQ$117=1,INDEX('計算A'!DR$10:DR$54,$B35),0))*4000,0)-IF(AND('計算A'!DP$117=1,YN35&gt;0),2000,0)-IF(AND($L35=1,'計算A'!DQ$117=1,HP35=0),2000,0))),1000000))</f>
        <v/>
      </c>
      <c r="ST35">
        <f>IF($B35=0,1000000,IF(INDEX('計算A'!$D$60:$EQ$104,$B35,119)*HP35=1,IF(AND($E35=2,NE35=0),1000000,IF($I35&gt;0,IF(5=$J35,IF(OR(AND(119=$I35+1,OR($K35&lt;&gt;'計算A'!$A$3,'計算A'!$A$4=0)),AND(119=$I35-1,OR(23&lt;&gt;'計算A'!$A$3,'計算A'!$A$4=0))),0,IF(23=$K35,200000,ABS(23-$K35)*100)),100000+ABS(5-$J35)*1000+230)+'計算A'!DR$5*50+IF(AND($E35=1,NE35=0),25,0),IF($F35&gt;0,INDEX('計算A'!DR$110:DR$114,$F35+1)+IF(AND($E35=1,NE35=0),1000,0),MIN(TY35,20)*400+(IF('計算A'!DQ$106=1,1-HO35,0)+IF('計算A'!DR$106=1,1-HQ35,0))*150+235+'計算A'!DR$5*100000+IF(AND($E35=1,NE35=0),50000,0))+IF($H35=1,(IF('計算A'!DQ$117=1,INDEX('計算A'!DQ$10:DQ$54,$B35),0)+IF('計算A'!DR$117=1,INDEX('計算A'!DS$10:DS$54,$B35),0))*4000,0)-IF(AND('計算A'!DQ$117=1,YO35&gt;0),2000,0)-IF(AND($L35=1,'計算A'!DR$117=1,HQ35=0),2000,0))),1000000))</f>
        <v/>
      </c>
      <c r="SU35">
        <f>IF($B35=0,1000000,IF(INDEX('計算A'!$D$60:$EQ$104,$B35,120)*HQ35=1,IF(AND($E35=2,NF35=0),1000000,IF($I35&gt;0,IF(5=$J35,IF(OR(AND(120=$I35+1,OR($K35&lt;&gt;'計算A'!$A$3,'計算A'!$A$4=0)),AND(120=$I35-1,OR(24&lt;&gt;'計算A'!$A$3,'計算A'!$A$4=0))),0,IF(24=$K35,200000,ABS(24-$K35)*100)),100000+ABS(5-$J35)*1000+240)+'計算A'!DS$5*50+IF(AND($E35=1,NF35=0),25,0),IF($F35&gt;0,INDEX('計算A'!DS$110:DS$114,$F35+1)+IF(AND($E35=1,NF35=0),1000,0),MIN(TY35,20)*400+(IF('計算A'!DR$106=1,1-HP35,0))*150+245+'計算A'!DS$5*100000+IF(AND($E35=1,NF35=0),50000,0))+IF($H35=1,(IF('計算A'!DR$117=1,INDEX('計算A'!DR$10:DR$54,$B35),0))*4000,0)-IF(AND('計算A'!DR$117=1,YP35&gt;0),2000,0))),1000000))</f>
        <v/>
      </c>
      <c r="SV35">
        <f>IF($B35=0,1000000,IF(INDEX('計算A'!$D$60:$EQ$104,$B35,121)*HR35=1,IF(AND($E35=2,NG35=0),1000000,IF($I35&gt;0,IF(6=$J35,IF(OR(AND(121=$I35+1,OR($K35&lt;&gt;'計算A'!$A$3,'計算A'!$A$4=0)),AND(121=$I35-1,OR(1&lt;&gt;'計算A'!$A$3,'計算A'!$A$4=0))),0,IF(1=$K35,200000,ABS(1-$K35)*100)),100000+ABS(6-$J35)*1000+10)+'計算A'!DT$5*50+IF(AND($E35=1,NG35=0),25,0),IF($F35&gt;0,INDEX('計算A'!DT$110:DT$114,$F35+1)+IF(AND($E35=1,NG35=0),1000,0),MIN(TZ35,20)*400+(IF('計算A'!DT$106=1,1-HS35,0))*150+16+'計算A'!DT$5*100000+IF(AND($E35=1,NG35=0),50000,0))+IF($H35=1,(IF('計算A'!DT$117=1,INDEX('計算A'!DU$10:DU$54,$B35),0))*4000,0)-IF(AND($L35=1,'計算A'!DT$117=1,HS35=0),2000,0))),1000000))</f>
        <v/>
      </c>
      <c r="SW35">
        <f>IF($B35=0,1000000,IF(INDEX('計算A'!$D$60:$EQ$104,$B35,122)*HS35=1,IF(AND($E35=2,NH35=0),1000000,IF($I35&gt;0,IF(6=$J35,IF(OR(AND(122=$I35+1,OR($K35&lt;&gt;'計算A'!$A$3,'計算A'!$A$4=0)),AND(122=$I35-1,OR(2&lt;&gt;'計算A'!$A$3,'計算A'!$A$4=0))),0,IF(2=$K35,200000,ABS(2-$K35)*100)),100000+ABS(6-$J35)*1000+20)+'計算A'!DU$5*50+IF(AND($E35=1,NH35=0),25,0),IF($F35&gt;0,INDEX('計算A'!DU$110:DU$114,$F35+1)+IF(AND($E35=1,NH35=0),1000,0),MIN(TZ35,20)*400+(IF('計算A'!DT$106=1,1-HR35,0)+IF('計算A'!DU$106=1,1-HT35,0))*150+26+'計算A'!DU$5*100000+IF(AND($E35=1,NH35=0),50000,0))+IF($H35=1,(IF('計算A'!DT$117=1,INDEX('計算A'!DT$10:DT$54,$B35),0)+IF('計算A'!DU$117=1,INDEX('計算A'!DV$10:DV$54,$B35),0))*4000,0)-IF(AND('計算A'!DT$117=1,YR35&gt;0),2000,0)-IF(AND($L35=1,'計算A'!DU$117=1,HT35=0),2000,0))),1000000))</f>
        <v/>
      </c>
      <c r="SX35">
        <f>IF($B35=0,1000000,IF(INDEX('計算A'!$D$60:$EQ$104,$B35,123)*HT35=1,IF(AND($E35=2,NI35=0),1000000,IF($I35&gt;0,IF(6=$J35,IF(OR(AND(123=$I35+1,OR($K35&lt;&gt;'計算A'!$A$3,'計算A'!$A$4=0)),AND(123=$I35-1,OR(3&lt;&gt;'計算A'!$A$3,'計算A'!$A$4=0))),0,IF(3=$K35,200000,ABS(3-$K35)*100)),100000+ABS(6-$J35)*1000+30)+'計算A'!DV$5*50+IF(AND($E35=1,NI35=0),25,0),IF($F35&gt;0,INDEX('計算A'!DV$110:DV$114,$F35+1)+IF(AND($E35=1,NI35=0),1000,0),MIN(TZ35,20)*400+(IF('計算A'!DU$106=1,1-HS35,0)+IF('計算A'!DV$106=1,1-HU35,0))*150+36+'計算A'!DV$5*100000+IF(AND($E35=1,NI35=0),50000,0))+IF($H35=1,(IF('計算A'!DU$117=1,INDEX('計算A'!DU$10:DU$54,$B35),0)+IF('計算A'!DV$117=1,INDEX('計算A'!DW$10:DW$54,$B35),0))*4000,0)-IF(AND('計算A'!DU$117=1,YS35&gt;0),2000,0)-IF(AND($L35=1,'計算A'!DV$117=1,HU35=0),2000,0))),1000000))</f>
        <v/>
      </c>
      <c r="SY35">
        <f>IF($B35=0,1000000,IF(INDEX('計算A'!$D$60:$EQ$104,$B35,124)*HU35=1,IF(AND($E35=2,NJ35=0),1000000,IF($I35&gt;0,IF(6=$J35,IF(OR(AND(124=$I35+1,OR($K35&lt;&gt;'計算A'!$A$3,'計算A'!$A$4=0)),AND(124=$I35-1,OR(4&lt;&gt;'計算A'!$A$3,'計算A'!$A$4=0))),0,IF(4=$K35,200000,ABS(4-$K35)*100)),100000+ABS(6-$J35)*1000+40)+'計算A'!DW$5*50+IF(AND($E35=1,NJ35=0),25,0),IF($F35&gt;0,INDEX('計算A'!DW$110:DW$114,$F35+1)+IF(AND($E35=1,NJ35=0),1000,0),MIN(TZ35,20)*400+(IF('計算A'!DV$106=1,1-HT35,0)+IF('計算A'!DW$106=1,1-HV35,0))*150+46+'計算A'!DW$5*100000+IF(AND($E35=1,NJ35=0),50000,0))+IF($H35=1,(IF('計算A'!DV$117=1,INDEX('計算A'!DV$10:DV$54,$B35),0)+IF('計算A'!DW$117=1,INDEX('計算A'!DX$10:DX$54,$B35),0))*4000,0)-IF(AND('計算A'!DV$117=1,YT35&gt;0),2000,0)-IF(AND($L35=1,'計算A'!DW$117=1,HV35=0),2000,0))),1000000))</f>
        <v/>
      </c>
      <c r="SZ35">
        <f>IF($B35=0,1000000,IF(INDEX('計算A'!$D$60:$EQ$104,$B35,125)*HV35=1,IF(AND($E35=2,NK35=0),1000000,IF($I35&gt;0,IF(6=$J35,IF(OR(AND(125=$I35+1,OR($K35&lt;&gt;'計算A'!$A$3,'計算A'!$A$4=0)),AND(125=$I35-1,OR(5&lt;&gt;'計算A'!$A$3,'計算A'!$A$4=0))),0,IF(5=$K35,200000,ABS(5-$K35)*100)),100000+ABS(6-$J35)*1000+50)+'計算A'!DX$5*50+IF(AND($E35=1,NK35=0),25,0),IF($F35&gt;0,INDEX('計算A'!DX$110:DX$114,$F35+1)+IF(AND($E35=1,NK35=0),1000,0),MIN(TZ35,20)*400+(IF('計算A'!DW$106=1,1-HU35,0)+IF('計算A'!DX$106=1,1-HW35,0))*150+56+'計算A'!DX$5*100000+IF(AND($E35=1,NK35=0),50000,0))+IF($H35=1,(IF('計算A'!DW$117=1,INDEX('計算A'!DW$10:DW$54,$B35),0)+IF('計算A'!DX$117=1,INDEX('計算A'!DY$10:DY$54,$B35),0))*4000,0)-IF(AND('計算A'!DW$117=1,YU35&gt;0),2000,0)-IF(AND($L35=1,'計算A'!DX$117=1,HW35=0),2000,0))),1000000))</f>
        <v/>
      </c>
      <c r="TA35">
        <f>IF($B35=0,1000000,IF(INDEX('計算A'!$D$60:$EQ$104,$B35,126)*HW35=1,IF(AND($E35=2,NL35=0),1000000,IF($I35&gt;0,IF(6=$J35,IF(OR(AND(126=$I35+1,OR($K35&lt;&gt;'計算A'!$A$3,'計算A'!$A$4=0)),AND(126=$I35-1,OR(6&lt;&gt;'計算A'!$A$3,'計算A'!$A$4=0))),0,IF(6=$K35,200000,ABS(6-$K35)*100)),100000+ABS(6-$J35)*1000+60)+'計算A'!DY$5*50+IF(AND($E35=1,NL35=0),25,0),IF($F35&gt;0,INDEX('計算A'!DY$110:DY$114,$F35+1)+IF(AND($E35=1,NL35=0),1000,0),MIN(TZ35,20)*400+(IF('計算A'!DX$106=1,1-HV35,0)+IF('計算A'!DY$106=1,1-HX35,0))*150+66+'計算A'!DY$5*100000+IF(AND($E35=1,NL35=0),50000,0))+IF($H35=1,(IF('計算A'!DX$117=1,INDEX('計算A'!DX$10:DX$54,$B35),0)+IF('計算A'!DY$117=1,INDEX('計算A'!DZ$10:DZ$54,$B35),0))*4000,0)-IF(AND('計算A'!DX$117=1,YV35&gt;0),2000,0)-IF(AND($L35=1,'計算A'!DY$117=1,HX35=0),2000,0))),1000000))</f>
        <v/>
      </c>
      <c r="TB35">
        <f>IF($B35=0,1000000,IF(INDEX('計算A'!$D$60:$EQ$104,$B35,127)*HX35=1,IF(AND($E35=2,NM35=0),1000000,IF($I35&gt;0,IF(6=$J35,IF(OR(AND(127=$I35+1,OR($K35&lt;&gt;'計算A'!$A$3,'計算A'!$A$4=0)),AND(127=$I35-1,OR(7&lt;&gt;'計算A'!$A$3,'計算A'!$A$4=0))),0,IF(7=$K35,200000,ABS(7-$K35)*100)),100000+ABS(6-$J35)*1000+70)+'計算A'!DZ$5*50+IF(AND($E35=1,NM35=0),25,0),IF($F35&gt;0,INDEX('計算A'!DZ$110:DZ$114,$F35+1)+IF(AND($E35=1,NM35=0),1000,0),MIN(TZ35,20)*400+(IF('計算A'!DY$106=1,1-HW35,0)+IF('計算A'!DZ$106=1,1-HY35,0))*150+76+'計算A'!DZ$5*100000+IF(AND($E35=1,NM35=0),50000,0))+IF($H35=1,(IF('計算A'!DY$117=1,INDEX('計算A'!DY$10:DY$54,$B35),0)+IF('計算A'!DZ$117=1,INDEX('計算A'!EA$10:EA$54,$B35),0))*4000,0)-IF(AND('計算A'!DY$117=1,YW35&gt;0),2000,0)-IF(AND($L35=1,'計算A'!DZ$117=1,HY35=0),2000,0))),1000000))</f>
        <v/>
      </c>
      <c r="TC35">
        <f>IF($B35=0,1000000,IF(INDEX('計算A'!$D$60:$EQ$104,$B35,128)*HY35=1,IF(AND($E35=2,NN35=0),1000000,IF($I35&gt;0,IF(6=$J35,IF(OR(AND(128=$I35+1,OR($K35&lt;&gt;'計算A'!$A$3,'計算A'!$A$4=0)),AND(128=$I35-1,OR(8&lt;&gt;'計算A'!$A$3,'計算A'!$A$4=0))),0,IF(8=$K35,200000,ABS(8-$K35)*100)),100000+ABS(6-$J35)*1000+80)+'計算A'!EA$5*50+IF(AND($E35=1,NN35=0),25,0),IF($F35&gt;0,INDEX('計算A'!EA$110:EA$114,$F35+1)+IF(AND($E35=1,NN35=0),1000,0),MIN(TZ35,20)*400+(IF('計算A'!DZ$106=1,1-HX35,0)+IF('計算A'!EA$106=1,1-HZ35,0))*150+86+'計算A'!EA$5*100000+IF(AND($E35=1,NN35=0),50000,0))+IF($H35=1,(IF('計算A'!DZ$117=1,INDEX('計算A'!DZ$10:DZ$54,$B35),0)+IF('計算A'!EA$117=1,INDEX('計算A'!EB$10:EB$54,$B35),0))*4000,0)-IF(AND('計算A'!DZ$117=1,YX35&gt;0),2000,0)-IF(AND($L35=1,'計算A'!EA$117=1,HZ35=0),2000,0))),1000000))</f>
        <v/>
      </c>
      <c r="TD35">
        <f>IF($B35=0,1000000,IF(INDEX('計算A'!$D$60:$EQ$104,$B35,129)*HZ35=1,IF(AND($E35=2,NO35=0),1000000,IF($I35&gt;0,IF(6=$J35,IF(OR(AND(129=$I35+1,OR($K35&lt;&gt;'計算A'!$A$3,'計算A'!$A$4=0)),AND(129=$I35-1,OR(9&lt;&gt;'計算A'!$A$3,'計算A'!$A$4=0))),0,IF(9=$K35,200000,ABS(9-$K35)*100)),100000+ABS(6-$J35)*1000+90)+'計算A'!EB$5*50+IF(AND($E35=1,NO35=0),25,0),IF($F35&gt;0,INDEX('計算A'!EB$110:EB$114,$F35+1)+IF(AND($E35=1,NO35=0),1000,0),MIN(TZ35,20)*400+(IF('計算A'!EA$106=1,1-HY35,0)+IF('計算A'!EB$106=1,1-IA35,0))*150+96+'計算A'!EB$5*100000+IF(AND($E35=1,NO35=0),50000,0))+IF($H35=1,(IF('計算A'!EA$117=1,INDEX('計算A'!EA$10:EA$54,$B35),0)+IF('計算A'!EB$117=1,INDEX('計算A'!EC$10:EC$54,$B35),0))*4000,0)-IF(AND('計算A'!EA$117=1,YY35&gt;0),2000,0)-IF(AND($L35=1,'計算A'!EB$117=1,IA35=0),2000,0))),1000000))</f>
        <v/>
      </c>
      <c r="TE35">
        <f>IF($B35=0,1000000,IF(INDEX('計算A'!$D$60:$EQ$104,$B35,130)*IA35=1,IF(AND($E35=2,NP35=0),1000000,IF($I35&gt;0,IF(6=$J35,IF(OR(AND(130=$I35+1,OR($K35&lt;&gt;'計算A'!$A$3,'計算A'!$A$4=0)),AND(130=$I35-1,OR(10&lt;&gt;'計算A'!$A$3,'計算A'!$A$4=0))),0,IF(10=$K35,200000,ABS(10-$K35)*100)),100000+ABS(6-$J35)*1000+100)+'計算A'!EC$5*50+IF(AND($E35=1,NP35=0),25,0),IF($F35&gt;0,INDEX('計算A'!EC$110:EC$114,$F35+1)+IF(AND($E35=1,NP35=0),1000,0),MIN(TZ35,20)*400+(IF('計算A'!EB$106=1,1-HZ35,0)+IF('計算A'!EC$106=1,1-IB35,0))*150+106+'計算A'!EC$5*100000+IF(AND($E35=1,NP35=0),50000,0))+IF($H35=1,(IF('計算A'!EB$117=1,INDEX('計算A'!EB$10:EB$54,$B35),0)+IF('計算A'!EC$117=1,INDEX('計算A'!ED$10:ED$54,$B35),0))*4000,0)-IF(AND('計算A'!EB$117=1,YZ35&gt;0),2000,0)-IF(AND($L35=1,'計算A'!EC$117=1,IB35=0),2000,0))),1000000))</f>
        <v/>
      </c>
      <c r="TF35">
        <f>IF($B35=0,1000000,IF(INDEX('計算A'!$D$60:$EQ$104,$B35,131)*IB35=1,IF(AND($E35=2,NQ35=0),1000000,IF($I35&gt;0,IF(6=$J35,IF(OR(AND(131=$I35+1,OR($K35&lt;&gt;'計算A'!$A$3,'計算A'!$A$4=0)),AND(131=$I35-1,OR(11&lt;&gt;'計算A'!$A$3,'計算A'!$A$4=0))),0,IF(11=$K35,200000,ABS(11-$K35)*100)),100000+ABS(6-$J35)*1000+110)+'計算A'!ED$5*50+IF(AND($E35=1,NQ35=0),25,0),IF($F35&gt;0,INDEX('計算A'!ED$110:ED$114,$F35+1)+IF(AND($E35=1,NQ35=0),1000,0),MIN(TZ35,20)*400+(IF('計算A'!EC$106=1,1-IA35,0)+IF('計算A'!ED$106=1,1-IC35,0))*150+116+'計算A'!ED$5*100000+IF(AND($E35=1,NQ35=0),50000,0))+IF($H35=1,(IF('計算A'!EC$117=1,INDEX('計算A'!EC$10:EC$54,$B35),0)+IF('計算A'!ED$117=1,INDEX('計算A'!EE$10:EE$54,$B35),0))*4000,0)-IF(AND('計算A'!EC$117=1,ZA35&gt;0),2000,0)-IF(AND($L35=1,'計算A'!ED$117=1,IC35=0),2000,0))),1000000))</f>
        <v/>
      </c>
      <c r="TG35">
        <f>IF($B35=0,1000000,IF(INDEX('計算A'!$D$60:$EQ$104,$B35,132)*IC35=1,IF(AND($E35=2,NR35=0),1000000,IF($I35&gt;0,IF(6=$J35,IF(OR(AND(132=$I35+1,OR($K35&lt;&gt;'計算A'!$A$3,'計算A'!$A$4=0)),AND(132=$I35-1,OR(12&lt;&gt;'計算A'!$A$3,'計算A'!$A$4=0))),0,IF(12=$K35,200000,ABS(12-$K35)*100)),100000+ABS(6-$J35)*1000+120)+'計算A'!EE$5*50+IF(AND($E35=1,NR35=0),25,0),IF($F35&gt;0,INDEX('計算A'!EE$110:EE$114,$F35+1)+IF(AND($E35=1,NR35=0),1000,0),MIN(TZ35,20)*400+(IF('計算A'!ED$106=1,1-IB35,0)+IF('計算A'!EE$106=1,1-ID35,0))*150+126+'計算A'!EE$5*100000+IF(AND($E35=1,NR35=0),50000,0))+IF($H35=1,(IF('計算A'!ED$117=1,INDEX('計算A'!ED$10:ED$54,$B35),0)+IF('計算A'!EE$117=1,INDEX('計算A'!EF$10:EF$54,$B35),0))*4000,0)-IF(AND('計算A'!ED$117=1,ZB35&gt;0),2000,0)-IF(AND($L35=1,'計算A'!EE$117=1,ID35=0),2000,0))),1000000))</f>
        <v/>
      </c>
      <c r="TH35">
        <f>IF($B35=0,1000000,IF(INDEX('計算A'!$D$60:$EQ$104,$B35,133)*ID35=1,IF(AND($E35=2,NS35=0),1000000,IF($I35&gt;0,IF(6=$J35,IF(OR(AND(133=$I35+1,OR($K35&lt;&gt;'計算A'!$A$3,'計算A'!$A$4=0)),AND(133=$I35-1,OR(13&lt;&gt;'計算A'!$A$3,'計算A'!$A$4=0))),0,IF(13=$K35,200000,ABS(13-$K35)*100)),100000+ABS(6-$J35)*1000+130)+'計算A'!EF$5*50+IF(AND($E35=1,NS35=0),25,0),IF($F35&gt;0,INDEX('計算A'!EF$110:EF$114,$F35+1)+IF(AND($E35=1,NS35=0),1000,0),MIN(TZ35,20)*400+(IF('計算A'!EE$106=1,1-IC35,0)+IF('計算A'!EF$106=1,1-IE35,0))*150+136+'計算A'!EF$5*100000+IF(AND($E35=1,NS35=0),50000,0))+IF($H35=1,(IF('計算A'!EE$117=1,INDEX('計算A'!EE$10:EE$54,$B35),0)+IF('計算A'!EF$117=1,INDEX('計算A'!EG$10:EG$54,$B35),0))*4000,0)-IF(AND('計算A'!EE$117=1,ZC35&gt;0),2000,0)-IF(AND($L35=1,'計算A'!EF$117=1,IE35=0),2000,0))),1000000))</f>
        <v/>
      </c>
      <c r="TI35">
        <f>IF($B35=0,1000000,IF(INDEX('計算A'!$D$60:$EQ$104,$B35,134)*IE35=1,IF(AND($E35=2,NT35=0),1000000,IF($I35&gt;0,IF(6=$J35,IF(OR(AND(134=$I35+1,OR($K35&lt;&gt;'計算A'!$A$3,'計算A'!$A$4=0)),AND(134=$I35-1,OR(14&lt;&gt;'計算A'!$A$3,'計算A'!$A$4=0))),0,IF(14=$K35,200000,ABS(14-$K35)*100)),100000+ABS(6-$J35)*1000+140)+'計算A'!EG$5*50+IF(AND($E35=1,NT35=0),25,0),IF($F35&gt;0,INDEX('計算A'!EG$110:EG$114,$F35+1)+IF(AND($E35=1,NT35=0),1000,0),MIN(TZ35,20)*400+(IF('計算A'!EF$106=1,1-ID35,0)+IF('計算A'!EG$106=1,1-IF35,0))*150+146+'計算A'!EG$5*100000+IF(AND($E35=1,NT35=0),50000,0))+IF($H35=1,(IF('計算A'!EF$117=1,INDEX('計算A'!EF$10:EF$54,$B35),0)+IF('計算A'!EG$117=1,INDEX('計算A'!EH$10:EH$54,$B35),0))*4000,0)-IF(AND('計算A'!EF$117=1,ZD35&gt;0),2000,0)-IF(AND($L35=1,'計算A'!EG$117=1,IF35=0),2000,0))),1000000))</f>
        <v/>
      </c>
      <c r="TJ35">
        <f>IF($B35=0,1000000,IF(INDEX('計算A'!$D$60:$EQ$104,$B35,135)*IF35=1,IF(AND($E35=2,NU35=0),1000000,IF($I35&gt;0,IF(6=$J35,IF(OR(AND(135=$I35+1,OR($K35&lt;&gt;'計算A'!$A$3,'計算A'!$A$4=0)),AND(135=$I35-1,OR(15&lt;&gt;'計算A'!$A$3,'計算A'!$A$4=0))),0,IF(15=$K35,200000,ABS(15-$K35)*100)),100000+ABS(6-$J35)*1000+150)+'計算A'!EH$5*50+IF(AND($E35=1,NU35=0),25,0),IF($F35&gt;0,INDEX('計算A'!EH$110:EH$114,$F35+1)+IF(AND($E35=1,NU35=0),1000,0),MIN(TZ35,20)*400+(IF('計算A'!EG$106=1,1-IE35,0)+IF('計算A'!EH$106=1,1-IG35,0))*150+156+'計算A'!EH$5*100000+IF(AND($E35=1,NU35=0),50000,0))+IF($H35=1,(IF('計算A'!EG$117=1,INDEX('計算A'!EG$10:EG$54,$B35),0)+IF('計算A'!EH$117=1,INDEX('計算A'!EI$10:EI$54,$B35),0))*4000,0)-IF(AND('計算A'!EG$117=1,ZE35&gt;0),2000,0)-IF(AND($L35=1,'計算A'!EH$117=1,IG35=0),2000,0))),1000000))</f>
        <v/>
      </c>
      <c r="TK35">
        <f>IF($B35=0,1000000,IF(INDEX('計算A'!$D$60:$EQ$104,$B35,136)*IG35=1,IF(AND($E35=2,NV35=0),1000000,IF($I35&gt;0,IF(6=$J35,IF(OR(AND(136=$I35+1,OR($K35&lt;&gt;'計算A'!$A$3,'計算A'!$A$4=0)),AND(136=$I35-1,OR(16&lt;&gt;'計算A'!$A$3,'計算A'!$A$4=0))),0,IF(16=$K35,200000,ABS(16-$K35)*100)),100000+ABS(6-$J35)*1000+160)+'計算A'!EI$5*50+IF(AND($E35=1,NV35=0),25,0),IF($F35&gt;0,INDEX('計算A'!EI$110:EI$114,$F35+1)+IF(AND($E35=1,NV35=0),1000,0),MIN(TZ35,20)*400+(IF('計算A'!EH$106=1,1-IF35,0)+IF('計算A'!EI$106=1,1-IH35,0))*150+166+'計算A'!EI$5*100000+IF(AND($E35=1,NV35=0),50000,0))+IF($H35=1,(IF('計算A'!EH$117=1,INDEX('計算A'!EH$10:EH$54,$B35),0)+IF('計算A'!EI$117=1,INDEX('計算A'!EJ$10:EJ$54,$B35),0))*4000,0)-IF(AND('計算A'!EH$117=1,ZF35&gt;0),2000,0)-IF(AND($L35=1,'計算A'!EI$117=1,IH35=0),2000,0))),1000000))</f>
        <v/>
      </c>
      <c r="TL35">
        <f>IF($B35=0,1000000,IF(INDEX('計算A'!$D$60:$EQ$104,$B35,137)*IH35=1,IF(AND($E35=2,NW35=0),1000000,IF($I35&gt;0,IF(6=$J35,IF(OR(AND(137=$I35+1,OR($K35&lt;&gt;'計算A'!$A$3,'計算A'!$A$4=0)),AND(137=$I35-1,OR(17&lt;&gt;'計算A'!$A$3,'計算A'!$A$4=0))),0,IF(17=$K35,200000,ABS(17-$K35)*100)),100000+ABS(6-$J35)*1000+170)+'計算A'!EJ$5*50+IF(AND($E35=1,NW35=0),25,0),IF($F35&gt;0,INDEX('計算A'!EJ$110:EJ$114,$F35+1)+IF(AND($E35=1,NW35=0),1000,0),MIN(TZ35,20)*400+(IF('計算A'!EI$106=1,1-IG35,0)+IF('計算A'!EJ$106=1,1-II35,0))*150+176+'計算A'!EJ$5*100000+IF(AND($E35=1,NW35=0),50000,0))+IF($H35=1,(IF('計算A'!EI$117=1,INDEX('計算A'!EI$10:EI$54,$B35),0)+IF('計算A'!EJ$117=1,INDEX('計算A'!EK$10:EK$54,$B35),0))*4000,0)-IF(AND('計算A'!EI$117=1,ZG35&gt;0),2000,0)-IF(AND($L35=1,'計算A'!EJ$117=1,II35=0),2000,0))),1000000))</f>
        <v/>
      </c>
      <c r="TM35">
        <f>IF($B35=0,1000000,IF(INDEX('計算A'!$D$60:$EQ$104,$B35,138)*II35=1,IF(AND($E35=2,NX35=0),1000000,IF($I35&gt;0,IF(6=$J35,IF(OR(AND(138=$I35+1,OR($K35&lt;&gt;'計算A'!$A$3,'計算A'!$A$4=0)),AND(138=$I35-1,OR(18&lt;&gt;'計算A'!$A$3,'計算A'!$A$4=0))),0,IF(18=$K35,200000,ABS(18-$K35)*100)),100000+ABS(6-$J35)*1000+180)+'計算A'!EK$5*50+IF(AND($E35=1,NX35=0),25,0),IF($F35&gt;0,INDEX('計算A'!EK$110:EK$114,$F35+1)+IF(AND($E35=1,NX35=0),1000,0),MIN(TZ35,20)*400+(IF('計算A'!EJ$106=1,1-IH35,0)+IF('計算A'!EK$106=1,1-IJ35,0))*150+186+'計算A'!EK$5*100000+IF(AND($E35=1,NX35=0),50000,0))+IF($H35=1,(IF('計算A'!EJ$117=1,INDEX('計算A'!EJ$10:EJ$54,$B35),0)+IF('計算A'!EK$117=1,INDEX('計算A'!EL$10:EL$54,$B35),0))*4000,0)-IF(AND('計算A'!EJ$117=1,ZH35&gt;0),2000,0)-IF(AND($L35=1,'計算A'!EK$117=1,IJ35=0),2000,0))),1000000))</f>
        <v/>
      </c>
      <c r="TN35">
        <f>IF($B35=0,1000000,IF(INDEX('計算A'!$D$60:$EQ$104,$B35,139)*IJ35=1,IF(AND($E35=2,NY35=0),1000000,IF($I35&gt;0,IF(6=$J35,IF(OR(AND(139=$I35+1,OR($K35&lt;&gt;'計算A'!$A$3,'計算A'!$A$4=0)),AND(139=$I35-1,OR(19&lt;&gt;'計算A'!$A$3,'計算A'!$A$4=0))),0,IF(19=$K35,200000,ABS(19-$K35)*100)),100000+ABS(6-$J35)*1000+190)+'計算A'!EL$5*50+IF(AND($E35=1,NY35=0),25,0),IF($F35&gt;0,INDEX('計算A'!EL$110:EL$114,$F35+1)+IF(AND($E35=1,NY35=0),1000,0),MIN(TZ35,20)*400+(IF('計算A'!EK$106=1,1-II35,0)+IF('計算A'!EL$106=1,1-IK35,0))*150+196+'計算A'!EL$5*100000+IF(AND($E35=1,NY35=0),50000,0))+IF($H35=1,(IF('計算A'!EK$117=1,INDEX('計算A'!EK$10:EK$54,$B35),0)+IF('計算A'!EL$117=1,INDEX('計算A'!EM$10:EM$54,$B35),0))*4000,0)-IF(AND('計算A'!EK$117=1,ZI35&gt;0),2000,0)-IF(AND($L35=1,'計算A'!EL$117=1,IK35=0),2000,0))),1000000))</f>
        <v/>
      </c>
      <c r="TO35">
        <f>IF($B35=0,1000000,IF(INDEX('計算A'!$D$60:$EQ$104,$B35,140)*IK35=1,IF(AND($E35=2,NZ35=0),1000000,IF($I35&gt;0,IF(6=$J35,IF(OR(AND(140=$I35+1,OR($K35&lt;&gt;'計算A'!$A$3,'計算A'!$A$4=0)),AND(140=$I35-1,OR(20&lt;&gt;'計算A'!$A$3,'計算A'!$A$4=0))),0,IF(20=$K35,200000,ABS(20-$K35)*100)),100000+ABS(6-$J35)*1000+200)+'計算A'!EM$5*50+IF(AND($E35=1,NZ35=0),25,0),IF($F35&gt;0,INDEX('計算A'!EM$110:EM$114,$F35+1)+IF(AND($E35=1,NZ35=0),1000,0),MIN(TZ35,20)*400+(IF('計算A'!EL$106=1,1-IJ35,0)+IF('計算A'!EM$106=1,1-IL35,0))*150+206+'計算A'!EM$5*100000+IF(AND($E35=1,NZ35=0),50000,0))+IF($H35=1,(IF('計算A'!EL$117=1,INDEX('計算A'!EL$10:EL$54,$B35),0)+IF('計算A'!EM$117=1,INDEX('計算A'!EN$10:EN$54,$B35),0))*4000,0)-IF(AND('計算A'!EL$117=1,ZJ35&gt;0),2000,0)-IF(AND($L35=1,'計算A'!EM$117=1,IL35=0),2000,0))),1000000))</f>
        <v/>
      </c>
      <c r="TP35">
        <f>IF($B35=0,1000000,IF(INDEX('計算A'!$D$60:$EQ$104,$B35,141)*IL35=1,IF(AND($E35=2,OA35=0),1000000,IF($I35&gt;0,IF(6=$J35,IF(OR(AND(141=$I35+1,OR($K35&lt;&gt;'計算A'!$A$3,'計算A'!$A$4=0)),AND(141=$I35-1,OR(21&lt;&gt;'計算A'!$A$3,'計算A'!$A$4=0))),0,IF(21=$K35,200000,ABS(21-$K35)*100)),100000+ABS(6-$J35)*1000+210)+'計算A'!EN$5*50+IF(AND($E35=1,OA35=0),25,0),IF($F35&gt;0,INDEX('計算A'!EN$110:EN$114,$F35+1)+IF(AND($E35=1,OA35=0),1000,0),MIN(TZ35,20)*400+(IF('計算A'!EM$106=1,1-IK35,0)+IF('計算A'!EN$106=1,1-IM35,0))*150+216+'計算A'!EN$5*100000+IF(AND($E35=1,OA35=0),50000,0))+IF($H35=1,(IF('計算A'!EM$117=1,INDEX('計算A'!EM$10:EM$54,$B35),0)+IF('計算A'!EN$117=1,INDEX('計算A'!EO$10:EO$54,$B35),0))*4000,0)-IF(AND('計算A'!EM$117=1,ZK35&gt;0),2000,0)-IF(AND($L35=1,'計算A'!EN$117=1,IM35=0),2000,0))),1000000))</f>
        <v/>
      </c>
      <c r="TQ35">
        <f>IF($B35=0,1000000,IF(INDEX('計算A'!$D$60:$EQ$104,$B35,142)*IM35=1,IF(AND($E35=2,OB35=0),1000000,IF($I35&gt;0,IF(6=$J35,IF(OR(AND(142=$I35+1,OR($K35&lt;&gt;'計算A'!$A$3,'計算A'!$A$4=0)),AND(142=$I35-1,OR(22&lt;&gt;'計算A'!$A$3,'計算A'!$A$4=0))),0,IF(22=$K35,200000,ABS(22-$K35)*100)),100000+ABS(6-$J35)*1000+220)+'計算A'!EO$5*50+IF(AND($E35=1,OB35=0),25,0),IF($F35&gt;0,INDEX('計算A'!EO$110:EO$114,$F35+1)+IF(AND($E35=1,OB35=0),1000,0),MIN(TZ35,20)*400+(IF('計算A'!EN$106=1,1-IL35,0)+IF('計算A'!EO$106=1,1-IN35,0))*150+226+'計算A'!EO$5*100000+IF(AND($E35=1,OB35=0),50000,0))+IF($H35=1,(IF('計算A'!EN$117=1,INDEX('計算A'!EN$10:EN$54,$B35),0)+IF('計算A'!EO$117=1,INDEX('計算A'!EP$10:EP$54,$B35),0))*4000,0)-IF(AND('計算A'!EN$117=1,ZL35&gt;0),2000,0)-IF(AND($L35=1,'計算A'!EO$117=1,IN35=0),2000,0))),1000000))</f>
        <v/>
      </c>
      <c r="TR35">
        <f>IF($B35=0,1000000,IF(INDEX('計算A'!$D$60:$EQ$104,$B35,143)*IN35=1,IF(AND($E35=2,OC35=0),1000000,IF($I35&gt;0,IF(6=$J35,IF(OR(AND(143=$I35+1,OR($K35&lt;&gt;'計算A'!$A$3,'計算A'!$A$4=0)),AND(143=$I35-1,OR(23&lt;&gt;'計算A'!$A$3,'計算A'!$A$4=0))),0,IF(23=$K35,200000,ABS(23-$K35)*100)),100000+ABS(6-$J35)*1000+230)+'計算A'!EP$5*50+IF(AND($E35=1,OC35=0),25,0),IF($F35&gt;0,INDEX('計算A'!EP$110:EP$114,$F35+1)+IF(AND($E35=1,OC35=0),1000,0),MIN(TZ35,20)*400+(IF('計算A'!EO$106=1,1-IM35,0)+IF('計算A'!EP$106=1,1-IO35,0))*150+236+'計算A'!EP$5*100000+IF(AND($E35=1,OC35=0),50000,0))+IF($H35=1,(IF('計算A'!EO$117=1,INDEX('計算A'!EO$10:EO$54,$B35),0)+IF('計算A'!EP$117=1,INDEX('計算A'!EQ$10:EQ$54,$B35),0))*4000,0)-IF(AND('計算A'!EO$117=1,ZM35&gt;0),2000,0)-IF(AND($L35=1,'計算A'!EP$117=1,IO35=0),2000,0))),1000000))</f>
        <v/>
      </c>
      <c r="TS35">
        <f>IF($B35=0,1000000,IF(INDEX('計算A'!$D$60:$EQ$104,$B35,144)*IO35=1,IF(AND($E35=2,OD35=0),1000000,IF($I35&gt;0,IF(6=$J35,IF(OR(AND(144=$I35+1,OR($K35&lt;&gt;'計算A'!$A$3,'計算A'!$A$4=0)),AND(144=$I35-1,OR(24&lt;&gt;'計算A'!$A$3,'計算A'!$A$4=0))),0,IF(24=$K35,200000,ABS(24-$K35)*100)),100000+ABS(6-$J35)*1000+240)+'計算A'!EQ$5*50+IF(AND($E35=1,OD35=0),25,0),IF($F35&gt;0,INDEX('計算A'!EQ$110:EQ$114,$F35+1)+IF(AND($E35=1,OD35=0),1000,0),MIN(TZ35,20)*400+(IF('計算A'!EP$106=1,1-IN35,0))*150+246+'計算A'!EQ$5*100000+IF(AND($E35=1,OD35=0),50000,0))+IF($H35=1,(IF('計算A'!EP$117=1,INDEX('計算A'!EP$10:EP$54,$B35),0))*4000,0)-IF(AND('計算A'!EP$117=1,ZN35&gt;0),2000,0))),1000000))</f>
        <v/>
      </c>
      <c r="TU35">
        <f>TU34+IF($C34&gt;0,IF(INDEX('計算A'!$D$2:$EQ$2,$C34)=1,1,0),0)</f>
        <v/>
      </c>
      <c r="TV35">
        <f>TV34+IF($C34&gt;0,IF(INDEX('計算A'!$D$2:$EQ$2,$C34)=2,1,0),0)</f>
        <v/>
      </c>
      <c r="TW35">
        <f>TW34+IF($C34&gt;0,IF(INDEX('計算A'!$D$2:$EQ$2,$C34)=3,1,0),0)</f>
        <v/>
      </c>
      <c r="TX35">
        <f>TX34+IF($C34&gt;0,IF(INDEX('計算A'!$D$2:$EQ$2,$C34)=4,1,0),0)</f>
        <v/>
      </c>
      <c r="TY35">
        <f>TY34+IF($C34&gt;0,IF(INDEX('計算A'!$D$2:$EQ$2,$C34)=5,1,0),0)</f>
        <v/>
      </c>
      <c r="TZ35">
        <f>TZ34+IF($C34&gt;0,IF(INDEX('計算A'!$D$2:$EQ$2,$C34)=6,1,0),0)</f>
        <v/>
      </c>
      <c r="UB35">
        <f>UB34+IF(AND($C34=1,$L34=1),1,0)</f>
        <v/>
      </c>
      <c r="UC35">
        <f>UC34+IF(AND($C34=2,$L34=1),1,0)</f>
        <v/>
      </c>
      <c r="UD35">
        <f>UD34+IF(AND($C34=3,$L34=1),1,0)</f>
        <v/>
      </c>
      <c r="UE35">
        <f>UE34+IF(AND($C34=4,$L34=1),1,0)</f>
        <v/>
      </c>
      <c r="UF35">
        <f>UF34+IF(AND($C34=5,$L34=1),1,0)</f>
        <v/>
      </c>
      <c r="UG35">
        <f>UG34+IF(AND($C34=6,$L34=1),1,0)</f>
        <v/>
      </c>
      <c r="UH35">
        <f>UH34+IF(AND($C34=7,$L34=1),1,0)</f>
        <v/>
      </c>
      <c r="UI35">
        <f>UI34+IF(AND($C34=8,$L34=1),1,0)</f>
        <v/>
      </c>
      <c r="UJ35">
        <f>UJ34+IF(AND($C34=9,$L34=1),1,0)</f>
        <v/>
      </c>
      <c r="UK35">
        <f>UK34+IF(AND($C34=10,$L34=1),1,0)</f>
        <v/>
      </c>
      <c r="UL35">
        <f>UL34+IF(AND($C34=11,$L34=1),1,0)</f>
        <v/>
      </c>
      <c r="UM35">
        <f>UM34+IF(AND($C34=12,$L34=1),1,0)</f>
        <v/>
      </c>
      <c r="UN35">
        <f>UN34+IF(AND($C34=13,$L34=1),1,0)</f>
        <v/>
      </c>
      <c r="UO35">
        <f>UO34+IF(AND($C34=14,$L34=1),1,0)</f>
        <v/>
      </c>
      <c r="UP35">
        <f>UP34+IF(AND($C34=15,$L34=1),1,0)</f>
        <v/>
      </c>
      <c r="UQ35">
        <f>UQ34+IF(AND($C34=16,$L34=1),1,0)</f>
        <v/>
      </c>
      <c r="UR35">
        <f>UR34+IF(AND($C34=17,$L34=1),1,0)</f>
        <v/>
      </c>
      <c r="US35">
        <f>US34+IF(AND($C34=18,$L34=1),1,0)</f>
        <v/>
      </c>
      <c r="UT35">
        <f>UT34+IF(AND($C34=19,$L34=1),1,0)</f>
        <v/>
      </c>
      <c r="UU35">
        <f>UU34+IF(AND($C34=20,$L34=1),1,0)</f>
        <v/>
      </c>
      <c r="UV35">
        <f>UV34+IF(AND($C34=21,$L34=1),1,0)</f>
        <v/>
      </c>
      <c r="UW35">
        <f>UW34+IF(AND($C34=22,$L34=1),1,0)</f>
        <v/>
      </c>
      <c r="UX35">
        <f>UX34+IF(AND($C34=23,$L34=1),1,0)</f>
        <v/>
      </c>
      <c r="UY35">
        <f>UY34+IF(AND($C34=24,$L34=1),1,0)</f>
        <v/>
      </c>
      <c r="UZ35">
        <f>UZ34+IF(AND($C34=25,$L34=1),1,0)</f>
        <v/>
      </c>
      <c r="VA35">
        <f>VA34+IF(AND($C34=26,$L34=1),1,0)</f>
        <v/>
      </c>
      <c r="VB35">
        <f>VB34+IF(AND($C34=27,$L34=1),1,0)</f>
        <v/>
      </c>
      <c r="VC35">
        <f>VC34+IF(AND($C34=28,$L34=1),1,0)</f>
        <v/>
      </c>
      <c r="VD35">
        <f>VD34+IF(AND($C34=29,$L34=1),1,0)</f>
        <v/>
      </c>
      <c r="VE35">
        <f>VE34+IF(AND($C34=30,$L34=1),1,0)</f>
        <v/>
      </c>
      <c r="VF35">
        <f>VF34+IF(AND($C34=31,$L34=1),1,0)</f>
        <v/>
      </c>
      <c r="VG35">
        <f>VG34+IF(AND($C34=32,$L34=1),1,0)</f>
        <v/>
      </c>
      <c r="VH35">
        <f>VH34+IF(AND($C34=33,$L34=1),1,0)</f>
        <v/>
      </c>
      <c r="VI35">
        <f>VI34+IF(AND($C34=34,$L34=1),1,0)</f>
        <v/>
      </c>
      <c r="VJ35">
        <f>VJ34+IF(AND($C34=35,$L34=1),1,0)</f>
        <v/>
      </c>
      <c r="VK35">
        <f>VK34+IF(AND($C34=36,$L34=1),1,0)</f>
        <v/>
      </c>
      <c r="VL35">
        <f>VL34+IF(AND($C34=37,$L34=1),1,0)</f>
        <v/>
      </c>
      <c r="VM35">
        <f>VM34+IF(AND($C34=38,$L34=1),1,0)</f>
        <v/>
      </c>
      <c r="VN35">
        <f>VN34+IF(AND($C34=39,$L34=1),1,0)</f>
        <v/>
      </c>
      <c r="VO35">
        <f>VO34+IF(AND($C34=40,$L34=1),1,0)</f>
        <v/>
      </c>
      <c r="VP35">
        <f>VP34+IF(AND($C34=41,$L34=1),1,0)</f>
        <v/>
      </c>
      <c r="VQ35">
        <f>VQ34+IF(AND($C34=42,$L34=1),1,0)</f>
        <v/>
      </c>
      <c r="VR35">
        <f>VR34+IF(AND($C34=43,$L34=1),1,0)</f>
        <v/>
      </c>
      <c r="VS35">
        <f>VS34+IF(AND($C34=44,$L34=1),1,0)</f>
        <v/>
      </c>
      <c r="VT35">
        <f>VT34+IF(AND($C34=45,$L34=1),1,0)</f>
        <v/>
      </c>
      <c r="VU35">
        <f>VU34+IF(AND($C34=46,$L34=1),1,0)</f>
        <v/>
      </c>
      <c r="VV35">
        <f>VV34+IF(AND($C34=47,$L34=1),1,0)</f>
        <v/>
      </c>
      <c r="VW35">
        <f>VW34+IF(AND($C34=48,$L34=1),1,0)</f>
        <v/>
      </c>
      <c r="VX35">
        <f>VX34+IF(AND($C34=49,$L34=1),1,0)</f>
        <v/>
      </c>
      <c r="VY35">
        <f>VY34+IF(AND($C34=50,$L34=1),1,0)</f>
        <v/>
      </c>
      <c r="VZ35">
        <f>VZ34+IF(AND($C34=51,$L34=1),1,0)</f>
        <v/>
      </c>
      <c r="WA35">
        <f>WA34+IF(AND($C34=52,$L34=1),1,0)</f>
        <v/>
      </c>
      <c r="WB35">
        <f>WB34+IF(AND($C34=53,$L34=1),1,0)</f>
        <v/>
      </c>
      <c r="WC35">
        <f>WC34+IF(AND($C34=54,$L34=1),1,0)</f>
        <v/>
      </c>
      <c r="WD35">
        <f>WD34+IF(AND($C34=55,$L34=1),1,0)</f>
        <v/>
      </c>
      <c r="WE35">
        <f>WE34+IF(AND($C34=56,$L34=1),1,0)</f>
        <v/>
      </c>
      <c r="WF35">
        <f>WF34+IF(AND($C34=57,$L34=1),1,0)</f>
        <v/>
      </c>
      <c r="WG35">
        <f>WG34+IF(AND($C34=58,$L34=1),1,0)</f>
        <v/>
      </c>
      <c r="WH35">
        <f>WH34+IF(AND($C34=59,$L34=1),1,0)</f>
        <v/>
      </c>
      <c r="WI35">
        <f>WI34+IF(AND($C34=60,$L34=1),1,0)</f>
        <v/>
      </c>
      <c r="WJ35">
        <f>WJ34+IF(AND($C34=61,$L34=1),1,0)</f>
        <v/>
      </c>
      <c r="WK35">
        <f>WK34+IF(AND($C34=62,$L34=1),1,0)</f>
        <v/>
      </c>
      <c r="WL35">
        <f>WL34+IF(AND($C34=63,$L34=1),1,0)</f>
        <v/>
      </c>
      <c r="WM35">
        <f>WM34+IF(AND($C34=64,$L34=1),1,0)</f>
        <v/>
      </c>
      <c r="WN35">
        <f>WN34+IF(AND($C34=65,$L34=1),1,0)</f>
        <v/>
      </c>
      <c r="WO35">
        <f>WO34+IF(AND($C34=66,$L34=1),1,0)</f>
        <v/>
      </c>
      <c r="WP35">
        <f>WP34+IF(AND($C34=67,$L34=1),1,0)</f>
        <v/>
      </c>
      <c r="WQ35">
        <f>WQ34+IF(AND($C34=68,$L34=1),1,0)</f>
        <v/>
      </c>
      <c r="WR35">
        <f>WR34+IF(AND($C34=69,$L34=1),1,0)</f>
        <v/>
      </c>
      <c r="WS35">
        <f>WS34+IF(AND($C34=70,$L34=1),1,0)</f>
        <v/>
      </c>
      <c r="WT35">
        <f>WT34+IF(AND($C34=71,$L34=1),1,0)</f>
        <v/>
      </c>
      <c r="WU35">
        <f>WU34+IF(AND($C34=72,$L34=1),1,0)</f>
        <v/>
      </c>
      <c r="WV35">
        <f>WV34+IF(AND($C34=73,$L34=1),1,0)</f>
        <v/>
      </c>
      <c r="WW35">
        <f>WW34+IF(AND($C34=74,$L34=1),1,0)</f>
        <v/>
      </c>
      <c r="WX35">
        <f>WX34+IF(AND($C34=75,$L34=1),1,0)</f>
        <v/>
      </c>
      <c r="WY35">
        <f>WY34+IF(AND($C34=76,$L34=1),1,0)</f>
        <v/>
      </c>
      <c r="WZ35">
        <f>WZ34+IF(AND($C34=77,$L34=1),1,0)</f>
        <v/>
      </c>
      <c r="XA35">
        <f>XA34+IF(AND($C34=78,$L34=1),1,0)</f>
        <v/>
      </c>
      <c r="XB35">
        <f>XB34+IF(AND($C34=79,$L34=1),1,0)</f>
        <v/>
      </c>
      <c r="XC35">
        <f>XC34+IF(AND($C34=80,$L34=1),1,0)</f>
        <v/>
      </c>
      <c r="XD35">
        <f>XD34+IF(AND($C34=81,$L34=1),1,0)</f>
        <v/>
      </c>
      <c r="XE35">
        <f>XE34+IF(AND($C34=82,$L34=1),1,0)</f>
        <v/>
      </c>
      <c r="XF35">
        <f>XF34+IF(AND($C34=83,$L34=1),1,0)</f>
        <v/>
      </c>
      <c r="XG35">
        <f>XG34+IF(AND($C34=84,$L34=1),1,0)</f>
        <v/>
      </c>
      <c r="XH35">
        <f>XH34+IF(AND($C34=85,$L34=1),1,0)</f>
        <v/>
      </c>
      <c r="XI35">
        <f>XI34+IF(AND($C34=86,$L34=1),1,0)</f>
        <v/>
      </c>
      <c r="XJ35">
        <f>XJ34+IF(AND($C34=87,$L34=1),1,0)</f>
        <v/>
      </c>
      <c r="XK35">
        <f>XK34+IF(AND($C34=88,$L34=1),1,0)</f>
        <v/>
      </c>
      <c r="XL35">
        <f>XL34+IF(AND($C34=89,$L34=1),1,0)</f>
        <v/>
      </c>
      <c r="XM35">
        <f>XM34+IF(AND($C34=90,$L34=1),1,0)</f>
        <v/>
      </c>
      <c r="XN35">
        <f>XN34+IF(AND($C34=91,$L34=1),1,0)</f>
        <v/>
      </c>
      <c r="XO35">
        <f>XO34+IF(AND($C34=92,$L34=1),1,0)</f>
        <v/>
      </c>
      <c r="XP35">
        <f>XP34+IF(AND($C34=93,$L34=1),1,0)</f>
        <v/>
      </c>
      <c r="XQ35">
        <f>XQ34+IF(AND($C34=94,$L34=1),1,0)</f>
        <v/>
      </c>
      <c r="XR35">
        <f>XR34+IF(AND($C34=95,$L34=1),1,0)</f>
        <v/>
      </c>
      <c r="XS35">
        <f>XS34+IF(AND($C34=96,$L34=1),1,0)</f>
        <v/>
      </c>
      <c r="XT35">
        <f>XT34+IF(AND($C34=97,$L34=1),1,0)</f>
        <v/>
      </c>
      <c r="XU35">
        <f>XU34+IF(AND($C34=98,$L34=1),1,0)</f>
        <v/>
      </c>
      <c r="XV35">
        <f>XV34+IF(AND($C34=99,$L34=1),1,0)</f>
        <v/>
      </c>
      <c r="XW35">
        <f>XW34+IF(AND($C34=100,$L34=1),1,0)</f>
        <v/>
      </c>
      <c r="XX35">
        <f>XX34+IF(AND($C34=101,$L34=1),1,0)</f>
        <v/>
      </c>
      <c r="XY35">
        <f>XY34+IF(AND($C34=102,$L34=1),1,0)</f>
        <v/>
      </c>
      <c r="XZ35">
        <f>XZ34+IF(AND($C34=103,$L34=1),1,0)</f>
        <v/>
      </c>
      <c r="YA35">
        <f>YA34+IF(AND($C34=104,$L34=1),1,0)</f>
        <v/>
      </c>
      <c r="YB35">
        <f>YB34+IF(AND($C34=105,$L34=1),1,0)</f>
        <v/>
      </c>
      <c r="YC35">
        <f>YC34+IF(AND($C34=106,$L34=1),1,0)</f>
        <v/>
      </c>
      <c r="YD35">
        <f>YD34+IF(AND($C34=107,$L34=1),1,0)</f>
        <v/>
      </c>
      <c r="YE35">
        <f>YE34+IF(AND($C34=108,$L34=1),1,0)</f>
        <v/>
      </c>
      <c r="YF35">
        <f>YF34+IF(AND($C34=109,$L34=1),1,0)</f>
        <v/>
      </c>
      <c r="YG35">
        <f>YG34+IF(AND($C34=110,$L34=1),1,0)</f>
        <v/>
      </c>
      <c r="YH35">
        <f>YH34+IF(AND($C34=111,$L34=1),1,0)</f>
        <v/>
      </c>
      <c r="YI35">
        <f>YI34+IF(AND($C34=112,$L34=1),1,0)</f>
        <v/>
      </c>
      <c r="YJ35">
        <f>YJ34+IF(AND($C34=113,$L34=1),1,0)</f>
        <v/>
      </c>
      <c r="YK35">
        <f>YK34+IF(AND($C34=114,$L34=1),1,0)</f>
        <v/>
      </c>
      <c r="YL35">
        <f>YL34+IF(AND($C34=115,$L34=1),1,0)</f>
        <v/>
      </c>
      <c r="YM35">
        <f>YM34+IF(AND($C34=116,$L34=1),1,0)</f>
        <v/>
      </c>
      <c r="YN35">
        <f>YN34+IF(AND($C34=117,$L34=1),1,0)</f>
        <v/>
      </c>
      <c r="YO35">
        <f>YO34+IF(AND($C34=118,$L34=1),1,0)</f>
        <v/>
      </c>
      <c r="YP35">
        <f>YP34+IF(AND($C34=119,$L34=1),1,0)</f>
        <v/>
      </c>
      <c r="YQ35">
        <f>YQ34+IF(AND($C34=120,$L34=1),1,0)</f>
        <v/>
      </c>
      <c r="YR35">
        <f>YR34+IF(AND($C34=121,$L34=1),1,0)</f>
        <v/>
      </c>
      <c r="YS35">
        <f>YS34+IF(AND($C34=122,$L34=1),1,0)</f>
        <v/>
      </c>
      <c r="YT35">
        <f>YT34+IF(AND($C34=123,$L34=1),1,0)</f>
        <v/>
      </c>
      <c r="YU35">
        <f>YU34+IF(AND($C34=124,$L34=1),1,0)</f>
        <v/>
      </c>
      <c r="YV35">
        <f>YV34+IF(AND($C34=125,$L34=1),1,0)</f>
        <v/>
      </c>
      <c r="YW35">
        <f>YW34+IF(AND($C34=126,$L34=1),1,0)</f>
        <v/>
      </c>
      <c r="YX35">
        <f>YX34+IF(AND($C34=127,$L34=1),1,0)</f>
        <v/>
      </c>
      <c r="YY35">
        <f>YY34+IF(AND($C34=128,$L34=1),1,0)</f>
        <v/>
      </c>
      <c r="YZ35">
        <f>YZ34+IF(AND($C34=129,$L34=1),1,0)</f>
        <v/>
      </c>
      <c r="ZA35">
        <f>ZA34+IF(AND($C34=130,$L34=1),1,0)</f>
        <v/>
      </c>
      <c r="ZB35">
        <f>ZB34+IF(AND($C34=131,$L34=1),1,0)</f>
        <v/>
      </c>
      <c r="ZC35">
        <f>ZC34+IF(AND($C34=132,$L34=1),1,0)</f>
        <v/>
      </c>
      <c r="ZD35">
        <f>ZD34+IF(AND($C34=133,$L34=1),1,0)</f>
        <v/>
      </c>
      <c r="ZE35">
        <f>ZE34+IF(AND($C34=134,$L34=1),1,0)</f>
        <v/>
      </c>
      <c r="ZF35">
        <f>ZF34+IF(AND($C34=135,$L34=1),1,0)</f>
        <v/>
      </c>
      <c r="ZG35">
        <f>ZG34+IF(AND($C34=136,$L34=1),1,0)</f>
        <v/>
      </c>
      <c r="ZH35">
        <f>ZH34+IF(AND($C34=137,$L34=1),1,0)</f>
        <v/>
      </c>
      <c r="ZI35">
        <f>ZI34+IF(AND($C34=138,$L34=1),1,0)</f>
        <v/>
      </c>
      <c r="ZJ35">
        <f>ZJ34+IF(AND($C34=139,$L34=1),1,0)</f>
        <v/>
      </c>
      <c r="ZK35">
        <f>ZK34+IF(AND($C34=140,$L34=1),1,0)</f>
        <v/>
      </c>
      <c r="ZL35">
        <f>ZL34+IF(AND($C34=141,$L34=1),1,0)</f>
        <v/>
      </c>
      <c r="ZM35">
        <f>ZM34+IF(AND($C34=142,$L34=1),1,0)</f>
        <v/>
      </c>
      <c r="ZN35">
        <f>ZN34+IF(AND($C34=143,$L34=1),1,0)</f>
        <v/>
      </c>
      <c r="ZO35">
        <f>ZO34+IF(AND($C34=144,$L34=1),1,0)</f>
        <v/>
      </c>
    </row>
    <row r="36">
      <c r="A36" t="n">
        <v>34</v>
      </c>
      <c r="B36">
        <f>IF(MIN(BH36:CZ36)&gt;=1000000,0,MATCH(MIN(BH36:CZ36),BH36:CZ36,0))</f>
        <v/>
      </c>
      <c r="C36">
        <f>IF(MIN(OF36:TS36)&gt;=1000000,0,MATCH(MIN(OF36:TS36),OF36:TS36,0))</f>
        <v/>
      </c>
      <c r="D36">
        <f>IF(C36&gt;0,INDEX('計算A'!$D$5:$EQ$5,C36),0)</f>
        <v/>
      </c>
      <c r="E36">
        <f>IF(B36=0,0,INDEX('計算A'!$IQ$10:$IQ$54,B36))</f>
        <v/>
      </c>
      <c r="F36">
        <f>IF(B36=0,0,INDEX('計算A'!$IP$10:$IP$54,B36))</f>
        <v/>
      </c>
      <c r="G36">
        <f>IF(AND(C36&gt;0,E36&gt;0),IF(AND(INDEX('計算A'!$D$106:$EQ$106,C36)=1,INDEX($IQ36:$OD36,C36)=1),C36+1,0),0)</f>
        <v/>
      </c>
      <c r="H36">
        <f>IF(B36=0,0,INDEX('計算A'!$IW$10:$IW$54,B36))</f>
        <v/>
      </c>
      <c r="I36">
        <f>IF(B36=0,0,MAX(0,INDEX('計算A'!$IT$10:$IT$54,B36)))</f>
        <v/>
      </c>
      <c r="J36">
        <f>IF(I36=0,0,INDEX('計算A'!$D$2:$EQ$2,I36))</f>
        <v/>
      </c>
      <c r="K36">
        <f>IF(I36=0,0,INDEX('計算A'!$D$3:$EQ$3,I36))</f>
        <v/>
      </c>
      <c r="L36">
        <f>IF(B36=0,0,INDEX('計算A'!$IX$10:$IX$54,B36))</f>
        <v/>
      </c>
      <c r="N36">
        <f>MAX(N35,IF($B35=1,1,0))</f>
        <v/>
      </c>
      <c r="O36">
        <f>MAX(O35,IF($B35=2,1,0))</f>
        <v/>
      </c>
      <c r="P36">
        <f>MAX(P35,IF($B35=3,1,0))</f>
        <v/>
      </c>
      <c r="Q36">
        <f>MAX(Q35,IF($B35=4,1,0))</f>
        <v/>
      </c>
      <c r="R36">
        <f>MAX(R35,IF($B35=5,1,0))</f>
        <v/>
      </c>
      <c r="S36">
        <f>MAX(S35,IF($B35=6,1,0))</f>
        <v/>
      </c>
      <c r="T36">
        <f>MAX(T35,IF($B35=7,1,0))</f>
        <v/>
      </c>
      <c r="U36">
        <f>MAX(U35,IF($B35=8,1,0))</f>
        <v/>
      </c>
      <c r="V36">
        <f>MAX(V35,IF($B35=9,1,0))</f>
        <v/>
      </c>
      <c r="W36">
        <f>MAX(W35,IF($B35=10,1,0))</f>
        <v/>
      </c>
      <c r="X36">
        <f>MAX(X35,IF($B35=11,1,0))</f>
        <v/>
      </c>
      <c r="Y36">
        <f>MAX(Y35,IF($B35=12,1,0))</f>
        <v/>
      </c>
      <c r="Z36">
        <f>MAX(Z35,IF($B35=13,1,0))</f>
        <v/>
      </c>
      <c r="AA36">
        <f>MAX(AA35,IF($B35=14,1,0))</f>
        <v/>
      </c>
      <c r="AB36">
        <f>MAX(AB35,IF($B35=15,1,0))</f>
        <v/>
      </c>
      <c r="AC36">
        <f>MAX(AC35,IF($B35=16,1,0))</f>
        <v/>
      </c>
      <c r="AD36">
        <f>MAX(AD35,IF($B35=17,1,0))</f>
        <v/>
      </c>
      <c r="AE36">
        <f>MAX(AE35,IF($B35=18,1,0))</f>
        <v/>
      </c>
      <c r="AF36">
        <f>MAX(AF35,IF($B35=19,1,0))</f>
        <v/>
      </c>
      <c r="AG36">
        <f>MAX(AG35,IF($B35=20,1,0))</f>
        <v/>
      </c>
      <c r="AH36">
        <f>MAX(AH35,IF($B35=21,1,0))</f>
        <v/>
      </c>
      <c r="AI36">
        <f>MAX(AI35,IF($B35=22,1,0))</f>
        <v/>
      </c>
      <c r="AJ36">
        <f>MAX(AJ35,IF($B35=23,1,0))</f>
        <v/>
      </c>
      <c r="AK36">
        <f>MAX(AK35,IF($B35=24,1,0))</f>
        <v/>
      </c>
      <c r="AL36">
        <f>MAX(AL35,IF($B35=25,1,0))</f>
        <v/>
      </c>
      <c r="AM36">
        <f>MAX(AM35,IF($B35=26,1,0))</f>
        <v/>
      </c>
      <c r="AN36">
        <f>MAX(AN35,IF($B35=27,1,0))</f>
        <v/>
      </c>
      <c r="AO36">
        <f>MAX(AO35,IF($B35=28,1,0))</f>
        <v/>
      </c>
      <c r="AP36">
        <f>MAX(AP35,IF($B35=29,1,0))</f>
        <v/>
      </c>
      <c r="AQ36">
        <f>MAX(AQ35,IF($B35=30,1,0))</f>
        <v/>
      </c>
      <c r="AR36">
        <f>MAX(AR35,IF($B35=31,1,0))</f>
        <v/>
      </c>
      <c r="AS36">
        <f>MAX(AS35,IF($B35=32,1,0))</f>
        <v/>
      </c>
      <c r="AT36">
        <f>MAX(AT35,IF($B35=33,1,0))</f>
        <v/>
      </c>
      <c r="AU36">
        <f>MAX(AU35,IF($B35=34,1,0))</f>
        <v/>
      </c>
      <c r="AV36">
        <f>MAX(AV35,IF($B35=35,1,0))</f>
        <v/>
      </c>
      <c r="AW36">
        <f>MAX(AW35,IF($B35=36,1,0))</f>
        <v/>
      </c>
      <c r="AX36">
        <f>MAX(AX35,IF($B35=37,1,0))</f>
        <v/>
      </c>
      <c r="AY36">
        <f>MAX(AY35,IF($B35=38,1,0))</f>
        <v/>
      </c>
      <c r="AZ36">
        <f>MAX(AZ35,IF($B35=39,1,0))</f>
        <v/>
      </c>
      <c r="BA36">
        <f>MAX(BA35,IF($B35=40,1,0))</f>
        <v/>
      </c>
      <c r="BB36">
        <f>MAX(BB35,IF($B35=41,1,0))</f>
        <v/>
      </c>
      <c r="BC36">
        <f>MAX(BC35,IF($B35=42,1,0))</f>
        <v/>
      </c>
      <c r="BD36">
        <f>MAX(BD35,IF($B35=43,1,0))</f>
        <v/>
      </c>
      <c r="BE36">
        <f>MAX(BE35,IF($B35=44,1,0))</f>
        <v/>
      </c>
      <c r="BF36">
        <f>MAX(BF35,IF($B35=45,1,0))</f>
        <v/>
      </c>
      <c r="BH36">
        <f>IF(N36=1,1000000,IF('計算A'!$IT$10&gt;0,0,500000)+IF('計算A'!$IQ$10=2,SUMPRODUCT('計算A'!$D$60:$EQ$60,$DB36:$IO36,$IQ36:$OD36),SUMPRODUCT('計算A'!$D$60:$EQ$60,$DB36:$IO36))*1000+1)</f>
        <v/>
      </c>
      <c r="BI36">
        <f>IF(O36=1,1000000,IF('計算A'!$IT$11&gt;0,0,500000)+IF('計算A'!$IQ$11=2,SUMPRODUCT('計算A'!$D$61:$EQ$61,$DB36:$IO36,$IQ36:$OD36),SUMPRODUCT('計算A'!$D$61:$EQ$61,$DB36:$IO36))*1000+2)</f>
        <v/>
      </c>
      <c r="BJ36">
        <f>IF(P36=1,1000000,IF('計算A'!$IT$12&gt;0,0,500000)+IF('計算A'!$IQ$12=2,SUMPRODUCT('計算A'!$D$62:$EQ$62,$DB36:$IO36,$IQ36:$OD36),SUMPRODUCT('計算A'!$D$62:$EQ$62,$DB36:$IO36))*1000+3)</f>
        <v/>
      </c>
      <c r="BK36">
        <f>IF(Q36=1,1000000,IF('計算A'!$IT$13&gt;0,0,500000)+IF('計算A'!$IQ$13=2,SUMPRODUCT('計算A'!$D$63:$EQ$63,$DB36:$IO36,$IQ36:$OD36),SUMPRODUCT('計算A'!$D$63:$EQ$63,$DB36:$IO36))*1000+4)</f>
        <v/>
      </c>
      <c r="BL36">
        <f>IF(R36=1,1000000,IF('計算A'!$IT$14&gt;0,0,500000)+IF('計算A'!$IQ$14=2,SUMPRODUCT('計算A'!$D$64:$EQ$64,$DB36:$IO36,$IQ36:$OD36),SUMPRODUCT('計算A'!$D$64:$EQ$64,$DB36:$IO36))*1000+5)</f>
        <v/>
      </c>
      <c r="BM36">
        <f>IF(S36=1,1000000,IF('計算A'!$IT$15&gt;0,0,500000)+IF('計算A'!$IQ$15=2,SUMPRODUCT('計算A'!$D$65:$EQ$65,$DB36:$IO36,$IQ36:$OD36),SUMPRODUCT('計算A'!$D$65:$EQ$65,$DB36:$IO36))*1000+6)</f>
        <v/>
      </c>
      <c r="BN36">
        <f>IF(T36=1,1000000,IF('計算A'!$IT$16&gt;0,0,500000)+IF('計算A'!$IQ$16=2,SUMPRODUCT('計算A'!$D$66:$EQ$66,$DB36:$IO36,$IQ36:$OD36),SUMPRODUCT('計算A'!$D$66:$EQ$66,$DB36:$IO36))*1000+7)</f>
        <v/>
      </c>
      <c r="BO36">
        <f>IF(U36=1,1000000,IF('計算A'!$IT$17&gt;0,0,500000)+IF('計算A'!$IQ$17=2,SUMPRODUCT('計算A'!$D$67:$EQ$67,$DB36:$IO36,$IQ36:$OD36),SUMPRODUCT('計算A'!$D$67:$EQ$67,$DB36:$IO36))*1000+8)</f>
        <v/>
      </c>
      <c r="BP36">
        <f>IF(V36=1,1000000,IF('計算A'!$IT$18&gt;0,0,500000)+IF('計算A'!$IQ$18=2,SUMPRODUCT('計算A'!$D$68:$EQ$68,$DB36:$IO36,$IQ36:$OD36),SUMPRODUCT('計算A'!$D$68:$EQ$68,$DB36:$IO36))*1000+9)</f>
        <v/>
      </c>
      <c r="BQ36">
        <f>IF(W36=1,1000000,IF('計算A'!$IT$19&gt;0,0,500000)+IF('計算A'!$IQ$19=2,SUMPRODUCT('計算A'!$D$69:$EQ$69,$DB36:$IO36,$IQ36:$OD36),SUMPRODUCT('計算A'!$D$69:$EQ$69,$DB36:$IO36))*1000+10)</f>
        <v/>
      </c>
      <c r="BR36">
        <f>IF(X36=1,1000000,IF('計算A'!$IT$20&gt;0,0,500000)+IF('計算A'!$IQ$20=2,SUMPRODUCT('計算A'!$D$70:$EQ$70,$DB36:$IO36,$IQ36:$OD36),SUMPRODUCT('計算A'!$D$70:$EQ$70,$DB36:$IO36))*1000+11)</f>
        <v/>
      </c>
      <c r="BS36">
        <f>IF(Y36=1,1000000,IF('計算A'!$IT$21&gt;0,0,500000)+IF('計算A'!$IQ$21=2,SUMPRODUCT('計算A'!$D$71:$EQ$71,$DB36:$IO36,$IQ36:$OD36),SUMPRODUCT('計算A'!$D$71:$EQ$71,$DB36:$IO36))*1000+12)</f>
        <v/>
      </c>
      <c r="BT36">
        <f>IF(Z36=1,1000000,IF('計算A'!$IT$22&gt;0,0,500000)+IF('計算A'!$IQ$22=2,SUMPRODUCT('計算A'!$D$72:$EQ$72,$DB36:$IO36,$IQ36:$OD36),SUMPRODUCT('計算A'!$D$72:$EQ$72,$DB36:$IO36))*1000+13)</f>
        <v/>
      </c>
      <c r="BU36">
        <f>IF(AA36=1,1000000,IF('計算A'!$IT$23&gt;0,0,500000)+IF('計算A'!$IQ$23=2,SUMPRODUCT('計算A'!$D$73:$EQ$73,$DB36:$IO36,$IQ36:$OD36),SUMPRODUCT('計算A'!$D$73:$EQ$73,$DB36:$IO36))*1000+14)</f>
        <v/>
      </c>
      <c r="BV36">
        <f>IF(AB36=1,1000000,IF('計算A'!$IT$24&gt;0,0,500000)+IF('計算A'!$IQ$24=2,SUMPRODUCT('計算A'!$D$74:$EQ$74,$DB36:$IO36,$IQ36:$OD36),SUMPRODUCT('計算A'!$D$74:$EQ$74,$DB36:$IO36))*1000+15)</f>
        <v/>
      </c>
      <c r="BW36">
        <f>IF(AC36=1,1000000,IF('計算A'!$IT$25&gt;0,0,500000)+IF('計算A'!$IQ$25=2,SUMPRODUCT('計算A'!$D$75:$EQ$75,$DB36:$IO36,$IQ36:$OD36),SUMPRODUCT('計算A'!$D$75:$EQ$75,$DB36:$IO36))*1000+16)</f>
        <v/>
      </c>
      <c r="BX36">
        <f>IF(AD36=1,1000000,IF('計算A'!$IT$26&gt;0,0,500000)+IF('計算A'!$IQ$26=2,SUMPRODUCT('計算A'!$D$76:$EQ$76,$DB36:$IO36,$IQ36:$OD36),SUMPRODUCT('計算A'!$D$76:$EQ$76,$DB36:$IO36))*1000+17)</f>
        <v/>
      </c>
      <c r="BY36">
        <f>IF(AE36=1,1000000,IF('計算A'!$IT$27&gt;0,0,500000)+IF('計算A'!$IQ$27=2,SUMPRODUCT('計算A'!$D$77:$EQ$77,$DB36:$IO36,$IQ36:$OD36),SUMPRODUCT('計算A'!$D$77:$EQ$77,$DB36:$IO36))*1000+18)</f>
        <v/>
      </c>
      <c r="BZ36">
        <f>IF(AF36=1,1000000,IF('計算A'!$IT$28&gt;0,0,500000)+IF('計算A'!$IQ$28=2,SUMPRODUCT('計算A'!$D$78:$EQ$78,$DB36:$IO36,$IQ36:$OD36),SUMPRODUCT('計算A'!$D$78:$EQ$78,$DB36:$IO36))*1000+19)</f>
        <v/>
      </c>
      <c r="CA36">
        <f>IF(AG36=1,1000000,IF('計算A'!$IT$29&gt;0,0,500000)+IF('計算A'!$IQ$29=2,SUMPRODUCT('計算A'!$D$79:$EQ$79,$DB36:$IO36,$IQ36:$OD36),SUMPRODUCT('計算A'!$D$79:$EQ$79,$DB36:$IO36))*1000+20)</f>
        <v/>
      </c>
      <c r="CB36">
        <f>IF(AH36=1,1000000,IF('計算A'!$IT$30&gt;0,0,500000)+IF('計算A'!$IQ$30=2,SUMPRODUCT('計算A'!$D$80:$EQ$80,$DB36:$IO36,$IQ36:$OD36),SUMPRODUCT('計算A'!$D$80:$EQ$80,$DB36:$IO36))*1000+21)</f>
        <v/>
      </c>
      <c r="CC36">
        <f>IF(AI36=1,1000000,IF('計算A'!$IT$31&gt;0,0,500000)+IF('計算A'!$IQ$31=2,SUMPRODUCT('計算A'!$D$81:$EQ$81,$DB36:$IO36,$IQ36:$OD36),SUMPRODUCT('計算A'!$D$81:$EQ$81,$DB36:$IO36))*1000+22)</f>
        <v/>
      </c>
      <c r="CD36">
        <f>IF(AJ36=1,1000000,IF('計算A'!$IT$32&gt;0,0,500000)+IF('計算A'!$IQ$32=2,SUMPRODUCT('計算A'!$D$82:$EQ$82,$DB36:$IO36,$IQ36:$OD36),SUMPRODUCT('計算A'!$D$82:$EQ$82,$DB36:$IO36))*1000+23)</f>
        <v/>
      </c>
      <c r="CE36">
        <f>IF(AK36=1,1000000,IF('計算A'!$IT$33&gt;0,0,500000)+IF('計算A'!$IQ$33=2,SUMPRODUCT('計算A'!$D$83:$EQ$83,$DB36:$IO36,$IQ36:$OD36),SUMPRODUCT('計算A'!$D$83:$EQ$83,$DB36:$IO36))*1000+24)</f>
        <v/>
      </c>
      <c r="CF36">
        <f>IF(AL36=1,1000000,IF('計算A'!$IT$34&gt;0,0,500000)+IF('計算A'!$IQ$34=2,SUMPRODUCT('計算A'!$D$84:$EQ$84,$DB36:$IO36,$IQ36:$OD36),SUMPRODUCT('計算A'!$D$84:$EQ$84,$DB36:$IO36))*1000+25)</f>
        <v/>
      </c>
      <c r="CG36">
        <f>IF(AM36=1,1000000,IF('計算A'!$IT$35&gt;0,0,500000)+IF('計算A'!$IQ$35=2,SUMPRODUCT('計算A'!$D$85:$EQ$85,$DB36:$IO36,$IQ36:$OD36),SUMPRODUCT('計算A'!$D$85:$EQ$85,$DB36:$IO36))*1000+26)</f>
        <v/>
      </c>
      <c r="CH36">
        <f>IF(AN36=1,1000000,IF('計算A'!$IT$36&gt;0,0,500000)+IF('計算A'!$IQ$36=2,SUMPRODUCT('計算A'!$D$86:$EQ$86,$DB36:$IO36,$IQ36:$OD36),SUMPRODUCT('計算A'!$D$86:$EQ$86,$DB36:$IO36))*1000+27)</f>
        <v/>
      </c>
      <c r="CI36">
        <f>IF(AO36=1,1000000,IF('計算A'!$IT$37&gt;0,0,500000)+IF('計算A'!$IQ$37=2,SUMPRODUCT('計算A'!$D$87:$EQ$87,$DB36:$IO36,$IQ36:$OD36),SUMPRODUCT('計算A'!$D$87:$EQ$87,$DB36:$IO36))*1000+28)</f>
        <v/>
      </c>
      <c r="CJ36">
        <f>IF(AP36=1,1000000,IF('計算A'!$IT$38&gt;0,0,500000)+IF('計算A'!$IQ$38=2,SUMPRODUCT('計算A'!$D$88:$EQ$88,$DB36:$IO36,$IQ36:$OD36),SUMPRODUCT('計算A'!$D$88:$EQ$88,$DB36:$IO36))*1000+29)</f>
        <v/>
      </c>
      <c r="CK36">
        <f>IF(AQ36=1,1000000,IF('計算A'!$IT$39&gt;0,0,500000)+IF('計算A'!$IQ$39=2,SUMPRODUCT('計算A'!$D$89:$EQ$89,$DB36:$IO36,$IQ36:$OD36),SUMPRODUCT('計算A'!$D$89:$EQ$89,$DB36:$IO36))*1000+30)</f>
        <v/>
      </c>
      <c r="CL36">
        <f>IF(AR36=1,1000000,IF('計算A'!$IT$40&gt;0,0,500000)+IF('計算A'!$IQ$40=2,SUMPRODUCT('計算A'!$D$90:$EQ$90,$DB36:$IO36,$IQ36:$OD36),SUMPRODUCT('計算A'!$D$90:$EQ$90,$DB36:$IO36))*1000+31)</f>
        <v/>
      </c>
      <c r="CM36">
        <f>IF(AS36=1,1000000,IF('計算A'!$IT$41&gt;0,0,500000)+IF('計算A'!$IQ$41=2,SUMPRODUCT('計算A'!$D$91:$EQ$91,$DB36:$IO36,$IQ36:$OD36),SUMPRODUCT('計算A'!$D$91:$EQ$91,$DB36:$IO36))*1000+32)</f>
        <v/>
      </c>
      <c r="CN36">
        <f>IF(AT36=1,1000000,IF('計算A'!$IT$42&gt;0,0,500000)+IF('計算A'!$IQ$42=2,SUMPRODUCT('計算A'!$D$92:$EQ$92,$DB36:$IO36,$IQ36:$OD36),SUMPRODUCT('計算A'!$D$92:$EQ$92,$DB36:$IO36))*1000+33)</f>
        <v/>
      </c>
      <c r="CO36">
        <f>IF(AU36=1,1000000,IF('計算A'!$IT$43&gt;0,0,500000)+IF('計算A'!$IQ$43=2,SUMPRODUCT('計算A'!$D$93:$EQ$93,$DB36:$IO36,$IQ36:$OD36),SUMPRODUCT('計算A'!$D$93:$EQ$93,$DB36:$IO36))*1000+34)</f>
        <v/>
      </c>
      <c r="CP36">
        <f>IF(AV36=1,1000000,IF('計算A'!$IT$44&gt;0,0,500000)+IF('計算A'!$IQ$44=2,SUMPRODUCT('計算A'!$D$94:$EQ$94,$DB36:$IO36,$IQ36:$OD36),SUMPRODUCT('計算A'!$D$94:$EQ$94,$DB36:$IO36))*1000+35)</f>
        <v/>
      </c>
      <c r="CQ36">
        <f>IF(AW36=1,1000000,IF('計算A'!$IT$45&gt;0,0,500000)+IF('計算A'!$IQ$45=2,SUMPRODUCT('計算A'!$D$95:$EQ$95,$DB36:$IO36,$IQ36:$OD36),SUMPRODUCT('計算A'!$D$95:$EQ$95,$DB36:$IO36))*1000+36)</f>
        <v/>
      </c>
      <c r="CR36">
        <f>IF(AX36=1,1000000,IF('計算A'!$IT$46&gt;0,0,500000)+IF('計算A'!$IQ$46=2,SUMPRODUCT('計算A'!$D$96:$EQ$96,$DB36:$IO36,$IQ36:$OD36),SUMPRODUCT('計算A'!$D$96:$EQ$96,$DB36:$IO36))*1000+37)</f>
        <v/>
      </c>
      <c r="CS36">
        <f>IF(AY36=1,1000000,IF('計算A'!$IT$47&gt;0,0,500000)+IF('計算A'!$IQ$47=2,SUMPRODUCT('計算A'!$D$97:$EQ$97,$DB36:$IO36,$IQ36:$OD36),SUMPRODUCT('計算A'!$D$97:$EQ$97,$DB36:$IO36))*1000+38)</f>
        <v/>
      </c>
      <c r="CT36">
        <f>IF(AZ36=1,1000000,IF('計算A'!$IT$48&gt;0,0,500000)+IF('計算A'!$IQ$48=2,SUMPRODUCT('計算A'!$D$98:$EQ$98,$DB36:$IO36,$IQ36:$OD36),SUMPRODUCT('計算A'!$D$98:$EQ$98,$DB36:$IO36))*1000+39)</f>
        <v/>
      </c>
      <c r="CU36">
        <f>IF(BA36=1,1000000,IF('計算A'!$IT$49&gt;0,0,500000)+IF('計算A'!$IQ$49=2,SUMPRODUCT('計算A'!$D$99:$EQ$99,$DB36:$IO36,$IQ36:$OD36),SUMPRODUCT('計算A'!$D$99:$EQ$99,$DB36:$IO36))*1000+40)</f>
        <v/>
      </c>
      <c r="CV36">
        <f>IF(BB36=1,1000000,IF('計算A'!$IT$50&gt;0,0,500000)+IF('計算A'!$IQ$50=2,SUMPRODUCT('計算A'!$D$100:$EQ$100,$DB36:$IO36,$IQ36:$OD36),SUMPRODUCT('計算A'!$D$100:$EQ$100,$DB36:$IO36))*1000+41)</f>
        <v/>
      </c>
      <c r="CW36">
        <f>IF(BC36=1,1000000,IF('計算A'!$IT$51&gt;0,0,500000)+IF('計算A'!$IQ$51=2,SUMPRODUCT('計算A'!$D$101:$EQ$101,$DB36:$IO36,$IQ36:$OD36),SUMPRODUCT('計算A'!$D$101:$EQ$101,$DB36:$IO36))*1000+42)</f>
        <v/>
      </c>
      <c r="CX36">
        <f>IF(BD36=1,1000000,IF('計算A'!$IT$52&gt;0,0,500000)+IF('計算A'!$IQ$52=2,SUMPRODUCT('計算A'!$D$102:$EQ$102,$DB36:$IO36,$IQ36:$OD36),SUMPRODUCT('計算A'!$D$102:$EQ$102,$DB36:$IO36))*1000+43)</f>
        <v/>
      </c>
      <c r="CY36">
        <f>IF(BE36=1,1000000,IF('計算A'!$IT$53&gt;0,0,500000)+IF('計算A'!$IQ$53=2,SUMPRODUCT('計算A'!$D$103:$EQ$103,$DB36:$IO36,$IQ36:$OD36),SUMPRODUCT('計算A'!$D$103:$EQ$103,$DB36:$IO36))*1000+44)</f>
        <v/>
      </c>
      <c r="CZ36">
        <f>IF(BF36=1,1000000,IF('計算A'!$IT$54&gt;0,0,500000)+IF('計算A'!$IQ$54=2,SUMPRODUCT('計算A'!$D$104:$EQ$104,$DB36:$IO36,$IQ36:$OD36),SUMPRODUCT('計算A'!$D$104:$EQ$104,$DB36:$IO36))*1000+45)</f>
        <v/>
      </c>
      <c r="DB36">
        <f>DB35*IF(OR($C35=1,$G35=1),0,1)</f>
        <v/>
      </c>
      <c r="DC36">
        <f>DC35*IF(OR($C35=2,$G35=2),0,1)</f>
        <v/>
      </c>
      <c r="DD36">
        <f>DD35*IF(OR($C35=3,$G35=3),0,1)</f>
        <v/>
      </c>
      <c r="DE36">
        <f>DE35*IF(OR($C35=4,$G35=4),0,1)</f>
        <v/>
      </c>
      <c r="DF36">
        <f>DF35*IF(OR($C35=5,$G35=5),0,1)</f>
        <v/>
      </c>
      <c r="DG36">
        <f>DG35*IF(OR($C35=6,$G35=6),0,1)</f>
        <v/>
      </c>
      <c r="DH36">
        <f>DH35*IF(OR($C35=7,$G35=7),0,1)</f>
        <v/>
      </c>
      <c r="DI36">
        <f>DI35*IF(OR($C35=8,$G35=8),0,1)</f>
        <v/>
      </c>
      <c r="DJ36">
        <f>DJ35*IF(OR($C35=9,$G35=9),0,1)</f>
        <v/>
      </c>
      <c r="DK36">
        <f>DK35*IF(OR($C35=10,$G35=10),0,1)</f>
        <v/>
      </c>
      <c r="DL36">
        <f>DL35*IF(OR($C35=11,$G35=11),0,1)</f>
        <v/>
      </c>
      <c r="DM36">
        <f>DM35*IF(OR($C35=12,$G35=12),0,1)</f>
        <v/>
      </c>
      <c r="DN36">
        <f>DN35*IF(OR($C35=13,$G35=13),0,1)</f>
        <v/>
      </c>
      <c r="DO36">
        <f>DO35*IF(OR($C35=14,$G35=14),0,1)</f>
        <v/>
      </c>
      <c r="DP36">
        <f>DP35*IF(OR($C35=15,$G35=15),0,1)</f>
        <v/>
      </c>
      <c r="DQ36">
        <f>DQ35*IF(OR($C35=16,$G35=16),0,1)</f>
        <v/>
      </c>
      <c r="DR36">
        <f>DR35*IF(OR($C35=17,$G35=17),0,1)</f>
        <v/>
      </c>
      <c r="DS36">
        <f>DS35*IF(OR($C35=18,$G35=18),0,1)</f>
        <v/>
      </c>
      <c r="DT36">
        <f>DT35*IF(OR($C35=19,$G35=19),0,1)</f>
        <v/>
      </c>
      <c r="DU36">
        <f>DU35*IF(OR($C35=20,$G35=20),0,1)</f>
        <v/>
      </c>
      <c r="DV36">
        <f>DV35*IF(OR($C35=21,$G35=21),0,1)</f>
        <v/>
      </c>
      <c r="DW36">
        <f>DW35*IF(OR($C35=22,$G35=22),0,1)</f>
        <v/>
      </c>
      <c r="DX36">
        <f>DX35*IF(OR($C35=23,$G35=23),0,1)</f>
        <v/>
      </c>
      <c r="DY36">
        <f>DY35*IF(OR($C35=24,$G35=24),0,1)</f>
        <v/>
      </c>
      <c r="DZ36">
        <f>DZ35*IF(OR($C35=25,$G35=25),0,1)</f>
        <v/>
      </c>
      <c r="EA36">
        <f>EA35*IF(OR($C35=26,$G35=26),0,1)</f>
        <v/>
      </c>
      <c r="EB36">
        <f>EB35*IF(OR($C35=27,$G35=27),0,1)</f>
        <v/>
      </c>
      <c r="EC36">
        <f>EC35*IF(OR($C35=28,$G35=28),0,1)</f>
        <v/>
      </c>
      <c r="ED36">
        <f>ED35*IF(OR($C35=29,$G35=29),0,1)</f>
        <v/>
      </c>
      <c r="EE36">
        <f>EE35*IF(OR($C35=30,$G35=30),0,1)</f>
        <v/>
      </c>
      <c r="EF36">
        <f>EF35*IF(OR($C35=31,$G35=31),0,1)</f>
        <v/>
      </c>
      <c r="EG36">
        <f>EG35*IF(OR($C35=32,$G35=32),0,1)</f>
        <v/>
      </c>
      <c r="EH36">
        <f>EH35*IF(OR($C35=33,$G35=33),0,1)</f>
        <v/>
      </c>
      <c r="EI36">
        <f>EI35*IF(OR($C35=34,$G35=34),0,1)</f>
        <v/>
      </c>
      <c r="EJ36">
        <f>EJ35*IF(OR($C35=35,$G35=35),0,1)</f>
        <v/>
      </c>
      <c r="EK36">
        <f>EK35*IF(OR($C35=36,$G35=36),0,1)</f>
        <v/>
      </c>
      <c r="EL36">
        <f>EL35*IF(OR($C35=37,$G35=37),0,1)</f>
        <v/>
      </c>
      <c r="EM36">
        <f>EM35*IF(OR($C35=38,$G35=38),0,1)</f>
        <v/>
      </c>
      <c r="EN36">
        <f>EN35*IF(OR($C35=39,$G35=39),0,1)</f>
        <v/>
      </c>
      <c r="EO36">
        <f>EO35*IF(OR($C35=40,$G35=40),0,1)</f>
        <v/>
      </c>
      <c r="EP36">
        <f>EP35*IF(OR($C35=41,$G35=41),0,1)</f>
        <v/>
      </c>
      <c r="EQ36">
        <f>EQ35*IF(OR($C35=42,$G35=42),0,1)</f>
        <v/>
      </c>
      <c r="ER36">
        <f>ER35*IF(OR($C35=43,$G35=43),0,1)</f>
        <v/>
      </c>
      <c r="ES36">
        <f>ES35*IF(OR($C35=44,$G35=44),0,1)</f>
        <v/>
      </c>
      <c r="ET36">
        <f>ET35*IF(OR($C35=45,$G35=45),0,1)</f>
        <v/>
      </c>
      <c r="EU36">
        <f>EU35*IF(OR($C35=46,$G35=46),0,1)</f>
        <v/>
      </c>
      <c r="EV36">
        <f>EV35*IF(OR($C35=47,$G35=47),0,1)</f>
        <v/>
      </c>
      <c r="EW36">
        <f>EW35*IF(OR($C35=48,$G35=48),0,1)</f>
        <v/>
      </c>
      <c r="EX36">
        <f>EX35*IF(OR($C35=49,$G35=49),0,1)</f>
        <v/>
      </c>
      <c r="EY36">
        <f>EY35*IF(OR($C35=50,$G35=50),0,1)</f>
        <v/>
      </c>
      <c r="EZ36">
        <f>EZ35*IF(OR($C35=51,$G35=51),0,1)</f>
        <v/>
      </c>
      <c r="FA36">
        <f>FA35*IF(OR($C35=52,$G35=52),0,1)</f>
        <v/>
      </c>
      <c r="FB36">
        <f>FB35*IF(OR($C35=53,$G35=53),0,1)</f>
        <v/>
      </c>
      <c r="FC36">
        <f>FC35*IF(OR($C35=54,$G35=54),0,1)</f>
        <v/>
      </c>
      <c r="FD36">
        <f>FD35*IF(OR($C35=55,$G35=55),0,1)</f>
        <v/>
      </c>
      <c r="FE36">
        <f>FE35*IF(OR($C35=56,$G35=56),0,1)</f>
        <v/>
      </c>
      <c r="FF36">
        <f>FF35*IF(OR($C35=57,$G35=57),0,1)</f>
        <v/>
      </c>
      <c r="FG36">
        <f>FG35*IF(OR($C35=58,$G35=58),0,1)</f>
        <v/>
      </c>
      <c r="FH36">
        <f>FH35*IF(OR($C35=59,$G35=59),0,1)</f>
        <v/>
      </c>
      <c r="FI36">
        <f>FI35*IF(OR($C35=60,$G35=60),0,1)</f>
        <v/>
      </c>
      <c r="FJ36">
        <f>FJ35*IF(OR($C35=61,$G35=61),0,1)</f>
        <v/>
      </c>
      <c r="FK36">
        <f>FK35*IF(OR($C35=62,$G35=62),0,1)</f>
        <v/>
      </c>
      <c r="FL36">
        <f>FL35*IF(OR($C35=63,$G35=63),0,1)</f>
        <v/>
      </c>
      <c r="FM36">
        <f>FM35*IF(OR($C35=64,$G35=64),0,1)</f>
        <v/>
      </c>
      <c r="FN36">
        <f>FN35*IF(OR($C35=65,$G35=65),0,1)</f>
        <v/>
      </c>
      <c r="FO36">
        <f>FO35*IF(OR($C35=66,$G35=66),0,1)</f>
        <v/>
      </c>
      <c r="FP36">
        <f>FP35*IF(OR($C35=67,$G35=67),0,1)</f>
        <v/>
      </c>
      <c r="FQ36">
        <f>FQ35*IF(OR($C35=68,$G35=68),0,1)</f>
        <v/>
      </c>
      <c r="FR36">
        <f>FR35*IF(OR($C35=69,$G35=69),0,1)</f>
        <v/>
      </c>
      <c r="FS36">
        <f>FS35*IF(OR($C35=70,$G35=70),0,1)</f>
        <v/>
      </c>
      <c r="FT36">
        <f>FT35*IF(OR($C35=71,$G35=71),0,1)</f>
        <v/>
      </c>
      <c r="FU36">
        <f>FU35*IF(OR($C35=72,$G35=72),0,1)</f>
        <v/>
      </c>
      <c r="FV36">
        <f>FV35*IF(OR($C35=73,$G35=73),0,1)</f>
        <v/>
      </c>
      <c r="FW36">
        <f>FW35*IF(OR($C35=74,$G35=74),0,1)</f>
        <v/>
      </c>
      <c r="FX36">
        <f>FX35*IF(OR($C35=75,$G35=75),0,1)</f>
        <v/>
      </c>
      <c r="FY36">
        <f>FY35*IF(OR($C35=76,$G35=76),0,1)</f>
        <v/>
      </c>
      <c r="FZ36">
        <f>FZ35*IF(OR($C35=77,$G35=77),0,1)</f>
        <v/>
      </c>
      <c r="GA36">
        <f>GA35*IF(OR($C35=78,$G35=78),0,1)</f>
        <v/>
      </c>
      <c r="GB36">
        <f>GB35*IF(OR($C35=79,$G35=79),0,1)</f>
        <v/>
      </c>
      <c r="GC36">
        <f>GC35*IF(OR($C35=80,$G35=80),0,1)</f>
        <v/>
      </c>
      <c r="GD36">
        <f>GD35*IF(OR($C35=81,$G35=81),0,1)</f>
        <v/>
      </c>
      <c r="GE36">
        <f>GE35*IF(OR($C35=82,$G35=82),0,1)</f>
        <v/>
      </c>
      <c r="GF36">
        <f>GF35*IF(OR($C35=83,$G35=83),0,1)</f>
        <v/>
      </c>
      <c r="GG36">
        <f>GG35*IF(OR($C35=84,$G35=84),0,1)</f>
        <v/>
      </c>
      <c r="GH36">
        <f>GH35*IF(OR($C35=85,$G35=85),0,1)</f>
        <v/>
      </c>
      <c r="GI36">
        <f>GI35*IF(OR($C35=86,$G35=86),0,1)</f>
        <v/>
      </c>
      <c r="GJ36">
        <f>GJ35*IF(OR($C35=87,$G35=87),0,1)</f>
        <v/>
      </c>
      <c r="GK36">
        <f>GK35*IF(OR($C35=88,$G35=88),0,1)</f>
        <v/>
      </c>
      <c r="GL36">
        <f>GL35*IF(OR($C35=89,$G35=89),0,1)</f>
        <v/>
      </c>
      <c r="GM36">
        <f>GM35*IF(OR($C35=90,$G35=90),0,1)</f>
        <v/>
      </c>
      <c r="GN36">
        <f>GN35*IF(OR($C35=91,$G35=91),0,1)</f>
        <v/>
      </c>
      <c r="GO36">
        <f>GO35*IF(OR($C35=92,$G35=92),0,1)</f>
        <v/>
      </c>
      <c r="GP36">
        <f>GP35*IF(OR($C35=93,$G35=93),0,1)</f>
        <v/>
      </c>
      <c r="GQ36">
        <f>GQ35*IF(OR($C35=94,$G35=94),0,1)</f>
        <v/>
      </c>
      <c r="GR36">
        <f>GR35*IF(OR($C35=95,$G35=95),0,1)</f>
        <v/>
      </c>
      <c r="GS36">
        <f>GS35*IF(OR($C35=96,$G35=96),0,1)</f>
        <v/>
      </c>
      <c r="GT36">
        <f>GT35*IF(OR($C35=97,$G35=97),0,1)</f>
        <v/>
      </c>
      <c r="GU36">
        <f>GU35*IF(OR($C35=98,$G35=98),0,1)</f>
        <v/>
      </c>
      <c r="GV36">
        <f>GV35*IF(OR($C35=99,$G35=99),0,1)</f>
        <v/>
      </c>
      <c r="GW36">
        <f>GW35*IF(OR($C35=100,$G35=100),0,1)</f>
        <v/>
      </c>
      <c r="GX36">
        <f>GX35*IF(OR($C35=101,$G35=101),0,1)</f>
        <v/>
      </c>
      <c r="GY36">
        <f>GY35*IF(OR($C35=102,$G35=102),0,1)</f>
        <v/>
      </c>
      <c r="GZ36">
        <f>GZ35*IF(OR($C35=103,$G35=103),0,1)</f>
        <v/>
      </c>
      <c r="HA36">
        <f>HA35*IF(OR($C35=104,$G35=104),0,1)</f>
        <v/>
      </c>
      <c r="HB36">
        <f>HB35*IF(OR($C35=105,$G35=105),0,1)</f>
        <v/>
      </c>
      <c r="HC36">
        <f>HC35*IF(OR($C35=106,$G35=106),0,1)</f>
        <v/>
      </c>
      <c r="HD36">
        <f>HD35*IF(OR($C35=107,$G35=107),0,1)</f>
        <v/>
      </c>
      <c r="HE36">
        <f>HE35*IF(OR($C35=108,$G35=108),0,1)</f>
        <v/>
      </c>
      <c r="HF36">
        <f>HF35*IF(OR($C35=109,$G35=109),0,1)</f>
        <v/>
      </c>
      <c r="HG36">
        <f>HG35*IF(OR($C35=110,$G35=110),0,1)</f>
        <v/>
      </c>
      <c r="HH36">
        <f>HH35*IF(OR($C35=111,$G35=111),0,1)</f>
        <v/>
      </c>
      <c r="HI36">
        <f>HI35*IF(OR($C35=112,$G35=112),0,1)</f>
        <v/>
      </c>
      <c r="HJ36">
        <f>HJ35*IF(OR($C35=113,$G35=113),0,1)</f>
        <v/>
      </c>
      <c r="HK36">
        <f>HK35*IF(OR($C35=114,$G35=114),0,1)</f>
        <v/>
      </c>
      <c r="HL36">
        <f>HL35*IF(OR($C35=115,$G35=115),0,1)</f>
        <v/>
      </c>
      <c r="HM36">
        <f>HM35*IF(OR($C35=116,$G35=116),0,1)</f>
        <v/>
      </c>
      <c r="HN36">
        <f>HN35*IF(OR($C35=117,$G35=117),0,1)</f>
        <v/>
      </c>
      <c r="HO36">
        <f>HO35*IF(OR($C35=118,$G35=118),0,1)</f>
        <v/>
      </c>
      <c r="HP36">
        <f>HP35*IF(OR($C35=119,$G35=119),0,1)</f>
        <v/>
      </c>
      <c r="HQ36">
        <f>HQ35*IF(OR($C35=120,$G35=120),0,1)</f>
        <v/>
      </c>
      <c r="HR36">
        <f>HR35*IF(OR($C35=121,$G35=121),0,1)</f>
        <v/>
      </c>
      <c r="HS36">
        <f>HS35*IF(OR($C35=122,$G35=122),0,1)</f>
        <v/>
      </c>
      <c r="HT36">
        <f>HT35*IF(OR($C35=123,$G35=123),0,1)</f>
        <v/>
      </c>
      <c r="HU36">
        <f>HU35*IF(OR($C35=124,$G35=124),0,1)</f>
        <v/>
      </c>
      <c r="HV36">
        <f>HV35*IF(OR($C35=125,$G35=125),0,1)</f>
        <v/>
      </c>
      <c r="HW36">
        <f>HW35*IF(OR($C35=126,$G35=126),0,1)</f>
        <v/>
      </c>
      <c r="HX36">
        <f>HX35*IF(OR($C35=127,$G35=127),0,1)</f>
        <v/>
      </c>
      <c r="HY36">
        <f>HY35*IF(OR($C35=128,$G35=128),0,1)</f>
        <v/>
      </c>
      <c r="HZ36">
        <f>HZ35*IF(OR($C35=129,$G35=129),0,1)</f>
        <v/>
      </c>
      <c r="IA36">
        <f>IA35*IF(OR($C35=130,$G35=130),0,1)</f>
        <v/>
      </c>
      <c r="IB36">
        <f>IB35*IF(OR($C35=131,$G35=131),0,1)</f>
        <v/>
      </c>
      <c r="IC36">
        <f>IC35*IF(OR($C35=132,$G35=132),0,1)</f>
        <v/>
      </c>
      <c r="ID36">
        <f>ID35*IF(OR($C35=133,$G35=133),0,1)</f>
        <v/>
      </c>
      <c r="IE36">
        <f>IE35*IF(OR($C35=134,$G35=134),0,1)</f>
        <v/>
      </c>
      <c r="IF36">
        <f>IF35*IF(OR($C35=135,$G35=135),0,1)</f>
        <v/>
      </c>
      <c r="IG36">
        <f>IG35*IF(OR($C35=136,$G35=136),0,1)</f>
        <v/>
      </c>
      <c r="IH36">
        <f>IH35*IF(OR($C35=137,$G35=137),0,1)</f>
        <v/>
      </c>
      <c r="II36">
        <f>II35*IF(OR($C35=138,$G35=138),0,1)</f>
        <v/>
      </c>
      <c r="IJ36">
        <f>IJ35*IF(OR($C35=139,$G35=139),0,1)</f>
        <v/>
      </c>
      <c r="IK36">
        <f>IK35*IF(OR($C35=140,$G35=140),0,1)</f>
        <v/>
      </c>
      <c r="IL36">
        <f>IL35*IF(OR($C35=141,$G35=141),0,1)</f>
        <v/>
      </c>
      <c r="IM36">
        <f>IM35*IF(OR($C35=142,$G35=142),0,1)</f>
        <v/>
      </c>
      <c r="IN36">
        <f>IN35*IF(OR($C35=143,$G35=143),0,1)</f>
        <v/>
      </c>
      <c r="IO36">
        <f>IO35*IF(OR($C35=144,$G35=144),0,1)</f>
        <v/>
      </c>
      <c r="IQ36">
        <f>IF('計算A'!D$106=1,DC36,1)</f>
        <v/>
      </c>
      <c r="IR36">
        <f>IF('計算A'!E$106=1,DD36,1)</f>
        <v/>
      </c>
      <c r="IS36">
        <f>IF('計算A'!F$106=1,DE36,1)</f>
        <v/>
      </c>
      <c r="IT36">
        <f>IF('計算A'!G$106=1,DF36,1)</f>
        <v/>
      </c>
      <c r="IU36">
        <f>IF('計算A'!H$106=1,DG36,1)</f>
        <v/>
      </c>
      <c r="IV36">
        <f>IF('計算A'!I$106=1,DH36,1)</f>
        <v/>
      </c>
      <c r="IW36">
        <f>IF('計算A'!J$106=1,DI36,1)</f>
        <v/>
      </c>
      <c r="IX36">
        <f>IF('計算A'!K$106=1,DJ36,1)</f>
        <v/>
      </c>
      <c r="IY36">
        <f>IF('計算A'!L$106=1,DK36,1)</f>
        <v/>
      </c>
      <c r="IZ36">
        <f>IF('計算A'!M$106=1,DL36,1)</f>
        <v/>
      </c>
      <c r="JA36">
        <f>IF('計算A'!N$106=1,DM36,1)</f>
        <v/>
      </c>
      <c r="JB36">
        <f>IF('計算A'!O$106=1,DN36,1)</f>
        <v/>
      </c>
      <c r="JC36">
        <f>IF('計算A'!P$106=1,DO36,1)</f>
        <v/>
      </c>
      <c r="JD36">
        <f>IF('計算A'!Q$106=1,DP36,1)</f>
        <v/>
      </c>
      <c r="JE36">
        <f>IF('計算A'!R$106=1,DQ36,1)</f>
        <v/>
      </c>
      <c r="JF36">
        <f>IF('計算A'!S$106=1,DR36,1)</f>
        <v/>
      </c>
      <c r="JG36">
        <f>IF('計算A'!T$106=1,DS36,1)</f>
        <v/>
      </c>
      <c r="JH36">
        <f>IF('計算A'!U$106=1,DT36,1)</f>
        <v/>
      </c>
      <c r="JI36">
        <f>IF('計算A'!V$106=1,DU36,1)</f>
        <v/>
      </c>
      <c r="JJ36">
        <f>IF('計算A'!W$106=1,DV36,1)</f>
        <v/>
      </c>
      <c r="JK36">
        <f>IF('計算A'!X$106=1,DW36,1)</f>
        <v/>
      </c>
      <c r="JL36">
        <f>IF('計算A'!Y$106=1,DX36,1)</f>
        <v/>
      </c>
      <c r="JM36">
        <f>IF('計算A'!Z$106=1,DY36,1)</f>
        <v/>
      </c>
      <c r="JN36">
        <f>IF('計算A'!AA$106=1,DZ36,1)</f>
        <v/>
      </c>
      <c r="JO36">
        <f>IF('計算A'!AB$106=1,EA36,1)</f>
        <v/>
      </c>
      <c r="JP36">
        <f>IF('計算A'!AC$106=1,EB36,1)</f>
        <v/>
      </c>
      <c r="JQ36">
        <f>IF('計算A'!AD$106=1,EC36,1)</f>
        <v/>
      </c>
      <c r="JR36">
        <f>IF('計算A'!AE$106=1,ED36,1)</f>
        <v/>
      </c>
      <c r="JS36">
        <f>IF('計算A'!AF$106=1,EE36,1)</f>
        <v/>
      </c>
      <c r="JT36">
        <f>IF('計算A'!AG$106=1,EF36,1)</f>
        <v/>
      </c>
      <c r="JU36">
        <f>IF('計算A'!AH$106=1,EG36,1)</f>
        <v/>
      </c>
      <c r="JV36">
        <f>IF('計算A'!AI$106=1,EH36,1)</f>
        <v/>
      </c>
      <c r="JW36">
        <f>IF('計算A'!AJ$106=1,EI36,1)</f>
        <v/>
      </c>
      <c r="JX36">
        <f>IF('計算A'!AK$106=1,EJ36,1)</f>
        <v/>
      </c>
      <c r="JY36">
        <f>IF('計算A'!AL$106=1,EK36,1)</f>
        <v/>
      </c>
      <c r="JZ36">
        <f>IF('計算A'!AM$106=1,EL36,1)</f>
        <v/>
      </c>
      <c r="KA36">
        <f>IF('計算A'!AN$106=1,EM36,1)</f>
        <v/>
      </c>
      <c r="KB36">
        <f>IF('計算A'!AO$106=1,EN36,1)</f>
        <v/>
      </c>
      <c r="KC36">
        <f>IF('計算A'!AP$106=1,EO36,1)</f>
        <v/>
      </c>
      <c r="KD36">
        <f>IF('計算A'!AQ$106=1,EP36,1)</f>
        <v/>
      </c>
      <c r="KE36">
        <f>IF('計算A'!AR$106=1,EQ36,1)</f>
        <v/>
      </c>
      <c r="KF36">
        <f>IF('計算A'!AS$106=1,ER36,1)</f>
        <v/>
      </c>
      <c r="KG36">
        <f>IF('計算A'!AT$106=1,ES36,1)</f>
        <v/>
      </c>
      <c r="KH36">
        <f>IF('計算A'!AU$106=1,ET36,1)</f>
        <v/>
      </c>
      <c r="KI36">
        <f>IF('計算A'!AV$106=1,EU36,1)</f>
        <v/>
      </c>
      <c r="KJ36">
        <f>IF('計算A'!AW$106=1,EV36,1)</f>
        <v/>
      </c>
      <c r="KK36">
        <f>IF('計算A'!AX$106=1,EW36,1)</f>
        <v/>
      </c>
      <c r="KL36">
        <f>IF('計算A'!AY$106=1,EX36,1)</f>
        <v/>
      </c>
      <c r="KM36">
        <f>IF('計算A'!AZ$106=1,EY36,1)</f>
        <v/>
      </c>
      <c r="KN36">
        <f>IF('計算A'!BA$106=1,EZ36,1)</f>
        <v/>
      </c>
      <c r="KO36">
        <f>IF('計算A'!BB$106=1,FA36,1)</f>
        <v/>
      </c>
      <c r="KP36">
        <f>IF('計算A'!BC$106=1,FB36,1)</f>
        <v/>
      </c>
      <c r="KQ36">
        <f>IF('計算A'!BD$106=1,FC36,1)</f>
        <v/>
      </c>
      <c r="KR36">
        <f>IF('計算A'!BE$106=1,FD36,1)</f>
        <v/>
      </c>
      <c r="KS36">
        <f>IF('計算A'!BF$106=1,FE36,1)</f>
        <v/>
      </c>
      <c r="KT36">
        <f>IF('計算A'!BG$106=1,FF36,1)</f>
        <v/>
      </c>
      <c r="KU36">
        <f>IF('計算A'!BH$106=1,FG36,1)</f>
        <v/>
      </c>
      <c r="KV36">
        <f>IF('計算A'!BI$106=1,FH36,1)</f>
        <v/>
      </c>
      <c r="KW36">
        <f>IF('計算A'!BJ$106=1,FI36,1)</f>
        <v/>
      </c>
      <c r="KX36">
        <f>IF('計算A'!BK$106=1,FJ36,1)</f>
        <v/>
      </c>
      <c r="KY36">
        <f>IF('計算A'!BL$106=1,FK36,1)</f>
        <v/>
      </c>
      <c r="KZ36">
        <f>IF('計算A'!BM$106=1,FL36,1)</f>
        <v/>
      </c>
      <c r="LA36">
        <f>IF('計算A'!BN$106=1,FM36,1)</f>
        <v/>
      </c>
      <c r="LB36">
        <f>IF('計算A'!BO$106=1,FN36,1)</f>
        <v/>
      </c>
      <c r="LC36">
        <f>IF('計算A'!BP$106=1,FO36,1)</f>
        <v/>
      </c>
      <c r="LD36">
        <f>IF('計算A'!BQ$106=1,FP36,1)</f>
        <v/>
      </c>
      <c r="LE36">
        <f>IF('計算A'!BR$106=1,FQ36,1)</f>
        <v/>
      </c>
      <c r="LF36">
        <f>IF('計算A'!BS$106=1,FR36,1)</f>
        <v/>
      </c>
      <c r="LG36">
        <f>IF('計算A'!BT$106=1,FS36,1)</f>
        <v/>
      </c>
      <c r="LH36">
        <f>IF('計算A'!BU$106=1,FT36,1)</f>
        <v/>
      </c>
      <c r="LI36">
        <f>IF('計算A'!BV$106=1,FU36,1)</f>
        <v/>
      </c>
      <c r="LJ36">
        <f>IF('計算A'!BW$106=1,FV36,1)</f>
        <v/>
      </c>
      <c r="LK36">
        <f>IF('計算A'!BX$106=1,FW36,1)</f>
        <v/>
      </c>
      <c r="LL36">
        <f>IF('計算A'!BY$106=1,FX36,1)</f>
        <v/>
      </c>
      <c r="LM36">
        <f>IF('計算A'!BZ$106=1,FY36,1)</f>
        <v/>
      </c>
      <c r="LN36">
        <f>IF('計算A'!CA$106=1,FZ36,1)</f>
        <v/>
      </c>
      <c r="LO36">
        <f>IF('計算A'!CB$106=1,GA36,1)</f>
        <v/>
      </c>
      <c r="LP36">
        <f>IF('計算A'!CC$106=1,GB36,1)</f>
        <v/>
      </c>
      <c r="LQ36">
        <f>IF('計算A'!CD$106=1,GC36,1)</f>
        <v/>
      </c>
      <c r="LR36">
        <f>IF('計算A'!CE$106=1,GD36,1)</f>
        <v/>
      </c>
      <c r="LS36">
        <f>IF('計算A'!CF$106=1,GE36,1)</f>
        <v/>
      </c>
      <c r="LT36">
        <f>IF('計算A'!CG$106=1,GF36,1)</f>
        <v/>
      </c>
      <c r="LU36">
        <f>IF('計算A'!CH$106=1,GG36,1)</f>
        <v/>
      </c>
      <c r="LV36">
        <f>IF('計算A'!CI$106=1,GH36,1)</f>
        <v/>
      </c>
      <c r="LW36">
        <f>IF('計算A'!CJ$106=1,GI36,1)</f>
        <v/>
      </c>
      <c r="LX36">
        <f>IF('計算A'!CK$106=1,GJ36,1)</f>
        <v/>
      </c>
      <c r="LY36">
        <f>IF('計算A'!CL$106=1,GK36,1)</f>
        <v/>
      </c>
      <c r="LZ36">
        <f>IF('計算A'!CM$106=1,GL36,1)</f>
        <v/>
      </c>
      <c r="MA36">
        <f>IF('計算A'!CN$106=1,GM36,1)</f>
        <v/>
      </c>
      <c r="MB36">
        <f>IF('計算A'!CO$106=1,GN36,1)</f>
        <v/>
      </c>
      <c r="MC36">
        <f>IF('計算A'!CP$106=1,GO36,1)</f>
        <v/>
      </c>
      <c r="MD36">
        <f>IF('計算A'!CQ$106=1,GP36,1)</f>
        <v/>
      </c>
      <c r="ME36">
        <f>IF('計算A'!CR$106=1,GQ36,1)</f>
        <v/>
      </c>
      <c r="MF36">
        <f>IF('計算A'!CS$106=1,GR36,1)</f>
        <v/>
      </c>
      <c r="MG36">
        <f>IF('計算A'!CT$106=1,GS36,1)</f>
        <v/>
      </c>
      <c r="MH36">
        <f>IF('計算A'!CU$106=1,GT36,1)</f>
        <v/>
      </c>
      <c r="MI36">
        <f>IF('計算A'!CV$106=1,GU36,1)</f>
        <v/>
      </c>
      <c r="MJ36">
        <f>IF('計算A'!CW$106=1,GV36,1)</f>
        <v/>
      </c>
      <c r="MK36">
        <f>IF('計算A'!CX$106=1,GW36,1)</f>
        <v/>
      </c>
      <c r="ML36">
        <f>IF('計算A'!CY$106=1,GX36,1)</f>
        <v/>
      </c>
      <c r="MM36">
        <f>IF('計算A'!CZ$106=1,GY36,1)</f>
        <v/>
      </c>
      <c r="MN36">
        <f>IF('計算A'!DA$106=1,GZ36,1)</f>
        <v/>
      </c>
      <c r="MO36">
        <f>IF('計算A'!DB$106=1,HA36,1)</f>
        <v/>
      </c>
      <c r="MP36">
        <f>IF('計算A'!DC$106=1,HB36,1)</f>
        <v/>
      </c>
      <c r="MQ36">
        <f>IF('計算A'!DD$106=1,HC36,1)</f>
        <v/>
      </c>
      <c r="MR36">
        <f>IF('計算A'!DE$106=1,HD36,1)</f>
        <v/>
      </c>
      <c r="MS36">
        <f>IF('計算A'!DF$106=1,HE36,1)</f>
        <v/>
      </c>
      <c r="MT36">
        <f>IF('計算A'!DG$106=1,HF36,1)</f>
        <v/>
      </c>
      <c r="MU36">
        <f>IF('計算A'!DH$106=1,HG36,1)</f>
        <v/>
      </c>
      <c r="MV36">
        <f>IF('計算A'!DI$106=1,HH36,1)</f>
        <v/>
      </c>
      <c r="MW36">
        <f>IF('計算A'!DJ$106=1,HI36,1)</f>
        <v/>
      </c>
      <c r="MX36">
        <f>IF('計算A'!DK$106=1,HJ36,1)</f>
        <v/>
      </c>
      <c r="MY36">
        <f>IF('計算A'!DL$106=1,HK36,1)</f>
        <v/>
      </c>
      <c r="MZ36">
        <f>IF('計算A'!DM$106=1,HL36,1)</f>
        <v/>
      </c>
      <c r="NA36">
        <f>IF('計算A'!DN$106=1,HM36,1)</f>
        <v/>
      </c>
      <c r="NB36">
        <f>IF('計算A'!DO$106=1,HN36,1)</f>
        <v/>
      </c>
      <c r="NC36">
        <f>IF('計算A'!DP$106=1,HO36,1)</f>
        <v/>
      </c>
      <c r="ND36">
        <f>IF('計算A'!DQ$106=1,HP36,1)</f>
        <v/>
      </c>
      <c r="NE36">
        <f>IF('計算A'!DR$106=1,HQ36,1)</f>
        <v/>
      </c>
      <c r="NF36">
        <f>IF('計算A'!DS$106=1,HR36,1)</f>
        <v/>
      </c>
      <c r="NG36">
        <f>IF('計算A'!DT$106=1,HS36,1)</f>
        <v/>
      </c>
      <c r="NH36">
        <f>IF('計算A'!DU$106=1,HT36,1)</f>
        <v/>
      </c>
      <c r="NI36">
        <f>IF('計算A'!DV$106=1,HU36,1)</f>
        <v/>
      </c>
      <c r="NJ36">
        <f>IF('計算A'!DW$106=1,HV36,1)</f>
        <v/>
      </c>
      <c r="NK36">
        <f>IF('計算A'!DX$106=1,HW36,1)</f>
        <v/>
      </c>
      <c r="NL36">
        <f>IF('計算A'!DY$106=1,HX36,1)</f>
        <v/>
      </c>
      <c r="NM36">
        <f>IF('計算A'!DZ$106=1,HY36,1)</f>
        <v/>
      </c>
      <c r="NN36">
        <f>IF('計算A'!EA$106=1,HZ36,1)</f>
        <v/>
      </c>
      <c r="NO36">
        <f>IF('計算A'!EB$106=1,IA36,1)</f>
        <v/>
      </c>
      <c r="NP36">
        <f>IF('計算A'!EC$106=1,IB36,1)</f>
        <v/>
      </c>
      <c r="NQ36">
        <f>IF('計算A'!ED$106=1,IC36,1)</f>
        <v/>
      </c>
      <c r="NR36">
        <f>IF('計算A'!EE$106=1,ID36,1)</f>
        <v/>
      </c>
      <c r="NS36">
        <f>IF('計算A'!EF$106=1,IE36,1)</f>
        <v/>
      </c>
      <c r="NT36">
        <f>IF('計算A'!EG$106=1,IF36,1)</f>
        <v/>
      </c>
      <c r="NU36">
        <f>IF('計算A'!EH$106=1,IG36,1)</f>
        <v/>
      </c>
      <c r="NV36">
        <f>IF('計算A'!EI$106=1,IH36,1)</f>
        <v/>
      </c>
      <c r="NW36">
        <f>IF('計算A'!EJ$106=1,II36,1)</f>
        <v/>
      </c>
      <c r="NX36">
        <f>IF('計算A'!EK$106=1,IJ36,1)</f>
        <v/>
      </c>
      <c r="NY36">
        <f>IF('計算A'!EL$106=1,IK36,1)</f>
        <v/>
      </c>
      <c r="NZ36">
        <f>IF('計算A'!EM$106=1,IL36,1)</f>
        <v/>
      </c>
      <c r="OA36">
        <f>IF('計算A'!EN$106=1,IM36,1)</f>
        <v/>
      </c>
      <c r="OB36">
        <f>IF('計算A'!EO$106=1,IN36,1)</f>
        <v/>
      </c>
      <c r="OC36">
        <f>IF('計算A'!EP$106=1,IO36,1)</f>
        <v/>
      </c>
      <c r="OD36" t="n">
        <v>1</v>
      </c>
      <c r="OF36">
        <f>IF($B36=0,1000000,IF(INDEX('計算A'!$D$60:$EQ$104,$B36,1)*DB36=1,IF(AND($E36=2,IQ36=0),1000000,IF($I36&gt;0,IF(1=$J36,IF(OR(AND(1=$I36+1,OR($K36&lt;&gt;'計算A'!$A$3,'計算A'!$A$4=0)),AND(1=$I36-1,OR(1&lt;&gt;'計算A'!$A$3,'計算A'!$A$4=0))),0,IF(1=$K36,200000,ABS(1-$K36)*100)),100000+ABS(1-$J36)*1000+10)+'計算A'!D$5*50+IF(AND($E36=1,IQ36=0),25,0),IF($F36&gt;0,INDEX('計算A'!D$110:D$114,$F36+1)+IF(AND($E36=1,IQ36=0),1000,0),MIN(TU36,20)*400+(IF('計算A'!D$106=1,1-DC36,0))*150+11+'計算A'!D$5*100000+IF(AND($E36=1,IQ36=0),50000,0))+IF($H36=1,(IF('計算A'!D$117=1,INDEX('計算A'!E$10:E$54,$B36),0))*4000,0)-IF(AND($L36=1,'計算A'!D$117=1,DC36=0),2000,0))),1000000))</f>
        <v/>
      </c>
      <c r="OG36">
        <f>IF($B36=0,1000000,IF(INDEX('計算A'!$D$60:$EQ$104,$B36,2)*DC36=1,IF(AND($E36=2,IR36=0),1000000,IF($I36&gt;0,IF(1=$J36,IF(OR(AND(2=$I36+1,OR($K36&lt;&gt;'計算A'!$A$3,'計算A'!$A$4=0)),AND(2=$I36-1,OR(2&lt;&gt;'計算A'!$A$3,'計算A'!$A$4=0))),0,IF(2=$K36,200000,ABS(2-$K36)*100)),100000+ABS(1-$J36)*1000+20)+'計算A'!E$5*50+IF(AND($E36=1,IR36=0),25,0),IF($F36&gt;0,INDEX('計算A'!E$110:E$114,$F36+1)+IF(AND($E36=1,IR36=0),1000,0),MIN(TU36,20)*400+(IF('計算A'!D$106=1,1-DB36,0)+IF('計算A'!E$106=1,1-DD36,0))*150+21+'計算A'!E$5*100000+IF(AND($E36=1,IR36=0),50000,0))+IF($H36=1,(IF('計算A'!D$117=1,INDEX('計算A'!D$10:D$54,$B36),0)+IF('計算A'!E$117=1,INDEX('計算A'!F$10:F$54,$B36),0))*4000,0)-IF(AND('計算A'!D$117=1,UB36&gt;0),2000,0)-IF(AND($L36=1,'計算A'!E$117=1,DD36=0),2000,0))),1000000))</f>
        <v/>
      </c>
      <c r="OH36">
        <f>IF($B36=0,1000000,IF(INDEX('計算A'!$D$60:$EQ$104,$B36,3)*DD36=1,IF(AND($E36=2,IS36=0),1000000,IF($I36&gt;0,IF(1=$J36,IF(OR(AND(3=$I36+1,OR($K36&lt;&gt;'計算A'!$A$3,'計算A'!$A$4=0)),AND(3=$I36-1,OR(3&lt;&gt;'計算A'!$A$3,'計算A'!$A$4=0))),0,IF(3=$K36,200000,ABS(3-$K36)*100)),100000+ABS(1-$J36)*1000+30)+'計算A'!F$5*50+IF(AND($E36=1,IS36=0),25,0),IF($F36&gt;0,INDEX('計算A'!F$110:F$114,$F36+1)+IF(AND($E36=1,IS36=0),1000,0),MIN(TU36,20)*400+(IF('計算A'!E$106=1,1-DC36,0)+IF('計算A'!F$106=1,1-DE36,0))*150+31+'計算A'!F$5*100000+IF(AND($E36=1,IS36=0),50000,0))+IF($H36=1,(IF('計算A'!E$117=1,INDEX('計算A'!E$10:E$54,$B36),0)+IF('計算A'!F$117=1,INDEX('計算A'!G$10:G$54,$B36),0))*4000,0)-IF(AND('計算A'!E$117=1,UC36&gt;0),2000,0)-IF(AND($L36=1,'計算A'!F$117=1,DE36=0),2000,0))),1000000))</f>
        <v/>
      </c>
      <c r="OI36">
        <f>IF($B36=0,1000000,IF(INDEX('計算A'!$D$60:$EQ$104,$B36,4)*DE36=1,IF(AND($E36=2,IT36=0),1000000,IF($I36&gt;0,IF(1=$J36,IF(OR(AND(4=$I36+1,OR($K36&lt;&gt;'計算A'!$A$3,'計算A'!$A$4=0)),AND(4=$I36-1,OR(4&lt;&gt;'計算A'!$A$3,'計算A'!$A$4=0))),0,IF(4=$K36,200000,ABS(4-$K36)*100)),100000+ABS(1-$J36)*1000+40)+'計算A'!G$5*50+IF(AND($E36=1,IT36=0),25,0),IF($F36&gt;0,INDEX('計算A'!G$110:G$114,$F36+1)+IF(AND($E36=1,IT36=0),1000,0),MIN(TU36,20)*400+(IF('計算A'!F$106=1,1-DD36,0)+IF('計算A'!G$106=1,1-DF36,0))*150+41+'計算A'!G$5*100000+IF(AND($E36=1,IT36=0),50000,0))+IF($H36=1,(IF('計算A'!F$117=1,INDEX('計算A'!F$10:F$54,$B36),0)+IF('計算A'!G$117=1,INDEX('計算A'!H$10:H$54,$B36),0))*4000,0)-IF(AND('計算A'!F$117=1,UD36&gt;0),2000,0)-IF(AND($L36=1,'計算A'!G$117=1,DF36=0),2000,0))),1000000))</f>
        <v/>
      </c>
      <c r="OJ36">
        <f>IF($B36=0,1000000,IF(INDEX('計算A'!$D$60:$EQ$104,$B36,5)*DF36=1,IF(AND($E36=2,IU36=0),1000000,IF($I36&gt;0,IF(1=$J36,IF(OR(AND(5=$I36+1,OR($K36&lt;&gt;'計算A'!$A$3,'計算A'!$A$4=0)),AND(5=$I36-1,OR(5&lt;&gt;'計算A'!$A$3,'計算A'!$A$4=0))),0,IF(5=$K36,200000,ABS(5-$K36)*100)),100000+ABS(1-$J36)*1000+50)+'計算A'!H$5*50+IF(AND($E36=1,IU36=0),25,0),IF($F36&gt;0,INDEX('計算A'!H$110:H$114,$F36+1)+IF(AND($E36=1,IU36=0),1000,0),MIN(TU36,20)*400+(IF('計算A'!G$106=1,1-DE36,0)+IF('計算A'!H$106=1,1-DG36,0))*150+51+'計算A'!H$5*100000+IF(AND($E36=1,IU36=0),50000,0))+IF($H36=1,(IF('計算A'!G$117=1,INDEX('計算A'!G$10:G$54,$B36),0)+IF('計算A'!H$117=1,INDEX('計算A'!I$10:I$54,$B36),0))*4000,0)-IF(AND('計算A'!G$117=1,UE36&gt;0),2000,0)-IF(AND($L36=1,'計算A'!H$117=1,DG36=0),2000,0))),1000000))</f>
        <v/>
      </c>
      <c r="OK36">
        <f>IF($B36=0,1000000,IF(INDEX('計算A'!$D$60:$EQ$104,$B36,6)*DG36=1,IF(AND($E36=2,IV36=0),1000000,IF($I36&gt;0,IF(1=$J36,IF(OR(AND(6=$I36+1,OR($K36&lt;&gt;'計算A'!$A$3,'計算A'!$A$4=0)),AND(6=$I36-1,OR(6&lt;&gt;'計算A'!$A$3,'計算A'!$A$4=0))),0,IF(6=$K36,200000,ABS(6-$K36)*100)),100000+ABS(1-$J36)*1000+60)+'計算A'!I$5*50+IF(AND($E36=1,IV36=0),25,0),IF($F36&gt;0,INDEX('計算A'!I$110:I$114,$F36+1)+IF(AND($E36=1,IV36=0),1000,0),MIN(TU36,20)*400+(IF('計算A'!H$106=1,1-DF36,0)+IF('計算A'!I$106=1,1-DH36,0))*150+61+'計算A'!I$5*100000+IF(AND($E36=1,IV36=0),50000,0))+IF($H36=1,(IF('計算A'!H$117=1,INDEX('計算A'!H$10:H$54,$B36),0)+IF('計算A'!I$117=1,INDEX('計算A'!J$10:J$54,$B36),0))*4000,0)-IF(AND('計算A'!H$117=1,UF36&gt;0),2000,0)-IF(AND($L36=1,'計算A'!I$117=1,DH36=0),2000,0))),1000000))</f>
        <v/>
      </c>
      <c r="OL36">
        <f>IF($B36=0,1000000,IF(INDEX('計算A'!$D$60:$EQ$104,$B36,7)*DH36=1,IF(AND($E36=2,IW36=0),1000000,IF($I36&gt;0,IF(1=$J36,IF(OR(AND(7=$I36+1,OR($K36&lt;&gt;'計算A'!$A$3,'計算A'!$A$4=0)),AND(7=$I36-1,OR(7&lt;&gt;'計算A'!$A$3,'計算A'!$A$4=0))),0,IF(7=$K36,200000,ABS(7-$K36)*100)),100000+ABS(1-$J36)*1000+70)+'計算A'!J$5*50+IF(AND($E36=1,IW36=0),25,0),IF($F36&gt;0,INDEX('計算A'!J$110:J$114,$F36+1)+IF(AND($E36=1,IW36=0),1000,0),MIN(TU36,20)*400+(IF('計算A'!I$106=1,1-DG36,0)+IF('計算A'!J$106=1,1-DI36,0))*150+71+'計算A'!J$5*100000+IF(AND($E36=1,IW36=0),50000,0))+IF($H36=1,(IF('計算A'!I$117=1,INDEX('計算A'!I$10:I$54,$B36),0)+IF('計算A'!J$117=1,INDEX('計算A'!K$10:K$54,$B36),0))*4000,0)-IF(AND('計算A'!I$117=1,UG36&gt;0),2000,0)-IF(AND($L36=1,'計算A'!J$117=1,DI36=0),2000,0))),1000000))</f>
        <v/>
      </c>
      <c r="OM36">
        <f>IF($B36=0,1000000,IF(INDEX('計算A'!$D$60:$EQ$104,$B36,8)*DI36=1,IF(AND($E36=2,IX36=0),1000000,IF($I36&gt;0,IF(1=$J36,IF(OR(AND(8=$I36+1,OR($K36&lt;&gt;'計算A'!$A$3,'計算A'!$A$4=0)),AND(8=$I36-1,OR(8&lt;&gt;'計算A'!$A$3,'計算A'!$A$4=0))),0,IF(8=$K36,200000,ABS(8-$K36)*100)),100000+ABS(1-$J36)*1000+80)+'計算A'!K$5*50+IF(AND($E36=1,IX36=0),25,0),IF($F36&gt;0,INDEX('計算A'!K$110:K$114,$F36+1)+IF(AND($E36=1,IX36=0),1000,0),MIN(TU36,20)*400+(IF('計算A'!J$106=1,1-DH36,0)+IF('計算A'!K$106=1,1-DJ36,0))*150+81+'計算A'!K$5*100000+IF(AND($E36=1,IX36=0),50000,0))+IF($H36=1,(IF('計算A'!J$117=1,INDEX('計算A'!J$10:J$54,$B36),0)+IF('計算A'!K$117=1,INDEX('計算A'!L$10:L$54,$B36),0))*4000,0)-IF(AND('計算A'!J$117=1,UH36&gt;0),2000,0)-IF(AND($L36=1,'計算A'!K$117=1,DJ36=0),2000,0))),1000000))</f>
        <v/>
      </c>
      <c r="ON36">
        <f>IF($B36=0,1000000,IF(INDEX('計算A'!$D$60:$EQ$104,$B36,9)*DJ36=1,IF(AND($E36=2,IY36=0),1000000,IF($I36&gt;0,IF(1=$J36,IF(OR(AND(9=$I36+1,OR($K36&lt;&gt;'計算A'!$A$3,'計算A'!$A$4=0)),AND(9=$I36-1,OR(9&lt;&gt;'計算A'!$A$3,'計算A'!$A$4=0))),0,IF(9=$K36,200000,ABS(9-$K36)*100)),100000+ABS(1-$J36)*1000+90)+'計算A'!L$5*50+IF(AND($E36=1,IY36=0),25,0),IF($F36&gt;0,INDEX('計算A'!L$110:L$114,$F36+1)+IF(AND($E36=1,IY36=0),1000,0),MIN(TU36,20)*400+(IF('計算A'!K$106=1,1-DI36,0)+IF('計算A'!L$106=1,1-DK36,0))*150+91+'計算A'!L$5*100000+IF(AND($E36=1,IY36=0),50000,0))+IF($H36=1,(IF('計算A'!K$117=1,INDEX('計算A'!K$10:K$54,$B36),0)+IF('計算A'!L$117=1,INDEX('計算A'!M$10:M$54,$B36),0))*4000,0)-IF(AND('計算A'!K$117=1,UI36&gt;0),2000,0)-IF(AND($L36=1,'計算A'!L$117=1,DK36=0),2000,0))),1000000))</f>
        <v/>
      </c>
      <c r="OO36">
        <f>IF($B36=0,1000000,IF(INDEX('計算A'!$D$60:$EQ$104,$B36,10)*DK36=1,IF(AND($E36=2,IZ36=0),1000000,IF($I36&gt;0,IF(1=$J36,IF(OR(AND(10=$I36+1,OR($K36&lt;&gt;'計算A'!$A$3,'計算A'!$A$4=0)),AND(10=$I36-1,OR(10&lt;&gt;'計算A'!$A$3,'計算A'!$A$4=0))),0,IF(10=$K36,200000,ABS(10-$K36)*100)),100000+ABS(1-$J36)*1000+100)+'計算A'!M$5*50+IF(AND($E36=1,IZ36=0),25,0),IF($F36&gt;0,INDEX('計算A'!M$110:M$114,$F36+1)+IF(AND($E36=1,IZ36=0),1000,0),MIN(TU36,20)*400+(IF('計算A'!L$106=1,1-DJ36,0)+IF('計算A'!M$106=1,1-DL36,0))*150+101+'計算A'!M$5*100000+IF(AND($E36=1,IZ36=0),50000,0))+IF($H36=1,(IF('計算A'!L$117=1,INDEX('計算A'!L$10:L$54,$B36),0)+IF('計算A'!M$117=1,INDEX('計算A'!N$10:N$54,$B36),0))*4000,0)-IF(AND('計算A'!L$117=1,UJ36&gt;0),2000,0)-IF(AND($L36=1,'計算A'!M$117=1,DL36=0),2000,0))),1000000))</f>
        <v/>
      </c>
      <c r="OP36">
        <f>IF($B36=0,1000000,IF(INDEX('計算A'!$D$60:$EQ$104,$B36,11)*DL36=1,IF(AND($E36=2,JA36=0),1000000,IF($I36&gt;0,IF(1=$J36,IF(OR(AND(11=$I36+1,OR($K36&lt;&gt;'計算A'!$A$3,'計算A'!$A$4=0)),AND(11=$I36-1,OR(11&lt;&gt;'計算A'!$A$3,'計算A'!$A$4=0))),0,IF(11=$K36,200000,ABS(11-$K36)*100)),100000+ABS(1-$J36)*1000+110)+'計算A'!N$5*50+IF(AND($E36=1,JA36=0),25,0),IF($F36&gt;0,INDEX('計算A'!N$110:N$114,$F36+1)+IF(AND($E36=1,JA36=0),1000,0),MIN(TU36,20)*400+(IF('計算A'!M$106=1,1-DK36,0)+IF('計算A'!N$106=1,1-DM36,0))*150+111+'計算A'!N$5*100000+IF(AND($E36=1,JA36=0),50000,0))+IF($H36=1,(IF('計算A'!M$117=1,INDEX('計算A'!M$10:M$54,$B36),0)+IF('計算A'!N$117=1,INDEX('計算A'!O$10:O$54,$B36),0))*4000,0)-IF(AND('計算A'!M$117=1,UK36&gt;0),2000,0)-IF(AND($L36=1,'計算A'!N$117=1,DM36=0),2000,0))),1000000))</f>
        <v/>
      </c>
      <c r="OQ36">
        <f>IF($B36=0,1000000,IF(INDEX('計算A'!$D$60:$EQ$104,$B36,12)*DM36=1,IF(AND($E36=2,JB36=0),1000000,IF($I36&gt;0,IF(1=$J36,IF(OR(AND(12=$I36+1,OR($K36&lt;&gt;'計算A'!$A$3,'計算A'!$A$4=0)),AND(12=$I36-1,OR(12&lt;&gt;'計算A'!$A$3,'計算A'!$A$4=0))),0,IF(12=$K36,200000,ABS(12-$K36)*100)),100000+ABS(1-$J36)*1000+120)+'計算A'!O$5*50+IF(AND($E36=1,JB36=0),25,0),IF($F36&gt;0,INDEX('計算A'!O$110:O$114,$F36+1)+IF(AND($E36=1,JB36=0),1000,0),MIN(TU36,20)*400+(IF('計算A'!N$106=1,1-DL36,0)+IF('計算A'!O$106=1,1-DN36,0))*150+121+'計算A'!O$5*100000+IF(AND($E36=1,JB36=0),50000,0))+IF($H36=1,(IF('計算A'!N$117=1,INDEX('計算A'!N$10:N$54,$B36),0)+IF('計算A'!O$117=1,INDEX('計算A'!P$10:P$54,$B36),0))*4000,0)-IF(AND('計算A'!N$117=1,UL36&gt;0),2000,0)-IF(AND($L36=1,'計算A'!O$117=1,DN36=0),2000,0))),1000000))</f>
        <v/>
      </c>
      <c r="OR36">
        <f>IF($B36=0,1000000,IF(INDEX('計算A'!$D$60:$EQ$104,$B36,13)*DN36=1,IF(AND($E36=2,JC36=0),1000000,IF($I36&gt;0,IF(1=$J36,IF(OR(AND(13=$I36+1,OR($K36&lt;&gt;'計算A'!$A$3,'計算A'!$A$4=0)),AND(13=$I36-1,OR(13&lt;&gt;'計算A'!$A$3,'計算A'!$A$4=0))),0,IF(13=$K36,200000,ABS(13-$K36)*100)),100000+ABS(1-$J36)*1000+130)+'計算A'!P$5*50+IF(AND($E36=1,JC36=0),25,0),IF($F36&gt;0,INDEX('計算A'!P$110:P$114,$F36+1)+IF(AND($E36=1,JC36=0),1000,0),MIN(TU36,20)*400+(IF('計算A'!O$106=1,1-DM36,0)+IF('計算A'!P$106=1,1-DO36,0))*150+131+'計算A'!P$5*100000+IF(AND($E36=1,JC36=0),50000,0))+IF($H36=1,(IF('計算A'!O$117=1,INDEX('計算A'!O$10:O$54,$B36),0)+IF('計算A'!P$117=1,INDEX('計算A'!Q$10:Q$54,$B36),0))*4000,0)-IF(AND('計算A'!O$117=1,UM36&gt;0),2000,0)-IF(AND($L36=1,'計算A'!P$117=1,DO36=0),2000,0))),1000000))</f>
        <v/>
      </c>
      <c r="OS36">
        <f>IF($B36=0,1000000,IF(INDEX('計算A'!$D$60:$EQ$104,$B36,14)*DO36=1,IF(AND($E36=2,JD36=0),1000000,IF($I36&gt;0,IF(1=$J36,IF(OR(AND(14=$I36+1,OR($K36&lt;&gt;'計算A'!$A$3,'計算A'!$A$4=0)),AND(14=$I36-1,OR(14&lt;&gt;'計算A'!$A$3,'計算A'!$A$4=0))),0,IF(14=$K36,200000,ABS(14-$K36)*100)),100000+ABS(1-$J36)*1000+140)+'計算A'!Q$5*50+IF(AND($E36=1,JD36=0),25,0),IF($F36&gt;0,INDEX('計算A'!Q$110:Q$114,$F36+1)+IF(AND($E36=1,JD36=0),1000,0),MIN(TU36,20)*400+(IF('計算A'!P$106=1,1-DN36,0)+IF('計算A'!Q$106=1,1-DP36,0))*150+141+'計算A'!Q$5*100000+IF(AND($E36=1,JD36=0),50000,0))+IF($H36=1,(IF('計算A'!P$117=1,INDEX('計算A'!P$10:P$54,$B36),0)+IF('計算A'!Q$117=1,INDEX('計算A'!R$10:R$54,$B36),0))*4000,0)-IF(AND('計算A'!P$117=1,UN36&gt;0),2000,0)-IF(AND($L36=1,'計算A'!Q$117=1,DP36=0),2000,0))),1000000))</f>
        <v/>
      </c>
      <c r="OT36">
        <f>IF($B36=0,1000000,IF(INDEX('計算A'!$D$60:$EQ$104,$B36,15)*DP36=1,IF(AND($E36=2,JE36=0),1000000,IF($I36&gt;0,IF(1=$J36,IF(OR(AND(15=$I36+1,OR($K36&lt;&gt;'計算A'!$A$3,'計算A'!$A$4=0)),AND(15=$I36-1,OR(15&lt;&gt;'計算A'!$A$3,'計算A'!$A$4=0))),0,IF(15=$K36,200000,ABS(15-$K36)*100)),100000+ABS(1-$J36)*1000+150)+'計算A'!R$5*50+IF(AND($E36=1,JE36=0),25,0),IF($F36&gt;0,INDEX('計算A'!R$110:R$114,$F36+1)+IF(AND($E36=1,JE36=0),1000,0),MIN(TU36,20)*400+(IF('計算A'!Q$106=1,1-DO36,0)+IF('計算A'!R$106=1,1-DQ36,0))*150+151+'計算A'!R$5*100000+IF(AND($E36=1,JE36=0),50000,0))+IF($H36=1,(IF('計算A'!Q$117=1,INDEX('計算A'!Q$10:Q$54,$B36),0)+IF('計算A'!R$117=1,INDEX('計算A'!S$10:S$54,$B36),0))*4000,0)-IF(AND('計算A'!Q$117=1,UO36&gt;0),2000,0)-IF(AND($L36=1,'計算A'!R$117=1,DQ36=0),2000,0))),1000000))</f>
        <v/>
      </c>
      <c r="OU36">
        <f>IF($B36=0,1000000,IF(INDEX('計算A'!$D$60:$EQ$104,$B36,16)*DQ36=1,IF(AND($E36=2,JF36=0),1000000,IF($I36&gt;0,IF(1=$J36,IF(OR(AND(16=$I36+1,OR($K36&lt;&gt;'計算A'!$A$3,'計算A'!$A$4=0)),AND(16=$I36-1,OR(16&lt;&gt;'計算A'!$A$3,'計算A'!$A$4=0))),0,IF(16=$K36,200000,ABS(16-$K36)*100)),100000+ABS(1-$J36)*1000+160)+'計算A'!S$5*50+IF(AND($E36=1,JF36=0),25,0),IF($F36&gt;0,INDEX('計算A'!S$110:S$114,$F36+1)+IF(AND($E36=1,JF36=0),1000,0),MIN(TU36,20)*400+(IF('計算A'!R$106=1,1-DP36,0)+IF('計算A'!S$106=1,1-DR36,0))*150+161+'計算A'!S$5*100000+IF(AND($E36=1,JF36=0),50000,0))+IF($H36=1,(IF('計算A'!R$117=1,INDEX('計算A'!R$10:R$54,$B36),0)+IF('計算A'!S$117=1,INDEX('計算A'!T$10:T$54,$B36),0))*4000,0)-IF(AND('計算A'!R$117=1,UP36&gt;0),2000,0)-IF(AND($L36=1,'計算A'!S$117=1,DR36=0),2000,0))),1000000))</f>
        <v/>
      </c>
      <c r="OV36">
        <f>IF($B36=0,1000000,IF(INDEX('計算A'!$D$60:$EQ$104,$B36,17)*DR36=1,IF(AND($E36=2,JG36=0),1000000,IF($I36&gt;0,IF(1=$J36,IF(OR(AND(17=$I36+1,OR($K36&lt;&gt;'計算A'!$A$3,'計算A'!$A$4=0)),AND(17=$I36-1,OR(17&lt;&gt;'計算A'!$A$3,'計算A'!$A$4=0))),0,IF(17=$K36,200000,ABS(17-$K36)*100)),100000+ABS(1-$J36)*1000+170)+'計算A'!T$5*50+IF(AND($E36=1,JG36=0),25,0),IF($F36&gt;0,INDEX('計算A'!T$110:T$114,$F36+1)+IF(AND($E36=1,JG36=0),1000,0),MIN(TU36,20)*400+(IF('計算A'!S$106=1,1-DQ36,0)+IF('計算A'!T$106=1,1-DS36,0))*150+171+'計算A'!T$5*100000+IF(AND($E36=1,JG36=0),50000,0))+IF($H36=1,(IF('計算A'!S$117=1,INDEX('計算A'!S$10:S$54,$B36),0)+IF('計算A'!T$117=1,INDEX('計算A'!U$10:U$54,$B36),0))*4000,0)-IF(AND('計算A'!S$117=1,UQ36&gt;0),2000,0)-IF(AND($L36=1,'計算A'!T$117=1,DS36=0),2000,0))),1000000))</f>
        <v/>
      </c>
      <c r="OW36">
        <f>IF($B36=0,1000000,IF(INDEX('計算A'!$D$60:$EQ$104,$B36,18)*DS36=1,IF(AND($E36=2,JH36=0),1000000,IF($I36&gt;0,IF(1=$J36,IF(OR(AND(18=$I36+1,OR($K36&lt;&gt;'計算A'!$A$3,'計算A'!$A$4=0)),AND(18=$I36-1,OR(18&lt;&gt;'計算A'!$A$3,'計算A'!$A$4=0))),0,IF(18=$K36,200000,ABS(18-$K36)*100)),100000+ABS(1-$J36)*1000+180)+'計算A'!U$5*50+IF(AND($E36=1,JH36=0),25,0),IF($F36&gt;0,INDEX('計算A'!U$110:U$114,$F36+1)+IF(AND($E36=1,JH36=0),1000,0),MIN(TU36,20)*400+(IF('計算A'!T$106=1,1-DR36,0)+IF('計算A'!U$106=1,1-DT36,0))*150+181+'計算A'!U$5*100000+IF(AND($E36=1,JH36=0),50000,0))+IF($H36=1,(IF('計算A'!T$117=1,INDEX('計算A'!T$10:T$54,$B36),0)+IF('計算A'!U$117=1,INDEX('計算A'!V$10:V$54,$B36),0))*4000,0)-IF(AND('計算A'!T$117=1,UR36&gt;0),2000,0)-IF(AND($L36=1,'計算A'!U$117=1,DT36=0),2000,0))),1000000))</f>
        <v/>
      </c>
      <c r="OX36">
        <f>IF($B36=0,1000000,IF(INDEX('計算A'!$D$60:$EQ$104,$B36,19)*DT36=1,IF(AND($E36=2,JI36=0),1000000,IF($I36&gt;0,IF(1=$J36,IF(OR(AND(19=$I36+1,OR($K36&lt;&gt;'計算A'!$A$3,'計算A'!$A$4=0)),AND(19=$I36-1,OR(19&lt;&gt;'計算A'!$A$3,'計算A'!$A$4=0))),0,IF(19=$K36,200000,ABS(19-$K36)*100)),100000+ABS(1-$J36)*1000+190)+'計算A'!V$5*50+IF(AND($E36=1,JI36=0),25,0),IF($F36&gt;0,INDEX('計算A'!V$110:V$114,$F36+1)+IF(AND($E36=1,JI36=0),1000,0),MIN(TU36,20)*400+(IF('計算A'!U$106=1,1-DS36,0)+IF('計算A'!V$106=1,1-DU36,0))*150+191+'計算A'!V$5*100000+IF(AND($E36=1,JI36=0),50000,0))+IF($H36=1,(IF('計算A'!U$117=1,INDEX('計算A'!U$10:U$54,$B36),0)+IF('計算A'!V$117=1,INDEX('計算A'!W$10:W$54,$B36),0))*4000,0)-IF(AND('計算A'!U$117=1,US36&gt;0),2000,0)-IF(AND($L36=1,'計算A'!V$117=1,DU36=0),2000,0))),1000000))</f>
        <v/>
      </c>
      <c r="OY36">
        <f>IF($B36=0,1000000,IF(INDEX('計算A'!$D$60:$EQ$104,$B36,20)*DU36=1,IF(AND($E36=2,JJ36=0),1000000,IF($I36&gt;0,IF(1=$J36,IF(OR(AND(20=$I36+1,OR($K36&lt;&gt;'計算A'!$A$3,'計算A'!$A$4=0)),AND(20=$I36-1,OR(20&lt;&gt;'計算A'!$A$3,'計算A'!$A$4=0))),0,IF(20=$K36,200000,ABS(20-$K36)*100)),100000+ABS(1-$J36)*1000+200)+'計算A'!W$5*50+IF(AND($E36=1,JJ36=0),25,0),IF($F36&gt;0,INDEX('計算A'!W$110:W$114,$F36+1)+IF(AND($E36=1,JJ36=0),1000,0),MIN(TU36,20)*400+(IF('計算A'!V$106=1,1-DT36,0)+IF('計算A'!W$106=1,1-DV36,0))*150+201+'計算A'!W$5*100000+IF(AND($E36=1,JJ36=0),50000,0))+IF($H36=1,(IF('計算A'!V$117=1,INDEX('計算A'!V$10:V$54,$B36),0)+IF('計算A'!W$117=1,INDEX('計算A'!X$10:X$54,$B36),0))*4000,0)-IF(AND('計算A'!V$117=1,UT36&gt;0),2000,0)-IF(AND($L36=1,'計算A'!W$117=1,DV36=0),2000,0))),1000000))</f>
        <v/>
      </c>
      <c r="OZ36">
        <f>IF($B36=0,1000000,IF(INDEX('計算A'!$D$60:$EQ$104,$B36,21)*DV36=1,IF(AND($E36=2,JK36=0),1000000,IF($I36&gt;0,IF(1=$J36,IF(OR(AND(21=$I36+1,OR($K36&lt;&gt;'計算A'!$A$3,'計算A'!$A$4=0)),AND(21=$I36-1,OR(21&lt;&gt;'計算A'!$A$3,'計算A'!$A$4=0))),0,IF(21=$K36,200000,ABS(21-$K36)*100)),100000+ABS(1-$J36)*1000+210)+'計算A'!X$5*50+IF(AND($E36=1,JK36=0),25,0),IF($F36&gt;0,INDEX('計算A'!X$110:X$114,$F36+1)+IF(AND($E36=1,JK36=0),1000,0),MIN(TU36,20)*400+(IF('計算A'!W$106=1,1-DU36,0)+IF('計算A'!X$106=1,1-DW36,0))*150+211+'計算A'!X$5*100000+IF(AND($E36=1,JK36=0),50000,0))+IF($H36=1,(IF('計算A'!W$117=1,INDEX('計算A'!W$10:W$54,$B36),0)+IF('計算A'!X$117=1,INDEX('計算A'!Y$10:Y$54,$B36),0))*4000,0)-IF(AND('計算A'!W$117=1,UU36&gt;0),2000,0)-IF(AND($L36=1,'計算A'!X$117=1,DW36=0),2000,0))),1000000))</f>
        <v/>
      </c>
      <c r="PA36">
        <f>IF($B36=0,1000000,IF(INDEX('計算A'!$D$60:$EQ$104,$B36,22)*DW36=1,IF(AND($E36=2,JL36=0),1000000,IF($I36&gt;0,IF(1=$J36,IF(OR(AND(22=$I36+1,OR($K36&lt;&gt;'計算A'!$A$3,'計算A'!$A$4=0)),AND(22=$I36-1,OR(22&lt;&gt;'計算A'!$A$3,'計算A'!$A$4=0))),0,IF(22=$K36,200000,ABS(22-$K36)*100)),100000+ABS(1-$J36)*1000+220)+'計算A'!Y$5*50+IF(AND($E36=1,JL36=0),25,0),IF($F36&gt;0,INDEX('計算A'!Y$110:Y$114,$F36+1)+IF(AND($E36=1,JL36=0),1000,0),MIN(TU36,20)*400+(IF('計算A'!X$106=1,1-DV36,0)+IF('計算A'!Y$106=1,1-DX36,0))*150+221+'計算A'!Y$5*100000+IF(AND($E36=1,JL36=0),50000,0))+IF($H36=1,(IF('計算A'!X$117=1,INDEX('計算A'!X$10:X$54,$B36),0)+IF('計算A'!Y$117=1,INDEX('計算A'!Z$10:Z$54,$B36),0))*4000,0)-IF(AND('計算A'!X$117=1,UV36&gt;0),2000,0)-IF(AND($L36=1,'計算A'!Y$117=1,DX36=0),2000,0))),1000000))</f>
        <v/>
      </c>
      <c r="PB36">
        <f>IF($B36=0,1000000,IF(INDEX('計算A'!$D$60:$EQ$104,$B36,23)*DX36=1,IF(AND($E36=2,JM36=0),1000000,IF($I36&gt;0,IF(1=$J36,IF(OR(AND(23=$I36+1,OR($K36&lt;&gt;'計算A'!$A$3,'計算A'!$A$4=0)),AND(23=$I36-1,OR(23&lt;&gt;'計算A'!$A$3,'計算A'!$A$4=0))),0,IF(23=$K36,200000,ABS(23-$K36)*100)),100000+ABS(1-$J36)*1000+230)+'計算A'!Z$5*50+IF(AND($E36=1,JM36=0),25,0),IF($F36&gt;0,INDEX('計算A'!Z$110:Z$114,$F36+1)+IF(AND($E36=1,JM36=0),1000,0),MIN(TU36,20)*400+(IF('計算A'!Y$106=1,1-DW36,0)+IF('計算A'!Z$106=1,1-DY36,0))*150+231+'計算A'!Z$5*100000+IF(AND($E36=1,JM36=0),50000,0))+IF($H36=1,(IF('計算A'!Y$117=1,INDEX('計算A'!Y$10:Y$54,$B36),0)+IF('計算A'!Z$117=1,INDEX('計算A'!AA$10:AA$54,$B36),0))*4000,0)-IF(AND('計算A'!Y$117=1,UW36&gt;0),2000,0)-IF(AND($L36=1,'計算A'!Z$117=1,DY36=0),2000,0))),1000000))</f>
        <v/>
      </c>
      <c r="PC36">
        <f>IF($B36=0,1000000,IF(INDEX('計算A'!$D$60:$EQ$104,$B36,24)*DY36=1,IF(AND($E36=2,JN36=0),1000000,IF($I36&gt;0,IF(1=$J36,IF(OR(AND(24=$I36+1,OR($K36&lt;&gt;'計算A'!$A$3,'計算A'!$A$4=0)),AND(24=$I36-1,OR(24&lt;&gt;'計算A'!$A$3,'計算A'!$A$4=0))),0,IF(24=$K36,200000,ABS(24-$K36)*100)),100000+ABS(1-$J36)*1000+240)+'計算A'!AA$5*50+IF(AND($E36=1,JN36=0),25,0),IF($F36&gt;0,INDEX('計算A'!AA$110:AA$114,$F36+1)+IF(AND($E36=1,JN36=0),1000,0),MIN(TU36,20)*400+(IF('計算A'!Z$106=1,1-DX36,0))*150+241+'計算A'!AA$5*100000+IF(AND($E36=1,JN36=0),50000,0))+IF($H36=1,(IF('計算A'!Z$117=1,INDEX('計算A'!Z$10:Z$54,$B36),0))*4000,0)-IF(AND('計算A'!Z$117=1,UX36&gt;0),2000,0))),1000000))</f>
        <v/>
      </c>
      <c r="PD36">
        <f>IF($B36=0,1000000,IF(INDEX('計算A'!$D$60:$EQ$104,$B36,25)*DZ36=1,IF(AND($E36=2,JO36=0),1000000,IF($I36&gt;0,IF(2=$J36,IF(OR(AND(25=$I36+1,OR($K36&lt;&gt;'計算A'!$A$3,'計算A'!$A$4=0)),AND(25=$I36-1,OR(1&lt;&gt;'計算A'!$A$3,'計算A'!$A$4=0))),0,IF(1=$K36,200000,ABS(1-$K36)*100)),100000+ABS(2-$J36)*1000+10)+'計算A'!AB$5*50+IF(AND($E36=1,JO36=0),25,0),IF($F36&gt;0,INDEX('計算A'!AB$110:AB$114,$F36+1)+IF(AND($E36=1,JO36=0),1000,0),MIN(TV36,20)*400+(IF('計算A'!AB$106=1,1-EA36,0))*150+12+'計算A'!AB$5*100000+IF(AND($E36=1,JO36=0),50000,0))+IF($H36=1,(IF('計算A'!AB$117=1,INDEX('計算A'!AC$10:AC$54,$B36),0))*4000,0)-IF(AND($L36=1,'計算A'!AB$117=1,EA36=0),2000,0))),1000000))</f>
        <v/>
      </c>
      <c r="PE36">
        <f>IF($B36=0,1000000,IF(INDEX('計算A'!$D$60:$EQ$104,$B36,26)*EA36=1,IF(AND($E36=2,JP36=0),1000000,IF($I36&gt;0,IF(2=$J36,IF(OR(AND(26=$I36+1,OR($K36&lt;&gt;'計算A'!$A$3,'計算A'!$A$4=0)),AND(26=$I36-1,OR(2&lt;&gt;'計算A'!$A$3,'計算A'!$A$4=0))),0,IF(2=$K36,200000,ABS(2-$K36)*100)),100000+ABS(2-$J36)*1000+20)+'計算A'!AC$5*50+IF(AND($E36=1,JP36=0),25,0),IF($F36&gt;0,INDEX('計算A'!AC$110:AC$114,$F36+1)+IF(AND($E36=1,JP36=0),1000,0),MIN(TV36,20)*400+(IF('計算A'!AB$106=1,1-DZ36,0)+IF('計算A'!AC$106=1,1-EB36,0))*150+22+'計算A'!AC$5*100000+IF(AND($E36=1,JP36=0),50000,0))+IF($H36=1,(IF('計算A'!AB$117=1,INDEX('計算A'!AB$10:AB$54,$B36),0)+IF('計算A'!AC$117=1,INDEX('計算A'!AD$10:AD$54,$B36),0))*4000,0)-IF(AND('計算A'!AB$117=1,UZ36&gt;0),2000,0)-IF(AND($L36=1,'計算A'!AC$117=1,EB36=0),2000,0))),1000000))</f>
        <v/>
      </c>
      <c r="PF36">
        <f>IF($B36=0,1000000,IF(INDEX('計算A'!$D$60:$EQ$104,$B36,27)*EB36=1,IF(AND($E36=2,JQ36=0),1000000,IF($I36&gt;0,IF(2=$J36,IF(OR(AND(27=$I36+1,OR($K36&lt;&gt;'計算A'!$A$3,'計算A'!$A$4=0)),AND(27=$I36-1,OR(3&lt;&gt;'計算A'!$A$3,'計算A'!$A$4=0))),0,IF(3=$K36,200000,ABS(3-$K36)*100)),100000+ABS(2-$J36)*1000+30)+'計算A'!AD$5*50+IF(AND($E36=1,JQ36=0),25,0),IF($F36&gt;0,INDEX('計算A'!AD$110:AD$114,$F36+1)+IF(AND($E36=1,JQ36=0),1000,0),MIN(TV36,20)*400+(IF('計算A'!AC$106=1,1-EA36,0)+IF('計算A'!AD$106=1,1-EC36,0))*150+32+'計算A'!AD$5*100000+IF(AND($E36=1,JQ36=0),50000,0))+IF($H36=1,(IF('計算A'!AC$117=1,INDEX('計算A'!AC$10:AC$54,$B36),0)+IF('計算A'!AD$117=1,INDEX('計算A'!AE$10:AE$54,$B36),0))*4000,0)-IF(AND('計算A'!AC$117=1,VA36&gt;0),2000,0)-IF(AND($L36=1,'計算A'!AD$117=1,EC36=0),2000,0))),1000000))</f>
        <v/>
      </c>
      <c r="PG36">
        <f>IF($B36=0,1000000,IF(INDEX('計算A'!$D$60:$EQ$104,$B36,28)*EC36=1,IF(AND($E36=2,JR36=0),1000000,IF($I36&gt;0,IF(2=$J36,IF(OR(AND(28=$I36+1,OR($K36&lt;&gt;'計算A'!$A$3,'計算A'!$A$4=0)),AND(28=$I36-1,OR(4&lt;&gt;'計算A'!$A$3,'計算A'!$A$4=0))),0,IF(4=$K36,200000,ABS(4-$K36)*100)),100000+ABS(2-$J36)*1000+40)+'計算A'!AE$5*50+IF(AND($E36=1,JR36=0),25,0),IF($F36&gt;0,INDEX('計算A'!AE$110:AE$114,$F36+1)+IF(AND($E36=1,JR36=0),1000,0),MIN(TV36,20)*400+(IF('計算A'!AD$106=1,1-EB36,0)+IF('計算A'!AE$106=1,1-ED36,0))*150+42+'計算A'!AE$5*100000+IF(AND($E36=1,JR36=0),50000,0))+IF($H36=1,(IF('計算A'!AD$117=1,INDEX('計算A'!AD$10:AD$54,$B36),0)+IF('計算A'!AE$117=1,INDEX('計算A'!AF$10:AF$54,$B36),0))*4000,0)-IF(AND('計算A'!AD$117=1,VB36&gt;0),2000,0)-IF(AND($L36=1,'計算A'!AE$117=1,ED36=0),2000,0))),1000000))</f>
        <v/>
      </c>
      <c r="PH36">
        <f>IF($B36=0,1000000,IF(INDEX('計算A'!$D$60:$EQ$104,$B36,29)*ED36=1,IF(AND($E36=2,JS36=0),1000000,IF($I36&gt;0,IF(2=$J36,IF(OR(AND(29=$I36+1,OR($K36&lt;&gt;'計算A'!$A$3,'計算A'!$A$4=0)),AND(29=$I36-1,OR(5&lt;&gt;'計算A'!$A$3,'計算A'!$A$4=0))),0,IF(5=$K36,200000,ABS(5-$K36)*100)),100000+ABS(2-$J36)*1000+50)+'計算A'!AF$5*50+IF(AND($E36=1,JS36=0),25,0),IF($F36&gt;0,INDEX('計算A'!AF$110:AF$114,$F36+1)+IF(AND($E36=1,JS36=0),1000,0),MIN(TV36,20)*400+(IF('計算A'!AE$106=1,1-EC36,0)+IF('計算A'!AF$106=1,1-EE36,0))*150+52+'計算A'!AF$5*100000+IF(AND($E36=1,JS36=0),50000,0))+IF($H36=1,(IF('計算A'!AE$117=1,INDEX('計算A'!AE$10:AE$54,$B36),0)+IF('計算A'!AF$117=1,INDEX('計算A'!AG$10:AG$54,$B36),0))*4000,0)-IF(AND('計算A'!AE$117=1,VC36&gt;0),2000,0)-IF(AND($L36=1,'計算A'!AF$117=1,EE36=0),2000,0))),1000000))</f>
        <v/>
      </c>
      <c r="PI36">
        <f>IF($B36=0,1000000,IF(INDEX('計算A'!$D$60:$EQ$104,$B36,30)*EE36=1,IF(AND($E36=2,JT36=0),1000000,IF($I36&gt;0,IF(2=$J36,IF(OR(AND(30=$I36+1,OR($K36&lt;&gt;'計算A'!$A$3,'計算A'!$A$4=0)),AND(30=$I36-1,OR(6&lt;&gt;'計算A'!$A$3,'計算A'!$A$4=0))),0,IF(6=$K36,200000,ABS(6-$K36)*100)),100000+ABS(2-$J36)*1000+60)+'計算A'!AG$5*50+IF(AND($E36=1,JT36=0),25,0),IF($F36&gt;0,INDEX('計算A'!AG$110:AG$114,$F36+1)+IF(AND($E36=1,JT36=0),1000,0),MIN(TV36,20)*400+(IF('計算A'!AF$106=1,1-ED36,0)+IF('計算A'!AG$106=1,1-EF36,0))*150+62+'計算A'!AG$5*100000+IF(AND($E36=1,JT36=0),50000,0))+IF($H36=1,(IF('計算A'!AF$117=1,INDEX('計算A'!AF$10:AF$54,$B36),0)+IF('計算A'!AG$117=1,INDEX('計算A'!AH$10:AH$54,$B36),0))*4000,0)-IF(AND('計算A'!AF$117=1,VD36&gt;0),2000,0)-IF(AND($L36=1,'計算A'!AG$117=1,EF36=0),2000,0))),1000000))</f>
        <v/>
      </c>
      <c r="PJ36">
        <f>IF($B36=0,1000000,IF(INDEX('計算A'!$D$60:$EQ$104,$B36,31)*EF36=1,IF(AND($E36=2,JU36=0),1000000,IF($I36&gt;0,IF(2=$J36,IF(OR(AND(31=$I36+1,OR($K36&lt;&gt;'計算A'!$A$3,'計算A'!$A$4=0)),AND(31=$I36-1,OR(7&lt;&gt;'計算A'!$A$3,'計算A'!$A$4=0))),0,IF(7=$K36,200000,ABS(7-$K36)*100)),100000+ABS(2-$J36)*1000+70)+'計算A'!AH$5*50+IF(AND($E36=1,JU36=0),25,0),IF($F36&gt;0,INDEX('計算A'!AH$110:AH$114,$F36+1)+IF(AND($E36=1,JU36=0),1000,0),MIN(TV36,20)*400+(IF('計算A'!AG$106=1,1-EE36,0)+IF('計算A'!AH$106=1,1-EG36,0))*150+72+'計算A'!AH$5*100000+IF(AND($E36=1,JU36=0),50000,0))+IF($H36=1,(IF('計算A'!AG$117=1,INDEX('計算A'!AG$10:AG$54,$B36),0)+IF('計算A'!AH$117=1,INDEX('計算A'!AI$10:AI$54,$B36),0))*4000,0)-IF(AND('計算A'!AG$117=1,VE36&gt;0),2000,0)-IF(AND($L36=1,'計算A'!AH$117=1,EG36=0),2000,0))),1000000))</f>
        <v/>
      </c>
      <c r="PK36">
        <f>IF($B36=0,1000000,IF(INDEX('計算A'!$D$60:$EQ$104,$B36,32)*EG36=1,IF(AND($E36=2,JV36=0),1000000,IF($I36&gt;0,IF(2=$J36,IF(OR(AND(32=$I36+1,OR($K36&lt;&gt;'計算A'!$A$3,'計算A'!$A$4=0)),AND(32=$I36-1,OR(8&lt;&gt;'計算A'!$A$3,'計算A'!$A$4=0))),0,IF(8=$K36,200000,ABS(8-$K36)*100)),100000+ABS(2-$J36)*1000+80)+'計算A'!AI$5*50+IF(AND($E36=1,JV36=0),25,0),IF($F36&gt;0,INDEX('計算A'!AI$110:AI$114,$F36+1)+IF(AND($E36=1,JV36=0),1000,0),MIN(TV36,20)*400+(IF('計算A'!AH$106=1,1-EF36,0)+IF('計算A'!AI$106=1,1-EH36,0))*150+82+'計算A'!AI$5*100000+IF(AND($E36=1,JV36=0),50000,0))+IF($H36=1,(IF('計算A'!AH$117=1,INDEX('計算A'!AH$10:AH$54,$B36),0)+IF('計算A'!AI$117=1,INDEX('計算A'!AJ$10:AJ$54,$B36),0))*4000,0)-IF(AND('計算A'!AH$117=1,VF36&gt;0),2000,0)-IF(AND($L36=1,'計算A'!AI$117=1,EH36=0),2000,0))),1000000))</f>
        <v/>
      </c>
      <c r="PL36">
        <f>IF($B36=0,1000000,IF(INDEX('計算A'!$D$60:$EQ$104,$B36,33)*EH36=1,IF(AND($E36=2,JW36=0),1000000,IF($I36&gt;0,IF(2=$J36,IF(OR(AND(33=$I36+1,OR($K36&lt;&gt;'計算A'!$A$3,'計算A'!$A$4=0)),AND(33=$I36-1,OR(9&lt;&gt;'計算A'!$A$3,'計算A'!$A$4=0))),0,IF(9=$K36,200000,ABS(9-$K36)*100)),100000+ABS(2-$J36)*1000+90)+'計算A'!AJ$5*50+IF(AND($E36=1,JW36=0),25,0),IF($F36&gt;0,INDEX('計算A'!AJ$110:AJ$114,$F36+1)+IF(AND($E36=1,JW36=0),1000,0),MIN(TV36,20)*400+(IF('計算A'!AI$106=1,1-EG36,0)+IF('計算A'!AJ$106=1,1-EI36,0))*150+92+'計算A'!AJ$5*100000+IF(AND($E36=1,JW36=0),50000,0))+IF($H36=1,(IF('計算A'!AI$117=1,INDEX('計算A'!AI$10:AI$54,$B36),0)+IF('計算A'!AJ$117=1,INDEX('計算A'!AK$10:AK$54,$B36),0))*4000,0)-IF(AND('計算A'!AI$117=1,VG36&gt;0),2000,0)-IF(AND($L36=1,'計算A'!AJ$117=1,EI36=0),2000,0))),1000000))</f>
        <v/>
      </c>
      <c r="PM36">
        <f>IF($B36=0,1000000,IF(INDEX('計算A'!$D$60:$EQ$104,$B36,34)*EI36=1,IF(AND($E36=2,JX36=0),1000000,IF($I36&gt;0,IF(2=$J36,IF(OR(AND(34=$I36+1,OR($K36&lt;&gt;'計算A'!$A$3,'計算A'!$A$4=0)),AND(34=$I36-1,OR(10&lt;&gt;'計算A'!$A$3,'計算A'!$A$4=0))),0,IF(10=$K36,200000,ABS(10-$K36)*100)),100000+ABS(2-$J36)*1000+100)+'計算A'!AK$5*50+IF(AND($E36=1,JX36=0),25,0),IF($F36&gt;0,INDEX('計算A'!AK$110:AK$114,$F36+1)+IF(AND($E36=1,JX36=0),1000,0),MIN(TV36,20)*400+(IF('計算A'!AJ$106=1,1-EH36,0)+IF('計算A'!AK$106=1,1-EJ36,0))*150+102+'計算A'!AK$5*100000+IF(AND($E36=1,JX36=0),50000,0))+IF($H36=1,(IF('計算A'!AJ$117=1,INDEX('計算A'!AJ$10:AJ$54,$B36),0)+IF('計算A'!AK$117=1,INDEX('計算A'!AL$10:AL$54,$B36),0))*4000,0)-IF(AND('計算A'!AJ$117=1,VH36&gt;0),2000,0)-IF(AND($L36=1,'計算A'!AK$117=1,EJ36=0),2000,0))),1000000))</f>
        <v/>
      </c>
      <c r="PN36">
        <f>IF($B36=0,1000000,IF(INDEX('計算A'!$D$60:$EQ$104,$B36,35)*EJ36=1,IF(AND($E36=2,JY36=0),1000000,IF($I36&gt;0,IF(2=$J36,IF(OR(AND(35=$I36+1,OR($K36&lt;&gt;'計算A'!$A$3,'計算A'!$A$4=0)),AND(35=$I36-1,OR(11&lt;&gt;'計算A'!$A$3,'計算A'!$A$4=0))),0,IF(11=$K36,200000,ABS(11-$K36)*100)),100000+ABS(2-$J36)*1000+110)+'計算A'!AL$5*50+IF(AND($E36=1,JY36=0),25,0),IF($F36&gt;0,INDEX('計算A'!AL$110:AL$114,$F36+1)+IF(AND($E36=1,JY36=0),1000,0),MIN(TV36,20)*400+(IF('計算A'!AK$106=1,1-EI36,0)+IF('計算A'!AL$106=1,1-EK36,0))*150+112+'計算A'!AL$5*100000+IF(AND($E36=1,JY36=0),50000,0))+IF($H36=1,(IF('計算A'!AK$117=1,INDEX('計算A'!AK$10:AK$54,$B36),0)+IF('計算A'!AL$117=1,INDEX('計算A'!AM$10:AM$54,$B36),0))*4000,0)-IF(AND('計算A'!AK$117=1,VI36&gt;0),2000,0)-IF(AND($L36=1,'計算A'!AL$117=1,EK36=0),2000,0))),1000000))</f>
        <v/>
      </c>
      <c r="PO36">
        <f>IF($B36=0,1000000,IF(INDEX('計算A'!$D$60:$EQ$104,$B36,36)*EK36=1,IF(AND($E36=2,JZ36=0),1000000,IF($I36&gt;0,IF(2=$J36,IF(OR(AND(36=$I36+1,OR($K36&lt;&gt;'計算A'!$A$3,'計算A'!$A$4=0)),AND(36=$I36-1,OR(12&lt;&gt;'計算A'!$A$3,'計算A'!$A$4=0))),0,IF(12=$K36,200000,ABS(12-$K36)*100)),100000+ABS(2-$J36)*1000+120)+'計算A'!AM$5*50+IF(AND($E36=1,JZ36=0),25,0),IF($F36&gt;0,INDEX('計算A'!AM$110:AM$114,$F36+1)+IF(AND($E36=1,JZ36=0),1000,0),MIN(TV36,20)*400+(IF('計算A'!AL$106=1,1-EJ36,0)+IF('計算A'!AM$106=1,1-EL36,0))*150+122+'計算A'!AM$5*100000+IF(AND($E36=1,JZ36=0),50000,0))+IF($H36=1,(IF('計算A'!AL$117=1,INDEX('計算A'!AL$10:AL$54,$B36),0)+IF('計算A'!AM$117=1,INDEX('計算A'!AN$10:AN$54,$B36),0))*4000,0)-IF(AND('計算A'!AL$117=1,VJ36&gt;0),2000,0)-IF(AND($L36=1,'計算A'!AM$117=1,EL36=0),2000,0))),1000000))</f>
        <v/>
      </c>
      <c r="PP36">
        <f>IF($B36=0,1000000,IF(INDEX('計算A'!$D$60:$EQ$104,$B36,37)*EL36=1,IF(AND($E36=2,KA36=0),1000000,IF($I36&gt;0,IF(2=$J36,IF(OR(AND(37=$I36+1,OR($K36&lt;&gt;'計算A'!$A$3,'計算A'!$A$4=0)),AND(37=$I36-1,OR(13&lt;&gt;'計算A'!$A$3,'計算A'!$A$4=0))),0,IF(13=$K36,200000,ABS(13-$K36)*100)),100000+ABS(2-$J36)*1000+130)+'計算A'!AN$5*50+IF(AND($E36=1,KA36=0),25,0),IF($F36&gt;0,INDEX('計算A'!AN$110:AN$114,$F36+1)+IF(AND($E36=1,KA36=0),1000,0),MIN(TV36,20)*400+(IF('計算A'!AM$106=1,1-EK36,0)+IF('計算A'!AN$106=1,1-EM36,0))*150+132+'計算A'!AN$5*100000+IF(AND($E36=1,KA36=0),50000,0))+IF($H36=1,(IF('計算A'!AM$117=1,INDEX('計算A'!AM$10:AM$54,$B36),0)+IF('計算A'!AN$117=1,INDEX('計算A'!AO$10:AO$54,$B36),0))*4000,0)-IF(AND('計算A'!AM$117=1,VK36&gt;0),2000,0)-IF(AND($L36=1,'計算A'!AN$117=1,EM36=0),2000,0))),1000000))</f>
        <v/>
      </c>
      <c r="PQ36">
        <f>IF($B36=0,1000000,IF(INDEX('計算A'!$D$60:$EQ$104,$B36,38)*EM36=1,IF(AND($E36=2,KB36=0),1000000,IF($I36&gt;0,IF(2=$J36,IF(OR(AND(38=$I36+1,OR($K36&lt;&gt;'計算A'!$A$3,'計算A'!$A$4=0)),AND(38=$I36-1,OR(14&lt;&gt;'計算A'!$A$3,'計算A'!$A$4=0))),0,IF(14=$K36,200000,ABS(14-$K36)*100)),100000+ABS(2-$J36)*1000+140)+'計算A'!AO$5*50+IF(AND($E36=1,KB36=0),25,0),IF($F36&gt;0,INDEX('計算A'!AO$110:AO$114,$F36+1)+IF(AND($E36=1,KB36=0),1000,0),MIN(TV36,20)*400+(IF('計算A'!AN$106=1,1-EL36,0)+IF('計算A'!AO$106=1,1-EN36,0))*150+142+'計算A'!AO$5*100000+IF(AND($E36=1,KB36=0),50000,0))+IF($H36=1,(IF('計算A'!AN$117=1,INDEX('計算A'!AN$10:AN$54,$B36),0)+IF('計算A'!AO$117=1,INDEX('計算A'!AP$10:AP$54,$B36),0))*4000,0)-IF(AND('計算A'!AN$117=1,VL36&gt;0),2000,0)-IF(AND($L36=1,'計算A'!AO$117=1,EN36=0),2000,0))),1000000))</f>
        <v/>
      </c>
      <c r="PR36">
        <f>IF($B36=0,1000000,IF(INDEX('計算A'!$D$60:$EQ$104,$B36,39)*EN36=1,IF(AND($E36=2,KC36=0),1000000,IF($I36&gt;0,IF(2=$J36,IF(OR(AND(39=$I36+1,OR($K36&lt;&gt;'計算A'!$A$3,'計算A'!$A$4=0)),AND(39=$I36-1,OR(15&lt;&gt;'計算A'!$A$3,'計算A'!$A$4=0))),0,IF(15=$K36,200000,ABS(15-$K36)*100)),100000+ABS(2-$J36)*1000+150)+'計算A'!AP$5*50+IF(AND($E36=1,KC36=0),25,0),IF($F36&gt;0,INDEX('計算A'!AP$110:AP$114,$F36+1)+IF(AND($E36=1,KC36=0),1000,0),MIN(TV36,20)*400+(IF('計算A'!AO$106=1,1-EM36,0)+IF('計算A'!AP$106=1,1-EO36,0))*150+152+'計算A'!AP$5*100000+IF(AND($E36=1,KC36=0),50000,0))+IF($H36=1,(IF('計算A'!AO$117=1,INDEX('計算A'!AO$10:AO$54,$B36),0)+IF('計算A'!AP$117=1,INDEX('計算A'!AQ$10:AQ$54,$B36),0))*4000,0)-IF(AND('計算A'!AO$117=1,VM36&gt;0),2000,0)-IF(AND($L36=1,'計算A'!AP$117=1,EO36=0),2000,0))),1000000))</f>
        <v/>
      </c>
      <c r="PS36">
        <f>IF($B36=0,1000000,IF(INDEX('計算A'!$D$60:$EQ$104,$B36,40)*EO36=1,IF(AND($E36=2,KD36=0),1000000,IF($I36&gt;0,IF(2=$J36,IF(OR(AND(40=$I36+1,OR($K36&lt;&gt;'計算A'!$A$3,'計算A'!$A$4=0)),AND(40=$I36-1,OR(16&lt;&gt;'計算A'!$A$3,'計算A'!$A$4=0))),0,IF(16=$K36,200000,ABS(16-$K36)*100)),100000+ABS(2-$J36)*1000+160)+'計算A'!AQ$5*50+IF(AND($E36=1,KD36=0),25,0),IF($F36&gt;0,INDEX('計算A'!AQ$110:AQ$114,$F36+1)+IF(AND($E36=1,KD36=0),1000,0),MIN(TV36,20)*400+(IF('計算A'!AP$106=1,1-EN36,0)+IF('計算A'!AQ$106=1,1-EP36,0))*150+162+'計算A'!AQ$5*100000+IF(AND($E36=1,KD36=0),50000,0))+IF($H36=1,(IF('計算A'!AP$117=1,INDEX('計算A'!AP$10:AP$54,$B36),0)+IF('計算A'!AQ$117=1,INDEX('計算A'!AR$10:AR$54,$B36),0))*4000,0)-IF(AND('計算A'!AP$117=1,VN36&gt;0),2000,0)-IF(AND($L36=1,'計算A'!AQ$117=1,EP36=0),2000,0))),1000000))</f>
        <v/>
      </c>
      <c r="PT36">
        <f>IF($B36=0,1000000,IF(INDEX('計算A'!$D$60:$EQ$104,$B36,41)*EP36=1,IF(AND($E36=2,KE36=0),1000000,IF($I36&gt;0,IF(2=$J36,IF(OR(AND(41=$I36+1,OR($K36&lt;&gt;'計算A'!$A$3,'計算A'!$A$4=0)),AND(41=$I36-1,OR(17&lt;&gt;'計算A'!$A$3,'計算A'!$A$4=0))),0,IF(17=$K36,200000,ABS(17-$K36)*100)),100000+ABS(2-$J36)*1000+170)+'計算A'!AR$5*50+IF(AND($E36=1,KE36=0),25,0),IF($F36&gt;0,INDEX('計算A'!AR$110:AR$114,$F36+1)+IF(AND($E36=1,KE36=0),1000,0),MIN(TV36,20)*400+(IF('計算A'!AQ$106=1,1-EO36,0)+IF('計算A'!AR$106=1,1-EQ36,0))*150+172+'計算A'!AR$5*100000+IF(AND($E36=1,KE36=0),50000,0))+IF($H36=1,(IF('計算A'!AQ$117=1,INDEX('計算A'!AQ$10:AQ$54,$B36),0)+IF('計算A'!AR$117=1,INDEX('計算A'!AS$10:AS$54,$B36),0))*4000,0)-IF(AND('計算A'!AQ$117=1,VO36&gt;0),2000,0)-IF(AND($L36=1,'計算A'!AR$117=1,EQ36=0),2000,0))),1000000))</f>
        <v/>
      </c>
      <c r="PU36">
        <f>IF($B36=0,1000000,IF(INDEX('計算A'!$D$60:$EQ$104,$B36,42)*EQ36=1,IF(AND($E36=2,KF36=0),1000000,IF($I36&gt;0,IF(2=$J36,IF(OR(AND(42=$I36+1,OR($K36&lt;&gt;'計算A'!$A$3,'計算A'!$A$4=0)),AND(42=$I36-1,OR(18&lt;&gt;'計算A'!$A$3,'計算A'!$A$4=0))),0,IF(18=$K36,200000,ABS(18-$K36)*100)),100000+ABS(2-$J36)*1000+180)+'計算A'!AS$5*50+IF(AND($E36=1,KF36=0),25,0),IF($F36&gt;0,INDEX('計算A'!AS$110:AS$114,$F36+1)+IF(AND($E36=1,KF36=0),1000,0),MIN(TV36,20)*400+(IF('計算A'!AR$106=1,1-EP36,0)+IF('計算A'!AS$106=1,1-ER36,0))*150+182+'計算A'!AS$5*100000+IF(AND($E36=1,KF36=0),50000,0))+IF($H36=1,(IF('計算A'!AR$117=1,INDEX('計算A'!AR$10:AR$54,$B36),0)+IF('計算A'!AS$117=1,INDEX('計算A'!AT$10:AT$54,$B36),0))*4000,0)-IF(AND('計算A'!AR$117=1,VP36&gt;0),2000,0)-IF(AND($L36=1,'計算A'!AS$117=1,ER36=0),2000,0))),1000000))</f>
        <v/>
      </c>
      <c r="PV36">
        <f>IF($B36=0,1000000,IF(INDEX('計算A'!$D$60:$EQ$104,$B36,43)*ER36=1,IF(AND($E36=2,KG36=0),1000000,IF($I36&gt;0,IF(2=$J36,IF(OR(AND(43=$I36+1,OR($K36&lt;&gt;'計算A'!$A$3,'計算A'!$A$4=0)),AND(43=$I36-1,OR(19&lt;&gt;'計算A'!$A$3,'計算A'!$A$4=0))),0,IF(19=$K36,200000,ABS(19-$K36)*100)),100000+ABS(2-$J36)*1000+190)+'計算A'!AT$5*50+IF(AND($E36=1,KG36=0),25,0),IF($F36&gt;0,INDEX('計算A'!AT$110:AT$114,$F36+1)+IF(AND($E36=1,KG36=0),1000,0),MIN(TV36,20)*400+(IF('計算A'!AS$106=1,1-EQ36,0)+IF('計算A'!AT$106=1,1-ES36,0))*150+192+'計算A'!AT$5*100000+IF(AND($E36=1,KG36=0),50000,0))+IF($H36=1,(IF('計算A'!AS$117=1,INDEX('計算A'!AS$10:AS$54,$B36),0)+IF('計算A'!AT$117=1,INDEX('計算A'!AU$10:AU$54,$B36),0))*4000,0)-IF(AND('計算A'!AS$117=1,VQ36&gt;0),2000,0)-IF(AND($L36=1,'計算A'!AT$117=1,ES36=0),2000,0))),1000000))</f>
        <v/>
      </c>
      <c r="PW36">
        <f>IF($B36=0,1000000,IF(INDEX('計算A'!$D$60:$EQ$104,$B36,44)*ES36=1,IF(AND($E36=2,KH36=0),1000000,IF($I36&gt;0,IF(2=$J36,IF(OR(AND(44=$I36+1,OR($K36&lt;&gt;'計算A'!$A$3,'計算A'!$A$4=0)),AND(44=$I36-1,OR(20&lt;&gt;'計算A'!$A$3,'計算A'!$A$4=0))),0,IF(20=$K36,200000,ABS(20-$K36)*100)),100000+ABS(2-$J36)*1000+200)+'計算A'!AU$5*50+IF(AND($E36=1,KH36=0),25,0),IF($F36&gt;0,INDEX('計算A'!AU$110:AU$114,$F36+1)+IF(AND($E36=1,KH36=0),1000,0),MIN(TV36,20)*400+(IF('計算A'!AT$106=1,1-ER36,0)+IF('計算A'!AU$106=1,1-ET36,0))*150+202+'計算A'!AU$5*100000+IF(AND($E36=1,KH36=0),50000,0))+IF($H36=1,(IF('計算A'!AT$117=1,INDEX('計算A'!AT$10:AT$54,$B36),0)+IF('計算A'!AU$117=1,INDEX('計算A'!AV$10:AV$54,$B36),0))*4000,0)-IF(AND('計算A'!AT$117=1,VR36&gt;0),2000,0)-IF(AND($L36=1,'計算A'!AU$117=1,ET36=0),2000,0))),1000000))</f>
        <v/>
      </c>
      <c r="PX36">
        <f>IF($B36=0,1000000,IF(INDEX('計算A'!$D$60:$EQ$104,$B36,45)*ET36=1,IF(AND($E36=2,KI36=0),1000000,IF($I36&gt;0,IF(2=$J36,IF(OR(AND(45=$I36+1,OR($K36&lt;&gt;'計算A'!$A$3,'計算A'!$A$4=0)),AND(45=$I36-1,OR(21&lt;&gt;'計算A'!$A$3,'計算A'!$A$4=0))),0,IF(21=$K36,200000,ABS(21-$K36)*100)),100000+ABS(2-$J36)*1000+210)+'計算A'!AV$5*50+IF(AND($E36=1,KI36=0),25,0),IF($F36&gt;0,INDEX('計算A'!AV$110:AV$114,$F36+1)+IF(AND($E36=1,KI36=0),1000,0),MIN(TV36,20)*400+(IF('計算A'!AU$106=1,1-ES36,0)+IF('計算A'!AV$106=1,1-EU36,0))*150+212+'計算A'!AV$5*100000+IF(AND($E36=1,KI36=0),50000,0))+IF($H36=1,(IF('計算A'!AU$117=1,INDEX('計算A'!AU$10:AU$54,$B36),0)+IF('計算A'!AV$117=1,INDEX('計算A'!AW$10:AW$54,$B36),0))*4000,0)-IF(AND('計算A'!AU$117=1,VS36&gt;0),2000,0)-IF(AND($L36=1,'計算A'!AV$117=1,EU36=0),2000,0))),1000000))</f>
        <v/>
      </c>
      <c r="PY36">
        <f>IF($B36=0,1000000,IF(INDEX('計算A'!$D$60:$EQ$104,$B36,46)*EU36=1,IF(AND($E36=2,KJ36=0),1000000,IF($I36&gt;0,IF(2=$J36,IF(OR(AND(46=$I36+1,OR($K36&lt;&gt;'計算A'!$A$3,'計算A'!$A$4=0)),AND(46=$I36-1,OR(22&lt;&gt;'計算A'!$A$3,'計算A'!$A$4=0))),0,IF(22=$K36,200000,ABS(22-$K36)*100)),100000+ABS(2-$J36)*1000+220)+'計算A'!AW$5*50+IF(AND($E36=1,KJ36=0),25,0),IF($F36&gt;0,INDEX('計算A'!AW$110:AW$114,$F36+1)+IF(AND($E36=1,KJ36=0),1000,0),MIN(TV36,20)*400+(IF('計算A'!AV$106=1,1-ET36,0)+IF('計算A'!AW$106=1,1-EV36,0))*150+222+'計算A'!AW$5*100000+IF(AND($E36=1,KJ36=0),50000,0))+IF($H36=1,(IF('計算A'!AV$117=1,INDEX('計算A'!AV$10:AV$54,$B36),0)+IF('計算A'!AW$117=1,INDEX('計算A'!AX$10:AX$54,$B36),0))*4000,0)-IF(AND('計算A'!AV$117=1,VT36&gt;0),2000,0)-IF(AND($L36=1,'計算A'!AW$117=1,EV36=0),2000,0))),1000000))</f>
        <v/>
      </c>
      <c r="PZ36">
        <f>IF($B36=0,1000000,IF(INDEX('計算A'!$D$60:$EQ$104,$B36,47)*EV36=1,IF(AND($E36=2,KK36=0),1000000,IF($I36&gt;0,IF(2=$J36,IF(OR(AND(47=$I36+1,OR($K36&lt;&gt;'計算A'!$A$3,'計算A'!$A$4=0)),AND(47=$I36-1,OR(23&lt;&gt;'計算A'!$A$3,'計算A'!$A$4=0))),0,IF(23=$K36,200000,ABS(23-$K36)*100)),100000+ABS(2-$J36)*1000+230)+'計算A'!AX$5*50+IF(AND($E36=1,KK36=0),25,0),IF($F36&gt;0,INDEX('計算A'!AX$110:AX$114,$F36+1)+IF(AND($E36=1,KK36=0),1000,0),MIN(TV36,20)*400+(IF('計算A'!AW$106=1,1-EU36,0)+IF('計算A'!AX$106=1,1-EW36,0))*150+232+'計算A'!AX$5*100000+IF(AND($E36=1,KK36=0),50000,0))+IF($H36=1,(IF('計算A'!AW$117=1,INDEX('計算A'!AW$10:AW$54,$B36),0)+IF('計算A'!AX$117=1,INDEX('計算A'!AY$10:AY$54,$B36),0))*4000,0)-IF(AND('計算A'!AW$117=1,VU36&gt;0),2000,0)-IF(AND($L36=1,'計算A'!AX$117=1,EW36=0),2000,0))),1000000))</f>
        <v/>
      </c>
      <c r="QA36">
        <f>IF($B36=0,1000000,IF(INDEX('計算A'!$D$60:$EQ$104,$B36,48)*EW36=1,IF(AND($E36=2,KL36=0),1000000,IF($I36&gt;0,IF(2=$J36,IF(OR(AND(48=$I36+1,OR($K36&lt;&gt;'計算A'!$A$3,'計算A'!$A$4=0)),AND(48=$I36-1,OR(24&lt;&gt;'計算A'!$A$3,'計算A'!$A$4=0))),0,IF(24=$K36,200000,ABS(24-$K36)*100)),100000+ABS(2-$J36)*1000+240)+'計算A'!AY$5*50+IF(AND($E36=1,KL36=0),25,0),IF($F36&gt;0,INDEX('計算A'!AY$110:AY$114,$F36+1)+IF(AND($E36=1,KL36=0),1000,0),MIN(TV36,20)*400+(IF('計算A'!AX$106=1,1-EV36,0))*150+242+'計算A'!AY$5*100000+IF(AND($E36=1,KL36=0),50000,0))+IF($H36=1,(IF('計算A'!AX$117=1,INDEX('計算A'!AX$10:AX$54,$B36),0))*4000,0)-IF(AND('計算A'!AX$117=1,VV36&gt;0),2000,0))),1000000))</f>
        <v/>
      </c>
      <c r="QB36">
        <f>IF($B36=0,1000000,IF(INDEX('計算A'!$D$60:$EQ$104,$B36,49)*EX36=1,IF(AND($E36=2,KM36=0),1000000,IF($I36&gt;0,IF(3=$J36,IF(OR(AND(49=$I36+1,OR($K36&lt;&gt;'計算A'!$A$3,'計算A'!$A$4=0)),AND(49=$I36-1,OR(1&lt;&gt;'計算A'!$A$3,'計算A'!$A$4=0))),0,IF(1=$K36,200000,ABS(1-$K36)*100)),100000+ABS(3-$J36)*1000+10)+'計算A'!AZ$5*50+IF(AND($E36=1,KM36=0),25,0),IF($F36&gt;0,INDEX('計算A'!AZ$110:AZ$114,$F36+1)+IF(AND($E36=1,KM36=0),1000,0),MIN(TW36,20)*400+(IF('計算A'!AZ$106=1,1-EY36,0))*150+13+'計算A'!AZ$5*100000+IF(AND($E36=1,KM36=0),50000,0))+IF($H36=1,(IF('計算A'!AZ$117=1,INDEX('計算A'!BA$10:BA$54,$B36),0))*4000,0)-IF(AND($L36=1,'計算A'!AZ$117=1,EY36=0),2000,0))),1000000))</f>
        <v/>
      </c>
      <c r="QC36">
        <f>IF($B36=0,1000000,IF(INDEX('計算A'!$D$60:$EQ$104,$B36,50)*EY36=1,IF(AND($E36=2,KN36=0),1000000,IF($I36&gt;0,IF(3=$J36,IF(OR(AND(50=$I36+1,OR($K36&lt;&gt;'計算A'!$A$3,'計算A'!$A$4=0)),AND(50=$I36-1,OR(2&lt;&gt;'計算A'!$A$3,'計算A'!$A$4=0))),0,IF(2=$K36,200000,ABS(2-$K36)*100)),100000+ABS(3-$J36)*1000+20)+'計算A'!BA$5*50+IF(AND($E36=1,KN36=0),25,0),IF($F36&gt;0,INDEX('計算A'!BA$110:BA$114,$F36+1)+IF(AND($E36=1,KN36=0),1000,0),MIN(TW36,20)*400+(IF('計算A'!AZ$106=1,1-EX36,0)+IF('計算A'!BA$106=1,1-EZ36,0))*150+23+'計算A'!BA$5*100000+IF(AND($E36=1,KN36=0),50000,0))+IF($H36=1,(IF('計算A'!AZ$117=1,INDEX('計算A'!AZ$10:AZ$54,$B36),0)+IF('計算A'!BA$117=1,INDEX('計算A'!BB$10:BB$54,$B36),0))*4000,0)-IF(AND('計算A'!AZ$117=1,VX36&gt;0),2000,0)-IF(AND($L36=1,'計算A'!BA$117=1,EZ36=0),2000,0))),1000000))</f>
        <v/>
      </c>
      <c r="QD36">
        <f>IF($B36=0,1000000,IF(INDEX('計算A'!$D$60:$EQ$104,$B36,51)*EZ36=1,IF(AND($E36=2,KO36=0),1000000,IF($I36&gt;0,IF(3=$J36,IF(OR(AND(51=$I36+1,OR($K36&lt;&gt;'計算A'!$A$3,'計算A'!$A$4=0)),AND(51=$I36-1,OR(3&lt;&gt;'計算A'!$A$3,'計算A'!$A$4=0))),0,IF(3=$K36,200000,ABS(3-$K36)*100)),100000+ABS(3-$J36)*1000+30)+'計算A'!BB$5*50+IF(AND($E36=1,KO36=0),25,0),IF($F36&gt;0,INDEX('計算A'!BB$110:BB$114,$F36+1)+IF(AND($E36=1,KO36=0),1000,0),MIN(TW36,20)*400+(IF('計算A'!BA$106=1,1-EY36,0)+IF('計算A'!BB$106=1,1-FA36,0))*150+33+'計算A'!BB$5*100000+IF(AND($E36=1,KO36=0),50000,0))+IF($H36=1,(IF('計算A'!BA$117=1,INDEX('計算A'!BA$10:BA$54,$B36),0)+IF('計算A'!BB$117=1,INDEX('計算A'!BC$10:BC$54,$B36),0))*4000,0)-IF(AND('計算A'!BA$117=1,VY36&gt;0),2000,0)-IF(AND($L36=1,'計算A'!BB$117=1,FA36=0),2000,0))),1000000))</f>
        <v/>
      </c>
      <c r="QE36">
        <f>IF($B36=0,1000000,IF(INDEX('計算A'!$D$60:$EQ$104,$B36,52)*FA36=1,IF(AND($E36=2,KP36=0),1000000,IF($I36&gt;0,IF(3=$J36,IF(OR(AND(52=$I36+1,OR($K36&lt;&gt;'計算A'!$A$3,'計算A'!$A$4=0)),AND(52=$I36-1,OR(4&lt;&gt;'計算A'!$A$3,'計算A'!$A$4=0))),0,IF(4=$K36,200000,ABS(4-$K36)*100)),100000+ABS(3-$J36)*1000+40)+'計算A'!BC$5*50+IF(AND($E36=1,KP36=0),25,0),IF($F36&gt;0,INDEX('計算A'!BC$110:BC$114,$F36+1)+IF(AND($E36=1,KP36=0),1000,0),MIN(TW36,20)*400+(IF('計算A'!BB$106=1,1-EZ36,0)+IF('計算A'!BC$106=1,1-FB36,0))*150+43+'計算A'!BC$5*100000+IF(AND($E36=1,KP36=0),50000,0))+IF($H36=1,(IF('計算A'!BB$117=1,INDEX('計算A'!BB$10:BB$54,$B36),0)+IF('計算A'!BC$117=1,INDEX('計算A'!BD$10:BD$54,$B36),0))*4000,0)-IF(AND('計算A'!BB$117=1,VZ36&gt;0),2000,0)-IF(AND($L36=1,'計算A'!BC$117=1,FB36=0),2000,0))),1000000))</f>
        <v/>
      </c>
      <c r="QF36">
        <f>IF($B36=0,1000000,IF(INDEX('計算A'!$D$60:$EQ$104,$B36,53)*FB36=1,IF(AND($E36=2,KQ36=0),1000000,IF($I36&gt;0,IF(3=$J36,IF(OR(AND(53=$I36+1,OR($K36&lt;&gt;'計算A'!$A$3,'計算A'!$A$4=0)),AND(53=$I36-1,OR(5&lt;&gt;'計算A'!$A$3,'計算A'!$A$4=0))),0,IF(5=$K36,200000,ABS(5-$K36)*100)),100000+ABS(3-$J36)*1000+50)+'計算A'!BD$5*50+IF(AND($E36=1,KQ36=0),25,0),IF($F36&gt;0,INDEX('計算A'!BD$110:BD$114,$F36+1)+IF(AND($E36=1,KQ36=0),1000,0),MIN(TW36,20)*400+(IF('計算A'!BC$106=1,1-FA36,0)+IF('計算A'!BD$106=1,1-FC36,0))*150+53+'計算A'!BD$5*100000+IF(AND($E36=1,KQ36=0),50000,0))+IF($H36=1,(IF('計算A'!BC$117=1,INDEX('計算A'!BC$10:BC$54,$B36),0)+IF('計算A'!BD$117=1,INDEX('計算A'!BE$10:BE$54,$B36),0))*4000,0)-IF(AND('計算A'!BC$117=1,WA36&gt;0),2000,0)-IF(AND($L36=1,'計算A'!BD$117=1,FC36=0),2000,0))),1000000))</f>
        <v/>
      </c>
      <c r="QG36">
        <f>IF($B36=0,1000000,IF(INDEX('計算A'!$D$60:$EQ$104,$B36,54)*FC36=1,IF(AND($E36=2,KR36=0),1000000,IF($I36&gt;0,IF(3=$J36,IF(OR(AND(54=$I36+1,OR($K36&lt;&gt;'計算A'!$A$3,'計算A'!$A$4=0)),AND(54=$I36-1,OR(6&lt;&gt;'計算A'!$A$3,'計算A'!$A$4=0))),0,IF(6=$K36,200000,ABS(6-$K36)*100)),100000+ABS(3-$J36)*1000+60)+'計算A'!BE$5*50+IF(AND($E36=1,KR36=0),25,0),IF($F36&gt;0,INDEX('計算A'!BE$110:BE$114,$F36+1)+IF(AND($E36=1,KR36=0),1000,0),MIN(TW36,20)*400+(IF('計算A'!BD$106=1,1-FB36,0)+IF('計算A'!BE$106=1,1-FD36,0))*150+63+'計算A'!BE$5*100000+IF(AND($E36=1,KR36=0),50000,0))+IF($H36=1,(IF('計算A'!BD$117=1,INDEX('計算A'!BD$10:BD$54,$B36),0)+IF('計算A'!BE$117=1,INDEX('計算A'!BF$10:BF$54,$B36),0))*4000,0)-IF(AND('計算A'!BD$117=1,WB36&gt;0),2000,0)-IF(AND($L36=1,'計算A'!BE$117=1,FD36=0),2000,0))),1000000))</f>
        <v/>
      </c>
      <c r="QH36">
        <f>IF($B36=0,1000000,IF(INDEX('計算A'!$D$60:$EQ$104,$B36,55)*FD36=1,IF(AND($E36=2,KS36=0),1000000,IF($I36&gt;0,IF(3=$J36,IF(OR(AND(55=$I36+1,OR($K36&lt;&gt;'計算A'!$A$3,'計算A'!$A$4=0)),AND(55=$I36-1,OR(7&lt;&gt;'計算A'!$A$3,'計算A'!$A$4=0))),0,IF(7=$K36,200000,ABS(7-$K36)*100)),100000+ABS(3-$J36)*1000+70)+'計算A'!BF$5*50+IF(AND($E36=1,KS36=0),25,0),IF($F36&gt;0,INDEX('計算A'!BF$110:BF$114,$F36+1)+IF(AND($E36=1,KS36=0),1000,0),MIN(TW36,20)*400+(IF('計算A'!BE$106=1,1-FC36,0)+IF('計算A'!BF$106=1,1-FE36,0))*150+73+'計算A'!BF$5*100000+IF(AND($E36=1,KS36=0),50000,0))+IF($H36=1,(IF('計算A'!BE$117=1,INDEX('計算A'!BE$10:BE$54,$B36),0)+IF('計算A'!BF$117=1,INDEX('計算A'!BG$10:BG$54,$B36),0))*4000,0)-IF(AND('計算A'!BE$117=1,WC36&gt;0),2000,0)-IF(AND($L36=1,'計算A'!BF$117=1,FE36=0),2000,0))),1000000))</f>
        <v/>
      </c>
      <c r="QI36">
        <f>IF($B36=0,1000000,IF(INDEX('計算A'!$D$60:$EQ$104,$B36,56)*FE36=1,IF(AND($E36=2,KT36=0),1000000,IF($I36&gt;0,IF(3=$J36,IF(OR(AND(56=$I36+1,OR($K36&lt;&gt;'計算A'!$A$3,'計算A'!$A$4=0)),AND(56=$I36-1,OR(8&lt;&gt;'計算A'!$A$3,'計算A'!$A$4=0))),0,IF(8=$K36,200000,ABS(8-$K36)*100)),100000+ABS(3-$J36)*1000+80)+'計算A'!BG$5*50+IF(AND($E36=1,KT36=0),25,0),IF($F36&gt;0,INDEX('計算A'!BG$110:BG$114,$F36+1)+IF(AND($E36=1,KT36=0),1000,0),MIN(TW36,20)*400+(IF('計算A'!BF$106=1,1-FD36,0)+IF('計算A'!BG$106=1,1-FF36,0))*150+83+'計算A'!BG$5*100000+IF(AND($E36=1,KT36=0),50000,0))+IF($H36=1,(IF('計算A'!BF$117=1,INDEX('計算A'!BF$10:BF$54,$B36),0)+IF('計算A'!BG$117=1,INDEX('計算A'!BH$10:BH$54,$B36),0))*4000,0)-IF(AND('計算A'!BF$117=1,WD36&gt;0),2000,0)-IF(AND($L36=1,'計算A'!BG$117=1,FF36=0),2000,0))),1000000))</f>
        <v/>
      </c>
      <c r="QJ36">
        <f>IF($B36=0,1000000,IF(INDEX('計算A'!$D$60:$EQ$104,$B36,57)*FF36=1,IF(AND($E36=2,KU36=0),1000000,IF($I36&gt;0,IF(3=$J36,IF(OR(AND(57=$I36+1,OR($K36&lt;&gt;'計算A'!$A$3,'計算A'!$A$4=0)),AND(57=$I36-1,OR(9&lt;&gt;'計算A'!$A$3,'計算A'!$A$4=0))),0,IF(9=$K36,200000,ABS(9-$K36)*100)),100000+ABS(3-$J36)*1000+90)+'計算A'!BH$5*50+IF(AND($E36=1,KU36=0),25,0),IF($F36&gt;0,INDEX('計算A'!BH$110:BH$114,$F36+1)+IF(AND($E36=1,KU36=0),1000,0),MIN(TW36,20)*400+(IF('計算A'!BG$106=1,1-FE36,0)+IF('計算A'!BH$106=1,1-FG36,0))*150+93+'計算A'!BH$5*100000+IF(AND($E36=1,KU36=0),50000,0))+IF($H36=1,(IF('計算A'!BG$117=1,INDEX('計算A'!BG$10:BG$54,$B36),0)+IF('計算A'!BH$117=1,INDEX('計算A'!BI$10:BI$54,$B36),0))*4000,0)-IF(AND('計算A'!BG$117=1,WE36&gt;0),2000,0)-IF(AND($L36=1,'計算A'!BH$117=1,FG36=0),2000,0))),1000000))</f>
        <v/>
      </c>
      <c r="QK36">
        <f>IF($B36=0,1000000,IF(INDEX('計算A'!$D$60:$EQ$104,$B36,58)*FG36=1,IF(AND($E36=2,KV36=0),1000000,IF($I36&gt;0,IF(3=$J36,IF(OR(AND(58=$I36+1,OR($K36&lt;&gt;'計算A'!$A$3,'計算A'!$A$4=0)),AND(58=$I36-1,OR(10&lt;&gt;'計算A'!$A$3,'計算A'!$A$4=0))),0,IF(10=$K36,200000,ABS(10-$K36)*100)),100000+ABS(3-$J36)*1000+100)+'計算A'!BI$5*50+IF(AND($E36=1,KV36=0),25,0),IF($F36&gt;0,INDEX('計算A'!BI$110:BI$114,$F36+1)+IF(AND($E36=1,KV36=0),1000,0),MIN(TW36,20)*400+(IF('計算A'!BH$106=1,1-FF36,0)+IF('計算A'!BI$106=1,1-FH36,0))*150+103+'計算A'!BI$5*100000+IF(AND($E36=1,KV36=0),50000,0))+IF($H36=1,(IF('計算A'!BH$117=1,INDEX('計算A'!BH$10:BH$54,$B36),0)+IF('計算A'!BI$117=1,INDEX('計算A'!BJ$10:BJ$54,$B36),0))*4000,0)-IF(AND('計算A'!BH$117=1,WF36&gt;0),2000,0)-IF(AND($L36=1,'計算A'!BI$117=1,FH36=0),2000,0))),1000000))</f>
        <v/>
      </c>
      <c r="QL36">
        <f>IF($B36=0,1000000,IF(INDEX('計算A'!$D$60:$EQ$104,$B36,59)*FH36=1,IF(AND($E36=2,KW36=0),1000000,IF($I36&gt;0,IF(3=$J36,IF(OR(AND(59=$I36+1,OR($K36&lt;&gt;'計算A'!$A$3,'計算A'!$A$4=0)),AND(59=$I36-1,OR(11&lt;&gt;'計算A'!$A$3,'計算A'!$A$4=0))),0,IF(11=$K36,200000,ABS(11-$K36)*100)),100000+ABS(3-$J36)*1000+110)+'計算A'!BJ$5*50+IF(AND($E36=1,KW36=0),25,0),IF($F36&gt;0,INDEX('計算A'!BJ$110:BJ$114,$F36+1)+IF(AND($E36=1,KW36=0),1000,0),MIN(TW36,20)*400+(IF('計算A'!BI$106=1,1-FG36,0)+IF('計算A'!BJ$106=1,1-FI36,0))*150+113+'計算A'!BJ$5*100000+IF(AND($E36=1,KW36=0),50000,0))+IF($H36=1,(IF('計算A'!BI$117=1,INDEX('計算A'!BI$10:BI$54,$B36),0)+IF('計算A'!BJ$117=1,INDEX('計算A'!BK$10:BK$54,$B36),0))*4000,0)-IF(AND('計算A'!BI$117=1,WG36&gt;0),2000,0)-IF(AND($L36=1,'計算A'!BJ$117=1,FI36=0),2000,0))),1000000))</f>
        <v/>
      </c>
      <c r="QM36">
        <f>IF($B36=0,1000000,IF(INDEX('計算A'!$D$60:$EQ$104,$B36,60)*FI36=1,IF(AND($E36=2,KX36=0),1000000,IF($I36&gt;0,IF(3=$J36,IF(OR(AND(60=$I36+1,OR($K36&lt;&gt;'計算A'!$A$3,'計算A'!$A$4=0)),AND(60=$I36-1,OR(12&lt;&gt;'計算A'!$A$3,'計算A'!$A$4=0))),0,IF(12=$K36,200000,ABS(12-$K36)*100)),100000+ABS(3-$J36)*1000+120)+'計算A'!BK$5*50+IF(AND($E36=1,KX36=0),25,0),IF($F36&gt;0,INDEX('計算A'!BK$110:BK$114,$F36+1)+IF(AND($E36=1,KX36=0),1000,0),MIN(TW36,20)*400+(IF('計算A'!BJ$106=1,1-FH36,0)+IF('計算A'!BK$106=1,1-FJ36,0))*150+123+'計算A'!BK$5*100000+IF(AND($E36=1,KX36=0),50000,0))+IF($H36=1,(IF('計算A'!BJ$117=1,INDEX('計算A'!BJ$10:BJ$54,$B36),0)+IF('計算A'!BK$117=1,INDEX('計算A'!BL$10:BL$54,$B36),0))*4000,0)-IF(AND('計算A'!BJ$117=1,WH36&gt;0),2000,0)-IF(AND($L36=1,'計算A'!BK$117=1,FJ36=0),2000,0))),1000000))</f>
        <v/>
      </c>
      <c r="QN36">
        <f>IF($B36=0,1000000,IF(INDEX('計算A'!$D$60:$EQ$104,$B36,61)*FJ36=1,IF(AND($E36=2,KY36=0),1000000,IF($I36&gt;0,IF(3=$J36,IF(OR(AND(61=$I36+1,OR($K36&lt;&gt;'計算A'!$A$3,'計算A'!$A$4=0)),AND(61=$I36-1,OR(13&lt;&gt;'計算A'!$A$3,'計算A'!$A$4=0))),0,IF(13=$K36,200000,ABS(13-$K36)*100)),100000+ABS(3-$J36)*1000+130)+'計算A'!BL$5*50+IF(AND($E36=1,KY36=0),25,0),IF($F36&gt;0,INDEX('計算A'!BL$110:BL$114,$F36+1)+IF(AND($E36=1,KY36=0),1000,0),MIN(TW36,20)*400+(IF('計算A'!BK$106=1,1-FI36,0)+IF('計算A'!BL$106=1,1-FK36,0))*150+133+'計算A'!BL$5*100000+IF(AND($E36=1,KY36=0),50000,0))+IF($H36=1,(IF('計算A'!BK$117=1,INDEX('計算A'!BK$10:BK$54,$B36),0)+IF('計算A'!BL$117=1,INDEX('計算A'!BM$10:BM$54,$B36),0))*4000,0)-IF(AND('計算A'!BK$117=1,WI36&gt;0),2000,0)-IF(AND($L36=1,'計算A'!BL$117=1,FK36=0),2000,0))),1000000))</f>
        <v/>
      </c>
      <c r="QO36">
        <f>IF($B36=0,1000000,IF(INDEX('計算A'!$D$60:$EQ$104,$B36,62)*FK36=1,IF(AND($E36=2,KZ36=0),1000000,IF($I36&gt;0,IF(3=$J36,IF(OR(AND(62=$I36+1,OR($K36&lt;&gt;'計算A'!$A$3,'計算A'!$A$4=0)),AND(62=$I36-1,OR(14&lt;&gt;'計算A'!$A$3,'計算A'!$A$4=0))),0,IF(14=$K36,200000,ABS(14-$K36)*100)),100000+ABS(3-$J36)*1000+140)+'計算A'!BM$5*50+IF(AND($E36=1,KZ36=0),25,0),IF($F36&gt;0,INDEX('計算A'!BM$110:BM$114,$F36+1)+IF(AND($E36=1,KZ36=0),1000,0),MIN(TW36,20)*400+(IF('計算A'!BL$106=1,1-FJ36,0)+IF('計算A'!BM$106=1,1-FL36,0))*150+143+'計算A'!BM$5*100000+IF(AND($E36=1,KZ36=0),50000,0))+IF($H36=1,(IF('計算A'!BL$117=1,INDEX('計算A'!BL$10:BL$54,$B36),0)+IF('計算A'!BM$117=1,INDEX('計算A'!BN$10:BN$54,$B36),0))*4000,0)-IF(AND('計算A'!BL$117=1,WJ36&gt;0),2000,0)-IF(AND($L36=1,'計算A'!BM$117=1,FL36=0),2000,0))),1000000))</f>
        <v/>
      </c>
      <c r="QP36">
        <f>IF($B36=0,1000000,IF(INDEX('計算A'!$D$60:$EQ$104,$B36,63)*FL36=1,IF(AND($E36=2,LA36=0),1000000,IF($I36&gt;0,IF(3=$J36,IF(OR(AND(63=$I36+1,OR($K36&lt;&gt;'計算A'!$A$3,'計算A'!$A$4=0)),AND(63=$I36-1,OR(15&lt;&gt;'計算A'!$A$3,'計算A'!$A$4=0))),0,IF(15=$K36,200000,ABS(15-$K36)*100)),100000+ABS(3-$J36)*1000+150)+'計算A'!BN$5*50+IF(AND($E36=1,LA36=0),25,0),IF($F36&gt;0,INDEX('計算A'!BN$110:BN$114,$F36+1)+IF(AND($E36=1,LA36=0),1000,0),MIN(TW36,20)*400+(IF('計算A'!BM$106=1,1-FK36,0)+IF('計算A'!BN$106=1,1-FM36,0))*150+153+'計算A'!BN$5*100000+IF(AND($E36=1,LA36=0),50000,0))+IF($H36=1,(IF('計算A'!BM$117=1,INDEX('計算A'!BM$10:BM$54,$B36),0)+IF('計算A'!BN$117=1,INDEX('計算A'!BO$10:BO$54,$B36),0))*4000,0)-IF(AND('計算A'!BM$117=1,WK36&gt;0),2000,0)-IF(AND($L36=1,'計算A'!BN$117=1,FM36=0),2000,0))),1000000))</f>
        <v/>
      </c>
      <c r="QQ36">
        <f>IF($B36=0,1000000,IF(INDEX('計算A'!$D$60:$EQ$104,$B36,64)*FM36=1,IF(AND($E36=2,LB36=0),1000000,IF($I36&gt;0,IF(3=$J36,IF(OR(AND(64=$I36+1,OR($K36&lt;&gt;'計算A'!$A$3,'計算A'!$A$4=0)),AND(64=$I36-1,OR(16&lt;&gt;'計算A'!$A$3,'計算A'!$A$4=0))),0,IF(16=$K36,200000,ABS(16-$K36)*100)),100000+ABS(3-$J36)*1000+160)+'計算A'!BO$5*50+IF(AND($E36=1,LB36=0),25,0),IF($F36&gt;0,INDEX('計算A'!BO$110:BO$114,$F36+1)+IF(AND($E36=1,LB36=0),1000,0),MIN(TW36,20)*400+(IF('計算A'!BN$106=1,1-FL36,0)+IF('計算A'!BO$106=1,1-FN36,0))*150+163+'計算A'!BO$5*100000+IF(AND($E36=1,LB36=0),50000,0))+IF($H36=1,(IF('計算A'!BN$117=1,INDEX('計算A'!BN$10:BN$54,$B36),0)+IF('計算A'!BO$117=1,INDEX('計算A'!BP$10:BP$54,$B36),0))*4000,0)-IF(AND('計算A'!BN$117=1,WL36&gt;0),2000,0)-IF(AND($L36=1,'計算A'!BO$117=1,FN36=0),2000,0))),1000000))</f>
        <v/>
      </c>
      <c r="QR36">
        <f>IF($B36=0,1000000,IF(INDEX('計算A'!$D$60:$EQ$104,$B36,65)*FN36=1,IF(AND($E36=2,LC36=0),1000000,IF($I36&gt;0,IF(3=$J36,IF(OR(AND(65=$I36+1,OR($K36&lt;&gt;'計算A'!$A$3,'計算A'!$A$4=0)),AND(65=$I36-1,OR(17&lt;&gt;'計算A'!$A$3,'計算A'!$A$4=0))),0,IF(17=$K36,200000,ABS(17-$K36)*100)),100000+ABS(3-$J36)*1000+170)+'計算A'!BP$5*50+IF(AND($E36=1,LC36=0),25,0),IF($F36&gt;0,INDEX('計算A'!BP$110:BP$114,$F36+1)+IF(AND($E36=1,LC36=0),1000,0),MIN(TW36,20)*400+(IF('計算A'!BO$106=1,1-FM36,0)+IF('計算A'!BP$106=1,1-FO36,0))*150+173+'計算A'!BP$5*100000+IF(AND($E36=1,LC36=0),50000,0))+IF($H36=1,(IF('計算A'!BO$117=1,INDEX('計算A'!BO$10:BO$54,$B36),0)+IF('計算A'!BP$117=1,INDEX('計算A'!BQ$10:BQ$54,$B36),0))*4000,0)-IF(AND('計算A'!BO$117=1,WM36&gt;0),2000,0)-IF(AND($L36=1,'計算A'!BP$117=1,FO36=0),2000,0))),1000000))</f>
        <v/>
      </c>
      <c r="QS36">
        <f>IF($B36=0,1000000,IF(INDEX('計算A'!$D$60:$EQ$104,$B36,66)*FO36=1,IF(AND($E36=2,LD36=0),1000000,IF($I36&gt;0,IF(3=$J36,IF(OR(AND(66=$I36+1,OR($K36&lt;&gt;'計算A'!$A$3,'計算A'!$A$4=0)),AND(66=$I36-1,OR(18&lt;&gt;'計算A'!$A$3,'計算A'!$A$4=0))),0,IF(18=$K36,200000,ABS(18-$K36)*100)),100000+ABS(3-$J36)*1000+180)+'計算A'!BQ$5*50+IF(AND($E36=1,LD36=0),25,0),IF($F36&gt;0,INDEX('計算A'!BQ$110:BQ$114,$F36+1)+IF(AND($E36=1,LD36=0),1000,0),MIN(TW36,20)*400+(IF('計算A'!BP$106=1,1-FN36,0)+IF('計算A'!BQ$106=1,1-FP36,0))*150+183+'計算A'!BQ$5*100000+IF(AND($E36=1,LD36=0),50000,0))+IF($H36=1,(IF('計算A'!BP$117=1,INDEX('計算A'!BP$10:BP$54,$B36),0)+IF('計算A'!BQ$117=1,INDEX('計算A'!BR$10:BR$54,$B36),0))*4000,0)-IF(AND('計算A'!BP$117=1,WN36&gt;0),2000,0)-IF(AND($L36=1,'計算A'!BQ$117=1,FP36=0),2000,0))),1000000))</f>
        <v/>
      </c>
      <c r="QT36">
        <f>IF($B36=0,1000000,IF(INDEX('計算A'!$D$60:$EQ$104,$B36,67)*FP36=1,IF(AND($E36=2,LE36=0),1000000,IF($I36&gt;0,IF(3=$J36,IF(OR(AND(67=$I36+1,OR($K36&lt;&gt;'計算A'!$A$3,'計算A'!$A$4=0)),AND(67=$I36-1,OR(19&lt;&gt;'計算A'!$A$3,'計算A'!$A$4=0))),0,IF(19=$K36,200000,ABS(19-$K36)*100)),100000+ABS(3-$J36)*1000+190)+'計算A'!BR$5*50+IF(AND($E36=1,LE36=0),25,0),IF($F36&gt;0,INDEX('計算A'!BR$110:BR$114,$F36+1)+IF(AND($E36=1,LE36=0),1000,0),MIN(TW36,20)*400+(IF('計算A'!BQ$106=1,1-FO36,0)+IF('計算A'!BR$106=1,1-FQ36,0))*150+193+'計算A'!BR$5*100000+IF(AND($E36=1,LE36=0),50000,0))+IF($H36=1,(IF('計算A'!BQ$117=1,INDEX('計算A'!BQ$10:BQ$54,$B36),0)+IF('計算A'!BR$117=1,INDEX('計算A'!BS$10:BS$54,$B36),0))*4000,0)-IF(AND('計算A'!BQ$117=1,WO36&gt;0),2000,0)-IF(AND($L36=1,'計算A'!BR$117=1,FQ36=0),2000,0))),1000000))</f>
        <v/>
      </c>
      <c r="QU36">
        <f>IF($B36=0,1000000,IF(INDEX('計算A'!$D$60:$EQ$104,$B36,68)*FQ36=1,IF(AND($E36=2,LF36=0),1000000,IF($I36&gt;0,IF(3=$J36,IF(OR(AND(68=$I36+1,OR($K36&lt;&gt;'計算A'!$A$3,'計算A'!$A$4=0)),AND(68=$I36-1,OR(20&lt;&gt;'計算A'!$A$3,'計算A'!$A$4=0))),0,IF(20=$K36,200000,ABS(20-$K36)*100)),100000+ABS(3-$J36)*1000+200)+'計算A'!BS$5*50+IF(AND($E36=1,LF36=0),25,0),IF($F36&gt;0,INDEX('計算A'!BS$110:BS$114,$F36+1)+IF(AND($E36=1,LF36=0),1000,0),MIN(TW36,20)*400+(IF('計算A'!BR$106=1,1-FP36,0)+IF('計算A'!BS$106=1,1-FR36,0))*150+203+'計算A'!BS$5*100000+IF(AND($E36=1,LF36=0),50000,0))+IF($H36=1,(IF('計算A'!BR$117=1,INDEX('計算A'!BR$10:BR$54,$B36),0)+IF('計算A'!BS$117=1,INDEX('計算A'!BT$10:BT$54,$B36),0))*4000,0)-IF(AND('計算A'!BR$117=1,WP36&gt;0),2000,0)-IF(AND($L36=1,'計算A'!BS$117=1,FR36=0),2000,0))),1000000))</f>
        <v/>
      </c>
      <c r="QV36">
        <f>IF($B36=0,1000000,IF(INDEX('計算A'!$D$60:$EQ$104,$B36,69)*FR36=1,IF(AND($E36=2,LG36=0),1000000,IF($I36&gt;0,IF(3=$J36,IF(OR(AND(69=$I36+1,OR($K36&lt;&gt;'計算A'!$A$3,'計算A'!$A$4=0)),AND(69=$I36-1,OR(21&lt;&gt;'計算A'!$A$3,'計算A'!$A$4=0))),0,IF(21=$K36,200000,ABS(21-$K36)*100)),100000+ABS(3-$J36)*1000+210)+'計算A'!BT$5*50+IF(AND($E36=1,LG36=0),25,0),IF($F36&gt;0,INDEX('計算A'!BT$110:BT$114,$F36+1)+IF(AND($E36=1,LG36=0),1000,0),MIN(TW36,20)*400+(IF('計算A'!BS$106=1,1-FQ36,0)+IF('計算A'!BT$106=1,1-FS36,0))*150+213+'計算A'!BT$5*100000+IF(AND($E36=1,LG36=0),50000,0))+IF($H36=1,(IF('計算A'!BS$117=1,INDEX('計算A'!BS$10:BS$54,$B36),0)+IF('計算A'!BT$117=1,INDEX('計算A'!BU$10:BU$54,$B36),0))*4000,0)-IF(AND('計算A'!BS$117=1,WQ36&gt;0),2000,0)-IF(AND($L36=1,'計算A'!BT$117=1,FS36=0),2000,0))),1000000))</f>
        <v/>
      </c>
      <c r="QW36">
        <f>IF($B36=0,1000000,IF(INDEX('計算A'!$D$60:$EQ$104,$B36,70)*FS36=1,IF(AND($E36=2,LH36=0),1000000,IF($I36&gt;0,IF(3=$J36,IF(OR(AND(70=$I36+1,OR($K36&lt;&gt;'計算A'!$A$3,'計算A'!$A$4=0)),AND(70=$I36-1,OR(22&lt;&gt;'計算A'!$A$3,'計算A'!$A$4=0))),0,IF(22=$K36,200000,ABS(22-$K36)*100)),100000+ABS(3-$J36)*1000+220)+'計算A'!BU$5*50+IF(AND($E36=1,LH36=0),25,0),IF($F36&gt;0,INDEX('計算A'!BU$110:BU$114,$F36+1)+IF(AND($E36=1,LH36=0),1000,0),MIN(TW36,20)*400+(IF('計算A'!BT$106=1,1-FR36,0)+IF('計算A'!BU$106=1,1-FT36,0))*150+223+'計算A'!BU$5*100000+IF(AND($E36=1,LH36=0),50000,0))+IF($H36=1,(IF('計算A'!BT$117=1,INDEX('計算A'!BT$10:BT$54,$B36),0)+IF('計算A'!BU$117=1,INDEX('計算A'!BV$10:BV$54,$B36),0))*4000,0)-IF(AND('計算A'!BT$117=1,WR36&gt;0),2000,0)-IF(AND($L36=1,'計算A'!BU$117=1,FT36=0),2000,0))),1000000))</f>
        <v/>
      </c>
      <c r="QX36">
        <f>IF($B36=0,1000000,IF(INDEX('計算A'!$D$60:$EQ$104,$B36,71)*FT36=1,IF(AND($E36=2,LI36=0),1000000,IF($I36&gt;0,IF(3=$J36,IF(OR(AND(71=$I36+1,OR($K36&lt;&gt;'計算A'!$A$3,'計算A'!$A$4=0)),AND(71=$I36-1,OR(23&lt;&gt;'計算A'!$A$3,'計算A'!$A$4=0))),0,IF(23=$K36,200000,ABS(23-$K36)*100)),100000+ABS(3-$J36)*1000+230)+'計算A'!BV$5*50+IF(AND($E36=1,LI36=0),25,0),IF($F36&gt;0,INDEX('計算A'!BV$110:BV$114,$F36+1)+IF(AND($E36=1,LI36=0),1000,0),MIN(TW36,20)*400+(IF('計算A'!BU$106=1,1-FS36,0)+IF('計算A'!BV$106=1,1-FU36,0))*150+233+'計算A'!BV$5*100000+IF(AND($E36=1,LI36=0),50000,0))+IF($H36=1,(IF('計算A'!BU$117=1,INDEX('計算A'!BU$10:BU$54,$B36),0)+IF('計算A'!BV$117=1,INDEX('計算A'!BW$10:BW$54,$B36),0))*4000,0)-IF(AND('計算A'!BU$117=1,WS36&gt;0),2000,0)-IF(AND($L36=1,'計算A'!BV$117=1,FU36=0),2000,0))),1000000))</f>
        <v/>
      </c>
      <c r="QY36">
        <f>IF($B36=0,1000000,IF(INDEX('計算A'!$D$60:$EQ$104,$B36,72)*FU36=1,IF(AND($E36=2,LJ36=0),1000000,IF($I36&gt;0,IF(3=$J36,IF(OR(AND(72=$I36+1,OR($K36&lt;&gt;'計算A'!$A$3,'計算A'!$A$4=0)),AND(72=$I36-1,OR(24&lt;&gt;'計算A'!$A$3,'計算A'!$A$4=0))),0,IF(24=$K36,200000,ABS(24-$K36)*100)),100000+ABS(3-$J36)*1000+240)+'計算A'!BW$5*50+IF(AND($E36=1,LJ36=0),25,0),IF($F36&gt;0,INDEX('計算A'!BW$110:BW$114,$F36+1)+IF(AND($E36=1,LJ36=0),1000,0),MIN(TW36,20)*400+(IF('計算A'!BV$106=1,1-FT36,0))*150+243+'計算A'!BW$5*100000+IF(AND($E36=1,LJ36=0),50000,0))+IF($H36=1,(IF('計算A'!BV$117=1,INDEX('計算A'!BV$10:BV$54,$B36),0))*4000,0)-IF(AND('計算A'!BV$117=1,WT36&gt;0),2000,0))),1000000))</f>
        <v/>
      </c>
      <c r="QZ36">
        <f>IF($B36=0,1000000,IF(INDEX('計算A'!$D$60:$EQ$104,$B36,73)*FV36=1,IF(AND($E36=2,LK36=0),1000000,IF($I36&gt;0,IF(4=$J36,IF(OR(AND(73=$I36+1,OR($K36&lt;&gt;'計算A'!$A$3,'計算A'!$A$4=0)),AND(73=$I36-1,OR(1&lt;&gt;'計算A'!$A$3,'計算A'!$A$4=0))),0,IF(1=$K36,200000,ABS(1-$K36)*100)),100000+ABS(4-$J36)*1000+10)+'計算A'!BX$5*50+IF(AND($E36=1,LK36=0),25,0),IF($F36&gt;0,INDEX('計算A'!BX$110:BX$114,$F36+1)+IF(AND($E36=1,LK36=0),1000,0),MIN(TX36,20)*400+(IF('計算A'!BX$106=1,1-FW36,0))*150+14+'計算A'!BX$5*100000+IF(AND($E36=1,LK36=0),50000,0))+IF($H36=1,(IF('計算A'!BX$117=1,INDEX('計算A'!BY$10:BY$54,$B36),0))*4000,0)-IF(AND($L36=1,'計算A'!BX$117=1,FW36=0),2000,0))),1000000))</f>
        <v/>
      </c>
      <c r="RA36">
        <f>IF($B36=0,1000000,IF(INDEX('計算A'!$D$60:$EQ$104,$B36,74)*FW36=1,IF(AND($E36=2,LL36=0),1000000,IF($I36&gt;0,IF(4=$J36,IF(OR(AND(74=$I36+1,OR($K36&lt;&gt;'計算A'!$A$3,'計算A'!$A$4=0)),AND(74=$I36-1,OR(2&lt;&gt;'計算A'!$A$3,'計算A'!$A$4=0))),0,IF(2=$K36,200000,ABS(2-$K36)*100)),100000+ABS(4-$J36)*1000+20)+'計算A'!BY$5*50+IF(AND($E36=1,LL36=0),25,0),IF($F36&gt;0,INDEX('計算A'!BY$110:BY$114,$F36+1)+IF(AND($E36=1,LL36=0),1000,0),MIN(TX36,20)*400+(IF('計算A'!BX$106=1,1-FV36,0)+IF('計算A'!BY$106=1,1-FX36,0))*150+24+'計算A'!BY$5*100000+IF(AND($E36=1,LL36=0),50000,0))+IF($H36=1,(IF('計算A'!BX$117=1,INDEX('計算A'!BX$10:BX$54,$B36),0)+IF('計算A'!BY$117=1,INDEX('計算A'!BZ$10:BZ$54,$B36),0))*4000,0)-IF(AND('計算A'!BX$117=1,WV36&gt;0),2000,0)-IF(AND($L36=1,'計算A'!BY$117=1,FX36=0),2000,0))),1000000))</f>
        <v/>
      </c>
      <c r="RB36">
        <f>IF($B36=0,1000000,IF(INDEX('計算A'!$D$60:$EQ$104,$B36,75)*FX36=1,IF(AND($E36=2,LM36=0),1000000,IF($I36&gt;0,IF(4=$J36,IF(OR(AND(75=$I36+1,OR($K36&lt;&gt;'計算A'!$A$3,'計算A'!$A$4=0)),AND(75=$I36-1,OR(3&lt;&gt;'計算A'!$A$3,'計算A'!$A$4=0))),0,IF(3=$K36,200000,ABS(3-$K36)*100)),100000+ABS(4-$J36)*1000+30)+'計算A'!BZ$5*50+IF(AND($E36=1,LM36=0),25,0),IF($F36&gt;0,INDEX('計算A'!BZ$110:BZ$114,$F36+1)+IF(AND($E36=1,LM36=0),1000,0),MIN(TX36,20)*400+(IF('計算A'!BY$106=1,1-FW36,0)+IF('計算A'!BZ$106=1,1-FY36,0))*150+34+'計算A'!BZ$5*100000+IF(AND($E36=1,LM36=0),50000,0))+IF($H36=1,(IF('計算A'!BY$117=1,INDEX('計算A'!BY$10:BY$54,$B36),0)+IF('計算A'!BZ$117=1,INDEX('計算A'!CA$10:CA$54,$B36),0))*4000,0)-IF(AND('計算A'!BY$117=1,WW36&gt;0),2000,0)-IF(AND($L36=1,'計算A'!BZ$117=1,FY36=0),2000,0))),1000000))</f>
        <v/>
      </c>
      <c r="RC36">
        <f>IF($B36=0,1000000,IF(INDEX('計算A'!$D$60:$EQ$104,$B36,76)*FY36=1,IF(AND($E36=2,LN36=0),1000000,IF($I36&gt;0,IF(4=$J36,IF(OR(AND(76=$I36+1,OR($K36&lt;&gt;'計算A'!$A$3,'計算A'!$A$4=0)),AND(76=$I36-1,OR(4&lt;&gt;'計算A'!$A$3,'計算A'!$A$4=0))),0,IF(4=$K36,200000,ABS(4-$K36)*100)),100000+ABS(4-$J36)*1000+40)+'計算A'!CA$5*50+IF(AND($E36=1,LN36=0),25,0),IF($F36&gt;0,INDEX('計算A'!CA$110:CA$114,$F36+1)+IF(AND($E36=1,LN36=0),1000,0),MIN(TX36,20)*400+(IF('計算A'!BZ$106=1,1-FX36,0)+IF('計算A'!CA$106=1,1-FZ36,0))*150+44+'計算A'!CA$5*100000+IF(AND($E36=1,LN36=0),50000,0))+IF($H36=1,(IF('計算A'!BZ$117=1,INDEX('計算A'!BZ$10:BZ$54,$B36),0)+IF('計算A'!CA$117=1,INDEX('計算A'!CB$10:CB$54,$B36),0))*4000,0)-IF(AND('計算A'!BZ$117=1,WX36&gt;0),2000,0)-IF(AND($L36=1,'計算A'!CA$117=1,FZ36=0),2000,0))),1000000))</f>
        <v/>
      </c>
      <c r="RD36">
        <f>IF($B36=0,1000000,IF(INDEX('計算A'!$D$60:$EQ$104,$B36,77)*FZ36=1,IF(AND($E36=2,LO36=0),1000000,IF($I36&gt;0,IF(4=$J36,IF(OR(AND(77=$I36+1,OR($K36&lt;&gt;'計算A'!$A$3,'計算A'!$A$4=0)),AND(77=$I36-1,OR(5&lt;&gt;'計算A'!$A$3,'計算A'!$A$4=0))),0,IF(5=$K36,200000,ABS(5-$K36)*100)),100000+ABS(4-$J36)*1000+50)+'計算A'!CB$5*50+IF(AND($E36=1,LO36=0),25,0),IF($F36&gt;0,INDEX('計算A'!CB$110:CB$114,$F36+1)+IF(AND($E36=1,LO36=0),1000,0),MIN(TX36,20)*400+(IF('計算A'!CA$106=1,1-FY36,0)+IF('計算A'!CB$106=1,1-GA36,0))*150+54+'計算A'!CB$5*100000+IF(AND($E36=1,LO36=0),50000,0))+IF($H36=1,(IF('計算A'!CA$117=1,INDEX('計算A'!CA$10:CA$54,$B36),0)+IF('計算A'!CB$117=1,INDEX('計算A'!CC$10:CC$54,$B36),0))*4000,0)-IF(AND('計算A'!CA$117=1,WY36&gt;0),2000,0)-IF(AND($L36=1,'計算A'!CB$117=1,GA36=0),2000,0))),1000000))</f>
        <v/>
      </c>
      <c r="RE36">
        <f>IF($B36=0,1000000,IF(INDEX('計算A'!$D$60:$EQ$104,$B36,78)*GA36=1,IF(AND($E36=2,LP36=0),1000000,IF($I36&gt;0,IF(4=$J36,IF(OR(AND(78=$I36+1,OR($K36&lt;&gt;'計算A'!$A$3,'計算A'!$A$4=0)),AND(78=$I36-1,OR(6&lt;&gt;'計算A'!$A$3,'計算A'!$A$4=0))),0,IF(6=$K36,200000,ABS(6-$K36)*100)),100000+ABS(4-$J36)*1000+60)+'計算A'!CC$5*50+IF(AND($E36=1,LP36=0),25,0),IF($F36&gt;0,INDEX('計算A'!CC$110:CC$114,$F36+1)+IF(AND($E36=1,LP36=0),1000,0),MIN(TX36,20)*400+(IF('計算A'!CB$106=1,1-FZ36,0)+IF('計算A'!CC$106=1,1-GB36,0))*150+64+'計算A'!CC$5*100000+IF(AND($E36=1,LP36=0),50000,0))+IF($H36=1,(IF('計算A'!CB$117=1,INDEX('計算A'!CB$10:CB$54,$B36),0)+IF('計算A'!CC$117=1,INDEX('計算A'!CD$10:CD$54,$B36),0))*4000,0)-IF(AND('計算A'!CB$117=1,WZ36&gt;0),2000,0)-IF(AND($L36=1,'計算A'!CC$117=1,GB36=0),2000,0))),1000000))</f>
        <v/>
      </c>
      <c r="RF36">
        <f>IF($B36=0,1000000,IF(INDEX('計算A'!$D$60:$EQ$104,$B36,79)*GB36=1,IF(AND($E36=2,LQ36=0),1000000,IF($I36&gt;0,IF(4=$J36,IF(OR(AND(79=$I36+1,OR($K36&lt;&gt;'計算A'!$A$3,'計算A'!$A$4=0)),AND(79=$I36-1,OR(7&lt;&gt;'計算A'!$A$3,'計算A'!$A$4=0))),0,IF(7=$K36,200000,ABS(7-$K36)*100)),100000+ABS(4-$J36)*1000+70)+'計算A'!CD$5*50+IF(AND($E36=1,LQ36=0),25,0),IF($F36&gt;0,INDEX('計算A'!CD$110:CD$114,$F36+1)+IF(AND($E36=1,LQ36=0),1000,0),MIN(TX36,20)*400+(IF('計算A'!CC$106=1,1-GA36,0)+IF('計算A'!CD$106=1,1-GC36,0))*150+74+'計算A'!CD$5*100000+IF(AND($E36=1,LQ36=0),50000,0))+IF($H36=1,(IF('計算A'!CC$117=1,INDEX('計算A'!CC$10:CC$54,$B36),0)+IF('計算A'!CD$117=1,INDEX('計算A'!CE$10:CE$54,$B36),0))*4000,0)-IF(AND('計算A'!CC$117=1,XA36&gt;0),2000,0)-IF(AND($L36=1,'計算A'!CD$117=1,GC36=0),2000,0))),1000000))</f>
        <v/>
      </c>
      <c r="RG36">
        <f>IF($B36=0,1000000,IF(INDEX('計算A'!$D$60:$EQ$104,$B36,80)*GC36=1,IF(AND($E36=2,LR36=0),1000000,IF($I36&gt;0,IF(4=$J36,IF(OR(AND(80=$I36+1,OR($K36&lt;&gt;'計算A'!$A$3,'計算A'!$A$4=0)),AND(80=$I36-1,OR(8&lt;&gt;'計算A'!$A$3,'計算A'!$A$4=0))),0,IF(8=$K36,200000,ABS(8-$K36)*100)),100000+ABS(4-$J36)*1000+80)+'計算A'!CE$5*50+IF(AND($E36=1,LR36=0),25,0),IF($F36&gt;0,INDEX('計算A'!CE$110:CE$114,$F36+1)+IF(AND($E36=1,LR36=0),1000,0),MIN(TX36,20)*400+(IF('計算A'!CD$106=1,1-GB36,0)+IF('計算A'!CE$106=1,1-GD36,0))*150+84+'計算A'!CE$5*100000+IF(AND($E36=1,LR36=0),50000,0))+IF($H36=1,(IF('計算A'!CD$117=1,INDEX('計算A'!CD$10:CD$54,$B36),0)+IF('計算A'!CE$117=1,INDEX('計算A'!CF$10:CF$54,$B36),0))*4000,0)-IF(AND('計算A'!CD$117=1,XB36&gt;0),2000,0)-IF(AND($L36=1,'計算A'!CE$117=1,GD36=0),2000,0))),1000000))</f>
        <v/>
      </c>
      <c r="RH36">
        <f>IF($B36=0,1000000,IF(INDEX('計算A'!$D$60:$EQ$104,$B36,81)*GD36=1,IF(AND($E36=2,LS36=0),1000000,IF($I36&gt;0,IF(4=$J36,IF(OR(AND(81=$I36+1,OR($K36&lt;&gt;'計算A'!$A$3,'計算A'!$A$4=0)),AND(81=$I36-1,OR(9&lt;&gt;'計算A'!$A$3,'計算A'!$A$4=0))),0,IF(9=$K36,200000,ABS(9-$K36)*100)),100000+ABS(4-$J36)*1000+90)+'計算A'!CF$5*50+IF(AND($E36=1,LS36=0),25,0),IF($F36&gt;0,INDEX('計算A'!CF$110:CF$114,$F36+1)+IF(AND($E36=1,LS36=0),1000,0),MIN(TX36,20)*400+(IF('計算A'!CE$106=1,1-GC36,0)+IF('計算A'!CF$106=1,1-GE36,0))*150+94+'計算A'!CF$5*100000+IF(AND($E36=1,LS36=0),50000,0))+IF($H36=1,(IF('計算A'!CE$117=1,INDEX('計算A'!CE$10:CE$54,$B36),0)+IF('計算A'!CF$117=1,INDEX('計算A'!CG$10:CG$54,$B36),0))*4000,0)-IF(AND('計算A'!CE$117=1,XC36&gt;0),2000,0)-IF(AND($L36=1,'計算A'!CF$117=1,GE36=0),2000,0))),1000000))</f>
        <v/>
      </c>
      <c r="RI36">
        <f>IF($B36=0,1000000,IF(INDEX('計算A'!$D$60:$EQ$104,$B36,82)*GE36=1,IF(AND($E36=2,LT36=0),1000000,IF($I36&gt;0,IF(4=$J36,IF(OR(AND(82=$I36+1,OR($K36&lt;&gt;'計算A'!$A$3,'計算A'!$A$4=0)),AND(82=$I36-1,OR(10&lt;&gt;'計算A'!$A$3,'計算A'!$A$4=0))),0,IF(10=$K36,200000,ABS(10-$K36)*100)),100000+ABS(4-$J36)*1000+100)+'計算A'!CG$5*50+IF(AND($E36=1,LT36=0),25,0),IF($F36&gt;0,INDEX('計算A'!CG$110:CG$114,$F36+1)+IF(AND($E36=1,LT36=0),1000,0),MIN(TX36,20)*400+(IF('計算A'!CF$106=1,1-GD36,0)+IF('計算A'!CG$106=1,1-GF36,0))*150+104+'計算A'!CG$5*100000+IF(AND($E36=1,LT36=0),50000,0))+IF($H36=1,(IF('計算A'!CF$117=1,INDEX('計算A'!CF$10:CF$54,$B36),0)+IF('計算A'!CG$117=1,INDEX('計算A'!CH$10:CH$54,$B36),0))*4000,0)-IF(AND('計算A'!CF$117=1,XD36&gt;0),2000,0)-IF(AND($L36=1,'計算A'!CG$117=1,GF36=0),2000,0))),1000000))</f>
        <v/>
      </c>
      <c r="RJ36">
        <f>IF($B36=0,1000000,IF(INDEX('計算A'!$D$60:$EQ$104,$B36,83)*GF36=1,IF(AND($E36=2,LU36=0),1000000,IF($I36&gt;0,IF(4=$J36,IF(OR(AND(83=$I36+1,OR($K36&lt;&gt;'計算A'!$A$3,'計算A'!$A$4=0)),AND(83=$I36-1,OR(11&lt;&gt;'計算A'!$A$3,'計算A'!$A$4=0))),0,IF(11=$K36,200000,ABS(11-$K36)*100)),100000+ABS(4-$J36)*1000+110)+'計算A'!CH$5*50+IF(AND($E36=1,LU36=0),25,0),IF($F36&gt;0,INDEX('計算A'!CH$110:CH$114,$F36+1)+IF(AND($E36=1,LU36=0),1000,0),MIN(TX36,20)*400+(IF('計算A'!CG$106=1,1-GE36,0)+IF('計算A'!CH$106=1,1-GG36,0))*150+114+'計算A'!CH$5*100000+IF(AND($E36=1,LU36=0),50000,0))+IF($H36=1,(IF('計算A'!CG$117=1,INDEX('計算A'!CG$10:CG$54,$B36),0)+IF('計算A'!CH$117=1,INDEX('計算A'!CI$10:CI$54,$B36),0))*4000,0)-IF(AND('計算A'!CG$117=1,XE36&gt;0),2000,0)-IF(AND($L36=1,'計算A'!CH$117=1,GG36=0),2000,0))),1000000))</f>
        <v/>
      </c>
      <c r="RK36">
        <f>IF($B36=0,1000000,IF(INDEX('計算A'!$D$60:$EQ$104,$B36,84)*GG36=1,IF(AND($E36=2,LV36=0),1000000,IF($I36&gt;0,IF(4=$J36,IF(OR(AND(84=$I36+1,OR($K36&lt;&gt;'計算A'!$A$3,'計算A'!$A$4=0)),AND(84=$I36-1,OR(12&lt;&gt;'計算A'!$A$3,'計算A'!$A$4=0))),0,IF(12=$K36,200000,ABS(12-$K36)*100)),100000+ABS(4-$J36)*1000+120)+'計算A'!CI$5*50+IF(AND($E36=1,LV36=0),25,0),IF($F36&gt;0,INDEX('計算A'!CI$110:CI$114,$F36+1)+IF(AND($E36=1,LV36=0),1000,0),MIN(TX36,20)*400+(IF('計算A'!CH$106=1,1-GF36,0)+IF('計算A'!CI$106=1,1-GH36,0))*150+124+'計算A'!CI$5*100000+IF(AND($E36=1,LV36=0),50000,0))+IF($H36=1,(IF('計算A'!CH$117=1,INDEX('計算A'!CH$10:CH$54,$B36),0)+IF('計算A'!CI$117=1,INDEX('計算A'!CJ$10:CJ$54,$B36),0))*4000,0)-IF(AND('計算A'!CH$117=1,XF36&gt;0),2000,0)-IF(AND($L36=1,'計算A'!CI$117=1,GH36=0),2000,0))),1000000))</f>
        <v/>
      </c>
      <c r="RL36">
        <f>IF($B36=0,1000000,IF(INDEX('計算A'!$D$60:$EQ$104,$B36,85)*GH36=1,IF(AND($E36=2,LW36=0),1000000,IF($I36&gt;0,IF(4=$J36,IF(OR(AND(85=$I36+1,OR($K36&lt;&gt;'計算A'!$A$3,'計算A'!$A$4=0)),AND(85=$I36-1,OR(13&lt;&gt;'計算A'!$A$3,'計算A'!$A$4=0))),0,IF(13=$K36,200000,ABS(13-$K36)*100)),100000+ABS(4-$J36)*1000+130)+'計算A'!CJ$5*50+IF(AND($E36=1,LW36=0),25,0),IF($F36&gt;0,INDEX('計算A'!CJ$110:CJ$114,$F36+1)+IF(AND($E36=1,LW36=0),1000,0),MIN(TX36,20)*400+(IF('計算A'!CI$106=1,1-GG36,0)+IF('計算A'!CJ$106=1,1-GI36,0))*150+134+'計算A'!CJ$5*100000+IF(AND($E36=1,LW36=0),50000,0))+IF($H36=1,(IF('計算A'!CI$117=1,INDEX('計算A'!CI$10:CI$54,$B36),0)+IF('計算A'!CJ$117=1,INDEX('計算A'!CK$10:CK$54,$B36),0))*4000,0)-IF(AND('計算A'!CI$117=1,XG36&gt;0),2000,0)-IF(AND($L36=1,'計算A'!CJ$117=1,GI36=0),2000,0))),1000000))</f>
        <v/>
      </c>
      <c r="RM36">
        <f>IF($B36=0,1000000,IF(INDEX('計算A'!$D$60:$EQ$104,$B36,86)*GI36=1,IF(AND($E36=2,LX36=0),1000000,IF($I36&gt;0,IF(4=$J36,IF(OR(AND(86=$I36+1,OR($K36&lt;&gt;'計算A'!$A$3,'計算A'!$A$4=0)),AND(86=$I36-1,OR(14&lt;&gt;'計算A'!$A$3,'計算A'!$A$4=0))),0,IF(14=$K36,200000,ABS(14-$K36)*100)),100000+ABS(4-$J36)*1000+140)+'計算A'!CK$5*50+IF(AND($E36=1,LX36=0),25,0),IF($F36&gt;0,INDEX('計算A'!CK$110:CK$114,$F36+1)+IF(AND($E36=1,LX36=0),1000,0),MIN(TX36,20)*400+(IF('計算A'!CJ$106=1,1-GH36,0)+IF('計算A'!CK$106=1,1-GJ36,0))*150+144+'計算A'!CK$5*100000+IF(AND($E36=1,LX36=0),50000,0))+IF($H36=1,(IF('計算A'!CJ$117=1,INDEX('計算A'!CJ$10:CJ$54,$B36),0)+IF('計算A'!CK$117=1,INDEX('計算A'!CL$10:CL$54,$B36),0))*4000,0)-IF(AND('計算A'!CJ$117=1,XH36&gt;0),2000,0)-IF(AND($L36=1,'計算A'!CK$117=1,GJ36=0),2000,0))),1000000))</f>
        <v/>
      </c>
      <c r="RN36">
        <f>IF($B36=0,1000000,IF(INDEX('計算A'!$D$60:$EQ$104,$B36,87)*GJ36=1,IF(AND($E36=2,LY36=0),1000000,IF($I36&gt;0,IF(4=$J36,IF(OR(AND(87=$I36+1,OR($K36&lt;&gt;'計算A'!$A$3,'計算A'!$A$4=0)),AND(87=$I36-1,OR(15&lt;&gt;'計算A'!$A$3,'計算A'!$A$4=0))),0,IF(15=$K36,200000,ABS(15-$K36)*100)),100000+ABS(4-$J36)*1000+150)+'計算A'!CL$5*50+IF(AND($E36=1,LY36=0),25,0),IF($F36&gt;0,INDEX('計算A'!CL$110:CL$114,$F36+1)+IF(AND($E36=1,LY36=0),1000,0),MIN(TX36,20)*400+(IF('計算A'!CK$106=1,1-GI36,0)+IF('計算A'!CL$106=1,1-GK36,0))*150+154+'計算A'!CL$5*100000+IF(AND($E36=1,LY36=0),50000,0))+IF($H36=1,(IF('計算A'!CK$117=1,INDEX('計算A'!CK$10:CK$54,$B36),0)+IF('計算A'!CL$117=1,INDEX('計算A'!CM$10:CM$54,$B36),0))*4000,0)-IF(AND('計算A'!CK$117=1,XI36&gt;0),2000,0)-IF(AND($L36=1,'計算A'!CL$117=1,GK36=0),2000,0))),1000000))</f>
        <v/>
      </c>
      <c r="RO36">
        <f>IF($B36=0,1000000,IF(INDEX('計算A'!$D$60:$EQ$104,$B36,88)*GK36=1,IF(AND($E36=2,LZ36=0),1000000,IF($I36&gt;0,IF(4=$J36,IF(OR(AND(88=$I36+1,OR($K36&lt;&gt;'計算A'!$A$3,'計算A'!$A$4=0)),AND(88=$I36-1,OR(16&lt;&gt;'計算A'!$A$3,'計算A'!$A$4=0))),0,IF(16=$K36,200000,ABS(16-$K36)*100)),100000+ABS(4-$J36)*1000+160)+'計算A'!CM$5*50+IF(AND($E36=1,LZ36=0),25,0),IF($F36&gt;0,INDEX('計算A'!CM$110:CM$114,$F36+1)+IF(AND($E36=1,LZ36=0),1000,0),MIN(TX36,20)*400+(IF('計算A'!CL$106=1,1-GJ36,0)+IF('計算A'!CM$106=1,1-GL36,0))*150+164+'計算A'!CM$5*100000+IF(AND($E36=1,LZ36=0),50000,0))+IF($H36=1,(IF('計算A'!CL$117=1,INDEX('計算A'!CL$10:CL$54,$B36),0)+IF('計算A'!CM$117=1,INDEX('計算A'!CN$10:CN$54,$B36),0))*4000,0)-IF(AND('計算A'!CL$117=1,XJ36&gt;0),2000,0)-IF(AND($L36=1,'計算A'!CM$117=1,GL36=0),2000,0))),1000000))</f>
        <v/>
      </c>
      <c r="RP36">
        <f>IF($B36=0,1000000,IF(INDEX('計算A'!$D$60:$EQ$104,$B36,89)*GL36=1,IF(AND($E36=2,MA36=0),1000000,IF($I36&gt;0,IF(4=$J36,IF(OR(AND(89=$I36+1,OR($K36&lt;&gt;'計算A'!$A$3,'計算A'!$A$4=0)),AND(89=$I36-1,OR(17&lt;&gt;'計算A'!$A$3,'計算A'!$A$4=0))),0,IF(17=$K36,200000,ABS(17-$K36)*100)),100000+ABS(4-$J36)*1000+170)+'計算A'!CN$5*50+IF(AND($E36=1,MA36=0),25,0),IF($F36&gt;0,INDEX('計算A'!CN$110:CN$114,$F36+1)+IF(AND($E36=1,MA36=0),1000,0),MIN(TX36,20)*400+(IF('計算A'!CM$106=1,1-GK36,0)+IF('計算A'!CN$106=1,1-GM36,0))*150+174+'計算A'!CN$5*100000+IF(AND($E36=1,MA36=0),50000,0))+IF($H36=1,(IF('計算A'!CM$117=1,INDEX('計算A'!CM$10:CM$54,$B36),0)+IF('計算A'!CN$117=1,INDEX('計算A'!CO$10:CO$54,$B36),0))*4000,0)-IF(AND('計算A'!CM$117=1,XK36&gt;0),2000,0)-IF(AND($L36=1,'計算A'!CN$117=1,GM36=0),2000,0))),1000000))</f>
        <v/>
      </c>
      <c r="RQ36">
        <f>IF($B36=0,1000000,IF(INDEX('計算A'!$D$60:$EQ$104,$B36,90)*GM36=1,IF(AND($E36=2,MB36=0),1000000,IF($I36&gt;0,IF(4=$J36,IF(OR(AND(90=$I36+1,OR($K36&lt;&gt;'計算A'!$A$3,'計算A'!$A$4=0)),AND(90=$I36-1,OR(18&lt;&gt;'計算A'!$A$3,'計算A'!$A$4=0))),0,IF(18=$K36,200000,ABS(18-$K36)*100)),100000+ABS(4-$J36)*1000+180)+'計算A'!CO$5*50+IF(AND($E36=1,MB36=0),25,0),IF($F36&gt;0,INDEX('計算A'!CO$110:CO$114,$F36+1)+IF(AND($E36=1,MB36=0),1000,0),MIN(TX36,20)*400+(IF('計算A'!CN$106=1,1-GL36,0)+IF('計算A'!CO$106=1,1-GN36,0))*150+184+'計算A'!CO$5*100000+IF(AND($E36=1,MB36=0),50000,0))+IF($H36=1,(IF('計算A'!CN$117=1,INDEX('計算A'!CN$10:CN$54,$B36),0)+IF('計算A'!CO$117=1,INDEX('計算A'!CP$10:CP$54,$B36),0))*4000,0)-IF(AND('計算A'!CN$117=1,XL36&gt;0),2000,0)-IF(AND($L36=1,'計算A'!CO$117=1,GN36=0),2000,0))),1000000))</f>
        <v/>
      </c>
      <c r="RR36">
        <f>IF($B36=0,1000000,IF(INDEX('計算A'!$D$60:$EQ$104,$B36,91)*GN36=1,IF(AND($E36=2,MC36=0),1000000,IF($I36&gt;0,IF(4=$J36,IF(OR(AND(91=$I36+1,OR($K36&lt;&gt;'計算A'!$A$3,'計算A'!$A$4=0)),AND(91=$I36-1,OR(19&lt;&gt;'計算A'!$A$3,'計算A'!$A$4=0))),0,IF(19=$K36,200000,ABS(19-$K36)*100)),100000+ABS(4-$J36)*1000+190)+'計算A'!CP$5*50+IF(AND($E36=1,MC36=0),25,0),IF($F36&gt;0,INDEX('計算A'!CP$110:CP$114,$F36+1)+IF(AND($E36=1,MC36=0),1000,0),MIN(TX36,20)*400+(IF('計算A'!CO$106=1,1-GM36,0)+IF('計算A'!CP$106=1,1-GO36,0))*150+194+'計算A'!CP$5*100000+IF(AND($E36=1,MC36=0),50000,0))+IF($H36=1,(IF('計算A'!CO$117=1,INDEX('計算A'!CO$10:CO$54,$B36),0)+IF('計算A'!CP$117=1,INDEX('計算A'!CQ$10:CQ$54,$B36),0))*4000,0)-IF(AND('計算A'!CO$117=1,XM36&gt;0),2000,0)-IF(AND($L36=1,'計算A'!CP$117=1,GO36=0),2000,0))),1000000))</f>
        <v/>
      </c>
      <c r="RS36">
        <f>IF($B36=0,1000000,IF(INDEX('計算A'!$D$60:$EQ$104,$B36,92)*GO36=1,IF(AND($E36=2,MD36=0),1000000,IF($I36&gt;0,IF(4=$J36,IF(OR(AND(92=$I36+1,OR($K36&lt;&gt;'計算A'!$A$3,'計算A'!$A$4=0)),AND(92=$I36-1,OR(20&lt;&gt;'計算A'!$A$3,'計算A'!$A$4=0))),0,IF(20=$K36,200000,ABS(20-$K36)*100)),100000+ABS(4-$J36)*1000+200)+'計算A'!CQ$5*50+IF(AND($E36=1,MD36=0),25,0),IF($F36&gt;0,INDEX('計算A'!CQ$110:CQ$114,$F36+1)+IF(AND($E36=1,MD36=0),1000,0),MIN(TX36,20)*400+(IF('計算A'!CP$106=1,1-GN36,0)+IF('計算A'!CQ$106=1,1-GP36,0))*150+204+'計算A'!CQ$5*100000+IF(AND($E36=1,MD36=0),50000,0))+IF($H36=1,(IF('計算A'!CP$117=1,INDEX('計算A'!CP$10:CP$54,$B36),0)+IF('計算A'!CQ$117=1,INDEX('計算A'!CR$10:CR$54,$B36),0))*4000,0)-IF(AND('計算A'!CP$117=1,XN36&gt;0),2000,0)-IF(AND($L36=1,'計算A'!CQ$117=1,GP36=0),2000,0))),1000000))</f>
        <v/>
      </c>
      <c r="RT36">
        <f>IF($B36=0,1000000,IF(INDEX('計算A'!$D$60:$EQ$104,$B36,93)*GP36=1,IF(AND($E36=2,ME36=0),1000000,IF($I36&gt;0,IF(4=$J36,IF(OR(AND(93=$I36+1,OR($K36&lt;&gt;'計算A'!$A$3,'計算A'!$A$4=0)),AND(93=$I36-1,OR(21&lt;&gt;'計算A'!$A$3,'計算A'!$A$4=0))),0,IF(21=$K36,200000,ABS(21-$K36)*100)),100000+ABS(4-$J36)*1000+210)+'計算A'!CR$5*50+IF(AND($E36=1,ME36=0),25,0),IF($F36&gt;0,INDEX('計算A'!CR$110:CR$114,$F36+1)+IF(AND($E36=1,ME36=0),1000,0),MIN(TX36,20)*400+(IF('計算A'!CQ$106=1,1-GO36,0)+IF('計算A'!CR$106=1,1-GQ36,0))*150+214+'計算A'!CR$5*100000+IF(AND($E36=1,ME36=0),50000,0))+IF($H36=1,(IF('計算A'!CQ$117=1,INDEX('計算A'!CQ$10:CQ$54,$B36),0)+IF('計算A'!CR$117=1,INDEX('計算A'!CS$10:CS$54,$B36),0))*4000,0)-IF(AND('計算A'!CQ$117=1,XO36&gt;0),2000,0)-IF(AND($L36=1,'計算A'!CR$117=1,GQ36=0),2000,0))),1000000))</f>
        <v/>
      </c>
      <c r="RU36">
        <f>IF($B36=0,1000000,IF(INDEX('計算A'!$D$60:$EQ$104,$B36,94)*GQ36=1,IF(AND($E36=2,MF36=0),1000000,IF($I36&gt;0,IF(4=$J36,IF(OR(AND(94=$I36+1,OR($K36&lt;&gt;'計算A'!$A$3,'計算A'!$A$4=0)),AND(94=$I36-1,OR(22&lt;&gt;'計算A'!$A$3,'計算A'!$A$4=0))),0,IF(22=$K36,200000,ABS(22-$K36)*100)),100000+ABS(4-$J36)*1000+220)+'計算A'!CS$5*50+IF(AND($E36=1,MF36=0),25,0),IF($F36&gt;0,INDEX('計算A'!CS$110:CS$114,$F36+1)+IF(AND($E36=1,MF36=0),1000,0),MIN(TX36,20)*400+(IF('計算A'!CR$106=1,1-GP36,0)+IF('計算A'!CS$106=1,1-GR36,0))*150+224+'計算A'!CS$5*100000+IF(AND($E36=1,MF36=0),50000,0))+IF($H36=1,(IF('計算A'!CR$117=1,INDEX('計算A'!CR$10:CR$54,$B36),0)+IF('計算A'!CS$117=1,INDEX('計算A'!CT$10:CT$54,$B36),0))*4000,0)-IF(AND('計算A'!CR$117=1,XP36&gt;0),2000,0)-IF(AND($L36=1,'計算A'!CS$117=1,GR36=0),2000,0))),1000000))</f>
        <v/>
      </c>
      <c r="RV36">
        <f>IF($B36=0,1000000,IF(INDEX('計算A'!$D$60:$EQ$104,$B36,95)*GR36=1,IF(AND($E36=2,MG36=0),1000000,IF($I36&gt;0,IF(4=$J36,IF(OR(AND(95=$I36+1,OR($K36&lt;&gt;'計算A'!$A$3,'計算A'!$A$4=0)),AND(95=$I36-1,OR(23&lt;&gt;'計算A'!$A$3,'計算A'!$A$4=0))),0,IF(23=$K36,200000,ABS(23-$K36)*100)),100000+ABS(4-$J36)*1000+230)+'計算A'!CT$5*50+IF(AND($E36=1,MG36=0),25,0),IF($F36&gt;0,INDEX('計算A'!CT$110:CT$114,$F36+1)+IF(AND($E36=1,MG36=0),1000,0),MIN(TX36,20)*400+(IF('計算A'!CS$106=1,1-GQ36,0)+IF('計算A'!CT$106=1,1-GS36,0))*150+234+'計算A'!CT$5*100000+IF(AND($E36=1,MG36=0),50000,0))+IF($H36=1,(IF('計算A'!CS$117=1,INDEX('計算A'!CS$10:CS$54,$B36),0)+IF('計算A'!CT$117=1,INDEX('計算A'!CU$10:CU$54,$B36),0))*4000,0)-IF(AND('計算A'!CS$117=1,XQ36&gt;0),2000,0)-IF(AND($L36=1,'計算A'!CT$117=1,GS36=0),2000,0))),1000000))</f>
        <v/>
      </c>
      <c r="RW36">
        <f>IF($B36=0,1000000,IF(INDEX('計算A'!$D$60:$EQ$104,$B36,96)*GS36=1,IF(AND($E36=2,MH36=0),1000000,IF($I36&gt;0,IF(4=$J36,IF(OR(AND(96=$I36+1,OR($K36&lt;&gt;'計算A'!$A$3,'計算A'!$A$4=0)),AND(96=$I36-1,OR(24&lt;&gt;'計算A'!$A$3,'計算A'!$A$4=0))),0,IF(24=$K36,200000,ABS(24-$K36)*100)),100000+ABS(4-$J36)*1000+240)+'計算A'!CU$5*50+IF(AND($E36=1,MH36=0),25,0),IF($F36&gt;0,INDEX('計算A'!CU$110:CU$114,$F36+1)+IF(AND($E36=1,MH36=0),1000,0),MIN(TX36,20)*400+(IF('計算A'!CT$106=1,1-GR36,0))*150+244+'計算A'!CU$5*100000+IF(AND($E36=1,MH36=0),50000,0))+IF($H36=1,(IF('計算A'!CT$117=1,INDEX('計算A'!CT$10:CT$54,$B36),0))*4000,0)-IF(AND('計算A'!CT$117=1,XR36&gt;0),2000,0))),1000000))</f>
        <v/>
      </c>
      <c r="RX36">
        <f>IF($B36=0,1000000,IF(INDEX('計算A'!$D$60:$EQ$104,$B36,97)*GT36=1,IF(AND($E36=2,MI36=0),1000000,IF($I36&gt;0,IF(5=$J36,IF(OR(AND(97=$I36+1,OR($K36&lt;&gt;'計算A'!$A$3,'計算A'!$A$4=0)),AND(97=$I36-1,OR(1&lt;&gt;'計算A'!$A$3,'計算A'!$A$4=0))),0,IF(1=$K36,200000,ABS(1-$K36)*100)),100000+ABS(5-$J36)*1000+10)+'計算A'!CV$5*50+IF(AND($E36=1,MI36=0),25,0),IF($F36&gt;0,INDEX('計算A'!CV$110:CV$114,$F36+1)+IF(AND($E36=1,MI36=0),1000,0),MIN(TY36,20)*400+(IF('計算A'!CV$106=1,1-GU36,0))*150+15+'計算A'!CV$5*100000+IF(AND($E36=1,MI36=0),50000,0))+IF($H36=1,(IF('計算A'!CV$117=1,INDEX('計算A'!CW$10:CW$54,$B36),0))*4000,0)-IF(AND($L36=1,'計算A'!CV$117=1,GU36=0),2000,0))),1000000))</f>
        <v/>
      </c>
      <c r="RY36">
        <f>IF($B36=0,1000000,IF(INDEX('計算A'!$D$60:$EQ$104,$B36,98)*GU36=1,IF(AND($E36=2,MJ36=0),1000000,IF($I36&gt;0,IF(5=$J36,IF(OR(AND(98=$I36+1,OR($K36&lt;&gt;'計算A'!$A$3,'計算A'!$A$4=0)),AND(98=$I36-1,OR(2&lt;&gt;'計算A'!$A$3,'計算A'!$A$4=0))),0,IF(2=$K36,200000,ABS(2-$K36)*100)),100000+ABS(5-$J36)*1000+20)+'計算A'!CW$5*50+IF(AND($E36=1,MJ36=0),25,0),IF($F36&gt;0,INDEX('計算A'!CW$110:CW$114,$F36+1)+IF(AND($E36=1,MJ36=0),1000,0),MIN(TY36,20)*400+(IF('計算A'!CV$106=1,1-GT36,0)+IF('計算A'!CW$106=1,1-GV36,0))*150+25+'計算A'!CW$5*100000+IF(AND($E36=1,MJ36=0),50000,0))+IF($H36=1,(IF('計算A'!CV$117=1,INDEX('計算A'!CV$10:CV$54,$B36),0)+IF('計算A'!CW$117=1,INDEX('計算A'!CX$10:CX$54,$B36),0))*4000,0)-IF(AND('計算A'!CV$117=1,XT36&gt;0),2000,0)-IF(AND($L36=1,'計算A'!CW$117=1,GV36=0),2000,0))),1000000))</f>
        <v/>
      </c>
      <c r="RZ36">
        <f>IF($B36=0,1000000,IF(INDEX('計算A'!$D$60:$EQ$104,$B36,99)*GV36=1,IF(AND($E36=2,MK36=0),1000000,IF($I36&gt;0,IF(5=$J36,IF(OR(AND(99=$I36+1,OR($K36&lt;&gt;'計算A'!$A$3,'計算A'!$A$4=0)),AND(99=$I36-1,OR(3&lt;&gt;'計算A'!$A$3,'計算A'!$A$4=0))),0,IF(3=$K36,200000,ABS(3-$K36)*100)),100000+ABS(5-$J36)*1000+30)+'計算A'!CX$5*50+IF(AND($E36=1,MK36=0),25,0),IF($F36&gt;0,INDEX('計算A'!CX$110:CX$114,$F36+1)+IF(AND($E36=1,MK36=0),1000,0),MIN(TY36,20)*400+(IF('計算A'!CW$106=1,1-GU36,0)+IF('計算A'!CX$106=1,1-GW36,0))*150+35+'計算A'!CX$5*100000+IF(AND($E36=1,MK36=0),50000,0))+IF($H36=1,(IF('計算A'!CW$117=1,INDEX('計算A'!CW$10:CW$54,$B36),0)+IF('計算A'!CX$117=1,INDEX('計算A'!CY$10:CY$54,$B36),0))*4000,0)-IF(AND('計算A'!CW$117=1,XU36&gt;0),2000,0)-IF(AND($L36=1,'計算A'!CX$117=1,GW36=0),2000,0))),1000000))</f>
        <v/>
      </c>
      <c r="SA36">
        <f>IF($B36=0,1000000,IF(INDEX('計算A'!$D$60:$EQ$104,$B36,100)*GW36=1,IF(AND($E36=2,ML36=0),1000000,IF($I36&gt;0,IF(5=$J36,IF(OR(AND(100=$I36+1,OR($K36&lt;&gt;'計算A'!$A$3,'計算A'!$A$4=0)),AND(100=$I36-1,OR(4&lt;&gt;'計算A'!$A$3,'計算A'!$A$4=0))),0,IF(4=$K36,200000,ABS(4-$K36)*100)),100000+ABS(5-$J36)*1000+40)+'計算A'!CY$5*50+IF(AND($E36=1,ML36=0),25,0),IF($F36&gt;0,INDEX('計算A'!CY$110:CY$114,$F36+1)+IF(AND($E36=1,ML36=0),1000,0),MIN(TY36,20)*400+(IF('計算A'!CX$106=1,1-GV36,0)+IF('計算A'!CY$106=1,1-GX36,0))*150+45+'計算A'!CY$5*100000+IF(AND($E36=1,ML36=0),50000,0))+IF($H36=1,(IF('計算A'!CX$117=1,INDEX('計算A'!CX$10:CX$54,$B36),0)+IF('計算A'!CY$117=1,INDEX('計算A'!CZ$10:CZ$54,$B36),0))*4000,0)-IF(AND('計算A'!CX$117=1,XV36&gt;0),2000,0)-IF(AND($L36=1,'計算A'!CY$117=1,GX36=0),2000,0))),1000000))</f>
        <v/>
      </c>
      <c r="SB36">
        <f>IF($B36=0,1000000,IF(INDEX('計算A'!$D$60:$EQ$104,$B36,101)*GX36=1,IF(AND($E36=2,MM36=0),1000000,IF($I36&gt;0,IF(5=$J36,IF(OR(AND(101=$I36+1,OR($K36&lt;&gt;'計算A'!$A$3,'計算A'!$A$4=0)),AND(101=$I36-1,OR(5&lt;&gt;'計算A'!$A$3,'計算A'!$A$4=0))),0,IF(5=$K36,200000,ABS(5-$K36)*100)),100000+ABS(5-$J36)*1000+50)+'計算A'!CZ$5*50+IF(AND($E36=1,MM36=0),25,0),IF($F36&gt;0,INDEX('計算A'!CZ$110:CZ$114,$F36+1)+IF(AND($E36=1,MM36=0),1000,0),MIN(TY36,20)*400+(IF('計算A'!CY$106=1,1-GW36,0)+IF('計算A'!CZ$106=1,1-GY36,0))*150+55+'計算A'!CZ$5*100000+IF(AND($E36=1,MM36=0),50000,0))+IF($H36=1,(IF('計算A'!CY$117=1,INDEX('計算A'!CY$10:CY$54,$B36),0)+IF('計算A'!CZ$117=1,INDEX('計算A'!DA$10:DA$54,$B36),0))*4000,0)-IF(AND('計算A'!CY$117=1,XW36&gt;0),2000,0)-IF(AND($L36=1,'計算A'!CZ$117=1,GY36=0),2000,0))),1000000))</f>
        <v/>
      </c>
      <c r="SC36">
        <f>IF($B36=0,1000000,IF(INDEX('計算A'!$D$60:$EQ$104,$B36,102)*GY36=1,IF(AND($E36=2,MN36=0),1000000,IF($I36&gt;0,IF(5=$J36,IF(OR(AND(102=$I36+1,OR($K36&lt;&gt;'計算A'!$A$3,'計算A'!$A$4=0)),AND(102=$I36-1,OR(6&lt;&gt;'計算A'!$A$3,'計算A'!$A$4=0))),0,IF(6=$K36,200000,ABS(6-$K36)*100)),100000+ABS(5-$J36)*1000+60)+'計算A'!DA$5*50+IF(AND($E36=1,MN36=0),25,0),IF($F36&gt;0,INDEX('計算A'!DA$110:DA$114,$F36+1)+IF(AND($E36=1,MN36=0),1000,0),MIN(TY36,20)*400+(IF('計算A'!CZ$106=1,1-GX36,0)+IF('計算A'!DA$106=1,1-GZ36,0))*150+65+'計算A'!DA$5*100000+IF(AND($E36=1,MN36=0),50000,0))+IF($H36=1,(IF('計算A'!CZ$117=1,INDEX('計算A'!CZ$10:CZ$54,$B36),0)+IF('計算A'!DA$117=1,INDEX('計算A'!DB$10:DB$54,$B36),0))*4000,0)-IF(AND('計算A'!CZ$117=1,XX36&gt;0),2000,0)-IF(AND($L36=1,'計算A'!DA$117=1,GZ36=0),2000,0))),1000000))</f>
        <v/>
      </c>
      <c r="SD36">
        <f>IF($B36=0,1000000,IF(INDEX('計算A'!$D$60:$EQ$104,$B36,103)*GZ36=1,IF(AND($E36=2,MO36=0),1000000,IF($I36&gt;0,IF(5=$J36,IF(OR(AND(103=$I36+1,OR($K36&lt;&gt;'計算A'!$A$3,'計算A'!$A$4=0)),AND(103=$I36-1,OR(7&lt;&gt;'計算A'!$A$3,'計算A'!$A$4=0))),0,IF(7=$K36,200000,ABS(7-$K36)*100)),100000+ABS(5-$J36)*1000+70)+'計算A'!DB$5*50+IF(AND($E36=1,MO36=0),25,0),IF($F36&gt;0,INDEX('計算A'!DB$110:DB$114,$F36+1)+IF(AND($E36=1,MO36=0),1000,0),MIN(TY36,20)*400+(IF('計算A'!DA$106=1,1-GY36,0)+IF('計算A'!DB$106=1,1-HA36,0))*150+75+'計算A'!DB$5*100000+IF(AND($E36=1,MO36=0),50000,0))+IF($H36=1,(IF('計算A'!DA$117=1,INDEX('計算A'!DA$10:DA$54,$B36),0)+IF('計算A'!DB$117=1,INDEX('計算A'!DC$10:DC$54,$B36),0))*4000,0)-IF(AND('計算A'!DA$117=1,XY36&gt;0),2000,0)-IF(AND($L36=1,'計算A'!DB$117=1,HA36=0),2000,0))),1000000))</f>
        <v/>
      </c>
      <c r="SE36">
        <f>IF($B36=0,1000000,IF(INDEX('計算A'!$D$60:$EQ$104,$B36,104)*HA36=1,IF(AND($E36=2,MP36=0),1000000,IF($I36&gt;0,IF(5=$J36,IF(OR(AND(104=$I36+1,OR($K36&lt;&gt;'計算A'!$A$3,'計算A'!$A$4=0)),AND(104=$I36-1,OR(8&lt;&gt;'計算A'!$A$3,'計算A'!$A$4=0))),0,IF(8=$K36,200000,ABS(8-$K36)*100)),100000+ABS(5-$J36)*1000+80)+'計算A'!DC$5*50+IF(AND($E36=1,MP36=0),25,0),IF($F36&gt;0,INDEX('計算A'!DC$110:DC$114,$F36+1)+IF(AND($E36=1,MP36=0),1000,0),MIN(TY36,20)*400+(IF('計算A'!DB$106=1,1-GZ36,0)+IF('計算A'!DC$106=1,1-HB36,0))*150+85+'計算A'!DC$5*100000+IF(AND($E36=1,MP36=0),50000,0))+IF($H36=1,(IF('計算A'!DB$117=1,INDEX('計算A'!DB$10:DB$54,$B36),0)+IF('計算A'!DC$117=1,INDEX('計算A'!DD$10:DD$54,$B36),0))*4000,0)-IF(AND('計算A'!DB$117=1,XZ36&gt;0),2000,0)-IF(AND($L36=1,'計算A'!DC$117=1,HB36=0),2000,0))),1000000))</f>
        <v/>
      </c>
      <c r="SF36">
        <f>IF($B36=0,1000000,IF(INDEX('計算A'!$D$60:$EQ$104,$B36,105)*HB36=1,IF(AND($E36=2,MQ36=0),1000000,IF($I36&gt;0,IF(5=$J36,IF(OR(AND(105=$I36+1,OR($K36&lt;&gt;'計算A'!$A$3,'計算A'!$A$4=0)),AND(105=$I36-1,OR(9&lt;&gt;'計算A'!$A$3,'計算A'!$A$4=0))),0,IF(9=$K36,200000,ABS(9-$K36)*100)),100000+ABS(5-$J36)*1000+90)+'計算A'!DD$5*50+IF(AND($E36=1,MQ36=0),25,0),IF($F36&gt;0,INDEX('計算A'!DD$110:DD$114,$F36+1)+IF(AND($E36=1,MQ36=0),1000,0),MIN(TY36,20)*400+(IF('計算A'!DC$106=1,1-HA36,0)+IF('計算A'!DD$106=1,1-HC36,0))*150+95+'計算A'!DD$5*100000+IF(AND($E36=1,MQ36=0),50000,0))+IF($H36=1,(IF('計算A'!DC$117=1,INDEX('計算A'!DC$10:DC$54,$B36),0)+IF('計算A'!DD$117=1,INDEX('計算A'!DE$10:DE$54,$B36),0))*4000,0)-IF(AND('計算A'!DC$117=1,YA36&gt;0),2000,0)-IF(AND($L36=1,'計算A'!DD$117=1,HC36=0),2000,0))),1000000))</f>
        <v/>
      </c>
      <c r="SG36">
        <f>IF($B36=0,1000000,IF(INDEX('計算A'!$D$60:$EQ$104,$B36,106)*HC36=1,IF(AND($E36=2,MR36=0),1000000,IF($I36&gt;0,IF(5=$J36,IF(OR(AND(106=$I36+1,OR($K36&lt;&gt;'計算A'!$A$3,'計算A'!$A$4=0)),AND(106=$I36-1,OR(10&lt;&gt;'計算A'!$A$3,'計算A'!$A$4=0))),0,IF(10=$K36,200000,ABS(10-$K36)*100)),100000+ABS(5-$J36)*1000+100)+'計算A'!DE$5*50+IF(AND($E36=1,MR36=0),25,0),IF($F36&gt;0,INDEX('計算A'!DE$110:DE$114,$F36+1)+IF(AND($E36=1,MR36=0),1000,0),MIN(TY36,20)*400+(IF('計算A'!DD$106=1,1-HB36,0)+IF('計算A'!DE$106=1,1-HD36,0))*150+105+'計算A'!DE$5*100000+IF(AND($E36=1,MR36=0),50000,0))+IF($H36=1,(IF('計算A'!DD$117=1,INDEX('計算A'!DD$10:DD$54,$B36),0)+IF('計算A'!DE$117=1,INDEX('計算A'!DF$10:DF$54,$B36),0))*4000,0)-IF(AND('計算A'!DD$117=1,YB36&gt;0),2000,0)-IF(AND($L36=1,'計算A'!DE$117=1,HD36=0),2000,0))),1000000))</f>
        <v/>
      </c>
      <c r="SH36">
        <f>IF($B36=0,1000000,IF(INDEX('計算A'!$D$60:$EQ$104,$B36,107)*HD36=1,IF(AND($E36=2,MS36=0),1000000,IF($I36&gt;0,IF(5=$J36,IF(OR(AND(107=$I36+1,OR($K36&lt;&gt;'計算A'!$A$3,'計算A'!$A$4=0)),AND(107=$I36-1,OR(11&lt;&gt;'計算A'!$A$3,'計算A'!$A$4=0))),0,IF(11=$K36,200000,ABS(11-$K36)*100)),100000+ABS(5-$J36)*1000+110)+'計算A'!DF$5*50+IF(AND($E36=1,MS36=0),25,0),IF($F36&gt;0,INDEX('計算A'!DF$110:DF$114,$F36+1)+IF(AND($E36=1,MS36=0),1000,0),MIN(TY36,20)*400+(IF('計算A'!DE$106=1,1-HC36,0)+IF('計算A'!DF$106=1,1-HE36,0))*150+115+'計算A'!DF$5*100000+IF(AND($E36=1,MS36=0),50000,0))+IF($H36=1,(IF('計算A'!DE$117=1,INDEX('計算A'!DE$10:DE$54,$B36),0)+IF('計算A'!DF$117=1,INDEX('計算A'!DG$10:DG$54,$B36),0))*4000,0)-IF(AND('計算A'!DE$117=1,YC36&gt;0),2000,0)-IF(AND($L36=1,'計算A'!DF$117=1,HE36=0),2000,0))),1000000))</f>
        <v/>
      </c>
      <c r="SI36">
        <f>IF($B36=0,1000000,IF(INDEX('計算A'!$D$60:$EQ$104,$B36,108)*HE36=1,IF(AND($E36=2,MT36=0),1000000,IF($I36&gt;0,IF(5=$J36,IF(OR(AND(108=$I36+1,OR($K36&lt;&gt;'計算A'!$A$3,'計算A'!$A$4=0)),AND(108=$I36-1,OR(12&lt;&gt;'計算A'!$A$3,'計算A'!$A$4=0))),0,IF(12=$K36,200000,ABS(12-$K36)*100)),100000+ABS(5-$J36)*1000+120)+'計算A'!DG$5*50+IF(AND($E36=1,MT36=0),25,0),IF($F36&gt;0,INDEX('計算A'!DG$110:DG$114,$F36+1)+IF(AND($E36=1,MT36=0),1000,0),MIN(TY36,20)*400+(IF('計算A'!DF$106=1,1-HD36,0)+IF('計算A'!DG$106=1,1-HF36,0))*150+125+'計算A'!DG$5*100000+IF(AND($E36=1,MT36=0),50000,0))+IF($H36=1,(IF('計算A'!DF$117=1,INDEX('計算A'!DF$10:DF$54,$B36),0)+IF('計算A'!DG$117=1,INDEX('計算A'!DH$10:DH$54,$B36),0))*4000,0)-IF(AND('計算A'!DF$117=1,YD36&gt;0),2000,0)-IF(AND($L36=1,'計算A'!DG$117=1,HF36=0),2000,0))),1000000))</f>
        <v/>
      </c>
      <c r="SJ36">
        <f>IF($B36=0,1000000,IF(INDEX('計算A'!$D$60:$EQ$104,$B36,109)*HF36=1,IF(AND($E36=2,MU36=0),1000000,IF($I36&gt;0,IF(5=$J36,IF(OR(AND(109=$I36+1,OR($K36&lt;&gt;'計算A'!$A$3,'計算A'!$A$4=0)),AND(109=$I36-1,OR(13&lt;&gt;'計算A'!$A$3,'計算A'!$A$4=0))),0,IF(13=$K36,200000,ABS(13-$K36)*100)),100000+ABS(5-$J36)*1000+130)+'計算A'!DH$5*50+IF(AND($E36=1,MU36=0),25,0),IF($F36&gt;0,INDEX('計算A'!DH$110:DH$114,$F36+1)+IF(AND($E36=1,MU36=0),1000,0),MIN(TY36,20)*400+(IF('計算A'!DG$106=1,1-HE36,0)+IF('計算A'!DH$106=1,1-HG36,0))*150+135+'計算A'!DH$5*100000+IF(AND($E36=1,MU36=0),50000,0))+IF($H36=1,(IF('計算A'!DG$117=1,INDEX('計算A'!DG$10:DG$54,$B36),0)+IF('計算A'!DH$117=1,INDEX('計算A'!DI$10:DI$54,$B36),0))*4000,0)-IF(AND('計算A'!DG$117=1,YE36&gt;0),2000,0)-IF(AND($L36=1,'計算A'!DH$117=1,HG36=0),2000,0))),1000000))</f>
        <v/>
      </c>
      <c r="SK36">
        <f>IF($B36=0,1000000,IF(INDEX('計算A'!$D$60:$EQ$104,$B36,110)*HG36=1,IF(AND($E36=2,MV36=0),1000000,IF($I36&gt;0,IF(5=$J36,IF(OR(AND(110=$I36+1,OR($K36&lt;&gt;'計算A'!$A$3,'計算A'!$A$4=0)),AND(110=$I36-1,OR(14&lt;&gt;'計算A'!$A$3,'計算A'!$A$4=0))),0,IF(14=$K36,200000,ABS(14-$K36)*100)),100000+ABS(5-$J36)*1000+140)+'計算A'!DI$5*50+IF(AND($E36=1,MV36=0),25,0),IF($F36&gt;0,INDEX('計算A'!DI$110:DI$114,$F36+1)+IF(AND($E36=1,MV36=0),1000,0),MIN(TY36,20)*400+(IF('計算A'!DH$106=1,1-HF36,0)+IF('計算A'!DI$106=1,1-HH36,0))*150+145+'計算A'!DI$5*100000+IF(AND($E36=1,MV36=0),50000,0))+IF($H36=1,(IF('計算A'!DH$117=1,INDEX('計算A'!DH$10:DH$54,$B36),0)+IF('計算A'!DI$117=1,INDEX('計算A'!DJ$10:DJ$54,$B36),0))*4000,0)-IF(AND('計算A'!DH$117=1,YF36&gt;0),2000,0)-IF(AND($L36=1,'計算A'!DI$117=1,HH36=0),2000,0))),1000000))</f>
        <v/>
      </c>
      <c r="SL36">
        <f>IF($B36=0,1000000,IF(INDEX('計算A'!$D$60:$EQ$104,$B36,111)*HH36=1,IF(AND($E36=2,MW36=0),1000000,IF($I36&gt;0,IF(5=$J36,IF(OR(AND(111=$I36+1,OR($K36&lt;&gt;'計算A'!$A$3,'計算A'!$A$4=0)),AND(111=$I36-1,OR(15&lt;&gt;'計算A'!$A$3,'計算A'!$A$4=0))),0,IF(15=$K36,200000,ABS(15-$K36)*100)),100000+ABS(5-$J36)*1000+150)+'計算A'!DJ$5*50+IF(AND($E36=1,MW36=0),25,0),IF($F36&gt;0,INDEX('計算A'!DJ$110:DJ$114,$F36+1)+IF(AND($E36=1,MW36=0),1000,0),MIN(TY36,20)*400+(IF('計算A'!DI$106=1,1-HG36,0)+IF('計算A'!DJ$106=1,1-HI36,0))*150+155+'計算A'!DJ$5*100000+IF(AND($E36=1,MW36=0),50000,0))+IF($H36=1,(IF('計算A'!DI$117=1,INDEX('計算A'!DI$10:DI$54,$B36),0)+IF('計算A'!DJ$117=1,INDEX('計算A'!DK$10:DK$54,$B36),0))*4000,0)-IF(AND('計算A'!DI$117=1,YG36&gt;0),2000,0)-IF(AND($L36=1,'計算A'!DJ$117=1,HI36=0),2000,0))),1000000))</f>
        <v/>
      </c>
      <c r="SM36">
        <f>IF($B36=0,1000000,IF(INDEX('計算A'!$D$60:$EQ$104,$B36,112)*HI36=1,IF(AND($E36=2,MX36=0),1000000,IF($I36&gt;0,IF(5=$J36,IF(OR(AND(112=$I36+1,OR($K36&lt;&gt;'計算A'!$A$3,'計算A'!$A$4=0)),AND(112=$I36-1,OR(16&lt;&gt;'計算A'!$A$3,'計算A'!$A$4=0))),0,IF(16=$K36,200000,ABS(16-$K36)*100)),100000+ABS(5-$J36)*1000+160)+'計算A'!DK$5*50+IF(AND($E36=1,MX36=0),25,0),IF($F36&gt;0,INDEX('計算A'!DK$110:DK$114,$F36+1)+IF(AND($E36=1,MX36=0),1000,0),MIN(TY36,20)*400+(IF('計算A'!DJ$106=1,1-HH36,0)+IF('計算A'!DK$106=1,1-HJ36,0))*150+165+'計算A'!DK$5*100000+IF(AND($E36=1,MX36=0),50000,0))+IF($H36=1,(IF('計算A'!DJ$117=1,INDEX('計算A'!DJ$10:DJ$54,$B36),0)+IF('計算A'!DK$117=1,INDEX('計算A'!DL$10:DL$54,$B36),0))*4000,0)-IF(AND('計算A'!DJ$117=1,YH36&gt;0),2000,0)-IF(AND($L36=1,'計算A'!DK$117=1,HJ36=0),2000,0))),1000000))</f>
        <v/>
      </c>
      <c r="SN36">
        <f>IF($B36=0,1000000,IF(INDEX('計算A'!$D$60:$EQ$104,$B36,113)*HJ36=1,IF(AND($E36=2,MY36=0),1000000,IF($I36&gt;0,IF(5=$J36,IF(OR(AND(113=$I36+1,OR($K36&lt;&gt;'計算A'!$A$3,'計算A'!$A$4=0)),AND(113=$I36-1,OR(17&lt;&gt;'計算A'!$A$3,'計算A'!$A$4=0))),0,IF(17=$K36,200000,ABS(17-$K36)*100)),100000+ABS(5-$J36)*1000+170)+'計算A'!DL$5*50+IF(AND($E36=1,MY36=0),25,0),IF($F36&gt;0,INDEX('計算A'!DL$110:DL$114,$F36+1)+IF(AND($E36=1,MY36=0),1000,0),MIN(TY36,20)*400+(IF('計算A'!DK$106=1,1-HI36,0)+IF('計算A'!DL$106=1,1-HK36,0))*150+175+'計算A'!DL$5*100000+IF(AND($E36=1,MY36=0),50000,0))+IF($H36=1,(IF('計算A'!DK$117=1,INDEX('計算A'!DK$10:DK$54,$B36),0)+IF('計算A'!DL$117=1,INDEX('計算A'!DM$10:DM$54,$B36),0))*4000,0)-IF(AND('計算A'!DK$117=1,YI36&gt;0),2000,0)-IF(AND($L36=1,'計算A'!DL$117=1,HK36=0),2000,0))),1000000))</f>
        <v/>
      </c>
      <c r="SO36">
        <f>IF($B36=0,1000000,IF(INDEX('計算A'!$D$60:$EQ$104,$B36,114)*HK36=1,IF(AND($E36=2,MZ36=0),1000000,IF($I36&gt;0,IF(5=$J36,IF(OR(AND(114=$I36+1,OR($K36&lt;&gt;'計算A'!$A$3,'計算A'!$A$4=0)),AND(114=$I36-1,OR(18&lt;&gt;'計算A'!$A$3,'計算A'!$A$4=0))),0,IF(18=$K36,200000,ABS(18-$K36)*100)),100000+ABS(5-$J36)*1000+180)+'計算A'!DM$5*50+IF(AND($E36=1,MZ36=0),25,0),IF($F36&gt;0,INDEX('計算A'!DM$110:DM$114,$F36+1)+IF(AND($E36=1,MZ36=0),1000,0),MIN(TY36,20)*400+(IF('計算A'!DL$106=1,1-HJ36,0)+IF('計算A'!DM$106=1,1-HL36,0))*150+185+'計算A'!DM$5*100000+IF(AND($E36=1,MZ36=0),50000,0))+IF($H36=1,(IF('計算A'!DL$117=1,INDEX('計算A'!DL$10:DL$54,$B36),0)+IF('計算A'!DM$117=1,INDEX('計算A'!DN$10:DN$54,$B36),0))*4000,0)-IF(AND('計算A'!DL$117=1,YJ36&gt;0),2000,0)-IF(AND($L36=1,'計算A'!DM$117=1,HL36=0),2000,0))),1000000))</f>
        <v/>
      </c>
      <c r="SP36">
        <f>IF($B36=0,1000000,IF(INDEX('計算A'!$D$60:$EQ$104,$B36,115)*HL36=1,IF(AND($E36=2,NA36=0),1000000,IF($I36&gt;0,IF(5=$J36,IF(OR(AND(115=$I36+1,OR($K36&lt;&gt;'計算A'!$A$3,'計算A'!$A$4=0)),AND(115=$I36-1,OR(19&lt;&gt;'計算A'!$A$3,'計算A'!$A$4=0))),0,IF(19=$K36,200000,ABS(19-$K36)*100)),100000+ABS(5-$J36)*1000+190)+'計算A'!DN$5*50+IF(AND($E36=1,NA36=0),25,0),IF($F36&gt;0,INDEX('計算A'!DN$110:DN$114,$F36+1)+IF(AND($E36=1,NA36=0),1000,0),MIN(TY36,20)*400+(IF('計算A'!DM$106=1,1-HK36,0)+IF('計算A'!DN$106=1,1-HM36,0))*150+195+'計算A'!DN$5*100000+IF(AND($E36=1,NA36=0),50000,0))+IF($H36=1,(IF('計算A'!DM$117=1,INDEX('計算A'!DM$10:DM$54,$B36),0)+IF('計算A'!DN$117=1,INDEX('計算A'!DO$10:DO$54,$B36),0))*4000,0)-IF(AND('計算A'!DM$117=1,YK36&gt;0),2000,0)-IF(AND($L36=1,'計算A'!DN$117=1,HM36=0),2000,0))),1000000))</f>
        <v/>
      </c>
      <c r="SQ36">
        <f>IF($B36=0,1000000,IF(INDEX('計算A'!$D$60:$EQ$104,$B36,116)*HM36=1,IF(AND($E36=2,NB36=0),1000000,IF($I36&gt;0,IF(5=$J36,IF(OR(AND(116=$I36+1,OR($K36&lt;&gt;'計算A'!$A$3,'計算A'!$A$4=0)),AND(116=$I36-1,OR(20&lt;&gt;'計算A'!$A$3,'計算A'!$A$4=0))),0,IF(20=$K36,200000,ABS(20-$K36)*100)),100000+ABS(5-$J36)*1000+200)+'計算A'!DO$5*50+IF(AND($E36=1,NB36=0),25,0),IF($F36&gt;0,INDEX('計算A'!DO$110:DO$114,$F36+1)+IF(AND($E36=1,NB36=0),1000,0),MIN(TY36,20)*400+(IF('計算A'!DN$106=1,1-HL36,0)+IF('計算A'!DO$106=1,1-HN36,0))*150+205+'計算A'!DO$5*100000+IF(AND($E36=1,NB36=0),50000,0))+IF($H36=1,(IF('計算A'!DN$117=1,INDEX('計算A'!DN$10:DN$54,$B36),0)+IF('計算A'!DO$117=1,INDEX('計算A'!DP$10:DP$54,$B36),0))*4000,0)-IF(AND('計算A'!DN$117=1,YL36&gt;0),2000,0)-IF(AND($L36=1,'計算A'!DO$117=1,HN36=0),2000,0))),1000000))</f>
        <v/>
      </c>
      <c r="SR36">
        <f>IF($B36=0,1000000,IF(INDEX('計算A'!$D$60:$EQ$104,$B36,117)*HN36=1,IF(AND($E36=2,NC36=0),1000000,IF($I36&gt;0,IF(5=$J36,IF(OR(AND(117=$I36+1,OR($K36&lt;&gt;'計算A'!$A$3,'計算A'!$A$4=0)),AND(117=$I36-1,OR(21&lt;&gt;'計算A'!$A$3,'計算A'!$A$4=0))),0,IF(21=$K36,200000,ABS(21-$K36)*100)),100000+ABS(5-$J36)*1000+210)+'計算A'!DP$5*50+IF(AND($E36=1,NC36=0),25,0),IF($F36&gt;0,INDEX('計算A'!DP$110:DP$114,$F36+1)+IF(AND($E36=1,NC36=0),1000,0),MIN(TY36,20)*400+(IF('計算A'!DO$106=1,1-HM36,0)+IF('計算A'!DP$106=1,1-HO36,0))*150+215+'計算A'!DP$5*100000+IF(AND($E36=1,NC36=0),50000,0))+IF($H36=1,(IF('計算A'!DO$117=1,INDEX('計算A'!DO$10:DO$54,$B36),0)+IF('計算A'!DP$117=1,INDEX('計算A'!DQ$10:DQ$54,$B36),0))*4000,0)-IF(AND('計算A'!DO$117=1,YM36&gt;0),2000,0)-IF(AND($L36=1,'計算A'!DP$117=1,HO36=0),2000,0))),1000000))</f>
        <v/>
      </c>
      <c r="SS36">
        <f>IF($B36=0,1000000,IF(INDEX('計算A'!$D$60:$EQ$104,$B36,118)*HO36=1,IF(AND($E36=2,ND36=0),1000000,IF($I36&gt;0,IF(5=$J36,IF(OR(AND(118=$I36+1,OR($K36&lt;&gt;'計算A'!$A$3,'計算A'!$A$4=0)),AND(118=$I36-1,OR(22&lt;&gt;'計算A'!$A$3,'計算A'!$A$4=0))),0,IF(22=$K36,200000,ABS(22-$K36)*100)),100000+ABS(5-$J36)*1000+220)+'計算A'!DQ$5*50+IF(AND($E36=1,ND36=0),25,0),IF($F36&gt;0,INDEX('計算A'!DQ$110:DQ$114,$F36+1)+IF(AND($E36=1,ND36=0),1000,0),MIN(TY36,20)*400+(IF('計算A'!DP$106=1,1-HN36,0)+IF('計算A'!DQ$106=1,1-HP36,0))*150+225+'計算A'!DQ$5*100000+IF(AND($E36=1,ND36=0),50000,0))+IF($H36=1,(IF('計算A'!DP$117=1,INDEX('計算A'!DP$10:DP$54,$B36),0)+IF('計算A'!DQ$117=1,INDEX('計算A'!DR$10:DR$54,$B36),0))*4000,0)-IF(AND('計算A'!DP$117=1,YN36&gt;0),2000,0)-IF(AND($L36=1,'計算A'!DQ$117=1,HP36=0),2000,0))),1000000))</f>
        <v/>
      </c>
      <c r="ST36">
        <f>IF($B36=0,1000000,IF(INDEX('計算A'!$D$60:$EQ$104,$B36,119)*HP36=1,IF(AND($E36=2,NE36=0),1000000,IF($I36&gt;0,IF(5=$J36,IF(OR(AND(119=$I36+1,OR($K36&lt;&gt;'計算A'!$A$3,'計算A'!$A$4=0)),AND(119=$I36-1,OR(23&lt;&gt;'計算A'!$A$3,'計算A'!$A$4=0))),0,IF(23=$K36,200000,ABS(23-$K36)*100)),100000+ABS(5-$J36)*1000+230)+'計算A'!DR$5*50+IF(AND($E36=1,NE36=0),25,0),IF($F36&gt;0,INDEX('計算A'!DR$110:DR$114,$F36+1)+IF(AND($E36=1,NE36=0),1000,0),MIN(TY36,20)*400+(IF('計算A'!DQ$106=1,1-HO36,0)+IF('計算A'!DR$106=1,1-HQ36,0))*150+235+'計算A'!DR$5*100000+IF(AND($E36=1,NE36=0),50000,0))+IF($H36=1,(IF('計算A'!DQ$117=1,INDEX('計算A'!DQ$10:DQ$54,$B36),0)+IF('計算A'!DR$117=1,INDEX('計算A'!DS$10:DS$54,$B36),0))*4000,0)-IF(AND('計算A'!DQ$117=1,YO36&gt;0),2000,0)-IF(AND($L36=1,'計算A'!DR$117=1,HQ36=0),2000,0))),1000000))</f>
        <v/>
      </c>
      <c r="SU36">
        <f>IF($B36=0,1000000,IF(INDEX('計算A'!$D$60:$EQ$104,$B36,120)*HQ36=1,IF(AND($E36=2,NF36=0),1000000,IF($I36&gt;0,IF(5=$J36,IF(OR(AND(120=$I36+1,OR($K36&lt;&gt;'計算A'!$A$3,'計算A'!$A$4=0)),AND(120=$I36-1,OR(24&lt;&gt;'計算A'!$A$3,'計算A'!$A$4=0))),0,IF(24=$K36,200000,ABS(24-$K36)*100)),100000+ABS(5-$J36)*1000+240)+'計算A'!DS$5*50+IF(AND($E36=1,NF36=0),25,0),IF($F36&gt;0,INDEX('計算A'!DS$110:DS$114,$F36+1)+IF(AND($E36=1,NF36=0),1000,0),MIN(TY36,20)*400+(IF('計算A'!DR$106=1,1-HP36,0))*150+245+'計算A'!DS$5*100000+IF(AND($E36=1,NF36=0),50000,0))+IF($H36=1,(IF('計算A'!DR$117=1,INDEX('計算A'!DR$10:DR$54,$B36),0))*4000,0)-IF(AND('計算A'!DR$117=1,YP36&gt;0),2000,0))),1000000))</f>
        <v/>
      </c>
      <c r="SV36">
        <f>IF($B36=0,1000000,IF(INDEX('計算A'!$D$60:$EQ$104,$B36,121)*HR36=1,IF(AND($E36=2,NG36=0),1000000,IF($I36&gt;0,IF(6=$J36,IF(OR(AND(121=$I36+1,OR($K36&lt;&gt;'計算A'!$A$3,'計算A'!$A$4=0)),AND(121=$I36-1,OR(1&lt;&gt;'計算A'!$A$3,'計算A'!$A$4=0))),0,IF(1=$K36,200000,ABS(1-$K36)*100)),100000+ABS(6-$J36)*1000+10)+'計算A'!DT$5*50+IF(AND($E36=1,NG36=0),25,0),IF($F36&gt;0,INDEX('計算A'!DT$110:DT$114,$F36+1)+IF(AND($E36=1,NG36=0),1000,0),MIN(TZ36,20)*400+(IF('計算A'!DT$106=1,1-HS36,0))*150+16+'計算A'!DT$5*100000+IF(AND($E36=1,NG36=0),50000,0))+IF($H36=1,(IF('計算A'!DT$117=1,INDEX('計算A'!DU$10:DU$54,$B36),0))*4000,0)-IF(AND($L36=1,'計算A'!DT$117=1,HS36=0),2000,0))),1000000))</f>
        <v/>
      </c>
      <c r="SW36">
        <f>IF($B36=0,1000000,IF(INDEX('計算A'!$D$60:$EQ$104,$B36,122)*HS36=1,IF(AND($E36=2,NH36=0),1000000,IF($I36&gt;0,IF(6=$J36,IF(OR(AND(122=$I36+1,OR($K36&lt;&gt;'計算A'!$A$3,'計算A'!$A$4=0)),AND(122=$I36-1,OR(2&lt;&gt;'計算A'!$A$3,'計算A'!$A$4=0))),0,IF(2=$K36,200000,ABS(2-$K36)*100)),100000+ABS(6-$J36)*1000+20)+'計算A'!DU$5*50+IF(AND($E36=1,NH36=0),25,0),IF($F36&gt;0,INDEX('計算A'!DU$110:DU$114,$F36+1)+IF(AND($E36=1,NH36=0),1000,0),MIN(TZ36,20)*400+(IF('計算A'!DT$106=1,1-HR36,0)+IF('計算A'!DU$106=1,1-HT36,0))*150+26+'計算A'!DU$5*100000+IF(AND($E36=1,NH36=0),50000,0))+IF($H36=1,(IF('計算A'!DT$117=1,INDEX('計算A'!DT$10:DT$54,$B36),0)+IF('計算A'!DU$117=1,INDEX('計算A'!DV$10:DV$54,$B36),0))*4000,0)-IF(AND('計算A'!DT$117=1,YR36&gt;0),2000,0)-IF(AND($L36=1,'計算A'!DU$117=1,HT36=0),2000,0))),1000000))</f>
        <v/>
      </c>
      <c r="SX36">
        <f>IF($B36=0,1000000,IF(INDEX('計算A'!$D$60:$EQ$104,$B36,123)*HT36=1,IF(AND($E36=2,NI36=0),1000000,IF($I36&gt;0,IF(6=$J36,IF(OR(AND(123=$I36+1,OR($K36&lt;&gt;'計算A'!$A$3,'計算A'!$A$4=0)),AND(123=$I36-1,OR(3&lt;&gt;'計算A'!$A$3,'計算A'!$A$4=0))),0,IF(3=$K36,200000,ABS(3-$K36)*100)),100000+ABS(6-$J36)*1000+30)+'計算A'!DV$5*50+IF(AND($E36=1,NI36=0),25,0),IF($F36&gt;0,INDEX('計算A'!DV$110:DV$114,$F36+1)+IF(AND($E36=1,NI36=0),1000,0),MIN(TZ36,20)*400+(IF('計算A'!DU$106=1,1-HS36,0)+IF('計算A'!DV$106=1,1-HU36,0))*150+36+'計算A'!DV$5*100000+IF(AND($E36=1,NI36=0),50000,0))+IF($H36=1,(IF('計算A'!DU$117=1,INDEX('計算A'!DU$10:DU$54,$B36),0)+IF('計算A'!DV$117=1,INDEX('計算A'!DW$10:DW$54,$B36),0))*4000,0)-IF(AND('計算A'!DU$117=1,YS36&gt;0),2000,0)-IF(AND($L36=1,'計算A'!DV$117=1,HU36=0),2000,0))),1000000))</f>
        <v/>
      </c>
      <c r="SY36">
        <f>IF($B36=0,1000000,IF(INDEX('計算A'!$D$60:$EQ$104,$B36,124)*HU36=1,IF(AND($E36=2,NJ36=0),1000000,IF($I36&gt;0,IF(6=$J36,IF(OR(AND(124=$I36+1,OR($K36&lt;&gt;'計算A'!$A$3,'計算A'!$A$4=0)),AND(124=$I36-1,OR(4&lt;&gt;'計算A'!$A$3,'計算A'!$A$4=0))),0,IF(4=$K36,200000,ABS(4-$K36)*100)),100000+ABS(6-$J36)*1000+40)+'計算A'!DW$5*50+IF(AND($E36=1,NJ36=0),25,0),IF($F36&gt;0,INDEX('計算A'!DW$110:DW$114,$F36+1)+IF(AND($E36=1,NJ36=0),1000,0),MIN(TZ36,20)*400+(IF('計算A'!DV$106=1,1-HT36,0)+IF('計算A'!DW$106=1,1-HV36,0))*150+46+'計算A'!DW$5*100000+IF(AND($E36=1,NJ36=0),50000,0))+IF($H36=1,(IF('計算A'!DV$117=1,INDEX('計算A'!DV$10:DV$54,$B36),0)+IF('計算A'!DW$117=1,INDEX('計算A'!DX$10:DX$54,$B36),0))*4000,0)-IF(AND('計算A'!DV$117=1,YT36&gt;0),2000,0)-IF(AND($L36=1,'計算A'!DW$117=1,HV36=0),2000,0))),1000000))</f>
        <v/>
      </c>
      <c r="SZ36">
        <f>IF($B36=0,1000000,IF(INDEX('計算A'!$D$60:$EQ$104,$B36,125)*HV36=1,IF(AND($E36=2,NK36=0),1000000,IF($I36&gt;0,IF(6=$J36,IF(OR(AND(125=$I36+1,OR($K36&lt;&gt;'計算A'!$A$3,'計算A'!$A$4=0)),AND(125=$I36-1,OR(5&lt;&gt;'計算A'!$A$3,'計算A'!$A$4=0))),0,IF(5=$K36,200000,ABS(5-$K36)*100)),100000+ABS(6-$J36)*1000+50)+'計算A'!DX$5*50+IF(AND($E36=1,NK36=0),25,0),IF($F36&gt;0,INDEX('計算A'!DX$110:DX$114,$F36+1)+IF(AND($E36=1,NK36=0),1000,0),MIN(TZ36,20)*400+(IF('計算A'!DW$106=1,1-HU36,0)+IF('計算A'!DX$106=1,1-HW36,0))*150+56+'計算A'!DX$5*100000+IF(AND($E36=1,NK36=0),50000,0))+IF($H36=1,(IF('計算A'!DW$117=1,INDEX('計算A'!DW$10:DW$54,$B36),0)+IF('計算A'!DX$117=1,INDEX('計算A'!DY$10:DY$54,$B36),0))*4000,0)-IF(AND('計算A'!DW$117=1,YU36&gt;0),2000,0)-IF(AND($L36=1,'計算A'!DX$117=1,HW36=0),2000,0))),1000000))</f>
        <v/>
      </c>
      <c r="TA36">
        <f>IF($B36=0,1000000,IF(INDEX('計算A'!$D$60:$EQ$104,$B36,126)*HW36=1,IF(AND($E36=2,NL36=0),1000000,IF($I36&gt;0,IF(6=$J36,IF(OR(AND(126=$I36+1,OR($K36&lt;&gt;'計算A'!$A$3,'計算A'!$A$4=0)),AND(126=$I36-1,OR(6&lt;&gt;'計算A'!$A$3,'計算A'!$A$4=0))),0,IF(6=$K36,200000,ABS(6-$K36)*100)),100000+ABS(6-$J36)*1000+60)+'計算A'!DY$5*50+IF(AND($E36=1,NL36=0),25,0),IF($F36&gt;0,INDEX('計算A'!DY$110:DY$114,$F36+1)+IF(AND($E36=1,NL36=0),1000,0),MIN(TZ36,20)*400+(IF('計算A'!DX$106=1,1-HV36,0)+IF('計算A'!DY$106=1,1-HX36,0))*150+66+'計算A'!DY$5*100000+IF(AND($E36=1,NL36=0),50000,0))+IF($H36=1,(IF('計算A'!DX$117=1,INDEX('計算A'!DX$10:DX$54,$B36),0)+IF('計算A'!DY$117=1,INDEX('計算A'!DZ$10:DZ$54,$B36),0))*4000,0)-IF(AND('計算A'!DX$117=1,YV36&gt;0),2000,0)-IF(AND($L36=1,'計算A'!DY$117=1,HX36=0),2000,0))),1000000))</f>
        <v/>
      </c>
      <c r="TB36">
        <f>IF($B36=0,1000000,IF(INDEX('計算A'!$D$60:$EQ$104,$B36,127)*HX36=1,IF(AND($E36=2,NM36=0),1000000,IF($I36&gt;0,IF(6=$J36,IF(OR(AND(127=$I36+1,OR($K36&lt;&gt;'計算A'!$A$3,'計算A'!$A$4=0)),AND(127=$I36-1,OR(7&lt;&gt;'計算A'!$A$3,'計算A'!$A$4=0))),0,IF(7=$K36,200000,ABS(7-$K36)*100)),100000+ABS(6-$J36)*1000+70)+'計算A'!DZ$5*50+IF(AND($E36=1,NM36=0),25,0),IF($F36&gt;0,INDEX('計算A'!DZ$110:DZ$114,$F36+1)+IF(AND($E36=1,NM36=0),1000,0),MIN(TZ36,20)*400+(IF('計算A'!DY$106=1,1-HW36,0)+IF('計算A'!DZ$106=1,1-HY36,0))*150+76+'計算A'!DZ$5*100000+IF(AND($E36=1,NM36=0),50000,0))+IF($H36=1,(IF('計算A'!DY$117=1,INDEX('計算A'!DY$10:DY$54,$B36),0)+IF('計算A'!DZ$117=1,INDEX('計算A'!EA$10:EA$54,$B36),0))*4000,0)-IF(AND('計算A'!DY$117=1,YW36&gt;0),2000,0)-IF(AND($L36=1,'計算A'!DZ$117=1,HY36=0),2000,0))),1000000))</f>
        <v/>
      </c>
      <c r="TC36">
        <f>IF($B36=0,1000000,IF(INDEX('計算A'!$D$60:$EQ$104,$B36,128)*HY36=1,IF(AND($E36=2,NN36=0),1000000,IF($I36&gt;0,IF(6=$J36,IF(OR(AND(128=$I36+1,OR($K36&lt;&gt;'計算A'!$A$3,'計算A'!$A$4=0)),AND(128=$I36-1,OR(8&lt;&gt;'計算A'!$A$3,'計算A'!$A$4=0))),0,IF(8=$K36,200000,ABS(8-$K36)*100)),100000+ABS(6-$J36)*1000+80)+'計算A'!EA$5*50+IF(AND($E36=1,NN36=0),25,0),IF($F36&gt;0,INDEX('計算A'!EA$110:EA$114,$F36+1)+IF(AND($E36=1,NN36=0),1000,0),MIN(TZ36,20)*400+(IF('計算A'!DZ$106=1,1-HX36,0)+IF('計算A'!EA$106=1,1-HZ36,0))*150+86+'計算A'!EA$5*100000+IF(AND($E36=1,NN36=0),50000,0))+IF($H36=1,(IF('計算A'!DZ$117=1,INDEX('計算A'!DZ$10:DZ$54,$B36),0)+IF('計算A'!EA$117=1,INDEX('計算A'!EB$10:EB$54,$B36),0))*4000,0)-IF(AND('計算A'!DZ$117=1,YX36&gt;0),2000,0)-IF(AND($L36=1,'計算A'!EA$117=1,HZ36=0),2000,0))),1000000))</f>
        <v/>
      </c>
      <c r="TD36">
        <f>IF($B36=0,1000000,IF(INDEX('計算A'!$D$60:$EQ$104,$B36,129)*HZ36=1,IF(AND($E36=2,NO36=0),1000000,IF($I36&gt;0,IF(6=$J36,IF(OR(AND(129=$I36+1,OR($K36&lt;&gt;'計算A'!$A$3,'計算A'!$A$4=0)),AND(129=$I36-1,OR(9&lt;&gt;'計算A'!$A$3,'計算A'!$A$4=0))),0,IF(9=$K36,200000,ABS(9-$K36)*100)),100000+ABS(6-$J36)*1000+90)+'計算A'!EB$5*50+IF(AND($E36=1,NO36=0),25,0),IF($F36&gt;0,INDEX('計算A'!EB$110:EB$114,$F36+1)+IF(AND($E36=1,NO36=0),1000,0),MIN(TZ36,20)*400+(IF('計算A'!EA$106=1,1-HY36,0)+IF('計算A'!EB$106=1,1-IA36,0))*150+96+'計算A'!EB$5*100000+IF(AND($E36=1,NO36=0),50000,0))+IF($H36=1,(IF('計算A'!EA$117=1,INDEX('計算A'!EA$10:EA$54,$B36),0)+IF('計算A'!EB$117=1,INDEX('計算A'!EC$10:EC$54,$B36),0))*4000,0)-IF(AND('計算A'!EA$117=1,YY36&gt;0),2000,0)-IF(AND($L36=1,'計算A'!EB$117=1,IA36=0),2000,0))),1000000))</f>
        <v/>
      </c>
      <c r="TE36">
        <f>IF($B36=0,1000000,IF(INDEX('計算A'!$D$60:$EQ$104,$B36,130)*IA36=1,IF(AND($E36=2,NP36=0),1000000,IF($I36&gt;0,IF(6=$J36,IF(OR(AND(130=$I36+1,OR($K36&lt;&gt;'計算A'!$A$3,'計算A'!$A$4=0)),AND(130=$I36-1,OR(10&lt;&gt;'計算A'!$A$3,'計算A'!$A$4=0))),0,IF(10=$K36,200000,ABS(10-$K36)*100)),100000+ABS(6-$J36)*1000+100)+'計算A'!EC$5*50+IF(AND($E36=1,NP36=0),25,0),IF($F36&gt;0,INDEX('計算A'!EC$110:EC$114,$F36+1)+IF(AND($E36=1,NP36=0),1000,0),MIN(TZ36,20)*400+(IF('計算A'!EB$106=1,1-HZ36,0)+IF('計算A'!EC$106=1,1-IB36,0))*150+106+'計算A'!EC$5*100000+IF(AND($E36=1,NP36=0),50000,0))+IF($H36=1,(IF('計算A'!EB$117=1,INDEX('計算A'!EB$10:EB$54,$B36),0)+IF('計算A'!EC$117=1,INDEX('計算A'!ED$10:ED$54,$B36),0))*4000,0)-IF(AND('計算A'!EB$117=1,YZ36&gt;0),2000,0)-IF(AND($L36=1,'計算A'!EC$117=1,IB36=0),2000,0))),1000000))</f>
        <v/>
      </c>
      <c r="TF36">
        <f>IF($B36=0,1000000,IF(INDEX('計算A'!$D$60:$EQ$104,$B36,131)*IB36=1,IF(AND($E36=2,NQ36=0),1000000,IF($I36&gt;0,IF(6=$J36,IF(OR(AND(131=$I36+1,OR($K36&lt;&gt;'計算A'!$A$3,'計算A'!$A$4=0)),AND(131=$I36-1,OR(11&lt;&gt;'計算A'!$A$3,'計算A'!$A$4=0))),0,IF(11=$K36,200000,ABS(11-$K36)*100)),100000+ABS(6-$J36)*1000+110)+'計算A'!ED$5*50+IF(AND($E36=1,NQ36=0),25,0),IF($F36&gt;0,INDEX('計算A'!ED$110:ED$114,$F36+1)+IF(AND($E36=1,NQ36=0),1000,0),MIN(TZ36,20)*400+(IF('計算A'!EC$106=1,1-IA36,0)+IF('計算A'!ED$106=1,1-IC36,0))*150+116+'計算A'!ED$5*100000+IF(AND($E36=1,NQ36=0),50000,0))+IF($H36=1,(IF('計算A'!EC$117=1,INDEX('計算A'!EC$10:EC$54,$B36),0)+IF('計算A'!ED$117=1,INDEX('計算A'!EE$10:EE$54,$B36),0))*4000,0)-IF(AND('計算A'!EC$117=1,ZA36&gt;0),2000,0)-IF(AND($L36=1,'計算A'!ED$117=1,IC36=0),2000,0))),1000000))</f>
        <v/>
      </c>
      <c r="TG36">
        <f>IF($B36=0,1000000,IF(INDEX('計算A'!$D$60:$EQ$104,$B36,132)*IC36=1,IF(AND($E36=2,NR36=0),1000000,IF($I36&gt;0,IF(6=$J36,IF(OR(AND(132=$I36+1,OR($K36&lt;&gt;'計算A'!$A$3,'計算A'!$A$4=0)),AND(132=$I36-1,OR(12&lt;&gt;'計算A'!$A$3,'計算A'!$A$4=0))),0,IF(12=$K36,200000,ABS(12-$K36)*100)),100000+ABS(6-$J36)*1000+120)+'計算A'!EE$5*50+IF(AND($E36=1,NR36=0),25,0),IF($F36&gt;0,INDEX('計算A'!EE$110:EE$114,$F36+1)+IF(AND($E36=1,NR36=0),1000,0),MIN(TZ36,20)*400+(IF('計算A'!ED$106=1,1-IB36,0)+IF('計算A'!EE$106=1,1-ID36,0))*150+126+'計算A'!EE$5*100000+IF(AND($E36=1,NR36=0),50000,0))+IF($H36=1,(IF('計算A'!ED$117=1,INDEX('計算A'!ED$10:ED$54,$B36),0)+IF('計算A'!EE$117=1,INDEX('計算A'!EF$10:EF$54,$B36),0))*4000,0)-IF(AND('計算A'!ED$117=1,ZB36&gt;0),2000,0)-IF(AND($L36=1,'計算A'!EE$117=1,ID36=0),2000,0))),1000000))</f>
        <v/>
      </c>
      <c r="TH36">
        <f>IF($B36=0,1000000,IF(INDEX('計算A'!$D$60:$EQ$104,$B36,133)*ID36=1,IF(AND($E36=2,NS36=0),1000000,IF($I36&gt;0,IF(6=$J36,IF(OR(AND(133=$I36+1,OR($K36&lt;&gt;'計算A'!$A$3,'計算A'!$A$4=0)),AND(133=$I36-1,OR(13&lt;&gt;'計算A'!$A$3,'計算A'!$A$4=0))),0,IF(13=$K36,200000,ABS(13-$K36)*100)),100000+ABS(6-$J36)*1000+130)+'計算A'!EF$5*50+IF(AND($E36=1,NS36=0),25,0),IF($F36&gt;0,INDEX('計算A'!EF$110:EF$114,$F36+1)+IF(AND($E36=1,NS36=0),1000,0),MIN(TZ36,20)*400+(IF('計算A'!EE$106=1,1-IC36,0)+IF('計算A'!EF$106=1,1-IE36,0))*150+136+'計算A'!EF$5*100000+IF(AND($E36=1,NS36=0),50000,0))+IF($H36=1,(IF('計算A'!EE$117=1,INDEX('計算A'!EE$10:EE$54,$B36),0)+IF('計算A'!EF$117=1,INDEX('計算A'!EG$10:EG$54,$B36),0))*4000,0)-IF(AND('計算A'!EE$117=1,ZC36&gt;0),2000,0)-IF(AND($L36=1,'計算A'!EF$117=1,IE36=0),2000,0))),1000000))</f>
        <v/>
      </c>
      <c r="TI36">
        <f>IF($B36=0,1000000,IF(INDEX('計算A'!$D$60:$EQ$104,$B36,134)*IE36=1,IF(AND($E36=2,NT36=0),1000000,IF($I36&gt;0,IF(6=$J36,IF(OR(AND(134=$I36+1,OR($K36&lt;&gt;'計算A'!$A$3,'計算A'!$A$4=0)),AND(134=$I36-1,OR(14&lt;&gt;'計算A'!$A$3,'計算A'!$A$4=0))),0,IF(14=$K36,200000,ABS(14-$K36)*100)),100000+ABS(6-$J36)*1000+140)+'計算A'!EG$5*50+IF(AND($E36=1,NT36=0),25,0),IF($F36&gt;0,INDEX('計算A'!EG$110:EG$114,$F36+1)+IF(AND($E36=1,NT36=0),1000,0),MIN(TZ36,20)*400+(IF('計算A'!EF$106=1,1-ID36,0)+IF('計算A'!EG$106=1,1-IF36,0))*150+146+'計算A'!EG$5*100000+IF(AND($E36=1,NT36=0),50000,0))+IF($H36=1,(IF('計算A'!EF$117=1,INDEX('計算A'!EF$10:EF$54,$B36),0)+IF('計算A'!EG$117=1,INDEX('計算A'!EH$10:EH$54,$B36),0))*4000,0)-IF(AND('計算A'!EF$117=1,ZD36&gt;0),2000,0)-IF(AND($L36=1,'計算A'!EG$117=1,IF36=0),2000,0))),1000000))</f>
        <v/>
      </c>
      <c r="TJ36">
        <f>IF($B36=0,1000000,IF(INDEX('計算A'!$D$60:$EQ$104,$B36,135)*IF36=1,IF(AND($E36=2,NU36=0),1000000,IF($I36&gt;0,IF(6=$J36,IF(OR(AND(135=$I36+1,OR($K36&lt;&gt;'計算A'!$A$3,'計算A'!$A$4=0)),AND(135=$I36-1,OR(15&lt;&gt;'計算A'!$A$3,'計算A'!$A$4=0))),0,IF(15=$K36,200000,ABS(15-$K36)*100)),100000+ABS(6-$J36)*1000+150)+'計算A'!EH$5*50+IF(AND($E36=1,NU36=0),25,0),IF($F36&gt;0,INDEX('計算A'!EH$110:EH$114,$F36+1)+IF(AND($E36=1,NU36=0),1000,0),MIN(TZ36,20)*400+(IF('計算A'!EG$106=1,1-IE36,0)+IF('計算A'!EH$106=1,1-IG36,0))*150+156+'計算A'!EH$5*100000+IF(AND($E36=1,NU36=0),50000,0))+IF($H36=1,(IF('計算A'!EG$117=1,INDEX('計算A'!EG$10:EG$54,$B36),0)+IF('計算A'!EH$117=1,INDEX('計算A'!EI$10:EI$54,$B36),0))*4000,0)-IF(AND('計算A'!EG$117=1,ZE36&gt;0),2000,0)-IF(AND($L36=1,'計算A'!EH$117=1,IG36=0),2000,0))),1000000))</f>
        <v/>
      </c>
      <c r="TK36">
        <f>IF($B36=0,1000000,IF(INDEX('計算A'!$D$60:$EQ$104,$B36,136)*IG36=1,IF(AND($E36=2,NV36=0),1000000,IF($I36&gt;0,IF(6=$J36,IF(OR(AND(136=$I36+1,OR($K36&lt;&gt;'計算A'!$A$3,'計算A'!$A$4=0)),AND(136=$I36-1,OR(16&lt;&gt;'計算A'!$A$3,'計算A'!$A$4=0))),0,IF(16=$K36,200000,ABS(16-$K36)*100)),100000+ABS(6-$J36)*1000+160)+'計算A'!EI$5*50+IF(AND($E36=1,NV36=0),25,0),IF($F36&gt;0,INDEX('計算A'!EI$110:EI$114,$F36+1)+IF(AND($E36=1,NV36=0),1000,0),MIN(TZ36,20)*400+(IF('計算A'!EH$106=1,1-IF36,0)+IF('計算A'!EI$106=1,1-IH36,0))*150+166+'計算A'!EI$5*100000+IF(AND($E36=1,NV36=0),50000,0))+IF($H36=1,(IF('計算A'!EH$117=1,INDEX('計算A'!EH$10:EH$54,$B36),0)+IF('計算A'!EI$117=1,INDEX('計算A'!EJ$10:EJ$54,$B36),0))*4000,0)-IF(AND('計算A'!EH$117=1,ZF36&gt;0),2000,0)-IF(AND($L36=1,'計算A'!EI$117=1,IH36=0),2000,0))),1000000))</f>
        <v/>
      </c>
      <c r="TL36">
        <f>IF($B36=0,1000000,IF(INDEX('計算A'!$D$60:$EQ$104,$B36,137)*IH36=1,IF(AND($E36=2,NW36=0),1000000,IF($I36&gt;0,IF(6=$J36,IF(OR(AND(137=$I36+1,OR($K36&lt;&gt;'計算A'!$A$3,'計算A'!$A$4=0)),AND(137=$I36-1,OR(17&lt;&gt;'計算A'!$A$3,'計算A'!$A$4=0))),0,IF(17=$K36,200000,ABS(17-$K36)*100)),100000+ABS(6-$J36)*1000+170)+'計算A'!EJ$5*50+IF(AND($E36=1,NW36=0),25,0),IF($F36&gt;0,INDEX('計算A'!EJ$110:EJ$114,$F36+1)+IF(AND($E36=1,NW36=0),1000,0),MIN(TZ36,20)*400+(IF('計算A'!EI$106=1,1-IG36,0)+IF('計算A'!EJ$106=1,1-II36,0))*150+176+'計算A'!EJ$5*100000+IF(AND($E36=1,NW36=0),50000,0))+IF($H36=1,(IF('計算A'!EI$117=1,INDEX('計算A'!EI$10:EI$54,$B36),0)+IF('計算A'!EJ$117=1,INDEX('計算A'!EK$10:EK$54,$B36),0))*4000,0)-IF(AND('計算A'!EI$117=1,ZG36&gt;0),2000,0)-IF(AND($L36=1,'計算A'!EJ$117=1,II36=0),2000,0))),1000000))</f>
        <v/>
      </c>
      <c r="TM36">
        <f>IF($B36=0,1000000,IF(INDEX('計算A'!$D$60:$EQ$104,$B36,138)*II36=1,IF(AND($E36=2,NX36=0),1000000,IF($I36&gt;0,IF(6=$J36,IF(OR(AND(138=$I36+1,OR($K36&lt;&gt;'計算A'!$A$3,'計算A'!$A$4=0)),AND(138=$I36-1,OR(18&lt;&gt;'計算A'!$A$3,'計算A'!$A$4=0))),0,IF(18=$K36,200000,ABS(18-$K36)*100)),100000+ABS(6-$J36)*1000+180)+'計算A'!EK$5*50+IF(AND($E36=1,NX36=0),25,0),IF($F36&gt;0,INDEX('計算A'!EK$110:EK$114,$F36+1)+IF(AND($E36=1,NX36=0),1000,0),MIN(TZ36,20)*400+(IF('計算A'!EJ$106=1,1-IH36,0)+IF('計算A'!EK$106=1,1-IJ36,0))*150+186+'計算A'!EK$5*100000+IF(AND($E36=1,NX36=0),50000,0))+IF($H36=1,(IF('計算A'!EJ$117=1,INDEX('計算A'!EJ$10:EJ$54,$B36),0)+IF('計算A'!EK$117=1,INDEX('計算A'!EL$10:EL$54,$B36),0))*4000,0)-IF(AND('計算A'!EJ$117=1,ZH36&gt;0),2000,0)-IF(AND($L36=1,'計算A'!EK$117=1,IJ36=0),2000,0))),1000000))</f>
        <v/>
      </c>
      <c r="TN36">
        <f>IF($B36=0,1000000,IF(INDEX('計算A'!$D$60:$EQ$104,$B36,139)*IJ36=1,IF(AND($E36=2,NY36=0),1000000,IF($I36&gt;0,IF(6=$J36,IF(OR(AND(139=$I36+1,OR($K36&lt;&gt;'計算A'!$A$3,'計算A'!$A$4=0)),AND(139=$I36-1,OR(19&lt;&gt;'計算A'!$A$3,'計算A'!$A$4=0))),0,IF(19=$K36,200000,ABS(19-$K36)*100)),100000+ABS(6-$J36)*1000+190)+'計算A'!EL$5*50+IF(AND($E36=1,NY36=0),25,0),IF($F36&gt;0,INDEX('計算A'!EL$110:EL$114,$F36+1)+IF(AND($E36=1,NY36=0),1000,0),MIN(TZ36,20)*400+(IF('計算A'!EK$106=1,1-II36,0)+IF('計算A'!EL$106=1,1-IK36,0))*150+196+'計算A'!EL$5*100000+IF(AND($E36=1,NY36=0),50000,0))+IF($H36=1,(IF('計算A'!EK$117=1,INDEX('計算A'!EK$10:EK$54,$B36),0)+IF('計算A'!EL$117=1,INDEX('計算A'!EM$10:EM$54,$B36),0))*4000,0)-IF(AND('計算A'!EK$117=1,ZI36&gt;0),2000,0)-IF(AND($L36=1,'計算A'!EL$117=1,IK36=0),2000,0))),1000000))</f>
        <v/>
      </c>
      <c r="TO36">
        <f>IF($B36=0,1000000,IF(INDEX('計算A'!$D$60:$EQ$104,$B36,140)*IK36=1,IF(AND($E36=2,NZ36=0),1000000,IF($I36&gt;0,IF(6=$J36,IF(OR(AND(140=$I36+1,OR($K36&lt;&gt;'計算A'!$A$3,'計算A'!$A$4=0)),AND(140=$I36-1,OR(20&lt;&gt;'計算A'!$A$3,'計算A'!$A$4=0))),0,IF(20=$K36,200000,ABS(20-$K36)*100)),100000+ABS(6-$J36)*1000+200)+'計算A'!EM$5*50+IF(AND($E36=1,NZ36=0),25,0),IF($F36&gt;0,INDEX('計算A'!EM$110:EM$114,$F36+1)+IF(AND($E36=1,NZ36=0),1000,0),MIN(TZ36,20)*400+(IF('計算A'!EL$106=1,1-IJ36,0)+IF('計算A'!EM$106=1,1-IL36,0))*150+206+'計算A'!EM$5*100000+IF(AND($E36=1,NZ36=0),50000,0))+IF($H36=1,(IF('計算A'!EL$117=1,INDEX('計算A'!EL$10:EL$54,$B36),0)+IF('計算A'!EM$117=1,INDEX('計算A'!EN$10:EN$54,$B36),0))*4000,0)-IF(AND('計算A'!EL$117=1,ZJ36&gt;0),2000,0)-IF(AND($L36=1,'計算A'!EM$117=1,IL36=0),2000,0))),1000000))</f>
        <v/>
      </c>
      <c r="TP36">
        <f>IF($B36=0,1000000,IF(INDEX('計算A'!$D$60:$EQ$104,$B36,141)*IL36=1,IF(AND($E36=2,OA36=0),1000000,IF($I36&gt;0,IF(6=$J36,IF(OR(AND(141=$I36+1,OR($K36&lt;&gt;'計算A'!$A$3,'計算A'!$A$4=0)),AND(141=$I36-1,OR(21&lt;&gt;'計算A'!$A$3,'計算A'!$A$4=0))),0,IF(21=$K36,200000,ABS(21-$K36)*100)),100000+ABS(6-$J36)*1000+210)+'計算A'!EN$5*50+IF(AND($E36=1,OA36=0),25,0),IF($F36&gt;0,INDEX('計算A'!EN$110:EN$114,$F36+1)+IF(AND($E36=1,OA36=0),1000,0),MIN(TZ36,20)*400+(IF('計算A'!EM$106=1,1-IK36,0)+IF('計算A'!EN$106=1,1-IM36,0))*150+216+'計算A'!EN$5*100000+IF(AND($E36=1,OA36=0),50000,0))+IF($H36=1,(IF('計算A'!EM$117=1,INDEX('計算A'!EM$10:EM$54,$B36),0)+IF('計算A'!EN$117=1,INDEX('計算A'!EO$10:EO$54,$B36),0))*4000,0)-IF(AND('計算A'!EM$117=1,ZK36&gt;0),2000,0)-IF(AND($L36=1,'計算A'!EN$117=1,IM36=0),2000,0))),1000000))</f>
        <v/>
      </c>
      <c r="TQ36">
        <f>IF($B36=0,1000000,IF(INDEX('計算A'!$D$60:$EQ$104,$B36,142)*IM36=1,IF(AND($E36=2,OB36=0),1000000,IF($I36&gt;0,IF(6=$J36,IF(OR(AND(142=$I36+1,OR($K36&lt;&gt;'計算A'!$A$3,'計算A'!$A$4=0)),AND(142=$I36-1,OR(22&lt;&gt;'計算A'!$A$3,'計算A'!$A$4=0))),0,IF(22=$K36,200000,ABS(22-$K36)*100)),100000+ABS(6-$J36)*1000+220)+'計算A'!EO$5*50+IF(AND($E36=1,OB36=0),25,0),IF($F36&gt;0,INDEX('計算A'!EO$110:EO$114,$F36+1)+IF(AND($E36=1,OB36=0),1000,0),MIN(TZ36,20)*400+(IF('計算A'!EN$106=1,1-IL36,0)+IF('計算A'!EO$106=1,1-IN36,0))*150+226+'計算A'!EO$5*100000+IF(AND($E36=1,OB36=0),50000,0))+IF($H36=1,(IF('計算A'!EN$117=1,INDEX('計算A'!EN$10:EN$54,$B36),0)+IF('計算A'!EO$117=1,INDEX('計算A'!EP$10:EP$54,$B36),0))*4000,0)-IF(AND('計算A'!EN$117=1,ZL36&gt;0),2000,0)-IF(AND($L36=1,'計算A'!EO$117=1,IN36=0),2000,0))),1000000))</f>
        <v/>
      </c>
      <c r="TR36">
        <f>IF($B36=0,1000000,IF(INDEX('計算A'!$D$60:$EQ$104,$B36,143)*IN36=1,IF(AND($E36=2,OC36=0),1000000,IF($I36&gt;0,IF(6=$J36,IF(OR(AND(143=$I36+1,OR($K36&lt;&gt;'計算A'!$A$3,'計算A'!$A$4=0)),AND(143=$I36-1,OR(23&lt;&gt;'計算A'!$A$3,'計算A'!$A$4=0))),0,IF(23=$K36,200000,ABS(23-$K36)*100)),100000+ABS(6-$J36)*1000+230)+'計算A'!EP$5*50+IF(AND($E36=1,OC36=0),25,0),IF($F36&gt;0,INDEX('計算A'!EP$110:EP$114,$F36+1)+IF(AND($E36=1,OC36=0),1000,0),MIN(TZ36,20)*400+(IF('計算A'!EO$106=1,1-IM36,0)+IF('計算A'!EP$106=1,1-IO36,0))*150+236+'計算A'!EP$5*100000+IF(AND($E36=1,OC36=0),50000,0))+IF($H36=1,(IF('計算A'!EO$117=1,INDEX('計算A'!EO$10:EO$54,$B36),0)+IF('計算A'!EP$117=1,INDEX('計算A'!EQ$10:EQ$54,$B36),0))*4000,0)-IF(AND('計算A'!EO$117=1,ZM36&gt;0),2000,0)-IF(AND($L36=1,'計算A'!EP$117=1,IO36=0),2000,0))),1000000))</f>
        <v/>
      </c>
      <c r="TS36">
        <f>IF($B36=0,1000000,IF(INDEX('計算A'!$D$60:$EQ$104,$B36,144)*IO36=1,IF(AND($E36=2,OD36=0),1000000,IF($I36&gt;0,IF(6=$J36,IF(OR(AND(144=$I36+1,OR($K36&lt;&gt;'計算A'!$A$3,'計算A'!$A$4=0)),AND(144=$I36-1,OR(24&lt;&gt;'計算A'!$A$3,'計算A'!$A$4=0))),0,IF(24=$K36,200000,ABS(24-$K36)*100)),100000+ABS(6-$J36)*1000+240)+'計算A'!EQ$5*50+IF(AND($E36=1,OD36=0),25,0),IF($F36&gt;0,INDEX('計算A'!EQ$110:EQ$114,$F36+1)+IF(AND($E36=1,OD36=0),1000,0),MIN(TZ36,20)*400+(IF('計算A'!EP$106=1,1-IN36,0))*150+246+'計算A'!EQ$5*100000+IF(AND($E36=1,OD36=0),50000,0))+IF($H36=1,(IF('計算A'!EP$117=1,INDEX('計算A'!EP$10:EP$54,$B36),0))*4000,0)-IF(AND('計算A'!EP$117=1,ZN36&gt;0),2000,0))),1000000))</f>
        <v/>
      </c>
      <c r="TU36">
        <f>TU35+IF($C35&gt;0,IF(INDEX('計算A'!$D$2:$EQ$2,$C35)=1,1,0),0)</f>
        <v/>
      </c>
      <c r="TV36">
        <f>TV35+IF($C35&gt;0,IF(INDEX('計算A'!$D$2:$EQ$2,$C35)=2,1,0),0)</f>
        <v/>
      </c>
      <c r="TW36">
        <f>TW35+IF($C35&gt;0,IF(INDEX('計算A'!$D$2:$EQ$2,$C35)=3,1,0),0)</f>
        <v/>
      </c>
      <c r="TX36">
        <f>TX35+IF($C35&gt;0,IF(INDEX('計算A'!$D$2:$EQ$2,$C35)=4,1,0),0)</f>
        <v/>
      </c>
      <c r="TY36">
        <f>TY35+IF($C35&gt;0,IF(INDEX('計算A'!$D$2:$EQ$2,$C35)=5,1,0),0)</f>
        <v/>
      </c>
      <c r="TZ36">
        <f>TZ35+IF($C35&gt;0,IF(INDEX('計算A'!$D$2:$EQ$2,$C35)=6,1,0),0)</f>
        <v/>
      </c>
      <c r="UB36">
        <f>UB35+IF(AND($C35=1,$L35=1),1,0)</f>
        <v/>
      </c>
      <c r="UC36">
        <f>UC35+IF(AND($C35=2,$L35=1),1,0)</f>
        <v/>
      </c>
      <c r="UD36">
        <f>UD35+IF(AND($C35=3,$L35=1),1,0)</f>
        <v/>
      </c>
      <c r="UE36">
        <f>UE35+IF(AND($C35=4,$L35=1),1,0)</f>
        <v/>
      </c>
      <c r="UF36">
        <f>UF35+IF(AND($C35=5,$L35=1),1,0)</f>
        <v/>
      </c>
      <c r="UG36">
        <f>UG35+IF(AND($C35=6,$L35=1),1,0)</f>
        <v/>
      </c>
      <c r="UH36">
        <f>UH35+IF(AND($C35=7,$L35=1),1,0)</f>
        <v/>
      </c>
      <c r="UI36">
        <f>UI35+IF(AND($C35=8,$L35=1),1,0)</f>
        <v/>
      </c>
      <c r="UJ36">
        <f>UJ35+IF(AND($C35=9,$L35=1),1,0)</f>
        <v/>
      </c>
      <c r="UK36">
        <f>UK35+IF(AND($C35=10,$L35=1),1,0)</f>
        <v/>
      </c>
      <c r="UL36">
        <f>UL35+IF(AND($C35=11,$L35=1),1,0)</f>
        <v/>
      </c>
      <c r="UM36">
        <f>UM35+IF(AND($C35=12,$L35=1),1,0)</f>
        <v/>
      </c>
      <c r="UN36">
        <f>UN35+IF(AND($C35=13,$L35=1),1,0)</f>
        <v/>
      </c>
      <c r="UO36">
        <f>UO35+IF(AND($C35=14,$L35=1),1,0)</f>
        <v/>
      </c>
      <c r="UP36">
        <f>UP35+IF(AND($C35=15,$L35=1),1,0)</f>
        <v/>
      </c>
      <c r="UQ36">
        <f>UQ35+IF(AND($C35=16,$L35=1),1,0)</f>
        <v/>
      </c>
      <c r="UR36">
        <f>UR35+IF(AND($C35=17,$L35=1),1,0)</f>
        <v/>
      </c>
      <c r="US36">
        <f>US35+IF(AND($C35=18,$L35=1),1,0)</f>
        <v/>
      </c>
      <c r="UT36">
        <f>UT35+IF(AND($C35=19,$L35=1),1,0)</f>
        <v/>
      </c>
      <c r="UU36">
        <f>UU35+IF(AND($C35=20,$L35=1),1,0)</f>
        <v/>
      </c>
      <c r="UV36">
        <f>UV35+IF(AND($C35=21,$L35=1),1,0)</f>
        <v/>
      </c>
      <c r="UW36">
        <f>UW35+IF(AND($C35=22,$L35=1),1,0)</f>
        <v/>
      </c>
      <c r="UX36">
        <f>UX35+IF(AND($C35=23,$L35=1),1,0)</f>
        <v/>
      </c>
      <c r="UY36">
        <f>UY35+IF(AND($C35=24,$L35=1),1,0)</f>
        <v/>
      </c>
      <c r="UZ36">
        <f>UZ35+IF(AND($C35=25,$L35=1),1,0)</f>
        <v/>
      </c>
      <c r="VA36">
        <f>VA35+IF(AND($C35=26,$L35=1),1,0)</f>
        <v/>
      </c>
      <c r="VB36">
        <f>VB35+IF(AND($C35=27,$L35=1),1,0)</f>
        <v/>
      </c>
      <c r="VC36">
        <f>VC35+IF(AND($C35=28,$L35=1),1,0)</f>
        <v/>
      </c>
      <c r="VD36">
        <f>VD35+IF(AND($C35=29,$L35=1),1,0)</f>
        <v/>
      </c>
      <c r="VE36">
        <f>VE35+IF(AND($C35=30,$L35=1),1,0)</f>
        <v/>
      </c>
      <c r="VF36">
        <f>VF35+IF(AND($C35=31,$L35=1),1,0)</f>
        <v/>
      </c>
      <c r="VG36">
        <f>VG35+IF(AND($C35=32,$L35=1),1,0)</f>
        <v/>
      </c>
      <c r="VH36">
        <f>VH35+IF(AND($C35=33,$L35=1),1,0)</f>
        <v/>
      </c>
      <c r="VI36">
        <f>VI35+IF(AND($C35=34,$L35=1),1,0)</f>
        <v/>
      </c>
      <c r="VJ36">
        <f>VJ35+IF(AND($C35=35,$L35=1),1,0)</f>
        <v/>
      </c>
      <c r="VK36">
        <f>VK35+IF(AND($C35=36,$L35=1),1,0)</f>
        <v/>
      </c>
      <c r="VL36">
        <f>VL35+IF(AND($C35=37,$L35=1),1,0)</f>
        <v/>
      </c>
      <c r="VM36">
        <f>VM35+IF(AND($C35=38,$L35=1),1,0)</f>
        <v/>
      </c>
      <c r="VN36">
        <f>VN35+IF(AND($C35=39,$L35=1),1,0)</f>
        <v/>
      </c>
      <c r="VO36">
        <f>VO35+IF(AND($C35=40,$L35=1),1,0)</f>
        <v/>
      </c>
      <c r="VP36">
        <f>VP35+IF(AND($C35=41,$L35=1),1,0)</f>
        <v/>
      </c>
      <c r="VQ36">
        <f>VQ35+IF(AND($C35=42,$L35=1),1,0)</f>
        <v/>
      </c>
      <c r="VR36">
        <f>VR35+IF(AND($C35=43,$L35=1),1,0)</f>
        <v/>
      </c>
      <c r="VS36">
        <f>VS35+IF(AND($C35=44,$L35=1),1,0)</f>
        <v/>
      </c>
      <c r="VT36">
        <f>VT35+IF(AND($C35=45,$L35=1),1,0)</f>
        <v/>
      </c>
      <c r="VU36">
        <f>VU35+IF(AND($C35=46,$L35=1),1,0)</f>
        <v/>
      </c>
      <c r="VV36">
        <f>VV35+IF(AND($C35=47,$L35=1),1,0)</f>
        <v/>
      </c>
      <c r="VW36">
        <f>VW35+IF(AND($C35=48,$L35=1),1,0)</f>
        <v/>
      </c>
      <c r="VX36">
        <f>VX35+IF(AND($C35=49,$L35=1),1,0)</f>
        <v/>
      </c>
      <c r="VY36">
        <f>VY35+IF(AND($C35=50,$L35=1),1,0)</f>
        <v/>
      </c>
      <c r="VZ36">
        <f>VZ35+IF(AND($C35=51,$L35=1),1,0)</f>
        <v/>
      </c>
      <c r="WA36">
        <f>WA35+IF(AND($C35=52,$L35=1),1,0)</f>
        <v/>
      </c>
      <c r="WB36">
        <f>WB35+IF(AND($C35=53,$L35=1),1,0)</f>
        <v/>
      </c>
      <c r="WC36">
        <f>WC35+IF(AND($C35=54,$L35=1),1,0)</f>
        <v/>
      </c>
      <c r="WD36">
        <f>WD35+IF(AND($C35=55,$L35=1),1,0)</f>
        <v/>
      </c>
      <c r="WE36">
        <f>WE35+IF(AND($C35=56,$L35=1),1,0)</f>
        <v/>
      </c>
      <c r="WF36">
        <f>WF35+IF(AND($C35=57,$L35=1),1,0)</f>
        <v/>
      </c>
      <c r="WG36">
        <f>WG35+IF(AND($C35=58,$L35=1),1,0)</f>
        <v/>
      </c>
      <c r="WH36">
        <f>WH35+IF(AND($C35=59,$L35=1),1,0)</f>
        <v/>
      </c>
      <c r="WI36">
        <f>WI35+IF(AND($C35=60,$L35=1),1,0)</f>
        <v/>
      </c>
      <c r="WJ36">
        <f>WJ35+IF(AND($C35=61,$L35=1),1,0)</f>
        <v/>
      </c>
      <c r="WK36">
        <f>WK35+IF(AND($C35=62,$L35=1),1,0)</f>
        <v/>
      </c>
      <c r="WL36">
        <f>WL35+IF(AND($C35=63,$L35=1),1,0)</f>
        <v/>
      </c>
      <c r="WM36">
        <f>WM35+IF(AND($C35=64,$L35=1),1,0)</f>
        <v/>
      </c>
      <c r="WN36">
        <f>WN35+IF(AND($C35=65,$L35=1),1,0)</f>
        <v/>
      </c>
      <c r="WO36">
        <f>WO35+IF(AND($C35=66,$L35=1),1,0)</f>
        <v/>
      </c>
      <c r="WP36">
        <f>WP35+IF(AND($C35=67,$L35=1),1,0)</f>
        <v/>
      </c>
      <c r="WQ36">
        <f>WQ35+IF(AND($C35=68,$L35=1),1,0)</f>
        <v/>
      </c>
      <c r="WR36">
        <f>WR35+IF(AND($C35=69,$L35=1),1,0)</f>
        <v/>
      </c>
      <c r="WS36">
        <f>WS35+IF(AND($C35=70,$L35=1),1,0)</f>
        <v/>
      </c>
      <c r="WT36">
        <f>WT35+IF(AND($C35=71,$L35=1),1,0)</f>
        <v/>
      </c>
      <c r="WU36">
        <f>WU35+IF(AND($C35=72,$L35=1),1,0)</f>
        <v/>
      </c>
      <c r="WV36">
        <f>WV35+IF(AND($C35=73,$L35=1),1,0)</f>
        <v/>
      </c>
      <c r="WW36">
        <f>WW35+IF(AND($C35=74,$L35=1),1,0)</f>
        <v/>
      </c>
      <c r="WX36">
        <f>WX35+IF(AND($C35=75,$L35=1),1,0)</f>
        <v/>
      </c>
      <c r="WY36">
        <f>WY35+IF(AND($C35=76,$L35=1),1,0)</f>
        <v/>
      </c>
      <c r="WZ36">
        <f>WZ35+IF(AND($C35=77,$L35=1),1,0)</f>
        <v/>
      </c>
      <c r="XA36">
        <f>XA35+IF(AND($C35=78,$L35=1),1,0)</f>
        <v/>
      </c>
      <c r="XB36">
        <f>XB35+IF(AND($C35=79,$L35=1),1,0)</f>
        <v/>
      </c>
      <c r="XC36">
        <f>XC35+IF(AND($C35=80,$L35=1),1,0)</f>
        <v/>
      </c>
      <c r="XD36">
        <f>XD35+IF(AND($C35=81,$L35=1),1,0)</f>
        <v/>
      </c>
      <c r="XE36">
        <f>XE35+IF(AND($C35=82,$L35=1),1,0)</f>
        <v/>
      </c>
      <c r="XF36">
        <f>XF35+IF(AND($C35=83,$L35=1),1,0)</f>
        <v/>
      </c>
      <c r="XG36">
        <f>XG35+IF(AND($C35=84,$L35=1),1,0)</f>
        <v/>
      </c>
      <c r="XH36">
        <f>XH35+IF(AND($C35=85,$L35=1),1,0)</f>
        <v/>
      </c>
      <c r="XI36">
        <f>XI35+IF(AND($C35=86,$L35=1),1,0)</f>
        <v/>
      </c>
      <c r="XJ36">
        <f>XJ35+IF(AND($C35=87,$L35=1),1,0)</f>
        <v/>
      </c>
      <c r="XK36">
        <f>XK35+IF(AND($C35=88,$L35=1),1,0)</f>
        <v/>
      </c>
      <c r="XL36">
        <f>XL35+IF(AND($C35=89,$L35=1),1,0)</f>
        <v/>
      </c>
      <c r="XM36">
        <f>XM35+IF(AND($C35=90,$L35=1),1,0)</f>
        <v/>
      </c>
      <c r="XN36">
        <f>XN35+IF(AND($C35=91,$L35=1),1,0)</f>
        <v/>
      </c>
      <c r="XO36">
        <f>XO35+IF(AND($C35=92,$L35=1),1,0)</f>
        <v/>
      </c>
      <c r="XP36">
        <f>XP35+IF(AND($C35=93,$L35=1),1,0)</f>
        <v/>
      </c>
      <c r="XQ36">
        <f>XQ35+IF(AND($C35=94,$L35=1),1,0)</f>
        <v/>
      </c>
      <c r="XR36">
        <f>XR35+IF(AND($C35=95,$L35=1),1,0)</f>
        <v/>
      </c>
      <c r="XS36">
        <f>XS35+IF(AND($C35=96,$L35=1),1,0)</f>
        <v/>
      </c>
      <c r="XT36">
        <f>XT35+IF(AND($C35=97,$L35=1),1,0)</f>
        <v/>
      </c>
      <c r="XU36">
        <f>XU35+IF(AND($C35=98,$L35=1),1,0)</f>
        <v/>
      </c>
      <c r="XV36">
        <f>XV35+IF(AND($C35=99,$L35=1),1,0)</f>
        <v/>
      </c>
      <c r="XW36">
        <f>XW35+IF(AND($C35=100,$L35=1),1,0)</f>
        <v/>
      </c>
      <c r="XX36">
        <f>XX35+IF(AND($C35=101,$L35=1),1,0)</f>
        <v/>
      </c>
      <c r="XY36">
        <f>XY35+IF(AND($C35=102,$L35=1),1,0)</f>
        <v/>
      </c>
      <c r="XZ36">
        <f>XZ35+IF(AND($C35=103,$L35=1),1,0)</f>
        <v/>
      </c>
      <c r="YA36">
        <f>YA35+IF(AND($C35=104,$L35=1),1,0)</f>
        <v/>
      </c>
      <c r="YB36">
        <f>YB35+IF(AND($C35=105,$L35=1),1,0)</f>
        <v/>
      </c>
      <c r="YC36">
        <f>YC35+IF(AND($C35=106,$L35=1),1,0)</f>
        <v/>
      </c>
      <c r="YD36">
        <f>YD35+IF(AND($C35=107,$L35=1),1,0)</f>
        <v/>
      </c>
      <c r="YE36">
        <f>YE35+IF(AND($C35=108,$L35=1),1,0)</f>
        <v/>
      </c>
      <c r="YF36">
        <f>YF35+IF(AND($C35=109,$L35=1),1,0)</f>
        <v/>
      </c>
      <c r="YG36">
        <f>YG35+IF(AND($C35=110,$L35=1),1,0)</f>
        <v/>
      </c>
      <c r="YH36">
        <f>YH35+IF(AND($C35=111,$L35=1),1,0)</f>
        <v/>
      </c>
      <c r="YI36">
        <f>YI35+IF(AND($C35=112,$L35=1),1,0)</f>
        <v/>
      </c>
      <c r="YJ36">
        <f>YJ35+IF(AND($C35=113,$L35=1),1,0)</f>
        <v/>
      </c>
      <c r="YK36">
        <f>YK35+IF(AND($C35=114,$L35=1),1,0)</f>
        <v/>
      </c>
      <c r="YL36">
        <f>YL35+IF(AND($C35=115,$L35=1),1,0)</f>
        <v/>
      </c>
      <c r="YM36">
        <f>YM35+IF(AND($C35=116,$L35=1),1,0)</f>
        <v/>
      </c>
      <c r="YN36">
        <f>YN35+IF(AND($C35=117,$L35=1),1,0)</f>
        <v/>
      </c>
      <c r="YO36">
        <f>YO35+IF(AND($C35=118,$L35=1),1,0)</f>
        <v/>
      </c>
      <c r="YP36">
        <f>YP35+IF(AND($C35=119,$L35=1),1,0)</f>
        <v/>
      </c>
      <c r="YQ36">
        <f>YQ35+IF(AND($C35=120,$L35=1),1,0)</f>
        <v/>
      </c>
      <c r="YR36">
        <f>YR35+IF(AND($C35=121,$L35=1),1,0)</f>
        <v/>
      </c>
      <c r="YS36">
        <f>YS35+IF(AND($C35=122,$L35=1),1,0)</f>
        <v/>
      </c>
      <c r="YT36">
        <f>YT35+IF(AND($C35=123,$L35=1),1,0)</f>
        <v/>
      </c>
      <c r="YU36">
        <f>YU35+IF(AND($C35=124,$L35=1),1,0)</f>
        <v/>
      </c>
      <c r="YV36">
        <f>YV35+IF(AND($C35=125,$L35=1),1,0)</f>
        <v/>
      </c>
      <c r="YW36">
        <f>YW35+IF(AND($C35=126,$L35=1),1,0)</f>
        <v/>
      </c>
      <c r="YX36">
        <f>YX35+IF(AND($C35=127,$L35=1),1,0)</f>
        <v/>
      </c>
      <c r="YY36">
        <f>YY35+IF(AND($C35=128,$L35=1),1,0)</f>
        <v/>
      </c>
      <c r="YZ36">
        <f>YZ35+IF(AND($C35=129,$L35=1),1,0)</f>
        <v/>
      </c>
      <c r="ZA36">
        <f>ZA35+IF(AND($C35=130,$L35=1),1,0)</f>
        <v/>
      </c>
      <c r="ZB36">
        <f>ZB35+IF(AND($C35=131,$L35=1),1,0)</f>
        <v/>
      </c>
      <c r="ZC36">
        <f>ZC35+IF(AND($C35=132,$L35=1),1,0)</f>
        <v/>
      </c>
      <c r="ZD36">
        <f>ZD35+IF(AND($C35=133,$L35=1),1,0)</f>
        <v/>
      </c>
      <c r="ZE36">
        <f>ZE35+IF(AND($C35=134,$L35=1),1,0)</f>
        <v/>
      </c>
      <c r="ZF36">
        <f>ZF35+IF(AND($C35=135,$L35=1),1,0)</f>
        <v/>
      </c>
      <c r="ZG36">
        <f>ZG35+IF(AND($C35=136,$L35=1),1,0)</f>
        <v/>
      </c>
      <c r="ZH36">
        <f>ZH35+IF(AND($C35=137,$L35=1),1,0)</f>
        <v/>
      </c>
      <c r="ZI36">
        <f>ZI35+IF(AND($C35=138,$L35=1),1,0)</f>
        <v/>
      </c>
      <c r="ZJ36">
        <f>ZJ35+IF(AND($C35=139,$L35=1),1,0)</f>
        <v/>
      </c>
      <c r="ZK36">
        <f>ZK35+IF(AND($C35=140,$L35=1),1,0)</f>
        <v/>
      </c>
      <c r="ZL36">
        <f>ZL35+IF(AND($C35=141,$L35=1),1,0)</f>
        <v/>
      </c>
      <c r="ZM36">
        <f>ZM35+IF(AND($C35=142,$L35=1),1,0)</f>
        <v/>
      </c>
      <c r="ZN36">
        <f>ZN35+IF(AND($C35=143,$L35=1),1,0)</f>
        <v/>
      </c>
      <c r="ZO36">
        <f>ZO35+IF(AND($C35=144,$L35=1),1,0)</f>
        <v/>
      </c>
    </row>
    <row r="37">
      <c r="A37" t="n">
        <v>35</v>
      </c>
      <c r="B37">
        <f>IF(MIN(BH37:CZ37)&gt;=1000000,0,MATCH(MIN(BH37:CZ37),BH37:CZ37,0))</f>
        <v/>
      </c>
      <c r="C37">
        <f>IF(MIN(OF37:TS37)&gt;=1000000,0,MATCH(MIN(OF37:TS37),OF37:TS37,0))</f>
        <v/>
      </c>
      <c r="D37">
        <f>IF(C37&gt;0,INDEX('計算A'!$D$5:$EQ$5,C37),0)</f>
        <v/>
      </c>
      <c r="E37">
        <f>IF(B37=0,0,INDEX('計算A'!$IQ$10:$IQ$54,B37))</f>
        <v/>
      </c>
      <c r="F37">
        <f>IF(B37=0,0,INDEX('計算A'!$IP$10:$IP$54,B37))</f>
        <v/>
      </c>
      <c r="G37">
        <f>IF(AND(C37&gt;0,E37&gt;0),IF(AND(INDEX('計算A'!$D$106:$EQ$106,C37)=1,INDEX($IQ37:$OD37,C37)=1),C37+1,0),0)</f>
        <v/>
      </c>
      <c r="H37">
        <f>IF(B37=0,0,INDEX('計算A'!$IW$10:$IW$54,B37))</f>
        <v/>
      </c>
      <c r="I37">
        <f>IF(B37=0,0,MAX(0,INDEX('計算A'!$IT$10:$IT$54,B37)))</f>
        <v/>
      </c>
      <c r="J37">
        <f>IF(I37=0,0,INDEX('計算A'!$D$2:$EQ$2,I37))</f>
        <v/>
      </c>
      <c r="K37">
        <f>IF(I37=0,0,INDEX('計算A'!$D$3:$EQ$3,I37))</f>
        <v/>
      </c>
      <c r="L37">
        <f>IF(B37=0,0,INDEX('計算A'!$IX$10:$IX$54,B37))</f>
        <v/>
      </c>
      <c r="N37">
        <f>MAX(N36,IF($B36=1,1,0))</f>
        <v/>
      </c>
      <c r="O37">
        <f>MAX(O36,IF($B36=2,1,0))</f>
        <v/>
      </c>
      <c r="P37">
        <f>MAX(P36,IF($B36=3,1,0))</f>
        <v/>
      </c>
      <c r="Q37">
        <f>MAX(Q36,IF($B36=4,1,0))</f>
        <v/>
      </c>
      <c r="R37">
        <f>MAX(R36,IF($B36=5,1,0))</f>
        <v/>
      </c>
      <c r="S37">
        <f>MAX(S36,IF($B36=6,1,0))</f>
        <v/>
      </c>
      <c r="T37">
        <f>MAX(T36,IF($B36=7,1,0))</f>
        <v/>
      </c>
      <c r="U37">
        <f>MAX(U36,IF($B36=8,1,0))</f>
        <v/>
      </c>
      <c r="V37">
        <f>MAX(V36,IF($B36=9,1,0))</f>
        <v/>
      </c>
      <c r="W37">
        <f>MAX(W36,IF($B36=10,1,0))</f>
        <v/>
      </c>
      <c r="X37">
        <f>MAX(X36,IF($B36=11,1,0))</f>
        <v/>
      </c>
      <c r="Y37">
        <f>MAX(Y36,IF($B36=12,1,0))</f>
        <v/>
      </c>
      <c r="Z37">
        <f>MAX(Z36,IF($B36=13,1,0))</f>
        <v/>
      </c>
      <c r="AA37">
        <f>MAX(AA36,IF($B36=14,1,0))</f>
        <v/>
      </c>
      <c r="AB37">
        <f>MAX(AB36,IF($B36=15,1,0))</f>
        <v/>
      </c>
      <c r="AC37">
        <f>MAX(AC36,IF($B36=16,1,0))</f>
        <v/>
      </c>
      <c r="AD37">
        <f>MAX(AD36,IF($B36=17,1,0))</f>
        <v/>
      </c>
      <c r="AE37">
        <f>MAX(AE36,IF($B36=18,1,0))</f>
        <v/>
      </c>
      <c r="AF37">
        <f>MAX(AF36,IF($B36=19,1,0))</f>
        <v/>
      </c>
      <c r="AG37">
        <f>MAX(AG36,IF($B36=20,1,0))</f>
        <v/>
      </c>
      <c r="AH37">
        <f>MAX(AH36,IF($B36=21,1,0))</f>
        <v/>
      </c>
      <c r="AI37">
        <f>MAX(AI36,IF($B36=22,1,0))</f>
        <v/>
      </c>
      <c r="AJ37">
        <f>MAX(AJ36,IF($B36=23,1,0))</f>
        <v/>
      </c>
      <c r="AK37">
        <f>MAX(AK36,IF($B36=24,1,0))</f>
        <v/>
      </c>
      <c r="AL37">
        <f>MAX(AL36,IF($B36=25,1,0))</f>
        <v/>
      </c>
      <c r="AM37">
        <f>MAX(AM36,IF($B36=26,1,0))</f>
        <v/>
      </c>
      <c r="AN37">
        <f>MAX(AN36,IF($B36=27,1,0))</f>
        <v/>
      </c>
      <c r="AO37">
        <f>MAX(AO36,IF($B36=28,1,0))</f>
        <v/>
      </c>
      <c r="AP37">
        <f>MAX(AP36,IF($B36=29,1,0))</f>
        <v/>
      </c>
      <c r="AQ37">
        <f>MAX(AQ36,IF($B36=30,1,0))</f>
        <v/>
      </c>
      <c r="AR37">
        <f>MAX(AR36,IF($B36=31,1,0))</f>
        <v/>
      </c>
      <c r="AS37">
        <f>MAX(AS36,IF($B36=32,1,0))</f>
        <v/>
      </c>
      <c r="AT37">
        <f>MAX(AT36,IF($B36=33,1,0))</f>
        <v/>
      </c>
      <c r="AU37">
        <f>MAX(AU36,IF($B36=34,1,0))</f>
        <v/>
      </c>
      <c r="AV37">
        <f>MAX(AV36,IF($B36=35,1,0))</f>
        <v/>
      </c>
      <c r="AW37">
        <f>MAX(AW36,IF($B36=36,1,0))</f>
        <v/>
      </c>
      <c r="AX37">
        <f>MAX(AX36,IF($B36=37,1,0))</f>
        <v/>
      </c>
      <c r="AY37">
        <f>MAX(AY36,IF($B36=38,1,0))</f>
        <v/>
      </c>
      <c r="AZ37">
        <f>MAX(AZ36,IF($B36=39,1,0))</f>
        <v/>
      </c>
      <c r="BA37">
        <f>MAX(BA36,IF($B36=40,1,0))</f>
        <v/>
      </c>
      <c r="BB37">
        <f>MAX(BB36,IF($B36=41,1,0))</f>
        <v/>
      </c>
      <c r="BC37">
        <f>MAX(BC36,IF($B36=42,1,0))</f>
        <v/>
      </c>
      <c r="BD37">
        <f>MAX(BD36,IF($B36=43,1,0))</f>
        <v/>
      </c>
      <c r="BE37">
        <f>MAX(BE36,IF($B36=44,1,0))</f>
        <v/>
      </c>
      <c r="BF37">
        <f>MAX(BF36,IF($B36=45,1,0))</f>
        <v/>
      </c>
      <c r="BH37">
        <f>IF(N37=1,1000000,IF('計算A'!$IT$10&gt;0,0,500000)+IF('計算A'!$IQ$10=2,SUMPRODUCT('計算A'!$D$60:$EQ$60,$DB37:$IO37,$IQ37:$OD37),SUMPRODUCT('計算A'!$D$60:$EQ$60,$DB37:$IO37))*1000+1)</f>
        <v/>
      </c>
      <c r="BI37">
        <f>IF(O37=1,1000000,IF('計算A'!$IT$11&gt;0,0,500000)+IF('計算A'!$IQ$11=2,SUMPRODUCT('計算A'!$D$61:$EQ$61,$DB37:$IO37,$IQ37:$OD37),SUMPRODUCT('計算A'!$D$61:$EQ$61,$DB37:$IO37))*1000+2)</f>
        <v/>
      </c>
      <c r="BJ37">
        <f>IF(P37=1,1000000,IF('計算A'!$IT$12&gt;0,0,500000)+IF('計算A'!$IQ$12=2,SUMPRODUCT('計算A'!$D$62:$EQ$62,$DB37:$IO37,$IQ37:$OD37),SUMPRODUCT('計算A'!$D$62:$EQ$62,$DB37:$IO37))*1000+3)</f>
        <v/>
      </c>
      <c r="BK37">
        <f>IF(Q37=1,1000000,IF('計算A'!$IT$13&gt;0,0,500000)+IF('計算A'!$IQ$13=2,SUMPRODUCT('計算A'!$D$63:$EQ$63,$DB37:$IO37,$IQ37:$OD37),SUMPRODUCT('計算A'!$D$63:$EQ$63,$DB37:$IO37))*1000+4)</f>
        <v/>
      </c>
      <c r="BL37">
        <f>IF(R37=1,1000000,IF('計算A'!$IT$14&gt;0,0,500000)+IF('計算A'!$IQ$14=2,SUMPRODUCT('計算A'!$D$64:$EQ$64,$DB37:$IO37,$IQ37:$OD37),SUMPRODUCT('計算A'!$D$64:$EQ$64,$DB37:$IO37))*1000+5)</f>
        <v/>
      </c>
      <c r="BM37">
        <f>IF(S37=1,1000000,IF('計算A'!$IT$15&gt;0,0,500000)+IF('計算A'!$IQ$15=2,SUMPRODUCT('計算A'!$D$65:$EQ$65,$DB37:$IO37,$IQ37:$OD37),SUMPRODUCT('計算A'!$D$65:$EQ$65,$DB37:$IO37))*1000+6)</f>
        <v/>
      </c>
      <c r="BN37">
        <f>IF(T37=1,1000000,IF('計算A'!$IT$16&gt;0,0,500000)+IF('計算A'!$IQ$16=2,SUMPRODUCT('計算A'!$D$66:$EQ$66,$DB37:$IO37,$IQ37:$OD37),SUMPRODUCT('計算A'!$D$66:$EQ$66,$DB37:$IO37))*1000+7)</f>
        <v/>
      </c>
      <c r="BO37">
        <f>IF(U37=1,1000000,IF('計算A'!$IT$17&gt;0,0,500000)+IF('計算A'!$IQ$17=2,SUMPRODUCT('計算A'!$D$67:$EQ$67,$DB37:$IO37,$IQ37:$OD37),SUMPRODUCT('計算A'!$D$67:$EQ$67,$DB37:$IO37))*1000+8)</f>
        <v/>
      </c>
      <c r="BP37">
        <f>IF(V37=1,1000000,IF('計算A'!$IT$18&gt;0,0,500000)+IF('計算A'!$IQ$18=2,SUMPRODUCT('計算A'!$D$68:$EQ$68,$DB37:$IO37,$IQ37:$OD37),SUMPRODUCT('計算A'!$D$68:$EQ$68,$DB37:$IO37))*1000+9)</f>
        <v/>
      </c>
      <c r="BQ37">
        <f>IF(W37=1,1000000,IF('計算A'!$IT$19&gt;0,0,500000)+IF('計算A'!$IQ$19=2,SUMPRODUCT('計算A'!$D$69:$EQ$69,$DB37:$IO37,$IQ37:$OD37),SUMPRODUCT('計算A'!$D$69:$EQ$69,$DB37:$IO37))*1000+10)</f>
        <v/>
      </c>
      <c r="BR37">
        <f>IF(X37=1,1000000,IF('計算A'!$IT$20&gt;0,0,500000)+IF('計算A'!$IQ$20=2,SUMPRODUCT('計算A'!$D$70:$EQ$70,$DB37:$IO37,$IQ37:$OD37),SUMPRODUCT('計算A'!$D$70:$EQ$70,$DB37:$IO37))*1000+11)</f>
        <v/>
      </c>
      <c r="BS37">
        <f>IF(Y37=1,1000000,IF('計算A'!$IT$21&gt;0,0,500000)+IF('計算A'!$IQ$21=2,SUMPRODUCT('計算A'!$D$71:$EQ$71,$DB37:$IO37,$IQ37:$OD37),SUMPRODUCT('計算A'!$D$71:$EQ$71,$DB37:$IO37))*1000+12)</f>
        <v/>
      </c>
      <c r="BT37">
        <f>IF(Z37=1,1000000,IF('計算A'!$IT$22&gt;0,0,500000)+IF('計算A'!$IQ$22=2,SUMPRODUCT('計算A'!$D$72:$EQ$72,$DB37:$IO37,$IQ37:$OD37),SUMPRODUCT('計算A'!$D$72:$EQ$72,$DB37:$IO37))*1000+13)</f>
        <v/>
      </c>
      <c r="BU37">
        <f>IF(AA37=1,1000000,IF('計算A'!$IT$23&gt;0,0,500000)+IF('計算A'!$IQ$23=2,SUMPRODUCT('計算A'!$D$73:$EQ$73,$DB37:$IO37,$IQ37:$OD37),SUMPRODUCT('計算A'!$D$73:$EQ$73,$DB37:$IO37))*1000+14)</f>
        <v/>
      </c>
      <c r="BV37">
        <f>IF(AB37=1,1000000,IF('計算A'!$IT$24&gt;0,0,500000)+IF('計算A'!$IQ$24=2,SUMPRODUCT('計算A'!$D$74:$EQ$74,$DB37:$IO37,$IQ37:$OD37),SUMPRODUCT('計算A'!$D$74:$EQ$74,$DB37:$IO37))*1000+15)</f>
        <v/>
      </c>
      <c r="BW37">
        <f>IF(AC37=1,1000000,IF('計算A'!$IT$25&gt;0,0,500000)+IF('計算A'!$IQ$25=2,SUMPRODUCT('計算A'!$D$75:$EQ$75,$DB37:$IO37,$IQ37:$OD37),SUMPRODUCT('計算A'!$D$75:$EQ$75,$DB37:$IO37))*1000+16)</f>
        <v/>
      </c>
      <c r="BX37">
        <f>IF(AD37=1,1000000,IF('計算A'!$IT$26&gt;0,0,500000)+IF('計算A'!$IQ$26=2,SUMPRODUCT('計算A'!$D$76:$EQ$76,$DB37:$IO37,$IQ37:$OD37),SUMPRODUCT('計算A'!$D$76:$EQ$76,$DB37:$IO37))*1000+17)</f>
        <v/>
      </c>
      <c r="BY37">
        <f>IF(AE37=1,1000000,IF('計算A'!$IT$27&gt;0,0,500000)+IF('計算A'!$IQ$27=2,SUMPRODUCT('計算A'!$D$77:$EQ$77,$DB37:$IO37,$IQ37:$OD37),SUMPRODUCT('計算A'!$D$77:$EQ$77,$DB37:$IO37))*1000+18)</f>
        <v/>
      </c>
      <c r="BZ37">
        <f>IF(AF37=1,1000000,IF('計算A'!$IT$28&gt;0,0,500000)+IF('計算A'!$IQ$28=2,SUMPRODUCT('計算A'!$D$78:$EQ$78,$DB37:$IO37,$IQ37:$OD37),SUMPRODUCT('計算A'!$D$78:$EQ$78,$DB37:$IO37))*1000+19)</f>
        <v/>
      </c>
      <c r="CA37">
        <f>IF(AG37=1,1000000,IF('計算A'!$IT$29&gt;0,0,500000)+IF('計算A'!$IQ$29=2,SUMPRODUCT('計算A'!$D$79:$EQ$79,$DB37:$IO37,$IQ37:$OD37),SUMPRODUCT('計算A'!$D$79:$EQ$79,$DB37:$IO37))*1000+20)</f>
        <v/>
      </c>
      <c r="CB37">
        <f>IF(AH37=1,1000000,IF('計算A'!$IT$30&gt;0,0,500000)+IF('計算A'!$IQ$30=2,SUMPRODUCT('計算A'!$D$80:$EQ$80,$DB37:$IO37,$IQ37:$OD37),SUMPRODUCT('計算A'!$D$80:$EQ$80,$DB37:$IO37))*1000+21)</f>
        <v/>
      </c>
      <c r="CC37">
        <f>IF(AI37=1,1000000,IF('計算A'!$IT$31&gt;0,0,500000)+IF('計算A'!$IQ$31=2,SUMPRODUCT('計算A'!$D$81:$EQ$81,$DB37:$IO37,$IQ37:$OD37),SUMPRODUCT('計算A'!$D$81:$EQ$81,$DB37:$IO37))*1000+22)</f>
        <v/>
      </c>
      <c r="CD37">
        <f>IF(AJ37=1,1000000,IF('計算A'!$IT$32&gt;0,0,500000)+IF('計算A'!$IQ$32=2,SUMPRODUCT('計算A'!$D$82:$EQ$82,$DB37:$IO37,$IQ37:$OD37),SUMPRODUCT('計算A'!$D$82:$EQ$82,$DB37:$IO37))*1000+23)</f>
        <v/>
      </c>
      <c r="CE37">
        <f>IF(AK37=1,1000000,IF('計算A'!$IT$33&gt;0,0,500000)+IF('計算A'!$IQ$33=2,SUMPRODUCT('計算A'!$D$83:$EQ$83,$DB37:$IO37,$IQ37:$OD37),SUMPRODUCT('計算A'!$D$83:$EQ$83,$DB37:$IO37))*1000+24)</f>
        <v/>
      </c>
      <c r="CF37">
        <f>IF(AL37=1,1000000,IF('計算A'!$IT$34&gt;0,0,500000)+IF('計算A'!$IQ$34=2,SUMPRODUCT('計算A'!$D$84:$EQ$84,$DB37:$IO37,$IQ37:$OD37),SUMPRODUCT('計算A'!$D$84:$EQ$84,$DB37:$IO37))*1000+25)</f>
        <v/>
      </c>
      <c r="CG37">
        <f>IF(AM37=1,1000000,IF('計算A'!$IT$35&gt;0,0,500000)+IF('計算A'!$IQ$35=2,SUMPRODUCT('計算A'!$D$85:$EQ$85,$DB37:$IO37,$IQ37:$OD37),SUMPRODUCT('計算A'!$D$85:$EQ$85,$DB37:$IO37))*1000+26)</f>
        <v/>
      </c>
      <c r="CH37">
        <f>IF(AN37=1,1000000,IF('計算A'!$IT$36&gt;0,0,500000)+IF('計算A'!$IQ$36=2,SUMPRODUCT('計算A'!$D$86:$EQ$86,$DB37:$IO37,$IQ37:$OD37),SUMPRODUCT('計算A'!$D$86:$EQ$86,$DB37:$IO37))*1000+27)</f>
        <v/>
      </c>
      <c r="CI37">
        <f>IF(AO37=1,1000000,IF('計算A'!$IT$37&gt;0,0,500000)+IF('計算A'!$IQ$37=2,SUMPRODUCT('計算A'!$D$87:$EQ$87,$DB37:$IO37,$IQ37:$OD37),SUMPRODUCT('計算A'!$D$87:$EQ$87,$DB37:$IO37))*1000+28)</f>
        <v/>
      </c>
      <c r="CJ37">
        <f>IF(AP37=1,1000000,IF('計算A'!$IT$38&gt;0,0,500000)+IF('計算A'!$IQ$38=2,SUMPRODUCT('計算A'!$D$88:$EQ$88,$DB37:$IO37,$IQ37:$OD37),SUMPRODUCT('計算A'!$D$88:$EQ$88,$DB37:$IO37))*1000+29)</f>
        <v/>
      </c>
      <c r="CK37">
        <f>IF(AQ37=1,1000000,IF('計算A'!$IT$39&gt;0,0,500000)+IF('計算A'!$IQ$39=2,SUMPRODUCT('計算A'!$D$89:$EQ$89,$DB37:$IO37,$IQ37:$OD37),SUMPRODUCT('計算A'!$D$89:$EQ$89,$DB37:$IO37))*1000+30)</f>
        <v/>
      </c>
      <c r="CL37">
        <f>IF(AR37=1,1000000,IF('計算A'!$IT$40&gt;0,0,500000)+IF('計算A'!$IQ$40=2,SUMPRODUCT('計算A'!$D$90:$EQ$90,$DB37:$IO37,$IQ37:$OD37),SUMPRODUCT('計算A'!$D$90:$EQ$90,$DB37:$IO37))*1000+31)</f>
        <v/>
      </c>
      <c r="CM37">
        <f>IF(AS37=1,1000000,IF('計算A'!$IT$41&gt;0,0,500000)+IF('計算A'!$IQ$41=2,SUMPRODUCT('計算A'!$D$91:$EQ$91,$DB37:$IO37,$IQ37:$OD37),SUMPRODUCT('計算A'!$D$91:$EQ$91,$DB37:$IO37))*1000+32)</f>
        <v/>
      </c>
      <c r="CN37">
        <f>IF(AT37=1,1000000,IF('計算A'!$IT$42&gt;0,0,500000)+IF('計算A'!$IQ$42=2,SUMPRODUCT('計算A'!$D$92:$EQ$92,$DB37:$IO37,$IQ37:$OD37),SUMPRODUCT('計算A'!$D$92:$EQ$92,$DB37:$IO37))*1000+33)</f>
        <v/>
      </c>
      <c r="CO37">
        <f>IF(AU37=1,1000000,IF('計算A'!$IT$43&gt;0,0,500000)+IF('計算A'!$IQ$43=2,SUMPRODUCT('計算A'!$D$93:$EQ$93,$DB37:$IO37,$IQ37:$OD37),SUMPRODUCT('計算A'!$D$93:$EQ$93,$DB37:$IO37))*1000+34)</f>
        <v/>
      </c>
      <c r="CP37">
        <f>IF(AV37=1,1000000,IF('計算A'!$IT$44&gt;0,0,500000)+IF('計算A'!$IQ$44=2,SUMPRODUCT('計算A'!$D$94:$EQ$94,$DB37:$IO37,$IQ37:$OD37),SUMPRODUCT('計算A'!$D$94:$EQ$94,$DB37:$IO37))*1000+35)</f>
        <v/>
      </c>
      <c r="CQ37">
        <f>IF(AW37=1,1000000,IF('計算A'!$IT$45&gt;0,0,500000)+IF('計算A'!$IQ$45=2,SUMPRODUCT('計算A'!$D$95:$EQ$95,$DB37:$IO37,$IQ37:$OD37),SUMPRODUCT('計算A'!$D$95:$EQ$95,$DB37:$IO37))*1000+36)</f>
        <v/>
      </c>
      <c r="CR37">
        <f>IF(AX37=1,1000000,IF('計算A'!$IT$46&gt;0,0,500000)+IF('計算A'!$IQ$46=2,SUMPRODUCT('計算A'!$D$96:$EQ$96,$DB37:$IO37,$IQ37:$OD37),SUMPRODUCT('計算A'!$D$96:$EQ$96,$DB37:$IO37))*1000+37)</f>
        <v/>
      </c>
      <c r="CS37">
        <f>IF(AY37=1,1000000,IF('計算A'!$IT$47&gt;0,0,500000)+IF('計算A'!$IQ$47=2,SUMPRODUCT('計算A'!$D$97:$EQ$97,$DB37:$IO37,$IQ37:$OD37),SUMPRODUCT('計算A'!$D$97:$EQ$97,$DB37:$IO37))*1000+38)</f>
        <v/>
      </c>
      <c r="CT37">
        <f>IF(AZ37=1,1000000,IF('計算A'!$IT$48&gt;0,0,500000)+IF('計算A'!$IQ$48=2,SUMPRODUCT('計算A'!$D$98:$EQ$98,$DB37:$IO37,$IQ37:$OD37),SUMPRODUCT('計算A'!$D$98:$EQ$98,$DB37:$IO37))*1000+39)</f>
        <v/>
      </c>
      <c r="CU37">
        <f>IF(BA37=1,1000000,IF('計算A'!$IT$49&gt;0,0,500000)+IF('計算A'!$IQ$49=2,SUMPRODUCT('計算A'!$D$99:$EQ$99,$DB37:$IO37,$IQ37:$OD37),SUMPRODUCT('計算A'!$D$99:$EQ$99,$DB37:$IO37))*1000+40)</f>
        <v/>
      </c>
      <c r="CV37">
        <f>IF(BB37=1,1000000,IF('計算A'!$IT$50&gt;0,0,500000)+IF('計算A'!$IQ$50=2,SUMPRODUCT('計算A'!$D$100:$EQ$100,$DB37:$IO37,$IQ37:$OD37),SUMPRODUCT('計算A'!$D$100:$EQ$100,$DB37:$IO37))*1000+41)</f>
        <v/>
      </c>
      <c r="CW37">
        <f>IF(BC37=1,1000000,IF('計算A'!$IT$51&gt;0,0,500000)+IF('計算A'!$IQ$51=2,SUMPRODUCT('計算A'!$D$101:$EQ$101,$DB37:$IO37,$IQ37:$OD37),SUMPRODUCT('計算A'!$D$101:$EQ$101,$DB37:$IO37))*1000+42)</f>
        <v/>
      </c>
      <c r="CX37">
        <f>IF(BD37=1,1000000,IF('計算A'!$IT$52&gt;0,0,500000)+IF('計算A'!$IQ$52=2,SUMPRODUCT('計算A'!$D$102:$EQ$102,$DB37:$IO37,$IQ37:$OD37),SUMPRODUCT('計算A'!$D$102:$EQ$102,$DB37:$IO37))*1000+43)</f>
        <v/>
      </c>
      <c r="CY37">
        <f>IF(BE37=1,1000000,IF('計算A'!$IT$53&gt;0,0,500000)+IF('計算A'!$IQ$53=2,SUMPRODUCT('計算A'!$D$103:$EQ$103,$DB37:$IO37,$IQ37:$OD37),SUMPRODUCT('計算A'!$D$103:$EQ$103,$DB37:$IO37))*1000+44)</f>
        <v/>
      </c>
      <c r="CZ37">
        <f>IF(BF37=1,1000000,IF('計算A'!$IT$54&gt;0,0,500000)+IF('計算A'!$IQ$54=2,SUMPRODUCT('計算A'!$D$104:$EQ$104,$DB37:$IO37,$IQ37:$OD37),SUMPRODUCT('計算A'!$D$104:$EQ$104,$DB37:$IO37))*1000+45)</f>
        <v/>
      </c>
      <c r="DB37">
        <f>DB36*IF(OR($C36=1,$G36=1),0,1)</f>
        <v/>
      </c>
      <c r="DC37">
        <f>DC36*IF(OR($C36=2,$G36=2),0,1)</f>
        <v/>
      </c>
      <c r="DD37">
        <f>DD36*IF(OR($C36=3,$G36=3),0,1)</f>
        <v/>
      </c>
      <c r="DE37">
        <f>DE36*IF(OR($C36=4,$G36=4),0,1)</f>
        <v/>
      </c>
      <c r="DF37">
        <f>DF36*IF(OR($C36=5,$G36=5),0,1)</f>
        <v/>
      </c>
      <c r="DG37">
        <f>DG36*IF(OR($C36=6,$G36=6),0,1)</f>
        <v/>
      </c>
      <c r="DH37">
        <f>DH36*IF(OR($C36=7,$G36=7),0,1)</f>
        <v/>
      </c>
      <c r="DI37">
        <f>DI36*IF(OR($C36=8,$G36=8),0,1)</f>
        <v/>
      </c>
      <c r="DJ37">
        <f>DJ36*IF(OR($C36=9,$G36=9),0,1)</f>
        <v/>
      </c>
      <c r="DK37">
        <f>DK36*IF(OR($C36=10,$G36=10),0,1)</f>
        <v/>
      </c>
      <c r="DL37">
        <f>DL36*IF(OR($C36=11,$G36=11),0,1)</f>
        <v/>
      </c>
      <c r="DM37">
        <f>DM36*IF(OR($C36=12,$G36=12),0,1)</f>
        <v/>
      </c>
      <c r="DN37">
        <f>DN36*IF(OR($C36=13,$G36=13),0,1)</f>
        <v/>
      </c>
      <c r="DO37">
        <f>DO36*IF(OR($C36=14,$G36=14),0,1)</f>
        <v/>
      </c>
      <c r="DP37">
        <f>DP36*IF(OR($C36=15,$G36=15),0,1)</f>
        <v/>
      </c>
      <c r="DQ37">
        <f>DQ36*IF(OR($C36=16,$G36=16),0,1)</f>
        <v/>
      </c>
      <c r="DR37">
        <f>DR36*IF(OR($C36=17,$G36=17),0,1)</f>
        <v/>
      </c>
      <c r="DS37">
        <f>DS36*IF(OR($C36=18,$G36=18),0,1)</f>
        <v/>
      </c>
      <c r="DT37">
        <f>DT36*IF(OR($C36=19,$G36=19),0,1)</f>
        <v/>
      </c>
      <c r="DU37">
        <f>DU36*IF(OR($C36=20,$G36=20),0,1)</f>
        <v/>
      </c>
      <c r="DV37">
        <f>DV36*IF(OR($C36=21,$G36=21),0,1)</f>
        <v/>
      </c>
      <c r="DW37">
        <f>DW36*IF(OR($C36=22,$G36=22),0,1)</f>
        <v/>
      </c>
      <c r="DX37">
        <f>DX36*IF(OR($C36=23,$G36=23),0,1)</f>
        <v/>
      </c>
      <c r="DY37">
        <f>DY36*IF(OR($C36=24,$G36=24),0,1)</f>
        <v/>
      </c>
      <c r="DZ37">
        <f>DZ36*IF(OR($C36=25,$G36=25),0,1)</f>
        <v/>
      </c>
      <c r="EA37">
        <f>EA36*IF(OR($C36=26,$G36=26),0,1)</f>
        <v/>
      </c>
      <c r="EB37">
        <f>EB36*IF(OR($C36=27,$G36=27),0,1)</f>
        <v/>
      </c>
      <c r="EC37">
        <f>EC36*IF(OR($C36=28,$G36=28),0,1)</f>
        <v/>
      </c>
      <c r="ED37">
        <f>ED36*IF(OR($C36=29,$G36=29),0,1)</f>
        <v/>
      </c>
      <c r="EE37">
        <f>EE36*IF(OR($C36=30,$G36=30),0,1)</f>
        <v/>
      </c>
      <c r="EF37">
        <f>EF36*IF(OR($C36=31,$G36=31),0,1)</f>
        <v/>
      </c>
      <c r="EG37">
        <f>EG36*IF(OR($C36=32,$G36=32),0,1)</f>
        <v/>
      </c>
      <c r="EH37">
        <f>EH36*IF(OR($C36=33,$G36=33),0,1)</f>
        <v/>
      </c>
      <c r="EI37">
        <f>EI36*IF(OR($C36=34,$G36=34),0,1)</f>
        <v/>
      </c>
      <c r="EJ37">
        <f>EJ36*IF(OR($C36=35,$G36=35),0,1)</f>
        <v/>
      </c>
      <c r="EK37">
        <f>EK36*IF(OR($C36=36,$G36=36),0,1)</f>
        <v/>
      </c>
      <c r="EL37">
        <f>EL36*IF(OR($C36=37,$G36=37),0,1)</f>
        <v/>
      </c>
      <c r="EM37">
        <f>EM36*IF(OR($C36=38,$G36=38),0,1)</f>
        <v/>
      </c>
      <c r="EN37">
        <f>EN36*IF(OR($C36=39,$G36=39),0,1)</f>
        <v/>
      </c>
      <c r="EO37">
        <f>EO36*IF(OR($C36=40,$G36=40),0,1)</f>
        <v/>
      </c>
      <c r="EP37">
        <f>EP36*IF(OR($C36=41,$G36=41),0,1)</f>
        <v/>
      </c>
      <c r="EQ37">
        <f>EQ36*IF(OR($C36=42,$G36=42),0,1)</f>
        <v/>
      </c>
      <c r="ER37">
        <f>ER36*IF(OR($C36=43,$G36=43),0,1)</f>
        <v/>
      </c>
      <c r="ES37">
        <f>ES36*IF(OR($C36=44,$G36=44),0,1)</f>
        <v/>
      </c>
      <c r="ET37">
        <f>ET36*IF(OR($C36=45,$G36=45),0,1)</f>
        <v/>
      </c>
      <c r="EU37">
        <f>EU36*IF(OR($C36=46,$G36=46),0,1)</f>
        <v/>
      </c>
      <c r="EV37">
        <f>EV36*IF(OR($C36=47,$G36=47),0,1)</f>
        <v/>
      </c>
      <c r="EW37">
        <f>EW36*IF(OR($C36=48,$G36=48),0,1)</f>
        <v/>
      </c>
      <c r="EX37">
        <f>EX36*IF(OR($C36=49,$G36=49),0,1)</f>
        <v/>
      </c>
      <c r="EY37">
        <f>EY36*IF(OR($C36=50,$G36=50),0,1)</f>
        <v/>
      </c>
      <c r="EZ37">
        <f>EZ36*IF(OR($C36=51,$G36=51),0,1)</f>
        <v/>
      </c>
      <c r="FA37">
        <f>FA36*IF(OR($C36=52,$G36=52),0,1)</f>
        <v/>
      </c>
      <c r="FB37">
        <f>FB36*IF(OR($C36=53,$G36=53),0,1)</f>
        <v/>
      </c>
      <c r="FC37">
        <f>FC36*IF(OR($C36=54,$G36=54),0,1)</f>
        <v/>
      </c>
      <c r="FD37">
        <f>FD36*IF(OR($C36=55,$G36=55),0,1)</f>
        <v/>
      </c>
      <c r="FE37">
        <f>FE36*IF(OR($C36=56,$G36=56),0,1)</f>
        <v/>
      </c>
      <c r="FF37">
        <f>FF36*IF(OR($C36=57,$G36=57),0,1)</f>
        <v/>
      </c>
      <c r="FG37">
        <f>FG36*IF(OR($C36=58,$G36=58),0,1)</f>
        <v/>
      </c>
      <c r="FH37">
        <f>FH36*IF(OR($C36=59,$G36=59),0,1)</f>
        <v/>
      </c>
      <c r="FI37">
        <f>FI36*IF(OR($C36=60,$G36=60),0,1)</f>
        <v/>
      </c>
      <c r="FJ37">
        <f>FJ36*IF(OR($C36=61,$G36=61),0,1)</f>
        <v/>
      </c>
      <c r="FK37">
        <f>FK36*IF(OR($C36=62,$G36=62),0,1)</f>
        <v/>
      </c>
      <c r="FL37">
        <f>FL36*IF(OR($C36=63,$G36=63),0,1)</f>
        <v/>
      </c>
      <c r="FM37">
        <f>FM36*IF(OR($C36=64,$G36=64),0,1)</f>
        <v/>
      </c>
      <c r="FN37">
        <f>FN36*IF(OR($C36=65,$G36=65),0,1)</f>
        <v/>
      </c>
      <c r="FO37">
        <f>FO36*IF(OR($C36=66,$G36=66),0,1)</f>
        <v/>
      </c>
      <c r="FP37">
        <f>FP36*IF(OR($C36=67,$G36=67),0,1)</f>
        <v/>
      </c>
      <c r="FQ37">
        <f>FQ36*IF(OR($C36=68,$G36=68),0,1)</f>
        <v/>
      </c>
      <c r="FR37">
        <f>FR36*IF(OR($C36=69,$G36=69),0,1)</f>
        <v/>
      </c>
      <c r="FS37">
        <f>FS36*IF(OR($C36=70,$G36=70),0,1)</f>
        <v/>
      </c>
      <c r="FT37">
        <f>FT36*IF(OR($C36=71,$G36=71),0,1)</f>
        <v/>
      </c>
      <c r="FU37">
        <f>FU36*IF(OR($C36=72,$G36=72),0,1)</f>
        <v/>
      </c>
      <c r="FV37">
        <f>FV36*IF(OR($C36=73,$G36=73),0,1)</f>
        <v/>
      </c>
      <c r="FW37">
        <f>FW36*IF(OR($C36=74,$G36=74),0,1)</f>
        <v/>
      </c>
      <c r="FX37">
        <f>FX36*IF(OR($C36=75,$G36=75),0,1)</f>
        <v/>
      </c>
      <c r="FY37">
        <f>FY36*IF(OR($C36=76,$G36=76),0,1)</f>
        <v/>
      </c>
      <c r="FZ37">
        <f>FZ36*IF(OR($C36=77,$G36=77),0,1)</f>
        <v/>
      </c>
      <c r="GA37">
        <f>GA36*IF(OR($C36=78,$G36=78),0,1)</f>
        <v/>
      </c>
      <c r="GB37">
        <f>GB36*IF(OR($C36=79,$G36=79),0,1)</f>
        <v/>
      </c>
      <c r="GC37">
        <f>GC36*IF(OR($C36=80,$G36=80),0,1)</f>
        <v/>
      </c>
      <c r="GD37">
        <f>GD36*IF(OR($C36=81,$G36=81),0,1)</f>
        <v/>
      </c>
      <c r="GE37">
        <f>GE36*IF(OR($C36=82,$G36=82),0,1)</f>
        <v/>
      </c>
      <c r="GF37">
        <f>GF36*IF(OR($C36=83,$G36=83),0,1)</f>
        <v/>
      </c>
      <c r="GG37">
        <f>GG36*IF(OR($C36=84,$G36=84),0,1)</f>
        <v/>
      </c>
      <c r="GH37">
        <f>GH36*IF(OR($C36=85,$G36=85),0,1)</f>
        <v/>
      </c>
      <c r="GI37">
        <f>GI36*IF(OR($C36=86,$G36=86),0,1)</f>
        <v/>
      </c>
      <c r="GJ37">
        <f>GJ36*IF(OR($C36=87,$G36=87),0,1)</f>
        <v/>
      </c>
      <c r="GK37">
        <f>GK36*IF(OR($C36=88,$G36=88),0,1)</f>
        <v/>
      </c>
      <c r="GL37">
        <f>GL36*IF(OR($C36=89,$G36=89),0,1)</f>
        <v/>
      </c>
      <c r="GM37">
        <f>GM36*IF(OR($C36=90,$G36=90),0,1)</f>
        <v/>
      </c>
      <c r="GN37">
        <f>GN36*IF(OR($C36=91,$G36=91),0,1)</f>
        <v/>
      </c>
      <c r="GO37">
        <f>GO36*IF(OR($C36=92,$G36=92),0,1)</f>
        <v/>
      </c>
      <c r="GP37">
        <f>GP36*IF(OR($C36=93,$G36=93),0,1)</f>
        <v/>
      </c>
      <c r="GQ37">
        <f>GQ36*IF(OR($C36=94,$G36=94),0,1)</f>
        <v/>
      </c>
      <c r="GR37">
        <f>GR36*IF(OR($C36=95,$G36=95),0,1)</f>
        <v/>
      </c>
      <c r="GS37">
        <f>GS36*IF(OR($C36=96,$G36=96),0,1)</f>
        <v/>
      </c>
      <c r="GT37">
        <f>GT36*IF(OR($C36=97,$G36=97),0,1)</f>
        <v/>
      </c>
      <c r="GU37">
        <f>GU36*IF(OR($C36=98,$G36=98),0,1)</f>
        <v/>
      </c>
      <c r="GV37">
        <f>GV36*IF(OR($C36=99,$G36=99),0,1)</f>
        <v/>
      </c>
      <c r="GW37">
        <f>GW36*IF(OR($C36=100,$G36=100),0,1)</f>
        <v/>
      </c>
      <c r="GX37">
        <f>GX36*IF(OR($C36=101,$G36=101),0,1)</f>
        <v/>
      </c>
      <c r="GY37">
        <f>GY36*IF(OR($C36=102,$G36=102),0,1)</f>
        <v/>
      </c>
      <c r="GZ37">
        <f>GZ36*IF(OR($C36=103,$G36=103),0,1)</f>
        <v/>
      </c>
      <c r="HA37">
        <f>HA36*IF(OR($C36=104,$G36=104),0,1)</f>
        <v/>
      </c>
      <c r="HB37">
        <f>HB36*IF(OR($C36=105,$G36=105),0,1)</f>
        <v/>
      </c>
      <c r="HC37">
        <f>HC36*IF(OR($C36=106,$G36=106),0,1)</f>
        <v/>
      </c>
      <c r="HD37">
        <f>HD36*IF(OR($C36=107,$G36=107),0,1)</f>
        <v/>
      </c>
      <c r="HE37">
        <f>HE36*IF(OR($C36=108,$G36=108),0,1)</f>
        <v/>
      </c>
      <c r="HF37">
        <f>HF36*IF(OR($C36=109,$G36=109),0,1)</f>
        <v/>
      </c>
      <c r="HG37">
        <f>HG36*IF(OR($C36=110,$G36=110),0,1)</f>
        <v/>
      </c>
      <c r="HH37">
        <f>HH36*IF(OR($C36=111,$G36=111),0,1)</f>
        <v/>
      </c>
      <c r="HI37">
        <f>HI36*IF(OR($C36=112,$G36=112),0,1)</f>
        <v/>
      </c>
      <c r="HJ37">
        <f>HJ36*IF(OR($C36=113,$G36=113),0,1)</f>
        <v/>
      </c>
      <c r="HK37">
        <f>HK36*IF(OR($C36=114,$G36=114),0,1)</f>
        <v/>
      </c>
      <c r="HL37">
        <f>HL36*IF(OR($C36=115,$G36=115),0,1)</f>
        <v/>
      </c>
      <c r="HM37">
        <f>HM36*IF(OR($C36=116,$G36=116),0,1)</f>
        <v/>
      </c>
      <c r="HN37">
        <f>HN36*IF(OR($C36=117,$G36=117),0,1)</f>
        <v/>
      </c>
      <c r="HO37">
        <f>HO36*IF(OR($C36=118,$G36=118),0,1)</f>
        <v/>
      </c>
      <c r="HP37">
        <f>HP36*IF(OR($C36=119,$G36=119),0,1)</f>
        <v/>
      </c>
      <c r="HQ37">
        <f>HQ36*IF(OR($C36=120,$G36=120),0,1)</f>
        <v/>
      </c>
      <c r="HR37">
        <f>HR36*IF(OR($C36=121,$G36=121),0,1)</f>
        <v/>
      </c>
      <c r="HS37">
        <f>HS36*IF(OR($C36=122,$G36=122),0,1)</f>
        <v/>
      </c>
      <c r="HT37">
        <f>HT36*IF(OR($C36=123,$G36=123),0,1)</f>
        <v/>
      </c>
      <c r="HU37">
        <f>HU36*IF(OR($C36=124,$G36=124),0,1)</f>
        <v/>
      </c>
      <c r="HV37">
        <f>HV36*IF(OR($C36=125,$G36=125),0,1)</f>
        <v/>
      </c>
      <c r="HW37">
        <f>HW36*IF(OR($C36=126,$G36=126),0,1)</f>
        <v/>
      </c>
      <c r="HX37">
        <f>HX36*IF(OR($C36=127,$G36=127),0,1)</f>
        <v/>
      </c>
      <c r="HY37">
        <f>HY36*IF(OR($C36=128,$G36=128),0,1)</f>
        <v/>
      </c>
      <c r="HZ37">
        <f>HZ36*IF(OR($C36=129,$G36=129),0,1)</f>
        <v/>
      </c>
      <c r="IA37">
        <f>IA36*IF(OR($C36=130,$G36=130),0,1)</f>
        <v/>
      </c>
      <c r="IB37">
        <f>IB36*IF(OR($C36=131,$G36=131),0,1)</f>
        <v/>
      </c>
      <c r="IC37">
        <f>IC36*IF(OR($C36=132,$G36=132),0,1)</f>
        <v/>
      </c>
      <c r="ID37">
        <f>ID36*IF(OR($C36=133,$G36=133),0,1)</f>
        <v/>
      </c>
      <c r="IE37">
        <f>IE36*IF(OR($C36=134,$G36=134),0,1)</f>
        <v/>
      </c>
      <c r="IF37">
        <f>IF36*IF(OR($C36=135,$G36=135),0,1)</f>
        <v/>
      </c>
      <c r="IG37">
        <f>IG36*IF(OR($C36=136,$G36=136),0,1)</f>
        <v/>
      </c>
      <c r="IH37">
        <f>IH36*IF(OR($C36=137,$G36=137),0,1)</f>
        <v/>
      </c>
      <c r="II37">
        <f>II36*IF(OR($C36=138,$G36=138),0,1)</f>
        <v/>
      </c>
      <c r="IJ37">
        <f>IJ36*IF(OR($C36=139,$G36=139),0,1)</f>
        <v/>
      </c>
      <c r="IK37">
        <f>IK36*IF(OR($C36=140,$G36=140),0,1)</f>
        <v/>
      </c>
      <c r="IL37">
        <f>IL36*IF(OR($C36=141,$G36=141),0,1)</f>
        <v/>
      </c>
      <c r="IM37">
        <f>IM36*IF(OR($C36=142,$G36=142),0,1)</f>
        <v/>
      </c>
      <c r="IN37">
        <f>IN36*IF(OR($C36=143,$G36=143),0,1)</f>
        <v/>
      </c>
      <c r="IO37">
        <f>IO36*IF(OR($C36=144,$G36=144),0,1)</f>
        <v/>
      </c>
      <c r="IQ37">
        <f>IF('計算A'!D$106=1,DC37,1)</f>
        <v/>
      </c>
      <c r="IR37">
        <f>IF('計算A'!E$106=1,DD37,1)</f>
        <v/>
      </c>
      <c r="IS37">
        <f>IF('計算A'!F$106=1,DE37,1)</f>
        <v/>
      </c>
      <c r="IT37">
        <f>IF('計算A'!G$106=1,DF37,1)</f>
        <v/>
      </c>
      <c r="IU37">
        <f>IF('計算A'!H$106=1,DG37,1)</f>
        <v/>
      </c>
      <c r="IV37">
        <f>IF('計算A'!I$106=1,DH37,1)</f>
        <v/>
      </c>
      <c r="IW37">
        <f>IF('計算A'!J$106=1,DI37,1)</f>
        <v/>
      </c>
      <c r="IX37">
        <f>IF('計算A'!K$106=1,DJ37,1)</f>
        <v/>
      </c>
      <c r="IY37">
        <f>IF('計算A'!L$106=1,DK37,1)</f>
        <v/>
      </c>
      <c r="IZ37">
        <f>IF('計算A'!M$106=1,DL37,1)</f>
        <v/>
      </c>
      <c r="JA37">
        <f>IF('計算A'!N$106=1,DM37,1)</f>
        <v/>
      </c>
      <c r="JB37">
        <f>IF('計算A'!O$106=1,DN37,1)</f>
        <v/>
      </c>
      <c r="JC37">
        <f>IF('計算A'!P$106=1,DO37,1)</f>
        <v/>
      </c>
      <c r="JD37">
        <f>IF('計算A'!Q$106=1,DP37,1)</f>
        <v/>
      </c>
      <c r="JE37">
        <f>IF('計算A'!R$106=1,DQ37,1)</f>
        <v/>
      </c>
      <c r="JF37">
        <f>IF('計算A'!S$106=1,DR37,1)</f>
        <v/>
      </c>
      <c r="JG37">
        <f>IF('計算A'!T$106=1,DS37,1)</f>
        <v/>
      </c>
      <c r="JH37">
        <f>IF('計算A'!U$106=1,DT37,1)</f>
        <v/>
      </c>
      <c r="JI37">
        <f>IF('計算A'!V$106=1,DU37,1)</f>
        <v/>
      </c>
      <c r="JJ37">
        <f>IF('計算A'!W$106=1,DV37,1)</f>
        <v/>
      </c>
      <c r="JK37">
        <f>IF('計算A'!X$106=1,DW37,1)</f>
        <v/>
      </c>
      <c r="JL37">
        <f>IF('計算A'!Y$106=1,DX37,1)</f>
        <v/>
      </c>
      <c r="JM37">
        <f>IF('計算A'!Z$106=1,DY37,1)</f>
        <v/>
      </c>
      <c r="JN37">
        <f>IF('計算A'!AA$106=1,DZ37,1)</f>
        <v/>
      </c>
      <c r="JO37">
        <f>IF('計算A'!AB$106=1,EA37,1)</f>
        <v/>
      </c>
      <c r="JP37">
        <f>IF('計算A'!AC$106=1,EB37,1)</f>
        <v/>
      </c>
      <c r="JQ37">
        <f>IF('計算A'!AD$106=1,EC37,1)</f>
        <v/>
      </c>
      <c r="JR37">
        <f>IF('計算A'!AE$106=1,ED37,1)</f>
        <v/>
      </c>
      <c r="JS37">
        <f>IF('計算A'!AF$106=1,EE37,1)</f>
        <v/>
      </c>
      <c r="JT37">
        <f>IF('計算A'!AG$106=1,EF37,1)</f>
        <v/>
      </c>
      <c r="JU37">
        <f>IF('計算A'!AH$106=1,EG37,1)</f>
        <v/>
      </c>
      <c r="JV37">
        <f>IF('計算A'!AI$106=1,EH37,1)</f>
        <v/>
      </c>
      <c r="JW37">
        <f>IF('計算A'!AJ$106=1,EI37,1)</f>
        <v/>
      </c>
      <c r="JX37">
        <f>IF('計算A'!AK$106=1,EJ37,1)</f>
        <v/>
      </c>
      <c r="JY37">
        <f>IF('計算A'!AL$106=1,EK37,1)</f>
        <v/>
      </c>
      <c r="JZ37">
        <f>IF('計算A'!AM$106=1,EL37,1)</f>
        <v/>
      </c>
      <c r="KA37">
        <f>IF('計算A'!AN$106=1,EM37,1)</f>
        <v/>
      </c>
      <c r="KB37">
        <f>IF('計算A'!AO$106=1,EN37,1)</f>
        <v/>
      </c>
      <c r="KC37">
        <f>IF('計算A'!AP$106=1,EO37,1)</f>
        <v/>
      </c>
      <c r="KD37">
        <f>IF('計算A'!AQ$106=1,EP37,1)</f>
        <v/>
      </c>
      <c r="KE37">
        <f>IF('計算A'!AR$106=1,EQ37,1)</f>
        <v/>
      </c>
      <c r="KF37">
        <f>IF('計算A'!AS$106=1,ER37,1)</f>
        <v/>
      </c>
      <c r="KG37">
        <f>IF('計算A'!AT$106=1,ES37,1)</f>
        <v/>
      </c>
      <c r="KH37">
        <f>IF('計算A'!AU$106=1,ET37,1)</f>
        <v/>
      </c>
      <c r="KI37">
        <f>IF('計算A'!AV$106=1,EU37,1)</f>
        <v/>
      </c>
      <c r="KJ37">
        <f>IF('計算A'!AW$106=1,EV37,1)</f>
        <v/>
      </c>
      <c r="KK37">
        <f>IF('計算A'!AX$106=1,EW37,1)</f>
        <v/>
      </c>
      <c r="KL37">
        <f>IF('計算A'!AY$106=1,EX37,1)</f>
        <v/>
      </c>
      <c r="KM37">
        <f>IF('計算A'!AZ$106=1,EY37,1)</f>
        <v/>
      </c>
      <c r="KN37">
        <f>IF('計算A'!BA$106=1,EZ37,1)</f>
        <v/>
      </c>
      <c r="KO37">
        <f>IF('計算A'!BB$106=1,FA37,1)</f>
        <v/>
      </c>
      <c r="KP37">
        <f>IF('計算A'!BC$106=1,FB37,1)</f>
        <v/>
      </c>
      <c r="KQ37">
        <f>IF('計算A'!BD$106=1,FC37,1)</f>
        <v/>
      </c>
      <c r="KR37">
        <f>IF('計算A'!BE$106=1,FD37,1)</f>
        <v/>
      </c>
      <c r="KS37">
        <f>IF('計算A'!BF$106=1,FE37,1)</f>
        <v/>
      </c>
      <c r="KT37">
        <f>IF('計算A'!BG$106=1,FF37,1)</f>
        <v/>
      </c>
      <c r="KU37">
        <f>IF('計算A'!BH$106=1,FG37,1)</f>
        <v/>
      </c>
      <c r="KV37">
        <f>IF('計算A'!BI$106=1,FH37,1)</f>
        <v/>
      </c>
      <c r="KW37">
        <f>IF('計算A'!BJ$106=1,FI37,1)</f>
        <v/>
      </c>
      <c r="KX37">
        <f>IF('計算A'!BK$106=1,FJ37,1)</f>
        <v/>
      </c>
      <c r="KY37">
        <f>IF('計算A'!BL$106=1,FK37,1)</f>
        <v/>
      </c>
      <c r="KZ37">
        <f>IF('計算A'!BM$106=1,FL37,1)</f>
        <v/>
      </c>
      <c r="LA37">
        <f>IF('計算A'!BN$106=1,FM37,1)</f>
        <v/>
      </c>
      <c r="LB37">
        <f>IF('計算A'!BO$106=1,FN37,1)</f>
        <v/>
      </c>
      <c r="LC37">
        <f>IF('計算A'!BP$106=1,FO37,1)</f>
        <v/>
      </c>
      <c r="LD37">
        <f>IF('計算A'!BQ$106=1,FP37,1)</f>
        <v/>
      </c>
      <c r="LE37">
        <f>IF('計算A'!BR$106=1,FQ37,1)</f>
        <v/>
      </c>
      <c r="LF37">
        <f>IF('計算A'!BS$106=1,FR37,1)</f>
        <v/>
      </c>
      <c r="LG37">
        <f>IF('計算A'!BT$106=1,FS37,1)</f>
        <v/>
      </c>
      <c r="LH37">
        <f>IF('計算A'!BU$106=1,FT37,1)</f>
        <v/>
      </c>
      <c r="LI37">
        <f>IF('計算A'!BV$106=1,FU37,1)</f>
        <v/>
      </c>
      <c r="LJ37">
        <f>IF('計算A'!BW$106=1,FV37,1)</f>
        <v/>
      </c>
      <c r="LK37">
        <f>IF('計算A'!BX$106=1,FW37,1)</f>
        <v/>
      </c>
      <c r="LL37">
        <f>IF('計算A'!BY$106=1,FX37,1)</f>
        <v/>
      </c>
      <c r="LM37">
        <f>IF('計算A'!BZ$106=1,FY37,1)</f>
        <v/>
      </c>
      <c r="LN37">
        <f>IF('計算A'!CA$106=1,FZ37,1)</f>
        <v/>
      </c>
      <c r="LO37">
        <f>IF('計算A'!CB$106=1,GA37,1)</f>
        <v/>
      </c>
      <c r="LP37">
        <f>IF('計算A'!CC$106=1,GB37,1)</f>
        <v/>
      </c>
      <c r="LQ37">
        <f>IF('計算A'!CD$106=1,GC37,1)</f>
        <v/>
      </c>
      <c r="LR37">
        <f>IF('計算A'!CE$106=1,GD37,1)</f>
        <v/>
      </c>
      <c r="LS37">
        <f>IF('計算A'!CF$106=1,GE37,1)</f>
        <v/>
      </c>
      <c r="LT37">
        <f>IF('計算A'!CG$106=1,GF37,1)</f>
        <v/>
      </c>
      <c r="LU37">
        <f>IF('計算A'!CH$106=1,GG37,1)</f>
        <v/>
      </c>
      <c r="LV37">
        <f>IF('計算A'!CI$106=1,GH37,1)</f>
        <v/>
      </c>
      <c r="LW37">
        <f>IF('計算A'!CJ$106=1,GI37,1)</f>
        <v/>
      </c>
      <c r="LX37">
        <f>IF('計算A'!CK$106=1,GJ37,1)</f>
        <v/>
      </c>
      <c r="LY37">
        <f>IF('計算A'!CL$106=1,GK37,1)</f>
        <v/>
      </c>
      <c r="LZ37">
        <f>IF('計算A'!CM$106=1,GL37,1)</f>
        <v/>
      </c>
      <c r="MA37">
        <f>IF('計算A'!CN$106=1,GM37,1)</f>
        <v/>
      </c>
      <c r="MB37">
        <f>IF('計算A'!CO$106=1,GN37,1)</f>
        <v/>
      </c>
      <c r="MC37">
        <f>IF('計算A'!CP$106=1,GO37,1)</f>
        <v/>
      </c>
      <c r="MD37">
        <f>IF('計算A'!CQ$106=1,GP37,1)</f>
        <v/>
      </c>
      <c r="ME37">
        <f>IF('計算A'!CR$106=1,GQ37,1)</f>
        <v/>
      </c>
      <c r="MF37">
        <f>IF('計算A'!CS$106=1,GR37,1)</f>
        <v/>
      </c>
      <c r="MG37">
        <f>IF('計算A'!CT$106=1,GS37,1)</f>
        <v/>
      </c>
      <c r="MH37">
        <f>IF('計算A'!CU$106=1,GT37,1)</f>
        <v/>
      </c>
      <c r="MI37">
        <f>IF('計算A'!CV$106=1,GU37,1)</f>
        <v/>
      </c>
      <c r="MJ37">
        <f>IF('計算A'!CW$106=1,GV37,1)</f>
        <v/>
      </c>
      <c r="MK37">
        <f>IF('計算A'!CX$106=1,GW37,1)</f>
        <v/>
      </c>
      <c r="ML37">
        <f>IF('計算A'!CY$106=1,GX37,1)</f>
        <v/>
      </c>
      <c r="MM37">
        <f>IF('計算A'!CZ$106=1,GY37,1)</f>
        <v/>
      </c>
      <c r="MN37">
        <f>IF('計算A'!DA$106=1,GZ37,1)</f>
        <v/>
      </c>
      <c r="MO37">
        <f>IF('計算A'!DB$106=1,HA37,1)</f>
        <v/>
      </c>
      <c r="MP37">
        <f>IF('計算A'!DC$106=1,HB37,1)</f>
        <v/>
      </c>
      <c r="MQ37">
        <f>IF('計算A'!DD$106=1,HC37,1)</f>
        <v/>
      </c>
      <c r="MR37">
        <f>IF('計算A'!DE$106=1,HD37,1)</f>
        <v/>
      </c>
      <c r="MS37">
        <f>IF('計算A'!DF$106=1,HE37,1)</f>
        <v/>
      </c>
      <c r="MT37">
        <f>IF('計算A'!DG$106=1,HF37,1)</f>
        <v/>
      </c>
      <c r="MU37">
        <f>IF('計算A'!DH$106=1,HG37,1)</f>
        <v/>
      </c>
      <c r="MV37">
        <f>IF('計算A'!DI$106=1,HH37,1)</f>
        <v/>
      </c>
      <c r="MW37">
        <f>IF('計算A'!DJ$106=1,HI37,1)</f>
        <v/>
      </c>
      <c r="MX37">
        <f>IF('計算A'!DK$106=1,HJ37,1)</f>
        <v/>
      </c>
      <c r="MY37">
        <f>IF('計算A'!DL$106=1,HK37,1)</f>
        <v/>
      </c>
      <c r="MZ37">
        <f>IF('計算A'!DM$106=1,HL37,1)</f>
        <v/>
      </c>
      <c r="NA37">
        <f>IF('計算A'!DN$106=1,HM37,1)</f>
        <v/>
      </c>
      <c r="NB37">
        <f>IF('計算A'!DO$106=1,HN37,1)</f>
        <v/>
      </c>
      <c r="NC37">
        <f>IF('計算A'!DP$106=1,HO37,1)</f>
        <v/>
      </c>
      <c r="ND37">
        <f>IF('計算A'!DQ$106=1,HP37,1)</f>
        <v/>
      </c>
      <c r="NE37">
        <f>IF('計算A'!DR$106=1,HQ37,1)</f>
        <v/>
      </c>
      <c r="NF37">
        <f>IF('計算A'!DS$106=1,HR37,1)</f>
        <v/>
      </c>
      <c r="NG37">
        <f>IF('計算A'!DT$106=1,HS37,1)</f>
        <v/>
      </c>
      <c r="NH37">
        <f>IF('計算A'!DU$106=1,HT37,1)</f>
        <v/>
      </c>
      <c r="NI37">
        <f>IF('計算A'!DV$106=1,HU37,1)</f>
        <v/>
      </c>
      <c r="NJ37">
        <f>IF('計算A'!DW$106=1,HV37,1)</f>
        <v/>
      </c>
      <c r="NK37">
        <f>IF('計算A'!DX$106=1,HW37,1)</f>
        <v/>
      </c>
      <c r="NL37">
        <f>IF('計算A'!DY$106=1,HX37,1)</f>
        <v/>
      </c>
      <c r="NM37">
        <f>IF('計算A'!DZ$106=1,HY37,1)</f>
        <v/>
      </c>
      <c r="NN37">
        <f>IF('計算A'!EA$106=1,HZ37,1)</f>
        <v/>
      </c>
      <c r="NO37">
        <f>IF('計算A'!EB$106=1,IA37,1)</f>
        <v/>
      </c>
      <c r="NP37">
        <f>IF('計算A'!EC$106=1,IB37,1)</f>
        <v/>
      </c>
      <c r="NQ37">
        <f>IF('計算A'!ED$106=1,IC37,1)</f>
        <v/>
      </c>
      <c r="NR37">
        <f>IF('計算A'!EE$106=1,ID37,1)</f>
        <v/>
      </c>
      <c r="NS37">
        <f>IF('計算A'!EF$106=1,IE37,1)</f>
        <v/>
      </c>
      <c r="NT37">
        <f>IF('計算A'!EG$106=1,IF37,1)</f>
        <v/>
      </c>
      <c r="NU37">
        <f>IF('計算A'!EH$106=1,IG37,1)</f>
        <v/>
      </c>
      <c r="NV37">
        <f>IF('計算A'!EI$106=1,IH37,1)</f>
        <v/>
      </c>
      <c r="NW37">
        <f>IF('計算A'!EJ$106=1,II37,1)</f>
        <v/>
      </c>
      <c r="NX37">
        <f>IF('計算A'!EK$106=1,IJ37,1)</f>
        <v/>
      </c>
      <c r="NY37">
        <f>IF('計算A'!EL$106=1,IK37,1)</f>
        <v/>
      </c>
      <c r="NZ37">
        <f>IF('計算A'!EM$106=1,IL37,1)</f>
        <v/>
      </c>
      <c r="OA37">
        <f>IF('計算A'!EN$106=1,IM37,1)</f>
        <v/>
      </c>
      <c r="OB37">
        <f>IF('計算A'!EO$106=1,IN37,1)</f>
        <v/>
      </c>
      <c r="OC37">
        <f>IF('計算A'!EP$106=1,IO37,1)</f>
        <v/>
      </c>
      <c r="OD37" t="n">
        <v>1</v>
      </c>
      <c r="OF37">
        <f>IF($B37=0,1000000,IF(INDEX('計算A'!$D$60:$EQ$104,$B37,1)*DB37=1,IF(AND($E37=2,IQ37=0),1000000,IF($I37&gt;0,IF(1=$J37,IF(OR(AND(1=$I37+1,OR($K37&lt;&gt;'計算A'!$A$3,'計算A'!$A$4=0)),AND(1=$I37-1,OR(1&lt;&gt;'計算A'!$A$3,'計算A'!$A$4=0))),0,IF(1=$K37,200000,ABS(1-$K37)*100)),100000+ABS(1-$J37)*1000+10)+'計算A'!D$5*50+IF(AND($E37=1,IQ37=0),25,0),IF($F37&gt;0,INDEX('計算A'!D$110:D$114,$F37+1)+IF(AND($E37=1,IQ37=0),1000,0),MIN(TU37,20)*400+(IF('計算A'!D$106=1,1-DC37,0))*150+11+'計算A'!D$5*100000+IF(AND($E37=1,IQ37=0),50000,0))+IF($H37=1,(IF('計算A'!D$117=1,INDEX('計算A'!E$10:E$54,$B37),0))*4000,0)-IF(AND($L37=1,'計算A'!D$117=1,DC37=0),2000,0))),1000000))</f>
        <v/>
      </c>
      <c r="OG37">
        <f>IF($B37=0,1000000,IF(INDEX('計算A'!$D$60:$EQ$104,$B37,2)*DC37=1,IF(AND($E37=2,IR37=0),1000000,IF($I37&gt;0,IF(1=$J37,IF(OR(AND(2=$I37+1,OR($K37&lt;&gt;'計算A'!$A$3,'計算A'!$A$4=0)),AND(2=$I37-1,OR(2&lt;&gt;'計算A'!$A$3,'計算A'!$A$4=0))),0,IF(2=$K37,200000,ABS(2-$K37)*100)),100000+ABS(1-$J37)*1000+20)+'計算A'!E$5*50+IF(AND($E37=1,IR37=0),25,0),IF($F37&gt;0,INDEX('計算A'!E$110:E$114,$F37+1)+IF(AND($E37=1,IR37=0),1000,0),MIN(TU37,20)*400+(IF('計算A'!D$106=1,1-DB37,0)+IF('計算A'!E$106=1,1-DD37,0))*150+21+'計算A'!E$5*100000+IF(AND($E37=1,IR37=0),50000,0))+IF($H37=1,(IF('計算A'!D$117=1,INDEX('計算A'!D$10:D$54,$B37),0)+IF('計算A'!E$117=1,INDEX('計算A'!F$10:F$54,$B37),0))*4000,0)-IF(AND('計算A'!D$117=1,UB37&gt;0),2000,0)-IF(AND($L37=1,'計算A'!E$117=1,DD37=0),2000,0))),1000000))</f>
        <v/>
      </c>
      <c r="OH37">
        <f>IF($B37=0,1000000,IF(INDEX('計算A'!$D$60:$EQ$104,$B37,3)*DD37=1,IF(AND($E37=2,IS37=0),1000000,IF($I37&gt;0,IF(1=$J37,IF(OR(AND(3=$I37+1,OR($K37&lt;&gt;'計算A'!$A$3,'計算A'!$A$4=0)),AND(3=$I37-1,OR(3&lt;&gt;'計算A'!$A$3,'計算A'!$A$4=0))),0,IF(3=$K37,200000,ABS(3-$K37)*100)),100000+ABS(1-$J37)*1000+30)+'計算A'!F$5*50+IF(AND($E37=1,IS37=0),25,0),IF($F37&gt;0,INDEX('計算A'!F$110:F$114,$F37+1)+IF(AND($E37=1,IS37=0),1000,0),MIN(TU37,20)*400+(IF('計算A'!E$106=1,1-DC37,0)+IF('計算A'!F$106=1,1-DE37,0))*150+31+'計算A'!F$5*100000+IF(AND($E37=1,IS37=0),50000,0))+IF($H37=1,(IF('計算A'!E$117=1,INDEX('計算A'!E$10:E$54,$B37),0)+IF('計算A'!F$117=1,INDEX('計算A'!G$10:G$54,$B37),0))*4000,0)-IF(AND('計算A'!E$117=1,UC37&gt;0),2000,0)-IF(AND($L37=1,'計算A'!F$117=1,DE37=0),2000,0))),1000000))</f>
        <v/>
      </c>
      <c r="OI37">
        <f>IF($B37=0,1000000,IF(INDEX('計算A'!$D$60:$EQ$104,$B37,4)*DE37=1,IF(AND($E37=2,IT37=0),1000000,IF($I37&gt;0,IF(1=$J37,IF(OR(AND(4=$I37+1,OR($K37&lt;&gt;'計算A'!$A$3,'計算A'!$A$4=0)),AND(4=$I37-1,OR(4&lt;&gt;'計算A'!$A$3,'計算A'!$A$4=0))),0,IF(4=$K37,200000,ABS(4-$K37)*100)),100000+ABS(1-$J37)*1000+40)+'計算A'!G$5*50+IF(AND($E37=1,IT37=0),25,0),IF($F37&gt;0,INDEX('計算A'!G$110:G$114,$F37+1)+IF(AND($E37=1,IT37=0),1000,0),MIN(TU37,20)*400+(IF('計算A'!F$106=1,1-DD37,0)+IF('計算A'!G$106=1,1-DF37,0))*150+41+'計算A'!G$5*100000+IF(AND($E37=1,IT37=0),50000,0))+IF($H37=1,(IF('計算A'!F$117=1,INDEX('計算A'!F$10:F$54,$B37),0)+IF('計算A'!G$117=1,INDEX('計算A'!H$10:H$54,$B37),0))*4000,0)-IF(AND('計算A'!F$117=1,UD37&gt;0),2000,0)-IF(AND($L37=1,'計算A'!G$117=1,DF37=0),2000,0))),1000000))</f>
        <v/>
      </c>
      <c r="OJ37">
        <f>IF($B37=0,1000000,IF(INDEX('計算A'!$D$60:$EQ$104,$B37,5)*DF37=1,IF(AND($E37=2,IU37=0),1000000,IF($I37&gt;0,IF(1=$J37,IF(OR(AND(5=$I37+1,OR($K37&lt;&gt;'計算A'!$A$3,'計算A'!$A$4=0)),AND(5=$I37-1,OR(5&lt;&gt;'計算A'!$A$3,'計算A'!$A$4=0))),0,IF(5=$K37,200000,ABS(5-$K37)*100)),100000+ABS(1-$J37)*1000+50)+'計算A'!H$5*50+IF(AND($E37=1,IU37=0),25,0),IF($F37&gt;0,INDEX('計算A'!H$110:H$114,$F37+1)+IF(AND($E37=1,IU37=0),1000,0),MIN(TU37,20)*400+(IF('計算A'!G$106=1,1-DE37,0)+IF('計算A'!H$106=1,1-DG37,0))*150+51+'計算A'!H$5*100000+IF(AND($E37=1,IU37=0),50000,0))+IF($H37=1,(IF('計算A'!G$117=1,INDEX('計算A'!G$10:G$54,$B37),0)+IF('計算A'!H$117=1,INDEX('計算A'!I$10:I$54,$B37),0))*4000,0)-IF(AND('計算A'!G$117=1,UE37&gt;0),2000,0)-IF(AND($L37=1,'計算A'!H$117=1,DG37=0),2000,0))),1000000))</f>
        <v/>
      </c>
      <c r="OK37">
        <f>IF($B37=0,1000000,IF(INDEX('計算A'!$D$60:$EQ$104,$B37,6)*DG37=1,IF(AND($E37=2,IV37=0),1000000,IF($I37&gt;0,IF(1=$J37,IF(OR(AND(6=$I37+1,OR($K37&lt;&gt;'計算A'!$A$3,'計算A'!$A$4=0)),AND(6=$I37-1,OR(6&lt;&gt;'計算A'!$A$3,'計算A'!$A$4=0))),0,IF(6=$K37,200000,ABS(6-$K37)*100)),100000+ABS(1-$J37)*1000+60)+'計算A'!I$5*50+IF(AND($E37=1,IV37=0),25,0),IF($F37&gt;0,INDEX('計算A'!I$110:I$114,$F37+1)+IF(AND($E37=1,IV37=0),1000,0),MIN(TU37,20)*400+(IF('計算A'!H$106=1,1-DF37,0)+IF('計算A'!I$106=1,1-DH37,0))*150+61+'計算A'!I$5*100000+IF(AND($E37=1,IV37=0),50000,0))+IF($H37=1,(IF('計算A'!H$117=1,INDEX('計算A'!H$10:H$54,$B37),0)+IF('計算A'!I$117=1,INDEX('計算A'!J$10:J$54,$B37),0))*4000,0)-IF(AND('計算A'!H$117=1,UF37&gt;0),2000,0)-IF(AND($L37=1,'計算A'!I$117=1,DH37=0),2000,0))),1000000))</f>
        <v/>
      </c>
      <c r="OL37">
        <f>IF($B37=0,1000000,IF(INDEX('計算A'!$D$60:$EQ$104,$B37,7)*DH37=1,IF(AND($E37=2,IW37=0),1000000,IF($I37&gt;0,IF(1=$J37,IF(OR(AND(7=$I37+1,OR($K37&lt;&gt;'計算A'!$A$3,'計算A'!$A$4=0)),AND(7=$I37-1,OR(7&lt;&gt;'計算A'!$A$3,'計算A'!$A$4=0))),0,IF(7=$K37,200000,ABS(7-$K37)*100)),100000+ABS(1-$J37)*1000+70)+'計算A'!J$5*50+IF(AND($E37=1,IW37=0),25,0),IF($F37&gt;0,INDEX('計算A'!J$110:J$114,$F37+1)+IF(AND($E37=1,IW37=0),1000,0),MIN(TU37,20)*400+(IF('計算A'!I$106=1,1-DG37,0)+IF('計算A'!J$106=1,1-DI37,0))*150+71+'計算A'!J$5*100000+IF(AND($E37=1,IW37=0),50000,0))+IF($H37=1,(IF('計算A'!I$117=1,INDEX('計算A'!I$10:I$54,$B37),0)+IF('計算A'!J$117=1,INDEX('計算A'!K$10:K$54,$B37),0))*4000,0)-IF(AND('計算A'!I$117=1,UG37&gt;0),2000,0)-IF(AND($L37=1,'計算A'!J$117=1,DI37=0),2000,0))),1000000))</f>
        <v/>
      </c>
      <c r="OM37">
        <f>IF($B37=0,1000000,IF(INDEX('計算A'!$D$60:$EQ$104,$B37,8)*DI37=1,IF(AND($E37=2,IX37=0),1000000,IF($I37&gt;0,IF(1=$J37,IF(OR(AND(8=$I37+1,OR($K37&lt;&gt;'計算A'!$A$3,'計算A'!$A$4=0)),AND(8=$I37-1,OR(8&lt;&gt;'計算A'!$A$3,'計算A'!$A$4=0))),0,IF(8=$K37,200000,ABS(8-$K37)*100)),100000+ABS(1-$J37)*1000+80)+'計算A'!K$5*50+IF(AND($E37=1,IX37=0),25,0),IF($F37&gt;0,INDEX('計算A'!K$110:K$114,$F37+1)+IF(AND($E37=1,IX37=0),1000,0),MIN(TU37,20)*400+(IF('計算A'!J$106=1,1-DH37,0)+IF('計算A'!K$106=1,1-DJ37,0))*150+81+'計算A'!K$5*100000+IF(AND($E37=1,IX37=0),50000,0))+IF($H37=1,(IF('計算A'!J$117=1,INDEX('計算A'!J$10:J$54,$B37),0)+IF('計算A'!K$117=1,INDEX('計算A'!L$10:L$54,$B37),0))*4000,0)-IF(AND('計算A'!J$117=1,UH37&gt;0),2000,0)-IF(AND($L37=1,'計算A'!K$117=1,DJ37=0),2000,0))),1000000))</f>
        <v/>
      </c>
      <c r="ON37">
        <f>IF($B37=0,1000000,IF(INDEX('計算A'!$D$60:$EQ$104,$B37,9)*DJ37=1,IF(AND($E37=2,IY37=0),1000000,IF($I37&gt;0,IF(1=$J37,IF(OR(AND(9=$I37+1,OR($K37&lt;&gt;'計算A'!$A$3,'計算A'!$A$4=0)),AND(9=$I37-1,OR(9&lt;&gt;'計算A'!$A$3,'計算A'!$A$4=0))),0,IF(9=$K37,200000,ABS(9-$K37)*100)),100000+ABS(1-$J37)*1000+90)+'計算A'!L$5*50+IF(AND($E37=1,IY37=0),25,0),IF($F37&gt;0,INDEX('計算A'!L$110:L$114,$F37+1)+IF(AND($E37=1,IY37=0),1000,0),MIN(TU37,20)*400+(IF('計算A'!K$106=1,1-DI37,0)+IF('計算A'!L$106=1,1-DK37,0))*150+91+'計算A'!L$5*100000+IF(AND($E37=1,IY37=0),50000,0))+IF($H37=1,(IF('計算A'!K$117=1,INDEX('計算A'!K$10:K$54,$B37),0)+IF('計算A'!L$117=1,INDEX('計算A'!M$10:M$54,$B37),0))*4000,0)-IF(AND('計算A'!K$117=1,UI37&gt;0),2000,0)-IF(AND($L37=1,'計算A'!L$117=1,DK37=0),2000,0))),1000000))</f>
        <v/>
      </c>
      <c r="OO37">
        <f>IF($B37=0,1000000,IF(INDEX('計算A'!$D$60:$EQ$104,$B37,10)*DK37=1,IF(AND($E37=2,IZ37=0),1000000,IF($I37&gt;0,IF(1=$J37,IF(OR(AND(10=$I37+1,OR($K37&lt;&gt;'計算A'!$A$3,'計算A'!$A$4=0)),AND(10=$I37-1,OR(10&lt;&gt;'計算A'!$A$3,'計算A'!$A$4=0))),0,IF(10=$K37,200000,ABS(10-$K37)*100)),100000+ABS(1-$J37)*1000+100)+'計算A'!M$5*50+IF(AND($E37=1,IZ37=0),25,0),IF($F37&gt;0,INDEX('計算A'!M$110:M$114,$F37+1)+IF(AND($E37=1,IZ37=0),1000,0),MIN(TU37,20)*400+(IF('計算A'!L$106=1,1-DJ37,0)+IF('計算A'!M$106=1,1-DL37,0))*150+101+'計算A'!M$5*100000+IF(AND($E37=1,IZ37=0),50000,0))+IF($H37=1,(IF('計算A'!L$117=1,INDEX('計算A'!L$10:L$54,$B37),0)+IF('計算A'!M$117=1,INDEX('計算A'!N$10:N$54,$B37),0))*4000,0)-IF(AND('計算A'!L$117=1,UJ37&gt;0),2000,0)-IF(AND($L37=1,'計算A'!M$117=1,DL37=0),2000,0))),1000000))</f>
        <v/>
      </c>
      <c r="OP37">
        <f>IF($B37=0,1000000,IF(INDEX('計算A'!$D$60:$EQ$104,$B37,11)*DL37=1,IF(AND($E37=2,JA37=0),1000000,IF($I37&gt;0,IF(1=$J37,IF(OR(AND(11=$I37+1,OR($K37&lt;&gt;'計算A'!$A$3,'計算A'!$A$4=0)),AND(11=$I37-1,OR(11&lt;&gt;'計算A'!$A$3,'計算A'!$A$4=0))),0,IF(11=$K37,200000,ABS(11-$K37)*100)),100000+ABS(1-$J37)*1000+110)+'計算A'!N$5*50+IF(AND($E37=1,JA37=0),25,0),IF($F37&gt;0,INDEX('計算A'!N$110:N$114,$F37+1)+IF(AND($E37=1,JA37=0),1000,0),MIN(TU37,20)*400+(IF('計算A'!M$106=1,1-DK37,0)+IF('計算A'!N$106=1,1-DM37,0))*150+111+'計算A'!N$5*100000+IF(AND($E37=1,JA37=0),50000,0))+IF($H37=1,(IF('計算A'!M$117=1,INDEX('計算A'!M$10:M$54,$B37),0)+IF('計算A'!N$117=1,INDEX('計算A'!O$10:O$54,$B37),0))*4000,0)-IF(AND('計算A'!M$117=1,UK37&gt;0),2000,0)-IF(AND($L37=1,'計算A'!N$117=1,DM37=0),2000,0))),1000000))</f>
        <v/>
      </c>
      <c r="OQ37">
        <f>IF($B37=0,1000000,IF(INDEX('計算A'!$D$60:$EQ$104,$B37,12)*DM37=1,IF(AND($E37=2,JB37=0),1000000,IF($I37&gt;0,IF(1=$J37,IF(OR(AND(12=$I37+1,OR($K37&lt;&gt;'計算A'!$A$3,'計算A'!$A$4=0)),AND(12=$I37-1,OR(12&lt;&gt;'計算A'!$A$3,'計算A'!$A$4=0))),0,IF(12=$K37,200000,ABS(12-$K37)*100)),100000+ABS(1-$J37)*1000+120)+'計算A'!O$5*50+IF(AND($E37=1,JB37=0),25,0),IF($F37&gt;0,INDEX('計算A'!O$110:O$114,$F37+1)+IF(AND($E37=1,JB37=0),1000,0),MIN(TU37,20)*400+(IF('計算A'!N$106=1,1-DL37,0)+IF('計算A'!O$106=1,1-DN37,0))*150+121+'計算A'!O$5*100000+IF(AND($E37=1,JB37=0),50000,0))+IF($H37=1,(IF('計算A'!N$117=1,INDEX('計算A'!N$10:N$54,$B37),0)+IF('計算A'!O$117=1,INDEX('計算A'!P$10:P$54,$B37),0))*4000,0)-IF(AND('計算A'!N$117=1,UL37&gt;0),2000,0)-IF(AND($L37=1,'計算A'!O$117=1,DN37=0),2000,0))),1000000))</f>
        <v/>
      </c>
      <c r="OR37">
        <f>IF($B37=0,1000000,IF(INDEX('計算A'!$D$60:$EQ$104,$B37,13)*DN37=1,IF(AND($E37=2,JC37=0),1000000,IF($I37&gt;0,IF(1=$J37,IF(OR(AND(13=$I37+1,OR($K37&lt;&gt;'計算A'!$A$3,'計算A'!$A$4=0)),AND(13=$I37-1,OR(13&lt;&gt;'計算A'!$A$3,'計算A'!$A$4=0))),0,IF(13=$K37,200000,ABS(13-$K37)*100)),100000+ABS(1-$J37)*1000+130)+'計算A'!P$5*50+IF(AND($E37=1,JC37=0),25,0),IF($F37&gt;0,INDEX('計算A'!P$110:P$114,$F37+1)+IF(AND($E37=1,JC37=0),1000,0),MIN(TU37,20)*400+(IF('計算A'!O$106=1,1-DM37,0)+IF('計算A'!P$106=1,1-DO37,0))*150+131+'計算A'!P$5*100000+IF(AND($E37=1,JC37=0),50000,0))+IF($H37=1,(IF('計算A'!O$117=1,INDEX('計算A'!O$10:O$54,$B37),0)+IF('計算A'!P$117=1,INDEX('計算A'!Q$10:Q$54,$B37),0))*4000,0)-IF(AND('計算A'!O$117=1,UM37&gt;0),2000,0)-IF(AND($L37=1,'計算A'!P$117=1,DO37=0),2000,0))),1000000))</f>
        <v/>
      </c>
      <c r="OS37">
        <f>IF($B37=0,1000000,IF(INDEX('計算A'!$D$60:$EQ$104,$B37,14)*DO37=1,IF(AND($E37=2,JD37=0),1000000,IF($I37&gt;0,IF(1=$J37,IF(OR(AND(14=$I37+1,OR($K37&lt;&gt;'計算A'!$A$3,'計算A'!$A$4=0)),AND(14=$I37-1,OR(14&lt;&gt;'計算A'!$A$3,'計算A'!$A$4=0))),0,IF(14=$K37,200000,ABS(14-$K37)*100)),100000+ABS(1-$J37)*1000+140)+'計算A'!Q$5*50+IF(AND($E37=1,JD37=0),25,0),IF($F37&gt;0,INDEX('計算A'!Q$110:Q$114,$F37+1)+IF(AND($E37=1,JD37=0),1000,0),MIN(TU37,20)*400+(IF('計算A'!P$106=1,1-DN37,0)+IF('計算A'!Q$106=1,1-DP37,0))*150+141+'計算A'!Q$5*100000+IF(AND($E37=1,JD37=0),50000,0))+IF($H37=1,(IF('計算A'!P$117=1,INDEX('計算A'!P$10:P$54,$B37),0)+IF('計算A'!Q$117=1,INDEX('計算A'!R$10:R$54,$B37),0))*4000,0)-IF(AND('計算A'!P$117=1,UN37&gt;0),2000,0)-IF(AND($L37=1,'計算A'!Q$117=1,DP37=0),2000,0))),1000000))</f>
        <v/>
      </c>
      <c r="OT37">
        <f>IF($B37=0,1000000,IF(INDEX('計算A'!$D$60:$EQ$104,$B37,15)*DP37=1,IF(AND($E37=2,JE37=0),1000000,IF($I37&gt;0,IF(1=$J37,IF(OR(AND(15=$I37+1,OR($K37&lt;&gt;'計算A'!$A$3,'計算A'!$A$4=0)),AND(15=$I37-1,OR(15&lt;&gt;'計算A'!$A$3,'計算A'!$A$4=0))),0,IF(15=$K37,200000,ABS(15-$K37)*100)),100000+ABS(1-$J37)*1000+150)+'計算A'!R$5*50+IF(AND($E37=1,JE37=0),25,0),IF($F37&gt;0,INDEX('計算A'!R$110:R$114,$F37+1)+IF(AND($E37=1,JE37=0),1000,0),MIN(TU37,20)*400+(IF('計算A'!Q$106=1,1-DO37,0)+IF('計算A'!R$106=1,1-DQ37,0))*150+151+'計算A'!R$5*100000+IF(AND($E37=1,JE37=0),50000,0))+IF($H37=1,(IF('計算A'!Q$117=1,INDEX('計算A'!Q$10:Q$54,$B37),0)+IF('計算A'!R$117=1,INDEX('計算A'!S$10:S$54,$B37),0))*4000,0)-IF(AND('計算A'!Q$117=1,UO37&gt;0),2000,0)-IF(AND($L37=1,'計算A'!R$117=1,DQ37=0),2000,0))),1000000))</f>
        <v/>
      </c>
      <c r="OU37">
        <f>IF($B37=0,1000000,IF(INDEX('計算A'!$D$60:$EQ$104,$B37,16)*DQ37=1,IF(AND($E37=2,JF37=0),1000000,IF($I37&gt;0,IF(1=$J37,IF(OR(AND(16=$I37+1,OR($K37&lt;&gt;'計算A'!$A$3,'計算A'!$A$4=0)),AND(16=$I37-1,OR(16&lt;&gt;'計算A'!$A$3,'計算A'!$A$4=0))),0,IF(16=$K37,200000,ABS(16-$K37)*100)),100000+ABS(1-$J37)*1000+160)+'計算A'!S$5*50+IF(AND($E37=1,JF37=0),25,0),IF($F37&gt;0,INDEX('計算A'!S$110:S$114,$F37+1)+IF(AND($E37=1,JF37=0),1000,0),MIN(TU37,20)*400+(IF('計算A'!R$106=1,1-DP37,0)+IF('計算A'!S$106=1,1-DR37,0))*150+161+'計算A'!S$5*100000+IF(AND($E37=1,JF37=0),50000,0))+IF($H37=1,(IF('計算A'!R$117=1,INDEX('計算A'!R$10:R$54,$B37),0)+IF('計算A'!S$117=1,INDEX('計算A'!T$10:T$54,$B37),0))*4000,0)-IF(AND('計算A'!R$117=1,UP37&gt;0),2000,0)-IF(AND($L37=1,'計算A'!S$117=1,DR37=0),2000,0))),1000000))</f>
        <v/>
      </c>
      <c r="OV37">
        <f>IF($B37=0,1000000,IF(INDEX('計算A'!$D$60:$EQ$104,$B37,17)*DR37=1,IF(AND($E37=2,JG37=0),1000000,IF($I37&gt;0,IF(1=$J37,IF(OR(AND(17=$I37+1,OR($K37&lt;&gt;'計算A'!$A$3,'計算A'!$A$4=0)),AND(17=$I37-1,OR(17&lt;&gt;'計算A'!$A$3,'計算A'!$A$4=0))),0,IF(17=$K37,200000,ABS(17-$K37)*100)),100000+ABS(1-$J37)*1000+170)+'計算A'!T$5*50+IF(AND($E37=1,JG37=0),25,0),IF($F37&gt;0,INDEX('計算A'!T$110:T$114,$F37+1)+IF(AND($E37=1,JG37=0),1000,0),MIN(TU37,20)*400+(IF('計算A'!S$106=1,1-DQ37,0)+IF('計算A'!T$106=1,1-DS37,0))*150+171+'計算A'!T$5*100000+IF(AND($E37=1,JG37=0),50000,0))+IF($H37=1,(IF('計算A'!S$117=1,INDEX('計算A'!S$10:S$54,$B37),0)+IF('計算A'!T$117=1,INDEX('計算A'!U$10:U$54,$B37),0))*4000,0)-IF(AND('計算A'!S$117=1,UQ37&gt;0),2000,0)-IF(AND($L37=1,'計算A'!T$117=1,DS37=0),2000,0))),1000000))</f>
        <v/>
      </c>
      <c r="OW37">
        <f>IF($B37=0,1000000,IF(INDEX('計算A'!$D$60:$EQ$104,$B37,18)*DS37=1,IF(AND($E37=2,JH37=0),1000000,IF($I37&gt;0,IF(1=$J37,IF(OR(AND(18=$I37+1,OR($K37&lt;&gt;'計算A'!$A$3,'計算A'!$A$4=0)),AND(18=$I37-1,OR(18&lt;&gt;'計算A'!$A$3,'計算A'!$A$4=0))),0,IF(18=$K37,200000,ABS(18-$K37)*100)),100000+ABS(1-$J37)*1000+180)+'計算A'!U$5*50+IF(AND($E37=1,JH37=0),25,0),IF($F37&gt;0,INDEX('計算A'!U$110:U$114,$F37+1)+IF(AND($E37=1,JH37=0),1000,0),MIN(TU37,20)*400+(IF('計算A'!T$106=1,1-DR37,0)+IF('計算A'!U$106=1,1-DT37,0))*150+181+'計算A'!U$5*100000+IF(AND($E37=1,JH37=0),50000,0))+IF($H37=1,(IF('計算A'!T$117=1,INDEX('計算A'!T$10:T$54,$B37),0)+IF('計算A'!U$117=1,INDEX('計算A'!V$10:V$54,$B37),0))*4000,0)-IF(AND('計算A'!T$117=1,UR37&gt;0),2000,0)-IF(AND($L37=1,'計算A'!U$117=1,DT37=0),2000,0))),1000000))</f>
        <v/>
      </c>
      <c r="OX37">
        <f>IF($B37=0,1000000,IF(INDEX('計算A'!$D$60:$EQ$104,$B37,19)*DT37=1,IF(AND($E37=2,JI37=0),1000000,IF($I37&gt;0,IF(1=$J37,IF(OR(AND(19=$I37+1,OR($K37&lt;&gt;'計算A'!$A$3,'計算A'!$A$4=0)),AND(19=$I37-1,OR(19&lt;&gt;'計算A'!$A$3,'計算A'!$A$4=0))),0,IF(19=$K37,200000,ABS(19-$K37)*100)),100000+ABS(1-$J37)*1000+190)+'計算A'!V$5*50+IF(AND($E37=1,JI37=0),25,0),IF($F37&gt;0,INDEX('計算A'!V$110:V$114,$F37+1)+IF(AND($E37=1,JI37=0),1000,0),MIN(TU37,20)*400+(IF('計算A'!U$106=1,1-DS37,0)+IF('計算A'!V$106=1,1-DU37,0))*150+191+'計算A'!V$5*100000+IF(AND($E37=1,JI37=0),50000,0))+IF($H37=1,(IF('計算A'!U$117=1,INDEX('計算A'!U$10:U$54,$B37),0)+IF('計算A'!V$117=1,INDEX('計算A'!W$10:W$54,$B37),0))*4000,0)-IF(AND('計算A'!U$117=1,US37&gt;0),2000,0)-IF(AND($L37=1,'計算A'!V$117=1,DU37=0),2000,0))),1000000))</f>
        <v/>
      </c>
      <c r="OY37">
        <f>IF($B37=0,1000000,IF(INDEX('計算A'!$D$60:$EQ$104,$B37,20)*DU37=1,IF(AND($E37=2,JJ37=0),1000000,IF($I37&gt;0,IF(1=$J37,IF(OR(AND(20=$I37+1,OR($K37&lt;&gt;'計算A'!$A$3,'計算A'!$A$4=0)),AND(20=$I37-1,OR(20&lt;&gt;'計算A'!$A$3,'計算A'!$A$4=0))),0,IF(20=$K37,200000,ABS(20-$K37)*100)),100000+ABS(1-$J37)*1000+200)+'計算A'!W$5*50+IF(AND($E37=1,JJ37=0),25,0),IF($F37&gt;0,INDEX('計算A'!W$110:W$114,$F37+1)+IF(AND($E37=1,JJ37=0),1000,0),MIN(TU37,20)*400+(IF('計算A'!V$106=1,1-DT37,0)+IF('計算A'!W$106=1,1-DV37,0))*150+201+'計算A'!W$5*100000+IF(AND($E37=1,JJ37=0),50000,0))+IF($H37=1,(IF('計算A'!V$117=1,INDEX('計算A'!V$10:V$54,$B37),0)+IF('計算A'!W$117=1,INDEX('計算A'!X$10:X$54,$B37),0))*4000,0)-IF(AND('計算A'!V$117=1,UT37&gt;0),2000,0)-IF(AND($L37=1,'計算A'!W$117=1,DV37=0),2000,0))),1000000))</f>
        <v/>
      </c>
      <c r="OZ37">
        <f>IF($B37=0,1000000,IF(INDEX('計算A'!$D$60:$EQ$104,$B37,21)*DV37=1,IF(AND($E37=2,JK37=0),1000000,IF($I37&gt;0,IF(1=$J37,IF(OR(AND(21=$I37+1,OR($K37&lt;&gt;'計算A'!$A$3,'計算A'!$A$4=0)),AND(21=$I37-1,OR(21&lt;&gt;'計算A'!$A$3,'計算A'!$A$4=0))),0,IF(21=$K37,200000,ABS(21-$K37)*100)),100000+ABS(1-$J37)*1000+210)+'計算A'!X$5*50+IF(AND($E37=1,JK37=0),25,0),IF($F37&gt;0,INDEX('計算A'!X$110:X$114,$F37+1)+IF(AND($E37=1,JK37=0),1000,0),MIN(TU37,20)*400+(IF('計算A'!W$106=1,1-DU37,0)+IF('計算A'!X$106=1,1-DW37,0))*150+211+'計算A'!X$5*100000+IF(AND($E37=1,JK37=0),50000,0))+IF($H37=1,(IF('計算A'!W$117=1,INDEX('計算A'!W$10:W$54,$B37),0)+IF('計算A'!X$117=1,INDEX('計算A'!Y$10:Y$54,$B37),0))*4000,0)-IF(AND('計算A'!W$117=1,UU37&gt;0),2000,0)-IF(AND($L37=1,'計算A'!X$117=1,DW37=0),2000,0))),1000000))</f>
        <v/>
      </c>
      <c r="PA37">
        <f>IF($B37=0,1000000,IF(INDEX('計算A'!$D$60:$EQ$104,$B37,22)*DW37=1,IF(AND($E37=2,JL37=0),1000000,IF($I37&gt;0,IF(1=$J37,IF(OR(AND(22=$I37+1,OR($K37&lt;&gt;'計算A'!$A$3,'計算A'!$A$4=0)),AND(22=$I37-1,OR(22&lt;&gt;'計算A'!$A$3,'計算A'!$A$4=0))),0,IF(22=$K37,200000,ABS(22-$K37)*100)),100000+ABS(1-$J37)*1000+220)+'計算A'!Y$5*50+IF(AND($E37=1,JL37=0),25,0),IF($F37&gt;0,INDEX('計算A'!Y$110:Y$114,$F37+1)+IF(AND($E37=1,JL37=0),1000,0),MIN(TU37,20)*400+(IF('計算A'!X$106=1,1-DV37,0)+IF('計算A'!Y$106=1,1-DX37,0))*150+221+'計算A'!Y$5*100000+IF(AND($E37=1,JL37=0),50000,0))+IF($H37=1,(IF('計算A'!X$117=1,INDEX('計算A'!X$10:X$54,$B37),0)+IF('計算A'!Y$117=1,INDEX('計算A'!Z$10:Z$54,$B37),0))*4000,0)-IF(AND('計算A'!X$117=1,UV37&gt;0),2000,0)-IF(AND($L37=1,'計算A'!Y$117=1,DX37=0),2000,0))),1000000))</f>
        <v/>
      </c>
      <c r="PB37">
        <f>IF($B37=0,1000000,IF(INDEX('計算A'!$D$60:$EQ$104,$B37,23)*DX37=1,IF(AND($E37=2,JM37=0),1000000,IF($I37&gt;0,IF(1=$J37,IF(OR(AND(23=$I37+1,OR($K37&lt;&gt;'計算A'!$A$3,'計算A'!$A$4=0)),AND(23=$I37-1,OR(23&lt;&gt;'計算A'!$A$3,'計算A'!$A$4=0))),0,IF(23=$K37,200000,ABS(23-$K37)*100)),100000+ABS(1-$J37)*1000+230)+'計算A'!Z$5*50+IF(AND($E37=1,JM37=0),25,0),IF($F37&gt;0,INDEX('計算A'!Z$110:Z$114,$F37+1)+IF(AND($E37=1,JM37=0),1000,0),MIN(TU37,20)*400+(IF('計算A'!Y$106=1,1-DW37,0)+IF('計算A'!Z$106=1,1-DY37,0))*150+231+'計算A'!Z$5*100000+IF(AND($E37=1,JM37=0),50000,0))+IF($H37=1,(IF('計算A'!Y$117=1,INDEX('計算A'!Y$10:Y$54,$B37),0)+IF('計算A'!Z$117=1,INDEX('計算A'!AA$10:AA$54,$B37),0))*4000,0)-IF(AND('計算A'!Y$117=1,UW37&gt;0),2000,0)-IF(AND($L37=1,'計算A'!Z$117=1,DY37=0),2000,0))),1000000))</f>
        <v/>
      </c>
      <c r="PC37">
        <f>IF($B37=0,1000000,IF(INDEX('計算A'!$D$60:$EQ$104,$B37,24)*DY37=1,IF(AND($E37=2,JN37=0),1000000,IF($I37&gt;0,IF(1=$J37,IF(OR(AND(24=$I37+1,OR($K37&lt;&gt;'計算A'!$A$3,'計算A'!$A$4=0)),AND(24=$I37-1,OR(24&lt;&gt;'計算A'!$A$3,'計算A'!$A$4=0))),0,IF(24=$K37,200000,ABS(24-$K37)*100)),100000+ABS(1-$J37)*1000+240)+'計算A'!AA$5*50+IF(AND($E37=1,JN37=0),25,0),IF($F37&gt;0,INDEX('計算A'!AA$110:AA$114,$F37+1)+IF(AND($E37=1,JN37=0),1000,0),MIN(TU37,20)*400+(IF('計算A'!Z$106=1,1-DX37,0))*150+241+'計算A'!AA$5*100000+IF(AND($E37=1,JN37=0),50000,0))+IF($H37=1,(IF('計算A'!Z$117=1,INDEX('計算A'!Z$10:Z$54,$B37),0))*4000,0)-IF(AND('計算A'!Z$117=1,UX37&gt;0),2000,0))),1000000))</f>
        <v/>
      </c>
      <c r="PD37">
        <f>IF($B37=0,1000000,IF(INDEX('計算A'!$D$60:$EQ$104,$B37,25)*DZ37=1,IF(AND($E37=2,JO37=0),1000000,IF($I37&gt;0,IF(2=$J37,IF(OR(AND(25=$I37+1,OR($K37&lt;&gt;'計算A'!$A$3,'計算A'!$A$4=0)),AND(25=$I37-1,OR(1&lt;&gt;'計算A'!$A$3,'計算A'!$A$4=0))),0,IF(1=$K37,200000,ABS(1-$K37)*100)),100000+ABS(2-$J37)*1000+10)+'計算A'!AB$5*50+IF(AND($E37=1,JO37=0),25,0),IF($F37&gt;0,INDEX('計算A'!AB$110:AB$114,$F37+1)+IF(AND($E37=1,JO37=0),1000,0),MIN(TV37,20)*400+(IF('計算A'!AB$106=1,1-EA37,0))*150+12+'計算A'!AB$5*100000+IF(AND($E37=1,JO37=0),50000,0))+IF($H37=1,(IF('計算A'!AB$117=1,INDEX('計算A'!AC$10:AC$54,$B37),0))*4000,0)-IF(AND($L37=1,'計算A'!AB$117=1,EA37=0),2000,0))),1000000))</f>
        <v/>
      </c>
      <c r="PE37">
        <f>IF($B37=0,1000000,IF(INDEX('計算A'!$D$60:$EQ$104,$B37,26)*EA37=1,IF(AND($E37=2,JP37=0),1000000,IF($I37&gt;0,IF(2=$J37,IF(OR(AND(26=$I37+1,OR($K37&lt;&gt;'計算A'!$A$3,'計算A'!$A$4=0)),AND(26=$I37-1,OR(2&lt;&gt;'計算A'!$A$3,'計算A'!$A$4=0))),0,IF(2=$K37,200000,ABS(2-$K37)*100)),100000+ABS(2-$J37)*1000+20)+'計算A'!AC$5*50+IF(AND($E37=1,JP37=0),25,0),IF($F37&gt;0,INDEX('計算A'!AC$110:AC$114,$F37+1)+IF(AND($E37=1,JP37=0),1000,0),MIN(TV37,20)*400+(IF('計算A'!AB$106=1,1-DZ37,0)+IF('計算A'!AC$106=1,1-EB37,0))*150+22+'計算A'!AC$5*100000+IF(AND($E37=1,JP37=0),50000,0))+IF($H37=1,(IF('計算A'!AB$117=1,INDEX('計算A'!AB$10:AB$54,$B37),0)+IF('計算A'!AC$117=1,INDEX('計算A'!AD$10:AD$54,$B37),0))*4000,0)-IF(AND('計算A'!AB$117=1,UZ37&gt;0),2000,0)-IF(AND($L37=1,'計算A'!AC$117=1,EB37=0),2000,0))),1000000))</f>
        <v/>
      </c>
      <c r="PF37">
        <f>IF($B37=0,1000000,IF(INDEX('計算A'!$D$60:$EQ$104,$B37,27)*EB37=1,IF(AND($E37=2,JQ37=0),1000000,IF($I37&gt;0,IF(2=$J37,IF(OR(AND(27=$I37+1,OR($K37&lt;&gt;'計算A'!$A$3,'計算A'!$A$4=0)),AND(27=$I37-1,OR(3&lt;&gt;'計算A'!$A$3,'計算A'!$A$4=0))),0,IF(3=$K37,200000,ABS(3-$K37)*100)),100000+ABS(2-$J37)*1000+30)+'計算A'!AD$5*50+IF(AND($E37=1,JQ37=0),25,0),IF($F37&gt;0,INDEX('計算A'!AD$110:AD$114,$F37+1)+IF(AND($E37=1,JQ37=0),1000,0),MIN(TV37,20)*400+(IF('計算A'!AC$106=1,1-EA37,0)+IF('計算A'!AD$106=1,1-EC37,0))*150+32+'計算A'!AD$5*100000+IF(AND($E37=1,JQ37=0),50000,0))+IF($H37=1,(IF('計算A'!AC$117=1,INDEX('計算A'!AC$10:AC$54,$B37),0)+IF('計算A'!AD$117=1,INDEX('計算A'!AE$10:AE$54,$B37),0))*4000,0)-IF(AND('計算A'!AC$117=1,VA37&gt;0),2000,0)-IF(AND($L37=1,'計算A'!AD$117=1,EC37=0),2000,0))),1000000))</f>
        <v/>
      </c>
      <c r="PG37">
        <f>IF($B37=0,1000000,IF(INDEX('計算A'!$D$60:$EQ$104,$B37,28)*EC37=1,IF(AND($E37=2,JR37=0),1000000,IF($I37&gt;0,IF(2=$J37,IF(OR(AND(28=$I37+1,OR($K37&lt;&gt;'計算A'!$A$3,'計算A'!$A$4=0)),AND(28=$I37-1,OR(4&lt;&gt;'計算A'!$A$3,'計算A'!$A$4=0))),0,IF(4=$K37,200000,ABS(4-$K37)*100)),100000+ABS(2-$J37)*1000+40)+'計算A'!AE$5*50+IF(AND($E37=1,JR37=0),25,0),IF($F37&gt;0,INDEX('計算A'!AE$110:AE$114,$F37+1)+IF(AND($E37=1,JR37=0),1000,0),MIN(TV37,20)*400+(IF('計算A'!AD$106=1,1-EB37,0)+IF('計算A'!AE$106=1,1-ED37,0))*150+42+'計算A'!AE$5*100000+IF(AND($E37=1,JR37=0),50000,0))+IF($H37=1,(IF('計算A'!AD$117=1,INDEX('計算A'!AD$10:AD$54,$B37),0)+IF('計算A'!AE$117=1,INDEX('計算A'!AF$10:AF$54,$B37),0))*4000,0)-IF(AND('計算A'!AD$117=1,VB37&gt;0),2000,0)-IF(AND($L37=1,'計算A'!AE$117=1,ED37=0),2000,0))),1000000))</f>
        <v/>
      </c>
      <c r="PH37">
        <f>IF($B37=0,1000000,IF(INDEX('計算A'!$D$60:$EQ$104,$B37,29)*ED37=1,IF(AND($E37=2,JS37=0),1000000,IF($I37&gt;0,IF(2=$J37,IF(OR(AND(29=$I37+1,OR($K37&lt;&gt;'計算A'!$A$3,'計算A'!$A$4=0)),AND(29=$I37-1,OR(5&lt;&gt;'計算A'!$A$3,'計算A'!$A$4=0))),0,IF(5=$K37,200000,ABS(5-$K37)*100)),100000+ABS(2-$J37)*1000+50)+'計算A'!AF$5*50+IF(AND($E37=1,JS37=0),25,0),IF($F37&gt;0,INDEX('計算A'!AF$110:AF$114,$F37+1)+IF(AND($E37=1,JS37=0),1000,0),MIN(TV37,20)*400+(IF('計算A'!AE$106=1,1-EC37,0)+IF('計算A'!AF$106=1,1-EE37,0))*150+52+'計算A'!AF$5*100000+IF(AND($E37=1,JS37=0),50000,0))+IF($H37=1,(IF('計算A'!AE$117=1,INDEX('計算A'!AE$10:AE$54,$B37),0)+IF('計算A'!AF$117=1,INDEX('計算A'!AG$10:AG$54,$B37),0))*4000,0)-IF(AND('計算A'!AE$117=1,VC37&gt;0),2000,0)-IF(AND($L37=1,'計算A'!AF$117=1,EE37=0),2000,0))),1000000))</f>
        <v/>
      </c>
      <c r="PI37">
        <f>IF($B37=0,1000000,IF(INDEX('計算A'!$D$60:$EQ$104,$B37,30)*EE37=1,IF(AND($E37=2,JT37=0),1000000,IF($I37&gt;0,IF(2=$J37,IF(OR(AND(30=$I37+1,OR($K37&lt;&gt;'計算A'!$A$3,'計算A'!$A$4=0)),AND(30=$I37-1,OR(6&lt;&gt;'計算A'!$A$3,'計算A'!$A$4=0))),0,IF(6=$K37,200000,ABS(6-$K37)*100)),100000+ABS(2-$J37)*1000+60)+'計算A'!AG$5*50+IF(AND($E37=1,JT37=0),25,0),IF($F37&gt;0,INDEX('計算A'!AG$110:AG$114,$F37+1)+IF(AND($E37=1,JT37=0),1000,0),MIN(TV37,20)*400+(IF('計算A'!AF$106=1,1-ED37,0)+IF('計算A'!AG$106=1,1-EF37,0))*150+62+'計算A'!AG$5*100000+IF(AND($E37=1,JT37=0),50000,0))+IF($H37=1,(IF('計算A'!AF$117=1,INDEX('計算A'!AF$10:AF$54,$B37),0)+IF('計算A'!AG$117=1,INDEX('計算A'!AH$10:AH$54,$B37),0))*4000,0)-IF(AND('計算A'!AF$117=1,VD37&gt;0),2000,0)-IF(AND($L37=1,'計算A'!AG$117=1,EF37=0),2000,0))),1000000))</f>
        <v/>
      </c>
      <c r="PJ37">
        <f>IF($B37=0,1000000,IF(INDEX('計算A'!$D$60:$EQ$104,$B37,31)*EF37=1,IF(AND($E37=2,JU37=0),1000000,IF($I37&gt;0,IF(2=$J37,IF(OR(AND(31=$I37+1,OR($K37&lt;&gt;'計算A'!$A$3,'計算A'!$A$4=0)),AND(31=$I37-1,OR(7&lt;&gt;'計算A'!$A$3,'計算A'!$A$4=0))),0,IF(7=$K37,200000,ABS(7-$K37)*100)),100000+ABS(2-$J37)*1000+70)+'計算A'!AH$5*50+IF(AND($E37=1,JU37=0),25,0),IF($F37&gt;0,INDEX('計算A'!AH$110:AH$114,$F37+1)+IF(AND($E37=1,JU37=0),1000,0),MIN(TV37,20)*400+(IF('計算A'!AG$106=1,1-EE37,0)+IF('計算A'!AH$106=1,1-EG37,0))*150+72+'計算A'!AH$5*100000+IF(AND($E37=1,JU37=0),50000,0))+IF($H37=1,(IF('計算A'!AG$117=1,INDEX('計算A'!AG$10:AG$54,$B37),0)+IF('計算A'!AH$117=1,INDEX('計算A'!AI$10:AI$54,$B37),0))*4000,0)-IF(AND('計算A'!AG$117=1,VE37&gt;0),2000,0)-IF(AND($L37=1,'計算A'!AH$117=1,EG37=0),2000,0))),1000000))</f>
        <v/>
      </c>
      <c r="PK37">
        <f>IF($B37=0,1000000,IF(INDEX('計算A'!$D$60:$EQ$104,$B37,32)*EG37=1,IF(AND($E37=2,JV37=0),1000000,IF($I37&gt;0,IF(2=$J37,IF(OR(AND(32=$I37+1,OR($K37&lt;&gt;'計算A'!$A$3,'計算A'!$A$4=0)),AND(32=$I37-1,OR(8&lt;&gt;'計算A'!$A$3,'計算A'!$A$4=0))),0,IF(8=$K37,200000,ABS(8-$K37)*100)),100000+ABS(2-$J37)*1000+80)+'計算A'!AI$5*50+IF(AND($E37=1,JV37=0),25,0),IF($F37&gt;0,INDEX('計算A'!AI$110:AI$114,$F37+1)+IF(AND($E37=1,JV37=0),1000,0),MIN(TV37,20)*400+(IF('計算A'!AH$106=1,1-EF37,0)+IF('計算A'!AI$106=1,1-EH37,0))*150+82+'計算A'!AI$5*100000+IF(AND($E37=1,JV37=0),50000,0))+IF($H37=1,(IF('計算A'!AH$117=1,INDEX('計算A'!AH$10:AH$54,$B37),0)+IF('計算A'!AI$117=1,INDEX('計算A'!AJ$10:AJ$54,$B37),0))*4000,0)-IF(AND('計算A'!AH$117=1,VF37&gt;0),2000,0)-IF(AND($L37=1,'計算A'!AI$117=1,EH37=0),2000,0))),1000000))</f>
        <v/>
      </c>
      <c r="PL37">
        <f>IF($B37=0,1000000,IF(INDEX('計算A'!$D$60:$EQ$104,$B37,33)*EH37=1,IF(AND($E37=2,JW37=0),1000000,IF($I37&gt;0,IF(2=$J37,IF(OR(AND(33=$I37+1,OR($K37&lt;&gt;'計算A'!$A$3,'計算A'!$A$4=0)),AND(33=$I37-1,OR(9&lt;&gt;'計算A'!$A$3,'計算A'!$A$4=0))),0,IF(9=$K37,200000,ABS(9-$K37)*100)),100000+ABS(2-$J37)*1000+90)+'計算A'!AJ$5*50+IF(AND($E37=1,JW37=0),25,0),IF($F37&gt;0,INDEX('計算A'!AJ$110:AJ$114,$F37+1)+IF(AND($E37=1,JW37=0),1000,0),MIN(TV37,20)*400+(IF('計算A'!AI$106=1,1-EG37,0)+IF('計算A'!AJ$106=1,1-EI37,0))*150+92+'計算A'!AJ$5*100000+IF(AND($E37=1,JW37=0),50000,0))+IF($H37=1,(IF('計算A'!AI$117=1,INDEX('計算A'!AI$10:AI$54,$B37),0)+IF('計算A'!AJ$117=1,INDEX('計算A'!AK$10:AK$54,$B37),0))*4000,0)-IF(AND('計算A'!AI$117=1,VG37&gt;0),2000,0)-IF(AND($L37=1,'計算A'!AJ$117=1,EI37=0),2000,0))),1000000))</f>
        <v/>
      </c>
      <c r="PM37">
        <f>IF($B37=0,1000000,IF(INDEX('計算A'!$D$60:$EQ$104,$B37,34)*EI37=1,IF(AND($E37=2,JX37=0),1000000,IF($I37&gt;0,IF(2=$J37,IF(OR(AND(34=$I37+1,OR($K37&lt;&gt;'計算A'!$A$3,'計算A'!$A$4=0)),AND(34=$I37-1,OR(10&lt;&gt;'計算A'!$A$3,'計算A'!$A$4=0))),0,IF(10=$K37,200000,ABS(10-$K37)*100)),100000+ABS(2-$J37)*1000+100)+'計算A'!AK$5*50+IF(AND($E37=1,JX37=0),25,0),IF($F37&gt;0,INDEX('計算A'!AK$110:AK$114,$F37+1)+IF(AND($E37=1,JX37=0),1000,0),MIN(TV37,20)*400+(IF('計算A'!AJ$106=1,1-EH37,0)+IF('計算A'!AK$106=1,1-EJ37,0))*150+102+'計算A'!AK$5*100000+IF(AND($E37=1,JX37=0),50000,0))+IF($H37=1,(IF('計算A'!AJ$117=1,INDEX('計算A'!AJ$10:AJ$54,$B37),0)+IF('計算A'!AK$117=1,INDEX('計算A'!AL$10:AL$54,$B37),0))*4000,0)-IF(AND('計算A'!AJ$117=1,VH37&gt;0),2000,0)-IF(AND($L37=1,'計算A'!AK$117=1,EJ37=0),2000,0))),1000000))</f>
        <v/>
      </c>
      <c r="PN37">
        <f>IF($B37=0,1000000,IF(INDEX('計算A'!$D$60:$EQ$104,$B37,35)*EJ37=1,IF(AND($E37=2,JY37=0),1000000,IF($I37&gt;0,IF(2=$J37,IF(OR(AND(35=$I37+1,OR($K37&lt;&gt;'計算A'!$A$3,'計算A'!$A$4=0)),AND(35=$I37-1,OR(11&lt;&gt;'計算A'!$A$3,'計算A'!$A$4=0))),0,IF(11=$K37,200000,ABS(11-$K37)*100)),100000+ABS(2-$J37)*1000+110)+'計算A'!AL$5*50+IF(AND($E37=1,JY37=0),25,0),IF($F37&gt;0,INDEX('計算A'!AL$110:AL$114,$F37+1)+IF(AND($E37=1,JY37=0),1000,0),MIN(TV37,20)*400+(IF('計算A'!AK$106=1,1-EI37,0)+IF('計算A'!AL$106=1,1-EK37,0))*150+112+'計算A'!AL$5*100000+IF(AND($E37=1,JY37=0),50000,0))+IF($H37=1,(IF('計算A'!AK$117=1,INDEX('計算A'!AK$10:AK$54,$B37),0)+IF('計算A'!AL$117=1,INDEX('計算A'!AM$10:AM$54,$B37),0))*4000,0)-IF(AND('計算A'!AK$117=1,VI37&gt;0),2000,0)-IF(AND($L37=1,'計算A'!AL$117=1,EK37=0),2000,0))),1000000))</f>
        <v/>
      </c>
      <c r="PO37">
        <f>IF($B37=0,1000000,IF(INDEX('計算A'!$D$60:$EQ$104,$B37,36)*EK37=1,IF(AND($E37=2,JZ37=0),1000000,IF($I37&gt;0,IF(2=$J37,IF(OR(AND(36=$I37+1,OR($K37&lt;&gt;'計算A'!$A$3,'計算A'!$A$4=0)),AND(36=$I37-1,OR(12&lt;&gt;'計算A'!$A$3,'計算A'!$A$4=0))),0,IF(12=$K37,200000,ABS(12-$K37)*100)),100000+ABS(2-$J37)*1000+120)+'計算A'!AM$5*50+IF(AND($E37=1,JZ37=0),25,0),IF($F37&gt;0,INDEX('計算A'!AM$110:AM$114,$F37+1)+IF(AND($E37=1,JZ37=0),1000,0),MIN(TV37,20)*400+(IF('計算A'!AL$106=1,1-EJ37,0)+IF('計算A'!AM$106=1,1-EL37,0))*150+122+'計算A'!AM$5*100000+IF(AND($E37=1,JZ37=0),50000,0))+IF($H37=1,(IF('計算A'!AL$117=1,INDEX('計算A'!AL$10:AL$54,$B37),0)+IF('計算A'!AM$117=1,INDEX('計算A'!AN$10:AN$54,$B37),0))*4000,0)-IF(AND('計算A'!AL$117=1,VJ37&gt;0),2000,0)-IF(AND($L37=1,'計算A'!AM$117=1,EL37=0),2000,0))),1000000))</f>
        <v/>
      </c>
      <c r="PP37">
        <f>IF($B37=0,1000000,IF(INDEX('計算A'!$D$60:$EQ$104,$B37,37)*EL37=1,IF(AND($E37=2,KA37=0),1000000,IF($I37&gt;0,IF(2=$J37,IF(OR(AND(37=$I37+1,OR($K37&lt;&gt;'計算A'!$A$3,'計算A'!$A$4=0)),AND(37=$I37-1,OR(13&lt;&gt;'計算A'!$A$3,'計算A'!$A$4=0))),0,IF(13=$K37,200000,ABS(13-$K37)*100)),100000+ABS(2-$J37)*1000+130)+'計算A'!AN$5*50+IF(AND($E37=1,KA37=0),25,0),IF($F37&gt;0,INDEX('計算A'!AN$110:AN$114,$F37+1)+IF(AND($E37=1,KA37=0),1000,0),MIN(TV37,20)*400+(IF('計算A'!AM$106=1,1-EK37,0)+IF('計算A'!AN$106=1,1-EM37,0))*150+132+'計算A'!AN$5*100000+IF(AND($E37=1,KA37=0),50000,0))+IF($H37=1,(IF('計算A'!AM$117=1,INDEX('計算A'!AM$10:AM$54,$B37),0)+IF('計算A'!AN$117=1,INDEX('計算A'!AO$10:AO$54,$B37),0))*4000,0)-IF(AND('計算A'!AM$117=1,VK37&gt;0),2000,0)-IF(AND($L37=1,'計算A'!AN$117=1,EM37=0),2000,0))),1000000))</f>
        <v/>
      </c>
      <c r="PQ37">
        <f>IF($B37=0,1000000,IF(INDEX('計算A'!$D$60:$EQ$104,$B37,38)*EM37=1,IF(AND($E37=2,KB37=0),1000000,IF($I37&gt;0,IF(2=$J37,IF(OR(AND(38=$I37+1,OR($K37&lt;&gt;'計算A'!$A$3,'計算A'!$A$4=0)),AND(38=$I37-1,OR(14&lt;&gt;'計算A'!$A$3,'計算A'!$A$4=0))),0,IF(14=$K37,200000,ABS(14-$K37)*100)),100000+ABS(2-$J37)*1000+140)+'計算A'!AO$5*50+IF(AND($E37=1,KB37=0),25,0),IF($F37&gt;0,INDEX('計算A'!AO$110:AO$114,$F37+1)+IF(AND($E37=1,KB37=0),1000,0),MIN(TV37,20)*400+(IF('計算A'!AN$106=1,1-EL37,0)+IF('計算A'!AO$106=1,1-EN37,0))*150+142+'計算A'!AO$5*100000+IF(AND($E37=1,KB37=0),50000,0))+IF($H37=1,(IF('計算A'!AN$117=1,INDEX('計算A'!AN$10:AN$54,$B37),0)+IF('計算A'!AO$117=1,INDEX('計算A'!AP$10:AP$54,$B37),0))*4000,0)-IF(AND('計算A'!AN$117=1,VL37&gt;0),2000,0)-IF(AND($L37=1,'計算A'!AO$117=1,EN37=0),2000,0))),1000000))</f>
        <v/>
      </c>
      <c r="PR37">
        <f>IF($B37=0,1000000,IF(INDEX('計算A'!$D$60:$EQ$104,$B37,39)*EN37=1,IF(AND($E37=2,KC37=0),1000000,IF($I37&gt;0,IF(2=$J37,IF(OR(AND(39=$I37+1,OR($K37&lt;&gt;'計算A'!$A$3,'計算A'!$A$4=0)),AND(39=$I37-1,OR(15&lt;&gt;'計算A'!$A$3,'計算A'!$A$4=0))),0,IF(15=$K37,200000,ABS(15-$K37)*100)),100000+ABS(2-$J37)*1000+150)+'計算A'!AP$5*50+IF(AND($E37=1,KC37=0),25,0),IF($F37&gt;0,INDEX('計算A'!AP$110:AP$114,$F37+1)+IF(AND($E37=1,KC37=0),1000,0),MIN(TV37,20)*400+(IF('計算A'!AO$106=1,1-EM37,0)+IF('計算A'!AP$106=1,1-EO37,0))*150+152+'計算A'!AP$5*100000+IF(AND($E37=1,KC37=0),50000,0))+IF($H37=1,(IF('計算A'!AO$117=1,INDEX('計算A'!AO$10:AO$54,$B37),0)+IF('計算A'!AP$117=1,INDEX('計算A'!AQ$10:AQ$54,$B37),0))*4000,0)-IF(AND('計算A'!AO$117=1,VM37&gt;0),2000,0)-IF(AND($L37=1,'計算A'!AP$117=1,EO37=0),2000,0))),1000000))</f>
        <v/>
      </c>
      <c r="PS37">
        <f>IF($B37=0,1000000,IF(INDEX('計算A'!$D$60:$EQ$104,$B37,40)*EO37=1,IF(AND($E37=2,KD37=0),1000000,IF($I37&gt;0,IF(2=$J37,IF(OR(AND(40=$I37+1,OR($K37&lt;&gt;'計算A'!$A$3,'計算A'!$A$4=0)),AND(40=$I37-1,OR(16&lt;&gt;'計算A'!$A$3,'計算A'!$A$4=0))),0,IF(16=$K37,200000,ABS(16-$K37)*100)),100000+ABS(2-$J37)*1000+160)+'計算A'!AQ$5*50+IF(AND($E37=1,KD37=0),25,0),IF($F37&gt;0,INDEX('計算A'!AQ$110:AQ$114,$F37+1)+IF(AND($E37=1,KD37=0),1000,0),MIN(TV37,20)*400+(IF('計算A'!AP$106=1,1-EN37,0)+IF('計算A'!AQ$106=1,1-EP37,0))*150+162+'計算A'!AQ$5*100000+IF(AND($E37=1,KD37=0),50000,0))+IF($H37=1,(IF('計算A'!AP$117=1,INDEX('計算A'!AP$10:AP$54,$B37),0)+IF('計算A'!AQ$117=1,INDEX('計算A'!AR$10:AR$54,$B37),0))*4000,0)-IF(AND('計算A'!AP$117=1,VN37&gt;0),2000,0)-IF(AND($L37=1,'計算A'!AQ$117=1,EP37=0),2000,0))),1000000))</f>
        <v/>
      </c>
      <c r="PT37">
        <f>IF($B37=0,1000000,IF(INDEX('計算A'!$D$60:$EQ$104,$B37,41)*EP37=1,IF(AND($E37=2,KE37=0),1000000,IF($I37&gt;0,IF(2=$J37,IF(OR(AND(41=$I37+1,OR($K37&lt;&gt;'計算A'!$A$3,'計算A'!$A$4=0)),AND(41=$I37-1,OR(17&lt;&gt;'計算A'!$A$3,'計算A'!$A$4=0))),0,IF(17=$K37,200000,ABS(17-$K37)*100)),100000+ABS(2-$J37)*1000+170)+'計算A'!AR$5*50+IF(AND($E37=1,KE37=0),25,0),IF($F37&gt;0,INDEX('計算A'!AR$110:AR$114,$F37+1)+IF(AND($E37=1,KE37=0),1000,0),MIN(TV37,20)*400+(IF('計算A'!AQ$106=1,1-EO37,0)+IF('計算A'!AR$106=1,1-EQ37,0))*150+172+'計算A'!AR$5*100000+IF(AND($E37=1,KE37=0),50000,0))+IF($H37=1,(IF('計算A'!AQ$117=1,INDEX('計算A'!AQ$10:AQ$54,$B37),0)+IF('計算A'!AR$117=1,INDEX('計算A'!AS$10:AS$54,$B37),0))*4000,0)-IF(AND('計算A'!AQ$117=1,VO37&gt;0),2000,0)-IF(AND($L37=1,'計算A'!AR$117=1,EQ37=0),2000,0))),1000000))</f>
        <v/>
      </c>
      <c r="PU37">
        <f>IF($B37=0,1000000,IF(INDEX('計算A'!$D$60:$EQ$104,$B37,42)*EQ37=1,IF(AND($E37=2,KF37=0),1000000,IF($I37&gt;0,IF(2=$J37,IF(OR(AND(42=$I37+1,OR($K37&lt;&gt;'計算A'!$A$3,'計算A'!$A$4=0)),AND(42=$I37-1,OR(18&lt;&gt;'計算A'!$A$3,'計算A'!$A$4=0))),0,IF(18=$K37,200000,ABS(18-$K37)*100)),100000+ABS(2-$J37)*1000+180)+'計算A'!AS$5*50+IF(AND($E37=1,KF37=0),25,0),IF($F37&gt;0,INDEX('計算A'!AS$110:AS$114,$F37+1)+IF(AND($E37=1,KF37=0),1000,0),MIN(TV37,20)*400+(IF('計算A'!AR$106=1,1-EP37,0)+IF('計算A'!AS$106=1,1-ER37,0))*150+182+'計算A'!AS$5*100000+IF(AND($E37=1,KF37=0),50000,0))+IF($H37=1,(IF('計算A'!AR$117=1,INDEX('計算A'!AR$10:AR$54,$B37),0)+IF('計算A'!AS$117=1,INDEX('計算A'!AT$10:AT$54,$B37),0))*4000,0)-IF(AND('計算A'!AR$117=1,VP37&gt;0),2000,0)-IF(AND($L37=1,'計算A'!AS$117=1,ER37=0),2000,0))),1000000))</f>
        <v/>
      </c>
      <c r="PV37">
        <f>IF($B37=0,1000000,IF(INDEX('計算A'!$D$60:$EQ$104,$B37,43)*ER37=1,IF(AND($E37=2,KG37=0),1000000,IF($I37&gt;0,IF(2=$J37,IF(OR(AND(43=$I37+1,OR($K37&lt;&gt;'計算A'!$A$3,'計算A'!$A$4=0)),AND(43=$I37-1,OR(19&lt;&gt;'計算A'!$A$3,'計算A'!$A$4=0))),0,IF(19=$K37,200000,ABS(19-$K37)*100)),100000+ABS(2-$J37)*1000+190)+'計算A'!AT$5*50+IF(AND($E37=1,KG37=0),25,0),IF($F37&gt;0,INDEX('計算A'!AT$110:AT$114,$F37+1)+IF(AND($E37=1,KG37=0),1000,0),MIN(TV37,20)*400+(IF('計算A'!AS$106=1,1-EQ37,0)+IF('計算A'!AT$106=1,1-ES37,0))*150+192+'計算A'!AT$5*100000+IF(AND($E37=1,KG37=0),50000,0))+IF($H37=1,(IF('計算A'!AS$117=1,INDEX('計算A'!AS$10:AS$54,$B37),0)+IF('計算A'!AT$117=1,INDEX('計算A'!AU$10:AU$54,$B37),0))*4000,0)-IF(AND('計算A'!AS$117=1,VQ37&gt;0),2000,0)-IF(AND($L37=1,'計算A'!AT$117=1,ES37=0),2000,0))),1000000))</f>
        <v/>
      </c>
      <c r="PW37">
        <f>IF($B37=0,1000000,IF(INDEX('計算A'!$D$60:$EQ$104,$B37,44)*ES37=1,IF(AND($E37=2,KH37=0),1000000,IF($I37&gt;0,IF(2=$J37,IF(OR(AND(44=$I37+1,OR($K37&lt;&gt;'計算A'!$A$3,'計算A'!$A$4=0)),AND(44=$I37-1,OR(20&lt;&gt;'計算A'!$A$3,'計算A'!$A$4=0))),0,IF(20=$K37,200000,ABS(20-$K37)*100)),100000+ABS(2-$J37)*1000+200)+'計算A'!AU$5*50+IF(AND($E37=1,KH37=0),25,0),IF($F37&gt;0,INDEX('計算A'!AU$110:AU$114,$F37+1)+IF(AND($E37=1,KH37=0),1000,0),MIN(TV37,20)*400+(IF('計算A'!AT$106=1,1-ER37,0)+IF('計算A'!AU$106=1,1-ET37,0))*150+202+'計算A'!AU$5*100000+IF(AND($E37=1,KH37=0),50000,0))+IF($H37=1,(IF('計算A'!AT$117=1,INDEX('計算A'!AT$10:AT$54,$B37),0)+IF('計算A'!AU$117=1,INDEX('計算A'!AV$10:AV$54,$B37),0))*4000,0)-IF(AND('計算A'!AT$117=1,VR37&gt;0),2000,0)-IF(AND($L37=1,'計算A'!AU$117=1,ET37=0),2000,0))),1000000))</f>
        <v/>
      </c>
      <c r="PX37">
        <f>IF($B37=0,1000000,IF(INDEX('計算A'!$D$60:$EQ$104,$B37,45)*ET37=1,IF(AND($E37=2,KI37=0),1000000,IF($I37&gt;0,IF(2=$J37,IF(OR(AND(45=$I37+1,OR($K37&lt;&gt;'計算A'!$A$3,'計算A'!$A$4=0)),AND(45=$I37-1,OR(21&lt;&gt;'計算A'!$A$3,'計算A'!$A$4=0))),0,IF(21=$K37,200000,ABS(21-$K37)*100)),100000+ABS(2-$J37)*1000+210)+'計算A'!AV$5*50+IF(AND($E37=1,KI37=0),25,0),IF($F37&gt;0,INDEX('計算A'!AV$110:AV$114,$F37+1)+IF(AND($E37=1,KI37=0),1000,0),MIN(TV37,20)*400+(IF('計算A'!AU$106=1,1-ES37,0)+IF('計算A'!AV$106=1,1-EU37,0))*150+212+'計算A'!AV$5*100000+IF(AND($E37=1,KI37=0),50000,0))+IF($H37=1,(IF('計算A'!AU$117=1,INDEX('計算A'!AU$10:AU$54,$B37),0)+IF('計算A'!AV$117=1,INDEX('計算A'!AW$10:AW$54,$B37),0))*4000,0)-IF(AND('計算A'!AU$117=1,VS37&gt;0),2000,0)-IF(AND($L37=1,'計算A'!AV$117=1,EU37=0),2000,0))),1000000))</f>
        <v/>
      </c>
      <c r="PY37">
        <f>IF($B37=0,1000000,IF(INDEX('計算A'!$D$60:$EQ$104,$B37,46)*EU37=1,IF(AND($E37=2,KJ37=0),1000000,IF($I37&gt;0,IF(2=$J37,IF(OR(AND(46=$I37+1,OR($K37&lt;&gt;'計算A'!$A$3,'計算A'!$A$4=0)),AND(46=$I37-1,OR(22&lt;&gt;'計算A'!$A$3,'計算A'!$A$4=0))),0,IF(22=$K37,200000,ABS(22-$K37)*100)),100000+ABS(2-$J37)*1000+220)+'計算A'!AW$5*50+IF(AND($E37=1,KJ37=0),25,0),IF($F37&gt;0,INDEX('計算A'!AW$110:AW$114,$F37+1)+IF(AND($E37=1,KJ37=0),1000,0),MIN(TV37,20)*400+(IF('計算A'!AV$106=1,1-ET37,0)+IF('計算A'!AW$106=1,1-EV37,0))*150+222+'計算A'!AW$5*100000+IF(AND($E37=1,KJ37=0),50000,0))+IF($H37=1,(IF('計算A'!AV$117=1,INDEX('計算A'!AV$10:AV$54,$B37),0)+IF('計算A'!AW$117=1,INDEX('計算A'!AX$10:AX$54,$B37),0))*4000,0)-IF(AND('計算A'!AV$117=1,VT37&gt;0),2000,0)-IF(AND($L37=1,'計算A'!AW$117=1,EV37=0),2000,0))),1000000))</f>
        <v/>
      </c>
      <c r="PZ37">
        <f>IF($B37=0,1000000,IF(INDEX('計算A'!$D$60:$EQ$104,$B37,47)*EV37=1,IF(AND($E37=2,KK37=0),1000000,IF($I37&gt;0,IF(2=$J37,IF(OR(AND(47=$I37+1,OR($K37&lt;&gt;'計算A'!$A$3,'計算A'!$A$4=0)),AND(47=$I37-1,OR(23&lt;&gt;'計算A'!$A$3,'計算A'!$A$4=0))),0,IF(23=$K37,200000,ABS(23-$K37)*100)),100000+ABS(2-$J37)*1000+230)+'計算A'!AX$5*50+IF(AND($E37=1,KK37=0),25,0),IF($F37&gt;0,INDEX('計算A'!AX$110:AX$114,$F37+1)+IF(AND($E37=1,KK37=0),1000,0),MIN(TV37,20)*400+(IF('計算A'!AW$106=1,1-EU37,0)+IF('計算A'!AX$106=1,1-EW37,0))*150+232+'計算A'!AX$5*100000+IF(AND($E37=1,KK37=0),50000,0))+IF($H37=1,(IF('計算A'!AW$117=1,INDEX('計算A'!AW$10:AW$54,$B37),0)+IF('計算A'!AX$117=1,INDEX('計算A'!AY$10:AY$54,$B37),0))*4000,0)-IF(AND('計算A'!AW$117=1,VU37&gt;0),2000,0)-IF(AND($L37=1,'計算A'!AX$117=1,EW37=0),2000,0))),1000000))</f>
        <v/>
      </c>
      <c r="QA37">
        <f>IF($B37=0,1000000,IF(INDEX('計算A'!$D$60:$EQ$104,$B37,48)*EW37=1,IF(AND($E37=2,KL37=0),1000000,IF($I37&gt;0,IF(2=$J37,IF(OR(AND(48=$I37+1,OR($K37&lt;&gt;'計算A'!$A$3,'計算A'!$A$4=0)),AND(48=$I37-1,OR(24&lt;&gt;'計算A'!$A$3,'計算A'!$A$4=0))),0,IF(24=$K37,200000,ABS(24-$K37)*100)),100000+ABS(2-$J37)*1000+240)+'計算A'!AY$5*50+IF(AND($E37=1,KL37=0),25,0),IF($F37&gt;0,INDEX('計算A'!AY$110:AY$114,$F37+1)+IF(AND($E37=1,KL37=0),1000,0),MIN(TV37,20)*400+(IF('計算A'!AX$106=1,1-EV37,0))*150+242+'計算A'!AY$5*100000+IF(AND($E37=1,KL37=0),50000,0))+IF($H37=1,(IF('計算A'!AX$117=1,INDEX('計算A'!AX$10:AX$54,$B37),0))*4000,0)-IF(AND('計算A'!AX$117=1,VV37&gt;0),2000,0))),1000000))</f>
        <v/>
      </c>
      <c r="QB37">
        <f>IF($B37=0,1000000,IF(INDEX('計算A'!$D$60:$EQ$104,$B37,49)*EX37=1,IF(AND($E37=2,KM37=0),1000000,IF($I37&gt;0,IF(3=$J37,IF(OR(AND(49=$I37+1,OR($K37&lt;&gt;'計算A'!$A$3,'計算A'!$A$4=0)),AND(49=$I37-1,OR(1&lt;&gt;'計算A'!$A$3,'計算A'!$A$4=0))),0,IF(1=$K37,200000,ABS(1-$K37)*100)),100000+ABS(3-$J37)*1000+10)+'計算A'!AZ$5*50+IF(AND($E37=1,KM37=0),25,0),IF($F37&gt;0,INDEX('計算A'!AZ$110:AZ$114,$F37+1)+IF(AND($E37=1,KM37=0),1000,0),MIN(TW37,20)*400+(IF('計算A'!AZ$106=1,1-EY37,0))*150+13+'計算A'!AZ$5*100000+IF(AND($E37=1,KM37=0),50000,0))+IF($H37=1,(IF('計算A'!AZ$117=1,INDEX('計算A'!BA$10:BA$54,$B37),0))*4000,0)-IF(AND($L37=1,'計算A'!AZ$117=1,EY37=0),2000,0))),1000000))</f>
        <v/>
      </c>
      <c r="QC37">
        <f>IF($B37=0,1000000,IF(INDEX('計算A'!$D$60:$EQ$104,$B37,50)*EY37=1,IF(AND($E37=2,KN37=0),1000000,IF($I37&gt;0,IF(3=$J37,IF(OR(AND(50=$I37+1,OR($K37&lt;&gt;'計算A'!$A$3,'計算A'!$A$4=0)),AND(50=$I37-1,OR(2&lt;&gt;'計算A'!$A$3,'計算A'!$A$4=0))),0,IF(2=$K37,200000,ABS(2-$K37)*100)),100000+ABS(3-$J37)*1000+20)+'計算A'!BA$5*50+IF(AND($E37=1,KN37=0),25,0),IF($F37&gt;0,INDEX('計算A'!BA$110:BA$114,$F37+1)+IF(AND($E37=1,KN37=0),1000,0),MIN(TW37,20)*400+(IF('計算A'!AZ$106=1,1-EX37,0)+IF('計算A'!BA$106=1,1-EZ37,0))*150+23+'計算A'!BA$5*100000+IF(AND($E37=1,KN37=0),50000,0))+IF($H37=1,(IF('計算A'!AZ$117=1,INDEX('計算A'!AZ$10:AZ$54,$B37),0)+IF('計算A'!BA$117=1,INDEX('計算A'!BB$10:BB$54,$B37),0))*4000,0)-IF(AND('計算A'!AZ$117=1,VX37&gt;0),2000,0)-IF(AND($L37=1,'計算A'!BA$117=1,EZ37=0),2000,0))),1000000))</f>
        <v/>
      </c>
      <c r="QD37">
        <f>IF($B37=0,1000000,IF(INDEX('計算A'!$D$60:$EQ$104,$B37,51)*EZ37=1,IF(AND($E37=2,KO37=0),1000000,IF($I37&gt;0,IF(3=$J37,IF(OR(AND(51=$I37+1,OR($K37&lt;&gt;'計算A'!$A$3,'計算A'!$A$4=0)),AND(51=$I37-1,OR(3&lt;&gt;'計算A'!$A$3,'計算A'!$A$4=0))),0,IF(3=$K37,200000,ABS(3-$K37)*100)),100000+ABS(3-$J37)*1000+30)+'計算A'!BB$5*50+IF(AND($E37=1,KO37=0),25,0),IF($F37&gt;0,INDEX('計算A'!BB$110:BB$114,$F37+1)+IF(AND($E37=1,KO37=0),1000,0),MIN(TW37,20)*400+(IF('計算A'!BA$106=1,1-EY37,0)+IF('計算A'!BB$106=1,1-FA37,0))*150+33+'計算A'!BB$5*100000+IF(AND($E37=1,KO37=0),50000,0))+IF($H37=1,(IF('計算A'!BA$117=1,INDEX('計算A'!BA$10:BA$54,$B37),0)+IF('計算A'!BB$117=1,INDEX('計算A'!BC$10:BC$54,$B37),0))*4000,0)-IF(AND('計算A'!BA$117=1,VY37&gt;0),2000,0)-IF(AND($L37=1,'計算A'!BB$117=1,FA37=0),2000,0))),1000000))</f>
        <v/>
      </c>
      <c r="QE37">
        <f>IF($B37=0,1000000,IF(INDEX('計算A'!$D$60:$EQ$104,$B37,52)*FA37=1,IF(AND($E37=2,KP37=0),1000000,IF($I37&gt;0,IF(3=$J37,IF(OR(AND(52=$I37+1,OR($K37&lt;&gt;'計算A'!$A$3,'計算A'!$A$4=0)),AND(52=$I37-1,OR(4&lt;&gt;'計算A'!$A$3,'計算A'!$A$4=0))),0,IF(4=$K37,200000,ABS(4-$K37)*100)),100000+ABS(3-$J37)*1000+40)+'計算A'!BC$5*50+IF(AND($E37=1,KP37=0),25,0),IF($F37&gt;0,INDEX('計算A'!BC$110:BC$114,$F37+1)+IF(AND($E37=1,KP37=0),1000,0),MIN(TW37,20)*400+(IF('計算A'!BB$106=1,1-EZ37,0)+IF('計算A'!BC$106=1,1-FB37,0))*150+43+'計算A'!BC$5*100000+IF(AND($E37=1,KP37=0),50000,0))+IF($H37=1,(IF('計算A'!BB$117=1,INDEX('計算A'!BB$10:BB$54,$B37),0)+IF('計算A'!BC$117=1,INDEX('計算A'!BD$10:BD$54,$B37),0))*4000,0)-IF(AND('計算A'!BB$117=1,VZ37&gt;0),2000,0)-IF(AND($L37=1,'計算A'!BC$117=1,FB37=0),2000,0))),1000000))</f>
        <v/>
      </c>
      <c r="QF37">
        <f>IF($B37=0,1000000,IF(INDEX('計算A'!$D$60:$EQ$104,$B37,53)*FB37=1,IF(AND($E37=2,KQ37=0),1000000,IF($I37&gt;0,IF(3=$J37,IF(OR(AND(53=$I37+1,OR($K37&lt;&gt;'計算A'!$A$3,'計算A'!$A$4=0)),AND(53=$I37-1,OR(5&lt;&gt;'計算A'!$A$3,'計算A'!$A$4=0))),0,IF(5=$K37,200000,ABS(5-$K37)*100)),100000+ABS(3-$J37)*1000+50)+'計算A'!BD$5*50+IF(AND($E37=1,KQ37=0),25,0),IF($F37&gt;0,INDEX('計算A'!BD$110:BD$114,$F37+1)+IF(AND($E37=1,KQ37=0),1000,0),MIN(TW37,20)*400+(IF('計算A'!BC$106=1,1-FA37,0)+IF('計算A'!BD$106=1,1-FC37,0))*150+53+'計算A'!BD$5*100000+IF(AND($E37=1,KQ37=0),50000,0))+IF($H37=1,(IF('計算A'!BC$117=1,INDEX('計算A'!BC$10:BC$54,$B37),0)+IF('計算A'!BD$117=1,INDEX('計算A'!BE$10:BE$54,$B37),0))*4000,0)-IF(AND('計算A'!BC$117=1,WA37&gt;0),2000,0)-IF(AND($L37=1,'計算A'!BD$117=1,FC37=0),2000,0))),1000000))</f>
        <v/>
      </c>
      <c r="QG37">
        <f>IF($B37=0,1000000,IF(INDEX('計算A'!$D$60:$EQ$104,$B37,54)*FC37=1,IF(AND($E37=2,KR37=0),1000000,IF($I37&gt;0,IF(3=$J37,IF(OR(AND(54=$I37+1,OR($K37&lt;&gt;'計算A'!$A$3,'計算A'!$A$4=0)),AND(54=$I37-1,OR(6&lt;&gt;'計算A'!$A$3,'計算A'!$A$4=0))),0,IF(6=$K37,200000,ABS(6-$K37)*100)),100000+ABS(3-$J37)*1000+60)+'計算A'!BE$5*50+IF(AND($E37=1,KR37=0),25,0),IF($F37&gt;0,INDEX('計算A'!BE$110:BE$114,$F37+1)+IF(AND($E37=1,KR37=0),1000,0),MIN(TW37,20)*400+(IF('計算A'!BD$106=1,1-FB37,0)+IF('計算A'!BE$106=1,1-FD37,0))*150+63+'計算A'!BE$5*100000+IF(AND($E37=1,KR37=0),50000,0))+IF($H37=1,(IF('計算A'!BD$117=1,INDEX('計算A'!BD$10:BD$54,$B37),0)+IF('計算A'!BE$117=1,INDEX('計算A'!BF$10:BF$54,$B37),0))*4000,0)-IF(AND('計算A'!BD$117=1,WB37&gt;0),2000,0)-IF(AND($L37=1,'計算A'!BE$117=1,FD37=0),2000,0))),1000000))</f>
        <v/>
      </c>
      <c r="QH37">
        <f>IF($B37=0,1000000,IF(INDEX('計算A'!$D$60:$EQ$104,$B37,55)*FD37=1,IF(AND($E37=2,KS37=0),1000000,IF($I37&gt;0,IF(3=$J37,IF(OR(AND(55=$I37+1,OR($K37&lt;&gt;'計算A'!$A$3,'計算A'!$A$4=0)),AND(55=$I37-1,OR(7&lt;&gt;'計算A'!$A$3,'計算A'!$A$4=0))),0,IF(7=$K37,200000,ABS(7-$K37)*100)),100000+ABS(3-$J37)*1000+70)+'計算A'!BF$5*50+IF(AND($E37=1,KS37=0),25,0),IF($F37&gt;0,INDEX('計算A'!BF$110:BF$114,$F37+1)+IF(AND($E37=1,KS37=0),1000,0),MIN(TW37,20)*400+(IF('計算A'!BE$106=1,1-FC37,0)+IF('計算A'!BF$106=1,1-FE37,0))*150+73+'計算A'!BF$5*100000+IF(AND($E37=1,KS37=0),50000,0))+IF($H37=1,(IF('計算A'!BE$117=1,INDEX('計算A'!BE$10:BE$54,$B37),0)+IF('計算A'!BF$117=1,INDEX('計算A'!BG$10:BG$54,$B37),0))*4000,0)-IF(AND('計算A'!BE$117=1,WC37&gt;0),2000,0)-IF(AND($L37=1,'計算A'!BF$117=1,FE37=0),2000,0))),1000000))</f>
        <v/>
      </c>
      <c r="QI37">
        <f>IF($B37=0,1000000,IF(INDEX('計算A'!$D$60:$EQ$104,$B37,56)*FE37=1,IF(AND($E37=2,KT37=0),1000000,IF($I37&gt;0,IF(3=$J37,IF(OR(AND(56=$I37+1,OR($K37&lt;&gt;'計算A'!$A$3,'計算A'!$A$4=0)),AND(56=$I37-1,OR(8&lt;&gt;'計算A'!$A$3,'計算A'!$A$4=0))),0,IF(8=$K37,200000,ABS(8-$K37)*100)),100000+ABS(3-$J37)*1000+80)+'計算A'!BG$5*50+IF(AND($E37=1,KT37=0),25,0),IF($F37&gt;0,INDEX('計算A'!BG$110:BG$114,$F37+1)+IF(AND($E37=1,KT37=0),1000,0),MIN(TW37,20)*400+(IF('計算A'!BF$106=1,1-FD37,0)+IF('計算A'!BG$106=1,1-FF37,0))*150+83+'計算A'!BG$5*100000+IF(AND($E37=1,KT37=0),50000,0))+IF($H37=1,(IF('計算A'!BF$117=1,INDEX('計算A'!BF$10:BF$54,$B37),0)+IF('計算A'!BG$117=1,INDEX('計算A'!BH$10:BH$54,$B37),0))*4000,0)-IF(AND('計算A'!BF$117=1,WD37&gt;0),2000,0)-IF(AND($L37=1,'計算A'!BG$117=1,FF37=0),2000,0))),1000000))</f>
        <v/>
      </c>
      <c r="QJ37">
        <f>IF($B37=0,1000000,IF(INDEX('計算A'!$D$60:$EQ$104,$B37,57)*FF37=1,IF(AND($E37=2,KU37=0),1000000,IF($I37&gt;0,IF(3=$J37,IF(OR(AND(57=$I37+1,OR($K37&lt;&gt;'計算A'!$A$3,'計算A'!$A$4=0)),AND(57=$I37-1,OR(9&lt;&gt;'計算A'!$A$3,'計算A'!$A$4=0))),0,IF(9=$K37,200000,ABS(9-$K37)*100)),100000+ABS(3-$J37)*1000+90)+'計算A'!BH$5*50+IF(AND($E37=1,KU37=0),25,0),IF($F37&gt;0,INDEX('計算A'!BH$110:BH$114,$F37+1)+IF(AND($E37=1,KU37=0),1000,0),MIN(TW37,20)*400+(IF('計算A'!BG$106=1,1-FE37,0)+IF('計算A'!BH$106=1,1-FG37,0))*150+93+'計算A'!BH$5*100000+IF(AND($E37=1,KU37=0),50000,0))+IF($H37=1,(IF('計算A'!BG$117=1,INDEX('計算A'!BG$10:BG$54,$B37),0)+IF('計算A'!BH$117=1,INDEX('計算A'!BI$10:BI$54,$B37),0))*4000,0)-IF(AND('計算A'!BG$117=1,WE37&gt;0),2000,0)-IF(AND($L37=1,'計算A'!BH$117=1,FG37=0),2000,0))),1000000))</f>
        <v/>
      </c>
      <c r="QK37">
        <f>IF($B37=0,1000000,IF(INDEX('計算A'!$D$60:$EQ$104,$B37,58)*FG37=1,IF(AND($E37=2,KV37=0),1000000,IF($I37&gt;0,IF(3=$J37,IF(OR(AND(58=$I37+1,OR($K37&lt;&gt;'計算A'!$A$3,'計算A'!$A$4=0)),AND(58=$I37-1,OR(10&lt;&gt;'計算A'!$A$3,'計算A'!$A$4=0))),0,IF(10=$K37,200000,ABS(10-$K37)*100)),100000+ABS(3-$J37)*1000+100)+'計算A'!BI$5*50+IF(AND($E37=1,KV37=0),25,0),IF($F37&gt;0,INDEX('計算A'!BI$110:BI$114,$F37+1)+IF(AND($E37=1,KV37=0),1000,0),MIN(TW37,20)*400+(IF('計算A'!BH$106=1,1-FF37,0)+IF('計算A'!BI$106=1,1-FH37,0))*150+103+'計算A'!BI$5*100000+IF(AND($E37=1,KV37=0),50000,0))+IF($H37=1,(IF('計算A'!BH$117=1,INDEX('計算A'!BH$10:BH$54,$B37),0)+IF('計算A'!BI$117=1,INDEX('計算A'!BJ$10:BJ$54,$B37),0))*4000,0)-IF(AND('計算A'!BH$117=1,WF37&gt;0),2000,0)-IF(AND($L37=1,'計算A'!BI$117=1,FH37=0),2000,0))),1000000))</f>
        <v/>
      </c>
      <c r="QL37">
        <f>IF($B37=0,1000000,IF(INDEX('計算A'!$D$60:$EQ$104,$B37,59)*FH37=1,IF(AND($E37=2,KW37=0),1000000,IF($I37&gt;0,IF(3=$J37,IF(OR(AND(59=$I37+1,OR($K37&lt;&gt;'計算A'!$A$3,'計算A'!$A$4=0)),AND(59=$I37-1,OR(11&lt;&gt;'計算A'!$A$3,'計算A'!$A$4=0))),0,IF(11=$K37,200000,ABS(11-$K37)*100)),100000+ABS(3-$J37)*1000+110)+'計算A'!BJ$5*50+IF(AND($E37=1,KW37=0),25,0),IF($F37&gt;0,INDEX('計算A'!BJ$110:BJ$114,$F37+1)+IF(AND($E37=1,KW37=0),1000,0),MIN(TW37,20)*400+(IF('計算A'!BI$106=1,1-FG37,0)+IF('計算A'!BJ$106=1,1-FI37,0))*150+113+'計算A'!BJ$5*100000+IF(AND($E37=1,KW37=0),50000,0))+IF($H37=1,(IF('計算A'!BI$117=1,INDEX('計算A'!BI$10:BI$54,$B37),0)+IF('計算A'!BJ$117=1,INDEX('計算A'!BK$10:BK$54,$B37),0))*4000,0)-IF(AND('計算A'!BI$117=1,WG37&gt;0),2000,0)-IF(AND($L37=1,'計算A'!BJ$117=1,FI37=0),2000,0))),1000000))</f>
        <v/>
      </c>
      <c r="QM37">
        <f>IF($B37=0,1000000,IF(INDEX('計算A'!$D$60:$EQ$104,$B37,60)*FI37=1,IF(AND($E37=2,KX37=0),1000000,IF($I37&gt;0,IF(3=$J37,IF(OR(AND(60=$I37+1,OR($K37&lt;&gt;'計算A'!$A$3,'計算A'!$A$4=0)),AND(60=$I37-1,OR(12&lt;&gt;'計算A'!$A$3,'計算A'!$A$4=0))),0,IF(12=$K37,200000,ABS(12-$K37)*100)),100000+ABS(3-$J37)*1000+120)+'計算A'!BK$5*50+IF(AND($E37=1,KX37=0),25,0),IF($F37&gt;0,INDEX('計算A'!BK$110:BK$114,$F37+1)+IF(AND($E37=1,KX37=0),1000,0),MIN(TW37,20)*400+(IF('計算A'!BJ$106=1,1-FH37,0)+IF('計算A'!BK$106=1,1-FJ37,0))*150+123+'計算A'!BK$5*100000+IF(AND($E37=1,KX37=0),50000,0))+IF($H37=1,(IF('計算A'!BJ$117=1,INDEX('計算A'!BJ$10:BJ$54,$B37),0)+IF('計算A'!BK$117=1,INDEX('計算A'!BL$10:BL$54,$B37),0))*4000,0)-IF(AND('計算A'!BJ$117=1,WH37&gt;0),2000,0)-IF(AND($L37=1,'計算A'!BK$117=1,FJ37=0),2000,0))),1000000))</f>
        <v/>
      </c>
      <c r="QN37">
        <f>IF($B37=0,1000000,IF(INDEX('計算A'!$D$60:$EQ$104,$B37,61)*FJ37=1,IF(AND($E37=2,KY37=0),1000000,IF($I37&gt;0,IF(3=$J37,IF(OR(AND(61=$I37+1,OR($K37&lt;&gt;'計算A'!$A$3,'計算A'!$A$4=0)),AND(61=$I37-1,OR(13&lt;&gt;'計算A'!$A$3,'計算A'!$A$4=0))),0,IF(13=$K37,200000,ABS(13-$K37)*100)),100000+ABS(3-$J37)*1000+130)+'計算A'!BL$5*50+IF(AND($E37=1,KY37=0),25,0),IF($F37&gt;0,INDEX('計算A'!BL$110:BL$114,$F37+1)+IF(AND($E37=1,KY37=0),1000,0),MIN(TW37,20)*400+(IF('計算A'!BK$106=1,1-FI37,0)+IF('計算A'!BL$106=1,1-FK37,0))*150+133+'計算A'!BL$5*100000+IF(AND($E37=1,KY37=0),50000,0))+IF($H37=1,(IF('計算A'!BK$117=1,INDEX('計算A'!BK$10:BK$54,$B37),0)+IF('計算A'!BL$117=1,INDEX('計算A'!BM$10:BM$54,$B37),0))*4000,0)-IF(AND('計算A'!BK$117=1,WI37&gt;0),2000,0)-IF(AND($L37=1,'計算A'!BL$117=1,FK37=0),2000,0))),1000000))</f>
        <v/>
      </c>
      <c r="QO37">
        <f>IF($B37=0,1000000,IF(INDEX('計算A'!$D$60:$EQ$104,$B37,62)*FK37=1,IF(AND($E37=2,KZ37=0),1000000,IF($I37&gt;0,IF(3=$J37,IF(OR(AND(62=$I37+1,OR($K37&lt;&gt;'計算A'!$A$3,'計算A'!$A$4=0)),AND(62=$I37-1,OR(14&lt;&gt;'計算A'!$A$3,'計算A'!$A$4=0))),0,IF(14=$K37,200000,ABS(14-$K37)*100)),100000+ABS(3-$J37)*1000+140)+'計算A'!BM$5*50+IF(AND($E37=1,KZ37=0),25,0),IF($F37&gt;0,INDEX('計算A'!BM$110:BM$114,$F37+1)+IF(AND($E37=1,KZ37=0),1000,0),MIN(TW37,20)*400+(IF('計算A'!BL$106=1,1-FJ37,0)+IF('計算A'!BM$106=1,1-FL37,0))*150+143+'計算A'!BM$5*100000+IF(AND($E37=1,KZ37=0),50000,0))+IF($H37=1,(IF('計算A'!BL$117=1,INDEX('計算A'!BL$10:BL$54,$B37),0)+IF('計算A'!BM$117=1,INDEX('計算A'!BN$10:BN$54,$B37),0))*4000,0)-IF(AND('計算A'!BL$117=1,WJ37&gt;0),2000,0)-IF(AND($L37=1,'計算A'!BM$117=1,FL37=0),2000,0))),1000000))</f>
        <v/>
      </c>
      <c r="QP37">
        <f>IF($B37=0,1000000,IF(INDEX('計算A'!$D$60:$EQ$104,$B37,63)*FL37=1,IF(AND($E37=2,LA37=0),1000000,IF($I37&gt;0,IF(3=$J37,IF(OR(AND(63=$I37+1,OR($K37&lt;&gt;'計算A'!$A$3,'計算A'!$A$4=0)),AND(63=$I37-1,OR(15&lt;&gt;'計算A'!$A$3,'計算A'!$A$4=0))),0,IF(15=$K37,200000,ABS(15-$K37)*100)),100000+ABS(3-$J37)*1000+150)+'計算A'!BN$5*50+IF(AND($E37=1,LA37=0),25,0),IF($F37&gt;0,INDEX('計算A'!BN$110:BN$114,$F37+1)+IF(AND($E37=1,LA37=0),1000,0),MIN(TW37,20)*400+(IF('計算A'!BM$106=1,1-FK37,0)+IF('計算A'!BN$106=1,1-FM37,0))*150+153+'計算A'!BN$5*100000+IF(AND($E37=1,LA37=0),50000,0))+IF($H37=1,(IF('計算A'!BM$117=1,INDEX('計算A'!BM$10:BM$54,$B37),0)+IF('計算A'!BN$117=1,INDEX('計算A'!BO$10:BO$54,$B37),0))*4000,0)-IF(AND('計算A'!BM$117=1,WK37&gt;0),2000,0)-IF(AND($L37=1,'計算A'!BN$117=1,FM37=0),2000,0))),1000000))</f>
        <v/>
      </c>
      <c r="QQ37">
        <f>IF($B37=0,1000000,IF(INDEX('計算A'!$D$60:$EQ$104,$B37,64)*FM37=1,IF(AND($E37=2,LB37=0),1000000,IF($I37&gt;0,IF(3=$J37,IF(OR(AND(64=$I37+1,OR($K37&lt;&gt;'計算A'!$A$3,'計算A'!$A$4=0)),AND(64=$I37-1,OR(16&lt;&gt;'計算A'!$A$3,'計算A'!$A$4=0))),0,IF(16=$K37,200000,ABS(16-$K37)*100)),100000+ABS(3-$J37)*1000+160)+'計算A'!BO$5*50+IF(AND($E37=1,LB37=0),25,0),IF($F37&gt;0,INDEX('計算A'!BO$110:BO$114,$F37+1)+IF(AND($E37=1,LB37=0),1000,0),MIN(TW37,20)*400+(IF('計算A'!BN$106=1,1-FL37,0)+IF('計算A'!BO$106=1,1-FN37,0))*150+163+'計算A'!BO$5*100000+IF(AND($E37=1,LB37=0),50000,0))+IF($H37=1,(IF('計算A'!BN$117=1,INDEX('計算A'!BN$10:BN$54,$B37),0)+IF('計算A'!BO$117=1,INDEX('計算A'!BP$10:BP$54,$B37),0))*4000,0)-IF(AND('計算A'!BN$117=1,WL37&gt;0),2000,0)-IF(AND($L37=1,'計算A'!BO$117=1,FN37=0),2000,0))),1000000))</f>
        <v/>
      </c>
      <c r="QR37">
        <f>IF($B37=0,1000000,IF(INDEX('計算A'!$D$60:$EQ$104,$B37,65)*FN37=1,IF(AND($E37=2,LC37=0),1000000,IF($I37&gt;0,IF(3=$J37,IF(OR(AND(65=$I37+1,OR($K37&lt;&gt;'計算A'!$A$3,'計算A'!$A$4=0)),AND(65=$I37-1,OR(17&lt;&gt;'計算A'!$A$3,'計算A'!$A$4=0))),0,IF(17=$K37,200000,ABS(17-$K37)*100)),100000+ABS(3-$J37)*1000+170)+'計算A'!BP$5*50+IF(AND($E37=1,LC37=0),25,0),IF($F37&gt;0,INDEX('計算A'!BP$110:BP$114,$F37+1)+IF(AND($E37=1,LC37=0),1000,0),MIN(TW37,20)*400+(IF('計算A'!BO$106=1,1-FM37,0)+IF('計算A'!BP$106=1,1-FO37,0))*150+173+'計算A'!BP$5*100000+IF(AND($E37=1,LC37=0),50000,0))+IF($H37=1,(IF('計算A'!BO$117=1,INDEX('計算A'!BO$10:BO$54,$B37),0)+IF('計算A'!BP$117=1,INDEX('計算A'!BQ$10:BQ$54,$B37),0))*4000,0)-IF(AND('計算A'!BO$117=1,WM37&gt;0),2000,0)-IF(AND($L37=1,'計算A'!BP$117=1,FO37=0),2000,0))),1000000))</f>
        <v/>
      </c>
      <c r="QS37">
        <f>IF($B37=0,1000000,IF(INDEX('計算A'!$D$60:$EQ$104,$B37,66)*FO37=1,IF(AND($E37=2,LD37=0),1000000,IF($I37&gt;0,IF(3=$J37,IF(OR(AND(66=$I37+1,OR($K37&lt;&gt;'計算A'!$A$3,'計算A'!$A$4=0)),AND(66=$I37-1,OR(18&lt;&gt;'計算A'!$A$3,'計算A'!$A$4=0))),0,IF(18=$K37,200000,ABS(18-$K37)*100)),100000+ABS(3-$J37)*1000+180)+'計算A'!BQ$5*50+IF(AND($E37=1,LD37=0),25,0),IF($F37&gt;0,INDEX('計算A'!BQ$110:BQ$114,$F37+1)+IF(AND($E37=1,LD37=0),1000,0),MIN(TW37,20)*400+(IF('計算A'!BP$106=1,1-FN37,0)+IF('計算A'!BQ$106=1,1-FP37,0))*150+183+'計算A'!BQ$5*100000+IF(AND($E37=1,LD37=0),50000,0))+IF($H37=1,(IF('計算A'!BP$117=1,INDEX('計算A'!BP$10:BP$54,$B37),0)+IF('計算A'!BQ$117=1,INDEX('計算A'!BR$10:BR$54,$B37),0))*4000,0)-IF(AND('計算A'!BP$117=1,WN37&gt;0),2000,0)-IF(AND($L37=1,'計算A'!BQ$117=1,FP37=0),2000,0))),1000000))</f>
        <v/>
      </c>
      <c r="QT37">
        <f>IF($B37=0,1000000,IF(INDEX('計算A'!$D$60:$EQ$104,$B37,67)*FP37=1,IF(AND($E37=2,LE37=0),1000000,IF($I37&gt;0,IF(3=$J37,IF(OR(AND(67=$I37+1,OR($K37&lt;&gt;'計算A'!$A$3,'計算A'!$A$4=0)),AND(67=$I37-1,OR(19&lt;&gt;'計算A'!$A$3,'計算A'!$A$4=0))),0,IF(19=$K37,200000,ABS(19-$K37)*100)),100000+ABS(3-$J37)*1000+190)+'計算A'!BR$5*50+IF(AND($E37=1,LE37=0),25,0),IF($F37&gt;0,INDEX('計算A'!BR$110:BR$114,$F37+1)+IF(AND($E37=1,LE37=0),1000,0),MIN(TW37,20)*400+(IF('計算A'!BQ$106=1,1-FO37,0)+IF('計算A'!BR$106=1,1-FQ37,0))*150+193+'計算A'!BR$5*100000+IF(AND($E37=1,LE37=0),50000,0))+IF($H37=1,(IF('計算A'!BQ$117=1,INDEX('計算A'!BQ$10:BQ$54,$B37),0)+IF('計算A'!BR$117=1,INDEX('計算A'!BS$10:BS$54,$B37),0))*4000,0)-IF(AND('計算A'!BQ$117=1,WO37&gt;0),2000,0)-IF(AND($L37=1,'計算A'!BR$117=1,FQ37=0),2000,0))),1000000))</f>
        <v/>
      </c>
      <c r="QU37">
        <f>IF($B37=0,1000000,IF(INDEX('計算A'!$D$60:$EQ$104,$B37,68)*FQ37=1,IF(AND($E37=2,LF37=0),1000000,IF($I37&gt;0,IF(3=$J37,IF(OR(AND(68=$I37+1,OR($K37&lt;&gt;'計算A'!$A$3,'計算A'!$A$4=0)),AND(68=$I37-1,OR(20&lt;&gt;'計算A'!$A$3,'計算A'!$A$4=0))),0,IF(20=$K37,200000,ABS(20-$K37)*100)),100000+ABS(3-$J37)*1000+200)+'計算A'!BS$5*50+IF(AND($E37=1,LF37=0),25,0),IF($F37&gt;0,INDEX('計算A'!BS$110:BS$114,$F37+1)+IF(AND($E37=1,LF37=0),1000,0),MIN(TW37,20)*400+(IF('計算A'!BR$106=1,1-FP37,0)+IF('計算A'!BS$106=1,1-FR37,0))*150+203+'計算A'!BS$5*100000+IF(AND($E37=1,LF37=0),50000,0))+IF($H37=1,(IF('計算A'!BR$117=1,INDEX('計算A'!BR$10:BR$54,$B37),0)+IF('計算A'!BS$117=1,INDEX('計算A'!BT$10:BT$54,$B37),0))*4000,0)-IF(AND('計算A'!BR$117=1,WP37&gt;0),2000,0)-IF(AND($L37=1,'計算A'!BS$117=1,FR37=0),2000,0))),1000000))</f>
        <v/>
      </c>
      <c r="QV37">
        <f>IF($B37=0,1000000,IF(INDEX('計算A'!$D$60:$EQ$104,$B37,69)*FR37=1,IF(AND($E37=2,LG37=0),1000000,IF($I37&gt;0,IF(3=$J37,IF(OR(AND(69=$I37+1,OR($K37&lt;&gt;'計算A'!$A$3,'計算A'!$A$4=0)),AND(69=$I37-1,OR(21&lt;&gt;'計算A'!$A$3,'計算A'!$A$4=0))),0,IF(21=$K37,200000,ABS(21-$K37)*100)),100000+ABS(3-$J37)*1000+210)+'計算A'!BT$5*50+IF(AND($E37=1,LG37=0),25,0),IF($F37&gt;0,INDEX('計算A'!BT$110:BT$114,$F37+1)+IF(AND($E37=1,LG37=0),1000,0),MIN(TW37,20)*400+(IF('計算A'!BS$106=1,1-FQ37,0)+IF('計算A'!BT$106=1,1-FS37,0))*150+213+'計算A'!BT$5*100000+IF(AND($E37=1,LG37=0),50000,0))+IF($H37=1,(IF('計算A'!BS$117=1,INDEX('計算A'!BS$10:BS$54,$B37),0)+IF('計算A'!BT$117=1,INDEX('計算A'!BU$10:BU$54,$B37),0))*4000,0)-IF(AND('計算A'!BS$117=1,WQ37&gt;0),2000,0)-IF(AND($L37=1,'計算A'!BT$117=1,FS37=0),2000,0))),1000000))</f>
        <v/>
      </c>
      <c r="QW37">
        <f>IF($B37=0,1000000,IF(INDEX('計算A'!$D$60:$EQ$104,$B37,70)*FS37=1,IF(AND($E37=2,LH37=0),1000000,IF($I37&gt;0,IF(3=$J37,IF(OR(AND(70=$I37+1,OR($K37&lt;&gt;'計算A'!$A$3,'計算A'!$A$4=0)),AND(70=$I37-1,OR(22&lt;&gt;'計算A'!$A$3,'計算A'!$A$4=0))),0,IF(22=$K37,200000,ABS(22-$K37)*100)),100000+ABS(3-$J37)*1000+220)+'計算A'!BU$5*50+IF(AND($E37=1,LH37=0),25,0),IF($F37&gt;0,INDEX('計算A'!BU$110:BU$114,$F37+1)+IF(AND($E37=1,LH37=0),1000,0),MIN(TW37,20)*400+(IF('計算A'!BT$106=1,1-FR37,0)+IF('計算A'!BU$106=1,1-FT37,0))*150+223+'計算A'!BU$5*100000+IF(AND($E37=1,LH37=0),50000,0))+IF($H37=1,(IF('計算A'!BT$117=1,INDEX('計算A'!BT$10:BT$54,$B37),0)+IF('計算A'!BU$117=1,INDEX('計算A'!BV$10:BV$54,$B37),0))*4000,0)-IF(AND('計算A'!BT$117=1,WR37&gt;0),2000,0)-IF(AND($L37=1,'計算A'!BU$117=1,FT37=0),2000,0))),1000000))</f>
        <v/>
      </c>
      <c r="QX37">
        <f>IF($B37=0,1000000,IF(INDEX('計算A'!$D$60:$EQ$104,$B37,71)*FT37=1,IF(AND($E37=2,LI37=0),1000000,IF($I37&gt;0,IF(3=$J37,IF(OR(AND(71=$I37+1,OR($K37&lt;&gt;'計算A'!$A$3,'計算A'!$A$4=0)),AND(71=$I37-1,OR(23&lt;&gt;'計算A'!$A$3,'計算A'!$A$4=0))),0,IF(23=$K37,200000,ABS(23-$K37)*100)),100000+ABS(3-$J37)*1000+230)+'計算A'!BV$5*50+IF(AND($E37=1,LI37=0),25,0),IF($F37&gt;0,INDEX('計算A'!BV$110:BV$114,$F37+1)+IF(AND($E37=1,LI37=0),1000,0),MIN(TW37,20)*400+(IF('計算A'!BU$106=1,1-FS37,0)+IF('計算A'!BV$106=1,1-FU37,0))*150+233+'計算A'!BV$5*100000+IF(AND($E37=1,LI37=0),50000,0))+IF($H37=1,(IF('計算A'!BU$117=1,INDEX('計算A'!BU$10:BU$54,$B37),0)+IF('計算A'!BV$117=1,INDEX('計算A'!BW$10:BW$54,$B37),0))*4000,0)-IF(AND('計算A'!BU$117=1,WS37&gt;0),2000,0)-IF(AND($L37=1,'計算A'!BV$117=1,FU37=0),2000,0))),1000000))</f>
        <v/>
      </c>
      <c r="QY37">
        <f>IF($B37=0,1000000,IF(INDEX('計算A'!$D$60:$EQ$104,$B37,72)*FU37=1,IF(AND($E37=2,LJ37=0),1000000,IF($I37&gt;0,IF(3=$J37,IF(OR(AND(72=$I37+1,OR($K37&lt;&gt;'計算A'!$A$3,'計算A'!$A$4=0)),AND(72=$I37-1,OR(24&lt;&gt;'計算A'!$A$3,'計算A'!$A$4=0))),0,IF(24=$K37,200000,ABS(24-$K37)*100)),100000+ABS(3-$J37)*1000+240)+'計算A'!BW$5*50+IF(AND($E37=1,LJ37=0),25,0),IF($F37&gt;0,INDEX('計算A'!BW$110:BW$114,$F37+1)+IF(AND($E37=1,LJ37=0),1000,0),MIN(TW37,20)*400+(IF('計算A'!BV$106=1,1-FT37,0))*150+243+'計算A'!BW$5*100000+IF(AND($E37=1,LJ37=0),50000,0))+IF($H37=1,(IF('計算A'!BV$117=1,INDEX('計算A'!BV$10:BV$54,$B37),0))*4000,0)-IF(AND('計算A'!BV$117=1,WT37&gt;0),2000,0))),1000000))</f>
        <v/>
      </c>
      <c r="QZ37">
        <f>IF($B37=0,1000000,IF(INDEX('計算A'!$D$60:$EQ$104,$B37,73)*FV37=1,IF(AND($E37=2,LK37=0),1000000,IF($I37&gt;0,IF(4=$J37,IF(OR(AND(73=$I37+1,OR($K37&lt;&gt;'計算A'!$A$3,'計算A'!$A$4=0)),AND(73=$I37-1,OR(1&lt;&gt;'計算A'!$A$3,'計算A'!$A$4=0))),0,IF(1=$K37,200000,ABS(1-$K37)*100)),100000+ABS(4-$J37)*1000+10)+'計算A'!BX$5*50+IF(AND($E37=1,LK37=0),25,0),IF($F37&gt;0,INDEX('計算A'!BX$110:BX$114,$F37+1)+IF(AND($E37=1,LK37=0),1000,0),MIN(TX37,20)*400+(IF('計算A'!BX$106=1,1-FW37,0))*150+14+'計算A'!BX$5*100000+IF(AND($E37=1,LK37=0),50000,0))+IF($H37=1,(IF('計算A'!BX$117=1,INDEX('計算A'!BY$10:BY$54,$B37),0))*4000,0)-IF(AND($L37=1,'計算A'!BX$117=1,FW37=0),2000,0))),1000000))</f>
        <v/>
      </c>
      <c r="RA37">
        <f>IF($B37=0,1000000,IF(INDEX('計算A'!$D$60:$EQ$104,$B37,74)*FW37=1,IF(AND($E37=2,LL37=0),1000000,IF($I37&gt;0,IF(4=$J37,IF(OR(AND(74=$I37+1,OR($K37&lt;&gt;'計算A'!$A$3,'計算A'!$A$4=0)),AND(74=$I37-1,OR(2&lt;&gt;'計算A'!$A$3,'計算A'!$A$4=0))),0,IF(2=$K37,200000,ABS(2-$K37)*100)),100000+ABS(4-$J37)*1000+20)+'計算A'!BY$5*50+IF(AND($E37=1,LL37=0),25,0),IF($F37&gt;0,INDEX('計算A'!BY$110:BY$114,$F37+1)+IF(AND($E37=1,LL37=0),1000,0),MIN(TX37,20)*400+(IF('計算A'!BX$106=1,1-FV37,0)+IF('計算A'!BY$106=1,1-FX37,0))*150+24+'計算A'!BY$5*100000+IF(AND($E37=1,LL37=0),50000,0))+IF($H37=1,(IF('計算A'!BX$117=1,INDEX('計算A'!BX$10:BX$54,$B37),0)+IF('計算A'!BY$117=1,INDEX('計算A'!BZ$10:BZ$54,$B37),0))*4000,0)-IF(AND('計算A'!BX$117=1,WV37&gt;0),2000,0)-IF(AND($L37=1,'計算A'!BY$117=1,FX37=0),2000,0))),1000000))</f>
        <v/>
      </c>
      <c r="RB37">
        <f>IF($B37=0,1000000,IF(INDEX('計算A'!$D$60:$EQ$104,$B37,75)*FX37=1,IF(AND($E37=2,LM37=0),1000000,IF($I37&gt;0,IF(4=$J37,IF(OR(AND(75=$I37+1,OR($K37&lt;&gt;'計算A'!$A$3,'計算A'!$A$4=0)),AND(75=$I37-1,OR(3&lt;&gt;'計算A'!$A$3,'計算A'!$A$4=0))),0,IF(3=$K37,200000,ABS(3-$K37)*100)),100000+ABS(4-$J37)*1000+30)+'計算A'!BZ$5*50+IF(AND($E37=1,LM37=0),25,0),IF($F37&gt;0,INDEX('計算A'!BZ$110:BZ$114,$F37+1)+IF(AND($E37=1,LM37=0),1000,0),MIN(TX37,20)*400+(IF('計算A'!BY$106=1,1-FW37,0)+IF('計算A'!BZ$106=1,1-FY37,0))*150+34+'計算A'!BZ$5*100000+IF(AND($E37=1,LM37=0),50000,0))+IF($H37=1,(IF('計算A'!BY$117=1,INDEX('計算A'!BY$10:BY$54,$B37),0)+IF('計算A'!BZ$117=1,INDEX('計算A'!CA$10:CA$54,$B37),0))*4000,0)-IF(AND('計算A'!BY$117=1,WW37&gt;0),2000,0)-IF(AND($L37=1,'計算A'!BZ$117=1,FY37=0),2000,0))),1000000))</f>
        <v/>
      </c>
      <c r="RC37">
        <f>IF($B37=0,1000000,IF(INDEX('計算A'!$D$60:$EQ$104,$B37,76)*FY37=1,IF(AND($E37=2,LN37=0),1000000,IF($I37&gt;0,IF(4=$J37,IF(OR(AND(76=$I37+1,OR($K37&lt;&gt;'計算A'!$A$3,'計算A'!$A$4=0)),AND(76=$I37-1,OR(4&lt;&gt;'計算A'!$A$3,'計算A'!$A$4=0))),0,IF(4=$K37,200000,ABS(4-$K37)*100)),100000+ABS(4-$J37)*1000+40)+'計算A'!CA$5*50+IF(AND($E37=1,LN37=0),25,0),IF($F37&gt;0,INDEX('計算A'!CA$110:CA$114,$F37+1)+IF(AND($E37=1,LN37=0),1000,0),MIN(TX37,20)*400+(IF('計算A'!BZ$106=1,1-FX37,0)+IF('計算A'!CA$106=1,1-FZ37,0))*150+44+'計算A'!CA$5*100000+IF(AND($E37=1,LN37=0),50000,0))+IF($H37=1,(IF('計算A'!BZ$117=1,INDEX('計算A'!BZ$10:BZ$54,$B37),0)+IF('計算A'!CA$117=1,INDEX('計算A'!CB$10:CB$54,$B37),0))*4000,0)-IF(AND('計算A'!BZ$117=1,WX37&gt;0),2000,0)-IF(AND($L37=1,'計算A'!CA$117=1,FZ37=0),2000,0))),1000000))</f>
        <v/>
      </c>
      <c r="RD37">
        <f>IF($B37=0,1000000,IF(INDEX('計算A'!$D$60:$EQ$104,$B37,77)*FZ37=1,IF(AND($E37=2,LO37=0),1000000,IF($I37&gt;0,IF(4=$J37,IF(OR(AND(77=$I37+1,OR($K37&lt;&gt;'計算A'!$A$3,'計算A'!$A$4=0)),AND(77=$I37-1,OR(5&lt;&gt;'計算A'!$A$3,'計算A'!$A$4=0))),0,IF(5=$K37,200000,ABS(5-$K37)*100)),100000+ABS(4-$J37)*1000+50)+'計算A'!CB$5*50+IF(AND($E37=1,LO37=0),25,0),IF($F37&gt;0,INDEX('計算A'!CB$110:CB$114,$F37+1)+IF(AND($E37=1,LO37=0),1000,0),MIN(TX37,20)*400+(IF('計算A'!CA$106=1,1-FY37,0)+IF('計算A'!CB$106=1,1-GA37,0))*150+54+'計算A'!CB$5*100000+IF(AND($E37=1,LO37=0),50000,0))+IF($H37=1,(IF('計算A'!CA$117=1,INDEX('計算A'!CA$10:CA$54,$B37),0)+IF('計算A'!CB$117=1,INDEX('計算A'!CC$10:CC$54,$B37),0))*4000,0)-IF(AND('計算A'!CA$117=1,WY37&gt;0),2000,0)-IF(AND($L37=1,'計算A'!CB$117=1,GA37=0),2000,0))),1000000))</f>
        <v/>
      </c>
      <c r="RE37">
        <f>IF($B37=0,1000000,IF(INDEX('計算A'!$D$60:$EQ$104,$B37,78)*GA37=1,IF(AND($E37=2,LP37=0),1000000,IF($I37&gt;0,IF(4=$J37,IF(OR(AND(78=$I37+1,OR($K37&lt;&gt;'計算A'!$A$3,'計算A'!$A$4=0)),AND(78=$I37-1,OR(6&lt;&gt;'計算A'!$A$3,'計算A'!$A$4=0))),0,IF(6=$K37,200000,ABS(6-$K37)*100)),100000+ABS(4-$J37)*1000+60)+'計算A'!CC$5*50+IF(AND($E37=1,LP37=0),25,0),IF($F37&gt;0,INDEX('計算A'!CC$110:CC$114,$F37+1)+IF(AND($E37=1,LP37=0),1000,0),MIN(TX37,20)*400+(IF('計算A'!CB$106=1,1-FZ37,0)+IF('計算A'!CC$106=1,1-GB37,0))*150+64+'計算A'!CC$5*100000+IF(AND($E37=1,LP37=0),50000,0))+IF($H37=1,(IF('計算A'!CB$117=1,INDEX('計算A'!CB$10:CB$54,$B37),0)+IF('計算A'!CC$117=1,INDEX('計算A'!CD$10:CD$54,$B37),0))*4000,0)-IF(AND('計算A'!CB$117=1,WZ37&gt;0),2000,0)-IF(AND($L37=1,'計算A'!CC$117=1,GB37=0),2000,0))),1000000))</f>
        <v/>
      </c>
      <c r="RF37">
        <f>IF($B37=0,1000000,IF(INDEX('計算A'!$D$60:$EQ$104,$B37,79)*GB37=1,IF(AND($E37=2,LQ37=0),1000000,IF($I37&gt;0,IF(4=$J37,IF(OR(AND(79=$I37+1,OR($K37&lt;&gt;'計算A'!$A$3,'計算A'!$A$4=0)),AND(79=$I37-1,OR(7&lt;&gt;'計算A'!$A$3,'計算A'!$A$4=0))),0,IF(7=$K37,200000,ABS(7-$K37)*100)),100000+ABS(4-$J37)*1000+70)+'計算A'!CD$5*50+IF(AND($E37=1,LQ37=0),25,0),IF($F37&gt;0,INDEX('計算A'!CD$110:CD$114,$F37+1)+IF(AND($E37=1,LQ37=0),1000,0),MIN(TX37,20)*400+(IF('計算A'!CC$106=1,1-GA37,0)+IF('計算A'!CD$106=1,1-GC37,0))*150+74+'計算A'!CD$5*100000+IF(AND($E37=1,LQ37=0),50000,0))+IF($H37=1,(IF('計算A'!CC$117=1,INDEX('計算A'!CC$10:CC$54,$B37),0)+IF('計算A'!CD$117=1,INDEX('計算A'!CE$10:CE$54,$B37),0))*4000,0)-IF(AND('計算A'!CC$117=1,XA37&gt;0),2000,0)-IF(AND($L37=1,'計算A'!CD$117=1,GC37=0),2000,0))),1000000))</f>
        <v/>
      </c>
      <c r="RG37">
        <f>IF($B37=0,1000000,IF(INDEX('計算A'!$D$60:$EQ$104,$B37,80)*GC37=1,IF(AND($E37=2,LR37=0),1000000,IF($I37&gt;0,IF(4=$J37,IF(OR(AND(80=$I37+1,OR($K37&lt;&gt;'計算A'!$A$3,'計算A'!$A$4=0)),AND(80=$I37-1,OR(8&lt;&gt;'計算A'!$A$3,'計算A'!$A$4=0))),0,IF(8=$K37,200000,ABS(8-$K37)*100)),100000+ABS(4-$J37)*1000+80)+'計算A'!CE$5*50+IF(AND($E37=1,LR37=0),25,0),IF($F37&gt;0,INDEX('計算A'!CE$110:CE$114,$F37+1)+IF(AND($E37=1,LR37=0),1000,0),MIN(TX37,20)*400+(IF('計算A'!CD$106=1,1-GB37,0)+IF('計算A'!CE$106=1,1-GD37,0))*150+84+'計算A'!CE$5*100000+IF(AND($E37=1,LR37=0),50000,0))+IF($H37=1,(IF('計算A'!CD$117=1,INDEX('計算A'!CD$10:CD$54,$B37),0)+IF('計算A'!CE$117=1,INDEX('計算A'!CF$10:CF$54,$B37),0))*4000,0)-IF(AND('計算A'!CD$117=1,XB37&gt;0),2000,0)-IF(AND($L37=1,'計算A'!CE$117=1,GD37=0),2000,0))),1000000))</f>
        <v/>
      </c>
      <c r="RH37">
        <f>IF($B37=0,1000000,IF(INDEX('計算A'!$D$60:$EQ$104,$B37,81)*GD37=1,IF(AND($E37=2,LS37=0),1000000,IF($I37&gt;0,IF(4=$J37,IF(OR(AND(81=$I37+1,OR($K37&lt;&gt;'計算A'!$A$3,'計算A'!$A$4=0)),AND(81=$I37-1,OR(9&lt;&gt;'計算A'!$A$3,'計算A'!$A$4=0))),0,IF(9=$K37,200000,ABS(9-$K37)*100)),100000+ABS(4-$J37)*1000+90)+'計算A'!CF$5*50+IF(AND($E37=1,LS37=0),25,0),IF($F37&gt;0,INDEX('計算A'!CF$110:CF$114,$F37+1)+IF(AND($E37=1,LS37=0),1000,0),MIN(TX37,20)*400+(IF('計算A'!CE$106=1,1-GC37,0)+IF('計算A'!CF$106=1,1-GE37,0))*150+94+'計算A'!CF$5*100000+IF(AND($E37=1,LS37=0),50000,0))+IF($H37=1,(IF('計算A'!CE$117=1,INDEX('計算A'!CE$10:CE$54,$B37),0)+IF('計算A'!CF$117=1,INDEX('計算A'!CG$10:CG$54,$B37),0))*4000,0)-IF(AND('計算A'!CE$117=1,XC37&gt;0),2000,0)-IF(AND($L37=1,'計算A'!CF$117=1,GE37=0),2000,0))),1000000))</f>
        <v/>
      </c>
      <c r="RI37">
        <f>IF($B37=0,1000000,IF(INDEX('計算A'!$D$60:$EQ$104,$B37,82)*GE37=1,IF(AND($E37=2,LT37=0),1000000,IF($I37&gt;0,IF(4=$J37,IF(OR(AND(82=$I37+1,OR($K37&lt;&gt;'計算A'!$A$3,'計算A'!$A$4=0)),AND(82=$I37-1,OR(10&lt;&gt;'計算A'!$A$3,'計算A'!$A$4=0))),0,IF(10=$K37,200000,ABS(10-$K37)*100)),100000+ABS(4-$J37)*1000+100)+'計算A'!CG$5*50+IF(AND($E37=1,LT37=0),25,0),IF($F37&gt;0,INDEX('計算A'!CG$110:CG$114,$F37+1)+IF(AND($E37=1,LT37=0),1000,0),MIN(TX37,20)*400+(IF('計算A'!CF$106=1,1-GD37,0)+IF('計算A'!CG$106=1,1-GF37,0))*150+104+'計算A'!CG$5*100000+IF(AND($E37=1,LT37=0),50000,0))+IF($H37=1,(IF('計算A'!CF$117=1,INDEX('計算A'!CF$10:CF$54,$B37),0)+IF('計算A'!CG$117=1,INDEX('計算A'!CH$10:CH$54,$B37),0))*4000,0)-IF(AND('計算A'!CF$117=1,XD37&gt;0),2000,0)-IF(AND($L37=1,'計算A'!CG$117=1,GF37=0),2000,0))),1000000))</f>
        <v/>
      </c>
      <c r="RJ37">
        <f>IF($B37=0,1000000,IF(INDEX('計算A'!$D$60:$EQ$104,$B37,83)*GF37=1,IF(AND($E37=2,LU37=0),1000000,IF($I37&gt;0,IF(4=$J37,IF(OR(AND(83=$I37+1,OR($K37&lt;&gt;'計算A'!$A$3,'計算A'!$A$4=0)),AND(83=$I37-1,OR(11&lt;&gt;'計算A'!$A$3,'計算A'!$A$4=0))),0,IF(11=$K37,200000,ABS(11-$K37)*100)),100000+ABS(4-$J37)*1000+110)+'計算A'!CH$5*50+IF(AND($E37=1,LU37=0),25,0),IF($F37&gt;0,INDEX('計算A'!CH$110:CH$114,$F37+1)+IF(AND($E37=1,LU37=0),1000,0),MIN(TX37,20)*400+(IF('計算A'!CG$106=1,1-GE37,0)+IF('計算A'!CH$106=1,1-GG37,0))*150+114+'計算A'!CH$5*100000+IF(AND($E37=1,LU37=0),50000,0))+IF($H37=1,(IF('計算A'!CG$117=1,INDEX('計算A'!CG$10:CG$54,$B37),0)+IF('計算A'!CH$117=1,INDEX('計算A'!CI$10:CI$54,$B37),0))*4000,0)-IF(AND('計算A'!CG$117=1,XE37&gt;0),2000,0)-IF(AND($L37=1,'計算A'!CH$117=1,GG37=0),2000,0))),1000000))</f>
        <v/>
      </c>
      <c r="RK37">
        <f>IF($B37=0,1000000,IF(INDEX('計算A'!$D$60:$EQ$104,$B37,84)*GG37=1,IF(AND($E37=2,LV37=0),1000000,IF($I37&gt;0,IF(4=$J37,IF(OR(AND(84=$I37+1,OR($K37&lt;&gt;'計算A'!$A$3,'計算A'!$A$4=0)),AND(84=$I37-1,OR(12&lt;&gt;'計算A'!$A$3,'計算A'!$A$4=0))),0,IF(12=$K37,200000,ABS(12-$K37)*100)),100000+ABS(4-$J37)*1000+120)+'計算A'!CI$5*50+IF(AND($E37=1,LV37=0),25,0),IF($F37&gt;0,INDEX('計算A'!CI$110:CI$114,$F37+1)+IF(AND($E37=1,LV37=0),1000,0),MIN(TX37,20)*400+(IF('計算A'!CH$106=1,1-GF37,0)+IF('計算A'!CI$106=1,1-GH37,0))*150+124+'計算A'!CI$5*100000+IF(AND($E37=1,LV37=0),50000,0))+IF($H37=1,(IF('計算A'!CH$117=1,INDEX('計算A'!CH$10:CH$54,$B37),0)+IF('計算A'!CI$117=1,INDEX('計算A'!CJ$10:CJ$54,$B37),0))*4000,0)-IF(AND('計算A'!CH$117=1,XF37&gt;0),2000,0)-IF(AND($L37=1,'計算A'!CI$117=1,GH37=0),2000,0))),1000000))</f>
        <v/>
      </c>
      <c r="RL37">
        <f>IF($B37=0,1000000,IF(INDEX('計算A'!$D$60:$EQ$104,$B37,85)*GH37=1,IF(AND($E37=2,LW37=0),1000000,IF($I37&gt;0,IF(4=$J37,IF(OR(AND(85=$I37+1,OR($K37&lt;&gt;'計算A'!$A$3,'計算A'!$A$4=0)),AND(85=$I37-1,OR(13&lt;&gt;'計算A'!$A$3,'計算A'!$A$4=0))),0,IF(13=$K37,200000,ABS(13-$K37)*100)),100000+ABS(4-$J37)*1000+130)+'計算A'!CJ$5*50+IF(AND($E37=1,LW37=0),25,0),IF($F37&gt;0,INDEX('計算A'!CJ$110:CJ$114,$F37+1)+IF(AND($E37=1,LW37=0),1000,0),MIN(TX37,20)*400+(IF('計算A'!CI$106=1,1-GG37,0)+IF('計算A'!CJ$106=1,1-GI37,0))*150+134+'計算A'!CJ$5*100000+IF(AND($E37=1,LW37=0),50000,0))+IF($H37=1,(IF('計算A'!CI$117=1,INDEX('計算A'!CI$10:CI$54,$B37),0)+IF('計算A'!CJ$117=1,INDEX('計算A'!CK$10:CK$54,$B37),0))*4000,0)-IF(AND('計算A'!CI$117=1,XG37&gt;0),2000,0)-IF(AND($L37=1,'計算A'!CJ$117=1,GI37=0),2000,0))),1000000))</f>
        <v/>
      </c>
      <c r="RM37">
        <f>IF($B37=0,1000000,IF(INDEX('計算A'!$D$60:$EQ$104,$B37,86)*GI37=1,IF(AND($E37=2,LX37=0),1000000,IF($I37&gt;0,IF(4=$J37,IF(OR(AND(86=$I37+1,OR($K37&lt;&gt;'計算A'!$A$3,'計算A'!$A$4=0)),AND(86=$I37-1,OR(14&lt;&gt;'計算A'!$A$3,'計算A'!$A$4=0))),0,IF(14=$K37,200000,ABS(14-$K37)*100)),100000+ABS(4-$J37)*1000+140)+'計算A'!CK$5*50+IF(AND($E37=1,LX37=0),25,0),IF($F37&gt;0,INDEX('計算A'!CK$110:CK$114,$F37+1)+IF(AND($E37=1,LX37=0),1000,0),MIN(TX37,20)*400+(IF('計算A'!CJ$106=1,1-GH37,0)+IF('計算A'!CK$106=1,1-GJ37,0))*150+144+'計算A'!CK$5*100000+IF(AND($E37=1,LX37=0),50000,0))+IF($H37=1,(IF('計算A'!CJ$117=1,INDEX('計算A'!CJ$10:CJ$54,$B37),0)+IF('計算A'!CK$117=1,INDEX('計算A'!CL$10:CL$54,$B37),0))*4000,0)-IF(AND('計算A'!CJ$117=1,XH37&gt;0),2000,0)-IF(AND($L37=1,'計算A'!CK$117=1,GJ37=0),2000,0))),1000000))</f>
        <v/>
      </c>
      <c r="RN37">
        <f>IF($B37=0,1000000,IF(INDEX('計算A'!$D$60:$EQ$104,$B37,87)*GJ37=1,IF(AND($E37=2,LY37=0),1000000,IF($I37&gt;0,IF(4=$J37,IF(OR(AND(87=$I37+1,OR($K37&lt;&gt;'計算A'!$A$3,'計算A'!$A$4=0)),AND(87=$I37-1,OR(15&lt;&gt;'計算A'!$A$3,'計算A'!$A$4=0))),0,IF(15=$K37,200000,ABS(15-$K37)*100)),100000+ABS(4-$J37)*1000+150)+'計算A'!CL$5*50+IF(AND($E37=1,LY37=0),25,0),IF($F37&gt;0,INDEX('計算A'!CL$110:CL$114,$F37+1)+IF(AND($E37=1,LY37=0),1000,0),MIN(TX37,20)*400+(IF('計算A'!CK$106=1,1-GI37,0)+IF('計算A'!CL$106=1,1-GK37,0))*150+154+'計算A'!CL$5*100000+IF(AND($E37=1,LY37=0),50000,0))+IF($H37=1,(IF('計算A'!CK$117=1,INDEX('計算A'!CK$10:CK$54,$B37),0)+IF('計算A'!CL$117=1,INDEX('計算A'!CM$10:CM$54,$B37),0))*4000,0)-IF(AND('計算A'!CK$117=1,XI37&gt;0),2000,0)-IF(AND($L37=1,'計算A'!CL$117=1,GK37=0),2000,0))),1000000))</f>
        <v/>
      </c>
      <c r="RO37">
        <f>IF($B37=0,1000000,IF(INDEX('計算A'!$D$60:$EQ$104,$B37,88)*GK37=1,IF(AND($E37=2,LZ37=0),1000000,IF($I37&gt;0,IF(4=$J37,IF(OR(AND(88=$I37+1,OR($K37&lt;&gt;'計算A'!$A$3,'計算A'!$A$4=0)),AND(88=$I37-1,OR(16&lt;&gt;'計算A'!$A$3,'計算A'!$A$4=0))),0,IF(16=$K37,200000,ABS(16-$K37)*100)),100000+ABS(4-$J37)*1000+160)+'計算A'!CM$5*50+IF(AND($E37=1,LZ37=0),25,0),IF($F37&gt;0,INDEX('計算A'!CM$110:CM$114,$F37+1)+IF(AND($E37=1,LZ37=0),1000,0),MIN(TX37,20)*400+(IF('計算A'!CL$106=1,1-GJ37,0)+IF('計算A'!CM$106=1,1-GL37,0))*150+164+'計算A'!CM$5*100000+IF(AND($E37=1,LZ37=0),50000,0))+IF($H37=1,(IF('計算A'!CL$117=1,INDEX('計算A'!CL$10:CL$54,$B37),0)+IF('計算A'!CM$117=1,INDEX('計算A'!CN$10:CN$54,$B37),0))*4000,0)-IF(AND('計算A'!CL$117=1,XJ37&gt;0),2000,0)-IF(AND($L37=1,'計算A'!CM$117=1,GL37=0),2000,0))),1000000))</f>
        <v/>
      </c>
      <c r="RP37">
        <f>IF($B37=0,1000000,IF(INDEX('計算A'!$D$60:$EQ$104,$B37,89)*GL37=1,IF(AND($E37=2,MA37=0),1000000,IF($I37&gt;0,IF(4=$J37,IF(OR(AND(89=$I37+1,OR($K37&lt;&gt;'計算A'!$A$3,'計算A'!$A$4=0)),AND(89=$I37-1,OR(17&lt;&gt;'計算A'!$A$3,'計算A'!$A$4=0))),0,IF(17=$K37,200000,ABS(17-$K37)*100)),100000+ABS(4-$J37)*1000+170)+'計算A'!CN$5*50+IF(AND($E37=1,MA37=0),25,0),IF($F37&gt;0,INDEX('計算A'!CN$110:CN$114,$F37+1)+IF(AND($E37=1,MA37=0),1000,0),MIN(TX37,20)*400+(IF('計算A'!CM$106=1,1-GK37,0)+IF('計算A'!CN$106=1,1-GM37,0))*150+174+'計算A'!CN$5*100000+IF(AND($E37=1,MA37=0),50000,0))+IF($H37=1,(IF('計算A'!CM$117=1,INDEX('計算A'!CM$10:CM$54,$B37),0)+IF('計算A'!CN$117=1,INDEX('計算A'!CO$10:CO$54,$B37),0))*4000,0)-IF(AND('計算A'!CM$117=1,XK37&gt;0),2000,0)-IF(AND($L37=1,'計算A'!CN$117=1,GM37=0),2000,0))),1000000))</f>
        <v/>
      </c>
      <c r="RQ37">
        <f>IF($B37=0,1000000,IF(INDEX('計算A'!$D$60:$EQ$104,$B37,90)*GM37=1,IF(AND($E37=2,MB37=0),1000000,IF($I37&gt;0,IF(4=$J37,IF(OR(AND(90=$I37+1,OR($K37&lt;&gt;'計算A'!$A$3,'計算A'!$A$4=0)),AND(90=$I37-1,OR(18&lt;&gt;'計算A'!$A$3,'計算A'!$A$4=0))),0,IF(18=$K37,200000,ABS(18-$K37)*100)),100000+ABS(4-$J37)*1000+180)+'計算A'!CO$5*50+IF(AND($E37=1,MB37=0),25,0),IF($F37&gt;0,INDEX('計算A'!CO$110:CO$114,$F37+1)+IF(AND($E37=1,MB37=0),1000,0),MIN(TX37,20)*400+(IF('計算A'!CN$106=1,1-GL37,0)+IF('計算A'!CO$106=1,1-GN37,0))*150+184+'計算A'!CO$5*100000+IF(AND($E37=1,MB37=0),50000,0))+IF($H37=1,(IF('計算A'!CN$117=1,INDEX('計算A'!CN$10:CN$54,$B37),0)+IF('計算A'!CO$117=1,INDEX('計算A'!CP$10:CP$54,$B37),0))*4000,0)-IF(AND('計算A'!CN$117=1,XL37&gt;0),2000,0)-IF(AND($L37=1,'計算A'!CO$117=1,GN37=0),2000,0))),1000000))</f>
        <v/>
      </c>
      <c r="RR37">
        <f>IF($B37=0,1000000,IF(INDEX('計算A'!$D$60:$EQ$104,$B37,91)*GN37=1,IF(AND($E37=2,MC37=0),1000000,IF($I37&gt;0,IF(4=$J37,IF(OR(AND(91=$I37+1,OR($K37&lt;&gt;'計算A'!$A$3,'計算A'!$A$4=0)),AND(91=$I37-1,OR(19&lt;&gt;'計算A'!$A$3,'計算A'!$A$4=0))),0,IF(19=$K37,200000,ABS(19-$K37)*100)),100000+ABS(4-$J37)*1000+190)+'計算A'!CP$5*50+IF(AND($E37=1,MC37=0),25,0),IF($F37&gt;0,INDEX('計算A'!CP$110:CP$114,$F37+1)+IF(AND($E37=1,MC37=0),1000,0),MIN(TX37,20)*400+(IF('計算A'!CO$106=1,1-GM37,0)+IF('計算A'!CP$106=1,1-GO37,0))*150+194+'計算A'!CP$5*100000+IF(AND($E37=1,MC37=0),50000,0))+IF($H37=1,(IF('計算A'!CO$117=1,INDEX('計算A'!CO$10:CO$54,$B37),0)+IF('計算A'!CP$117=1,INDEX('計算A'!CQ$10:CQ$54,$B37),0))*4000,0)-IF(AND('計算A'!CO$117=1,XM37&gt;0),2000,0)-IF(AND($L37=1,'計算A'!CP$117=1,GO37=0),2000,0))),1000000))</f>
        <v/>
      </c>
      <c r="RS37">
        <f>IF($B37=0,1000000,IF(INDEX('計算A'!$D$60:$EQ$104,$B37,92)*GO37=1,IF(AND($E37=2,MD37=0),1000000,IF($I37&gt;0,IF(4=$J37,IF(OR(AND(92=$I37+1,OR($K37&lt;&gt;'計算A'!$A$3,'計算A'!$A$4=0)),AND(92=$I37-1,OR(20&lt;&gt;'計算A'!$A$3,'計算A'!$A$4=0))),0,IF(20=$K37,200000,ABS(20-$K37)*100)),100000+ABS(4-$J37)*1000+200)+'計算A'!CQ$5*50+IF(AND($E37=1,MD37=0),25,0),IF($F37&gt;0,INDEX('計算A'!CQ$110:CQ$114,$F37+1)+IF(AND($E37=1,MD37=0),1000,0),MIN(TX37,20)*400+(IF('計算A'!CP$106=1,1-GN37,0)+IF('計算A'!CQ$106=1,1-GP37,0))*150+204+'計算A'!CQ$5*100000+IF(AND($E37=1,MD37=0),50000,0))+IF($H37=1,(IF('計算A'!CP$117=1,INDEX('計算A'!CP$10:CP$54,$B37),0)+IF('計算A'!CQ$117=1,INDEX('計算A'!CR$10:CR$54,$B37),0))*4000,0)-IF(AND('計算A'!CP$117=1,XN37&gt;0),2000,0)-IF(AND($L37=1,'計算A'!CQ$117=1,GP37=0),2000,0))),1000000))</f>
        <v/>
      </c>
      <c r="RT37">
        <f>IF($B37=0,1000000,IF(INDEX('計算A'!$D$60:$EQ$104,$B37,93)*GP37=1,IF(AND($E37=2,ME37=0),1000000,IF($I37&gt;0,IF(4=$J37,IF(OR(AND(93=$I37+1,OR($K37&lt;&gt;'計算A'!$A$3,'計算A'!$A$4=0)),AND(93=$I37-1,OR(21&lt;&gt;'計算A'!$A$3,'計算A'!$A$4=0))),0,IF(21=$K37,200000,ABS(21-$K37)*100)),100000+ABS(4-$J37)*1000+210)+'計算A'!CR$5*50+IF(AND($E37=1,ME37=0),25,0),IF($F37&gt;0,INDEX('計算A'!CR$110:CR$114,$F37+1)+IF(AND($E37=1,ME37=0),1000,0),MIN(TX37,20)*400+(IF('計算A'!CQ$106=1,1-GO37,0)+IF('計算A'!CR$106=1,1-GQ37,0))*150+214+'計算A'!CR$5*100000+IF(AND($E37=1,ME37=0),50000,0))+IF($H37=1,(IF('計算A'!CQ$117=1,INDEX('計算A'!CQ$10:CQ$54,$B37),0)+IF('計算A'!CR$117=1,INDEX('計算A'!CS$10:CS$54,$B37),0))*4000,0)-IF(AND('計算A'!CQ$117=1,XO37&gt;0),2000,0)-IF(AND($L37=1,'計算A'!CR$117=1,GQ37=0),2000,0))),1000000))</f>
        <v/>
      </c>
      <c r="RU37">
        <f>IF($B37=0,1000000,IF(INDEX('計算A'!$D$60:$EQ$104,$B37,94)*GQ37=1,IF(AND($E37=2,MF37=0),1000000,IF($I37&gt;0,IF(4=$J37,IF(OR(AND(94=$I37+1,OR($K37&lt;&gt;'計算A'!$A$3,'計算A'!$A$4=0)),AND(94=$I37-1,OR(22&lt;&gt;'計算A'!$A$3,'計算A'!$A$4=0))),0,IF(22=$K37,200000,ABS(22-$K37)*100)),100000+ABS(4-$J37)*1000+220)+'計算A'!CS$5*50+IF(AND($E37=1,MF37=0),25,0),IF($F37&gt;0,INDEX('計算A'!CS$110:CS$114,$F37+1)+IF(AND($E37=1,MF37=0),1000,0),MIN(TX37,20)*400+(IF('計算A'!CR$106=1,1-GP37,0)+IF('計算A'!CS$106=1,1-GR37,0))*150+224+'計算A'!CS$5*100000+IF(AND($E37=1,MF37=0),50000,0))+IF($H37=1,(IF('計算A'!CR$117=1,INDEX('計算A'!CR$10:CR$54,$B37),0)+IF('計算A'!CS$117=1,INDEX('計算A'!CT$10:CT$54,$B37),0))*4000,0)-IF(AND('計算A'!CR$117=1,XP37&gt;0),2000,0)-IF(AND($L37=1,'計算A'!CS$117=1,GR37=0),2000,0))),1000000))</f>
        <v/>
      </c>
      <c r="RV37">
        <f>IF($B37=0,1000000,IF(INDEX('計算A'!$D$60:$EQ$104,$B37,95)*GR37=1,IF(AND($E37=2,MG37=0),1000000,IF($I37&gt;0,IF(4=$J37,IF(OR(AND(95=$I37+1,OR($K37&lt;&gt;'計算A'!$A$3,'計算A'!$A$4=0)),AND(95=$I37-1,OR(23&lt;&gt;'計算A'!$A$3,'計算A'!$A$4=0))),0,IF(23=$K37,200000,ABS(23-$K37)*100)),100000+ABS(4-$J37)*1000+230)+'計算A'!CT$5*50+IF(AND($E37=1,MG37=0),25,0),IF($F37&gt;0,INDEX('計算A'!CT$110:CT$114,$F37+1)+IF(AND($E37=1,MG37=0),1000,0),MIN(TX37,20)*400+(IF('計算A'!CS$106=1,1-GQ37,0)+IF('計算A'!CT$106=1,1-GS37,0))*150+234+'計算A'!CT$5*100000+IF(AND($E37=1,MG37=0),50000,0))+IF($H37=1,(IF('計算A'!CS$117=1,INDEX('計算A'!CS$10:CS$54,$B37),0)+IF('計算A'!CT$117=1,INDEX('計算A'!CU$10:CU$54,$B37),0))*4000,0)-IF(AND('計算A'!CS$117=1,XQ37&gt;0),2000,0)-IF(AND($L37=1,'計算A'!CT$117=1,GS37=0),2000,0))),1000000))</f>
        <v/>
      </c>
      <c r="RW37">
        <f>IF($B37=0,1000000,IF(INDEX('計算A'!$D$60:$EQ$104,$B37,96)*GS37=1,IF(AND($E37=2,MH37=0),1000000,IF($I37&gt;0,IF(4=$J37,IF(OR(AND(96=$I37+1,OR($K37&lt;&gt;'計算A'!$A$3,'計算A'!$A$4=0)),AND(96=$I37-1,OR(24&lt;&gt;'計算A'!$A$3,'計算A'!$A$4=0))),0,IF(24=$K37,200000,ABS(24-$K37)*100)),100000+ABS(4-$J37)*1000+240)+'計算A'!CU$5*50+IF(AND($E37=1,MH37=0),25,0),IF($F37&gt;0,INDEX('計算A'!CU$110:CU$114,$F37+1)+IF(AND($E37=1,MH37=0),1000,0),MIN(TX37,20)*400+(IF('計算A'!CT$106=1,1-GR37,0))*150+244+'計算A'!CU$5*100000+IF(AND($E37=1,MH37=0),50000,0))+IF($H37=1,(IF('計算A'!CT$117=1,INDEX('計算A'!CT$10:CT$54,$B37),0))*4000,0)-IF(AND('計算A'!CT$117=1,XR37&gt;0),2000,0))),1000000))</f>
        <v/>
      </c>
      <c r="RX37">
        <f>IF($B37=0,1000000,IF(INDEX('計算A'!$D$60:$EQ$104,$B37,97)*GT37=1,IF(AND($E37=2,MI37=0),1000000,IF($I37&gt;0,IF(5=$J37,IF(OR(AND(97=$I37+1,OR($K37&lt;&gt;'計算A'!$A$3,'計算A'!$A$4=0)),AND(97=$I37-1,OR(1&lt;&gt;'計算A'!$A$3,'計算A'!$A$4=0))),0,IF(1=$K37,200000,ABS(1-$K37)*100)),100000+ABS(5-$J37)*1000+10)+'計算A'!CV$5*50+IF(AND($E37=1,MI37=0),25,0),IF($F37&gt;0,INDEX('計算A'!CV$110:CV$114,$F37+1)+IF(AND($E37=1,MI37=0),1000,0),MIN(TY37,20)*400+(IF('計算A'!CV$106=1,1-GU37,0))*150+15+'計算A'!CV$5*100000+IF(AND($E37=1,MI37=0),50000,0))+IF($H37=1,(IF('計算A'!CV$117=1,INDEX('計算A'!CW$10:CW$54,$B37),0))*4000,0)-IF(AND($L37=1,'計算A'!CV$117=1,GU37=0),2000,0))),1000000))</f>
        <v/>
      </c>
      <c r="RY37">
        <f>IF($B37=0,1000000,IF(INDEX('計算A'!$D$60:$EQ$104,$B37,98)*GU37=1,IF(AND($E37=2,MJ37=0),1000000,IF($I37&gt;0,IF(5=$J37,IF(OR(AND(98=$I37+1,OR($K37&lt;&gt;'計算A'!$A$3,'計算A'!$A$4=0)),AND(98=$I37-1,OR(2&lt;&gt;'計算A'!$A$3,'計算A'!$A$4=0))),0,IF(2=$K37,200000,ABS(2-$K37)*100)),100000+ABS(5-$J37)*1000+20)+'計算A'!CW$5*50+IF(AND($E37=1,MJ37=0),25,0),IF($F37&gt;0,INDEX('計算A'!CW$110:CW$114,$F37+1)+IF(AND($E37=1,MJ37=0),1000,0),MIN(TY37,20)*400+(IF('計算A'!CV$106=1,1-GT37,0)+IF('計算A'!CW$106=1,1-GV37,0))*150+25+'計算A'!CW$5*100000+IF(AND($E37=1,MJ37=0),50000,0))+IF($H37=1,(IF('計算A'!CV$117=1,INDEX('計算A'!CV$10:CV$54,$B37),0)+IF('計算A'!CW$117=1,INDEX('計算A'!CX$10:CX$54,$B37),0))*4000,0)-IF(AND('計算A'!CV$117=1,XT37&gt;0),2000,0)-IF(AND($L37=1,'計算A'!CW$117=1,GV37=0),2000,0))),1000000))</f>
        <v/>
      </c>
      <c r="RZ37">
        <f>IF($B37=0,1000000,IF(INDEX('計算A'!$D$60:$EQ$104,$B37,99)*GV37=1,IF(AND($E37=2,MK37=0),1000000,IF($I37&gt;0,IF(5=$J37,IF(OR(AND(99=$I37+1,OR($K37&lt;&gt;'計算A'!$A$3,'計算A'!$A$4=0)),AND(99=$I37-1,OR(3&lt;&gt;'計算A'!$A$3,'計算A'!$A$4=0))),0,IF(3=$K37,200000,ABS(3-$K37)*100)),100000+ABS(5-$J37)*1000+30)+'計算A'!CX$5*50+IF(AND($E37=1,MK37=0),25,0),IF($F37&gt;0,INDEX('計算A'!CX$110:CX$114,$F37+1)+IF(AND($E37=1,MK37=0),1000,0),MIN(TY37,20)*400+(IF('計算A'!CW$106=1,1-GU37,0)+IF('計算A'!CX$106=1,1-GW37,0))*150+35+'計算A'!CX$5*100000+IF(AND($E37=1,MK37=0),50000,0))+IF($H37=1,(IF('計算A'!CW$117=1,INDEX('計算A'!CW$10:CW$54,$B37),0)+IF('計算A'!CX$117=1,INDEX('計算A'!CY$10:CY$54,$B37),0))*4000,0)-IF(AND('計算A'!CW$117=1,XU37&gt;0),2000,0)-IF(AND($L37=1,'計算A'!CX$117=1,GW37=0),2000,0))),1000000))</f>
        <v/>
      </c>
      <c r="SA37">
        <f>IF($B37=0,1000000,IF(INDEX('計算A'!$D$60:$EQ$104,$B37,100)*GW37=1,IF(AND($E37=2,ML37=0),1000000,IF($I37&gt;0,IF(5=$J37,IF(OR(AND(100=$I37+1,OR($K37&lt;&gt;'計算A'!$A$3,'計算A'!$A$4=0)),AND(100=$I37-1,OR(4&lt;&gt;'計算A'!$A$3,'計算A'!$A$4=0))),0,IF(4=$K37,200000,ABS(4-$K37)*100)),100000+ABS(5-$J37)*1000+40)+'計算A'!CY$5*50+IF(AND($E37=1,ML37=0),25,0),IF($F37&gt;0,INDEX('計算A'!CY$110:CY$114,$F37+1)+IF(AND($E37=1,ML37=0),1000,0),MIN(TY37,20)*400+(IF('計算A'!CX$106=1,1-GV37,0)+IF('計算A'!CY$106=1,1-GX37,0))*150+45+'計算A'!CY$5*100000+IF(AND($E37=1,ML37=0),50000,0))+IF($H37=1,(IF('計算A'!CX$117=1,INDEX('計算A'!CX$10:CX$54,$B37),0)+IF('計算A'!CY$117=1,INDEX('計算A'!CZ$10:CZ$54,$B37),0))*4000,0)-IF(AND('計算A'!CX$117=1,XV37&gt;0),2000,0)-IF(AND($L37=1,'計算A'!CY$117=1,GX37=0),2000,0))),1000000))</f>
        <v/>
      </c>
      <c r="SB37">
        <f>IF($B37=0,1000000,IF(INDEX('計算A'!$D$60:$EQ$104,$B37,101)*GX37=1,IF(AND($E37=2,MM37=0),1000000,IF($I37&gt;0,IF(5=$J37,IF(OR(AND(101=$I37+1,OR($K37&lt;&gt;'計算A'!$A$3,'計算A'!$A$4=0)),AND(101=$I37-1,OR(5&lt;&gt;'計算A'!$A$3,'計算A'!$A$4=0))),0,IF(5=$K37,200000,ABS(5-$K37)*100)),100000+ABS(5-$J37)*1000+50)+'計算A'!CZ$5*50+IF(AND($E37=1,MM37=0),25,0),IF($F37&gt;0,INDEX('計算A'!CZ$110:CZ$114,$F37+1)+IF(AND($E37=1,MM37=0),1000,0),MIN(TY37,20)*400+(IF('計算A'!CY$106=1,1-GW37,0)+IF('計算A'!CZ$106=1,1-GY37,0))*150+55+'計算A'!CZ$5*100000+IF(AND($E37=1,MM37=0),50000,0))+IF($H37=1,(IF('計算A'!CY$117=1,INDEX('計算A'!CY$10:CY$54,$B37),0)+IF('計算A'!CZ$117=1,INDEX('計算A'!DA$10:DA$54,$B37),0))*4000,0)-IF(AND('計算A'!CY$117=1,XW37&gt;0),2000,0)-IF(AND($L37=1,'計算A'!CZ$117=1,GY37=0),2000,0))),1000000))</f>
        <v/>
      </c>
      <c r="SC37">
        <f>IF($B37=0,1000000,IF(INDEX('計算A'!$D$60:$EQ$104,$B37,102)*GY37=1,IF(AND($E37=2,MN37=0),1000000,IF($I37&gt;0,IF(5=$J37,IF(OR(AND(102=$I37+1,OR($K37&lt;&gt;'計算A'!$A$3,'計算A'!$A$4=0)),AND(102=$I37-1,OR(6&lt;&gt;'計算A'!$A$3,'計算A'!$A$4=0))),0,IF(6=$K37,200000,ABS(6-$K37)*100)),100000+ABS(5-$J37)*1000+60)+'計算A'!DA$5*50+IF(AND($E37=1,MN37=0),25,0),IF($F37&gt;0,INDEX('計算A'!DA$110:DA$114,$F37+1)+IF(AND($E37=1,MN37=0),1000,0),MIN(TY37,20)*400+(IF('計算A'!CZ$106=1,1-GX37,0)+IF('計算A'!DA$106=1,1-GZ37,0))*150+65+'計算A'!DA$5*100000+IF(AND($E37=1,MN37=0),50000,0))+IF($H37=1,(IF('計算A'!CZ$117=1,INDEX('計算A'!CZ$10:CZ$54,$B37),0)+IF('計算A'!DA$117=1,INDEX('計算A'!DB$10:DB$54,$B37),0))*4000,0)-IF(AND('計算A'!CZ$117=1,XX37&gt;0),2000,0)-IF(AND($L37=1,'計算A'!DA$117=1,GZ37=0),2000,0))),1000000))</f>
        <v/>
      </c>
      <c r="SD37">
        <f>IF($B37=0,1000000,IF(INDEX('計算A'!$D$60:$EQ$104,$B37,103)*GZ37=1,IF(AND($E37=2,MO37=0),1000000,IF($I37&gt;0,IF(5=$J37,IF(OR(AND(103=$I37+1,OR($K37&lt;&gt;'計算A'!$A$3,'計算A'!$A$4=0)),AND(103=$I37-1,OR(7&lt;&gt;'計算A'!$A$3,'計算A'!$A$4=0))),0,IF(7=$K37,200000,ABS(7-$K37)*100)),100000+ABS(5-$J37)*1000+70)+'計算A'!DB$5*50+IF(AND($E37=1,MO37=0),25,0),IF($F37&gt;0,INDEX('計算A'!DB$110:DB$114,$F37+1)+IF(AND($E37=1,MO37=0),1000,0),MIN(TY37,20)*400+(IF('計算A'!DA$106=1,1-GY37,0)+IF('計算A'!DB$106=1,1-HA37,0))*150+75+'計算A'!DB$5*100000+IF(AND($E37=1,MO37=0),50000,0))+IF($H37=1,(IF('計算A'!DA$117=1,INDEX('計算A'!DA$10:DA$54,$B37),0)+IF('計算A'!DB$117=1,INDEX('計算A'!DC$10:DC$54,$B37),0))*4000,0)-IF(AND('計算A'!DA$117=1,XY37&gt;0),2000,0)-IF(AND($L37=1,'計算A'!DB$117=1,HA37=0),2000,0))),1000000))</f>
        <v/>
      </c>
      <c r="SE37">
        <f>IF($B37=0,1000000,IF(INDEX('計算A'!$D$60:$EQ$104,$B37,104)*HA37=1,IF(AND($E37=2,MP37=0),1000000,IF($I37&gt;0,IF(5=$J37,IF(OR(AND(104=$I37+1,OR($K37&lt;&gt;'計算A'!$A$3,'計算A'!$A$4=0)),AND(104=$I37-1,OR(8&lt;&gt;'計算A'!$A$3,'計算A'!$A$4=0))),0,IF(8=$K37,200000,ABS(8-$K37)*100)),100000+ABS(5-$J37)*1000+80)+'計算A'!DC$5*50+IF(AND($E37=1,MP37=0),25,0),IF($F37&gt;0,INDEX('計算A'!DC$110:DC$114,$F37+1)+IF(AND($E37=1,MP37=0),1000,0),MIN(TY37,20)*400+(IF('計算A'!DB$106=1,1-GZ37,0)+IF('計算A'!DC$106=1,1-HB37,0))*150+85+'計算A'!DC$5*100000+IF(AND($E37=1,MP37=0),50000,0))+IF($H37=1,(IF('計算A'!DB$117=1,INDEX('計算A'!DB$10:DB$54,$B37),0)+IF('計算A'!DC$117=1,INDEX('計算A'!DD$10:DD$54,$B37),0))*4000,0)-IF(AND('計算A'!DB$117=1,XZ37&gt;0),2000,0)-IF(AND($L37=1,'計算A'!DC$117=1,HB37=0),2000,0))),1000000))</f>
        <v/>
      </c>
      <c r="SF37">
        <f>IF($B37=0,1000000,IF(INDEX('計算A'!$D$60:$EQ$104,$B37,105)*HB37=1,IF(AND($E37=2,MQ37=0),1000000,IF($I37&gt;0,IF(5=$J37,IF(OR(AND(105=$I37+1,OR($K37&lt;&gt;'計算A'!$A$3,'計算A'!$A$4=0)),AND(105=$I37-1,OR(9&lt;&gt;'計算A'!$A$3,'計算A'!$A$4=0))),0,IF(9=$K37,200000,ABS(9-$K37)*100)),100000+ABS(5-$J37)*1000+90)+'計算A'!DD$5*50+IF(AND($E37=1,MQ37=0),25,0),IF($F37&gt;0,INDEX('計算A'!DD$110:DD$114,$F37+1)+IF(AND($E37=1,MQ37=0),1000,0),MIN(TY37,20)*400+(IF('計算A'!DC$106=1,1-HA37,0)+IF('計算A'!DD$106=1,1-HC37,0))*150+95+'計算A'!DD$5*100000+IF(AND($E37=1,MQ37=0),50000,0))+IF($H37=1,(IF('計算A'!DC$117=1,INDEX('計算A'!DC$10:DC$54,$B37),0)+IF('計算A'!DD$117=1,INDEX('計算A'!DE$10:DE$54,$B37),0))*4000,0)-IF(AND('計算A'!DC$117=1,YA37&gt;0),2000,0)-IF(AND($L37=1,'計算A'!DD$117=1,HC37=0),2000,0))),1000000))</f>
        <v/>
      </c>
      <c r="SG37">
        <f>IF($B37=0,1000000,IF(INDEX('計算A'!$D$60:$EQ$104,$B37,106)*HC37=1,IF(AND($E37=2,MR37=0),1000000,IF($I37&gt;0,IF(5=$J37,IF(OR(AND(106=$I37+1,OR($K37&lt;&gt;'計算A'!$A$3,'計算A'!$A$4=0)),AND(106=$I37-1,OR(10&lt;&gt;'計算A'!$A$3,'計算A'!$A$4=0))),0,IF(10=$K37,200000,ABS(10-$K37)*100)),100000+ABS(5-$J37)*1000+100)+'計算A'!DE$5*50+IF(AND($E37=1,MR37=0),25,0),IF($F37&gt;0,INDEX('計算A'!DE$110:DE$114,$F37+1)+IF(AND($E37=1,MR37=0),1000,0),MIN(TY37,20)*400+(IF('計算A'!DD$106=1,1-HB37,0)+IF('計算A'!DE$106=1,1-HD37,0))*150+105+'計算A'!DE$5*100000+IF(AND($E37=1,MR37=0),50000,0))+IF($H37=1,(IF('計算A'!DD$117=1,INDEX('計算A'!DD$10:DD$54,$B37),0)+IF('計算A'!DE$117=1,INDEX('計算A'!DF$10:DF$54,$B37),0))*4000,0)-IF(AND('計算A'!DD$117=1,YB37&gt;0),2000,0)-IF(AND($L37=1,'計算A'!DE$117=1,HD37=0),2000,0))),1000000))</f>
        <v/>
      </c>
      <c r="SH37">
        <f>IF($B37=0,1000000,IF(INDEX('計算A'!$D$60:$EQ$104,$B37,107)*HD37=1,IF(AND($E37=2,MS37=0),1000000,IF($I37&gt;0,IF(5=$J37,IF(OR(AND(107=$I37+1,OR($K37&lt;&gt;'計算A'!$A$3,'計算A'!$A$4=0)),AND(107=$I37-1,OR(11&lt;&gt;'計算A'!$A$3,'計算A'!$A$4=0))),0,IF(11=$K37,200000,ABS(11-$K37)*100)),100000+ABS(5-$J37)*1000+110)+'計算A'!DF$5*50+IF(AND($E37=1,MS37=0),25,0),IF($F37&gt;0,INDEX('計算A'!DF$110:DF$114,$F37+1)+IF(AND($E37=1,MS37=0),1000,0),MIN(TY37,20)*400+(IF('計算A'!DE$106=1,1-HC37,0)+IF('計算A'!DF$106=1,1-HE37,0))*150+115+'計算A'!DF$5*100000+IF(AND($E37=1,MS37=0),50000,0))+IF($H37=1,(IF('計算A'!DE$117=1,INDEX('計算A'!DE$10:DE$54,$B37),0)+IF('計算A'!DF$117=1,INDEX('計算A'!DG$10:DG$54,$B37),0))*4000,0)-IF(AND('計算A'!DE$117=1,YC37&gt;0),2000,0)-IF(AND($L37=1,'計算A'!DF$117=1,HE37=0),2000,0))),1000000))</f>
        <v/>
      </c>
      <c r="SI37">
        <f>IF($B37=0,1000000,IF(INDEX('計算A'!$D$60:$EQ$104,$B37,108)*HE37=1,IF(AND($E37=2,MT37=0),1000000,IF($I37&gt;0,IF(5=$J37,IF(OR(AND(108=$I37+1,OR($K37&lt;&gt;'計算A'!$A$3,'計算A'!$A$4=0)),AND(108=$I37-1,OR(12&lt;&gt;'計算A'!$A$3,'計算A'!$A$4=0))),0,IF(12=$K37,200000,ABS(12-$K37)*100)),100000+ABS(5-$J37)*1000+120)+'計算A'!DG$5*50+IF(AND($E37=1,MT37=0),25,0),IF($F37&gt;0,INDEX('計算A'!DG$110:DG$114,$F37+1)+IF(AND($E37=1,MT37=0),1000,0),MIN(TY37,20)*400+(IF('計算A'!DF$106=1,1-HD37,0)+IF('計算A'!DG$106=1,1-HF37,0))*150+125+'計算A'!DG$5*100000+IF(AND($E37=1,MT37=0),50000,0))+IF($H37=1,(IF('計算A'!DF$117=1,INDEX('計算A'!DF$10:DF$54,$B37),0)+IF('計算A'!DG$117=1,INDEX('計算A'!DH$10:DH$54,$B37),0))*4000,0)-IF(AND('計算A'!DF$117=1,YD37&gt;0),2000,0)-IF(AND($L37=1,'計算A'!DG$117=1,HF37=0),2000,0))),1000000))</f>
        <v/>
      </c>
      <c r="SJ37">
        <f>IF($B37=0,1000000,IF(INDEX('計算A'!$D$60:$EQ$104,$B37,109)*HF37=1,IF(AND($E37=2,MU37=0),1000000,IF($I37&gt;0,IF(5=$J37,IF(OR(AND(109=$I37+1,OR($K37&lt;&gt;'計算A'!$A$3,'計算A'!$A$4=0)),AND(109=$I37-1,OR(13&lt;&gt;'計算A'!$A$3,'計算A'!$A$4=0))),0,IF(13=$K37,200000,ABS(13-$K37)*100)),100000+ABS(5-$J37)*1000+130)+'計算A'!DH$5*50+IF(AND($E37=1,MU37=0),25,0),IF($F37&gt;0,INDEX('計算A'!DH$110:DH$114,$F37+1)+IF(AND($E37=1,MU37=0),1000,0),MIN(TY37,20)*400+(IF('計算A'!DG$106=1,1-HE37,0)+IF('計算A'!DH$106=1,1-HG37,0))*150+135+'計算A'!DH$5*100000+IF(AND($E37=1,MU37=0),50000,0))+IF($H37=1,(IF('計算A'!DG$117=1,INDEX('計算A'!DG$10:DG$54,$B37),0)+IF('計算A'!DH$117=1,INDEX('計算A'!DI$10:DI$54,$B37),0))*4000,0)-IF(AND('計算A'!DG$117=1,YE37&gt;0),2000,0)-IF(AND($L37=1,'計算A'!DH$117=1,HG37=0),2000,0))),1000000))</f>
        <v/>
      </c>
      <c r="SK37">
        <f>IF($B37=0,1000000,IF(INDEX('計算A'!$D$60:$EQ$104,$B37,110)*HG37=1,IF(AND($E37=2,MV37=0),1000000,IF($I37&gt;0,IF(5=$J37,IF(OR(AND(110=$I37+1,OR($K37&lt;&gt;'計算A'!$A$3,'計算A'!$A$4=0)),AND(110=$I37-1,OR(14&lt;&gt;'計算A'!$A$3,'計算A'!$A$4=0))),0,IF(14=$K37,200000,ABS(14-$K37)*100)),100000+ABS(5-$J37)*1000+140)+'計算A'!DI$5*50+IF(AND($E37=1,MV37=0),25,0),IF($F37&gt;0,INDEX('計算A'!DI$110:DI$114,$F37+1)+IF(AND($E37=1,MV37=0),1000,0),MIN(TY37,20)*400+(IF('計算A'!DH$106=1,1-HF37,0)+IF('計算A'!DI$106=1,1-HH37,0))*150+145+'計算A'!DI$5*100000+IF(AND($E37=1,MV37=0),50000,0))+IF($H37=1,(IF('計算A'!DH$117=1,INDEX('計算A'!DH$10:DH$54,$B37),0)+IF('計算A'!DI$117=1,INDEX('計算A'!DJ$10:DJ$54,$B37),0))*4000,0)-IF(AND('計算A'!DH$117=1,YF37&gt;0),2000,0)-IF(AND($L37=1,'計算A'!DI$117=1,HH37=0),2000,0))),1000000))</f>
        <v/>
      </c>
      <c r="SL37">
        <f>IF($B37=0,1000000,IF(INDEX('計算A'!$D$60:$EQ$104,$B37,111)*HH37=1,IF(AND($E37=2,MW37=0),1000000,IF($I37&gt;0,IF(5=$J37,IF(OR(AND(111=$I37+1,OR($K37&lt;&gt;'計算A'!$A$3,'計算A'!$A$4=0)),AND(111=$I37-1,OR(15&lt;&gt;'計算A'!$A$3,'計算A'!$A$4=0))),0,IF(15=$K37,200000,ABS(15-$K37)*100)),100000+ABS(5-$J37)*1000+150)+'計算A'!DJ$5*50+IF(AND($E37=1,MW37=0),25,0),IF($F37&gt;0,INDEX('計算A'!DJ$110:DJ$114,$F37+1)+IF(AND($E37=1,MW37=0),1000,0),MIN(TY37,20)*400+(IF('計算A'!DI$106=1,1-HG37,0)+IF('計算A'!DJ$106=1,1-HI37,0))*150+155+'計算A'!DJ$5*100000+IF(AND($E37=1,MW37=0),50000,0))+IF($H37=1,(IF('計算A'!DI$117=1,INDEX('計算A'!DI$10:DI$54,$B37),0)+IF('計算A'!DJ$117=1,INDEX('計算A'!DK$10:DK$54,$B37),0))*4000,0)-IF(AND('計算A'!DI$117=1,YG37&gt;0),2000,0)-IF(AND($L37=1,'計算A'!DJ$117=1,HI37=0),2000,0))),1000000))</f>
        <v/>
      </c>
      <c r="SM37">
        <f>IF($B37=0,1000000,IF(INDEX('計算A'!$D$60:$EQ$104,$B37,112)*HI37=1,IF(AND($E37=2,MX37=0),1000000,IF($I37&gt;0,IF(5=$J37,IF(OR(AND(112=$I37+1,OR($K37&lt;&gt;'計算A'!$A$3,'計算A'!$A$4=0)),AND(112=$I37-1,OR(16&lt;&gt;'計算A'!$A$3,'計算A'!$A$4=0))),0,IF(16=$K37,200000,ABS(16-$K37)*100)),100000+ABS(5-$J37)*1000+160)+'計算A'!DK$5*50+IF(AND($E37=1,MX37=0),25,0),IF($F37&gt;0,INDEX('計算A'!DK$110:DK$114,$F37+1)+IF(AND($E37=1,MX37=0),1000,0),MIN(TY37,20)*400+(IF('計算A'!DJ$106=1,1-HH37,0)+IF('計算A'!DK$106=1,1-HJ37,0))*150+165+'計算A'!DK$5*100000+IF(AND($E37=1,MX37=0),50000,0))+IF($H37=1,(IF('計算A'!DJ$117=1,INDEX('計算A'!DJ$10:DJ$54,$B37),0)+IF('計算A'!DK$117=1,INDEX('計算A'!DL$10:DL$54,$B37),0))*4000,0)-IF(AND('計算A'!DJ$117=1,YH37&gt;0),2000,0)-IF(AND($L37=1,'計算A'!DK$117=1,HJ37=0),2000,0))),1000000))</f>
        <v/>
      </c>
      <c r="SN37">
        <f>IF($B37=0,1000000,IF(INDEX('計算A'!$D$60:$EQ$104,$B37,113)*HJ37=1,IF(AND($E37=2,MY37=0),1000000,IF($I37&gt;0,IF(5=$J37,IF(OR(AND(113=$I37+1,OR($K37&lt;&gt;'計算A'!$A$3,'計算A'!$A$4=0)),AND(113=$I37-1,OR(17&lt;&gt;'計算A'!$A$3,'計算A'!$A$4=0))),0,IF(17=$K37,200000,ABS(17-$K37)*100)),100000+ABS(5-$J37)*1000+170)+'計算A'!DL$5*50+IF(AND($E37=1,MY37=0),25,0),IF($F37&gt;0,INDEX('計算A'!DL$110:DL$114,$F37+1)+IF(AND($E37=1,MY37=0),1000,0),MIN(TY37,20)*400+(IF('計算A'!DK$106=1,1-HI37,0)+IF('計算A'!DL$106=1,1-HK37,0))*150+175+'計算A'!DL$5*100000+IF(AND($E37=1,MY37=0),50000,0))+IF($H37=1,(IF('計算A'!DK$117=1,INDEX('計算A'!DK$10:DK$54,$B37),0)+IF('計算A'!DL$117=1,INDEX('計算A'!DM$10:DM$54,$B37),0))*4000,0)-IF(AND('計算A'!DK$117=1,YI37&gt;0),2000,0)-IF(AND($L37=1,'計算A'!DL$117=1,HK37=0),2000,0))),1000000))</f>
        <v/>
      </c>
      <c r="SO37">
        <f>IF($B37=0,1000000,IF(INDEX('計算A'!$D$60:$EQ$104,$B37,114)*HK37=1,IF(AND($E37=2,MZ37=0),1000000,IF($I37&gt;0,IF(5=$J37,IF(OR(AND(114=$I37+1,OR($K37&lt;&gt;'計算A'!$A$3,'計算A'!$A$4=0)),AND(114=$I37-1,OR(18&lt;&gt;'計算A'!$A$3,'計算A'!$A$4=0))),0,IF(18=$K37,200000,ABS(18-$K37)*100)),100000+ABS(5-$J37)*1000+180)+'計算A'!DM$5*50+IF(AND($E37=1,MZ37=0),25,0),IF($F37&gt;0,INDEX('計算A'!DM$110:DM$114,$F37+1)+IF(AND($E37=1,MZ37=0),1000,0),MIN(TY37,20)*400+(IF('計算A'!DL$106=1,1-HJ37,0)+IF('計算A'!DM$106=1,1-HL37,0))*150+185+'計算A'!DM$5*100000+IF(AND($E37=1,MZ37=0),50000,0))+IF($H37=1,(IF('計算A'!DL$117=1,INDEX('計算A'!DL$10:DL$54,$B37),0)+IF('計算A'!DM$117=1,INDEX('計算A'!DN$10:DN$54,$B37),0))*4000,0)-IF(AND('計算A'!DL$117=1,YJ37&gt;0),2000,0)-IF(AND($L37=1,'計算A'!DM$117=1,HL37=0),2000,0))),1000000))</f>
        <v/>
      </c>
      <c r="SP37">
        <f>IF($B37=0,1000000,IF(INDEX('計算A'!$D$60:$EQ$104,$B37,115)*HL37=1,IF(AND($E37=2,NA37=0),1000000,IF($I37&gt;0,IF(5=$J37,IF(OR(AND(115=$I37+1,OR($K37&lt;&gt;'計算A'!$A$3,'計算A'!$A$4=0)),AND(115=$I37-1,OR(19&lt;&gt;'計算A'!$A$3,'計算A'!$A$4=0))),0,IF(19=$K37,200000,ABS(19-$K37)*100)),100000+ABS(5-$J37)*1000+190)+'計算A'!DN$5*50+IF(AND($E37=1,NA37=0),25,0),IF($F37&gt;0,INDEX('計算A'!DN$110:DN$114,$F37+1)+IF(AND($E37=1,NA37=0),1000,0),MIN(TY37,20)*400+(IF('計算A'!DM$106=1,1-HK37,0)+IF('計算A'!DN$106=1,1-HM37,0))*150+195+'計算A'!DN$5*100000+IF(AND($E37=1,NA37=0),50000,0))+IF($H37=1,(IF('計算A'!DM$117=1,INDEX('計算A'!DM$10:DM$54,$B37),0)+IF('計算A'!DN$117=1,INDEX('計算A'!DO$10:DO$54,$B37),0))*4000,0)-IF(AND('計算A'!DM$117=1,YK37&gt;0),2000,0)-IF(AND($L37=1,'計算A'!DN$117=1,HM37=0),2000,0))),1000000))</f>
        <v/>
      </c>
      <c r="SQ37">
        <f>IF($B37=0,1000000,IF(INDEX('計算A'!$D$60:$EQ$104,$B37,116)*HM37=1,IF(AND($E37=2,NB37=0),1000000,IF($I37&gt;0,IF(5=$J37,IF(OR(AND(116=$I37+1,OR($K37&lt;&gt;'計算A'!$A$3,'計算A'!$A$4=0)),AND(116=$I37-1,OR(20&lt;&gt;'計算A'!$A$3,'計算A'!$A$4=0))),0,IF(20=$K37,200000,ABS(20-$K37)*100)),100000+ABS(5-$J37)*1000+200)+'計算A'!DO$5*50+IF(AND($E37=1,NB37=0),25,0),IF($F37&gt;0,INDEX('計算A'!DO$110:DO$114,$F37+1)+IF(AND($E37=1,NB37=0),1000,0),MIN(TY37,20)*400+(IF('計算A'!DN$106=1,1-HL37,0)+IF('計算A'!DO$106=1,1-HN37,0))*150+205+'計算A'!DO$5*100000+IF(AND($E37=1,NB37=0),50000,0))+IF($H37=1,(IF('計算A'!DN$117=1,INDEX('計算A'!DN$10:DN$54,$B37),0)+IF('計算A'!DO$117=1,INDEX('計算A'!DP$10:DP$54,$B37),0))*4000,0)-IF(AND('計算A'!DN$117=1,YL37&gt;0),2000,0)-IF(AND($L37=1,'計算A'!DO$117=1,HN37=0),2000,0))),1000000))</f>
        <v/>
      </c>
      <c r="SR37">
        <f>IF($B37=0,1000000,IF(INDEX('計算A'!$D$60:$EQ$104,$B37,117)*HN37=1,IF(AND($E37=2,NC37=0),1000000,IF($I37&gt;0,IF(5=$J37,IF(OR(AND(117=$I37+1,OR($K37&lt;&gt;'計算A'!$A$3,'計算A'!$A$4=0)),AND(117=$I37-1,OR(21&lt;&gt;'計算A'!$A$3,'計算A'!$A$4=0))),0,IF(21=$K37,200000,ABS(21-$K37)*100)),100000+ABS(5-$J37)*1000+210)+'計算A'!DP$5*50+IF(AND($E37=1,NC37=0),25,0),IF($F37&gt;0,INDEX('計算A'!DP$110:DP$114,$F37+1)+IF(AND($E37=1,NC37=0),1000,0),MIN(TY37,20)*400+(IF('計算A'!DO$106=1,1-HM37,0)+IF('計算A'!DP$106=1,1-HO37,0))*150+215+'計算A'!DP$5*100000+IF(AND($E37=1,NC37=0),50000,0))+IF($H37=1,(IF('計算A'!DO$117=1,INDEX('計算A'!DO$10:DO$54,$B37),0)+IF('計算A'!DP$117=1,INDEX('計算A'!DQ$10:DQ$54,$B37),0))*4000,0)-IF(AND('計算A'!DO$117=1,YM37&gt;0),2000,0)-IF(AND($L37=1,'計算A'!DP$117=1,HO37=0),2000,0))),1000000))</f>
        <v/>
      </c>
      <c r="SS37">
        <f>IF($B37=0,1000000,IF(INDEX('計算A'!$D$60:$EQ$104,$B37,118)*HO37=1,IF(AND($E37=2,ND37=0),1000000,IF($I37&gt;0,IF(5=$J37,IF(OR(AND(118=$I37+1,OR($K37&lt;&gt;'計算A'!$A$3,'計算A'!$A$4=0)),AND(118=$I37-1,OR(22&lt;&gt;'計算A'!$A$3,'計算A'!$A$4=0))),0,IF(22=$K37,200000,ABS(22-$K37)*100)),100000+ABS(5-$J37)*1000+220)+'計算A'!DQ$5*50+IF(AND($E37=1,ND37=0),25,0),IF($F37&gt;0,INDEX('計算A'!DQ$110:DQ$114,$F37+1)+IF(AND($E37=1,ND37=0),1000,0),MIN(TY37,20)*400+(IF('計算A'!DP$106=1,1-HN37,0)+IF('計算A'!DQ$106=1,1-HP37,0))*150+225+'計算A'!DQ$5*100000+IF(AND($E37=1,ND37=0),50000,0))+IF($H37=1,(IF('計算A'!DP$117=1,INDEX('計算A'!DP$10:DP$54,$B37),0)+IF('計算A'!DQ$117=1,INDEX('計算A'!DR$10:DR$54,$B37),0))*4000,0)-IF(AND('計算A'!DP$117=1,YN37&gt;0),2000,0)-IF(AND($L37=1,'計算A'!DQ$117=1,HP37=0),2000,0))),1000000))</f>
        <v/>
      </c>
      <c r="ST37">
        <f>IF($B37=0,1000000,IF(INDEX('計算A'!$D$60:$EQ$104,$B37,119)*HP37=1,IF(AND($E37=2,NE37=0),1000000,IF($I37&gt;0,IF(5=$J37,IF(OR(AND(119=$I37+1,OR($K37&lt;&gt;'計算A'!$A$3,'計算A'!$A$4=0)),AND(119=$I37-1,OR(23&lt;&gt;'計算A'!$A$3,'計算A'!$A$4=0))),0,IF(23=$K37,200000,ABS(23-$K37)*100)),100000+ABS(5-$J37)*1000+230)+'計算A'!DR$5*50+IF(AND($E37=1,NE37=0),25,0),IF($F37&gt;0,INDEX('計算A'!DR$110:DR$114,$F37+1)+IF(AND($E37=1,NE37=0),1000,0),MIN(TY37,20)*400+(IF('計算A'!DQ$106=1,1-HO37,0)+IF('計算A'!DR$106=1,1-HQ37,0))*150+235+'計算A'!DR$5*100000+IF(AND($E37=1,NE37=0),50000,0))+IF($H37=1,(IF('計算A'!DQ$117=1,INDEX('計算A'!DQ$10:DQ$54,$B37),0)+IF('計算A'!DR$117=1,INDEX('計算A'!DS$10:DS$54,$B37),0))*4000,0)-IF(AND('計算A'!DQ$117=1,YO37&gt;0),2000,0)-IF(AND($L37=1,'計算A'!DR$117=1,HQ37=0),2000,0))),1000000))</f>
        <v/>
      </c>
      <c r="SU37">
        <f>IF($B37=0,1000000,IF(INDEX('計算A'!$D$60:$EQ$104,$B37,120)*HQ37=1,IF(AND($E37=2,NF37=0),1000000,IF($I37&gt;0,IF(5=$J37,IF(OR(AND(120=$I37+1,OR($K37&lt;&gt;'計算A'!$A$3,'計算A'!$A$4=0)),AND(120=$I37-1,OR(24&lt;&gt;'計算A'!$A$3,'計算A'!$A$4=0))),0,IF(24=$K37,200000,ABS(24-$K37)*100)),100000+ABS(5-$J37)*1000+240)+'計算A'!DS$5*50+IF(AND($E37=1,NF37=0),25,0),IF($F37&gt;0,INDEX('計算A'!DS$110:DS$114,$F37+1)+IF(AND($E37=1,NF37=0),1000,0),MIN(TY37,20)*400+(IF('計算A'!DR$106=1,1-HP37,0))*150+245+'計算A'!DS$5*100000+IF(AND($E37=1,NF37=0),50000,0))+IF($H37=1,(IF('計算A'!DR$117=1,INDEX('計算A'!DR$10:DR$54,$B37),0))*4000,0)-IF(AND('計算A'!DR$117=1,YP37&gt;0),2000,0))),1000000))</f>
        <v/>
      </c>
      <c r="SV37">
        <f>IF($B37=0,1000000,IF(INDEX('計算A'!$D$60:$EQ$104,$B37,121)*HR37=1,IF(AND($E37=2,NG37=0),1000000,IF($I37&gt;0,IF(6=$J37,IF(OR(AND(121=$I37+1,OR($K37&lt;&gt;'計算A'!$A$3,'計算A'!$A$4=0)),AND(121=$I37-1,OR(1&lt;&gt;'計算A'!$A$3,'計算A'!$A$4=0))),0,IF(1=$K37,200000,ABS(1-$K37)*100)),100000+ABS(6-$J37)*1000+10)+'計算A'!DT$5*50+IF(AND($E37=1,NG37=0),25,0),IF($F37&gt;0,INDEX('計算A'!DT$110:DT$114,$F37+1)+IF(AND($E37=1,NG37=0),1000,0),MIN(TZ37,20)*400+(IF('計算A'!DT$106=1,1-HS37,0))*150+16+'計算A'!DT$5*100000+IF(AND($E37=1,NG37=0),50000,0))+IF($H37=1,(IF('計算A'!DT$117=1,INDEX('計算A'!DU$10:DU$54,$B37),0))*4000,0)-IF(AND($L37=1,'計算A'!DT$117=1,HS37=0),2000,0))),1000000))</f>
        <v/>
      </c>
      <c r="SW37">
        <f>IF($B37=0,1000000,IF(INDEX('計算A'!$D$60:$EQ$104,$B37,122)*HS37=1,IF(AND($E37=2,NH37=0),1000000,IF($I37&gt;0,IF(6=$J37,IF(OR(AND(122=$I37+1,OR($K37&lt;&gt;'計算A'!$A$3,'計算A'!$A$4=0)),AND(122=$I37-1,OR(2&lt;&gt;'計算A'!$A$3,'計算A'!$A$4=0))),0,IF(2=$K37,200000,ABS(2-$K37)*100)),100000+ABS(6-$J37)*1000+20)+'計算A'!DU$5*50+IF(AND($E37=1,NH37=0),25,0),IF($F37&gt;0,INDEX('計算A'!DU$110:DU$114,$F37+1)+IF(AND($E37=1,NH37=0),1000,0),MIN(TZ37,20)*400+(IF('計算A'!DT$106=1,1-HR37,0)+IF('計算A'!DU$106=1,1-HT37,0))*150+26+'計算A'!DU$5*100000+IF(AND($E37=1,NH37=0),50000,0))+IF($H37=1,(IF('計算A'!DT$117=1,INDEX('計算A'!DT$10:DT$54,$B37),0)+IF('計算A'!DU$117=1,INDEX('計算A'!DV$10:DV$54,$B37),0))*4000,0)-IF(AND('計算A'!DT$117=1,YR37&gt;0),2000,0)-IF(AND($L37=1,'計算A'!DU$117=1,HT37=0),2000,0))),1000000))</f>
        <v/>
      </c>
      <c r="SX37">
        <f>IF($B37=0,1000000,IF(INDEX('計算A'!$D$60:$EQ$104,$B37,123)*HT37=1,IF(AND($E37=2,NI37=0),1000000,IF($I37&gt;0,IF(6=$J37,IF(OR(AND(123=$I37+1,OR($K37&lt;&gt;'計算A'!$A$3,'計算A'!$A$4=0)),AND(123=$I37-1,OR(3&lt;&gt;'計算A'!$A$3,'計算A'!$A$4=0))),0,IF(3=$K37,200000,ABS(3-$K37)*100)),100000+ABS(6-$J37)*1000+30)+'計算A'!DV$5*50+IF(AND($E37=1,NI37=0),25,0),IF($F37&gt;0,INDEX('計算A'!DV$110:DV$114,$F37+1)+IF(AND($E37=1,NI37=0),1000,0),MIN(TZ37,20)*400+(IF('計算A'!DU$106=1,1-HS37,0)+IF('計算A'!DV$106=1,1-HU37,0))*150+36+'計算A'!DV$5*100000+IF(AND($E37=1,NI37=0),50000,0))+IF($H37=1,(IF('計算A'!DU$117=1,INDEX('計算A'!DU$10:DU$54,$B37),0)+IF('計算A'!DV$117=1,INDEX('計算A'!DW$10:DW$54,$B37),0))*4000,0)-IF(AND('計算A'!DU$117=1,YS37&gt;0),2000,0)-IF(AND($L37=1,'計算A'!DV$117=1,HU37=0),2000,0))),1000000))</f>
        <v/>
      </c>
      <c r="SY37">
        <f>IF($B37=0,1000000,IF(INDEX('計算A'!$D$60:$EQ$104,$B37,124)*HU37=1,IF(AND($E37=2,NJ37=0),1000000,IF($I37&gt;0,IF(6=$J37,IF(OR(AND(124=$I37+1,OR($K37&lt;&gt;'計算A'!$A$3,'計算A'!$A$4=0)),AND(124=$I37-1,OR(4&lt;&gt;'計算A'!$A$3,'計算A'!$A$4=0))),0,IF(4=$K37,200000,ABS(4-$K37)*100)),100000+ABS(6-$J37)*1000+40)+'計算A'!DW$5*50+IF(AND($E37=1,NJ37=0),25,0),IF($F37&gt;0,INDEX('計算A'!DW$110:DW$114,$F37+1)+IF(AND($E37=1,NJ37=0),1000,0),MIN(TZ37,20)*400+(IF('計算A'!DV$106=1,1-HT37,0)+IF('計算A'!DW$106=1,1-HV37,0))*150+46+'計算A'!DW$5*100000+IF(AND($E37=1,NJ37=0),50000,0))+IF($H37=1,(IF('計算A'!DV$117=1,INDEX('計算A'!DV$10:DV$54,$B37),0)+IF('計算A'!DW$117=1,INDEX('計算A'!DX$10:DX$54,$B37),0))*4000,0)-IF(AND('計算A'!DV$117=1,YT37&gt;0),2000,0)-IF(AND($L37=1,'計算A'!DW$117=1,HV37=0),2000,0))),1000000))</f>
        <v/>
      </c>
      <c r="SZ37">
        <f>IF($B37=0,1000000,IF(INDEX('計算A'!$D$60:$EQ$104,$B37,125)*HV37=1,IF(AND($E37=2,NK37=0),1000000,IF($I37&gt;0,IF(6=$J37,IF(OR(AND(125=$I37+1,OR($K37&lt;&gt;'計算A'!$A$3,'計算A'!$A$4=0)),AND(125=$I37-1,OR(5&lt;&gt;'計算A'!$A$3,'計算A'!$A$4=0))),0,IF(5=$K37,200000,ABS(5-$K37)*100)),100000+ABS(6-$J37)*1000+50)+'計算A'!DX$5*50+IF(AND($E37=1,NK37=0),25,0),IF($F37&gt;0,INDEX('計算A'!DX$110:DX$114,$F37+1)+IF(AND($E37=1,NK37=0),1000,0),MIN(TZ37,20)*400+(IF('計算A'!DW$106=1,1-HU37,0)+IF('計算A'!DX$106=1,1-HW37,0))*150+56+'計算A'!DX$5*100000+IF(AND($E37=1,NK37=0),50000,0))+IF($H37=1,(IF('計算A'!DW$117=1,INDEX('計算A'!DW$10:DW$54,$B37),0)+IF('計算A'!DX$117=1,INDEX('計算A'!DY$10:DY$54,$B37),0))*4000,0)-IF(AND('計算A'!DW$117=1,YU37&gt;0),2000,0)-IF(AND($L37=1,'計算A'!DX$117=1,HW37=0),2000,0))),1000000))</f>
        <v/>
      </c>
      <c r="TA37">
        <f>IF($B37=0,1000000,IF(INDEX('計算A'!$D$60:$EQ$104,$B37,126)*HW37=1,IF(AND($E37=2,NL37=0),1000000,IF($I37&gt;0,IF(6=$J37,IF(OR(AND(126=$I37+1,OR($K37&lt;&gt;'計算A'!$A$3,'計算A'!$A$4=0)),AND(126=$I37-1,OR(6&lt;&gt;'計算A'!$A$3,'計算A'!$A$4=0))),0,IF(6=$K37,200000,ABS(6-$K37)*100)),100000+ABS(6-$J37)*1000+60)+'計算A'!DY$5*50+IF(AND($E37=1,NL37=0),25,0),IF($F37&gt;0,INDEX('計算A'!DY$110:DY$114,$F37+1)+IF(AND($E37=1,NL37=0),1000,0),MIN(TZ37,20)*400+(IF('計算A'!DX$106=1,1-HV37,0)+IF('計算A'!DY$106=1,1-HX37,0))*150+66+'計算A'!DY$5*100000+IF(AND($E37=1,NL37=0),50000,0))+IF($H37=1,(IF('計算A'!DX$117=1,INDEX('計算A'!DX$10:DX$54,$B37),0)+IF('計算A'!DY$117=1,INDEX('計算A'!DZ$10:DZ$54,$B37),0))*4000,0)-IF(AND('計算A'!DX$117=1,YV37&gt;0),2000,0)-IF(AND($L37=1,'計算A'!DY$117=1,HX37=0),2000,0))),1000000))</f>
        <v/>
      </c>
      <c r="TB37">
        <f>IF($B37=0,1000000,IF(INDEX('計算A'!$D$60:$EQ$104,$B37,127)*HX37=1,IF(AND($E37=2,NM37=0),1000000,IF($I37&gt;0,IF(6=$J37,IF(OR(AND(127=$I37+1,OR($K37&lt;&gt;'計算A'!$A$3,'計算A'!$A$4=0)),AND(127=$I37-1,OR(7&lt;&gt;'計算A'!$A$3,'計算A'!$A$4=0))),0,IF(7=$K37,200000,ABS(7-$K37)*100)),100000+ABS(6-$J37)*1000+70)+'計算A'!DZ$5*50+IF(AND($E37=1,NM37=0),25,0),IF($F37&gt;0,INDEX('計算A'!DZ$110:DZ$114,$F37+1)+IF(AND($E37=1,NM37=0),1000,0),MIN(TZ37,20)*400+(IF('計算A'!DY$106=1,1-HW37,0)+IF('計算A'!DZ$106=1,1-HY37,0))*150+76+'計算A'!DZ$5*100000+IF(AND($E37=1,NM37=0),50000,0))+IF($H37=1,(IF('計算A'!DY$117=1,INDEX('計算A'!DY$10:DY$54,$B37),0)+IF('計算A'!DZ$117=1,INDEX('計算A'!EA$10:EA$54,$B37),0))*4000,0)-IF(AND('計算A'!DY$117=1,YW37&gt;0),2000,0)-IF(AND($L37=1,'計算A'!DZ$117=1,HY37=0),2000,0))),1000000))</f>
        <v/>
      </c>
      <c r="TC37">
        <f>IF($B37=0,1000000,IF(INDEX('計算A'!$D$60:$EQ$104,$B37,128)*HY37=1,IF(AND($E37=2,NN37=0),1000000,IF($I37&gt;0,IF(6=$J37,IF(OR(AND(128=$I37+1,OR($K37&lt;&gt;'計算A'!$A$3,'計算A'!$A$4=0)),AND(128=$I37-1,OR(8&lt;&gt;'計算A'!$A$3,'計算A'!$A$4=0))),0,IF(8=$K37,200000,ABS(8-$K37)*100)),100000+ABS(6-$J37)*1000+80)+'計算A'!EA$5*50+IF(AND($E37=1,NN37=0),25,0),IF($F37&gt;0,INDEX('計算A'!EA$110:EA$114,$F37+1)+IF(AND($E37=1,NN37=0),1000,0),MIN(TZ37,20)*400+(IF('計算A'!DZ$106=1,1-HX37,0)+IF('計算A'!EA$106=1,1-HZ37,0))*150+86+'計算A'!EA$5*100000+IF(AND($E37=1,NN37=0),50000,0))+IF($H37=1,(IF('計算A'!DZ$117=1,INDEX('計算A'!DZ$10:DZ$54,$B37),0)+IF('計算A'!EA$117=1,INDEX('計算A'!EB$10:EB$54,$B37),0))*4000,0)-IF(AND('計算A'!DZ$117=1,YX37&gt;0),2000,0)-IF(AND($L37=1,'計算A'!EA$117=1,HZ37=0),2000,0))),1000000))</f>
        <v/>
      </c>
      <c r="TD37">
        <f>IF($B37=0,1000000,IF(INDEX('計算A'!$D$60:$EQ$104,$B37,129)*HZ37=1,IF(AND($E37=2,NO37=0),1000000,IF($I37&gt;0,IF(6=$J37,IF(OR(AND(129=$I37+1,OR($K37&lt;&gt;'計算A'!$A$3,'計算A'!$A$4=0)),AND(129=$I37-1,OR(9&lt;&gt;'計算A'!$A$3,'計算A'!$A$4=0))),0,IF(9=$K37,200000,ABS(9-$K37)*100)),100000+ABS(6-$J37)*1000+90)+'計算A'!EB$5*50+IF(AND($E37=1,NO37=0),25,0),IF($F37&gt;0,INDEX('計算A'!EB$110:EB$114,$F37+1)+IF(AND($E37=1,NO37=0),1000,0),MIN(TZ37,20)*400+(IF('計算A'!EA$106=1,1-HY37,0)+IF('計算A'!EB$106=1,1-IA37,0))*150+96+'計算A'!EB$5*100000+IF(AND($E37=1,NO37=0),50000,0))+IF($H37=1,(IF('計算A'!EA$117=1,INDEX('計算A'!EA$10:EA$54,$B37),0)+IF('計算A'!EB$117=1,INDEX('計算A'!EC$10:EC$54,$B37),0))*4000,0)-IF(AND('計算A'!EA$117=1,YY37&gt;0),2000,0)-IF(AND($L37=1,'計算A'!EB$117=1,IA37=0),2000,0))),1000000))</f>
        <v/>
      </c>
      <c r="TE37">
        <f>IF($B37=0,1000000,IF(INDEX('計算A'!$D$60:$EQ$104,$B37,130)*IA37=1,IF(AND($E37=2,NP37=0),1000000,IF($I37&gt;0,IF(6=$J37,IF(OR(AND(130=$I37+1,OR($K37&lt;&gt;'計算A'!$A$3,'計算A'!$A$4=0)),AND(130=$I37-1,OR(10&lt;&gt;'計算A'!$A$3,'計算A'!$A$4=0))),0,IF(10=$K37,200000,ABS(10-$K37)*100)),100000+ABS(6-$J37)*1000+100)+'計算A'!EC$5*50+IF(AND($E37=1,NP37=0),25,0),IF($F37&gt;0,INDEX('計算A'!EC$110:EC$114,$F37+1)+IF(AND($E37=1,NP37=0),1000,0),MIN(TZ37,20)*400+(IF('計算A'!EB$106=1,1-HZ37,0)+IF('計算A'!EC$106=1,1-IB37,0))*150+106+'計算A'!EC$5*100000+IF(AND($E37=1,NP37=0),50000,0))+IF($H37=1,(IF('計算A'!EB$117=1,INDEX('計算A'!EB$10:EB$54,$B37),0)+IF('計算A'!EC$117=1,INDEX('計算A'!ED$10:ED$54,$B37),0))*4000,0)-IF(AND('計算A'!EB$117=1,YZ37&gt;0),2000,0)-IF(AND($L37=1,'計算A'!EC$117=1,IB37=0),2000,0))),1000000))</f>
        <v/>
      </c>
      <c r="TF37">
        <f>IF($B37=0,1000000,IF(INDEX('計算A'!$D$60:$EQ$104,$B37,131)*IB37=1,IF(AND($E37=2,NQ37=0),1000000,IF($I37&gt;0,IF(6=$J37,IF(OR(AND(131=$I37+1,OR($K37&lt;&gt;'計算A'!$A$3,'計算A'!$A$4=0)),AND(131=$I37-1,OR(11&lt;&gt;'計算A'!$A$3,'計算A'!$A$4=0))),0,IF(11=$K37,200000,ABS(11-$K37)*100)),100000+ABS(6-$J37)*1000+110)+'計算A'!ED$5*50+IF(AND($E37=1,NQ37=0),25,0),IF($F37&gt;0,INDEX('計算A'!ED$110:ED$114,$F37+1)+IF(AND($E37=1,NQ37=0),1000,0),MIN(TZ37,20)*400+(IF('計算A'!EC$106=1,1-IA37,0)+IF('計算A'!ED$106=1,1-IC37,0))*150+116+'計算A'!ED$5*100000+IF(AND($E37=1,NQ37=0),50000,0))+IF($H37=1,(IF('計算A'!EC$117=1,INDEX('計算A'!EC$10:EC$54,$B37),0)+IF('計算A'!ED$117=1,INDEX('計算A'!EE$10:EE$54,$B37),0))*4000,0)-IF(AND('計算A'!EC$117=1,ZA37&gt;0),2000,0)-IF(AND($L37=1,'計算A'!ED$117=1,IC37=0),2000,0))),1000000))</f>
        <v/>
      </c>
      <c r="TG37">
        <f>IF($B37=0,1000000,IF(INDEX('計算A'!$D$60:$EQ$104,$B37,132)*IC37=1,IF(AND($E37=2,NR37=0),1000000,IF($I37&gt;0,IF(6=$J37,IF(OR(AND(132=$I37+1,OR($K37&lt;&gt;'計算A'!$A$3,'計算A'!$A$4=0)),AND(132=$I37-1,OR(12&lt;&gt;'計算A'!$A$3,'計算A'!$A$4=0))),0,IF(12=$K37,200000,ABS(12-$K37)*100)),100000+ABS(6-$J37)*1000+120)+'計算A'!EE$5*50+IF(AND($E37=1,NR37=0),25,0),IF($F37&gt;0,INDEX('計算A'!EE$110:EE$114,$F37+1)+IF(AND($E37=1,NR37=0),1000,0),MIN(TZ37,20)*400+(IF('計算A'!ED$106=1,1-IB37,0)+IF('計算A'!EE$106=1,1-ID37,0))*150+126+'計算A'!EE$5*100000+IF(AND($E37=1,NR37=0),50000,0))+IF($H37=1,(IF('計算A'!ED$117=1,INDEX('計算A'!ED$10:ED$54,$B37),0)+IF('計算A'!EE$117=1,INDEX('計算A'!EF$10:EF$54,$B37),0))*4000,0)-IF(AND('計算A'!ED$117=1,ZB37&gt;0),2000,0)-IF(AND($L37=1,'計算A'!EE$117=1,ID37=0),2000,0))),1000000))</f>
        <v/>
      </c>
      <c r="TH37">
        <f>IF($B37=0,1000000,IF(INDEX('計算A'!$D$60:$EQ$104,$B37,133)*ID37=1,IF(AND($E37=2,NS37=0),1000000,IF($I37&gt;0,IF(6=$J37,IF(OR(AND(133=$I37+1,OR($K37&lt;&gt;'計算A'!$A$3,'計算A'!$A$4=0)),AND(133=$I37-1,OR(13&lt;&gt;'計算A'!$A$3,'計算A'!$A$4=0))),0,IF(13=$K37,200000,ABS(13-$K37)*100)),100000+ABS(6-$J37)*1000+130)+'計算A'!EF$5*50+IF(AND($E37=1,NS37=0),25,0),IF($F37&gt;0,INDEX('計算A'!EF$110:EF$114,$F37+1)+IF(AND($E37=1,NS37=0),1000,0),MIN(TZ37,20)*400+(IF('計算A'!EE$106=1,1-IC37,0)+IF('計算A'!EF$106=1,1-IE37,0))*150+136+'計算A'!EF$5*100000+IF(AND($E37=1,NS37=0),50000,0))+IF($H37=1,(IF('計算A'!EE$117=1,INDEX('計算A'!EE$10:EE$54,$B37),0)+IF('計算A'!EF$117=1,INDEX('計算A'!EG$10:EG$54,$B37),0))*4000,0)-IF(AND('計算A'!EE$117=1,ZC37&gt;0),2000,0)-IF(AND($L37=1,'計算A'!EF$117=1,IE37=0),2000,0))),1000000))</f>
        <v/>
      </c>
      <c r="TI37">
        <f>IF($B37=0,1000000,IF(INDEX('計算A'!$D$60:$EQ$104,$B37,134)*IE37=1,IF(AND($E37=2,NT37=0),1000000,IF($I37&gt;0,IF(6=$J37,IF(OR(AND(134=$I37+1,OR($K37&lt;&gt;'計算A'!$A$3,'計算A'!$A$4=0)),AND(134=$I37-1,OR(14&lt;&gt;'計算A'!$A$3,'計算A'!$A$4=0))),0,IF(14=$K37,200000,ABS(14-$K37)*100)),100000+ABS(6-$J37)*1000+140)+'計算A'!EG$5*50+IF(AND($E37=1,NT37=0),25,0),IF($F37&gt;0,INDEX('計算A'!EG$110:EG$114,$F37+1)+IF(AND($E37=1,NT37=0),1000,0),MIN(TZ37,20)*400+(IF('計算A'!EF$106=1,1-ID37,0)+IF('計算A'!EG$106=1,1-IF37,0))*150+146+'計算A'!EG$5*100000+IF(AND($E37=1,NT37=0),50000,0))+IF($H37=1,(IF('計算A'!EF$117=1,INDEX('計算A'!EF$10:EF$54,$B37),0)+IF('計算A'!EG$117=1,INDEX('計算A'!EH$10:EH$54,$B37),0))*4000,0)-IF(AND('計算A'!EF$117=1,ZD37&gt;0),2000,0)-IF(AND($L37=1,'計算A'!EG$117=1,IF37=0),2000,0))),1000000))</f>
        <v/>
      </c>
      <c r="TJ37">
        <f>IF($B37=0,1000000,IF(INDEX('計算A'!$D$60:$EQ$104,$B37,135)*IF37=1,IF(AND($E37=2,NU37=0),1000000,IF($I37&gt;0,IF(6=$J37,IF(OR(AND(135=$I37+1,OR($K37&lt;&gt;'計算A'!$A$3,'計算A'!$A$4=0)),AND(135=$I37-1,OR(15&lt;&gt;'計算A'!$A$3,'計算A'!$A$4=0))),0,IF(15=$K37,200000,ABS(15-$K37)*100)),100000+ABS(6-$J37)*1000+150)+'計算A'!EH$5*50+IF(AND($E37=1,NU37=0),25,0),IF($F37&gt;0,INDEX('計算A'!EH$110:EH$114,$F37+1)+IF(AND($E37=1,NU37=0),1000,0),MIN(TZ37,20)*400+(IF('計算A'!EG$106=1,1-IE37,0)+IF('計算A'!EH$106=1,1-IG37,0))*150+156+'計算A'!EH$5*100000+IF(AND($E37=1,NU37=0),50000,0))+IF($H37=1,(IF('計算A'!EG$117=1,INDEX('計算A'!EG$10:EG$54,$B37),0)+IF('計算A'!EH$117=1,INDEX('計算A'!EI$10:EI$54,$B37),0))*4000,0)-IF(AND('計算A'!EG$117=1,ZE37&gt;0),2000,0)-IF(AND($L37=1,'計算A'!EH$117=1,IG37=0),2000,0))),1000000))</f>
        <v/>
      </c>
      <c r="TK37">
        <f>IF($B37=0,1000000,IF(INDEX('計算A'!$D$60:$EQ$104,$B37,136)*IG37=1,IF(AND($E37=2,NV37=0),1000000,IF($I37&gt;0,IF(6=$J37,IF(OR(AND(136=$I37+1,OR($K37&lt;&gt;'計算A'!$A$3,'計算A'!$A$4=0)),AND(136=$I37-1,OR(16&lt;&gt;'計算A'!$A$3,'計算A'!$A$4=0))),0,IF(16=$K37,200000,ABS(16-$K37)*100)),100000+ABS(6-$J37)*1000+160)+'計算A'!EI$5*50+IF(AND($E37=1,NV37=0),25,0),IF($F37&gt;0,INDEX('計算A'!EI$110:EI$114,$F37+1)+IF(AND($E37=1,NV37=0),1000,0),MIN(TZ37,20)*400+(IF('計算A'!EH$106=1,1-IF37,0)+IF('計算A'!EI$106=1,1-IH37,0))*150+166+'計算A'!EI$5*100000+IF(AND($E37=1,NV37=0),50000,0))+IF($H37=1,(IF('計算A'!EH$117=1,INDEX('計算A'!EH$10:EH$54,$B37),0)+IF('計算A'!EI$117=1,INDEX('計算A'!EJ$10:EJ$54,$B37),0))*4000,0)-IF(AND('計算A'!EH$117=1,ZF37&gt;0),2000,0)-IF(AND($L37=1,'計算A'!EI$117=1,IH37=0),2000,0))),1000000))</f>
        <v/>
      </c>
      <c r="TL37">
        <f>IF($B37=0,1000000,IF(INDEX('計算A'!$D$60:$EQ$104,$B37,137)*IH37=1,IF(AND($E37=2,NW37=0),1000000,IF($I37&gt;0,IF(6=$J37,IF(OR(AND(137=$I37+1,OR($K37&lt;&gt;'計算A'!$A$3,'計算A'!$A$4=0)),AND(137=$I37-1,OR(17&lt;&gt;'計算A'!$A$3,'計算A'!$A$4=0))),0,IF(17=$K37,200000,ABS(17-$K37)*100)),100000+ABS(6-$J37)*1000+170)+'計算A'!EJ$5*50+IF(AND($E37=1,NW37=0),25,0),IF($F37&gt;0,INDEX('計算A'!EJ$110:EJ$114,$F37+1)+IF(AND($E37=1,NW37=0),1000,0),MIN(TZ37,20)*400+(IF('計算A'!EI$106=1,1-IG37,0)+IF('計算A'!EJ$106=1,1-II37,0))*150+176+'計算A'!EJ$5*100000+IF(AND($E37=1,NW37=0),50000,0))+IF($H37=1,(IF('計算A'!EI$117=1,INDEX('計算A'!EI$10:EI$54,$B37),0)+IF('計算A'!EJ$117=1,INDEX('計算A'!EK$10:EK$54,$B37),0))*4000,0)-IF(AND('計算A'!EI$117=1,ZG37&gt;0),2000,0)-IF(AND($L37=1,'計算A'!EJ$117=1,II37=0),2000,0))),1000000))</f>
        <v/>
      </c>
      <c r="TM37">
        <f>IF($B37=0,1000000,IF(INDEX('計算A'!$D$60:$EQ$104,$B37,138)*II37=1,IF(AND($E37=2,NX37=0),1000000,IF($I37&gt;0,IF(6=$J37,IF(OR(AND(138=$I37+1,OR($K37&lt;&gt;'計算A'!$A$3,'計算A'!$A$4=0)),AND(138=$I37-1,OR(18&lt;&gt;'計算A'!$A$3,'計算A'!$A$4=0))),0,IF(18=$K37,200000,ABS(18-$K37)*100)),100000+ABS(6-$J37)*1000+180)+'計算A'!EK$5*50+IF(AND($E37=1,NX37=0),25,0),IF($F37&gt;0,INDEX('計算A'!EK$110:EK$114,$F37+1)+IF(AND($E37=1,NX37=0),1000,0),MIN(TZ37,20)*400+(IF('計算A'!EJ$106=1,1-IH37,0)+IF('計算A'!EK$106=1,1-IJ37,0))*150+186+'計算A'!EK$5*100000+IF(AND($E37=1,NX37=0),50000,0))+IF($H37=1,(IF('計算A'!EJ$117=1,INDEX('計算A'!EJ$10:EJ$54,$B37),0)+IF('計算A'!EK$117=1,INDEX('計算A'!EL$10:EL$54,$B37),0))*4000,0)-IF(AND('計算A'!EJ$117=1,ZH37&gt;0),2000,0)-IF(AND($L37=1,'計算A'!EK$117=1,IJ37=0),2000,0))),1000000))</f>
        <v/>
      </c>
      <c r="TN37">
        <f>IF($B37=0,1000000,IF(INDEX('計算A'!$D$60:$EQ$104,$B37,139)*IJ37=1,IF(AND($E37=2,NY37=0),1000000,IF($I37&gt;0,IF(6=$J37,IF(OR(AND(139=$I37+1,OR($K37&lt;&gt;'計算A'!$A$3,'計算A'!$A$4=0)),AND(139=$I37-1,OR(19&lt;&gt;'計算A'!$A$3,'計算A'!$A$4=0))),0,IF(19=$K37,200000,ABS(19-$K37)*100)),100000+ABS(6-$J37)*1000+190)+'計算A'!EL$5*50+IF(AND($E37=1,NY37=0),25,0),IF($F37&gt;0,INDEX('計算A'!EL$110:EL$114,$F37+1)+IF(AND($E37=1,NY37=0),1000,0),MIN(TZ37,20)*400+(IF('計算A'!EK$106=1,1-II37,0)+IF('計算A'!EL$106=1,1-IK37,0))*150+196+'計算A'!EL$5*100000+IF(AND($E37=1,NY37=0),50000,0))+IF($H37=1,(IF('計算A'!EK$117=1,INDEX('計算A'!EK$10:EK$54,$B37),0)+IF('計算A'!EL$117=1,INDEX('計算A'!EM$10:EM$54,$B37),0))*4000,0)-IF(AND('計算A'!EK$117=1,ZI37&gt;0),2000,0)-IF(AND($L37=1,'計算A'!EL$117=1,IK37=0),2000,0))),1000000))</f>
        <v/>
      </c>
      <c r="TO37">
        <f>IF($B37=0,1000000,IF(INDEX('計算A'!$D$60:$EQ$104,$B37,140)*IK37=1,IF(AND($E37=2,NZ37=0),1000000,IF($I37&gt;0,IF(6=$J37,IF(OR(AND(140=$I37+1,OR($K37&lt;&gt;'計算A'!$A$3,'計算A'!$A$4=0)),AND(140=$I37-1,OR(20&lt;&gt;'計算A'!$A$3,'計算A'!$A$4=0))),0,IF(20=$K37,200000,ABS(20-$K37)*100)),100000+ABS(6-$J37)*1000+200)+'計算A'!EM$5*50+IF(AND($E37=1,NZ37=0),25,0),IF($F37&gt;0,INDEX('計算A'!EM$110:EM$114,$F37+1)+IF(AND($E37=1,NZ37=0),1000,0),MIN(TZ37,20)*400+(IF('計算A'!EL$106=1,1-IJ37,0)+IF('計算A'!EM$106=1,1-IL37,0))*150+206+'計算A'!EM$5*100000+IF(AND($E37=1,NZ37=0),50000,0))+IF($H37=1,(IF('計算A'!EL$117=1,INDEX('計算A'!EL$10:EL$54,$B37),0)+IF('計算A'!EM$117=1,INDEX('計算A'!EN$10:EN$54,$B37),0))*4000,0)-IF(AND('計算A'!EL$117=1,ZJ37&gt;0),2000,0)-IF(AND($L37=1,'計算A'!EM$117=1,IL37=0),2000,0))),1000000))</f>
        <v/>
      </c>
      <c r="TP37">
        <f>IF($B37=0,1000000,IF(INDEX('計算A'!$D$60:$EQ$104,$B37,141)*IL37=1,IF(AND($E37=2,OA37=0),1000000,IF($I37&gt;0,IF(6=$J37,IF(OR(AND(141=$I37+1,OR($K37&lt;&gt;'計算A'!$A$3,'計算A'!$A$4=0)),AND(141=$I37-1,OR(21&lt;&gt;'計算A'!$A$3,'計算A'!$A$4=0))),0,IF(21=$K37,200000,ABS(21-$K37)*100)),100000+ABS(6-$J37)*1000+210)+'計算A'!EN$5*50+IF(AND($E37=1,OA37=0),25,0),IF($F37&gt;0,INDEX('計算A'!EN$110:EN$114,$F37+1)+IF(AND($E37=1,OA37=0),1000,0),MIN(TZ37,20)*400+(IF('計算A'!EM$106=1,1-IK37,0)+IF('計算A'!EN$106=1,1-IM37,0))*150+216+'計算A'!EN$5*100000+IF(AND($E37=1,OA37=0),50000,0))+IF($H37=1,(IF('計算A'!EM$117=1,INDEX('計算A'!EM$10:EM$54,$B37),0)+IF('計算A'!EN$117=1,INDEX('計算A'!EO$10:EO$54,$B37),0))*4000,0)-IF(AND('計算A'!EM$117=1,ZK37&gt;0),2000,0)-IF(AND($L37=1,'計算A'!EN$117=1,IM37=0),2000,0))),1000000))</f>
        <v/>
      </c>
      <c r="TQ37">
        <f>IF($B37=0,1000000,IF(INDEX('計算A'!$D$60:$EQ$104,$B37,142)*IM37=1,IF(AND($E37=2,OB37=0),1000000,IF($I37&gt;0,IF(6=$J37,IF(OR(AND(142=$I37+1,OR($K37&lt;&gt;'計算A'!$A$3,'計算A'!$A$4=0)),AND(142=$I37-1,OR(22&lt;&gt;'計算A'!$A$3,'計算A'!$A$4=0))),0,IF(22=$K37,200000,ABS(22-$K37)*100)),100000+ABS(6-$J37)*1000+220)+'計算A'!EO$5*50+IF(AND($E37=1,OB37=0),25,0),IF($F37&gt;0,INDEX('計算A'!EO$110:EO$114,$F37+1)+IF(AND($E37=1,OB37=0),1000,0),MIN(TZ37,20)*400+(IF('計算A'!EN$106=1,1-IL37,0)+IF('計算A'!EO$106=1,1-IN37,0))*150+226+'計算A'!EO$5*100000+IF(AND($E37=1,OB37=0),50000,0))+IF($H37=1,(IF('計算A'!EN$117=1,INDEX('計算A'!EN$10:EN$54,$B37),0)+IF('計算A'!EO$117=1,INDEX('計算A'!EP$10:EP$54,$B37),0))*4000,0)-IF(AND('計算A'!EN$117=1,ZL37&gt;0),2000,0)-IF(AND($L37=1,'計算A'!EO$117=1,IN37=0),2000,0))),1000000))</f>
        <v/>
      </c>
      <c r="TR37">
        <f>IF($B37=0,1000000,IF(INDEX('計算A'!$D$60:$EQ$104,$B37,143)*IN37=1,IF(AND($E37=2,OC37=0),1000000,IF($I37&gt;0,IF(6=$J37,IF(OR(AND(143=$I37+1,OR($K37&lt;&gt;'計算A'!$A$3,'計算A'!$A$4=0)),AND(143=$I37-1,OR(23&lt;&gt;'計算A'!$A$3,'計算A'!$A$4=0))),0,IF(23=$K37,200000,ABS(23-$K37)*100)),100000+ABS(6-$J37)*1000+230)+'計算A'!EP$5*50+IF(AND($E37=1,OC37=0),25,0),IF($F37&gt;0,INDEX('計算A'!EP$110:EP$114,$F37+1)+IF(AND($E37=1,OC37=0),1000,0),MIN(TZ37,20)*400+(IF('計算A'!EO$106=1,1-IM37,0)+IF('計算A'!EP$106=1,1-IO37,0))*150+236+'計算A'!EP$5*100000+IF(AND($E37=1,OC37=0),50000,0))+IF($H37=1,(IF('計算A'!EO$117=1,INDEX('計算A'!EO$10:EO$54,$B37),0)+IF('計算A'!EP$117=1,INDEX('計算A'!EQ$10:EQ$54,$B37),0))*4000,0)-IF(AND('計算A'!EO$117=1,ZM37&gt;0),2000,0)-IF(AND($L37=1,'計算A'!EP$117=1,IO37=0),2000,0))),1000000))</f>
        <v/>
      </c>
      <c r="TS37">
        <f>IF($B37=0,1000000,IF(INDEX('計算A'!$D$60:$EQ$104,$B37,144)*IO37=1,IF(AND($E37=2,OD37=0),1000000,IF($I37&gt;0,IF(6=$J37,IF(OR(AND(144=$I37+1,OR($K37&lt;&gt;'計算A'!$A$3,'計算A'!$A$4=0)),AND(144=$I37-1,OR(24&lt;&gt;'計算A'!$A$3,'計算A'!$A$4=0))),0,IF(24=$K37,200000,ABS(24-$K37)*100)),100000+ABS(6-$J37)*1000+240)+'計算A'!EQ$5*50+IF(AND($E37=1,OD37=0),25,0),IF($F37&gt;0,INDEX('計算A'!EQ$110:EQ$114,$F37+1)+IF(AND($E37=1,OD37=0),1000,0),MIN(TZ37,20)*400+(IF('計算A'!EP$106=1,1-IN37,0))*150+246+'計算A'!EQ$5*100000+IF(AND($E37=1,OD37=0),50000,0))+IF($H37=1,(IF('計算A'!EP$117=1,INDEX('計算A'!EP$10:EP$54,$B37),0))*4000,0)-IF(AND('計算A'!EP$117=1,ZN37&gt;0),2000,0))),1000000))</f>
        <v/>
      </c>
      <c r="TU37">
        <f>TU36+IF($C36&gt;0,IF(INDEX('計算A'!$D$2:$EQ$2,$C36)=1,1,0),0)</f>
        <v/>
      </c>
      <c r="TV37">
        <f>TV36+IF($C36&gt;0,IF(INDEX('計算A'!$D$2:$EQ$2,$C36)=2,1,0),0)</f>
        <v/>
      </c>
      <c r="TW37">
        <f>TW36+IF($C36&gt;0,IF(INDEX('計算A'!$D$2:$EQ$2,$C36)=3,1,0),0)</f>
        <v/>
      </c>
      <c r="TX37">
        <f>TX36+IF($C36&gt;0,IF(INDEX('計算A'!$D$2:$EQ$2,$C36)=4,1,0),0)</f>
        <v/>
      </c>
      <c r="TY37">
        <f>TY36+IF($C36&gt;0,IF(INDEX('計算A'!$D$2:$EQ$2,$C36)=5,1,0),0)</f>
        <v/>
      </c>
      <c r="TZ37">
        <f>TZ36+IF($C36&gt;0,IF(INDEX('計算A'!$D$2:$EQ$2,$C36)=6,1,0),0)</f>
        <v/>
      </c>
      <c r="UB37">
        <f>UB36+IF(AND($C36=1,$L36=1),1,0)</f>
        <v/>
      </c>
      <c r="UC37">
        <f>UC36+IF(AND($C36=2,$L36=1),1,0)</f>
        <v/>
      </c>
      <c r="UD37">
        <f>UD36+IF(AND($C36=3,$L36=1),1,0)</f>
        <v/>
      </c>
      <c r="UE37">
        <f>UE36+IF(AND($C36=4,$L36=1),1,0)</f>
        <v/>
      </c>
      <c r="UF37">
        <f>UF36+IF(AND($C36=5,$L36=1),1,0)</f>
        <v/>
      </c>
      <c r="UG37">
        <f>UG36+IF(AND($C36=6,$L36=1),1,0)</f>
        <v/>
      </c>
      <c r="UH37">
        <f>UH36+IF(AND($C36=7,$L36=1),1,0)</f>
        <v/>
      </c>
      <c r="UI37">
        <f>UI36+IF(AND($C36=8,$L36=1),1,0)</f>
        <v/>
      </c>
      <c r="UJ37">
        <f>UJ36+IF(AND($C36=9,$L36=1),1,0)</f>
        <v/>
      </c>
      <c r="UK37">
        <f>UK36+IF(AND($C36=10,$L36=1),1,0)</f>
        <v/>
      </c>
      <c r="UL37">
        <f>UL36+IF(AND($C36=11,$L36=1),1,0)</f>
        <v/>
      </c>
      <c r="UM37">
        <f>UM36+IF(AND($C36=12,$L36=1),1,0)</f>
        <v/>
      </c>
      <c r="UN37">
        <f>UN36+IF(AND($C36=13,$L36=1),1,0)</f>
        <v/>
      </c>
      <c r="UO37">
        <f>UO36+IF(AND($C36=14,$L36=1),1,0)</f>
        <v/>
      </c>
      <c r="UP37">
        <f>UP36+IF(AND($C36=15,$L36=1),1,0)</f>
        <v/>
      </c>
      <c r="UQ37">
        <f>UQ36+IF(AND($C36=16,$L36=1),1,0)</f>
        <v/>
      </c>
      <c r="UR37">
        <f>UR36+IF(AND($C36=17,$L36=1),1,0)</f>
        <v/>
      </c>
      <c r="US37">
        <f>US36+IF(AND($C36=18,$L36=1),1,0)</f>
        <v/>
      </c>
      <c r="UT37">
        <f>UT36+IF(AND($C36=19,$L36=1),1,0)</f>
        <v/>
      </c>
      <c r="UU37">
        <f>UU36+IF(AND($C36=20,$L36=1),1,0)</f>
        <v/>
      </c>
      <c r="UV37">
        <f>UV36+IF(AND($C36=21,$L36=1),1,0)</f>
        <v/>
      </c>
      <c r="UW37">
        <f>UW36+IF(AND($C36=22,$L36=1),1,0)</f>
        <v/>
      </c>
      <c r="UX37">
        <f>UX36+IF(AND($C36=23,$L36=1),1,0)</f>
        <v/>
      </c>
      <c r="UY37">
        <f>UY36+IF(AND($C36=24,$L36=1),1,0)</f>
        <v/>
      </c>
      <c r="UZ37">
        <f>UZ36+IF(AND($C36=25,$L36=1),1,0)</f>
        <v/>
      </c>
      <c r="VA37">
        <f>VA36+IF(AND($C36=26,$L36=1),1,0)</f>
        <v/>
      </c>
      <c r="VB37">
        <f>VB36+IF(AND($C36=27,$L36=1),1,0)</f>
        <v/>
      </c>
      <c r="VC37">
        <f>VC36+IF(AND($C36=28,$L36=1),1,0)</f>
        <v/>
      </c>
      <c r="VD37">
        <f>VD36+IF(AND($C36=29,$L36=1),1,0)</f>
        <v/>
      </c>
      <c r="VE37">
        <f>VE36+IF(AND($C36=30,$L36=1),1,0)</f>
        <v/>
      </c>
      <c r="VF37">
        <f>VF36+IF(AND($C36=31,$L36=1),1,0)</f>
        <v/>
      </c>
      <c r="VG37">
        <f>VG36+IF(AND($C36=32,$L36=1),1,0)</f>
        <v/>
      </c>
      <c r="VH37">
        <f>VH36+IF(AND($C36=33,$L36=1),1,0)</f>
        <v/>
      </c>
      <c r="VI37">
        <f>VI36+IF(AND($C36=34,$L36=1),1,0)</f>
        <v/>
      </c>
      <c r="VJ37">
        <f>VJ36+IF(AND($C36=35,$L36=1),1,0)</f>
        <v/>
      </c>
      <c r="VK37">
        <f>VK36+IF(AND($C36=36,$L36=1),1,0)</f>
        <v/>
      </c>
      <c r="VL37">
        <f>VL36+IF(AND($C36=37,$L36=1),1,0)</f>
        <v/>
      </c>
      <c r="VM37">
        <f>VM36+IF(AND($C36=38,$L36=1),1,0)</f>
        <v/>
      </c>
      <c r="VN37">
        <f>VN36+IF(AND($C36=39,$L36=1),1,0)</f>
        <v/>
      </c>
      <c r="VO37">
        <f>VO36+IF(AND($C36=40,$L36=1),1,0)</f>
        <v/>
      </c>
      <c r="VP37">
        <f>VP36+IF(AND($C36=41,$L36=1),1,0)</f>
        <v/>
      </c>
      <c r="VQ37">
        <f>VQ36+IF(AND($C36=42,$L36=1),1,0)</f>
        <v/>
      </c>
      <c r="VR37">
        <f>VR36+IF(AND($C36=43,$L36=1),1,0)</f>
        <v/>
      </c>
      <c r="VS37">
        <f>VS36+IF(AND($C36=44,$L36=1),1,0)</f>
        <v/>
      </c>
      <c r="VT37">
        <f>VT36+IF(AND($C36=45,$L36=1),1,0)</f>
        <v/>
      </c>
      <c r="VU37">
        <f>VU36+IF(AND($C36=46,$L36=1),1,0)</f>
        <v/>
      </c>
      <c r="VV37">
        <f>VV36+IF(AND($C36=47,$L36=1),1,0)</f>
        <v/>
      </c>
      <c r="VW37">
        <f>VW36+IF(AND($C36=48,$L36=1),1,0)</f>
        <v/>
      </c>
      <c r="VX37">
        <f>VX36+IF(AND($C36=49,$L36=1),1,0)</f>
        <v/>
      </c>
      <c r="VY37">
        <f>VY36+IF(AND($C36=50,$L36=1),1,0)</f>
        <v/>
      </c>
      <c r="VZ37">
        <f>VZ36+IF(AND($C36=51,$L36=1),1,0)</f>
        <v/>
      </c>
      <c r="WA37">
        <f>WA36+IF(AND($C36=52,$L36=1),1,0)</f>
        <v/>
      </c>
      <c r="WB37">
        <f>WB36+IF(AND($C36=53,$L36=1),1,0)</f>
        <v/>
      </c>
      <c r="WC37">
        <f>WC36+IF(AND($C36=54,$L36=1),1,0)</f>
        <v/>
      </c>
      <c r="WD37">
        <f>WD36+IF(AND($C36=55,$L36=1),1,0)</f>
        <v/>
      </c>
      <c r="WE37">
        <f>WE36+IF(AND($C36=56,$L36=1),1,0)</f>
        <v/>
      </c>
      <c r="WF37">
        <f>WF36+IF(AND($C36=57,$L36=1),1,0)</f>
        <v/>
      </c>
      <c r="WG37">
        <f>WG36+IF(AND($C36=58,$L36=1),1,0)</f>
        <v/>
      </c>
      <c r="WH37">
        <f>WH36+IF(AND($C36=59,$L36=1),1,0)</f>
        <v/>
      </c>
      <c r="WI37">
        <f>WI36+IF(AND($C36=60,$L36=1),1,0)</f>
        <v/>
      </c>
      <c r="WJ37">
        <f>WJ36+IF(AND($C36=61,$L36=1),1,0)</f>
        <v/>
      </c>
      <c r="WK37">
        <f>WK36+IF(AND($C36=62,$L36=1),1,0)</f>
        <v/>
      </c>
      <c r="WL37">
        <f>WL36+IF(AND($C36=63,$L36=1),1,0)</f>
        <v/>
      </c>
      <c r="WM37">
        <f>WM36+IF(AND($C36=64,$L36=1),1,0)</f>
        <v/>
      </c>
      <c r="WN37">
        <f>WN36+IF(AND($C36=65,$L36=1),1,0)</f>
        <v/>
      </c>
      <c r="WO37">
        <f>WO36+IF(AND($C36=66,$L36=1),1,0)</f>
        <v/>
      </c>
      <c r="WP37">
        <f>WP36+IF(AND($C36=67,$L36=1),1,0)</f>
        <v/>
      </c>
      <c r="WQ37">
        <f>WQ36+IF(AND($C36=68,$L36=1),1,0)</f>
        <v/>
      </c>
      <c r="WR37">
        <f>WR36+IF(AND($C36=69,$L36=1),1,0)</f>
        <v/>
      </c>
      <c r="WS37">
        <f>WS36+IF(AND($C36=70,$L36=1),1,0)</f>
        <v/>
      </c>
      <c r="WT37">
        <f>WT36+IF(AND($C36=71,$L36=1),1,0)</f>
        <v/>
      </c>
      <c r="WU37">
        <f>WU36+IF(AND($C36=72,$L36=1),1,0)</f>
        <v/>
      </c>
      <c r="WV37">
        <f>WV36+IF(AND($C36=73,$L36=1),1,0)</f>
        <v/>
      </c>
      <c r="WW37">
        <f>WW36+IF(AND($C36=74,$L36=1),1,0)</f>
        <v/>
      </c>
      <c r="WX37">
        <f>WX36+IF(AND($C36=75,$L36=1),1,0)</f>
        <v/>
      </c>
      <c r="WY37">
        <f>WY36+IF(AND($C36=76,$L36=1),1,0)</f>
        <v/>
      </c>
      <c r="WZ37">
        <f>WZ36+IF(AND($C36=77,$L36=1),1,0)</f>
        <v/>
      </c>
      <c r="XA37">
        <f>XA36+IF(AND($C36=78,$L36=1),1,0)</f>
        <v/>
      </c>
      <c r="XB37">
        <f>XB36+IF(AND($C36=79,$L36=1),1,0)</f>
        <v/>
      </c>
      <c r="XC37">
        <f>XC36+IF(AND($C36=80,$L36=1),1,0)</f>
        <v/>
      </c>
      <c r="XD37">
        <f>XD36+IF(AND($C36=81,$L36=1),1,0)</f>
        <v/>
      </c>
      <c r="XE37">
        <f>XE36+IF(AND($C36=82,$L36=1),1,0)</f>
        <v/>
      </c>
      <c r="XF37">
        <f>XF36+IF(AND($C36=83,$L36=1),1,0)</f>
        <v/>
      </c>
      <c r="XG37">
        <f>XG36+IF(AND($C36=84,$L36=1),1,0)</f>
        <v/>
      </c>
      <c r="XH37">
        <f>XH36+IF(AND($C36=85,$L36=1),1,0)</f>
        <v/>
      </c>
      <c r="XI37">
        <f>XI36+IF(AND($C36=86,$L36=1),1,0)</f>
        <v/>
      </c>
      <c r="XJ37">
        <f>XJ36+IF(AND($C36=87,$L36=1),1,0)</f>
        <v/>
      </c>
      <c r="XK37">
        <f>XK36+IF(AND($C36=88,$L36=1),1,0)</f>
        <v/>
      </c>
      <c r="XL37">
        <f>XL36+IF(AND($C36=89,$L36=1),1,0)</f>
        <v/>
      </c>
      <c r="XM37">
        <f>XM36+IF(AND($C36=90,$L36=1),1,0)</f>
        <v/>
      </c>
      <c r="XN37">
        <f>XN36+IF(AND($C36=91,$L36=1),1,0)</f>
        <v/>
      </c>
      <c r="XO37">
        <f>XO36+IF(AND($C36=92,$L36=1),1,0)</f>
        <v/>
      </c>
      <c r="XP37">
        <f>XP36+IF(AND($C36=93,$L36=1),1,0)</f>
        <v/>
      </c>
      <c r="XQ37">
        <f>XQ36+IF(AND($C36=94,$L36=1),1,0)</f>
        <v/>
      </c>
      <c r="XR37">
        <f>XR36+IF(AND($C36=95,$L36=1),1,0)</f>
        <v/>
      </c>
      <c r="XS37">
        <f>XS36+IF(AND($C36=96,$L36=1),1,0)</f>
        <v/>
      </c>
      <c r="XT37">
        <f>XT36+IF(AND($C36=97,$L36=1),1,0)</f>
        <v/>
      </c>
      <c r="XU37">
        <f>XU36+IF(AND($C36=98,$L36=1),1,0)</f>
        <v/>
      </c>
      <c r="XV37">
        <f>XV36+IF(AND($C36=99,$L36=1),1,0)</f>
        <v/>
      </c>
      <c r="XW37">
        <f>XW36+IF(AND($C36=100,$L36=1),1,0)</f>
        <v/>
      </c>
      <c r="XX37">
        <f>XX36+IF(AND($C36=101,$L36=1),1,0)</f>
        <v/>
      </c>
      <c r="XY37">
        <f>XY36+IF(AND($C36=102,$L36=1),1,0)</f>
        <v/>
      </c>
      <c r="XZ37">
        <f>XZ36+IF(AND($C36=103,$L36=1),1,0)</f>
        <v/>
      </c>
      <c r="YA37">
        <f>YA36+IF(AND($C36=104,$L36=1),1,0)</f>
        <v/>
      </c>
      <c r="YB37">
        <f>YB36+IF(AND($C36=105,$L36=1),1,0)</f>
        <v/>
      </c>
      <c r="YC37">
        <f>YC36+IF(AND($C36=106,$L36=1),1,0)</f>
        <v/>
      </c>
      <c r="YD37">
        <f>YD36+IF(AND($C36=107,$L36=1),1,0)</f>
        <v/>
      </c>
      <c r="YE37">
        <f>YE36+IF(AND($C36=108,$L36=1),1,0)</f>
        <v/>
      </c>
      <c r="YF37">
        <f>YF36+IF(AND($C36=109,$L36=1),1,0)</f>
        <v/>
      </c>
      <c r="YG37">
        <f>YG36+IF(AND($C36=110,$L36=1),1,0)</f>
        <v/>
      </c>
      <c r="YH37">
        <f>YH36+IF(AND($C36=111,$L36=1),1,0)</f>
        <v/>
      </c>
      <c r="YI37">
        <f>YI36+IF(AND($C36=112,$L36=1),1,0)</f>
        <v/>
      </c>
      <c r="YJ37">
        <f>YJ36+IF(AND($C36=113,$L36=1),1,0)</f>
        <v/>
      </c>
      <c r="YK37">
        <f>YK36+IF(AND($C36=114,$L36=1),1,0)</f>
        <v/>
      </c>
      <c r="YL37">
        <f>YL36+IF(AND($C36=115,$L36=1),1,0)</f>
        <v/>
      </c>
      <c r="YM37">
        <f>YM36+IF(AND($C36=116,$L36=1),1,0)</f>
        <v/>
      </c>
      <c r="YN37">
        <f>YN36+IF(AND($C36=117,$L36=1),1,0)</f>
        <v/>
      </c>
      <c r="YO37">
        <f>YO36+IF(AND($C36=118,$L36=1),1,0)</f>
        <v/>
      </c>
      <c r="YP37">
        <f>YP36+IF(AND($C36=119,$L36=1),1,0)</f>
        <v/>
      </c>
      <c r="YQ37">
        <f>YQ36+IF(AND($C36=120,$L36=1),1,0)</f>
        <v/>
      </c>
      <c r="YR37">
        <f>YR36+IF(AND($C36=121,$L36=1),1,0)</f>
        <v/>
      </c>
      <c r="YS37">
        <f>YS36+IF(AND($C36=122,$L36=1),1,0)</f>
        <v/>
      </c>
      <c r="YT37">
        <f>YT36+IF(AND($C36=123,$L36=1),1,0)</f>
        <v/>
      </c>
      <c r="YU37">
        <f>YU36+IF(AND($C36=124,$L36=1),1,0)</f>
        <v/>
      </c>
      <c r="YV37">
        <f>YV36+IF(AND($C36=125,$L36=1),1,0)</f>
        <v/>
      </c>
      <c r="YW37">
        <f>YW36+IF(AND($C36=126,$L36=1),1,0)</f>
        <v/>
      </c>
      <c r="YX37">
        <f>YX36+IF(AND($C36=127,$L36=1),1,0)</f>
        <v/>
      </c>
      <c r="YY37">
        <f>YY36+IF(AND($C36=128,$L36=1),1,0)</f>
        <v/>
      </c>
      <c r="YZ37">
        <f>YZ36+IF(AND($C36=129,$L36=1),1,0)</f>
        <v/>
      </c>
      <c r="ZA37">
        <f>ZA36+IF(AND($C36=130,$L36=1),1,0)</f>
        <v/>
      </c>
      <c r="ZB37">
        <f>ZB36+IF(AND($C36=131,$L36=1),1,0)</f>
        <v/>
      </c>
      <c r="ZC37">
        <f>ZC36+IF(AND($C36=132,$L36=1),1,0)</f>
        <v/>
      </c>
      <c r="ZD37">
        <f>ZD36+IF(AND($C36=133,$L36=1),1,0)</f>
        <v/>
      </c>
      <c r="ZE37">
        <f>ZE36+IF(AND($C36=134,$L36=1),1,0)</f>
        <v/>
      </c>
      <c r="ZF37">
        <f>ZF36+IF(AND($C36=135,$L36=1),1,0)</f>
        <v/>
      </c>
      <c r="ZG37">
        <f>ZG36+IF(AND($C36=136,$L36=1),1,0)</f>
        <v/>
      </c>
      <c r="ZH37">
        <f>ZH36+IF(AND($C36=137,$L36=1),1,0)</f>
        <v/>
      </c>
      <c r="ZI37">
        <f>ZI36+IF(AND($C36=138,$L36=1),1,0)</f>
        <v/>
      </c>
      <c r="ZJ37">
        <f>ZJ36+IF(AND($C36=139,$L36=1),1,0)</f>
        <v/>
      </c>
      <c r="ZK37">
        <f>ZK36+IF(AND($C36=140,$L36=1),1,0)</f>
        <v/>
      </c>
      <c r="ZL37">
        <f>ZL36+IF(AND($C36=141,$L36=1),1,0)</f>
        <v/>
      </c>
      <c r="ZM37">
        <f>ZM36+IF(AND($C36=142,$L36=1),1,0)</f>
        <v/>
      </c>
      <c r="ZN37">
        <f>ZN36+IF(AND($C36=143,$L36=1),1,0)</f>
        <v/>
      </c>
      <c r="ZO37">
        <f>ZO36+IF(AND($C36=144,$L36=1),1,0)</f>
        <v/>
      </c>
    </row>
    <row r="38">
      <c r="A38" t="n">
        <v>36</v>
      </c>
      <c r="B38">
        <f>IF(MIN(BH38:CZ38)&gt;=1000000,0,MATCH(MIN(BH38:CZ38),BH38:CZ38,0))</f>
        <v/>
      </c>
      <c r="C38">
        <f>IF(MIN(OF38:TS38)&gt;=1000000,0,MATCH(MIN(OF38:TS38),OF38:TS38,0))</f>
        <v/>
      </c>
      <c r="D38">
        <f>IF(C38&gt;0,INDEX('計算A'!$D$5:$EQ$5,C38),0)</f>
        <v/>
      </c>
      <c r="E38">
        <f>IF(B38=0,0,INDEX('計算A'!$IQ$10:$IQ$54,B38))</f>
        <v/>
      </c>
      <c r="F38">
        <f>IF(B38=0,0,INDEX('計算A'!$IP$10:$IP$54,B38))</f>
        <v/>
      </c>
      <c r="G38">
        <f>IF(AND(C38&gt;0,E38&gt;0),IF(AND(INDEX('計算A'!$D$106:$EQ$106,C38)=1,INDEX($IQ38:$OD38,C38)=1),C38+1,0),0)</f>
        <v/>
      </c>
      <c r="H38">
        <f>IF(B38=0,0,INDEX('計算A'!$IW$10:$IW$54,B38))</f>
        <v/>
      </c>
      <c r="I38">
        <f>IF(B38=0,0,MAX(0,INDEX('計算A'!$IT$10:$IT$54,B38)))</f>
        <v/>
      </c>
      <c r="J38">
        <f>IF(I38=0,0,INDEX('計算A'!$D$2:$EQ$2,I38))</f>
        <v/>
      </c>
      <c r="K38">
        <f>IF(I38=0,0,INDEX('計算A'!$D$3:$EQ$3,I38))</f>
        <v/>
      </c>
      <c r="L38">
        <f>IF(B38=0,0,INDEX('計算A'!$IX$10:$IX$54,B38))</f>
        <v/>
      </c>
      <c r="N38">
        <f>MAX(N37,IF($B37=1,1,0))</f>
        <v/>
      </c>
      <c r="O38">
        <f>MAX(O37,IF($B37=2,1,0))</f>
        <v/>
      </c>
      <c r="P38">
        <f>MAX(P37,IF($B37=3,1,0))</f>
        <v/>
      </c>
      <c r="Q38">
        <f>MAX(Q37,IF($B37=4,1,0))</f>
        <v/>
      </c>
      <c r="R38">
        <f>MAX(R37,IF($B37=5,1,0))</f>
        <v/>
      </c>
      <c r="S38">
        <f>MAX(S37,IF($B37=6,1,0))</f>
        <v/>
      </c>
      <c r="T38">
        <f>MAX(T37,IF($B37=7,1,0))</f>
        <v/>
      </c>
      <c r="U38">
        <f>MAX(U37,IF($B37=8,1,0))</f>
        <v/>
      </c>
      <c r="V38">
        <f>MAX(V37,IF($B37=9,1,0))</f>
        <v/>
      </c>
      <c r="W38">
        <f>MAX(W37,IF($B37=10,1,0))</f>
        <v/>
      </c>
      <c r="X38">
        <f>MAX(X37,IF($B37=11,1,0))</f>
        <v/>
      </c>
      <c r="Y38">
        <f>MAX(Y37,IF($B37=12,1,0))</f>
        <v/>
      </c>
      <c r="Z38">
        <f>MAX(Z37,IF($B37=13,1,0))</f>
        <v/>
      </c>
      <c r="AA38">
        <f>MAX(AA37,IF($B37=14,1,0))</f>
        <v/>
      </c>
      <c r="AB38">
        <f>MAX(AB37,IF($B37=15,1,0))</f>
        <v/>
      </c>
      <c r="AC38">
        <f>MAX(AC37,IF($B37=16,1,0))</f>
        <v/>
      </c>
      <c r="AD38">
        <f>MAX(AD37,IF($B37=17,1,0))</f>
        <v/>
      </c>
      <c r="AE38">
        <f>MAX(AE37,IF($B37=18,1,0))</f>
        <v/>
      </c>
      <c r="AF38">
        <f>MAX(AF37,IF($B37=19,1,0))</f>
        <v/>
      </c>
      <c r="AG38">
        <f>MAX(AG37,IF($B37=20,1,0))</f>
        <v/>
      </c>
      <c r="AH38">
        <f>MAX(AH37,IF($B37=21,1,0))</f>
        <v/>
      </c>
      <c r="AI38">
        <f>MAX(AI37,IF($B37=22,1,0))</f>
        <v/>
      </c>
      <c r="AJ38">
        <f>MAX(AJ37,IF($B37=23,1,0))</f>
        <v/>
      </c>
      <c r="AK38">
        <f>MAX(AK37,IF($B37=24,1,0))</f>
        <v/>
      </c>
      <c r="AL38">
        <f>MAX(AL37,IF($B37=25,1,0))</f>
        <v/>
      </c>
      <c r="AM38">
        <f>MAX(AM37,IF($B37=26,1,0))</f>
        <v/>
      </c>
      <c r="AN38">
        <f>MAX(AN37,IF($B37=27,1,0))</f>
        <v/>
      </c>
      <c r="AO38">
        <f>MAX(AO37,IF($B37=28,1,0))</f>
        <v/>
      </c>
      <c r="AP38">
        <f>MAX(AP37,IF($B37=29,1,0))</f>
        <v/>
      </c>
      <c r="AQ38">
        <f>MAX(AQ37,IF($B37=30,1,0))</f>
        <v/>
      </c>
      <c r="AR38">
        <f>MAX(AR37,IF($B37=31,1,0))</f>
        <v/>
      </c>
      <c r="AS38">
        <f>MAX(AS37,IF($B37=32,1,0))</f>
        <v/>
      </c>
      <c r="AT38">
        <f>MAX(AT37,IF($B37=33,1,0))</f>
        <v/>
      </c>
      <c r="AU38">
        <f>MAX(AU37,IF($B37=34,1,0))</f>
        <v/>
      </c>
      <c r="AV38">
        <f>MAX(AV37,IF($B37=35,1,0))</f>
        <v/>
      </c>
      <c r="AW38">
        <f>MAX(AW37,IF($B37=36,1,0))</f>
        <v/>
      </c>
      <c r="AX38">
        <f>MAX(AX37,IF($B37=37,1,0))</f>
        <v/>
      </c>
      <c r="AY38">
        <f>MAX(AY37,IF($B37=38,1,0))</f>
        <v/>
      </c>
      <c r="AZ38">
        <f>MAX(AZ37,IF($B37=39,1,0))</f>
        <v/>
      </c>
      <c r="BA38">
        <f>MAX(BA37,IF($B37=40,1,0))</f>
        <v/>
      </c>
      <c r="BB38">
        <f>MAX(BB37,IF($B37=41,1,0))</f>
        <v/>
      </c>
      <c r="BC38">
        <f>MAX(BC37,IF($B37=42,1,0))</f>
        <v/>
      </c>
      <c r="BD38">
        <f>MAX(BD37,IF($B37=43,1,0))</f>
        <v/>
      </c>
      <c r="BE38">
        <f>MAX(BE37,IF($B37=44,1,0))</f>
        <v/>
      </c>
      <c r="BF38">
        <f>MAX(BF37,IF($B37=45,1,0))</f>
        <v/>
      </c>
      <c r="BH38">
        <f>IF(N38=1,1000000,IF('計算A'!$IT$10&gt;0,0,500000)+IF('計算A'!$IQ$10=2,SUMPRODUCT('計算A'!$D$60:$EQ$60,$DB38:$IO38,$IQ38:$OD38),SUMPRODUCT('計算A'!$D$60:$EQ$60,$DB38:$IO38))*1000+1)</f>
        <v/>
      </c>
      <c r="BI38">
        <f>IF(O38=1,1000000,IF('計算A'!$IT$11&gt;0,0,500000)+IF('計算A'!$IQ$11=2,SUMPRODUCT('計算A'!$D$61:$EQ$61,$DB38:$IO38,$IQ38:$OD38),SUMPRODUCT('計算A'!$D$61:$EQ$61,$DB38:$IO38))*1000+2)</f>
        <v/>
      </c>
      <c r="BJ38">
        <f>IF(P38=1,1000000,IF('計算A'!$IT$12&gt;0,0,500000)+IF('計算A'!$IQ$12=2,SUMPRODUCT('計算A'!$D$62:$EQ$62,$DB38:$IO38,$IQ38:$OD38),SUMPRODUCT('計算A'!$D$62:$EQ$62,$DB38:$IO38))*1000+3)</f>
        <v/>
      </c>
      <c r="BK38">
        <f>IF(Q38=1,1000000,IF('計算A'!$IT$13&gt;0,0,500000)+IF('計算A'!$IQ$13=2,SUMPRODUCT('計算A'!$D$63:$EQ$63,$DB38:$IO38,$IQ38:$OD38),SUMPRODUCT('計算A'!$D$63:$EQ$63,$DB38:$IO38))*1000+4)</f>
        <v/>
      </c>
      <c r="BL38">
        <f>IF(R38=1,1000000,IF('計算A'!$IT$14&gt;0,0,500000)+IF('計算A'!$IQ$14=2,SUMPRODUCT('計算A'!$D$64:$EQ$64,$DB38:$IO38,$IQ38:$OD38),SUMPRODUCT('計算A'!$D$64:$EQ$64,$DB38:$IO38))*1000+5)</f>
        <v/>
      </c>
      <c r="BM38">
        <f>IF(S38=1,1000000,IF('計算A'!$IT$15&gt;0,0,500000)+IF('計算A'!$IQ$15=2,SUMPRODUCT('計算A'!$D$65:$EQ$65,$DB38:$IO38,$IQ38:$OD38),SUMPRODUCT('計算A'!$D$65:$EQ$65,$DB38:$IO38))*1000+6)</f>
        <v/>
      </c>
      <c r="BN38">
        <f>IF(T38=1,1000000,IF('計算A'!$IT$16&gt;0,0,500000)+IF('計算A'!$IQ$16=2,SUMPRODUCT('計算A'!$D$66:$EQ$66,$DB38:$IO38,$IQ38:$OD38),SUMPRODUCT('計算A'!$D$66:$EQ$66,$DB38:$IO38))*1000+7)</f>
        <v/>
      </c>
      <c r="BO38">
        <f>IF(U38=1,1000000,IF('計算A'!$IT$17&gt;0,0,500000)+IF('計算A'!$IQ$17=2,SUMPRODUCT('計算A'!$D$67:$EQ$67,$DB38:$IO38,$IQ38:$OD38),SUMPRODUCT('計算A'!$D$67:$EQ$67,$DB38:$IO38))*1000+8)</f>
        <v/>
      </c>
      <c r="BP38">
        <f>IF(V38=1,1000000,IF('計算A'!$IT$18&gt;0,0,500000)+IF('計算A'!$IQ$18=2,SUMPRODUCT('計算A'!$D$68:$EQ$68,$DB38:$IO38,$IQ38:$OD38),SUMPRODUCT('計算A'!$D$68:$EQ$68,$DB38:$IO38))*1000+9)</f>
        <v/>
      </c>
      <c r="BQ38">
        <f>IF(W38=1,1000000,IF('計算A'!$IT$19&gt;0,0,500000)+IF('計算A'!$IQ$19=2,SUMPRODUCT('計算A'!$D$69:$EQ$69,$DB38:$IO38,$IQ38:$OD38),SUMPRODUCT('計算A'!$D$69:$EQ$69,$DB38:$IO38))*1000+10)</f>
        <v/>
      </c>
      <c r="BR38">
        <f>IF(X38=1,1000000,IF('計算A'!$IT$20&gt;0,0,500000)+IF('計算A'!$IQ$20=2,SUMPRODUCT('計算A'!$D$70:$EQ$70,$DB38:$IO38,$IQ38:$OD38),SUMPRODUCT('計算A'!$D$70:$EQ$70,$DB38:$IO38))*1000+11)</f>
        <v/>
      </c>
      <c r="BS38">
        <f>IF(Y38=1,1000000,IF('計算A'!$IT$21&gt;0,0,500000)+IF('計算A'!$IQ$21=2,SUMPRODUCT('計算A'!$D$71:$EQ$71,$DB38:$IO38,$IQ38:$OD38),SUMPRODUCT('計算A'!$D$71:$EQ$71,$DB38:$IO38))*1000+12)</f>
        <v/>
      </c>
      <c r="BT38">
        <f>IF(Z38=1,1000000,IF('計算A'!$IT$22&gt;0,0,500000)+IF('計算A'!$IQ$22=2,SUMPRODUCT('計算A'!$D$72:$EQ$72,$DB38:$IO38,$IQ38:$OD38),SUMPRODUCT('計算A'!$D$72:$EQ$72,$DB38:$IO38))*1000+13)</f>
        <v/>
      </c>
      <c r="BU38">
        <f>IF(AA38=1,1000000,IF('計算A'!$IT$23&gt;0,0,500000)+IF('計算A'!$IQ$23=2,SUMPRODUCT('計算A'!$D$73:$EQ$73,$DB38:$IO38,$IQ38:$OD38),SUMPRODUCT('計算A'!$D$73:$EQ$73,$DB38:$IO38))*1000+14)</f>
        <v/>
      </c>
      <c r="BV38">
        <f>IF(AB38=1,1000000,IF('計算A'!$IT$24&gt;0,0,500000)+IF('計算A'!$IQ$24=2,SUMPRODUCT('計算A'!$D$74:$EQ$74,$DB38:$IO38,$IQ38:$OD38),SUMPRODUCT('計算A'!$D$74:$EQ$74,$DB38:$IO38))*1000+15)</f>
        <v/>
      </c>
      <c r="BW38">
        <f>IF(AC38=1,1000000,IF('計算A'!$IT$25&gt;0,0,500000)+IF('計算A'!$IQ$25=2,SUMPRODUCT('計算A'!$D$75:$EQ$75,$DB38:$IO38,$IQ38:$OD38),SUMPRODUCT('計算A'!$D$75:$EQ$75,$DB38:$IO38))*1000+16)</f>
        <v/>
      </c>
      <c r="BX38">
        <f>IF(AD38=1,1000000,IF('計算A'!$IT$26&gt;0,0,500000)+IF('計算A'!$IQ$26=2,SUMPRODUCT('計算A'!$D$76:$EQ$76,$DB38:$IO38,$IQ38:$OD38),SUMPRODUCT('計算A'!$D$76:$EQ$76,$DB38:$IO38))*1000+17)</f>
        <v/>
      </c>
      <c r="BY38">
        <f>IF(AE38=1,1000000,IF('計算A'!$IT$27&gt;0,0,500000)+IF('計算A'!$IQ$27=2,SUMPRODUCT('計算A'!$D$77:$EQ$77,$DB38:$IO38,$IQ38:$OD38),SUMPRODUCT('計算A'!$D$77:$EQ$77,$DB38:$IO38))*1000+18)</f>
        <v/>
      </c>
      <c r="BZ38">
        <f>IF(AF38=1,1000000,IF('計算A'!$IT$28&gt;0,0,500000)+IF('計算A'!$IQ$28=2,SUMPRODUCT('計算A'!$D$78:$EQ$78,$DB38:$IO38,$IQ38:$OD38),SUMPRODUCT('計算A'!$D$78:$EQ$78,$DB38:$IO38))*1000+19)</f>
        <v/>
      </c>
      <c r="CA38">
        <f>IF(AG38=1,1000000,IF('計算A'!$IT$29&gt;0,0,500000)+IF('計算A'!$IQ$29=2,SUMPRODUCT('計算A'!$D$79:$EQ$79,$DB38:$IO38,$IQ38:$OD38),SUMPRODUCT('計算A'!$D$79:$EQ$79,$DB38:$IO38))*1000+20)</f>
        <v/>
      </c>
      <c r="CB38">
        <f>IF(AH38=1,1000000,IF('計算A'!$IT$30&gt;0,0,500000)+IF('計算A'!$IQ$30=2,SUMPRODUCT('計算A'!$D$80:$EQ$80,$DB38:$IO38,$IQ38:$OD38),SUMPRODUCT('計算A'!$D$80:$EQ$80,$DB38:$IO38))*1000+21)</f>
        <v/>
      </c>
      <c r="CC38">
        <f>IF(AI38=1,1000000,IF('計算A'!$IT$31&gt;0,0,500000)+IF('計算A'!$IQ$31=2,SUMPRODUCT('計算A'!$D$81:$EQ$81,$DB38:$IO38,$IQ38:$OD38),SUMPRODUCT('計算A'!$D$81:$EQ$81,$DB38:$IO38))*1000+22)</f>
        <v/>
      </c>
      <c r="CD38">
        <f>IF(AJ38=1,1000000,IF('計算A'!$IT$32&gt;0,0,500000)+IF('計算A'!$IQ$32=2,SUMPRODUCT('計算A'!$D$82:$EQ$82,$DB38:$IO38,$IQ38:$OD38),SUMPRODUCT('計算A'!$D$82:$EQ$82,$DB38:$IO38))*1000+23)</f>
        <v/>
      </c>
      <c r="CE38">
        <f>IF(AK38=1,1000000,IF('計算A'!$IT$33&gt;0,0,500000)+IF('計算A'!$IQ$33=2,SUMPRODUCT('計算A'!$D$83:$EQ$83,$DB38:$IO38,$IQ38:$OD38),SUMPRODUCT('計算A'!$D$83:$EQ$83,$DB38:$IO38))*1000+24)</f>
        <v/>
      </c>
      <c r="CF38">
        <f>IF(AL38=1,1000000,IF('計算A'!$IT$34&gt;0,0,500000)+IF('計算A'!$IQ$34=2,SUMPRODUCT('計算A'!$D$84:$EQ$84,$DB38:$IO38,$IQ38:$OD38),SUMPRODUCT('計算A'!$D$84:$EQ$84,$DB38:$IO38))*1000+25)</f>
        <v/>
      </c>
      <c r="CG38">
        <f>IF(AM38=1,1000000,IF('計算A'!$IT$35&gt;0,0,500000)+IF('計算A'!$IQ$35=2,SUMPRODUCT('計算A'!$D$85:$EQ$85,$DB38:$IO38,$IQ38:$OD38),SUMPRODUCT('計算A'!$D$85:$EQ$85,$DB38:$IO38))*1000+26)</f>
        <v/>
      </c>
      <c r="CH38">
        <f>IF(AN38=1,1000000,IF('計算A'!$IT$36&gt;0,0,500000)+IF('計算A'!$IQ$36=2,SUMPRODUCT('計算A'!$D$86:$EQ$86,$DB38:$IO38,$IQ38:$OD38),SUMPRODUCT('計算A'!$D$86:$EQ$86,$DB38:$IO38))*1000+27)</f>
        <v/>
      </c>
      <c r="CI38">
        <f>IF(AO38=1,1000000,IF('計算A'!$IT$37&gt;0,0,500000)+IF('計算A'!$IQ$37=2,SUMPRODUCT('計算A'!$D$87:$EQ$87,$DB38:$IO38,$IQ38:$OD38),SUMPRODUCT('計算A'!$D$87:$EQ$87,$DB38:$IO38))*1000+28)</f>
        <v/>
      </c>
      <c r="CJ38">
        <f>IF(AP38=1,1000000,IF('計算A'!$IT$38&gt;0,0,500000)+IF('計算A'!$IQ$38=2,SUMPRODUCT('計算A'!$D$88:$EQ$88,$DB38:$IO38,$IQ38:$OD38),SUMPRODUCT('計算A'!$D$88:$EQ$88,$DB38:$IO38))*1000+29)</f>
        <v/>
      </c>
      <c r="CK38">
        <f>IF(AQ38=1,1000000,IF('計算A'!$IT$39&gt;0,0,500000)+IF('計算A'!$IQ$39=2,SUMPRODUCT('計算A'!$D$89:$EQ$89,$DB38:$IO38,$IQ38:$OD38),SUMPRODUCT('計算A'!$D$89:$EQ$89,$DB38:$IO38))*1000+30)</f>
        <v/>
      </c>
      <c r="CL38">
        <f>IF(AR38=1,1000000,IF('計算A'!$IT$40&gt;0,0,500000)+IF('計算A'!$IQ$40=2,SUMPRODUCT('計算A'!$D$90:$EQ$90,$DB38:$IO38,$IQ38:$OD38),SUMPRODUCT('計算A'!$D$90:$EQ$90,$DB38:$IO38))*1000+31)</f>
        <v/>
      </c>
      <c r="CM38">
        <f>IF(AS38=1,1000000,IF('計算A'!$IT$41&gt;0,0,500000)+IF('計算A'!$IQ$41=2,SUMPRODUCT('計算A'!$D$91:$EQ$91,$DB38:$IO38,$IQ38:$OD38),SUMPRODUCT('計算A'!$D$91:$EQ$91,$DB38:$IO38))*1000+32)</f>
        <v/>
      </c>
      <c r="CN38">
        <f>IF(AT38=1,1000000,IF('計算A'!$IT$42&gt;0,0,500000)+IF('計算A'!$IQ$42=2,SUMPRODUCT('計算A'!$D$92:$EQ$92,$DB38:$IO38,$IQ38:$OD38),SUMPRODUCT('計算A'!$D$92:$EQ$92,$DB38:$IO38))*1000+33)</f>
        <v/>
      </c>
      <c r="CO38">
        <f>IF(AU38=1,1000000,IF('計算A'!$IT$43&gt;0,0,500000)+IF('計算A'!$IQ$43=2,SUMPRODUCT('計算A'!$D$93:$EQ$93,$DB38:$IO38,$IQ38:$OD38),SUMPRODUCT('計算A'!$D$93:$EQ$93,$DB38:$IO38))*1000+34)</f>
        <v/>
      </c>
      <c r="CP38">
        <f>IF(AV38=1,1000000,IF('計算A'!$IT$44&gt;0,0,500000)+IF('計算A'!$IQ$44=2,SUMPRODUCT('計算A'!$D$94:$EQ$94,$DB38:$IO38,$IQ38:$OD38),SUMPRODUCT('計算A'!$D$94:$EQ$94,$DB38:$IO38))*1000+35)</f>
        <v/>
      </c>
      <c r="CQ38">
        <f>IF(AW38=1,1000000,IF('計算A'!$IT$45&gt;0,0,500000)+IF('計算A'!$IQ$45=2,SUMPRODUCT('計算A'!$D$95:$EQ$95,$DB38:$IO38,$IQ38:$OD38),SUMPRODUCT('計算A'!$D$95:$EQ$95,$DB38:$IO38))*1000+36)</f>
        <v/>
      </c>
      <c r="CR38">
        <f>IF(AX38=1,1000000,IF('計算A'!$IT$46&gt;0,0,500000)+IF('計算A'!$IQ$46=2,SUMPRODUCT('計算A'!$D$96:$EQ$96,$DB38:$IO38,$IQ38:$OD38),SUMPRODUCT('計算A'!$D$96:$EQ$96,$DB38:$IO38))*1000+37)</f>
        <v/>
      </c>
      <c r="CS38">
        <f>IF(AY38=1,1000000,IF('計算A'!$IT$47&gt;0,0,500000)+IF('計算A'!$IQ$47=2,SUMPRODUCT('計算A'!$D$97:$EQ$97,$DB38:$IO38,$IQ38:$OD38),SUMPRODUCT('計算A'!$D$97:$EQ$97,$DB38:$IO38))*1000+38)</f>
        <v/>
      </c>
      <c r="CT38">
        <f>IF(AZ38=1,1000000,IF('計算A'!$IT$48&gt;0,0,500000)+IF('計算A'!$IQ$48=2,SUMPRODUCT('計算A'!$D$98:$EQ$98,$DB38:$IO38,$IQ38:$OD38),SUMPRODUCT('計算A'!$D$98:$EQ$98,$DB38:$IO38))*1000+39)</f>
        <v/>
      </c>
      <c r="CU38">
        <f>IF(BA38=1,1000000,IF('計算A'!$IT$49&gt;0,0,500000)+IF('計算A'!$IQ$49=2,SUMPRODUCT('計算A'!$D$99:$EQ$99,$DB38:$IO38,$IQ38:$OD38),SUMPRODUCT('計算A'!$D$99:$EQ$99,$DB38:$IO38))*1000+40)</f>
        <v/>
      </c>
      <c r="CV38">
        <f>IF(BB38=1,1000000,IF('計算A'!$IT$50&gt;0,0,500000)+IF('計算A'!$IQ$50=2,SUMPRODUCT('計算A'!$D$100:$EQ$100,$DB38:$IO38,$IQ38:$OD38),SUMPRODUCT('計算A'!$D$100:$EQ$100,$DB38:$IO38))*1000+41)</f>
        <v/>
      </c>
      <c r="CW38">
        <f>IF(BC38=1,1000000,IF('計算A'!$IT$51&gt;0,0,500000)+IF('計算A'!$IQ$51=2,SUMPRODUCT('計算A'!$D$101:$EQ$101,$DB38:$IO38,$IQ38:$OD38),SUMPRODUCT('計算A'!$D$101:$EQ$101,$DB38:$IO38))*1000+42)</f>
        <v/>
      </c>
      <c r="CX38">
        <f>IF(BD38=1,1000000,IF('計算A'!$IT$52&gt;0,0,500000)+IF('計算A'!$IQ$52=2,SUMPRODUCT('計算A'!$D$102:$EQ$102,$DB38:$IO38,$IQ38:$OD38),SUMPRODUCT('計算A'!$D$102:$EQ$102,$DB38:$IO38))*1000+43)</f>
        <v/>
      </c>
      <c r="CY38">
        <f>IF(BE38=1,1000000,IF('計算A'!$IT$53&gt;0,0,500000)+IF('計算A'!$IQ$53=2,SUMPRODUCT('計算A'!$D$103:$EQ$103,$DB38:$IO38,$IQ38:$OD38),SUMPRODUCT('計算A'!$D$103:$EQ$103,$DB38:$IO38))*1000+44)</f>
        <v/>
      </c>
      <c r="CZ38">
        <f>IF(BF38=1,1000000,IF('計算A'!$IT$54&gt;0,0,500000)+IF('計算A'!$IQ$54=2,SUMPRODUCT('計算A'!$D$104:$EQ$104,$DB38:$IO38,$IQ38:$OD38),SUMPRODUCT('計算A'!$D$104:$EQ$104,$DB38:$IO38))*1000+45)</f>
        <v/>
      </c>
      <c r="DB38">
        <f>DB37*IF(OR($C37=1,$G37=1),0,1)</f>
        <v/>
      </c>
      <c r="DC38">
        <f>DC37*IF(OR($C37=2,$G37=2),0,1)</f>
        <v/>
      </c>
      <c r="DD38">
        <f>DD37*IF(OR($C37=3,$G37=3),0,1)</f>
        <v/>
      </c>
      <c r="DE38">
        <f>DE37*IF(OR($C37=4,$G37=4),0,1)</f>
        <v/>
      </c>
      <c r="DF38">
        <f>DF37*IF(OR($C37=5,$G37=5),0,1)</f>
        <v/>
      </c>
      <c r="DG38">
        <f>DG37*IF(OR($C37=6,$G37=6),0,1)</f>
        <v/>
      </c>
      <c r="DH38">
        <f>DH37*IF(OR($C37=7,$G37=7),0,1)</f>
        <v/>
      </c>
      <c r="DI38">
        <f>DI37*IF(OR($C37=8,$G37=8),0,1)</f>
        <v/>
      </c>
      <c r="DJ38">
        <f>DJ37*IF(OR($C37=9,$G37=9),0,1)</f>
        <v/>
      </c>
      <c r="DK38">
        <f>DK37*IF(OR($C37=10,$G37=10),0,1)</f>
        <v/>
      </c>
      <c r="DL38">
        <f>DL37*IF(OR($C37=11,$G37=11),0,1)</f>
        <v/>
      </c>
      <c r="DM38">
        <f>DM37*IF(OR($C37=12,$G37=12),0,1)</f>
        <v/>
      </c>
      <c r="DN38">
        <f>DN37*IF(OR($C37=13,$G37=13),0,1)</f>
        <v/>
      </c>
      <c r="DO38">
        <f>DO37*IF(OR($C37=14,$G37=14),0,1)</f>
        <v/>
      </c>
      <c r="DP38">
        <f>DP37*IF(OR($C37=15,$G37=15),0,1)</f>
        <v/>
      </c>
      <c r="DQ38">
        <f>DQ37*IF(OR($C37=16,$G37=16),0,1)</f>
        <v/>
      </c>
      <c r="DR38">
        <f>DR37*IF(OR($C37=17,$G37=17),0,1)</f>
        <v/>
      </c>
      <c r="DS38">
        <f>DS37*IF(OR($C37=18,$G37=18),0,1)</f>
        <v/>
      </c>
      <c r="DT38">
        <f>DT37*IF(OR($C37=19,$G37=19),0,1)</f>
        <v/>
      </c>
      <c r="DU38">
        <f>DU37*IF(OR($C37=20,$G37=20),0,1)</f>
        <v/>
      </c>
      <c r="DV38">
        <f>DV37*IF(OR($C37=21,$G37=21),0,1)</f>
        <v/>
      </c>
      <c r="DW38">
        <f>DW37*IF(OR($C37=22,$G37=22),0,1)</f>
        <v/>
      </c>
      <c r="DX38">
        <f>DX37*IF(OR($C37=23,$G37=23),0,1)</f>
        <v/>
      </c>
      <c r="DY38">
        <f>DY37*IF(OR($C37=24,$G37=24),0,1)</f>
        <v/>
      </c>
      <c r="DZ38">
        <f>DZ37*IF(OR($C37=25,$G37=25),0,1)</f>
        <v/>
      </c>
      <c r="EA38">
        <f>EA37*IF(OR($C37=26,$G37=26),0,1)</f>
        <v/>
      </c>
      <c r="EB38">
        <f>EB37*IF(OR($C37=27,$G37=27),0,1)</f>
        <v/>
      </c>
      <c r="EC38">
        <f>EC37*IF(OR($C37=28,$G37=28),0,1)</f>
        <v/>
      </c>
      <c r="ED38">
        <f>ED37*IF(OR($C37=29,$G37=29),0,1)</f>
        <v/>
      </c>
      <c r="EE38">
        <f>EE37*IF(OR($C37=30,$G37=30),0,1)</f>
        <v/>
      </c>
      <c r="EF38">
        <f>EF37*IF(OR($C37=31,$G37=31),0,1)</f>
        <v/>
      </c>
      <c r="EG38">
        <f>EG37*IF(OR($C37=32,$G37=32),0,1)</f>
        <v/>
      </c>
      <c r="EH38">
        <f>EH37*IF(OR($C37=33,$G37=33),0,1)</f>
        <v/>
      </c>
      <c r="EI38">
        <f>EI37*IF(OR($C37=34,$G37=34),0,1)</f>
        <v/>
      </c>
      <c r="EJ38">
        <f>EJ37*IF(OR($C37=35,$G37=35),0,1)</f>
        <v/>
      </c>
      <c r="EK38">
        <f>EK37*IF(OR($C37=36,$G37=36),0,1)</f>
        <v/>
      </c>
      <c r="EL38">
        <f>EL37*IF(OR($C37=37,$G37=37),0,1)</f>
        <v/>
      </c>
      <c r="EM38">
        <f>EM37*IF(OR($C37=38,$G37=38),0,1)</f>
        <v/>
      </c>
      <c r="EN38">
        <f>EN37*IF(OR($C37=39,$G37=39),0,1)</f>
        <v/>
      </c>
      <c r="EO38">
        <f>EO37*IF(OR($C37=40,$G37=40),0,1)</f>
        <v/>
      </c>
      <c r="EP38">
        <f>EP37*IF(OR($C37=41,$G37=41),0,1)</f>
        <v/>
      </c>
      <c r="EQ38">
        <f>EQ37*IF(OR($C37=42,$G37=42),0,1)</f>
        <v/>
      </c>
      <c r="ER38">
        <f>ER37*IF(OR($C37=43,$G37=43),0,1)</f>
        <v/>
      </c>
      <c r="ES38">
        <f>ES37*IF(OR($C37=44,$G37=44),0,1)</f>
        <v/>
      </c>
      <c r="ET38">
        <f>ET37*IF(OR($C37=45,$G37=45),0,1)</f>
        <v/>
      </c>
      <c r="EU38">
        <f>EU37*IF(OR($C37=46,$G37=46),0,1)</f>
        <v/>
      </c>
      <c r="EV38">
        <f>EV37*IF(OR($C37=47,$G37=47),0,1)</f>
        <v/>
      </c>
      <c r="EW38">
        <f>EW37*IF(OR($C37=48,$G37=48),0,1)</f>
        <v/>
      </c>
      <c r="EX38">
        <f>EX37*IF(OR($C37=49,$G37=49),0,1)</f>
        <v/>
      </c>
      <c r="EY38">
        <f>EY37*IF(OR($C37=50,$G37=50),0,1)</f>
        <v/>
      </c>
      <c r="EZ38">
        <f>EZ37*IF(OR($C37=51,$G37=51),0,1)</f>
        <v/>
      </c>
      <c r="FA38">
        <f>FA37*IF(OR($C37=52,$G37=52),0,1)</f>
        <v/>
      </c>
      <c r="FB38">
        <f>FB37*IF(OR($C37=53,$G37=53),0,1)</f>
        <v/>
      </c>
      <c r="FC38">
        <f>FC37*IF(OR($C37=54,$G37=54),0,1)</f>
        <v/>
      </c>
      <c r="FD38">
        <f>FD37*IF(OR($C37=55,$G37=55),0,1)</f>
        <v/>
      </c>
      <c r="FE38">
        <f>FE37*IF(OR($C37=56,$G37=56),0,1)</f>
        <v/>
      </c>
      <c r="FF38">
        <f>FF37*IF(OR($C37=57,$G37=57),0,1)</f>
        <v/>
      </c>
      <c r="FG38">
        <f>FG37*IF(OR($C37=58,$G37=58),0,1)</f>
        <v/>
      </c>
      <c r="FH38">
        <f>FH37*IF(OR($C37=59,$G37=59),0,1)</f>
        <v/>
      </c>
      <c r="FI38">
        <f>FI37*IF(OR($C37=60,$G37=60),0,1)</f>
        <v/>
      </c>
      <c r="FJ38">
        <f>FJ37*IF(OR($C37=61,$G37=61),0,1)</f>
        <v/>
      </c>
      <c r="FK38">
        <f>FK37*IF(OR($C37=62,$G37=62),0,1)</f>
        <v/>
      </c>
      <c r="FL38">
        <f>FL37*IF(OR($C37=63,$G37=63),0,1)</f>
        <v/>
      </c>
      <c r="FM38">
        <f>FM37*IF(OR($C37=64,$G37=64),0,1)</f>
        <v/>
      </c>
      <c r="FN38">
        <f>FN37*IF(OR($C37=65,$G37=65),0,1)</f>
        <v/>
      </c>
      <c r="FO38">
        <f>FO37*IF(OR($C37=66,$G37=66),0,1)</f>
        <v/>
      </c>
      <c r="FP38">
        <f>FP37*IF(OR($C37=67,$G37=67),0,1)</f>
        <v/>
      </c>
      <c r="FQ38">
        <f>FQ37*IF(OR($C37=68,$G37=68),0,1)</f>
        <v/>
      </c>
      <c r="FR38">
        <f>FR37*IF(OR($C37=69,$G37=69),0,1)</f>
        <v/>
      </c>
      <c r="FS38">
        <f>FS37*IF(OR($C37=70,$G37=70),0,1)</f>
        <v/>
      </c>
      <c r="FT38">
        <f>FT37*IF(OR($C37=71,$G37=71),0,1)</f>
        <v/>
      </c>
      <c r="FU38">
        <f>FU37*IF(OR($C37=72,$G37=72),0,1)</f>
        <v/>
      </c>
      <c r="FV38">
        <f>FV37*IF(OR($C37=73,$G37=73),0,1)</f>
        <v/>
      </c>
      <c r="FW38">
        <f>FW37*IF(OR($C37=74,$G37=74),0,1)</f>
        <v/>
      </c>
      <c r="FX38">
        <f>FX37*IF(OR($C37=75,$G37=75),0,1)</f>
        <v/>
      </c>
      <c r="FY38">
        <f>FY37*IF(OR($C37=76,$G37=76),0,1)</f>
        <v/>
      </c>
      <c r="FZ38">
        <f>FZ37*IF(OR($C37=77,$G37=77),0,1)</f>
        <v/>
      </c>
      <c r="GA38">
        <f>GA37*IF(OR($C37=78,$G37=78),0,1)</f>
        <v/>
      </c>
      <c r="GB38">
        <f>GB37*IF(OR($C37=79,$G37=79),0,1)</f>
        <v/>
      </c>
      <c r="GC38">
        <f>GC37*IF(OR($C37=80,$G37=80),0,1)</f>
        <v/>
      </c>
      <c r="GD38">
        <f>GD37*IF(OR($C37=81,$G37=81),0,1)</f>
        <v/>
      </c>
      <c r="GE38">
        <f>GE37*IF(OR($C37=82,$G37=82),0,1)</f>
        <v/>
      </c>
      <c r="GF38">
        <f>GF37*IF(OR($C37=83,$G37=83),0,1)</f>
        <v/>
      </c>
      <c r="GG38">
        <f>GG37*IF(OR($C37=84,$G37=84),0,1)</f>
        <v/>
      </c>
      <c r="GH38">
        <f>GH37*IF(OR($C37=85,$G37=85),0,1)</f>
        <v/>
      </c>
      <c r="GI38">
        <f>GI37*IF(OR($C37=86,$G37=86),0,1)</f>
        <v/>
      </c>
      <c r="GJ38">
        <f>GJ37*IF(OR($C37=87,$G37=87),0,1)</f>
        <v/>
      </c>
      <c r="GK38">
        <f>GK37*IF(OR($C37=88,$G37=88),0,1)</f>
        <v/>
      </c>
      <c r="GL38">
        <f>GL37*IF(OR($C37=89,$G37=89),0,1)</f>
        <v/>
      </c>
      <c r="GM38">
        <f>GM37*IF(OR($C37=90,$G37=90),0,1)</f>
        <v/>
      </c>
      <c r="GN38">
        <f>GN37*IF(OR($C37=91,$G37=91),0,1)</f>
        <v/>
      </c>
      <c r="GO38">
        <f>GO37*IF(OR($C37=92,$G37=92),0,1)</f>
        <v/>
      </c>
      <c r="GP38">
        <f>GP37*IF(OR($C37=93,$G37=93),0,1)</f>
        <v/>
      </c>
      <c r="GQ38">
        <f>GQ37*IF(OR($C37=94,$G37=94),0,1)</f>
        <v/>
      </c>
      <c r="GR38">
        <f>GR37*IF(OR($C37=95,$G37=95),0,1)</f>
        <v/>
      </c>
      <c r="GS38">
        <f>GS37*IF(OR($C37=96,$G37=96),0,1)</f>
        <v/>
      </c>
      <c r="GT38">
        <f>GT37*IF(OR($C37=97,$G37=97),0,1)</f>
        <v/>
      </c>
      <c r="GU38">
        <f>GU37*IF(OR($C37=98,$G37=98),0,1)</f>
        <v/>
      </c>
      <c r="GV38">
        <f>GV37*IF(OR($C37=99,$G37=99),0,1)</f>
        <v/>
      </c>
      <c r="GW38">
        <f>GW37*IF(OR($C37=100,$G37=100),0,1)</f>
        <v/>
      </c>
      <c r="GX38">
        <f>GX37*IF(OR($C37=101,$G37=101),0,1)</f>
        <v/>
      </c>
      <c r="GY38">
        <f>GY37*IF(OR($C37=102,$G37=102),0,1)</f>
        <v/>
      </c>
      <c r="GZ38">
        <f>GZ37*IF(OR($C37=103,$G37=103),0,1)</f>
        <v/>
      </c>
      <c r="HA38">
        <f>HA37*IF(OR($C37=104,$G37=104),0,1)</f>
        <v/>
      </c>
      <c r="HB38">
        <f>HB37*IF(OR($C37=105,$G37=105),0,1)</f>
        <v/>
      </c>
      <c r="HC38">
        <f>HC37*IF(OR($C37=106,$G37=106),0,1)</f>
        <v/>
      </c>
      <c r="HD38">
        <f>HD37*IF(OR($C37=107,$G37=107),0,1)</f>
        <v/>
      </c>
      <c r="HE38">
        <f>HE37*IF(OR($C37=108,$G37=108),0,1)</f>
        <v/>
      </c>
      <c r="HF38">
        <f>HF37*IF(OR($C37=109,$G37=109),0,1)</f>
        <v/>
      </c>
      <c r="HG38">
        <f>HG37*IF(OR($C37=110,$G37=110),0,1)</f>
        <v/>
      </c>
      <c r="HH38">
        <f>HH37*IF(OR($C37=111,$G37=111),0,1)</f>
        <v/>
      </c>
      <c r="HI38">
        <f>HI37*IF(OR($C37=112,$G37=112),0,1)</f>
        <v/>
      </c>
      <c r="HJ38">
        <f>HJ37*IF(OR($C37=113,$G37=113),0,1)</f>
        <v/>
      </c>
      <c r="HK38">
        <f>HK37*IF(OR($C37=114,$G37=114),0,1)</f>
        <v/>
      </c>
      <c r="HL38">
        <f>HL37*IF(OR($C37=115,$G37=115),0,1)</f>
        <v/>
      </c>
      <c r="HM38">
        <f>HM37*IF(OR($C37=116,$G37=116),0,1)</f>
        <v/>
      </c>
      <c r="HN38">
        <f>HN37*IF(OR($C37=117,$G37=117),0,1)</f>
        <v/>
      </c>
      <c r="HO38">
        <f>HO37*IF(OR($C37=118,$G37=118),0,1)</f>
        <v/>
      </c>
      <c r="HP38">
        <f>HP37*IF(OR($C37=119,$G37=119),0,1)</f>
        <v/>
      </c>
      <c r="HQ38">
        <f>HQ37*IF(OR($C37=120,$G37=120),0,1)</f>
        <v/>
      </c>
      <c r="HR38">
        <f>HR37*IF(OR($C37=121,$G37=121),0,1)</f>
        <v/>
      </c>
      <c r="HS38">
        <f>HS37*IF(OR($C37=122,$G37=122),0,1)</f>
        <v/>
      </c>
      <c r="HT38">
        <f>HT37*IF(OR($C37=123,$G37=123),0,1)</f>
        <v/>
      </c>
      <c r="HU38">
        <f>HU37*IF(OR($C37=124,$G37=124),0,1)</f>
        <v/>
      </c>
      <c r="HV38">
        <f>HV37*IF(OR($C37=125,$G37=125),0,1)</f>
        <v/>
      </c>
      <c r="HW38">
        <f>HW37*IF(OR($C37=126,$G37=126),0,1)</f>
        <v/>
      </c>
      <c r="HX38">
        <f>HX37*IF(OR($C37=127,$G37=127),0,1)</f>
        <v/>
      </c>
      <c r="HY38">
        <f>HY37*IF(OR($C37=128,$G37=128),0,1)</f>
        <v/>
      </c>
      <c r="HZ38">
        <f>HZ37*IF(OR($C37=129,$G37=129),0,1)</f>
        <v/>
      </c>
      <c r="IA38">
        <f>IA37*IF(OR($C37=130,$G37=130),0,1)</f>
        <v/>
      </c>
      <c r="IB38">
        <f>IB37*IF(OR($C37=131,$G37=131),0,1)</f>
        <v/>
      </c>
      <c r="IC38">
        <f>IC37*IF(OR($C37=132,$G37=132),0,1)</f>
        <v/>
      </c>
      <c r="ID38">
        <f>ID37*IF(OR($C37=133,$G37=133),0,1)</f>
        <v/>
      </c>
      <c r="IE38">
        <f>IE37*IF(OR($C37=134,$G37=134),0,1)</f>
        <v/>
      </c>
      <c r="IF38">
        <f>IF37*IF(OR($C37=135,$G37=135),0,1)</f>
        <v/>
      </c>
      <c r="IG38">
        <f>IG37*IF(OR($C37=136,$G37=136),0,1)</f>
        <v/>
      </c>
      <c r="IH38">
        <f>IH37*IF(OR($C37=137,$G37=137),0,1)</f>
        <v/>
      </c>
      <c r="II38">
        <f>II37*IF(OR($C37=138,$G37=138),0,1)</f>
        <v/>
      </c>
      <c r="IJ38">
        <f>IJ37*IF(OR($C37=139,$G37=139),0,1)</f>
        <v/>
      </c>
      <c r="IK38">
        <f>IK37*IF(OR($C37=140,$G37=140),0,1)</f>
        <v/>
      </c>
      <c r="IL38">
        <f>IL37*IF(OR($C37=141,$G37=141),0,1)</f>
        <v/>
      </c>
      <c r="IM38">
        <f>IM37*IF(OR($C37=142,$G37=142),0,1)</f>
        <v/>
      </c>
      <c r="IN38">
        <f>IN37*IF(OR($C37=143,$G37=143),0,1)</f>
        <v/>
      </c>
      <c r="IO38">
        <f>IO37*IF(OR($C37=144,$G37=144),0,1)</f>
        <v/>
      </c>
      <c r="IQ38">
        <f>IF('計算A'!D$106=1,DC38,1)</f>
        <v/>
      </c>
      <c r="IR38">
        <f>IF('計算A'!E$106=1,DD38,1)</f>
        <v/>
      </c>
      <c r="IS38">
        <f>IF('計算A'!F$106=1,DE38,1)</f>
        <v/>
      </c>
      <c r="IT38">
        <f>IF('計算A'!G$106=1,DF38,1)</f>
        <v/>
      </c>
      <c r="IU38">
        <f>IF('計算A'!H$106=1,DG38,1)</f>
        <v/>
      </c>
      <c r="IV38">
        <f>IF('計算A'!I$106=1,DH38,1)</f>
        <v/>
      </c>
      <c r="IW38">
        <f>IF('計算A'!J$106=1,DI38,1)</f>
        <v/>
      </c>
      <c r="IX38">
        <f>IF('計算A'!K$106=1,DJ38,1)</f>
        <v/>
      </c>
      <c r="IY38">
        <f>IF('計算A'!L$106=1,DK38,1)</f>
        <v/>
      </c>
      <c r="IZ38">
        <f>IF('計算A'!M$106=1,DL38,1)</f>
        <v/>
      </c>
      <c r="JA38">
        <f>IF('計算A'!N$106=1,DM38,1)</f>
        <v/>
      </c>
      <c r="JB38">
        <f>IF('計算A'!O$106=1,DN38,1)</f>
        <v/>
      </c>
      <c r="JC38">
        <f>IF('計算A'!P$106=1,DO38,1)</f>
        <v/>
      </c>
      <c r="JD38">
        <f>IF('計算A'!Q$106=1,DP38,1)</f>
        <v/>
      </c>
      <c r="JE38">
        <f>IF('計算A'!R$106=1,DQ38,1)</f>
        <v/>
      </c>
      <c r="JF38">
        <f>IF('計算A'!S$106=1,DR38,1)</f>
        <v/>
      </c>
      <c r="JG38">
        <f>IF('計算A'!T$106=1,DS38,1)</f>
        <v/>
      </c>
      <c r="JH38">
        <f>IF('計算A'!U$106=1,DT38,1)</f>
        <v/>
      </c>
      <c r="JI38">
        <f>IF('計算A'!V$106=1,DU38,1)</f>
        <v/>
      </c>
      <c r="JJ38">
        <f>IF('計算A'!W$106=1,DV38,1)</f>
        <v/>
      </c>
      <c r="JK38">
        <f>IF('計算A'!X$106=1,DW38,1)</f>
        <v/>
      </c>
      <c r="JL38">
        <f>IF('計算A'!Y$106=1,DX38,1)</f>
        <v/>
      </c>
      <c r="JM38">
        <f>IF('計算A'!Z$106=1,DY38,1)</f>
        <v/>
      </c>
      <c r="JN38">
        <f>IF('計算A'!AA$106=1,DZ38,1)</f>
        <v/>
      </c>
      <c r="JO38">
        <f>IF('計算A'!AB$106=1,EA38,1)</f>
        <v/>
      </c>
      <c r="JP38">
        <f>IF('計算A'!AC$106=1,EB38,1)</f>
        <v/>
      </c>
      <c r="JQ38">
        <f>IF('計算A'!AD$106=1,EC38,1)</f>
        <v/>
      </c>
      <c r="JR38">
        <f>IF('計算A'!AE$106=1,ED38,1)</f>
        <v/>
      </c>
      <c r="JS38">
        <f>IF('計算A'!AF$106=1,EE38,1)</f>
        <v/>
      </c>
      <c r="JT38">
        <f>IF('計算A'!AG$106=1,EF38,1)</f>
        <v/>
      </c>
      <c r="JU38">
        <f>IF('計算A'!AH$106=1,EG38,1)</f>
        <v/>
      </c>
      <c r="JV38">
        <f>IF('計算A'!AI$106=1,EH38,1)</f>
        <v/>
      </c>
      <c r="JW38">
        <f>IF('計算A'!AJ$106=1,EI38,1)</f>
        <v/>
      </c>
      <c r="JX38">
        <f>IF('計算A'!AK$106=1,EJ38,1)</f>
        <v/>
      </c>
      <c r="JY38">
        <f>IF('計算A'!AL$106=1,EK38,1)</f>
        <v/>
      </c>
      <c r="JZ38">
        <f>IF('計算A'!AM$106=1,EL38,1)</f>
        <v/>
      </c>
      <c r="KA38">
        <f>IF('計算A'!AN$106=1,EM38,1)</f>
        <v/>
      </c>
      <c r="KB38">
        <f>IF('計算A'!AO$106=1,EN38,1)</f>
        <v/>
      </c>
      <c r="KC38">
        <f>IF('計算A'!AP$106=1,EO38,1)</f>
        <v/>
      </c>
      <c r="KD38">
        <f>IF('計算A'!AQ$106=1,EP38,1)</f>
        <v/>
      </c>
      <c r="KE38">
        <f>IF('計算A'!AR$106=1,EQ38,1)</f>
        <v/>
      </c>
      <c r="KF38">
        <f>IF('計算A'!AS$106=1,ER38,1)</f>
        <v/>
      </c>
      <c r="KG38">
        <f>IF('計算A'!AT$106=1,ES38,1)</f>
        <v/>
      </c>
      <c r="KH38">
        <f>IF('計算A'!AU$106=1,ET38,1)</f>
        <v/>
      </c>
      <c r="KI38">
        <f>IF('計算A'!AV$106=1,EU38,1)</f>
        <v/>
      </c>
      <c r="KJ38">
        <f>IF('計算A'!AW$106=1,EV38,1)</f>
        <v/>
      </c>
      <c r="KK38">
        <f>IF('計算A'!AX$106=1,EW38,1)</f>
        <v/>
      </c>
      <c r="KL38">
        <f>IF('計算A'!AY$106=1,EX38,1)</f>
        <v/>
      </c>
      <c r="KM38">
        <f>IF('計算A'!AZ$106=1,EY38,1)</f>
        <v/>
      </c>
      <c r="KN38">
        <f>IF('計算A'!BA$106=1,EZ38,1)</f>
        <v/>
      </c>
      <c r="KO38">
        <f>IF('計算A'!BB$106=1,FA38,1)</f>
        <v/>
      </c>
      <c r="KP38">
        <f>IF('計算A'!BC$106=1,FB38,1)</f>
        <v/>
      </c>
      <c r="KQ38">
        <f>IF('計算A'!BD$106=1,FC38,1)</f>
        <v/>
      </c>
      <c r="KR38">
        <f>IF('計算A'!BE$106=1,FD38,1)</f>
        <v/>
      </c>
      <c r="KS38">
        <f>IF('計算A'!BF$106=1,FE38,1)</f>
        <v/>
      </c>
      <c r="KT38">
        <f>IF('計算A'!BG$106=1,FF38,1)</f>
        <v/>
      </c>
      <c r="KU38">
        <f>IF('計算A'!BH$106=1,FG38,1)</f>
        <v/>
      </c>
      <c r="KV38">
        <f>IF('計算A'!BI$106=1,FH38,1)</f>
        <v/>
      </c>
      <c r="KW38">
        <f>IF('計算A'!BJ$106=1,FI38,1)</f>
        <v/>
      </c>
      <c r="KX38">
        <f>IF('計算A'!BK$106=1,FJ38,1)</f>
        <v/>
      </c>
      <c r="KY38">
        <f>IF('計算A'!BL$106=1,FK38,1)</f>
        <v/>
      </c>
      <c r="KZ38">
        <f>IF('計算A'!BM$106=1,FL38,1)</f>
        <v/>
      </c>
      <c r="LA38">
        <f>IF('計算A'!BN$106=1,FM38,1)</f>
        <v/>
      </c>
      <c r="LB38">
        <f>IF('計算A'!BO$106=1,FN38,1)</f>
        <v/>
      </c>
      <c r="LC38">
        <f>IF('計算A'!BP$106=1,FO38,1)</f>
        <v/>
      </c>
      <c r="LD38">
        <f>IF('計算A'!BQ$106=1,FP38,1)</f>
        <v/>
      </c>
      <c r="LE38">
        <f>IF('計算A'!BR$106=1,FQ38,1)</f>
        <v/>
      </c>
      <c r="LF38">
        <f>IF('計算A'!BS$106=1,FR38,1)</f>
        <v/>
      </c>
      <c r="LG38">
        <f>IF('計算A'!BT$106=1,FS38,1)</f>
        <v/>
      </c>
      <c r="LH38">
        <f>IF('計算A'!BU$106=1,FT38,1)</f>
        <v/>
      </c>
      <c r="LI38">
        <f>IF('計算A'!BV$106=1,FU38,1)</f>
        <v/>
      </c>
      <c r="LJ38">
        <f>IF('計算A'!BW$106=1,FV38,1)</f>
        <v/>
      </c>
      <c r="LK38">
        <f>IF('計算A'!BX$106=1,FW38,1)</f>
        <v/>
      </c>
      <c r="LL38">
        <f>IF('計算A'!BY$106=1,FX38,1)</f>
        <v/>
      </c>
      <c r="LM38">
        <f>IF('計算A'!BZ$106=1,FY38,1)</f>
        <v/>
      </c>
      <c r="LN38">
        <f>IF('計算A'!CA$106=1,FZ38,1)</f>
        <v/>
      </c>
      <c r="LO38">
        <f>IF('計算A'!CB$106=1,GA38,1)</f>
        <v/>
      </c>
      <c r="LP38">
        <f>IF('計算A'!CC$106=1,GB38,1)</f>
        <v/>
      </c>
      <c r="LQ38">
        <f>IF('計算A'!CD$106=1,GC38,1)</f>
        <v/>
      </c>
      <c r="LR38">
        <f>IF('計算A'!CE$106=1,GD38,1)</f>
        <v/>
      </c>
      <c r="LS38">
        <f>IF('計算A'!CF$106=1,GE38,1)</f>
        <v/>
      </c>
      <c r="LT38">
        <f>IF('計算A'!CG$106=1,GF38,1)</f>
        <v/>
      </c>
      <c r="LU38">
        <f>IF('計算A'!CH$106=1,GG38,1)</f>
        <v/>
      </c>
      <c r="LV38">
        <f>IF('計算A'!CI$106=1,GH38,1)</f>
        <v/>
      </c>
      <c r="LW38">
        <f>IF('計算A'!CJ$106=1,GI38,1)</f>
        <v/>
      </c>
      <c r="LX38">
        <f>IF('計算A'!CK$106=1,GJ38,1)</f>
        <v/>
      </c>
      <c r="LY38">
        <f>IF('計算A'!CL$106=1,GK38,1)</f>
        <v/>
      </c>
      <c r="LZ38">
        <f>IF('計算A'!CM$106=1,GL38,1)</f>
        <v/>
      </c>
      <c r="MA38">
        <f>IF('計算A'!CN$106=1,GM38,1)</f>
        <v/>
      </c>
      <c r="MB38">
        <f>IF('計算A'!CO$106=1,GN38,1)</f>
        <v/>
      </c>
      <c r="MC38">
        <f>IF('計算A'!CP$106=1,GO38,1)</f>
        <v/>
      </c>
      <c r="MD38">
        <f>IF('計算A'!CQ$106=1,GP38,1)</f>
        <v/>
      </c>
      <c r="ME38">
        <f>IF('計算A'!CR$106=1,GQ38,1)</f>
        <v/>
      </c>
      <c r="MF38">
        <f>IF('計算A'!CS$106=1,GR38,1)</f>
        <v/>
      </c>
      <c r="MG38">
        <f>IF('計算A'!CT$106=1,GS38,1)</f>
        <v/>
      </c>
      <c r="MH38">
        <f>IF('計算A'!CU$106=1,GT38,1)</f>
        <v/>
      </c>
      <c r="MI38">
        <f>IF('計算A'!CV$106=1,GU38,1)</f>
        <v/>
      </c>
      <c r="MJ38">
        <f>IF('計算A'!CW$106=1,GV38,1)</f>
        <v/>
      </c>
      <c r="MK38">
        <f>IF('計算A'!CX$106=1,GW38,1)</f>
        <v/>
      </c>
      <c r="ML38">
        <f>IF('計算A'!CY$106=1,GX38,1)</f>
        <v/>
      </c>
      <c r="MM38">
        <f>IF('計算A'!CZ$106=1,GY38,1)</f>
        <v/>
      </c>
      <c r="MN38">
        <f>IF('計算A'!DA$106=1,GZ38,1)</f>
        <v/>
      </c>
      <c r="MO38">
        <f>IF('計算A'!DB$106=1,HA38,1)</f>
        <v/>
      </c>
      <c r="MP38">
        <f>IF('計算A'!DC$106=1,HB38,1)</f>
        <v/>
      </c>
      <c r="MQ38">
        <f>IF('計算A'!DD$106=1,HC38,1)</f>
        <v/>
      </c>
      <c r="MR38">
        <f>IF('計算A'!DE$106=1,HD38,1)</f>
        <v/>
      </c>
      <c r="MS38">
        <f>IF('計算A'!DF$106=1,HE38,1)</f>
        <v/>
      </c>
      <c r="MT38">
        <f>IF('計算A'!DG$106=1,HF38,1)</f>
        <v/>
      </c>
      <c r="MU38">
        <f>IF('計算A'!DH$106=1,HG38,1)</f>
        <v/>
      </c>
      <c r="MV38">
        <f>IF('計算A'!DI$106=1,HH38,1)</f>
        <v/>
      </c>
      <c r="MW38">
        <f>IF('計算A'!DJ$106=1,HI38,1)</f>
        <v/>
      </c>
      <c r="MX38">
        <f>IF('計算A'!DK$106=1,HJ38,1)</f>
        <v/>
      </c>
      <c r="MY38">
        <f>IF('計算A'!DL$106=1,HK38,1)</f>
        <v/>
      </c>
      <c r="MZ38">
        <f>IF('計算A'!DM$106=1,HL38,1)</f>
        <v/>
      </c>
      <c r="NA38">
        <f>IF('計算A'!DN$106=1,HM38,1)</f>
        <v/>
      </c>
      <c r="NB38">
        <f>IF('計算A'!DO$106=1,HN38,1)</f>
        <v/>
      </c>
      <c r="NC38">
        <f>IF('計算A'!DP$106=1,HO38,1)</f>
        <v/>
      </c>
      <c r="ND38">
        <f>IF('計算A'!DQ$106=1,HP38,1)</f>
        <v/>
      </c>
      <c r="NE38">
        <f>IF('計算A'!DR$106=1,HQ38,1)</f>
        <v/>
      </c>
      <c r="NF38">
        <f>IF('計算A'!DS$106=1,HR38,1)</f>
        <v/>
      </c>
      <c r="NG38">
        <f>IF('計算A'!DT$106=1,HS38,1)</f>
        <v/>
      </c>
      <c r="NH38">
        <f>IF('計算A'!DU$106=1,HT38,1)</f>
        <v/>
      </c>
      <c r="NI38">
        <f>IF('計算A'!DV$106=1,HU38,1)</f>
        <v/>
      </c>
      <c r="NJ38">
        <f>IF('計算A'!DW$106=1,HV38,1)</f>
        <v/>
      </c>
      <c r="NK38">
        <f>IF('計算A'!DX$106=1,HW38,1)</f>
        <v/>
      </c>
      <c r="NL38">
        <f>IF('計算A'!DY$106=1,HX38,1)</f>
        <v/>
      </c>
      <c r="NM38">
        <f>IF('計算A'!DZ$106=1,HY38,1)</f>
        <v/>
      </c>
      <c r="NN38">
        <f>IF('計算A'!EA$106=1,HZ38,1)</f>
        <v/>
      </c>
      <c r="NO38">
        <f>IF('計算A'!EB$106=1,IA38,1)</f>
        <v/>
      </c>
      <c r="NP38">
        <f>IF('計算A'!EC$106=1,IB38,1)</f>
        <v/>
      </c>
      <c r="NQ38">
        <f>IF('計算A'!ED$106=1,IC38,1)</f>
        <v/>
      </c>
      <c r="NR38">
        <f>IF('計算A'!EE$106=1,ID38,1)</f>
        <v/>
      </c>
      <c r="NS38">
        <f>IF('計算A'!EF$106=1,IE38,1)</f>
        <v/>
      </c>
      <c r="NT38">
        <f>IF('計算A'!EG$106=1,IF38,1)</f>
        <v/>
      </c>
      <c r="NU38">
        <f>IF('計算A'!EH$106=1,IG38,1)</f>
        <v/>
      </c>
      <c r="NV38">
        <f>IF('計算A'!EI$106=1,IH38,1)</f>
        <v/>
      </c>
      <c r="NW38">
        <f>IF('計算A'!EJ$106=1,II38,1)</f>
        <v/>
      </c>
      <c r="NX38">
        <f>IF('計算A'!EK$106=1,IJ38,1)</f>
        <v/>
      </c>
      <c r="NY38">
        <f>IF('計算A'!EL$106=1,IK38,1)</f>
        <v/>
      </c>
      <c r="NZ38">
        <f>IF('計算A'!EM$106=1,IL38,1)</f>
        <v/>
      </c>
      <c r="OA38">
        <f>IF('計算A'!EN$106=1,IM38,1)</f>
        <v/>
      </c>
      <c r="OB38">
        <f>IF('計算A'!EO$106=1,IN38,1)</f>
        <v/>
      </c>
      <c r="OC38">
        <f>IF('計算A'!EP$106=1,IO38,1)</f>
        <v/>
      </c>
      <c r="OD38" t="n">
        <v>1</v>
      </c>
      <c r="OF38">
        <f>IF($B38=0,1000000,IF(INDEX('計算A'!$D$60:$EQ$104,$B38,1)*DB38=1,IF(AND($E38=2,IQ38=0),1000000,IF($I38&gt;0,IF(1=$J38,IF(OR(AND(1=$I38+1,OR($K38&lt;&gt;'計算A'!$A$3,'計算A'!$A$4=0)),AND(1=$I38-1,OR(1&lt;&gt;'計算A'!$A$3,'計算A'!$A$4=0))),0,IF(1=$K38,200000,ABS(1-$K38)*100)),100000+ABS(1-$J38)*1000+10)+'計算A'!D$5*50+IF(AND($E38=1,IQ38=0),25,0),IF($F38&gt;0,INDEX('計算A'!D$110:D$114,$F38+1)+IF(AND($E38=1,IQ38=0),1000,0),MIN(TU38,20)*400+(IF('計算A'!D$106=1,1-DC38,0))*150+11+'計算A'!D$5*100000+IF(AND($E38=1,IQ38=0),50000,0))+IF($H38=1,(IF('計算A'!D$117=1,INDEX('計算A'!E$10:E$54,$B38),0))*4000,0)-IF(AND($L38=1,'計算A'!D$117=1,DC38=0),2000,0))),1000000))</f>
        <v/>
      </c>
      <c r="OG38">
        <f>IF($B38=0,1000000,IF(INDEX('計算A'!$D$60:$EQ$104,$B38,2)*DC38=1,IF(AND($E38=2,IR38=0),1000000,IF($I38&gt;0,IF(1=$J38,IF(OR(AND(2=$I38+1,OR($K38&lt;&gt;'計算A'!$A$3,'計算A'!$A$4=0)),AND(2=$I38-1,OR(2&lt;&gt;'計算A'!$A$3,'計算A'!$A$4=0))),0,IF(2=$K38,200000,ABS(2-$K38)*100)),100000+ABS(1-$J38)*1000+20)+'計算A'!E$5*50+IF(AND($E38=1,IR38=0),25,0),IF($F38&gt;0,INDEX('計算A'!E$110:E$114,$F38+1)+IF(AND($E38=1,IR38=0),1000,0),MIN(TU38,20)*400+(IF('計算A'!D$106=1,1-DB38,0)+IF('計算A'!E$106=1,1-DD38,0))*150+21+'計算A'!E$5*100000+IF(AND($E38=1,IR38=0),50000,0))+IF($H38=1,(IF('計算A'!D$117=1,INDEX('計算A'!D$10:D$54,$B38),0)+IF('計算A'!E$117=1,INDEX('計算A'!F$10:F$54,$B38),0))*4000,0)-IF(AND('計算A'!D$117=1,UB38&gt;0),2000,0)-IF(AND($L38=1,'計算A'!E$117=1,DD38=0),2000,0))),1000000))</f>
        <v/>
      </c>
      <c r="OH38">
        <f>IF($B38=0,1000000,IF(INDEX('計算A'!$D$60:$EQ$104,$B38,3)*DD38=1,IF(AND($E38=2,IS38=0),1000000,IF($I38&gt;0,IF(1=$J38,IF(OR(AND(3=$I38+1,OR($K38&lt;&gt;'計算A'!$A$3,'計算A'!$A$4=0)),AND(3=$I38-1,OR(3&lt;&gt;'計算A'!$A$3,'計算A'!$A$4=0))),0,IF(3=$K38,200000,ABS(3-$K38)*100)),100000+ABS(1-$J38)*1000+30)+'計算A'!F$5*50+IF(AND($E38=1,IS38=0),25,0),IF($F38&gt;0,INDEX('計算A'!F$110:F$114,$F38+1)+IF(AND($E38=1,IS38=0),1000,0),MIN(TU38,20)*400+(IF('計算A'!E$106=1,1-DC38,0)+IF('計算A'!F$106=1,1-DE38,0))*150+31+'計算A'!F$5*100000+IF(AND($E38=1,IS38=0),50000,0))+IF($H38=1,(IF('計算A'!E$117=1,INDEX('計算A'!E$10:E$54,$B38),0)+IF('計算A'!F$117=1,INDEX('計算A'!G$10:G$54,$B38),0))*4000,0)-IF(AND('計算A'!E$117=1,UC38&gt;0),2000,0)-IF(AND($L38=1,'計算A'!F$117=1,DE38=0),2000,0))),1000000))</f>
        <v/>
      </c>
      <c r="OI38">
        <f>IF($B38=0,1000000,IF(INDEX('計算A'!$D$60:$EQ$104,$B38,4)*DE38=1,IF(AND($E38=2,IT38=0),1000000,IF($I38&gt;0,IF(1=$J38,IF(OR(AND(4=$I38+1,OR($K38&lt;&gt;'計算A'!$A$3,'計算A'!$A$4=0)),AND(4=$I38-1,OR(4&lt;&gt;'計算A'!$A$3,'計算A'!$A$4=0))),0,IF(4=$K38,200000,ABS(4-$K38)*100)),100000+ABS(1-$J38)*1000+40)+'計算A'!G$5*50+IF(AND($E38=1,IT38=0),25,0),IF($F38&gt;0,INDEX('計算A'!G$110:G$114,$F38+1)+IF(AND($E38=1,IT38=0),1000,0),MIN(TU38,20)*400+(IF('計算A'!F$106=1,1-DD38,0)+IF('計算A'!G$106=1,1-DF38,0))*150+41+'計算A'!G$5*100000+IF(AND($E38=1,IT38=0),50000,0))+IF($H38=1,(IF('計算A'!F$117=1,INDEX('計算A'!F$10:F$54,$B38),0)+IF('計算A'!G$117=1,INDEX('計算A'!H$10:H$54,$B38),0))*4000,0)-IF(AND('計算A'!F$117=1,UD38&gt;0),2000,0)-IF(AND($L38=1,'計算A'!G$117=1,DF38=0),2000,0))),1000000))</f>
        <v/>
      </c>
      <c r="OJ38">
        <f>IF($B38=0,1000000,IF(INDEX('計算A'!$D$60:$EQ$104,$B38,5)*DF38=1,IF(AND($E38=2,IU38=0),1000000,IF($I38&gt;0,IF(1=$J38,IF(OR(AND(5=$I38+1,OR($K38&lt;&gt;'計算A'!$A$3,'計算A'!$A$4=0)),AND(5=$I38-1,OR(5&lt;&gt;'計算A'!$A$3,'計算A'!$A$4=0))),0,IF(5=$K38,200000,ABS(5-$K38)*100)),100000+ABS(1-$J38)*1000+50)+'計算A'!H$5*50+IF(AND($E38=1,IU38=0),25,0),IF($F38&gt;0,INDEX('計算A'!H$110:H$114,$F38+1)+IF(AND($E38=1,IU38=0),1000,0),MIN(TU38,20)*400+(IF('計算A'!G$106=1,1-DE38,0)+IF('計算A'!H$106=1,1-DG38,0))*150+51+'計算A'!H$5*100000+IF(AND($E38=1,IU38=0),50000,0))+IF($H38=1,(IF('計算A'!G$117=1,INDEX('計算A'!G$10:G$54,$B38),0)+IF('計算A'!H$117=1,INDEX('計算A'!I$10:I$54,$B38),0))*4000,0)-IF(AND('計算A'!G$117=1,UE38&gt;0),2000,0)-IF(AND($L38=1,'計算A'!H$117=1,DG38=0),2000,0))),1000000))</f>
        <v/>
      </c>
      <c r="OK38">
        <f>IF($B38=0,1000000,IF(INDEX('計算A'!$D$60:$EQ$104,$B38,6)*DG38=1,IF(AND($E38=2,IV38=0),1000000,IF($I38&gt;0,IF(1=$J38,IF(OR(AND(6=$I38+1,OR($K38&lt;&gt;'計算A'!$A$3,'計算A'!$A$4=0)),AND(6=$I38-1,OR(6&lt;&gt;'計算A'!$A$3,'計算A'!$A$4=0))),0,IF(6=$K38,200000,ABS(6-$K38)*100)),100000+ABS(1-$J38)*1000+60)+'計算A'!I$5*50+IF(AND($E38=1,IV38=0),25,0),IF($F38&gt;0,INDEX('計算A'!I$110:I$114,$F38+1)+IF(AND($E38=1,IV38=0),1000,0),MIN(TU38,20)*400+(IF('計算A'!H$106=1,1-DF38,0)+IF('計算A'!I$106=1,1-DH38,0))*150+61+'計算A'!I$5*100000+IF(AND($E38=1,IV38=0),50000,0))+IF($H38=1,(IF('計算A'!H$117=1,INDEX('計算A'!H$10:H$54,$B38),0)+IF('計算A'!I$117=1,INDEX('計算A'!J$10:J$54,$B38),0))*4000,0)-IF(AND('計算A'!H$117=1,UF38&gt;0),2000,0)-IF(AND($L38=1,'計算A'!I$117=1,DH38=0),2000,0))),1000000))</f>
        <v/>
      </c>
      <c r="OL38">
        <f>IF($B38=0,1000000,IF(INDEX('計算A'!$D$60:$EQ$104,$B38,7)*DH38=1,IF(AND($E38=2,IW38=0),1000000,IF($I38&gt;0,IF(1=$J38,IF(OR(AND(7=$I38+1,OR($K38&lt;&gt;'計算A'!$A$3,'計算A'!$A$4=0)),AND(7=$I38-1,OR(7&lt;&gt;'計算A'!$A$3,'計算A'!$A$4=0))),0,IF(7=$K38,200000,ABS(7-$K38)*100)),100000+ABS(1-$J38)*1000+70)+'計算A'!J$5*50+IF(AND($E38=1,IW38=0),25,0),IF($F38&gt;0,INDEX('計算A'!J$110:J$114,$F38+1)+IF(AND($E38=1,IW38=0),1000,0),MIN(TU38,20)*400+(IF('計算A'!I$106=1,1-DG38,0)+IF('計算A'!J$106=1,1-DI38,0))*150+71+'計算A'!J$5*100000+IF(AND($E38=1,IW38=0),50000,0))+IF($H38=1,(IF('計算A'!I$117=1,INDEX('計算A'!I$10:I$54,$B38),0)+IF('計算A'!J$117=1,INDEX('計算A'!K$10:K$54,$B38),0))*4000,0)-IF(AND('計算A'!I$117=1,UG38&gt;0),2000,0)-IF(AND($L38=1,'計算A'!J$117=1,DI38=0),2000,0))),1000000))</f>
        <v/>
      </c>
      <c r="OM38">
        <f>IF($B38=0,1000000,IF(INDEX('計算A'!$D$60:$EQ$104,$B38,8)*DI38=1,IF(AND($E38=2,IX38=0),1000000,IF($I38&gt;0,IF(1=$J38,IF(OR(AND(8=$I38+1,OR($K38&lt;&gt;'計算A'!$A$3,'計算A'!$A$4=0)),AND(8=$I38-1,OR(8&lt;&gt;'計算A'!$A$3,'計算A'!$A$4=0))),0,IF(8=$K38,200000,ABS(8-$K38)*100)),100000+ABS(1-$J38)*1000+80)+'計算A'!K$5*50+IF(AND($E38=1,IX38=0),25,0),IF($F38&gt;0,INDEX('計算A'!K$110:K$114,$F38+1)+IF(AND($E38=1,IX38=0),1000,0),MIN(TU38,20)*400+(IF('計算A'!J$106=1,1-DH38,0)+IF('計算A'!K$106=1,1-DJ38,0))*150+81+'計算A'!K$5*100000+IF(AND($E38=1,IX38=0),50000,0))+IF($H38=1,(IF('計算A'!J$117=1,INDEX('計算A'!J$10:J$54,$B38),0)+IF('計算A'!K$117=1,INDEX('計算A'!L$10:L$54,$B38),0))*4000,0)-IF(AND('計算A'!J$117=1,UH38&gt;0),2000,0)-IF(AND($L38=1,'計算A'!K$117=1,DJ38=0),2000,0))),1000000))</f>
        <v/>
      </c>
      <c r="ON38">
        <f>IF($B38=0,1000000,IF(INDEX('計算A'!$D$60:$EQ$104,$B38,9)*DJ38=1,IF(AND($E38=2,IY38=0),1000000,IF($I38&gt;0,IF(1=$J38,IF(OR(AND(9=$I38+1,OR($K38&lt;&gt;'計算A'!$A$3,'計算A'!$A$4=0)),AND(9=$I38-1,OR(9&lt;&gt;'計算A'!$A$3,'計算A'!$A$4=0))),0,IF(9=$K38,200000,ABS(9-$K38)*100)),100000+ABS(1-$J38)*1000+90)+'計算A'!L$5*50+IF(AND($E38=1,IY38=0),25,0),IF($F38&gt;0,INDEX('計算A'!L$110:L$114,$F38+1)+IF(AND($E38=1,IY38=0),1000,0),MIN(TU38,20)*400+(IF('計算A'!K$106=1,1-DI38,0)+IF('計算A'!L$106=1,1-DK38,0))*150+91+'計算A'!L$5*100000+IF(AND($E38=1,IY38=0),50000,0))+IF($H38=1,(IF('計算A'!K$117=1,INDEX('計算A'!K$10:K$54,$B38),0)+IF('計算A'!L$117=1,INDEX('計算A'!M$10:M$54,$B38),0))*4000,0)-IF(AND('計算A'!K$117=1,UI38&gt;0),2000,0)-IF(AND($L38=1,'計算A'!L$117=1,DK38=0),2000,0))),1000000))</f>
        <v/>
      </c>
      <c r="OO38">
        <f>IF($B38=0,1000000,IF(INDEX('計算A'!$D$60:$EQ$104,$B38,10)*DK38=1,IF(AND($E38=2,IZ38=0),1000000,IF($I38&gt;0,IF(1=$J38,IF(OR(AND(10=$I38+1,OR($K38&lt;&gt;'計算A'!$A$3,'計算A'!$A$4=0)),AND(10=$I38-1,OR(10&lt;&gt;'計算A'!$A$3,'計算A'!$A$4=0))),0,IF(10=$K38,200000,ABS(10-$K38)*100)),100000+ABS(1-$J38)*1000+100)+'計算A'!M$5*50+IF(AND($E38=1,IZ38=0),25,0),IF($F38&gt;0,INDEX('計算A'!M$110:M$114,$F38+1)+IF(AND($E38=1,IZ38=0),1000,0),MIN(TU38,20)*400+(IF('計算A'!L$106=1,1-DJ38,0)+IF('計算A'!M$106=1,1-DL38,0))*150+101+'計算A'!M$5*100000+IF(AND($E38=1,IZ38=0),50000,0))+IF($H38=1,(IF('計算A'!L$117=1,INDEX('計算A'!L$10:L$54,$B38),0)+IF('計算A'!M$117=1,INDEX('計算A'!N$10:N$54,$B38),0))*4000,0)-IF(AND('計算A'!L$117=1,UJ38&gt;0),2000,0)-IF(AND($L38=1,'計算A'!M$117=1,DL38=0),2000,0))),1000000))</f>
        <v/>
      </c>
      <c r="OP38">
        <f>IF($B38=0,1000000,IF(INDEX('計算A'!$D$60:$EQ$104,$B38,11)*DL38=1,IF(AND($E38=2,JA38=0),1000000,IF($I38&gt;0,IF(1=$J38,IF(OR(AND(11=$I38+1,OR($K38&lt;&gt;'計算A'!$A$3,'計算A'!$A$4=0)),AND(11=$I38-1,OR(11&lt;&gt;'計算A'!$A$3,'計算A'!$A$4=0))),0,IF(11=$K38,200000,ABS(11-$K38)*100)),100000+ABS(1-$J38)*1000+110)+'計算A'!N$5*50+IF(AND($E38=1,JA38=0),25,0),IF($F38&gt;0,INDEX('計算A'!N$110:N$114,$F38+1)+IF(AND($E38=1,JA38=0),1000,0),MIN(TU38,20)*400+(IF('計算A'!M$106=1,1-DK38,0)+IF('計算A'!N$106=1,1-DM38,0))*150+111+'計算A'!N$5*100000+IF(AND($E38=1,JA38=0),50000,0))+IF($H38=1,(IF('計算A'!M$117=1,INDEX('計算A'!M$10:M$54,$B38),0)+IF('計算A'!N$117=1,INDEX('計算A'!O$10:O$54,$B38),0))*4000,0)-IF(AND('計算A'!M$117=1,UK38&gt;0),2000,0)-IF(AND($L38=1,'計算A'!N$117=1,DM38=0),2000,0))),1000000))</f>
        <v/>
      </c>
      <c r="OQ38">
        <f>IF($B38=0,1000000,IF(INDEX('計算A'!$D$60:$EQ$104,$B38,12)*DM38=1,IF(AND($E38=2,JB38=0),1000000,IF($I38&gt;0,IF(1=$J38,IF(OR(AND(12=$I38+1,OR($K38&lt;&gt;'計算A'!$A$3,'計算A'!$A$4=0)),AND(12=$I38-1,OR(12&lt;&gt;'計算A'!$A$3,'計算A'!$A$4=0))),0,IF(12=$K38,200000,ABS(12-$K38)*100)),100000+ABS(1-$J38)*1000+120)+'計算A'!O$5*50+IF(AND($E38=1,JB38=0),25,0),IF($F38&gt;0,INDEX('計算A'!O$110:O$114,$F38+1)+IF(AND($E38=1,JB38=0),1000,0),MIN(TU38,20)*400+(IF('計算A'!N$106=1,1-DL38,0)+IF('計算A'!O$106=1,1-DN38,0))*150+121+'計算A'!O$5*100000+IF(AND($E38=1,JB38=0),50000,0))+IF($H38=1,(IF('計算A'!N$117=1,INDEX('計算A'!N$10:N$54,$B38),0)+IF('計算A'!O$117=1,INDEX('計算A'!P$10:P$54,$B38),0))*4000,0)-IF(AND('計算A'!N$117=1,UL38&gt;0),2000,0)-IF(AND($L38=1,'計算A'!O$117=1,DN38=0),2000,0))),1000000))</f>
        <v/>
      </c>
      <c r="OR38">
        <f>IF($B38=0,1000000,IF(INDEX('計算A'!$D$60:$EQ$104,$B38,13)*DN38=1,IF(AND($E38=2,JC38=0),1000000,IF($I38&gt;0,IF(1=$J38,IF(OR(AND(13=$I38+1,OR($K38&lt;&gt;'計算A'!$A$3,'計算A'!$A$4=0)),AND(13=$I38-1,OR(13&lt;&gt;'計算A'!$A$3,'計算A'!$A$4=0))),0,IF(13=$K38,200000,ABS(13-$K38)*100)),100000+ABS(1-$J38)*1000+130)+'計算A'!P$5*50+IF(AND($E38=1,JC38=0),25,0),IF($F38&gt;0,INDEX('計算A'!P$110:P$114,$F38+1)+IF(AND($E38=1,JC38=0),1000,0),MIN(TU38,20)*400+(IF('計算A'!O$106=1,1-DM38,0)+IF('計算A'!P$106=1,1-DO38,0))*150+131+'計算A'!P$5*100000+IF(AND($E38=1,JC38=0),50000,0))+IF($H38=1,(IF('計算A'!O$117=1,INDEX('計算A'!O$10:O$54,$B38),0)+IF('計算A'!P$117=1,INDEX('計算A'!Q$10:Q$54,$B38),0))*4000,0)-IF(AND('計算A'!O$117=1,UM38&gt;0),2000,0)-IF(AND($L38=1,'計算A'!P$117=1,DO38=0),2000,0))),1000000))</f>
        <v/>
      </c>
      <c r="OS38">
        <f>IF($B38=0,1000000,IF(INDEX('計算A'!$D$60:$EQ$104,$B38,14)*DO38=1,IF(AND($E38=2,JD38=0),1000000,IF($I38&gt;0,IF(1=$J38,IF(OR(AND(14=$I38+1,OR($K38&lt;&gt;'計算A'!$A$3,'計算A'!$A$4=0)),AND(14=$I38-1,OR(14&lt;&gt;'計算A'!$A$3,'計算A'!$A$4=0))),0,IF(14=$K38,200000,ABS(14-$K38)*100)),100000+ABS(1-$J38)*1000+140)+'計算A'!Q$5*50+IF(AND($E38=1,JD38=0),25,0),IF($F38&gt;0,INDEX('計算A'!Q$110:Q$114,$F38+1)+IF(AND($E38=1,JD38=0),1000,0),MIN(TU38,20)*400+(IF('計算A'!P$106=1,1-DN38,0)+IF('計算A'!Q$106=1,1-DP38,0))*150+141+'計算A'!Q$5*100000+IF(AND($E38=1,JD38=0),50000,0))+IF($H38=1,(IF('計算A'!P$117=1,INDEX('計算A'!P$10:P$54,$B38),0)+IF('計算A'!Q$117=1,INDEX('計算A'!R$10:R$54,$B38),0))*4000,0)-IF(AND('計算A'!P$117=1,UN38&gt;0),2000,0)-IF(AND($L38=1,'計算A'!Q$117=1,DP38=0),2000,0))),1000000))</f>
        <v/>
      </c>
      <c r="OT38">
        <f>IF($B38=0,1000000,IF(INDEX('計算A'!$D$60:$EQ$104,$B38,15)*DP38=1,IF(AND($E38=2,JE38=0),1000000,IF($I38&gt;0,IF(1=$J38,IF(OR(AND(15=$I38+1,OR($K38&lt;&gt;'計算A'!$A$3,'計算A'!$A$4=0)),AND(15=$I38-1,OR(15&lt;&gt;'計算A'!$A$3,'計算A'!$A$4=0))),0,IF(15=$K38,200000,ABS(15-$K38)*100)),100000+ABS(1-$J38)*1000+150)+'計算A'!R$5*50+IF(AND($E38=1,JE38=0),25,0),IF($F38&gt;0,INDEX('計算A'!R$110:R$114,$F38+1)+IF(AND($E38=1,JE38=0),1000,0),MIN(TU38,20)*400+(IF('計算A'!Q$106=1,1-DO38,0)+IF('計算A'!R$106=1,1-DQ38,0))*150+151+'計算A'!R$5*100000+IF(AND($E38=1,JE38=0),50000,0))+IF($H38=1,(IF('計算A'!Q$117=1,INDEX('計算A'!Q$10:Q$54,$B38),0)+IF('計算A'!R$117=1,INDEX('計算A'!S$10:S$54,$B38),0))*4000,0)-IF(AND('計算A'!Q$117=1,UO38&gt;0),2000,0)-IF(AND($L38=1,'計算A'!R$117=1,DQ38=0),2000,0))),1000000))</f>
        <v/>
      </c>
      <c r="OU38">
        <f>IF($B38=0,1000000,IF(INDEX('計算A'!$D$60:$EQ$104,$B38,16)*DQ38=1,IF(AND($E38=2,JF38=0),1000000,IF($I38&gt;0,IF(1=$J38,IF(OR(AND(16=$I38+1,OR($K38&lt;&gt;'計算A'!$A$3,'計算A'!$A$4=0)),AND(16=$I38-1,OR(16&lt;&gt;'計算A'!$A$3,'計算A'!$A$4=0))),0,IF(16=$K38,200000,ABS(16-$K38)*100)),100000+ABS(1-$J38)*1000+160)+'計算A'!S$5*50+IF(AND($E38=1,JF38=0),25,0),IF($F38&gt;0,INDEX('計算A'!S$110:S$114,$F38+1)+IF(AND($E38=1,JF38=0),1000,0),MIN(TU38,20)*400+(IF('計算A'!R$106=1,1-DP38,0)+IF('計算A'!S$106=1,1-DR38,0))*150+161+'計算A'!S$5*100000+IF(AND($E38=1,JF38=0),50000,0))+IF($H38=1,(IF('計算A'!R$117=1,INDEX('計算A'!R$10:R$54,$B38),0)+IF('計算A'!S$117=1,INDEX('計算A'!T$10:T$54,$B38),0))*4000,0)-IF(AND('計算A'!R$117=1,UP38&gt;0),2000,0)-IF(AND($L38=1,'計算A'!S$117=1,DR38=0),2000,0))),1000000))</f>
        <v/>
      </c>
      <c r="OV38">
        <f>IF($B38=0,1000000,IF(INDEX('計算A'!$D$60:$EQ$104,$B38,17)*DR38=1,IF(AND($E38=2,JG38=0),1000000,IF($I38&gt;0,IF(1=$J38,IF(OR(AND(17=$I38+1,OR($K38&lt;&gt;'計算A'!$A$3,'計算A'!$A$4=0)),AND(17=$I38-1,OR(17&lt;&gt;'計算A'!$A$3,'計算A'!$A$4=0))),0,IF(17=$K38,200000,ABS(17-$K38)*100)),100000+ABS(1-$J38)*1000+170)+'計算A'!T$5*50+IF(AND($E38=1,JG38=0),25,0),IF($F38&gt;0,INDEX('計算A'!T$110:T$114,$F38+1)+IF(AND($E38=1,JG38=0),1000,0),MIN(TU38,20)*400+(IF('計算A'!S$106=1,1-DQ38,0)+IF('計算A'!T$106=1,1-DS38,0))*150+171+'計算A'!T$5*100000+IF(AND($E38=1,JG38=0),50000,0))+IF($H38=1,(IF('計算A'!S$117=1,INDEX('計算A'!S$10:S$54,$B38),0)+IF('計算A'!T$117=1,INDEX('計算A'!U$10:U$54,$B38),0))*4000,0)-IF(AND('計算A'!S$117=1,UQ38&gt;0),2000,0)-IF(AND($L38=1,'計算A'!T$117=1,DS38=0),2000,0))),1000000))</f>
        <v/>
      </c>
      <c r="OW38">
        <f>IF($B38=0,1000000,IF(INDEX('計算A'!$D$60:$EQ$104,$B38,18)*DS38=1,IF(AND($E38=2,JH38=0),1000000,IF($I38&gt;0,IF(1=$J38,IF(OR(AND(18=$I38+1,OR($K38&lt;&gt;'計算A'!$A$3,'計算A'!$A$4=0)),AND(18=$I38-1,OR(18&lt;&gt;'計算A'!$A$3,'計算A'!$A$4=0))),0,IF(18=$K38,200000,ABS(18-$K38)*100)),100000+ABS(1-$J38)*1000+180)+'計算A'!U$5*50+IF(AND($E38=1,JH38=0),25,0),IF($F38&gt;0,INDEX('計算A'!U$110:U$114,$F38+1)+IF(AND($E38=1,JH38=0),1000,0),MIN(TU38,20)*400+(IF('計算A'!T$106=1,1-DR38,0)+IF('計算A'!U$106=1,1-DT38,0))*150+181+'計算A'!U$5*100000+IF(AND($E38=1,JH38=0),50000,0))+IF($H38=1,(IF('計算A'!T$117=1,INDEX('計算A'!T$10:T$54,$B38),0)+IF('計算A'!U$117=1,INDEX('計算A'!V$10:V$54,$B38),0))*4000,0)-IF(AND('計算A'!T$117=1,UR38&gt;0),2000,0)-IF(AND($L38=1,'計算A'!U$117=1,DT38=0),2000,0))),1000000))</f>
        <v/>
      </c>
      <c r="OX38">
        <f>IF($B38=0,1000000,IF(INDEX('計算A'!$D$60:$EQ$104,$B38,19)*DT38=1,IF(AND($E38=2,JI38=0),1000000,IF($I38&gt;0,IF(1=$J38,IF(OR(AND(19=$I38+1,OR($K38&lt;&gt;'計算A'!$A$3,'計算A'!$A$4=0)),AND(19=$I38-1,OR(19&lt;&gt;'計算A'!$A$3,'計算A'!$A$4=0))),0,IF(19=$K38,200000,ABS(19-$K38)*100)),100000+ABS(1-$J38)*1000+190)+'計算A'!V$5*50+IF(AND($E38=1,JI38=0),25,0),IF($F38&gt;0,INDEX('計算A'!V$110:V$114,$F38+1)+IF(AND($E38=1,JI38=0),1000,0),MIN(TU38,20)*400+(IF('計算A'!U$106=1,1-DS38,0)+IF('計算A'!V$106=1,1-DU38,0))*150+191+'計算A'!V$5*100000+IF(AND($E38=1,JI38=0),50000,0))+IF($H38=1,(IF('計算A'!U$117=1,INDEX('計算A'!U$10:U$54,$B38),0)+IF('計算A'!V$117=1,INDEX('計算A'!W$10:W$54,$B38),0))*4000,0)-IF(AND('計算A'!U$117=1,US38&gt;0),2000,0)-IF(AND($L38=1,'計算A'!V$117=1,DU38=0),2000,0))),1000000))</f>
        <v/>
      </c>
      <c r="OY38">
        <f>IF($B38=0,1000000,IF(INDEX('計算A'!$D$60:$EQ$104,$B38,20)*DU38=1,IF(AND($E38=2,JJ38=0),1000000,IF($I38&gt;0,IF(1=$J38,IF(OR(AND(20=$I38+1,OR($K38&lt;&gt;'計算A'!$A$3,'計算A'!$A$4=0)),AND(20=$I38-1,OR(20&lt;&gt;'計算A'!$A$3,'計算A'!$A$4=0))),0,IF(20=$K38,200000,ABS(20-$K38)*100)),100000+ABS(1-$J38)*1000+200)+'計算A'!W$5*50+IF(AND($E38=1,JJ38=0),25,0),IF($F38&gt;0,INDEX('計算A'!W$110:W$114,$F38+1)+IF(AND($E38=1,JJ38=0),1000,0),MIN(TU38,20)*400+(IF('計算A'!V$106=1,1-DT38,0)+IF('計算A'!W$106=1,1-DV38,0))*150+201+'計算A'!W$5*100000+IF(AND($E38=1,JJ38=0),50000,0))+IF($H38=1,(IF('計算A'!V$117=1,INDEX('計算A'!V$10:V$54,$B38),0)+IF('計算A'!W$117=1,INDEX('計算A'!X$10:X$54,$B38),0))*4000,0)-IF(AND('計算A'!V$117=1,UT38&gt;0),2000,0)-IF(AND($L38=1,'計算A'!W$117=1,DV38=0),2000,0))),1000000))</f>
        <v/>
      </c>
      <c r="OZ38">
        <f>IF($B38=0,1000000,IF(INDEX('計算A'!$D$60:$EQ$104,$B38,21)*DV38=1,IF(AND($E38=2,JK38=0),1000000,IF($I38&gt;0,IF(1=$J38,IF(OR(AND(21=$I38+1,OR($K38&lt;&gt;'計算A'!$A$3,'計算A'!$A$4=0)),AND(21=$I38-1,OR(21&lt;&gt;'計算A'!$A$3,'計算A'!$A$4=0))),0,IF(21=$K38,200000,ABS(21-$K38)*100)),100000+ABS(1-$J38)*1000+210)+'計算A'!X$5*50+IF(AND($E38=1,JK38=0),25,0),IF($F38&gt;0,INDEX('計算A'!X$110:X$114,$F38+1)+IF(AND($E38=1,JK38=0),1000,0),MIN(TU38,20)*400+(IF('計算A'!W$106=1,1-DU38,0)+IF('計算A'!X$106=1,1-DW38,0))*150+211+'計算A'!X$5*100000+IF(AND($E38=1,JK38=0),50000,0))+IF($H38=1,(IF('計算A'!W$117=1,INDEX('計算A'!W$10:W$54,$B38),0)+IF('計算A'!X$117=1,INDEX('計算A'!Y$10:Y$54,$B38),0))*4000,0)-IF(AND('計算A'!W$117=1,UU38&gt;0),2000,0)-IF(AND($L38=1,'計算A'!X$117=1,DW38=0),2000,0))),1000000))</f>
        <v/>
      </c>
      <c r="PA38">
        <f>IF($B38=0,1000000,IF(INDEX('計算A'!$D$60:$EQ$104,$B38,22)*DW38=1,IF(AND($E38=2,JL38=0),1000000,IF($I38&gt;0,IF(1=$J38,IF(OR(AND(22=$I38+1,OR($K38&lt;&gt;'計算A'!$A$3,'計算A'!$A$4=0)),AND(22=$I38-1,OR(22&lt;&gt;'計算A'!$A$3,'計算A'!$A$4=0))),0,IF(22=$K38,200000,ABS(22-$K38)*100)),100000+ABS(1-$J38)*1000+220)+'計算A'!Y$5*50+IF(AND($E38=1,JL38=0),25,0),IF($F38&gt;0,INDEX('計算A'!Y$110:Y$114,$F38+1)+IF(AND($E38=1,JL38=0),1000,0),MIN(TU38,20)*400+(IF('計算A'!X$106=1,1-DV38,0)+IF('計算A'!Y$106=1,1-DX38,0))*150+221+'計算A'!Y$5*100000+IF(AND($E38=1,JL38=0),50000,0))+IF($H38=1,(IF('計算A'!X$117=1,INDEX('計算A'!X$10:X$54,$B38),0)+IF('計算A'!Y$117=1,INDEX('計算A'!Z$10:Z$54,$B38),0))*4000,0)-IF(AND('計算A'!X$117=1,UV38&gt;0),2000,0)-IF(AND($L38=1,'計算A'!Y$117=1,DX38=0),2000,0))),1000000))</f>
        <v/>
      </c>
      <c r="PB38">
        <f>IF($B38=0,1000000,IF(INDEX('計算A'!$D$60:$EQ$104,$B38,23)*DX38=1,IF(AND($E38=2,JM38=0),1000000,IF($I38&gt;0,IF(1=$J38,IF(OR(AND(23=$I38+1,OR($K38&lt;&gt;'計算A'!$A$3,'計算A'!$A$4=0)),AND(23=$I38-1,OR(23&lt;&gt;'計算A'!$A$3,'計算A'!$A$4=0))),0,IF(23=$K38,200000,ABS(23-$K38)*100)),100000+ABS(1-$J38)*1000+230)+'計算A'!Z$5*50+IF(AND($E38=1,JM38=0),25,0),IF($F38&gt;0,INDEX('計算A'!Z$110:Z$114,$F38+1)+IF(AND($E38=1,JM38=0),1000,0),MIN(TU38,20)*400+(IF('計算A'!Y$106=1,1-DW38,0)+IF('計算A'!Z$106=1,1-DY38,0))*150+231+'計算A'!Z$5*100000+IF(AND($E38=1,JM38=0),50000,0))+IF($H38=1,(IF('計算A'!Y$117=1,INDEX('計算A'!Y$10:Y$54,$B38),0)+IF('計算A'!Z$117=1,INDEX('計算A'!AA$10:AA$54,$B38),0))*4000,0)-IF(AND('計算A'!Y$117=1,UW38&gt;0),2000,0)-IF(AND($L38=1,'計算A'!Z$117=1,DY38=0),2000,0))),1000000))</f>
        <v/>
      </c>
      <c r="PC38">
        <f>IF($B38=0,1000000,IF(INDEX('計算A'!$D$60:$EQ$104,$B38,24)*DY38=1,IF(AND($E38=2,JN38=0),1000000,IF($I38&gt;0,IF(1=$J38,IF(OR(AND(24=$I38+1,OR($K38&lt;&gt;'計算A'!$A$3,'計算A'!$A$4=0)),AND(24=$I38-1,OR(24&lt;&gt;'計算A'!$A$3,'計算A'!$A$4=0))),0,IF(24=$K38,200000,ABS(24-$K38)*100)),100000+ABS(1-$J38)*1000+240)+'計算A'!AA$5*50+IF(AND($E38=1,JN38=0),25,0),IF($F38&gt;0,INDEX('計算A'!AA$110:AA$114,$F38+1)+IF(AND($E38=1,JN38=0),1000,0),MIN(TU38,20)*400+(IF('計算A'!Z$106=1,1-DX38,0))*150+241+'計算A'!AA$5*100000+IF(AND($E38=1,JN38=0),50000,0))+IF($H38=1,(IF('計算A'!Z$117=1,INDEX('計算A'!Z$10:Z$54,$B38),0))*4000,0)-IF(AND('計算A'!Z$117=1,UX38&gt;0),2000,0))),1000000))</f>
        <v/>
      </c>
      <c r="PD38">
        <f>IF($B38=0,1000000,IF(INDEX('計算A'!$D$60:$EQ$104,$B38,25)*DZ38=1,IF(AND($E38=2,JO38=0),1000000,IF($I38&gt;0,IF(2=$J38,IF(OR(AND(25=$I38+1,OR($K38&lt;&gt;'計算A'!$A$3,'計算A'!$A$4=0)),AND(25=$I38-1,OR(1&lt;&gt;'計算A'!$A$3,'計算A'!$A$4=0))),0,IF(1=$K38,200000,ABS(1-$K38)*100)),100000+ABS(2-$J38)*1000+10)+'計算A'!AB$5*50+IF(AND($E38=1,JO38=0),25,0),IF($F38&gt;0,INDEX('計算A'!AB$110:AB$114,$F38+1)+IF(AND($E38=1,JO38=0),1000,0),MIN(TV38,20)*400+(IF('計算A'!AB$106=1,1-EA38,0))*150+12+'計算A'!AB$5*100000+IF(AND($E38=1,JO38=0),50000,0))+IF($H38=1,(IF('計算A'!AB$117=1,INDEX('計算A'!AC$10:AC$54,$B38),0))*4000,0)-IF(AND($L38=1,'計算A'!AB$117=1,EA38=0),2000,0))),1000000))</f>
        <v/>
      </c>
      <c r="PE38">
        <f>IF($B38=0,1000000,IF(INDEX('計算A'!$D$60:$EQ$104,$B38,26)*EA38=1,IF(AND($E38=2,JP38=0),1000000,IF($I38&gt;0,IF(2=$J38,IF(OR(AND(26=$I38+1,OR($K38&lt;&gt;'計算A'!$A$3,'計算A'!$A$4=0)),AND(26=$I38-1,OR(2&lt;&gt;'計算A'!$A$3,'計算A'!$A$4=0))),0,IF(2=$K38,200000,ABS(2-$K38)*100)),100000+ABS(2-$J38)*1000+20)+'計算A'!AC$5*50+IF(AND($E38=1,JP38=0),25,0),IF($F38&gt;0,INDEX('計算A'!AC$110:AC$114,$F38+1)+IF(AND($E38=1,JP38=0),1000,0),MIN(TV38,20)*400+(IF('計算A'!AB$106=1,1-DZ38,0)+IF('計算A'!AC$106=1,1-EB38,0))*150+22+'計算A'!AC$5*100000+IF(AND($E38=1,JP38=0),50000,0))+IF($H38=1,(IF('計算A'!AB$117=1,INDEX('計算A'!AB$10:AB$54,$B38),0)+IF('計算A'!AC$117=1,INDEX('計算A'!AD$10:AD$54,$B38),0))*4000,0)-IF(AND('計算A'!AB$117=1,UZ38&gt;0),2000,0)-IF(AND($L38=1,'計算A'!AC$117=1,EB38=0),2000,0))),1000000))</f>
        <v/>
      </c>
      <c r="PF38">
        <f>IF($B38=0,1000000,IF(INDEX('計算A'!$D$60:$EQ$104,$B38,27)*EB38=1,IF(AND($E38=2,JQ38=0),1000000,IF($I38&gt;0,IF(2=$J38,IF(OR(AND(27=$I38+1,OR($K38&lt;&gt;'計算A'!$A$3,'計算A'!$A$4=0)),AND(27=$I38-1,OR(3&lt;&gt;'計算A'!$A$3,'計算A'!$A$4=0))),0,IF(3=$K38,200000,ABS(3-$K38)*100)),100000+ABS(2-$J38)*1000+30)+'計算A'!AD$5*50+IF(AND($E38=1,JQ38=0),25,0),IF($F38&gt;0,INDEX('計算A'!AD$110:AD$114,$F38+1)+IF(AND($E38=1,JQ38=0),1000,0),MIN(TV38,20)*400+(IF('計算A'!AC$106=1,1-EA38,0)+IF('計算A'!AD$106=1,1-EC38,0))*150+32+'計算A'!AD$5*100000+IF(AND($E38=1,JQ38=0),50000,0))+IF($H38=1,(IF('計算A'!AC$117=1,INDEX('計算A'!AC$10:AC$54,$B38),0)+IF('計算A'!AD$117=1,INDEX('計算A'!AE$10:AE$54,$B38),0))*4000,0)-IF(AND('計算A'!AC$117=1,VA38&gt;0),2000,0)-IF(AND($L38=1,'計算A'!AD$117=1,EC38=0),2000,0))),1000000))</f>
        <v/>
      </c>
      <c r="PG38">
        <f>IF($B38=0,1000000,IF(INDEX('計算A'!$D$60:$EQ$104,$B38,28)*EC38=1,IF(AND($E38=2,JR38=0),1000000,IF($I38&gt;0,IF(2=$J38,IF(OR(AND(28=$I38+1,OR($K38&lt;&gt;'計算A'!$A$3,'計算A'!$A$4=0)),AND(28=$I38-1,OR(4&lt;&gt;'計算A'!$A$3,'計算A'!$A$4=0))),0,IF(4=$K38,200000,ABS(4-$K38)*100)),100000+ABS(2-$J38)*1000+40)+'計算A'!AE$5*50+IF(AND($E38=1,JR38=0),25,0),IF($F38&gt;0,INDEX('計算A'!AE$110:AE$114,$F38+1)+IF(AND($E38=1,JR38=0),1000,0),MIN(TV38,20)*400+(IF('計算A'!AD$106=1,1-EB38,0)+IF('計算A'!AE$106=1,1-ED38,0))*150+42+'計算A'!AE$5*100000+IF(AND($E38=1,JR38=0),50000,0))+IF($H38=1,(IF('計算A'!AD$117=1,INDEX('計算A'!AD$10:AD$54,$B38),0)+IF('計算A'!AE$117=1,INDEX('計算A'!AF$10:AF$54,$B38),0))*4000,0)-IF(AND('計算A'!AD$117=1,VB38&gt;0),2000,0)-IF(AND($L38=1,'計算A'!AE$117=1,ED38=0),2000,0))),1000000))</f>
        <v/>
      </c>
      <c r="PH38">
        <f>IF($B38=0,1000000,IF(INDEX('計算A'!$D$60:$EQ$104,$B38,29)*ED38=1,IF(AND($E38=2,JS38=0),1000000,IF($I38&gt;0,IF(2=$J38,IF(OR(AND(29=$I38+1,OR($K38&lt;&gt;'計算A'!$A$3,'計算A'!$A$4=0)),AND(29=$I38-1,OR(5&lt;&gt;'計算A'!$A$3,'計算A'!$A$4=0))),0,IF(5=$K38,200000,ABS(5-$K38)*100)),100000+ABS(2-$J38)*1000+50)+'計算A'!AF$5*50+IF(AND($E38=1,JS38=0),25,0),IF($F38&gt;0,INDEX('計算A'!AF$110:AF$114,$F38+1)+IF(AND($E38=1,JS38=0),1000,0),MIN(TV38,20)*400+(IF('計算A'!AE$106=1,1-EC38,0)+IF('計算A'!AF$106=1,1-EE38,0))*150+52+'計算A'!AF$5*100000+IF(AND($E38=1,JS38=0),50000,0))+IF($H38=1,(IF('計算A'!AE$117=1,INDEX('計算A'!AE$10:AE$54,$B38),0)+IF('計算A'!AF$117=1,INDEX('計算A'!AG$10:AG$54,$B38),0))*4000,0)-IF(AND('計算A'!AE$117=1,VC38&gt;0),2000,0)-IF(AND($L38=1,'計算A'!AF$117=1,EE38=0),2000,0))),1000000))</f>
        <v/>
      </c>
      <c r="PI38">
        <f>IF($B38=0,1000000,IF(INDEX('計算A'!$D$60:$EQ$104,$B38,30)*EE38=1,IF(AND($E38=2,JT38=0),1000000,IF($I38&gt;0,IF(2=$J38,IF(OR(AND(30=$I38+1,OR($K38&lt;&gt;'計算A'!$A$3,'計算A'!$A$4=0)),AND(30=$I38-1,OR(6&lt;&gt;'計算A'!$A$3,'計算A'!$A$4=0))),0,IF(6=$K38,200000,ABS(6-$K38)*100)),100000+ABS(2-$J38)*1000+60)+'計算A'!AG$5*50+IF(AND($E38=1,JT38=0),25,0),IF($F38&gt;0,INDEX('計算A'!AG$110:AG$114,$F38+1)+IF(AND($E38=1,JT38=0),1000,0),MIN(TV38,20)*400+(IF('計算A'!AF$106=1,1-ED38,0)+IF('計算A'!AG$106=1,1-EF38,0))*150+62+'計算A'!AG$5*100000+IF(AND($E38=1,JT38=0),50000,0))+IF($H38=1,(IF('計算A'!AF$117=1,INDEX('計算A'!AF$10:AF$54,$B38),0)+IF('計算A'!AG$117=1,INDEX('計算A'!AH$10:AH$54,$B38),0))*4000,0)-IF(AND('計算A'!AF$117=1,VD38&gt;0),2000,0)-IF(AND($L38=1,'計算A'!AG$117=1,EF38=0),2000,0))),1000000))</f>
        <v/>
      </c>
      <c r="PJ38">
        <f>IF($B38=0,1000000,IF(INDEX('計算A'!$D$60:$EQ$104,$B38,31)*EF38=1,IF(AND($E38=2,JU38=0),1000000,IF($I38&gt;0,IF(2=$J38,IF(OR(AND(31=$I38+1,OR($K38&lt;&gt;'計算A'!$A$3,'計算A'!$A$4=0)),AND(31=$I38-1,OR(7&lt;&gt;'計算A'!$A$3,'計算A'!$A$4=0))),0,IF(7=$K38,200000,ABS(7-$K38)*100)),100000+ABS(2-$J38)*1000+70)+'計算A'!AH$5*50+IF(AND($E38=1,JU38=0),25,0),IF($F38&gt;0,INDEX('計算A'!AH$110:AH$114,$F38+1)+IF(AND($E38=1,JU38=0),1000,0),MIN(TV38,20)*400+(IF('計算A'!AG$106=1,1-EE38,0)+IF('計算A'!AH$106=1,1-EG38,0))*150+72+'計算A'!AH$5*100000+IF(AND($E38=1,JU38=0),50000,0))+IF($H38=1,(IF('計算A'!AG$117=1,INDEX('計算A'!AG$10:AG$54,$B38),0)+IF('計算A'!AH$117=1,INDEX('計算A'!AI$10:AI$54,$B38),0))*4000,0)-IF(AND('計算A'!AG$117=1,VE38&gt;0),2000,0)-IF(AND($L38=1,'計算A'!AH$117=1,EG38=0),2000,0))),1000000))</f>
        <v/>
      </c>
      <c r="PK38">
        <f>IF($B38=0,1000000,IF(INDEX('計算A'!$D$60:$EQ$104,$B38,32)*EG38=1,IF(AND($E38=2,JV38=0),1000000,IF($I38&gt;0,IF(2=$J38,IF(OR(AND(32=$I38+1,OR($K38&lt;&gt;'計算A'!$A$3,'計算A'!$A$4=0)),AND(32=$I38-1,OR(8&lt;&gt;'計算A'!$A$3,'計算A'!$A$4=0))),0,IF(8=$K38,200000,ABS(8-$K38)*100)),100000+ABS(2-$J38)*1000+80)+'計算A'!AI$5*50+IF(AND($E38=1,JV38=0),25,0),IF($F38&gt;0,INDEX('計算A'!AI$110:AI$114,$F38+1)+IF(AND($E38=1,JV38=0),1000,0),MIN(TV38,20)*400+(IF('計算A'!AH$106=1,1-EF38,0)+IF('計算A'!AI$106=1,1-EH38,0))*150+82+'計算A'!AI$5*100000+IF(AND($E38=1,JV38=0),50000,0))+IF($H38=1,(IF('計算A'!AH$117=1,INDEX('計算A'!AH$10:AH$54,$B38),0)+IF('計算A'!AI$117=1,INDEX('計算A'!AJ$10:AJ$54,$B38),0))*4000,0)-IF(AND('計算A'!AH$117=1,VF38&gt;0),2000,0)-IF(AND($L38=1,'計算A'!AI$117=1,EH38=0),2000,0))),1000000))</f>
        <v/>
      </c>
      <c r="PL38">
        <f>IF($B38=0,1000000,IF(INDEX('計算A'!$D$60:$EQ$104,$B38,33)*EH38=1,IF(AND($E38=2,JW38=0),1000000,IF($I38&gt;0,IF(2=$J38,IF(OR(AND(33=$I38+1,OR($K38&lt;&gt;'計算A'!$A$3,'計算A'!$A$4=0)),AND(33=$I38-1,OR(9&lt;&gt;'計算A'!$A$3,'計算A'!$A$4=0))),0,IF(9=$K38,200000,ABS(9-$K38)*100)),100000+ABS(2-$J38)*1000+90)+'計算A'!AJ$5*50+IF(AND($E38=1,JW38=0),25,0),IF($F38&gt;0,INDEX('計算A'!AJ$110:AJ$114,$F38+1)+IF(AND($E38=1,JW38=0),1000,0),MIN(TV38,20)*400+(IF('計算A'!AI$106=1,1-EG38,0)+IF('計算A'!AJ$106=1,1-EI38,0))*150+92+'計算A'!AJ$5*100000+IF(AND($E38=1,JW38=0),50000,0))+IF($H38=1,(IF('計算A'!AI$117=1,INDEX('計算A'!AI$10:AI$54,$B38),0)+IF('計算A'!AJ$117=1,INDEX('計算A'!AK$10:AK$54,$B38),0))*4000,0)-IF(AND('計算A'!AI$117=1,VG38&gt;0),2000,0)-IF(AND($L38=1,'計算A'!AJ$117=1,EI38=0),2000,0))),1000000))</f>
        <v/>
      </c>
      <c r="PM38">
        <f>IF($B38=0,1000000,IF(INDEX('計算A'!$D$60:$EQ$104,$B38,34)*EI38=1,IF(AND($E38=2,JX38=0),1000000,IF($I38&gt;0,IF(2=$J38,IF(OR(AND(34=$I38+1,OR($K38&lt;&gt;'計算A'!$A$3,'計算A'!$A$4=0)),AND(34=$I38-1,OR(10&lt;&gt;'計算A'!$A$3,'計算A'!$A$4=0))),0,IF(10=$K38,200000,ABS(10-$K38)*100)),100000+ABS(2-$J38)*1000+100)+'計算A'!AK$5*50+IF(AND($E38=1,JX38=0),25,0),IF($F38&gt;0,INDEX('計算A'!AK$110:AK$114,$F38+1)+IF(AND($E38=1,JX38=0),1000,0),MIN(TV38,20)*400+(IF('計算A'!AJ$106=1,1-EH38,0)+IF('計算A'!AK$106=1,1-EJ38,0))*150+102+'計算A'!AK$5*100000+IF(AND($E38=1,JX38=0),50000,0))+IF($H38=1,(IF('計算A'!AJ$117=1,INDEX('計算A'!AJ$10:AJ$54,$B38),0)+IF('計算A'!AK$117=1,INDEX('計算A'!AL$10:AL$54,$B38),0))*4000,0)-IF(AND('計算A'!AJ$117=1,VH38&gt;0),2000,0)-IF(AND($L38=1,'計算A'!AK$117=1,EJ38=0),2000,0))),1000000))</f>
        <v/>
      </c>
      <c r="PN38">
        <f>IF($B38=0,1000000,IF(INDEX('計算A'!$D$60:$EQ$104,$B38,35)*EJ38=1,IF(AND($E38=2,JY38=0),1000000,IF($I38&gt;0,IF(2=$J38,IF(OR(AND(35=$I38+1,OR($K38&lt;&gt;'計算A'!$A$3,'計算A'!$A$4=0)),AND(35=$I38-1,OR(11&lt;&gt;'計算A'!$A$3,'計算A'!$A$4=0))),0,IF(11=$K38,200000,ABS(11-$K38)*100)),100000+ABS(2-$J38)*1000+110)+'計算A'!AL$5*50+IF(AND($E38=1,JY38=0),25,0),IF($F38&gt;0,INDEX('計算A'!AL$110:AL$114,$F38+1)+IF(AND($E38=1,JY38=0),1000,0),MIN(TV38,20)*400+(IF('計算A'!AK$106=1,1-EI38,0)+IF('計算A'!AL$106=1,1-EK38,0))*150+112+'計算A'!AL$5*100000+IF(AND($E38=1,JY38=0),50000,0))+IF($H38=1,(IF('計算A'!AK$117=1,INDEX('計算A'!AK$10:AK$54,$B38),0)+IF('計算A'!AL$117=1,INDEX('計算A'!AM$10:AM$54,$B38),0))*4000,0)-IF(AND('計算A'!AK$117=1,VI38&gt;0),2000,0)-IF(AND($L38=1,'計算A'!AL$117=1,EK38=0),2000,0))),1000000))</f>
        <v/>
      </c>
      <c r="PO38">
        <f>IF($B38=0,1000000,IF(INDEX('計算A'!$D$60:$EQ$104,$B38,36)*EK38=1,IF(AND($E38=2,JZ38=0),1000000,IF($I38&gt;0,IF(2=$J38,IF(OR(AND(36=$I38+1,OR($K38&lt;&gt;'計算A'!$A$3,'計算A'!$A$4=0)),AND(36=$I38-1,OR(12&lt;&gt;'計算A'!$A$3,'計算A'!$A$4=0))),0,IF(12=$K38,200000,ABS(12-$K38)*100)),100000+ABS(2-$J38)*1000+120)+'計算A'!AM$5*50+IF(AND($E38=1,JZ38=0),25,0),IF($F38&gt;0,INDEX('計算A'!AM$110:AM$114,$F38+1)+IF(AND($E38=1,JZ38=0),1000,0),MIN(TV38,20)*400+(IF('計算A'!AL$106=1,1-EJ38,0)+IF('計算A'!AM$106=1,1-EL38,0))*150+122+'計算A'!AM$5*100000+IF(AND($E38=1,JZ38=0),50000,0))+IF($H38=1,(IF('計算A'!AL$117=1,INDEX('計算A'!AL$10:AL$54,$B38),0)+IF('計算A'!AM$117=1,INDEX('計算A'!AN$10:AN$54,$B38),0))*4000,0)-IF(AND('計算A'!AL$117=1,VJ38&gt;0),2000,0)-IF(AND($L38=1,'計算A'!AM$117=1,EL38=0),2000,0))),1000000))</f>
        <v/>
      </c>
      <c r="PP38">
        <f>IF($B38=0,1000000,IF(INDEX('計算A'!$D$60:$EQ$104,$B38,37)*EL38=1,IF(AND($E38=2,KA38=0),1000000,IF($I38&gt;0,IF(2=$J38,IF(OR(AND(37=$I38+1,OR($K38&lt;&gt;'計算A'!$A$3,'計算A'!$A$4=0)),AND(37=$I38-1,OR(13&lt;&gt;'計算A'!$A$3,'計算A'!$A$4=0))),0,IF(13=$K38,200000,ABS(13-$K38)*100)),100000+ABS(2-$J38)*1000+130)+'計算A'!AN$5*50+IF(AND($E38=1,KA38=0),25,0),IF($F38&gt;0,INDEX('計算A'!AN$110:AN$114,$F38+1)+IF(AND($E38=1,KA38=0),1000,0),MIN(TV38,20)*400+(IF('計算A'!AM$106=1,1-EK38,0)+IF('計算A'!AN$106=1,1-EM38,0))*150+132+'計算A'!AN$5*100000+IF(AND($E38=1,KA38=0),50000,0))+IF($H38=1,(IF('計算A'!AM$117=1,INDEX('計算A'!AM$10:AM$54,$B38),0)+IF('計算A'!AN$117=1,INDEX('計算A'!AO$10:AO$54,$B38),0))*4000,0)-IF(AND('計算A'!AM$117=1,VK38&gt;0),2000,0)-IF(AND($L38=1,'計算A'!AN$117=1,EM38=0),2000,0))),1000000))</f>
        <v/>
      </c>
      <c r="PQ38">
        <f>IF($B38=0,1000000,IF(INDEX('計算A'!$D$60:$EQ$104,$B38,38)*EM38=1,IF(AND($E38=2,KB38=0),1000000,IF($I38&gt;0,IF(2=$J38,IF(OR(AND(38=$I38+1,OR($K38&lt;&gt;'計算A'!$A$3,'計算A'!$A$4=0)),AND(38=$I38-1,OR(14&lt;&gt;'計算A'!$A$3,'計算A'!$A$4=0))),0,IF(14=$K38,200000,ABS(14-$K38)*100)),100000+ABS(2-$J38)*1000+140)+'計算A'!AO$5*50+IF(AND($E38=1,KB38=0),25,0),IF($F38&gt;0,INDEX('計算A'!AO$110:AO$114,$F38+1)+IF(AND($E38=1,KB38=0),1000,0),MIN(TV38,20)*400+(IF('計算A'!AN$106=1,1-EL38,0)+IF('計算A'!AO$106=1,1-EN38,0))*150+142+'計算A'!AO$5*100000+IF(AND($E38=1,KB38=0),50000,0))+IF($H38=1,(IF('計算A'!AN$117=1,INDEX('計算A'!AN$10:AN$54,$B38),0)+IF('計算A'!AO$117=1,INDEX('計算A'!AP$10:AP$54,$B38),0))*4000,0)-IF(AND('計算A'!AN$117=1,VL38&gt;0),2000,0)-IF(AND($L38=1,'計算A'!AO$117=1,EN38=0),2000,0))),1000000))</f>
        <v/>
      </c>
      <c r="PR38">
        <f>IF($B38=0,1000000,IF(INDEX('計算A'!$D$60:$EQ$104,$B38,39)*EN38=1,IF(AND($E38=2,KC38=0),1000000,IF($I38&gt;0,IF(2=$J38,IF(OR(AND(39=$I38+1,OR($K38&lt;&gt;'計算A'!$A$3,'計算A'!$A$4=0)),AND(39=$I38-1,OR(15&lt;&gt;'計算A'!$A$3,'計算A'!$A$4=0))),0,IF(15=$K38,200000,ABS(15-$K38)*100)),100000+ABS(2-$J38)*1000+150)+'計算A'!AP$5*50+IF(AND($E38=1,KC38=0),25,0),IF($F38&gt;0,INDEX('計算A'!AP$110:AP$114,$F38+1)+IF(AND($E38=1,KC38=0),1000,0),MIN(TV38,20)*400+(IF('計算A'!AO$106=1,1-EM38,0)+IF('計算A'!AP$106=1,1-EO38,0))*150+152+'計算A'!AP$5*100000+IF(AND($E38=1,KC38=0),50000,0))+IF($H38=1,(IF('計算A'!AO$117=1,INDEX('計算A'!AO$10:AO$54,$B38),0)+IF('計算A'!AP$117=1,INDEX('計算A'!AQ$10:AQ$54,$B38),0))*4000,0)-IF(AND('計算A'!AO$117=1,VM38&gt;0),2000,0)-IF(AND($L38=1,'計算A'!AP$117=1,EO38=0),2000,0))),1000000))</f>
        <v/>
      </c>
      <c r="PS38">
        <f>IF($B38=0,1000000,IF(INDEX('計算A'!$D$60:$EQ$104,$B38,40)*EO38=1,IF(AND($E38=2,KD38=0),1000000,IF($I38&gt;0,IF(2=$J38,IF(OR(AND(40=$I38+1,OR($K38&lt;&gt;'計算A'!$A$3,'計算A'!$A$4=0)),AND(40=$I38-1,OR(16&lt;&gt;'計算A'!$A$3,'計算A'!$A$4=0))),0,IF(16=$K38,200000,ABS(16-$K38)*100)),100000+ABS(2-$J38)*1000+160)+'計算A'!AQ$5*50+IF(AND($E38=1,KD38=0),25,0),IF($F38&gt;0,INDEX('計算A'!AQ$110:AQ$114,$F38+1)+IF(AND($E38=1,KD38=0),1000,0),MIN(TV38,20)*400+(IF('計算A'!AP$106=1,1-EN38,0)+IF('計算A'!AQ$106=1,1-EP38,0))*150+162+'計算A'!AQ$5*100000+IF(AND($E38=1,KD38=0),50000,0))+IF($H38=1,(IF('計算A'!AP$117=1,INDEX('計算A'!AP$10:AP$54,$B38),0)+IF('計算A'!AQ$117=1,INDEX('計算A'!AR$10:AR$54,$B38),0))*4000,0)-IF(AND('計算A'!AP$117=1,VN38&gt;0),2000,0)-IF(AND($L38=1,'計算A'!AQ$117=1,EP38=0),2000,0))),1000000))</f>
        <v/>
      </c>
      <c r="PT38">
        <f>IF($B38=0,1000000,IF(INDEX('計算A'!$D$60:$EQ$104,$B38,41)*EP38=1,IF(AND($E38=2,KE38=0),1000000,IF($I38&gt;0,IF(2=$J38,IF(OR(AND(41=$I38+1,OR($K38&lt;&gt;'計算A'!$A$3,'計算A'!$A$4=0)),AND(41=$I38-1,OR(17&lt;&gt;'計算A'!$A$3,'計算A'!$A$4=0))),0,IF(17=$K38,200000,ABS(17-$K38)*100)),100000+ABS(2-$J38)*1000+170)+'計算A'!AR$5*50+IF(AND($E38=1,KE38=0),25,0),IF($F38&gt;0,INDEX('計算A'!AR$110:AR$114,$F38+1)+IF(AND($E38=1,KE38=0),1000,0),MIN(TV38,20)*400+(IF('計算A'!AQ$106=1,1-EO38,0)+IF('計算A'!AR$106=1,1-EQ38,0))*150+172+'計算A'!AR$5*100000+IF(AND($E38=1,KE38=0),50000,0))+IF($H38=1,(IF('計算A'!AQ$117=1,INDEX('計算A'!AQ$10:AQ$54,$B38),0)+IF('計算A'!AR$117=1,INDEX('計算A'!AS$10:AS$54,$B38),0))*4000,0)-IF(AND('計算A'!AQ$117=1,VO38&gt;0),2000,0)-IF(AND($L38=1,'計算A'!AR$117=1,EQ38=0),2000,0))),1000000))</f>
        <v/>
      </c>
      <c r="PU38">
        <f>IF($B38=0,1000000,IF(INDEX('計算A'!$D$60:$EQ$104,$B38,42)*EQ38=1,IF(AND($E38=2,KF38=0),1000000,IF($I38&gt;0,IF(2=$J38,IF(OR(AND(42=$I38+1,OR($K38&lt;&gt;'計算A'!$A$3,'計算A'!$A$4=0)),AND(42=$I38-1,OR(18&lt;&gt;'計算A'!$A$3,'計算A'!$A$4=0))),0,IF(18=$K38,200000,ABS(18-$K38)*100)),100000+ABS(2-$J38)*1000+180)+'計算A'!AS$5*50+IF(AND($E38=1,KF38=0),25,0),IF($F38&gt;0,INDEX('計算A'!AS$110:AS$114,$F38+1)+IF(AND($E38=1,KF38=0),1000,0),MIN(TV38,20)*400+(IF('計算A'!AR$106=1,1-EP38,0)+IF('計算A'!AS$106=1,1-ER38,0))*150+182+'計算A'!AS$5*100000+IF(AND($E38=1,KF38=0),50000,0))+IF($H38=1,(IF('計算A'!AR$117=1,INDEX('計算A'!AR$10:AR$54,$B38),0)+IF('計算A'!AS$117=1,INDEX('計算A'!AT$10:AT$54,$B38),0))*4000,0)-IF(AND('計算A'!AR$117=1,VP38&gt;0),2000,0)-IF(AND($L38=1,'計算A'!AS$117=1,ER38=0),2000,0))),1000000))</f>
        <v/>
      </c>
      <c r="PV38">
        <f>IF($B38=0,1000000,IF(INDEX('計算A'!$D$60:$EQ$104,$B38,43)*ER38=1,IF(AND($E38=2,KG38=0),1000000,IF($I38&gt;0,IF(2=$J38,IF(OR(AND(43=$I38+1,OR($K38&lt;&gt;'計算A'!$A$3,'計算A'!$A$4=0)),AND(43=$I38-1,OR(19&lt;&gt;'計算A'!$A$3,'計算A'!$A$4=0))),0,IF(19=$K38,200000,ABS(19-$K38)*100)),100000+ABS(2-$J38)*1000+190)+'計算A'!AT$5*50+IF(AND($E38=1,KG38=0),25,0),IF($F38&gt;0,INDEX('計算A'!AT$110:AT$114,$F38+1)+IF(AND($E38=1,KG38=0),1000,0),MIN(TV38,20)*400+(IF('計算A'!AS$106=1,1-EQ38,0)+IF('計算A'!AT$106=1,1-ES38,0))*150+192+'計算A'!AT$5*100000+IF(AND($E38=1,KG38=0),50000,0))+IF($H38=1,(IF('計算A'!AS$117=1,INDEX('計算A'!AS$10:AS$54,$B38),0)+IF('計算A'!AT$117=1,INDEX('計算A'!AU$10:AU$54,$B38),0))*4000,0)-IF(AND('計算A'!AS$117=1,VQ38&gt;0),2000,0)-IF(AND($L38=1,'計算A'!AT$117=1,ES38=0),2000,0))),1000000))</f>
        <v/>
      </c>
      <c r="PW38">
        <f>IF($B38=0,1000000,IF(INDEX('計算A'!$D$60:$EQ$104,$B38,44)*ES38=1,IF(AND($E38=2,KH38=0),1000000,IF($I38&gt;0,IF(2=$J38,IF(OR(AND(44=$I38+1,OR($K38&lt;&gt;'計算A'!$A$3,'計算A'!$A$4=0)),AND(44=$I38-1,OR(20&lt;&gt;'計算A'!$A$3,'計算A'!$A$4=0))),0,IF(20=$K38,200000,ABS(20-$K38)*100)),100000+ABS(2-$J38)*1000+200)+'計算A'!AU$5*50+IF(AND($E38=1,KH38=0),25,0),IF($F38&gt;0,INDEX('計算A'!AU$110:AU$114,$F38+1)+IF(AND($E38=1,KH38=0),1000,0),MIN(TV38,20)*400+(IF('計算A'!AT$106=1,1-ER38,0)+IF('計算A'!AU$106=1,1-ET38,0))*150+202+'計算A'!AU$5*100000+IF(AND($E38=1,KH38=0),50000,0))+IF($H38=1,(IF('計算A'!AT$117=1,INDEX('計算A'!AT$10:AT$54,$B38),0)+IF('計算A'!AU$117=1,INDEX('計算A'!AV$10:AV$54,$B38),0))*4000,0)-IF(AND('計算A'!AT$117=1,VR38&gt;0),2000,0)-IF(AND($L38=1,'計算A'!AU$117=1,ET38=0),2000,0))),1000000))</f>
        <v/>
      </c>
      <c r="PX38">
        <f>IF($B38=0,1000000,IF(INDEX('計算A'!$D$60:$EQ$104,$B38,45)*ET38=1,IF(AND($E38=2,KI38=0),1000000,IF($I38&gt;0,IF(2=$J38,IF(OR(AND(45=$I38+1,OR($K38&lt;&gt;'計算A'!$A$3,'計算A'!$A$4=0)),AND(45=$I38-1,OR(21&lt;&gt;'計算A'!$A$3,'計算A'!$A$4=0))),0,IF(21=$K38,200000,ABS(21-$K38)*100)),100000+ABS(2-$J38)*1000+210)+'計算A'!AV$5*50+IF(AND($E38=1,KI38=0),25,0),IF($F38&gt;0,INDEX('計算A'!AV$110:AV$114,$F38+1)+IF(AND($E38=1,KI38=0),1000,0),MIN(TV38,20)*400+(IF('計算A'!AU$106=1,1-ES38,0)+IF('計算A'!AV$106=1,1-EU38,0))*150+212+'計算A'!AV$5*100000+IF(AND($E38=1,KI38=0),50000,0))+IF($H38=1,(IF('計算A'!AU$117=1,INDEX('計算A'!AU$10:AU$54,$B38),0)+IF('計算A'!AV$117=1,INDEX('計算A'!AW$10:AW$54,$B38),0))*4000,0)-IF(AND('計算A'!AU$117=1,VS38&gt;0),2000,0)-IF(AND($L38=1,'計算A'!AV$117=1,EU38=0),2000,0))),1000000))</f>
        <v/>
      </c>
      <c r="PY38">
        <f>IF($B38=0,1000000,IF(INDEX('計算A'!$D$60:$EQ$104,$B38,46)*EU38=1,IF(AND($E38=2,KJ38=0),1000000,IF($I38&gt;0,IF(2=$J38,IF(OR(AND(46=$I38+1,OR($K38&lt;&gt;'計算A'!$A$3,'計算A'!$A$4=0)),AND(46=$I38-1,OR(22&lt;&gt;'計算A'!$A$3,'計算A'!$A$4=0))),0,IF(22=$K38,200000,ABS(22-$K38)*100)),100000+ABS(2-$J38)*1000+220)+'計算A'!AW$5*50+IF(AND($E38=1,KJ38=0),25,0),IF($F38&gt;0,INDEX('計算A'!AW$110:AW$114,$F38+1)+IF(AND($E38=1,KJ38=0),1000,0),MIN(TV38,20)*400+(IF('計算A'!AV$106=1,1-ET38,0)+IF('計算A'!AW$106=1,1-EV38,0))*150+222+'計算A'!AW$5*100000+IF(AND($E38=1,KJ38=0),50000,0))+IF($H38=1,(IF('計算A'!AV$117=1,INDEX('計算A'!AV$10:AV$54,$B38),0)+IF('計算A'!AW$117=1,INDEX('計算A'!AX$10:AX$54,$B38),0))*4000,0)-IF(AND('計算A'!AV$117=1,VT38&gt;0),2000,0)-IF(AND($L38=1,'計算A'!AW$117=1,EV38=0),2000,0))),1000000))</f>
        <v/>
      </c>
      <c r="PZ38">
        <f>IF($B38=0,1000000,IF(INDEX('計算A'!$D$60:$EQ$104,$B38,47)*EV38=1,IF(AND($E38=2,KK38=0),1000000,IF($I38&gt;0,IF(2=$J38,IF(OR(AND(47=$I38+1,OR($K38&lt;&gt;'計算A'!$A$3,'計算A'!$A$4=0)),AND(47=$I38-1,OR(23&lt;&gt;'計算A'!$A$3,'計算A'!$A$4=0))),0,IF(23=$K38,200000,ABS(23-$K38)*100)),100000+ABS(2-$J38)*1000+230)+'計算A'!AX$5*50+IF(AND($E38=1,KK38=0),25,0),IF($F38&gt;0,INDEX('計算A'!AX$110:AX$114,$F38+1)+IF(AND($E38=1,KK38=0),1000,0),MIN(TV38,20)*400+(IF('計算A'!AW$106=1,1-EU38,0)+IF('計算A'!AX$106=1,1-EW38,0))*150+232+'計算A'!AX$5*100000+IF(AND($E38=1,KK38=0),50000,0))+IF($H38=1,(IF('計算A'!AW$117=1,INDEX('計算A'!AW$10:AW$54,$B38),0)+IF('計算A'!AX$117=1,INDEX('計算A'!AY$10:AY$54,$B38),0))*4000,0)-IF(AND('計算A'!AW$117=1,VU38&gt;0),2000,0)-IF(AND($L38=1,'計算A'!AX$117=1,EW38=0),2000,0))),1000000))</f>
        <v/>
      </c>
      <c r="QA38">
        <f>IF($B38=0,1000000,IF(INDEX('計算A'!$D$60:$EQ$104,$B38,48)*EW38=1,IF(AND($E38=2,KL38=0),1000000,IF($I38&gt;0,IF(2=$J38,IF(OR(AND(48=$I38+1,OR($K38&lt;&gt;'計算A'!$A$3,'計算A'!$A$4=0)),AND(48=$I38-1,OR(24&lt;&gt;'計算A'!$A$3,'計算A'!$A$4=0))),0,IF(24=$K38,200000,ABS(24-$K38)*100)),100000+ABS(2-$J38)*1000+240)+'計算A'!AY$5*50+IF(AND($E38=1,KL38=0),25,0),IF($F38&gt;0,INDEX('計算A'!AY$110:AY$114,$F38+1)+IF(AND($E38=1,KL38=0),1000,0),MIN(TV38,20)*400+(IF('計算A'!AX$106=1,1-EV38,0))*150+242+'計算A'!AY$5*100000+IF(AND($E38=1,KL38=0),50000,0))+IF($H38=1,(IF('計算A'!AX$117=1,INDEX('計算A'!AX$10:AX$54,$B38),0))*4000,0)-IF(AND('計算A'!AX$117=1,VV38&gt;0),2000,0))),1000000))</f>
        <v/>
      </c>
      <c r="QB38">
        <f>IF($B38=0,1000000,IF(INDEX('計算A'!$D$60:$EQ$104,$B38,49)*EX38=1,IF(AND($E38=2,KM38=0),1000000,IF($I38&gt;0,IF(3=$J38,IF(OR(AND(49=$I38+1,OR($K38&lt;&gt;'計算A'!$A$3,'計算A'!$A$4=0)),AND(49=$I38-1,OR(1&lt;&gt;'計算A'!$A$3,'計算A'!$A$4=0))),0,IF(1=$K38,200000,ABS(1-$K38)*100)),100000+ABS(3-$J38)*1000+10)+'計算A'!AZ$5*50+IF(AND($E38=1,KM38=0),25,0),IF($F38&gt;0,INDEX('計算A'!AZ$110:AZ$114,$F38+1)+IF(AND($E38=1,KM38=0),1000,0),MIN(TW38,20)*400+(IF('計算A'!AZ$106=1,1-EY38,0))*150+13+'計算A'!AZ$5*100000+IF(AND($E38=1,KM38=0),50000,0))+IF($H38=1,(IF('計算A'!AZ$117=1,INDEX('計算A'!BA$10:BA$54,$B38),0))*4000,0)-IF(AND($L38=1,'計算A'!AZ$117=1,EY38=0),2000,0))),1000000))</f>
        <v/>
      </c>
      <c r="QC38">
        <f>IF($B38=0,1000000,IF(INDEX('計算A'!$D$60:$EQ$104,$B38,50)*EY38=1,IF(AND($E38=2,KN38=0),1000000,IF($I38&gt;0,IF(3=$J38,IF(OR(AND(50=$I38+1,OR($K38&lt;&gt;'計算A'!$A$3,'計算A'!$A$4=0)),AND(50=$I38-1,OR(2&lt;&gt;'計算A'!$A$3,'計算A'!$A$4=0))),0,IF(2=$K38,200000,ABS(2-$K38)*100)),100000+ABS(3-$J38)*1000+20)+'計算A'!BA$5*50+IF(AND($E38=1,KN38=0),25,0),IF($F38&gt;0,INDEX('計算A'!BA$110:BA$114,$F38+1)+IF(AND($E38=1,KN38=0),1000,0),MIN(TW38,20)*400+(IF('計算A'!AZ$106=1,1-EX38,0)+IF('計算A'!BA$106=1,1-EZ38,0))*150+23+'計算A'!BA$5*100000+IF(AND($E38=1,KN38=0),50000,0))+IF($H38=1,(IF('計算A'!AZ$117=1,INDEX('計算A'!AZ$10:AZ$54,$B38),0)+IF('計算A'!BA$117=1,INDEX('計算A'!BB$10:BB$54,$B38),0))*4000,0)-IF(AND('計算A'!AZ$117=1,VX38&gt;0),2000,0)-IF(AND($L38=1,'計算A'!BA$117=1,EZ38=0),2000,0))),1000000))</f>
        <v/>
      </c>
      <c r="QD38">
        <f>IF($B38=0,1000000,IF(INDEX('計算A'!$D$60:$EQ$104,$B38,51)*EZ38=1,IF(AND($E38=2,KO38=0),1000000,IF($I38&gt;0,IF(3=$J38,IF(OR(AND(51=$I38+1,OR($K38&lt;&gt;'計算A'!$A$3,'計算A'!$A$4=0)),AND(51=$I38-1,OR(3&lt;&gt;'計算A'!$A$3,'計算A'!$A$4=0))),0,IF(3=$K38,200000,ABS(3-$K38)*100)),100000+ABS(3-$J38)*1000+30)+'計算A'!BB$5*50+IF(AND($E38=1,KO38=0),25,0),IF($F38&gt;0,INDEX('計算A'!BB$110:BB$114,$F38+1)+IF(AND($E38=1,KO38=0),1000,0),MIN(TW38,20)*400+(IF('計算A'!BA$106=1,1-EY38,0)+IF('計算A'!BB$106=1,1-FA38,0))*150+33+'計算A'!BB$5*100000+IF(AND($E38=1,KO38=0),50000,0))+IF($H38=1,(IF('計算A'!BA$117=1,INDEX('計算A'!BA$10:BA$54,$B38),0)+IF('計算A'!BB$117=1,INDEX('計算A'!BC$10:BC$54,$B38),0))*4000,0)-IF(AND('計算A'!BA$117=1,VY38&gt;0),2000,0)-IF(AND($L38=1,'計算A'!BB$117=1,FA38=0),2000,0))),1000000))</f>
        <v/>
      </c>
      <c r="QE38">
        <f>IF($B38=0,1000000,IF(INDEX('計算A'!$D$60:$EQ$104,$B38,52)*FA38=1,IF(AND($E38=2,KP38=0),1000000,IF($I38&gt;0,IF(3=$J38,IF(OR(AND(52=$I38+1,OR($K38&lt;&gt;'計算A'!$A$3,'計算A'!$A$4=0)),AND(52=$I38-1,OR(4&lt;&gt;'計算A'!$A$3,'計算A'!$A$4=0))),0,IF(4=$K38,200000,ABS(4-$K38)*100)),100000+ABS(3-$J38)*1000+40)+'計算A'!BC$5*50+IF(AND($E38=1,KP38=0),25,0),IF($F38&gt;0,INDEX('計算A'!BC$110:BC$114,$F38+1)+IF(AND($E38=1,KP38=0),1000,0),MIN(TW38,20)*400+(IF('計算A'!BB$106=1,1-EZ38,0)+IF('計算A'!BC$106=1,1-FB38,0))*150+43+'計算A'!BC$5*100000+IF(AND($E38=1,KP38=0),50000,0))+IF($H38=1,(IF('計算A'!BB$117=1,INDEX('計算A'!BB$10:BB$54,$B38),0)+IF('計算A'!BC$117=1,INDEX('計算A'!BD$10:BD$54,$B38),0))*4000,0)-IF(AND('計算A'!BB$117=1,VZ38&gt;0),2000,0)-IF(AND($L38=1,'計算A'!BC$117=1,FB38=0),2000,0))),1000000))</f>
        <v/>
      </c>
      <c r="QF38">
        <f>IF($B38=0,1000000,IF(INDEX('計算A'!$D$60:$EQ$104,$B38,53)*FB38=1,IF(AND($E38=2,KQ38=0),1000000,IF($I38&gt;0,IF(3=$J38,IF(OR(AND(53=$I38+1,OR($K38&lt;&gt;'計算A'!$A$3,'計算A'!$A$4=0)),AND(53=$I38-1,OR(5&lt;&gt;'計算A'!$A$3,'計算A'!$A$4=0))),0,IF(5=$K38,200000,ABS(5-$K38)*100)),100000+ABS(3-$J38)*1000+50)+'計算A'!BD$5*50+IF(AND($E38=1,KQ38=0),25,0),IF($F38&gt;0,INDEX('計算A'!BD$110:BD$114,$F38+1)+IF(AND($E38=1,KQ38=0),1000,0),MIN(TW38,20)*400+(IF('計算A'!BC$106=1,1-FA38,0)+IF('計算A'!BD$106=1,1-FC38,0))*150+53+'計算A'!BD$5*100000+IF(AND($E38=1,KQ38=0),50000,0))+IF($H38=1,(IF('計算A'!BC$117=1,INDEX('計算A'!BC$10:BC$54,$B38),0)+IF('計算A'!BD$117=1,INDEX('計算A'!BE$10:BE$54,$B38),0))*4000,0)-IF(AND('計算A'!BC$117=1,WA38&gt;0),2000,0)-IF(AND($L38=1,'計算A'!BD$117=1,FC38=0),2000,0))),1000000))</f>
        <v/>
      </c>
      <c r="QG38">
        <f>IF($B38=0,1000000,IF(INDEX('計算A'!$D$60:$EQ$104,$B38,54)*FC38=1,IF(AND($E38=2,KR38=0),1000000,IF($I38&gt;0,IF(3=$J38,IF(OR(AND(54=$I38+1,OR($K38&lt;&gt;'計算A'!$A$3,'計算A'!$A$4=0)),AND(54=$I38-1,OR(6&lt;&gt;'計算A'!$A$3,'計算A'!$A$4=0))),0,IF(6=$K38,200000,ABS(6-$K38)*100)),100000+ABS(3-$J38)*1000+60)+'計算A'!BE$5*50+IF(AND($E38=1,KR38=0),25,0),IF($F38&gt;0,INDEX('計算A'!BE$110:BE$114,$F38+1)+IF(AND($E38=1,KR38=0),1000,0),MIN(TW38,20)*400+(IF('計算A'!BD$106=1,1-FB38,0)+IF('計算A'!BE$106=1,1-FD38,0))*150+63+'計算A'!BE$5*100000+IF(AND($E38=1,KR38=0),50000,0))+IF($H38=1,(IF('計算A'!BD$117=1,INDEX('計算A'!BD$10:BD$54,$B38),0)+IF('計算A'!BE$117=1,INDEX('計算A'!BF$10:BF$54,$B38),0))*4000,0)-IF(AND('計算A'!BD$117=1,WB38&gt;0),2000,0)-IF(AND($L38=1,'計算A'!BE$117=1,FD38=0),2000,0))),1000000))</f>
        <v/>
      </c>
      <c r="QH38">
        <f>IF($B38=0,1000000,IF(INDEX('計算A'!$D$60:$EQ$104,$B38,55)*FD38=1,IF(AND($E38=2,KS38=0),1000000,IF($I38&gt;0,IF(3=$J38,IF(OR(AND(55=$I38+1,OR($K38&lt;&gt;'計算A'!$A$3,'計算A'!$A$4=0)),AND(55=$I38-1,OR(7&lt;&gt;'計算A'!$A$3,'計算A'!$A$4=0))),0,IF(7=$K38,200000,ABS(7-$K38)*100)),100000+ABS(3-$J38)*1000+70)+'計算A'!BF$5*50+IF(AND($E38=1,KS38=0),25,0),IF($F38&gt;0,INDEX('計算A'!BF$110:BF$114,$F38+1)+IF(AND($E38=1,KS38=0),1000,0),MIN(TW38,20)*400+(IF('計算A'!BE$106=1,1-FC38,0)+IF('計算A'!BF$106=1,1-FE38,0))*150+73+'計算A'!BF$5*100000+IF(AND($E38=1,KS38=0),50000,0))+IF($H38=1,(IF('計算A'!BE$117=1,INDEX('計算A'!BE$10:BE$54,$B38),0)+IF('計算A'!BF$117=1,INDEX('計算A'!BG$10:BG$54,$B38),0))*4000,0)-IF(AND('計算A'!BE$117=1,WC38&gt;0),2000,0)-IF(AND($L38=1,'計算A'!BF$117=1,FE38=0),2000,0))),1000000))</f>
        <v/>
      </c>
      <c r="QI38">
        <f>IF($B38=0,1000000,IF(INDEX('計算A'!$D$60:$EQ$104,$B38,56)*FE38=1,IF(AND($E38=2,KT38=0),1000000,IF($I38&gt;0,IF(3=$J38,IF(OR(AND(56=$I38+1,OR($K38&lt;&gt;'計算A'!$A$3,'計算A'!$A$4=0)),AND(56=$I38-1,OR(8&lt;&gt;'計算A'!$A$3,'計算A'!$A$4=0))),0,IF(8=$K38,200000,ABS(8-$K38)*100)),100000+ABS(3-$J38)*1000+80)+'計算A'!BG$5*50+IF(AND($E38=1,KT38=0),25,0),IF($F38&gt;0,INDEX('計算A'!BG$110:BG$114,$F38+1)+IF(AND($E38=1,KT38=0),1000,0),MIN(TW38,20)*400+(IF('計算A'!BF$106=1,1-FD38,0)+IF('計算A'!BG$106=1,1-FF38,0))*150+83+'計算A'!BG$5*100000+IF(AND($E38=1,KT38=0),50000,0))+IF($H38=1,(IF('計算A'!BF$117=1,INDEX('計算A'!BF$10:BF$54,$B38),0)+IF('計算A'!BG$117=1,INDEX('計算A'!BH$10:BH$54,$B38),0))*4000,0)-IF(AND('計算A'!BF$117=1,WD38&gt;0),2000,0)-IF(AND($L38=1,'計算A'!BG$117=1,FF38=0),2000,0))),1000000))</f>
        <v/>
      </c>
      <c r="QJ38">
        <f>IF($B38=0,1000000,IF(INDEX('計算A'!$D$60:$EQ$104,$B38,57)*FF38=1,IF(AND($E38=2,KU38=0),1000000,IF($I38&gt;0,IF(3=$J38,IF(OR(AND(57=$I38+1,OR($K38&lt;&gt;'計算A'!$A$3,'計算A'!$A$4=0)),AND(57=$I38-1,OR(9&lt;&gt;'計算A'!$A$3,'計算A'!$A$4=0))),0,IF(9=$K38,200000,ABS(9-$K38)*100)),100000+ABS(3-$J38)*1000+90)+'計算A'!BH$5*50+IF(AND($E38=1,KU38=0),25,0),IF($F38&gt;0,INDEX('計算A'!BH$110:BH$114,$F38+1)+IF(AND($E38=1,KU38=0),1000,0),MIN(TW38,20)*400+(IF('計算A'!BG$106=1,1-FE38,0)+IF('計算A'!BH$106=1,1-FG38,0))*150+93+'計算A'!BH$5*100000+IF(AND($E38=1,KU38=0),50000,0))+IF($H38=1,(IF('計算A'!BG$117=1,INDEX('計算A'!BG$10:BG$54,$B38),0)+IF('計算A'!BH$117=1,INDEX('計算A'!BI$10:BI$54,$B38),0))*4000,0)-IF(AND('計算A'!BG$117=1,WE38&gt;0),2000,0)-IF(AND($L38=1,'計算A'!BH$117=1,FG38=0),2000,0))),1000000))</f>
        <v/>
      </c>
      <c r="QK38">
        <f>IF($B38=0,1000000,IF(INDEX('計算A'!$D$60:$EQ$104,$B38,58)*FG38=1,IF(AND($E38=2,KV38=0),1000000,IF($I38&gt;0,IF(3=$J38,IF(OR(AND(58=$I38+1,OR($K38&lt;&gt;'計算A'!$A$3,'計算A'!$A$4=0)),AND(58=$I38-1,OR(10&lt;&gt;'計算A'!$A$3,'計算A'!$A$4=0))),0,IF(10=$K38,200000,ABS(10-$K38)*100)),100000+ABS(3-$J38)*1000+100)+'計算A'!BI$5*50+IF(AND($E38=1,KV38=0),25,0),IF($F38&gt;0,INDEX('計算A'!BI$110:BI$114,$F38+1)+IF(AND($E38=1,KV38=0),1000,0),MIN(TW38,20)*400+(IF('計算A'!BH$106=1,1-FF38,0)+IF('計算A'!BI$106=1,1-FH38,0))*150+103+'計算A'!BI$5*100000+IF(AND($E38=1,KV38=0),50000,0))+IF($H38=1,(IF('計算A'!BH$117=1,INDEX('計算A'!BH$10:BH$54,$B38),0)+IF('計算A'!BI$117=1,INDEX('計算A'!BJ$10:BJ$54,$B38),0))*4000,0)-IF(AND('計算A'!BH$117=1,WF38&gt;0),2000,0)-IF(AND($L38=1,'計算A'!BI$117=1,FH38=0),2000,0))),1000000))</f>
        <v/>
      </c>
      <c r="QL38">
        <f>IF($B38=0,1000000,IF(INDEX('計算A'!$D$60:$EQ$104,$B38,59)*FH38=1,IF(AND($E38=2,KW38=0),1000000,IF($I38&gt;0,IF(3=$J38,IF(OR(AND(59=$I38+1,OR($K38&lt;&gt;'計算A'!$A$3,'計算A'!$A$4=0)),AND(59=$I38-1,OR(11&lt;&gt;'計算A'!$A$3,'計算A'!$A$4=0))),0,IF(11=$K38,200000,ABS(11-$K38)*100)),100000+ABS(3-$J38)*1000+110)+'計算A'!BJ$5*50+IF(AND($E38=1,KW38=0),25,0),IF($F38&gt;0,INDEX('計算A'!BJ$110:BJ$114,$F38+1)+IF(AND($E38=1,KW38=0),1000,0),MIN(TW38,20)*400+(IF('計算A'!BI$106=1,1-FG38,0)+IF('計算A'!BJ$106=1,1-FI38,0))*150+113+'計算A'!BJ$5*100000+IF(AND($E38=1,KW38=0),50000,0))+IF($H38=1,(IF('計算A'!BI$117=1,INDEX('計算A'!BI$10:BI$54,$B38),0)+IF('計算A'!BJ$117=1,INDEX('計算A'!BK$10:BK$54,$B38),0))*4000,0)-IF(AND('計算A'!BI$117=1,WG38&gt;0),2000,0)-IF(AND($L38=1,'計算A'!BJ$117=1,FI38=0),2000,0))),1000000))</f>
        <v/>
      </c>
      <c r="QM38">
        <f>IF($B38=0,1000000,IF(INDEX('計算A'!$D$60:$EQ$104,$B38,60)*FI38=1,IF(AND($E38=2,KX38=0),1000000,IF($I38&gt;0,IF(3=$J38,IF(OR(AND(60=$I38+1,OR($K38&lt;&gt;'計算A'!$A$3,'計算A'!$A$4=0)),AND(60=$I38-1,OR(12&lt;&gt;'計算A'!$A$3,'計算A'!$A$4=0))),0,IF(12=$K38,200000,ABS(12-$K38)*100)),100000+ABS(3-$J38)*1000+120)+'計算A'!BK$5*50+IF(AND($E38=1,KX38=0),25,0),IF($F38&gt;0,INDEX('計算A'!BK$110:BK$114,$F38+1)+IF(AND($E38=1,KX38=0),1000,0),MIN(TW38,20)*400+(IF('計算A'!BJ$106=1,1-FH38,0)+IF('計算A'!BK$106=1,1-FJ38,0))*150+123+'計算A'!BK$5*100000+IF(AND($E38=1,KX38=0),50000,0))+IF($H38=1,(IF('計算A'!BJ$117=1,INDEX('計算A'!BJ$10:BJ$54,$B38),0)+IF('計算A'!BK$117=1,INDEX('計算A'!BL$10:BL$54,$B38),0))*4000,0)-IF(AND('計算A'!BJ$117=1,WH38&gt;0),2000,0)-IF(AND($L38=1,'計算A'!BK$117=1,FJ38=0),2000,0))),1000000))</f>
        <v/>
      </c>
      <c r="QN38">
        <f>IF($B38=0,1000000,IF(INDEX('計算A'!$D$60:$EQ$104,$B38,61)*FJ38=1,IF(AND($E38=2,KY38=0),1000000,IF($I38&gt;0,IF(3=$J38,IF(OR(AND(61=$I38+1,OR($K38&lt;&gt;'計算A'!$A$3,'計算A'!$A$4=0)),AND(61=$I38-1,OR(13&lt;&gt;'計算A'!$A$3,'計算A'!$A$4=0))),0,IF(13=$K38,200000,ABS(13-$K38)*100)),100000+ABS(3-$J38)*1000+130)+'計算A'!BL$5*50+IF(AND($E38=1,KY38=0),25,0),IF($F38&gt;0,INDEX('計算A'!BL$110:BL$114,$F38+1)+IF(AND($E38=1,KY38=0),1000,0),MIN(TW38,20)*400+(IF('計算A'!BK$106=1,1-FI38,0)+IF('計算A'!BL$106=1,1-FK38,0))*150+133+'計算A'!BL$5*100000+IF(AND($E38=1,KY38=0),50000,0))+IF($H38=1,(IF('計算A'!BK$117=1,INDEX('計算A'!BK$10:BK$54,$B38),0)+IF('計算A'!BL$117=1,INDEX('計算A'!BM$10:BM$54,$B38),0))*4000,0)-IF(AND('計算A'!BK$117=1,WI38&gt;0),2000,0)-IF(AND($L38=1,'計算A'!BL$117=1,FK38=0),2000,0))),1000000))</f>
        <v/>
      </c>
      <c r="QO38">
        <f>IF($B38=0,1000000,IF(INDEX('計算A'!$D$60:$EQ$104,$B38,62)*FK38=1,IF(AND($E38=2,KZ38=0),1000000,IF($I38&gt;0,IF(3=$J38,IF(OR(AND(62=$I38+1,OR($K38&lt;&gt;'計算A'!$A$3,'計算A'!$A$4=0)),AND(62=$I38-1,OR(14&lt;&gt;'計算A'!$A$3,'計算A'!$A$4=0))),0,IF(14=$K38,200000,ABS(14-$K38)*100)),100000+ABS(3-$J38)*1000+140)+'計算A'!BM$5*50+IF(AND($E38=1,KZ38=0),25,0),IF($F38&gt;0,INDEX('計算A'!BM$110:BM$114,$F38+1)+IF(AND($E38=1,KZ38=0),1000,0),MIN(TW38,20)*400+(IF('計算A'!BL$106=1,1-FJ38,0)+IF('計算A'!BM$106=1,1-FL38,0))*150+143+'計算A'!BM$5*100000+IF(AND($E38=1,KZ38=0),50000,0))+IF($H38=1,(IF('計算A'!BL$117=1,INDEX('計算A'!BL$10:BL$54,$B38),0)+IF('計算A'!BM$117=1,INDEX('計算A'!BN$10:BN$54,$B38),0))*4000,0)-IF(AND('計算A'!BL$117=1,WJ38&gt;0),2000,0)-IF(AND($L38=1,'計算A'!BM$117=1,FL38=0),2000,0))),1000000))</f>
        <v/>
      </c>
      <c r="QP38">
        <f>IF($B38=0,1000000,IF(INDEX('計算A'!$D$60:$EQ$104,$B38,63)*FL38=1,IF(AND($E38=2,LA38=0),1000000,IF($I38&gt;0,IF(3=$J38,IF(OR(AND(63=$I38+1,OR($K38&lt;&gt;'計算A'!$A$3,'計算A'!$A$4=0)),AND(63=$I38-1,OR(15&lt;&gt;'計算A'!$A$3,'計算A'!$A$4=0))),0,IF(15=$K38,200000,ABS(15-$K38)*100)),100000+ABS(3-$J38)*1000+150)+'計算A'!BN$5*50+IF(AND($E38=1,LA38=0),25,0),IF($F38&gt;0,INDEX('計算A'!BN$110:BN$114,$F38+1)+IF(AND($E38=1,LA38=0),1000,0),MIN(TW38,20)*400+(IF('計算A'!BM$106=1,1-FK38,0)+IF('計算A'!BN$106=1,1-FM38,0))*150+153+'計算A'!BN$5*100000+IF(AND($E38=1,LA38=0),50000,0))+IF($H38=1,(IF('計算A'!BM$117=1,INDEX('計算A'!BM$10:BM$54,$B38),0)+IF('計算A'!BN$117=1,INDEX('計算A'!BO$10:BO$54,$B38),0))*4000,0)-IF(AND('計算A'!BM$117=1,WK38&gt;0),2000,0)-IF(AND($L38=1,'計算A'!BN$117=1,FM38=0),2000,0))),1000000))</f>
        <v/>
      </c>
      <c r="QQ38">
        <f>IF($B38=0,1000000,IF(INDEX('計算A'!$D$60:$EQ$104,$B38,64)*FM38=1,IF(AND($E38=2,LB38=0),1000000,IF($I38&gt;0,IF(3=$J38,IF(OR(AND(64=$I38+1,OR($K38&lt;&gt;'計算A'!$A$3,'計算A'!$A$4=0)),AND(64=$I38-1,OR(16&lt;&gt;'計算A'!$A$3,'計算A'!$A$4=0))),0,IF(16=$K38,200000,ABS(16-$K38)*100)),100000+ABS(3-$J38)*1000+160)+'計算A'!BO$5*50+IF(AND($E38=1,LB38=0),25,0),IF($F38&gt;0,INDEX('計算A'!BO$110:BO$114,$F38+1)+IF(AND($E38=1,LB38=0),1000,0),MIN(TW38,20)*400+(IF('計算A'!BN$106=1,1-FL38,0)+IF('計算A'!BO$106=1,1-FN38,0))*150+163+'計算A'!BO$5*100000+IF(AND($E38=1,LB38=0),50000,0))+IF($H38=1,(IF('計算A'!BN$117=1,INDEX('計算A'!BN$10:BN$54,$B38),0)+IF('計算A'!BO$117=1,INDEX('計算A'!BP$10:BP$54,$B38),0))*4000,0)-IF(AND('計算A'!BN$117=1,WL38&gt;0),2000,0)-IF(AND($L38=1,'計算A'!BO$117=1,FN38=0),2000,0))),1000000))</f>
        <v/>
      </c>
      <c r="QR38">
        <f>IF($B38=0,1000000,IF(INDEX('計算A'!$D$60:$EQ$104,$B38,65)*FN38=1,IF(AND($E38=2,LC38=0),1000000,IF($I38&gt;0,IF(3=$J38,IF(OR(AND(65=$I38+1,OR($K38&lt;&gt;'計算A'!$A$3,'計算A'!$A$4=0)),AND(65=$I38-1,OR(17&lt;&gt;'計算A'!$A$3,'計算A'!$A$4=0))),0,IF(17=$K38,200000,ABS(17-$K38)*100)),100000+ABS(3-$J38)*1000+170)+'計算A'!BP$5*50+IF(AND($E38=1,LC38=0),25,0),IF($F38&gt;0,INDEX('計算A'!BP$110:BP$114,$F38+1)+IF(AND($E38=1,LC38=0),1000,0),MIN(TW38,20)*400+(IF('計算A'!BO$106=1,1-FM38,0)+IF('計算A'!BP$106=1,1-FO38,0))*150+173+'計算A'!BP$5*100000+IF(AND($E38=1,LC38=0),50000,0))+IF($H38=1,(IF('計算A'!BO$117=1,INDEX('計算A'!BO$10:BO$54,$B38),0)+IF('計算A'!BP$117=1,INDEX('計算A'!BQ$10:BQ$54,$B38),0))*4000,0)-IF(AND('計算A'!BO$117=1,WM38&gt;0),2000,0)-IF(AND($L38=1,'計算A'!BP$117=1,FO38=0),2000,0))),1000000))</f>
        <v/>
      </c>
      <c r="QS38">
        <f>IF($B38=0,1000000,IF(INDEX('計算A'!$D$60:$EQ$104,$B38,66)*FO38=1,IF(AND($E38=2,LD38=0),1000000,IF($I38&gt;0,IF(3=$J38,IF(OR(AND(66=$I38+1,OR($K38&lt;&gt;'計算A'!$A$3,'計算A'!$A$4=0)),AND(66=$I38-1,OR(18&lt;&gt;'計算A'!$A$3,'計算A'!$A$4=0))),0,IF(18=$K38,200000,ABS(18-$K38)*100)),100000+ABS(3-$J38)*1000+180)+'計算A'!BQ$5*50+IF(AND($E38=1,LD38=0),25,0),IF($F38&gt;0,INDEX('計算A'!BQ$110:BQ$114,$F38+1)+IF(AND($E38=1,LD38=0),1000,0),MIN(TW38,20)*400+(IF('計算A'!BP$106=1,1-FN38,0)+IF('計算A'!BQ$106=1,1-FP38,0))*150+183+'計算A'!BQ$5*100000+IF(AND($E38=1,LD38=0),50000,0))+IF($H38=1,(IF('計算A'!BP$117=1,INDEX('計算A'!BP$10:BP$54,$B38),0)+IF('計算A'!BQ$117=1,INDEX('計算A'!BR$10:BR$54,$B38),0))*4000,0)-IF(AND('計算A'!BP$117=1,WN38&gt;0),2000,0)-IF(AND($L38=1,'計算A'!BQ$117=1,FP38=0),2000,0))),1000000))</f>
        <v/>
      </c>
      <c r="QT38">
        <f>IF($B38=0,1000000,IF(INDEX('計算A'!$D$60:$EQ$104,$B38,67)*FP38=1,IF(AND($E38=2,LE38=0),1000000,IF($I38&gt;0,IF(3=$J38,IF(OR(AND(67=$I38+1,OR($K38&lt;&gt;'計算A'!$A$3,'計算A'!$A$4=0)),AND(67=$I38-1,OR(19&lt;&gt;'計算A'!$A$3,'計算A'!$A$4=0))),0,IF(19=$K38,200000,ABS(19-$K38)*100)),100000+ABS(3-$J38)*1000+190)+'計算A'!BR$5*50+IF(AND($E38=1,LE38=0),25,0),IF($F38&gt;0,INDEX('計算A'!BR$110:BR$114,$F38+1)+IF(AND($E38=1,LE38=0),1000,0),MIN(TW38,20)*400+(IF('計算A'!BQ$106=1,1-FO38,0)+IF('計算A'!BR$106=1,1-FQ38,0))*150+193+'計算A'!BR$5*100000+IF(AND($E38=1,LE38=0),50000,0))+IF($H38=1,(IF('計算A'!BQ$117=1,INDEX('計算A'!BQ$10:BQ$54,$B38),0)+IF('計算A'!BR$117=1,INDEX('計算A'!BS$10:BS$54,$B38),0))*4000,0)-IF(AND('計算A'!BQ$117=1,WO38&gt;0),2000,0)-IF(AND($L38=1,'計算A'!BR$117=1,FQ38=0),2000,0))),1000000))</f>
        <v/>
      </c>
      <c r="QU38">
        <f>IF($B38=0,1000000,IF(INDEX('計算A'!$D$60:$EQ$104,$B38,68)*FQ38=1,IF(AND($E38=2,LF38=0),1000000,IF($I38&gt;0,IF(3=$J38,IF(OR(AND(68=$I38+1,OR($K38&lt;&gt;'計算A'!$A$3,'計算A'!$A$4=0)),AND(68=$I38-1,OR(20&lt;&gt;'計算A'!$A$3,'計算A'!$A$4=0))),0,IF(20=$K38,200000,ABS(20-$K38)*100)),100000+ABS(3-$J38)*1000+200)+'計算A'!BS$5*50+IF(AND($E38=1,LF38=0),25,0),IF($F38&gt;0,INDEX('計算A'!BS$110:BS$114,$F38+1)+IF(AND($E38=1,LF38=0),1000,0),MIN(TW38,20)*400+(IF('計算A'!BR$106=1,1-FP38,0)+IF('計算A'!BS$106=1,1-FR38,0))*150+203+'計算A'!BS$5*100000+IF(AND($E38=1,LF38=0),50000,0))+IF($H38=1,(IF('計算A'!BR$117=1,INDEX('計算A'!BR$10:BR$54,$B38),0)+IF('計算A'!BS$117=1,INDEX('計算A'!BT$10:BT$54,$B38),0))*4000,0)-IF(AND('計算A'!BR$117=1,WP38&gt;0),2000,0)-IF(AND($L38=1,'計算A'!BS$117=1,FR38=0),2000,0))),1000000))</f>
        <v/>
      </c>
      <c r="QV38">
        <f>IF($B38=0,1000000,IF(INDEX('計算A'!$D$60:$EQ$104,$B38,69)*FR38=1,IF(AND($E38=2,LG38=0),1000000,IF($I38&gt;0,IF(3=$J38,IF(OR(AND(69=$I38+1,OR($K38&lt;&gt;'計算A'!$A$3,'計算A'!$A$4=0)),AND(69=$I38-1,OR(21&lt;&gt;'計算A'!$A$3,'計算A'!$A$4=0))),0,IF(21=$K38,200000,ABS(21-$K38)*100)),100000+ABS(3-$J38)*1000+210)+'計算A'!BT$5*50+IF(AND($E38=1,LG38=0),25,0),IF($F38&gt;0,INDEX('計算A'!BT$110:BT$114,$F38+1)+IF(AND($E38=1,LG38=0),1000,0),MIN(TW38,20)*400+(IF('計算A'!BS$106=1,1-FQ38,0)+IF('計算A'!BT$106=1,1-FS38,0))*150+213+'計算A'!BT$5*100000+IF(AND($E38=1,LG38=0),50000,0))+IF($H38=1,(IF('計算A'!BS$117=1,INDEX('計算A'!BS$10:BS$54,$B38),0)+IF('計算A'!BT$117=1,INDEX('計算A'!BU$10:BU$54,$B38),0))*4000,0)-IF(AND('計算A'!BS$117=1,WQ38&gt;0),2000,0)-IF(AND($L38=1,'計算A'!BT$117=1,FS38=0),2000,0))),1000000))</f>
        <v/>
      </c>
      <c r="QW38">
        <f>IF($B38=0,1000000,IF(INDEX('計算A'!$D$60:$EQ$104,$B38,70)*FS38=1,IF(AND($E38=2,LH38=0),1000000,IF($I38&gt;0,IF(3=$J38,IF(OR(AND(70=$I38+1,OR($K38&lt;&gt;'計算A'!$A$3,'計算A'!$A$4=0)),AND(70=$I38-1,OR(22&lt;&gt;'計算A'!$A$3,'計算A'!$A$4=0))),0,IF(22=$K38,200000,ABS(22-$K38)*100)),100000+ABS(3-$J38)*1000+220)+'計算A'!BU$5*50+IF(AND($E38=1,LH38=0),25,0),IF($F38&gt;0,INDEX('計算A'!BU$110:BU$114,$F38+1)+IF(AND($E38=1,LH38=0),1000,0),MIN(TW38,20)*400+(IF('計算A'!BT$106=1,1-FR38,0)+IF('計算A'!BU$106=1,1-FT38,0))*150+223+'計算A'!BU$5*100000+IF(AND($E38=1,LH38=0),50000,0))+IF($H38=1,(IF('計算A'!BT$117=1,INDEX('計算A'!BT$10:BT$54,$B38),0)+IF('計算A'!BU$117=1,INDEX('計算A'!BV$10:BV$54,$B38),0))*4000,0)-IF(AND('計算A'!BT$117=1,WR38&gt;0),2000,0)-IF(AND($L38=1,'計算A'!BU$117=1,FT38=0),2000,0))),1000000))</f>
        <v/>
      </c>
      <c r="QX38">
        <f>IF($B38=0,1000000,IF(INDEX('計算A'!$D$60:$EQ$104,$B38,71)*FT38=1,IF(AND($E38=2,LI38=0),1000000,IF($I38&gt;0,IF(3=$J38,IF(OR(AND(71=$I38+1,OR($K38&lt;&gt;'計算A'!$A$3,'計算A'!$A$4=0)),AND(71=$I38-1,OR(23&lt;&gt;'計算A'!$A$3,'計算A'!$A$4=0))),0,IF(23=$K38,200000,ABS(23-$K38)*100)),100000+ABS(3-$J38)*1000+230)+'計算A'!BV$5*50+IF(AND($E38=1,LI38=0),25,0),IF($F38&gt;0,INDEX('計算A'!BV$110:BV$114,$F38+1)+IF(AND($E38=1,LI38=0),1000,0),MIN(TW38,20)*400+(IF('計算A'!BU$106=1,1-FS38,0)+IF('計算A'!BV$106=1,1-FU38,0))*150+233+'計算A'!BV$5*100000+IF(AND($E38=1,LI38=0),50000,0))+IF($H38=1,(IF('計算A'!BU$117=1,INDEX('計算A'!BU$10:BU$54,$B38),0)+IF('計算A'!BV$117=1,INDEX('計算A'!BW$10:BW$54,$B38),0))*4000,0)-IF(AND('計算A'!BU$117=1,WS38&gt;0),2000,0)-IF(AND($L38=1,'計算A'!BV$117=1,FU38=0),2000,0))),1000000))</f>
        <v/>
      </c>
      <c r="QY38">
        <f>IF($B38=0,1000000,IF(INDEX('計算A'!$D$60:$EQ$104,$B38,72)*FU38=1,IF(AND($E38=2,LJ38=0),1000000,IF($I38&gt;0,IF(3=$J38,IF(OR(AND(72=$I38+1,OR($K38&lt;&gt;'計算A'!$A$3,'計算A'!$A$4=0)),AND(72=$I38-1,OR(24&lt;&gt;'計算A'!$A$3,'計算A'!$A$4=0))),0,IF(24=$K38,200000,ABS(24-$K38)*100)),100000+ABS(3-$J38)*1000+240)+'計算A'!BW$5*50+IF(AND($E38=1,LJ38=0),25,0),IF($F38&gt;0,INDEX('計算A'!BW$110:BW$114,$F38+1)+IF(AND($E38=1,LJ38=0),1000,0),MIN(TW38,20)*400+(IF('計算A'!BV$106=1,1-FT38,0))*150+243+'計算A'!BW$5*100000+IF(AND($E38=1,LJ38=0),50000,0))+IF($H38=1,(IF('計算A'!BV$117=1,INDEX('計算A'!BV$10:BV$54,$B38),0))*4000,0)-IF(AND('計算A'!BV$117=1,WT38&gt;0),2000,0))),1000000))</f>
        <v/>
      </c>
      <c r="QZ38">
        <f>IF($B38=0,1000000,IF(INDEX('計算A'!$D$60:$EQ$104,$B38,73)*FV38=1,IF(AND($E38=2,LK38=0),1000000,IF($I38&gt;0,IF(4=$J38,IF(OR(AND(73=$I38+1,OR($K38&lt;&gt;'計算A'!$A$3,'計算A'!$A$4=0)),AND(73=$I38-1,OR(1&lt;&gt;'計算A'!$A$3,'計算A'!$A$4=0))),0,IF(1=$K38,200000,ABS(1-$K38)*100)),100000+ABS(4-$J38)*1000+10)+'計算A'!BX$5*50+IF(AND($E38=1,LK38=0),25,0),IF($F38&gt;0,INDEX('計算A'!BX$110:BX$114,$F38+1)+IF(AND($E38=1,LK38=0),1000,0),MIN(TX38,20)*400+(IF('計算A'!BX$106=1,1-FW38,0))*150+14+'計算A'!BX$5*100000+IF(AND($E38=1,LK38=0),50000,0))+IF($H38=1,(IF('計算A'!BX$117=1,INDEX('計算A'!BY$10:BY$54,$B38),0))*4000,0)-IF(AND($L38=1,'計算A'!BX$117=1,FW38=0),2000,0))),1000000))</f>
        <v/>
      </c>
      <c r="RA38">
        <f>IF($B38=0,1000000,IF(INDEX('計算A'!$D$60:$EQ$104,$B38,74)*FW38=1,IF(AND($E38=2,LL38=0),1000000,IF($I38&gt;0,IF(4=$J38,IF(OR(AND(74=$I38+1,OR($K38&lt;&gt;'計算A'!$A$3,'計算A'!$A$4=0)),AND(74=$I38-1,OR(2&lt;&gt;'計算A'!$A$3,'計算A'!$A$4=0))),0,IF(2=$K38,200000,ABS(2-$K38)*100)),100000+ABS(4-$J38)*1000+20)+'計算A'!BY$5*50+IF(AND($E38=1,LL38=0),25,0),IF($F38&gt;0,INDEX('計算A'!BY$110:BY$114,$F38+1)+IF(AND($E38=1,LL38=0),1000,0),MIN(TX38,20)*400+(IF('計算A'!BX$106=1,1-FV38,0)+IF('計算A'!BY$106=1,1-FX38,0))*150+24+'計算A'!BY$5*100000+IF(AND($E38=1,LL38=0),50000,0))+IF($H38=1,(IF('計算A'!BX$117=1,INDEX('計算A'!BX$10:BX$54,$B38),0)+IF('計算A'!BY$117=1,INDEX('計算A'!BZ$10:BZ$54,$B38),0))*4000,0)-IF(AND('計算A'!BX$117=1,WV38&gt;0),2000,0)-IF(AND($L38=1,'計算A'!BY$117=1,FX38=0),2000,0))),1000000))</f>
        <v/>
      </c>
      <c r="RB38">
        <f>IF($B38=0,1000000,IF(INDEX('計算A'!$D$60:$EQ$104,$B38,75)*FX38=1,IF(AND($E38=2,LM38=0),1000000,IF($I38&gt;0,IF(4=$J38,IF(OR(AND(75=$I38+1,OR($K38&lt;&gt;'計算A'!$A$3,'計算A'!$A$4=0)),AND(75=$I38-1,OR(3&lt;&gt;'計算A'!$A$3,'計算A'!$A$4=0))),0,IF(3=$K38,200000,ABS(3-$K38)*100)),100000+ABS(4-$J38)*1000+30)+'計算A'!BZ$5*50+IF(AND($E38=1,LM38=0),25,0),IF($F38&gt;0,INDEX('計算A'!BZ$110:BZ$114,$F38+1)+IF(AND($E38=1,LM38=0),1000,0),MIN(TX38,20)*400+(IF('計算A'!BY$106=1,1-FW38,0)+IF('計算A'!BZ$106=1,1-FY38,0))*150+34+'計算A'!BZ$5*100000+IF(AND($E38=1,LM38=0),50000,0))+IF($H38=1,(IF('計算A'!BY$117=1,INDEX('計算A'!BY$10:BY$54,$B38),0)+IF('計算A'!BZ$117=1,INDEX('計算A'!CA$10:CA$54,$B38),0))*4000,0)-IF(AND('計算A'!BY$117=1,WW38&gt;0),2000,0)-IF(AND($L38=1,'計算A'!BZ$117=1,FY38=0),2000,0))),1000000))</f>
        <v/>
      </c>
      <c r="RC38">
        <f>IF($B38=0,1000000,IF(INDEX('計算A'!$D$60:$EQ$104,$B38,76)*FY38=1,IF(AND($E38=2,LN38=0),1000000,IF($I38&gt;0,IF(4=$J38,IF(OR(AND(76=$I38+1,OR($K38&lt;&gt;'計算A'!$A$3,'計算A'!$A$4=0)),AND(76=$I38-1,OR(4&lt;&gt;'計算A'!$A$3,'計算A'!$A$4=0))),0,IF(4=$K38,200000,ABS(4-$K38)*100)),100000+ABS(4-$J38)*1000+40)+'計算A'!CA$5*50+IF(AND($E38=1,LN38=0),25,0),IF($F38&gt;0,INDEX('計算A'!CA$110:CA$114,$F38+1)+IF(AND($E38=1,LN38=0),1000,0),MIN(TX38,20)*400+(IF('計算A'!BZ$106=1,1-FX38,0)+IF('計算A'!CA$106=1,1-FZ38,0))*150+44+'計算A'!CA$5*100000+IF(AND($E38=1,LN38=0),50000,0))+IF($H38=1,(IF('計算A'!BZ$117=1,INDEX('計算A'!BZ$10:BZ$54,$B38),0)+IF('計算A'!CA$117=1,INDEX('計算A'!CB$10:CB$54,$B38),0))*4000,0)-IF(AND('計算A'!BZ$117=1,WX38&gt;0),2000,0)-IF(AND($L38=1,'計算A'!CA$117=1,FZ38=0),2000,0))),1000000))</f>
        <v/>
      </c>
      <c r="RD38">
        <f>IF($B38=0,1000000,IF(INDEX('計算A'!$D$60:$EQ$104,$B38,77)*FZ38=1,IF(AND($E38=2,LO38=0),1000000,IF($I38&gt;0,IF(4=$J38,IF(OR(AND(77=$I38+1,OR($K38&lt;&gt;'計算A'!$A$3,'計算A'!$A$4=0)),AND(77=$I38-1,OR(5&lt;&gt;'計算A'!$A$3,'計算A'!$A$4=0))),0,IF(5=$K38,200000,ABS(5-$K38)*100)),100000+ABS(4-$J38)*1000+50)+'計算A'!CB$5*50+IF(AND($E38=1,LO38=0),25,0),IF($F38&gt;0,INDEX('計算A'!CB$110:CB$114,$F38+1)+IF(AND($E38=1,LO38=0),1000,0),MIN(TX38,20)*400+(IF('計算A'!CA$106=1,1-FY38,0)+IF('計算A'!CB$106=1,1-GA38,0))*150+54+'計算A'!CB$5*100000+IF(AND($E38=1,LO38=0),50000,0))+IF($H38=1,(IF('計算A'!CA$117=1,INDEX('計算A'!CA$10:CA$54,$B38),0)+IF('計算A'!CB$117=1,INDEX('計算A'!CC$10:CC$54,$B38),0))*4000,0)-IF(AND('計算A'!CA$117=1,WY38&gt;0),2000,0)-IF(AND($L38=1,'計算A'!CB$117=1,GA38=0),2000,0))),1000000))</f>
        <v/>
      </c>
      <c r="RE38">
        <f>IF($B38=0,1000000,IF(INDEX('計算A'!$D$60:$EQ$104,$B38,78)*GA38=1,IF(AND($E38=2,LP38=0),1000000,IF($I38&gt;0,IF(4=$J38,IF(OR(AND(78=$I38+1,OR($K38&lt;&gt;'計算A'!$A$3,'計算A'!$A$4=0)),AND(78=$I38-1,OR(6&lt;&gt;'計算A'!$A$3,'計算A'!$A$4=0))),0,IF(6=$K38,200000,ABS(6-$K38)*100)),100000+ABS(4-$J38)*1000+60)+'計算A'!CC$5*50+IF(AND($E38=1,LP38=0),25,0),IF($F38&gt;0,INDEX('計算A'!CC$110:CC$114,$F38+1)+IF(AND($E38=1,LP38=0),1000,0),MIN(TX38,20)*400+(IF('計算A'!CB$106=1,1-FZ38,0)+IF('計算A'!CC$106=1,1-GB38,0))*150+64+'計算A'!CC$5*100000+IF(AND($E38=1,LP38=0),50000,0))+IF($H38=1,(IF('計算A'!CB$117=1,INDEX('計算A'!CB$10:CB$54,$B38),0)+IF('計算A'!CC$117=1,INDEX('計算A'!CD$10:CD$54,$B38),0))*4000,0)-IF(AND('計算A'!CB$117=1,WZ38&gt;0),2000,0)-IF(AND($L38=1,'計算A'!CC$117=1,GB38=0),2000,0))),1000000))</f>
        <v/>
      </c>
      <c r="RF38">
        <f>IF($B38=0,1000000,IF(INDEX('計算A'!$D$60:$EQ$104,$B38,79)*GB38=1,IF(AND($E38=2,LQ38=0),1000000,IF($I38&gt;0,IF(4=$J38,IF(OR(AND(79=$I38+1,OR($K38&lt;&gt;'計算A'!$A$3,'計算A'!$A$4=0)),AND(79=$I38-1,OR(7&lt;&gt;'計算A'!$A$3,'計算A'!$A$4=0))),0,IF(7=$K38,200000,ABS(7-$K38)*100)),100000+ABS(4-$J38)*1000+70)+'計算A'!CD$5*50+IF(AND($E38=1,LQ38=0),25,0),IF($F38&gt;0,INDEX('計算A'!CD$110:CD$114,$F38+1)+IF(AND($E38=1,LQ38=0),1000,0),MIN(TX38,20)*400+(IF('計算A'!CC$106=1,1-GA38,0)+IF('計算A'!CD$106=1,1-GC38,0))*150+74+'計算A'!CD$5*100000+IF(AND($E38=1,LQ38=0),50000,0))+IF($H38=1,(IF('計算A'!CC$117=1,INDEX('計算A'!CC$10:CC$54,$B38),0)+IF('計算A'!CD$117=1,INDEX('計算A'!CE$10:CE$54,$B38),0))*4000,0)-IF(AND('計算A'!CC$117=1,XA38&gt;0),2000,0)-IF(AND($L38=1,'計算A'!CD$117=1,GC38=0),2000,0))),1000000))</f>
        <v/>
      </c>
      <c r="RG38">
        <f>IF($B38=0,1000000,IF(INDEX('計算A'!$D$60:$EQ$104,$B38,80)*GC38=1,IF(AND($E38=2,LR38=0),1000000,IF($I38&gt;0,IF(4=$J38,IF(OR(AND(80=$I38+1,OR($K38&lt;&gt;'計算A'!$A$3,'計算A'!$A$4=0)),AND(80=$I38-1,OR(8&lt;&gt;'計算A'!$A$3,'計算A'!$A$4=0))),0,IF(8=$K38,200000,ABS(8-$K38)*100)),100000+ABS(4-$J38)*1000+80)+'計算A'!CE$5*50+IF(AND($E38=1,LR38=0),25,0),IF($F38&gt;0,INDEX('計算A'!CE$110:CE$114,$F38+1)+IF(AND($E38=1,LR38=0),1000,0),MIN(TX38,20)*400+(IF('計算A'!CD$106=1,1-GB38,0)+IF('計算A'!CE$106=1,1-GD38,0))*150+84+'計算A'!CE$5*100000+IF(AND($E38=1,LR38=0),50000,0))+IF($H38=1,(IF('計算A'!CD$117=1,INDEX('計算A'!CD$10:CD$54,$B38),0)+IF('計算A'!CE$117=1,INDEX('計算A'!CF$10:CF$54,$B38),0))*4000,0)-IF(AND('計算A'!CD$117=1,XB38&gt;0),2000,0)-IF(AND($L38=1,'計算A'!CE$117=1,GD38=0),2000,0))),1000000))</f>
        <v/>
      </c>
      <c r="RH38">
        <f>IF($B38=0,1000000,IF(INDEX('計算A'!$D$60:$EQ$104,$B38,81)*GD38=1,IF(AND($E38=2,LS38=0),1000000,IF($I38&gt;0,IF(4=$J38,IF(OR(AND(81=$I38+1,OR($K38&lt;&gt;'計算A'!$A$3,'計算A'!$A$4=0)),AND(81=$I38-1,OR(9&lt;&gt;'計算A'!$A$3,'計算A'!$A$4=0))),0,IF(9=$K38,200000,ABS(9-$K38)*100)),100000+ABS(4-$J38)*1000+90)+'計算A'!CF$5*50+IF(AND($E38=1,LS38=0),25,0),IF($F38&gt;0,INDEX('計算A'!CF$110:CF$114,$F38+1)+IF(AND($E38=1,LS38=0),1000,0),MIN(TX38,20)*400+(IF('計算A'!CE$106=1,1-GC38,0)+IF('計算A'!CF$106=1,1-GE38,0))*150+94+'計算A'!CF$5*100000+IF(AND($E38=1,LS38=0),50000,0))+IF($H38=1,(IF('計算A'!CE$117=1,INDEX('計算A'!CE$10:CE$54,$B38),0)+IF('計算A'!CF$117=1,INDEX('計算A'!CG$10:CG$54,$B38),0))*4000,0)-IF(AND('計算A'!CE$117=1,XC38&gt;0),2000,0)-IF(AND($L38=1,'計算A'!CF$117=1,GE38=0),2000,0))),1000000))</f>
        <v/>
      </c>
      <c r="RI38">
        <f>IF($B38=0,1000000,IF(INDEX('計算A'!$D$60:$EQ$104,$B38,82)*GE38=1,IF(AND($E38=2,LT38=0),1000000,IF($I38&gt;0,IF(4=$J38,IF(OR(AND(82=$I38+1,OR($K38&lt;&gt;'計算A'!$A$3,'計算A'!$A$4=0)),AND(82=$I38-1,OR(10&lt;&gt;'計算A'!$A$3,'計算A'!$A$4=0))),0,IF(10=$K38,200000,ABS(10-$K38)*100)),100000+ABS(4-$J38)*1000+100)+'計算A'!CG$5*50+IF(AND($E38=1,LT38=0),25,0),IF($F38&gt;0,INDEX('計算A'!CG$110:CG$114,$F38+1)+IF(AND($E38=1,LT38=0),1000,0),MIN(TX38,20)*400+(IF('計算A'!CF$106=1,1-GD38,0)+IF('計算A'!CG$106=1,1-GF38,0))*150+104+'計算A'!CG$5*100000+IF(AND($E38=1,LT38=0),50000,0))+IF($H38=1,(IF('計算A'!CF$117=1,INDEX('計算A'!CF$10:CF$54,$B38),0)+IF('計算A'!CG$117=1,INDEX('計算A'!CH$10:CH$54,$B38),0))*4000,0)-IF(AND('計算A'!CF$117=1,XD38&gt;0),2000,0)-IF(AND($L38=1,'計算A'!CG$117=1,GF38=0),2000,0))),1000000))</f>
        <v/>
      </c>
      <c r="RJ38">
        <f>IF($B38=0,1000000,IF(INDEX('計算A'!$D$60:$EQ$104,$B38,83)*GF38=1,IF(AND($E38=2,LU38=0),1000000,IF($I38&gt;0,IF(4=$J38,IF(OR(AND(83=$I38+1,OR($K38&lt;&gt;'計算A'!$A$3,'計算A'!$A$4=0)),AND(83=$I38-1,OR(11&lt;&gt;'計算A'!$A$3,'計算A'!$A$4=0))),0,IF(11=$K38,200000,ABS(11-$K38)*100)),100000+ABS(4-$J38)*1000+110)+'計算A'!CH$5*50+IF(AND($E38=1,LU38=0),25,0),IF($F38&gt;0,INDEX('計算A'!CH$110:CH$114,$F38+1)+IF(AND($E38=1,LU38=0),1000,0),MIN(TX38,20)*400+(IF('計算A'!CG$106=1,1-GE38,0)+IF('計算A'!CH$106=1,1-GG38,0))*150+114+'計算A'!CH$5*100000+IF(AND($E38=1,LU38=0),50000,0))+IF($H38=1,(IF('計算A'!CG$117=1,INDEX('計算A'!CG$10:CG$54,$B38),0)+IF('計算A'!CH$117=1,INDEX('計算A'!CI$10:CI$54,$B38),0))*4000,0)-IF(AND('計算A'!CG$117=1,XE38&gt;0),2000,0)-IF(AND($L38=1,'計算A'!CH$117=1,GG38=0),2000,0))),1000000))</f>
        <v/>
      </c>
      <c r="RK38">
        <f>IF($B38=0,1000000,IF(INDEX('計算A'!$D$60:$EQ$104,$B38,84)*GG38=1,IF(AND($E38=2,LV38=0),1000000,IF($I38&gt;0,IF(4=$J38,IF(OR(AND(84=$I38+1,OR($K38&lt;&gt;'計算A'!$A$3,'計算A'!$A$4=0)),AND(84=$I38-1,OR(12&lt;&gt;'計算A'!$A$3,'計算A'!$A$4=0))),0,IF(12=$K38,200000,ABS(12-$K38)*100)),100000+ABS(4-$J38)*1000+120)+'計算A'!CI$5*50+IF(AND($E38=1,LV38=0),25,0),IF($F38&gt;0,INDEX('計算A'!CI$110:CI$114,$F38+1)+IF(AND($E38=1,LV38=0),1000,0),MIN(TX38,20)*400+(IF('計算A'!CH$106=1,1-GF38,0)+IF('計算A'!CI$106=1,1-GH38,0))*150+124+'計算A'!CI$5*100000+IF(AND($E38=1,LV38=0),50000,0))+IF($H38=1,(IF('計算A'!CH$117=1,INDEX('計算A'!CH$10:CH$54,$B38),0)+IF('計算A'!CI$117=1,INDEX('計算A'!CJ$10:CJ$54,$B38),0))*4000,0)-IF(AND('計算A'!CH$117=1,XF38&gt;0),2000,0)-IF(AND($L38=1,'計算A'!CI$117=1,GH38=0),2000,0))),1000000))</f>
        <v/>
      </c>
      <c r="RL38">
        <f>IF($B38=0,1000000,IF(INDEX('計算A'!$D$60:$EQ$104,$B38,85)*GH38=1,IF(AND($E38=2,LW38=0),1000000,IF($I38&gt;0,IF(4=$J38,IF(OR(AND(85=$I38+1,OR($K38&lt;&gt;'計算A'!$A$3,'計算A'!$A$4=0)),AND(85=$I38-1,OR(13&lt;&gt;'計算A'!$A$3,'計算A'!$A$4=0))),0,IF(13=$K38,200000,ABS(13-$K38)*100)),100000+ABS(4-$J38)*1000+130)+'計算A'!CJ$5*50+IF(AND($E38=1,LW38=0),25,0),IF($F38&gt;0,INDEX('計算A'!CJ$110:CJ$114,$F38+1)+IF(AND($E38=1,LW38=0),1000,0),MIN(TX38,20)*400+(IF('計算A'!CI$106=1,1-GG38,0)+IF('計算A'!CJ$106=1,1-GI38,0))*150+134+'計算A'!CJ$5*100000+IF(AND($E38=1,LW38=0),50000,0))+IF($H38=1,(IF('計算A'!CI$117=1,INDEX('計算A'!CI$10:CI$54,$B38),0)+IF('計算A'!CJ$117=1,INDEX('計算A'!CK$10:CK$54,$B38),0))*4000,0)-IF(AND('計算A'!CI$117=1,XG38&gt;0),2000,0)-IF(AND($L38=1,'計算A'!CJ$117=1,GI38=0),2000,0))),1000000))</f>
        <v/>
      </c>
      <c r="RM38">
        <f>IF($B38=0,1000000,IF(INDEX('計算A'!$D$60:$EQ$104,$B38,86)*GI38=1,IF(AND($E38=2,LX38=0),1000000,IF($I38&gt;0,IF(4=$J38,IF(OR(AND(86=$I38+1,OR($K38&lt;&gt;'計算A'!$A$3,'計算A'!$A$4=0)),AND(86=$I38-1,OR(14&lt;&gt;'計算A'!$A$3,'計算A'!$A$4=0))),0,IF(14=$K38,200000,ABS(14-$K38)*100)),100000+ABS(4-$J38)*1000+140)+'計算A'!CK$5*50+IF(AND($E38=1,LX38=0),25,0),IF($F38&gt;0,INDEX('計算A'!CK$110:CK$114,$F38+1)+IF(AND($E38=1,LX38=0),1000,0),MIN(TX38,20)*400+(IF('計算A'!CJ$106=1,1-GH38,0)+IF('計算A'!CK$106=1,1-GJ38,0))*150+144+'計算A'!CK$5*100000+IF(AND($E38=1,LX38=0),50000,0))+IF($H38=1,(IF('計算A'!CJ$117=1,INDEX('計算A'!CJ$10:CJ$54,$B38),0)+IF('計算A'!CK$117=1,INDEX('計算A'!CL$10:CL$54,$B38),0))*4000,0)-IF(AND('計算A'!CJ$117=1,XH38&gt;0),2000,0)-IF(AND($L38=1,'計算A'!CK$117=1,GJ38=0),2000,0))),1000000))</f>
        <v/>
      </c>
      <c r="RN38">
        <f>IF($B38=0,1000000,IF(INDEX('計算A'!$D$60:$EQ$104,$B38,87)*GJ38=1,IF(AND($E38=2,LY38=0),1000000,IF($I38&gt;0,IF(4=$J38,IF(OR(AND(87=$I38+1,OR($K38&lt;&gt;'計算A'!$A$3,'計算A'!$A$4=0)),AND(87=$I38-1,OR(15&lt;&gt;'計算A'!$A$3,'計算A'!$A$4=0))),0,IF(15=$K38,200000,ABS(15-$K38)*100)),100000+ABS(4-$J38)*1000+150)+'計算A'!CL$5*50+IF(AND($E38=1,LY38=0),25,0),IF($F38&gt;0,INDEX('計算A'!CL$110:CL$114,$F38+1)+IF(AND($E38=1,LY38=0),1000,0),MIN(TX38,20)*400+(IF('計算A'!CK$106=1,1-GI38,0)+IF('計算A'!CL$106=1,1-GK38,0))*150+154+'計算A'!CL$5*100000+IF(AND($E38=1,LY38=0),50000,0))+IF($H38=1,(IF('計算A'!CK$117=1,INDEX('計算A'!CK$10:CK$54,$B38),0)+IF('計算A'!CL$117=1,INDEX('計算A'!CM$10:CM$54,$B38),0))*4000,0)-IF(AND('計算A'!CK$117=1,XI38&gt;0),2000,0)-IF(AND($L38=1,'計算A'!CL$117=1,GK38=0),2000,0))),1000000))</f>
        <v/>
      </c>
      <c r="RO38">
        <f>IF($B38=0,1000000,IF(INDEX('計算A'!$D$60:$EQ$104,$B38,88)*GK38=1,IF(AND($E38=2,LZ38=0),1000000,IF($I38&gt;0,IF(4=$J38,IF(OR(AND(88=$I38+1,OR($K38&lt;&gt;'計算A'!$A$3,'計算A'!$A$4=0)),AND(88=$I38-1,OR(16&lt;&gt;'計算A'!$A$3,'計算A'!$A$4=0))),0,IF(16=$K38,200000,ABS(16-$K38)*100)),100000+ABS(4-$J38)*1000+160)+'計算A'!CM$5*50+IF(AND($E38=1,LZ38=0),25,0),IF($F38&gt;0,INDEX('計算A'!CM$110:CM$114,$F38+1)+IF(AND($E38=1,LZ38=0),1000,0),MIN(TX38,20)*400+(IF('計算A'!CL$106=1,1-GJ38,0)+IF('計算A'!CM$106=1,1-GL38,0))*150+164+'計算A'!CM$5*100000+IF(AND($E38=1,LZ38=0),50000,0))+IF($H38=1,(IF('計算A'!CL$117=1,INDEX('計算A'!CL$10:CL$54,$B38),0)+IF('計算A'!CM$117=1,INDEX('計算A'!CN$10:CN$54,$B38),0))*4000,0)-IF(AND('計算A'!CL$117=1,XJ38&gt;0),2000,0)-IF(AND($L38=1,'計算A'!CM$117=1,GL38=0),2000,0))),1000000))</f>
        <v/>
      </c>
      <c r="RP38">
        <f>IF($B38=0,1000000,IF(INDEX('計算A'!$D$60:$EQ$104,$B38,89)*GL38=1,IF(AND($E38=2,MA38=0),1000000,IF($I38&gt;0,IF(4=$J38,IF(OR(AND(89=$I38+1,OR($K38&lt;&gt;'計算A'!$A$3,'計算A'!$A$4=0)),AND(89=$I38-1,OR(17&lt;&gt;'計算A'!$A$3,'計算A'!$A$4=0))),0,IF(17=$K38,200000,ABS(17-$K38)*100)),100000+ABS(4-$J38)*1000+170)+'計算A'!CN$5*50+IF(AND($E38=1,MA38=0),25,0),IF($F38&gt;0,INDEX('計算A'!CN$110:CN$114,$F38+1)+IF(AND($E38=1,MA38=0),1000,0),MIN(TX38,20)*400+(IF('計算A'!CM$106=1,1-GK38,0)+IF('計算A'!CN$106=1,1-GM38,0))*150+174+'計算A'!CN$5*100000+IF(AND($E38=1,MA38=0),50000,0))+IF($H38=1,(IF('計算A'!CM$117=1,INDEX('計算A'!CM$10:CM$54,$B38),0)+IF('計算A'!CN$117=1,INDEX('計算A'!CO$10:CO$54,$B38),0))*4000,0)-IF(AND('計算A'!CM$117=1,XK38&gt;0),2000,0)-IF(AND($L38=1,'計算A'!CN$117=1,GM38=0),2000,0))),1000000))</f>
        <v/>
      </c>
      <c r="RQ38">
        <f>IF($B38=0,1000000,IF(INDEX('計算A'!$D$60:$EQ$104,$B38,90)*GM38=1,IF(AND($E38=2,MB38=0),1000000,IF($I38&gt;0,IF(4=$J38,IF(OR(AND(90=$I38+1,OR($K38&lt;&gt;'計算A'!$A$3,'計算A'!$A$4=0)),AND(90=$I38-1,OR(18&lt;&gt;'計算A'!$A$3,'計算A'!$A$4=0))),0,IF(18=$K38,200000,ABS(18-$K38)*100)),100000+ABS(4-$J38)*1000+180)+'計算A'!CO$5*50+IF(AND($E38=1,MB38=0),25,0),IF($F38&gt;0,INDEX('計算A'!CO$110:CO$114,$F38+1)+IF(AND($E38=1,MB38=0),1000,0),MIN(TX38,20)*400+(IF('計算A'!CN$106=1,1-GL38,0)+IF('計算A'!CO$106=1,1-GN38,0))*150+184+'計算A'!CO$5*100000+IF(AND($E38=1,MB38=0),50000,0))+IF($H38=1,(IF('計算A'!CN$117=1,INDEX('計算A'!CN$10:CN$54,$B38),0)+IF('計算A'!CO$117=1,INDEX('計算A'!CP$10:CP$54,$B38),0))*4000,0)-IF(AND('計算A'!CN$117=1,XL38&gt;0),2000,0)-IF(AND($L38=1,'計算A'!CO$117=1,GN38=0),2000,0))),1000000))</f>
        <v/>
      </c>
      <c r="RR38">
        <f>IF($B38=0,1000000,IF(INDEX('計算A'!$D$60:$EQ$104,$B38,91)*GN38=1,IF(AND($E38=2,MC38=0),1000000,IF($I38&gt;0,IF(4=$J38,IF(OR(AND(91=$I38+1,OR($K38&lt;&gt;'計算A'!$A$3,'計算A'!$A$4=0)),AND(91=$I38-1,OR(19&lt;&gt;'計算A'!$A$3,'計算A'!$A$4=0))),0,IF(19=$K38,200000,ABS(19-$K38)*100)),100000+ABS(4-$J38)*1000+190)+'計算A'!CP$5*50+IF(AND($E38=1,MC38=0),25,0),IF($F38&gt;0,INDEX('計算A'!CP$110:CP$114,$F38+1)+IF(AND($E38=1,MC38=0),1000,0),MIN(TX38,20)*400+(IF('計算A'!CO$106=1,1-GM38,0)+IF('計算A'!CP$106=1,1-GO38,0))*150+194+'計算A'!CP$5*100000+IF(AND($E38=1,MC38=0),50000,0))+IF($H38=1,(IF('計算A'!CO$117=1,INDEX('計算A'!CO$10:CO$54,$B38),0)+IF('計算A'!CP$117=1,INDEX('計算A'!CQ$10:CQ$54,$B38),0))*4000,0)-IF(AND('計算A'!CO$117=1,XM38&gt;0),2000,0)-IF(AND($L38=1,'計算A'!CP$117=1,GO38=0),2000,0))),1000000))</f>
        <v/>
      </c>
      <c r="RS38">
        <f>IF($B38=0,1000000,IF(INDEX('計算A'!$D$60:$EQ$104,$B38,92)*GO38=1,IF(AND($E38=2,MD38=0),1000000,IF($I38&gt;0,IF(4=$J38,IF(OR(AND(92=$I38+1,OR($K38&lt;&gt;'計算A'!$A$3,'計算A'!$A$4=0)),AND(92=$I38-1,OR(20&lt;&gt;'計算A'!$A$3,'計算A'!$A$4=0))),0,IF(20=$K38,200000,ABS(20-$K38)*100)),100000+ABS(4-$J38)*1000+200)+'計算A'!CQ$5*50+IF(AND($E38=1,MD38=0),25,0),IF($F38&gt;0,INDEX('計算A'!CQ$110:CQ$114,$F38+1)+IF(AND($E38=1,MD38=0),1000,0),MIN(TX38,20)*400+(IF('計算A'!CP$106=1,1-GN38,0)+IF('計算A'!CQ$106=1,1-GP38,0))*150+204+'計算A'!CQ$5*100000+IF(AND($E38=1,MD38=0),50000,0))+IF($H38=1,(IF('計算A'!CP$117=1,INDEX('計算A'!CP$10:CP$54,$B38),0)+IF('計算A'!CQ$117=1,INDEX('計算A'!CR$10:CR$54,$B38),0))*4000,0)-IF(AND('計算A'!CP$117=1,XN38&gt;0),2000,0)-IF(AND($L38=1,'計算A'!CQ$117=1,GP38=0),2000,0))),1000000))</f>
        <v/>
      </c>
      <c r="RT38">
        <f>IF($B38=0,1000000,IF(INDEX('計算A'!$D$60:$EQ$104,$B38,93)*GP38=1,IF(AND($E38=2,ME38=0),1000000,IF($I38&gt;0,IF(4=$J38,IF(OR(AND(93=$I38+1,OR($K38&lt;&gt;'計算A'!$A$3,'計算A'!$A$4=0)),AND(93=$I38-1,OR(21&lt;&gt;'計算A'!$A$3,'計算A'!$A$4=0))),0,IF(21=$K38,200000,ABS(21-$K38)*100)),100000+ABS(4-$J38)*1000+210)+'計算A'!CR$5*50+IF(AND($E38=1,ME38=0),25,0),IF($F38&gt;0,INDEX('計算A'!CR$110:CR$114,$F38+1)+IF(AND($E38=1,ME38=0),1000,0),MIN(TX38,20)*400+(IF('計算A'!CQ$106=1,1-GO38,0)+IF('計算A'!CR$106=1,1-GQ38,0))*150+214+'計算A'!CR$5*100000+IF(AND($E38=1,ME38=0),50000,0))+IF($H38=1,(IF('計算A'!CQ$117=1,INDEX('計算A'!CQ$10:CQ$54,$B38),0)+IF('計算A'!CR$117=1,INDEX('計算A'!CS$10:CS$54,$B38),0))*4000,0)-IF(AND('計算A'!CQ$117=1,XO38&gt;0),2000,0)-IF(AND($L38=1,'計算A'!CR$117=1,GQ38=0),2000,0))),1000000))</f>
        <v/>
      </c>
      <c r="RU38">
        <f>IF($B38=0,1000000,IF(INDEX('計算A'!$D$60:$EQ$104,$B38,94)*GQ38=1,IF(AND($E38=2,MF38=0),1000000,IF($I38&gt;0,IF(4=$J38,IF(OR(AND(94=$I38+1,OR($K38&lt;&gt;'計算A'!$A$3,'計算A'!$A$4=0)),AND(94=$I38-1,OR(22&lt;&gt;'計算A'!$A$3,'計算A'!$A$4=0))),0,IF(22=$K38,200000,ABS(22-$K38)*100)),100000+ABS(4-$J38)*1000+220)+'計算A'!CS$5*50+IF(AND($E38=1,MF38=0),25,0),IF($F38&gt;0,INDEX('計算A'!CS$110:CS$114,$F38+1)+IF(AND($E38=1,MF38=0),1000,0),MIN(TX38,20)*400+(IF('計算A'!CR$106=1,1-GP38,0)+IF('計算A'!CS$106=1,1-GR38,0))*150+224+'計算A'!CS$5*100000+IF(AND($E38=1,MF38=0),50000,0))+IF($H38=1,(IF('計算A'!CR$117=1,INDEX('計算A'!CR$10:CR$54,$B38),0)+IF('計算A'!CS$117=1,INDEX('計算A'!CT$10:CT$54,$B38),0))*4000,0)-IF(AND('計算A'!CR$117=1,XP38&gt;0),2000,0)-IF(AND($L38=1,'計算A'!CS$117=1,GR38=0),2000,0))),1000000))</f>
        <v/>
      </c>
      <c r="RV38">
        <f>IF($B38=0,1000000,IF(INDEX('計算A'!$D$60:$EQ$104,$B38,95)*GR38=1,IF(AND($E38=2,MG38=0),1000000,IF($I38&gt;0,IF(4=$J38,IF(OR(AND(95=$I38+1,OR($K38&lt;&gt;'計算A'!$A$3,'計算A'!$A$4=0)),AND(95=$I38-1,OR(23&lt;&gt;'計算A'!$A$3,'計算A'!$A$4=0))),0,IF(23=$K38,200000,ABS(23-$K38)*100)),100000+ABS(4-$J38)*1000+230)+'計算A'!CT$5*50+IF(AND($E38=1,MG38=0),25,0),IF($F38&gt;0,INDEX('計算A'!CT$110:CT$114,$F38+1)+IF(AND($E38=1,MG38=0),1000,0),MIN(TX38,20)*400+(IF('計算A'!CS$106=1,1-GQ38,0)+IF('計算A'!CT$106=1,1-GS38,0))*150+234+'計算A'!CT$5*100000+IF(AND($E38=1,MG38=0),50000,0))+IF($H38=1,(IF('計算A'!CS$117=1,INDEX('計算A'!CS$10:CS$54,$B38),0)+IF('計算A'!CT$117=1,INDEX('計算A'!CU$10:CU$54,$B38),0))*4000,0)-IF(AND('計算A'!CS$117=1,XQ38&gt;0),2000,0)-IF(AND($L38=1,'計算A'!CT$117=1,GS38=0),2000,0))),1000000))</f>
        <v/>
      </c>
      <c r="RW38">
        <f>IF($B38=0,1000000,IF(INDEX('計算A'!$D$60:$EQ$104,$B38,96)*GS38=1,IF(AND($E38=2,MH38=0),1000000,IF($I38&gt;0,IF(4=$J38,IF(OR(AND(96=$I38+1,OR($K38&lt;&gt;'計算A'!$A$3,'計算A'!$A$4=0)),AND(96=$I38-1,OR(24&lt;&gt;'計算A'!$A$3,'計算A'!$A$4=0))),0,IF(24=$K38,200000,ABS(24-$K38)*100)),100000+ABS(4-$J38)*1000+240)+'計算A'!CU$5*50+IF(AND($E38=1,MH38=0),25,0),IF($F38&gt;0,INDEX('計算A'!CU$110:CU$114,$F38+1)+IF(AND($E38=1,MH38=0),1000,0),MIN(TX38,20)*400+(IF('計算A'!CT$106=1,1-GR38,0))*150+244+'計算A'!CU$5*100000+IF(AND($E38=1,MH38=0),50000,0))+IF($H38=1,(IF('計算A'!CT$117=1,INDEX('計算A'!CT$10:CT$54,$B38),0))*4000,0)-IF(AND('計算A'!CT$117=1,XR38&gt;0),2000,0))),1000000))</f>
        <v/>
      </c>
      <c r="RX38">
        <f>IF($B38=0,1000000,IF(INDEX('計算A'!$D$60:$EQ$104,$B38,97)*GT38=1,IF(AND($E38=2,MI38=0),1000000,IF($I38&gt;0,IF(5=$J38,IF(OR(AND(97=$I38+1,OR($K38&lt;&gt;'計算A'!$A$3,'計算A'!$A$4=0)),AND(97=$I38-1,OR(1&lt;&gt;'計算A'!$A$3,'計算A'!$A$4=0))),0,IF(1=$K38,200000,ABS(1-$K38)*100)),100000+ABS(5-$J38)*1000+10)+'計算A'!CV$5*50+IF(AND($E38=1,MI38=0),25,0),IF($F38&gt;0,INDEX('計算A'!CV$110:CV$114,$F38+1)+IF(AND($E38=1,MI38=0),1000,0),MIN(TY38,20)*400+(IF('計算A'!CV$106=1,1-GU38,0))*150+15+'計算A'!CV$5*100000+IF(AND($E38=1,MI38=0),50000,0))+IF($H38=1,(IF('計算A'!CV$117=1,INDEX('計算A'!CW$10:CW$54,$B38),0))*4000,0)-IF(AND($L38=1,'計算A'!CV$117=1,GU38=0),2000,0))),1000000))</f>
        <v/>
      </c>
      <c r="RY38">
        <f>IF($B38=0,1000000,IF(INDEX('計算A'!$D$60:$EQ$104,$B38,98)*GU38=1,IF(AND($E38=2,MJ38=0),1000000,IF($I38&gt;0,IF(5=$J38,IF(OR(AND(98=$I38+1,OR($K38&lt;&gt;'計算A'!$A$3,'計算A'!$A$4=0)),AND(98=$I38-1,OR(2&lt;&gt;'計算A'!$A$3,'計算A'!$A$4=0))),0,IF(2=$K38,200000,ABS(2-$K38)*100)),100000+ABS(5-$J38)*1000+20)+'計算A'!CW$5*50+IF(AND($E38=1,MJ38=0),25,0),IF($F38&gt;0,INDEX('計算A'!CW$110:CW$114,$F38+1)+IF(AND($E38=1,MJ38=0),1000,0),MIN(TY38,20)*400+(IF('計算A'!CV$106=1,1-GT38,0)+IF('計算A'!CW$106=1,1-GV38,0))*150+25+'計算A'!CW$5*100000+IF(AND($E38=1,MJ38=0),50000,0))+IF($H38=1,(IF('計算A'!CV$117=1,INDEX('計算A'!CV$10:CV$54,$B38),0)+IF('計算A'!CW$117=1,INDEX('計算A'!CX$10:CX$54,$B38),0))*4000,0)-IF(AND('計算A'!CV$117=1,XT38&gt;0),2000,0)-IF(AND($L38=1,'計算A'!CW$117=1,GV38=0),2000,0))),1000000))</f>
        <v/>
      </c>
      <c r="RZ38">
        <f>IF($B38=0,1000000,IF(INDEX('計算A'!$D$60:$EQ$104,$B38,99)*GV38=1,IF(AND($E38=2,MK38=0),1000000,IF($I38&gt;0,IF(5=$J38,IF(OR(AND(99=$I38+1,OR($K38&lt;&gt;'計算A'!$A$3,'計算A'!$A$4=0)),AND(99=$I38-1,OR(3&lt;&gt;'計算A'!$A$3,'計算A'!$A$4=0))),0,IF(3=$K38,200000,ABS(3-$K38)*100)),100000+ABS(5-$J38)*1000+30)+'計算A'!CX$5*50+IF(AND($E38=1,MK38=0),25,0),IF($F38&gt;0,INDEX('計算A'!CX$110:CX$114,$F38+1)+IF(AND($E38=1,MK38=0),1000,0),MIN(TY38,20)*400+(IF('計算A'!CW$106=1,1-GU38,0)+IF('計算A'!CX$106=1,1-GW38,0))*150+35+'計算A'!CX$5*100000+IF(AND($E38=1,MK38=0),50000,0))+IF($H38=1,(IF('計算A'!CW$117=1,INDEX('計算A'!CW$10:CW$54,$B38),0)+IF('計算A'!CX$117=1,INDEX('計算A'!CY$10:CY$54,$B38),0))*4000,0)-IF(AND('計算A'!CW$117=1,XU38&gt;0),2000,0)-IF(AND($L38=1,'計算A'!CX$117=1,GW38=0),2000,0))),1000000))</f>
        <v/>
      </c>
      <c r="SA38">
        <f>IF($B38=0,1000000,IF(INDEX('計算A'!$D$60:$EQ$104,$B38,100)*GW38=1,IF(AND($E38=2,ML38=0),1000000,IF($I38&gt;0,IF(5=$J38,IF(OR(AND(100=$I38+1,OR($K38&lt;&gt;'計算A'!$A$3,'計算A'!$A$4=0)),AND(100=$I38-1,OR(4&lt;&gt;'計算A'!$A$3,'計算A'!$A$4=0))),0,IF(4=$K38,200000,ABS(4-$K38)*100)),100000+ABS(5-$J38)*1000+40)+'計算A'!CY$5*50+IF(AND($E38=1,ML38=0),25,0),IF($F38&gt;0,INDEX('計算A'!CY$110:CY$114,$F38+1)+IF(AND($E38=1,ML38=0),1000,0),MIN(TY38,20)*400+(IF('計算A'!CX$106=1,1-GV38,0)+IF('計算A'!CY$106=1,1-GX38,0))*150+45+'計算A'!CY$5*100000+IF(AND($E38=1,ML38=0),50000,0))+IF($H38=1,(IF('計算A'!CX$117=1,INDEX('計算A'!CX$10:CX$54,$B38),0)+IF('計算A'!CY$117=1,INDEX('計算A'!CZ$10:CZ$54,$B38),0))*4000,0)-IF(AND('計算A'!CX$117=1,XV38&gt;0),2000,0)-IF(AND($L38=1,'計算A'!CY$117=1,GX38=0),2000,0))),1000000))</f>
        <v/>
      </c>
      <c r="SB38">
        <f>IF($B38=0,1000000,IF(INDEX('計算A'!$D$60:$EQ$104,$B38,101)*GX38=1,IF(AND($E38=2,MM38=0),1000000,IF($I38&gt;0,IF(5=$J38,IF(OR(AND(101=$I38+1,OR($K38&lt;&gt;'計算A'!$A$3,'計算A'!$A$4=0)),AND(101=$I38-1,OR(5&lt;&gt;'計算A'!$A$3,'計算A'!$A$4=0))),0,IF(5=$K38,200000,ABS(5-$K38)*100)),100000+ABS(5-$J38)*1000+50)+'計算A'!CZ$5*50+IF(AND($E38=1,MM38=0),25,0),IF($F38&gt;0,INDEX('計算A'!CZ$110:CZ$114,$F38+1)+IF(AND($E38=1,MM38=0),1000,0),MIN(TY38,20)*400+(IF('計算A'!CY$106=1,1-GW38,0)+IF('計算A'!CZ$106=1,1-GY38,0))*150+55+'計算A'!CZ$5*100000+IF(AND($E38=1,MM38=0),50000,0))+IF($H38=1,(IF('計算A'!CY$117=1,INDEX('計算A'!CY$10:CY$54,$B38),0)+IF('計算A'!CZ$117=1,INDEX('計算A'!DA$10:DA$54,$B38),0))*4000,0)-IF(AND('計算A'!CY$117=1,XW38&gt;0),2000,0)-IF(AND($L38=1,'計算A'!CZ$117=1,GY38=0),2000,0))),1000000))</f>
        <v/>
      </c>
      <c r="SC38">
        <f>IF($B38=0,1000000,IF(INDEX('計算A'!$D$60:$EQ$104,$B38,102)*GY38=1,IF(AND($E38=2,MN38=0),1000000,IF($I38&gt;0,IF(5=$J38,IF(OR(AND(102=$I38+1,OR($K38&lt;&gt;'計算A'!$A$3,'計算A'!$A$4=0)),AND(102=$I38-1,OR(6&lt;&gt;'計算A'!$A$3,'計算A'!$A$4=0))),0,IF(6=$K38,200000,ABS(6-$K38)*100)),100000+ABS(5-$J38)*1000+60)+'計算A'!DA$5*50+IF(AND($E38=1,MN38=0),25,0),IF($F38&gt;0,INDEX('計算A'!DA$110:DA$114,$F38+1)+IF(AND($E38=1,MN38=0),1000,0),MIN(TY38,20)*400+(IF('計算A'!CZ$106=1,1-GX38,0)+IF('計算A'!DA$106=1,1-GZ38,0))*150+65+'計算A'!DA$5*100000+IF(AND($E38=1,MN38=0),50000,0))+IF($H38=1,(IF('計算A'!CZ$117=1,INDEX('計算A'!CZ$10:CZ$54,$B38),0)+IF('計算A'!DA$117=1,INDEX('計算A'!DB$10:DB$54,$B38),0))*4000,0)-IF(AND('計算A'!CZ$117=1,XX38&gt;0),2000,0)-IF(AND($L38=1,'計算A'!DA$117=1,GZ38=0),2000,0))),1000000))</f>
        <v/>
      </c>
      <c r="SD38">
        <f>IF($B38=0,1000000,IF(INDEX('計算A'!$D$60:$EQ$104,$B38,103)*GZ38=1,IF(AND($E38=2,MO38=0),1000000,IF($I38&gt;0,IF(5=$J38,IF(OR(AND(103=$I38+1,OR($K38&lt;&gt;'計算A'!$A$3,'計算A'!$A$4=0)),AND(103=$I38-1,OR(7&lt;&gt;'計算A'!$A$3,'計算A'!$A$4=0))),0,IF(7=$K38,200000,ABS(7-$K38)*100)),100000+ABS(5-$J38)*1000+70)+'計算A'!DB$5*50+IF(AND($E38=1,MO38=0),25,0),IF($F38&gt;0,INDEX('計算A'!DB$110:DB$114,$F38+1)+IF(AND($E38=1,MO38=0),1000,0),MIN(TY38,20)*400+(IF('計算A'!DA$106=1,1-GY38,0)+IF('計算A'!DB$106=1,1-HA38,0))*150+75+'計算A'!DB$5*100000+IF(AND($E38=1,MO38=0),50000,0))+IF($H38=1,(IF('計算A'!DA$117=1,INDEX('計算A'!DA$10:DA$54,$B38),0)+IF('計算A'!DB$117=1,INDEX('計算A'!DC$10:DC$54,$B38),0))*4000,0)-IF(AND('計算A'!DA$117=1,XY38&gt;0),2000,0)-IF(AND($L38=1,'計算A'!DB$117=1,HA38=0),2000,0))),1000000))</f>
        <v/>
      </c>
      <c r="SE38">
        <f>IF($B38=0,1000000,IF(INDEX('計算A'!$D$60:$EQ$104,$B38,104)*HA38=1,IF(AND($E38=2,MP38=0),1000000,IF($I38&gt;0,IF(5=$J38,IF(OR(AND(104=$I38+1,OR($K38&lt;&gt;'計算A'!$A$3,'計算A'!$A$4=0)),AND(104=$I38-1,OR(8&lt;&gt;'計算A'!$A$3,'計算A'!$A$4=0))),0,IF(8=$K38,200000,ABS(8-$K38)*100)),100000+ABS(5-$J38)*1000+80)+'計算A'!DC$5*50+IF(AND($E38=1,MP38=0),25,0),IF($F38&gt;0,INDEX('計算A'!DC$110:DC$114,$F38+1)+IF(AND($E38=1,MP38=0),1000,0),MIN(TY38,20)*400+(IF('計算A'!DB$106=1,1-GZ38,0)+IF('計算A'!DC$106=1,1-HB38,0))*150+85+'計算A'!DC$5*100000+IF(AND($E38=1,MP38=0),50000,0))+IF($H38=1,(IF('計算A'!DB$117=1,INDEX('計算A'!DB$10:DB$54,$B38),0)+IF('計算A'!DC$117=1,INDEX('計算A'!DD$10:DD$54,$B38),0))*4000,0)-IF(AND('計算A'!DB$117=1,XZ38&gt;0),2000,0)-IF(AND($L38=1,'計算A'!DC$117=1,HB38=0),2000,0))),1000000))</f>
        <v/>
      </c>
      <c r="SF38">
        <f>IF($B38=0,1000000,IF(INDEX('計算A'!$D$60:$EQ$104,$B38,105)*HB38=1,IF(AND($E38=2,MQ38=0),1000000,IF($I38&gt;0,IF(5=$J38,IF(OR(AND(105=$I38+1,OR($K38&lt;&gt;'計算A'!$A$3,'計算A'!$A$4=0)),AND(105=$I38-1,OR(9&lt;&gt;'計算A'!$A$3,'計算A'!$A$4=0))),0,IF(9=$K38,200000,ABS(9-$K38)*100)),100000+ABS(5-$J38)*1000+90)+'計算A'!DD$5*50+IF(AND($E38=1,MQ38=0),25,0),IF($F38&gt;0,INDEX('計算A'!DD$110:DD$114,$F38+1)+IF(AND($E38=1,MQ38=0),1000,0),MIN(TY38,20)*400+(IF('計算A'!DC$106=1,1-HA38,0)+IF('計算A'!DD$106=1,1-HC38,0))*150+95+'計算A'!DD$5*100000+IF(AND($E38=1,MQ38=0),50000,0))+IF($H38=1,(IF('計算A'!DC$117=1,INDEX('計算A'!DC$10:DC$54,$B38),0)+IF('計算A'!DD$117=1,INDEX('計算A'!DE$10:DE$54,$B38),0))*4000,0)-IF(AND('計算A'!DC$117=1,YA38&gt;0),2000,0)-IF(AND($L38=1,'計算A'!DD$117=1,HC38=0),2000,0))),1000000))</f>
        <v/>
      </c>
      <c r="SG38">
        <f>IF($B38=0,1000000,IF(INDEX('計算A'!$D$60:$EQ$104,$B38,106)*HC38=1,IF(AND($E38=2,MR38=0),1000000,IF($I38&gt;0,IF(5=$J38,IF(OR(AND(106=$I38+1,OR($K38&lt;&gt;'計算A'!$A$3,'計算A'!$A$4=0)),AND(106=$I38-1,OR(10&lt;&gt;'計算A'!$A$3,'計算A'!$A$4=0))),0,IF(10=$K38,200000,ABS(10-$K38)*100)),100000+ABS(5-$J38)*1000+100)+'計算A'!DE$5*50+IF(AND($E38=1,MR38=0),25,0),IF($F38&gt;0,INDEX('計算A'!DE$110:DE$114,$F38+1)+IF(AND($E38=1,MR38=0),1000,0),MIN(TY38,20)*400+(IF('計算A'!DD$106=1,1-HB38,0)+IF('計算A'!DE$106=1,1-HD38,0))*150+105+'計算A'!DE$5*100000+IF(AND($E38=1,MR38=0),50000,0))+IF($H38=1,(IF('計算A'!DD$117=1,INDEX('計算A'!DD$10:DD$54,$B38),0)+IF('計算A'!DE$117=1,INDEX('計算A'!DF$10:DF$54,$B38),0))*4000,0)-IF(AND('計算A'!DD$117=1,YB38&gt;0),2000,0)-IF(AND($L38=1,'計算A'!DE$117=1,HD38=0),2000,0))),1000000))</f>
        <v/>
      </c>
      <c r="SH38">
        <f>IF($B38=0,1000000,IF(INDEX('計算A'!$D$60:$EQ$104,$B38,107)*HD38=1,IF(AND($E38=2,MS38=0),1000000,IF($I38&gt;0,IF(5=$J38,IF(OR(AND(107=$I38+1,OR($K38&lt;&gt;'計算A'!$A$3,'計算A'!$A$4=0)),AND(107=$I38-1,OR(11&lt;&gt;'計算A'!$A$3,'計算A'!$A$4=0))),0,IF(11=$K38,200000,ABS(11-$K38)*100)),100000+ABS(5-$J38)*1000+110)+'計算A'!DF$5*50+IF(AND($E38=1,MS38=0),25,0),IF($F38&gt;0,INDEX('計算A'!DF$110:DF$114,$F38+1)+IF(AND($E38=1,MS38=0),1000,0),MIN(TY38,20)*400+(IF('計算A'!DE$106=1,1-HC38,0)+IF('計算A'!DF$106=1,1-HE38,0))*150+115+'計算A'!DF$5*100000+IF(AND($E38=1,MS38=0),50000,0))+IF($H38=1,(IF('計算A'!DE$117=1,INDEX('計算A'!DE$10:DE$54,$B38),0)+IF('計算A'!DF$117=1,INDEX('計算A'!DG$10:DG$54,$B38),0))*4000,0)-IF(AND('計算A'!DE$117=1,YC38&gt;0),2000,0)-IF(AND($L38=1,'計算A'!DF$117=1,HE38=0),2000,0))),1000000))</f>
        <v/>
      </c>
      <c r="SI38">
        <f>IF($B38=0,1000000,IF(INDEX('計算A'!$D$60:$EQ$104,$B38,108)*HE38=1,IF(AND($E38=2,MT38=0),1000000,IF($I38&gt;0,IF(5=$J38,IF(OR(AND(108=$I38+1,OR($K38&lt;&gt;'計算A'!$A$3,'計算A'!$A$4=0)),AND(108=$I38-1,OR(12&lt;&gt;'計算A'!$A$3,'計算A'!$A$4=0))),0,IF(12=$K38,200000,ABS(12-$K38)*100)),100000+ABS(5-$J38)*1000+120)+'計算A'!DG$5*50+IF(AND($E38=1,MT38=0),25,0),IF($F38&gt;0,INDEX('計算A'!DG$110:DG$114,$F38+1)+IF(AND($E38=1,MT38=0),1000,0),MIN(TY38,20)*400+(IF('計算A'!DF$106=1,1-HD38,0)+IF('計算A'!DG$106=1,1-HF38,0))*150+125+'計算A'!DG$5*100000+IF(AND($E38=1,MT38=0),50000,0))+IF($H38=1,(IF('計算A'!DF$117=1,INDEX('計算A'!DF$10:DF$54,$B38),0)+IF('計算A'!DG$117=1,INDEX('計算A'!DH$10:DH$54,$B38),0))*4000,0)-IF(AND('計算A'!DF$117=1,YD38&gt;0),2000,0)-IF(AND($L38=1,'計算A'!DG$117=1,HF38=0),2000,0))),1000000))</f>
        <v/>
      </c>
      <c r="SJ38">
        <f>IF($B38=0,1000000,IF(INDEX('計算A'!$D$60:$EQ$104,$B38,109)*HF38=1,IF(AND($E38=2,MU38=0),1000000,IF($I38&gt;0,IF(5=$J38,IF(OR(AND(109=$I38+1,OR($K38&lt;&gt;'計算A'!$A$3,'計算A'!$A$4=0)),AND(109=$I38-1,OR(13&lt;&gt;'計算A'!$A$3,'計算A'!$A$4=0))),0,IF(13=$K38,200000,ABS(13-$K38)*100)),100000+ABS(5-$J38)*1000+130)+'計算A'!DH$5*50+IF(AND($E38=1,MU38=0),25,0),IF($F38&gt;0,INDEX('計算A'!DH$110:DH$114,$F38+1)+IF(AND($E38=1,MU38=0),1000,0),MIN(TY38,20)*400+(IF('計算A'!DG$106=1,1-HE38,0)+IF('計算A'!DH$106=1,1-HG38,0))*150+135+'計算A'!DH$5*100000+IF(AND($E38=1,MU38=0),50000,0))+IF($H38=1,(IF('計算A'!DG$117=1,INDEX('計算A'!DG$10:DG$54,$B38),0)+IF('計算A'!DH$117=1,INDEX('計算A'!DI$10:DI$54,$B38),0))*4000,0)-IF(AND('計算A'!DG$117=1,YE38&gt;0),2000,0)-IF(AND($L38=1,'計算A'!DH$117=1,HG38=0),2000,0))),1000000))</f>
        <v/>
      </c>
      <c r="SK38">
        <f>IF($B38=0,1000000,IF(INDEX('計算A'!$D$60:$EQ$104,$B38,110)*HG38=1,IF(AND($E38=2,MV38=0),1000000,IF($I38&gt;0,IF(5=$J38,IF(OR(AND(110=$I38+1,OR($K38&lt;&gt;'計算A'!$A$3,'計算A'!$A$4=0)),AND(110=$I38-1,OR(14&lt;&gt;'計算A'!$A$3,'計算A'!$A$4=0))),0,IF(14=$K38,200000,ABS(14-$K38)*100)),100000+ABS(5-$J38)*1000+140)+'計算A'!DI$5*50+IF(AND($E38=1,MV38=0),25,0),IF($F38&gt;0,INDEX('計算A'!DI$110:DI$114,$F38+1)+IF(AND($E38=1,MV38=0),1000,0),MIN(TY38,20)*400+(IF('計算A'!DH$106=1,1-HF38,0)+IF('計算A'!DI$106=1,1-HH38,0))*150+145+'計算A'!DI$5*100000+IF(AND($E38=1,MV38=0),50000,0))+IF($H38=1,(IF('計算A'!DH$117=1,INDEX('計算A'!DH$10:DH$54,$B38),0)+IF('計算A'!DI$117=1,INDEX('計算A'!DJ$10:DJ$54,$B38),0))*4000,0)-IF(AND('計算A'!DH$117=1,YF38&gt;0),2000,0)-IF(AND($L38=1,'計算A'!DI$117=1,HH38=0),2000,0))),1000000))</f>
        <v/>
      </c>
      <c r="SL38">
        <f>IF($B38=0,1000000,IF(INDEX('計算A'!$D$60:$EQ$104,$B38,111)*HH38=1,IF(AND($E38=2,MW38=0),1000000,IF($I38&gt;0,IF(5=$J38,IF(OR(AND(111=$I38+1,OR($K38&lt;&gt;'計算A'!$A$3,'計算A'!$A$4=0)),AND(111=$I38-1,OR(15&lt;&gt;'計算A'!$A$3,'計算A'!$A$4=0))),0,IF(15=$K38,200000,ABS(15-$K38)*100)),100000+ABS(5-$J38)*1000+150)+'計算A'!DJ$5*50+IF(AND($E38=1,MW38=0),25,0),IF($F38&gt;0,INDEX('計算A'!DJ$110:DJ$114,$F38+1)+IF(AND($E38=1,MW38=0),1000,0),MIN(TY38,20)*400+(IF('計算A'!DI$106=1,1-HG38,0)+IF('計算A'!DJ$106=1,1-HI38,0))*150+155+'計算A'!DJ$5*100000+IF(AND($E38=1,MW38=0),50000,0))+IF($H38=1,(IF('計算A'!DI$117=1,INDEX('計算A'!DI$10:DI$54,$B38),0)+IF('計算A'!DJ$117=1,INDEX('計算A'!DK$10:DK$54,$B38),0))*4000,0)-IF(AND('計算A'!DI$117=1,YG38&gt;0),2000,0)-IF(AND($L38=1,'計算A'!DJ$117=1,HI38=0),2000,0))),1000000))</f>
        <v/>
      </c>
      <c r="SM38">
        <f>IF($B38=0,1000000,IF(INDEX('計算A'!$D$60:$EQ$104,$B38,112)*HI38=1,IF(AND($E38=2,MX38=0),1000000,IF($I38&gt;0,IF(5=$J38,IF(OR(AND(112=$I38+1,OR($K38&lt;&gt;'計算A'!$A$3,'計算A'!$A$4=0)),AND(112=$I38-1,OR(16&lt;&gt;'計算A'!$A$3,'計算A'!$A$4=0))),0,IF(16=$K38,200000,ABS(16-$K38)*100)),100000+ABS(5-$J38)*1000+160)+'計算A'!DK$5*50+IF(AND($E38=1,MX38=0),25,0),IF($F38&gt;0,INDEX('計算A'!DK$110:DK$114,$F38+1)+IF(AND($E38=1,MX38=0),1000,0),MIN(TY38,20)*400+(IF('計算A'!DJ$106=1,1-HH38,0)+IF('計算A'!DK$106=1,1-HJ38,0))*150+165+'計算A'!DK$5*100000+IF(AND($E38=1,MX38=0),50000,0))+IF($H38=1,(IF('計算A'!DJ$117=1,INDEX('計算A'!DJ$10:DJ$54,$B38),0)+IF('計算A'!DK$117=1,INDEX('計算A'!DL$10:DL$54,$B38),0))*4000,0)-IF(AND('計算A'!DJ$117=1,YH38&gt;0),2000,0)-IF(AND($L38=1,'計算A'!DK$117=1,HJ38=0),2000,0))),1000000))</f>
        <v/>
      </c>
      <c r="SN38">
        <f>IF($B38=0,1000000,IF(INDEX('計算A'!$D$60:$EQ$104,$B38,113)*HJ38=1,IF(AND($E38=2,MY38=0),1000000,IF($I38&gt;0,IF(5=$J38,IF(OR(AND(113=$I38+1,OR($K38&lt;&gt;'計算A'!$A$3,'計算A'!$A$4=0)),AND(113=$I38-1,OR(17&lt;&gt;'計算A'!$A$3,'計算A'!$A$4=0))),0,IF(17=$K38,200000,ABS(17-$K38)*100)),100000+ABS(5-$J38)*1000+170)+'計算A'!DL$5*50+IF(AND($E38=1,MY38=0),25,0),IF($F38&gt;0,INDEX('計算A'!DL$110:DL$114,$F38+1)+IF(AND($E38=1,MY38=0),1000,0),MIN(TY38,20)*400+(IF('計算A'!DK$106=1,1-HI38,0)+IF('計算A'!DL$106=1,1-HK38,0))*150+175+'計算A'!DL$5*100000+IF(AND($E38=1,MY38=0),50000,0))+IF($H38=1,(IF('計算A'!DK$117=1,INDEX('計算A'!DK$10:DK$54,$B38),0)+IF('計算A'!DL$117=1,INDEX('計算A'!DM$10:DM$54,$B38),0))*4000,0)-IF(AND('計算A'!DK$117=1,YI38&gt;0),2000,0)-IF(AND($L38=1,'計算A'!DL$117=1,HK38=0),2000,0))),1000000))</f>
        <v/>
      </c>
      <c r="SO38">
        <f>IF($B38=0,1000000,IF(INDEX('計算A'!$D$60:$EQ$104,$B38,114)*HK38=1,IF(AND($E38=2,MZ38=0),1000000,IF($I38&gt;0,IF(5=$J38,IF(OR(AND(114=$I38+1,OR($K38&lt;&gt;'計算A'!$A$3,'計算A'!$A$4=0)),AND(114=$I38-1,OR(18&lt;&gt;'計算A'!$A$3,'計算A'!$A$4=0))),0,IF(18=$K38,200000,ABS(18-$K38)*100)),100000+ABS(5-$J38)*1000+180)+'計算A'!DM$5*50+IF(AND($E38=1,MZ38=0),25,0),IF($F38&gt;0,INDEX('計算A'!DM$110:DM$114,$F38+1)+IF(AND($E38=1,MZ38=0),1000,0),MIN(TY38,20)*400+(IF('計算A'!DL$106=1,1-HJ38,0)+IF('計算A'!DM$106=1,1-HL38,0))*150+185+'計算A'!DM$5*100000+IF(AND($E38=1,MZ38=0),50000,0))+IF($H38=1,(IF('計算A'!DL$117=1,INDEX('計算A'!DL$10:DL$54,$B38),0)+IF('計算A'!DM$117=1,INDEX('計算A'!DN$10:DN$54,$B38),0))*4000,0)-IF(AND('計算A'!DL$117=1,YJ38&gt;0),2000,0)-IF(AND($L38=1,'計算A'!DM$117=1,HL38=0),2000,0))),1000000))</f>
        <v/>
      </c>
      <c r="SP38">
        <f>IF($B38=0,1000000,IF(INDEX('計算A'!$D$60:$EQ$104,$B38,115)*HL38=1,IF(AND($E38=2,NA38=0),1000000,IF($I38&gt;0,IF(5=$J38,IF(OR(AND(115=$I38+1,OR($K38&lt;&gt;'計算A'!$A$3,'計算A'!$A$4=0)),AND(115=$I38-1,OR(19&lt;&gt;'計算A'!$A$3,'計算A'!$A$4=0))),0,IF(19=$K38,200000,ABS(19-$K38)*100)),100000+ABS(5-$J38)*1000+190)+'計算A'!DN$5*50+IF(AND($E38=1,NA38=0),25,0),IF($F38&gt;0,INDEX('計算A'!DN$110:DN$114,$F38+1)+IF(AND($E38=1,NA38=0),1000,0),MIN(TY38,20)*400+(IF('計算A'!DM$106=1,1-HK38,0)+IF('計算A'!DN$106=1,1-HM38,0))*150+195+'計算A'!DN$5*100000+IF(AND($E38=1,NA38=0),50000,0))+IF($H38=1,(IF('計算A'!DM$117=1,INDEX('計算A'!DM$10:DM$54,$B38),0)+IF('計算A'!DN$117=1,INDEX('計算A'!DO$10:DO$54,$B38),0))*4000,0)-IF(AND('計算A'!DM$117=1,YK38&gt;0),2000,0)-IF(AND($L38=1,'計算A'!DN$117=1,HM38=0),2000,0))),1000000))</f>
        <v/>
      </c>
      <c r="SQ38">
        <f>IF($B38=0,1000000,IF(INDEX('計算A'!$D$60:$EQ$104,$B38,116)*HM38=1,IF(AND($E38=2,NB38=0),1000000,IF($I38&gt;0,IF(5=$J38,IF(OR(AND(116=$I38+1,OR($K38&lt;&gt;'計算A'!$A$3,'計算A'!$A$4=0)),AND(116=$I38-1,OR(20&lt;&gt;'計算A'!$A$3,'計算A'!$A$4=0))),0,IF(20=$K38,200000,ABS(20-$K38)*100)),100000+ABS(5-$J38)*1000+200)+'計算A'!DO$5*50+IF(AND($E38=1,NB38=0),25,0),IF($F38&gt;0,INDEX('計算A'!DO$110:DO$114,$F38+1)+IF(AND($E38=1,NB38=0),1000,0),MIN(TY38,20)*400+(IF('計算A'!DN$106=1,1-HL38,0)+IF('計算A'!DO$106=1,1-HN38,0))*150+205+'計算A'!DO$5*100000+IF(AND($E38=1,NB38=0),50000,0))+IF($H38=1,(IF('計算A'!DN$117=1,INDEX('計算A'!DN$10:DN$54,$B38),0)+IF('計算A'!DO$117=1,INDEX('計算A'!DP$10:DP$54,$B38),0))*4000,0)-IF(AND('計算A'!DN$117=1,YL38&gt;0),2000,0)-IF(AND($L38=1,'計算A'!DO$117=1,HN38=0),2000,0))),1000000))</f>
        <v/>
      </c>
      <c r="SR38">
        <f>IF($B38=0,1000000,IF(INDEX('計算A'!$D$60:$EQ$104,$B38,117)*HN38=1,IF(AND($E38=2,NC38=0),1000000,IF($I38&gt;0,IF(5=$J38,IF(OR(AND(117=$I38+1,OR($K38&lt;&gt;'計算A'!$A$3,'計算A'!$A$4=0)),AND(117=$I38-1,OR(21&lt;&gt;'計算A'!$A$3,'計算A'!$A$4=0))),0,IF(21=$K38,200000,ABS(21-$K38)*100)),100000+ABS(5-$J38)*1000+210)+'計算A'!DP$5*50+IF(AND($E38=1,NC38=0),25,0),IF($F38&gt;0,INDEX('計算A'!DP$110:DP$114,$F38+1)+IF(AND($E38=1,NC38=0),1000,0),MIN(TY38,20)*400+(IF('計算A'!DO$106=1,1-HM38,0)+IF('計算A'!DP$106=1,1-HO38,0))*150+215+'計算A'!DP$5*100000+IF(AND($E38=1,NC38=0),50000,0))+IF($H38=1,(IF('計算A'!DO$117=1,INDEX('計算A'!DO$10:DO$54,$B38),0)+IF('計算A'!DP$117=1,INDEX('計算A'!DQ$10:DQ$54,$B38),0))*4000,0)-IF(AND('計算A'!DO$117=1,YM38&gt;0),2000,0)-IF(AND($L38=1,'計算A'!DP$117=1,HO38=0),2000,0))),1000000))</f>
        <v/>
      </c>
      <c r="SS38">
        <f>IF($B38=0,1000000,IF(INDEX('計算A'!$D$60:$EQ$104,$B38,118)*HO38=1,IF(AND($E38=2,ND38=0),1000000,IF($I38&gt;0,IF(5=$J38,IF(OR(AND(118=$I38+1,OR($K38&lt;&gt;'計算A'!$A$3,'計算A'!$A$4=0)),AND(118=$I38-1,OR(22&lt;&gt;'計算A'!$A$3,'計算A'!$A$4=0))),0,IF(22=$K38,200000,ABS(22-$K38)*100)),100000+ABS(5-$J38)*1000+220)+'計算A'!DQ$5*50+IF(AND($E38=1,ND38=0),25,0),IF($F38&gt;0,INDEX('計算A'!DQ$110:DQ$114,$F38+1)+IF(AND($E38=1,ND38=0),1000,0),MIN(TY38,20)*400+(IF('計算A'!DP$106=1,1-HN38,0)+IF('計算A'!DQ$106=1,1-HP38,0))*150+225+'計算A'!DQ$5*100000+IF(AND($E38=1,ND38=0),50000,0))+IF($H38=1,(IF('計算A'!DP$117=1,INDEX('計算A'!DP$10:DP$54,$B38),0)+IF('計算A'!DQ$117=1,INDEX('計算A'!DR$10:DR$54,$B38),0))*4000,0)-IF(AND('計算A'!DP$117=1,YN38&gt;0),2000,0)-IF(AND($L38=1,'計算A'!DQ$117=1,HP38=0),2000,0))),1000000))</f>
        <v/>
      </c>
      <c r="ST38">
        <f>IF($B38=0,1000000,IF(INDEX('計算A'!$D$60:$EQ$104,$B38,119)*HP38=1,IF(AND($E38=2,NE38=0),1000000,IF($I38&gt;0,IF(5=$J38,IF(OR(AND(119=$I38+1,OR($K38&lt;&gt;'計算A'!$A$3,'計算A'!$A$4=0)),AND(119=$I38-1,OR(23&lt;&gt;'計算A'!$A$3,'計算A'!$A$4=0))),0,IF(23=$K38,200000,ABS(23-$K38)*100)),100000+ABS(5-$J38)*1000+230)+'計算A'!DR$5*50+IF(AND($E38=1,NE38=0),25,0),IF($F38&gt;0,INDEX('計算A'!DR$110:DR$114,$F38+1)+IF(AND($E38=1,NE38=0),1000,0),MIN(TY38,20)*400+(IF('計算A'!DQ$106=1,1-HO38,0)+IF('計算A'!DR$106=1,1-HQ38,0))*150+235+'計算A'!DR$5*100000+IF(AND($E38=1,NE38=0),50000,0))+IF($H38=1,(IF('計算A'!DQ$117=1,INDEX('計算A'!DQ$10:DQ$54,$B38),0)+IF('計算A'!DR$117=1,INDEX('計算A'!DS$10:DS$54,$B38),0))*4000,0)-IF(AND('計算A'!DQ$117=1,YO38&gt;0),2000,0)-IF(AND($L38=1,'計算A'!DR$117=1,HQ38=0),2000,0))),1000000))</f>
        <v/>
      </c>
      <c r="SU38">
        <f>IF($B38=0,1000000,IF(INDEX('計算A'!$D$60:$EQ$104,$B38,120)*HQ38=1,IF(AND($E38=2,NF38=0),1000000,IF($I38&gt;0,IF(5=$J38,IF(OR(AND(120=$I38+1,OR($K38&lt;&gt;'計算A'!$A$3,'計算A'!$A$4=0)),AND(120=$I38-1,OR(24&lt;&gt;'計算A'!$A$3,'計算A'!$A$4=0))),0,IF(24=$K38,200000,ABS(24-$K38)*100)),100000+ABS(5-$J38)*1000+240)+'計算A'!DS$5*50+IF(AND($E38=1,NF38=0),25,0),IF($F38&gt;0,INDEX('計算A'!DS$110:DS$114,$F38+1)+IF(AND($E38=1,NF38=0),1000,0),MIN(TY38,20)*400+(IF('計算A'!DR$106=1,1-HP38,0))*150+245+'計算A'!DS$5*100000+IF(AND($E38=1,NF38=0),50000,0))+IF($H38=1,(IF('計算A'!DR$117=1,INDEX('計算A'!DR$10:DR$54,$B38),0))*4000,0)-IF(AND('計算A'!DR$117=1,YP38&gt;0),2000,0))),1000000))</f>
        <v/>
      </c>
      <c r="SV38">
        <f>IF($B38=0,1000000,IF(INDEX('計算A'!$D$60:$EQ$104,$B38,121)*HR38=1,IF(AND($E38=2,NG38=0),1000000,IF($I38&gt;0,IF(6=$J38,IF(OR(AND(121=$I38+1,OR($K38&lt;&gt;'計算A'!$A$3,'計算A'!$A$4=0)),AND(121=$I38-1,OR(1&lt;&gt;'計算A'!$A$3,'計算A'!$A$4=0))),0,IF(1=$K38,200000,ABS(1-$K38)*100)),100000+ABS(6-$J38)*1000+10)+'計算A'!DT$5*50+IF(AND($E38=1,NG38=0),25,0),IF($F38&gt;0,INDEX('計算A'!DT$110:DT$114,$F38+1)+IF(AND($E38=1,NG38=0),1000,0),MIN(TZ38,20)*400+(IF('計算A'!DT$106=1,1-HS38,0))*150+16+'計算A'!DT$5*100000+IF(AND($E38=1,NG38=0),50000,0))+IF($H38=1,(IF('計算A'!DT$117=1,INDEX('計算A'!DU$10:DU$54,$B38),0))*4000,0)-IF(AND($L38=1,'計算A'!DT$117=1,HS38=0),2000,0))),1000000))</f>
        <v/>
      </c>
      <c r="SW38">
        <f>IF($B38=0,1000000,IF(INDEX('計算A'!$D$60:$EQ$104,$B38,122)*HS38=1,IF(AND($E38=2,NH38=0),1000000,IF($I38&gt;0,IF(6=$J38,IF(OR(AND(122=$I38+1,OR($K38&lt;&gt;'計算A'!$A$3,'計算A'!$A$4=0)),AND(122=$I38-1,OR(2&lt;&gt;'計算A'!$A$3,'計算A'!$A$4=0))),0,IF(2=$K38,200000,ABS(2-$K38)*100)),100000+ABS(6-$J38)*1000+20)+'計算A'!DU$5*50+IF(AND($E38=1,NH38=0),25,0),IF($F38&gt;0,INDEX('計算A'!DU$110:DU$114,$F38+1)+IF(AND($E38=1,NH38=0),1000,0),MIN(TZ38,20)*400+(IF('計算A'!DT$106=1,1-HR38,0)+IF('計算A'!DU$106=1,1-HT38,0))*150+26+'計算A'!DU$5*100000+IF(AND($E38=1,NH38=0),50000,0))+IF($H38=1,(IF('計算A'!DT$117=1,INDEX('計算A'!DT$10:DT$54,$B38),0)+IF('計算A'!DU$117=1,INDEX('計算A'!DV$10:DV$54,$B38),0))*4000,0)-IF(AND('計算A'!DT$117=1,YR38&gt;0),2000,0)-IF(AND($L38=1,'計算A'!DU$117=1,HT38=0),2000,0))),1000000))</f>
        <v/>
      </c>
      <c r="SX38">
        <f>IF($B38=0,1000000,IF(INDEX('計算A'!$D$60:$EQ$104,$B38,123)*HT38=1,IF(AND($E38=2,NI38=0),1000000,IF($I38&gt;0,IF(6=$J38,IF(OR(AND(123=$I38+1,OR($K38&lt;&gt;'計算A'!$A$3,'計算A'!$A$4=0)),AND(123=$I38-1,OR(3&lt;&gt;'計算A'!$A$3,'計算A'!$A$4=0))),0,IF(3=$K38,200000,ABS(3-$K38)*100)),100000+ABS(6-$J38)*1000+30)+'計算A'!DV$5*50+IF(AND($E38=1,NI38=0),25,0),IF($F38&gt;0,INDEX('計算A'!DV$110:DV$114,$F38+1)+IF(AND($E38=1,NI38=0),1000,0),MIN(TZ38,20)*400+(IF('計算A'!DU$106=1,1-HS38,0)+IF('計算A'!DV$106=1,1-HU38,0))*150+36+'計算A'!DV$5*100000+IF(AND($E38=1,NI38=0),50000,0))+IF($H38=1,(IF('計算A'!DU$117=1,INDEX('計算A'!DU$10:DU$54,$B38),0)+IF('計算A'!DV$117=1,INDEX('計算A'!DW$10:DW$54,$B38),0))*4000,0)-IF(AND('計算A'!DU$117=1,YS38&gt;0),2000,0)-IF(AND($L38=1,'計算A'!DV$117=1,HU38=0),2000,0))),1000000))</f>
        <v/>
      </c>
      <c r="SY38">
        <f>IF($B38=0,1000000,IF(INDEX('計算A'!$D$60:$EQ$104,$B38,124)*HU38=1,IF(AND($E38=2,NJ38=0),1000000,IF($I38&gt;0,IF(6=$J38,IF(OR(AND(124=$I38+1,OR($K38&lt;&gt;'計算A'!$A$3,'計算A'!$A$4=0)),AND(124=$I38-1,OR(4&lt;&gt;'計算A'!$A$3,'計算A'!$A$4=0))),0,IF(4=$K38,200000,ABS(4-$K38)*100)),100000+ABS(6-$J38)*1000+40)+'計算A'!DW$5*50+IF(AND($E38=1,NJ38=0),25,0),IF($F38&gt;0,INDEX('計算A'!DW$110:DW$114,$F38+1)+IF(AND($E38=1,NJ38=0),1000,0),MIN(TZ38,20)*400+(IF('計算A'!DV$106=1,1-HT38,0)+IF('計算A'!DW$106=1,1-HV38,0))*150+46+'計算A'!DW$5*100000+IF(AND($E38=1,NJ38=0),50000,0))+IF($H38=1,(IF('計算A'!DV$117=1,INDEX('計算A'!DV$10:DV$54,$B38),0)+IF('計算A'!DW$117=1,INDEX('計算A'!DX$10:DX$54,$B38),0))*4000,0)-IF(AND('計算A'!DV$117=1,YT38&gt;0),2000,0)-IF(AND($L38=1,'計算A'!DW$117=1,HV38=0),2000,0))),1000000))</f>
        <v/>
      </c>
      <c r="SZ38">
        <f>IF($B38=0,1000000,IF(INDEX('計算A'!$D$60:$EQ$104,$B38,125)*HV38=1,IF(AND($E38=2,NK38=0),1000000,IF($I38&gt;0,IF(6=$J38,IF(OR(AND(125=$I38+1,OR($K38&lt;&gt;'計算A'!$A$3,'計算A'!$A$4=0)),AND(125=$I38-1,OR(5&lt;&gt;'計算A'!$A$3,'計算A'!$A$4=0))),0,IF(5=$K38,200000,ABS(5-$K38)*100)),100000+ABS(6-$J38)*1000+50)+'計算A'!DX$5*50+IF(AND($E38=1,NK38=0),25,0),IF($F38&gt;0,INDEX('計算A'!DX$110:DX$114,$F38+1)+IF(AND($E38=1,NK38=0),1000,0),MIN(TZ38,20)*400+(IF('計算A'!DW$106=1,1-HU38,0)+IF('計算A'!DX$106=1,1-HW38,0))*150+56+'計算A'!DX$5*100000+IF(AND($E38=1,NK38=0),50000,0))+IF($H38=1,(IF('計算A'!DW$117=1,INDEX('計算A'!DW$10:DW$54,$B38),0)+IF('計算A'!DX$117=1,INDEX('計算A'!DY$10:DY$54,$B38),0))*4000,0)-IF(AND('計算A'!DW$117=1,YU38&gt;0),2000,0)-IF(AND($L38=1,'計算A'!DX$117=1,HW38=0),2000,0))),1000000))</f>
        <v/>
      </c>
      <c r="TA38">
        <f>IF($B38=0,1000000,IF(INDEX('計算A'!$D$60:$EQ$104,$B38,126)*HW38=1,IF(AND($E38=2,NL38=0),1000000,IF($I38&gt;0,IF(6=$J38,IF(OR(AND(126=$I38+1,OR($K38&lt;&gt;'計算A'!$A$3,'計算A'!$A$4=0)),AND(126=$I38-1,OR(6&lt;&gt;'計算A'!$A$3,'計算A'!$A$4=0))),0,IF(6=$K38,200000,ABS(6-$K38)*100)),100000+ABS(6-$J38)*1000+60)+'計算A'!DY$5*50+IF(AND($E38=1,NL38=0),25,0),IF($F38&gt;0,INDEX('計算A'!DY$110:DY$114,$F38+1)+IF(AND($E38=1,NL38=0),1000,0),MIN(TZ38,20)*400+(IF('計算A'!DX$106=1,1-HV38,0)+IF('計算A'!DY$106=1,1-HX38,0))*150+66+'計算A'!DY$5*100000+IF(AND($E38=1,NL38=0),50000,0))+IF($H38=1,(IF('計算A'!DX$117=1,INDEX('計算A'!DX$10:DX$54,$B38),0)+IF('計算A'!DY$117=1,INDEX('計算A'!DZ$10:DZ$54,$B38),0))*4000,0)-IF(AND('計算A'!DX$117=1,YV38&gt;0),2000,0)-IF(AND($L38=1,'計算A'!DY$117=1,HX38=0),2000,0))),1000000))</f>
        <v/>
      </c>
      <c r="TB38">
        <f>IF($B38=0,1000000,IF(INDEX('計算A'!$D$60:$EQ$104,$B38,127)*HX38=1,IF(AND($E38=2,NM38=0),1000000,IF($I38&gt;0,IF(6=$J38,IF(OR(AND(127=$I38+1,OR($K38&lt;&gt;'計算A'!$A$3,'計算A'!$A$4=0)),AND(127=$I38-1,OR(7&lt;&gt;'計算A'!$A$3,'計算A'!$A$4=0))),0,IF(7=$K38,200000,ABS(7-$K38)*100)),100000+ABS(6-$J38)*1000+70)+'計算A'!DZ$5*50+IF(AND($E38=1,NM38=0),25,0),IF($F38&gt;0,INDEX('計算A'!DZ$110:DZ$114,$F38+1)+IF(AND($E38=1,NM38=0),1000,0),MIN(TZ38,20)*400+(IF('計算A'!DY$106=1,1-HW38,0)+IF('計算A'!DZ$106=1,1-HY38,0))*150+76+'計算A'!DZ$5*100000+IF(AND($E38=1,NM38=0),50000,0))+IF($H38=1,(IF('計算A'!DY$117=1,INDEX('計算A'!DY$10:DY$54,$B38),0)+IF('計算A'!DZ$117=1,INDEX('計算A'!EA$10:EA$54,$B38),0))*4000,0)-IF(AND('計算A'!DY$117=1,YW38&gt;0),2000,0)-IF(AND($L38=1,'計算A'!DZ$117=1,HY38=0),2000,0))),1000000))</f>
        <v/>
      </c>
      <c r="TC38">
        <f>IF($B38=0,1000000,IF(INDEX('計算A'!$D$60:$EQ$104,$B38,128)*HY38=1,IF(AND($E38=2,NN38=0),1000000,IF($I38&gt;0,IF(6=$J38,IF(OR(AND(128=$I38+1,OR($K38&lt;&gt;'計算A'!$A$3,'計算A'!$A$4=0)),AND(128=$I38-1,OR(8&lt;&gt;'計算A'!$A$3,'計算A'!$A$4=0))),0,IF(8=$K38,200000,ABS(8-$K38)*100)),100000+ABS(6-$J38)*1000+80)+'計算A'!EA$5*50+IF(AND($E38=1,NN38=0),25,0),IF($F38&gt;0,INDEX('計算A'!EA$110:EA$114,$F38+1)+IF(AND($E38=1,NN38=0),1000,0),MIN(TZ38,20)*400+(IF('計算A'!DZ$106=1,1-HX38,0)+IF('計算A'!EA$106=1,1-HZ38,0))*150+86+'計算A'!EA$5*100000+IF(AND($E38=1,NN38=0),50000,0))+IF($H38=1,(IF('計算A'!DZ$117=1,INDEX('計算A'!DZ$10:DZ$54,$B38),0)+IF('計算A'!EA$117=1,INDEX('計算A'!EB$10:EB$54,$B38),0))*4000,0)-IF(AND('計算A'!DZ$117=1,YX38&gt;0),2000,0)-IF(AND($L38=1,'計算A'!EA$117=1,HZ38=0),2000,0))),1000000))</f>
        <v/>
      </c>
      <c r="TD38">
        <f>IF($B38=0,1000000,IF(INDEX('計算A'!$D$60:$EQ$104,$B38,129)*HZ38=1,IF(AND($E38=2,NO38=0),1000000,IF($I38&gt;0,IF(6=$J38,IF(OR(AND(129=$I38+1,OR($K38&lt;&gt;'計算A'!$A$3,'計算A'!$A$4=0)),AND(129=$I38-1,OR(9&lt;&gt;'計算A'!$A$3,'計算A'!$A$4=0))),0,IF(9=$K38,200000,ABS(9-$K38)*100)),100000+ABS(6-$J38)*1000+90)+'計算A'!EB$5*50+IF(AND($E38=1,NO38=0),25,0),IF($F38&gt;0,INDEX('計算A'!EB$110:EB$114,$F38+1)+IF(AND($E38=1,NO38=0),1000,0),MIN(TZ38,20)*400+(IF('計算A'!EA$106=1,1-HY38,0)+IF('計算A'!EB$106=1,1-IA38,0))*150+96+'計算A'!EB$5*100000+IF(AND($E38=1,NO38=0),50000,0))+IF($H38=1,(IF('計算A'!EA$117=1,INDEX('計算A'!EA$10:EA$54,$B38),0)+IF('計算A'!EB$117=1,INDEX('計算A'!EC$10:EC$54,$B38),0))*4000,0)-IF(AND('計算A'!EA$117=1,YY38&gt;0),2000,0)-IF(AND($L38=1,'計算A'!EB$117=1,IA38=0),2000,0))),1000000))</f>
        <v/>
      </c>
      <c r="TE38">
        <f>IF($B38=0,1000000,IF(INDEX('計算A'!$D$60:$EQ$104,$B38,130)*IA38=1,IF(AND($E38=2,NP38=0),1000000,IF($I38&gt;0,IF(6=$J38,IF(OR(AND(130=$I38+1,OR($K38&lt;&gt;'計算A'!$A$3,'計算A'!$A$4=0)),AND(130=$I38-1,OR(10&lt;&gt;'計算A'!$A$3,'計算A'!$A$4=0))),0,IF(10=$K38,200000,ABS(10-$K38)*100)),100000+ABS(6-$J38)*1000+100)+'計算A'!EC$5*50+IF(AND($E38=1,NP38=0),25,0),IF($F38&gt;0,INDEX('計算A'!EC$110:EC$114,$F38+1)+IF(AND($E38=1,NP38=0),1000,0),MIN(TZ38,20)*400+(IF('計算A'!EB$106=1,1-HZ38,0)+IF('計算A'!EC$106=1,1-IB38,0))*150+106+'計算A'!EC$5*100000+IF(AND($E38=1,NP38=0),50000,0))+IF($H38=1,(IF('計算A'!EB$117=1,INDEX('計算A'!EB$10:EB$54,$B38),0)+IF('計算A'!EC$117=1,INDEX('計算A'!ED$10:ED$54,$B38),0))*4000,0)-IF(AND('計算A'!EB$117=1,YZ38&gt;0),2000,0)-IF(AND($L38=1,'計算A'!EC$117=1,IB38=0),2000,0))),1000000))</f>
        <v/>
      </c>
      <c r="TF38">
        <f>IF($B38=0,1000000,IF(INDEX('計算A'!$D$60:$EQ$104,$B38,131)*IB38=1,IF(AND($E38=2,NQ38=0),1000000,IF($I38&gt;0,IF(6=$J38,IF(OR(AND(131=$I38+1,OR($K38&lt;&gt;'計算A'!$A$3,'計算A'!$A$4=0)),AND(131=$I38-1,OR(11&lt;&gt;'計算A'!$A$3,'計算A'!$A$4=0))),0,IF(11=$K38,200000,ABS(11-$K38)*100)),100000+ABS(6-$J38)*1000+110)+'計算A'!ED$5*50+IF(AND($E38=1,NQ38=0),25,0),IF($F38&gt;0,INDEX('計算A'!ED$110:ED$114,$F38+1)+IF(AND($E38=1,NQ38=0),1000,0),MIN(TZ38,20)*400+(IF('計算A'!EC$106=1,1-IA38,0)+IF('計算A'!ED$106=1,1-IC38,0))*150+116+'計算A'!ED$5*100000+IF(AND($E38=1,NQ38=0),50000,0))+IF($H38=1,(IF('計算A'!EC$117=1,INDEX('計算A'!EC$10:EC$54,$B38),0)+IF('計算A'!ED$117=1,INDEX('計算A'!EE$10:EE$54,$B38),0))*4000,0)-IF(AND('計算A'!EC$117=1,ZA38&gt;0),2000,0)-IF(AND($L38=1,'計算A'!ED$117=1,IC38=0),2000,0))),1000000))</f>
        <v/>
      </c>
      <c r="TG38">
        <f>IF($B38=0,1000000,IF(INDEX('計算A'!$D$60:$EQ$104,$B38,132)*IC38=1,IF(AND($E38=2,NR38=0),1000000,IF($I38&gt;0,IF(6=$J38,IF(OR(AND(132=$I38+1,OR($K38&lt;&gt;'計算A'!$A$3,'計算A'!$A$4=0)),AND(132=$I38-1,OR(12&lt;&gt;'計算A'!$A$3,'計算A'!$A$4=0))),0,IF(12=$K38,200000,ABS(12-$K38)*100)),100000+ABS(6-$J38)*1000+120)+'計算A'!EE$5*50+IF(AND($E38=1,NR38=0),25,0),IF($F38&gt;0,INDEX('計算A'!EE$110:EE$114,$F38+1)+IF(AND($E38=1,NR38=0),1000,0),MIN(TZ38,20)*400+(IF('計算A'!ED$106=1,1-IB38,0)+IF('計算A'!EE$106=1,1-ID38,0))*150+126+'計算A'!EE$5*100000+IF(AND($E38=1,NR38=0),50000,0))+IF($H38=1,(IF('計算A'!ED$117=1,INDEX('計算A'!ED$10:ED$54,$B38),0)+IF('計算A'!EE$117=1,INDEX('計算A'!EF$10:EF$54,$B38),0))*4000,0)-IF(AND('計算A'!ED$117=1,ZB38&gt;0),2000,0)-IF(AND($L38=1,'計算A'!EE$117=1,ID38=0),2000,0))),1000000))</f>
        <v/>
      </c>
      <c r="TH38">
        <f>IF($B38=0,1000000,IF(INDEX('計算A'!$D$60:$EQ$104,$B38,133)*ID38=1,IF(AND($E38=2,NS38=0),1000000,IF($I38&gt;0,IF(6=$J38,IF(OR(AND(133=$I38+1,OR($K38&lt;&gt;'計算A'!$A$3,'計算A'!$A$4=0)),AND(133=$I38-1,OR(13&lt;&gt;'計算A'!$A$3,'計算A'!$A$4=0))),0,IF(13=$K38,200000,ABS(13-$K38)*100)),100000+ABS(6-$J38)*1000+130)+'計算A'!EF$5*50+IF(AND($E38=1,NS38=0),25,0),IF($F38&gt;0,INDEX('計算A'!EF$110:EF$114,$F38+1)+IF(AND($E38=1,NS38=0),1000,0),MIN(TZ38,20)*400+(IF('計算A'!EE$106=1,1-IC38,0)+IF('計算A'!EF$106=1,1-IE38,0))*150+136+'計算A'!EF$5*100000+IF(AND($E38=1,NS38=0),50000,0))+IF($H38=1,(IF('計算A'!EE$117=1,INDEX('計算A'!EE$10:EE$54,$B38),0)+IF('計算A'!EF$117=1,INDEX('計算A'!EG$10:EG$54,$B38),0))*4000,0)-IF(AND('計算A'!EE$117=1,ZC38&gt;0),2000,0)-IF(AND($L38=1,'計算A'!EF$117=1,IE38=0),2000,0))),1000000))</f>
        <v/>
      </c>
      <c r="TI38">
        <f>IF($B38=0,1000000,IF(INDEX('計算A'!$D$60:$EQ$104,$B38,134)*IE38=1,IF(AND($E38=2,NT38=0),1000000,IF($I38&gt;0,IF(6=$J38,IF(OR(AND(134=$I38+1,OR($K38&lt;&gt;'計算A'!$A$3,'計算A'!$A$4=0)),AND(134=$I38-1,OR(14&lt;&gt;'計算A'!$A$3,'計算A'!$A$4=0))),0,IF(14=$K38,200000,ABS(14-$K38)*100)),100000+ABS(6-$J38)*1000+140)+'計算A'!EG$5*50+IF(AND($E38=1,NT38=0),25,0),IF($F38&gt;0,INDEX('計算A'!EG$110:EG$114,$F38+1)+IF(AND($E38=1,NT38=0),1000,0),MIN(TZ38,20)*400+(IF('計算A'!EF$106=1,1-ID38,0)+IF('計算A'!EG$106=1,1-IF38,0))*150+146+'計算A'!EG$5*100000+IF(AND($E38=1,NT38=0),50000,0))+IF($H38=1,(IF('計算A'!EF$117=1,INDEX('計算A'!EF$10:EF$54,$B38),0)+IF('計算A'!EG$117=1,INDEX('計算A'!EH$10:EH$54,$B38),0))*4000,0)-IF(AND('計算A'!EF$117=1,ZD38&gt;0),2000,0)-IF(AND($L38=1,'計算A'!EG$117=1,IF38=0),2000,0))),1000000))</f>
        <v/>
      </c>
      <c r="TJ38">
        <f>IF($B38=0,1000000,IF(INDEX('計算A'!$D$60:$EQ$104,$B38,135)*IF38=1,IF(AND($E38=2,NU38=0),1000000,IF($I38&gt;0,IF(6=$J38,IF(OR(AND(135=$I38+1,OR($K38&lt;&gt;'計算A'!$A$3,'計算A'!$A$4=0)),AND(135=$I38-1,OR(15&lt;&gt;'計算A'!$A$3,'計算A'!$A$4=0))),0,IF(15=$K38,200000,ABS(15-$K38)*100)),100000+ABS(6-$J38)*1000+150)+'計算A'!EH$5*50+IF(AND($E38=1,NU38=0),25,0),IF($F38&gt;0,INDEX('計算A'!EH$110:EH$114,$F38+1)+IF(AND($E38=1,NU38=0),1000,0),MIN(TZ38,20)*400+(IF('計算A'!EG$106=1,1-IE38,0)+IF('計算A'!EH$106=1,1-IG38,0))*150+156+'計算A'!EH$5*100000+IF(AND($E38=1,NU38=0),50000,0))+IF($H38=1,(IF('計算A'!EG$117=1,INDEX('計算A'!EG$10:EG$54,$B38),0)+IF('計算A'!EH$117=1,INDEX('計算A'!EI$10:EI$54,$B38),0))*4000,0)-IF(AND('計算A'!EG$117=1,ZE38&gt;0),2000,0)-IF(AND($L38=1,'計算A'!EH$117=1,IG38=0),2000,0))),1000000))</f>
        <v/>
      </c>
      <c r="TK38">
        <f>IF($B38=0,1000000,IF(INDEX('計算A'!$D$60:$EQ$104,$B38,136)*IG38=1,IF(AND($E38=2,NV38=0),1000000,IF($I38&gt;0,IF(6=$J38,IF(OR(AND(136=$I38+1,OR($K38&lt;&gt;'計算A'!$A$3,'計算A'!$A$4=0)),AND(136=$I38-1,OR(16&lt;&gt;'計算A'!$A$3,'計算A'!$A$4=0))),0,IF(16=$K38,200000,ABS(16-$K38)*100)),100000+ABS(6-$J38)*1000+160)+'計算A'!EI$5*50+IF(AND($E38=1,NV38=0),25,0),IF($F38&gt;0,INDEX('計算A'!EI$110:EI$114,$F38+1)+IF(AND($E38=1,NV38=0),1000,0),MIN(TZ38,20)*400+(IF('計算A'!EH$106=1,1-IF38,0)+IF('計算A'!EI$106=1,1-IH38,0))*150+166+'計算A'!EI$5*100000+IF(AND($E38=1,NV38=0),50000,0))+IF($H38=1,(IF('計算A'!EH$117=1,INDEX('計算A'!EH$10:EH$54,$B38),0)+IF('計算A'!EI$117=1,INDEX('計算A'!EJ$10:EJ$54,$B38),0))*4000,0)-IF(AND('計算A'!EH$117=1,ZF38&gt;0),2000,0)-IF(AND($L38=1,'計算A'!EI$117=1,IH38=0),2000,0))),1000000))</f>
        <v/>
      </c>
      <c r="TL38">
        <f>IF($B38=0,1000000,IF(INDEX('計算A'!$D$60:$EQ$104,$B38,137)*IH38=1,IF(AND($E38=2,NW38=0),1000000,IF($I38&gt;0,IF(6=$J38,IF(OR(AND(137=$I38+1,OR($K38&lt;&gt;'計算A'!$A$3,'計算A'!$A$4=0)),AND(137=$I38-1,OR(17&lt;&gt;'計算A'!$A$3,'計算A'!$A$4=0))),0,IF(17=$K38,200000,ABS(17-$K38)*100)),100000+ABS(6-$J38)*1000+170)+'計算A'!EJ$5*50+IF(AND($E38=1,NW38=0),25,0),IF($F38&gt;0,INDEX('計算A'!EJ$110:EJ$114,$F38+1)+IF(AND($E38=1,NW38=0),1000,0),MIN(TZ38,20)*400+(IF('計算A'!EI$106=1,1-IG38,0)+IF('計算A'!EJ$106=1,1-II38,0))*150+176+'計算A'!EJ$5*100000+IF(AND($E38=1,NW38=0),50000,0))+IF($H38=1,(IF('計算A'!EI$117=1,INDEX('計算A'!EI$10:EI$54,$B38),0)+IF('計算A'!EJ$117=1,INDEX('計算A'!EK$10:EK$54,$B38),0))*4000,0)-IF(AND('計算A'!EI$117=1,ZG38&gt;0),2000,0)-IF(AND($L38=1,'計算A'!EJ$117=1,II38=0),2000,0))),1000000))</f>
        <v/>
      </c>
      <c r="TM38">
        <f>IF($B38=0,1000000,IF(INDEX('計算A'!$D$60:$EQ$104,$B38,138)*II38=1,IF(AND($E38=2,NX38=0),1000000,IF($I38&gt;0,IF(6=$J38,IF(OR(AND(138=$I38+1,OR($K38&lt;&gt;'計算A'!$A$3,'計算A'!$A$4=0)),AND(138=$I38-1,OR(18&lt;&gt;'計算A'!$A$3,'計算A'!$A$4=0))),0,IF(18=$K38,200000,ABS(18-$K38)*100)),100000+ABS(6-$J38)*1000+180)+'計算A'!EK$5*50+IF(AND($E38=1,NX38=0),25,0),IF($F38&gt;0,INDEX('計算A'!EK$110:EK$114,$F38+1)+IF(AND($E38=1,NX38=0),1000,0),MIN(TZ38,20)*400+(IF('計算A'!EJ$106=1,1-IH38,0)+IF('計算A'!EK$106=1,1-IJ38,0))*150+186+'計算A'!EK$5*100000+IF(AND($E38=1,NX38=0),50000,0))+IF($H38=1,(IF('計算A'!EJ$117=1,INDEX('計算A'!EJ$10:EJ$54,$B38),0)+IF('計算A'!EK$117=1,INDEX('計算A'!EL$10:EL$54,$B38),0))*4000,0)-IF(AND('計算A'!EJ$117=1,ZH38&gt;0),2000,0)-IF(AND($L38=1,'計算A'!EK$117=1,IJ38=0),2000,0))),1000000))</f>
        <v/>
      </c>
      <c r="TN38">
        <f>IF($B38=0,1000000,IF(INDEX('計算A'!$D$60:$EQ$104,$B38,139)*IJ38=1,IF(AND($E38=2,NY38=0),1000000,IF($I38&gt;0,IF(6=$J38,IF(OR(AND(139=$I38+1,OR($K38&lt;&gt;'計算A'!$A$3,'計算A'!$A$4=0)),AND(139=$I38-1,OR(19&lt;&gt;'計算A'!$A$3,'計算A'!$A$4=0))),0,IF(19=$K38,200000,ABS(19-$K38)*100)),100000+ABS(6-$J38)*1000+190)+'計算A'!EL$5*50+IF(AND($E38=1,NY38=0),25,0),IF($F38&gt;0,INDEX('計算A'!EL$110:EL$114,$F38+1)+IF(AND($E38=1,NY38=0),1000,0),MIN(TZ38,20)*400+(IF('計算A'!EK$106=1,1-II38,0)+IF('計算A'!EL$106=1,1-IK38,0))*150+196+'計算A'!EL$5*100000+IF(AND($E38=1,NY38=0),50000,0))+IF($H38=1,(IF('計算A'!EK$117=1,INDEX('計算A'!EK$10:EK$54,$B38),0)+IF('計算A'!EL$117=1,INDEX('計算A'!EM$10:EM$54,$B38),0))*4000,0)-IF(AND('計算A'!EK$117=1,ZI38&gt;0),2000,0)-IF(AND($L38=1,'計算A'!EL$117=1,IK38=0),2000,0))),1000000))</f>
        <v/>
      </c>
      <c r="TO38">
        <f>IF($B38=0,1000000,IF(INDEX('計算A'!$D$60:$EQ$104,$B38,140)*IK38=1,IF(AND($E38=2,NZ38=0),1000000,IF($I38&gt;0,IF(6=$J38,IF(OR(AND(140=$I38+1,OR($K38&lt;&gt;'計算A'!$A$3,'計算A'!$A$4=0)),AND(140=$I38-1,OR(20&lt;&gt;'計算A'!$A$3,'計算A'!$A$4=0))),0,IF(20=$K38,200000,ABS(20-$K38)*100)),100000+ABS(6-$J38)*1000+200)+'計算A'!EM$5*50+IF(AND($E38=1,NZ38=0),25,0),IF($F38&gt;0,INDEX('計算A'!EM$110:EM$114,$F38+1)+IF(AND($E38=1,NZ38=0),1000,0),MIN(TZ38,20)*400+(IF('計算A'!EL$106=1,1-IJ38,0)+IF('計算A'!EM$106=1,1-IL38,0))*150+206+'計算A'!EM$5*100000+IF(AND($E38=1,NZ38=0),50000,0))+IF($H38=1,(IF('計算A'!EL$117=1,INDEX('計算A'!EL$10:EL$54,$B38),0)+IF('計算A'!EM$117=1,INDEX('計算A'!EN$10:EN$54,$B38),0))*4000,0)-IF(AND('計算A'!EL$117=1,ZJ38&gt;0),2000,0)-IF(AND($L38=1,'計算A'!EM$117=1,IL38=0),2000,0))),1000000))</f>
        <v/>
      </c>
      <c r="TP38">
        <f>IF($B38=0,1000000,IF(INDEX('計算A'!$D$60:$EQ$104,$B38,141)*IL38=1,IF(AND($E38=2,OA38=0),1000000,IF($I38&gt;0,IF(6=$J38,IF(OR(AND(141=$I38+1,OR($K38&lt;&gt;'計算A'!$A$3,'計算A'!$A$4=0)),AND(141=$I38-1,OR(21&lt;&gt;'計算A'!$A$3,'計算A'!$A$4=0))),0,IF(21=$K38,200000,ABS(21-$K38)*100)),100000+ABS(6-$J38)*1000+210)+'計算A'!EN$5*50+IF(AND($E38=1,OA38=0),25,0),IF($F38&gt;0,INDEX('計算A'!EN$110:EN$114,$F38+1)+IF(AND($E38=1,OA38=0),1000,0),MIN(TZ38,20)*400+(IF('計算A'!EM$106=1,1-IK38,0)+IF('計算A'!EN$106=1,1-IM38,0))*150+216+'計算A'!EN$5*100000+IF(AND($E38=1,OA38=0),50000,0))+IF($H38=1,(IF('計算A'!EM$117=1,INDEX('計算A'!EM$10:EM$54,$B38),0)+IF('計算A'!EN$117=1,INDEX('計算A'!EO$10:EO$54,$B38),0))*4000,0)-IF(AND('計算A'!EM$117=1,ZK38&gt;0),2000,0)-IF(AND($L38=1,'計算A'!EN$117=1,IM38=0),2000,0))),1000000))</f>
        <v/>
      </c>
      <c r="TQ38">
        <f>IF($B38=0,1000000,IF(INDEX('計算A'!$D$60:$EQ$104,$B38,142)*IM38=1,IF(AND($E38=2,OB38=0),1000000,IF($I38&gt;0,IF(6=$J38,IF(OR(AND(142=$I38+1,OR($K38&lt;&gt;'計算A'!$A$3,'計算A'!$A$4=0)),AND(142=$I38-1,OR(22&lt;&gt;'計算A'!$A$3,'計算A'!$A$4=0))),0,IF(22=$K38,200000,ABS(22-$K38)*100)),100000+ABS(6-$J38)*1000+220)+'計算A'!EO$5*50+IF(AND($E38=1,OB38=0),25,0),IF($F38&gt;0,INDEX('計算A'!EO$110:EO$114,$F38+1)+IF(AND($E38=1,OB38=0),1000,0),MIN(TZ38,20)*400+(IF('計算A'!EN$106=1,1-IL38,0)+IF('計算A'!EO$106=1,1-IN38,0))*150+226+'計算A'!EO$5*100000+IF(AND($E38=1,OB38=0),50000,0))+IF($H38=1,(IF('計算A'!EN$117=1,INDEX('計算A'!EN$10:EN$54,$B38),0)+IF('計算A'!EO$117=1,INDEX('計算A'!EP$10:EP$54,$B38),0))*4000,0)-IF(AND('計算A'!EN$117=1,ZL38&gt;0),2000,0)-IF(AND($L38=1,'計算A'!EO$117=1,IN38=0),2000,0))),1000000))</f>
        <v/>
      </c>
      <c r="TR38">
        <f>IF($B38=0,1000000,IF(INDEX('計算A'!$D$60:$EQ$104,$B38,143)*IN38=1,IF(AND($E38=2,OC38=0),1000000,IF($I38&gt;0,IF(6=$J38,IF(OR(AND(143=$I38+1,OR($K38&lt;&gt;'計算A'!$A$3,'計算A'!$A$4=0)),AND(143=$I38-1,OR(23&lt;&gt;'計算A'!$A$3,'計算A'!$A$4=0))),0,IF(23=$K38,200000,ABS(23-$K38)*100)),100000+ABS(6-$J38)*1000+230)+'計算A'!EP$5*50+IF(AND($E38=1,OC38=0),25,0),IF($F38&gt;0,INDEX('計算A'!EP$110:EP$114,$F38+1)+IF(AND($E38=1,OC38=0),1000,0),MIN(TZ38,20)*400+(IF('計算A'!EO$106=1,1-IM38,0)+IF('計算A'!EP$106=1,1-IO38,0))*150+236+'計算A'!EP$5*100000+IF(AND($E38=1,OC38=0),50000,0))+IF($H38=1,(IF('計算A'!EO$117=1,INDEX('計算A'!EO$10:EO$54,$B38),0)+IF('計算A'!EP$117=1,INDEX('計算A'!EQ$10:EQ$54,$B38),0))*4000,0)-IF(AND('計算A'!EO$117=1,ZM38&gt;0),2000,0)-IF(AND($L38=1,'計算A'!EP$117=1,IO38=0),2000,0))),1000000))</f>
        <v/>
      </c>
      <c r="TS38">
        <f>IF($B38=0,1000000,IF(INDEX('計算A'!$D$60:$EQ$104,$B38,144)*IO38=1,IF(AND($E38=2,OD38=0),1000000,IF($I38&gt;0,IF(6=$J38,IF(OR(AND(144=$I38+1,OR($K38&lt;&gt;'計算A'!$A$3,'計算A'!$A$4=0)),AND(144=$I38-1,OR(24&lt;&gt;'計算A'!$A$3,'計算A'!$A$4=0))),0,IF(24=$K38,200000,ABS(24-$K38)*100)),100000+ABS(6-$J38)*1000+240)+'計算A'!EQ$5*50+IF(AND($E38=1,OD38=0),25,0),IF($F38&gt;0,INDEX('計算A'!EQ$110:EQ$114,$F38+1)+IF(AND($E38=1,OD38=0),1000,0),MIN(TZ38,20)*400+(IF('計算A'!EP$106=1,1-IN38,0))*150+246+'計算A'!EQ$5*100000+IF(AND($E38=1,OD38=0),50000,0))+IF($H38=1,(IF('計算A'!EP$117=1,INDEX('計算A'!EP$10:EP$54,$B38),0))*4000,0)-IF(AND('計算A'!EP$117=1,ZN38&gt;0),2000,0))),1000000))</f>
        <v/>
      </c>
      <c r="TU38">
        <f>TU37+IF($C37&gt;0,IF(INDEX('計算A'!$D$2:$EQ$2,$C37)=1,1,0),0)</f>
        <v/>
      </c>
      <c r="TV38">
        <f>TV37+IF($C37&gt;0,IF(INDEX('計算A'!$D$2:$EQ$2,$C37)=2,1,0),0)</f>
        <v/>
      </c>
      <c r="TW38">
        <f>TW37+IF($C37&gt;0,IF(INDEX('計算A'!$D$2:$EQ$2,$C37)=3,1,0),0)</f>
        <v/>
      </c>
      <c r="TX38">
        <f>TX37+IF($C37&gt;0,IF(INDEX('計算A'!$D$2:$EQ$2,$C37)=4,1,0),0)</f>
        <v/>
      </c>
      <c r="TY38">
        <f>TY37+IF($C37&gt;0,IF(INDEX('計算A'!$D$2:$EQ$2,$C37)=5,1,0),0)</f>
        <v/>
      </c>
      <c r="TZ38">
        <f>TZ37+IF($C37&gt;0,IF(INDEX('計算A'!$D$2:$EQ$2,$C37)=6,1,0),0)</f>
        <v/>
      </c>
      <c r="UB38">
        <f>UB37+IF(AND($C37=1,$L37=1),1,0)</f>
        <v/>
      </c>
      <c r="UC38">
        <f>UC37+IF(AND($C37=2,$L37=1),1,0)</f>
        <v/>
      </c>
      <c r="UD38">
        <f>UD37+IF(AND($C37=3,$L37=1),1,0)</f>
        <v/>
      </c>
      <c r="UE38">
        <f>UE37+IF(AND($C37=4,$L37=1),1,0)</f>
        <v/>
      </c>
      <c r="UF38">
        <f>UF37+IF(AND($C37=5,$L37=1),1,0)</f>
        <v/>
      </c>
      <c r="UG38">
        <f>UG37+IF(AND($C37=6,$L37=1),1,0)</f>
        <v/>
      </c>
      <c r="UH38">
        <f>UH37+IF(AND($C37=7,$L37=1),1,0)</f>
        <v/>
      </c>
      <c r="UI38">
        <f>UI37+IF(AND($C37=8,$L37=1),1,0)</f>
        <v/>
      </c>
      <c r="UJ38">
        <f>UJ37+IF(AND($C37=9,$L37=1),1,0)</f>
        <v/>
      </c>
      <c r="UK38">
        <f>UK37+IF(AND($C37=10,$L37=1),1,0)</f>
        <v/>
      </c>
      <c r="UL38">
        <f>UL37+IF(AND($C37=11,$L37=1),1,0)</f>
        <v/>
      </c>
      <c r="UM38">
        <f>UM37+IF(AND($C37=12,$L37=1),1,0)</f>
        <v/>
      </c>
      <c r="UN38">
        <f>UN37+IF(AND($C37=13,$L37=1),1,0)</f>
        <v/>
      </c>
      <c r="UO38">
        <f>UO37+IF(AND($C37=14,$L37=1),1,0)</f>
        <v/>
      </c>
      <c r="UP38">
        <f>UP37+IF(AND($C37=15,$L37=1),1,0)</f>
        <v/>
      </c>
      <c r="UQ38">
        <f>UQ37+IF(AND($C37=16,$L37=1),1,0)</f>
        <v/>
      </c>
      <c r="UR38">
        <f>UR37+IF(AND($C37=17,$L37=1),1,0)</f>
        <v/>
      </c>
      <c r="US38">
        <f>US37+IF(AND($C37=18,$L37=1),1,0)</f>
        <v/>
      </c>
      <c r="UT38">
        <f>UT37+IF(AND($C37=19,$L37=1),1,0)</f>
        <v/>
      </c>
      <c r="UU38">
        <f>UU37+IF(AND($C37=20,$L37=1),1,0)</f>
        <v/>
      </c>
      <c r="UV38">
        <f>UV37+IF(AND($C37=21,$L37=1),1,0)</f>
        <v/>
      </c>
      <c r="UW38">
        <f>UW37+IF(AND($C37=22,$L37=1),1,0)</f>
        <v/>
      </c>
      <c r="UX38">
        <f>UX37+IF(AND($C37=23,$L37=1),1,0)</f>
        <v/>
      </c>
      <c r="UY38">
        <f>UY37+IF(AND($C37=24,$L37=1),1,0)</f>
        <v/>
      </c>
      <c r="UZ38">
        <f>UZ37+IF(AND($C37=25,$L37=1),1,0)</f>
        <v/>
      </c>
      <c r="VA38">
        <f>VA37+IF(AND($C37=26,$L37=1),1,0)</f>
        <v/>
      </c>
      <c r="VB38">
        <f>VB37+IF(AND($C37=27,$L37=1),1,0)</f>
        <v/>
      </c>
      <c r="VC38">
        <f>VC37+IF(AND($C37=28,$L37=1),1,0)</f>
        <v/>
      </c>
      <c r="VD38">
        <f>VD37+IF(AND($C37=29,$L37=1),1,0)</f>
        <v/>
      </c>
      <c r="VE38">
        <f>VE37+IF(AND($C37=30,$L37=1),1,0)</f>
        <v/>
      </c>
      <c r="VF38">
        <f>VF37+IF(AND($C37=31,$L37=1),1,0)</f>
        <v/>
      </c>
      <c r="VG38">
        <f>VG37+IF(AND($C37=32,$L37=1),1,0)</f>
        <v/>
      </c>
      <c r="VH38">
        <f>VH37+IF(AND($C37=33,$L37=1),1,0)</f>
        <v/>
      </c>
      <c r="VI38">
        <f>VI37+IF(AND($C37=34,$L37=1),1,0)</f>
        <v/>
      </c>
      <c r="VJ38">
        <f>VJ37+IF(AND($C37=35,$L37=1),1,0)</f>
        <v/>
      </c>
      <c r="VK38">
        <f>VK37+IF(AND($C37=36,$L37=1),1,0)</f>
        <v/>
      </c>
      <c r="VL38">
        <f>VL37+IF(AND($C37=37,$L37=1),1,0)</f>
        <v/>
      </c>
      <c r="VM38">
        <f>VM37+IF(AND($C37=38,$L37=1),1,0)</f>
        <v/>
      </c>
      <c r="VN38">
        <f>VN37+IF(AND($C37=39,$L37=1),1,0)</f>
        <v/>
      </c>
      <c r="VO38">
        <f>VO37+IF(AND($C37=40,$L37=1),1,0)</f>
        <v/>
      </c>
      <c r="VP38">
        <f>VP37+IF(AND($C37=41,$L37=1),1,0)</f>
        <v/>
      </c>
      <c r="VQ38">
        <f>VQ37+IF(AND($C37=42,$L37=1),1,0)</f>
        <v/>
      </c>
      <c r="VR38">
        <f>VR37+IF(AND($C37=43,$L37=1),1,0)</f>
        <v/>
      </c>
      <c r="VS38">
        <f>VS37+IF(AND($C37=44,$L37=1),1,0)</f>
        <v/>
      </c>
      <c r="VT38">
        <f>VT37+IF(AND($C37=45,$L37=1),1,0)</f>
        <v/>
      </c>
      <c r="VU38">
        <f>VU37+IF(AND($C37=46,$L37=1),1,0)</f>
        <v/>
      </c>
      <c r="VV38">
        <f>VV37+IF(AND($C37=47,$L37=1),1,0)</f>
        <v/>
      </c>
      <c r="VW38">
        <f>VW37+IF(AND($C37=48,$L37=1),1,0)</f>
        <v/>
      </c>
      <c r="VX38">
        <f>VX37+IF(AND($C37=49,$L37=1),1,0)</f>
        <v/>
      </c>
      <c r="VY38">
        <f>VY37+IF(AND($C37=50,$L37=1),1,0)</f>
        <v/>
      </c>
      <c r="VZ38">
        <f>VZ37+IF(AND($C37=51,$L37=1),1,0)</f>
        <v/>
      </c>
      <c r="WA38">
        <f>WA37+IF(AND($C37=52,$L37=1),1,0)</f>
        <v/>
      </c>
      <c r="WB38">
        <f>WB37+IF(AND($C37=53,$L37=1),1,0)</f>
        <v/>
      </c>
      <c r="WC38">
        <f>WC37+IF(AND($C37=54,$L37=1),1,0)</f>
        <v/>
      </c>
      <c r="WD38">
        <f>WD37+IF(AND($C37=55,$L37=1),1,0)</f>
        <v/>
      </c>
      <c r="WE38">
        <f>WE37+IF(AND($C37=56,$L37=1),1,0)</f>
        <v/>
      </c>
      <c r="WF38">
        <f>WF37+IF(AND($C37=57,$L37=1),1,0)</f>
        <v/>
      </c>
      <c r="WG38">
        <f>WG37+IF(AND($C37=58,$L37=1),1,0)</f>
        <v/>
      </c>
      <c r="WH38">
        <f>WH37+IF(AND($C37=59,$L37=1),1,0)</f>
        <v/>
      </c>
      <c r="WI38">
        <f>WI37+IF(AND($C37=60,$L37=1),1,0)</f>
        <v/>
      </c>
      <c r="WJ38">
        <f>WJ37+IF(AND($C37=61,$L37=1),1,0)</f>
        <v/>
      </c>
      <c r="WK38">
        <f>WK37+IF(AND($C37=62,$L37=1),1,0)</f>
        <v/>
      </c>
      <c r="WL38">
        <f>WL37+IF(AND($C37=63,$L37=1),1,0)</f>
        <v/>
      </c>
      <c r="WM38">
        <f>WM37+IF(AND($C37=64,$L37=1),1,0)</f>
        <v/>
      </c>
      <c r="WN38">
        <f>WN37+IF(AND($C37=65,$L37=1),1,0)</f>
        <v/>
      </c>
      <c r="WO38">
        <f>WO37+IF(AND($C37=66,$L37=1),1,0)</f>
        <v/>
      </c>
      <c r="WP38">
        <f>WP37+IF(AND($C37=67,$L37=1),1,0)</f>
        <v/>
      </c>
      <c r="WQ38">
        <f>WQ37+IF(AND($C37=68,$L37=1),1,0)</f>
        <v/>
      </c>
      <c r="WR38">
        <f>WR37+IF(AND($C37=69,$L37=1),1,0)</f>
        <v/>
      </c>
      <c r="WS38">
        <f>WS37+IF(AND($C37=70,$L37=1),1,0)</f>
        <v/>
      </c>
      <c r="WT38">
        <f>WT37+IF(AND($C37=71,$L37=1),1,0)</f>
        <v/>
      </c>
      <c r="WU38">
        <f>WU37+IF(AND($C37=72,$L37=1),1,0)</f>
        <v/>
      </c>
      <c r="WV38">
        <f>WV37+IF(AND($C37=73,$L37=1),1,0)</f>
        <v/>
      </c>
      <c r="WW38">
        <f>WW37+IF(AND($C37=74,$L37=1),1,0)</f>
        <v/>
      </c>
      <c r="WX38">
        <f>WX37+IF(AND($C37=75,$L37=1),1,0)</f>
        <v/>
      </c>
      <c r="WY38">
        <f>WY37+IF(AND($C37=76,$L37=1),1,0)</f>
        <v/>
      </c>
      <c r="WZ38">
        <f>WZ37+IF(AND($C37=77,$L37=1),1,0)</f>
        <v/>
      </c>
      <c r="XA38">
        <f>XA37+IF(AND($C37=78,$L37=1),1,0)</f>
        <v/>
      </c>
      <c r="XB38">
        <f>XB37+IF(AND($C37=79,$L37=1),1,0)</f>
        <v/>
      </c>
      <c r="XC38">
        <f>XC37+IF(AND($C37=80,$L37=1),1,0)</f>
        <v/>
      </c>
      <c r="XD38">
        <f>XD37+IF(AND($C37=81,$L37=1),1,0)</f>
        <v/>
      </c>
      <c r="XE38">
        <f>XE37+IF(AND($C37=82,$L37=1),1,0)</f>
        <v/>
      </c>
      <c r="XF38">
        <f>XF37+IF(AND($C37=83,$L37=1),1,0)</f>
        <v/>
      </c>
      <c r="XG38">
        <f>XG37+IF(AND($C37=84,$L37=1),1,0)</f>
        <v/>
      </c>
      <c r="XH38">
        <f>XH37+IF(AND($C37=85,$L37=1),1,0)</f>
        <v/>
      </c>
      <c r="XI38">
        <f>XI37+IF(AND($C37=86,$L37=1),1,0)</f>
        <v/>
      </c>
      <c r="XJ38">
        <f>XJ37+IF(AND($C37=87,$L37=1),1,0)</f>
        <v/>
      </c>
      <c r="XK38">
        <f>XK37+IF(AND($C37=88,$L37=1),1,0)</f>
        <v/>
      </c>
      <c r="XL38">
        <f>XL37+IF(AND($C37=89,$L37=1),1,0)</f>
        <v/>
      </c>
      <c r="XM38">
        <f>XM37+IF(AND($C37=90,$L37=1),1,0)</f>
        <v/>
      </c>
      <c r="XN38">
        <f>XN37+IF(AND($C37=91,$L37=1),1,0)</f>
        <v/>
      </c>
      <c r="XO38">
        <f>XO37+IF(AND($C37=92,$L37=1),1,0)</f>
        <v/>
      </c>
      <c r="XP38">
        <f>XP37+IF(AND($C37=93,$L37=1),1,0)</f>
        <v/>
      </c>
      <c r="XQ38">
        <f>XQ37+IF(AND($C37=94,$L37=1),1,0)</f>
        <v/>
      </c>
      <c r="XR38">
        <f>XR37+IF(AND($C37=95,$L37=1),1,0)</f>
        <v/>
      </c>
      <c r="XS38">
        <f>XS37+IF(AND($C37=96,$L37=1),1,0)</f>
        <v/>
      </c>
      <c r="XT38">
        <f>XT37+IF(AND($C37=97,$L37=1),1,0)</f>
        <v/>
      </c>
      <c r="XU38">
        <f>XU37+IF(AND($C37=98,$L37=1),1,0)</f>
        <v/>
      </c>
      <c r="XV38">
        <f>XV37+IF(AND($C37=99,$L37=1),1,0)</f>
        <v/>
      </c>
      <c r="XW38">
        <f>XW37+IF(AND($C37=100,$L37=1),1,0)</f>
        <v/>
      </c>
      <c r="XX38">
        <f>XX37+IF(AND($C37=101,$L37=1),1,0)</f>
        <v/>
      </c>
      <c r="XY38">
        <f>XY37+IF(AND($C37=102,$L37=1),1,0)</f>
        <v/>
      </c>
      <c r="XZ38">
        <f>XZ37+IF(AND($C37=103,$L37=1),1,0)</f>
        <v/>
      </c>
      <c r="YA38">
        <f>YA37+IF(AND($C37=104,$L37=1),1,0)</f>
        <v/>
      </c>
      <c r="YB38">
        <f>YB37+IF(AND($C37=105,$L37=1),1,0)</f>
        <v/>
      </c>
      <c r="YC38">
        <f>YC37+IF(AND($C37=106,$L37=1),1,0)</f>
        <v/>
      </c>
      <c r="YD38">
        <f>YD37+IF(AND($C37=107,$L37=1),1,0)</f>
        <v/>
      </c>
      <c r="YE38">
        <f>YE37+IF(AND($C37=108,$L37=1),1,0)</f>
        <v/>
      </c>
      <c r="YF38">
        <f>YF37+IF(AND($C37=109,$L37=1),1,0)</f>
        <v/>
      </c>
      <c r="YG38">
        <f>YG37+IF(AND($C37=110,$L37=1),1,0)</f>
        <v/>
      </c>
      <c r="YH38">
        <f>YH37+IF(AND($C37=111,$L37=1),1,0)</f>
        <v/>
      </c>
      <c r="YI38">
        <f>YI37+IF(AND($C37=112,$L37=1),1,0)</f>
        <v/>
      </c>
      <c r="YJ38">
        <f>YJ37+IF(AND($C37=113,$L37=1),1,0)</f>
        <v/>
      </c>
      <c r="YK38">
        <f>YK37+IF(AND($C37=114,$L37=1),1,0)</f>
        <v/>
      </c>
      <c r="YL38">
        <f>YL37+IF(AND($C37=115,$L37=1),1,0)</f>
        <v/>
      </c>
      <c r="YM38">
        <f>YM37+IF(AND($C37=116,$L37=1),1,0)</f>
        <v/>
      </c>
      <c r="YN38">
        <f>YN37+IF(AND($C37=117,$L37=1),1,0)</f>
        <v/>
      </c>
      <c r="YO38">
        <f>YO37+IF(AND($C37=118,$L37=1),1,0)</f>
        <v/>
      </c>
      <c r="YP38">
        <f>YP37+IF(AND($C37=119,$L37=1),1,0)</f>
        <v/>
      </c>
      <c r="YQ38">
        <f>YQ37+IF(AND($C37=120,$L37=1),1,0)</f>
        <v/>
      </c>
      <c r="YR38">
        <f>YR37+IF(AND($C37=121,$L37=1),1,0)</f>
        <v/>
      </c>
      <c r="YS38">
        <f>YS37+IF(AND($C37=122,$L37=1),1,0)</f>
        <v/>
      </c>
      <c r="YT38">
        <f>YT37+IF(AND($C37=123,$L37=1),1,0)</f>
        <v/>
      </c>
      <c r="YU38">
        <f>YU37+IF(AND($C37=124,$L37=1),1,0)</f>
        <v/>
      </c>
      <c r="YV38">
        <f>YV37+IF(AND($C37=125,$L37=1),1,0)</f>
        <v/>
      </c>
      <c r="YW38">
        <f>YW37+IF(AND($C37=126,$L37=1),1,0)</f>
        <v/>
      </c>
      <c r="YX38">
        <f>YX37+IF(AND($C37=127,$L37=1),1,0)</f>
        <v/>
      </c>
      <c r="YY38">
        <f>YY37+IF(AND($C37=128,$L37=1),1,0)</f>
        <v/>
      </c>
      <c r="YZ38">
        <f>YZ37+IF(AND($C37=129,$L37=1),1,0)</f>
        <v/>
      </c>
      <c r="ZA38">
        <f>ZA37+IF(AND($C37=130,$L37=1),1,0)</f>
        <v/>
      </c>
      <c r="ZB38">
        <f>ZB37+IF(AND($C37=131,$L37=1),1,0)</f>
        <v/>
      </c>
      <c r="ZC38">
        <f>ZC37+IF(AND($C37=132,$L37=1),1,0)</f>
        <v/>
      </c>
      <c r="ZD38">
        <f>ZD37+IF(AND($C37=133,$L37=1),1,0)</f>
        <v/>
      </c>
      <c r="ZE38">
        <f>ZE37+IF(AND($C37=134,$L37=1),1,0)</f>
        <v/>
      </c>
      <c r="ZF38">
        <f>ZF37+IF(AND($C37=135,$L37=1),1,0)</f>
        <v/>
      </c>
      <c r="ZG38">
        <f>ZG37+IF(AND($C37=136,$L37=1),1,0)</f>
        <v/>
      </c>
      <c r="ZH38">
        <f>ZH37+IF(AND($C37=137,$L37=1),1,0)</f>
        <v/>
      </c>
      <c r="ZI38">
        <f>ZI37+IF(AND($C37=138,$L37=1),1,0)</f>
        <v/>
      </c>
      <c r="ZJ38">
        <f>ZJ37+IF(AND($C37=139,$L37=1),1,0)</f>
        <v/>
      </c>
      <c r="ZK38">
        <f>ZK37+IF(AND($C37=140,$L37=1),1,0)</f>
        <v/>
      </c>
      <c r="ZL38">
        <f>ZL37+IF(AND($C37=141,$L37=1),1,0)</f>
        <v/>
      </c>
      <c r="ZM38">
        <f>ZM37+IF(AND($C37=142,$L37=1),1,0)</f>
        <v/>
      </c>
      <c r="ZN38">
        <f>ZN37+IF(AND($C37=143,$L37=1),1,0)</f>
        <v/>
      </c>
      <c r="ZO38">
        <f>ZO37+IF(AND($C37=144,$L37=1),1,0)</f>
        <v/>
      </c>
    </row>
    <row r="39">
      <c r="A39" t="n">
        <v>37</v>
      </c>
      <c r="B39">
        <f>IF(MIN(BH39:CZ39)&gt;=1000000,0,MATCH(MIN(BH39:CZ39),BH39:CZ39,0))</f>
        <v/>
      </c>
      <c r="C39">
        <f>IF(MIN(OF39:TS39)&gt;=1000000,0,MATCH(MIN(OF39:TS39),OF39:TS39,0))</f>
        <v/>
      </c>
      <c r="D39">
        <f>IF(C39&gt;0,INDEX('計算A'!$D$5:$EQ$5,C39),0)</f>
        <v/>
      </c>
      <c r="E39">
        <f>IF(B39=0,0,INDEX('計算A'!$IQ$10:$IQ$54,B39))</f>
        <v/>
      </c>
      <c r="F39">
        <f>IF(B39=0,0,INDEX('計算A'!$IP$10:$IP$54,B39))</f>
        <v/>
      </c>
      <c r="G39">
        <f>IF(AND(C39&gt;0,E39&gt;0),IF(AND(INDEX('計算A'!$D$106:$EQ$106,C39)=1,INDEX($IQ39:$OD39,C39)=1),C39+1,0),0)</f>
        <v/>
      </c>
      <c r="H39">
        <f>IF(B39=0,0,INDEX('計算A'!$IW$10:$IW$54,B39))</f>
        <v/>
      </c>
      <c r="I39">
        <f>IF(B39=0,0,MAX(0,INDEX('計算A'!$IT$10:$IT$54,B39)))</f>
        <v/>
      </c>
      <c r="J39">
        <f>IF(I39=0,0,INDEX('計算A'!$D$2:$EQ$2,I39))</f>
        <v/>
      </c>
      <c r="K39">
        <f>IF(I39=0,0,INDEX('計算A'!$D$3:$EQ$3,I39))</f>
        <v/>
      </c>
      <c r="L39">
        <f>IF(B39=0,0,INDEX('計算A'!$IX$10:$IX$54,B39))</f>
        <v/>
      </c>
      <c r="N39">
        <f>MAX(N38,IF($B38=1,1,0))</f>
        <v/>
      </c>
      <c r="O39">
        <f>MAX(O38,IF($B38=2,1,0))</f>
        <v/>
      </c>
      <c r="P39">
        <f>MAX(P38,IF($B38=3,1,0))</f>
        <v/>
      </c>
      <c r="Q39">
        <f>MAX(Q38,IF($B38=4,1,0))</f>
        <v/>
      </c>
      <c r="R39">
        <f>MAX(R38,IF($B38=5,1,0))</f>
        <v/>
      </c>
      <c r="S39">
        <f>MAX(S38,IF($B38=6,1,0))</f>
        <v/>
      </c>
      <c r="T39">
        <f>MAX(T38,IF($B38=7,1,0))</f>
        <v/>
      </c>
      <c r="U39">
        <f>MAX(U38,IF($B38=8,1,0))</f>
        <v/>
      </c>
      <c r="V39">
        <f>MAX(V38,IF($B38=9,1,0))</f>
        <v/>
      </c>
      <c r="W39">
        <f>MAX(W38,IF($B38=10,1,0))</f>
        <v/>
      </c>
      <c r="X39">
        <f>MAX(X38,IF($B38=11,1,0))</f>
        <v/>
      </c>
      <c r="Y39">
        <f>MAX(Y38,IF($B38=12,1,0))</f>
        <v/>
      </c>
      <c r="Z39">
        <f>MAX(Z38,IF($B38=13,1,0))</f>
        <v/>
      </c>
      <c r="AA39">
        <f>MAX(AA38,IF($B38=14,1,0))</f>
        <v/>
      </c>
      <c r="AB39">
        <f>MAX(AB38,IF($B38=15,1,0))</f>
        <v/>
      </c>
      <c r="AC39">
        <f>MAX(AC38,IF($B38=16,1,0))</f>
        <v/>
      </c>
      <c r="AD39">
        <f>MAX(AD38,IF($B38=17,1,0))</f>
        <v/>
      </c>
      <c r="AE39">
        <f>MAX(AE38,IF($B38=18,1,0))</f>
        <v/>
      </c>
      <c r="AF39">
        <f>MAX(AF38,IF($B38=19,1,0))</f>
        <v/>
      </c>
      <c r="AG39">
        <f>MAX(AG38,IF($B38=20,1,0))</f>
        <v/>
      </c>
      <c r="AH39">
        <f>MAX(AH38,IF($B38=21,1,0))</f>
        <v/>
      </c>
      <c r="AI39">
        <f>MAX(AI38,IF($B38=22,1,0))</f>
        <v/>
      </c>
      <c r="AJ39">
        <f>MAX(AJ38,IF($B38=23,1,0))</f>
        <v/>
      </c>
      <c r="AK39">
        <f>MAX(AK38,IF($B38=24,1,0))</f>
        <v/>
      </c>
      <c r="AL39">
        <f>MAX(AL38,IF($B38=25,1,0))</f>
        <v/>
      </c>
      <c r="AM39">
        <f>MAX(AM38,IF($B38=26,1,0))</f>
        <v/>
      </c>
      <c r="AN39">
        <f>MAX(AN38,IF($B38=27,1,0))</f>
        <v/>
      </c>
      <c r="AO39">
        <f>MAX(AO38,IF($B38=28,1,0))</f>
        <v/>
      </c>
      <c r="AP39">
        <f>MAX(AP38,IF($B38=29,1,0))</f>
        <v/>
      </c>
      <c r="AQ39">
        <f>MAX(AQ38,IF($B38=30,1,0))</f>
        <v/>
      </c>
      <c r="AR39">
        <f>MAX(AR38,IF($B38=31,1,0))</f>
        <v/>
      </c>
      <c r="AS39">
        <f>MAX(AS38,IF($B38=32,1,0))</f>
        <v/>
      </c>
      <c r="AT39">
        <f>MAX(AT38,IF($B38=33,1,0))</f>
        <v/>
      </c>
      <c r="AU39">
        <f>MAX(AU38,IF($B38=34,1,0))</f>
        <v/>
      </c>
      <c r="AV39">
        <f>MAX(AV38,IF($B38=35,1,0))</f>
        <v/>
      </c>
      <c r="AW39">
        <f>MAX(AW38,IF($B38=36,1,0))</f>
        <v/>
      </c>
      <c r="AX39">
        <f>MAX(AX38,IF($B38=37,1,0))</f>
        <v/>
      </c>
      <c r="AY39">
        <f>MAX(AY38,IF($B38=38,1,0))</f>
        <v/>
      </c>
      <c r="AZ39">
        <f>MAX(AZ38,IF($B38=39,1,0))</f>
        <v/>
      </c>
      <c r="BA39">
        <f>MAX(BA38,IF($B38=40,1,0))</f>
        <v/>
      </c>
      <c r="BB39">
        <f>MAX(BB38,IF($B38=41,1,0))</f>
        <v/>
      </c>
      <c r="BC39">
        <f>MAX(BC38,IF($B38=42,1,0))</f>
        <v/>
      </c>
      <c r="BD39">
        <f>MAX(BD38,IF($B38=43,1,0))</f>
        <v/>
      </c>
      <c r="BE39">
        <f>MAX(BE38,IF($B38=44,1,0))</f>
        <v/>
      </c>
      <c r="BF39">
        <f>MAX(BF38,IF($B38=45,1,0))</f>
        <v/>
      </c>
      <c r="BH39">
        <f>IF(N39=1,1000000,IF('計算A'!$IT$10&gt;0,0,500000)+IF('計算A'!$IQ$10=2,SUMPRODUCT('計算A'!$D$60:$EQ$60,$DB39:$IO39,$IQ39:$OD39),SUMPRODUCT('計算A'!$D$60:$EQ$60,$DB39:$IO39))*1000+1)</f>
        <v/>
      </c>
      <c r="BI39">
        <f>IF(O39=1,1000000,IF('計算A'!$IT$11&gt;0,0,500000)+IF('計算A'!$IQ$11=2,SUMPRODUCT('計算A'!$D$61:$EQ$61,$DB39:$IO39,$IQ39:$OD39),SUMPRODUCT('計算A'!$D$61:$EQ$61,$DB39:$IO39))*1000+2)</f>
        <v/>
      </c>
      <c r="BJ39">
        <f>IF(P39=1,1000000,IF('計算A'!$IT$12&gt;0,0,500000)+IF('計算A'!$IQ$12=2,SUMPRODUCT('計算A'!$D$62:$EQ$62,$DB39:$IO39,$IQ39:$OD39),SUMPRODUCT('計算A'!$D$62:$EQ$62,$DB39:$IO39))*1000+3)</f>
        <v/>
      </c>
      <c r="BK39">
        <f>IF(Q39=1,1000000,IF('計算A'!$IT$13&gt;0,0,500000)+IF('計算A'!$IQ$13=2,SUMPRODUCT('計算A'!$D$63:$EQ$63,$DB39:$IO39,$IQ39:$OD39),SUMPRODUCT('計算A'!$D$63:$EQ$63,$DB39:$IO39))*1000+4)</f>
        <v/>
      </c>
      <c r="BL39">
        <f>IF(R39=1,1000000,IF('計算A'!$IT$14&gt;0,0,500000)+IF('計算A'!$IQ$14=2,SUMPRODUCT('計算A'!$D$64:$EQ$64,$DB39:$IO39,$IQ39:$OD39),SUMPRODUCT('計算A'!$D$64:$EQ$64,$DB39:$IO39))*1000+5)</f>
        <v/>
      </c>
      <c r="BM39">
        <f>IF(S39=1,1000000,IF('計算A'!$IT$15&gt;0,0,500000)+IF('計算A'!$IQ$15=2,SUMPRODUCT('計算A'!$D$65:$EQ$65,$DB39:$IO39,$IQ39:$OD39),SUMPRODUCT('計算A'!$D$65:$EQ$65,$DB39:$IO39))*1000+6)</f>
        <v/>
      </c>
      <c r="BN39">
        <f>IF(T39=1,1000000,IF('計算A'!$IT$16&gt;0,0,500000)+IF('計算A'!$IQ$16=2,SUMPRODUCT('計算A'!$D$66:$EQ$66,$DB39:$IO39,$IQ39:$OD39),SUMPRODUCT('計算A'!$D$66:$EQ$66,$DB39:$IO39))*1000+7)</f>
        <v/>
      </c>
      <c r="BO39">
        <f>IF(U39=1,1000000,IF('計算A'!$IT$17&gt;0,0,500000)+IF('計算A'!$IQ$17=2,SUMPRODUCT('計算A'!$D$67:$EQ$67,$DB39:$IO39,$IQ39:$OD39),SUMPRODUCT('計算A'!$D$67:$EQ$67,$DB39:$IO39))*1000+8)</f>
        <v/>
      </c>
      <c r="BP39">
        <f>IF(V39=1,1000000,IF('計算A'!$IT$18&gt;0,0,500000)+IF('計算A'!$IQ$18=2,SUMPRODUCT('計算A'!$D$68:$EQ$68,$DB39:$IO39,$IQ39:$OD39),SUMPRODUCT('計算A'!$D$68:$EQ$68,$DB39:$IO39))*1000+9)</f>
        <v/>
      </c>
      <c r="BQ39">
        <f>IF(W39=1,1000000,IF('計算A'!$IT$19&gt;0,0,500000)+IF('計算A'!$IQ$19=2,SUMPRODUCT('計算A'!$D$69:$EQ$69,$DB39:$IO39,$IQ39:$OD39),SUMPRODUCT('計算A'!$D$69:$EQ$69,$DB39:$IO39))*1000+10)</f>
        <v/>
      </c>
      <c r="BR39">
        <f>IF(X39=1,1000000,IF('計算A'!$IT$20&gt;0,0,500000)+IF('計算A'!$IQ$20=2,SUMPRODUCT('計算A'!$D$70:$EQ$70,$DB39:$IO39,$IQ39:$OD39),SUMPRODUCT('計算A'!$D$70:$EQ$70,$DB39:$IO39))*1000+11)</f>
        <v/>
      </c>
      <c r="BS39">
        <f>IF(Y39=1,1000000,IF('計算A'!$IT$21&gt;0,0,500000)+IF('計算A'!$IQ$21=2,SUMPRODUCT('計算A'!$D$71:$EQ$71,$DB39:$IO39,$IQ39:$OD39),SUMPRODUCT('計算A'!$D$71:$EQ$71,$DB39:$IO39))*1000+12)</f>
        <v/>
      </c>
      <c r="BT39">
        <f>IF(Z39=1,1000000,IF('計算A'!$IT$22&gt;0,0,500000)+IF('計算A'!$IQ$22=2,SUMPRODUCT('計算A'!$D$72:$EQ$72,$DB39:$IO39,$IQ39:$OD39),SUMPRODUCT('計算A'!$D$72:$EQ$72,$DB39:$IO39))*1000+13)</f>
        <v/>
      </c>
      <c r="BU39">
        <f>IF(AA39=1,1000000,IF('計算A'!$IT$23&gt;0,0,500000)+IF('計算A'!$IQ$23=2,SUMPRODUCT('計算A'!$D$73:$EQ$73,$DB39:$IO39,$IQ39:$OD39),SUMPRODUCT('計算A'!$D$73:$EQ$73,$DB39:$IO39))*1000+14)</f>
        <v/>
      </c>
      <c r="BV39">
        <f>IF(AB39=1,1000000,IF('計算A'!$IT$24&gt;0,0,500000)+IF('計算A'!$IQ$24=2,SUMPRODUCT('計算A'!$D$74:$EQ$74,$DB39:$IO39,$IQ39:$OD39),SUMPRODUCT('計算A'!$D$74:$EQ$74,$DB39:$IO39))*1000+15)</f>
        <v/>
      </c>
      <c r="BW39">
        <f>IF(AC39=1,1000000,IF('計算A'!$IT$25&gt;0,0,500000)+IF('計算A'!$IQ$25=2,SUMPRODUCT('計算A'!$D$75:$EQ$75,$DB39:$IO39,$IQ39:$OD39),SUMPRODUCT('計算A'!$D$75:$EQ$75,$DB39:$IO39))*1000+16)</f>
        <v/>
      </c>
      <c r="BX39">
        <f>IF(AD39=1,1000000,IF('計算A'!$IT$26&gt;0,0,500000)+IF('計算A'!$IQ$26=2,SUMPRODUCT('計算A'!$D$76:$EQ$76,$DB39:$IO39,$IQ39:$OD39),SUMPRODUCT('計算A'!$D$76:$EQ$76,$DB39:$IO39))*1000+17)</f>
        <v/>
      </c>
      <c r="BY39">
        <f>IF(AE39=1,1000000,IF('計算A'!$IT$27&gt;0,0,500000)+IF('計算A'!$IQ$27=2,SUMPRODUCT('計算A'!$D$77:$EQ$77,$DB39:$IO39,$IQ39:$OD39),SUMPRODUCT('計算A'!$D$77:$EQ$77,$DB39:$IO39))*1000+18)</f>
        <v/>
      </c>
      <c r="BZ39">
        <f>IF(AF39=1,1000000,IF('計算A'!$IT$28&gt;0,0,500000)+IF('計算A'!$IQ$28=2,SUMPRODUCT('計算A'!$D$78:$EQ$78,$DB39:$IO39,$IQ39:$OD39),SUMPRODUCT('計算A'!$D$78:$EQ$78,$DB39:$IO39))*1000+19)</f>
        <v/>
      </c>
      <c r="CA39">
        <f>IF(AG39=1,1000000,IF('計算A'!$IT$29&gt;0,0,500000)+IF('計算A'!$IQ$29=2,SUMPRODUCT('計算A'!$D$79:$EQ$79,$DB39:$IO39,$IQ39:$OD39),SUMPRODUCT('計算A'!$D$79:$EQ$79,$DB39:$IO39))*1000+20)</f>
        <v/>
      </c>
      <c r="CB39">
        <f>IF(AH39=1,1000000,IF('計算A'!$IT$30&gt;0,0,500000)+IF('計算A'!$IQ$30=2,SUMPRODUCT('計算A'!$D$80:$EQ$80,$DB39:$IO39,$IQ39:$OD39),SUMPRODUCT('計算A'!$D$80:$EQ$80,$DB39:$IO39))*1000+21)</f>
        <v/>
      </c>
      <c r="CC39">
        <f>IF(AI39=1,1000000,IF('計算A'!$IT$31&gt;0,0,500000)+IF('計算A'!$IQ$31=2,SUMPRODUCT('計算A'!$D$81:$EQ$81,$DB39:$IO39,$IQ39:$OD39),SUMPRODUCT('計算A'!$D$81:$EQ$81,$DB39:$IO39))*1000+22)</f>
        <v/>
      </c>
      <c r="CD39">
        <f>IF(AJ39=1,1000000,IF('計算A'!$IT$32&gt;0,0,500000)+IF('計算A'!$IQ$32=2,SUMPRODUCT('計算A'!$D$82:$EQ$82,$DB39:$IO39,$IQ39:$OD39),SUMPRODUCT('計算A'!$D$82:$EQ$82,$DB39:$IO39))*1000+23)</f>
        <v/>
      </c>
      <c r="CE39">
        <f>IF(AK39=1,1000000,IF('計算A'!$IT$33&gt;0,0,500000)+IF('計算A'!$IQ$33=2,SUMPRODUCT('計算A'!$D$83:$EQ$83,$DB39:$IO39,$IQ39:$OD39),SUMPRODUCT('計算A'!$D$83:$EQ$83,$DB39:$IO39))*1000+24)</f>
        <v/>
      </c>
      <c r="CF39">
        <f>IF(AL39=1,1000000,IF('計算A'!$IT$34&gt;0,0,500000)+IF('計算A'!$IQ$34=2,SUMPRODUCT('計算A'!$D$84:$EQ$84,$DB39:$IO39,$IQ39:$OD39),SUMPRODUCT('計算A'!$D$84:$EQ$84,$DB39:$IO39))*1000+25)</f>
        <v/>
      </c>
      <c r="CG39">
        <f>IF(AM39=1,1000000,IF('計算A'!$IT$35&gt;0,0,500000)+IF('計算A'!$IQ$35=2,SUMPRODUCT('計算A'!$D$85:$EQ$85,$DB39:$IO39,$IQ39:$OD39),SUMPRODUCT('計算A'!$D$85:$EQ$85,$DB39:$IO39))*1000+26)</f>
        <v/>
      </c>
      <c r="CH39">
        <f>IF(AN39=1,1000000,IF('計算A'!$IT$36&gt;0,0,500000)+IF('計算A'!$IQ$36=2,SUMPRODUCT('計算A'!$D$86:$EQ$86,$DB39:$IO39,$IQ39:$OD39),SUMPRODUCT('計算A'!$D$86:$EQ$86,$DB39:$IO39))*1000+27)</f>
        <v/>
      </c>
      <c r="CI39">
        <f>IF(AO39=1,1000000,IF('計算A'!$IT$37&gt;0,0,500000)+IF('計算A'!$IQ$37=2,SUMPRODUCT('計算A'!$D$87:$EQ$87,$DB39:$IO39,$IQ39:$OD39),SUMPRODUCT('計算A'!$D$87:$EQ$87,$DB39:$IO39))*1000+28)</f>
        <v/>
      </c>
      <c r="CJ39">
        <f>IF(AP39=1,1000000,IF('計算A'!$IT$38&gt;0,0,500000)+IF('計算A'!$IQ$38=2,SUMPRODUCT('計算A'!$D$88:$EQ$88,$DB39:$IO39,$IQ39:$OD39),SUMPRODUCT('計算A'!$D$88:$EQ$88,$DB39:$IO39))*1000+29)</f>
        <v/>
      </c>
      <c r="CK39">
        <f>IF(AQ39=1,1000000,IF('計算A'!$IT$39&gt;0,0,500000)+IF('計算A'!$IQ$39=2,SUMPRODUCT('計算A'!$D$89:$EQ$89,$DB39:$IO39,$IQ39:$OD39),SUMPRODUCT('計算A'!$D$89:$EQ$89,$DB39:$IO39))*1000+30)</f>
        <v/>
      </c>
      <c r="CL39">
        <f>IF(AR39=1,1000000,IF('計算A'!$IT$40&gt;0,0,500000)+IF('計算A'!$IQ$40=2,SUMPRODUCT('計算A'!$D$90:$EQ$90,$DB39:$IO39,$IQ39:$OD39),SUMPRODUCT('計算A'!$D$90:$EQ$90,$DB39:$IO39))*1000+31)</f>
        <v/>
      </c>
      <c r="CM39">
        <f>IF(AS39=1,1000000,IF('計算A'!$IT$41&gt;0,0,500000)+IF('計算A'!$IQ$41=2,SUMPRODUCT('計算A'!$D$91:$EQ$91,$DB39:$IO39,$IQ39:$OD39),SUMPRODUCT('計算A'!$D$91:$EQ$91,$DB39:$IO39))*1000+32)</f>
        <v/>
      </c>
      <c r="CN39">
        <f>IF(AT39=1,1000000,IF('計算A'!$IT$42&gt;0,0,500000)+IF('計算A'!$IQ$42=2,SUMPRODUCT('計算A'!$D$92:$EQ$92,$DB39:$IO39,$IQ39:$OD39),SUMPRODUCT('計算A'!$D$92:$EQ$92,$DB39:$IO39))*1000+33)</f>
        <v/>
      </c>
      <c r="CO39">
        <f>IF(AU39=1,1000000,IF('計算A'!$IT$43&gt;0,0,500000)+IF('計算A'!$IQ$43=2,SUMPRODUCT('計算A'!$D$93:$EQ$93,$DB39:$IO39,$IQ39:$OD39),SUMPRODUCT('計算A'!$D$93:$EQ$93,$DB39:$IO39))*1000+34)</f>
        <v/>
      </c>
      <c r="CP39">
        <f>IF(AV39=1,1000000,IF('計算A'!$IT$44&gt;0,0,500000)+IF('計算A'!$IQ$44=2,SUMPRODUCT('計算A'!$D$94:$EQ$94,$DB39:$IO39,$IQ39:$OD39),SUMPRODUCT('計算A'!$D$94:$EQ$94,$DB39:$IO39))*1000+35)</f>
        <v/>
      </c>
      <c r="CQ39">
        <f>IF(AW39=1,1000000,IF('計算A'!$IT$45&gt;0,0,500000)+IF('計算A'!$IQ$45=2,SUMPRODUCT('計算A'!$D$95:$EQ$95,$DB39:$IO39,$IQ39:$OD39),SUMPRODUCT('計算A'!$D$95:$EQ$95,$DB39:$IO39))*1000+36)</f>
        <v/>
      </c>
      <c r="CR39">
        <f>IF(AX39=1,1000000,IF('計算A'!$IT$46&gt;0,0,500000)+IF('計算A'!$IQ$46=2,SUMPRODUCT('計算A'!$D$96:$EQ$96,$DB39:$IO39,$IQ39:$OD39),SUMPRODUCT('計算A'!$D$96:$EQ$96,$DB39:$IO39))*1000+37)</f>
        <v/>
      </c>
      <c r="CS39">
        <f>IF(AY39=1,1000000,IF('計算A'!$IT$47&gt;0,0,500000)+IF('計算A'!$IQ$47=2,SUMPRODUCT('計算A'!$D$97:$EQ$97,$DB39:$IO39,$IQ39:$OD39),SUMPRODUCT('計算A'!$D$97:$EQ$97,$DB39:$IO39))*1000+38)</f>
        <v/>
      </c>
      <c r="CT39">
        <f>IF(AZ39=1,1000000,IF('計算A'!$IT$48&gt;0,0,500000)+IF('計算A'!$IQ$48=2,SUMPRODUCT('計算A'!$D$98:$EQ$98,$DB39:$IO39,$IQ39:$OD39),SUMPRODUCT('計算A'!$D$98:$EQ$98,$DB39:$IO39))*1000+39)</f>
        <v/>
      </c>
      <c r="CU39">
        <f>IF(BA39=1,1000000,IF('計算A'!$IT$49&gt;0,0,500000)+IF('計算A'!$IQ$49=2,SUMPRODUCT('計算A'!$D$99:$EQ$99,$DB39:$IO39,$IQ39:$OD39),SUMPRODUCT('計算A'!$D$99:$EQ$99,$DB39:$IO39))*1000+40)</f>
        <v/>
      </c>
      <c r="CV39">
        <f>IF(BB39=1,1000000,IF('計算A'!$IT$50&gt;0,0,500000)+IF('計算A'!$IQ$50=2,SUMPRODUCT('計算A'!$D$100:$EQ$100,$DB39:$IO39,$IQ39:$OD39),SUMPRODUCT('計算A'!$D$100:$EQ$100,$DB39:$IO39))*1000+41)</f>
        <v/>
      </c>
      <c r="CW39">
        <f>IF(BC39=1,1000000,IF('計算A'!$IT$51&gt;0,0,500000)+IF('計算A'!$IQ$51=2,SUMPRODUCT('計算A'!$D$101:$EQ$101,$DB39:$IO39,$IQ39:$OD39),SUMPRODUCT('計算A'!$D$101:$EQ$101,$DB39:$IO39))*1000+42)</f>
        <v/>
      </c>
      <c r="CX39">
        <f>IF(BD39=1,1000000,IF('計算A'!$IT$52&gt;0,0,500000)+IF('計算A'!$IQ$52=2,SUMPRODUCT('計算A'!$D$102:$EQ$102,$DB39:$IO39,$IQ39:$OD39),SUMPRODUCT('計算A'!$D$102:$EQ$102,$DB39:$IO39))*1000+43)</f>
        <v/>
      </c>
      <c r="CY39">
        <f>IF(BE39=1,1000000,IF('計算A'!$IT$53&gt;0,0,500000)+IF('計算A'!$IQ$53=2,SUMPRODUCT('計算A'!$D$103:$EQ$103,$DB39:$IO39,$IQ39:$OD39),SUMPRODUCT('計算A'!$D$103:$EQ$103,$DB39:$IO39))*1000+44)</f>
        <v/>
      </c>
      <c r="CZ39">
        <f>IF(BF39=1,1000000,IF('計算A'!$IT$54&gt;0,0,500000)+IF('計算A'!$IQ$54=2,SUMPRODUCT('計算A'!$D$104:$EQ$104,$DB39:$IO39,$IQ39:$OD39),SUMPRODUCT('計算A'!$D$104:$EQ$104,$DB39:$IO39))*1000+45)</f>
        <v/>
      </c>
      <c r="DB39">
        <f>DB38*IF(OR($C38=1,$G38=1),0,1)</f>
        <v/>
      </c>
      <c r="DC39">
        <f>DC38*IF(OR($C38=2,$G38=2),0,1)</f>
        <v/>
      </c>
      <c r="DD39">
        <f>DD38*IF(OR($C38=3,$G38=3),0,1)</f>
        <v/>
      </c>
      <c r="DE39">
        <f>DE38*IF(OR($C38=4,$G38=4),0,1)</f>
        <v/>
      </c>
      <c r="DF39">
        <f>DF38*IF(OR($C38=5,$G38=5),0,1)</f>
        <v/>
      </c>
      <c r="DG39">
        <f>DG38*IF(OR($C38=6,$G38=6),0,1)</f>
        <v/>
      </c>
      <c r="DH39">
        <f>DH38*IF(OR($C38=7,$G38=7),0,1)</f>
        <v/>
      </c>
      <c r="DI39">
        <f>DI38*IF(OR($C38=8,$G38=8),0,1)</f>
        <v/>
      </c>
      <c r="DJ39">
        <f>DJ38*IF(OR($C38=9,$G38=9),0,1)</f>
        <v/>
      </c>
      <c r="DK39">
        <f>DK38*IF(OR($C38=10,$G38=10),0,1)</f>
        <v/>
      </c>
      <c r="DL39">
        <f>DL38*IF(OR($C38=11,$G38=11),0,1)</f>
        <v/>
      </c>
      <c r="DM39">
        <f>DM38*IF(OR($C38=12,$G38=12),0,1)</f>
        <v/>
      </c>
      <c r="DN39">
        <f>DN38*IF(OR($C38=13,$G38=13),0,1)</f>
        <v/>
      </c>
      <c r="DO39">
        <f>DO38*IF(OR($C38=14,$G38=14),0,1)</f>
        <v/>
      </c>
      <c r="DP39">
        <f>DP38*IF(OR($C38=15,$G38=15),0,1)</f>
        <v/>
      </c>
      <c r="DQ39">
        <f>DQ38*IF(OR($C38=16,$G38=16),0,1)</f>
        <v/>
      </c>
      <c r="DR39">
        <f>DR38*IF(OR($C38=17,$G38=17),0,1)</f>
        <v/>
      </c>
      <c r="DS39">
        <f>DS38*IF(OR($C38=18,$G38=18),0,1)</f>
        <v/>
      </c>
      <c r="DT39">
        <f>DT38*IF(OR($C38=19,$G38=19),0,1)</f>
        <v/>
      </c>
      <c r="DU39">
        <f>DU38*IF(OR($C38=20,$G38=20),0,1)</f>
        <v/>
      </c>
      <c r="DV39">
        <f>DV38*IF(OR($C38=21,$G38=21),0,1)</f>
        <v/>
      </c>
      <c r="DW39">
        <f>DW38*IF(OR($C38=22,$G38=22),0,1)</f>
        <v/>
      </c>
      <c r="DX39">
        <f>DX38*IF(OR($C38=23,$G38=23),0,1)</f>
        <v/>
      </c>
      <c r="DY39">
        <f>DY38*IF(OR($C38=24,$G38=24),0,1)</f>
        <v/>
      </c>
      <c r="DZ39">
        <f>DZ38*IF(OR($C38=25,$G38=25),0,1)</f>
        <v/>
      </c>
      <c r="EA39">
        <f>EA38*IF(OR($C38=26,$G38=26),0,1)</f>
        <v/>
      </c>
      <c r="EB39">
        <f>EB38*IF(OR($C38=27,$G38=27),0,1)</f>
        <v/>
      </c>
      <c r="EC39">
        <f>EC38*IF(OR($C38=28,$G38=28),0,1)</f>
        <v/>
      </c>
      <c r="ED39">
        <f>ED38*IF(OR($C38=29,$G38=29),0,1)</f>
        <v/>
      </c>
      <c r="EE39">
        <f>EE38*IF(OR($C38=30,$G38=30),0,1)</f>
        <v/>
      </c>
      <c r="EF39">
        <f>EF38*IF(OR($C38=31,$G38=31),0,1)</f>
        <v/>
      </c>
      <c r="EG39">
        <f>EG38*IF(OR($C38=32,$G38=32),0,1)</f>
        <v/>
      </c>
      <c r="EH39">
        <f>EH38*IF(OR($C38=33,$G38=33),0,1)</f>
        <v/>
      </c>
      <c r="EI39">
        <f>EI38*IF(OR($C38=34,$G38=34),0,1)</f>
        <v/>
      </c>
      <c r="EJ39">
        <f>EJ38*IF(OR($C38=35,$G38=35),0,1)</f>
        <v/>
      </c>
      <c r="EK39">
        <f>EK38*IF(OR($C38=36,$G38=36),0,1)</f>
        <v/>
      </c>
      <c r="EL39">
        <f>EL38*IF(OR($C38=37,$G38=37),0,1)</f>
        <v/>
      </c>
      <c r="EM39">
        <f>EM38*IF(OR($C38=38,$G38=38),0,1)</f>
        <v/>
      </c>
      <c r="EN39">
        <f>EN38*IF(OR($C38=39,$G38=39),0,1)</f>
        <v/>
      </c>
      <c r="EO39">
        <f>EO38*IF(OR($C38=40,$G38=40),0,1)</f>
        <v/>
      </c>
      <c r="EP39">
        <f>EP38*IF(OR($C38=41,$G38=41),0,1)</f>
        <v/>
      </c>
      <c r="EQ39">
        <f>EQ38*IF(OR($C38=42,$G38=42),0,1)</f>
        <v/>
      </c>
      <c r="ER39">
        <f>ER38*IF(OR($C38=43,$G38=43),0,1)</f>
        <v/>
      </c>
      <c r="ES39">
        <f>ES38*IF(OR($C38=44,$G38=44),0,1)</f>
        <v/>
      </c>
      <c r="ET39">
        <f>ET38*IF(OR($C38=45,$G38=45),0,1)</f>
        <v/>
      </c>
      <c r="EU39">
        <f>EU38*IF(OR($C38=46,$G38=46),0,1)</f>
        <v/>
      </c>
      <c r="EV39">
        <f>EV38*IF(OR($C38=47,$G38=47),0,1)</f>
        <v/>
      </c>
      <c r="EW39">
        <f>EW38*IF(OR($C38=48,$G38=48),0,1)</f>
        <v/>
      </c>
      <c r="EX39">
        <f>EX38*IF(OR($C38=49,$G38=49),0,1)</f>
        <v/>
      </c>
      <c r="EY39">
        <f>EY38*IF(OR($C38=50,$G38=50),0,1)</f>
        <v/>
      </c>
      <c r="EZ39">
        <f>EZ38*IF(OR($C38=51,$G38=51),0,1)</f>
        <v/>
      </c>
      <c r="FA39">
        <f>FA38*IF(OR($C38=52,$G38=52),0,1)</f>
        <v/>
      </c>
      <c r="FB39">
        <f>FB38*IF(OR($C38=53,$G38=53),0,1)</f>
        <v/>
      </c>
      <c r="FC39">
        <f>FC38*IF(OR($C38=54,$G38=54),0,1)</f>
        <v/>
      </c>
      <c r="FD39">
        <f>FD38*IF(OR($C38=55,$G38=55),0,1)</f>
        <v/>
      </c>
      <c r="FE39">
        <f>FE38*IF(OR($C38=56,$G38=56),0,1)</f>
        <v/>
      </c>
      <c r="FF39">
        <f>FF38*IF(OR($C38=57,$G38=57),0,1)</f>
        <v/>
      </c>
      <c r="FG39">
        <f>FG38*IF(OR($C38=58,$G38=58),0,1)</f>
        <v/>
      </c>
      <c r="FH39">
        <f>FH38*IF(OR($C38=59,$G38=59),0,1)</f>
        <v/>
      </c>
      <c r="FI39">
        <f>FI38*IF(OR($C38=60,$G38=60),0,1)</f>
        <v/>
      </c>
      <c r="FJ39">
        <f>FJ38*IF(OR($C38=61,$G38=61),0,1)</f>
        <v/>
      </c>
      <c r="FK39">
        <f>FK38*IF(OR($C38=62,$G38=62),0,1)</f>
        <v/>
      </c>
      <c r="FL39">
        <f>FL38*IF(OR($C38=63,$G38=63),0,1)</f>
        <v/>
      </c>
      <c r="FM39">
        <f>FM38*IF(OR($C38=64,$G38=64),0,1)</f>
        <v/>
      </c>
      <c r="FN39">
        <f>FN38*IF(OR($C38=65,$G38=65),0,1)</f>
        <v/>
      </c>
      <c r="FO39">
        <f>FO38*IF(OR($C38=66,$G38=66),0,1)</f>
        <v/>
      </c>
      <c r="FP39">
        <f>FP38*IF(OR($C38=67,$G38=67),0,1)</f>
        <v/>
      </c>
      <c r="FQ39">
        <f>FQ38*IF(OR($C38=68,$G38=68),0,1)</f>
        <v/>
      </c>
      <c r="FR39">
        <f>FR38*IF(OR($C38=69,$G38=69),0,1)</f>
        <v/>
      </c>
      <c r="FS39">
        <f>FS38*IF(OR($C38=70,$G38=70),0,1)</f>
        <v/>
      </c>
      <c r="FT39">
        <f>FT38*IF(OR($C38=71,$G38=71),0,1)</f>
        <v/>
      </c>
      <c r="FU39">
        <f>FU38*IF(OR($C38=72,$G38=72),0,1)</f>
        <v/>
      </c>
      <c r="FV39">
        <f>FV38*IF(OR($C38=73,$G38=73),0,1)</f>
        <v/>
      </c>
      <c r="FW39">
        <f>FW38*IF(OR($C38=74,$G38=74),0,1)</f>
        <v/>
      </c>
      <c r="FX39">
        <f>FX38*IF(OR($C38=75,$G38=75),0,1)</f>
        <v/>
      </c>
      <c r="FY39">
        <f>FY38*IF(OR($C38=76,$G38=76),0,1)</f>
        <v/>
      </c>
      <c r="FZ39">
        <f>FZ38*IF(OR($C38=77,$G38=77),0,1)</f>
        <v/>
      </c>
      <c r="GA39">
        <f>GA38*IF(OR($C38=78,$G38=78),0,1)</f>
        <v/>
      </c>
      <c r="GB39">
        <f>GB38*IF(OR($C38=79,$G38=79),0,1)</f>
        <v/>
      </c>
      <c r="GC39">
        <f>GC38*IF(OR($C38=80,$G38=80),0,1)</f>
        <v/>
      </c>
      <c r="GD39">
        <f>GD38*IF(OR($C38=81,$G38=81),0,1)</f>
        <v/>
      </c>
      <c r="GE39">
        <f>GE38*IF(OR($C38=82,$G38=82),0,1)</f>
        <v/>
      </c>
      <c r="GF39">
        <f>GF38*IF(OR($C38=83,$G38=83),0,1)</f>
        <v/>
      </c>
      <c r="GG39">
        <f>GG38*IF(OR($C38=84,$G38=84),0,1)</f>
        <v/>
      </c>
      <c r="GH39">
        <f>GH38*IF(OR($C38=85,$G38=85),0,1)</f>
        <v/>
      </c>
      <c r="GI39">
        <f>GI38*IF(OR($C38=86,$G38=86),0,1)</f>
        <v/>
      </c>
      <c r="GJ39">
        <f>GJ38*IF(OR($C38=87,$G38=87),0,1)</f>
        <v/>
      </c>
      <c r="GK39">
        <f>GK38*IF(OR($C38=88,$G38=88),0,1)</f>
        <v/>
      </c>
      <c r="GL39">
        <f>GL38*IF(OR($C38=89,$G38=89),0,1)</f>
        <v/>
      </c>
      <c r="GM39">
        <f>GM38*IF(OR($C38=90,$G38=90),0,1)</f>
        <v/>
      </c>
      <c r="GN39">
        <f>GN38*IF(OR($C38=91,$G38=91),0,1)</f>
        <v/>
      </c>
      <c r="GO39">
        <f>GO38*IF(OR($C38=92,$G38=92),0,1)</f>
        <v/>
      </c>
      <c r="GP39">
        <f>GP38*IF(OR($C38=93,$G38=93),0,1)</f>
        <v/>
      </c>
      <c r="GQ39">
        <f>GQ38*IF(OR($C38=94,$G38=94),0,1)</f>
        <v/>
      </c>
      <c r="GR39">
        <f>GR38*IF(OR($C38=95,$G38=95),0,1)</f>
        <v/>
      </c>
      <c r="GS39">
        <f>GS38*IF(OR($C38=96,$G38=96),0,1)</f>
        <v/>
      </c>
      <c r="GT39">
        <f>GT38*IF(OR($C38=97,$G38=97),0,1)</f>
        <v/>
      </c>
      <c r="GU39">
        <f>GU38*IF(OR($C38=98,$G38=98),0,1)</f>
        <v/>
      </c>
      <c r="GV39">
        <f>GV38*IF(OR($C38=99,$G38=99),0,1)</f>
        <v/>
      </c>
      <c r="GW39">
        <f>GW38*IF(OR($C38=100,$G38=100),0,1)</f>
        <v/>
      </c>
      <c r="GX39">
        <f>GX38*IF(OR($C38=101,$G38=101),0,1)</f>
        <v/>
      </c>
      <c r="GY39">
        <f>GY38*IF(OR($C38=102,$G38=102),0,1)</f>
        <v/>
      </c>
      <c r="GZ39">
        <f>GZ38*IF(OR($C38=103,$G38=103),0,1)</f>
        <v/>
      </c>
      <c r="HA39">
        <f>HA38*IF(OR($C38=104,$G38=104),0,1)</f>
        <v/>
      </c>
      <c r="HB39">
        <f>HB38*IF(OR($C38=105,$G38=105),0,1)</f>
        <v/>
      </c>
      <c r="HC39">
        <f>HC38*IF(OR($C38=106,$G38=106),0,1)</f>
        <v/>
      </c>
      <c r="HD39">
        <f>HD38*IF(OR($C38=107,$G38=107),0,1)</f>
        <v/>
      </c>
      <c r="HE39">
        <f>HE38*IF(OR($C38=108,$G38=108),0,1)</f>
        <v/>
      </c>
      <c r="HF39">
        <f>HF38*IF(OR($C38=109,$G38=109),0,1)</f>
        <v/>
      </c>
      <c r="HG39">
        <f>HG38*IF(OR($C38=110,$G38=110),0,1)</f>
        <v/>
      </c>
      <c r="HH39">
        <f>HH38*IF(OR($C38=111,$G38=111),0,1)</f>
        <v/>
      </c>
      <c r="HI39">
        <f>HI38*IF(OR($C38=112,$G38=112),0,1)</f>
        <v/>
      </c>
      <c r="HJ39">
        <f>HJ38*IF(OR($C38=113,$G38=113),0,1)</f>
        <v/>
      </c>
      <c r="HK39">
        <f>HK38*IF(OR($C38=114,$G38=114),0,1)</f>
        <v/>
      </c>
      <c r="HL39">
        <f>HL38*IF(OR($C38=115,$G38=115),0,1)</f>
        <v/>
      </c>
      <c r="HM39">
        <f>HM38*IF(OR($C38=116,$G38=116),0,1)</f>
        <v/>
      </c>
      <c r="HN39">
        <f>HN38*IF(OR($C38=117,$G38=117),0,1)</f>
        <v/>
      </c>
      <c r="HO39">
        <f>HO38*IF(OR($C38=118,$G38=118),0,1)</f>
        <v/>
      </c>
      <c r="HP39">
        <f>HP38*IF(OR($C38=119,$G38=119),0,1)</f>
        <v/>
      </c>
      <c r="HQ39">
        <f>HQ38*IF(OR($C38=120,$G38=120),0,1)</f>
        <v/>
      </c>
      <c r="HR39">
        <f>HR38*IF(OR($C38=121,$G38=121),0,1)</f>
        <v/>
      </c>
      <c r="HS39">
        <f>HS38*IF(OR($C38=122,$G38=122),0,1)</f>
        <v/>
      </c>
      <c r="HT39">
        <f>HT38*IF(OR($C38=123,$G38=123),0,1)</f>
        <v/>
      </c>
      <c r="HU39">
        <f>HU38*IF(OR($C38=124,$G38=124),0,1)</f>
        <v/>
      </c>
      <c r="HV39">
        <f>HV38*IF(OR($C38=125,$G38=125),0,1)</f>
        <v/>
      </c>
      <c r="HW39">
        <f>HW38*IF(OR($C38=126,$G38=126),0,1)</f>
        <v/>
      </c>
      <c r="HX39">
        <f>HX38*IF(OR($C38=127,$G38=127),0,1)</f>
        <v/>
      </c>
      <c r="HY39">
        <f>HY38*IF(OR($C38=128,$G38=128),0,1)</f>
        <v/>
      </c>
      <c r="HZ39">
        <f>HZ38*IF(OR($C38=129,$G38=129),0,1)</f>
        <v/>
      </c>
      <c r="IA39">
        <f>IA38*IF(OR($C38=130,$G38=130),0,1)</f>
        <v/>
      </c>
      <c r="IB39">
        <f>IB38*IF(OR($C38=131,$G38=131),0,1)</f>
        <v/>
      </c>
      <c r="IC39">
        <f>IC38*IF(OR($C38=132,$G38=132),0,1)</f>
        <v/>
      </c>
      <c r="ID39">
        <f>ID38*IF(OR($C38=133,$G38=133),0,1)</f>
        <v/>
      </c>
      <c r="IE39">
        <f>IE38*IF(OR($C38=134,$G38=134),0,1)</f>
        <v/>
      </c>
      <c r="IF39">
        <f>IF38*IF(OR($C38=135,$G38=135),0,1)</f>
        <v/>
      </c>
      <c r="IG39">
        <f>IG38*IF(OR($C38=136,$G38=136),0,1)</f>
        <v/>
      </c>
      <c r="IH39">
        <f>IH38*IF(OR($C38=137,$G38=137),0,1)</f>
        <v/>
      </c>
      <c r="II39">
        <f>II38*IF(OR($C38=138,$G38=138),0,1)</f>
        <v/>
      </c>
      <c r="IJ39">
        <f>IJ38*IF(OR($C38=139,$G38=139),0,1)</f>
        <v/>
      </c>
      <c r="IK39">
        <f>IK38*IF(OR($C38=140,$G38=140),0,1)</f>
        <v/>
      </c>
      <c r="IL39">
        <f>IL38*IF(OR($C38=141,$G38=141),0,1)</f>
        <v/>
      </c>
      <c r="IM39">
        <f>IM38*IF(OR($C38=142,$G38=142),0,1)</f>
        <v/>
      </c>
      <c r="IN39">
        <f>IN38*IF(OR($C38=143,$G38=143),0,1)</f>
        <v/>
      </c>
      <c r="IO39">
        <f>IO38*IF(OR($C38=144,$G38=144),0,1)</f>
        <v/>
      </c>
      <c r="IQ39">
        <f>IF('計算A'!D$106=1,DC39,1)</f>
        <v/>
      </c>
      <c r="IR39">
        <f>IF('計算A'!E$106=1,DD39,1)</f>
        <v/>
      </c>
      <c r="IS39">
        <f>IF('計算A'!F$106=1,DE39,1)</f>
        <v/>
      </c>
      <c r="IT39">
        <f>IF('計算A'!G$106=1,DF39,1)</f>
        <v/>
      </c>
      <c r="IU39">
        <f>IF('計算A'!H$106=1,DG39,1)</f>
        <v/>
      </c>
      <c r="IV39">
        <f>IF('計算A'!I$106=1,DH39,1)</f>
        <v/>
      </c>
      <c r="IW39">
        <f>IF('計算A'!J$106=1,DI39,1)</f>
        <v/>
      </c>
      <c r="IX39">
        <f>IF('計算A'!K$106=1,DJ39,1)</f>
        <v/>
      </c>
      <c r="IY39">
        <f>IF('計算A'!L$106=1,DK39,1)</f>
        <v/>
      </c>
      <c r="IZ39">
        <f>IF('計算A'!M$106=1,DL39,1)</f>
        <v/>
      </c>
      <c r="JA39">
        <f>IF('計算A'!N$106=1,DM39,1)</f>
        <v/>
      </c>
      <c r="JB39">
        <f>IF('計算A'!O$106=1,DN39,1)</f>
        <v/>
      </c>
      <c r="JC39">
        <f>IF('計算A'!P$106=1,DO39,1)</f>
        <v/>
      </c>
      <c r="JD39">
        <f>IF('計算A'!Q$106=1,DP39,1)</f>
        <v/>
      </c>
      <c r="JE39">
        <f>IF('計算A'!R$106=1,DQ39,1)</f>
        <v/>
      </c>
      <c r="JF39">
        <f>IF('計算A'!S$106=1,DR39,1)</f>
        <v/>
      </c>
      <c r="JG39">
        <f>IF('計算A'!T$106=1,DS39,1)</f>
        <v/>
      </c>
      <c r="JH39">
        <f>IF('計算A'!U$106=1,DT39,1)</f>
        <v/>
      </c>
      <c r="JI39">
        <f>IF('計算A'!V$106=1,DU39,1)</f>
        <v/>
      </c>
      <c r="JJ39">
        <f>IF('計算A'!W$106=1,DV39,1)</f>
        <v/>
      </c>
      <c r="JK39">
        <f>IF('計算A'!X$106=1,DW39,1)</f>
        <v/>
      </c>
      <c r="JL39">
        <f>IF('計算A'!Y$106=1,DX39,1)</f>
        <v/>
      </c>
      <c r="JM39">
        <f>IF('計算A'!Z$106=1,DY39,1)</f>
        <v/>
      </c>
      <c r="JN39">
        <f>IF('計算A'!AA$106=1,DZ39,1)</f>
        <v/>
      </c>
      <c r="JO39">
        <f>IF('計算A'!AB$106=1,EA39,1)</f>
        <v/>
      </c>
      <c r="JP39">
        <f>IF('計算A'!AC$106=1,EB39,1)</f>
        <v/>
      </c>
      <c r="JQ39">
        <f>IF('計算A'!AD$106=1,EC39,1)</f>
        <v/>
      </c>
      <c r="JR39">
        <f>IF('計算A'!AE$106=1,ED39,1)</f>
        <v/>
      </c>
      <c r="JS39">
        <f>IF('計算A'!AF$106=1,EE39,1)</f>
        <v/>
      </c>
      <c r="JT39">
        <f>IF('計算A'!AG$106=1,EF39,1)</f>
        <v/>
      </c>
      <c r="JU39">
        <f>IF('計算A'!AH$106=1,EG39,1)</f>
        <v/>
      </c>
      <c r="JV39">
        <f>IF('計算A'!AI$106=1,EH39,1)</f>
        <v/>
      </c>
      <c r="JW39">
        <f>IF('計算A'!AJ$106=1,EI39,1)</f>
        <v/>
      </c>
      <c r="JX39">
        <f>IF('計算A'!AK$106=1,EJ39,1)</f>
        <v/>
      </c>
      <c r="JY39">
        <f>IF('計算A'!AL$106=1,EK39,1)</f>
        <v/>
      </c>
      <c r="JZ39">
        <f>IF('計算A'!AM$106=1,EL39,1)</f>
        <v/>
      </c>
      <c r="KA39">
        <f>IF('計算A'!AN$106=1,EM39,1)</f>
        <v/>
      </c>
      <c r="KB39">
        <f>IF('計算A'!AO$106=1,EN39,1)</f>
        <v/>
      </c>
      <c r="KC39">
        <f>IF('計算A'!AP$106=1,EO39,1)</f>
        <v/>
      </c>
      <c r="KD39">
        <f>IF('計算A'!AQ$106=1,EP39,1)</f>
        <v/>
      </c>
      <c r="KE39">
        <f>IF('計算A'!AR$106=1,EQ39,1)</f>
        <v/>
      </c>
      <c r="KF39">
        <f>IF('計算A'!AS$106=1,ER39,1)</f>
        <v/>
      </c>
      <c r="KG39">
        <f>IF('計算A'!AT$106=1,ES39,1)</f>
        <v/>
      </c>
      <c r="KH39">
        <f>IF('計算A'!AU$106=1,ET39,1)</f>
        <v/>
      </c>
      <c r="KI39">
        <f>IF('計算A'!AV$106=1,EU39,1)</f>
        <v/>
      </c>
      <c r="KJ39">
        <f>IF('計算A'!AW$106=1,EV39,1)</f>
        <v/>
      </c>
      <c r="KK39">
        <f>IF('計算A'!AX$106=1,EW39,1)</f>
        <v/>
      </c>
      <c r="KL39">
        <f>IF('計算A'!AY$106=1,EX39,1)</f>
        <v/>
      </c>
      <c r="KM39">
        <f>IF('計算A'!AZ$106=1,EY39,1)</f>
        <v/>
      </c>
      <c r="KN39">
        <f>IF('計算A'!BA$106=1,EZ39,1)</f>
        <v/>
      </c>
      <c r="KO39">
        <f>IF('計算A'!BB$106=1,FA39,1)</f>
        <v/>
      </c>
      <c r="KP39">
        <f>IF('計算A'!BC$106=1,FB39,1)</f>
        <v/>
      </c>
      <c r="KQ39">
        <f>IF('計算A'!BD$106=1,FC39,1)</f>
        <v/>
      </c>
      <c r="KR39">
        <f>IF('計算A'!BE$106=1,FD39,1)</f>
        <v/>
      </c>
      <c r="KS39">
        <f>IF('計算A'!BF$106=1,FE39,1)</f>
        <v/>
      </c>
      <c r="KT39">
        <f>IF('計算A'!BG$106=1,FF39,1)</f>
        <v/>
      </c>
      <c r="KU39">
        <f>IF('計算A'!BH$106=1,FG39,1)</f>
        <v/>
      </c>
      <c r="KV39">
        <f>IF('計算A'!BI$106=1,FH39,1)</f>
        <v/>
      </c>
      <c r="KW39">
        <f>IF('計算A'!BJ$106=1,FI39,1)</f>
        <v/>
      </c>
      <c r="KX39">
        <f>IF('計算A'!BK$106=1,FJ39,1)</f>
        <v/>
      </c>
      <c r="KY39">
        <f>IF('計算A'!BL$106=1,FK39,1)</f>
        <v/>
      </c>
      <c r="KZ39">
        <f>IF('計算A'!BM$106=1,FL39,1)</f>
        <v/>
      </c>
      <c r="LA39">
        <f>IF('計算A'!BN$106=1,FM39,1)</f>
        <v/>
      </c>
      <c r="LB39">
        <f>IF('計算A'!BO$106=1,FN39,1)</f>
        <v/>
      </c>
      <c r="LC39">
        <f>IF('計算A'!BP$106=1,FO39,1)</f>
        <v/>
      </c>
      <c r="LD39">
        <f>IF('計算A'!BQ$106=1,FP39,1)</f>
        <v/>
      </c>
      <c r="LE39">
        <f>IF('計算A'!BR$106=1,FQ39,1)</f>
        <v/>
      </c>
      <c r="LF39">
        <f>IF('計算A'!BS$106=1,FR39,1)</f>
        <v/>
      </c>
      <c r="LG39">
        <f>IF('計算A'!BT$106=1,FS39,1)</f>
        <v/>
      </c>
      <c r="LH39">
        <f>IF('計算A'!BU$106=1,FT39,1)</f>
        <v/>
      </c>
      <c r="LI39">
        <f>IF('計算A'!BV$106=1,FU39,1)</f>
        <v/>
      </c>
      <c r="LJ39">
        <f>IF('計算A'!BW$106=1,FV39,1)</f>
        <v/>
      </c>
      <c r="LK39">
        <f>IF('計算A'!BX$106=1,FW39,1)</f>
        <v/>
      </c>
      <c r="LL39">
        <f>IF('計算A'!BY$106=1,FX39,1)</f>
        <v/>
      </c>
      <c r="LM39">
        <f>IF('計算A'!BZ$106=1,FY39,1)</f>
        <v/>
      </c>
      <c r="LN39">
        <f>IF('計算A'!CA$106=1,FZ39,1)</f>
        <v/>
      </c>
      <c r="LO39">
        <f>IF('計算A'!CB$106=1,GA39,1)</f>
        <v/>
      </c>
      <c r="LP39">
        <f>IF('計算A'!CC$106=1,GB39,1)</f>
        <v/>
      </c>
      <c r="LQ39">
        <f>IF('計算A'!CD$106=1,GC39,1)</f>
        <v/>
      </c>
      <c r="LR39">
        <f>IF('計算A'!CE$106=1,GD39,1)</f>
        <v/>
      </c>
      <c r="LS39">
        <f>IF('計算A'!CF$106=1,GE39,1)</f>
        <v/>
      </c>
      <c r="LT39">
        <f>IF('計算A'!CG$106=1,GF39,1)</f>
        <v/>
      </c>
      <c r="LU39">
        <f>IF('計算A'!CH$106=1,GG39,1)</f>
        <v/>
      </c>
      <c r="LV39">
        <f>IF('計算A'!CI$106=1,GH39,1)</f>
        <v/>
      </c>
      <c r="LW39">
        <f>IF('計算A'!CJ$106=1,GI39,1)</f>
        <v/>
      </c>
      <c r="LX39">
        <f>IF('計算A'!CK$106=1,GJ39,1)</f>
        <v/>
      </c>
      <c r="LY39">
        <f>IF('計算A'!CL$106=1,GK39,1)</f>
        <v/>
      </c>
      <c r="LZ39">
        <f>IF('計算A'!CM$106=1,GL39,1)</f>
        <v/>
      </c>
      <c r="MA39">
        <f>IF('計算A'!CN$106=1,GM39,1)</f>
        <v/>
      </c>
      <c r="MB39">
        <f>IF('計算A'!CO$106=1,GN39,1)</f>
        <v/>
      </c>
      <c r="MC39">
        <f>IF('計算A'!CP$106=1,GO39,1)</f>
        <v/>
      </c>
      <c r="MD39">
        <f>IF('計算A'!CQ$106=1,GP39,1)</f>
        <v/>
      </c>
      <c r="ME39">
        <f>IF('計算A'!CR$106=1,GQ39,1)</f>
        <v/>
      </c>
      <c r="MF39">
        <f>IF('計算A'!CS$106=1,GR39,1)</f>
        <v/>
      </c>
      <c r="MG39">
        <f>IF('計算A'!CT$106=1,GS39,1)</f>
        <v/>
      </c>
      <c r="MH39">
        <f>IF('計算A'!CU$106=1,GT39,1)</f>
        <v/>
      </c>
      <c r="MI39">
        <f>IF('計算A'!CV$106=1,GU39,1)</f>
        <v/>
      </c>
      <c r="MJ39">
        <f>IF('計算A'!CW$106=1,GV39,1)</f>
        <v/>
      </c>
      <c r="MK39">
        <f>IF('計算A'!CX$106=1,GW39,1)</f>
        <v/>
      </c>
      <c r="ML39">
        <f>IF('計算A'!CY$106=1,GX39,1)</f>
        <v/>
      </c>
      <c r="MM39">
        <f>IF('計算A'!CZ$106=1,GY39,1)</f>
        <v/>
      </c>
      <c r="MN39">
        <f>IF('計算A'!DA$106=1,GZ39,1)</f>
        <v/>
      </c>
      <c r="MO39">
        <f>IF('計算A'!DB$106=1,HA39,1)</f>
        <v/>
      </c>
      <c r="MP39">
        <f>IF('計算A'!DC$106=1,HB39,1)</f>
        <v/>
      </c>
      <c r="MQ39">
        <f>IF('計算A'!DD$106=1,HC39,1)</f>
        <v/>
      </c>
      <c r="MR39">
        <f>IF('計算A'!DE$106=1,HD39,1)</f>
        <v/>
      </c>
      <c r="MS39">
        <f>IF('計算A'!DF$106=1,HE39,1)</f>
        <v/>
      </c>
      <c r="MT39">
        <f>IF('計算A'!DG$106=1,HF39,1)</f>
        <v/>
      </c>
      <c r="MU39">
        <f>IF('計算A'!DH$106=1,HG39,1)</f>
        <v/>
      </c>
      <c r="MV39">
        <f>IF('計算A'!DI$106=1,HH39,1)</f>
        <v/>
      </c>
      <c r="MW39">
        <f>IF('計算A'!DJ$106=1,HI39,1)</f>
        <v/>
      </c>
      <c r="MX39">
        <f>IF('計算A'!DK$106=1,HJ39,1)</f>
        <v/>
      </c>
      <c r="MY39">
        <f>IF('計算A'!DL$106=1,HK39,1)</f>
        <v/>
      </c>
      <c r="MZ39">
        <f>IF('計算A'!DM$106=1,HL39,1)</f>
        <v/>
      </c>
      <c r="NA39">
        <f>IF('計算A'!DN$106=1,HM39,1)</f>
        <v/>
      </c>
      <c r="NB39">
        <f>IF('計算A'!DO$106=1,HN39,1)</f>
        <v/>
      </c>
      <c r="NC39">
        <f>IF('計算A'!DP$106=1,HO39,1)</f>
        <v/>
      </c>
      <c r="ND39">
        <f>IF('計算A'!DQ$106=1,HP39,1)</f>
        <v/>
      </c>
      <c r="NE39">
        <f>IF('計算A'!DR$106=1,HQ39,1)</f>
        <v/>
      </c>
      <c r="NF39">
        <f>IF('計算A'!DS$106=1,HR39,1)</f>
        <v/>
      </c>
      <c r="NG39">
        <f>IF('計算A'!DT$106=1,HS39,1)</f>
        <v/>
      </c>
      <c r="NH39">
        <f>IF('計算A'!DU$106=1,HT39,1)</f>
        <v/>
      </c>
      <c r="NI39">
        <f>IF('計算A'!DV$106=1,HU39,1)</f>
        <v/>
      </c>
      <c r="NJ39">
        <f>IF('計算A'!DW$106=1,HV39,1)</f>
        <v/>
      </c>
      <c r="NK39">
        <f>IF('計算A'!DX$106=1,HW39,1)</f>
        <v/>
      </c>
      <c r="NL39">
        <f>IF('計算A'!DY$106=1,HX39,1)</f>
        <v/>
      </c>
      <c r="NM39">
        <f>IF('計算A'!DZ$106=1,HY39,1)</f>
        <v/>
      </c>
      <c r="NN39">
        <f>IF('計算A'!EA$106=1,HZ39,1)</f>
        <v/>
      </c>
      <c r="NO39">
        <f>IF('計算A'!EB$106=1,IA39,1)</f>
        <v/>
      </c>
      <c r="NP39">
        <f>IF('計算A'!EC$106=1,IB39,1)</f>
        <v/>
      </c>
      <c r="NQ39">
        <f>IF('計算A'!ED$106=1,IC39,1)</f>
        <v/>
      </c>
      <c r="NR39">
        <f>IF('計算A'!EE$106=1,ID39,1)</f>
        <v/>
      </c>
      <c r="NS39">
        <f>IF('計算A'!EF$106=1,IE39,1)</f>
        <v/>
      </c>
      <c r="NT39">
        <f>IF('計算A'!EG$106=1,IF39,1)</f>
        <v/>
      </c>
      <c r="NU39">
        <f>IF('計算A'!EH$106=1,IG39,1)</f>
        <v/>
      </c>
      <c r="NV39">
        <f>IF('計算A'!EI$106=1,IH39,1)</f>
        <v/>
      </c>
      <c r="NW39">
        <f>IF('計算A'!EJ$106=1,II39,1)</f>
        <v/>
      </c>
      <c r="NX39">
        <f>IF('計算A'!EK$106=1,IJ39,1)</f>
        <v/>
      </c>
      <c r="NY39">
        <f>IF('計算A'!EL$106=1,IK39,1)</f>
        <v/>
      </c>
      <c r="NZ39">
        <f>IF('計算A'!EM$106=1,IL39,1)</f>
        <v/>
      </c>
      <c r="OA39">
        <f>IF('計算A'!EN$106=1,IM39,1)</f>
        <v/>
      </c>
      <c r="OB39">
        <f>IF('計算A'!EO$106=1,IN39,1)</f>
        <v/>
      </c>
      <c r="OC39">
        <f>IF('計算A'!EP$106=1,IO39,1)</f>
        <v/>
      </c>
      <c r="OD39" t="n">
        <v>1</v>
      </c>
      <c r="OF39">
        <f>IF($B39=0,1000000,IF(INDEX('計算A'!$D$60:$EQ$104,$B39,1)*DB39=1,IF(AND($E39=2,IQ39=0),1000000,IF($I39&gt;0,IF(1=$J39,IF(OR(AND(1=$I39+1,OR($K39&lt;&gt;'計算A'!$A$3,'計算A'!$A$4=0)),AND(1=$I39-1,OR(1&lt;&gt;'計算A'!$A$3,'計算A'!$A$4=0))),0,IF(1=$K39,200000,ABS(1-$K39)*100)),100000+ABS(1-$J39)*1000+10)+'計算A'!D$5*50+IF(AND($E39=1,IQ39=0),25,0),IF($F39&gt;0,INDEX('計算A'!D$110:D$114,$F39+1)+IF(AND($E39=1,IQ39=0),1000,0),MIN(TU39,20)*400+(IF('計算A'!D$106=1,1-DC39,0))*150+11+'計算A'!D$5*100000+IF(AND($E39=1,IQ39=0),50000,0))+IF($H39=1,(IF('計算A'!D$117=1,INDEX('計算A'!E$10:E$54,$B39),0))*4000,0)-IF(AND($L39=1,'計算A'!D$117=1,DC39=0),2000,0))),1000000))</f>
        <v/>
      </c>
      <c r="OG39">
        <f>IF($B39=0,1000000,IF(INDEX('計算A'!$D$60:$EQ$104,$B39,2)*DC39=1,IF(AND($E39=2,IR39=0),1000000,IF($I39&gt;0,IF(1=$J39,IF(OR(AND(2=$I39+1,OR($K39&lt;&gt;'計算A'!$A$3,'計算A'!$A$4=0)),AND(2=$I39-1,OR(2&lt;&gt;'計算A'!$A$3,'計算A'!$A$4=0))),0,IF(2=$K39,200000,ABS(2-$K39)*100)),100000+ABS(1-$J39)*1000+20)+'計算A'!E$5*50+IF(AND($E39=1,IR39=0),25,0),IF($F39&gt;0,INDEX('計算A'!E$110:E$114,$F39+1)+IF(AND($E39=1,IR39=0),1000,0),MIN(TU39,20)*400+(IF('計算A'!D$106=1,1-DB39,0)+IF('計算A'!E$106=1,1-DD39,0))*150+21+'計算A'!E$5*100000+IF(AND($E39=1,IR39=0),50000,0))+IF($H39=1,(IF('計算A'!D$117=1,INDEX('計算A'!D$10:D$54,$B39),0)+IF('計算A'!E$117=1,INDEX('計算A'!F$10:F$54,$B39),0))*4000,0)-IF(AND('計算A'!D$117=1,UB39&gt;0),2000,0)-IF(AND($L39=1,'計算A'!E$117=1,DD39=0),2000,0))),1000000))</f>
        <v/>
      </c>
      <c r="OH39">
        <f>IF($B39=0,1000000,IF(INDEX('計算A'!$D$60:$EQ$104,$B39,3)*DD39=1,IF(AND($E39=2,IS39=0),1000000,IF($I39&gt;0,IF(1=$J39,IF(OR(AND(3=$I39+1,OR($K39&lt;&gt;'計算A'!$A$3,'計算A'!$A$4=0)),AND(3=$I39-1,OR(3&lt;&gt;'計算A'!$A$3,'計算A'!$A$4=0))),0,IF(3=$K39,200000,ABS(3-$K39)*100)),100000+ABS(1-$J39)*1000+30)+'計算A'!F$5*50+IF(AND($E39=1,IS39=0),25,0),IF($F39&gt;0,INDEX('計算A'!F$110:F$114,$F39+1)+IF(AND($E39=1,IS39=0),1000,0),MIN(TU39,20)*400+(IF('計算A'!E$106=1,1-DC39,0)+IF('計算A'!F$106=1,1-DE39,0))*150+31+'計算A'!F$5*100000+IF(AND($E39=1,IS39=0),50000,0))+IF($H39=1,(IF('計算A'!E$117=1,INDEX('計算A'!E$10:E$54,$B39),0)+IF('計算A'!F$117=1,INDEX('計算A'!G$10:G$54,$B39),0))*4000,0)-IF(AND('計算A'!E$117=1,UC39&gt;0),2000,0)-IF(AND($L39=1,'計算A'!F$117=1,DE39=0),2000,0))),1000000))</f>
        <v/>
      </c>
      <c r="OI39">
        <f>IF($B39=0,1000000,IF(INDEX('計算A'!$D$60:$EQ$104,$B39,4)*DE39=1,IF(AND($E39=2,IT39=0),1000000,IF($I39&gt;0,IF(1=$J39,IF(OR(AND(4=$I39+1,OR($K39&lt;&gt;'計算A'!$A$3,'計算A'!$A$4=0)),AND(4=$I39-1,OR(4&lt;&gt;'計算A'!$A$3,'計算A'!$A$4=0))),0,IF(4=$K39,200000,ABS(4-$K39)*100)),100000+ABS(1-$J39)*1000+40)+'計算A'!G$5*50+IF(AND($E39=1,IT39=0),25,0),IF($F39&gt;0,INDEX('計算A'!G$110:G$114,$F39+1)+IF(AND($E39=1,IT39=0),1000,0),MIN(TU39,20)*400+(IF('計算A'!F$106=1,1-DD39,0)+IF('計算A'!G$106=1,1-DF39,0))*150+41+'計算A'!G$5*100000+IF(AND($E39=1,IT39=0),50000,0))+IF($H39=1,(IF('計算A'!F$117=1,INDEX('計算A'!F$10:F$54,$B39),0)+IF('計算A'!G$117=1,INDEX('計算A'!H$10:H$54,$B39),0))*4000,0)-IF(AND('計算A'!F$117=1,UD39&gt;0),2000,0)-IF(AND($L39=1,'計算A'!G$117=1,DF39=0),2000,0))),1000000))</f>
        <v/>
      </c>
      <c r="OJ39">
        <f>IF($B39=0,1000000,IF(INDEX('計算A'!$D$60:$EQ$104,$B39,5)*DF39=1,IF(AND($E39=2,IU39=0),1000000,IF($I39&gt;0,IF(1=$J39,IF(OR(AND(5=$I39+1,OR($K39&lt;&gt;'計算A'!$A$3,'計算A'!$A$4=0)),AND(5=$I39-1,OR(5&lt;&gt;'計算A'!$A$3,'計算A'!$A$4=0))),0,IF(5=$K39,200000,ABS(5-$K39)*100)),100000+ABS(1-$J39)*1000+50)+'計算A'!H$5*50+IF(AND($E39=1,IU39=0),25,0),IF($F39&gt;0,INDEX('計算A'!H$110:H$114,$F39+1)+IF(AND($E39=1,IU39=0),1000,0),MIN(TU39,20)*400+(IF('計算A'!G$106=1,1-DE39,0)+IF('計算A'!H$106=1,1-DG39,0))*150+51+'計算A'!H$5*100000+IF(AND($E39=1,IU39=0),50000,0))+IF($H39=1,(IF('計算A'!G$117=1,INDEX('計算A'!G$10:G$54,$B39),0)+IF('計算A'!H$117=1,INDEX('計算A'!I$10:I$54,$B39),0))*4000,0)-IF(AND('計算A'!G$117=1,UE39&gt;0),2000,0)-IF(AND($L39=1,'計算A'!H$117=1,DG39=0),2000,0))),1000000))</f>
        <v/>
      </c>
      <c r="OK39">
        <f>IF($B39=0,1000000,IF(INDEX('計算A'!$D$60:$EQ$104,$B39,6)*DG39=1,IF(AND($E39=2,IV39=0),1000000,IF($I39&gt;0,IF(1=$J39,IF(OR(AND(6=$I39+1,OR($K39&lt;&gt;'計算A'!$A$3,'計算A'!$A$4=0)),AND(6=$I39-1,OR(6&lt;&gt;'計算A'!$A$3,'計算A'!$A$4=0))),0,IF(6=$K39,200000,ABS(6-$K39)*100)),100000+ABS(1-$J39)*1000+60)+'計算A'!I$5*50+IF(AND($E39=1,IV39=0),25,0),IF($F39&gt;0,INDEX('計算A'!I$110:I$114,$F39+1)+IF(AND($E39=1,IV39=0),1000,0),MIN(TU39,20)*400+(IF('計算A'!H$106=1,1-DF39,0)+IF('計算A'!I$106=1,1-DH39,0))*150+61+'計算A'!I$5*100000+IF(AND($E39=1,IV39=0),50000,0))+IF($H39=1,(IF('計算A'!H$117=1,INDEX('計算A'!H$10:H$54,$B39),0)+IF('計算A'!I$117=1,INDEX('計算A'!J$10:J$54,$B39),0))*4000,0)-IF(AND('計算A'!H$117=1,UF39&gt;0),2000,0)-IF(AND($L39=1,'計算A'!I$117=1,DH39=0),2000,0))),1000000))</f>
        <v/>
      </c>
      <c r="OL39">
        <f>IF($B39=0,1000000,IF(INDEX('計算A'!$D$60:$EQ$104,$B39,7)*DH39=1,IF(AND($E39=2,IW39=0),1000000,IF($I39&gt;0,IF(1=$J39,IF(OR(AND(7=$I39+1,OR($K39&lt;&gt;'計算A'!$A$3,'計算A'!$A$4=0)),AND(7=$I39-1,OR(7&lt;&gt;'計算A'!$A$3,'計算A'!$A$4=0))),0,IF(7=$K39,200000,ABS(7-$K39)*100)),100000+ABS(1-$J39)*1000+70)+'計算A'!J$5*50+IF(AND($E39=1,IW39=0),25,0),IF($F39&gt;0,INDEX('計算A'!J$110:J$114,$F39+1)+IF(AND($E39=1,IW39=0),1000,0),MIN(TU39,20)*400+(IF('計算A'!I$106=1,1-DG39,0)+IF('計算A'!J$106=1,1-DI39,0))*150+71+'計算A'!J$5*100000+IF(AND($E39=1,IW39=0),50000,0))+IF($H39=1,(IF('計算A'!I$117=1,INDEX('計算A'!I$10:I$54,$B39),0)+IF('計算A'!J$117=1,INDEX('計算A'!K$10:K$54,$B39),0))*4000,0)-IF(AND('計算A'!I$117=1,UG39&gt;0),2000,0)-IF(AND($L39=1,'計算A'!J$117=1,DI39=0),2000,0))),1000000))</f>
        <v/>
      </c>
      <c r="OM39">
        <f>IF($B39=0,1000000,IF(INDEX('計算A'!$D$60:$EQ$104,$B39,8)*DI39=1,IF(AND($E39=2,IX39=0),1000000,IF($I39&gt;0,IF(1=$J39,IF(OR(AND(8=$I39+1,OR($K39&lt;&gt;'計算A'!$A$3,'計算A'!$A$4=0)),AND(8=$I39-1,OR(8&lt;&gt;'計算A'!$A$3,'計算A'!$A$4=0))),0,IF(8=$K39,200000,ABS(8-$K39)*100)),100000+ABS(1-$J39)*1000+80)+'計算A'!K$5*50+IF(AND($E39=1,IX39=0),25,0),IF($F39&gt;0,INDEX('計算A'!K$110:K$114,$F39+1)+IF(AND($E39=1,IX39=0),1000,0),MIN(TU39,20)*400+(IF('計算A'!J$106=1,1-DH39,0)+IF('計算A'!K$106=1,1-DJ39,0))*150+81+'計算A'!K$5*100000+IF(AND($E39=1,IX39=0),50000,0))+IF($H39=1,(IF('計算A'!J$117=1,INDEX('計算A'!J$10:J$54,$B39),0)+IF('計算A'!K$117=1,INDEX('計算A'!L$10:L$54,$B39),0))*4000,0)-IF(AND('計算A'!J$117=1,UH39&gt;0),2000,0)-IF(AND($L39=1,'計算A'!K$117=1,DJ39=0),2000,0))),1000000))</f>
        <v/>
      </c>
      <c r="ON39">
        <f>IF($B39=0,1000000,IF(INDEX('計算A'!$D$60:$EQ$104,$B39,9)*DJ39=1,IF(AND($E39=2,IY39=0),1000000,IF($I39&gt;0,IF(1=$J39,IF(OR(AND(9=$I39+1,OR($K39&lt;&gt;'計算A'!$A$3,'計算A'!$A$4=0)),AND(9=$I39-1,OR(9&lt;&gt;'計算A'!$A$3,'計算A'!$A$4=0))),0,IF(9=$K39,200000,ABS(9-$K39)*100)),100000+ABS(1-$J39)*1000+90)+'計算A'!L$5*50+IF(AND($E39=1,IY39=0),25,0),IF($F39&gt;0,INDEX('計算A'!L$110:L$114,$F39+1)+IF(AND($E39=1,IY39=0),1000,0),MIN(TU39,20)*400+(IF('計算A'!K$106=1,1-DI39,0)+IF('計算A'!L$106=1,1-DK39,0))*150+91+'計算A'!L$5*100000+IF(AND($E39=1,IY39=0),50000,0))+IF($H39=1,(IF('計算A'!K$117=1,INDEX('計算A'!K$10:K$54,$B39),0)+IF('計算A'!L$117=1,INDEX('計算A'!M$10:M$54,$B39),0))*4000,0)-IF(AND('計算A'!K$117=1,UI39&gt;0),2000,0)-IF(AND($L39=1,'計算A'!L$117=1,DK39=0),2000,0))),1000000))</f>
        <v/>
      </c>
      <c r="OO39">
        <f>IF($B39=0,1000000,IF(INDEX('計算A'!$D$60:$EQ$104,$B39,10)*DK39=1,IF(AND($E39=2,IZ39=0),1000000,IF($I39&gt;0,IF(1=$J39,IF(OR(AND(10=$I39+1,OR($K39&lt;&gt;'計算A'!$A$3,'計算A'!$A$4=0)),AND(10=$I39-1,OR(10&lt;&gt;'計算A'!$A$3,'計算A'!$A$4=0))),0,IF(10=$K39,200000,ABS(10-$K39)*100)),100000+ABS(1-$J39)*1000+100)+'計算A'!M$5*50+IF(AND($E39=1,IZ39=0),25,0),IF($F39&gt;0,INDEX('計算A'!M$110:M$114,$F39+1)+IF(AND($E39=1,IZ39=0),1000,0),MIN(TU39,20)*400+(IF('計算A'!L$106=1,1-DJ39,0)+IF('計算A'!M$106=1,1-DL39,0))*150+101+'計算A'!M$5*100000+IF(AND($E39=1,IZ39=0),50000,0))+IF($H39=1,(IF('計算A'!L$117=1,INDEX('計算A'!L$10:L$54,$B39),0)+IF('計算A'!M$117=1,INDEX('計算A'!N$10:N$54,$B39),0))*4000,0)-IF(AND('計算A'!L$117=1,UJ39&gt;0),2000,0)-IF(AND($L39=1,'計算A'!M$117=1,DL39=0),2000,0))),1000000))</f>
        <v/>
      </c>
      <c r="OP39">
        <f>IF($B39=0,1000000,IF(INDEX('計算A'!$D$60:$EQ$104,$B39,11)*DL39=1,IF(AND($E39=2,JA39=0),1000000,IF($I39&gt;0,IF(1=$J39,IF(OR(AND(11=$I39+1,OR($K39&lt;&gt;'計算A'!$A$3,'計算A'!$A$4=0)),AND(11=$I39-1,OR(11&lt;&gt;'計算A'!$A$3,'計算A'!$A$4=0))),0,IF(11=$K39,200000,ABS(11-$K39)*100)),100000+ABS(1-$J39)*1000+110)+'計算A'!N$5*50+IF(AND($E39=1,JA39=0),25,0),IF($F39&gt;0,INDEX('計算A'!N$110:N$114,$F39+1)+IF(AND($E39=1,JA39=0),1000,0),MIN(TU39,20)*400+(IF('計算A'!M$106=1,1-DK39,0)+IF('計算A'!N$106=1,1-DM39,0))*150+111+'計算A'!N$5*100000+IF(AND($E39=1,JA39=0),50000,0))+IF($H39=1,(IF('計算A'!M$117=1,INDEX('計算A'!M$10:M$54,$B39),0)+IF('計算A'!N$117=1,INDEX('計算A'!O$10:O$54,$B39),0))*4000,0)-IF(AND('計算A'!M$117=1,UK39&gt;0),2000,0)-IF(AND($L39=1,'計算A'!N$117=1,DM39=0),2000,0))),1000000))</f>
        <v/>
      </c>
      <c r="OQ39">
        <f>IF($B39=0,1000000,IF(INDEX('計算A'!$D$60:$EQ$104,$B39,12)*DM39=1,IF(AND($E39=2,JB39=0),1000000,IF($I39&gt;0,IF(1=$J39,IF(OR(AND(12=$I39+1,OR($K39&lt;&gt;'計算A'!$A$3,'計算A'!$A$4=0)),AND(12=$I39-1,OR(12&lt;&gt;'計算A'!$A$3,'計算A'!$A$4=0))),0,IF(12=$K39,200000,ABS(12-$K39)*100)),100000+ABS(1-$J39)*1000+120)+'計算A'!O$5*50+IF(AND($E39=1,JB39=0),25,0),IF($F39&gt;0,INDEX('計算A'!O$110:O$114,$F39+1)+IF(AND($E39=1,JB39=0),1000,0),MIN(TU39,20)*400+(IF('計算A'!N$106=1,1-DL39,0)+IF('計算A'!O$106=1,1-DN39,0))*150+121+'計算A'!O$5*100000+IF(AND($E39=1,JB39=0),50000,0))+IF($H39=1,(IF('計算A'!N$117=1,INDEX('計算A'!N$10:N$54,$B39),0)+IF('計算A'!O$117=1,INDEX('計算A'!P$10:P$54,$B39),0))*4000,0)-IF(AND('計算A'!N$117=1,UL39&gt;0),2000,0)-IF(AND($L39=1,'計算A'!O$117=1,DN39=0),2000,0))),1000000))</f>
        <v/>
      </c>
      <c r="OR39">
        <f>IF($B39=0,1000000,IF(INDEX('計算A'!$D$60:$EQ$104,$B39,13)*DN39=1,IF(AND($E39=2,JC39=0),1000000,IF($I39&gt;0,IF(1=$J39,IF(OR(AND(13=$I39+1,OR($K39&lt;&gt;'計算A'!$A$3,'計算A'!$A$4=0)),AND(13=$I39-1,OR(13&lt;&gt;'計算A'!$A$3,'計算A'!$A$4=0))),0,IF(13=$K39,200000,ABS(13-$K39)*100)),100000+ABS(1-$J39)*1000+130)+'計算A'!P$5*50+IF(AND($E39=1,JC39=0),25,0),IF($F39&gt;0,INDEX('計算A'!P$110:P$114,$F39+1)+IF(AND($E39=1,JC39=0),1000,0),MIN(TU39,20)*400+(IF('計算A'!O$106=1,1-DM39,0)+IF('計算A'!P$106=1,1-DO39,0))*150+131+'計算A'!P$5*100000+IF(AND($E39=1,JC39=0),50000,0))+IF($H39=1,(IF('計算A'!O$117=1,INDEX('計算A'!O$10:O$54,$B39),0)+IF('計算A'!P$117=1,INDEX('計算A'!Q$10:Q$54,$B39),0))*4000,0)-IF(AND('計算A'!O$117=1,UM39&gt;0),2000,0)-IF(AND($L39=1,'計算A'!P$117=1,DO39=0),2000,0))),1000000))</f>
        <v/>
      </c>
      <c r="OS39">
        <f>IF($B39=0,1000000,IF(INDEX('計算A'!$D$60:$EQ$104,$B39,14)*DO39=1,IF(AND($E39=2,JD39=0),1000000,IF($I39&gt;0,IF(1=$J39,IF(OR(AND(14=$I39+1,OR($K39&lt;&gt;'計算A'!$A$3,'計算A'!$A$4=0)),AND(14=$I39-1,OR(14&lt;&gt;'計算A'!$A$3,'計算A'!$A$4=0))),0,IF(14=$K39,200000,ABS(14-$K39)*100)),100000+ABS(1-$J39)*1000+140)+'計算A'!Q$5*50+IF(AND($E39=1,JD39=0),25,0),IF($F39&gt;0,INDEX('計算A'!Q$110:Q$114,$F39+1)+IF(AND($E39=1,JD39=0),1000,0),MIN(TU39,20)*400+(IF('計算A'!P$106=1,1-DN39,0)+IF('計算A'!Q$106=1,1-DP39,0))*150+141+'計算A'!Q$5*100000+IF(AND($E39=1,JD39=0),50000,0))+IF($H39=1,(IF('計算A'!P$117=1,INDEX('計算A'!P$10:P$54,$B39),0)+IF('計算A'!Q$117=1,INDEX('計算A'!R$10:R$54,$B39),0))*4000,0)-IF(AND('計算A'!P$117=1,UN39&gt;0),2000,0)-IF(AND($L39=1,'計算A'!Q$117=1,DP39=0),2000,0))),1000000))</f>
        <v/>
      </c>
      <c r="OT39">
        <f>IF($B39=0,1000000,IF(INDEX('計算A'!$D$60:$EQ$104,$B39,15)*DP39=1,IF(AND($E39=2,JE39=0),1000000,IF($I39&gt;0,IF(1=$J39,IF(OR(AND(15=$I39+1,OR($K39&lt;&gt;'計算A'!$A$3,'計算A'!$A$4=0)),AND(15=$I39-1,OR(15&lt;&gt;'計算A'!$A$3,'計算A'!$A$4=0))),0,IF(15=$K39,200000,ABS(15-$K39)*100)),100000+ABS(1-$J39)*1000+150)+'計算A'!R$5*50+IF(AND($E39=1,JE39=0),25,0),IF($F39&gt;0,INDEX('計算A'!R$110:R$114,$F39+1)+IF(AND($E39=1,JE39=0),1000,0),MIN(TU39,20)*400+(IF('計算A'!Q$106=1,1-DO39,0)+IF('計算A'!R$106=1,1-DQ39,0))*150+151+'計算A'!R$5*100000+IF(AND($E39=1,JE39=0),50000,0))+IF($H39=1,(IF('計算A'!Q$117=1,INDEX('計算A'!Q$10:Q$54,$B39),0)+IF('計算A'!R$117=1,INDEX('計算A'!S$10:S$54,$B39),0))*4000,0)-IF(AND('計算A'!Q$117=1,UO39&gt;0),2000,0)-IF(AND($L39=1,'計算A'!R$117=1,DQ39=0),2000,0))),1000000))</f>
        <v/>
      </c>
      <c r="OU39">
        <f>IF($B39=0,1000000,IF(INDEX('計算A'!$D$60:$EQ$104,$B39,16)*DQ39=1,IF(AND($E39=2,JF39=0),1000000,IF($I39&gt;0,IF(1=$J39,IF(OR(AND(16=$I39+1,OR($K39&lt;&gt;'計算A'!$A$3,'計算A'!$A$4=0)),AND(16=$I39-1,OR(16&lt;&gt;'計算A'!$A$3,'計算A'!$A$4=0))),0,IF(16=$K39,200000,ABS(16-$K39)*100)),100000+ABS(1-$J39)*1000+160)+'計算A'!S$5*50+IF(AND($E39=1,JF39=0),25,0),IF($F39&gt;0,INDEX('計算A'!S$110:S$114,$F39+1)+IF(AND($E39=1,JF39=0),1000,0),MIN(TU39,20)*400+(IF('計算A'!R$106=1,1-DP39,0)+IF('計算A'!S$106=1,1-DR39,0))*150+161+'計算A'!S$5*100000+IF(AND($E39=1,JF39=0),50000,0))+IF($H39=1,(IF('計算A'!R$117=1,INDEX('計算A'!R$10:R$54,$B39),0)+IF('計算A'!S$117=1,INDEX('計算A'!T$10:T$54,$B39),0))*4000,0)-IF(AND('計算A'!R$117=1,UP39&gt;0),2000,0)-IF(AND($L39=1,'計算A'!S$117=1,DR39=0),2000,0))),1000000))</f>
        <v/>
      </c>
      <c r="OV39">
        <f>IF($B39=0,1000000,IF(INDEX('計算A'!$D$60:$EQ$104,$B39,17)*DR39=1,IF(AND($E39=2,JG39=0),1000000,IF($I39&gt;0,IF(1=$J39,IF(OR(AND(17=$I39+1,OR($K39&lt;&gt;'計算A'!$A$3,'計算A'!$A$4=0)),AND(17=$I39-1,OR(17&lt;&gt;'計算A'!$A$3,'計算A'!$A$4=0))),0,IF(17=$K39,200000,ABS(17-$K39)*100)),100000+ABS(1-$J39)*1000+170)+'計算A'!T$5*50+IF(AND($E39=1,JG39=0),25,0),IF($F39&gt;0,INDEX('計算A'!T$110:T$114,$F39+1)+IF(AND($E39=1,JG39=0),1000,0),MIN(TU39,20)*400+(IF('計算A'!S$106=1,1-DQ39,0)+IF('計算A'!T$106=1,1-DS39,0))*150+171+'計算A'!T$5*100000+IF(AND($E39=1,JG39=0),50000,0))+IF($H39=1,(IF('計算A'!S$117=1,INDEX('計算A'!S$10:S$54,$B39),0)+IF('計算A'!T$117=1,INDEX('計算A'!U$10:U$54,$B39),0))*4000,0)-IF(AND('計算A'!S$117=1,UQ39&gt;0),2000,0)-IF(AND($L39=1,'計算A'!T$117=1,DS39=0),2000,0))),1000000))</f>
        <v/>
      </c>
      <c r="OW39">
        <f>IF($B39=0,1000000,IF(INDEX('計算A'!$D$60:$EQ$104,$B39,18)*DS39=1,IF(AND($E39=2,JH39=0),1000000,IF($I39&gt;0,IF(1=$J39,IF(OR(AND(18=$I39+1,OR($K39&lt;&gt;'計算A'!$A$3,'計算A'!$A$4=0)),AND(18=$I39-1,OR(18&lt;&gt;'計算A'!$A$3,'計算A'!$A$4=0))),0,IF(18=$K39,200000,ABS(18-$K39)*100)),100000+ABS(1-$J39)*1000+180)+'計算A'!U$5*50+IF(AND($E39=1,JH39=0),25,0),IF($F39&gt;0,INDEX('計算A'!U$110:U$114,$F39+1)+IF(AND($E39=1,JH39=0),1000,0),MIN(TU39,20)*400+(IF('計算A'!T$106=1,1-DR39,0)+IF('計算A'!U$106=1,1-DT39,0))*150+181+'計算A'!U$5*100000+IF(AND($E39=1,JH39=0),50000,0))+IF($H39=1,(IF('計算A'!T$117=1,INDEX('計算A'!T$10:T$54,$B39),0)+IF('計算A'!U$117=1,INDEX('計算A'!V$10:V$54,$B39),0))*4000,0)-IF(AND('計算A'!T$117=1,UR39&gt;0),2000,0)-IF(AND($L39=1,'計算A'!U$117=1,DT39=0),2000,0))),1000000))</f>
        <v/>
      </c>
      <c r="OX39">
        <f>IF($B39=0,1000000,IF(INDEX('計算A'!$D$60:$EQ$104,$B39,19)*DT39=1,IF(AND($E39=2,JI39=0),1000000,IF($I39&gt;0,IF(1=$J39,IF(OR(AND(19=$I39+1,OR($K39&lt;&gt;'計算A'!$A$3,'計算A'!$A$4=0)),AND(19=$I39-1,OR(19&lt;&gt;'計算A'!$A$3,'計算A'!$A$4=0))),0,IF(19=$K39,200000,ABS(19-$K39)*100)),100000+ABS(1-$J39)*1000+190)+'計算A'!V$5*50+IF(AND($E39=1,JI39=0),25,0),IF($F39&gt;0,INDEX('計算A'!V$110:V$114,$F39+1)+IF(AND($E39=1,JI39=0),1000,0),MIN(TU39,20)*400+(IF('計算A'!U$106=1,1-DS39,0)+IF('計算A'!V$106=1,1-DU39,0))*150+191+'計算A'!V$5*100000+IF(AND($E39=1,JI39=0),50000,0))+IF($H39=1,(IF('計算A'!U$117=1,INDEX('計算A'!U$10:U$54,$B39),0)+IF('計算A'!V$117=1,INDEX('計算A'!W$10:W$54,$B39),0))*4000,0)-IF(AND('計算A'!U$117=1,US39&gt;0),2000,0)-IF(AND($L39=1,'計算A'!V$117=1,DU39=0),2000,0))),1000000))</f>
        <v/>
      </c>
      <c r="OY39">
        <f>IF($B39=0,1000000,IF(INDEX('計算A'!$D$60:$EQ$104,$B39,20)*DU39=1,IF(AND($E39=2,JJ39=0),1000000,IF($I39&gt;0,IF(1=$J39,IF(OR(AND(20=$I39+1,OR($K39&lt;&gt;'計算A'!$A$3,'計算A'!$A$4=0)),AND(20=$I39-1,OR(20&lt;&gt;'計算A'!$A$3,'計算A'!$A$4=0))),0,IF(20=$K39,200000,ABS(20-$K39)*100)),100000+ABS(1-$J39)*1000+200)+'計算A'!W$5*50+IF(AND($E39=1,JJ39=0),25,0),IF($F39&gt;0,INDEX('計算A'!W$110:W$114,$F39+1)+IF(AND($E39=1,JJ39=0),1000,0),MIN(TU39,20)*400+(IF('計算A'!V$106=1,1-DT39,0)+IF('計算A'!W$106=1,1-DV39,0))*150+201+'計算A'!W$5*100000+IF(AND($E39=1,JJ39=0),50000,0))+IF($H39=1,(IF('計算A'!V$117=1,INDEX('計算A'!V$10:V$54,$B39),0)+IF('計算A'!W$117=1,INDEX('計算A'!X$10:X$54,$B39),0))*4000,0)-IF(AND('計算A'!V$117=1,UT39&gt;0),2000,0)-IF(AND($L39=1,'計算A'!W$117=1,DV39=0),2000,0))),1000000))</f>
        <v/>
      </c>
      <c r="OZ39">
        <f>IF($B39=0,1000000,IF(INDEX('計算A'!$D$60:$EQ$104,$B39,21)*DV39=1,IF(AND($E39=2,JK39=0),1000000,IF($I39&gt;0,IF(1=$J39,IF(OR(AND(21=$I39+1,OR($K39&lt;&gt;'計算A'!$A$3,'計算A'!$A$4=0)),AND(21=$I39-1,OR(21&lt;&gt;'計算A'!$A$3,'計算A'!$A$4=0))),0,IF(21=$K39,200000,ABS(21-$K39)*100)),100000+ABS(1-$J39)*1000+210)+'計算A'!X$5*50+IF(AND($E39=1,JK39=0),25,0),IF($F39&gt;0,INDEX('計算A'!X$110:X$114,$F39+1)+IF(AND($E39=1,JK39=0),1000,0),MIN(TU39,20)*400+(IF('計算A'!W$106=1,1-DU39,0)+IF('計算A'!X$106=1,1-DW39,0))*150+211+'計算A'!X$5*100000+IF(AND($E39=1,JK39=0),50000,0))+IF($H39=1,(IF('計算A'!W$117=1,INDEX('計算A'!W$10:W$54,$B39),0)+IF('計算A'!X$117=1,INDEX('計算A'!Y$10:Y$54,$B39),0))*4000,0)-IF(AND('計算A'!W$117=1,UU39&gt;0),2000,0)-IF(AND($L39=1,'計算A'!X$117=1,DW39=0),2000,0))),1000000))</f>
        <v/>
      </c>
      <c r="PA39">
        <f>IF($B39=0,1000000,IF(INDEX('計算A'!$D$60:$EQ$104,$B39,22)*DW39=1,IF(AND($E39=2,JL39=0),1000000,IF($I39&gt;0,IF(1=$J39,IF(OR(AND(22=$I39+1,OR($K39&lt;&gt;'計算A'!$A$3,'計算A'!$A$4=0)),AND(22=$I39-1,OR(22&lt;&gt;'計算A'!$A$3,'計算A'!$A$4=0))),0,IF(22=$K39,200000,ABS(22-$K39)*100)),100000+ABS(1-$J39)*1000+220)+'計算A'!Y$5*50+IF(AND($E39=1,JL39=0),25,0),IF($F39&gt;0,INDEX('計算A'!Y$110:Y$114,$F39+1)+IF(AND($E39=1,JL39=0),1000,0),MIN(TU39,20)*400+(IF('計算A'!X$106=1,1-DV39,0)+IF('計算A'!Y$106=1,1-DX39,0))*150+221+'計算A'!Y$5*100000+IF(AND($E39=1,JL39=0),50000,0))+IF($H39=1,(IF('計算A'!X$117=1,INDEX('計算A'!X$10:X$54,$B39),0)+IF('計算A'!Y$117=1,INDEX('計算A'!Z$10:Z$54,$B39),0))*4000,0)-IF(AND('計算A'!X$117=1,UV39&gt;0),2000,0)-IF(AND($L39=1,'計算A'!Y$117=1,DX39=0),2000,0))),1000000))</f>
        <v/>
      </c>
      <c r="PB39">
        <f>IF($B39=0,1000000,IF(INDEX('計算A'!$D$60:$EQ$104,$B39,23)*DX39=1,IF(AND($E39=2,JM39=0),1000000,IF($I39&gt;0,IF(1=$J39,IF(OR(AND(23=$I39+1,OR($K39&lt;&gt;'計算A'!$A$3,'計算A'!$A$4=0)),AND(23=$I39-1,OR(23&lt;&gt;'計算A'!$A$3,'計算A'!$A$4=0))),0,IF(23=$K39,200000,ABS(23-$K39)*100)),100000+ABS(1-$J39)*1000+230)+'計算A'!Z$5*50+IF(AND($E39=1,JM39=0),25,0),IF($F39&gt;0,INDEX('計算A'!Z$110:Z$114,$F39+1)+IF(AND($E39=1,JM39=0),1000,0),MIN(TU39,20)*400+(IF('計算A'!Y$106=1,1-DW39,0)+IF('計算A'!Z$106=1,1-DY39,0))*150+231+'計算A'!Z$5*100000+IF(AND($E39=1,JM39=0),50000,0))+IF($H39=1,(IF('計算A'!Y$117=1,INDEX('計算A'!Y$10:Y$54,$B39),0)+IF('計算A'!Z$117=1,INDEX('計算A'!AA$10:AA$54,$B39),0))*4000,0)-IF(AND('計算A'!Y$117=1,UW39&gt;0),2000,0)-IF(AND($L39=1,'計算A'!Z$117=1,DY39=0),2000,0))),1000000))</f>
        <v/>
      </c>
      <c r="PC39">
        <f>IF($B39=0,1000000,IF(INDEX('計算A'!$D$60:$EQ$104,$B39,24)*DY39=1,IF(AND($E39=2,JN39=0),1000000,IF($I39&gt;0,IF(1=$J39,IF(OR(AND(24=$I39+1,OR($K39&lt;&gt;'計算A'!$A$3,'計算A'!$A$4=0)),AND(24=$I39-1,OR(24&lt;&gt;'計算A'!$A$3,'計算A'!$A$4=0))),0,IF(24=$K39,200000,ABS(24-$K39)*100)),100000+ABS(1-$J39)*1000+240)+'計算A'!AA$5*50+IF(AND($E39=1,JN39=0),25,0),IF($F39&gt;0,INDEX('計算A'!AA$110:AA$114,$F39+1)+IF(AND($E39=1,JN39=0),1000,0),MIN(TU39,20)*400+(IF('計算A'!Z$106=1,1-DX39,0))*150+241+'計算A'!AA$5*100000+IF(AND($E39=1,JN39=0),50000,0))+IF($H39=1,(IF('計算A'!Z$117=1,INDEX('計算A'!Z$10:Z$54,$B39),0))*4000,0)-IF(AND('計算A'!Z$117=1,UX39&gt;0),2000,0))),1000000))</f>
        <v/>
      </c>
      <c r="PD39">
        <f>IF($B39=0,1000000,IF(INDEX('計算A'!$D$60:$EQ$104,$B39,25)*DZ39=1,IF(AND($E39=2,JO39=0),1000000,IF($I39&gt;0,IF(2=$J39,IF(OR(AND(25=$I39+1,OR($K39&lt;&gt;'計算A'!$A$3,'計算A'!$A$4=0)),AND(25=$I39-1,OR(1&lt;&gt;'計算A'!$A$3,'計算A'!$A$4=0))),0,IF(1=$K39,200000,ABS(1-$K39)*100)),100000+ABS(2-$J39)*1000+10)+'計算A'!AB$5*50+IF(AND($E39=1,JO39=0),25,0),IF($F39&gt;0,INDEX('計算A'!AB$110:AB$114,$F39+1)+IF(AND($E39=1,JO39=0),1000,0),MIN(TV39,20)*400+(IF('計算A'!AB$106=1,1-EA39,0))*150+12+'計算A'!AB$5*100000+IF(AND($E39=1,JO39=0),50000,0))+IF($H39=1,(IF('計算A'!AB$117=1,INDEX('計算A'!AC$10:AC$54,$B39),0))*4000,0)-IF(AND($L39=1,'計算A'!AB$117=1,EA39=0),2000,0))),1000000))</f>
        <v/>
      </c>
      <c r="PE39">
        <f>IF($B39=0,1000000,IF(INDEX('計算A'!$D$60:$EQ$104,$B39,26)*EA39=1,IF(AND($E39=2,JP39=0),1000000,IF($I39&gt;0,IF(2=$J39,IF(OR(AND(26=$I39+1,OR($K39&lt;&gt;'計算A'!$A$3,'計算A'!$A$4=0)),AND(26=$I39-1,OR(2&lt;&gt;'計算A'!$A$3,'計算A'!$A$4=0))),0,IF(2=$K39,200000,ABS(2-$K39)*100)),100000+ABS(2-$J39)*1000+20)+'計算A'!AC$5*50+IF(AND($E39=1,JP39=0),25,0),IF($F39&gt;0,INDEX('計算A'!AC$110:AC$114,$F39+1)+IF(AND($E39=1,JP39=0),1000,0),MIN(TV39,20)*400+(IF('計算A'!AB$106=1,1-DZ39,0)+IF('計算A'!AC$106=1,1-EB39,0))*150+22+'計算A'!AC$5*100000+IF(AND($E39=1,JP39=0),50000,0))+IF($H39=1,(IF('計算A'!AB$117=1,INDEX('計算A'!AB$10:AB$54,$B39),0)+IF('計算A'!AC$117=1,INDEX('計算A'!AD$10:AD$54,$B39),0))*4000,0)-IF(AND('計算A'!AB$117=1,UZ39&gt;0),2000,0)-IF(AND($L39=1,'計算A'!AC$117=1,EB39=0),2000,0))),1000000))</f>
        <v/>
      </c>
      <c r="PF39">
        <f>IF($B39=0,1000000,IF(INDEX('計算A'!$D$60:$EQ$104,$B39,27)*EB39=1,IF(AND($E39=2,JQ39=0),1000000,IF($I39&gt;0,IF(2=$J39,IF(OR(AND(27=$I39+1,OR($K39&lt;&gt;'計算A'!$A$3,'計算A'!$A$4=0)),AND(27=$I39-1,OR(3&lt;&gt;'計算A'!$A$3,'計算A'!$A$4=0))),0,IF(3=$K39,200000,ABS(3-$K39)*100)),100000+ABS(2-$J39)*1000+30)+'計算A'!AD$5*50+IF(AND($E39=1,JQ39=0),25,0),IF($F39&gt;0,INDEX('計算A'!AD$110:AD$114,$F39+1)+IF(AND($E39=1,JQ39=0),1000,0),MIN(TV39,20)*400+(IF('計算A'!AC$106=1,1-EA39,0)+IF('計算A'!AD$106=1,1-EC39,0))*150+32+'計算A'!AD$5*100000+IF(AND($E39=1,JQ39=0),50000,0))+IF($H39=1,(IF('計算A'!AC$117=1,INDEX('計算A'!AC$10:AC$54,$B39),0)+IF('計算A'!AD$117=1,INDEX('計算A'!AE$10:AE$54,$B39),0))*4000,0)-IF(AND('計算A'!AC$117=1,VA39&gt;0),2000,0)-IF(AND($L39=1,'計算A'!AD$117=1,EC39=0),2000,0))),1000000))</f>
        <v/>
      </c>
      <c r="PG39">
        <f>IF($B39=0,1000000,IF(INDEX('計算A'!$D$60:$EQ$104,$B39,28)*EC39=1,IF(AND($E39=2,JR39=0),1000000,IF($I39&gt;0,IF(2=$J39,IF(OR(AND(28=$I39+1,OR($K39&lt;&gt;'計算A'!$A$3,'計算A'!$A$4=0)),AND(28=$I39-1,OR(4&lt;&gt;'計算A'!$A$3,'計算A'!$A$4=0))),0,IF(4=$K39,200000,ABS(4-$K39)*100)),100000+ABS(2-$J39)*1000+40)+'計算A'!AE$5*50+IF(AND($E39=1,JR39=0),25,0),IF($F39&gt;0,INDEX('計算A'!AE$110:AE$114,$F39+1)+IF(AND($E39=1,JR39=0),1000,0),MIN(TV39,20)*400+(IF('計算A'!AD$106=1,1-EB39,0)+IF('計算A'!AE$106=1,1-ED39,0))*150+42+'計算A'!AE$5*100000+IF(AND($E39=1,JR39=0),50000,0))+IF($H39=1,(IF('計算A'!AD$117=1,INDEX('計算A'!AD$10:AD$54,$B39),0)+IF('計算A'!AE$117=1,INDEX('計算A'!AF$10:AF$54,$B39),0))*4000,0)-IF(AND('計算A'!AD$117=1,VB39&gt;0),2000,0)-IF(AND($L39=1,'計算A'!AE$117=1,ED39=0),2000,0))),1000000))</f>
        <v/>
      </c>
      <c r="PH39">
        <f>IF($B39=0,1000000,IF(INDEX('計算A'!$D$60:$EQ$104,$B39,29)*ED39=1,IF(AND($E39=2,JS39=0),1000000,IF($I39&gt;0,IF(2=$J39,IF(OR(AND(29=$I39+1,OR($K39&lt;&gt;'計算A'!$A$3,'計算A'!$A$4=0)),AND(29=$I39-1,OR(5&lt;&gt;'計算A'!$A$3,'計算A'!$A$4=0))),0,IF(5=$K39,200000,ABS(5-$K39)*100)),100000+ABS(2-$J39)*1000+50)+'計算A'!AF$5*50+IF(AND($E39=1,JS39=0),25,0),IF($F39&gt;0,INDEX('計算A'!AF$110:AF$114,$F39+1)+IF(AND($E39=1,JS39=0),1000,0),MIN(TV39,20)*400+(IF('計算A'!AE$106=1,1-EC39,0)+IF('計算A'!AF$106=1,1-EE39,0))*150+52+'計算A'!AF$5*100000+IF(AND($E39=1,JS39=0),50000,0))+IF($H39=1,(IF('計算A'!AE$117=1,INDEX('計算A'!AE$10:AE$54,$B39),0)+IF('計算A'!AF$117=1,INDEX('計算A'!AG$10:AG$54,$B39),0))*4000,0)-IF(AND('計算A'!AE$117=1,VC39&gt;0),2000,0)-IF(AND($L39=1,'計算A'!AF$117=1,EE39=0),2000,0))),1000000))</f>
        <v/>
      </c>
      <c r="PI39">
        <f>IF($B39=0,1000000,IF(INDEX('計算A'!$D$60:$EQ$104,$B39,30)*EE39=1,IF(AND($E39=2,JT39=0),1000000,IF($I39&gt;0,IF(2=$J39,IF(OR(AND(30=$I39+1,OR($K39&lt;&gt;'計算A'!$A$3,'計算A'!$A$4=0)),AND(30=$I39-1,OR(6&lt;&gt;'計算A'!$A$3,'計算A'!$A$4=0))),0,IF(6=$K39,200000,ABS(6-$K39)*100)),100000+ABS(2-$J39)*1000+60)+'計算A'!AG$5*50+IF(AND($E39=1,JT39=0),25,0),IF($F39&gt;0,INDEX('計算A'!AG$110:AG$114,$F39+1)+IF(AND($E39=1,JT39=0),1000,0),MIN(TV39,20)*400+(IF('計算A'!AF$106=1,1-ED39,0)+IF('計算A'!AG$106=1,1-EF39,0))*150+62+'計算A'!AG$5*100000+IF(AND($E39=1,JT39=0),50000,0))+IF($H39=1,(IF('計算A'!AF$117=1,INDEX('計算A'!AF$10:AF$54,$B39),0)+IF('計算A'!AG$117=1,INDEX('計算A'!AH$10:AH$54,$B39),0))*4000,0)-IF(AND('計算A'!AF$117=1,VD39&gt;0),2000,0)-IF(AND($L39=1,'計算A'!AG$117=1,EF39=0),2000,0))),1000000))</f>
        <v/>
      </c>
      <c r="PJ39">
        <f>IF($B39=0,1000000,IF(INDEX('計算A'!$D$60:$EQ$104,$B39,31)*EF39=1,IF(AND($E39=2,JU39=0),1000000,IF($I39&gt;0,IF(2=$J39,IF(OR(AND(31=$I39+1,OR($K39&lt;&gt;'計算A'!$A$3,'計算A'!$A$4=0)),AND(31=$I39-1,OR(7&lt;&gt;'計算A'!$A$3,'計算A'!$A$4=0))),0,IF(7=$K39,200000,ABS(7-$K39)*100)),100000+ABS(2-$J39)*1000+70)+'計算A'!AH$5*50+IF(AND($E39=1,JU39=0),25,0),IF($F39&gt;0,INDEX('計算A'!AH$110:AH$114,$F39+1)+IF(AND($E39=1,JU39=0),1000,0),MIN(TV39,20)*400+(IF('計算A'!AG$106=1,1-EE39,0)+IF('計算A'!AH$106=1,1-EG39,0))*150+72+'計算A'!AH$5*100000+IF(AND($E39=1,JU39=0),50000,0))+IF($H39=1,(IF('計算A'!AG$117=1,INDEX('計算A'!AG$10:AG$54,$B39),0)+IF('計算A'!AH$117=1,INDEX('計算A'!AI$10:AI$54,$B39),0))*4000,0)-IF(AND('計算A'!AG$117=1,VE39&gt;0),2000,0)-IF(AND($L39=1,'計算A'!AH$117=1,EG39=0),2000,0))),1000000))</f>
        <v/>
      </c>
      <c r="PK39">
        <f>IF($B39=0,1000000,IF(INDEX('計算A'!$D$60:$EQ$104,$B39,32)*EG39=1,IF(AND($E39=2,JV39=0),1000000,IF($I39&gt;0,IF(2=$J39,IF(OR(AND(32=$I39+1,OR($K39&lt;&gt;'計算A'!$A$3,'計算A'!$A$4=0)),AND(32=$I39-1,OR(8&lt;&gt;'計算A'!$A$3,'計算A'!$A$4=0))),0,IF(8=$K39,200000,ABS(8-$K39)*100)),100000+ABS(2-$J39)*1000+80)+'計算A'!AI$5*50+IF(AND($E39=1,JV39=0),25,0),IF($F39&gt;0,INDEX('計算A'!AI$110:AI$114,$F39+1)+IF(AND($E39=1,JV39=0),1000,0),MIN(TV39,20)*400+(IF('計算A'!AH$106=1,1-EF39,0)+IF('計算A'!AI$106=1,1-EH39,0))*150+82+'計算A'!AI$5*100000+IF(AND($E39=1,JV39=0),50000,0))+IF($H39=1,(IF('計算A'!AH$117=1,INDEX('計算A'!AH$10:AH$54,$B39),0)+IF('計算A'!AI$117=1,INDEX('計算A'!AJ$10:AJ$54,$B39),0))*4000,0)-IF(AND('計算A'!AH$117=1,VF39&gt;0),2000,0)-IF(AND($L39=1,'計算A'!AI$117=1,EH39=0),2000,0))),1000000))</f>
        <v/>
      </c>
      <c r="PL39">
        <f>IF($B39=0,1000000,IF(INDEX('計算A'!$D$60:$EQ$104,$B39,33)*EH39=1,IF(AND($E39=2,JW39=0),1000000,IF($I39&gt;0,IF(2=$J39,IF(OR(AND(33=$I39+1,OR($K39&lt;&gt;'計算A'!$A$3,'計算A'!$A$4=0)),AND(33=$I39-1,OR(9&lt;&gt;'計算A'!$A$3,'計算A'!$A$4=0))),0,IF(9=$K39,200000,ABS(9-$K39)*100)),100000+ABS(2-$J39)*1000+90)+'計算A'!AJ$5*50+IF(AND($E39=1,JW39=0),25,0),IF($F39&gt;0,INDEX('計算A'!AJ$110:AJ$114,$F39+1)+IF(AND($E39=1,JW39=0),1000,0),MIN(TV39,20)*400+(IF('計算A'!AI$106=1,1-EG39,0)+IF('計算A'!AJ$106=1,1-EI39,0))*150+92+'計算A'!AJ$5*100000+IF(AND($E39=1,JW39=0),50000,0))+IF($H39=1,(IF('計算A'!AI$117=1,INDEX('計算A'!AI$10:AI$54,$B39),0)+IF('計算A'!AJ$117=1,INDEX('計算A'!AK$10:AK$54,$B39),0))*4000,0)-IF(AND('計算A'!AI$117=1,VG39&gt;0),2000,0)-IF(AND($L39=1,'計算A'!AJ$117=1,EI39=0),2000,0))),1000000))</f>
        <v/>
      </c>
      <c r="PM39">
        <f>IF($B39=0,1000000,IF(INDEX('計算A'!$D$60:$EQ$104,$B39,34)*EI39=1,IF(AND($E39=2,JX39=0),1000000,IF($I39&gt;0,IF(2=$J39,IF(OR(AND(34=$I39+1,OR($K39&lt;&gt;'計算A'!$A$3,'計算A'!$A$4=0)),AND(34=$I39-1,OR(10&lt;&gt;'計算A'!$A$3,'計算A'!$A$4=0))),0,IF(10=$K39,200000,ABS(10-$K39)*100)),100000+ABS(2-$J39)*1000+100)+'計算A'!AK$5*50+IF(AND($E39=1,JX39=0),25,0),IF($F39&gt;0,INDEX('計算A'!AK$110:AK$114,$F39+1)+IF(AND($E39=1,JX39=0),1000,0),MIN(TV39,20)*400+(IF('計算A'!AJ$106=1,1-EH39,0)+IF('計算A'!AK$106=1,1-EJ39,0))*150+102+'計算A'!AK$5*100000+IF(AND($E39=1,JX39=0),50000,0))+IF($H39=1,(IF('計算A'!AJ$117=1,INDEX('計算A'!AJ$10:AJ$54,$B39),0)+IF('計算A'!AK$117=1,INDEX('計算A'!AL$10:AL$54,$B39),0))*4000,0)-IF(AND('計算A'!AJ$117=1,VH39&gt;0),2000,0)-IF(AND($L39=1,'計算A'!AK$117=1,EJ39=0),2000,0))),1000000))</f>
        <v/>
      </c>
      <c r="PN39">
        <f>IF($B39=0,1000000,IF(INDEX('計算A'!$D$60:$EQ$104,$B39,35)*EJ39=1,IF(AND($E39=2,JY39=0),1000000,IF($I39&gt;0,IF(2=$J39,IF(OR(AND(35=$I39+1,OR($K39&lt;&gt;'計算A'!$A$3,'計算A'!$A$4=0)),AND(35=$I39-1,OR(11&lt;&gt;'計算A'!$A$3,'計算A'!$A$4=0))),0,IF(11=$K39,200000,ABS(11-$K39)*100)),100000+ABS(2-$J39)*1000+110)+'計算A'!AL$5*50+IF(AND($E39=1,JY39=0),25,0),IF($F39&gt;0,INDEX('計算A'!AL$110:AL$114,$F39+1)+IF(AND($E39=1,JY39=0),1000,0),MIN(TV39,20)*400+(IF('計算A'!AK$106=1,1-EI39,0)+IF('計算A'!AL$106=1,1-EK39,0))*150+112+'計算A'!AL$5*100000+IF(AND($E39=1,JY39=0),50000,0))+IF($H39=1,(IF('計算A'!AK$117=1,INDEX('計算A'!AK$10:AK$54,$B39),0)+IF('計算A'!AL$117=1,INDEX('計算A'!AM$10:AM$54,$B39),0))*4000,0)-IF(AND('計算A'!AK$117=1,VI39&gt;0),2000,0)-IF(AND($L39=1,'計算A'!AL$117=1,EK39=0),2000,0))),1000000))</f>
        <v/>
      </c>
      <c r="PO39">
        <f>IF($B39=0,1000000,IF(INDEX('計算A'!$D$60:$EQ$104,$B39,36)*EK39=1,IF(AND($E39=2,JZ39=0),1000000,IF($I39&gt;0,IF(2=$J39,IF(OR(AND(36=$I39+1,OR($K39&lt;&gt;'計算A'!$A$3,'計算A'!$A$4=0)),AND(36=$I39-1,OR(12&lt;&gt;'計算A'!$A$3,'計算A'!$A$4=0))),0,IF(12=$K39,200000,ABS(12-$K39)*100)),100000+ABS(2-$J39)*1000+120)+'計算A'!AM$5*50+IF(AND($E39=1,JZ39=0),25,0),IF($F39&gt;0,INDEX('計算A'!AM$110:AM$114,$F39+1)+IF(AND($E39=1,JZ39=0),1000,0),MIN(TV39,20)*400+(IF('計算A'!AL$106=1,1-EJ39,0)+IF('計算A'!AM$106=1,1-EL39,0))*150+122+'計算A'!AM$5*100000+IF(AND($E39=1,JZ39=0),50000,0))+IF($H39=1,(IF('計算A'!AL$117=1,INDEX('計算A'!AL$10:AL$54,$B39),0)+IF('計算A'!AM$117=1,INDEX('計算A'!AN$10:AN$54,$B39),0))*4000,0)-IF(AND('計算A'!AL$117=1,VJ39&gt;0),2000,0)-IF(AND($L39=1,'計算A'!AM$117=1,EL39=0),2000,0))),1000000))</f>
        <v/>
      </c>
      <c r="PP39">
        <f>IF($B39=0,1000000,IF(INDEX('計算A'!$D$60:$EQ$104,$B39,37)*EL39=1,IF(AND($E39=2,KA39=0),1000000,IF($I39&gt;0,IF(2=$J39,IF(OR(AND(37=$I39+1,OR($K39&lt;&gt;'計算A'!$A$3,'計算A'!$A$4=0)),AND(37=$I39-1,OR(13&lt;&gt;'計算A'!$A$3,'計算A'!$A$4=0))),0,IF(13=$K39,200000,ABS(13-$K39)*100)),100000+ABS(2-$J39)*1000+130)+'計算A'!AN$5*50+IF(AND($E39=1,KA39=0),25,0),IF($F39&gt;0,INDEX('計算A'!AN$110:AN$114,$F39+1)+IF(AND($E39=1,KA39=0),1000,0),MIN(TV39,20)*400+(IF('計算A'!AM$106=1,1-EK39,0)+IF('計算A'!AN$106=1,1-EM39,0))*150+132+'計算A'!AN$5*100000+IF(AND($E39=1,KA39=0),50000,0))+IF($H39=1,(IF('計算A'!AM$117=1,INDEX('計算A'!AM$10:AM$54,$B39),0)+IF('計算A'!AN$117=1,INDEX('計算A'!AO$10:AO$54,$B39),0))*4000,0)-IF(AND('計算A'!AM$117=1,VK39&gt;0),2000,0)-IF(AND($L39=1,'計算A'!AN$117=1,EM39=0),2000,0))),1000000))</f>
        <v/>
      </c>
      <c r="PQ39">
        <f>IF($B39=0,1000000,IF(INDEX('計算A'!$D$60:$EQ$104,$B39,38)*EM39=1,IF(AND($E39=2,KB39=0),1000000,IF($I39&gt;0,IF(2=$J39,IF(OR(AND(38=$I39+1,OR($K39&lt;&gt;'計算A'!$A$3,'計算A'!$A$4=0)),AND(38=$I39-1,OR(14&lt;&gt;'計算A'!$A$3,'計算A'!$A$4=0))),0,IF(14=$K39,200000,ABS(14-$K39)*100)),100000+ABS(2-$J39)*1000+140)+'計算A'!AO$5*50+IF(AND($E39=1,KB39=0),25,0),IF($F39&gt;0,INDEX('計算A'!AO$110:AO$114,$F39+1)+IF(AND($E39=1,KB39=0),1000,0),MIN(TV39,20)*400+(IF('計算A'!AN$106=1,1-EL39,0)+IF('計算A'!AO$106=1,1-EN39,0))*150+142+'計算A'!AO$5*100000+IF(AND($E39=1,KB39=0),50000,0))+IF($H39=1,(IF('計算A'!AN$117=1,INDEX('計算A'!AN$10:AN$54,$B39),0)+IF('計算A'!AO$117=1,INDEX('計算A'!AP$10:AP$54,$B39),0))*4000,0)-IF(AND('計算A'!AN$117=1,VL39&gt;0),2000,0)-IF(AND($L39=1,'計算A'!AO$117=1,EN39=0),2000,0))),1000000))</f>
        <v/>
      </c>
      <c r="PR39">
        <f>IF($B39=0,1000000,IF(INDEX('計算A'!$D$60:$EQ$104,$B39,39)*EN39=1,IF(AND($E39=2,KC39=0),1000000,IF($I39&gt;0,IF(2=$J39,IF(OR(AND(39=$I39+1,OR($K39&lt;&gt;'計算A'!$A$3,'計算A'!$A$4=0)),AND(39=$I39-1,OR(15&lt;&gt;'計算A'!$A$3,'計算A'!$A$4=0))),0,IF(15=$K39,200000,ABS(15-$K39)*100)),100000+ABS(2-$J39)*1000+150)+'計算A'!AP$5*50+IF(AND($E39=1,KC39=0),25,0),IF($F39&gt;0,INDEX('計算A'!AP$110:AP$114,$F39+1)+IF(AND($E39=1,KC39=0),1000,0),MIN(TV39,20)*400+(IF('計算A'!AO$106=1,1-EM39,0)+IF('計算A'!AP$106=1,1-EO39,0))*150+152+'計算A'!AP$5*100000+IF(AND($E39=1,KC39=0),50000,0))+IF($H39=1,(IF('計算A'!AO$117=1,INDEX('計算A'!AO$10:AO$54,$B39),0)+IF('計算A'!AP$117=1,INDEX('計算A'!AQ$10:AQ$54,$B39),0))*4000,0)-IF(AND('計算A'!AO$117=1,VM39&gt;0),2000,0)-IF(AND($L39=1,'計算A'!AP$117=1,EO39=0),2000,0))),1000000))</f>
        <v/>
      </c>
      <c r="PS39">
        <f>IF($B39=0,1000000,IF(INDEX('計算A'!$D$60:$EQ$104,$B39,40)*EO39=1,IF(AND($E39=2,KD39=0),1000000,IF($I39&gt;0,IF(2=$J39,IF(OR(AND(40=$I39+1,OR($K39&lt;&gt;'計算A'!$A$3,'計算A'!$A$4=0)),AND(40=$I39-1,OR(16&lt;&gt;'計算A'!$A$3,'計算A'!$A$4=0))),0,IF(16=$K39,200000,ABS(16-$K39)*100)),100000+ABS(2-$J39)*1000+160)+'計算A'!AQ$5*50+IF(AND($E39=1,KD39=0),25,0),IF($F39&gt;0,INDEX('計算A'!AQ$110:AQ$114,$F39+1)+IF(AND($E39=1,KD39=0),1000,0),MIN(TV39,20)*400+(IF('計算A'!AP$106=1,1-EN39,0)+IF('計算A'!AQ$106=1,1-EP39,0))*150+162+'計算A'!AQ$5*100000+IF(AND($E39=1,KD39=0),50000,0))+IF($H39=1,(IF('計算A'!AP$117=1,INDEX('計算A'!AP$10:AP$54,$B39),0)+IF('計算A'!AQ$117=1,INDEX('計算A'!AR$10:AR$54,$B39),0))*4000,0)-IF(AND('計算A'!AP$117=1,VN39&gt;0),2000,0)-IF(AND($L39=1,'計算A'!AQ$117=1,EP39=0),2000,0))),1000000))</f>
        <v/>
      </c>
      <c r="PT39">
        <f>IF($B39=0,1000000,IF(INDEX('計算A'!$D$60:$EQ$104,$B39,41)*EP39=1,IF(AND($E39=2,KE39=0),1000000,IF($I39&gt;0,IF(2=$J39,IF(OR(AND(41=$I39+1,OR($K39&lt;&gt;'計算A'!$A$3,'計算A'!$A$4=0)),AND(41=$I39-1,OR(17&lt;&gt;'計算A'!$A$3,'計算A'!$A$4=0))),0,IF(17=$K39,200000,ABS(17-$K39)*100)),100000+ABS(2-$J39)*1000+170)+'計算A'!AR$5*50+IF(AND($E39=1,KE39=0),25,0),IF($F39&gt;0,INDEX('計算A'!AR$110:AR$114,$F39+1)+IF(AND($E39=1,KE39=0),1000,0),MIN(TV39,20)*400+(IF('計算A'!AQ$106=1,1-EO39,0)+IF('計算A'!AR$106=1,1-EQ39,0))*150+172+'計算A'!AR$5*100000+IF(AND($E39=1,KE39=0),50000,0))+IF($H39=1,(IF('計算A'!AQ$117=1,INDEX('計算A'!AQ$10:AQ$54,$B39),0)+IF('計算A'!AR$117=1,INDEX('計算A'!AS$10:AS$54,$B39),0))*4000,0)-IF(AND('計算A'!AQ$117=1,VO39&gt;0),2000,0)-IF(AND($L39=1,'計算A'!AR$117=1,EQ39=0),2000,0))),1000000))</f>
        <v/>
      </c>
      <c r="PU39">
        <f>IF($B39=0,1000000,IF(INDEX('計算A'!$D$60:$EQ$104,$B39,42)*EQ39=1,IF(AND($E39=2,KF39=0),1000000,IF($I39&gt;0,IF(2=$J39,IF(OR(AND(42=$I39+1,OR($K39&lt;&gt;'計算A'!$A$3,'計算A'!$A$4=0)),AND(42=$I39-1,OR(18&lt;&gt;'計算A'!$A$3,'計算A'!$A$4=0))),0,IF(18=$K39,200000,ABS(18-$K39)*100)),100000+ABS(2-$J39)*1000+180)+'計算A'!AS$5*50+IF(AND($E39=1,KF39=0),25,0),IF($F39&gt;0,INDEX('計算A'!AS$110:AS$114,$F39+1)+IF(AND($E39=1,KF39=0),1000,0),MIN(TV39,20)*400+(IF('計算A'!AR$106=1,1-EP39,0)+IF('計算A'!AS$106=1,1-ER39,0))*150+182+'計算A'!AS$5*100000+IF(AND($E39=1,KF39=0),50000,0))+IF($H39=1,(IF('計算A'!AR$117=1,INDEX('計算A'!AR$10:AR$54,$B39),0)+IF('計算A'!AS$117=1,INDEX('計算A'!AT$10:AT$54,$B39),0))*4000,0)-IF(AND('計算A'!AR$117=1,VP39&gt;0),2000,0)-IF(AND($L39=1,'計算A'!AS$117=1,ER39=0),2000,0))),1000000))</f>
        <v/>
      </c>
      <c r="PV39">
        <f>IF($B39=0,1000000,IF(INDEX('計算A'!$D$60:$EQ$104,$B39,43)*ER39=1,IF(AND($E39=2,KG39=0),1000000,IF($I39&gt;0,IF(2=$J39,IF(OR(AND(43=$I39+1,OR($K39&lt;&gt;'計算A'!$A$3,'計算A'!$A$4=0)),AND(43=$I39-1,OR(19&lt;&gt;'計算A'!$A$3,'計算A'!$A$4=0))),0,IF(19=$K39,200000,ABS(19-$K39)*100)),100000+ABS(2-$J39)*1000+190)+'計算A'!AT$5*50+IF(AND($E39=1,KG39=0),25,0),IF($F39&gt;0,INDEX('計算A'!AT$110:AT$114,$F39+1)+IF(AND($E39=1,KG39=0),1000,0),MIN(TV39,20)*400+(IF('計算A'!AS$106=1,1-EQ39,0)+IF('計算A'!AT$106=1,1-ES39,0))*150+192+'計算A'!AT$5*100000+IF(AND($E39=1,KG39=0),50000,0))+IF($H39=1,(IF('計算A'!AS$117=1,INDEX('計算A'!AS$10:AS$54,$B39),0)+IF('計算A'!AT$117=1,INDEX('計算A'!AU$10:AU$54,$B39),0))*4000,0)-IF(AND('計算A'!AS$117=1,VQ39&gt;0),2000,0)-IF(AND($L39=1,'計算A'!AT$117=1,ES39=0),2000,0))),1000000))</f>
        <v/>
      </c>
      <c r="PW39">
        <f>IF($B39=0,1000000,IF(INDEX('計算A'!$D$60:$EQ$104,$B39,44)*ES39=1,IF(AND($E39=2,KH39=0),1000000,IF($I39&gt;0,IF(2=$J39,IF(OR(AND(44=$I39+1,OR($K39&lt;&gt;'計算A'!$A$3,'計算A'!$A$4=0)),AND(44=$I39-1,OR(20&lt;&gt;'計算A'!$A$3,'計算A'!$A$4=0))),0,IF(20=$K39,200000,ABS(20-$K39)*100)),100000+ABS(2-$J39)*1000+200)+'計算A'!AU$5*50+IF(AND($E39=1,KH39=0),25,0),IF($F39&gt;0,INDEX('計算A'!AU$110:AU$114,$F39+1)+IF(AND($E39=1,KH39=0),1000,0),MIN(TV39,20)*400+(IF('計算A'!AT$106=1,1-ER39,0)+IF('計算A'!AU$106=1,1-ET39,0))*150+202+'計算A'!AU$5*100000+IF(AND($E39=1,KH39=0),50000,0))+IF($H39=1,(IF('計算A'!AT$117=1,INDEX('計算A'!AT$10:AT$54,$B39),0)+IF('計算A'!AU$117=1,INDEX('計算A'!AV$10:AV$54,$B39),0))*4000,0)-IF(AND('計算A'!AT$117=1,VR39&gt;0),2000,0)-IF(AND($L39=1,'計算A'!AU$117=1,ET39=0),2000,0))),1000000))</f>
        <v/>
      </c>
      <c r="PX39">
        <f>IF($B39=0,1000000,IF(INDEX('計算A'!$D$60:$EQ$104,$B39,45)*ET39=1,IF(AND($E39=2,KI39=0),1000000,IF($I39&gt;0,IF(2=$J39,IF(OR(AND(45=$I39+1,OR($K39&lt;&gt;'計算A'!$A$3,'計算A'!$A$4=0)),AND(45=$I39-1,OR(21&lt;&gt;'計算A'!$A$3,'計算A'!$A$4=0))),0,IF(21=$K39,200000,ABS(21-$K39)*100)),100000+ABS(2-$J39)*1000+210)+'計算A'!AV$5*50+IF(AND($E39=1,KI39=0),25,0),IF($F39&gt;0,INDEX('計算A'!AV$110:AV$114,$F39+1)+IF(AND($E39=1,KI39=0),1000,0),MIN(TV39,20)*400+(IF('計算A'!AU$106=1,1-ES39,0)+IF('計算A'!AV$106=1,1-EU39,0))*150+212+'計算A'!AV$5*100000+IF(AND($E39=1,KI39=0),50000,0))+IF($H39=1,(IF('計算A'!AU$117=1,INDEX('計算A'!AU$10:AU$54,$B39),0)+IF('計算A'!AV$117=1,INDEX('計算A'!AW$10:AW$54,$B39),0))*4000,0)-IF(AND('計算A'!AU$117=1,VS39&gt;0),2000,0)-IF(AND($L39=1,'計算A'!AV$117=1,EU39=0),2000,0))),1000000))</f>
        <v/>
      </c>
      <c r="PY39">
        <f>IF($B39=0,1000000,IF(INDEX('計算A'!$D$60:$EQ$104,$B39,46)*EU39=1,IF(AND($E39=2,KJ39=0),1000000,IF($I39&gt;0,IF(2=$J39,IF(OR(AND(46=$I39+1,OR($K39&lt;&gt;'計算A'!$A$3,'計算A'!$A$4=0)),AND(46=$I39-1,OR(22&lt;&gt;'計算A'!$A$3,'計算A'!$A$4=0))),0,IF(22=$K39,200000,ABS(22-$K39)*100)),100000+ABS(2-$J39)*1000+220)+'計算A'!AW$5*50+IF(AND($E39=1,KJ39=0),25,0),IF($F39&gt;0,INDEX('計算A'!AW$110:AW$114,$F39+1)+IF(AND($E39=1,KJ39=0),1000,0),MIN(TV39,20)*400+(IF('計算A'!AV$106=1,1-ET39,0)+IF('計算A'!AW$106=1,1-EV39,0))*150+222+'計算A'!AW$5*100000+IF(AND($E39=1,KJ39=0),50000,0))+IF($H39=1,(IF('計算A'!AV$117=1,INDEX('計算A'!AV$10:AV$54,$B39),0)+IF('計算A'!AW$117=1,INDEX('計算A'!AX$10:AX$54,$B39),0))*4000,0)-IF(AND('計算A'!AV$117=1,VT39&gt;0),2000,0)-IF(AND($L39=1,'計算A'!AW$117=1,EV39=0),2000,0))),1000000))</f>
        <v/>
      </c>
      <c r="PZ39">
        <f>IF($B39=0,1000000,IF(INDEX('計算A'!$D$60:$EQ$104,$B39,47)*EV39=1,IF(AND($E39=2,KK39=0),1000000,IF($I39&gt;0,IF(2=$J39,IF(OR(AND(47=$I39+1,OR($K39&lt;&gt;'計算A'!$A$3,'計算A'!$A$4=0)),AND(47=$I39-1,OR(23&lt;&gt;'計算A'!$A$3,'計算A'!$A$4=0))),0,IF(23=$K39,200000,ABS(23-$K39)*100)),100000+ABS(2-$J39)*1000+230)+'計算A'!AX$5*50+IF(AND($E39=1,KK39=0),25,0),IF($F39&gt;0,INDEX('計算A'!AX$110:AX$114,$F39+1)+IF(AND($E39=1,KK39=0),1000,0),MIN(TV39,20)*400+(IF('計算A'!AW$106=1,1-EU39,0)+IF('計算A'!AX$106=1,1-EW39,0))*150+232+'計算A'!AX$5*100000+IF(AND($E39=1,KK39=0),50000,0))+IF($H39=1,(IF('計算A'!AW$117=1,INDEX('計算A'!AW$10:AW$54,$B39),0)+IF('計算A'!AX$117=1,INDEX('計算A'!AY$10:AY$54,$B39),0))*4000,0)-IF(AND('計算A'!AW$117=1,VU39&gt;0),2000,0)-IF(AND($L39=1,'計算A'!AX$117=1,EW39=0),2000,0))),1000000))</f>
        <v/>
      </c>
      <c r="QA39">
        <f>IF($B39=0,1000000,IF(INDEX('計算A'!$D$60:$EQ$104,$B39,48)*EW39=1,IF(AND($E39=2,KL39=0),1000000,IF($I39&gt;0,IF(2=$J39,IF(OR(AND(48=$I39+1,OR($K39&lt;&gt;'計算A'!$A$3,'計算A'!$A$4=0)),AND(48=$I39-1,OR(24&lt;&gt;'計算A'!$A$3,'計算A'!$A$4=0))),0,IF(24=$K39,200000,ABS(24-$K39)*100)),100000+ABS(2-$J39)*1000+240)+'計算A'!AY$5*50+IF(AND($E39=1,KL39=0),25,0),IF($F39&gt;0,INDEX('計算A'!AY$110:AY$114,$F39+1)+IF(AND($E39=1,KL39=0),1000,0),MIN(TV39,20)*400+(IF('計算A'!AX$106=1,1-EV39,0))*150+242+'計算A'!AY$5*100000+IF(AND($E39=1,KL39=0),50000,0))+IF($H39=1,(IF('計算A'!AX$117=1,INDEX('計算A'!AX$10:AX$54,$B39),0))*4000,0)-IF(AND('計算A'!AX$117=1,VV39&gt;0),2000,0))),1000000))</f>
        <v/>
      </c>
      <c r="QB39">
        <f>IF($B39=0,1000000,IF(INDEX('計算A'!$D$60:$EQ$104,$B39,49)*EX39=1,IF(AND($E39=2,KM39=0),1000000,IF($I39&gt;0,IF(3=$J39,IF(OR(AND(49=$I39+1,OR($K39&lt;&gt;'計算A'!$A$3,'計算A'!$A$4=0)),AND(49=$I39-1,OR(1&lt;&gt;'計算A'!$A$3,'計算A'!$A$4=0))),0,IF(1=$K39,200000,ABS(1-$K39)*100)),100000+ABS(3-$J39)*1000+10)+'計算A'!AZ$5*50+IF(AND($E39=1,KM39=0),25,0),IF($F39&gt;0,INDEX('計算A'!AZ$110:AZ$114,$F39+1)+IF(AND($E39=1,KM39=0),1000,0),MIN(TW39,20)*400+(IF('計算A'!AZ$106=1,1-EY39,0))*150+13+'計算A'!AZ$5*100000+IF(AND($E39=1,KM39=0),50000,0))+IF($H39=1,(IF('計算A'!AZ$117=1,INDEX('計算A'!BA$10:BA$54,$B39),0))*4000,0)-IF(AND($L39=1,'計算A'!AZ$117=1,EY39=0),2000,0))),1000000))</f>
        <v/>
      </c>
      <c r="QC39">
        <f>IF($B39=0,1000000,IF(INDEX('計算A'!$D$60:$EQ$104,$B39,50)*EY39=1,IF(AND($E39=2,KN39=0),1000000,IF($I39&gt;0,IF(3=$J39,IF(OR(AND(50=$I39+1,OR($K39&lt;&gt;'計算A'!$A$3,'計算A'!$A$4=0)),AND(50=$I39-1,OR(2&lt;&gt;'計算A'!$A$3,'計算A'!$A$4=0))),0,IF(2=$K39,200000,ABS(2-$K39)*100)),100000+ABS(3-$J39)*1000+20)+'計算A'!BA$5*50+IF(AND($E39=1,KN39=0),25,0),IF($F39&gt;0,INDEX('計算A'!BA$110:BA$114,$F39+1)+IF(AND($E39=1,KN39=0),1000,0),MIN(TW39,20)*400+(IF('計算A'!AZ$106=1,1-EX39,0)+IF('計算A'!BA$106=1,1-EZ39,0))*150+23+'計算A'!BA$5*100000+IF(AND($E39=1,KN39=0),50000,0))+IF($H39=1,(IF('計算A'!AZ$117=1,INDEX('計算A'!AZ$10:AZ$54,$B39),0)+IF('計算A'!BA$117=1,INDEX('計算A'!BB$10:BB$54,$B39),0))*4000,0)-IF(AND('計算A'!AZ$117=1,VX39&gt;0),2000,0)-IF(AND($L39=1,'計算A'!BA$117=1,EZ39=0),2000,0))),1000000))</f>
        <v/>
      </c>
      <c r="QD39">
        <f>IF($B39=0,1000000,IF(INDEX('計算A'!$D$60:$EQ$104,$B39,51)*EZ39=1,IF(AND($E39=2,KO39=0),1000000,IF($I39&gt;0,IF(3=$J39,IF(OR(AND(51=$I39+1,OR($K39&lt;&gt;'計算A'!$A$3,'計算A'!$A$4=0)),AND(51=$I39-1,OR(3&lt;&gt;'計算A'!$A$3,'計算A'!$A$4=0))),0,IF(3=$K39,200000,ABS(3-$K39)*100)),100000+ABS(3-$J39)*1000+30)+'計算A'!BB$5*50+IF(AND($E39=1,KO39=0),25,0),IF($F39&gt;0,INDEX('計算A'!BB$110:BB$114,$F39+1)+IF(AND($E39=1,KO39=0),1000,0),MIN(TW39,20)*400+(IF('計算A'!BA$106=1,1-EY39,0)+IF('計算A'!BB$106=1,1-FA39,0))*150+33+'計算A'!BB$5*100000+IF(AND($E39=1,KO39=0),50000,0))+IF($H39=1,(IF('計算A'!BA$117=1,INDEX('計算A'!BA$10:BA$54,$B39),0)+IF('計算A'!BB$117=1,INDEX('計算A'!BC$10:BC$54,$B39),0))*4000,0)-IF(AND('計算A'!BA$117=1,VY39&gt;0),2000,0)-IF(AND($L39=1,'計算A'!BB$117=1,FA39=0),2000,0))),1000000))</f>
        <v/>
      </c>
      <c r="QE39">
        <f>IF($B39=0,1000000,IF(INDEX('計算A'!$D$60:$EQ$104,$B39,52)*FA39=1,IF(AND($E39=2,KP39=0),1000000,IF($I39&gt;0,IF(3=$J39,IF(OR(AND(52=$I39+1,OR($K39&lt;&gt;'計算A'!$A$3,'計算A'!$A$4=0)),AND(52=$I39-1,OR(4&lt;&gt;'計算A'!$A$3,'計算A'!$A$4=0))),0,IF(4=$K39,200000,ABS(4-$K39)*100)),100000+ABS(3-$J39)*1000+40)+'計算A'!BC$5*50+IF(AND($E39=1,KP39=0),25,0),IF($F39&gt;0,INDEX('計算A'!BC$110:BC$114,$F39+1)+IF(AND($E39=1,KP39=0),1000,0),MIN(TW39,20)*400+(IF('計算A'!BB$106=1,1-EZ39,0)+IF('計算A'!BC$106=1,1-FB39,0))*150+43+'計算A'!BC$5*100000+IF(AND($E39=1,KP39=0),50000,0))+IF($H39=1,(IF('計算A'!BB$117=1,INDEX('計算A'!BB$10:BB$54,$B39),0)+IF('計算A'!BC$117=1,INDEX('計算A'!BD$10:BD$54,$B39),0))*4000,0)-IF(AND('計算A'!BB$117=1,VZ39&gt;0),2000,0)-IF(AND($L39=1,'計算A'!BC$117=1,FB39=0),2000,0))),1000000))</f>
        <v/>
      </c>
      <c r="QF39">
        <f>IF($B39=0,1000000,IF(INDEX('計算A'!$D$60:$EQ$104,$B39,53)*FB39=1,IF(AND($E39=2,KQ39=0),1000000,IF($I39&gt;0,IF(3=$J39,IF(OR(AND(53=$I39+1,OR($K39&lt;&gt;'計算A'!$A$3,'計算A'!$A$4=0)),AND(53=$I39-1,OR(5&lt;&gt;'計算A'!$A$3,'計算A'!$A$4=0))),0,IF(5=$K39,200000,ABS(5-$K39)*100)),100000+ABS(3-$J39)*1000+50)+'計算A'!BD$5*50+IF(AND($E39=1,KQ39=0),25,0),IF($F39&gt;0,INDEX('計算A'!BD$110:BD$114,$F39+1)+IF(AND($E39=1,KQ39=0),1000,0),MIN(TW39,20)*400+(IF('計算A'!BC$106=1,1-FA39,0)+IF('計算A'!BD$106=1,1-FC39,0))*150+53+'計算A'!BD$5*100000+IF(AND($E39=1,KQ39=0),50000,0))+IF($H39=1,(IF('計算A'!BC$117=1,INDEX('計算A'!BC$10:BC$54,$B39),0)+IF('計算A'!BD$117=1,INDEX('計算A'!BE$10:BE$54,$B39),0))*4000,0)-IF(AND('計算A'!BC$117=1,WA39&gt;0),2000,0)-IF(AND($L39=1,'計算A'!BD$117=1,FC39=0),2000,0))),1000000))</f>
        <v/>
      </c>
      <c r="QG39">
        <f>IF($B39=0,1000000,IF(INDEX('計算A'!$D$60:$EQ$104,$B39,54)*FC39=1,IF(AND($E39=2,KR39=0),1000000,IF($I39&gt;0,IF(3=$J39,IF(OR(AND(54=$I39+1,OR($K39&lt;&gt;'計算A'!$A$3,'計算A'!$A$4=0)),AND(54=$I39-1,OR(6&lt;&gt;'計算A'!$A$3,'計算A'!$A$4=0))),0,IF(6=$K39,200000,ABS(6-$K39)*100)),100000+ABS(3-$J39)*1000+60)+'計算A'!BE$5*50+IF(AND($E39=1,KR39=0),25,0),IF($F39&gt;0,INDEX('計算A'!BE$110:BE$114,$F39+1)+IF(AND($E39=1,KR39=0),1000,0),MIN(TW39,20)*400+(IF('計算A'!BD$106=1,1-FB39,0)+IF('計算A'!BE$106=1,1-FD39,0))*150+63+'計算A'!BE$5*100000+IF(AND($E39=1,KR39=0),50000,0))+IF($H39=1,(IF('計算A'!BD$117=1,INDEX('計算A'!BD$10:BD$54,$B39),0)+IF('計算A'!BE$117=1,INDEX('計算A'!BF$10:BF$54,$B39),0))*4000,0)-IF(AND('計算A'!BD$117=1,WB39&gt;0),2000,0)-IF(AND($L39=1,'計算A'!BE$117=1,FD39=0),2000,0))),1000000))</f>
        <v/>
      </c>
      <c r="QH39">
        <f>IF($B39=0,1000000,IF(INDEX('計算A'!$D$60:$EQ$104,$B39,55)*FD39=1,IF(AND($E39=2,KS39=0),1000000,IF($I39&gt;0,IF(3=$J39,IF(OR(AND(55=$I39+1,OR($K39&lt;&gt;'計算A'!$A$3,'計算A'!$A$4=0)),AND(55=$I39-1,OR(7&lt;&gt;'計算A'!$A$3,'計算A'!$A$4=0))),0,IF(7=$K39,200000,ABS(7-$K39)*100)),100000+ABS(3-$J39)*1000+70)+'計算A'!BF$5*50+IF(AND($E39=1,KS39=0),25,0),IF($F39&gt;0,INDEX('計算A'!BF$110:BF$114,$F39+1)+IF(AND($E39=1,KS39=0),1000,0),MIN(TW39,20)*400+(IF('計算A'!BE$106=1,1-FC39,0)+IF('計算A'!BF$106=1,1-FE39,0))*150+73+'計算A'!BF$5*100000+IF(AND($E39=1,KS39=0),50000,0))+IF($H39=1,(IF('計算A'!BE$117=1,INDEX('計算A'!BE$10:BE$54,$B39),0)+IF('計算A'!BF$117=1,INDEX('計算A'!BG$10:BG$54,$B39),0))*4000,0)-IF(AND('計算A'!BE$117=1,WC39&gt;0),2000,0)-IF(AND($L39=1,'計算A'!BF$117=1,FE39=0),2000,0))),1000000))</f>
        <v/>
      </c>
      <c r="QI39">
        <f>IF($B39=0,1000000,IF(INDEX('計算A'!$D$60:$EQ$104,$B39,56)*FE39=1,IF(AND($E39=2,KT39=0),1000000,IF($I39&gt;0,IF(3=$J39,IF(OR(AND(56=$I39+1,OR($K39&lt;&gt;'計算A'!$A$3,'計算A'!$A$4=0)),AND(56=$I39-1,OR(8&lt;&gt;'計算A'!$A$3,'計算A'!$A$4=0))),0,IF(8=$K39,200000,ABS(8-$K39)*100)),100000+ABS(3-$J39)*1000+80)+'計算A'!BG$5*50+IF(AND($E39=1,KT39=0),25,0),IF($F39&gt;0,INDEX('計算A'!BG$110:BG$114,$F39+1)+IF(AND($E39=1,KT39=0),1000,0),MIN(TW39,20)*400+(IF('計算A'!BF$106=1,1-FD39,0)+IF('計算A'!BG$106=1,1-FF39,0))*150+83+'計算A'!BG$5*100000+IF(AND($E39=1,KT39=0),50000,0))+IF($H39=1,(IF('計算A'!BF$117=1,INDEX('計算A'!BF$10:BF$54,$B39),0)+IF('計算A'!BG$117=1,INDEX('計算A'!BH$10:BH$54,$B39),0))*4000,0)-IF(AND('計算A'!BF$117=1,WD39&gt;0),2000,0)-IF(AND($L39=1,'計算A'!BG$117=1,FF39=0),2000,0))),1000000))</f>
        <v/>
      </c>
      <c r="QJ39">
        <f>IF($B39=0,1000000,IF(INDEX('計算A'!$D$60:$EQ$104,$B39,57)*FF39=1,IF(AND($E39=2,KU39=0),1000000,IF($I39&gt;0,IF(3=$J39,IF(OR(AND(57=$I39+1,OR($K39&lt;&gt;'計算A'!$A$3,'計算A'!$A$4=0)),AND(57=$I39-1,OR(9&lt;&gt;'計算A'!$A$3,'計算A'!$A$4=0))),0,IF(9=$K39,200000,ABS(9-$K39)*100)),100000+ABS(3-$J39)*1000+90)+'計算A'!BH$5*50+IF(AND($E39=1,KU39=0),25,0),IF($F39&gt;0,INDEX('計算A'!BH$110:BH$114,$F39+1)+IF(AND($E39=1,KU39=0),1000,0),MIN(TW39,20)*400+(IF('計算A'!BG$106=1,1-FE39,0)+IF('計算A'!BH$106=1,1-FG39,0))*150+93+'計算A'!BH$5*100000+IF(AND($E39=1,KU39=0),50000,0))+IF($H39=1,(IF('計算A'!BG$117=1,INDEX('計算A'!BG$10:BG$54,$B39),0)+IF('計算A'!BH$117=1,INDEX('計算A'!BI$10:BI$54,$B39),0))*4000,0)-IF(AND('計算A'!BG$117=1,WE39&gt;0),2000,0)-IF(AND($L39=1,'計算A'!BH$117=1,FG39=0),2000,0))),1000000))</f>
        <v/>
      </c>
      <c r="QK39">
        <f>IF($B39=0,1000000,IF(INDEX('計算A'!$D$60:$EQ$104,$B39,58)*FG39=1,IF(AND($E39=2,KV39=0),1000000,IF($I39&gt;0,IF(3=$J39,IF(OR(AND(58=$I39+1,OR($K39&lt;&gt;'計算A'!$A$3,'計算A'!$A$4=0)),AND(58=$I39-1,OR(10&lt;&gt;'計算A'!$A$3,'計算A'!$A$4=0))),0,IF(10=$K39,200000,ABS(10-$K39)*100)),100000+ABS(3-$J39)*1000+100)+'計算A'!BI$5*50+IF(AND($E39=1,KV39=0),25,0),IF($F39&gt;0,INDEX('計算A'!BI$110:BI$114,$F39+1)+IF(AND($E39=1,KV39=0),1000,0),MIN(TW39,20)*400+(IF('計算A'!BH$106=1,1-FF39,0)+IF('計算A'!BI$106=1,1-FH39,0))*150+103+'計算A'!BI$5*100000+IF(AND($E39=1,KV39=0),50000,0))+IF($H39=1,(IF('計算A'!BH$117=1,INDEX('計算A'!BH$10:BH$54,$B39),0)+IF('計算A'!BI$117=1,INDEX('計算A'!BJ$10:BJ$54,$B39),0))*4000,0)-IF(AND('計算A'!BH$117=1,WF39&gt;0),2000,0)-IF(AND($L39=1,'計算A'!BI$117=1,FH39=0),2000,0))),1000000))</f>
        <v/>
      </c>
      <c r="QL39">
        <f>IF($B39=0,1000000,IF(INDEX('計算A'!$D$60:$EQ$104,$B39,59)*FH39=1,IF(AND($E39=2,KW39=0),1000000,IF($I39&gt;0,IF(3=$J39,IF(OR(AND(59=$I39+1,OR($K39&lt;&gt;'計算A'!$A$3,'計算A'!$A$4=0)),AND(59=$I39-1,OR(11&lt;&gt;'計算A'!$A$3,'計算A'!$A$4=0))),0,IF(11=$K39,200000,ABS(11-$K39)*100)),100000+ABS(3-$J39)*1000+110)+'計算A'!BJ$5*50+IF(AND($E39=1,KW39=0),25,0),IF($F39&gt;0,INDEX('計算A'!BJ$110:BJ$114,$F39+1)+IF(AND($E39=1,KW39=0),1000,0),MIN(TW39,20)*400+(IF('計算A'!BI$106=1,1-FG39,0)+IF('計算A'!BJ$106=1,1-FI39,0))*150+113+'計算A'!BJ$5*100000+IF(AND($E39=1,KW39=0),50000,0))+IF($H39=1,(IF('計算A'!BI$117=1,INDEX('計算A'!BI$10:BI$54,$B39),0)+IF('計算A'!BJ$117=1,INDEX('計算A'!BK$10:BK$54,$B39),0))*4000,0)-IF(AND('計算A'!BI$117=1,WG39&gt;0),2000,0)-IF(AND($L39=1,'計算A'!BJ$117=1,FI39=0),2000,0))),1000000))</f>
        <v/>
      </c>
      <c r="QM39">
        <f>IF($B39=0,1000000,IF(INDEX('計算A'!$D$60:$EQ$104,$B39,60)*FI39=1,IF(AND($E39=2,KX39=0),1000000,IF($I39&gt;0,IF(3=$J39,IF(OR(AND(60=$I39+1,OR($K39&lt;&gt;'計算A'!$A$3,'計算A'!$A$4=0)),AND(60=$I39-1,OR(12&lt;&gt;'計算A'!$A$3,'計算A'!$A$4=0))),0,IF(12=$K39,200000,ABS(12-$K39)*100)),100000+ABS(3-$J39)*1000+120)+'計算A'!BK$5*50+IF(AND($E39=1,KX39=0),25,0),IF($F39&gt;0,INDEX('計算A'!BK$110:BK$114,$F39+1)+IF(AND($E39=1,KX39=0),1000,0),MIN(TW39,20)*400+(IF('計算A'!BJ$106=1,1-FH39,0)+IF('計算A'!BK$106=1,1-FJ39,0))*150+123+'計算A'!BK$5*100000+IF(AND($E39=1,KX39=0),50000,0))+IF($H39=1,(IF('計算A'!BJ$117=1,INDEX('計算A'!BJ$10:BJ$54,$B39),0)+IF('計算A'!BK$117=1,INDEX('計算A'!BL$10:BL$54,$B39),0))*4000,0)-IF(AND('計算A'!BJ$117=1,WH39&gt;0),2000,0)-IF(AND($L39=1,'計算A'!BK$117=1,FJ39=0),2000,0))),1000000))</f>
        <v/>
      </c>
      <c r="QN39">
        <f>IF($B39=0,1000000,IF(INDEX('計算A'!$D$60:$EQ$104,$B39,61)*FJ39=1,IF(AND($E39=2,KY39=0),1000000,IF($I39&gt;0,IF(3=$J39,IF(OR(AND(61=$I39+1,OR($K39&lt;&gt;'計算A'!$A$3,'計算A'!$A$4=0)),AND(61=$I39-1,OR(13&lt;&gt;'計算A'!$A$3,'計算A'!$A$4=0))),0,IF(13=$K39,200000,ABS(13-$K39)*100)),100000+ABS(3-$J39)*1000+130)+'計算A'!BL$5*50+IF(AND($E39=1,KY39=0),25,0),IF($F39&gt;0,INDEX('計算A'!BL$110:BL$114,$F39+1)+IF(AND($E39=1,KY39=0),1000,0),MIN(TW39,20)*400+(IF('計算A'!BK$106=1,1-FI39,0)+IF('計算A'!BL$106=1,1-FK39,0))*150+133+'計算A'!BL$5*100000+IF(AND($E39=1,KY39=0),50000,0))+IF($H39=1,(IF('計算A'!BK$117=1,INDEX('計算A'!BK$10:BK$54,$B39),0)+IF('計算A'!BL$117=1,INDEX('計算A'!BM$10:BM$54,$B39),0))*4000,0)-IF(AND('計算A'!BK$117=1,WI39&gt;0),2000,0)-IF(AND($L39=1,'計算A'!BL$117=1,FK39=0),2000,0))),1000000))</f>
        <v/>
      </c>
      <c r="QO39">
        <f>IF($B39=0,1000000,IF(INDEX('計算A'!$D$60:$EQ$104,$B39,62)*FK39=1,IF(AND($E39=2,KZ39=0),1000000,IF($I39&gt;0,IF(3=$J39,IF(OR(AND(62=$I39+1,OR($K39&lt;&gt;'計算A'!$A$3,'計算A'!$A$4=0)),AND(62=$I39-1,OR(14&lt;&gt;'計算A'!$A$3,'計算A'!$A$4=0))),0,IF(14=$K39,200000,ABS(14-$K39)*100)),100000+ABS(3-$J39)*1000+140)+'計算A'!BM$5*50+IF(AND($E39=1,KZ39=0),25,0),IF($F39&gt;0,INDEX('計算A'!BM$110:BM$114,$F39+1)+IF(AND($E39=1,KZ39=0),1000,0),MIN(TW39,20)*400+(IF('計算A'!BL$106=1,1-FJ39,0)+IF('計算A'!BM$106=1,1-FL39,0))*150+143+'計算A'!BM$5*100000+IF(AND($E39=1,KZ39=0),50000,0))+IF($H39=1,(IF('計算A'!BL$117=1,INDEX('計算A'!BL$10:BL$54,$B39),0)+IF('計算A'!BM$117=1,INDEX('計算A'!BN$10:BN$54,$B39),0))*4000,0)-IF(AND('計算A'!BL$117=1,WJ39&gt;0),2000,0)-IF(AND($L39=1,'計算A'!BM$117=1,FL39=0),2000,0))),1000000))</f>
        <v/>
      </c>
      <c r="QP39">
        <f>IF($B39=0,1000000,IF(INDEX('計算A'!$D$60:$EQ$104,$B39,63)*FL39=1,IF(AND($E39=2,LA39=0),1000000,IF($I39&gt;0,IF(3=$J39,IF(OR(AND(63=$I39+1,OR($K39&lt;&gt;'計算A'!$A$3,'計算A'!$A$4=0)),AND(63=$I39-1,OR(15&lt;&gt;'計算A'!$A$3,'計算A'!$A$4=0))),0,IF(15=$K39,200000,ABS(15-$K39)*100)),100000+ABS(3-$J39)*1000+150)+'計算A'!BN$5*50+IF(AND($E39=1,LA39=0),25,0),IF($F39&gt;0,INDEX('計算A'!BN$110:BN$114,$F39+1)+IF(AND($E39=1,LA39=0),1000,0),MIN(TW39,20)*400+(IF('計算A'!BM$106=1,1-FK39,0)+IF('計算A'!BN$106=1,1-FM39,0))*150+153+'計算A'!BN$5*100000+IF(AND($E39=1,LA39=0),50000,0))+IF($H39=1,(IF('計算A'!BM$117=1,INDEX('計算A'!BM$10:BM$54,$B39),0)+IF('計算A'!BN$117=1,INDEX('計算A'!BO$10:BO$54,$B39),0))*4000,0)-IF(AND('計算A'!BM$117=1,WK39&gt;0),2000,0)-IF(AND($L39=1,'計算A'!BN$117=1,FM39=0),2000,0))),1000000))</f>
        <v/>
      </c>
      <c r="QQ39">
        <f>IF($B39=0,1000000,IF(INDEX('計算A'!$D$60:$EQ$104,$B39,64)*FM39=1,IF(AND($E39=2,LB39=0),1000000,IF($I39&gt;0,IF(3=$J39,IF(OR(AND(64=$I39+1,OR($K39&lt;&gt;'計算A'!$A$3,'計算A'!$A$4=0)),AND(64=$I39-1,OR(16&lt;&gt;'計算A'!$A$3,'計算A'!$A$4=0))),0,IF(16=$K39,200000,ABS(16-$K39)*100)),100000+ABS(3-$J39)*1000+160)+'計算A'!BO$5*50+IF(AND($E39=1,LB39=0),25,0),IF($F39&gt;0,INDEX('計算A'!BO$110:BO$114,$F39+1)+IF(AND($E39=1,LB39=0),1000,0),MIN(TW39,20)*400+(IF('計算A'!BN$106=1,1-FL39,0)+IF('計算A'!BO$106=1,1-FN39,0))*150+163+'計算A'!BO$5*100000+IF(AND($E39=1,LB39=0),50000,0))+IF($H39=1,(IF('計算A'!BN$117=1,INDEX('計算A'!BN$10:BN$54,$B39),0)+IF('計算A'!BO$117=1,INDEX('計算A'!BP$10:BP$54,$B39),0))*4000,0)-IF(AND('計算A'!BN$117=1,WL39&gt;0),2000,0)-IF(AND($L39=1,'計算A'!BO$117=1,FN39=0),2000,0))),1000000))</f>
        <v/>
      </c>
      <c r="QR39">
        <f>IF($B39=0,1000000,IF(INDEX('計算A'!$D$60:$EQ$104,$B39,65)*FN39=1,IF(AND($E39=2,LC39=0),1000000,IF($I39&gt;0,IF(3=$J39,IF(OR(AND(65=$I39+1,OR($K39&lt;&gt;'計算A'!$A$3,'計算A'!$A$4=0)),AND(65=$I39-1,OR(17&lt;&gt;'計算A'!$A$3,'計算A'!$A$4=0))),0,IF(17=$K39,200000,ABS(17-$K39)*100)),100000+ABS(3-$J39)*1000+170)+'計算A'!BP$5*50+IF(AND($E39=1,LC39=0),25,0),IF($F39&gt;0,INDEX('計算A'!BP$110:BP$114,$F39+1)+IF(AND($E39=1,LC39=0),1000,0),MIN(TW39,20)*400+(IF('計算A'!BO$106=1,1-FM39,0)+IF('計算A'!BP$106=1,1-FO39,0))*150+173+'計算A'!BP$5*100000+IF(AND($E39=1,LC39=0),50000,0))+IF($H39=1,(IF('計算A'!BO$117=1,INDEX('計算A'!BO$10:BO$54,$B39),0)+IF('計算A'!BP$117=1,INDEX('計算A'!BQ$10:BQ$54,$B39),0))*4000,0)-IF(AND('計算A'!BO$117=1,WM39&gt;0),2000,0)-IF(AND($L39=1,'計算A'!BP$117=1,FO39=0),2000,0))),1000000))</f>
        <v/>
      </c>
      <c r="QS39">
        <f>IF($B39=0,1000000,IF(INDEX('計算A'!$D$60:$EQ$104,$B39,66)*FO39=1,IF(AND($E39=2,LD39=0),1000000,IF($I39&gt;0,IF(3=$J39,IF(OR(AND(66=$I39+1,OR($K39&lt;&gt;'計算A'!$A$3,'計算A'!$A$4=0)),AND(66=$I39-1,OR(18&lt;&gt;'計算A'!$A$3,'計算A'!$A$4=0))),0,IF(18=$K39,200000,ABS(18-$K39)*100)),100000+ABS(3-$J39)*1000+180)+'計算A'!BQ$5*50+IF(AND($E39=1,LD39=0),25,0),IF($F39&gt;0,INDEX('計算A'!BQ$110:BQ$114,$F39+1)+IF(AND($E39=1,LD39=0),1000,0),MIN(TW39,20)*400+(IF('計算A'!BP$106=1,1-FN39,0)+IF('計算A'!BQ$106=1,1-FP39,0))*150+183+'計算A'!BQ$5*100000+IF(AND($E39=1,LD39=0),50000,0))+IF($H39=1,(IF('計算A'!BP$117=1,INDEX('計算A'!BP$10:BP$54,$B39),0)+IF('計算A'!BQ$117=1,INDEX('計算A'!BR$10:BR$54,$B39),0))*4000,0)-IF(AND('計算A'!BP$117=1,WN39&gt;0),2000,0)-IF(AND($L39=1,'計算A'!BQ$117=1,FP39=0),2000,0))),1000000))</f>
        <v/>
      </c>
      <c r="QT39">
        <f>IF($B39=0,1000000,IF(INDEX('計算A'!$D$60:$EQ$104,$B39,67)*FP39=1,IF(AND($E39=2,LE39=0),1000000,IF($I39&gt;0,IF(3=$J39,IF(OR(AND(67=$I39+1,OR($K39&lt;&gt;'計算A'!$A$3,'計算A'!$A$4=0)),AND(67=$I39-1,OR(19&lt;&gt;'計算A'!$A$3,'計算A'!$A$4=0))),0,IF(19=$K39,200000,ABS(19-$K39)*100)),100000+ABS(3-$J39)*1000+190)+'計算A'!BR$5*50+IF(AND($E39=1,LE39=0),25,0),IF($F39&gt;0,INDEX('計算A'!BR$110:BR$114,$F39+1)+IF(AND($E39=1,LE39=0),1000,0),MIN(TW39,20)*400+(IF('計算A'!BQ$106=1,1-FO39,0)+IF('計算A'!BR$106=1,1-FQ39,0))*150+193+'計算A'!BR$5*100000+IF(AND($E39=1,LE39=0),50000,0))+IF($H39=1,(IF('計算A'!BQ$117=1,INDEX('計算A'!BQ$10:BQ$54,$B39),0)+IF('計算A'!BR$117=1,INDEX('計算A'!BS$10:BS$54,$B39),0))*4000,0)-IF(AND('計算A'!BQ$117=1,WO39&gt;0),2000,0)-IF(AND($L39=1,'計算A'!BR$117=1,FQ39=0),2000,0))),1000000))</f>
        <v/>
      </c>
      <c r="QU39">
        <f>IF($B39=0,1000000,IF(INDEX('計算A'!$D$60:$EQ$104,$B39,68)*FQ39=1,IF(AND($E39=2,LF39=0),1000000,IF($I39&gt;0,IF(3=$J39,IF(OR(AND(68=$I39+1,OR($K39&lt;&gt;'計算A'!$A$3,'計算A'!$A$4=0)),AND(68=$I39-1,OR(20&lt;&gt;'計算A'!$A$3,'計算A'!$A$4=0))),0,IF(20=$K39,200000,ABS(20-$K39)*100)),100000+ABS(3-$J39)*1000+200)+'計算A'!BS$5*50+IF(AND($E39=1,LF39=0),25,0),IF($F39&gt;0,INDEX('計算A'!BS$110:BS$114,$F39+1)+IF(AND($E39=1,LF39=0),1000,0),MIN(TW39,20)*400+(IF('計算A'!BR$106=1,1-FP39,0)+IF('計算A'!BS$106=1,1-FR39,0))*150+203+'計算A'!BS$5*100000+IF(AND($E39=1,LF39=0),50000,0))+IF($H39=1,(IF('計算A'!BR$117=1,INDEX('計算A'!BR$10:BR$54,$B39),0)+IF('計算A'!BS$117=1,INDEX('計算A'!BT$10:BT$54,$B39),0))*4000,0)-IF(AND('計算A'!BR$117=1,WP39&gt;0),2000,0)-IF(AND($L39=1,'計算A'!BS$117=1,FR39=0),2000,0))),1000000))</f>
        <v/>
      </c>
      <c r="QV39">
        <f>IF($B39=0,1000000,IF(INDEX('計算A'!$D$60:$EQ$104,$B39,69)*FR39=1,IF(AND($E39=2,LG39=0),1000000,IF($I39&gt;0,IF(3=$J39,IF(OR(AND(69=$I39+1,OR($K39&lt;&gt;'計算A'!$A$3,'計算A'!$A$4=0)),AND(69=$I39-1,OR(21&lt;&gt;'計算A'!$A$3,'計算A'!$A$4=0))),0,IF(21=$K39,200000,ABS(21-$K39)*100)),100000+ABS(3-$J39)*1000+210)+'計算A'!BT$5*50+IF(AND($E39=1,LG39=0),25,0),IF($F39&gt;0,INDEX('計算A'!BT$110:BT$114,$F39+1)+IF(AND($E39=1,LG39=0),1000,0),MIN(TW39,20)*400+(IF('計算A'!BS$106=1,1-FQ39,0)+IF('計算A'!BT$106=1,1-FS39,0))*150+213+'計算A'!BT$5*100000+IF(AND($E39=1,LG39=0),50000,0))+IF($H39=1,(IF('計算A'!BS$117=1,INDEX('計算A'!BS$10:BS$54,$B39),0)+IF('計算A'!BT$117=1,INDEX('計算A'!BU$10:BU$54,$B39),0))*4000,0)-IF(AND('計算A'!BS$117=1,WQ39&gt;0),2000,0)-IF(AND($L39=1,'計算A'!BT$117=1,FS39=0),2000,0))),1000000))</f>
        <v/>
      </c>
      <c r="QW39">
        <f>IF($B39=0,1000000,IF(INDEX('計算A'!$D$60:$EQ$104,$B39,70)*FS39=1,IF(AND($E39=2,LH39=0),1000000,IF($I39&gt;0,IF(3=$J39,IF(OR(AND(70=$I39+1,OR($K39&lt;&gt;'計算A'!$A$3,'計算A'!$A$4=0)),AND(70=$I39-1,OR(22&lt;&gt;'計算A'!$A$3,'計算A'!$A$4=0))),0,IF(22=$K39,200000,ABS(22-$K39)*100)),100000+ABS(3-$J39)*1000+220)+'計算A'!BU$5*50+IF(AND($E39=1,LH39=0),25,0),IF($F39&gt;0,INDEX('計算A'!BU$110:BU$114,$F39+1)+IF(AND($E39=1,LH39=0),1000,0),MIN(TW39,20)*400+(IF('計算A'!BT$106=1,1-FR39,0)+IF('計算A'!BU$106=1,1-FT39,0))*150+223+'計算A'!BU$5*100000+IF(AND($E39=1,LH39=0),50000,0))+IF($H39=1,(IF('計算A'!BT$117=1,INDEX('計算A'!BT$10:BT$54,$B39),0)+IF('計算A'!BU$117=1,INDEX('計算A'!BV$10:BV$54,$B39),0))*4000,0)-IF(AND('計算A'!BT$117=1,WR39&gt;0),2000,0)-IF(AND($L39=1,'計算A'!BU$117=1,FT39=0),2000,0))),1000000))</f>
        <v/>
      </c>
      <c r="QX39">
        <f>IF($B39=0,1000000,IF(INDEX('計算A'!$D$60:$EQ$104,$B39,71)*FT39=1,IF(AND($E39=2,LI39=0),1000000,IF($I39&gt;0,IF(3=$J39,IF(OR(AND(71=$I39+1,OR($K39&lt;&gt;'計算A'!$A$3,'計算A'!$A$4=0)),AND(71=$I39-1,OR(23&lt;&gt;'計算A'!$A$3,'計算A'!$A$4=0))),0,IF(23=$K39,200000,ABS(23-$K39)*100)),100000+ABS(3-$J39)*1000+230)+'計算A'!BV$5*50+IF(AND($E39=1,LI39=0),25,0),IF($F39&gt;0,INDEX('計算A'!BV$110:BV$114,$F39+1)+IF(AND($E39=1,LI39=0),1000,0),MIN(TW39,20)*400+(IF('計算A'!BU$106=1,1-FS39,0)+IF('計算A'!BV$106=1,1-FU39,0))*150+233+'計算A'!BV$5*100000+IF(AND($E39=1,LI39=0),50000,0))+IF($H39=1,(IF('計算A'!BU$117=1,INDEX('計算A'!BU$10:BU$54,$B39),0)+IF('計算A'!BV$117=1,INDEX('計算A'!BW$10:BW$54,$B39),0))*4000,0)-IF(AND('計算A'!BU$117=1,WS39&gt;0),2000,0)-IF(AND($L39=1,'計算A'!BV$117=1,FU39=0),2000,0))),1000000))</f>
        <v/>
      </c>
      <c r="QY39">
        <f>IF($B39=0,1000000,IF(INDEX('計算A'!$D$60:$EQ$104,$B39,72)*FU39=1,IF(AND($E39=2,LJ39=0),1000000,IF($I39&gt;0,IF(3=$J39,IF(OR(AND(72=$I39+1,OR($K39&lt;&gt;'計算A'!$A$3,'計算A'!$A$4=0)),AND(72=$I39-1,OR(24&lt;&gt;'計算A'!$A$3,'計算A'!$A$4=0))),0,IF(24=$K39,200000,ABS(24-$K39)*100)),100000+ABS(3-$J39)*1000+240)+'計算A'!BW$5*50+IF(AND($E39=1,LJ39=0),25,0),IF($F39&gt;0,INDEX('計算A'!BW$110:BW$114,$F39+1)+IF(AND($E39=1,LJ39=0),1000,0),MIN(TW39,20)*400+(IF('計算A'!BV$106=1,1-FT39,0))*150+243+'計算A'!BW$5*100000+IF(AND($E39=1,LJ39=0),50000,0))+IF($H39=1,(IF('計算A'!BV$117=1,INDEX('計算A'!BV$10:BV$54,$B39),0))*4000,0)-IF(AND('計算A'!BV$117=1,WT39&gt;0),2000,0))),1000000))</f>
        <v/>
      </c>
      <c r="QZ39">
        <f>IF($B39=0,1000000,IF(INDEX('計算A'!$D$60:$EQ$104,$B39,73)*FV39=1,IF(AND($E39=2,LK39=0),1000000,IF($I39&gt;0,IF(4=$J39,IF(OR(AND(73=$I39+1,OR($K39&lt;&gt;'計算A'!$A$3,'計算A'!$A$4=0)),AND(73=$I39-1,OR(1&lt;&gt;'計算A'!$A$3,'計算A'!$A$4=0))),0,IF(1=$K39,200000,ABS(1-$K39)*100)),100000+ABS(4-$J39)*1000+10)+'計算A'!BX$5*50+IF(AND($E39=1,LK39=0),25,0),IF($F39&gt;0,INDEX('計算A'!BX$110:BX$114,$F39+1)+IF(AND($E39=1,LK39=0),1000,0),MIN(TX39,20)*400+(IF('計算A'!BX$106=1,1-FW39,0))*150+14+'計算A'!BX$5*100000+IF(AND($E39=1,LK39=0),50000,0))+IF($H39=1,(IF('計算A'!BX$117=1,INDEX('計算A'!BY$10:BY$54,$B39),0))*4000,0)-IF(AND($L39=1,'計算A'!BX$117=1,FW39=0),2000,0))),1000000))</f>
        <v/>
      </c>
      <c r="RA39">
        <f>IF($B39=0,1000000,IF(INDEX('計算A'!$D$60:$EQ$104,$B39,74)*FW39=1,IF(AND($E39=2,LL39=0),1000000,IF($I39&gt;0,IF(4=$J39,IF(OR(AND(74=$I39+1,OR($K39&lt;&gt;'計算A'!$A$3,'計算A'!$A$4=0)),AND(74=$I39-1,OR(2&lt;&gt;'計算A'!$A$3,'計算A'!$A$4=0))),0,IF(2=$K39,200000,ABS(2-$K39)*100)),100000+ABS(4-$J39)*1000+20)+'計算A'!BY$5*50+IF(AND($E39=1,LL39=0),25,0),IF($F39&gt;0,INDEX('計算A'!BY$110:BY$114,$F39+1)+IF(AND($E39=1,LL39=0),1000,0),MIN(TX39,20)*400+(IF('計算A'!BX$106=1,1-FV39,0)+IF('計算A'!BY$106=1,1-FX39,0))*150+24+'計算A'!BY$5*100000+IF(AND($E39=1,LL39=0),50000,0))+IF($H39=1,(IF('計算A'!BX$117=1,INDEX('計算A'!BX$10:BX$54,$B39),0)+IF('計算A'!BY$117=1,INDEX('計算A'!BZ$10:BZ$54,$B39),0))*4000,0)-IF(AND('計算A'!BX$117=1,WV39&gt;0),2000,0)-IF(AND($L39=1,'計算A'!BY$117=1,FX39=0),2000,0))),1000000))</f>
        <v/>
      </c>
      <c r="RB39">
        <f>IF($B39=0,1000000,IF(INDEX('計算A'!$D$60:$EQ$104,$B39,75)*FX39=1,IF(AND($E39=2,LM39=0),1000000,IF($I39&gt;0,IF(4=$J39,IF(OR(AND(75=$I39+1,OR($K39&lt;&gt;'計算A'!$A$3,'計算A'!$A$4=0)),AND(75=$I39-1,OR(3&lt;&gt;'計算A'!$A$3,'計算A'!$A$4=0))),0,IF(3=$K39,200000,ABS(3-$K39)*100)),100000+ABS(4-$J39)*1000+30)+'計算A'!BZ$5*50+IF(AND($E39=1,LM39=0),25,0),IF($F39&gt;0,INDEX('計算A'!BZ$110:BZ$114,$F39+1)+IF(AND($E39=1,LM39=0),1000,0),MIN(TX39,20)*400+(IF('計算A'!BY$106=1,1-FW39,0)+IF('計算A'!BZ$106=1,1-FY39,0))*150+34+'計算A'!BZ$5*100000+IF(AND($E39=1,LM39=0),50000,0))+IF($H39=1,(IF('計算A'!BY$117=1,INDEX('計算A'!BY$10:BY$54,$B39),0)+IF('計算A'!BZ$117=1,INDEX('計算A'!CA$10:CA$54,$B39),0))*4000,0)-IF(AND('計算A'!BY$117=1,WW39&gt;0),2000,0)-IF(AND($L39=1,'計算A'!BZ$117=1,FY39=0),2000,0))),1000000))</f>
        <v/>
      </c>
      <c r="RC39">
        <f>IF($B39=0,1000000,IF(INDEX('計算A'!$D$60:$EQ$104,$B39,76)*FY39=1,IF(AND($E39=2,LN39=0),1000000,IF($I39&gt;0,IF(4=$J39,IF(OR(AND(76=$I39+1,OR($K39&lt;&gt;'計算A'!$A$3,'計算A'!$A$4=0)),AND(76=$I39-1,OR(4&lt;&gt;'計算A'!$A$3,'計算A'!$A$4=0))),0,IF(4=$K39,200000,ABS(4-$K39)*100)),100000+ABS(4-$J39)*1000+40)+'計算A'!CA$5*50+IF(AND($E39=1,LN39=0),25,0),IF($F39&gt;0,INDEX('計算A'!CA$110:CA$114,$F39+1)+IF(AND($E39=1,LN39=0),1000,0),MIN(TX39,20)*400+(IF('計算A'!BZ$106=1,1-FX39,0)+IF('計算A'!CA$106=1,1-FZ39,0))*150+44+'計算A'!CA$5*100000+IF(AND($E39=1,LN39=0),50000,0))+IF($H39=1,(IF('計算A'!BZ$117=1,INDEX('計算A'!BZ$10:BZ$54,$B39),0)+IF('計算A'!CA$117=1,INDEX('計算A'!CB$10:CB$54,$B39),0))*4000,0)-IF(AND('計算A'!BZ$117=1,WX39&gt;0),2000,0)-IF(AND($L39=1,'計算A'!CA$117=1,FZ39=0),2000,0))),1000000))</f>
        <v/>
      </c>
      <c r="RD39">
        <f>IF($B39=0,1000000,IF(INDEX('計算A'!$D$60:$EQ$104,$B39,77)*FZ39=1,IF(AND($E39=2,LO39=0),1000000,IF($I39&gt;0,IF(4=$J39,IF(OR(AND(77=$I39+1,OR($K39&lt;&gt;'計算A'!$A$3,'計算A'!$A$4=0)),AND(77=$I39-1,OR(5&lt;&gt;'計算A'!$A$3,'計算A'!$A$4=0))),0,IF(5=$K39,200000,ABS(5-$K39)*100)),100000+ABS(4-$J39)*1000+50)+'計算A'!CB$5*50+IF(AND($E39=1,LO39=0),25,0),IF($F39&gt;0,INDEX('計算A'!CB$110:CB$114,$F39+1)+IF(AND($E39=1,LO39=0),1000,0),MIN(TX39,20)*400+(IF('計算A'!CA$106=1,1-FY39,0)+IF('計算A'!CB$106=1,1-GA39,0))*150+54+'計算A'!CB$5*100000+IF(AND($E39=1,LO39=0),50000,0))+IF($H39=1,(IF('計算A'!CA$117=1,INDEX('計算A'!CA$10:CA$54,$B39),0)+IF('計算A'!CB$117=1,INDEX('計算A'!CC$10:CC$54,$B39),0))*4000,0)-IF(AND('計算A'!CA$117=1,WY39&gt;0),2000,0)-IF(AND($L39=1,'計算A'!CB$117=1,GA39=0),2000,0))),1000000))</f>
        <v/>
      </c>
      <c r="RE39">
        <f>IF($B39=0,1000000,IF(INDEX('計算A'!$D$60:$EQ$104,$B39,78)*GA39=1,IF(AND($E39=2,LP39=0),1000000,IF($I39&gt;0,IF(4=$J39,IF(OR(AND(78=$I39+1,OR($K39&lt;&gt;'計算A'!$A$3,'計算A'!$A$4=0)),AND(78=$I39-1,OR(6&lt;&gt;'計算A'!$A$3,'計算A'!$A$4=0))),0,IF(6=$K39,200000,ABS(6-$K39)*100)),100000+ABS(4-$J39)*1000+60)+'計算A'!CC$5*50+IF(AND($E39=1,LP39=0),25,0),IF($F39&gt;0,INDEX('計算A'!CC$110:CC$114,$F39+1)+IF(AND($E39=1,LP39=0),1000,0),MIN(TX39,20)*400+(IF('計算A'!CB$106=1,1-FZ39,0)+IF('計算A'!CC$106=1,1-GB39,0))*150+64+'計算A'!CC$5*100000+IF(AND($E39=1,LP39=0),50000,0))+IF($H39=1,(IF('計算A'!CB$117=1,INDEX('計算A'!CB$10:CB$54,$B39),0)+IF('計算A'!CC$117=1,INDEX('計算A'!CD$10:CD$54,$B39),0))*4000,0)-IF(AND('計算A'!CB$117=1,WZ39&gt;0),2000,0)-IF(AND($L39=1,'計算A'!CC$117=1,GB39=0),2000,0))),1000000))</f>
        <v/>
      </c>
      <c r="RF39">
        <f>IF($B39=0,1000000,IF(INDEX('計算A'!$D$60:$EQ$104,$B39,79)*GB39=1,IF(AND($E39=2,LQ39=0),1000000,IF($I39&gt;0,IF(4=$J39,IF(OR(AND(79=$I39+1,OR($K39&lt;&gt;'計算A'!$A$3,'計算A'!$A$4=0)),AND(79=$I39-1,OR(7&lt;&gt;'計算A'!$A$3,'計算A'!$A$4=0))),0,IF(7=$K39,200000,ABS(7-$K39)*100)),100000+ABS(4-$J39)*1000+70)+'計算A'!CD$5*50+IF(AND($E39=1,LQ39=0),25,0),IF($F39&gt;0,INDEX('計算A'!CD$110:CD$114,$F39+1)+IF(AND($E39=1,LQ39=0),1000,0),MIN(TX39,20)*400+(IF('計算A'!CC$106=1,1-GA39,0)+IF('計算A'!CD$106=1,1-GC39,0))*150+74+'計算A'!CD$5*100000+IF(AND($E39=1,LQ39=0),50000,0))+IF($H39=1,(IF('計算A'!CC$117=1,INDEX('計算A'!CC$10:CC$54,$B39),0)+IF('計算A'!CD$117=1,INDEX('計算A'!CE$10:CE$54,$B39),0))*4000,0)-IF(AND('計算A'!CC$117=1,XA39&gt;0),2000,0)-IF(AND($L39=1,'計算A'!CD$117=1,GC39=0),2000,0))),1000000))</f>
        <v/>
      </c>
      <c r="RG39">
        <f>IF($B39=0,1000000,IF(INDEX('計算A'!$D$60:$EQ$104,$B39,80)*GC39=1,IF(AND($E39=2,LR39=0),1000000,IF($I39&gt;0,IF(4=$J39,IF(OR(AND(80=$I39+1,OR($K39&lt;&gt;'計算A'!$A$3,'計算A'!$A$4=0)),AND(80=$I39-1,OR(8&lt;&gt;'計算A'!$A$3,'計算A'!$A$4=0))),0,IF(8=$K39,200000,ABS(8-$K39)*100)),100000+ABS(4-$J39)*1000+80)+'計算A'!CE$5*50+IF(AND($E39=1,LR39=0),25,0),IF($F39&gt;0,INDEX('計算A'!CE$110:CE$114,$F39+1)+IF(AND($E39=1,LR39=0),1000,0),MIN(TX39,20)*400+(IF('計算A'!CD$106=1,1-GB39,0)+IF('計算A'!CE$106=1,1-GD39,0))*150+84+'計算A'!CE$5*100000+IF(AND($E39=1,LR39=0),50000,0))+IF($H39=1,(IF('計算A'!CD$117=1,INDEX('計算A'!CD$10:CD$54,$B39),0)+IF('計算A'!CE$117=1,INDEX('計算A'!CF$10:CF$54,$B39),0))*4000,0)-IF(AND('計算A'!CD$117=1,XB39&gt;0),2000,0)-IF(AND($L39=1,'計算A'!CE$117=1,GD39=0),2000,0))),1000000))</f>
        <v/>
      </c>
      <c r="RH39">
        <f>IF($B39=0,1000000,IF(INDEX('計算A'!$D$60:$EQ$104,$B39,81)*GD39=1,IF(AND($E39=2,LS39=0),1000000,IF($I39&gt;0,IF(4=$J39,IF(OR(AND(81=$I39+1,OR($K39&lt;&gt;'計算A'!$A$3,'計算A'!$A$4=0)),AND(81=$I39-1,OR(9&lt;&gt;'計算A'!$A$3,'計算A'!$A$4=0))),0,IF(9=$K39,200000,ABS(9-$K39)*100)),100000+ABS(4-$J39)*1000+90)+'計算A'!CF$5*50+IF(AND($E39=1,LS39=0),25,0),IF($F39&gt;0,INDEX('計算A'!CF$110:CF$114,$F39+1)+IF(AND($E39=1,LS39=0),1000,0),MIN(TX39,20)*400+(IF('計算A'!CE$106=1,1-GC39,0)+IF('計算A'!CF$106=1,1-GE39,0))*150+94+'計算A'!CF$5*100000+IF(AND($E39=1,LS39=0),50000,0))+IF($H39=1,(IF('計算A'!CE$117=1,INDEX('計算A'!CE$10:CE$54,$B39),0)+IF('計算A'!CF$117=1,INDEX('計算A'!CG$10:CG$54,$B39),0))*4000,0)-IF(AND('計算A'!CE$117=1,XC39&gt;0),2000,0)-IF(AND($L39=1,'計算A'!CF$117=1,GE39=0),2000,0))),1000000))</f>
        <v/>
      </c>
      <c r="RI39">
        <f>IF($B39=0,1000000,IF(INDEX('計算A'!$D$60:$EQ$104,$B39,82)*GE39=1,IF(AND($E39=2,LT39=0),1000000,IF($I39&gt;0,IF(4=$J39,IF(OR(AND(82=$I39+1,OR($K39&lt;&gt;'計算A'!$A$3,'計算A'!$A$4=0)),AND(82=$I39-1,OR(10&lt;&gt;'計算A'!$A$3,'計算A'!$A$4=0))),0,IF(10=$K39,200000,ABS(10-$K39)*100)),100000+ABS(4-$J39)*1000+100)+'計算A'!CG$5*50+IF(AND($E39=1,LT39=0),25,0),IF($F39&gt;0,INDEX('計算A'!CG$110:CG$114,$F39+1)+IF(AND($E39=1,LT39=0),1000,0),MIN(TX39,20)*400+(IF('計算A'!CF$106=1,1-GD39,0)+IF('計算A'!CG$106=1,1-GF39,0))*150+104+'計算A'!CG$5*100000+IF(AND($E39=1,LT39=0),50000,0))+IF($H39=1,(IF('計算A'!CF$117=1,INDEX('計算A'!CF$10:CF$54,$B39),0)+IF('計算A'!CG$117=1,INDEX('計算A'!CH$10:CH$54,$B39),0))*4000,0)-IF(AND('計算A'!CF$117=1,XD39&gt;0),2000,0)-IF(AND($L39=1,'計算A'!CG$117=1,GF39=0),2000,0))),1000000))</f>
        <v/>
      </c>
      <c r="RJ39">
        <f>IF($B39=0,1000000,IF(INDEX('計算A'!$D$60:$EQ$104,$B39,83)*GF39=1,IF(AND($E39=2,LU39=0),1000000,IF($I39&gt;0,IF(4=$J39,IF(OR(AND(83=$I39+1,OR($K39&lt;&gt;'計算A'!$A$3,'計算A'!$A$4=0)),AND(83=$I39-1,OR(11&lt;&gt;'計算A'!$A$3,'計算A'!$A$4=0))),0,IF(11=$K39,200000,ABS(11-$K39)*100)),100000+ABS(4-$J39)*1000+110)+'計算A'!CH$5*50+IF(AND($E39=1,LU39=0),25,0),IF($F39&gt;0,INDEX('計算A'!CH$110:CH$114,$F39+1)+IF(AND($E39=1,LU39=0),1000,0),MIN(TX39,20)*400+(IF('計算A'!CG$106=1,1-GE39,0)+IF('計算A'!CH$106=1,1-GG39,0))*150+114+'計算A'!CH$5*100000+IF(AND($E39=1,LU39=0),50000,0))+IF($H39=1,(IF('計算A'!CG$117=1,INDEX('計算A'!CG$10:CG$54,$B39),0)+IF('計算A'!CH$117=1,INDEX('計算A'!CI$10:CI$54,$B39),0))*4000,0)-IF(AND('計算A'!CG$117=1,XE39&gt;0),2000,0)-IF(AND($L39=1,'計算A'!CH$117=1,GG39=0),2000,0))),1000000))</f>
        <v/>
      </c>
      <c r="RK39">
        <f>IF($B39=0,1000000,IF(INDEX('計算A'!$D$60:$EQ$104,$B39,84)*GG39=1,IF(AND($E39=2,LV39=0),1000000,IF($I39&gt;0,IF(4=$J39,IF(OR(AND(84=$I39+1,OR($K39&lt;&gt;'計算A'!$A$3,'計算A'!$A$4=0)),AND(84=$I39-1,OR(12&lt;&gt;'計算A'!$A$3,'計算A'!$A$4=0))),0,IF(12=$K39,200000,ABS(12-$K39)*100)),100000+ABS(4-$J39)*1000+120)+'計算A'!CI$5*50+IF(AND($E39=1,LV39=0),25,0),IF($F39&gt;0,INDEX('計算A'!CI$110:CI$114,$F39+1)+IF(AND($E39=1,LV39=0),1000,0),MIN(TX39,20)*400+(IF('計算A'!CH$106=1,1-GF39,0)+IF('計算A'!CI$106=1,1-GH39,0))*150+124+'計算A'!CI$5*100000+IF(AND($E39=1,LV39=0),50000,0))+IF($H39=1,(IF('計算A'!CH$117=1,INDEX('計算A'!CH$10:CH$54,$B39),0)+IF('計算A'!CI$117=1,INDEX('計算A'!CJ$10:CJ$54,$B39),0))*4000,0)-IF(AND('計算A'!CH$117=1,XF39&gt;0),2000,0)-IF(AND($L39=1,'計算A'!CI$117=1,GH39=0),2000,0))),1000000))</f>
        <v/>
      </c>
      <c r="RL39">
        <f>IF($B39=0,1000000,IF(INDEX('計算A'!$D$60:$EQ$104,$B39,85)*GH39=1,IF(AND($E39=2,LW39=0),1000000,IF($I39&gt;0,IF(4=$J39,IF(OR(AND(85=$I39+1,OR($K39&lt;&gt;'計算A'!$A$3,'計算A'!$A$4=0)),AND(85=$I39-1,OR(13&lt;&gt;'計算A'!$A$3,'計算A'!$A$4=0))),0,IF(13=$K39,200000,ABS(13-$K39)*100)),100000+ABS(4-$J39)*1000+130)+'計算A'!CJ$5*50+IF(AND($E39=1,LW39=0),25,0),IF($F39&gt;0,INDEX('計算A'!CJ$110:CJ$114,$F39+1)+IF(AND($E39=1,LW39=0),1000,0),MIN(TX39,20)*400+(IF('計算A'!CI$106=1,1-GG39,0)+IF('計算A'!CJ$106=1,1-GI39,0))*150+134+'計算A'!CJ$5*100000+IF(AND($E39=1,LW39=0),50000,0))+IF($H39=1,(IF('計算A'!CI$117=1,INDEX('計算A'!CI$10:CI$54,$B39),0)+IF('計算A'!CJ$117=1,INDEX('計算A'!CK$10:CK$54,$B39),0))*4000,0)-IF(AND('計算A'!CI$117=1,XG39&gt;0),2000,0)-IF(AND($L39=1,'計算A'!CJ$117=1,GI39=0),2000,0))),1000000))</f>
        <v/>
      </c>
      <c r="RM39">
        <f>IF($B39=0,1000000,IF(INDEX('計算A'!$D$60:$EQ$104,$B39,86)*GI39=1,IF(AND($E39=2,LX39=0),1000000,IF($I39&gt;0,IF(4=$J39,IF(OR(AND(86=$I39+1,OR($K39&lt;&gt;'計算A'!$A$3,'計算A'!$A$4=0)),AND(86=$I39-1,OR(14&lt;&gt;'計算A'!$A$3,'計算A'!$A$4=0))),0,IF(14=$K39,200000,ABS(14-$K39)*100)),100000+ABS(4-$J39)*1000+140)+'計算A'!CK$5*50+IF(AND($E39=1,LX39=0),25,0),IF($F39&gt;0,INDEX('計算A'!CK$110:CK$114,$F39+1)+IF(AND($E39=1,LX39=0),1000,0),MIN(TX39,20)*400+(IF('計算A'!CJ$106=1,1-GH39,0)+IF('計算A'!CK$106=1,1-GJ39,0))*150+144+'計算A'!CK$5*100000+IF(AND($E39=1,LX39=0),50000,0))+IF($H39=1,(IF('計算A'!CJ$117=1,INDEX('計算A'!CJ$10:CJ$54,$B39),0)+IF('計算A'!CK$117=1,INDEX('計算A'!CL$10:CL$54,$B39),0))*4000,0)-IF(AND('計算A'!CJ$117=1,XH39&gt;0),2000,0)-IF(AND($L39=1,'計算A'!CK$117=1,GJ39=0),2000,0))),1000000))</f>
        <v/>
      </c>
      <c r="RN39">
        <f>IF($B39=0,1000000,IF(INDEX('計算A'!$D$60:$EQ$104,$B39,87)*GJ39=1,IF(AND($E39=2,LY39=0),1000000,IF($I39&gt;0,IF(4=$J39,IF(OR(AND(87=$I39+1,OR($K39&lt;&gt;'計算A'!$A$3,'計算A'!$A$4=0)),AND(87=$I39-1,OR(15&lt;&gt;'計算A'!$A$3,'計算A'!$A$4=0))),0,IF(15=$K39,200000,ABS(15-$K39)*100)),100000+ABS(4-$J39)*1000+150)+'計算A'!CL$5*50+IF(AND($E39=1,LY39=0),25,0),IF($F39&gt;0,INDEX('計算A'!CL$110:CL$114,$F39+1)+IF(AND($E39=1,LY39=0),1000,0),MIN(TX39,20)*400+(IF('計算A'!CK$106=1,1-GI39,0)+IF('計算A'!CL$106=1,1-GK39,0))*150+154+'計算A'!CL$5*100000+IF(AND($E39=1,LY39=0),50000,0))+IF($H39=1,(IF('計算A'!CK$117=1,INDEX('計算A'!CK$10:CK$54,$B39),0)+IF('計算A'!CL$117=1,INDEX('計算A'!CM$10:CM$54,$B39),0))*4000,0)-IF(AND('計算A'!CK$117=1,XI39&gt;0),2000,0)-IF(AND($L39=1,'計算A'!CL$117=1,GK39=0),2000,0))),1000000))</f>
        <v/>
      </c>
      <c r="RO39">
        <f>IF($B39=0,1000000,IF(INDEX('計算A'!$D$60:$EQ$104,$B39,88)*GK39=1,IF(AND($E39=2,LZ39=0),1000000,IF($I39&gt;0,IF(4=$J39,IF(OR(AND(88=$I39+1,OR($K39&lt;&gt;'計算A'!$A$3,'計算A'!$A$4=0)),AND(88=$I39-1,OR(16&lt;&gt;'計算A'!$A$3,'計算A'!$A$4=0))),0,IF(16=$K39,200000,ABS(16-$K39)*100)),100000+ABS(4-$J39)*1000+160)+'計算A'!CM$5*50+IF(AND($E39=1,LZ39=0),25,0),IF($F39&gt;0,INDEX('計算A'!CM$110:CM$114,$F39+1)+IF(AND($E39=1,LZ39=0),1000,0),MIN(TX39,20)*400+(IF('計算A'!CL$106=1,1-GJ39,0)+IF('計算A'!CM$106=1,1-GL39,0))*150+164+'計算A'!CM$5*100000+IF(AND($E39=1,LZ39=0),50000,0))+IF($H39=1,(IF('計算A'!CL$117=1,INDEX('計算A'!CL$10:CL$54,$B39),0)+IF('計算A'!CM$117=1,INDEX('計算A'!CN$10:CN$54,$B39),0))*4000,0)-IF(AND('計算A'!CL$117=1,XJ39&gt;0),2000,0)-IF(AND($L39=1,'計算A'!CM$117=1,GL39=0),2000,0))),1000000))</f>
        <v/>
      </c>
      <c r="RP39">
        <f>IF($B39=0,1000000,IF(INDEX('計算A'!$D$60:$EQ$104,$B39,89)*GL39=1,IF(AND($E39=2,MA39=0),1000000,IF($I39&gt;0,IF(4=$J39,IF(OR(AND(89=$I39+1,OR($K39&lt;&gt;'計算A'!$A$3,'計算A'!$A$4=0)),AND(89=$I39-1,OR(17&lt;&gt;'計算A'!$A$3,'計算A'!$A$4=0))),0,IF(17=$K39,200000,ABS(17-$K39)*100)),100000+ABS(4-$J39)*1000+170)+'計算A'!CN$5*50+IF(AND($E39=1,MA39=0),25,0),IF($F39&gt;0,INDEX('計算A'!CN$110:CN$114,$F39+1)+IF(AND($E39=1,MA39=0),1000,0),MIN(TX39,20)*400+(IF('計算A'!CM$106=1,1-GK39,0)+IF('計算A'!CN$106=1,1-GM39,0))*150+174+'計算A'!CN$5*100000+IF(AND($E39=1,MA39=0),50000,0))+IF($H39=1,(IF('計算A'!CM$117=1,INDEX('計算A'!CM$10:CM$54,$B39),0)+IF('計算A'!CN$117=1,INDEX('計算A'!CO$10:CO$54,$B39),0))*4000,0)-IF(AND('計算A'!CM$117=1,XK39&gt;0),2000,0)-IF(AND($L39=1,'計算A'!CN$117=1,GM39=0),2000,0))),1000000))</f>
        <v/>
      </c>
      <c r="RQ39">
        <f>IF($B39=0,1000000,IF(INDEX('計算A'!$D$60:$EQ$104,$B39,90)*GM39=1,IF(AND($E39=2,MB39=0),1000000,IF($I39&gt;0,IF(4=$J39,IF(OR(AND(90=$I39+1,OR($K39&lt;&gt;'計算A'!$A$3,'計算A'!$A$4=0)),AND(90=$I39-1,OR(18&lt;&gt;'計算A'!$A$3,'計算A'!$A$4=0))),0,IF(18=$K39,200000,ABS(18-$K39)*100)),100000+ABS(4-$J39)*1000+180)+'計算A'!CO$5*50+IF(AND($E39=1,MB39=0),25,0),IF($F39&gt;0,INDEX('計算A'!CO$110:CO$114,$F39+1)+IF(AND($E39=1,MB39=0),1000,0),MIN(TX39,20)*400+(IF('計算A'!CN$106=1,1-GL39,0)+IF('計算A'!CO$106=1,1-GN39,0))*150+184+'計算A'!CO$5*100000+IF(AND($E39=1,MB39=0),50000,0))+IF($H39=1,(IF('計算A'!CN$117=1,INDEX('計算A'!CN$10:CN$54,$B39),0)+IF('計算A'!CO$117=1,INDEX('計算A'!CP$10:CP$54,$B39),0))*4000,0)-IF(AND('計算A'!CN$117=1,XL39&gt;0),2000,0)-IF(AND($L39=1,'計算A'!CO$117=1,GN39=0),2000,0))),1000000))</f>
        <v/>
      </c>
      <c r="RR39">
        <f>IF($B39=0,1000000,IF(INDEX('計算A'!$D$60:$EQ$104,$B39,91)*GN39=1,IF(AND($E39=2,MC39=0),1000000,IF($I39&gt;0,IF(4=$J39,IF(OR(AND(91=$I39+1,OR($K39&lt;&gt;'計算A'!$A$3,'計算A'!$A$4=0)),AND(91=$I39-1,OR(19&lt;&gt;'計算A'!$A$3,'計算A'!$A$4=0))),0,IF(19=$K39,200000,ABS(19-$K39)*100)),100000+ABS(4-$J39)*1000+190)+'計算A'!CP$5*50+IF(AND($E39=1,MC39=0),25,0),IF($F39&gt;0,INDEX('計算A'!CP$110:CP$114,$F39+1)+IF(AND($E39=1,MC39=0),1000,0),MIN(TX39,20)*400+(IF('計算A'!CO$106=1,1-GM39,0)+IF('計算A'!CP$106=1,1-GO39,0))*150+194+'計算A'!CP$5*100000+IF(AND($E39=1,MC39=0),50000,0))+IF($H39=1,(IF('計算A'!CO$117=1,INDEX('計算A'!CO$10:CO$54,$B39),0)+IF('計算A'!CP$117=1,INDEX('計算A'!CQ$10:CQ$54,$B39),0))*4000,0)-IF(AND('計算A'!CO$117=1,XM39&gt;0),2000,0)-IF(AND($L39=1,'計算A'!CP$117=1,GO39=0),2000,0))),1000000))</f>
        <v/>
      </c>
      <c r="RS39">
        <f>IF($B39=0,1000000,IF(INDEX('計算A'!$D$60:$EQ$104,$B39,92)*GO39=1,IF(AND($E39=2,MD39=0),1000000,IF($I39&gt;0,IF(4=$J39,IF(OR(AND(92=$I39+1,OR($K39&lt;&gt;'計算A'!$A$3,'計算A'!$A$4=0)),AND(92=$I39-1,OR(20&lt;&gt;'計算A'!$A$3,'計算A'!$A$4=0))),0,IF(20=$K39,200000,ABS(20-$K39)*100)),100000+ABS(4-$J39)*1000+200)+'計算A'!CQ$5*50+IF(AND($E39=1,MD39=0),25,0),IF($F39&gt;0,INDEX('計算A'!CQ$110:CQ$114,$F39+1)+IF(AND($E39=1,MD39=0),1000,0),MIN(TX39,20)*400+(IF('計算A'!CP$106=1,1-GN39,0)+IF('計算A'!CQ$106=1,1-GP39,0))*150+204+'計算A'!CQ$5*100000+IF(AND($E39=1,MD39=0),50000,0))+IF($H39=1,(IF('計算A'!CP$117=1,INDEX('計算A'!CP$10:CP$54,$B39),0)+IF('計算A'!CQ$117=1,INDEX('計算A'!CR$10:CR$54,$B39),0))*4000,0)-IF(AND('計算A'!CP$117=1,XN39&gt;0),2000,0)-IF(AND($L39=1,'計算A'!CQ$117=1,GP39=0),2000,0))),1000000))</f>
        <v/>
      </c>
      <c r="RT39">
        <f>IF($B39=0,1000000,IF(INDEX('計算A'!$D$60:$EQ$104,$B39,93)*GP39=1,IF(AND($E39=2,ME39=0),1000000,IF($I39&gt;0,IF(4=$J39,IF(OR(AND(93=$I39+1,OR($K39&lt;&gt;'計算A'!$A$3,'計算A'!$A$4=0)),AND(93=$I39-1,OR(21&lt;&gt;'計算A'!$A$3,'計算A'!$A$4=0))),0,IF(21=$K39,200000,ABS(21-$K39)*100)),100000+ABS(4-$J39)*1000+210)+'計算A'!CR$5*50+IF(AND($E39=1,ME39=0),25,0),IF($F39&gt;0,INDEX('計算A'!CR$110:CR$114,$F39+1)+IF(AND($E39=1,ME39=0),1000,0),MIN(TX39,20)*400+(IF('計算A'!CQ$106=1,1-GO39,0)+IF('計算A'!CR$106=1,1-GQ39,0))*150+214+'計算A'!CR$5*100000+IF(AND($E39=1,ME39=0),50000,0))+IF($H39=1,(IF('計算A'!CQ$117=1,INDEX('計算A'!CQ$10:CQ$54,$B39),0)+IF('計算A'!CR$117=1,INDEX('計算A'!CS$10:CS$54,$B39),0))*4000,0)-IF(AND('計算A'!CQ$117=1,XO39&gt;0),2000,0)-IF(AND($L39=1,'計算A'!CR$117=1,GQ39=0),2000,0))),1000000))</f>
        <v/>
      </c>
      <c r="RU39">
        <f>IF($B39=0,1000000,IF(INDEX('計算A'!$D$60:$EQ$104,$B39,94)*GQ39=1,IF(AND($E39=2,MF39=0),1000000,IF($I39&gt;0,IF(4=$J39,IF(OR(AND(94=$I39+1,OR($K39&lt;&gt;'計算A'!$A$3,'計算A'!$A$4=0)),AND(94=$I39-1,OR(22&lt;&gt;'計算A'!$A$3,'計算A'!$A$4=0))),0,IF(22=$K39,200000,ABS(22-$K39)*100)),100000+ABS(4-$J39)*1000+220)+'計算A'!CS$5*50+IF(AND($E39=1,MF39=0),25,0),IF($F39&gt;0,INDEX('計算A'!CS$110:CS$114,$F39+1)+IF(AND($E39=1,MF39=0),1000,0),MIN(TX39,20)*400+(IF('計算A'!CR$106=1,1-GP39,0)+IF('計算A'!CS$106=1,1-GR39,0))*150+224+'計算A'!CS$5*100000+IF(AND($E39=1,MF39=0),50000,0))+IF($H39=1,(IF('計算A'!CR$117=1,INDEX('計算A'!CR$10:CR$54,$B39),0)+IF('計算A'!CS$117=1,INDEX('計算A'!CT$10:CT$54,$B39),0))*4000,0)-IF(AND('計算A'!CR$117=1,XP39&gt;0),2000,0)-IF(AND($L39=1,'計算A'!CS$117=1,GR39=0),2000,0))),1000000))</f>
        <v/>
      </c>
      <c r="RV39">
        <f>IF($B39=0,1000000,IF(INDEX('計算A'!$D$60:$EQ$104,$B39,95)*GR39=1,IF(AND($E39=2,MG39=0),1000000,IF($I39&gt;0,IF(4=$J39,IF(OR(AND(95=$I39+1,OR($K39&lt;&gt;'計算A'!$A$3,'計算A'!$A$4=0)),AND(95=$I39-1,OR(23&lt;&gt;'計算A'!$A$3,'計算A'!$A$4=0))),0,IF(23=$K39,200000,ABS(23-$K39)*100)),100000+ABS(4-$J39)*1000+230)+'計算A'!CT$5*50+IF(AND($E39=1,MG39=0),25,0),IF($F39&gt;0,INDEX('計算A'!CT$110:CT$114,$F39+1)+IF(AND($E39=1,MG39=0),1000,0),MIN(TX39,20)*400+(IF('計算A'!CS$106=1,1-GQ39,0)+IF('計算A'!CT$106=1,1-GS39,0))*150+234+'計算A'!CT$5*100000+IF(AND($E39=1,MG39=0),50000,0))+IF($H39=1,(IF('計算A'!CS$117=1,INDEX('計算A'!CS$10:CS$54,$B39),0)+IF('計算A'!CT$117=1,INDEX('計算A'!CU$10:CU$54,$B39),0))*4000,0)-IF(AND('計算A'!CS$117=1,XQ39&gt;0),2000,0)-IF(AND($L39=1,'計算A'!CT$117=1,GS39=0),2000,0))),1000000))</f>
        <v/>
      </c>
      <c r="RW39">
        <f>IF($B39=0,1000000,IF(INDEX('計算A'!$D$60:$EQ$104,$B39,96)*GS39=1,IF(AND($E39=2,MH39=0),1000000,IF($I39&gt;0,IF(4=$J39,IF(OR(AND(96=$I39+1,OR($K39&lt;&gt;'計算A'!$A$3,'計算A'!$A$4=0)),AND(96=$I39-1,OR(24&lt;&gt;'計算A'!$A$3,'計算A'!$A$4=0))),0,IF(24=$K39,200000,ABS(24-$K39)*100)),100000+ABS(4-$J39)*1000+240)+'計算A'!CU$5*50+IF(AND($E39=1,MH39=0),25,0),IF($F39&gt;0,INDEX('計算A'!CU$110:CU$114,$F39+1)+IF(AND($E39=1,MH39=0),1000,0),MIN(TX39,20)*400+(IF('計算A'!CT$106=1,1-GR39,0))*150+244+'計算A'!CU$5*100000+IF(AND($E39=1,MH39=0),50000,0))+IF($H39=1,(IF('計算A'!CT$117=1,INDEX('計算A'!CT$10:CT$54,$B39),0))*4000,0)-IF(AND('計算A'!CT$117=1,XR39&gt;0),2000,0))),1000000))</f>
        <v/>
      </c>
      <c r="RX39">
        <f>IF($B39=0,1000000,IF(INDEX('計算A'!$D$60:$EQ$104,$B39,97)*GT39=1,IF(AND($E39=2,MI39=0),1000000,IF($I39&gt;0,IF(5=$J39,IF(OR(AND(97=$I39+1,OR($K39&lt;&gt;'計算A'!$A$3,'計算A'!$A$4=0)),AND(97=$I39-1,OR(1&lt;&gt;'計算A'!$A$3,'計算A'!$A$4=0))),0,IF(1=$K39,200000,ABS(1-$K39)*100)),100000+ABS(5-$J39)*1000+10)+'計算A'!CV$5*50+IF(AND($E39=1,MI39=0),25,0),IF($F39&gt;0,INDEX('計算A'!CV$110:CV$114,$F39+1)+IF(AND($E39=1,MI39=0),1000,0),MIN(TY39,20)*400+(IF('計算A'!CV$106=1,1-GU39,0))*150+15+'計算A'!CV$5*100000+IF(AND($E39=1,MI39=0),50000,0))+IF($H39=1,(IF('計算A'!CV$117=1,INDEX('計算A'!CW$10:CW$54,$B39),0))*4000,0)-IF(AND($L39=1,'計算A'!CV$117=1,GU39=0),2000,0))),1000000))</f>
        <v/>
      </c>
      <c r="RY39">
        <f>IF($B39=0,1000000,IF(INDEX('計算A'!$D$60:$EQ$104,$B39,98)*GU39=1,IF(AND($E39=2,MJ39=0),1000000,IF($I39&gt;0,IF(5=$J39,IF(OR(AND(98=$I39+1,OR($K39&lt;&gt;'計算A'!$A$3,'計算A'!$A$4=0)),AND(98=$I39-1,OR(2&lt;&gt;'計算A'!$A$3,'計算A'!$A$4=0))),0,IF(2=$K39,200000,ABS(2-$K39)*100)),100000+ABS(5-$J39)*1000+20)+'計算A'!CW$5*50+IF(AND($E39=1,MJ39=0),25,0),IF($F39&gt;0,INDEX('計算A'!CW$110:CW$114,$F39+1)+IF(AND($E39=1,MJ39=0),1000,0),MIN(TY39,20)*400+(IF('計算A'!CV$106=1,1-GT39,0)+IF('計算A'!CW$106=1,1-GV39,0))*150+25+'計算A'!CW$5*100000+IF(AND($E39=1,MJ39=0),50000,0))+IF($H39=1,(IF('計算A'!CV$117=1,INDEX('計算A'!CV$10:CV$54,$B39),0)+IF('計算A'!CW$117=1,INDEX('計算A'!CX$10:CX$54,$B39),0))*4000,0)-IF(AND('計算A'!CV$117=1,XT39&gt;0),2000,0)-IF(AND($L39=1,'計算A'!CW$117=1,GV39=0),2000,0))),1000000))</f>
        <v/>
      </c>
      <c r="RZ39">
        <f>IF($B39=0,1000000,IF(INDEX('計算A'!$D$60:$EQ$104,$B39,99)*GV39=1,IF(AND($E39=2,MK39=0),1000000,IF($I39&gt;0,IF(5=$J39,IF(OR(AND(99=$I39+1,OR($K39&lt;&gt;'計算A'!$A$3,'計算A'!$A$4=0)),AND(99=$I39-1,OR(3&lt;&gt;'計算A'!$A$3,'計算A'!$A$4=0))),0,IF(3=$K39,200000,ABS(3-$K39)*100)),100000+ABS(5-$J39)*1000+30)+'計算A'!CX$5*50+IF(AND($E39=1,MK39=0),25,0),IF($F39&gt;0,INDEX('計算A'!CX$110:CX$114,$F39+1)+IF(AND($E39=1,MK39=0),1000,0),MIN(TY39,20)*400+(IF('計算A'!CW$106=1,1-GU39,0)+IF('計算A'!CX$106=1,1-GW39,0))*150+35+'計算A'!CX$5*100000+IF(AND($E39=1,MK39=0),50000,0))+IF($H39=1,(IF('計算A'!CW$117=1,INDEX('計算A'!CW$10:CW$54,$B39),0)+IF('計算A'!CX$117=1,INDEX('計算A'!CY$10:CY$54,$B39),0))*4000,0)-IF(AND('計算A'!CW$117=1,XU39&gt;0),2000,0)-IF(AND($L39=1,'計算A'!CX$117=1,GW39=0),2000,0))),1000000))</f>
        <v/>
      </c>
      <c r="SA39">
        <f>IF($B39=0,1000000,IF(INDEX('計算A'!$D$60:$EQ$104,$B39,100)*GW39=1,IF(AND($E39=2,ML39=0),1000000,IF($I39&gt;0,IF(5=$J39,IF(OR(AND(100=$I39+1,OR($K39&lt;&gt;'計算A'!$A$3,'計算A'!$A$4=0)),AND(100=$I39-1,OR(4&lt;&gt;'計算A'!$A$3,'計算A'!$A$4=0))),0,IF(4=$K39,200000,ABS(4-$K39)*100)),100000+ABS(5-$J39)*1000+40)+'計算A'!CY$5*50+IF(AND($E39=1,ML39=0),25,0),IF($F39&gt;0,INDEX('計算A'!CY$110:CY$114,$F39+1)+IF(AND($E39=1,ML39=0),1000,0),MIN(TY39,20)*400+(IF('計算A'!CX$106=1,1-GV39,0)+IF('計算A'!CY$106=1,1-GX39,0))*150+45+'計算A'!CY$5*100000+IF(AND($E39=1,ML39=0),50000,0))+IF($H39=1,(IF('計算A'!CX$117=1,INDEX('計算A'!CX$10:CX$54,$B39),0)+IF('計算A'!CY$117=1,INDEX('計算A'!CZ$10:CZ$54,$B39),0))*4000,0)-IF(AND('計算A'!CX$117=1,XV39&gt;0),2000,0)-IF(AND($L39=1,'計算A'!CY$117=1,GX39=0),2000,0))),1000000))</f>
        <v/>
      </c>
      <c r="SB39">
        <f>IF($B39=0,1000000,IF(INDEX('計算A'!$D$60:$EQ$104,$B39,101)*GX39=1,IF(AND($E39=2,MM39=0),1000000,IF($I39&gt;0,IF(5=$J39,IF(OR(AND(101=$I39+1,OR($K39&lt;&gt;'計算A'!$A$3,'計算A'!$A$4=0)),AND(101=$I39-1,OR(5&lt;&gt;'計算A'!$A$3,'計算A'!$A$4=0))),0,IF(5=$K39,200000,ABS(5-$K39)*100)),100000+ABS(5-$J39)*1000+50)+'計算A'!CZ$5*50+IF(AND($E39=1,MM39=0),25,0),IF($F39&gt;0,INDEX('計算A'!CZ$110:CZ$114,$F39+1)+IF(AND($E39=1,MM39=0),1000,0),MIN(TY39,20)*400+(IF('計算A'!CY$106=1,1-GW39,0)+IF('計算A'!CZ$106=1,1-GY39,0))*150+55+'計算A'!CZ$5*100000+IF(AND($E39=1,MM39=0),50000,0))+IF($H39=1,(IF('計算A'!CY$117=1,INDEX('計算A'!CY$10:CY$54,$B39),0)+IF('計算A'!CZ$117=1,INDEX('計算A'!DA$10:DA$54,$B39),0))*4000,0)-IF(AND('計算A'!CY$117=1,XW39&gt;0),2000,0)-IF(AND($L39=1,'計算A'!CZ$117=1,GY39=0),2000,0))),1000000))</f>
        <v/>
      </c>
      <c r="SC39">
        <f>IF($B39=0,1000000,IF(INDEX('計算A'!$D$60:$EQ$104,$B39,102)*GY39=1,IF(AND($E39=2,MN39=0),1000000,IF($I39&gt;0,IF(5=$J39,IF(OR(AND(102=$I39+1,OR($K39&lt;&gt;'計算A'!$A$3,'計算A'!$A$4=0)),AND(102=$I39-1,OR(6&lt;&gt;'計算A'!$A$3,'計算A'!$A$4=0))),0,IF(6=$K39,200000,ABS(6-$K39)*100)),100000+ABS(5-$J39)*1000+60)+'計算A'!DA$5*50+IF(AND($E39=1,MN39=0),25,0),IF($F39&gt;0,INDEX('計算A'!DA$110:DA$114,$F39+1)+IF(AND($E39=1,MN39=0),1000,0),MIN(TY39,20)*400+(IF('計算A'!CZ$106=1,1-GX39,0)+IF('計算A'!DA$106=1,1-GZ39,0))*150+65+'計算A'!DA$5*100000+IF(AND($E39=1,MN39=0),50000,0))+IF($H39=1,(IF('計算A'!CZ$117=1,INDEX('計算A'!CZ$10:CZ$54,$B39),0)+IF('計算A'!DA$117=1,INDEX('計算A'!DB$10:DB$54,$B39),0))*4000,0)-IF(AND('計算A'!CZ$117=1,XX39&gt;0),2000,0)-IF(AND($L39=1,'計算A'!DA$117=1,GZ39=0),2000,0))),1000000))</f>
        <v/>
      </c>
      <c r="SD39">
        <f>IF($B39=0,1000000,IF(INDEX('計算A'!$D$60:$EQ$104,$B39,103)*GZ39=1,IF(AND($E39=2,MO39=0),1000000,IF($I39&gt;0,IF(5=$J39,IF(OR(AND(103=$I39+1,OR($K39&lt;&gt;'計算A'!$A$3,'計算A'!$A$4=0)),AND(103=$I39-1,OR(7&lt;&gt;'計算A'!$A$3,'計算A'!$A$4=0))),0,IF(7=$K39,200000,ABS(7-$K39)*100)),100000+ABS(5-$J39)*1000+70)+'計算A'!DB$5*50+IF(AND($E39=1,MO39=0),25,0),IF($F39&gt;0,INDEX('計算A'!DB$110:DB$114,$F39+1)+IF(AND($E39=1,MO39=0),1000,0),MIN(TY39,20)*400+(IF('計算A'!DA$106=1,1-GY39,0)+IF('計算A'!DB$106=1,1-HA39,0))*150+75+'計算A'!DB$5*100000+IF(AND($E39=1,MO39=0),50000,0))+IF($H39=1,(IF('計算A'!DA$117=1,INDEX('計算A'!DA$10:DA$54,$B39),0)+IF('計算A'!DB$117=1,INDEX('計算A'!DC$10:DC$54,$B39),0))*4000,0)-IF(AND('計算A'!DA$117=1,XY39&gt;0),2000,0)-IF(AND($L39=1,'計算A'!DB$117=1,HA39=0),2000,0))),1000000))</f>
        <v/>
      </c>
      <c r="SE39">
        <f>IF($B39=0,1000000,IF(INDEX('計算A'!$D$60:$EQ$104,$B39,104)*HA39=1,IF(AND($E39=2,MP39=0),1000000,IF($I39&gt;0,IF(5=$J39,IF(OR(AND(104=$I39+1,OR($K39&lt;&gt;'計算A'!$A$3,'計算A'!$A$4=0)),AND(104=$I39-1,OR(8&lt;&gt;'計算A'!$A$3,'計算A'!$A$4=0))),0,IF(8=$K39,200000,ABS(8-$K39)*100)),100000+ABS(5-$J39)*1000+80)+'計算A'!DC$5*50+IF(AND($E39=1,MP39=0),25,0),IF($F39&gt;0,INDEX('計算A'!DC$110:DC$114,$F39+1)+IF(AND($E39=1,MP39=0),1000,0),MIN(TY39,20)*400+(IF('計算A'!DB$106=1,1-GZ39,0)+IF('計算A'!DC$106=1,1-HB39,0))*150+85+'計算A'!DC$5*100000+IF(AND($E39=1,MP39=0),50000,0))+IF($H39=1,(IF('計算A'!DB$117=1,INDEX('計算A'!DB$10:DB$54,$B39),0)+IF('計算A'!DC$117=1,INDEX('計算A'!DD$10:DD$54,$B39),0))*4000,0)-IF(AND('計算A'!DB$117=1,XZ39&gt;0),2000,0)-IF(AND($L39=1,'計算A'!DC$117=1,HB39=0),2000,0))),1000000))</f>
        <v/>
      </c>
      <c r="SF39">
        <f>IF($B39=0,1000000,IF(INDEX('計算A'!$D$60:$EQ$104,$B39,105)*HB39=1,IF(AND($E39=2,MQ39=0),1000000,IF($I39&gt;0,IF(5=$J39,IF(OR(AND(105=$I39+1,OR($K39&lt;&gt;'計算A'!$A$3,'計算A'!$A$4=0)),AND(105=$I39-1,OR(9&lt;&gt;'計算A'!$A$3,'計算A'!$A$4=0))),0,IF(9=$K39,200000,ABS(9-$K39)*100)),100000+ABS(5-$J39)*1000+90)+'計算A'!DD$5*50+IF(AND($E39=1,MQ39=0),25,0),IF($F39&gt;0,INDEX('計算A'!DD$110:DD$114,$F39+1)+IF(AND($E39=1,MQ39=0),1000,0),MIN(TY39,20)*400+(IF('計算A'!DC$106=1,1-HA39,0)+IF('計算A'!DD$106=1,1-HC39,0))*150+95+'計算A'!DD$5*100000+IF(AND($E39=1,MQ39=0),50000,0))+IF($H39=1,(IF('計算A'!DC$117=1,INDEX('計算A'!DC$10:DC$54,$B39),0)+IF('計算A'!DD$117=1,INDEX('計算A'!DE$10:DE$54,$B39),0))*4000,0)-IF(AND('計算A'!DC$117=1,YA39&gt;0),2000,0)-IF(AND($L39=1,'計算A'!DD$117=1,HC39=0),2000,0))),1000000))</f>
        <v/>
      </c>
      <c r="SG39">
        <f>IF($B39=0,1000000,IF(INDEX('計算A'!$D$60:$EQ$104,$B39,106)*HC39=1,IF(AND($E39=2,MR39=0),1000000,IF($I39&gt;0,IF(5=$J39,IF(OR(AND(106=$I39+1,OR($K39&lt;&gt;'計算A'!$A$3,'計算A'!$A$4=0)),AND(106=$I39-1,OR(10&lt;&gt;'計算A'!$A$3,'計算A'!$A$4=0))),0,IF(10=$K39,200000,ABS(10-$K39)*100)),100000+ABS(5-$J39)*1000+100)+'計算A'!DE$5*50+IF(AND($E39=1,MR39=0),25,0),IF($F39&gt;0,INDEX('計算A'!DE$110:DE$114,$F39+1)+IF(AND($E39=1,MR39=0),1000,0),MIN(TY39,20)*400+(IF('計算A'!DD$106=1,1-HB39,0)+IF('計算A'!DE$106=1,1-HD39,0))*150+105+'計算A'!DE$5*100000+IF(AND($E39=1,MR39=0),50000,0))+IF($H39=1,(IF('計算A'!DD$117=1,INDEX('計算A'!DD$10:DD$54,$B39),0)+IF('計算A'!DE$117=1,INDEX('計算A'!DF$10:DF$54,$B39),0))*4000,0)-IF(AND('計算A'!DD$117=1,YB39&gt;0),2000,0)-IF(AND($L39=1,'計算A'!DE$117=1,HD39=0),2000,0))),1000000))</f>
        <v/>
      </c>
      <c r="SH39">
        <f>IF($B39=0,1000000,IF(INDEX('計算A'!$D$60:$EQ$104,$B39,107)*HD39=1,IF(AND($E39=2,MS39=0),1000000,IF($I39&gt;0,IF(5=$J39,IF(OR(AND(107=$I39+1,OR($K39&lt;&gt;'計算A'!$A$3,'計算A'!$A$4=0)),AND(107=$I39-1,OR(11&lt;&gt;'計算A'!$A$3,'計算A'!$A$4=0))),0,IF(11=$K39,200000,ABS(11-$K39)*100)),100000+ABS(5-$J39)*1000+110)+'計算A'!DF$5*50+IF(AND($E39=1,MS39=0),25,0),IF($F39&gt;0,INDEX('計算A'!DF$110:DF$114,$F39+1)+IF(AND($E39=1,MS39=0),1000,0),MIN(TY39,20)*400+(IF('計算A'!DE$106=1,1-HC39,0)+IF('計算A'!DF$106=1,1-HE39,0))*150+115+'計算A'!DF$5*100000+IF(AND($E39=1,MS39=0),50000,0))+IF($H39=1,(IF('計算A'!DE$117=1,INDEX('計算A'!DE$10:DE$54,$B39),0)+IF('計算A'!DF$117=1,INDEX('計算A'!DG$10:DG$54,$B39),0))*4000,0)-IF(AND('計算A'!DE$117=1,YC39&gt;0),2000,0)-IF(AND($L39=1,'計算A'!DF$117=1,HE39=0),2000,0))),1000000))</f>
        <v/>
      </c>
      <c r="SI39">
        <f>IF($B39=0,1000000,IF(INDEX('計算A'!$D$60:$EQ$104,$B39,108)*HE39=1,IF(AND($E39=2,MT39=0),1000000,IF($I39&gt;0,IF(5=$J39,IF(OR(AND(108=$I39+1,OR($K39&lt;&gt;'計算A'!$A$3,'計算A'!$A$4=0)),AND(108=$I39-1,OR(12&lt;&gt;'計算A'!$A$3,'計算A'!$A$4=0))),0,IF(12=$K39,200000,ABS(12-$K39)*100)),100000+ABS(5-$J39)*1000+120)+'計算A'!DG$5*50+IF(AND($E39=1,MT39=0),25,0),IF($F39&gt;0,INDEX('計算A'!DG$110:DG$114,$F39+1)+IF(AND($E39=1,MT39=0),1000,0),MIN(TY39,20)*400+(IF('計算A'!DF$106=1,1-HD39,0)+IF('計算A'!DG$106=1,1-HF39,0))*150+125+'計算A'!DG$5*100000+IF(AND($E39=1,MT39=0),50000,0))+IF($H39=1,(IF('計算A'!DF$117=1,INDEX('計算A'!DF$10:DF$54,$B39),0)+IF('計算A'!DG$117=1,INDEX('計算A'!DH$10:DH$54,$B39),0))*4000,0)-IF(AND('計算A'!DF$117=1,YD39&gt;0),2000,0)-IF(AND($L39=1,'計算A'!DG$117=1,HF39=0),2000,0))),1000000))</f>
        <v/>
      </c>
      <c r="SJ39">
        <f>IF($B39=0,1000000,IF(INDEX('計算A'!$D$60:$EQ$104,$B39,109)*HF39=1,IF(AND($E39=2,MU39=0),1000000,IF($I39&gt;0,IF(5=$J39,IF(OR(AND(109=$I39+1,OR($K39&lt;&gt;'計算A'!$A$3,'計算A'!$A$4=0)),AND(109=$I39-1,OR(13&lt;&gt;'計算A'!$A$3,'計算A'!$A$4=0))),0,IF(13=$K39,200000,ABS(13-$K39)*100)),100000+ABS(5-$J39)*1000+130)+'計算A'!DH$5*50+IF(AND($E39=1,MU39=0),25,0),IF($F39&gt;0,INDEX('計算A'!DH$110:DH$114,$F39+1)+IF(AND($E39=1,MU39=0),1000,0),MIN(TY39,20)*400+(IF('計算A'!DG$106=1,1-HE39,0)+IF('計算A'!DH$106=1,1-HG39,0))*150+135+'計算A'!DH$5*100000+IF(AND($E39=1,MU39=0),50000,0))+IF($H39=1,(IF('計算A'!DG$117=1,INDEX('計算A'!DG$10:DG$54,$B39),0)+IF('計算A'!DH$117=1,INDEX('計算A'!DI$10:DI$54,$B39),0))*4000,0)-IF(AND('計算A'!DG$117=1,YE39&gt;0),2000,0)-IF(AND($L39=1,'計算A'!DH$117=1,HG39=0),2000,0))),1000000))</f>
        <v/>
      </c>
      <c r="SK39">
        <f>IF($B39=0,1000000,IF(INDEX('計算A'!$D$60:$EQ$104,$B39,110)*HG39=1,IF(AND($E39=2,MV39=0),1000000,IF($I39&gt;0,IF(5=$J39,IF(OR(AND(110=$I39+1,OR($K39&lt;&gt;'計算A'!$A$3,'計算A'!$A$4=0)),AND(110=$I39-1,OR(14&lt;&gt;'計算A'!$A$3,'計算A'!$A$4=0))),0,IF(14=$K39,200000,ABS(14-$K39)*100)),100000+ABS(5-$J39)*1000+140)+'計算A'!DI$5*50+IF(AND($E39=1,MV39=0),25,0),IF($F39&gt;0,INDEX('計算A'!DI$110:DI$114,$F39+1)+IF(AND($E39=1,MV39=0),1000,0),MIN(TY39,20)*400+(IF('計算A'!DH$106=1,1-HF39,0)+IF('計算A'!DI$106=1,1-HH39,0))*150+145+'計算A'!DI$5*100000+IF(AND($E39=1,MV39=0),50000,0))+IF($H39=1,(IF('計算A'!DH$117=1,INDEX('計算A'!DH$10:DH$54,$B39),0)+IF('計算A'!DI$117=1,INDEX('計算A'!DJ$10:DJ$54,$B39),0))*4000,0)-IF(AND('計算A'!DH$117=1,YF39&gt;0),2000,0)-IF(AND($L39=1,'計算A'!DI$117=1,HH39=0),2000,0))),1000000))</f>
        <v/>
      </c>
      <c r="SL39">
        <f>IF($B39=0,1000000,IF(INDEX('計算A'!$D$60:$EQ$104,$B39,111)*HH39=1,IF(AND($E39=2,MW39=0),1000000,IF($I39&gt;0,IF(5=$J39,IF(OR(AND(111=$I39+1,OR($K39&lt;&gt;'計算A'!$A$3,'計算A'!$A$4=0)),AND(111=$I39-1,OR(15&lt;&gt;'計算A'!$A$3,'計算A'!$A$4=0))),0,IF(15=$K39,200000,ABS(15-$K39)*100)),100000+ABS(5-$J39)*1000+150)+'計算A'!DJ$5*50+IF(AND($E39=1,MW39=0),25,0),IF($F39&gt;0,INDEX('計算A'!DJ$110:DJ$114,$F39+1)+IF(AND($E39=1,MW39=0),1000,0),MIN(TY39,20)*400+(IF('計算A'!DI$106=1,1-HG39,0)+IF('計算A'!DJ$106=1,1-HI39,0))*150+155+'計算A'!DJ$5*100000+IF(AND($E39=1,MW39=0),50000,0))+IF($H39=1,(IF('計算A'!DI$117=1,INDEX('計算A'!DI$10:DI$54,$B39),0)+IF('計算A'!DJ$117=1,INDEX('計算A'!DK$10:DK$54,$B39),0))*4000,0)-IF(AND('計算A'!DI$117=1,YG39&gt;0),2000,0)-IF(AND($L39=1,'計算A'!DJ$117=1,HI39=0),2000,0))),1000000))</f>
        <v/>
      </c>
      <c r="SM39">
        <f>IF($B39=0,1000000,IF(INDEX('計算A'!$D$60:$EQ$104,$B39,112)*HI39=1,IF(AND($E39=2,MX39=0),1000000,IF($I39&gt;0,IF(5=$J39,IF(OR(AND(112=$I39+1,OR($K39&lt;&gt;'計算A'!$A$3,'計算A'!$A$4=0)),AND(112=$I39-1,OR(16&lt;&gt;'計算A'!$A$3,'計算A'!$A$4=0))),0,IF(16=$K39,200000,ABS(16-$K39)*100)),100000+ABS(5-$J39)*1000+160)+'計算A'!DK$5*50+IF(AND($E39=1,MX39=0),25,0),IF($F39&gt;0,INDEX('計算A'!DK$110:DK$114,$F39+1)+IF(AND($E39=1,MX39=0),1000,0),MIN(TY39,20)*400+(IF('計算A'!DJ$106=1,1-HH39,0)+IF('計算A'!DK$106=1,1-HJ39,0))*150+165+'計算A'!DK$5*100000+IF(AND($E39=1,MX39=0),50000,0))+IF($H39=1,(IF('計算A'!DJ$117=1,INDEX('計算A'!DJ$10:DJ$54,$B39),0)+IF('計算A'!DK$117=1,INDEX('計算A'!DL$10:DL$54,$B39),0))*4000,0)-IF(AND('計算A'!DJ$117=1,YH39&gt;0),2000,0)-IF(AND($L39=1,'計算A'!DK$117=1,HJ39=0),2000,0))),1000000))</f>
        <v/>
      </c>
      <c r="SN39">
        <f>IF($B39=0,1000000,IF(INDEX('計算A'!$D$60:$EQ$104,$B39,113)*HJ39=1,IF(AND($E39=2,MY39=0),1000000,IF($I39&gt;0,IF(5=$J39,IF(OR(AND(113=$I39+1,OR($K39&lt;&gt;'計算A'!$A$3,'計算A'!$A$4=0)),AND(113=$I39-1,OR(17&lt;&gt;'計算A'!$A$3,'計算A'!$A$4=0))),0,IF(17=$K39,200000,ABS(17-$K39)*100)),100000+ABS(5-$J39)*1000+170)+'計算A'!DL$5*50+IF(AND($E39=1,MY39=0),25,0),IF($F39&gt;0,INDEX('計算A'!DL$110:DL$114,$F39+1)+IF(AND($E39=1,MY39=0),1000,0),MIN(TY39,20)*400+(IF('計算A'!DK$106=1,1-HI39,0)+IF('計算A'!DL$106=1,1-HK39,0))*150+175+'計算A'!DL$5*100000+IF(AND($E39=1,MY39=0),50000,0))+IF($H39=1,(IF('計算A'!DK$117=1,INDEX('計算A'!DK$10:DK$54,$B39),0)+IF('計算A'!DL$117=1,INDEX('計算A'!DM$10:DM$54,$B39),0))*4000,0)-IF(AND('計算A'!DK$117=1,YI39&gt;0),2000,0)-IF(AND($L39=1,'計算A'!DL$117=1,HK39=0),2000,0))),1000000))</f>
        <v/>
      </c>
      <c r="SO39">
        <f>IF($B39=0,1000000,IF(INDEX('計算A'!$D$60:$EQ$104,$B39,114)*HK39=1,IF(AND($E39=2,MZ39=0),1000000,IF($I39&gt;0,IF(5=$J39,IF(OR(AND(114=$I39+1,OR($K39&lt;&gt;'計算A'!$A$3,'計算A'!$A$4=0)),AND(114=$I39-1,OR(18&lt;&gt;'計算A'!$A$3,'計算A'!$A$4=0))),0,IF(18=$K39,200000,ABS(18-$K39)*100)),100000+ABS(5-$J39)*1000+180)+'計算A'!DM$5*50+IF(AND($E39=1,MZ39=0),25,0),IF($F39&gt;0,INDEX('計算A'!DM$110:DM$114,$F39+1)+IF(AND($E39=1,MZ39=0),1000,0),MIN(TY39,20)*400+(IF('計算A'!DL$106=1,1-HJ39,0)+IF('計算A'!DM$106=1,1-HL39,0))*150+185+'計算A'!DM$5*100000+IF(AND($E39=1,MZ39=0),50000,0))+IF($H39=1,(IF('計算A'!DL$117=1,INDEX('計算A'!DL$10:DL$54,$B39),0)+IF('計算A'!DM$117=1,INDEX('計算A'!DN$10:DN$54,$B39),0))*4000,0)-IF(AND('計算A'!DL$117=1,YJ39&gt;0),2000,0)-IF(AND($L39=1,'計算A'!DM$117=1,HL39=0),2000,0))),1000000))</f>
        <v/>
      </c>
      <c r="SP39">
        <f>IF($B39=0,1000000,IF(INDEX('計算A'!$D$60:$EQ$104,$B39,115)*HL39=1,IF(AND($E39=2,NA39=0),1000000,IF($I39&gt;0,IF(5=$J39,IF(OR(AND(115=$I39+1,OR($K39&lt;&gt;'計算A'!$A$3,'計算A'!$A$4=0)),AND(115=$I39-1,OR(19&lt;&gt;'計算A'!$A$3,'計算A'!$A$4=0))),0,IF(19=$K39,200000,ABS(19-$K39)*100)),100000+ABS(5-$J39)*1000+190)+'計算A'!DN$5*50+IF(AND($E39=1,NA39=0),25,0),IF($F39&gt;0,INDEX('計算A'!DN$110:DN$114,$F39+1)+IF(AND($E39=1,NA39=0),1000,0),MIN(TY39,20)*400+(IF('計算A'!DM$106=1,1-HK39,0)+IF('計算A'!DN$106=1,1-HM39,0))*150+195+'計算A'!DN$5*100000+IF(AND($E39=1,NA39=0),50000,0))+IF($H39=1,(IF('計算A'!DM$117=1,INDEX('計算A'!DM$10:DM$54,$B39),0)+IF('計算A'!DN$117=1,INDEX('計算A'!DO$10:DO$54,$B39),0))*4000,0)-IF(AND('計算A'!DM$117=1,YK39&gt;0),2000,0)-IF(AND($L39=1,'計算A'!DN$117=1,HM39=0),2000,0))),1000000))</f>
        <v/>
      </c>
      <c r="SQ39">
        <f>IF($B39=0,1000000,IF(INDEX('計算A'!$D$60:$EQ$104,$B39,116)*HM39=1,IF(AND($E39=2,NB39=0),1000000,IF($I39&gt;0,IF(5=$J39,IF(OR(AND(116=$I39+1,OR($K39&lt;&gt;'計算A'!$A$3,'計算A'!$A$4=0)),AND(116=$I39-1,OR(20&lt;&gt;'計算A'!$A$3,'計算A'!$A$4=0))),0,IF(20=$K39,200000,ABS(20-$K39)*100)),100000+ABS(5-$J39)*1000+200)+'計算A'!DO$5*50+IF(AND($E39=1,NB39=0),25,0),IF($F39&gt;0,INDEX('計算A'!DO$110:DO$114,$F39+1)+IF(AND($E39=1,NB39=0),1000,0),MIN(TY39,20)*400+(IF('計算A'!DN$106=1,1-HL39,0)+IF('計算A'!DO$106=1,1-HN39,0))*150+205+'計算A'!DO$5*100000+IF(AND($E39=1,NB39=0),50000,0))+IF($H39=1,(IF('計算A'!DN$117=1,INDEX('計算A'!DN$10:DN$54,$B39),0)+IF('計算A'!DO$117=1,INDEX('計算A'!DP$10:DP$54,$B39),0))*4000,0)-IF(AND('計算A'!DN$117=1,YL39&gt;0),2000,0)-IF(AND($L39=1,'計算A'!DO$117=1,HN39=0),2000,0))),1000000))</f>
        <v/>
      </c>
      <c r="SR39">
        <f>IF($B39=0,1000000,IF(INDEX('計算A'!$D$60:$EQ$104,$B39,117)*HN39=1,IF(AND($E39=2,NC39=0),1000000,IF($I39&gt;0,IF(5=$J39,IF(OR(AND(117=$I39+1,OR($K39&lt;&gt;'計算A'!$A$3,'計算A'!$A$4=0)),AND(117=$I39-1,OR(21&lt;&gt;'計算A'!$A$3,'計算A'!$A$4=0))),0,IF(21=$K39,200000,ABS(21-$K39)*100)),100000+ABS(5-$J39)*1000+210)+'計算A'!DP$5*50+IF(AND($E39=1,NC39=0),25,0),IF($F39&gt;0,INDEX('計算A'!DP$110:DP$114,$F39+1)+IF(AND($E39=1,NC39=0),1000,0),MIN(TY39,20)*400+(IF('計算A'!DO$106=1,1-HM39,0)+IF('計算A'!DP$106=1,1-HO39,0))*150+215+'計算A'!DP$5*100000+IF(AND($E39=1,NC39=0),50000,0))+IF($H39=1,(IF('計算A'!DO$117=1,INDEX('計算A'!DO$10:DO$54,$B39),0)+IF('計算A'!DP$117=1,INDEX('計算A'!DQ$10:DQ$54,$B39),0))*4000,0)-IF(AND('計算A'!DO$117=1,YM39&gt;0),2000,0)-IF(AND($L39=1,'計算A'!DP$117=1,HO39=0),2000,0))),1000000))</f>
        <v/>
      </c>
      <c r="SS39">
        <f>IF($B39=0,1000000,IF(INDEX('計算A'!$D$60:$EQ$104,$B39,118)*HO39=1,IF(AND($E39=2,ND39=0),1000000,IF($I39&gt;0,IF(5=$J39,IF(OR(AND(118=$I39+1,OR($K39&lt;&gt;'計算A'!$A$3,'計算A'!$A$4=0)),AND(118=$I39-1,OR(22&lt;&gt;'計算A'!$A$3,'計算A'!$A$4=0))),0,IF(22=$K39,200000,ABS(22-$K39)*100)),100000+ABS(5-$J39)*1000+220)+'計算A'!DQ$5*50+IF(AND($E39=1,ND39=0),25,0),IF($F39&gt;0,INDEX('計算A'!DQ$110:DQ$114,$F39+1)+IF(AND($E39=1,ND39=0),1000,0),MIN(TY39,20)*400+(IF('計算A'!DP$106=1,1-HN39,0)+IF('計算A'!DQ$106=1,1-HP39,0))*150+225+'計算A'!DQ$5*100000+IF(AND($E39=1,ND39=0),50000,0))+IF($H39=1,(IF('計算A'!DP$117=1,INDEX('計算A'!DP$10:DP$54,$B39),0)+IF('計算A'!DQ$117=1,INDEX('計算A'!DR$10:DR$54,$B39),0))*4000,0)-IF(AND('計算A'!DP$117=1,YN39&gt;0),2000,0)-IF(AND($L39=1,'計算A'!DQ$117=1,HP39=0),2000,0))),1000000))</f>
        <v/>
      </c>
      <c r="ST39">
        <f>IF($B39=0,1000000,IF(INDEX('計算A'!$D$60:$EQ$104,$B39,119)*HP39=1,IF(AND($E39=2,NE39=0),1000000,IF($I39&gt;0,IF(5=$J39,IF(OR(AND(119=$I39+1,OR($K39&lt;&gt;'計算A'!$A$3,'計算A'!$A$4=0)),AND(119=$I39-1,OR(23&lt;&gt;'計算A'!$A$3,'計算A'!$A$4=0))),0,IF(23=$K39,200000,ABS(23-$K39)*100)),100000+ABS(5-$J39)*1000+230)+'計算A'!DR$5*50+IF(AND($E39=1,NE39=0),25,0),IF($F39&gt;0,INDEX('計算A'!DR$110:DR$114,$F39+1)+IF(AND($E39=1,NE39=0),1000,0),MIN(TY39,20)*400+(IF('計算A'!DQ$106=1,1-HO39,0)+IF('計算A'!DR$106=1,1-HQ39,0))*150+235+'計算A'!DR$5*100000+IF(AND($E39=1,NE39=0),50000,0))+IF($H39=1,(IF('計算A'!DQ$117=1,INDEX('計算A'!DQ$10:DQ$54,$B39),0)+IF('計算A'!DR$117=1,INDEX('計算A'!DS$10:DS$54,$B39),0))*4000,0)-IF(AND('計算A'!DQ$117=1,YO39&gt;0),2000,0)-IF(AND($L39=1,'計算A'!DR$117=1,HQ39=0),2000,0))),1000000))</f>
        <v/>
      </c>
      <c r="SU39">
        <f>IF($B39=0,1000000,IF(INDEX('計算A'!$D$60:$EQ$104,$B39,120)*HQ39=1,IF(AND($E39=2,NF39=0),1000000,IF($I39&gt;0,IF(5=$J39,IF(OR(AND(120=$I39+1,OR($K39&lt;&gt;'計算A'!$A$3,'計算A'!$A$4=0)),AND(120=$I39-1,OR(24&lt;&gt;'計算A'!$A$3,'計算A'!$A$4=0))),0,IF(24=$K39,200000,ABS(24-$K39)*100)),100000+ABS(5-$J39)*1000+240)+'計算A'!DS$5*50+IF(AND($E39=1,NF39=0),25,0),IF($F39&gt;0,INDEX('計算A'!DS$110:DS$114,$F39+1)+IF(AND($E39=1,NF39=0),1000,0),MIN(TY39,20)*400+(IF('計算A'!DR$106=1,1-HP39,0))*150+245+'計算A'!DS$5*100000+IF(AND($E39=1,NF39=0),50000,0))+IF($H39=1,(IF('計算A'!DR$117=1,INDEX('計算A'!DR$10:DR$54,$B39),0))*4000,0)-IF(AND('計算A'!DR$117=1,YP39&gt;0),2000,0))),1000000))</f>
        <v/>
      </c>
      <c r="SV39">
        <f>IF($B39=0,1000000,IF(INDEX('計算A'!$D$60:$EQ$104,$B39,121)*HR39=1,IF(AND($E39=2,NG39=0),1000000,IF($I39&gt;0,IF(6=$J39,IF(OR(AND(121=$I39+1,OR($K39&lt;&gt;'計算A'!$A$3,'計算A'!$A$4=0)),AND(121=$I39-1,OR(1&lt;&gt;'計算A'!$A$3,'計算A'!$A$4=0))),0,IF(1=$K39,200000,ABS(1-$K39)*100)),100000+ABS(6-$J39)*1000+10)+'計算A'!DT$5*50+IF(AND($E39=1,NG39=0),25,0),IF($F39&gt;0,INDEX('計算A'!DT$110:DT$114,$F39+1)+IF(AND($E39=1,NG39=0),1000,0),MIN(TZ39,20)*400+(IF('計算A'!DT$106=1,1-HS39,0))*150+16+'計算A'!DT$5*100000+IF(AND($E39=1,NG39=0),50000,0))+IF($H39=1,(IF('計算A'!DT$117=1,INDEX('計算A'!DU$10:DU$54,$B39),0))*4000,0)-IF(AND($L39=1,'計算A'!DT$117=1,HS39=0),2000,0))),1000000))</f>
        <v/>
      </c>
      <c r="SW39">
        <f>IF($B39=0,1000000,IF(INDEX('計算A'!$D$60:$EQ$104,$B39,122)*HS39=1,IF(AND($E39=2,NH39=0),1000000,IF($I39&gt;0,IF(6=$J39,IF(OR(AND(122=$I39+1,OR($K39&lt;&gt;'計算A'!$A$3,'計算A'!$A$4=0)),AND(122=$I39-1,OR(2&lt;&gt;'計算A'!$A$3,'計算A'!$A$4=0))),0,IF(2=$K39,200000,ABS(2-$K39)*100)),100000+ABS(6-$J39)*1000+20)+'計算A'!DU$5*50+IF(AND($E39=1,NH39=0),25,0),IF($F39&gt;0,INDEX('計算A'!DU$110:DU$114,$F39+1)+IF(AND($E39=1,NH39=0),1000,0),MIN(TZ39,20)*400+(IF('計算A'!DT$106=1,1-HR39,0)+IF('計算A'!DU$106=1,1-HT39,0))*150+26+'計算A'!DU$5*100000+IF(AND($E39=1,NH39=0),50000,0))+IF($H39=1,(IF('計算A'!DT$117=1,INDEX('計算A'!DT$10:DT$54,$B39),0)+IF('計算A'!DU$117=1,INDEX('計算A'!DV$10:DV$54,$B39),0))*4000,0)-IF(AND('計算A'!DT$117=1,YR39&gt;0),2000,0)-IF(AND($L39=1,'計算A'!DU$117=1,HT39=0),2000,0))),1000000))</f>
        <v/>
      </c>
      <c r="SX39">
        <f>IF($B39=0,1000000,IF(INDEX('計算A'!$D$60:$EQ$104,$B39,123)*HT39=1,IF(AND($E39=2,NI39=0),1000000,IF($I39&gt;0,IF(6=$J39,IF(OR(AND(123=$I39+1,OR($K39&lt;&gt;'計算A'!$A$3,'計算A'!$A$4=0)),AND(123=$I39-1,OR(3&lt;&gt;'計算A'!$A$3,'計算A'!$A$4=0))),0,IF(3=$K39,200000,ABS(3-$K39)*100)),100000+ABS(6-$J39)*1000+30)+'計算A'!DV$5*50+IF(AND($E39=1,NI39=0),25,0),IF($F39&gt;0,INDEX('計算A'!DV$110:DV$114,$F39+1)+IF(AND($E39=1,NI39=0),1000,0),MIN(TZ39,20)*400+(IF('計算A'!DU$106=1,1-HS39,0)+IF('計算A'!DV$106=1,1-HU39,0))*150+36+'計算A'!DV$5*100000+IF(AND($E39=1,NI39=0),50000,0))+IF($H39=1,(IF('計算A'!DU$117=1,INDEX('計算A'!DU$10:DU$54,$B39),0)+IF('計算A'!DV$117=1,INDEX('計算A'!DW$10:DW$54,$B39),0))*4000,0)-IF(AND('計算A'!DU$117=1,YS39&gt;0),2000,0)-IF(AND($L39=1,'計算A'!DV$117=1,HU39=0),2000,0))),1000000))</f>
        <v/>
      </c>
      <c r="SY39">
        <f>IF($B39=0,1000000,IF(INDEX('計算A'!$D$60:$EQ$104,$B39,124)*HU39=1,IF(AND($E39=2,NJ39=0),1000000,IF($I39&gt;0,IF(6=$J39,IF(OR(AND(124=$I39+1,OR($K39&lt;&gt;'計算A'!$A$3,'計算A'!$A$4=0)),AND(124=$I39-1,OR(4&lt;&gt;'計算A'!$A$3,'計算A'!$A$4=0))),0,IF(4=$K39,200000,ABS(4-$K39)*100)),100000+ABS(6-$J39)*1000+40)+'計算A'!DW$5*50+IF(AND($E39=1,NJ39=0),25,0),IF($F39&gt;0,INDEX('計算A'!DW$110:DW$114,$F39+1)+IF(AND($E39=1,NJ39=0),1000,0),MIN(TZ39,20)*400+(IF('計算A'!DV$106=1,1-HT39,0)+IF('計算A'!DW$106=1,1-HV39,0))*150+46+'計算A'!DW$5*100000+IF(AND($E39=1,NJ39=0),50000,0))+IF($H39=1,(IF('計算A'!DV$117=1,INDEX('計算A'!DV$10:DV$54,$B39),0)+IF('計算A'!DW$117=1,INDEX('計算A'!DX$10:DX$54,$B39),0))*4000,0)-IF(AND('計算A'!DV$117=1,YT39&gt;0),2000,0)-IF(AND($L39=1,'計算A'!DW$117=1,HV39=0),2000,0))),1000000))</f>
        <v/>
      </c>
      <c r="SZ39">
        <f>IF($B39=0,1000000,IF(INDEX('計算A'!$D$60:$EQ$104,$B39,125)*HV39=1,IF(AND($E39=2,NK39=0),1000000,IF($I39&gt;0,IF(6=$J39,IF(OR(AND(125=$I39+1,OR($K39&lt;&gt;'計算A'!$A$3,'計算A'!$A$4=0)),AND(125=$I39-1,OR(5&lt;&gt;'計算A'!$A$3,'計算A'!$A$4=0))),0,IF(5=$K39,200000,ABS(5-$K39)*100)),100000+ABS(6-$J39)*1000+50)+'計算A'!DX$5*50+IF(AND($E39=1,NK39=0),25,0),IF($F39&gt;0,INDEX('計算A'!DX$110:DX$114,$F39+1)+IF(AND($E39=1,NK39=0),1000,0),MIN(TZ39,20)*400+(IF('計算A'!DW$106=1,1-HU39,0)+IF('計算A'!DX$106=1,1-HW39,0))*150+56+'計算A'!DX$5*100000+IF(AND($E39=1,NK39=0),50000,0))+IF($H39=1,(IF('計算A'!DW$117=1,INDEX('計算A'!DW$10:DW$54,$B39),0)+IF('計算A'!DX$117=1,INDEX('計算A'!DY$10:DY$54,$B39),0))*4000,0)-IF(AND('計算A'!DW$117=1,YU39&gt;0),2000,0)-IF(AND($L39=1,'計算A'!DX$117=1,HW39=0),2000,0))),1000000))</f>
        <v/>
      </c>
      <c r="TA39">
        <f>IF($B39=0,1000000,IF(INDEX('計算A'!$D$60:$EQ$104,$B39,126)*HW39=1,IF(AND($E39=2,NL39=0),1000000,IF($I39&gt;0,IF(6=$J39,IF(OR(AND(126=$I39+1,OR($K39&lt;&gt;'計算A'!$A$3,'計算A'!$A$4=0)),AND(126=$I39-1,OR(6&lt;&gt;'計算A'!$A$3,'計算A'!$A$4=0))),0,IF(6=$K39,200000,ABS(6-$K39)*100)),100000+ABS(6-$J39)*1000+60)+'計算A'!DY$5*50+IF(AND($E39=1,NL39=0),25,0),IF($F39&gt;0,INDEX('計算A'!DY$110:DY$114,$F39+1)+IF(AND($E39=1,NL39=0),1000,0),MIN(TZ39,20)*400+(IF('計算A'!DX$106=1,1-HV39,0)+IF('計算A'!DY$106=1,1-HX39,0))*150+66+'計算A'!DY$5*100000+IF(AND($E39=1,NL39=0),50000,0))+IF($H39=1,(IF('計算A'!DX$117=1,INDEX('計算A'!DX$10:DX$54,$B39),0)+IF('計算A'!DY$117=1,INDEX('計算A'!DZ$10:DZ$54,$B39),0))*4000,0)-IF(AND('計算A'!DX$117=1,YV39&gt;0),2000,0)-IF(AND($L39=1,'計算A'!DY$117=1,HX39=0),2000,0))),1000000))</f>
        <v/>
      </c>
      <c r="TB39">
        <f>IF($B39=0,1000000,IF(INDEX('計算A'!$D$60:$EQ$104,$B39,127)*HX39=1,IF(AND($E39=2,NM39=0),1000000,IF($I39&gt;0,IF(6=$J39,IF(OR(AND(127=$I39+1,OR($K39&lt;&gt;'計算A'!$A$3,'計算A'!$A$4=0)),AND(127=$I39-1,OR(7&lt;&gt;'計算A'!$A$3,'計算A'!$A$4=0))),0,IF(7=$K39,200000,ABS(7-$K39)*100)),100000+ABS(6-$J39)*1000+70)+'計算A'!DZ$5*50+IF(AND($E39=1,NM39=0),25,0),IF($F39&gt;0,INDEX('計算A'!DZ$110:DZ$114,$F39+1)+IF(AND($E39=1,NM39=0),1000,0),MIN(TZ39,20)*400+(IF('計算A'!DY$106=1,1-HW39,0)+IF('計算A'!DZ$106=1,1-HY39,0))*150+76+'計算A'!DZ$5*100000+IF(AND($E39=1,NM39=0),50000,0))+IF($H39=1,(IF('計算A'!DY$117=1,INDEX('計算A'!DY$10:DY$54,$B39),0)+IF('計算A'!DZ$117=1,INDEX('計算A'!EA$10:EA$54,$B39),0))*4000,0)-IF(AND('計算A'!DY$117=1,YW39&gt;0),2000,0)-IF(AND($L39=1,'計算A'!DZ$117=1,HY39=0),2000,0))),1000000))</f>
        <v/>
      </c>
      <c r="TC39">
        <f>IF($B39=0,1000000,IF(INDEX('計算A'!$D$60:$EQ$104,$B39,128)*HY39=1,IF(AND($E39=2,NN39=0),1000000,IF($I39&gt;0,IF(6=$J39,IF(OR(AND(128=$I39+1,OR($K39&lt;&gt;'計算A'!$A$3,'計算A'!$A$4=0)),AND(128=$I39-1,OR(8&lt;&gt;'計算A'!$A$3,'計算A'!$A$4=0))),0,IF(8=$K39,200000,ABS(8-$K39)*100)),100000+ABS(6-$J39)*1000+80)+'計算A'!EA$5*50+IF(AND($E39=1,NN39=0),25,0),IF($F39&gt;0,INDEX('計算A'!EA$110:EA$114,$F39+1)+IF(AND($E39=1,NN39=0),1000,0),MIN(TZ39,20)*400+(IF('計算A'!DZ$106=1,1-HX39,0)+IF('計算A'!EA$106=1,1-HZ39,0))*150+86+'計算A'!EA$5*100000+IF(AND($E39=1,NN39=0),50000,0))+IF($H39=1,(IF('計算A'!DZ$117=1,INDEX('計算A'!DZ$10:DZ$54,$B39),0)+IF('計算A'!EA$117=1,INDEX('計算A'!EB$10:EB$54,$B39),0))*4000,0)-IF(AND('計算A'!DZ$117=1,YX39&gt;0),2000,0)-IF(AND($L39=1,'計算A'!EA$117=1,HZ39=0),2000,0))),1000000))</f>
        <v/>
      </c>
      <c r="TD39">
        <f>IF($B39=0,1000000,IF(INDEX('計算A'!$D$60:$EQ$104,$B39,129)*HZ39=1,IF(AND($E39=2,NO39=0),1000000,IF($I39&gt;0,IF(6=$J39,IF(OR(AND(129=$I39+1,OR($K39&lt;&gt;'計算A'!$A$3,'計算A'!$A$4=0)),AND(129=$I39-1,OR(9&lt;&gt;'計算A'!$A$3,'計算A'!$A$4=0))),0,IF(9=$K39,200000,ABS(9-$K39)*100)),100000+ABS(6-$J39)*1000+90)+'計算A'!EB$5*50+IF(AND($E39=1,NO39=0),25,0),IF($F39&gt;0,INDEX('計算A'!EB$110:EB$114,$F39+1)+IF(AND($E39=1,NO39=0),1000,0),MIN(TZ39,20)*400+(IF('計算A'!EA$106=1,1-HY39,0)+IF('計算A'!EB$106=1,1-IA39,0))*150+96+'計算A'!EB$5*100000+IF(AND($E39=1,NO39=0),50000,0))+IF($H39=1,(IF('計算A'!EA$117=1,INDEX('計算A'!EA$10:EA$54,$B39),0)+IF('計算A'!EB$117=1,INDEX('計算A'!EC$10:EC$54,$B39),0))*4000,0)-IF(AND('計算A'!EA$117=1,YY39&gt;0),2000,0)-IF(AND($L39=1,'計算A'!EB$117=1,IA39=0),2000,0))),1000000))</f>
        <v/>
      </c>
      <c r="TE39">
        <f>IF($B39=0,1000000,IF(INDEX('計算A'!$D$60:$EQ$104,$B39,130)*IA39=1,IF(AND($E39=2,NP39=0),1000000,IF($I39&gt;0,IF(6=$J39,IF(OR(AND(130=$I39+1,OR($K39&lt;&gt;'計算A'!$A$3,'計算A'!$A$4=0)),AND(130=$I39-1,OR(10&lt;&gt;'計算A'!$A$3,'計算A'!$A$4=0))),0,IF(10=$K39,200000,ABS(10-$K39)*100)),100000+ABS(6-$J39)*1000+100)+'計算A'!EC$5*50+IF(AND($E39=1,NP39=0),25,0),IF($F39&gt;0,INDEX('計算A'!EC$110:EC$114,$F39+1)+IF(AND($E39=1,NP39=0),1000,0),MIN(TZ39,20)*400+(IF('計算A'!EB$106=1,1-HZ39,0)+IF('計算A'!EC$106=1,1-IB39,0))*150+106+'計算A'!EC$5*100000+IF(AND($E39=1,NP39=0),50000,0))+IF($H39=1,(IF('計算A'!EB$117=1,INDEX('計算A'!EB$10:EB$54,$B39),0)+IF('計算A'!EC$117=1,INDEX('計算A'!ED$10:ED$54,$B39),0))*4000,0)-IF(AND('計算A'!EB$117=1,YZ39&gt;0),2000,0)-IF(AND($L39=1,'計算A'!EC$117=1,IB39=0),2000,0))),1000000))</f>
        <v/>
      </c>
      <c r="TF39">
        <f>IF($B39=0,1000000,IF(INDEX('計算A'!$D$60:$EQ$104,$B39,131)*IB39=1,IF(AND($E39=2,NQ39=0),1000000,IF($I39&gt;0,IF(6=$J39,IF(OR(AND(131=$I39+1,OR($K39&lt;&gt;'計算A'!$A$3,'計算A'!$A$4=0)),AND(131=$I39-1,OR(11&lt;&gt;'計算A'!$A$3,'計算A'!$A$4=0))),0,IF(11=$K39,200000,ABS(11-$K39)*100)),100000+ABS(6-$J39)*1000+110)+'計算A'!ED$5*50+IF(AND($E39=1,NQ39=0),25,0),IF($F39&gt;0,INDEX('計算A'!ED$110:ED$114,$F39+1)+IF(AND($E39=1,NQ39=0),1000,0),MIN(TZ39,20)*400+(IF('計算A'!EC$106=1,1-IA39,0)+IF('計算A'!ED$106=1,1-IC39,0))*150+116+'計算A'!ED$5*100000+IF(AND($E39=1,NQ39=0),50000,0))+IF($H39=1,(IF('計算A'!EC$117=1,INDEX('計算A'!EC$10:EC$54,$B39),0)+IF('計算A'!ED$117=1,INDEX('計算A'!EE$10:EE$54,$B39),0))*4000,0)-IF(AND('計算A'!EC$117=1,ZA39&gt;0),2000,0)-IF(AND($L39=1,'計算A'!ED$117=1,IC39=0),2000,0))),1000000))</f>
        <v/>
      </c>
      <c r="TG39">
        <f>IF($B39=0,1000000,IF(INDEX('計算A'!$D$60:$EQ$104,$B39,132)*IC39=1,IF(AND($E39=2,NR39=0),1000000,IF($I39&gt;0,IF(6=$J39,IF(OR(AND(132=$I39+1,OR($K39&lt;&gt;'計算A'!$A$3,'計算A'!$A$4=0)),AND(132=$I39-1,OR(12&lt;&gt;'計算A'!$A$3,'計算A'!$A$4=0))),0,IF(12=$K39,200000,ABS(12-$K39)*100)),100000+ABS(6-$J39)*1000+120)+'計算A'!EE$5*50+IF(AND($E39=1,NR39=0),25,0),IF($F39&gt;0,INDEX('計算A'!EE$110:EE$114,$F39+1)+IF(AND($E39=1,NR39=0),1000,0),MIN(TZ39,20)*400+(IF('計算A'!ED$106=1,1-IB39,0)+IF('計算A'!EE$106=1,1-ID39,0))*150+126+'計算A'!EE$5*100000+IF(AND($E39=1,NR39=0),50000,0))+IF($H39=1,(IF('計算A'!ED$117=1,INDEX('計算A'!ED$10:ED$54,$B39),0)+IF('計算A'!EE$117=1,INDEX('計算A'!EF$10:EF$54,$B39),0))*4000,0)-IF(AND('計算A'!ED$117=1,ZB39&gt;0),2000,0)-IF(AND($L39=1,'計算A'!EE$117=1,ID39=0),2000,0))),1000000))</f>
        <v/>
      </c>
      <c r="TH39">
        <f>IF($B39=0,1000000,IF(INDEX('計算A'!$D$60:$EQ$104,$B39,133)*ID39=1,IF(AND($E39=2,NS39=0),1000000,IF($I39&gt;0,IF(6=$J39,IF(OR(AND(133=$I39+1,OR($K39&lt;&gt;'計算A'!$A$3,'計算A'!$A$4=0)),AND(133=$I39-1,OR(13&lt;&gt;'計算A'!$A$3,'計算A'!$A$4=0))),0,IF(13=$K39,200000,ABS(13-$K39)*100)),100000+ABS(6-$J39)*1000+130)+'計算A'!EF$5*50+IF(AND($E39=1,NS39=0),25,0),IF($F39&gt;0,INDEX('計算A'!EF$110:EF$114,$F39+1)+IF(AND($E39=1,NS39=0),1000,0),MIN(TZ39,20)*400+(IF('計算A'!EE$106=1,1-IC39,0)+IF('計算A'!EF$106=1,1-IE39,0))*150+136+'計算A'!EF$5*100000+IF(AND($E39=1,NS39=0),50000,0))+IF($H39=1,(IF('計算A'!EE$117=1,INDEX('計算A'!EE$10:EE$54,$B39),0)+IF('計算A'!EF$117=1,INDEX('計算A'!EG$10:EG$54,$B39),0))*4000,0)-IF(AND('計算A'!EE$117=1,ZC39&gt;0),2000,0)-IF(AND($L39=1,'計算A'!EF$117=1,IE39=0),2000,0))),1000000))</f>
        <v/>
      </c>
      <c r="TI39">
        <f>IF($B39=0,1000000,IF(INDEX('計算A'!$D$60:$EQ$104,$B39,134)*IE39=1,IF(AND($E39=2,NT39=0),1000000,IF($I39&gt;0,IF(6=$J39,IF(OR(AND(134=$I39+1,OR($K39&lt;&gt;'計算A'!$A$3,'計算A'!$A$4=0)),AND(134=$I39-1,OR(14&lt;&gt;'計算A'!$A$3,'計算A'!$A$4=0))),0,IF(14=$K39,200000,ABS(14-$K39)*100)),100000+ABS(6-$J39)*1000+140)+'計算A'!EG$5*50+IF(AND($E39=1,NT39=0),25,0),IF($F39&gt;0,INDEX('計算A'!EG$110:EG$114,$F39+1)+IF(AND($E39=1,NT39=0),1000,0),MIN(TZ39,20)*400+(IF('計算A'!EF$106=1,1-ID39,0)+IF('計算A'!EG$106=1,1-IF39,0))*150+146+'計算A'!EG$5*100000+IF(AND($E39=1,NT39=0),50000,0))+IF($H39=1,(IF('計算A'!EF$117=1,INDEX('計算A'!EF$10:EF$54,$B39),0)+IF('計算A'!EG$117=1,INDEX('計算A'!EH$10:EH$54,$B39),0))*4000,0)-IF(AND('計算A'!EF$117=1,ZD39&gt;0),2000,0)-IF(AND($L39=1,'計算A'!EG$117=1,IF39=0),2000,0))),1000000))</f>
        <v/>
      </c>
      <c r="TJ39">
        <f>IF($B39=0,1000000,IF(INDEX('計算A'!$D$60:$EQ$104,$B39,135)*IF39=1,IF(AND($E39=2,NU39=0),1000000,IF($I39&gt;0,IF(6=$J39,IF(OR(AND(135=$I39+1,OR($K39&lt;&gt;'計算A'!$A$3,'計算A'!$A$4=0)),AND(135=$I39-1,OR(15&lt;&gt;'計算A'!$A$3,'計算A'!$A$4=0))),0,IF(15=$K39,200000,ABS(15-$K39)*100)),100000+ABS(6-$J39)*1000+150)+'計算A'!EH$5*50+IF(AND($E39=1,NU39=0),25,0),IF($F39&gt;0,INDEX('計算A'!EH$110:EH$114,$F39+1)+IF(AND($E39=1,NU39=0),1000,0),MIN(TZ39,20)*400+(IF('計算A'!EG$106=1,1-IE39,0)+IF('計算A'!EH$106=1,1-IG39,0))*150+156+'計算A'!EH$5*100000+IF(AND($E39=1,NU39=0),50000,0))+IF($H39=1,(IF('計算A'!EG$117=1,INDEX('計算A'!EG$10:EG$54,$B39),0)+IF('計算A'!EH$117=1,INDEX('計算A'!EI$10:EI$54,$B39),0))*4000,0)-IF(AND('計算A'!EG$117=1,ZE39&gt;0),2000,0)-IF(AND($L39=1,'計算A'!EH$117=1,IG39=0),2000,0))),1000000))</f>
        <v/>
      </c>
      <c r="TK39">
        <f>IF($B39=0,1000000,IF(INDEX('計算A'!$D$60:$EQ$104,$B39,136)*IG39=1,IF(AND($E39=2,NV39=0),1000000,IF($I39&gt;0,IF(6=$J39,IF(OR(AND(136=$I39+1,OR($K39&lt;&gt;'計算A'!$A$3,'計算A'!$A$4=0)),AND(136=$I39-1,OR(16&lt;&gt;'計算A'!$A$3,'計算A'!$A$4=0))),0,IF(16=$K39,200000,ABS(16-$K39)*100)),100000+ABS(6-$J39)*1000+160)+'計算A'!EI$5*50+IF(AND($E39=1,NV39=0),25,0),IF($F39&gt;0,INDEX('計算A'!EI$110:EI$114,$F39+1)+IF(AND($E39=1,NV39=0),1000,0),MIN(TZ39,20)*400+(IF('計算A'!EH$106=1,1-IF39,0)+IF('計算A'!EI$106=1,1-IH39,0))*150+166+'計算A'!EI$5*100000+IF(AND($E39=1,NV39=0),50000,0))+IF($H39=1,(IF('計算A'!EH$117=1,INDEX('計算A'!EH$10:EH$54,$B39),0)+IF('計算A'!EI$117=1,INDEX('計算A'!EJ$10:EJ$54,$B39),0))*4000,0)-IF(AND('計算A'!EH$117=1,ZF39&gt;0),2000,0)-IF(AND($L39=1,'計算A'!EI$117=1,IH39=0),2000,0))),1000000))</f>
        <v/>
      </c>
      <c r="TL39">
        <f>IF($B39=0,1000000,IF(INDEX('計算A'!$D$60:$EQ$104,$B39,137)*IH39=1,IF(AND($E39=2,NW39=0),1000000,IF($I39&gt;0,IF(6=$J39,IF(OR(AND(137=$I39+1,OR($K39&lt;&gt;'計算A'!$A$3,'計算A'!$A$4=0)),AND(137=$I39-1,OR(17&lt;&gt;'計算A'!$A$3,'計算A'!$A$4=0))),0,IF(17=$K39,200000,ABS(17-$K39)*100)),100000+ABS(6-$J39)*1000+170)+'計算A'!EJ$5*50+IF(AND($E39=1,NW39=0),25,0),IF($F39&gt;0,INDEX('計算A'!EJ$110:EJ$114,$F39+1)+IF(AND($E39=1,NW39=0),1000,0),MIN(TZ39,20)*400+(IF('計算A'!EI$106=1,1-IG39,0)+IF('計算A'!EJ$106=1,1-II39,0))*150+176+'計算A'!EJ$5*100000+IF(AND($E39=1,NW39=0),50000,0))+IF($H39=1,(IF('計算A'!EI$117=1,INDEX('計算A'!EI$10:EI$54,$B39),0)+IF('計算A'!EJ$117=1,INDEX('計算A'!EK$10:EK$54,$B39),0))*4000,0)-IF(AND('計算A'!EI$117=1,ZG39&gt;0),2000,0)-IF(AND($L39=1,'計算A'!EJ$117=1,II39=0),2000,0))),1000000))</f>
        <v/>
      </c>
      <c r="TM39">
        <f>IF($B39=0,1000000,IF(INDEX('計算A'!$D$60:$EQ$104,$B39,138)*II39=1,IF(AND($E39=2,NX39=0),1000000,IF($I39&gt;0,IF(6=$J39,IF(OR(AND(138=$I39+1,OR($K39&lt;&gt;'計算A'!$A$3,'計算A'!$A$4=0)),AND(138=$I39-1,OR(18&lt;&gt;'計算A'!$A$3,'計算A'!$A$4=0))),0,IF(18=$K39,200000,ABS(18-$K39)*100)),100000+ABS(6-$J39)*1000+180)+'計算A'!EK$5*50+IF(AND($E39=1,NX39=0),25,0),IF($F39&gt;0,INDEX('計算A'!EK$110:EK$114,$F39+1)+IF(AND($E39=1,NX39=0),1000,0),MIN(TZ39,20)*400+(IF('計算A'!EJ$106=1,1-IH39,0)+IF('計算A'!EK$106=1,1-IJ39,0))*150+186+'計算A'!EK$5*100000+IF(AND($E39=1,NX39=0),50000,0))+IF($H39=1,(IF('計算A'!EJ$117=1,INDEX('計算A'!EJ$10:EJ$54,$B39),0)+IF('計算A'!EK$117=1,INDEX('計算A'!EL$10:EL$54,$B39),0))*4000,0)-IF(AND('計算A'!EJ$117=1,ZH39&gt;0),2000,0)-IF(AND($L39=1,'計算A'!EK$117=1,IJ39=0),2000,0))),1000000))</f>
        <v/>
      </c>
      <c r="TN39">
        <f>IF($B39=0,1000000,IF(INDEX('計算A'!$D$60:$EQ$104,$B39,139)*IJ39=1,IF(AND($E39=2,NY39=0),1000000,IF($I39&gt;0,IF(6=$J39,IF(OR(AND(139=$I39+1,OR($K39&lt;&gt;'計算A'!$A$3,'計算A'!$A$4=0)),AND(139=$I39-1,OR(19&lt;&gt;'計算A'!$A$3,'計算A'!$A$4=0))),0,IF(19=$K39,200000,ABS(19-$K39)*100)),100000+ABS(6-$J39)*1000+190)+'計算A'!EL$5*50+IF(AND($E39=1,NY39=0),25,0),IF($F39&gt;0,INDEX('計算A'!EL$110:EL$114,$F39+1)+IF(AND($E39=1,NY39=0),1000,0),MIN(TZ39,20)*400+(IF('計算A'!EK$106=1,1-II39,0)+IF('計算A'!EL$106=1,1-IK39,0))*150+196+'計算A'!EL$5*100000+IF(AND($E39=1,NY39=0),50000,0))+IF($H39=1,(IF('計算A'!EK$117=1,INDEX('計算A'!EK$10:EK$54,$B39),0)+IF('計算A'!EL$117=1,INDEX('計算A'!EM$10:EM$54,$B39),0))*4000,0)-IF(AND('計算A'!EK$117=1,ZI39&gt;0),2000,0)-IF(AND($L39=1,'計算A'!EL$117=1,IK39=0),2000,0))),1000000))</f>
        <v/>
      </c>
      <c r="TO39">
        <f>IF($B39=0,1000000,IF(INDEX('計算A'!$D$60:$EQ$104,$B39,140)*IK39=1,IF(AND($E39=2,NZ39=0),1000000,IF($I39&gt;0,IF(6=$J39,IF(OR(AND(140=$I39+1,OR($K39&lt;&gt;'計算A'!$A$3,'計算A'!$A$4=0)),AND(140=$I39-1,OR(20&lt;&gt;'計算A'!$A$3,'計算A'!$A$4=0))),0,IF(20=$K39,200000,ABS(20-$K39)*100)),100000+ABS(6-$J39)*1000+200)+'計算A'!EM$5*50+IF(AND($E39=1,NZ39=0),25,0),IF($F39&gt;0,INDEX('計算A'!EM$110:EM$114,$F39+1)+IF(AND($E39=1,NZ39=0),1000,0),MIN(TZ39,20)*400+(IF('計算A'!EL$106=1,1-IJ39,0)+IF('計算A'!EM$106=1,1-IL39,0))*150+206+'計算A'!EM$5*100000+IF(AND($E39=1,NZ39=0),50000,0))+IF($H39=1,(IF('計算A'!EL$117=1,INDEX('計算A'!EL$10:EL$54,$B39),0)+IF('計算A'!EM$117=1,INDEX('計算A'!EN$10:EN$54,$B39),0))*4000,0)-IF(AND('計算A'!EL$117=1,ZJ39&gt;0),2000,0)-IF(AND($L39=1,'計算A'!EM$117=1,IL39=0),2000,0))),1000000))</f>
        <v/>
      </c>
      <c r="TP39">
        <f>IF($B39=0,1000000,IF(INDEX('計算A'!$D$60:$EQ$104,$B39,141)*IL39=1,IF(AND($E39=2,OA39=0),1000000,IF($I39&gt;0,IF(6=$J39,IF(OR(AND(141=$I39+1,OR($K39&lt;&gt;'計算A'!$A$3,'計算A'!$A$4=0)),AND(141=$I39-1,OR(21&lt;&gt;'計算A'!$A$3,'計算A'!$A$4=0))),0,IF(21=$K39,200000,ABS(21-$K39)*100)),100000+ABS(6-$J39)*1000+210)+'計算A'!EN$5*50+IF(AND($E39=1,OA39=0),25,0),IF($F39&gt;0,INDEX('計算A'!EN$110:EN$114,$F39+1)+IF(AND($E39=1,OA39=0),1000,0),MIN(TZ39,20)*400+(IF('計算A'!EM$106=1,1-IK39,0)+IF('計算A'!EN$106=1,1-IM39,0))*150+216+'計算A'!EN$5*100000+IF(AND($E39=1,OA39=0),50000,0))+IF($H39=1,(IF('計算A'!EM$117=1,INDEX('計算A'!EM$10:EM$54,$B39),0)+IF('計算A'!EN$117=1,INDEX('計算A'!EO$10:EO$54,$B39),0))*4000,0)-IF(AND('計算A'!EM$117=1,ZK39&gt;0),2000,0)-IF(AND($L39=1,'計算A'!EN$117=1,IM39=0),2000,0))),1000000))</f>
        <v/>
      </c>
      <c r="TQ39">
        <f>IF($B39=0,1000000,IF(INDEX('計算A'!$D$60:$EQ$104,$B39,142)*IM39=1,IF(AND($E39=2,OB39=0),1000000,IF($I39&gt;0,IF(6=$J39,IF(OR(AND(142=$I39+1,OR($K39&lt;&gt;'計算A'!$A$3,'計算A'!$A$4=0)),AND(142=$I39-1,OR(22&lt;&gt;'計算A'!$A$3,'計算A'!$A$4=0))),0,IF(22=$K39,200000,ABS(22-$K39)*100)),100000+ABS(6-$J39)*1000+220)+'計算A'!EO$5*50+IF(AND($E39=1,OB39=0),25,0),IF($F39&gt;0,INDEX('計算A'!EO$110:EO$114,$F39+1)+IF(AND($E39=1,OB39=0),1000,0),MIN(TZ39,20)*400+(IF('計算A'!EN$106=1,1-IL39,0)+IF('計算A'!EO$106=1,1-IN39,0))*150+226+'計算A'!EO$5*100000+IF(AND($E39=1,OB39=0),50000,0))+IF($H39=1,(IF('計算A'!EN$117=1,INDEX('計算A'!EN$10:EN$54,$B39),0)+IF('計算A'!EO$117=1,INDEX('計算A'!EP$10:EP$54,$B39),0))*4000,0)-IF(AND('計算A'!EN$117=1,ZL39&gt;0),2000,0)-IF(AND($L39=1,'計算A'!EO$117=1,IN39=0),2000,0))),1000000))</f>
        <v/>
      </c>
      <c r="TR39">
        <f>IF($B39=0,1000000,IF(INDEX('計算A'!$D$60:$EQ$104,$B39,143)*IN39=1,IF(AND($E39=2,OC39=0),1000000,IF($I39&gt;0,IF(6=$J39,IF(OR(AND(143=$I39+1,OR($K39&lt;&gt;'計算A'!$A$3,'計算A'!$A$4=0)),AND(143=$I39-1,OR(23&lt;&gt;'計算A'!$A$3,'計算A'!$A$4=0))),0,IF(23=$K39,200000,ABS(23-$K39)*100)),100000+ABS(6-$J39)*1000+230)+'計算A'!EP$5*50+IF(AND($E39=1,OC39=0),25,0),IF($F39&gt;0,INDEX('計算A'!EP$110:EP$114,$F39+1)+IF(AND($E39=1,OC39=0),1000,0),MIN(TZ39,20)*400+(IF('計算A'!EO$106=1,1-IM39,0)+IF('計算A'!EP$106=1,1-IO39,0))*150+236+'計算A'!EP$5*100000+IF(AND($E39=1,OC39=0),50000,0))+IF($H39=1,(IF('計算A'!EO$117=1,INDEX('計算A'!EO$10:EO$54,$B39),0)+IF('計算A'!EP$117=1,INDEX('計算A'!EQ$10:EQ$54,$B39),0))*4000,0)-IF(AND('計算A'!EO$117=1,ZM39&gt;0),2000,0)-IF(AND($L39=1,'計算A'!EP$117=1,IO39=0),2000,0))),1000000))</f>
        <v/>
      </c>
      <c r="TS39">
        <f>IF($B39=0,1000000,IF(INDEX('計算A'!$D$60:$EQ$104,$B39,144)*IO39=1,IF(AND($E39=2,OD39=0),1000000,IF($I39&gt;0,IF(6=$J39,IF(OR(AND(144=$I39+1,OR($K39&lt;&gt;'計算A'!$A$3,'計算A'!$A$4=0)),AND(144=$I39-1,OR(24&lt;&gt;'計算A'!$A$3,'計算A'!$A$4=0))),0,IF(24=$K39,200000,ABS(24-$K39)*100)),100000+ABS(6-$J39)*1000+240)+'計算A'!EQ$5*50+IF(AND($E39=1,OD39=0),25,0),IF($F39&gt;0,INDEX('計算A'!EQ$110:EQ$114,$F39+1)+IF(AND($E39=1,OD39=0),1000,0),MIN(TZ39,20)*400+(IF('計算A'!EP$106=1,1-IN39,0))*150+246+'計算A'!EQ$5*100000+IF(AND($E39=1,OD39=0),50000,0))+IF($H39=1,(IF('計算A'!EP$117=1,INDEX('計算A'!EP$10:EP$54,$B39),0))*4000,0)-IF(AND('計算A'!EP$117=1,ZN39&gt;0),2000,0))),1000000))</f>
        <v/>
      </c>
      <c r="TU39">
        <f>TU38+IF($C38&gt;0,IF(INDEX('計算A'!$D$2:$EQ$2,$C38)=1,1,0),0)</f>
        <v/>
      </c>
      <c r="TV39">
        <f>TV38+IF($C38&gt;0,IF(INDEX('計算A'!$D$2:$EQ$2,$C38)=2,1,0),0)</f>
        <v/>
      </c>
      <c r="TW39">
        <f>TW38+IF($C38&gt;0,IF(INDEX('計算A'!$D$2:$EQ$2,$C38)=3,1,0),0)</f>
        <v/>
      </c>
      <c r="TX39">
        <f>TX38+IF($C38&gt;0,IF(INDEX('計算A'!$D$2:$EQ$2,$C38)=4,1,0),0)</f>
        <v/>
      </c>
      <c r="TY39">
        <f>TY38+IF($C38&gt;0,IF(INDEX('計算A'!$D$2:$EQ$2,$C38)=5,1,0),0)</f>
        <v/>
      </c>
      <c r="TZ39">
        <f>TZ38+IF($C38&gt;0,IF(INDEX('計算A'!$D$2:$EQ$2,$C38)=6,1,0),0)</f>
        <v/>
      </c>
      <c r="UB39">
        <f>UB38+IF(AND($C38=1,$L38=1),1,0)</f>
        <v/>
      </c>
      <c r="UC39">
        <f>UC38+IF(AND($C38=2,$L38=1),1,0)</f>
        <v/>
      </c>
      <c r="UD39">
        <f>UD38+IF(AND($C38=3,$L38=1),1,0)</f>
        <v/>
      </c>
      <c r="UE39">
        <f>UE38+IF(AND($C38=4,$L38=1),1,0)</f>
        <v/>
      </c>
      <c r="UF39">
        <f>UF38+IF(AND($C38=5,$L38=1),1,0)</f>
        <v/>
      </c>
      <c r="UG39">
        <f>UG38+IF(AND($C38=6,$L38=1),1,0)</f>
        <v/>
      </c>
      <c r="UH39">
        <f>UH38+IF(AND($C38=7,$L38=1),1,0)</f>
        <v/>
      </c>
      <c r="UI39">
        <f>UI38+IF(AND($C38=8,$L38=1),1,0)</f>
        <v/>
      </c>
      <c r="UJ39">
        <f>UJ38+IF(AND($C38=9,$L38=1),1,0)</f>
        <v/>
      </c>
      <c r="UK39">
        <f>UK38+IF(AND($C38=10,$L38=1),1,0)</f>
        <v/>
      </c>
      <c r="UL39">
        <f>UL38+IF(AND($C38=11,$L38=1),1,0)</f>
        <v/>
      </c>
      <c r="UM39">
        <f>UM38+IF(AND($C38=12,$L38=1),1,0)</f>
        <v/>
      </c>
      <c r="UN39">
        <f>UN38+IF(AND($C38=13,$L38=1),1,0)</f>
        <v/>
      </c>
      <c r="UO39">
        <f>UO38+IF(AND($C38=14,$L38=1),1,0)</f>
        <v/>
      </c>
      <c r="UP39">
        <f>UP38+IF(AND($C38=15,$L38=1),1,0)</f>
        <v/>
      </c>
      <c r="UQ39">
        <f>UQ38+IF(AND($C38=16,$L38=1),1,0)</f>
        <v/>
      </c>
      <c r="UR39">
        <f>UR38+IF(AND($C38=17,$L38=1),1,0)</f>
        <v/>
      </c>
      <c r="US39">
        <f>US38+IF(AND($C38=18,$L38=1),1,0)</f>
        <v/>
      </c>
      <c r="UT39">
        <f>UT38+IF(AND($C38=19,$L38=1),1,0)</f>
        <v/>
      </c>
      <c r="UU39">
        <f>UU38+IF(AND($C38=20,$L38=1),1,0)</f>
        <v/>
      </c>
      <c r="UV39">
        <f>UV38+IF(AND($C38=21,$L38=1),1,0)</f>
        <v/>
      </c>
      <c r="UW39">
        <f>UW38+IF(AND($C38=22,$L38=1),1,0)</f>
        <v/>
      </c>
      <c r="UX39">
        <f>UX38+IF(AND($C38=23,$L38=1),1,0)</f>
        <v/>
      </c>
      <c r="UY39">
        <f>UY38+IF(AND($C38=24,$L38=1),1,0)</f>
        <v/>
      </c>
      <c r="UZ39">
        <f>UZ38+IF(AND($C38=25,$L38=1),1,0)</f>
        <v/>
      </c>
      <c r="VA39">
        <f>VA38+IF(AND($C38=26,$L38=1),1,0)</f>
        <v/>
      </c>
      <c r="VB39">
        <f>VB38+IF(AND($C38=27,$L38=1),1,0)</f>
        <v/>
      </c>
      <c r="VC39">
        <f>VC38+IF(AND($C38=28,$L38=1),1,0)</f>
        <v/>
      </c>
      <c r="VD39">
        <f>VD38+IF(AND($C38=29,$L38=1),1,0)</f>
        <v/>
      </c>
      <c r="VE39">
        <f>VE38+IF(AND($C38=30,$L38=1),1,0)</f>
        <v/>
      </c>
      <c r="VF39">
        <f>VF38+IF(AND($C38=31,$L38=1),1,0)</f>
        <v/>
      </c>
      <c r="VG39">
        <f>VG38+IF(AND($C38=32,$L38=1),1,0)</f>
        <v/>
      </c>
      <c r="VH39">
        <f>VH38+IF(AND($C38=33,$L38=1),1,0)</f>
        <v/>
      </c>
      <c r="VI39">
        <f>VI38+IF(AND($C38=34,$L38=1),1,0)</f>
        <v/>
      </c>
      <c r="VJ39">
        <f>VJ38+IF(AND($C38=35,$L38=1),1,0)</f>
        <v/>
      </c>
      <c r="VK39">
        <f>VK38+IF(AND($C38=36,$L38=1),1,0)</f>
        <v/>
      </c>
      <c r="VL39">
        <f>VL38+IF(AND($C38=37,$L38=1),1,0)</f>
        <v/>
      </c>
      <c r="VM39">
        <f>VM38+IF(AND($C38=38,$L38=1),1,0)</f>
        <v/>
      </c>
      <c r="VN39">
        <f>VN38+IF(AND($C38=39,$L38=1),1,0)</f>
        <v/>
      </c>
      <c r="VO39">
        <f>VO38+IF(AND($C38=40,$L38=1),1,0)</f>
        <v/>
      </c>
      <c r="VP39">
        <f>VP38+IF(AND($C38=41,$L38=1),1,0)</f>
        <v/>
      </c>
      <c r="VQ39">
        <f>VQ38+IF(AND($C38=42,$L38=1),1,0)</f>
        <v/>
      </c>
      <c r="VR39">
        <f>VR38+IF(AND($C38=43,$L38=1),1,0)</f>
        <v/>
      </c>
      <c r="VS39">
        <f>VS38+IF(AND($C38=44,$L38=1),1,0)</f>
        <v/>
      </c>
      <c r="VT39">
        <f>VT38+IF(AND($C38=45,$L38=1),1,0)</f>
        <v/>
      </c>
      <c r="VU39">
        <f>VU38+IF(AND($C38=46,$L38=1),1,0)</f>
        <v/>
      </c>
      <c r="VV39">
        <f>VV38+IF(AND($C38=47,$L38=1),1,0)</f>
        <v/>
      </c>
      <c r="VW39">
        <f>VW38+IF(AND($C38=48,$L38=1),1,0)</f>
        <v/>
      </c>
      <c r="VX39">
        <f>VX38+IF(AND($C38=49,$L38=1),1,0)</f>
        <v/>
      </c>
      <c r="VY39">
        <f>VY38+IF(AND($C38=50,$L38=1),1,0)</f>
        <v/>
      </c>
      <c r="VZ39">
        <f>VZ38+IF(AND($C38=51,$L38=1),1,0)</f>
        <v/>
      </c>
      <c r="WA39">
        <f>WA38+IF(AND($C38=52,$L38=1),1,0)</f>
        <v/>
      </c>
      <c r="WB39">
        <f>WB38+IF(AND($C38=53,$L38=1),1,0)</f>
        <v/>
      </c>
      <c r="WC39">
        <f>WC38+IF(AND($C38=54,$L38=1),1,0)</f>
        <v/>
      </c>
      <c r="WD39">
        <f>WD38+IF(AND($C38=55,$L38=1),1,0)</f>
        <v/>
      </c>
      <c r="WE39">
        <f>WE38+IF(AND($C38=56,$L38=1),1,0)</f>
        <v/>
      </c>
      <c r="WF39">
        <f>WF38+IF(AND($C38=57,$L38=1),1,0)</f>
        <v/>
      </c>
      <c r="WG39">
        <f>WG38+IF(AND($C38=58,$L38=1),1,0)</f>
        <v/>
      </c>
      <c r="WH39">
        <f>WH38+IF(AND($C38=59,$L38=1),1,0)</f>
        <v/>
      </c>
      <c r="WI39">
        <f>WI38+IF(AND($C38=60,$L38=1),1,0)</f>
        <v/>
      </c>
      <c r="WJ39">
        <f>WJ38+IF(AND($C38=61,$L38=1),1,0)</f>
        <v/>
      </c>
      <c r="WK39">
        <f>WK38+IF(AND($C38=62,$L38=1),1,0)</f>
        <v/>
      </c>
      <c r="WL39">
        <f>WL38+IF(AND($C38=63,$L38=1),1,0)</f>
        <v/>
      </c>
      <c r="WM39">
        <f>WM38+IF(AND($C38=64,$L38=1),1,0)</f>
        <v/>
      </c>
      <c r="WN39">
        <f>WN38+IF(AND($C38=65,$L38=1),1,0)</f>
        <v/>
      </c>
      <c r="WO39">
        <f>WO38+IF(AND($C38=66,$L38=1),1,0)</f>
        <v/>
      </c>
      <c r="WP39">
        <f>WP38+IF(AND($C38=67,$L38=1),1,0)</f>
        <v/>
      </c>
      <c r="WQ39">
        <f>WQ38+IF(AND($C38=68,$L38=1),1,0)</f>
        <v/>
      </c>
      <c r="WR39">
        <f>WR38+IF(AND($C38=69,$L38=1),1,0)</f>
        <v/>
      </c>
      <c r="WS39">
        <f>WS38+IF(AND($C38=70,$L38=1),1,0)</f>
        <v/>
      </c>
      <c r="WT39">
        <f>WT38+IF(AND($C38=71,$L38=1),1,0)</f>
        <v/>
      </c>
      <c r="WU39">
        <f>WU38+IF(AND($C38=72,$L38=1),1,0)</f>
        <v/>
      </c>
      <c r="WV39">
        <f>WV38+IF(AND($C38=73,$L38=1),1,0)</f>
        <v/>
      </c>
      <c r="WW39">
        <f>WW38+IF(AND($C38=74,$L38=1),1,0)</f>
        <v/>
      </c>
      <c r="WX39">
        <f>WX38+IF(AND($C38=75,$L38=1),1,0)</f>
        <v/>
      </c>
      <c r="WY39">
        <f>WY38+IF(AND($C38=76,$L38=1),1,0)</f>
        <v/>
      </c>
      <c r="WZ39">
        <f>WZ38+IF(AND($C38=77,$L38=1),1,0)</f>
        <v/>
      </c>
      <c r="XA39">
        <f>XA38+IF(AND($C38=78,$L38=1),1,0)</f>
        <v/>
      </c>
      <c r="XB39">
        <f>XB38+IF(AND($C38=79,$L38=1),1,0)</f>
        <v/>
      </c>
      <c r="XC39">
        <f>XC38+IF(AND($C38=80,$L38=1),1,0)</f>
        <v/>
      </c>
      <c r="XD39">
        <f>XD38+IF(AND($C38=81,$L38=1),1,0)</f>
        <v/>
      </c>
      <c r="XE39">
        <f>XE38+IF(AND($C38=82,$L38=1),1,0)</f>
        <v/>
      </c>
      <c r="XF39">
        <f>XF38+IF(AND($C38=83,$L38=1),1,0)</f>
        <v/>
      </c>
      <c r="XG39">
        <f>XG38+IF(AND($C38=84,$L38=1),1,0)</f>
        <v/>
      </c>
      <c r="XH39">
        <f>XH38+IF(AND($C38=85,$L38=1),1,0)</f>
        <v/>
      </c>
      <c r="XI39">
        <f>XI38+IF(AND($C38=86,$L38=1),1,0)</f>
        <v/>
      </c>
      <c r="XJ39">
        <f>XJ38+IF(AND($C38=87,$L38=1),1,0)</f>
        <v/>
      </c>
      <c r="XK39">
        <f>XK38+IF(AND($C38=88,$L38=1),1,0)</f>
        <v/>
      </c>
      <c r="XL39">
        <f>XL38+IF(AND($C38=89,$L38=1),1,0)</f>
        <v/>
      </c>
      <c r="XM39">
        <f>XM38+IF(AND($C38=90,$L38=1),1,0)</f>
        <v/>
      </c>
      <c r="XN39">
        <f>XN38+IF(AND($C38=91,$L38=1),1,0)</f>
        <v/>
      </c>
      <c r="XO39">
        <f>XO38+IF(AND($C38=92,$L38=1),1,0)</f>
        <v/>
      </c>
      <c r="XP39">
        <f>XP38+IF(AND($C38=93,$L38=1),1,0)</f>
        <v/>
      </c>
      <c r="XQ39">
        <f>XQ38+IF(AND($C38=94,$L38=1),1,0)</f>
        <v/>
      </c>
      <c r="XR39">
        <f>XR38+IF(AND($C38=95,$L38=1),1,0)</f>
        <v/>
      </c>
      <c r="XS39">
        <f>XS38+IF(AND($C38=96,$L38=1),1,0)</f>
        <v/>
      </c>
      <c r="XT39">
        <f>XT38+IF(AND($C38=97,$L38=1),1,0)</f>
        <v/>
      </c>
      <c r="XU39">
        <f>XU38+IF(AND($C38=98,$L38=1),1,0)</f>
        <v/>
      </c>
      <c r="XV39">
        <f>XV38+IF(AND($C38=99,$L38=1),1,0)</f>
        <v/>
      </c>
      <c r="XW39">
        <f>XW38+IF(AND($C38=100,$L38=1),1,0)</f>
        <v/>
      </c>
      <c r="XX39">
        <f>XX38+IF(AND($C38=101,$L38=1),1,0)</f>
        <v/>
      </c>
      <c r="XY39">
        <f>XY38+IF(AND($C38=102,$L38=1),1,0)</f>
        <v/>
      </c>
      <c r="XZ39">
        <f>XZ38+IF(AND($C38=103,$L38=1),1,0)</f>
        <v/>
      </c>
      <c r="YA39">
        <f>YA38+IF(AND($C38=104,$L38=1),1,0)</f>
        <v/>
      </c>
      <c r="YB39">
        <f>YB38+IF(AND($C38=105,$L38=1),1,0)</f>
        <v/>
      </c>
      <c r="YC39">
        <f>YC38+IF(AND($C38=106,$L38=1),1,0)</f>
        <v/>
      </c>
      <c r="YD39">
        <f>YD38+IF(AND($C38=107,$L38=1),1,0)</f>
        <v/>
      </c>
      <c r="YE39">
        <f>YE38+IF(AND($C38=108,$L38=1),1,0)</f>
        <v/>
      </c>
      <c r="YF39">
        <f>YF38+IF(AND($C38=109,$L38=1),1,0)</f>
        <v/>
      </c>
      <c r="YG39">
        <f>YG38+IF(AND($C38=110,$L38=1),1,0)</f>
        <v/>
      </c>
      <c r="YH39">
        <f>YH38+IF(AND($C38=111,$L38=1),1,0)</f>
        <v/>
      </c>
      <c r="YI39">
        <f>YI38+IF(AND($C38=112,$L38=1),1,0)</f>
        <v/>
      </c>
      <c r="YJ39">
        <f>YJ38+IF(AND($C38=113,$L38=1),1,0)</f>
        <v/>
      </c>
      <c r="YK39">
        <f>YK38+IF(AND($C38=114,$L38=1),1,0)</f>
        <v/>
      </c>
      <c r="YL39">
        <f>YL38+IF(AND($C38=115,$L38=1),1,0)</f>
        <v/>
      </c>
      <c r="YM39">
        <f>YM38+IF(AND($C38=116,$L38=1),1,0)</f>
        <v/>
      </c>
      <c r="YN39">
        <f>YN38+IF(AND($C38=117,$L38=1),1,0)</f>
        <v/>
      </c>
      <c r="YO39">
        <f>YO38+IF(AND($C38=118,$L38=1),1,0)</f>
        <v/>
      </c>
      <c r="YP39">
        <f>YP38+IF(AND($C38=119,$L38=1),1,0)</f>
        <v/>
      </c>
      <c r="YQ39">
        <f>YQ38+IF(AND($C38=120,$L38=1),1,0)</f>
        <v/>
      </c>
      <c r="YR39">
        <f>YR38+IF(AND($C38=121,$L38=1),1,0)</f>
        <v/>
      </c>
      <c r="YS39">
        <f>YS38+IF(AND($C38=122,$L38=1),1,0)</f>
        <v/>
      </c>
      <c r="YT39">
        <f>YT38+IF(AND($C38=123,$L38=1),1,0)</f>
        <v/>
      </c>
      <c r="YU39">
        <f>YU38+IF(AND($C38=124,$L38=1),1,0)</f>
        <v/>
      </c>
      <c r="YV39">
        <f>YV38+IF(AND($C38=125,$L38=1),1,0)</f>
        <v/>
      </c>
      <c r="YW39">
        <f>YW38+IF(AND($C38=126,$L38=1),1,0)</f>
        <v/>
      </c>
      <c r="YX39">
        <f>YX38+IF(AND($C38=127,$L38=1),1,0)</f>
        <v/>
      </c>
      <c r="YY39">
        <f>YY38+IF(AND($C38=128,$L38=1),1,0)</f>
        <v/>
      </c>
      <c r="YZ39">
        <f>YZ38+IF(AND($C38=129,$L38=1),1,0)</f>
        <v/>
      </c>
      <c r="ZA39">
        <f>ZA38+IF(AND($C38=130,$L38=1),1,0)</f>
        <v/>
      </c>
      <c r="ZB39">
        <f>ZB38+IF(AND($C38=131,$L38=1),1,0)</f>
        <v/>
      </c>
      <c r="ZC39">
        <f>ZC38+IF(AND($C38=132,$L38=1),1,0)</f>
        <v/>
      </c>
      <c r="ZD39">
        <f>ZD38+IF(AND($C38=133,$L38=1),1,0)</f>
        <v/>
      </c>
      <c r="ZE39">
        <f>ZE38+IF(AND($C38=134,$L38=1),1,0)</f>
        <v/>
      </c>
      <c r="ZF39">
        <f>ZF38+IF(AND($C38=135,$L38=1),1,0)</f>
        <v/>
      </c>
      <c r="ZG39">
        <f>ZG38+IF(AND($C38=136,$L38=1),1,0)</f>
        <v/>
      </c>
      <c r="ZH39">
        <f>ZH38+IF(AND($C38=137,$L38=1),1,0)</f>
        <v/>
      </c>
      <c r="ZI39">
        <f>ZI38+IF(AND($C38=138,$L38=1),1,0)</f>
        <v/>
      </c>
      <c r="ZJ39">
        <f>ZJ38+IF(AND($C38=139,$L38=1),1,0)</f>
        <v/>
      </c>
      <c r="ZK39">
        <f>ZK38+IF(AND($C38=140,$L38=1),1,0)</f>
        <v/>
      </c>
      <c r="ZL39">
        <f>ZL38+IF(AND($C38=141,$L38=1),1,0)</f>
        <v/>
      </c>
      <c r="ZM39">
        <f>ZM38+IF(AND($C38=142,$L38=1),1,0)</f>
        <v/>
      </c>
      <c r="ZN39">
        <f>ZN38+IF(AND($C38=143,$L38=1),1,0)</f>
        <v/>
      </c>
      <c r="ZO39">
        <f>ZO38+IF(AND($C38=144,$L38=1),1,0)</f>
        <v/>
      </c>
    </row>
    <row r="40">
      <c r="A40" t="n">
        <v>38</v>
      </c>
      <c r="B40">
        <f>IF(MIN(BH40:CZ40)&gt;=1000000,0,MATCH(MIN(BH40:CZ40),BH40:CZ40,0))</f>
        <v/>
      </c>
      <c r="C40">
        <f>IF(MIN(OF40:TS40)&gt;=1000000,0,MATCH(MIN(OF40:TS40),OF40:TS40,0))</f>
        <v/>
      </c>
      <c r="D40">
        <f>IF(C40&gt;0,INDEX('計算A'!$D$5:$EQ$5,C40),0)</f>
        <v/>
      </c>
      <c r="E40">
        <f>IF(B40=0,0,INDEX('計算A'!$IQ$10:$IQ$54,B40))</f>
        <v/>
      </c>
      <c r="F40">
        <f>IF(B40=0,0,INDEX('計算A'!$IP$10:$IP$54,B40))</f>
        <v/>
      </c>
      <c r="G40">
        <f>IF(AND(C40&gt;0,E40&gt;0),IF(AND(INDEX('計算A'!$D$106:$EQ$106,C40)=1,INDEX($IQ40:$OD40,C40)=1),C40+1,0),0)</f>
        <v/>
      </c>
      <c r="H40">
        <f>IF(B40=0,0,INDEX('計算A'!$IW$10:$IW$54,B40))</f>
        <v/>
      </c>
      <c r="I40">
        <f>IF(B40=0,0,MAX(0,INDEX('計算A'!$IT$10:$IT$54,B40)))</f>
        <v/>
      </c>
      <c r="J40">
        <f>IF(I40=0,0,INDEX('計算A'!$D$2:$EQ$2,I40))</f>
        <v/>
      </c>
      <c r="K40">
        <f>IF(I40=0,0,INDEX('計算A'!$D$3:$EQ$3,I40))</f>
        <v/>
      </c>
      <c r="L40">
        <f>IF(B40=0,0,INDEX('計算A'!$IX$10:$IX$54,B40))</f>
        <v/>
      </c>
      <c r="N40">
        <f>MAX(N39,IF($B39=1,1,0))</f>
        <v/>
      </c>
      <c r="O40">
        <f>MAX(O39,IF($B39=2,1,0))</f>
        <v/>
      </c>
      <c r="P40">
        <f>MAX(P39,IF($B39=3,1,0))</f>
        <v/>
      </c>
      <c r="Q40">
        <f>MAX(Q39,IF($B39=4,1,0))</f>
        <v/>
      </c>
      <c r="R40">
        <f>MAX(R39,IF($B39=5,1,0))</f>
        <v/>
      </c>
      <c r="S40">
        <f>MAX(S39,IF($B39=6,1,0))</f>
        <v/>
      </c>
      <c r="T40">
        <f>MAX(T39,IF($B39=7,1,0))</f>
        <v/>
      </c>
      <c r="U40">
        <f>MAX(U39,IF($B39=8,1,0))</f>
        <v/>
      </c>
      <c r="V40">
        <f>MAX(V39,IF($B39=9,1,0))</f>
        <v/>
      </c>
      <c r="W40">
        <f>MAX(W39,IF($B39=10,1,0))</f>
        <v/>
      </c>
      <c r="X40">
        <f>MAX(X39,IF($B39=11,1,0))</f>
        <v/>
      </c>
      <c r="Y40">
        <f>MAX(Y39,IF($B39=12,1,0))</f>
        <v/>
      </c>
      <c r="Z40">
        <f>MAX(Z39,IF($B39=13,1,0))</f>
        <v/>
      </c>
      <c r="AA40">
        <f>MAX(AA39,IF($B39=14,1,0))</f>
        <v/>
      </c>
      <c r="AB40">
        <f>MAX(AB39,IF($B39=15,1,0))</f>
        <v/>
      </c>
      <c r="AC40">
        <f>MAX(AC39,IF($B39=16,1,0))</f>
        <v/>
      </c>
      <c r="AD40">
        <f>MAX(AD39,IF($B39=17,1,0))</f>
        <v/>
      </c>
      <c r="AE40">
        <f>MAX(AE39,IF($B39=18,1,0))</f>
        <v/>
      </c>
      <c r="AF40">
        <f>MAX(AF39,IF($B39=19,1,0))</f>
        <v/>
      </c>
      <c r="AG40">
        <f>MAX(AG39,IF($B39=20,1,0))</f>
        <v/>
      </c>
      <c r="AH40">
        <f>MAX(AH39,IF($B39=21,1,0))</f>
        <v/>
      </c>
      <c r="AI40">
        <f>MAX(AI39,IF($B39=22,1,0))</f>
        <v/>
      </c>
      <c r="AJ40">
        <f>MAX(AJ39,IF($B39=23,1,0))</f>
        <v/>
      </c>
      <c r="AK40">
        <f>MAX(AK39,IF($B39=24,1,0))</f>
        <v/>
      </c>
      <c r="AL40">
        <f>MAX(AL39,IF($B39=25,1,0))</f>
        <v/>
      </c>
      <c r="AM40">
        <f>MAX(AM39,IF($B39=26,1,0))</f>
        <v/>
      </c>
      <c r="AN40">
        <f>MAX(AN39,IF($B39=27,1,0))</f>
        <v/>
      </c>
      <c r="AO40">
        <f>MAX(AO39,IF($B39=28,1,0))</f>
        <v/>
      </c>
      <c r="AP40">
        <f>MAX(AP39,IF($B39=29,1,0))</f>
        <v/>
      </c>
      <c r="AQ40">
        <f>MAX(AQ39,IF($B39=30,1,0))</f>
        <v/>
      </c>
      <c r="AR40">
        <f>MAX(AR39,IF($B39=31,1,0))</f>
        <v/>
      </c>
      <c r="AS40">
        <f>MAX(AS39,IF($B39=32,1,0))</f>
        <v/>
      </c>
      <c r="AT40">
        <f>MAX(AT39,IF($B39=33,1,0))</f>
        <v/>
      </c>
      <c r="AU40">
        <f>MAX(AU39,IF($B39=34,1,0))</f>
        <v/>
      </c>
      <c r="AV40">
        <f>MAX(AV39,IF($B39=35,1,0))</f>
        <v/>
      </c>
      <c r="AW40">
        <f>MAX(AW39,IF($B39=36,1,0))</f>
        <v/>
      </c>
      <c r="AX40">
        <f>MAX(AX39,IF($B39=37,1,0))</f>
        <v/>
      </c>
      <c r="AY40">
        <f>MAX(AY39,IF($B39=38,1,0))</f>
        <v/>
      </c>
      <c r="AZ40">
        <f>MAX(AZ39,IF($B39=39,1,0))</f>
        <v/>
      </c>
      <c r="BA40">
        <f>MAX(BA39,IF($B39=40,1,0))</f>
        <v/>
      </c>
      <c r="BB40">
        <f>MAX(BB39,IF($B39=41,1,0))</f>
        <v/>
      </c>
      <c r="BC40">
        <f>MAX(BC39,IF($B39=42,1,0))</f>
        <v/>
      </c>
      <c r="BD40">
        <f>MAX(BD39,IF($B39=43,1,0))</f>
        <v/>
      </c>
      <c r="BE40">
        <f>MAX(BE39,IF($B39=44,1,0))</f>
        <v/>
      </c>
      <c r="BF40">
        <f>MAX(BF39,IF($B39=45,1,0))</f>
        <v/>
      </c>
      <c r="BH40">
        <f>IF(N40=1,1000000,IF('計算A'!$IT$10&gt;0,0,500000)+IF('計算A'!$IQ$10=2,SUMPRODUCT('計算A'!$D$60:$EQ$60,$DB40:$IO40,$IQ40:$OD40),SUMPRODUCT('計算A'!$D$60:$EQ$60,$DB40:$IO40))*1000+1)</f>
        <v/>
      </c>
      <c r="BI40">
        <f>IF(O40=1,1000000,IF('計算A'!$IT$11&gt;0,0,500000)+IF('計算A'!$IQ$11=2,SUMPRODUCT('計算A'!$D$61:$EQ$61,$DB40:$IO40,$IQ40:$OD40),SUMPRODUCT('計算A'!$D$61:$EQ$61,$DB40:$IO40))*1000+2)</f>
        <v/>
      </c>
      <c r="BJ40">
        <f>IF(P40=1,1000000,IF('計算A'!$IT$12&gt;0,0,500000)+IF('計算A'!$IQ$12=2,SUMPRODUCT('計算A'!$D$62:$EQ$62,$DB40:$IO40,$IQ40:$OD40),SUMPRODUCT('計算A'!$D$62:$EQ$62,$DB40:$IO40))*1000+3)</f>
        <v/>
      </c>
      <c r="BK40">
        <f>IF(Q40=1,1000000,IF('計算A'!$IT$13&gt;0,0,500000)+IF('計算A'!$IQ$13=2,SUMPRODUCT('計算A'!$D$63:$EQ$63,$DB40:$IO40,$IQ40:$OD40),SUMPRODUCT('計算A'!$D$63:$EQ$63,$DB40:$IO40))*1000+4)</f>
        <v/>
      </c>
      <c r="BL40">
        <f>IF(R40=1,1000000,IF('計算A'!$IT$14&gt;0,0,500000)+IF('計算A'!$IQ$14=2,SUMPRODUCT('計算A'!$D$64:$EQ$64,$DB40:$IO40,$IQ40:$OD40),SUMPRODUCT('計算A'!$D$64:$EQ$64,$DB40:$IO40))*1000+5)</f>
        <v/>
      </c>
      <c r="BM40">
        <f>IF(S40=1,1000000,IF('計算A'!$IT$15&gt;0,0,500000)+IF('計算A'!$IQ$15=2,SUMPRODUCT('計算A'!$D$65:$EQ$65,$DB40:$IO40,$IQ40:$OD40),SUMPRODUCT('計算A'!$D$65:$EQ$65,$DB40:$IO40))*1000+6)</f>
        <v/>
      </c>
      <c r="BN40">
        <f>IF(T40=1,1000000,IF('計算A'!$IT$16&gt;0,0,500000)+IF('計算A'!$IQ$16=2,SUMPRODUCT('計算A'!$D$66:$EQ$66,$DB40:$IO40,$IQ40:$OD40),SUMPRODUCT('計算A'!$D$66:$EQ$66,$DB40:$IO40))*1000+7)</f>
        <v/>
      </c>
      <c r="BO40">
        <f>IF(U40=1,1000000,IF('計算A'!$IT$17&gt;0,0,500000)+IF('計算A'!$IQ$17=2,SUMPRODUCT('計算A'!$D$67:$EQ$67,$DB40:$IO40,$IQ40:$OD40),SUMPRODUCT('計算A'!$D$67:$EQ$67,$DB40:$IO40))*1000+8)</f>
        <v/>
      </c>
      <c r="BP40">
        <f>IF(V40=1,1000000,IF('計算A'!$IT$18&gt;0,0,500000)+IF('計算A'!$IQ$18=2,SUMPRODUCT('計算A'!$D$68:$EQ$68,$DB40:$IO40,$IQ40:$OD40),SUMPRODUCT('計算A'!$D$68:$EQ$68,$DB40:$IO40))*1000+9)</f>
        <v/>
      </c>
      <c r="BQ40">
        <f>IF(W40=1,1000000,IF('計算A'!$IT$19&gt;0,0,500000)+IF('計算A'!$IQ$19=2,SUMPRODUCT('計算A'!$D$69:$EQ$69,$DB40:$IO40,$IQ40:$OD40),SUMPRODUCT('計算A'!$D$69:$EQ$69,$DB40:$IO40))*1000+10)</f>
        <v/>
      </c>
      <c r="BR40">
        <f>IF(X40=1,1000000,IF('計算A'!$IT$20&gt;0,0,500000)+IF('計算A'!$IQ$20=2,SUMPRODUCT('計算A'!$D$70:$EQ$70,$DB40:$IO40,$IQ40:$OD40),SUMPRODUCT('計算A'!$D$70:$EQ$70,$DB40:$IO40))*1000+11)</f>
        <v/>
      </c>
      <c r="BS40">
        <f>IF(Y40=1,1000000,IF('計算A'!$IT$21&gt;0,0,500000)+IF('計算A'!$IQ$21=2,SUMPRODUCT('計算A'!$D$71:$EQ$71,$DB40:$IO40,$IQ40:$OD40),SUMPRODUCT('計算A'!$D$71:$EQ$71,$DB40:$IO40))*1000+12)</f>
        <v/>
      </c>
      <c r="BT40">
        <f>IF(Z40=1,1000000,IF('計算A'!$IT$22&gt;0,0,500000)+IF('計算A'!$IQ$22=2,SUMPRODUCT('計算A'!$D$72:$EQ$72,$DB40:$IO40,$IQ40:$OD40),SUMPRODUCT('計算A'!$D$72:$EQ$72,$DB40:$IO40))*1000+13)</f>
        <v/>
      </c>
      <c r="BU40">
        <f>IF(AA40=1,1000000,IF('計算A'!$IT$23&gt;0,0,500000)+IF('計算A'!$IQ$23=2,SUMPRODUCT('計算A'!$D$73:$EQ$73,$DB40:$IO40,$IQ40:$OD40),SUMPRODUCT('計算A'!$D$73:$EQ$73,$DB40:$IO40))*1000+14)</f>
        <v/>
      </c>
      <c r="BV40">
        <f>IF(AB40=1,1000000,IF('計算A'!$IT$24&gt;0,0,500000)+IF('計算A'!$IQ$24=2,SUMPRODUCT('計算A'!$D$74:$EQ$74,$DB40:$IO40,$IQ40:$OD40),SUMPRODUCT('計算A'!$D$74:$EQ$74,$DB40:$IO40))*1000+15)</f>
        <v/>
      </c>
      <c r="BW40">
        <f>IF(AC40=1,1000000,IF('計算A'!$IT$25&gt;0,0,500000)+IF('計算A'!$IQ$25=2,SUMPRODUCT('計算A'!$D$75:$EQ$75,$DB40:$IO40,$IQ40:$OD40),SUMPRODUCT('計算A'!$D$75:$EQ$75,$DB40:$IO40))*1000+16)</f>
        <v/>
      </c>
      <c r="BX40">
        <f>IF(AD40=1,1000000,IF('計算A'!$IT$26&gt;0,0,500000)+IF('計算A'!$IQ$26=2,SUMPRODUCT('計算A'!$D$76:$EQ$76,$DB40:$IO40,$IQ40:$OD40),SUMPRODUCT('計算A'!$D$76:$EQ$76,$DB40:$IO40))*1000+17)</f>
        <v/>
      </c>
      <c r="BY40">
        <f>IF(AE40=1,1000000,IF('計算A'!$IT$27&gt;0,0,500000)+IF('計算A'!$IQ$27=2,SUMPRODUCT('計算A'!$D$77:$EQ$77,$DB40:$IO40,$IQ40:$OD40),SUMPRODUCT('計算A'!$D$77:$EQ$77,$DB40:$IO40))*1000+18)</f>
        <v/>
      </c>
      <c r="BZ40">
        <f>IF(AF40=1,1000000,IF('計算A'!$IT$28&gt;0,0,500000)+IF('計算A'!$IQ$28=2,SUMPRODUCT('計算A'!$D$78:$EQ$78,$DB40:$IO40,$IQ40:$OD40),SUMPRODUCT('計算A'!$D$78:$EQ$78,$DB40:$IO40))*1000+19)</f>
        <v/>
      </c>
      <c r="CA40">
        <f>IF(AG40=1,1000000,IF('計算A'!$IT$29&gt;0,0,500000)+IF('計算A'!$IQ$29=2,SUMPRODUCT('計算A'!$D$79:$EQ$79,$DB40:$IO40,$IQ40:$OD40),SUMPRODUCT('計算A'!$D$79:$EQ$79,$DB40:$IO40))*1000+20)</f>
        <v/>
      </c>
      <c r="CB40">
        <f>IF(AH40=1,1000000,IF('計算A'!$IT$30&gt;0,0,500000)+IF('計算A'!$IQ$30=2,SUMPRODUCT('計算A'!$D$80:$EQ$80,$DB40:$IO40,$IQ40:$OD40),SUMPRODUCT('計算A'!$D$80:$EQ$80,$DB40:$IO40))*1000+21)</f>
        <v/>
      </c>
      <c r="CC40">
        <f>IF(AI40=1,1000000,IF('計算A'!$IT$31&gt;0,0,500000)+IF('計算A'!$IQ$31=2,SUMPRODUCT('計算A'!$D$81:$EQ$81,$DB40:$IO40,$IQ40:$OD40),SUMPRODUCT('計算A'!$D$81:$EQ$81,$DB40:$IO40))*1000+22)</f>
        <v/>
      </c>
      <c r="CD40">
        <f>IF(AJ40=1,1000000,IF('計算A'!$IT$32&gt;0,0,500000)+IF('計算A'!$IQ$32=2,SUMPRODUCT('計算A'!$D$82:$EQ$82,$DB40:$IO40,$IQ40:$OD40),SUMPRODUCT('計算A'!$D$82:$EQ$82,$DB40:$IO40))*1000+23)</f>
        <v/>
      </c>
      <c r="CE40">
        <f>IF(AK40=1,1000000,IF('計算A'!$IT$33&gt;0,0,500000)+IF('計算A'!$IQ$33=2,SUMPRODUCT('計算A'!$D$83:$EQ$83,$DB40:$IO40,$IQ40:$OD40),SUMPRODUCT('計算A'!$D$83:$EQ$83,$DB40:$IO40))*1000+24)</f>
        <v/>
      </c>
      <c r="CF40">
        <f>IF(AL40=1,1000000,IF('計算A'!$IT$34&gt;0,0,500000)+IF('計算A'!$IQ$34=2,SUMPRODUCT('計算A'!$D$84:$EQ$84,$DB40:$IO40,$IQ40:$OD40),SUMPRODUCT('計算A'!$D$84:$EQ$84,$DB40:$IO40))*1000+25)</f>
        <v/>
      </c>
      <c r="CG40">
        <f>IF(AM40=1,1000000,IF('計算A'!$IT$35&gt;0,0,500000)+IF('計算A'!$IQ$35=2,SUMPRODUCT('計算A'!$D$85:$EQ$85,$DB40:$IO40,$IQ40:$OD40),SUMPRODUCT('計算A'!$D$85:$EQ$85,$DB40:$IO40))*1000+26)</f>
        <v/>
      </c>
      <c r="CH40">
        <f>IF(AN40=1,1000000,IF('計算A'!$IT$36&gt;0,0,500000)+IF('計算A'!$IQ$36=2,SUMPRODUCT('計算A'!$D$86:$EQ$86,$DB40:$IO40,$IQ40:$OD40),SUMPRODUCT('計算A'!$D$86:$EQ$86,$DB40:$IO40))*1000+27)</f>
        <v/>
      </c>
      <c r="CI40">
        <f>IF(AO40=1,1000000,IF('計算A'!$IT$37&gt;0,0,500000)+IF('計算A'!$IQ$37=2,SUMPRODUCT('計算A'!$D$87:$EQ$87,$DB40:$IO40,$IQ40:$OD40),SUMPRODUCT('計算A'!$D$87:$EQ$87,$DB40:$IO40))*1000+28)</f>
        <v/>
      </c>
      <c r="CJ40">
        <f>IF(AP40=1,1000000,IF('計算A'!$IT$38&gt;0,0,500000)+IF('計算A'!$IQ$38=2,SUMPRODUCT('計算A'!$D$88:$EQ$88,$DB40:$IO40,$IQ40:$OD40),SUMPRODUCT('計算A'!$D$88:$EQ$88,$DB40:$IO40))*1000+29)</f>
        <v/>
      </c>
      <c r="CK40">
        <f>IF(AQ40=1,1000000,IF('計算A'!$IT$39&gt;0,0,500000)+IF('計算A'!$IQ$39=2,SUMPRODUCT('計算A'!$D$89:$EQ$89,$DB40:$IO40,$IQ40:$OD40),SUMPRODUCT('計算A'!$D$89:$EQ$89,$DB40:$IO40))*1000+30)</f>
        <v/>
      </c>
      <c r="CL40">
        <f>IF(AR40=1,1000000,IF('計算A'!$IT$40&gt;0,0,500000)+IF('計算A'!$IQ$40=2,SUMPRODUCT('計算A'!$D$90:$EQ$90,$DB40:$IO40,$IQ40:$OD40),SUMPRODUCT('計算A'!$D$90:$EQ$90,$DB40:$IO40))*1000+31)</f>
        <v/>
      </c>
      <c r="CM40">
        <f>IF(AS40=1,1000000,IF('計算A'!$IT$41&gt;0,0,500000)+IF('計算A'!$IQ$41=2,SUMPRODUCT('計算A'!$D$91:$EQ$91,$DB40:$IO40,$IQ40:$OD40),SUMPRODUCT('計算A'!$D$91:$EQ$91,$DB40:$IO40))*1000+32)</f>
        <v/>
      </c>
      <c r="CN40">
        <f>IF(AT40=1,1000000,IF('計算A'!$IT$42&gt;0,0,500000)+IF('計算A'!$IQ$42=2,SUMPRODUCT('計算A'!$D$92:$EQ$92,$DB40:$IO40,$IQ40:$OD40),SUMPRODUCT('計算A'!$D$92:$EQ$92,$DB40:$IO40))*1000+33)</f>
        <v/>
      </c>
      <c r="CO40">
        <f>IF(AU40=1,1000000,IF('計算A'!$IT$43&gt;0,0,500000)+IF('計算A'!$IQ$43=2,SUMPRODUCT('計算A'!$D$93:$EQ$93,$DB40:$IO40,$IQ40:$OD40),SUMPRODUCT('計算A'!$D$93:$EQ$93,$DB40:$IO40))*1000+34)</f>
        <v/>
      </c>
      <c r="CP40">
        <f>IF(AV40=1,1000000,IF('計算A'!$IT$44&gt;0,0,500000)+IF('計算A'!$IQ$44=2,SUMPRODUCT('計算A'!$D$94:$EQ$94,$DB40:$IO40,$IQ40:$OD40),SUMPRODUCT('計算A'!$D$94:$EQ$94,$DB40:$IO40))*1000+35)</f>
        <v/>
      </c>
      <c r="CQ40">
        <f>IF(AW40=1,1000000,IF('計算A'!$IT$45&gt;0,0,500000)+IF('計算A'!$IQ$45=2,SUMPRODUCT('計算A'!$D$95:$EQ$95,$DB40:$IO40,$IQ40:$OD40),SUMPRODUCT('計算A'!$D$95:$EQ$95,$DB40:$IO40))*1000+36)</f>
        <v/>
      </c>
      <c r="CR40">
        <f>IF(AX40=1,1000000,IF('計算A'!$IT$46&gt;0,0,500000)+IF('計算A'!$IQ$46=2,SUMPRODUCT('計算A'!$D$96:$EQ$96,$DB40:$IO40,$IQ40:$OD40),SUMPRODUCT('計算A'!$D$96:$EQ$96,$DB40:$IO40))*1000+37)</f>
        <v/>
      </c>
      <c r="CS40">
        <f>IF(AY40=1,1000000,IF('計算A'!$IT$47&gt;0,0,500000)+IF('計算A'!$IQ$47=2,SUMPRODUCT('計算A'!$D$97:$EQ$97,$DB40:$IO40,$IQ40:$OD40),SUMPRODUCT('計算A'!$D$97:$EQ$97,$DB40:$IO40))*1000+38)</f>
        <v/>
      </c>
      <c r="CT40">
        <f>IF(AZ40=1,1000000,IF('計算A'!$IT$48&gt;0,0,500000)+IF('計算A'!$IQ$48=2,SUMPRODUCT('計算A'!$D$98:$EQ$98,$DB40:$IO40,$IQ40:$OD40),SUMPRODUCT('計算A'!$D$98:$EQ$98,$DB40:$IO40))*1000+39)</f>
        <v/>
      </c>
      <c r="CU40">
        <f>IF(BA40=1,1000000,IF('計算A'!$IT$49&gt;0,0,500000)+IF('計算A'!$IQ$49=2,SUMPRODUCT('計算A'!$D$99:$EQ$99,$DB40:$IO40,$IQ40:$OD40),SUMPRODUCT('計算A'!$D$99:$EQ$99,$DB40:$IO40))*1000+40)</f>
        <v/>
      </c>
      <c r="CV40">
        <f>IF(BB40=1,1000000,IF('計算A'!$IT$50&gt;0,0,500000)+IF('計算A'!$IQ$50=2,SUMPRODUCT('計算A'!$D$100:$EQ$100,$DB40:$IO40,$IQ40:$OD40),SUMPRODUCT('計算A'!$D$100:$EQ$100,$DB40:$IO40))*1000+41)</f>
        <v/>
      </c>
      <c r="CW40">
        <f>IF(BC40=1,1000000,IF('計算A'!$IT$51&gt;0,0,500000)+IF('計算A'!$IQ$51=2,SUMPRODUCT('計算A'!$D$101:$EQ$101,$DB40:$IO40,$IQ40:$OD40),SUMPRODUCT('計算A'!$D$101:$EQ$101,$DB40:$IO40))*1000+42)</f>
        <v/>
      </c>
      <c r="CX40">
        <f>IF(BD40=1,1000000,IF('計算A'!$IT$52&gt;0,0,500000)+IF('計算A'!$IQ$52=2,SUMPRODUCT('計算A'!$D$102:$EQ$102,$DB40:$IO40,$IQ40:$OD40),SUMPRODUCT('計算A'!$D$102:$EQ$102,$DB40:$IO40))*1000+43)</f>
        <v/>
      </c>
      <c r="CY40">
        <f>IF(BE40=1,1000000,IF('計算A'!$IT$53&gt;0,0,500000)+IF('計算A'!$IQ$53=2,SUMPRODUCT('計算A'!$D$103:$EQ$103,$DB40:$IO40,$IQ40:$OD40),SUMPRODUCT('計算A'!$D$103:$EQ$103,$DB40:$IO40))*1000+44)</f>
        <v/>
      </c>
      <c r="CZ40">
        <f>IF(BF40=1,1000000,IF('計算A'!$IT$54&gt;0,0,500000)+IF('計算A'!$IQ$54=2,SUMPRODUCT('計算A'!$D$104:$EQ$104,$DB40:$IO40,$IQ40:$OD40),SUMPRODUCT('計算A'!$D$104:$EQ$104,$DB40:$IO40))*1000+45)</f>
        <v/>
      </c>
      <c r="DB40">
        <f>DB39*IF(OR($C39=1,$G39=1),0,1)</f>
        <v/>
      </c>
      <c r="DC40">
        <f>DC39*IF(OR($C39=2,$G39=2),0,1)</f>
        <v/>
      </c>
      <c r="DD40">
        <f>DD39*IF(OR($C39=3,$G39=3),0,1)</f>
        <v/>
      </c>
      <c r="DE40">
        <f>DE39*IF(OR($C39=4,$G39=4),0,1)</f>
        <v/>
      </c>
      <c r="DF40">
        <f>DF39*IF(OR($C39=5,$G39=5),0,1)</f>
        <v/>
      </c>
      <c r="DG40">
        <f>DG39*IF(OR($C39=6,$G39=6),0,1)</f>
        <v/>
      </c>
      <c r="DH40">
        <f>DH39*IF(OR($C39=7,$G39=7),0,1)</f>
        <v/>
      </c>
      <c r="DI40">
        <f>DI39*IF(OR($C39=8,$G39=8),0,1)</f>
        <v/>
      </c>
      <c r="DJ40">
        <f>DJ39*IF(OR($C39=9,$G39=9),0,1)</f>
        <v/>
      </c>
      <c r="DK40">
        <f>DK39*IF(OR($C39=10,$G39=10),0,1)</f>
        <v/>
      </c>
      <c r="DL40">
        <f>DL39*IF(OR($C39=11,$G39=11),0,1)</f>
        <v/>
      </c>
      <c r="DM40">
        <f>DM39*IF(OR($C39=12,$G39=12),0,1)</f>
        <v/>
      </c>
      <c r="DN40">
        <f>DN39*IF(OR($C39=13,$G39=13),0,1)</f>
        <v/>
      </c>
      <c r="DO40">
        <f>DO39*IF(OR($C39=14,$G39=14),0,1)</f>
        <v/>
      </c>
      <c r="DP40">
        <f>DP39*IF(OR($C39=15,$G39=15),0,1)</f>
        <v/>
      </c>
      <c r="DQ40">
        <f>DQ39*IF(OR($C39=16,$G39=16),0,1)</f>
        <v/>
      </c>
      <c r="DR40">
        <f>DR39*IF(OR($C39=17,$G39=17),0,1)</f>
        <v/>
      </c>
      <c r="DS40">
        <f>DS39*IF(OR($C39=18,$G39=18),0,1)</f>
        <v/>
      </c>
      <c r="DT40">
        <f>DT39*IF(OR($C39=19,$G39=19),0,1)</f>
        <v/>
      </c>
      <c r="DU40">
        <f>DU39*IF(OR($C39=20,$G39=20),0,1)</f>
        <v/>
      </c>
      <c r="DV40">
        <f>DV39*IF(OR($C39=21,$G39=21),0,1)</f>
        <v/>
      </c>
      <c r="DW40">
        <f>DW39*IF(OR($C39=22,$G39=22),0,1)</f>
        <v/>
      </c>
      <c r="DX40">
        <f>DX39*IF(OR($C39=23,$G39=23),0,1)</f>
        <v/>
      </c>
      <c r="DY40">
        <f>DY39*IF(OR($C39=24,$G39=24),0,1)</f>
        <v/>
      </c>
      <c r="DZ40">
        <f>DZ39*IF(OR($C39=25,$G39=25),0,1)</f>
        <v/>
      </c>
      <c r="EA40">
        <f>EA39*IF(OR($C39=26,$G39=26),0,1)</f>
        <v/>
      </c>
      <c r="EB40">
        <f>EB39*IF(OR($C39=27,$G39=27),0,1)</f>
        <v/>
      </c>
      <c r="EC40">
        <f>EC39*IF(OR($C39=28,$G39=28),0,1)</f>
        <v/>
      </c>
      <c r="ED40">
        <f>ED39*IF(OR($C39=29,$G39=29),0,1)</f>
        <v/>
      </c>
      <c r="EE40">
        <f>EE39*IF(OR($C39=30,$G39=30),0,1)</f>
        <v/>
      </c>
      <c r="EF40">
        <f>EF39*IF(OR($C39=31,$G39=31),0,1)</f>
        <v/>
      </c>
      <c r="EG40">
        <f>EG39*IF(OR($C39=32,$G39=32),0,1)</f>
        <v/>
      </c>
      <c r="EH40">
        <f>EH39*IF(OR($C39=33,$G39=33),0,1)</f>
        <v/>
      </c>
      <c r="EI40">
        <f>EI39*IF(OR($C39=34,$G39=34),0,1)</f>
        <v/>
      </c>
      <c r="EJ40">
        <f>EJ39*IF(OR($C39=35,$G39=35),0,1)</f>
        <v/>
      </c>
      <c r="EK40">
        <f>EK39*IF(OR($C39=36,$G39=36),0,1)</f>
        <v/>
      </c>
      <c r="EL40">
        <f>EL39*IF(OR($C39=37,$G39=37),0,1)</f>
        <v/>
      </c>
      <c r="EM40">
        <f>EM39*IF(OR($C39=38,$G39=38),0,1)</f>
        <v/>
      </c>
      <c r="EN40">
        <f>EN39*IF(OR($C39=39,$G39=39),0,1)</f>
        <v/>
      </c>
      <c r="EO40">
        <f>EO39*IF(OR($C39=40,$G39=40),0,1)</f>
        <v/>
      </c>
      <c r="EP40">
        <f>EP39*IF(OR($C39=41,$G39=41),0,1)</f>
        <v/>
      </c>
      <c r="EQ40">
        <f>EQ39*IF(OR($C39=42,$G39=42),0,1)</f>
        <v/>
      </c>
      <c r="ER40">
        <f>ER39*IF(OR($C39=43,$G39=43),0,1)</f>
        <v/>
      </c>
      <c r="ES40">
        <f>ES39*IF(OR($C39=44,$G39=44),0,1)</f>
        <v/>
      </c>
      <c r="ET40">
        <f>ET39*IF(OR($C39=45,$G39=45),0,1)</f>
        <v/>
      </c>
      <c r="EU40">
        <f>EU39*IF(OR($C39=46,$G39=46),0,1)</f>
        <v/>
      </c>
      <c r="EV40">
        <f>EV39*IF(OR($C39=47,$G39=47),0,1)</f>
        <v/>
      </c>
      <c r="EW40">
        <f>EW39*IF(OR($C39=48,$G39=48),0,1)</f>
        <v/>
      </c>
      <c r="EX40">
        <f>EX39*IF(OR($C39=49,$G39=49),0,1)</f>
        <v/>
      </c>
      <c r="EY40">
        <f>EY39*IF(OR($C39=50,$G39=50),0,1)</f>
        <v/>
      </c>
      <c r="EZ40">
        <f>EZ39*IF(OR($C39=51,$G39=51),0,1)</f>
        <v/>
      </c>
      <c r="FA40">
        <f>FA39*IF(OR($C39=52,$G39=52),0,1)</f>
        <v/>
      </c>
      <c r="FB40">
        <f>FB39*IF(OR($C39=53,$G39=53),0,1)</f>
        <v/>
      </c>
      <c r="FC40">
        <f>FC39*IF(OR($C39=54,$G39=54),0,1)</f>
        <v/>
      </c>
      <c r="FD40">
        <f>FD39*IF(OR($C39=55,$G39=55),0,1)</f>
        <v/>
      </c>
      <c r="FE40">
        <f>FE39*IF(OR($C39=56,$G39=56),0,1)</f>
        <v/>
      </c>
      <c r="FF40">
        <f>FF39*IF(OR($C39=57,$G39=57),0,1)</f>
        <v/>
      </c>
      <c r="FG40">
        <f>FG39*IF(OR($C39=58,$G39=58),0,1)</f>
        <v/>
      </c>
      <c r="FH40">
        <f>FH39*IF(OR($C39=59,$G39=59),0,1)</f>
        <v/>
      </c>
      <c r="FI40">
        <f>FI39*IF(OR($C39=60,$G39=60),0,1)</f>
        <v/>
      </c>
      <c r="FJ40">
        <f>FJ39*IF(OR($C39=61,$G39=61),0,1)</f>
        <v/>
      </c>
      <c r="FK40">
        <f>FK39*IF(OR($C39=62,$G39=62),0,1)</f>
        <v/>
      </c>
      <c r="FL40">
        <f>FL39*IF(OR($C39=63,$G39=63),0,1)</f>
        <v/>
      </c>
      <c r="FM40">
        <f>FM39*IF(OR($C39=64,$G39=64),0,1)</f>
        <v/>
      </c>
      <c r="FN40">
        <f>FN39*IF(OR($C39=65,$G39=65),0,1)</f>
        <v/>
      </c>
      <c r="FO40">
        <f>FO39*IF(OR($C39=66,$G39=66),0,1)</f>
        <v/>
      </c>
      <c r="FP40">
        <f>FP39*IF(OR($C39=67,$G39=67),0,1)</f>
        <v/>
      </c>
      <c r="FQ40">
        <f>FQ39*IF(OR($C39=68,$G39=68),0,1)</f>
        <v/>
      </c>
      <c r="FR40">
        <f>FR39*IF(OR($C39=69,$G39=69),0,1)</f>
        <v/>
      </c>
      <c r="FS40">
        <f>FS39*IF(OR($C39=70,$G39=70),0,1)</f>
        <v/>
      </c>
      <c r="FT40">
        <f>FT39*IF(OR($C39=71,$G39=71),0,1)</f>
        <v/>
      </c>
      <c r="FU40">
        <f>FU39*IF(OR($C39=72,$G39=72),0,1)</f>
        <v/>
      </c>
      <c r="FV40">
        <f>FV39*IF(OR($C39=73,$G39=73),0,1)</f>
        <v/>
      </c>
      <c r="FW40">
        <f>FW39*IF(OR($C39=74,$G39=74),0,1)</f>
        <v/>
      </c>
      <c r="FX40">
        <f>FX39*IF(OR($C39=75,$G39=75),0,1)</f>
        <v/>
      </c>
      <c r="FY40">
        <f>FY39*IF(OR($C39=76,$G39=76),0,1)</f>
        <v/>
      </c>
      <c r="FZ40">
        <f>FZ39*IF(OR($C39=77,$G39=77),0,1)</f>
        <v/>
      </c>
      <c r="GA40">
        <f>GA39*IF(OR($C39=78,$G39=78),0,1)</f>
        <v/>
      </c>
      <c r="GB40">
        <f>GB39*IF(OR($C39=79,$G39=79),0,1)</f>
        <v/>
      </c>
      <c r="GC40">
        <f>GC39*IF(OR($C39=80,$G39=80),0,1)</f>
        <v/>
      </c>
      <c r="GD40">
        <f>GD39*IF(OR($C39=81,$G39=81),0,1)</f>
        <v/>
      </c>
      <c r="GE40">
        <f>GE39*IF(OR($C39=82,$G39=82),0,1)</f>
        <v/>
      </c>
      <c r="GF40">
        <f>GF39*IF(OR($C39=83,$G39=83),0,1)</f>
        <v/>
      </c>
      <c r="GG40">
        <f>GG39*IF(OR($C39=84,$G39=84),0,1)</f>
        <v/>
      </c>
      <c r="GH40">
        <f>GH39*IF(OR($C39=85,$G39=85),0,1)</f>
        <v/>
      </c>
      <c r="GI40">
        <f>GI39*IF(OR($C39=86,$G39=86),0,1)</f>
        <v/>
      </c>
      <c r="GJ40">
        <f>GJ39*IF(OR($C39=87,$G39=87),0,1)</f>
        <v/>
      </c>
      <c r="GK40">
        <f>GK39*IF(OR($C39=88,$G39=88),0,1)</f>
        <v/>
      </c>
      <c r="GL40">
        <f>GL39*IF(OR($C39=89,$G39=89),0,1)</f>
        <v/>
      </c>
      <c r="GM40">
        <f>GM39*IF(OR($C39=90,$G39=90),0,1)</f>
        <v/>
      </c>
      <c r="GN40">
        <f>GN39*IF(OR($C39=91,$G39=91),0,1)</f>
        <v/>
      </c>
      <c r="GO40">
        <f>GO39*IF(OR($C39=92,$G39=92),0,1)</f>
        <v/>
      </c>
      <c r="GP40">
        <f>GP39*IF(OR($C39=93,$G39=93),0,1)</f>
        <v/>
      </c>
      <c r="GQ40">
        <f>GQ39*IF(OR($C39=94,$G39=94),0,1)</f>
        <v/>
      </c>
      <c r="GR40">
        <f>GR39*IF(OR($C39=95,$G39=95),0,1)</f>
        <v/>
      </c>
      <c r="GS40">
        <f>GS39*IF(OR($C39=96,$G39=96),0,1)</f>
        <v/>
      </c>
      <c r="GT40">
        <f>GT39*IF(OR($C39=97,$G39=97),0,1)</f>
        <v/>
      </c>
      <c r="GU40">
        <f>GU39*IF(OR($C39=98,$G39=98),0,1)</f>
        <v/>
      </c>
      <c r="GV40">
        <f>GV39*IF(OR($C39=99,$G39=99),0,1)</f>
        <v/>
      </c>
      <c r="GW40">
        <f>GW39*IF(OR($C39=100,$G39=100),0,1)</f>
        <v/>
      </c>
      <c r="GX40">
        <f>GX39*IF(OR($C39=101,$G39=101),0,1)</f>
        <v/>
      </c>
      <c r="GY40">
        <f>GY39*IF(OR($C39=102,$G39=102),0,1)</f>
        <v/>
      </c>
      <c r="GZ40">
        <f>GZ39*IF(OR($C39=103,$G39=103),0,1)</f>
        <v/>
      </c>
      <c r="HA40">
        <f>HA39*IF(OR($C39=104,$G39=104),0,1)</f>
        <v/>
      </c>
      <c r="HB40">
        <f>HB39*IF(OR($C39=105,$G39=105),0,1)</f>
        <v/>
      </c>
      <c r="HC40">
        <f>HC39*IF(OR($C39=106,$G39=106),0,1)</f>
        <v/>
      </c>
      <c r="HD40">
        <f>HD39*IF(OR($C39=107,$G39=107),0,1)</f>
        <v/>
      </c>
      <c r="HE40">
        <f>HE39*IF(OR($C39=108,$G39=108),0,1)</f>
        <v/>
      </c>
      <c r="HF40">
        <f>HF39*IF(OR($C39=109,$G39=109),0,1)</f>
        <v/>
      </c>
      <c r="HG40">
        <f>HG39*IF(OR($C39=110,$G39=110),0,1)</f>
        <v/>
      </c>
      <c r="HH40">
        <f>HH39*IF(OR($C39=111,$G39=111),0,1)</f>
        <v/>
      </c>
      <c r="HI40">
        <f>HI39*IF(OR($C39=112,$G39=112),0,1)</f>
        <v/>
      </c>
      <c r="HJ40">
        <f>HJ39*IF(OR($C39=113,$G39=113),0,1)</f>
        <v/>
      </c>
      <c r="HK40">
        <f>HK39*IF(OR($C39=114,$G39=114),0,1)</f>
        <v/>
      </c>
      <c r="HL40">
        <f>HL39*IF(OR($C39=115,$G39=115),0,1)</f>
        <v/>
      </c>
      <c r="HM40">
        <f>HM39*IF(OR($C39=116,$G39=116),0,1)</f>
        <v/>
      </c>
      <c r="HN40">
        <f>HN39*IF(OR($C39=117,$G39=117),0,1)</f>
        <v/>
      </c>
      <c r="HO40">
        <f>HO39*IF(OR($C39=118,$G39=118),0,1)</f>
        <v/>
      </c>
      <c r="HP40">
        <f>HP39*IF(OR($C39=119,$G39=119),0,1)</f>
        <v/>
      </c>
      <c r="HQ40">
        <f>HQ39*IF(OR($C39=120,$G39=120),0,1)</f>
        <v/>
      </c>
      <c r="HR40">
        <f>HR39*IF(OR($C39=121,$G39=121),0,1)</f>
        <v/>
      </c>
      <c r="HS40">
        <f>HS39*IF(OR($C39=122,$G39=122),0,1)</f>
        <v/>
      </c>
      <c r="HT40">
        <f>HT39*IF(OR($C39=123,$G39=123),0,1)</f>
        <v/>
      </c>
      <c r="HU40">
        <f>HU39*IF(OR($C39=124,$G39=124),0,1)</f>
        <v/>
      </c>
      <c r="HV40">
        <f>HV39*IF(OR($C39=125,$G39=125),0,1)</f>
        <v/>
      </c>
      <c r="HW40">
        <f>HW39*IF(OR($C39=126,$G39=126),0,1)</f>
        <v/>
      </c>
      <c r="HX40">
        <f>HX39*IF(OR($C39=127,$G39=127),0,1)</f>
        <v/>
      </c>
      <c r="HY40">
        <f>HY39*IF(OR($C39=128,$G39=128),0,1)</f>
        <v/>
      </c>
      <c r="HZ40">
        <f>HZ39*IF(OR($C39=129,$G39=129),0,1)</f>
        <v/>
      </c>
      <c r="IA40">
        <f>IA39*IF(OR($C39=130,$G39=130),0,1)</f>
        <v/>
      </c>
      <c r="IB40">
        <f>IB39*IF(OR($C39=131,$G39=131),0,1)</f>
        <v/>
      </c>
      <c r="IC40">
        <f>IC39*IF(OR($C39=132,$G39=132),0,1)</f>
        <v/>
      </c>
      <c r="ID40">
        <f>ID39*IF(OR($C39=133,$G39=133),0,1)</f>
        <v/>
      </c>
      <c r="IE40">
        <f>IE39*IF(OR($C39=134,$G39=134),0,1)</f>
        <v/>
      </c>
      <c r="IF40">
        <f>IF39*IF(OR($C39=135,$G39=135),0,1)</f>
        <v/>
      </c>
      <c r="IG40">
        <f>IG39*IF(OR($C39=136,$G39=136),0,1)</f>
        <v/>
      </c>
      <c r="IH40">
        <f>IH39*IF(OR($C39=137,$G39=137),0,1)</f>
        <v/>
      </c>
      <c r="II40">
        <f>II39*IF(OR($C39=138,$G39=138),0,1)</f>
        <v/>
      </c>
      <c r="IJ40">
        <f>IJ39*IF(OR($C39=139,$G39=139),0,1)</f>
        <v/>
      </c>
      <c r="IK40">
        <f>IK39*IF(OR($C39=140,$G39=140),0,1)</f>
        <v/>
      </c>
      <c r="IL40">
        <f>IL39*IF(OR($C39=141,$G39=141),0,1)</f>
        <v/>
      </c>
      <c r="IM40">
        <f>IM39*IF(OR($C39=142,$G39=142),0,1)</f>
        <v/>
      </c>
      <c r="IN40">
        <f>IN39*IF(OR($C39=143,$G39=143),0,1)</f>
        <v/>
      </c>
      <c r="IO40">
        <f>IO39*IF(OR($C39=144,$G39=144),0,1)</f>
        <v/>
      </c>
      <c r="IQ40">
        <f>IF('計算A'!D$106=1,DC40,1)</f>
        <v/>
      </c>
      <c r="IR40">
        <f>IF('計算A'!E$106=1,DD40,1)</f>
        <v/>
      </c>
      <c r="IS40">
        <f>IF('計算A'!F$106=1,DE40,1)</f>
        <v/>
      </c>
      <c r="IT40">
        <f>IF('計算A'!G$106=1,DF40,1)</f>
        <v/>
      </c>
      <c r="IU40">
        <f>IF('計算A'!H$106=1,DG40,1)</f>
        <v/>
      </c>
      <c r="IV40">
        <f>IF('計算A'!I$106=1,DH40,1)</f>
        <v/>
      </c>
      <c r="IW40">
        <f>IF('計算A'!J$106=1,DI40,1)</f>
        <v/>
      </c>
      <c r="IX40">
        <f>IF('計算A'!K$106=1,DJ40,1)</f>
        <v/>
      </c>
      <c r="IY40">
        <f>IF('計算A'!L$106=1,DK40,1)</f>
        <v/>
      </c>
      <c r="IZ40">
        <f>IF('計算A'!M$106=1,DL40,1)</f>
        <v/>
      </c>
      <c r="JA40">
        <f>IF('計算A'!N$106=1,DM40,1)</f>
        <v/>
      </c>
      <c r="JB40">
        <f>IF('計算A'!O$106=1,DN40,1)</f>
        <v/>
      </c>
      <c r="JC40">
        <f>IF('計算A'!P$106=1,DO40,1)</f>
        <v/>
      </c>
      <c r="JD40">
        <f>IF('計算A'!Q$106=1,DP40,1)</f>
        <v/>
      </c>
      <c r="JE40">
        <f>IF('計算A'!R$106=1,DQ40,1)</f>
        <v/>
      </c>
      <c r="JF40">
        <f>IF('計算A'!S$106=1,DR40,1)</f>
        <v/>
      </c>
      <c r="JG40">
        <f>IF('計算A'!T$106=1,DS40,1)</f>
        <v/>
      </c>
      <c r="JH40">
        <f>IF('計算A'!U$106=1,DT40,1)</f>
        <v/>
      </c>
      <c r="JI40">
        <f>IF('計算A'!V$106=1,DU40,1)</f>
        <v/>
      </c>
      <c r="JJ40">
        <f>IF('計算A'!W$106=1,DV40,1)</f>
        <v/>
      </c>
      <c r="JK40">
        <f>IF('計算A'!X$106=1,DW40,1)</f>
        <v/>
      </c>
      <c r="JL40">
        <f>IF('計算A'!Y$106=1,DX40,1)</f>
        <v/>
      </c>
      <c r="JM40">
        <f>IF('計算A'!Z$106=1,DY40,1)</f>
        <v/>
      </c>
      <c r="JN40">
        <f>IF('計算A'!AA$106=1,DZ40,1)</f>
        <v/>
      </c>
      <c r="JO40">
        <f>IF('計算A'!AB$106=1,EA40,1)</f>
        <v/>
      </c>
      <c r="JP40">
        <f>IF('計算A'!AC$106=1,EB40,1)</f>
        <v/>
      </c>
      <c r="JQ40">
        <f>IF('計算A'!AD$106=1,EC40,1)</f>
        <v/>
      </c>
      <c r="JR40">
        <f>IF('計算A'!AE$106=1,ED40,1)</f>
        <v/>
      </c>
      <c r="JS40">
        <f>IF('計算A'!AF$106=1,EE40,1)</f>
        <v/>
      </c>
      <c r="JT40">
        <f>IF('計算A'!AG$106=1,EF40,1)</f>
        <v/>
      </c>
      <c r="JU40">
        <f>IF('計算A'!AH$106=1,EG40,1)</f>
        <v/>
      </c>
      <c r="JV40">
        <f>IF('計算A'!AI$106=1,EH40,1)</f>
        <v/>
      </c>
      <c r="JW40">
        <f>IF('計算A'!AJ$106=1,EI40,1)</f>
        <v/>
      </c>
      <c r="JX40">
        <f>IF('計算A'!AK$106=1,EJ40,1)</f>
        <v/>
      </c>
      <c r="JY40">
        <f>IF('計算A'!AL$106=1,EK40,1)</f>
        <v/>
      </c>
      <c r="JZ40">
        <f>IF('計算A'!AM$106=1,EL40,1)</f>
        <v/>
      </c>
      <c r="KA40">
        <f>IF('計算A'!AN$106=1,EM40,1)</f>
        <v/>
      </c>
      <c r="KB40">
        <f>IF('計算A'!AO$106=1,EN40,1)</f>
        <v/>
      </c>
      <c r="KC40">
        <f>IF('計算A'!AP$106=1,EO40,1)</f>
        <v/>
      </c>
      <c r="KD40">
        <f>IF('計算A'!AQ$106=1,EP40,1)</f>
        <v/>
      </c>
      <c r="KE40">
        <f>IF('計算A'!AR$106=1,EQ40,1)</f>
        <v/>
      </c>
      <c r="KF40">
        <f>IF('計算A'!AS$106=1,ER40,1)</f>
        <v/>
      </c>
      <c r="KG40">
        <f>IF('計算A'!AT$106=1,ES40,1)</f>
        <v/>
      </c>
      <c r="KH40">
        <f>IF('計算A'!AU$106=1,ET40,1)</f>
        <v/>
      </c>
      <c r="KI40">
        <f>IF('計算A'!AV$106=1,EU40,1)</f>
        <v/>
      </c>
      <c r="KJ40">
        <f>IF('計算A'!AW$106=1,EV40,1)</f>
        <v/>
      </c>
      <c r="KK40">
        <f>IF('計算A'!AX$106=1,EW40,1)</f>
        <v/>
      </c>
      <c r="KL40">
        <f>IF('計算A'!AY$106=1,EX40,1)</f>
        <v/>
      </c>
      <c r="KM40">
        <f>IF('計算A'!AZ$106=1,EY40,1)</f>
        <v/>
      </c>
      <c r="KN40">
        <f>IF('計算A'!BA$106=1,EZ40,1)</f>
        <v/>
      </c>
      <c r="KO40">
        <f>IF('計算A'!BB$106=1,FA40,1)</f>
        <v/>
      </c>
      <c r="KP40">
        <f>IF('計算A'!BC$106=1,FB40,1)</f>
        <v/>
      </c>
      <c r="KQ40">
        <f>IF('計算A'!BD$106=1,FC40,1)</f>
        <v/>
      </c>
      <c r="KR40">
        <f>IF('計算A'!BE$106=1,FD40,1)</f>
        <v/>
      </c>
      <c r="KS40">
        <f>IF('計算A'!BF$106=1,FE40,1)</f>
        <v/>
      </c>
      <c r="KT40">
        <f>IF('計算A'!BG$106=1,FF40,1)</f>
        <v/>
      </c>
      <c r="KU40">
        <f>IF('計算A'!BH$106=1,FG40,1)</f>
        <v/>
      </c>
      <c r="KV40">
        <f>IF('計算A'!BI$106=1,FH40,1)</f>
        <v/>
      </c>
      <c r="KW40">
        <f>IF('計算A'!BJ$106=1,FI40,1)</f>
        <v/>
      </c>
      <c r="KX40">
        <f>IF('計算A'!BK$106=1,FJ40,1)</f>
        <v/>
      </c>
      <c r="KY40">
        <f>IF('計算A'!BL$106=1,FK40,1)</f>
        <v/>
      </c>
      <c r="KZ40">
        <f>IF('計算A'!BM$106=1,FL40,1)</f>
        <v/>
      </c>
      <c r="LA40">
        <f>IF('計算A'!BN$106=1,FM40,1)</f>
        <v/>
      </c>
      <c r="LB40">
        <f>IF('計算A'!BO$106=1,FN40,1)</f>
        <v/>
      </c>
      <c r="LC40">
        <f>IF('計算A'!BP$106=1,FO40,1)</f>
        <v/>
      </c>
      <c r="LD40">
        <f>IF('計算A'!BQ$106=1,FP40,1)</f>
        <v/>
      </c>
      <c r="LE40">
        <f>IF('計算A'!BR$106=1,FQ40,1)</f>
        <v/>
      </c>
      <c r="LF40">
        <f>IF('計算A'!BS$106=1,FR40,1)</f>
        <v/>
      </c>
      <c r="LG40">
        <f>IF('計算A'!BT$106=1,FS40,1)</f>
        <v/>
      </c>
      <c r="LH40">
        <f>IF('計算A'!BU$106=1,FT40,1)</f>
        <v/>
      </c>
      <c r="LI40">
        <f>IF('計算A'!BV$106=1,FU40,1)</f>
        <v/>
      </c>
      <c r="LJ40">
        <f>IF('計算A'!BW$106=1,FV40,1)</f>
        <v/>
      </c>
      <c r="LK40">
        <f>IF('計算A'!BX$106=1,FW40,1)</f>
        <v/>
      </c>
      <c r="LL40">
        <f>IF('計算A'!BY$106=1,FX40,1)</f>
        <v/>
      </c>
      <c r="LM40">
        <f>IF('計算A'!BZ$106=1,FY40,1)</f>
        <v/>
      </c>
      <c r="LN40">
        <f>IF('計算A'!CA$106=1,FZ40,1)</f>
        <v/>
      </c>
      <c r="LO40">
        <f>IF('計算A'!CB$106=1,GA40,1)</f>
        <v/>
      </c>
      <c r="LP40">
        <f>IF('計算A'!CC$106=1,GB40,1)</f>
        <v/>
      </c>
      <c r="LQ40">
        <f>IF('計算A'!CD$106=1,GC40,1)</f>
        <v/>
      </c>
      <c r="LR40">
        <f>IF('計算A'!CE$106=1,GD40,1)</f>
        <v/>
      </c>
      <c r="LS40">
        <f>IF('計算A'!CF$106=1,GE40,1)</f>
        <v/>
      </c>
      <c r="LT40">
        <f>IF('計算A'!CG$106=1,GF40,1)</f>
        <v/>
      </c>
      <c r="LU40">
        <f>IF('計算A'!CH$106=1,GG40,1)</f>
        <v/>
      </c>
      <c r="LV40">
        <f>IF('計算A'!CI$106=1,GH40,1)</f>
        <v/>
      </c>
      <c r="LW40">
        <f>IF('計算A'!CJ$106=1,GI40,1)</f>
        <v/>
      </c>
      <c r="LX40">
        <f>IF('計算A'!CK$106=1,GJ40,1)</f>
        <v/>
      </c>
      <c r="LY40">
        <f>IF('計算A'!CL$106=1,GK40,1)</f>
        <v/>
      </c>
      <c r="LZ40">
        <f>IF('計算A'!CM$106=1,GL40,1)</f>
        <v/>
      </c>
      <c r="MA40">
        <f>IF('計算A'!CN$106=1,GM40,1)</f>
        <v/>
      </c>
      <c r="MB40">
        <f>IF('計算A'!CO$106=1,GN40,1)</f>
        <v/>
      </c>
      <c r="MC40">
        <f>IF('計算A'!CP$106=1,GO40,1)</f>
        <v/>
      </c>
      <c r="MD40">
        <f>IF('計算A'!CQ$106=1,GP40,1)</f>
        <v/>
      </c>
      <c r="ME40">
        <f>IF('計算A'!CR$106=1,GQ40,1)</f>
        <v/>
      </c>
      <c r="MF40">
        <f>IF('計算A'!CS$106=1,GR40,1)</f>
        <v/>
      </c>
      <c r="MG40">
        <f>IF('計算A'!CT$106=1,GS40,1)</f>
        <v/>
      </c>
      <c r="MH40">
        <f>IF('計算A'!CU$106=1,GT40,1)</f>
        <v/>
      </c>
      <c r="MI40">
        <f>IF('計算A'!CV$106=1,GU40,1)</f>
        <v/>
      </c>
      <c r="MJ40">
        <f>IF('計算A'!CW$106=1,GV40,1)</f>
        <v/>
      </c>
      <c r="MK40">
        <f>IF('計算A'!CX$106=1,GW40,1)</f>
        <v/>
      </c>
      <c r="ML40">
        <f>IF('計算A'!CY$106=1,GX40,1)</f>
        <v/>
      </c>
      <c r="MM40">
        <f>IF('計算A'!CZ$106=1,GY40,1)</f>
        <v/>
      </c>
      <c r="MN40">
        <f>IF('計算A'!DA$106=1,GZ40,1)</f>
        <v/>
      </c>
      <c r="MO40">
        <f>IF('計算A'!DB$106=1,HA40,1)</f>
        <v/>
      </c>
      <c r="MP40">
        <f>IF('計算A'!DC$106=1,HB40,1)</f>
        <v/>
      </c>
      <c r="MQ40">
        <f>IF('計算A'!DD$106=1,HC40,1)</f>
        <v/>
      </c>
      <c r="MR40">
        <f>IF('計算A'!DE$106=1,HD40,1)</f>
        <v/>
      </c>
      <c r="MS40">
        <f>IF('計算A'!DF$106=1,HE40,1)</f>
        <v/>
      </c>
      <c r="MT40">
        <f>IF('計算A'!DG$106=1,HF40,1)</f>
        <v/>
      </c>
      <c r="MU40">
        <f>IF('計算A'!DH$106=1,HG40,1)</f>
        <v/>
      </c>
      <c r="MV40">
        <f>IF('計算A'!DI$106=1,HH40,1)</f>
        <v/>
      </c>
      <c r="MW40">
        <f>IF('計算A'!DJ$106=1,HI40,1)</f>
        <v/>
      </c>
      <c r="MX40">
        <f>IF('計算A'!DK$106=1,HJ40,1)</f>
        <v/>
      </c>
      <c r="MY40">
        <f>IF('計算A'!DL$106=1,HK40,1)</f>
        <v/>
      </c>
      <c r="MZ40">
        <f>IF('計算A'!DM$106=1,HL40,1)</f>
        <v/>
      </c>
      <c r="NA40">
        <f>IF('計算A'!DN$106=1,HM40,1)</f>
        <v/>
      </c>
      <c r="NB40">
        <f>IF('計算A'!DO$106=1,HN40,1)</f>
        <v/>
      </c>
      <c r="NC40">
        <f>IF('計算A'!DP$106=1,HO40,1)</f>
        <v/>
      </c>
      <c r="ND40">
        <f>IF('計算A'!DQ$106=1,HP40,1)</f>
        <v/>
      </c>
      <c r="NE40">
        <f>IF('計算A'!DR$106=1,HQ40,1)</f>
        <v/>
      </c>
      <c r="NF40">
        <f>IF('計算A'!DS$106=1,HR40,1)</f>
        <v/>
      </c>
      <c r="NG40">
        <f>IF('計算A'!DT$106=1,HS40,1)</f>
        <v/>
      </c>
      <c r="NH40">
        <f>IF('計算A'!DU$106=1,HT40,1)</f>
        <v/>
      </c>
      <c r="NI40">
        <f>IF('計算A'!DV$106=1,HU40,1)</f>
        <v/>
      </c>
      <c r="NJ40">
        <f>IF('計算A'!DW$106=1,HV40,1)</f>
        <v/>
      </c>
      <c r="NK40">
        <f>IF('計算A'!DX$106=1,HW40,1)</f>
        <v/>
      </c>
      <c r="NL40">
        <f>IF('計算A'!DY$106=1,HX40,1)</f>
        <v/>
      </c>
      <c r="NM40">
        <f>IF('計算A'!DZ$106=1,HY40,1)</f>
        <v/>
      </c>
      <c r="NN40">
        <f>IF('計算A'!EA$106=1,HZ40,1)</f>
        <v/>
      </c>
      <c r="NO40">
        <f>IF('計算A'!EB$106=1,IA40,1)</f>
        <v/>
      </c>
      <c r="NP40">
        <f>IF('計算A'!EC$106=1,IB40,1)</f>
        <v/>
      </c>
      <c r="NQ40">
        <f>IF('計算A'!ED$106=1,IC40,1)</f>
        <v/>
      </c>
      <c r="NR40">
        <f>IF('計算A'!EE$106=1,ID40,1)</f>
        <v/>
      </c>
      <c r="NS40">
        <f>IF('計算A'!EF$106=1,IE40,1)</f>
        <v/>
      </c>
      <c r="NT40">
        <f>IF('計算A'!EG$106=1,IF40,1)</f>
        <v/>
      </c>
      <c r="NU40">
        <f>IF('計算A'!EH$106=1,IG40,1)</f>
        <v/>
      </c>
      <c r="NV40">
        <f>IF('計算A'!EI$106=1,IH40,1)</f>
        <v/>
      </c>
      <c r="NW40">
        <f>IF('計算A'!EJ$106=1,II40,1)</f>
        <v/>
      </c>
      <c r="NX40">
        <f>IF('計算A'!EK$106=1,IJ40,1)</f>
        <v/>
      </c>
      <c r="NY40">
        <f>IF('計算A'!EL$106=1,IK40,1)</f>
        <v/>
      </c>
      <c r="NZ40">
        <f>IF('計算A'!EM$106=1,IL40,1)</f>
        <v/>
      </c>
      <c r="OA40">
        <f>IF('計算A'!EN$106=1,IM40,1)</f>
        <v/>
      </c>
      <c r="OB40">
        <f>IF('計算A'!EO$106=1,IN40,1)</f>
        <v/>
      </c>
      <c r="OC40">
        <f>IF('計算A'!EP$106=1,IO40,1)</f>
        <v/>
      </c>
      <c r="OD40" t="n">
        <v>1</v>
      </c>
      <c r="OF40">
        <f>IF($B40=0,1000000,IF(INDEX('計算A'!$D$60:$EQ$104,$B40,1)*DB40=1,IF(AND($E40=2,IQ40=0),1000000,IF($I40&gt;0,IF(1=$J40,IF(OR(AND(1=$I40+1,OR($K40&lt;&gt;'計算A'!$A$3,'計算A'!$A$4=0)),AND(1=$I40-1,OR(1&lt;&gt;'計算A'!$A$3,'計算A'!$A$4=0))),0,IF(1=$K40,200000,ABS(1-$K40)*100)),100000+ABS(1-$J40)*1000+10)+'計算A'!D$5*50+IF(AND($E40=1,IQ40=0),25,0),IF($F40&gt;0,INDEX('計算A'!D$110:D$114,$F40+1)+IF(AND($E40=1,IQ40=0),1000,0),MIN(TU40,20)*400+(IF('計算A'!D$106=1,1-DC40,0))*150+11+'計算A'!D$5*100000+IF(AND($E40=1,IQ40=0),50000,0))+IF($H40=1,(IF('計算A'!D$117=1,INDEX('計算A'!E$10:E$54,$B40),0))*4000,0)-IF(AND($L40=1,'計算A'!D$117=1,DC40=0),2000,0))),1000000))</f>
        <v/>
      </c>
      <c r="OG40">
        <f>IF($B40=0,1000000,IF(INDEX('計算A'!$D$60:$EQ$104,$B40,2)*DC40=1,IF(AND($E40=2,IR40=0),1000000,IF($I40&gt;0,IF(1=$J40,IF(OR(AND(2=$I40+1,OR($K40&lt;&gt;'計算A'!$A$3,'計算A'!$A$4=0)),AND(2=$I40-1,OR(2&lt;&gt;'計算A'!$A$3,'計算A'!$A$4=0))),0,IF(2=$K40,200000,ABS(2-$K40)*100)),100000+ABS(1-$J40)*1000+20)+'計算A'!E$5*50+IF(AND($E40=1,IR40=0),25,0),IF($F40&gt;0,INDEX('計算A'!E$110:E$114,$F40+1)+IF(AND($E40=1,IR40=0),1000,0),MIN(TU40,20)*400+(IF('計算A'!D$106=1,1-DB40,0)+IF('計算A'!E$106=1,1-DD40,0))*150+21+'計算A'!E$5*100000+IF(AND($E40=1,IR40=0),50000,0))+IF($H40=1,(IF('計算A'!D$117=1,INDEX('計算A'!D$10:D$54,$B40),0)+IF('計算A'!E$117=1,INDEX('計算A'!F$10:F$54,$B40),0))*4000,0)-IF(AND('計算A'!D$117=1,UB40&gt;0),2000,0)-IF(AND($L40=1,'計算A'!E$117=1,DD40=0),2000,0))),1000000))</f>
        <v/>
      </c>
      <c r="OH40">
        <f>IF($B40=0,1000000,IF(INDEX('計算A'!$D$60:$EQ$104,$B40,3)*DD40=1,IF(AND($E40=2,IS40=0),1000000,IF($I40&gt;0,IF(1=$J40,IF(OR(AND(3=$I40+1,OR($K40&lt;&gt;'計算A'!$A$3,'計算A'!$A$4=0)),AND(3=$I40-1,OR(3&lt;&gt;'計算A'!$A$3,'計算A'!$A$4=0))),0,IF(3=$K40,200000,ABS(3-$K40)*100)),100000+ABS(1-$J40)*1000+30)+'計算A'!F$5*50+IF(AND($E40=1,IS40=0),25,0),IF($F40&gt;0,INDEX('計算A'!F$110:F$114,$F40+1)+IF(AND($E40=1,IS40=0),1000,0),MIN(TU40,20)*400+(IF('計算A'!E$106=1,1-DC40,0)+IF('計算A'!F$106=1,1-DE40,0))*150+31+'計算A'!F$5*100000+IF(AND($E40=1,IS40=0),50000,0))+IF($H40=1,(IF('計算A'!E$117=1,INDEX('計算A'!E$10:E$54,$B40),0)+IF('計算A'!F$117=1,INDEX('計算A'!G$10:G$54,$B40),0))*4000,0)-IF(AND('計算A'!E$117=1,UC40&gt;0),2000,0)-IF(AND($L40=1,'計算A'!F$117=1,DE40=0),2000,0))),1000000))</f>
        <v/>
      </c>
      <c r="OI40">
        <f>IF($B40=0,1000000,IF(INDEX('計算A'!$D$60:$EQ$104,$B40,4)*DE40=1,IF(AND($E40=2,IT40=0),1000000,IF($I40&gt;0,IF(1=$J40,IF(OR(AND(4=$I40+1,OR($K40&lt;&gt;'計算A'!$A$3,'計算A'!$A$4=0)),AND(4=$I40-1,OR(4&lt;&gt;'計算A'!$A$3,'計算A'!$A$4=0))),0,IF(4=$K40,200000,ABS(4-$K40)*100)),100000+ABS(1-$J40)*1000+40)+'計算A'!G$5*50+IF(AND($E40=1,IT40=0),25,0),IF($F40&gt;0,INDEX('計算A'!G$110:G$114,$F40+1)+IF(AND($E40=1,IT40=0),1000,0),MIN(TU40,20)*400+(IF('計算A'!F$106=1,1-DD40,0)+IF('計算A'!G$106=1,1-DF40,0))*150+41+'計算A'!G$5*100000+IF(AND($E40=1,IT40=0),50000,0))+IF($H40=1,(IF('計算A'!F$117=1,INDEX('計算A'!F$10:F$54,$B40),0)+IF('計算A'!G$117=1,INDEX('計算A'!H$10:H$54,$B40),0))*4000,0)-IF(AND('計算A'!F$117=1,UD40&gt;0),2000,0)-IF(AND($L40=1,'計算A'!G$117=1,DF40=0),2000,0))),1000000))</f>
        <v/>
      </c>
      <c r="OJ40">
        <f>IF($B40=0,1000000,IF(INDEX('計算A'!$D$60:$EQ$104,$B40,5)*DF40=1,IF(AND($E40=2,IU40=0),1000000,IF($I40&gt;0,IF(1=$J40,IF(OR(AND(5=$I40+1,OR($K40&lt;&gt;'計算A'!$A$3,'計算A'!$A$4=0)),AND(5=$I40-1,OR(5&lt;&gt;'計算A'!$A$3,'計算A'!$A$4=0))),0,IF(5=$K40,200000,ABS(5-$K40)*100)),100000+ABS(1-$J40)*1000+50)+'計算A'!H$5*50+IF(AND($E40=1,IU40=0),25,0),IF($F40&gt;0,INDEX('計算A'!H$110:H$114,$F40+1)+IF(AND($E40=1,IU40=0),1000,0),MIN(TU40,20)*400+(IF('計算A'!G$106=1,1-DE40,0)+IF('計算A'!H$106=1,1-DG40,0))*150+51+'計算A'!H$5*100000+IF(AND($E40=1,IU40=0),50000,0))+IF($H40=1,(IF('計算A'!G$117=1,INDEX('計算A'!G$10:G$54,$B40),0)+IF('計算A'!H$117=1,INDEX('計算A'!I$10:I$54,$B40),0))*4000,0)-IF(AND('計算A'!G$117=1,UE40&gt;0),2000,0)-IF(AND($L40=1,'計算A'!H$117=1,DG40=0),2000,0))),1000000))</f>
        <v/>
      </c>
      <c r="OK40">
        <f>IF($B40=0,1000000,IF(INDEX('計算A'!$D$60:$EQ$104,$B40,6)*DG40=1,IF(AND($E40=2,IV40=0),1000000,IF($I40&gt;0,IF(1=$J40,IF(OR(AND(6=$I40+1,OR($K40&lt;&gt;'計算A'!$A$3,'計算A'!$A$4=0)),AND(6=$I40-1,OR(6&lt;&gt;'計算A'!$A$3,'計算A'!$A$4=0))),0,IF(6=$K40,200000,ABS(6-$K40)*100)),100000+ABS(1-$J40)*1000+60)+'計算A'!I$5*50+IF(AND($E40=1,IV40=0),25,0),IF($F40&gt;0,INDEX('計算A'!I$110:I$114,$F40+1)+IF(AND($E40=1,IV40=0),1000,0),MIN(TU40,20)*400+(IF('計算A'!H$106=1,1-DF40,0)+IF('計算A'!I$106=1,1-DH40,0))*150+61+'計算A'!I$5*100000+IF(AND($E40=1,IV40=0),50000,0))+IF($H40=1,(IF('計算A'!H$117=1,INDEX('計算A'!H$10:H$54,$B40),0)+IF('計算A'!I$117=1,INDEX('計算A'!J$10:J$54,$B40),0))*4000,0)-IF(AND('計算A'!H$117=1,UF40&gt;0),2000,0)-IF(AND($L40=1,'計算A'!I$117=1,DH40=0),2000,0))),1000000))</f>
        <v/>
      </c>
      <c r="OL40">
        <f>IF($B40=0,1000000,IF(INDEX('計算A'!$D$60:$EQ$104,$B40,7)*DH40=1,IF(AND($E40=2,IW40=0),1000000,IF($I40&gt;0,IF(1=$J40,IF(OR(AND(7=$I40+1,OR($K40&lt;&gt;'計算A'!$A$3,'計算A'!$A$4=0)),AND(7=$I40-1,OR(7&lt;&gt;'計算A'!$A$3,'計算A'!$A$4=0))),0,IF(7=$K40,200000,ABS(7-$K40)*100)),100000+ABS(1-$J40)*1000+70)+'計算A'!J$5*50+IF(AND($E40=1,IW40=0),25,0),IF($F40&gt;0,INDEX('計算A'!J$110:J$114,$F40+1)+IF(AND($E40=1,IW40=0),1000,0),MIN(TU40,20)*400+(IF('計算A'!I$106=1,1-DG40,0)+IF('計算A'!J$106=1,1-DI40,0))*150+71+'計算A'!J$5*100000+IF(AND($E40=1,IW40=0),50000,0))+IF($H40=1,(IF('計算A'!I$117=1,INDEX('計算A'!I$10:I$54,$B40),0)+IF('計算A'!J$117=1,INDEX('計算A'!K$10:K$54,$B40),0))*4000,0)-IF(AND('計算A'!I$117=1,UG40&gt;0),2000,0)-IF(AND($L40=1,'計算A'!J$117=1,DI40=0),2000,0))),1000000))</f>
        <v/>
      </c>
      <c r="OM40">
        <f>IF($B40=0,1000000,IF(INDEX('計算A'!$D$60:$EQ$104,$B40,8)*DI40=1,IF(AND($E40=2,IX40=0),1000000,IF($I40&gt;0,IF(1=$J40,IF(OR(AND(8=$I40+1,OR($K40&lt;&gt;'計算A'!$A$3,'計算A'!$A$4=0)),AND(8=$I40-1,OR(8&lt;&gt;'計算A'!$A$3,'計算A'!$A$4=0))),0,IF(8=$K40,200000,ABS(8-$K40)*100)),100000+ABS(1-$J40)*1000+80)+'計算A'!K$5*50+IF(AND($E40=1,IX40=0),25,0),IF($F40&gt;0,INDEX('計算A'!K$110:K$114,$F40+1)+IF(AND($E40=1,IX40=0),1000,0),MIN(TU40,20)*400+(IF('計算A'!J$106=1,1-DH40,0)+IF('計算A'!K$106=1,1-DJ40,0))*150+81+'計算A'!K$5*100000+IF(AND($E40=1,IX40=0),50000,0))+IF($H40=1,(IF('計算A'!J$117=1,INDEX('計算A'!J$10:J$54,$B40),0)+IF('計算A'!K$117=1,INDEX('計算A'!L$10:L$54,$B40),0))*4000,0)-IF(AND('計算A'!J$117=1,UH40&gt;0),2000,0)-IF(AND($L40=1,'計算A'!K$117=1,DJ40=0),2000,0))),1000000))</f>
        <v/>
      </c>
      <c r="ON40">
        <f>IF($B40=0,1000000,IF(INDEX('計算A'!$D$60:$EQ$104,$B40,9)*DJ40=1,IF(AND($E40=2,IY40=0),1000000,IF($I40&gt;0,IF(1=$J40,IF(OR(AND(9=$I40+1,OR($K40&lt;&gt;'計算A'!$A$3,'計算A'!$A$4=0)),AND(9=$I40-1,OR(9&lt;&gt;'計算A'!$A$3,'計算A'!$A$4=0))),0,IF(9=$K40,200000,ABS(9-$K40)*100)),100000+ABS(1-$J40)*1000+90)+'計算A'!L$5*50+IF(AND($E40=1,IY40=0),25,0),IF($F40&gt;0,INDEX('計算A'!L$110:L$114,$F40+1)+IF(AND($E40=1,IY40=0),1000,0),MIN(TU40,20)*400+(IF('計算A'!K$106=1,1-DI40,0)+IF('計算A'!L$106=1,1-DK40,0))*150+91+'計算A'!L$5*100000+IF(AND($E40=1,IY40=0),50000,0))+IF($H40=1,(IF('計算A'!K$117=1,INDEX('計算A'!K$10:K$54,$B40),0)+IF('計算A'!L$117=1,INDEX('計算A'!M$10:M$54,$B40),0))*4000,0)-IF(AND('計算A'!K$117=1,UI40&gt;0),2000,0)-IF(AND($L40=1,'計算A'!L$117=1,DK40=0),2000,0))),1000000))</f>
        <v/>
      </c>
      <c r="OO40">
        <f>IF($B40=0,1000000,IF(INDEX('計算A'!$D$60:$EQ$104,$B40,10)*DK40=1,IF(AND($E40=2,IZ40=0),1000000,IF($I40&gt;0,IF(1=$J40,IF(OR(AND(10=$I40+1,OR($K40&lt;&gt;'計算A'!$A$3,'計算A'!$A$4=0)),AND(10=$I40-1,OR(10&lt;&gt;'計算A'!$A$3,'計算A'!$A$4=0))),0,IF(10=$K40,200000,ABS(10-$K40)*100)),100000+ABS(1-$J40)*1000+100)+'計算A'!M$5*50+IF(AND($E40=1,IZ40=0),25,0),IF($F40&gt;0,INDEX('計算A'!M$110:M$114,$F40+1)+IF(AND($E40=1,IZ40=0),1000,0),MIN(TU40,20)*400+(IF('計算A'!L$106=1,1-DJ40,0)+IF('計算A'!M$106=1,1-DL40,0))*150+101+'計算A'!M$5*100000+IF(AND($E40=1,IZ40=0),50000,0))+IF($H40=1,(IF('計算A'!L$117=1,INDEX('計算A'!L$10:L$54,$B40),0)+IF('計算A'!M$117=1,INDEX('計算A'!N$10:N$54,$B40),0))*4000,0)-IF(AND('計算A'!L$117=1,UJ40&gt;0),2000,0)-IF(AND($L40=1,'計算A'!M$117=1,DL40=0),2000,0))),1000000))</f>
        <v/>
      </c>
      <c r="OP40">
        <f>IF($B40=0,1000000,IF(INDEX('計算A'!$D$60:$EQ$104,$B40,11)*DL40=1,IF(AND($E40=2,JA40=0),1000000,IF($I40&gt;0,IF(1=$J40,IF(OR(AND(11=$I40+1,OR($K40&lt;&gt;'計算A'!$A$3,'計算A'!$A$4=0)),AND(11=$I40-1,OR(11&lt;&gt;'計算A'!$A$3,'計算A'!$A$4=0))),0,IF(11=$K40,200000,ABS(11-$K40)*100)),100000+ABS(1-$J40)*1000+110)+'計算A'!N$5*50+IF(AND($E40=1,JA40=0),25,0),IF($F40&gt;0,INDEX('計算A'!N$110:N$114,$F40+1)+IF(AND($E40=1,JA40=0),1000,0),MIN(TU40,20)*400+(IF('計算A'!M$106=1,1-DK40,0)+IF('計算A'!N$106=1,1-DM40,0))*150+111+'計算A'!N$5*100000+IF(AND($E40=1,JA40=0),50000,0))+IF($H40=1,(IF('計算A'!M$117=1,INDEX('計算A'!M$10:M$54,$B40),0)+IF('計算A'!N$117=1,INDEX('計算A'!O$10:O$54,$B40),0))*4000,0)-IF(AND('計算A'!M$117=1,UK40&gt;0),2000,0)-IF(AND($L40=1,'計算A'!N$117=1,DM40=0),2000,0))),1000000))</f>
        <v/>
      </c>
      <c r="OQ40">
        <f>IF($B40=0,1000000,IF(INDEX('計算A'!$D$60:$EQ$104,$B40,12)*DM40=1,IF(AND($E40=2,JB40=0),1000000,IF($I40&gt;0,IF(1=$J40,IF(OR(AND(12=$I40+1,OR($K40&lt;&gt;'計算A'!$A$3,'計算A'!$A$4=0)),AND(12=$I40-1,OR(12&lt;&gt;'計算A'!$A$3,'計算A'!$A$4=0))),0,IF(12=$K40,200000,ABS(12-$K40)*100)),100000+ABS(1-$J40)*1000+120)+'計算A'!O$5*50+IF(AND($E40=1,JB40=0),25,0),IF($F40&gt;0,INDEX('計算A'!O$110:O$114,$F40+1)+IF(AND($E40=1,JB40=0),1000,0),MIN(TU40,20)*400+(IF('計算A'!N$106=1,1-DL40,0)+IF('計算A'!O$106=1,1-DN40,0))*150+121+'計算A'!O$5*100000+IF(AND($E40=1,JB40=0),50000,0))+IF($H40=1,(IF('計算A'!N$117=1,INDEX('計算A'!N$10:N$54,$B40),0)+IF('計算A'!O$117=1,INDEX('計算A'!P$10:P$54,$B40),0))*4000,0)-IF(AND('計算A'!N$117=1,UL40&gt;0),2000,0)-IF(AND($L40=1,'計算A'!O$117=1,DN40=0),2000,0))),1000000))</f>
        <v/>
      </c>
      <c r="OR40">
        <f>IF($B40=0,1000000,IF(INDEX('計算A'!$D$60:$EQ$104,$B40,13)*DN40=1,IF(AND($E40=2,JC40=0),1000000,IF($I40&gt;0,IF(1=$J40,IF(OR(AND(13=$I40+1,OR($K40&lt;&gt;'計算A'!$A$3,'計算A'!$A$4=0)),AND(13=$I40-1,OR(13&lt;&gt;'計算A'!$A$3,'計算A'!$A$4=0))),0,IF(13=$K40,200000,ABS(13-$K40)*100)),100000+ABS(1-$J40)*1000+130)+'計算A'!P$5*50+IF(AND($E40=1,JC40=0),25,0),IF($F40&gt;0,INDEX('計算A'!P$110:P$114,$F40+1)+IF(AND($E40=1,JC40=0),1000,0),MIN(TU40,20)*400+(IF('計算A'!O$106=1,1-DM40,0)+IF('計算A'!P$106=1,1-DO40,0))*150+131+'計算A'!P$5*100000+IF(AND($E40=1,JC40=0),50000,0))+IF($H40=1,(IF('計算A'!O$117=1,INDEX('計算A'!O$10:O$54,$B40),0)+IF('計算A'!P$117=1,INDEX('計算A'!Q$10:Q$54,$B40),0))*4000,0)-IF(AND('計算A'!O$117=1,UM40&gt;0),2000,0)-IF(AND($L40=1,'計算A'!P$117=1,DO40=0),2000,0))),1000000))</f>
        <v/>
      </c>
      <c r="OS40">
        <f>IF($B40=0,1000000,IF(INDEX('計算A'!$D$60:$EQ$104,$B40,14)*DO40=1,IF(AND($E40=2,JD40=0),1000000,IF($I40&gt;0,IF(1=$J40,IF(OR(AND(14=$I40+1,OR($K40&lt;&gt;'計算A'!$A$3,'計算A'!$A$4=0)),AND(14=$I40-1,OR(14&lt;&gt;'計算A'!$A$3,'計算A'!$A$4=0))),0,IF(14=$K40,200000,ABS(14-$K40)*100)),100000+ABS(1-$J40)*1000+140)+'計算A'!Q$5*50+IF(AND($E40=1,JD40=0),25,0),IF($F40&gt;0,INDEX('計算A'!Q$110:Q$114,$F40+1)+IF(AND($E40=1,JD40=0),1000,0),MIN(TU40,20)*400+(IF('計算A'!P$106=1,1-DN40,0)+IF('計算A'!Q$106=1,1-DP40,0))*150+141+'計算A'!Q$5*100000+IF(AND($E40=1,JD40=0),50000,0))+IF($H40=1,(IF('計算A'!P$117=1,INDEX('計算A'!P$10:P$54,$B40),0)+IF('計算A'!Q$117=1,INDEX('計算A'!R$10:R$54,$B40),0))*4000,0)-IF(AND('計算A'!P$117=1,UN40&gt;0),2000,0)-IF(AND($L40=1,'計算A'!Q$117=1,DP40=0),2000,0))),1000000))</f>
        <v/>
      </c>
      <c r="OT40">
        <f>IF($B40=0,1000000,IF(INDEX('計算A'!$D$60:$EQ$104,$B40,15)*DP40=1,IF(AND($E40=2,JE40=0),1000000,IF($I40&gt;0,IF(1=$J40,IF(OR(AND(15=$I40+1,OR($K40&lt;&gt;'計算A'!$A$3,'計算A'!$A$4=0)),AND(15=$I40-1,OR(15&lt;&gt;'計算A'!$A$3,'計算A'!$A$4=0))),0,IF(15=$K40,200000,ABS(15-$K40)*100)),100000+ABS(1-$J40)*1000+150)+'計算A'!R$5*50+IF(AND($E40=1,JE40=0),25,0),IF($F40&gt;0,INDEX('計算A'!R$110:R$114,$F40+1)+IF(AND($E40=1,JE40=0),1000,0),MIN(TU40,20)*400+(IF('計算A'!Q$106=1,1-DO40,0)+IF('計算A'!R$106=1,1-DQ40,0))*150+151+'計算A'!R$5*100000+IF(AND($E40=1,JE40=0),50000,0))+IF($H40=1,(IF('計算A'!Q$117=1,INDEX('計算A'!Q$10:Q$54,$B40),0)+IF('計算A'!R$117=1,INDEX('計算A'!S$10:S$54,$B40),0))*4000,0)-IF(AND('計算A'!Q$117=1,UO40&gt;0),2000,0)-IF(AND($L40=1,'計算A'!R$117=1,DQ40=0),2000,0))),1000000))</f>
        <v/>
      </c>
      <c r="OU40">
        <f>IF($B40=0,1000000,IF(INDEX('計算A'!$D$60:$EQ$104,$B40,16)*DQ40=1,IF(AND($E40=2,JF40=0),1000000,IF($I40&gt;0,IF(1=$J40,IF(OR(AND(16=$I40+1,OR($K40&lt;&gt;'計算A'!$A$3,'計算A'!$A$4=0)),AND(16=$I40-1,OR(16&lt;&gt;'計算A'!$A$3,'計算A'!$A$4=0))),0,IF(16=$K40,200000,ABS(16-$K40)*100)),100000+ABS(1-$J40)*1000+160)+'計算A'!S$5*50+IF(AND($E40=1,JF40=0),25,0),IF($F40&gt;0,INDEX('計算A'!S$110:S$114,$F40+1)+IF(AND($E40=1,JF40=0),1000,0),MIN(TU40,20)*400+(IF('計算A'!R$106=1,1-DP40,0)+IF('計算A'!S$106=1,1-DR40,0))*150+161+'計算A'!S$5*100000+IF(AND($E40=1,JF40=0),50000,0))+IF($H40=1,(IF('計算A'!R$117=1,INDEX('計算A'!R$10:R$54,$B40),0)+IF('計算A'!S$117=1,INDEX('計算A'!T$10:T$54,$B40),0))*4000,0)-IF(AND('計算A'!R$117=1,UP40&gt;0),2000,0)-IF(AND($L40=1,'計算A'!S$117=1,DR40=0),2000,0))),1000000))</f>
        <v/>
      </c>
      <c r="OV40">
        <f>IF($B40=0,1000000,IF(INDEX('計算A'!$D$60:$EQ$104,$B40,17)*DR40=1,IF(AND($E40=2,JG40=0),1000000,IF($I40&gt;0,IF(1=$J40,IF(OR(AND(17=$I40+1,OR($K40&lt;&gt;'計算A'!$A$3,'計算A'!$A$4=0)),AND(17=$I40-1,OR(17&lt;&gt;'計算A'!$A$3,'計算A'!$A$4=0))),0,IF(17=$K40,200000,ABS(17-$K40)*100)),100000+ABS(1-$J40)*1000+170)+'計算A'!T$5*50+IF(AND($E40=1,JG40=0),25,0),IF($F40&gt;0,INDEX('計算A'!T$110:T$114,$F40+1)+IF(AND($E40=1,JG40=0),1000,0),MIN(TU40,20)*400+(IF('計算A'!S$106=1,1-DQ40,0)+IF('計算A'!T$106=1,1-DS40,0))*150+171+'計算A'!T$5*100000+IF(AND($E40=1,JG40=0),50000,0))+IF($H40=1,(IF('計算A'!S$117=1,INDEX('計算A'!S$10:S$54,$B40),0)+IF('計算A'!T$117=1,INDEX('計算A'!U$10:U$54,$B40),0))*4000,0)-IF(AND('計算A'!S$117=1,UQ40&gt;0),2000,0)-IF(AND($L40=1,'計算A'!T$117=1,DS40=0),2000,0))),1000000))</f>
        <v/>
      </c>
      <c r="OW40">
        <f>IF($B40=0,1000000,IF(INDEX('計算A'!$D$60:$EQ$104,$B40,18)*DS40=1,IF(AND($E40=2,JH40=0),1000000,IF($I40&gt;0,IF(1=$J40,IF(OR(AND(18=$I40+1,OR($K40&lt;&gt;'計算A'!$A$3,'計算A'!$A$4=0)),AND(18=$I40-1,OR(18&lt;&gt;'計算A'!$A$3,'計算A'!$A$4=0))),0,IF(18=$K40,200000,ABS(18-$K40)*100)),100000+ABS(1-$J40)*1000+180)+'計算A'!U$5*50+IF(AND($E40=1,JH40=0),25,0),IF($F40&gt;0,INDEX('計算A'!U$110:U$114,$F40+1)+IF(AND($E40=1,JH40=0),1000,0),MIN(TU40,20)*400+(IF('計算A'!T$106=1,1-DR40,0)+IF('計算A'!U$106=1,1-DT40,0))*150+181+'計算A'!U$5*100000+IF(AND($E40=1,JH40=0),50000,0))+IF($H40=1,(IF('計算A'!T$117=1,INDEX('計算A'!T$10:T$54,$B40),0)+IF('計算A'!U$117=1,INDEX('計算A'!V$10:V$54,$B40),0))*4000,0)-IF(AND('計算A'!T$117=1,UR40&gt;0),2000,0)-IF(AND($L40=1,'計算A'!U$117=1,DT40=0),2000,0))),1000000))</f>
        <v/>
      </c>
      <c r="OX40">
        <f>IF($B40=0,1000000,IF(INDEX('計算A'!$D$60:$EQ$104,$B40,19)*DT40=1,IF(AND($E40=2,JI40=0),1000000,IF($I40&gt;0,IF(1=$J40,IF(OR(AND(19=$I40+1,OR($K40&lt;&gt;'計算A'!$A$3,'計算A'!$A$4=0)),AND(19=$I40-1,OR(19&lt;&gt;'計算A'!$A$3,'計算A'!$A$4=0))),0,IF(19=$K40,200000,ABS(19-$K40)*100)),100000+ABS(1-$J40)*1000+190)+'計算A'!V$5*50+IF(AND($E40=1,JI40=0),25,0),IF($F40&gt;0,INDEX('計算A'!V$110:V$114,$F40+1)+IF(AND($E40=1,JI40=0),1000,0),MIN(TU40,20)*400+(IF('計算A'!U$106=1,1-DS40,0)+IF('計算A'!V$106=1,1-DU40,0))*150+191+'計算A'!V$5*100000+IF(AND($E40=1,JI40=0),50000,0))+IF($H40=1,(IF('計算A'!U$117=1,INDEX('計算A'!U$10:U$54,$B40),0)+IF('計算A'!V$117=1,INDEX('計算A'!W$10:W$54,$B40),0))*4000,0)-IF(AND('計算A'!U$117=1,US40&gt;0),2000,0)-IF(AND($L40=1,'計算A'!V$117=1,DU40=0),2000,0))),1000000))</f>
        <v/>
      </c>
      <c r="OY40">
        <f>IF($B40=0,1000000,IF(INDEX('計算A'!$D$60:$EQ$104,$B40,20)*DU40=1,IF(AND($E40=2,JJ40=0),1000000,IF($I40&gt;0,IF(1=$J40,IF(OR(AND(20=$I40+1,OR($K40&lt;&gt;'計算A'!$A$3,'計算A'!$A$4=0)),AND(20=$I40-1,OR(20&lt;&gt;'計算A'!$A$3,'計算A'!$A$4=0))),0,IF(20=$K40,200000,ABS(20-$K40)*100)),100000+ABS(1-$J40)*1000+200)+'計算A'!W$5*50+IF(AND($E40=1,JJ40=0),25,0),IF($F40&gt;0,INDEX('計算A'!W$110:W$114,$F40+1)+IF(AND($E40=1,JJ40=0),1000,0),MIN(TU40,20)*400+(IF('計算A'!V$106=1,1-DT40,0)+IF('計算A'!W$106=1,1-DV40,0))*150+201+'計算A'!W$5*100000+IF(AND($E40=1,JJ40=0),50000,0))+IF($H40=1,(IF('計算A'!V$117=1,INDEX('計算A'!V$10:V$54,$B40),0)+IF('計算A'!W$117=1,INDEX('計算A'!X$10:X$54,$B40),0))*4000,0)-IF(AND('計算A'!V$117=1,UT40&gt;0),2000,0)-IF(AND($L40=1,'計算A'!W$117=1,DV40=0),2000,0))),1000000))</f>
        <v/>
      </c>
      <c r="OZ40">
        <f>IF($B40=0,1000000,IF(INDEX('計算A'!$D$60:$EQ$104,$B40,21)*DV40=1,IF(AND($E40=2,JK40=0),1000000,IF($I40&gt;0,IF(1=$J40,IF(OR(AND(21=$I40+1,OR($K40&lt;&gt;'計算A'!$A$3,'計算A'!$A$4=0)),AND(21=$I40-1,OR(21&lt;&gt;'計算A'!$A$3,'計算A'!$A$4=0))),0,IF(21=$K40,200000,ABS(21-$K40)*100)),100000+ABS(1-$J40)*1000+210)+'計算A'!X$5*50+IF(AND($E40=1,JK40=0),25,0),IF($F40&gt;0,INDEX('計算A'!X$110:X$114,$F40+1)+IF(AND($E40=1,JK40=0),1000,0),MIN(TU40,20)*400+(IF('計算A'!W$106=1,1-DU40,0)+IF('計算A'!X$106=1,1-DW40,0))*150+211+'計算A'!X$5*100000+IF(AND($E40=1,JK40=0),50000,0))+IF($H40=1,(IF('計算A'!W$117=1,INDEX('計算A'!W$10:W$54,$B40),0)+IF('計算A'!X$117=1,INDEX('計算A'!Y$10:Y$54,$B40),0))*4000,0)-IF(AND('計算A'!W$117=1,UU40&gt;0),2000,0)-IF(AND($L40=1,'計算A'!X$117=1,DW40=0),2000,0))),1000000))</f>
        <v/>
      </c>
      <c r="PA40">
        <f>IF($B40=0,1000000,IF(INDEX('計算A'!$D$60:$EQ$104,$B40,22)*DW40=1,IF(AND($E40=2,JL40=0),1000000,IF($I40&gt;0,IF(1=$J40,IF(OR(AND(22=$I40+1,OR($K40&lt;&gt;'計算A'!$A$3,'計算A'!$A$4=0)),AND(22=$I40-1,OR(22&lt;&gt;'計算A'!$A$3,'計算A'!$A$4=0))),0,IF(22=$K40,200000,ABS(22-$K40)*100)),100000+ABS(1-$J40)*1000+220)+'計算A'!Y$5*50+IF(AND($E40=1,JL40=0),25,0),IF($F40&gt;0,INDEX('計算A'!Y$110:Y$114,$F40+1)+IF(AND($E40=1,JL40=0),1000,0),MIN(TU40,20)*400+(IF('計算A'!X$106=1,1-DV40,0)+IF('計算A'!Y$106=1,1-DX40,0))*150+221+'計算A'!Y$5*100000+IF(AND($E40=1,JL40=0),50000,0))+IF($H40=1,(IF('計算A'!X$117=1,INDEX('計算A'!X$10:X$54,$B40),0)+IF('計算A'!Y$117=1,INDEX('計算A'!Z$10:Z$54,$B40),0))*4000,0)-IF(AND('計算A'!X$117=1,UV40&gt;0),2000,0)-IF(AND($L40=1,'計算A'!Y$117=1,DX40=0),2000,0))),1000000))</f>
        <v/>
      </c>
      <c r="PB40">
        <f>IF($B40=0,1000000,IF(INDEX('計算A'!$D$60:$EQ$104,$B40,23)*DX40=1,IF(AND($E40=2,JM40=0),1000000,IF($I40&gt;0,IF(1=$J40,IF(OR(AND(23=$I40+1,OR($K40&lt;&gt;'計算A'!$A$3,'計算A'!$A$4=0)),AND(23=$I40-1,OR(23&lt;&gt;'計算A'!$A$3,'計算A'!$A$4=0))),0,IF(23=$K40,200000,ABS(23-$K40)*100)),100000+ABS(1-$J40)*1000+230)+'計算A'!Z$5*50+IF(AND($E40=1,JM40=0),25,0),IF($F40&gt;0,INDEX('計算A'!Z$110:Z$114,$F40+1)+IF(AND($E40=1,JM40=0),1000,0),MIN(TU40,20)*400+(IF('計算A'!Y$106=1,1-DW40,0)+IF('計算A'!Z$106=1,1-DY40,0))*150+231+'計算A'!Z$5*100000+IF(AND($E40=1,JM40=0),50000,0))+IF($H40=1,(IF('計算A'!Y$117=1,INDEX('計算A'!Y$10:Y$54,$B40),0)+IF('計算A'!Z$117=1,INDEX('計算A'!AA$10:AA$54,$B40),0))*4000,0)-IF(AND('計算A'!Y$117=1,UW40&gt;0),2000,0)-IF(AND($L40=1,'計算A'!Z$117=1,DY40=0),2000,0))),1000000))</f>
        <v/>
      </c>
      <c r="PC40">
        <f>IF($B40=0,1000000,IF(INDEX('計算A'!$D$60:$EQ$104,$B40,24)*DY40=1,IF(AND($E40=2,JN40=0),1000000,IF($I40&gt;0,IF(1=$J40,IF(OR(AND(24=$I40+1,OR($K40&lt;&gt;'計算A'!$A$3,'計算A'!$A$4=0)),AND(24=$I40-1,OR(24&lt;&gt;'計算A'!$A$3,'計算A'!$A$4=0))),0,IF(24=$K40,200000,ABS(24-$K40)*100)),100000+ABS(1-$J40)*1000+240)+'計算A'!AA$5*50+IF(AND($E40=1,JN40=0),25,0),IF($F40&gt;0,INDEX('計算A'!AA$110:AA$114,$F40+1)+IF(AND($E40=1,JN40=0),1000,0),MIN(TU40,20)*400+(IF('計算A'!Z$106=1,1-DX40,0))*150+241+'計算A'!AA$5*100000+IF(AND($E40=1,JN40=0),50000,0))+IF($H40=1,(IF('計算A'!Z$117=1,INDEX('計算A'!Z$10:Z$54,$B40),0))*4000,0)-IF(AND('計算A'!Z$117=1,UX40&gt;0),2000,0))),1000000))</f>
        <v/>
      </c>
      <c r="PD40">
        <f>IF($B40=0,1000000,IF(INDEX('計算A'!$D$60:$EQ$104,$B40,25)*DZ40=1,IF(AND($E40=2,JO40=0),1000000,IF($I40&gt;0,IF(2=$J40,IF(OR(AND(25=$I40+1,OR($K40&lt;&gt;'計算A'!$A$3,'計算A'!$A$4=0)),AND(25=$I40-1,OR(1&lt;&gt;'計算A'!$A$3,'計算A'!$A$4=0))),0,IF(1=$K40,200000,ABS(1-$K40)*100)),100000+ABS(2-$J40)*1000+10)+'計算A'!AB$5*50+IF(AND($E40=1,JO40=0),25,0),IF($F40&gt;0,INDEX('計算A'!AB$110:AB$114,$F40+1)+IF(AND($E40=1,JO40=0),1000,0),MIN(TV40,20)*400+(IF('計算A'!AB$106=1,1-EA40,0))*150+12+'計算A'!AB$5*100000+IF(AND($E40=1,JO40=0),50000,0))+IF($H40=1,(IF('計算A'!AB$117=1,INDEX('計算A'!AC$10:AC$54,$B40),0))*4000,0)-IF(AND($L40=1,'計算A'!AB$117=1,EA40=0),2000,0))),1000000))</f>
        <v/>
      </c>
      <c r="PE40">
        <f>IF($B40=0,1000000,IF(INDEX('計算A'!$D$60:$EQ$104,$B40,26)*EA40=1,IF(AND($E40=2,JP40=0),1000000,IF($I40&gt;0,IF(2=$J40,IF(OR(AND(26=$I40+1,OR($K40&lt;&gt;'計算A'!$A$3,'計算A'!$A$4=0)),AND(26=$I40-1,OR(2&lt;&gt;'計算A'!$A$3,'計算A'!$A$4=0))),0,IF(2=$K40,200000,ABS(2-$K40)*100)),100000+ABS(2-$J40)*1000+20)+'計算A'!AC$5*50+IF(AND($E40=1,JP40=0),25,0),IF($F40&gt;0,INDEX('計算A'!AC$110:AC$114,$F40+1)+IF(AND($E40=1,JP40=0),1000,0),MIN(TV40,20)*400+(IF('計算A'!AB$106=1,1-DZ40,0)+IF('計算A'!AC$106=1,1-EB40,0))*150+22+'計算A'!AC$5*100000+IF(AND($E40=1,JP40=0),50000,0))+IF($H40=1,(IF('計算A'!AB$117=1,INDEX('計算A'!AB$10:AB$54,$B40),0)+IF('計算A'!AC$117=1,INDEX('計算A'!AD$10:AD$54,$B40),0))*4000,0)-IF(AND('計算A'!AB$117=1,UZ40&gt;0),2000,0)-IF(AND($L40=1,'計算A'!AC$117=1,EB40=0),2000,0))),1000000))</f>
        <v/>
      </c>
      <c r="PF40">
        <f>IF($B40=0,1000000,IF(INDEX('計算A'!$D$60:$EQ$104,$B40,27)*EB40=1,IF(AND($E40=2,JQ40=0),1000000,IF($I40&gt;0,IF(2=$J40,IF(OR(AND(27=$I40+1,OR($K40&lt;&gt;'計算A'!$A$3,'計算A'!$A$4=0)),AND(27=$I40-1,OR(3&lt;&gt;'計算A'!$A$3,'計算A'!$A$4=0))),0,IF(3=$K40,200000,ABS(3-$K40)*100)),100000+ABS(2-$J40)*1000+30)+'計算A'!AD$5*50+IF(AND($E40=1,JQ40=0),25,0),IF($F40&gt;0,INDEX('計算A'!AD$110:AD$114,$F40+1)+IF(AND($E40=1,JQ40=0),1000,0),MIN(TV40,20)*400+(IF('計算A'!AC$106=1,1-EA40,0)+IF('計算A'!AD$106=1,1-EC40,0))*150+32+'計算A'!AD$5*100000+IF(AND($E40=1,JQ40=0),50000,0))+IF($H40=1,(IF('計算A'!AC$117=1,INDEX('計算A'!AC$10:AC$54,$B40),0)+IF('計算A'!AD$117=1,INDEX('計算A'!AE$10:AE$54,$B40),0))*4000,0)-IF(AND('計算A'!AC$117=1,VA40&gt;0),2000,0)-IF(AND($L40=1,'計算A'!AD$117=1,EC40=0),2000,0))),1000000))</f>
        <v/>
      </c>
      <c r="PG40">
        <f>IF($B40=0,1000000,IF(INDEX('計算A'!$D$60:$EQ$104,$B40,28)*EC40=1,IF(AND($E40=2,JR40=0),1000000,IF($I40&gt;0,IF(2=$J40,IF(OR(AND(28=$I40+1,OR($K40&lt;&gt;'計算A'!$A$3,'計算A'!$A$4=0)),AND(28=$I40-1,OR(4&lt;&gt;'計算A'!$A$3,'計算A'!$A$4=0))),0,IF(4=$K40,200000,ABS(4-$K40)*100)),100000+ABS(2-$J40)*1000+40)+'計算A'!AE$5*50+IF(AND($E40=1,JR40=0),25,0),IF($F40&gt;0,INDEX('計算A'!AE$110:AE$114,$F40+1)+IF(AND($E40=1,JR40=0),1000,0),MIN(TV40,20)*400+(IF('計算A'!AD$106=1,1-EB40,0)+IF('計算A'!AE$106=1,1-ED40,0))*150+42+'計算A'!AE$5*100000+IF(AND($E40=1,JR40=0),50000,0))+IF($H40=1,(IF('計算A'!AD$117=1,INDEX('計算A'!AD$10:AD$54,$B40),0)+IF('計算A'!AE$117=1,INDEX('計算A'!AF$10:AF$54,$B40),0))*4000,0)-IF(AND('計算A'!AD$117=1,VB40&gt;0),2000,0)-IF(AND($L40=1,'計算A'!AE$117=1,ED40=0),2000,0))),1000000))</f>
        <v/>
      </c>
      <c r="PH40">
        <f>IF($B40=0,1000000,IF(INDEX('計算A'!$D$60:$EQ$104,$B40,29)*ED40=1,IF(AND($E40=2,JS40=0),1000000,IF($I40&gt;0,IF(2=$J40,IF(OR(AND(29=$I40+1,OR($K40&lt;&gt;'計算A'!$A$3,'計算A'!$A$4=0)),AND(29=$I40-1,OR(5&lt;&gt;'計算A'!$A$3,'計算A'!$A$4=0))),0,IF(5=$K40,200000,ABS(5-$K40)*100)),100000+ABS(2-$J40)*1000+50)+'計算A'!AF$5*50+IF(AND($E40=1,JS40=0),25,0),IF($F40&gt;0,INDEX('計算A'!AF$110:AF$114,$F40+1)+IF(AND($E40=1,JS40=0),1000,0),MIN(TV40,20)*400+(IF('計算A'!AE$106=1,1-EC40,0)+IF('計算A'!AF$106=1,1-EE40,0))*150+52+'計算A'!AF$5*100000+IF(AND($E40=1,JS40=0),50000,0))+IF($H40=1,(IF('計算A'!AE$117=1,INDEX('計算A'!AE$10:AE$54,$B40),0)+IF('計算A'!AF$117=1,INDEX('計算A'!AG$10:AG$54,$B40),0))*4000,0)-IF(AND('計算A'!AE$117=1,VC40&gt;0),2000,0)-IF(AND($L40=1,'計算A'!AF$117=1,EE40=0),2000,0))),1000000))</f>
        <v/>
      </c>
      <c r="PI40">
        <f>IF($B40=0,1000000,IF(INDEX('計算A'!$D$60:$EQ$104,$B40,30)*EE40=1,IF(AND($E40=2,JT40=0),1000000,IF($I40&gt;0,IF(2=$J40,IF(OR(AND(30=$I40+1,OR($K40&lt;&gt;'計算A'!$A$3,'計算A'!$A$4=0)),AND(30=$I40-1,OR(6&lt;&gt;'計算A'!$A$3,'計算A'!$A$4=0))),0,IF(6=$K40,200000,ABS(6-$K40)*100)),100000+ABS(2-$J40)*1000+60)+'計算A'!AG$5*50+IF(AND($E40=1,JT40=0),25,0),IF($F40&gt;0,INDEX('計算A'!AG$110:AG$114,$F40+1)+IF(AND($E40=1,JT40=0),1000,0),MIN(TV40,20)*400+(IF('計算A'!AF$106=1,1-ED40,0)+IF('計算A'!AG$106=1,1-EF40,0))*150+62+'計算A'!AG$5*100000+IF(AND($E40=1,JT40=0),50000,0))+IF($H40=1,(IF('計算A'!AF$117=1,INDEX('計算A'!AF$10:AF$54,$B40),0)+IF('計算A'!AG$117=1,INDEX('計算A'!AH$10:AH$54,$B40),0))*4000,0)-IF(AND('計算A'!AF$117=1,VD40&gt;0),2000,0)-IF(AND($L40=1,'計算A'!AG$117=1,EF40=0),2000,0))),1000000))</f>
        <v/>
      </c>
      <c r="PJ40">
        <f>IF($B40=0,1000000,IF(INDEX('計算A'!$D$60:$EQ$104,$B40,31)*EF40=1,IF(AND($E40=2,JU40=0),1000000,IF($I40&gt;0,IF(2=$J40,IF(OR(AND(31=$I40+1,OR($K40&lt;&gt;'計算A'!$A$3,'計算A'!$A$4=0)),AND(31=$I40-1,OR(7&lt;&gt;'計算A'!$A$3,'計算A'!$A$4=0))),0,IF(7=$K40,200000,ABS(7-$K40)*100)),100000+ABS(2-$J40)*1000+70)+'計算A'!AH$5*50+IF(AND($E40=1,JU40=0),25,0),IF($F40&gt;0,INDEX('計算A'!AH$110:AH$114,$F40+1)+IF(AND($E40=1,JU40=0),1000,0),MIN(TV40,20)*400+(IF('計算A'!AG$106=1,1-EE40,0)+IF('計算A'!AH$106=1,1-EG40,0))*150+72+'計算A'!AH$5*100000+IF(AND($E40=1,JU40=0),50000,0))+IF($H40=1,(IF('計算A'!AG$117=1,INDEX('計算A'!AG$10:AG$54,$B40),0)+IF('計算A'!AH$117=1,INDEX('計算A'!AI$10:AI$54,$B40),0))*4000,0)-IF(AND('計算A'!AG$117=1,VE40&gt;0),2000,0)-IF(AND($L40=1,'計算A'!AH$117=1,EG40=0),2000,0))),1000000))</f>
        <v/>
      </c>
      <c r="PK40">
        <f>IF($B40=0,1000000,IF(INDEX('計算A'!$D$60:$EQ$104,$B40,32)*EG40=1,IF(AND($E40=2,JV40=0),1000000,IF($I40&gt;0,IF(2=$J40,IF(OR(AND(32=$I40+1,OR($K40&lt;&gt;'計算A'!$A$3,'計算A'!$A$4=0)),AND(32=$I40-1,OR(8&lt;&gt;'計算A'!$A$3,'計算A'!$A$4=0))),0,IF(8=$K40,200000,ABS(8-$K40)*100)),100000+ABS(2-$J40)*1000+80)+'計算A'!AI$5*50+IF(AND($E40=1,JV40=0),25,0),IF($F40&gt;0,INDEX('計算A'!AI$110:AI$114,$F40+1)+IF(AND($E40=1,JV40=0),1000,0),MIN(TV40,20)*400+(IF('計算A'!AH$106=1,1-EF40,0)+IF('計算A'!AI$106=1,1-EH40,0))*150+82+'計算A'!AI$5*100000+IF(AND($E40=1,JV40=0),50000,0))+IF($H40=1,(IF('計算A'!AH$117=1,INDEX('計算A'!AH$10:AH$54,$B40),0)+IF('計算A'!AI$117=1,INDEX('計算A'!AJ$10:AJ$54,$B40),0))*4000,0)-IF(AND('計算A'!AH$117=1,VF40&gt;0),2000,0)-IF(AND($L40=1,'計算A'!AI$117=1,EH40=0),2000,0))),1000000))</f>
        <v/>
      </c>
      <c r="PL40">
        <f>IF($B40=0,1000000,IF(INDEX('計算A'!$D$60:$EQ$104,$B40,33)*EH40=1,IF(AND($E40=2,JW40=0),1000000,IF($I40&gt;0,IF(2=$J40,IF(OR(AND(33=$I40+1,OR($K40&lt;&gt;'計算A'!$A$3,'計算A'!$A$4=0)),AND(33=$I40-1,OR(9&lt;&gt;'計算A'!$A$3,'計算A'!$A$4=0))),0,IF(9=$K40,200000,ABS(9-$K40)*100)),100000+ABS(2-$J40)*1000+90)+'計算A'!AJ$5*50+IF(AND($E40=1,JW40=0),25,0),IF($F40&gt;0,INDEX('計算A'!AJ$110:AJ$114,$F40+1)+IF(AND($E40=1,JW40=0),1000,0),MIN(TV40,20)*400+(IF('計算A'!AI$106=1,1-EG40,0)+IF('計算A'!AJ$106=1,1-EI40,0))*150+92+'計算A'!AJ$5*100000+IF(AND($E40=1,JW40=0),50000,0))+IF($H40=1,(IF('計算A'!AI$117=1,INDEX('計算A'!AI$10:AI$54,$B40),0)+IF('計算A'!AJ$117=1,INDEX('計算A'!AK$10:AK$54,$B40),0))*4000,0)-IF(AND('計算A'!AI$117=1,VG40&gt;0),2000,0)-IF(AND($L40=1,'計算A'!AJ$117=1,EI40=0),2000,0))),1000000))</f>
        <v/>
      </c>
      <c r="PM40">
        <f>IF($B40=0,1000000,IF(INDEX('計算A'!$D$60:$EQ$104,$B40,34)*EI40=1,IF(AND($E40=2,JX40=0),1000000,IF($I40&gt;0,IF(2=$J40,IF(OR(AND(34=$I40+1,OR($K40&lt;&gt;'計算A'!$A$3,'計算A'!$A$4=0)),AND(34=$I40-1,OR(10&lt;&gt;'計算A'!$A$3,'計算A'!$A$4=0))),0,IF(10=$K40,200000,ABS(10-$K40)*100)),100000+ABS(2-$J40)*1000+100)+'計算A'!AK$5*50+IF(AND($E40=1,JX40=0),25,0),IF($F40&gt;0,INDEX('計算A'!AK$110:AK$114,$F40+1)+IF(AND($E40=1,JX40=0),1000,0),MIN(TV40,20)*400+(IF('計算A'!AJ$106=1,1-EH40,0)+IF('計算A'!AK$106=1,1-EJ40,0))*150+102+'計算A'!AK$5*100000+IF(AND($E40=1,JX40=0),50000,0))+IF($H40=1,(IF('計算A'!AJ$117=1,INDEX('計算A'!AJ$10:AJ$54,$B40),0)+IF('計算A'!AK$117=1,INDEX('計算A'!AL$10:AL$54,$B40),0))*4000,0)-IF(AND('計算A'!AJ$117=1,VH40&gt;0),2000,0)-IF(AND($L40=1,'計算A'!AK$117=1,EJ40=0),2000,0))),1000000))</f>
        <v/>
      </c>
      <c r="PN40">
        <f>IF($B40=0,1000000,IF(INDEX('計算A'!$D$60:$EQ$104,$B40,35)*EJ40=1,IF(AND($E40=2,JY40=0),1000000,IF($I40&gt;0,IF(2=$J40,IF(OR(AND(35=$I40+1,OR($K40&lt;&gt;'計算A'!$A$3,'計算A'!$A$4=0)),AND(35=$I40-1,OR(11&lt;&gt;'計算A'!$A$3,'計算A'!$A$4=0))),0,IF(11=$K40,200000,ABS(11-$K40)*100)),100000+ABS(2-$J40)*1000+110)+'計算A'!AL$5*50+IF(AND($E40=1,JY40=0),25,0),IF($F40&gt;0,INDEX('計算A'!AL$110:AL$114,$F40+1)+IF(AND($E40=1,JY40=0),1000,0),MIN(TV40,20)*400+(IF('計算A'!AK$106=1,1-EI40,0)+IF('計算A'!AL$106=1,1-EK40,0))*150+112+'計算A'!AL$5*100000+IF(AND($E40=1,JY40=0),50000,0))+IF($H40=1,(IF('計算A'!AK$117=1,INDEX('計算A'!AK$10:AK$54,$B40),0)+IF('計算A'!AL$117=1,INDEX('計算A'!AM$10:AM$54,$B40),0))*4000,0)-IF(AND('計算A'!AK$117=1,VI40&gt;0),2000,0)-IF(AND($L40=1,'計算A'!AL$117=1,EK40=0),2000,0))),1000000))</f>
        <v/>
      </c>
      <c r="PO40">
        <f>IF($B40=0,1000000,IF(INDEX('計算A'!$D$60:$EQ$104,$B40,36)*EK40=1,IF(AND($E40=2,JZ40=0),1000000,IF($I40&gt;0,IF(2=$J40,IF(OR(AND(36=$I40+1,OR($K40&lt;&gt;'計算A'!$A$3,'計算A'!$A$4=0)),AND(36=$I40-1,OR(12&lt;&gt;'計算A'!$A$3,'計算A'!$A$4=0))),0,IF(12=$K40,200000,ABS(12-$K40)*100)),100000+ABS(2-$J40)*1000+120)+'計算A'!AM$5*50+IF(AND($E40=1,JZ40=0),25,0),IF($F40&gt;0,INDEX('計算A'!AM$110:AM$114,$F40+1)+IF(AND($E40=1,JZ40=0),1000,0),MIN(TV40,20)*400+(IF('計算A'!AL$106=1,1-EJ40,0)+IF('計算A'!AM$106=1,1-EL40,0))*150+122+'計算A'!AM$5*100000+IF(AND($E40=1,JZ40=0),50000,0))+IF($H40=1,(IF('計算A'!AL$117=1,INDEX('計算A'!AL$10:AL$54,$B40),0)+IF('計算A'!AM$117=1,INDEX('計算A'!AN$10:AN$54,$B40),0))*4000,0)-IF(AND('計算A'!AL$117=1,VJ40&gt;0),2000,0)-IF(AND($L40=1,'計算A'!AM$117=1,EL40=0),2000,0))),1000000))</f>
        <v/>
      </c>
      <c r="PP40">
        <f>IF($B40=0,1000000,IF(INDEX('計算A'!$D$60:$EQ$104,$B40,37)*EL40=1,IF(AND($E40=2,KA40=0),1000000,IF($I40&gt;0,IF(2=$J40,IF(OR(AND(37=$I40+1,OR($K40&lt;&gt;'計算A'!$A$3,'計算A'!$A$4=0)),AND(37=$I40-1,OR(13&lt;&gt;'計算A'!$A$3,'計算A'!$A$4=0))),0,IF(13=$K40,200000,ABS(13-$K40)*100)),100000+ABS(2-$J40)*1000+130)+'計算A'!AN$5*50+IF(AND($E40=1,KA40=0),25,0),IF($F40&gt;0,INDEX('計算A'!AN$110:AN$114,$F40+1)+IF(AND($E40=1,KA40=0),1000,0),MIN(TV40,20)*400+(IF('計算A'!AM$106=1,1-EK40,0)+IF('計算A'!AN$106=1,1-EM40,0))*150+132+'計算A'!AN$5*100000+IF(AND($E40=1,KA40=0),50000,0))+IF($H40=1,(IF('計算A'!AM$117=1,INDEX('計算A'!AM$10:AM$54,$B40),0)+IF('計算A'!AN$117=1,INDEX('計算A'!AO$10:AO$54,$B40),0))*4000,0)-IF(AND('計算A'!AM$117=1,VK40&gt;0),2000,0)-IF(AND($L40=1,'計算A'!AN$117=1,EM40=0),2000,0))),1000000))</f>
        <v/>
      </c>
      <c r="PQ40">
        <f>IF($B40=0,1000000,IF(INDEX('計算A'!$D$60:$EQ$104,$B40,38)*EM40=1,IF(AND($E40=2,KB40=0),1000000,IF($I40&gt;0,IF(2=$J40,IF(OR(AND(38=$I40+1,OR($K40&lt;&gt;'計算A'!$A$3,'計算A'!$A$4=0)),AND(38=$I40-1,OR(14&lt;&gt;'計算A'!$A$3,'計算A'!$A$4=0))),0,IF(14=$K40,200000,ABS(14-$K40)*100)),100000+ABS(2-$J40)*1000+140)+'計算A'!AO$5*50+IF(AND($E40=1,KB40=0),25,0),IF($F40&gt;0,INDEX('計算A'!AO$110:AO$114,$F40+1)+IF(AND($E40=1,KB40=0),1000,0),MIN(TV40,20)*400+(IF('計算A'!AN$106=1,1-EL40,0)+IF('計算A'!AO$106=1,1-EN40,0))*150+142+'計算A'!AO$5*100000+IF(AND($E40=1,KB40=0),50000,0))+IF($H40=1,(IF('計算A'!AN$117=1,INDEX('計算A'!AN$10:AN$54,$B40),0)+IF('計算A'!AO$117=1,INDEX('計算A'!AP$10:AP$54,$B40),0))*4000,0)-IF(AND('計算A'!AN$117=1,VL40&gt;0),2000,0)-IF(AND($L40=1,'計算A'!AO$117=1,EN40=0),2000,0))),1000000))</f>
        <v/>
      </c>
      <c r="PR40">
        <f>IF($B40=0,1000000,IF(INDEX('計算A'!$D$60:$EQ$104,$B40,39)*EN40=1,IF(AND($E40=2,KC40=0),1000000,IF($I40&gt;0,IF(2=$J40,IF(OR(AND(39=$I40+1,OR($K40&lt;&gt;'計算A'!$A$3,'計算A'!$A$4=0)),AND(39=$I40-1,OR(15&lt;&gt;'計算A'!$A$3,'計算A'!$A$4=0))),0,IF(15=$K40,200000,ABS(15-$K40)*100)),100000+ABS(2-$J40)*1000+150)+'計算A'!AP$5*50+IF(AND($E40=1,KC40=0),25,0),IF($F40&gt;0,INDEX('計算A'!AP$110:AP$114,$F40+1)+IF(AND($E40=1,KC40=0),1000,0),MIN(TV40,20)*400+(IF('計算A'!AO$106=1,1-EM40,0)+IF('計算A'!AP$106=1,1-EO40,0))*150+152+'計算A'!AP$5*100000+IF(AND($E40=1,KC40=0),50000,0))+IF($H40=1,(IF('計算A'!AO$117=1,INDEX('計算A'!AO$10:AO$54,$B40),0)+IF('計算A'!AP$117=1,INDEX('計算A'!AQ$10:AQ$54,$B40),0))*4000,0)-IF(AND('計算A'!AO$117=1,VM40&gt;0),2000,0)-IF(AND($L40=1,'計算A'!AP$117=1,EO40=0),2000,0))),1000000))</f>
        <v/>
      </c>
      <c r="PS40">
        <f>IF($B40=0,1000000,IF(INDEX('計算A'!$D$60:$EQ$104,$B40,40)*EO40=1,IF(AND($E40=2,KD40=0),1000000,IF($I40&gt;0,IF(2=$J40,IF(OR(AND(40=$I40+1,OR($K40&lt;&gt;'計算A'!$A$3,'計算A'!$A$4=0)),AND(40=$I40-1,OR(16&lt;&gt;'計算A'!$A$3,'計算A'!$A$4=0))),0,IF(16=$K40,200000,ABS(16-$K40)*100)),100000+ABS(2-$J40)*1000+160)+'計算A'!AQ$5*50+IF(AND($E40=1,KD40=0),25,0),IF($F40&gt;0,INDEX('計算A'!AQ$110:AQ$114,$F40+1)+IF(AND($E40=1,KD40=0),1000,0),MIN(TV40,20)*400+(IF('計算A'!AP$106=1,1-EN40,0)+IF('計算A'!AQ$106=1,1-EP40,0))*150+162+'計算A'!AQ$5*100000+IF(AND($E40=1,KD40=0),50000,0))+IF($H40=1,(IF('計算A'!AP$117=1,INDEX('計算A'!AP$10:AP$54,$B40),0)+IF('計算A'!AQ$117=1,INDEX('計算A'!AR$10:AR$54,$B40),0))*4000,0)-IF(AND('計算A'!AP$117=1,VN40&gt;0),2000,0)-IF(AND($L40=1,'計算A'!AQ$117=1,EP40=0),2000,0))),1000000))</f>
        <v/>
      </c>
      <c r="PT40">
        <f>IF($B40=0,1000000,IF(INDEX('計算A'!$D$60:$EQ$104,$B40,41)*EP40=1,IF(AND($E40=2,KE40=0),1000000,IF($I40&gt;0,IF(2=$J40,IF(OR(AND(41=$I40+1,OR($K40&lt;&gt;'計算A'!$A$3,'計算A'!$A$4=0)),AND(41=$I40-1,OR(17&lt;&gt;'計算A'!$A$3,'計算A'!$A$4=0))),0,IF(17=$K40,200000,ABS(17-$K40)*100)),100000+ABS(2-$J40)*1000+170)+'計算A'!AR$5*50+IF(AND($E40=1,KE40=0),25,0),IF($F40&gt;0,INDEX('計算A'!AR$110:AR$114,$F40+1)+IF(AND($E40=1,KE40=0),1000,0),MIN(TV40,20)*400+(IF('計算A'!AQ$106=1,1-EO40,0)+IF('計算A'!AR$106=1,1-EQ40,0))*150+172+'計算A'!AR$5*100000+IF(AND($E40=1,KE40=0),50000,0))+IF($H40=1,(IF('計算A'!AQ$117=1,INDEX('計算A'!AQ$10:AQ$54,$B40),0)+IF('計算A'!AR$117=1,INDEX('計算A'!AS$10:AS$54,$B40),0))*4000,0)-IF(AND('計算A'!AQ$117=1,VO40&gt;0),2000,0)-IF(AND($L40=1,'計算A'!AR$117=1,EQ40=0),2000,0))),1000000))</f>
        <v/>
      </c>
      <c r="PU40">
        <f>IF($B40=0,1000000,IF(INDEX('計算A'!$D$60:$EQ$104,$B40,42)*EQ40=1,IF(AND($E40=2,KF40=0),1000000,IF($I40&gt;0,IF(2=$J40,IF(OR(AND(42=$I40+1,OR($K40&lt;&gt;'計算A'!$A$3,'計算A'!$A$4=0)),AND(42=$I40-1,OR(18&lt;&gt;'計算A'!$A$3,'計算A'!$A$4=0))),0,IF(18=$K40,200000,ABS(18-$K40)*100)),100000+ABS(2-$J40)*1000+180)+'計算A'!AS$5*50+IF(AND($E40=1,KF40=0),25,0),IF($F40&gt;0,INDEX('計算A'!AS$110:AS$114,$F40+1)+IF(AND($E40=1,KF40=0),1000,0),MIN(TV40,20)*400+(IF('計算A'!AR$106=1,1-EP40,0)+IF('計算A'!AS$106=1,1-ER40,0))*150+182+'計算A'!AS$5*100000+IF(AND($E40=1,KF40=0),50000,0))+IF($H40=1,(IF('計算A'!AR$117=1,INDEX('計算A'!AR$10:AR$54,$B40),0)+IF('計算A'!AS$117=1,INDEX('計算A'!AT$10:AT$54,$B40),0))*4000,0)-IF(AND('計算A'!AR$117=1,VP40&gt;0),2000,0)-IF(AND($L40=1,'計算A'!AS$117=1,ER40=0),2000,0))),1000000))</f>
        <v/>
      </c>
      <c r="PV40">
        <f>IF($B40=0,1000000,IF(INDEX('計算A'!$D$60:$EQ$104,$B40,43)*ER40=1,IF(AND($E40=2,KG40=0),1000000,IF($I40&gt;0,IF(2=$J40,IF(OR(AND(43=$I40+1,OR($K40&lt;&gt;'計算A'!$A$3,'計算A'!$A$4=0)),AND(43=$I40-1,OR(19&lt;&gt;'計算A'!$A$3,'計算A'!$A$4=0))),0,IF(19=$K40,200000,ABS(19-$K40)*100)),100000+ABS(2-$J40)*1000+190)+'計算A'!AT$5*50+IF(AND($E40=1,KG40=0),25,0),IF($F40&gt;0,INDEX('計算A'!AT$110:AT$114,$F40+1)+IF(AND($E40=1,KG40=0),1000,0),MIN(TV40,20)*400+(IF('計算A'!AS$106=1,1-EQ40,0)+IF('計算A'!AT$106=1,1-ES40,0))*150+192+'計算A'!AT$5*100000+IF(AND($E40=1,KG40=0),50000,0))+IF($H40=1,(IF('計算A'!AS$117=1,INDEX('計算A'!AS$10:AS$54,$B40),0)+IF('計算A'!AT$117=1,INDEX('計算A'!AU$10:AU$54,$B40),0))*4000,0)-IF(AND('計算A'!AS$117=1,VQ40&gt;0),2000,0)-IF(AND($L40=1,'計算A'!AT$117=1,ES40=0),2000,0))),1000000))</f>
        <v/>
      </c>
      <c r="PW40">
        <f>IF($B40=0,1000000,IF(INDEX('計算A'!$D$60:$EQ$104,$B40,44)*ES40=1,IF(AND($E40=2,KH40=0),1000000,IF($I40&gt;0,IF(2=$J40,IF(OR(AND(44=$I40+1,OR($K40&lt;&gt;'計算A'!$A$3,'計算A'!$A$4=0)),AND(44=$I40-1,OR(20&lt;&gt;'計算A'!$A$3,'計算A'!$A$4=0))),0,IF(20=$K40,200000,ABS(20-$K40)*100)),100000+ABS(2-$J40)*1000+200)+'計算A'!AU$5*50+IF(AND($E40=1,KH40=0),25,0),IF($F40&gt;0,INDEX('計算A'!AU$110:AU$114,$F40+1)+IF(AND($E40=1,KH40=0),1000,0),MIN(TV40,20)*400+(IF('計算A'!AT$106=1,1-ER40,0)+IF('計算A'!AU$106=1,1-ET40,0))*150+202+'計算A'!AU$5*100000+IF(AND($E40=1,KH40=0),50000,0))+IF($H40=1,(IF('計算A'!AT$117=1,INDEX('計算A'!AT$10:AT$54,$B40),0)+IF('計算A'!AU$117=1,INDEX('計算A'!AV$10:AV$54,$B40),0))*4000,0)-IF(AND('計算A'!AT$117=1,VR40&gt;0),2000,0)-IF(AND($L40=1,'計算A'!AU$117=1,ET40=0),2000,0))),1000000))</f>
        <v/>
      </c>
      <c r="PX40">
        <f>IF($B40=0,1000000,IF(INDEX('計算A'!$D$60:$EQ$104,$B40,45)*ET40=1,IF(AND($E40=2,KI40=0),1000000,IF($I40&gt;0,IF(2=$J40,IF(OR(AND(45=$I40+1,OR($K40&lt;&gt;'計算A'!$A$3,'計算A'!$A$4=0)),AND(45=$I40-1,OR(21&lt;&gt;'計算A'!$A$3,'計算A'!$A$4=0))),0,IF(21=$K40,200000,ABS(21-$K40)*100)),100000+ABS(2-$J40)*1000+210)+'計算A'!AV$5*50+IF(AND($E40=1,KI40=0),25,0),IF($F40&gt;0,INDEX('計算A'!AV$110:AV$114,$F40+1)+IF(AND($E40=1,KI40=0),1000,0),MIN(TV40,20)*400+(IF('計算A'!AU$106=1,1-ES40,0)+IF('計算A'!AV$106=1,1-EU40,0))*150+212+'計算A'!AV$5*100000+IF(AND($E40=1,KI40=0),50000,0))+IF($H40=1,(IF('計算A'!AU$117=1,INDEX('計算A'!AU$10:AU$54,$B40),0)+IF('計算A'!AV$117=1,INDEX('計算A'!AW$10:AW$54,$B40),0))*4000,0)-IF(AND('計算A'!AU$117=1,VS40&gt;0),2000,0)-IF(AND($L40=1,'計算A'!AV$117=1,EU40=0),2000,0))),1000000))</f>
        <v/>
      </c>
      <c r="PY40">
        <f>IF($B40=0,1000000,IF(INDEX('計算A'!$D$60:$EQ$104,$B40,46)*EU40=1,IF(AND($E40=2,KJ40=0),1000000,IF($I40&gt;0,IF(2=$J40,IF(OR(AND(46=$I40+1,OR($K40&lt;&gt;'計算A'!$A$3,'計算A'!$A$4=0)),AND(46=$I40-1,OR(22&lt;&gt;'計算A'!$A$3,'計算A'!$A$4=0))),0,IF(22=$K40,200000,ABS(22-$K40)*100)),100000+ABS(2-$J40)*1000+220)+'計算A'!AW$5*50+IF(AND($E40=1,KJ40=0),25,0),IF($F40&gt;0,INDEX('計算A'!AW$110:AW$114,$F40+1)+IF(AND($E40=1,KJ40=0),1000,0),MIN(TV40,20)*400+(IF('計算A'!AV$106=1,1-ET40,0)+IF('計算A'!AW$106=1,1-EV40,0))*150+222+'計算A'!AW$5*100000+IF(AND($E40=1,KJ40=0),50000,0))+IF($H40=1,(IF('計算A'!AV$117=1,INDEX('計算A'!AV$10:AV$54,$B40),0)+IF('計算A'!AW$117=1,INDEX('計算A'!AX$10:AX$54,$B40),0))*4000,0)-IF(AND('計算A'!AV$117=1,VT40&gt;0),2000,0)-IF(AND($L40=1,'計算A'!AW$117=1,EV40=0),2000,0))),1000000))</f>
        <v/>
      </c>
      <c r="PZ40">
        <f>IF($B40=0,1000000,IF(INDEX('計算A'!$D$60:$EQ$104,$B40,47)*EV40=1,IF(AND($E40=2,KK40=0),1000000,IF($I40&gt;0,IF(2=$J40,IF(OR(AND(47=$I40+1,OR($K40&lt;&gt;'計算A'!$A$3,'計算A'!$A$4=0)),AND(47=$I40-1,OR(23&lt;&gt;'計算A'!$A$3,'計算A'!$A$4=0))),0,IF(23=$K40,200000,ABS(23-$K40)*100)),100000+ABS(2-$J40)*1000+230)+'計算A'!AX$5*50+IF(AND($E40=1,KK40=0),25,0),IF($F40&gt;0,INDEX('計算A'!AX$110:AX$114,$F40+1)+IF(AND($E40=1,KK40=0),1000,0),MIN(TV40,20)*400+(IF('計算A'!AW$106=1,1-EU40,0)+IF('計算A'!AX$106=1,1-EW40,0))*150+232+'計算A'!AX$5*100000+IF(AND($E40=1,KK40=0),50000,0))+IF($H40=1,(IF('計算A'!AW$117=1,INDEX('計算A'!AW$10:AW$54,$B40),0)+IF('計算A'!AX$117=1,INDEX('計算A'!AY$10:AY$54,$B40),0))*4000,0)-IF(AND('計算A'!AW$117=1,VU40&gt;0),2000,0)-IF(AND($L40=1,'計算A'!AX$117=1,EW40=0),2000,0))),1000000))</f>
        <v/>
      </c>
      <c r="QA40">
        <f>IF($B40=0,1000000,IF(INDEX('計算A'!$D$60:$EQ$104,$B40,48)*EW40=1,IF(AND($E40=2,KL40=0),1000000,IF($I40&gt;0,IF(2=$J40,IF(OR(AND(48=$I40+1,OR($K40&lt;&gt;'計算A'!$A$3,'計算A'!$A$4=0)),AND(48=$I40-1,OR(24&lt;&gt;'計算A'!$A$3,'計算A'!$A$4=0))),0,IF(24=$K40,200000,ABS(24-$K40)*100)),100000+ABS(2-$J40)*1000+240)+'計算A'!AY$5*50+IF(AND($E40=1,KL40=0),25,0),IF($F40&gt;0,INDEX('計算A'!AY$110:AY$114,$F40+1)+IF(AND($E40=1,KL40=0),1000,0),MIN(TV40,20)*400+(IF('計算A'!AX$106=1,1-EV40,0))*150+242+'計算A'!AY$5*100000+IF(AND($E40=1,KL40=0),50000,0))+IF($H40=1,(IF('計算A'!AX$117=1,INDEX('計算A'!AX$10:AX$54,$B40),0))*4000,0)-IF(AND('計算A'!AX$117=1,VV40&gt;0),2000,0))),1000000))</f>
        <v/>
      </c>
      <c r="QB40">
        <f>IF($B40=0,1000000,IF(INDEX('計算A'!$D$60:$EQ$104,$B40,49)*EX40=1,IF(AND($E40=2,KM40=0),1000000,IF($I40&gt;0,IF(3=$J40,IF(OR(AND(49=$I40+1,OR($K40&lt;&gt;'計算A'!$A$3,'計算A'!$A$4=0)),AND(49=$I40-1,OR(1&lt;&gt;'計算A'!$A$3,'計算A'!$A$4=0))),0,IF(1=$K40,200000,ABS(1-$K40)*100)),100000+ABS(3-$J40)*1000+10)+'計算A'!AZ$5*50+IF(AND($E40=1,KM40=0),25,0),IF($F40&gt;0,INDEX('計算A'!AZ$110:AZ$114,$F40+1)+IF(AND($E40=1,KM40=0),1000,0),MIN(TW40,20)*400+(IF('計算A'!AZ$106=1,1-EY40,0))*150+13+'計算A'!AZ$5*100000+IF(AND($E40=1,KM40=0),50000,0))+IF($H40=1,(IF('計算A'!AZ$117=1,INDEX('計算A'!BA$10:BA$54,$B40),0))*4000,0)-IF(AND($L40=1,'計算A'!AZ$117=1,EY40=0),2000,0))),1000000))</f>
        <v/>
      </c>
      <c r="QC40">
        <f>IF($B40=0,1000000,IF(INDEX('計算A'!$D$60:$EQ$104,$B40,50)*EY40=1,IF(AND($E40=2,KN40=0),1000000,IF($I40&gt;0,IF(3=$J40,IF(OR(AND(50=$I40+1,OR($K40&lt;&gt;'計算A'!$A$3,'計算A'!$A$4=0)),AND(50=$I40-1,OR(2&lt;&gt;'計算A'!$A$3,'計算A'!$A$4=0))),0,IF(2=$K40,200000,ABS(2-$K40)*100)),100000+ABS(3-$J40)*1000+20)+'計算A'!BA$5*50+IF(AND($E40=1,KN40=0),25,0),IF($F40&gt;0,INDEX('計算A'!BA$110:BA$114,$F40+1)+IF(AND($E40=1,KN40=0),1000,0),MIN(TW40,20)*400+(IF('計算A'!AZ$106=1,1-EX40,0)+IF('計算A'!BA$106=1,1-EZ40,0))*150+23+'計算A'!BA$5*100000+IF(AND($E40=1,KN40=0),50000,0))+IF($H40=1,(IF('計算A'!AZ$117=1,INDEX('計算A'!AZ$10:AZ$54,$B40),0)+IF('計算A'!BA$117=1,INDEX('計算A'!BB$10:BB$54,$B40),0))*4000,0)-IF(AND('計算A'!AZ$117=1,VX40&gt;0),2000,0)-IF(AND($L40=1,'計算A'!BA$117=1,EZ40=0),2000,0))),1000000))</f>
        <v/>
      </c>
      <c r="QD40">
        <f>IF($B40=0,1000000,IF(INDEX('計算A'!$D$60:$EQ$104,$B40,51)*EZ40=1,IF(AND($E40=2,KO40=0),1000000,IF($I40&gt;0,IF(3=$J40,IF(OR(AND(51=$I40+1,OR($K40&lt;&gt;'計算A'!$A$3,'計算A'!$A$4=0)),AND(51=$I40-1,OR(3&lt;&gt;'計算A'!$A$3,'計算A'!$A$4=0))),0,IF(3=$K40,200000,ABS(3-$K40)*100)),100000+ABS(3-$J40)*1000+30)+'計算A'!BB$5*50+IF(AND($E40=1,KO40=0),25,0),IF($F40&gt;0,INDEX('計算A'!BB$110:BB$114,$F40+1)+IF(AND($E40=1,KO40=0),1000,0),MIN(TW40,20)*400+(IF('計算A'!BA$106=1,1-EY40,0)+IF('計算A'!BB$106=1,1-FA40,0))*150+33+'計算A'!BB$5*100000+IF(AND($E40=1,KO40=0),50000,0))+IF($H40=1,(IF('計算A'!BA$117=1,INDEX('計算A'!BA$10:BA$54,$B40),0)+IF('計算A'!BB$117=1,INDEX('計算A'!BC$10:BC$54,$B40),0))*4000,0)-IF(AND('計算A'!BA$117=1,VY40&gt;0),2000,0)-IF(AND($L40=1,'計算A'!BB$117=1,FA40=0),2000,0))),1000000))</f>
        <v/>
      </c>
      <c r="QE40">
        <f>IF($B40=0,1000000,IF(INDEX('計算A'!$D$60:$EQ$104,$B40,52)*FA40=1,IF(AND($E40=2,KP40=0),1000000,IF($I40&gt;0,IF(3=$J40,IF(OR(AND(52=$I40+1,OR($K40&lt;&gt;'計算A'!$A$3,'計算A'!$A$4=0)),AND(52=$I40-1,OR(4&lt;&gt;'計算A'!$A$3,'計算A'!$A$4=0))),0,IF(4=$K40,200000,ABS(4-$K40)*100)),100000+ABS(3-$J40)*1000+40)+'計算A'!BC$5*50+IF(AND($E40=1,KP40=0),25,0),IF($F40&gt;0,INDEX('計算A'!BC$110:BC$114,$F40+1)+IF(AND($E40=1,KP40=0),1000,0),MIN(TW40,20)*400+(IF('計算A'!BB$106=1,1-EZ40,0)+IF('計算A'!BC$106=1,1-FB40,0))*150+43+'計算A'!BC$5*100000+IF(AND($E40=1,KP40=0),50000,0))+IF($H40=1,(IF('計算A'!BB$117=1,INDEX('計算A'!BB$10:BB$54,$B40),0)+IF('計算A'!BC$117=1,INDEX('計算A'!BD$10:BD$54,$B40),0))*4000,0)-IF(AND('計算A'!BB$117=1,VZ40&gt;0),2000,0)-IF(AND($L40=1,'計算A'!BC$117=1,FB40=0),2000,0))),1000000))</f>
        <v/>
      </c>
      <c r="QF40">
        <f>IF($B40=0,1000000,IF(INDEX('計算A'!$D$60:$EQ$104,$B40,53)*FB40=1,IF(AND($E40=2,KQ40=0),1000000,IF($I40&gt;0,IF(3=$J40,IF(OR(AND(53=$I40+1,OR($K40&lt;&gt;'計算A'!$A$3,'計算A'!$A$4=0)),AND(53=$I40-1,OR(5&lt;&gt;'計算A'!$A$3,'計算A'!$A$4=0))),0,IF(5=$K40,200000,ABS(5-$K40)*100)),100000+ABS(3-$J40)*1000+50)+'計算A'!BD$5*50+IF(AND($E40=1,KQ40=0),25,0),IF($F40&gt;0,INDEX('計算A'!BD$110:BD$114,$F40+1)+IF(AND($E40=1,KQ40=0),1000,0),MIN(TW40,20)*400+(IF('計算A'!BC$106=1,1-FA40,0)+IF('計算A'!BD$106=1,1-FC40,0))*150+53+'計算A'!BD$5*100000+IF(AND($E40=1,KQ40=0),50000,0))+IF($H40=1,(IF('計算A'!BC$117=1,INDEX('計算A'!BC$10:BC$54,$B40),0)+IF('計算A'!BD$117=1,INDEX('計算A'!BE$10:BE$54,$B40),0))*4000,0)-IF(AND('計算A'!BC$117=1,WA40&gt;0),2000,0)-IF(AND($L40=1,'計算A'!BD$117=1,FC40=0),2000,0))),1000000))</f>
        <v/>
      </c>
      <c r="QG40">
        <f>IF($B40=0,1000000,IF(INDEX('計算A'!$D$60:$EQ$104,$B40,54)*FC40=1,IF(AND($E40=2,KR40=0),1000000,IF($I40&gt;0,IF(3=$J40,IF(OR(AND(54=$I40+1,OR($K40&lt;&gt;'計算A'!$A$3,'計算A'!$A$4=0)),AND(54=$I40-1,OR(6&lt;&gt;'計算A'!$A$3,'計算A'!$A$4=0))),0,IF(6=$K40,200000,ABS(6-$K40)*100)),100000+ABS(3-$J40)*1000+60)+'計算A'!BE$5*50+IF(AND($E40=1,KR40=0),25,0),IF($F40&gt;0,INDEX('計算A'!BE$110:BE$114,$F40+1)+IF(AND($E40=1,KR40=0),1000,0),MIN(TW40,20)*400+(IF('計算A'!BD$106=1,1-FB40,0)+IF('計算A'!BE$106=1,1-FD40,0))*150+63+'計算A'!BE$5*100000+IF(AND($E40=1,KR40=0),50000,0))+IF($H40=1,(IF('計算A'!BD$117=1,INDEX('計算A'!BD$10:BD$54,$B40),0)+IF('計算A'!BE$117=1,INDEX('計算A'!BF$10:BF$54,$B40),0))*4000,0)-IF(AND('計算A'!BD$117=1,WB40&gt;0),2000,0)-IF(AND($L40=1,'計算A'!BE$117=1,FD40=0),2000,0))),1000000))</f>
        <v/>
      </c>
      <c r="QH40">
        <f>IF($B40=0,1000000,IF(INDEX('計算A'!$D$60:$EQ$104,$B40,55)*FD40=1,IF(AND($E40=2,KS40=0),1000000,IF($I40&gt;0,IF(3=$J40,IF(OR(AND(55=$I40+1,OR($K40&lt;&gt;'計算A'!$A$3,'計算A'!$A$4=0)),AND(55=$I40-1,OR(7&lt;&gt;'計算A'!$A$3,'計算A'!$A$4=0))),0,IF(7=$K40,200000,ABS(7-$K40)*100)),100000+ABS(3-$J40)*1000+70)+'計算A'!BF$5*50+IF(AND($E40=1,KS40=0),25,0),IF($F40&gt;0,INDEX('計算A'!BF$110:BF$114,$F40+1)+IF(AND($E40=1,KS40=0),1000,0),MIN(TW40,20)*400+(IF('計算A'!BE$106=1,1-FC40,0)+IF('計算A'!BF$106=1,1-FE40,0))*150+73+'計算A'!BF$5*100000+IF(AND($E40=1,KS40=0),50000,0))+IF($H40=1,(IF('計算A'!BE$117=1,INDEX('計算A'!BE$10:BE$54,$B40),0)+IF('計算A'!BF$117=1,INDEX('計算A'!BG$10:BG$54,$B40),0))*4000,0)-IF(AND('計算A'!BE$117=1,WC40&gt;0),2000,0)-IF(AND($L40=1,'計算A'!BF$117=1,FE40=0),2000,0))),1000000))</f>
        <v/>
      </c>
      <c r="QI40">
        <f>IF($B40=0,1000000,IF(INDEX('計算A'!$D$60:$EQ$104,$B40,56)*FE40=1,IF(AND($E40=2,KT40=0),1000000,IF($I40&gt;0,IF(3=$J40,IF(OR(AND(56=$I40+1,OR($K40&lt;&gt;'計算A'!$A$3,'計算A'!$A$4=0)),AND(56=$I40-1,OR(8&lt;&gt;'計算A'!$A$3,'計算A'!$A$4=0))),0,IF(8=$K40,200000,ABS(8-$K40)*100)),100000+ABS(3-$J40)*1000+80)+'計算A'!BG$5*50+IF(AND($E40=1,KT40=0),25,0),IF($F40&gt;0,INDEX('計算A'!BG$110:BG$114,$F40+1)+IF(AND($E40=1,KT40=0),1000,0),MIN(TW40,20)*400+(IF('計算A'!BF$106=1,1-FD40,0)+IF('計算A'!BG$106=1,1-FF40,0))*150+83+'計算A'!BG$5*100000+IF(AND($E40=1,KT40=0),50000,0))+IF($H40=1,(IF('計算A'!BF$117=1,INDEX('計算A'!BF$10:BF$54,$B40),0)+IF('計算A'!BG$117=1,INDEX('計算A'!BH$10:BH$54,$B40),0))*4000,0)-IF(AND('計算A'!BF$117=1,WD40&gt;0),2000,0)-IF(AND($L40=1,'計算A'!BG$117=1,FF40=0),2000,0))),1000000))</f>
        <v/>
      </c>
      <c r="QJ40">
        <f>IF($B40=0,1000000,IF(INDEX('計算A'!$D$60:$EQ$104,$B40,57)*FF40=1,IF(AND($E40=2,KU40=0),1000000,IF($I40&gt;0,IF(3=$J40,IF(OR(AND(57=$I40+1,OR($K40&lt;&gt;'計算A'!$A$3,'計算A'!$A$4=0)),AND(57=$I40-1,OR(9&lt;&gt;'計算A'!$A$3,'計算A'!$A$4=0))),0,IF(9=$K40,200000,ABS(9-$K40)*100)),100000+ABS(3-$J40)*1000+90)+'計算A'!BH$5*50+IF(AND($E40=1,KU40=0),25,0),IF($F40&gt;0,INDEX('計算A'!BH$110:BH$114,$F40+1)+IF(AND($E40=1,KU40=0),1000,0),MIN(TW40,20)*400+(IF('計算A'!BG$106=1,1-FE40,0)+IF('計算A'!BH$106=1,1-FG40,0))*150+93+'計算A'!BH$5*100000+IF(AND($E40=1,KU40=0),50000,0))+IF($H40=1,(IF('計算A'!BG$117=1,INDEX('計算A'!BG$10:BG$54,$B40),0)+IF('計算A'!BH$117=1,INDEX('計算A'!BI$10:BI$54,$B40),0))*4000,0)-IF(AND('計算A'!BG$117=1,WE40&gt;0),2000,0)-IF(AND($L40=1,'計算A'!BH$117=1,FG40=0),2000,0))),1000000))</f>
        <v/>
      </c>
      <c r="QK40">
        <f>IF($B40=0,1000000,IF(INDEX('計算A'!$D$60:$EQ$104,$B40,58)*FG40=1,IF(AND($E40=2,KV40=0),1000000,IF($I40&gt;0,IF(3=$J40,IF(OR(AND(58=$I40+1,OR($K40&lt;&gt;'計算A'!$A$3,'計算A'!$A$4=0)),AND(58=$I40-1,OR(10&lt;&gt;'計算A'!$A$3,'計算A'!$A$4=0))),0,IF(10=$K40,200000,ABS(10-$K40)*100)),100000+ABS(3-$J40)*1000+100)+'計算A'!BI$5*50+IF(AND($E40=1,KV40=0),25,0),IF($F40&gt;0,INDEX('計算A'!BI$110:BI$114,$F40+1)+IF(AND($E40=1,KV40=0),1000,0),MIN(TW40,20)*400+(IF('計算A'!BH$106=1,1-FF40,0)+IF('計算A'!BI$106=1,1-FH40,0))*150+103+'計算A'!BI$5*100000+IF(AND($E40=1,KV40=0),50000,0))+IF($H40=1,(IF('計算A'!BH$117=1,INDEX('計算A'!BH$10:BH$54,$B40),0)+IF('計算A'!BI$117=1,INDEX('計算A'!BJ$10:BJ$54,$B40),0))*4000,0)-IF(AND('計算A'!BH$117=1,WF40&gt;0),2000,0)-IF(AND($L40=1,'計算A'!BI$117=1,FH40=0),2000,0))),1000000))</f>
        <v/>
      </c>
      <c r="QL40">
        <f>IF($B40=0,1000000,IF(INDEX('計算A'!$D$60:$EQ$104,$B40,59)*FH40=1,IF(AND($E40=2,KW40=0),1000000,IF($I40&gt;0,IF(3=$J40,IF(OR(AND(59=$I40+1,OR($K40&lt;&gt;'計算A'!$A$3,'計算A'!$A$4=0)),AND(59=$I40-1,OR(11&lt;&gt;'計算A'!$A$3,'計算A'!$A$4=0))),0,IF(11=$K40,200000,ABS(11-$K40)*100)),100000+ABS(3-$J40)*1000+110)+'計算A'!BJ$5*50+IF(AND($E40=1,KW40=0),25,0),IF($F40&gt;0,INDEX('計算A'!BJ$110:BJ$114,$F40+1)+IF(AND($E40=1,KW40=0),1000,0),MIN(TW40,20)*400+(IF('計算A'!BI$106=1,1-FG40,0)+IF('計算A'!BJ$106=1,1-FI40,0))*150+113+'計算A'!BJ$5*100000+IF(AND($E40=1,KW40=0),50000,0))+IF($H40=1,(IF('計算A'!BI$117=1,INDEX('計算A'!BI$10:BI$54,$B40),0)+IF('計算A'!BJ$117=1,INDEX('計算A'!BK$10:BK$54,$B40),0))*4000,0)-IF(AND('計算A'!BI$117=1,WG40&gt;0),2000,0)-IF(AND($L40=1,'計算A'!BJ$117=1,FI40=0),2000,0))),1000000))</f>
        <v/>
      </c>
      <c r="QM40">
        <f>IF($B40=0,1000000,IF(INDEX('計算A'!$D$60:$EQ$104,$B40,60)*FI40=1,IF(AND($E40=2,KX40=0),1000000,IF($I40&gt;0,IF(3=$J40,IF(OR(AND(60=$I40+1,OR($K40&lt;&gt;'計算A'!$A$3,'計算A'!$A$4=0)),AND(60=$I40-1,OR(12&lt;&gt;'計算A'!$A$3,'計算A'!$A$4=0))),0,IF(12=$K40,200000,ABS(12-$K40)*100)),100000+ABS(3-$J40)*1000+120)+'計算A'!BK$5*50+IF(AND($E40=1,KX40=0),25,0),IF($F40&gt;0,INDEX('計算A'!BK$110:BK$114,$F40+1)+IF(AND($E40=1,KX40=0),1000,0),MIN(TW40,20)*400+(IF('計算A'!BJ$106=1,1-FH40,0)+IF('計算A'!BK$106=1,1-FJ40,0))*150+123+'計算A'!BK$5*100000+IF(AND($E40=1,KX40=0),50000,0))+IF($H40=1,(IF('計算A'!BJ$117=1,INDEX('計算A'!BJ$10:BJ$54,$B40),0)+IF('計算A'!BK$117=1,INDEX('計算A'!BL$10:BL$54,$B40),0))*4000,0)-IF(AND('計算A'!BJ$117=1,WH40&gt;0),2000,0)-IF(AND($L40=1,'計算A'!BK$117=1,FJ40=0),2000,0))),1000000))</f>
        <v/>
      </c>
      <c r="QN40">
        <f>IF($B40=0,1000000,IF(INDEX('計算A'!$D$60:$EQ$104,$B40,61)*FJ40=1,IF(AND($E40=2,KY40=0),1000000,IF($I40&gt;0,IF(3=$J40,IF(OR(AND(61=$I40+1,OR($K40&lt;&gt;'計算A'!$A$3,'計算A'!$A$4=0)),AND(61=$I40-1,OR(13&lt;&gt;'計算A'!$A$3,'計算A'!$A$4=0))),0,IF(13=$K40,200000,ABS(13-$K40)*100)),100000+ABS(3-$J40)*1000+130)+'計算A'!BL$5*50+IF(AND($E40=1,KY40=0),25,0),IF($F40&gt;0,INDEX('計算A'!BL$110:BL$114,$F40+1)+IF(AND($E40=1,KY40=0),1000,0),MIN(TW40,20)*400+(IF('計算A'!BK$106=1,1-FI40,0)+IF('計算A'!BL$106=1,1-FK40,0))*150+133+'計算A'!BL$5*100000+IF(AND($E40=1,KY40=0),50000,0))+IF($H40=1,(IF('計算A'!BK$117=1,INDEX('計算A'!BK$10:BK$54,$B40),0)+IF('計算A'!BL$117=1,INDEX('計算A'!BM$10:BM$54,$B40),0))*4000,0)-IF(AND('計算A'!BK$117=1,WI40&gt;0),2000,0)-IF(AND($L40=1,'計算A'!BL$117=1,FK40=0),2000,0))),1000000))</f>
        <v/>
      </c>
      <c r="QO40">
        <f>IF($B40=0,1000000,IF(INDEX('計算A'!$D$60:$EQ$104,$B40,62)*FK40=1,IF(AND($E40=2,KZ40=0),1000000,IF($I40&gt;0,IF(3=$J40,IF(OR(AND(62=$I40+1,OR($K40&lt;&gt;'計算A'!$A$3,'計算A'!$A$4=0)),AND(62=$I40-1,OR(14&lt;&gt;'計算A'!$A$3,'計算A'!$A$4=0))),0,IF(14=$K40,200000,ABS(14-$K40)*100)),100000+ABS(3-$J40)*1000+140)+'計算A'!BM$5*50+IF(AND($E40=1,KZ40=0),25,0),IF($F40&gt;0,INDEX('計算A'!BM$110:BM$114,$F40+1)+IF(AND($E40=1,KZ40=0),1000,0),MIN(TW40,20)*400+(IF('計算A'!BL$106=1,1-FJ40,0)+IF('計算A'!BM$106=1,1-FL40,0))*150+143+'計算A'!BM$5*100000+IF(AND($E40=1,KZ40=0),50000,0))+IF($H40=1,(IF('計算A'!BL$117=1,INDEX('計算A'!BL$10:BL$54,$B40),0)+IF('計算A'!BM$117=1,INDEX('計算A'!BN$10:BN$54,$B40),0))*4000,0)-IF(AND('計算A'!BL$117=1,WJ40&gt;0),2000,0)-IF(AND($L40=1,'計算A'!BM$117=1,FL40=0),2000,0))),1000000))</f>
        <v/>
      </c>
      <c r="QP40">
        <f>IF($B40=0,1000000,IF(INDEX('計算A'!$D$60:$EQ$104,$B40,63)*FL40=1,IF(AND($E40=2,LA40=0),1000000,IF($I40&gt;0,IF(3=$J40,IF(OR(AND(63=$I40+1,OR($K40&lt;&gt;'計算A'!$A$3,'計算A'!$A$4=0)),AND(63=$I40-1,OR(15&lt;&gt;'計算A'!$A$3,'計算A'!$A$4=0))),0,IF(15=$K40,200000,ABS(15-$K40)*100)),100000+ABS(3-$J40)*1000+150)+'計算A'!BN$5*50+IF(AND($E40=1,LA40=0),25,0),IF($F40&gt;0,INDEX('計算A'!BN$110:BN$114,$F40+1)+IF(AND($E40=1,LA40=0),1000,0),MIN(TW40,20)*400+(IF('計算A'!BM$106=1,1-FK40,0)+IF('計算A'!BN$106=1,1-FM40,0))*150+153+'計算A'!BN$5*100000+IF(AND($E40=1,LA40=0),50000,0))+IF($H40=1,(IF('計算A'!BM$117=1,INDEX('計算A'!BM$10:BM$54,$B40),0)+IF('計算A'!BN$117=1,INDEX('計算A'!BO$10:BO$54,$B40),0))*4000,0)-IF(AND('計算A'!BM$117=1,WK40&gt;0),2000,0)-IF(AND($L40=1,'計算A'!BN$117=1,FM40=0),2000,0))),1000000))</f>
        <v/>
      </c>
      <c r="QQ40">
        <f>IF($B40=0,1000000,IF(INDEX('計算A'!$D$60:$EQ$104,$B40,64)*FM40=1,IF(AND($E40=2,LB40=0),1000000,IF($I40&gt;0,IF(3=$J40,IF(OR(AND(64=$I40+1,OR($K40&lt;&gt;'計算A'!$A$3,'計算A'!$A$4=0)),AND(64=$I40-1,OR(16&lt;&gt;'計算A'!$A$3,'計算A'!$A$4=0))),0,IF(16=$K40,200000,ABS(16-$K40)*100)),100000+ABS(3-$J40)*1000+160)+'計算A'!BO$5*50+IF(AND($E40=1,LB40=0),25,0),IF($F40&gt;0,INDEX('計算A'!BO$110:BO$114,$F40+1)+IF(AND($E40=1,LB40=0),1000,0),MIN(TW40,20)*400+(IF('計算A'!BN$106=1,1-FL40,0)+IF('計算A'!BO$106=1,1-FN40,0))*150+163+'計算A'!BO$5*100000+IF(AND($E40=1,LB40=0),50000,0))+IF($H40=1,(IF('計算A'!BN$117=1,INDEX('計算A'!BN$10:BN$54,$B40),0)+IF('計算A'!BO$117=1,INDEX('計算A'!BP$10:BP$54,$B40),0))*4000,0)-IF(AND('計算A'!BN$117=1,WL40&gt;0),2000,0)-IF(AND($L40=1,'計算A'!BO$117=1,FN40=0),2000,0))),1000000))</f>
        <v/>
      </c>
      <c r="QR40">
        <f>IF($B40=0,1000000,IF(INDEX('計算A'!$D$60:$EQ$104,$B40,65)*FN40=1,IF(AND($E40=2,LC40=0),1000000,IF($I40&gt;0,IF(3=$J40,IF(OR(AND(65=$I40+1,OR($K40&lt;&gt;'計算A'!$A$3,'計算A'!$A$4=0)),AND(65=$I40-1,OR(17&lt;&gt;'計算A'!$A$3,'計算A'!$A$4=0))),0,IF(17=$K40,200000,ABS(17-$K40)*100)),100000+ABS(3-$J40)*1000+170)+'計算A'!BP$5*50+IF(AND($E40=1,LC40=0),25,0),IF($F40&gt;0,INDEX('計算A'!BP$110:BP$114,$F40+1)+IF(AND($E40=1,LC40=0),1000,0),MIN(TW40,20)*400+(IF('計算A'!BO$106=1,1-FM40,0)+IF('計算A'!BP$106=1,1-FO40,0))*150+173+'計算A'!BP$5*100000+IF(AND($E40=1,LC40=0),50000,0))+IF($H40=1,(IF('計算A'!BO$117=1,INDEX('計算A'!BO$10:BO$54,$B40),0)+IF('計算A'!BP$117=1,INDEX('計算A'!BQ$10:BQ$54,$B40),0))*4000,0)-IF(AND('計算A'!BO$117=1,WM40&gt;0),2000,0)-IF(AND($L40=1,'計算A'!BP$117=1,FO40=0),2000,0))),1000000))</f>
        <v/>
      </c>
      <c r="QS40">
        <f>IF($B40=0,1000000,IF(INDEX('計算A'!$D$60:$EQ$104,$B40,66)*FO40=1,IF(AND($E40=2,LD40=0),1000000,IF($I40&gt;0,IF(3=$J40,IF(OR(AND(66=$I40+1,OR($K40&lt;&gt;'計算A'!$A$3,'計算A'!$A$4=0)),AND(66=$I40-1,OR(18&lt;&gt;'計算A'!$A$3,'計算A'!$A$4=0))),0,IF(18=$K40,200000,ABS(18-$K40)*100)),100000+ABS(3-$J40)*1000+180)+'計算A'!BQ$5*50+IF(AND($E40=1,LD40=0),25,0),IF($F40&gt;0,INDEX('計算A'!BQ$110:BQ$114,$F40+1)+IF(AND($E40=1,LD40=0),1000,0),MIN(TW40,20)*400+(IF('計算A'!BP$106=1,1-FN40,0)+IF('計算A'!BQ$106=1,1-FP40,0))*150+183+'計算A'!BQ$5*100000+IF(AND($E40=1,LD40=0),50000,0))+IF($H40=1,(IF('計算A'!BP$117=1,INDEX('計算A'!BP$10:BP$54,$B40),0)+IF('計算A'!BQ$117=1,INDEX('計算A'!BR$10:BR$54,$B40),0))*4000,0)-IF(AND('計算A'!BP$117=1,WN40&gt;0),2000,0)-IF(AND($L40=1,'計算A'!BQ$117=1,FP40=0),2000,0))),1000000))</f>
        <v/>
      </c>
      <c r="QT40">
        <f>IF($B40=0,1000000,IF(INDEX('計算A'!$D$60:$EQ$104,$B40,67)*FP40=1,IF(AND($E40=2,LE40=0),1000000,IF($I40&gt;0,IF(3=$J40,IF(OR(AND(67=$I40+1,OR($K40&lt;&gt;'計算A'!$A$3,'計算A'!$A$4=0)),AND(67=$I40-1,OR(19&lt;&gt;'計算A'!$A$3,'計算A'!$A$4=0))),0,IF(19=$K40,200000,ABS(19-$K40)*100)),100000+ABS(3-$J40)*1000+190)+'計算A'!BR$5*50+IF(AND($E40=1,LE40=0),25,0),IF($F40&gt;0,INDEX('計算A'!BR$110:BR$114,$F40+1)+IF(AND($E40=1,LE40=0),1000,0),MIN(TW40,20)*400+(IF('計算A'!BQ$106=1,1-FO40,0)+IF('計算A'!BR$106=1,1-FQ40,0))*150+193+'計算A'!BR$5*100000+IF(AND($E40=1,LE40=0),50000,0))+IF($H40=1,(IF('計算A'!BQ$117=1,INDEX('計算A'!BQ$10:BQ$54,$B40),0)+IF('計算A'!BR$117=1,INDEX('計算A'!BS$10:BS$54,$B40),0))*4000,0)-IF(AND('計算A'!BQ$117=1,WO40&gt;0),2000,0)-IF(AND($L40=1,'計算A'!BR$117=1,FQ40=0),2000,0))),1000000))</f>
        <v/>
      </c>
      <c r="QU40">
        <f>IF($B40=0,1000000,IF(INDEX('計算A'!$D$60:$EQ$104,$B40,68)*FQ40=1,IF(AND($E40=2,LF40=0),1000000,IF($I40&gt;0,IF(3=$J40,IF(OR(AND(68=$I40+1,OR($K40&lt;&gt;'計算A'!$A$3,'計算A'!$A$4=0)),AND(68=$I40-1,OR(20&lt;&gt;'計算A'!$A$3,'計算A'!$A$4=0))),0,IF(20=$K40,200000,ABS(20-$K40)*100)),100000+ABS(3-$J40)*1000+200)+'計算A'!BS$5*50+IF(AND($E40=1,LF40=0),25,0),IF($F40&gt;0,INDEX('計算A'!BS$110:BS$114,$F40+1)+IF(AND($E40=1,LF40=0),1000,0),MIN(TW40,20)*400+(IF('計算A'!BR$106=1,1-FP40,0)+IF('計算A'!BS$106=1,1-FR40,0))*150+203+'計算A'!BS$5*100000+IF(AND($E40=1,LF40=0),50000,0))+IF($H40=1,(IF('計算A'!BR$117=1,INDEX('計算A'!BR$10:BR$54,$B40),0)+IF('計算A'!BS$117=1,INDEX('計算A'!BT$10:BT$54,$B40),0))*4000,0)-IF(AND('計算A'!BR$117=1,WP40&gt;0),2000,0)-IF(AND($L40=1,'計算A'!BS$117=1,FR40=0),2000,0))),1000000))</f>
        <v/>
      </c>
      <c r="QV40">
        <f>IF($B40=0,1000000,IF(INDEX('計算A'!$D$60:$EQ$104,$B40,69)*FR40=1,IF(AND($E40=2,LG40=0),1000000,IF($I40&gt;0,IF(3=$J40,IF(OR(AND(69=$I40+1,OR($K40&lt;&gt;'計算A'!$A$3,'計算A'!$A$4=0)),AND(69=$I40-1,OR(21&lt;&gt;'計算A'!$A$3,'計算A'!$A$4=0))),0,IF(21=$K40,200000,ABS(21-$K40)*100)),100000+ABS(3-$J40)*1000+210)+'計算A'!BT$5*50+IF(AND($E40=1,LG40=0),25,0),IF($F40&gt;0,INDEX('計算A'!BT$110:BT$114,$F40+1)+IF(AND($E40=1,LG40=0),1000,0),MIN(TW40,20)*400+(IF('計算A'!BS$106=1,1-FQ40,0)+IF('計算A'!BT$106=1,1-FS40,0))*150+213+'計算A'!BT$5*100000+IF(AND($E40=1,LG40=0),50000,0))+IF($H40=1,(IF('計算A'!BS$117=1,INDEX('計算A'!BS$10:BS$54,$B40),0)+IF('計算A'!BT$117=1,INDEX('計算A'!BU$10:BU$54,$B40),0))*4000,0)-IF(AND('計算A'!BS$117=1,WQ40&gt;0),2000,0)-IF(AND($L40=1,'計算A'!BT$117=1,FS40=0),2000,0))),1000000))</f>
        <v/>
      </c>
      <c r="QW40">
        <f>IF($B40=0,1000000,IF(INDEX('計算A'!$D$60:$EQ$104,$B40,70)*FS40=1,IF(AND($E40=2,LH40=0),1000000,IF($I40&gt;0,IF(3=$J40,IF(OR(AND(70=$I40+1,OR($K40&lt;&gt;'計算A'!$A$3,'計算A'!$A$4=0)),AND(70=$I40-1,OR(22&lt;&gt;'計算A'!$A$3,'計算A'!$A$4=0))),0,IF(22=$K40,200000,ABS(22-$K40)*100)),100000+ABS(3-$J40)*1000+220)+'計算A'!BU$5*50+IF(AND($E40=1,LH40=0),25,0),IF($F40&gt;0,INDEX('計算A'!BU$110:BU$114,$F40+1)+IF(AND($E40=1,LH40=0),1000,0),MIN(TW40,20)*400+(IF('計算A'!BT$106=1,1-FR40,0)+IF('計算A'!BU$106=1,1-FT40,0))*150+223+'計算A'!BU$5*100000+IF(AND($E40=1,LH40=0),50000,0))+IF($H40=1,(IF('計算A'!BT$117=1,INDEX('計算A'!BT$10:BT$54,$B40),0)+IF('計算A'!BU$117=1,INDEX('計算A'!BV$10:BV$54,$B40),0))*4000,0)-IF(AND('計算A'!BT$117=1,WR40&gt;0),2000,0)-IF(AND($L40=1,'計算A'!BU$117=1,FT40=0),2000,0))),1000000))</f>
        <v/>
      </c>
      <c r="QX40">
        <f>IF($B40=0,1000000,IF(INDEX('計算A'!$D$60:$EQ$104,$B40,71)*FT40=1,IF(AND($E40=2,LI40=0),1000000,IF($I40&gt;0,IF(3=$J40,IF(OR(AND(71=$I40+1,OR($K40&lt;&gt;'計算A'!$A$3,'計算A'!$A$4=0)),AND(71=$I40-1,OR(23&lt;&gt;'計算A'!$A$3,'計算A'!$A$4=0))),0,IF(23=$K40,200000,ABS(23-$K40)*100)),100000+ABS(3-$J40)*1000+230)+'計算A'!BV$5*50+IF(AND($E40=1,LI40=0),25,0),IF($F40&gt;0,INDEX('計算A'!BV$110:BV$114,$F40+1)+IF(AND($E40=1,LI40=0),1000,0),MIN(TW40,20)*400+(IF('計算A'!BU$106=1,1-FS40,0)+IF('計算A'!BV$106=1,1-FU40,0))*150+233+'計算A'!BV$5*100000+IF(AND($E40=1,LI40=0),50000,0))+IF($H40=1,(IF('計算A'!BU$117=1,INDEX('計算A'!BU$10:BU$54,$B40),0)+IF('計算A'!BV$117=1,INDEX('計算A'!BW$10:BW$54,$B40),0))*4000,0)-IF(AND('計算A'!BU$117=1,WS40&gt;0),2000,0)-IF(AND($L40=1,'計算A'!BV$117=1,FU40=0),2000,0))),1000000))</f>
        <v/>
      </c>
      <c r="QY40">
        <f>IF($B40=0,1000000,IF(INDEX('計算A'!$D$60:$EQ$104,$B40,72)*FU40=1,IF(AND($E40=2,LJ40=0),1000000,IF($I40&gt;0,IF(3=$J40,IF(OR(AND(72=$I40+1,OR($K40&lt;&gt;'計算A'!$A$3,'計算A'!$A$4=0)),AND(72=$I40-1,OR(24&lt;&gt;'計算A'!$A$3,'計算A'!$A$4=0))),0,IF(24=$K40,200000,ABS(24-$K40)*100)),100000+ABS(3-$J40)*1000+240)+'計算A'!BW$5*50+IF(AND($E40=1,LJ40=0),25,0),IF($F40&gt;0,INDEX('計算A'!BW$110:BW$114,$F40+1)+IF(AND($E40=1,LJ40=0),1000,0),MIN(TW40,20)*400+(IF('計算A'!BV$106=1,1-FT40,0))*150+243+'計算A'!BW$5*100000+IF(AND($E40=1,LJ40=0),50000,0))+IF($H40=1,(IF('計算A'!BV$117=1,INDEX('計算A'!BV$10:BV$54,$B40),0))*4000,0)-IF(AND('計算A'!BV$117=1,WT40&gt;0),2000,0))),1000000))</f>
        <v/>
      </c>
      <c r="QZ40">
        <f>IF($B40=0,1000000,IF(INDEX('計算A'!$D$60:$EQ$104,$B40,73)*FV40=1,IF(AND($E40=2,LK40=0),1000000,IF($I40&gt;0,IF(4=$J40,IF(OR(AND(73=$I40+1,OR($K40&lt;&gt;'計算A'!$A$3,'計算A'!$A$4=0)),AND(73=$I40-1,OR(1&lt;&gt;'計算A'!$A$3,'計算A'!$A$4=0))),0,IF(1=$K40,200000,ABS(1-$K40)*100)),100000+ABS(4-$J40)*1000+10)+'計算A'!BX$5*50+IF(AND($E40=1,LK40=0),25,0),IF($F40&gt;0,INDEX('計算A'!BX$110:BX$114,$F40+1)+IF(AND($E40=1,LK40=0),1000,0),MIN(TX40,20)*400+(IF('計算A'!BX$106=1,1-FW40,0))*150+14+'計算A'!BX$5*100000+IF(AND($E40=1,LK40=0),50000,0))+IF($H40=1,(IF('計算A'!BX$117=1,INDEX('計算A'!BY$10:BY$54,$B40),0))*4000,0)-IF(AND($L40=1,'計算A'!BX$117=1,FW40=0),2000,0))),1000000))</f>
        <v/>
      </c>
      <c r="RA40">
        <f>IF($B40=0,1000000,IF(INDEX('計算A'!$D$60:$EQ$104,$B40,74)*FW40=1,IF(AND($E40=2,LL40=0),1000000,IF($I40&gt;0,IF(4=$J40,IF(OR(AND(74=$I40+1,OR($K40&lt;&gt;'計算A'!$A$3,'計算A'!$A$4=0)),AND(74=$I40-1,OR(2&lt;&gt;'計算A'!$A$3,'計算A'!$A$4=0))),0,IF(2=$K40,200000,ABS(2-$K40)*100)),100000+ABS(4-$J40)*1000+20)+'計算A'!BY$5*50+IF(AND($E40=1,LL40=0),25,0),IF($F40&gt;0,INDEX('計算A'!BY$110:BY$114,$F40+1)+IF(AND($E40=1,LL40=0),1000,0),MIN(TX40,20)*400+(IF('計算A'!BX$106=1,1-FV40,0)+IF('計算A'!BY$106=1,1-FX40,0))*150+24+'計算A'!BY$5*100000+IF(AND($E40=1,LL40=0),50000,0))+IF($H40=1,(IF('計算A'!BX$117=1,INDEX('計算A'!BX$10:BX$54,$B40),0)+IF('計算A'!BY$117=1,INDEX('計算A'!BZ$10:BZ$54,$B40),0))*4000,0)-IF(AND('計算A'!BX$117=1,WV40&gt;0),2000,0)-IF(AND($L40=1,'計算A'!BY$117=1,FX40=0),2000,0))),1000000))</f>
        <v/>
      </c>
      <c r="RB40">
        <f>IF($B40=0,1000000,IF(INDEX('計算A'!$D$60:$EQ$104,$B40,75)*FX40=1,IF(AND($E40=2,LM40=0),1000000,IF($I40&gt;0,IF(4=$J40,IF(OR(AND(75=$I40+1,OR($K40&lt;&gt;'計算A'!$A$3,'計算A'!$A$4=0)),AND(75=$I40-1,OR(3&lt;&gt;'計算A'!$A$3,'計算A'!$A$4=0))),0,IF(3=$K40,200000,ABS(3-$K40)*100)),100000+ABS(4-$J40)*1000+30)+'計算A'!BZ$5*50+IF(AND($E40=1,LM40=0),25,0),IF($F40&gt;0,INDEX('計算A'!BZ$110:BZ$114,$F40+1)+IF(AND($E40=1,LM40=0),1000,0),MIN(TX40,20)*400+(IF('計算A'!BY$106=1,1-FW40,0)+IF('計算A'!BZ$106=1,1-FY40,0))*150+34+'計算A'!BZ$5*100000+IF(AND($E40=1,LM40=0),50000,0))+IF($H40=1,(IF('計算A'!BY$117=1,INDEX('計算A'!BY$10:BY$54,$B40),0)+IF('計算A'!BZ$117=1,INDEX('計算A'!CA$10:CA$54,$B40),0))*4000,0)-IF(AND('計算A'!BY$117=1,WW40&gt;0),2000,0)-IF(AND($L40=1,'計算A'!BZ$117=1,FY40=0),2000,0))),1000000))</f>
        <v/>
      </c>
      <c r="RC40">
        <f>IF($B40=0,1000000,IF(INDEX('計算A'!$D$60:$EQ$104,$B40,76)*FY40=1,IF(AND($E40=2,LN40=0),1000000,IF($I40&gt;0,IF(4=$J40,IF(OR(AND(76=$I40+1,OR($K40&lt;&gt;'計算A'!$A$3,'計算A'!$A$4=0)),AND(76=$I40-1,OR(4&lt;&gt;'計算A'!$A$3,'計算A'!$A$4=0))),0,IF(4=$K40,200000,ABS(4-$K40)*100)),100000+ABS(4-$J40)*1000+40)+'計算A'!CA$5*50+IF(AND($E40=1,LN40=0),25,0),IF($F40&gt;0,INDEX('計算A'!CA$110:CA$114,$F40+1)+IF(AND($E40=1,LN40=0),1000,0),MIN(TX40,20)*400+(IF('計算A'!BZ$106=1,1-FX40,0)+IF('計算A'!CA$106=1,1-FZ40,0))*150+44+'計算A'!CA$5*100000+IF(AND($E40=1,LN40=0),50000,0))+IF($H40=1,(IF('計算A'!BZ$117=1,INDEX('計算A'!BZ$10:BZ$54,$B40),0)+IF('計算A'!CA$117=1,INDEX('計算A'!CB$10:CB$54,$B40),0))*4000,0)-IF(AND('計算A'!BZ$117=1,WX40&gt;0),2000,0)-IF(AND($L40=1,'計算A'!CA$117=1,FZ40=0),2000,0))),1000000))</f>
        <v/>
      </c>
      <c r="RD40">
        <f>IF($B40=0,1000000,IF(INDEX('計算A'!$D$60:$EQ$104,$B40,77)*FZ40=1,IF(AND($E40=2,LO40=0),1000000,IF($I40&gt;0,IF(4=$J40,IF(OR(AND(77=$I40+1,OR($K40&lt;&gt;'計算A'!$A$3,'計算A'!$A$4=0)),AND(77=$I40-1,OR(5&lt;&gt;'計算A'!$A$3,'計算A'!$A$4=0))),0,IF(5=$K40,200000,ABS(5-$K40)*100)),100000+ABS(4-$J40)*1000+50)+'計算A'!CB$5*50+IF(AND($E40=1,LO40=0),25,0),IF($F40&gt;0,INDEX('計算A'!CB$110:CB$114,$F40+1)+IF(AND($E40=1,LO40=0),1000,0),MIN(TX40,20)*400+(IF('計算A'!CA$106=1,1-FY40,0)+IF('計算A'!CB$106=1,1-GA40,0))*150+54+'計算A'!CB$5*100000+IF(AND($E40=1,LO40=0),50000,0))+IF($H40=1,(IF('計算A'!CA$117=1,INDEX('計算A'!CA$10:CA$54,$B40),0)+IF('計算A'!CB$117=1,INDEX('計算A'!CC$10:CC$54,$B40),0))*4000,0)-IF(AND('計算A'!CA$117=1,WY40&gt;0),2000,0)-IF(AND($L40=1,'計算A'!CB$117=1,GA40=0),2000,0))),1000000))</f>
        <v/>
      </c>
      <c r="RE40">
        <f>IF($B40=0,1000000,IF(INDEX('計算A'!$D$60:$EQ$104,$B40,78)*GA40=1,IF(AND($E40=2,LP40=0),1000000,IF($I40&gt;0,IF(4=$J40,IF(OR(AND(78=$I40+1,OR($K40&lt;&gt;'計算A'!$A$3,'計算A'!$A$4=0)),AND(78=$I40-1,OR(6&lt;&gt;'計算A'!$A$3,'計算A'!$A$4=0))),0,IF(6=$K40,200000,ABS(6-$K40)*100)),100000+ABS(4-$J40)*1000+60)+'計算A'!CC$5*50+IF(AND($E40=1,LP40=0),25,0),IF($F40&gt;0,INDEX('計算A'!CC$110:CC$114,$F40+1)+IF(AND($E40=1,LP40=0),1000,0),MIN(TX40,20)*400+(IF('計算A'!CB$106=1,1-FZ40,0)+IF('計算A'!CC$106=1,1-GB40,0))*150+64+'計算A'!CC$5*100000+IF(AND($E40=1,LP40=0),50000,0))+IF($H40=1,(IF('計算A'!CB$117=1,INDEX('計算A'!CB$10:CB$54,$B40),0)+IF('計算A'!CC$117=1,INDEX('計算A'!CD$10:CD$54,$B40),0))*4000,0)-IF(AND('計算A'!CB$117=1,WZ40&gt;0),2000,0)-IF(AND($L40=1,'計算A'!CC$117=1,GB40=0),2000,0))),1000000))</f>
        <v/>
      </c>
      <c r="RF40">
        <f>IF($B40=0,1000000,IF(INDEX('計算A'!$D$60:$EQ$104,$B40,79)*GB40=1,IF(AND($E40=2,LQ40=0),1000000,IF($I40&gt;0,IF(4=$J40,IF(OR(AND(79=$I40+1,OR($K40&lt;&gt;'計算A'!$A$3,'計算A'!$A$4=0)),AND(79=$I40-1,OR(7&lt;&gt;'計算A'!$A$3,'計算A'!$A$4=0))),0,IF(7=$K40,200000,ABS(7-$K40)*100)),100000+ABS(4-$J40)*1000+70)+'計算A'!CD$5*50+IF(AND($E40=1,LQ40=0),25,0),IF($F40&gt;0,INDEX('計算A'!CD$110:CD$114,$F40+1)+IF(AND($E40=1,LQ40=0),1000,0),MIN(TX40,20)*400+(IF('計算A'!CC$106=1,1-GA40,0)+IF('計算A'!CD$106=1,1-GC40,0))*150+74+'計算A'!CD$5*100000+IF(AND($E40=1,LQ40=0),50000,0))+IF($H40=1,(IF('計算A'!CC$117=1,INDEX('計算A'!CC$10:CC$54,$B40),0)+IF('計算A'!CD$117=1,INDEX('計算A'!CE$10:CE$54,$B40),0))*4000,0)-IF(AND('計算A'!CC$117=1,XA40&gt;0),2000,0)-IF(AND($L40=1,'計算A'!CD$117=1,GC40=0),2000,0))),1000000))</f>
        <v/>
      </c>
      <c r="RG40">
        <f>IF($B40=0,1000000,IF(INDEX('計算A'!$D$60:$EQ$104,$B40,80)*GC40=1,IF(AND($E40=2,LR40=0),1000000,IF($I40&gt;0,IF(4=$J40,IF(OR(AND(80=$I40+1,OR($K40&lt;&gt;'計算A'!$A$3,'計算A'!$A$4=0)),AND(80=$I40-1,OR(8&lt;&gt;'計算A'!$A$3,'計算A'!$A$4=0))),0,IF(8=$K40,200000,ABS(8-$K40)*100)),100000+ABS(4-$J40)*1000+80)+'計算A'!CE$5*50+IF(AND($E40=1,LR40=0),25,0),IF($F40&gt;0,INDEX('計算A'!CE$110:CE$114,$F40+1)+IF(AND($E40=1,LR40=0),1000,0),MIN(TX40,20)*400+(IF('計算A'!CD$106=1,1-GB40,0)+IF('計算A'!CE$106=1,1-GD40,0))*150+84+'計算A'!CE$5*100000+IF(AND($E40=1,LR40=0),50000,0))+IF($H40=1,(IF('計算A'!CD$117=1,INDEX('計算A'!CD$10:CD$54,$B40),0)+IF('計算A'!CE$117=1,INDEX('計算A'!CF$10:CF$54,$B40),0))*4000,0)-IF(AND('計算A'!CD$117=1,XB40&gt;0),2000,0)-IF(AND($L40=1,'計算A'!CE$117=1,GD40=0),2000,0))),1000000))</f>
        <v/>
      </c>
      <c r="RH40">
        <f>IF($B40=0,1000000,IF(INDEX('計算A'!$D$60:$EQ$104,$B40,81)*GD40=1,IF(AND($E40=2,LS40=0),1000000,IF($I40&gt;0,IF(4=$J40,IF(OR(AND(81=$I40+1,OR($K40&lt;&gt;'計算A'!$A$3,'計算A'!$A$4=0)),AND(81=$I40-1,OR(9&lt;&gt;'計算A'!$A$3,'計算A'!$A$4=0))),0,IF(9=$K40,200000,ABS(9-$K40)*100)),100000+ABS(4-$J40)*1000+90)+'計算A'!CF$5*50+IF(AND($E40=1,LS40=0),25,0),IF($F40&gt;0,INDEX('計算A'!CF$110:CF$114,$F40+1)+IF(AND($E40=1,LS40=0),1000,0),MIN(TX40,20)*400+(IF('計算A'!CE$106=1,1-GC40,0)+IF('計算A'!CF$106=1,1-GE40,0))*150+94+'計算A'!CF$5*100000+IF(AND($E40=1,LS40=0),50000,0))+IF($H40=1,(IF('計算A'!CE$117=1,INDEX('計算A'!CE$10:CE$54,$B40),0)+IF('計算A'!CF$117=1,INDEX('計算A'!CG$10:CG$54,$B40),0))*4000,0)-IF(AND('計算A'!CE$117=1,XC40&gt;0),2000,0)-IF(AND($L40=1,'計算A'!CF$117=1,GE40=0),2000,0))),1000000))</f>
        <v/>
      </c>
      <c r="RI40">
        <f>IF($B40=0,1000000,IF(INDEX('計算A'!$D$60:$EQ$104,$B40,82)*GE40=1,IF(AND($E40=2,LT40=0),1000000,IF($I40&gt;0,IF(4=$J40,IF(OR(AND(82=$I40+1,OR($K40&lt;&gt;'計算A'!$A$3,'計算A'!$A$4=0)),AND(82=$I40-1,OR(10&lt;&gt;'計算A'!$A$3,'計算A'!$A$4=0))),0,IF(10=$K40,200000,ABS(10-$K40)*100)),100000+ABS(4-$J40)*1000+100)+'計算A'!CG$5*50+IF(AND($E40=1,LT40=0),25,0),IF($F40&gt;0,INDEX('計算A'!CG$110:CG$114,$F40+1)+IF(AND($E40=1,LT40=0),1000,0),MIN(TX40,20)*400+(IF('計算A'!CF$106=1,1-GD40,0)+IF('計算A'!CG$106=1,1-GF40,0))*150+104+'計算A'!CG$5*100000+IF(AND($E40=1,LT40=0),50000,0))+IF($H40=1,(IF('計算A'!CF$117=1,INDEX('計算A'!CF$10:CF$54,$B40),0)+IF('計算A'!CG$117=1,INDEX('計算A'!CH$10:CH$54,$B40),0))*4000,0)-IF(AND('計算A'!CF$117=1,XD40&gt;0),2000,0)-IF(AND($L40=1,'計算A'!CG$117=1,GF40=0),2000,0))),1000000))</f>
        <v/>
      </c>
      <c r="RJ40">
        <f>IF($B40=0,1000000,IF(INDEX('計算A'!$D$60:$EQ$104,$B40,83)*GF40=1,IF(AND($E40=2,LU40=0),1000000,IF($I40&gt;0,IF(4=$J40,IF(OR(AND(83=$I40+1,OR($K40&lt;&gt;'計算A'!$A$3,'計算A'!$A$4=0)),AND(83=$I40-1,OR(11&lt;&gt;'計算A'!$A$3,'計算A'!$A$4=0))),0,IF(11=$K40,200000,ABS(11-$K40)*100)),100000+ABS(4-$J40)*1000+110)+'計算A'!CH$5*50+IF(AND($E40=1,LU40=0),25,0),IF($F40&gt;0,INDEX('計算A'!CH$110:CH$114,$F40+1)+IF(AND($E40=1,LU40=0),1000,0),MIN(TX40,20)*400+(IF('計算A'!CG$106=1,1-GE40,0)+IF('計算A'!CH$106=1,1-GG40,0))*150+114+'計算A'!CH$5*100000+IF(AND($E40=1,LU40=0),50000,0))+IF($H40=1,(IF('計算A'!CG$117=1,INDEX('計算A'!CG$10:CG$54,$B40),0)+IF('計算A'!CH$117=1,INDEX('計算A'!CI$10:CI$54,$B40),0))*4000,0)-IF(AND('計算A'!CG$117=1,XE40&gt;0),2000,0)-IF(AND($L40=1,'計算A'!CH$117=1,GG40=0),2000,0))),1000000))</f>
        <v/>
      </c>
      <c r="RK40">
        <f>IF($B40=0,1000000,IF(INDEX('計算A'!$D$60:$EQ$104,$B40,84)*GG40=1,IF(AND($E40=2,LV40=0),1000000,IF($I40&gt;0,IF(4=$J40,IF(OR(AND(84=$I40+1,OR($K40&lt;&gt;'計算A'!$A$3,'計算A'!$A$4=0)),AND(84=$I40-1,OR(12&lt;&gt;'計算A'!$A$3,'計算A'!$A$4=0))),0,IF(12=$K40,200000,ABS(12-$K40)*100)),100000+ABS(4-$J40)*1000+120)+'計算A'!CI$5*50+IF(AND($E40=1,LV40=0),25,0),IF($F40&gt;0,INDEX('計算A'!CI$110:CI$114,$F40+1)+IF(AND($E40=1,LV40=0),1000,0),MIN(TX40,20)*400+(IF('計算A'!CH$106=1,1-GF40,0)+IF('計算A'!CI$106=1,1-GH40,0))*150+124+'計算A'!CI$5*100000+IF(AND($E40=1,LV40=0),50000,0))+IF($H40=1,(IF('計算A'!CH$117=1,INDEX('計算A'!CH$10:CH$54,$B40),0)+IF('計算A'!CI$117=1,INDEX('計算A'!CJ$10:CJ$54,$B40),0))*4000,0)-IF(AND('計算A'!CH$117=1,XF40&gt;0),2000,0)-IF(AND($L40=1,'計算A'!CI$117=1,GH40=0),2000,0))),1000000))</f>
        <v/>
      </c>
      <c r="RL40">
        <f>IF($B40=0,1000000,IF(INDEX('計算A'!$D$60:$EQ$104,$B40,85)*GH40=1,IF(AND($E40=2,LW40=0),1000000,IF($I40&gt;0,IF(4=$J40,IF(OR(AND(85=$I40+1,OR($K40&lt;&gt;'計算A'!$A$3,'計算A'!$A$4=0)),AND(85=$I40-1,OR(13&lt;&gt;'計算A'!$A$3,'計算A'!$A$4=0))),0,IF(13=$K40,200000,ABS(13-$K40)*100)),100000+ABS(4-$J40)*1000+130)+'計算A'!CJ$5*50+IF(AND($E40=1,LW40=0),25,0),IF($F40&gt;0,INDEX('計算A'!CJ$110:CJ$114,$F40+1)+IF(AND($E40=1,LW40=0),1000,0),MIN(TX40,20)*400+(IF('計算A'!CI$106=1,1-GG40,0)+IF('計算A'!CJ$106=1,1-GI40,0))*150+134+'計算A'!CJ$5*100000+IF(AND($E40=1,LW40=0),50000,0))+IF($H40=1,(IF('計算A'!CI$117=1,INDEX('計算A'!CI$10:CI$54,$B40),0)+IF('計算A'!CJ$117=1,INDEX('計算A'!CK$10:CK$54,$B40),0))*4000,0)-IF(AND('計算A'!CI$117=1,XG40&gt;0),2000,0)-IF(AND($L40=1,'計算A'!CJ$117=1,GI40=0),2000,0))),1000000))</f>
        <v/>
      </c>
      <c r="RM40">
        <f>IF($B40=0,1000000,IF(INDEX('計算A'!$D$60:$EQ$104,$B40,86)*GI40=1,IF(AND($E40=2,LX40=0),1000000,IF($I40&gt;0,IF(4=$J40,IF(OR(AND(86=$I40+1,OR($K40&lt;&gt;'計算A'!$A$3,'計算A'!$A$4=0)),AND(86=$I40-1,OR(14&lt;&gt;'計算A'!$A$3,'計算A'!$A$4=0))),0,IF(14=$K40,200000,ABS(14-$K40)*100)),100000+ABS(4-$J40)*1000+140)+'計算A'!CK$5*50+IF(AND($E40=1,LX40=0),25,0),IF($F40&gt;0,INDEX('計算A'!CK$110:CK$114,$F40+1)+IF(AND($E40=1,LX40=0),1000,0),MIN(TX40,20)*400+(IF('計算A'!CJ$106=1,1-GH40,0)+IF('計算A'!CK$106=1,1-GJ40,0))*150+144+'計算A'!CK$5*100000+IF(AND($E40=1,LX40=0),50000,0))+IF($H40=1,(IF('計算A'!CJ$117=1,INDEX('計算A'!CJ$10:CJ$54,$B40),0)+IF('計算A'!CK$117=1,INDEX('計算A'!CL$10:CL$54,$B40),0))*4000,0)-IF(AND('計算A'!CJ$117=1,XH40&gt;0),2000,0)-IF(AND($L40=1,'計算A'!CK$117=1,GJ40=0),2000,0))),1000000))</f>
        <v/>
      </c>
      <c r="RN40">
        <f>IF($B40=0,1000000,IF(INDEX('計算A'!$D$60:$EQ$104,$B40,87)*GJ40=1,IF(AND($E40=2,LY40=0),1000000,IF($I40&gt;0,IF(4=$J40,IF(OR(AND(87=$I40+1,OR($K40&lt;&gt;'計算A'!$A$3,'計算A'!$A$4=0)),AND(87=$I40-1,OR(15&lt;&gt;'計算A'!$A$3,'計算A'!$A$4=0))),0,IF(15=$K40,200000,ABS(15-$K40)*100)),100000+ABS(4-$J40)*1000+150)+'計算A'!CL$5*50+IF(AND($E40=1,LY40=0),25,0),IF($F40&gt;0,INDEX('計算A'!CL$110:CL$114,$F40+1)+IF(AND($E40=1,LY40=0),1000,0),MIN(TX40,20)*400+(IF('計算A'!CK$106=1,1-GI40,0)+IF('計算A'!CL$106=1,1-GK40,0))*150+154+'計算A'!CL$5*100000+IF(AND($E40=1,LY40=0),50000,0))+IF($H40=1,(IF('計算A'!CK$117=1,INDEX('計算A'!CK$10:CK$54,$B40),0)+IF('計算A'!CL$117=1,INDEX('計算A'!CM$10:CM$54,$B40),0))*4000,0)-IF(AND('計算A'!CK$117=1,XI40&gt;0),2000,0)-IF(AND($L40=1,'計算A'!CL$117=1,GK40=0),2000,0))),1000000))</f>
        <v/>
      </c>
      <c r="RO40">
        <f>IF($B40=0,1000000,IF(INDEX('計算A'!$D$60:$EQ$104,$B40,88)*GK40=1,IF(AND($E40=2,LZ40=0),1000000,IF($I40&gt;0,IF(4=$J40,IF(OR(AND(88=$I40+1,OR($K40&lt;&gt;'計算A'!$A$3,'計算A'!$A$4=0)),AND(88=$I40-1,OR(16&lt;&gt;'計算A'!$A$3,'計算A'!$A$4=0))),0,IF(16=$K40,200000,ABS(16-$K40)*100)),100000+ABS(4-$J40)*1000+160)+'計算A'!CM$5*50+IF(AND($E40=1,LZ40=0),25,0),IF($F40&gt;0,INDEX('計算A'!CM$110:CM$114,$F40+1)+IF(AND($E40=1,LZ40=0),1000,0),MIN(TX40,20)*400+(IF('計算A'!CL$106=1,1-GJ40,0)+IF('計算A'!CM$106=1,1-GL40,0))*150+164+'計算A'!CM$5*100000+IF(AND($E40=1,LZ40=0),50000,0))+IF($H40=1,(IF('計算A'!CL$117=1,INDEX('計算A'!CL$10:CL$54,$B40),0)+IF('計算A'!CM$117=1,INDEX('計算A'!CN$10:CN$54,$B40),0))*4000,0)-IF(AND('計算A'!CL$117=1,XJ40&gt;0),2000,0)-IF(AND($L40=1,'計算A'!CM$117=1,GL40=0),2000,0))),1000000))</f>
        <v/>
      </c>
      <c r="RP40">
        <f>IF($B40=0,1000000,IF(INDEX('計算A'!$D$60:$EQ$104,$B40,89)*GL40=1,IF(AND($E40=2,MA40=0),1000000,IF($I40&gt;0,IF(4=$J40,IF(OR(AND(89=$I40+1,OR($K40&lt;&gt;'計算A'!$A$3,'計算A'!$A$4=0)),AND(89=$I40-1,OR(17&lt;&gt;'計算A'!$A$3,'計算A'!$A$4=0))),0,IF(17=$K40,200000,ABS(17-$K40)*100)),100000+ABS(4-$J40)*1000+170)+'計算A'!CN$5*50+IF(AND($E40=1,MA40=0),25,0),IF($F40&gt;0,INDEX('計算A'!CN$110:CN$114,$F40+1)+IF(AND($E40=1,MA40=0),1000,0),MIN(TX40,20)*400+(IF('計算A'!CM$106=1,1-GK40,0)+IF('計算A'!CN$106=1,1-GM40,0))*150+174+'計算A'!CN$5*100000+IF(AND($E40=1,MA40=0),50000,0))+IF($H40=1,(IF('計算A'!CM$117=1,INDEX('計算A'!CM$10:CM$54,$B40),0)+IF('計算A'!CN$117=1,INDEX('計算A'!CO$10:CO$54,$B40),0))*4000,0)-IF(AND('計算A'!CM$117=1,XK40&gt;0),2000,0)-IF(AND($L40=1,'計算A'!CN$117=1,GM40=0),2000,0))),1000000))</f>
        <v/>
      </c>
      <c r="RQ40">
        <f>IF($B40=0,1000000,IF(INDEX('計算A'!$D$60:$EQ$104,$B40,90)*GM40=1,IF(AND($E40=2,MB40=0),1000000,IF($I40&gt;0,IF(4=$J40,IF(OR(AND(90=$I40+1,OR($K40&lt;&gt;'計算A'!$A$3,'計算A'!$A$4=0)),AND(90=$I40-1,OR(18&lt;&gt;'計算A'!$A$3,'計算A'!$A$4=0))),0,IF(18=$K40,200000,ABS(18-$K40)*100)),100000+ABS(4-$J40)*1000+180)+'計算A'!CO$5*50+IF(AND($E40=1,MB40=0),25,0),IF($F40&gt;0,INDEX('計算A'!CO$110:CO$114,$F40+1)+IF(AND($E40=1,MB40=0),1000,0),MIN(TX40,20)*400+(IF('計算A'!CN$106=1,1-GL40,0)+IF('計算A'!CO$106=1,1-GN40,0))*150+184+'計算A'!CO$5*100000+IF(AND($E40=1,MB40=0),50000,0))+IF($H40=1,(IF('計算A'!CN$117=1,INDEX('計算A'!CN$10:CN$54,$B40),0)+IF('計算A'!CO$117=1,INDEX('計算A'!CP$10:CP$54,$B40),0))*4000,0)-IF(AND('計算A'!CN$117=1,XL40&gt;0),2000,0)-IF(AND($L40=1,'計算A'!CO$117=1,GN40=0),2000,0))),1000000))</f>
        <v/>
      </c>
      <c r="RR40">
        <f>IF($B40=0,1000000,IF(INDEX('計算A'!$D$60:$EQ$104,$B40,91)*GN40=1,IF(AND($E40=2,MC40=0),1000000,IF($I40&gt;0,IF(4=$J40,IF(OR(AND(91=$I40+1,OR($K40&lt;&gt;'計算A'!$A$3,'計算A'!$A$4=0)),AND(91=$I40-1,OR(19&lt;&gt;'計算A'!$A$3,'計算A'!$A$4=0))),0,IF(19=$K40,200000,ABS(19-$K40)*100)),100000+ABS(4-$J40)*1000+190)+'計算A'!CP$5*50+IF(AND($E40=1,MC40=0),25,0),IF($F40&gt;0,INDEX('計算A'!CP$110:CP$114,$F40+1)+IF(AND($E40=1,MC40=0),1000,0),MIN(TX40,20)*400+(IF('計算A'!CO$106=1,1-GM40,0)+IF('計算A'!CP$106=1,1-GO40,0))*150+194+'計算A'!CP$5*100000+IF(AND($E40=1,MC40=0),50000,0))+IF($H40=1,(IF('計算A'!CO$117=1,INDEX('計算A'!CO$10:CO$54,$B40),0)+IF('計算A'!CP$117=1,INDEX('計算A'!CQ$10:CQ$54,$B40),0))*4000,0)-IF(AND('計算A'!CO$117=1,XM40&gt;0),2000,0)-IF(AND($L40=1,'計算A'!CP$117=1,GO40=0),2000,0))),1000000))</f>
        <v/>
      </c>
      <c r="RS40">
        <f>IF($B40=0,1000000,IF(INDEX('計算A'!$D$60:$EQ$104,$B40,92)*GO40=1,IF(AND($E40=2,MD40=0),1000000,IF($I40&gt;0,IF(4=$J40,IF(OR(AND(92=$I40+1,OR($K40&lt;&gt;'計算A'!$A$3,'計算A'!$A$4=0)),AND(92=$I40-1,OR(20&lt;&gt;'計算A'!$A$3,'計算A'!$A$4=0))),0,IF(20=$K40,200000,ABS(20-$K40)*100)),100000+ABS(4-$J40)*1000+200)+'計算A'!CQ$5*50+IF(AND($E40=1,MD40=0),25,0),IF($F40&gt;0,INDEX('計算A'!CQ$110:CQ$114,$F40+1)+IF(AND($E40=1,MD40=0),1000,0),MIN(TX40,20)*400+(IF('計算A'!CP$106=1,1-GN40,0)+IF('計算A'!CQ$106=1,1-GP40,0))*150+204+'計算A'!CQ$5*100000+IF(AND($E40=1,MD40=0),50000,0))+IF($H40=1,(IF('計算A'!CP$117=1,INDEX('計算A'!CP$10:CP$54,$B40),0)+IF('計算A'!CQ$117=1,INDEX('計算A'!CR$10:CR$54,$B40),0))*4000,0)-IF(AND('計算A'!CP$117=1,XN40&gt;0),2000,0)-IF(AND($L40=1,'計算A'!CQ$117=1,GP40=0),2000,0))),1000000))</f>
        <v/>
      </c>
      <c r="RT40">
        <f>IF($B40=0,1000000,IF(INDEX('計算A'!$D$60:$EQ$104,$B40,93)*GP40=1,IF(AND($E40=2,ME40=0),1000000,IF($I40&gt;0,IF(4=$J40,IF(OR(AND(93=$I40+1,OR($K40&lt;&gt;'計算A'!$A$3,'計算A'!$A$4=0)),AND(93=$I40-1,OR(21&lt;&gt;'計算A'!$A$3,'計算A'!$A$4=0))),0,IF(21=$K40,200000,ABS(21-$K40)*100)),100000+ABS(4-$J40)*1000+210)+'計算A'!CR$5*50+IF(AND($E40=1,ME40=0),25,0),IF($F40&gt;0,INDEX('計算A'!CR$110:CR$114,$F40+1)+IF(AND($E40=1,ME40=0),1000,0),MIN(TX40,20)*400+(IF('計算A'!CQ$106=1,1-GO40,0)+IF('計算A'!CR$106=1,1-GQ40,0))*150+214+'計算A'!CR$5*100000+IF(AND($E40=1,ME40=0),50000,0))+IF($H40=1,(IF('計算A'!CQ$117=1,INDEX('計算A'!CQ$10:CQ$54,$B40),0)+IF('計算A'!CR$117=1,INDEX('計算A'!CS$10:CS$54,$B40),0))*4000,0)-IF(AND('計算A'!CQ$117=1,XO40&gt;0),2000,0)-IF(AND($L40=1,'計算A'!CR$117=1,GQ40=0),2000,0))),1000000))</f>
        <v/>
      </c>
      <c r="RU40">
        <f>IF($B40=0,1000000,IF(INDEX('計算A'!$D$60:$EQ$104,$B40,94)*GQ40=1,IF(AND($E40=2,MF40=0),1000000,IF($I40&gt;0,IF(4=$J40,IF(OR(AND(94=$I40+1,OR($K40&lt;&gt;'計算A'!$A$3,'計算A'!$A$4=0)),AND(94=$I40-1,OR(22&lt;&gt;'計算A'!$A$3,'計算A'!$A$4=0))),0,IF(22=$K40,200000,ABS(22-$K40)*100)),100000+ABS(4-$J40)*1000+220)+'計算A'!CS$5*50+IF(AND($E40=1,MF40=0),25,0),IF($F40&gt;0,INDEX('計算A'!CS$110:CS$114,$F40+1)+IF(AND($E40=1,MF40=0),1000,0),MIN(TX40,20)*400+(IF('計算A'!CR$106=1,1-GP40,0)+IF('計算A'!CS$106=1,1-GR40,0))*150+224+'計算A'!CS$5*100000+IF(AND($E40=1,MF40=0),50000,0))+IF($H40=1,(IF('計算A'!CR$117=1,INDEX('計算A'!CR$10:CR$54,$B40),0)+IF('計算A'!CS$117=1,INDEX('計算A'!CT$10:CT$54,$B40),0))*4000,0)-IF(AND('計算A'!CR$117=1,XP40&gt;0),2000,0)-IF(AND($L40=1,'計算A'!CS$117=1,GR40=0),2000,0))),1000000))</f>
        <v/>
      </c>
      <c r="RV40">
        <f>IF($B40=0,1000000,IF(INDEX('計算A'!$D$60:$EQ$104,$B40,95)*GR40=1,IF(AND($E40=2,MG40=0),1000000,IF($I40&gt;0,IF(4=$J40,IF(OR(AND(95=$I40+1,OR($K40&lt;&gt;'計算A'!$A$3,'計算A'!$A$4=0)),AND(95=$I40-1,OR(23&lt;&gt;'計算A'!$A$3,'計算A'!$A$4=0))),0,IF(23=$K40,200000,ABS(23-$K40)*100)),100000+ABS(4-$J40)*1000+230)+'計算A'!CT$5*50+IF(AND($E40=1,MG40=0),25,0),IF($F40&gt;0,INDEX('計算A'!CT$110:CT$114,$F40+1)+IF(AND($E40=1,MG40=0),1000,0),MIN(TX40,20)*400+(IF('計算A'!CS$106=1,1-GQ40,0)+IF('計算A'!CT$106=1,1-GS40,0))*150+234+'計算A'!CT$5*100000+IF(AND($E40=1,MG40=0),50000,0))+IF($H40=1,(IF('計算A'!CS$117=1,INDEX('計算A'!CS$10:CS$54,$B40),0)+IF('計算A'!CT$117=1,INDEX('計算A'!CU$10:CU$54,$B40),0))*4000,0)-IF(AND('計算A'!CS$117=1,XQ40&gt;0),2000,0)-IF(AND($L40=1,'計算A'!CT$117=1,GS40=0),2000,0))),1000000))</f>
        <v/>
      </c>
      <c r="RW40">
        <f>IF($B40=0,1000000,IF(INDEX('計算A'!$D$60:$EQ$104,$B40,96)*GS40=1,IF(AND($E40=2,MH40=0),1000000,IF($I40&gt;0,IF(4=$J40,IF(OR(AND(96=$I40+1,OR($K40&lt;&gt;'計算A'!$A$3,'計算A'!$A$4=0)),AND(96=$I40-1,OR(24&lt;&gt;'計算A'!$A$3,'計算A'!$A$4=0))),0,IF(24=$K40,200000,ABS(24-$K40)*100)),100000+ABS(4-$J40)*1000+240)+'計算A'!CU$5*50+IF(AND($E40=1,MH40=0),25,0),IF($F40&gt;0,INDEX('計算A'!CU$110:CU$114,$F40+1)+IF(AND($E40=1,MH40=0),1000,0),MIN(TX40,20)*400+(IF('計算A'!CT$106=1,1-GR40,0))*150+244+'計算A'!CU$5*100000+IF(AND($E40=1,MH40=0),50000,0))+IF($H40=1,(IF('計算A'!CT$117=1,INDEX('計算A'!CT$10:CT$54,$B40),0))*4000,0)-IF(AND('計算A'!CT$117=1,XR40&gt;0),2000,0))),1000000))</f>
        <v/>
      </c>
      <c r="RX40">
        <f>IF($B40=0,1000000,IF(INDEX('計算A'!$D$60:$EQ$104,$B40,97)*GT40=1,IF(AND($E40=2,MI40=0),1000000,IF($I40&gt;0,IF(5=$J40,IF(OR(AND(97=$I40+1,OR($K40&lt;&gt;'計算A'!$A$3,'計算A'!$A$4=0)),AND(97=$I40-1,OR(1&lt;&gt;'計算A'!$A$3,'計算A'!$A$4=0))),0,IF(1=$K40,200000,ABS(1-$K40)*100)),100000+ABS(5-$J40)*1000+10)+'計算A'!CV$5*50+IF(AND($E40=1,MI40=0),25,0),IF($F40&gt;0,INDEX('計算A'!CV$110:CV$114,$F40+1)+IF(AND($E40=1,MI40=0),1000,0),MIN(TY40,20)*400+(IF('計算A'!CV$106=1,1-GU40,0))*150+15+'計算A'!CV$5*100000+IF(AND($E40=1,MI40=0),50000,0))+IF($H40=1,(IF('計算A'!CV$117=1,INDEX('計算A'!CW$10:CW$54,$B40),0))*4000,0)-IF(AND($L40=1,'計算A'!CV$117=1,GU40=0),2000,0))),1000000))</f>
        <v/>
      </c>
      <c r="RY40">
        <f>IF($B40=0,1000000,IF(INDEX('計算A'!$D$60:$EQ$104,$B40,98)*GU40=1,IF(AND($E40=2,MJ40=0),1000000,IF($I40&gt;0,IF(5=$J40,IF(OR(AND(98=$I40+1,OR($K40&lt;&gt;'計算A'!$A$3,'計算A'!$A$4=0)),AND(98=$I40-1,OR(2&lt;&gt;'計算A'!$A$3,'計算A'!$A$4=0))),0,IF(2=$K40,200000,ABS(2-$K40)*100)),100000+ABS(5-$J40)*1000+20)+'計算A'!CW$5*50+IF(AND($E40=1,MJ40=0),25,0),IF($F40&gt;0,INDEX('計算A'!CW$110:CW$114,$F40+1)+IF(AND($E40=1,MJ40=0),1000,0),MIN(TY40,20)*400+(IF('計算A'!CV$106=1,1-GT40,0)+IF('計算A'!CW$106=1,1-GV40,0))*150+25+'計算A'!CW$5*100000+IF(AND($E40=1,MJ40=0),50000,0))+IF($H40=1,(IF('計算A'!CV$117=1,INDEX('計算A'!CV$10:CV$54,$B40),0)+IF('計算A'!CW$117=1,INDEX('計算A'!CX$10:CX$54,$B40),0))*4000,0)-IF(AND('計算A'!CV$117=1,XT40&gt;0),2000,0)-IF(AND($L40=1,'計算A'!CW$117=1,GV40=0),2000,0))),1000000))</f>
        <v/>
      </c>
      <c r="RZ40">
        <f>IF($B40=0,1000000,IF(INDEX('計算A'!$D$60:$EQ$104,$B40,99)*GV40=1,IF(AND($E40=2,MK40=0),1000000,IF($I40&gt;0,IF(5=$J40,IF(OR(AND(99=$I40+1,OR($K40&lt;&gt;'計算A'!$A$3,'計算A'!$A$4=0)),AND(99=$I40-1,OR(3&lt;&gt;'計算A'!$A$3,'計算A'!$A$4=0))),0,IF(3=$K40,200000,ABS(3-$K40)*100)),100000+ABS(5-$J40)*1000+30)+'計算A'!CX$5*50+IF(AND($E40=1,MK40=0),25,0),IF($F40&gt;0,INDEX('計算A'!CX$110:CX$114,$F40+1)+IF(AND($E40=1,MK40=0),1000,0),MIN(TY40,20)*400+(IF('計算A'!CW$106=1,1-GU40,0)+IF('計算A'!CX$106=1,1-GW40,0))*150+35+'計算A'!CX$5*100000+IF(AND($E40=1,MK40=0),50000,0))+IF($H40=1,(IF('計算A'!CW$117=1,INDEX('計算A'!CW$10:CW$54,$B40),0)+IF('計算A'!CX$117=1,INDEX('計算A'!CY$10:CY$54,$B40),0))*4000,0)-IF(AND('計算A'!CW$117=1,XU40&gt;0),2000,0)-IF(AND($L40=1,'計算A'!CX$117=1,GW40=0),2000,0))),1000000))</f>
        <v/>
      </c>
      <c r="SA40">
        <f>IF($B40=0,1000000,IF(INDEX('計算A'!$D$60:$EQ$104,$B40,100)*GW40=1,IF(AND($E40=2,ML40=0),1000000,IF($I40&gt;0,IF(5=$J40,IF(OR(AND(100=$I40+1,OR($K40&lt;&gt;'計算A'!$A$3,'計算A'!$A$4=0)),AND(100=$I40-1,OR(4&lt;&gt;'計算A'!$A$3,'計算A'!$A$4=0))),0,IF(4=$K40,200000,ABS(4-$K40)*100)),100000+ABS(5-$J40)*1000+40)+'計算A'!CY$5*50+IF(AND($E40=1,ML40=0),25,0),IF($F40&gt;0,INDEX('計算A'!CY$110:CY$114,$F40+1)+IF(AND($E40=1,ML40=0),1000,0),MIN(TY40,20)*400+(IF('計算A'!CX$106=1,1-GV40,0)+IF('計算A'!CY$106=1,1-GX40,0))*150+45+'計算A'!CY$5*100000+IF(AND($E40=1,ML40=0),50000,0))+IF($H40=1,(IF('計算A'!CX$117=1,INDEX('計算A'!CX$10:CX$54,$B40),0)+IF('計算A'!CY$117=1,INDEX('計算A'!CZ$10:CZ$54,$B40),0))*4000,0)-IF(AND('計算A'!CX$117=1,XV40&gt;0),2000,0)-IF(AND($L40=1,'計算A'!CY$117=1,GX40=0),2000,0))),1000000))</f>
        <v/>
      </c>
      <c r="SB40">
        <f>IF($B40=0,1000000,IF(INDEX('計算A'!$D$60:$EQ$104,$B40,101)*GX40=1,IF(AND($E40=2,MM40=0),1000000,IF($I40&gt;0,IF(5=$J40,IF(OR(AND(101=$I40+1,OR($K40&lt;&gt;'計算A'!$A$3,'計算A'!$A$4=0)),AND(101=$I40-1,OR(5&lt;&gt;'計算A'!$A$3,'計算A'!$A$4=0))),0,IF(5=$K40,200000,ABS(5-$K40)*100)),100000+ABS(5-$J40)*1000+50)+'計算A'!CZ$5*50+IF(AND($E40=1,MM40=0),25,0),IF($F40&gt;0,INDEX('計算A'!CZ$110:CZ$114,$F40+1)+IF(AND($E40=1,MM40=0),1000,0),MIN(TY40,20)*400+(IF('計算A'!CY$106=1,1-GW40,0)+IF('計算A'!CZ$106=1,1-GY40,0))*150+55+'計算A'!CZ$5*100000+IF(AND($E40=1,MM40=0),50000,0))+IF($H40=1,(IF('計算A'!CY$117=1,INDEX('計算A'!CY$10:CY$54,$B40),0)+IF('計算A'!CZ$117=1,INDEX('計算A'!DA$10:DA$54,$B40),0))*4000,0)-IF(AND('計算A'!CY$117=1,XW40&gt;0),2000,0)-IF(AND($L40=1,'計算A'!CZ$117=1,GY40=0),2000,0))),1000000))</f>
        <v/>
      </c>
      <c r="SC40">
        <f>IF($B40=0,1000000,IF(INDEX('計算A'!$D$60:$EQ$104,$B40,102)*GY40=1,IF(AND($E40=2,MN40=0),1000000,IF($I40&gt;0,IF(5=$J40,IF(OR(AND(102=$I40+1,OR($K40&lt;&gt;'計算A'!$A$3,'計算A'!$A$4=0)),AND(102=$I40-1,OR(6&lt;&gt;'計算A'!$A$3,'計算A'!$A$4=0))),0,IF(6=$K40,200000,ABS(6-$K40)*100)),100000+ABS(5-$J40)*1000+60)+'計算A'!DA$5*50+IF(AND($E40=1,MN40=0),25,0),IF($F40&gt;0,INDEX('計算A'!DA$110:DA$114,$F40+1)+IF(AND($E40=1,MN40=0),1000,0),MIN(TY40,20)*400+(IF('計算A'!CZ$106=1,1-GX40,0)+IF('計算A'!DA$106=1,1-GZ40,0))*150+65+'計算A'!DA$5*100000+IF(AND($E40=1,MN40=0),50000,0))+IF($H40=1,(IF('計算A'!CZ$117=1,INDEX('計算A'!CZ$10:CZ$54,$B40),0)+IF('計算A'!DA$117=1,INDEX('計算A'!DB$10:DB$54,$B40),0))*4000,0)-IF(AND('計算A'!CZ$117=1,XX40&gt;0),2000,0)-IF(AND($L40=1,'計算A'!DA$117=1,GZ40=0),2000,0))),1000000))</f>
        <v/>
      </c>
      <c r="SD40">
        <f>IF($B40=0,1000000,IF(INDEX('計算A'!$D$60:$EQ$104,$B40,103)*GZ40=1,IF(AND($E40=2,MO40=0),1000000,IF($I40&gt;0,IF(5=$J40,IF(OR(AND(103=$I40+1,OR($K40&lt;&gt;'計算A'!$A$3,'計算A'!$A$4=0)),AND(103=$I40-1,OR(7&lt;&gt;'計算A'!$A$3,'計算A'!$A$4=0))),0,IF(7=$K40,200000,ABS(7-$K40)*100)),100000+ABS(5-$J40)*1000+70)+'計算A'!DB$5*50+IF(AND($E40=1,MO40=0),25,0),IF($F40&gt;0,INDEX('計算A'!DB$110:DB$114,$F40+1)+IF(AND($E40=1,MO40=0),1000,0),MIN(TY40,20)*400+(IF('計算A'!DA$106=1,1-GY40,0)+IF('計算A'!DB$106=1,1-HA40,0))*150+75+'計算A'!DB$5*100000+IF(AND($E40=1,MO40=0),50000,0))+IF($H40=1,(IF('計算A'!DA$117=1,INDEX('計算A'!DA$10:DA$54,$B40),0)+IF('計算A'!DB$117=1,INDEX('計算A'!DC$10:DC$54,$B40),0))*4000,0)-IF(AND('計算A'!DA$117=1,XY40&gt;0),2000,0)-IF(AND($L40=1,'計算A'!DB$117=1,HA40=0),2000,0))),1000000))</f>
        <v/>
      </c>
      <c r="SE40">
        <f>IF($B40=0,1000000,IF(INDEX('計算A'!$D$60:$EQ$104,$B40,104)*HA40=1,IF(AND($E40=2,MP40=0),1000000,IF($I40&gt;0,IF(5=$J40,IF(OR(AND(104=$I40+1,OR($K40&lt;&gt;'計算A'!$A$3,'計算A'!$A$4=0)),AND(104=$I40-1,OR(8&lt;&gt;'計算A'!$A$3,'計算A'!$A$4=0))),0,IF(8=$K40,200000,ABS(8-$K40)*100)),100000+ABS(5-$J40)*1000+80)+'計算A'!DC$5*50+IF(AND($E40=1,MP40=0),25,0),IF($F40&gt;0,INDEX('計算A'!DC$110:DC$114,$F40+1)+IF(AND($E40=1,MP40=0),1000,0),MIN(TY40,20)*400+(IF('計算A'!DB$106=1,1-GZ40,0)+IF('計算A'!DC$106=1,1-HB40,0))*150+85+'計算A'!DC$5*100000+IF(AND($E40=1,MP40=0),50000,0))+IF($H40=1,(IF('計算A'!DB$117=1,INDEX('計算A'!DB$10:DB$54,$B40),0)+IF('計算A'!DC$117=1,INDEX('計算A'!DD$10:DD$54,$B40),0))*4000,0)-IF(AND('計算A'!DB$117=1,XZ40&gt;0),2000,0)-IF(AND($L40=1,'計算A'!DC$117=1,HB40=0),2000,0))),1000000))</f>
        <v/>
      </c>
      <c r="SF40">
        <f>IF($B40=0,1000000,IF(INDEX('計算A'!$D$60:$EQ$104,$B40,105)*HB40=1,IF(AND($E40=2,MQ40=0),1000000,IF($I40&gt;0,IF(5=$J40,IF(OR(AND(105=$I40+1,OR($K40&lt;&gt;'計算A'!$A$3,'計算A'!$A$4=0)),AND(105=$I40-1,OR(9&lt;&gt;'計算A'!$A$3,'計算A'!$A$4=0))),0,IF(9=$K40,200000,ABS(9-$K40)*100)),100000+ABS(5-$J40)*1000+90)+'計算A'!DD$5*50+IF(AND($E40=1,MQ40=0),25,0),IF($F40&gt;0,INDEX('計算A'!DD$110:DD$114,$F40+1)+IF(AND($E40=1,MQ40=0),1000,0),MIN(TY40,20)*400+(IF('計算A'!DC$106=1,1-HA40,0)+IF('計算A'!DD$106=1,1-HC40,0))*150+95+'計算A'!DD$5*100000+IF(AND($E40=1,MQ40=0),50000,0))+IF($H40=1,(IF('計算A'!DC$117=1,INDEX('計算A'!DC$10:DC$54,$B40),0)+IF('計算A'!DD$117=1,INDEX('計算A'!DE$10:DE$54,$B40),0))*4000,0)-IF(AND('計算A'!DC$117=1,YA40&gt;0),2000,0)-IF(AND($L40=1,'計算A'!DD$117=1,HC40=0),2000,0))),1000000))</f>
        <v/>
      </c>
      <c r="SG40">
        <f>IF($B40=0,1000000,IF(INDEX('計算A'!$D$60:$EQ$104,$B40,106)*HC40=1,IF(AND($E40=2,MR40=0),1000000,IF($I40&gt;0,IF(5=$J40,IF(OR(AND(106=$I40+1,OR($K40&lt;&gt;'計算A'!$A$3,'計算A'!$A$4=0)),AND(106=$I40-1,OR(10&lt;&gt;'計算A'!$A$3,'計算A'!$A$4=0))),0,IF(10=$K40,200000,ABS(10-$K40)*100)),100000+ABS(5-$J40)*1000+100)+'計算A'!DE$5*50+IF(AND($E40=1,MR40=0),25,0),IF($F40&gt;0,INDEX('計算A'!DE$110:DE$114,$F40+1)+IF(AND($E40=1,MR40=0),1000,0),MIN(TY40,20)*400+(IF('計算A'!DD$106=1,1-HB40,0)+IF('計算A'!DE$106=1,1-HD40,0))*150+105+'計算A'!DE$5*100000+IF(AND($E40=1,MR40=0),50000,0))+IF($H40=1,(IF('計算A'!DD$117=1,INDEX('計算A'!DD$10:DD$54,$B40),0)+IF('計算A'!DE$117=1,INDEX('計算A'!DF$10:DF$54,$B40),0))*4000,0)-IF(AND('計算A'!DD$117=1,YB40&gt;0),2000,0)-IF(AND($L40=1,'計算A'!DE$117=1,HD40=0),2000,0))),1000000))</f>
        <v/>
      </c>
      <c r="SH40">
        <f>IF($B40=0,1000000,IF(INDEX('計算A'!$D$60:$EQ$104,$B40,107)*HD40=1,IF(AND($E40=2,MS40=0),1000000,IF($I40&gt;0,IF(5=$J40,IF(OR(AND(107=$I40+1,OR($K40&lt;&gt;'計算A'!$A$3,'計算A'!$A$4=0)),AND(107=$I40-1,OR(11&lt;&gt;'計算A'!$A$3,'計算A'!$A$4=0))),0,IF(11=$K40,200000,ABS(11-$K40)*100)),100000+ABS(5-$J40)*1000+110)+'計算A'!DF$5*50+IF(AND($E40=1,MS40=0),25,0),IF($F40&gt;0,INDEX('計算A'!DF$110:DF$114,$F40+1)+IF(AND($E40=1,MS40=0),1000,0),MIN(TY40,20)*400+(IF('計算A'!DE$106=1,1-HC40,0)+IF('計算A'!DF$106=1,1-HE40,0))*150+115+'計算A'!DF$5*100000+IF(AND($E40=1,MS40=0),50000,0))+IF($H40=1,(IF('計算A'!DE$117=1,INDEX('計算A'!DE$10:DE$54,$B40),0)+IF('計算A'!DF$117=1,INDEX('計算A'!DG$10:DG$54,$B40),0))*4000,0)-IF(AND('計算A'!DE$117=1,YC40&gt;0),2000,0)-IF(AND($L40=1,'計算A'!DF$117=1,HE40=0),2000,0))),1000000))</f>
        <v/>
      </c>
      <c r="SI40">
        <f>IF($B40=0,1000000,IF(INDEX('計算A'!$D$60:$EQ$104,$B40,108)*HE40=1,IF(AND($E40=2,MT40=0),1000000,IF($I40&gt;0,IF(5=$J40,IF(OR(AND(108=$I40+1,OR($K40&lt;&gt;'計算A'!$A$3,'計算A'!$A$4=0)),AND(108=$I40-1,OR(12&lt;&gt;'計算A'!$A$3,'計算A'!$A$4=0))),0,IF(12=$K40,200000,ABS(12-$K40)*100)),100000+ABS(5-$J40)*1000+120)+'計算A'!DG$5*50+IF(AND($E40=1,MT40=0),25,0),IF($F40&gt;0,INDEX('計算A'!DG$110:DG$114,$F40+1)+IF(AND($E40=1,MT40=0),1000,0),MIN(TY40,20)*400+(IF('計算A'!DF$106=1,1-HD40,0)+IF('計算A'!DG$106=1,1-HF40,0))*150+125+'計算A'!DG$5*100000+IF(AND($E40=1,MT40=0),50000,0))+IF($H40=1,(IF('計算A'!DF$117=1,INDEX('計算A'!DF$10:DF$54,$B40),0)+IF('計算A'!DG$117=1,INDEX('計算A'!DH$10:DH$54,$B40),0))*4000,0)-IF(AND('計算A'!DF$117=1,YD40&gt;0),2000,0)-IF(AND($L40=1,'計算A'!DG$117=1,HF40=0),2000,0))),1000000))</f>
        <v/>
      </c>
      <c r="SJ40">
        <f>IF($B40=0,1000000,IF(INDEX('計算A'!$D$60:$EQ$104,$B40,109)*HF40=1,IF(AND($E40=2,MU40=0),1000000,IF($I40&gt;0,IF(5=$J40,IF(OR(AND(109=$I40+1,OR($K40&lt;&gt;'計算A'!$A$3,'計算A'!$A$4=0)),AND(109=$I40-1,OR(13&lt;&gt;'計算A'!$A$3,'計算A'!$A$4=0))),0,IF(13=$K40,200000,ABS(13-$K40)*100)),100000+ABS(5-$J40)*1000+130)+'計算A'!DH$5*50+IF(AND($E40=1,MU40=0),25,0),IF($F40&gt;0,INDEX('計算A'!DH$110:DH$114,$F40+1)+IF(AND($E40=1,MU40=0),1000,0),MIN(TY40,20)*400+(IF('計算A'!DG$106=1,1-HE40,0)+IF('計算A'!DH$106=1,1-HG40,0))*150+135+'計算A'!DH$5*100000+IF(AND($E40=1,MU40=0),50000,0))+IF($H40=1,(IF('計算A'!DG$117=1,INDEX('計算A'!DG$10:DG$54,$B40),0)+IF('計算A'!DH$117=1,INDEX('計算A'!DI$10:DI$54,$B40),0))*4000,0)-IF(AND('計算A'!DG$117=1,YE40&gt;0),2000,0)-IF(AND($L40=1,'計算A'!DH$117=1,HG40=0),2000,0))),1000000))</f>
        <v/>
      </c>
      <c r="SK40">
        <f>IF($B40=0,1000000,IF(INDEX('計算A'!$D$60:$EQ$104,$B40,110)*HG40=1,IF(AND($E40=2,MV40=0),1000000,IF($I40&gt;0,IF(5=$J40,IF(OR(AND(110=$I40+1,OR($K40&lt;&gt;'計算A'!$A$3,'計算A'!$A$4=0)),AND(110=$I40-1,OR(14&lt;&gt;'計算A'!$A$3,'計算A'!$A$4=0))),0,IF(14=$K40,200000,ABS(14-$K40)*100)),100000+ABS(5-$J40)*1000+140)+'計算A'!DI$5*50+IF(AND($E40=1,MV40=0),25,0),IF($F40&gt;0,INDEX('計算A'!DI$110:DI$114,$F40+1)+IF(AND($E40=1,MV40=0),1000,0),MIN(TY40,20)*400+(IF('計算A'!DH$106=1,1-HF40,0)+IF('計算A'!DI$106=1,1-HH40,0))*150+145+'計算A'!DI$5*100000+IF(AND($E40=1,MV40=0),50000,0))+IF($H40=1,(IF('計算A'!DH$117=1,INDEX('計算A'!DH$10:DH$54,$B40),0)+IF('計算A'!DI$117=1,INDEX('計算A'!DJ$10:DJ$54,$B40),0))*4000,0)-IF(AND('計算A'!DH$117=1,YF40&gt;0),2000,0)-IF(AND($L40=1,'計算A'!DI$117=1,HH40=0),2000,0))),1000000))</f>
        <v/>
      </c>
      <c r="SL40">
        <f>IF($B40=0,1000000,IF(INDEX('計算A'!$D$60:$EQ$104,$B40,111)*HH40=1,IF(AND($E40=2,MW40=0),1000000,IF($I40&gt;0,IF(5=$J40,IF(OR(AND(111=$I40+1,OR($K40&lt;&gt;'計算A'!$A$3,'計算A'!$A$4=0)),AND(111=$I40-1,OR(15&lt;&gt;'計算A'!$A$3,'計算A'!$A$4=0))),0,IF(15=$K40,200000,ABS(15-$K40)*100)),100000+ABS(5-$J40)*1000+150)+'計算A'!DJ$5*50+IF(AND($E40=1,MW40=0),25,0),IF($F40&gt;0,INDEX('計算A'!DJ$110:DJ$114,$F40+1)+IF(AND($E40=1,MW40=0),1000,0),MIN(TY40,20)*400+(IF('計算A'!DI$106=1,1-HG40,0)+IF('計算A'!DJ$106=1,1-HI40,0))*150+155+'計算A'!DJ$5*100000+IF(AND($E40=1,MW40=0),50000,0))+IF($H40=1,(IF('計算A'!DI$117=1,INDEX('計算A'!DI$10:DI$54,$B40),0)+IF('計算A'!DJ$117=1,INDEX('計算A'!DK$10:DK$54,$B40),0))*4000,0)-IF(AND('計算A'!DI$117=1,YG40&gt;0),2000,0)-IF(AND($L40=1,'計算A'!DJ$117=1,HI40=0),2000,0))),1000000))</f>
        <v/>
      </c>
      <c r="SM40">
        <f>IF($B40=0,1000000,IF(INDEX('計算A'!$D$60:$EQ$104,$B40,112)*HI40=1,IF(AND($E40=2,MX40=0),1000000,IF($I40&gt;0,IF(5=$J40,IF(OR(AND(112=$I40+1,OR($K40&lt;&gt;'計算A'!$A$3,'計算A'!$A$4=0)),AND(112=$I40-1,OR(16&lt;&gt;'計算A'!$A$3,'計算A'!$A$4=0))),0,IF(16=$K40,200000,ABS(16-$K40)*100)),100000+ABS(5-$J40)*1000+160)+'計算A'!DK$5*50+IF(AND($E40=1,MX40=0),25,0),IF($F40&gt;0,INDEX('計算A'!DK$110:DK$114,$F40+1)+IF(AND($E40=1,MX40=0),1000,0),MIN(TY40,20)*400+(IF('計算A'!DJ$106=1,1-HH40,0)+IF('計算A'!DK$106=1,1-HJ40,0))*150+165+'計算A'!DK$5*100000+IF(AND($E40=1,MX40=0),50000,0))+IF($H40=1,(IF('計算A'!DJ$117=1,INDEX('計算A'!DJ$10:DJ$54,$B40),0)+IF('計算A'!DK$117=1,INDEX('計算A'!DL$10:DL$54,$B40),0))*4000,0)-IF(AND('計算A'!DJ$117=1,YH40&gt;0),2000,0)-IF(AND($L40=1,'計算A'!DK$117=1,HJ40=0),2000,0))),1000000))</f>
        <v/>
      </c>
      <c r="SN40">
        <f>IF($B40=0,1000000,IF(INDEX('計算A'!$D$60:$EQ$104,$B40,113)*HJ40=1,IF(AND($E40=2,MY40=0),1000000,IF($I40&gt;0,IF(5=$J40,IF(OR(AND(113=$I40+1,OR($K40&lt;&gt;'計算A'!$A$3,'計算A'!$A$4=0)),AND(113=$I40-1,OR(17&lt;&gt;'計算A'!$A$3,'計算A'!$A$4=0))),0,IF(17=$K40,200000,ABS(17-$K40)*100)),100000+ABS(5-$J40)*1000+170)+'計算A'!DL$5*50+IF(AND($E40=1,MY40=0),25,0),IF($F40&gt;0,INDEX('計算A'!DL$110:DL$114,$F40+1)+IF(AND($E40=1,MY40=0),1000,0),MIN(TY40,20)*400+(IF('計算A'!DK$106=1,1-HI40,0)+IF('計算A'!DL$106=1,1-HK40,0))*150+175+'計算A'!DL$5*100000+IF(AND($E40=1,MY40=0),50000,0))+IF($H40=1,(IF('計算A'!DK$117=1,INDEX('計算A'!DK$10:DK$54,$B40),0)+IF('計算A'!DL$117=1,INDEX('計算A'!DM$10:DM$54,$B40),0))*4000,0)-IF(AND('計算A'!DK$117=1,YI40&gt;0),2000,0)-IF(AND($L40=1,'計算A'!DL$117=1,HK40=0),2000,0))),1000000))</f>
        <v/>
      </c>
      <c r="SO40">
        <f>IF($B40=0,1000000,IF(INDEX('計算A'!$D$60:$EQ$104,$B40,114)*HK40=1,IF(AND($E40=2,MZ40=0),1000000,IF($I40&gt;0,IF(5=$J40,IF(OR(AND(114=$I40+1,OR($K40&lt;&gt;'計算A'!$A$3,'計算A'!$A$4=0)),AND(114=$I40-1,OR(18&lt;&gt;'計算A'!$A$3,'計算A'!$A$4=0))),0,IF(18=$K40,200000,ABS(18-$K40)*100)),100000+ABS(5-$J40)*1000+180)+'計算A'!DM$5*50+IF(AND($E40=1,MZ40=0),25,0),IF($F40&gt;0,INDEX('計算A'!DM$110:DM$114,$F40+1)+IF(AND($E40=1,MZ40=0),1000,0),MIN(TY40,20)*400+(IF('計算A'!DL$106=1,1-HJ40,0)+IF('計算A'!DM$106=1,1-HL40,0))*150+185+'計算A'!DM$5*100000+IF(AND($E40=1,MZ40=0),50000,0))+IF($H40=1,(IF('計算A'!DL$117=1,INDEX('計算A'!DL$10:DL$54,$B40),0)+IF('計算A'!DM$117=1,INDEX('計算A'!DN$10:DN$54,$B40),0))*4000,0)-IF(AND('計算A'!DL$117=1,YJ40&gt;0),2000,0)-IF(AND($L40=1,'計算A'!DM$117=1,HL40=0),2000,0))),1000000))</f>
        <v/>
      </c>
      <c r="SP40">
        <f>IF($B40=0,1000000,IF(INDEX('計算A'!$D$60:$EQ$104,$B40,115)*HL40=1,IF(AND($E40=2,NA40=0),1000000,IF($I40&gt;0,IF(5=$J40,IF(OR(AND(115=$I40+1,OR($K40&lt;&gt;'計算A'!$A$3,'計算A'!$A$4=0)),AND(115=$I40-1,OR(19&lt;&gt;'計算A'!$A$3,'計算A'!$A$4=0))),0,IF(19=$K40,200000,ABS(19-$K40)*100)),100000+ABS(5-$J40)*1000+190)+'計算A'!DN$5*50+IF(AND($E40=1,NA40=0),25,0),IF($F40&gt;0,INDEX('計算A'!DN$110:DN$114,$F40+1)+IF(AND($E40=1,NA40=0),1000,0),MIN(TY40,20)*400+(IF('計算A'!DM$106=1,1-HK40,0)+IF('計算A'!DN$106=1,1-HM40,0))*150+195+'計算A'!DN$5*100000+IF(AND($E40=1,NA40=0),50000,0))+IF($H40=1,(IF('計算A'!DM$117=1,INDEX('計算A'!DM$10:DM$54,$B40),0)+IF('計算A'!DN$117=1,INDEX('計算A'!DO$10:DO$54,$B40),0))*4000,0)-IF(AND('計算A'!DM$117=1,YK40&gt;0),2000,0)-IF(AND($L40=1,'計算A'!DN$117=1,HM40=0),2000,0))),1000000))</f>
        <v/>
      </c>
      <c r="SQ40">
        <f>IF($B40=0,1000000,IF(INDEX('計算A'!$D$60:$EQ$104,$B40,116)*HM40=1,IF(AND($E40=2,NB40=0),1000000,IF($I40&gt;0,IF(5=$J40,IF(OR(AND(116=$I40+1,OR($K40&lt;&gt;'計算A'!$A$3,'計算A'!$A$4=0)),AND(116=$I40-1,OR(20&lt;&gt;'計算A'!$A$3,'計算A'!$A$4=0))),0,IF(20=$K40,200000,ABS(20-$K40)*100)),100000+ABS(5-$J40)*1000+200)+'計算A'!DO$5*50+IF(AND($E40=1,NB40=0),25,0),IF($F40&gt;0,INDEX('計算A'!DO$110:DO$114,$F40+1)+IF(AND($E40=1,NB40=0),1000,0),MIN(TY40,20)*400+(IF('計算A'!DN$106=1,1-HL40,0)+IF('計算A'!DO$106=1,1-HN40,0))*150+205+'計算A'!DO$5*100000+IF(AND($E40=1,NB40=0),50000,0))+IF($H40=1,(IF('計算A'!DN$117=1,INDEX('計算A'!DN$10:DN$54,$B40),0)+IF('計算A'!DO$117=1,INDEX('計算A'!DP$10:DP$54,$B40),0))*4000,0)-IF(AND('計算A'!DN$117=1,YL40&gt;0),2000,0)-IF(AND($L40=1,'計算A'!DO$117=1,HN40=0),2000,0))),1000000))</f>
        <v/>
      </c>
      <c r="SR40">
        <f>IF($B40=0,1000000,IF(INDEX('計算A'!$D$60:$EQ$104,$B40,117)*HN40=1,IF(AND($E40=2,NC40=0),1000000,IF($I40&gt;0,IF(5=$J40,IF(OR(AND(117=$I40+1,OR($K40&lt;&gt;'計算A'!$A$3,'計算A'!$A$4=0)),AND(117=$I40-1,OR(21&lt;&gt;'計算A'!$A$3,'計算A'!$A$4=0))),0,IF(21=$K40,200000,ABS(21-$K40)*100)),100000+ABS(5-$J40)*1000+210)+'計算A'!DP$5*50+IF(AND($E40=1,NC40=0),25,0),IF($F40&gt;0,INDEX('計算A'!DP$110:DP$114,$F40+1)+IF(AND($E40=1,NC40=0),1000,0),MIN(TY40,20)*400+(IF('計算A'!DO$106=1,1-HM40,0)+IF('計算A'!DP$106=1,1-HO40,0))*150+215+'計算A'!DP$5*100000+IF(AND($E40=1,NC40=0),50000,0))+IF($H40=1,(IF('計算A'!DO$117=1,INDEX('計算A'!DO$10:DO$54,$B40),0)+IF('計算A'!DP$117=1,INDEX('計算A'!DQ$10:DQ$54,$B40),0))*4000,0)-IF(AND('計算A'!DO$117=1,YM40&gt;0),2000,0)-IF(AND($L40=1,'計算A'!DP$117=1,HO40=0),2000,0))),1000000))</f>
        <v/>
      </c>
      <c r="SS40">
        <f>IF($B40=0,1000000,IF(INDEX('計算A'!$D$60:$EQ$104,$B40,118)*HO40=1,IF(AND($E40=2,ND40=0),1000000,IF($I40&gt;0,IF(5=$J40,IF(OR(AND(118=$I40+1,OR($K40&lt;&gt;'計算A'!$A$3,'計算A'!$A$4=0)),AND(118=$I40-1,OR(22&lt;&gt;'計算A'!$A$3,'計算A'!$A$4=0))),0,IF(22=$K40,200000,ABS(22-$K40)*100)),100000+ABS(5-$J40)*1000+220)+'計算A'!DQ$5*50+IF(AND($E40=1,ND40=0),25,0),IF($F40&gt;0,INDEX('計算A'!DQ$110:DQ$114,$F40+1)+IF(AND($E40=1,ND40=0),1000,0),MIN(TY40,20)*400+(IF('計算A'!DP$106=1,1-HN40,0)+IF('計算A'!DQ$106=1,1-HP40,0))*150+225+'計算A'!DQ$5*100000+IF(AND($E40=1,ND40=0),50000,0))+IF($H40=1,(IF('計算A'!DP$117=1,INDEX('計算A'!DP$10:DP$54,$B40),0)+IF('計算A'!DQ$117=1,INDEX('計算A'!DR$10:DR$54,$B40),0))*4000,0)-IF(AND('計算A'!DP$117=1,YN40&gt;0),2000,0)-IF(AND($L40=1,'計算A'!DQ$117=1,HP40=0),2000,0))),1000000))</f>
        <v/>
      </c>
      <c r="ST40">
        <f>IF($B40=0,1000000,IF(INDEX('計算A'!$D$60:$EQ$104,$B40,119)*HP40=1,IF(AND($E40=2,NE40=0),1000000,IF($I40&gt;0,IF(5=$J40,IF(OR(AND(119=$I40+1,OR($K40&lt;&gt;'計算A'!$A$3,'計算A'!$A$4=0)),AND(119=$I40-1,OR(23&lt;&gt;'計算A'!$A$3,'計算A'!$A$4=0))),0,IF(23=$K40,200000,ABS(23-$K40)*100)),100000+ABS(5-$J40)*1000+230)+'計算A'!DR$5*50+IF(AND($E40=1,NE40=0),25,0),IF($F40&gt;0,INDEX('計算A'!DR$110:DR$114,$F40+1)+IF(AND($E40=1,NE40=0),1000,0),MIN(TY40,20)*400+(IF('計算A'!DQ$106=1,1-HO40,0)+IF('計算A'!DR$106=1,1-HQ40,0))*150+235+'計算A'!DR$5*100000+IF(AND($E40=1,NE40=0),50000,0))+IF($H40=1,(IF('計算A'!DQ$117=1,INDEX('計算A'!DQ$10:DQ$54,$B40),0)+IF('計算A'!DR$117=1,INDEX('計算A'!DS$10:DS$54,$B40),0))*4000,0)-IF(AND('計算A'!DQ$117=1,YO40&gt;0),2000,0)-IF(AND($L40=1,'計算A'!DR$117=1,HQ40=0),2000,0))),1000000))</f>
        <v/>
      </c>
      <c r="SU40">
        <f>IF($B40=0,1000000,IF(INDEX('計算A'!$D$60:$EQ$104,$B40,120)*HQ40=1,IF(AND($E40=2,NF40=0),1000000,IF($I40&gt;0,IF(5=$J40,IF(OR(AND(120=$I40+1,OR($K40&lt;&gt;'計算A'!$A$3,'計算A'!$A$4=0)),AND(120=$I40-1,OR(24&lt;&gt;'計算A'!$A$3,'計算A'!$A$4=0))),0,IF(24=$K40,200000,ABS(24-$K40)*100)),100000+ABS(5-$J40)*1000+240)+'計算A'!DS$5*50+IF(AND($E40=1,NF40=0),25,0),IF($F40&gt;0,INDEX('計算A'!DS$110:DS$114,$F40+1)+IF(AND($E40=1,NF40=0),1000,0),MIN(TY40,20)*400+(IF('計算A'!DR$106=1,1-HP40,0))*150+245+'計算A'!DS$5*100000+IF(AND($E40=1,NF40=0),50000,0))+IF($H40=1,(IF('計算A'!DR$117=1,INDEX('計算A'!DR$10:DR$54,$B40),0))*4000,0)-IF(AND('計算A'!DR$117=1,YP40&gt;0),2000,0))),1000000))</f>
        <v/>
      </c>
      <c r="SV40">
        <f>IF($B40=0,1000000,IF(INDEX('計算A'!$D$60:$EQ$104,$B40,121)*HR40=1,IF(AND($E40=2,NG40=0),1000000,IF($I40&gt;0,IF(6=$J40,IF(OR(AND(121=$I40+1,OR($K40&lt;&gt;'計算A'!$A$3,'計算A'!$A$4=0)),AND(121=$I40-1,OR(1&lt;&gt;'計算A'!$A$3,'計算A'!$A$4=0))),0,IF(1=$K40,200000,ABS(1-$K40)*100)),100000+ABS(6-$J40)*1000+10)+'計算A'!DT$5*50+IF(AND($E40=1,NG40=0),25,0),IF($F40&gt;0,INDEX('計算A'!DT$110:DT$114,$F40+1)+IF(AND($E40=1,NG40=0),1000,0),MIN(TZ40,20)*400+(IF('計算A'!DT$106=1,1-HS40,0))*150+16+'計算A'!DT$5*100000+IF(AND($E40=1,NG40=0),50000,0))+IF($H40=1,(IF('計算A'!DT$117=1,INDEX('計算A'!DU$10:DU$54,$B40),0))*4000,0)-IF(AND($L40=1,'計算A'!DT$117=1,HS40=0),2000,0))),1000000))</f>
        <v/>
      </c>
      <c r="SW40">
        <f>IF($B40=0,1000000,IF(INDEX('計算A'!$D$60:$EQ$104,$B40,122)*HS40=1,IF(AND($E40=2,NH40=0),1000000,IF($I40&gt;0,IF(6=$J40,IF(OR(AND(122=$I40+1,OR($K40&lt;&gt;'計算A'!$A$3,'計算A'!$A$4=0)),AND(122=$I40-1,OR(2&lt;&gt;'計算A'!$A$3,'計算A'!$A$4=0))),0,IF(2=$K40,200000,ABS(2-$K40)*100)),100000+ABS(6-$J40)*1000+20)+'計算A'!DU$5*50+IF(AND($E40=1,NH40=0),25,0),IF($F40&gt;0,INDEX('計算A'!DU$110:DU$114,$F40+1)+IF(AND($E40=1,NH40=0),1000,0),MIN(TZ40,20)*400+(IF('計算A'!DT$106=1,1-HR40,0)+IF('計算A'!DU$106=1,1-HT40,0))*150+26+'計算A'!DU$5*100000+IF(AND($E40=1,NH40=0),50000,0))+IF($H40=1,(IF('計算A'!DT$117=1,INDEX('計算A'!DT$10:DT$54,$B40),0)+IF('計算A'!DU$117=1,INDEX('計算A'!DV$10:DV$54,$B40),0))*4000,0)-IF(AND('計算A'!DT$117=1,YR40&gt;0),2000,0)-IF(AND($L40=1,'計算A'!DU$117=1,HT40=0),2000,0))),1000000))</f>
        <v/>
      </c>
      <c r="SX40">
        <f>IF($B40=0,1000000,IF(INDEX('計算A'!$D$60:$EQ$104,$B40,123)*HT40=1,IF(AND($E40=2,NI40=0),1000000,IF($I40&gt;0,IF(6=$J40,IF(OR(AND(123=$I40+1,OR($K40&lt;&gt;'計算A'!$A$3,'計算A'!$A$4=0)),AND(123=$I40-1,OR(3&lt;&gt;'計算A'!$A$3,'計算A'!$A$4=0))),0,IF(3=$K40,200000,ABS(3-$K40)*100)),100000+ABS(6-$J40)*1000+30)+'計算A'!DV$5*50+IF(AND($E40=1,NI40=0),25,0),IF($F40&gt;0,INDEX('計算A'!DV$110:DV$114,$F40+1)+IF(AND($E40=1,NI40=0),1000,0),MIN(TZ40,20)*400+(IF('計算A'!DU$106=1,1-HS40,0)+IF('計算A'!DV$106=1,1-HU40,0))*150+36+'計算A'!DV$5*100000+IF(AND($E40=1,NI40=0),50000,0))+IF($H40=1,(IF('計算A'!DU$117=1,INDEX('計算A'!DU$10:DU$54,$B40),0)+IF('計算A'!DV$117=1,INDEX('計算A'!DW$10:DW$54,$B40),0))*4000,0)-IF(AND('計算A'!DU$117=1,YS40&gt;0),2000,0)-IF(AND($L40=1,'計算A'!DV$117=1,HU40=0),2000,0))),1000000))</f>
        <v/>
      </c>
      <c r="SY40">
        <f>IF($B40=0,1000000,IF(INDEX('計算A'!$D$60:$EQ$104,$B40,124)*HU40=1,IF(AND($E40=2,NJ40=0),1000000,IF($I40&gt;0,IF(6=$J40,IF(OR(AND(124=$I40+1,OR($K40&lt;&gt;'計算A'!$A$3,'計算A'!$A$4=0)),AND(124=$I40-1,OR(4&lt;&gt;'計算A'!$A$3,'計算A'!$A$4=0))),0,IF(4=$K40,200000,ABS(4-$K40)*100)),100000+ABS(6-$J40)*1000+40)+'計算A'!DW$5*50+IF(AND($E40=1,NJ40=0),25,0),IF($F40&gt;0,INDEX('計算A'!DW$110:DW$114,$F40+1)+IF(AND($E40=1,NJ40=0),1000,0),MIN(TZ40,20)*400+(IF('計算A'!DV$106=1,1-HT40,0)+IF('計算A'!DW$106=1,1-HV40,0))*150+46+'計算A'!DW$5*100000+IF(AND($E40=1,NJ40=0),50000,0))+IF($H40=1,(IF('計算A'!DV$117=1,INDEX('計算A'!DV$10:DV$54,$B40),0)+IF('計算A'!DW$117=1,INDEX('計算A'!DX$10:DX$54,$B40),0))*4000,0)-IF(AND('計算A'!DV$117=1,YT40&gt;0),2000,0)-IF(AND($L40=1,'計算A'!DW$117=1,HV40=0),2000,0))),1000000))</f>
        <v/>
      </c>
      <c r="SZ40">
        <f>IF($B40=0,1000000,IF(INDEX('計算A'!$D$60:$EQ$104,$B40,125)*HV40=1,IF(AND($E40=2,NK40=0),1000000,IF($I40&gt;0,IF(6=$J40,IF(OR(AND(125=$I40+1,OR($K40&lt;&gt;'計算A'!$A$3,'計算A'!$A$4=0)),AND(125=$I40-1,OR(5&lt;&gt;'計算A'!$A$3,'計算A'!$A$4=0))),0,IF(5=$K40,200000,ABS(5-$K40)*100)),100000+ABS(6-$J40)*1000+50)+'計算A'!DX$5*50+IF(AND($E40=1,NK40=0),25,0),IF($F40&gt;0,INDEX('計算A'!DX$110:DX$114,$F40+1)+IF(AND($E40=1,NK40=0),1000,0),MIN(TZ40,20)*400+(IF('計算A'!DW$106=1,1-HU40,0)+IF('計算A'!DX$106=1,1-HW40,0))*150+56+'計算A'!DX$5*100000+IF(AND($E40=1,NK40=0),50000,0))+IF($H40=1,(IF('計算A'!DW$117=1,INDEX('計算A'!DW$10:DW$54,$B40),0)+IF('計算A'!DX$117=1,INDEX('計算A'!DY$10:DY$54,$B40),0))*4000,0)-IF(AND('計算A'!DW$117=1,YU40&gt;0),2000,0)-IF(AND($L40=1,'計算A'!DX$117=1,HW40=0),2000,0))),1000000))</f>
        <v/>
      </c>
      <c r="TA40">
        <f>IF($B40=0,1000000,IF(INDEX('計算A'!$D$60:$EQ$104,$B40,126)*HW40=1,IF(AND($E40=2,NL40=0),1000000,IF($I40&gt;0,IF(6=$J40,IF(OR(AND(126=$I40+1,OR($K40&lt;&gt;'計算A'!$A$3,'計算A'!$A$4=0)),AND(126=$I40-1,OR(6&lt;&gt;'計算A'!$A$3,'計算A'!$A$4=0))),0,IF(6=$K40,200000,ABS(6-$K40)*100)),100000+ABS(6-$J40)*1000+60)+'計算A'!DY$5*50+IF(AND($E40=1,NL40=0),25,0),IF($F40&gt;0,INDEX('計算A'!DY$110:DY$114,$F40+1)+IF(AND($E40=1,NL40=0),1000,0),MIN(TZ40,20)*400+(IF('計算A'!DX$106=1,1-HV40,0)+IF('計算A'!DY$106=1,1-HX40,0))*150+66+'計算A'!DY$5*100000+IF(AND($E40=1,NL40=0),50000,0))+IF($H40=1,(IF('計算A'!DX$117=1,INDEX('計算A'!DX$10:DX$54,$B40),0)+IF('計算A'!DY$117=1,INDEX('計算A'!DZ$10:DZ$54,$B40),0))*4000,0)-IF(AND('計算A'!DX$117=1,YV40&gt;0),2000,0)-IF(AND($L40=1,'計算A'!DY$117=1,HX40=0),2000,0))),1000000))</f>
        <v/>
      </c>
      <c r="TB40">
        <f>IF($B40=0,1000000,IF(INDEX('計算A'!$D$60:$EQ$104,$B40,127)*HX40=1,IF(AND($E40=2,NM40=0),1000000,IF($I40&gt;0,IF(6=$J40,IF(OR(AND(127=$I40+1,OR($K40&lt;&gt;'計算A'!$A$3,'計算A'!$A$4=0)),AND(127=$I40-1,OR(7&lt;&gt;'計算A'!$A$3,'計算A'!$A$4=0))),0,IF(7=$K40,200000,ABS(7-$K40)*100)),100000+ABS(6-$J40)*1000+70)+'計算A'!DZ$5*50+IF(AND($E40=1,NM40=0),25,0),IF($F40&gt;0,INDEX('計算A'!DZ$110:DZ$114,$F40+1)+IF(AND($E40=1,NM40=0),1000,0),MIN(TZ40,20)*400+(IF('計算A'!DY$106=1,1-HW40,0)+IF('計算A'!DZ$106=1,1-HY40,0))*150+76+'計算A'!DZ$5*100000+IF(AND($E40=1,NM40=0),50000,0))+IF($H40=1,(IF('計算A'!DY$117=1,INDEX('計算A'!DY$10:DY$54,$B40),0)+IF('計算A'!DZ$117=1,INDEX('計算A'!EA$10:EA$54,$B40),0))*4000,0)-IF(AND('計算A'!DY$117=1,YW40&gt;0),2000,0)-IF(AND($L40=1,'計算A'!DZ$117=1,HY40=0),2000,0))),1000000))</f>
        <v/>
      </c>
      <c r="TC40">
        <f>IF($B40=0,1000000,IF(INDEX('計算A'!$D$60:$EQ$104,$B40,128)*HY40=1,IF(AND($E40=2,NN40=0),1000000,IF($I40&gt;0,IF(6=$J40,IF(OR(AND(128=$I40+1,OR($K40&lt;&gt;'計算A'!$A$3,'計算A'!$A$4=0)),AND(128=$I40-1,OR(8&lt;&gt;'計算A'!$A$3,'計算A'!$A$4=0))),0,IF(8=$K40,200000,ABS(8-$K40)*100)),100000+ABS(6-$J40)*1000+80)+'計算A'!EA$5*50+IF(AND($E40=1,NN40=0),25,0),IF($F40&gt;0,INDEX('計算A'!EA$110:EA$114,$F40+1)+IF(AND($E40=1,NN40=0),1000,0),MIN(TZ40,20)*400+(IF('計算A'!DZ$106=1,1-HX40,0)+IF('計算A'!EA$106=1,1-HZ40,0))*150+86+'計算A'!EA$5*100000+IF(AND($E40=1,NN40=0),50000,0))+IF($H40=1,(IF('計算A'!DZ$117=1,INDEX('計算A'!DZ$10:DZ$54,$B40),0)+IF('計算A'!EA$117=1,INDEX('計算A'!EB$10:EB$54,$B40),0))*4000,0)-IF(AND('計算A'!DZ$117=1,YX40&gt;0),2000,0)-IF(AND($L40=1,'計算A'!EA$117=1,HZ40=0),2000,0))),1000000))</f>
        <v/>
      </c>
      <c r="TD40">
        <f>IF($B40=0,1000000,IF(INDEX('計算A'!$D$60:$EQ$104,$B40,129)*HZ40=1,IF(AND($E40=2,NO40=0),1000000,IF($I40&gt;0,IF(6=$J40,IF(OR(AND(129=$I40+1,OR($K40&lt;&gt;'計算A'!$A$3,'計算A'!$A$4=0)),AND(129=$I40-1,OR(9&lt;&gt;'計算A'!$A$3,'計算A'!$A$4=0))),0,IF(9=$K40,200000,ABS(9-$K40)*100)),100000+ABS(6-$J40)*1000+90)+'計算A'!EB$5*50+IF(AND($E40=1,NO40=0),25,0),IF($F40&gt;0,INDEX('計算A'!EB$110:EB$114,$F40+1)+IF(AND($E40=1,NO40=0),1000,0),MIN(TZ40,20)*400+(IF('計算A'!EA$106=1,1-HY40,0)+IF('計算A'!EB$106=1,1-IA40,0))*150+96+'計算A'!EB$5*100000+IF(AND($E40=1,NO40=0),50000,0))+IF($H40=1,(IF('計算A'!EA$117=1,INDEX('計算A'!EA$10:EA$54,$B40),0)+IF('計算A'!EB$117=1,INDEX('計算A'!EC$10:EC$54,$B40),0))*4000,0)-IF(AND('計算A'!EA$117=1,YY40&gt;0),2000,0)-IF(AND($L40=1,'計算A'!EB$117=1,IA40=0),2000,0))),1000000))</f>
        <v/>
      </c>
      <c r="TE40">
        <f>IF($B40=0,1000000,IF(INDEX('計算A'!$D$60:$EQ$104,$B40,130)*IA40=1,IF(AND($E40=2,NP40=0),1000000,IF($I40&gt;0,IF(6=$J40,IF(OR(AND(130=$I40+1,OR($K40&lt;&gt;'計算A'!$A$3,'計算A'!$A$4=0)),AND(130=$I40-1,OR(10&lt;&gt;'計算A'!$A$3,'計算A'!$A$4=0))),0,IF(10=$K40,200000,ABS(10-$K40)*100)),100000+ABS(6-$J40)*1000+100)+'計算A'!EC$5*50+IF(AND($E40=1,NP40=0),25,0),IF($F40&gt;0,INDEX('計算A'!EC$110:EC$114,$F40+1)+IF(AND($E40=1,NP40=0),1000,0),MIN(TZ40,20)*400+(IF('計算A'!EB$106=1,1-HZ40,0)+IF('計算A'!EC$106=1,1-IB40,0))*150+106+'計算A'!EC$5*100000+IF(AND($E40=1,NP40=0),50000,0))+IF($H40=1,(IF('計算A'!EB$117=1,INDEX('計算A'!EB$10:EB$54,$B40),0)+IF('計算A'!EC$117=1,INDEX('計算A'!ED$10:ED$54,$B40),0))*4000,0)-IF(AND('計算A'!EB$117=1,YZ40&gt;0),2000,0)-IF(AND($L40=1,'計算A'!EC$117=1,IB40=0),2000,0))),1000000))</f>
        <v/>
      </c>
      <c r="TF40">
        <f>IF($B40=0,1000000,IF(INDEX('計算A'!$D$60:$EQ$104,$B40,131)*IB40=1,IF(AND($E40=2,NQ40=0),1000000,IF($I40&gt;0,IF(6=$J40,IF(OR(AND(131=$I40+1,OR($K40&lt;&gt;'計算A'!$A$3,'計算A'!$A$4=0)),AND(131=$I40-1,OR(11&lt;&gt;'計算A'!$A$3,'計算A'!$A$4=0))),0,IF(11=$K40,200000,ABS(11-$K40)*100)),100000+ABS(6-$J40)*1000+110)+'計算A'!ED$5*50+IF(AND($E40=1,NQ40=0),25,0),IF($F40&gt;0,INDEX('計算A'!ED$110:ED$114,$F40+1)+IF(AND($E40=1,NQ40=0),1000,0),MIN(TZ40,20)*400+(IF('計算A'!EC$106=1,1-IA40,0)+IF('計算A'!ED$106=1,1-IC40,0))*150+116+'計算A'!ED$5*100000+IF(AND($E40=1,NQ40=0),50000,0))+IF($H40=1,(IF('計算A'!EC$117=1,INDEX('計算A'!EC$10:EC$54,$B40),0)+IF('計算A'!ED$117=1,INDEX('計算A'!EE$10:EE$54,$B40),0))*4000,0)-IF(AND('計算A'!EC$117=1,ZA40&gt;0),2000,0)-IF(AND($L40=1,'計算A'!ED$117=1,IC40=0),2000,0))),1000000))</f>
        <v/>
      </c>
      <c r="TG40">
        <f>IF($B40=0,1000000,IF(INDEX('計算A'!$D$60:$EQ$104,$B40,132)*IC40=1,IF(AND($E40=2,NR40=0),1000000,IF($I40&gt;0,IF(6=$J40,IF(OR(AND(132=$I40+1,OR($K40&lt;&gt;'計算A'!$A$3,'計算A'!$A$4=0)),AND(132=$I40-1,OR(12&lt;&gt;'計算A'!$A$3,'計算A'!$A$4=0))),0,IF(12=$K40,200000,ABS(12-$K40)*100)),100000+ABS(6-$J40)*1000+120)+'計算A'!EE$5*50+IF(AND($E40=1,NR40=0),25,0),IF($F40&gt;0,INDEX('計算A'!EE$110:EE$114,$F40+1)+IF(AND($E40=1,NR40=0),1000,0),MIN(TZ40,20)*400+(IF('計算A'!ED$106=1,1-IB40,0)+IF('計算A'!EE$106=1,1-ID40,0))*150+126+'計算A'!EE$5*100000+IF(AND($E40=1,NR40=0),50000,0))+IF($H40=1,(IF('計算A'!ED$117=1,INDEX('計算A'!ED$10:ED$54,$B40),0)+IF('計算A'!EE$117=1,INDEX('計算A'!EF$10:EF$54,$B40),0))*4000,0)-IF(AND('計算A'!ED$117=1,ZB40&gt;0),2000,0)-IF(AND($L40=1,'計算A'!EE$117=1,ID40=0),2000,0))),1000000))</f>
        <v/>
      </c>
      <c r="TH40">
        <f>IF($B40=0,1000000,IF(INDEX('計算A'!$D$60:$EQ$104,$B40,133)*ID40=1,IF(AND($E40=2,NS40=0),1000000,IF($I40&gt;0,IF(6=$J40,IF(OR(AND(133=$I40+1,OR($K40&lt;&gt;'計算A'!$A$3,'計算A'!$A$4=0)),AND(133=$I40-1,OR(13&lt;&gt;'計算A'!$A$3,'計算A'!$A$4=0))),0,IF(13=$K40,200000,ABS(13-$K40)*100)),100000+ABS(6-$J40)*1000+130)+'計算A'!EF$5*50+IF(AND($E40=1,NS40=0),25,0),IF($F40&gt;0,INDEX('計算A'!EF$110:EF$114,$F40+1)+IF(AND($E40=1,NS40=0),1000,0),MIN(TZ40,20)*400+(IF('計算A'!EE$106=1,1-IC40,0)+IF('計算A'!EF$106=1,1-IE40,0))*150+136+'計算A'!EF$5*100000+IF(AND($E40=1,NS40=0),50000,0))+IF($H40=1,(IF('計算A'!EE$117=1,INDEX('計算A'!EE$10:EE$54,$B40),0)+IF('計算A'!EF$117=1,INDEX('計算A'!EG$10:EG$54,$B40),0))*4000,0)-IF(AND('計算A'!EE$117=1,ZC40&gt;0),2000,0)-IF(AND($L40=1,'計算A'!EF$117=1,IE40=0),2000,0))),1000000))</f>
        <v/>
      </c>
      <c r="TI40">
        <f>IF($B40=0,1000000,IF(INDEX('計算A'!$D$60:$EQ$104,$B40,134)*IE40=1,IF(AND($E40=2,NT40=0),1000000,IF($I40&gt;0,IF(6=$J40,IF(OR(AND(134=$I40+1,OR($K40&lt;&gt;'計算A'!$A$3,'計算A'!$A$4=0)),AND(134=$I40-1,OR(14&lt;&gt;'計算A'!$A$3,'計算A'!$A$4=0))),0,IF(14=$K40,200000,ABS(14-$K40)*100)),100000+ABS(6-$J40)*1000+140)+'計算A'!EG$5*50+IF(AND($E40=1,NT40=0),25,0),IF($F40&gt;0,INDEX('計算A'!EG$110:EG$114,$F40+1)+IF(AND($E40=1,NT40=0),1000,0),MIN(TZ40,20)*400+(IF('計算A'!EF$106=1,1-ID40,0)+IF('計算A'!EG$106=1,1-IF40,0))*150+146+'計算A'!EG$5*100000+IF(AND($E40=1,NT40=0),50000,0))+IF($H40=1,(IF('計算A'!EF$117=1,INDEX('計算A'!EF$10:EF$54,$B40),0)+IF('計算A'!EG$117=1,INDEX('計算A'!EH$10:EH$54,$B40),0))*4000,0)-IF(AND('計算A'!EF$117=1,ZD40&gt;0),2000,0)-IF(AND($L40=1,'計算A'!EG$117=1,IF40=0),2000,0))),1000000))</f>
        <v/>
      </c>
      <c r="TJ40">
        <f>IF($B40=0,1000000,IF(INDEX('計算A'!$D$60:$EQ$104,$B40,135)*IF40=1,IF(AND($E40=2,NU40=0),1000000,IF($I40&gt;0,IF(6=$J40,IF(OR(AND(135=$I40+1,OR($K40&lt;&gt;'計算A'!$A$3,'計算A'!$A$4=0)),AND(135=$I40-1,OR(15&lt;&gt;'計算A'!$A$3,'計算A'!$A$4=0))),0,IF(15=$K40,200000,ABS(15-$K40)*100)),100000+ABS(6-$J40)*1000+150)+'計算A'!EH$5*50+IF(AND($E40=1,NU40=0),25,0),IF($F40&gt;0,INDEX('計算A'!EH$110:EH$114,$F40+1)+IF(AND($E40=1,NU40=0),1000,0),MIN(TZ40,20)*400+(IF('計算A'!EG$106=1,1-IE40,0)+IF('計算A'!EH$106=1,1-IG40,0))*150+156+'計算A'!EH$5*100000+IF(AND($E40=1,NU40=0),50000,0))+IF($H40=1,(IF('計算A'!EG$117=1,INDEX('計算A'!EG$10:EG$54,$B40),0)+IF('計算A'!EH$117=1,INDEX('計算A'!EI$10:EI$54,$B40),0))*4000,0)-IF(AND('計算A'!EG$117=1,ZE40&gt;0),2000,0)-IF(AND($L40=1,'計算A'!EH$117=1,IG40=0),2000,0))),1000000))</f>
        <v/>
      </c>
      <c r="TK40">
        <f>IF($B40=0,1000000,IF(INDEX('計算A'!$D$60:$EQ$104,$B40,136)*IG40=1,IF(AND($E40=2,NV40=0),1000000,IF($I40&gt;0,IF(6=$J40,IF(OR(AND(136=$I40+1,OR($K40&lt;&gt;'計算A'!$A$3,'計算A'!$A$4=0)),AND(136=$I40-1,OR(16&lt;&gt;'計算A'!$A$3,'計算A'!$A$4=0))),0,IF(16=$K40,200000,ABS(16-$K40)*100)),100000+ABS(6-$J40)*1000+160)+'計算A'!EI$5*50+IF(AND($E40=1,NV40=0),25,0),IF($F40&gt;0,INDEX('計算A'!EI$110:EI$114,$F40+1)+IF(AND($E40=1,NV40=0),1000,0),MIN(TZ40,20)*400+(IF('計算A'!EH$106=1,1-IF40,0)+IF('計算A'!EI$106=1,1-IH40,0))*150+166+'計算A'!EI$5*100000+IF(AND($E40=1,NV40=0),50000,0))+IF($H40=1,(IF('計算A'!EH$117=1,INDEX('計算A'!EH$10:EH$54,$B40),0)+IF('計算A'!EI$117=1,INDEX('計算A'!EJ$10:EJ$54,$B40),0))*4000,0)-IF(AND('計算A'!EH$117=1,ZF40&gt;0),2000,0)-IF(AND($L40=1,'計算A'!EI$117=1,IH40=0),2000,0))),1000000))</f>
        <v/>
      </c>
      <c r="TL40">
        <f>IF($B40=0,1000000,IF(INDEX('計算A'!$D$60:$EQ$104,$B40,137)*IH40=1,IF(AND($E40=2,NW40=0),1000000,IF($I40&gt;0,IF(6=$J40,IF(OR(AND(137=$I40+1,OR($K40&lt;&gt;'計算A'!$A$3,'計算A'!$A$4=0)),AND(137=$I40-1,OR(17&lt;&gt;'計算A'!$A$3,'計算A'!$A$4=0))),0,IF(17=$K40,200000,ABS(17-$K40)*100)),100000+ABS(6-$J40)*1000+170)+'計算A'!EJ$5*50+IF(AND($E40=1,NW40=0),25,0),IF($F40&gt;0,INDEX('計算A'!EJ$110:EJ$114,$F40+1)+IF(AND($E40=1,NW40=0),1000,0),MIN(TZ40,20)*400+(IF('計算A'!EI$106=1,1-IG40,0)+IF('計算A'!EJ$106=1,1-II40,0))*150+176+'計算A'!EJ$5*100000+IF(AND($E40=1,NW40=0),50000,0))+IF($H40=1,(IF('計算A'!EI$117=1,INDEX('計算A'!EI$10:EI$54,$B40),0)+IF('計算A'!EJ$117=1,INDEX('計算A'!EK$10:EK$54,$B40),0))*4000,0)-IF(AND('計算A'!EI$117=1,ZG40&gt;0),2000,0)-IF(AND($L40=1,'計算A'!EJ$117=1,II40=0),2000,0))),1000000))</f>
        <v/>
      </c>
      <c r="TM40">
        <f>IF($B40=0,1000000,IF(INDEX('計算A'!$D$60:$EQ$104,$B40,138)*II40=1,IF(AND($E40=2,NX40=0),1000000,IF($I40&gt;0,IF(6=$J40,IF(OR(AND(138=$I40+1,OR($K40&lt;&gt;'計算A'!$A$3,'計算A'!$A$4=0)),AND(138=$I40-1,OR(18&lt;&gt;'計算A'!$A$3,'計算A'!$A$4=0))),0,IF(18=$K40,200000,ABS(18-$K40)*100)),100000+ABS(6-$J40)*1000+180)+'計算A'!EK$5*50+IF(AND($E40=1,NX40=0),25,0),IF($F40&gt;0,INDEX('計算A'!EK$110:EK$114,$F40+1)+IF(AND($E40=1,NX40=0),1000,0),MIN(TZ40,20)*400+(IF('計算A'!EJ$106=1,1-IH40,0)+IF('計算A'!EK$106=1,1-IJ40,0))*150+186+'計算A'!EK$5*100000+IF(AND($E40=1,NX40=0),50000,0))+IF($H40=1,(IF('計算A'!EJ$117=1,INDEX('計算A'!EJ$10:EJ$54,$B40),0)+IF('計算A'!EK$117=1,INDEX('計算A'!EL$10:EL$54,$B40),0))*4000,0)-IF(AND('計算A'!EJ$117=1,ZH40&gt;0),2000,0)-IF(AND($L40=1,'計算A'!EK$117=1,IJ40=0),2000,0))),1000000))</f>
        <v/>
      </c>
      <c r="TN40">
        <f>IF($B40=0,1000000,IF(INDEX('計算A'!$D$60:$EQ$104,$B40,139)*IJ40=1,IF(AND($E40=2,NY40=0),1000000,IF($I40&gt;0,IF(6=$J40,IF(OR(AND(139=$I40+1,OR($K40&lt;&gt;'計算A'!$A$3,'計算A'!$A$4=0)),AND(139=$I40-1,OR(19&lt;&gt;'計算A'!$A$3,'計算A'!$A$4=0))),0,IF(19=$K40,200000,ABS(19-$K40)*100)),100000+ABS(6-$J40)*1000+190)+'計算A'!EL$5*50+IF(AND($E40=1,NY40=0),25,0),IF($F40&gt;0,INDEX('計算A'!EL$110:EL$114,$F40+1)+IF(AND($E40=1,NY40=0),1000,0),MIN(TZ40,20)*400+(IF('計算A'!EK$106=1,1-II40,0)+IF('計算A'!EL$106=1,1-IK40,0))*150+196+'計算A'!EL$5*100000+IF(AND($E40=1,NY40=0),50000,0))+IF($H40=1,(IF('計算A'!EK$117=1,INDEX('計算A'!EK$10:EK$54,$B40),0)+IF('計算A'!EL$117=1,INDEX('計算A'!EM$10:EM$54,$B40),0))*4000,0)-IF(AND('計算A'!EK$117=1,ZI40&gt;0),2000,0)-IF(AND($L40=1,'計算A'!EL$117=1,IK40=0),2000,0))),1000000))</f>
        <v/>
      </c>
      <c r="TO40">
        <f>IF($B40=0,1000000,IF(INDEX('計算A'!$D$60:$EQ$104,$B40,140)*IK40=1,IF(AND($E40=2,NZ40=0),1000000,IF($I40&gt;0,IF(6=$J40,IF(OR(AND(140=$I40+1,OR($K40&lt;&gt;'計算A'!$A$3,'計算A'!$A$4=0)),AND(140=$I40-1,OR(20&lt;&gt;'計算A'!$A$3,'計算A'!$A$4=0))),0,IF(20=$K40,200000,ABS(20-$K40)*100)),100000+ABS(6-$J40)*1000+200)+'計算A'!EM$5*50+IF(AND($E40=1,NZ40=0),25,0),IF($F40&gt;0,INDEX('計算A'!EM$110:EM$114,$F40+1)+IF(AND($E40=1,NZ40=0),1000,0),MIN(TZ40,20)*400+(IF('計算A'!EL$106=1,1-IJ40,0)+IF('計算A'!EM$106=1,1-IL40,0))*150+206+'計算A'!EM$5*100000+IF(AND($E40=1,NZ40=0),50000,0))+IF($H40=1,(IF('計算A'!EL$117=1,INDEX('計算A'!EL$10:EL$54,$B40),0)+IF('計算A'!EM$117=1,INDEX('計算A'!EN$10:EN$54,$B40),0))*4000,0)-IF(AND('計算A'!EL$117=1,ZJ40&gt;0),2000,0)-IF(AND($L40=1,'計算A'!EM$117=1,IL40=0),2000,0))),1000000))</f>
        <v/>
      </c>
      <c r="TP40">
        <f>IF($B40=0,1000000,IF(INDEX('計算A'!$D$60:$EQ$104,$B40,141)*IL40=1,IF(AND($E40=2,OA40=0),1000000,IF($I40&gt;0,IF(6=$J40,IF(OR(AND(141=$I40+1,OR($K40&lt;&gt;'計算A'!$A$3,'計算A'!$A$4=0)),AND(141=$I40-1,OR(21&lt;&gt;'計算A'!$A$3,'計算A'!$A$4=0))),0,IF(21=$K40,200000,ABS(21-$K40)*100)),100000+ABS(6-$J40)*1000+210)+'計算A'!EN$5*50+IF(AND($E40=1,OA40=0),25,0),IF($F40&gt;0,INDEX('計算A'!EN$110:EN$114,$F40+1)+IF(AND($E40=1,OA40=0),1000,0),MIN(TZ40,20)*400+(IF('計算A'!EM$106=1,1-IK40,0)+IF('計算A'!EN$106=1,1-IM40,0))*150+216+'計算A'!EN$5*100000+IF(AND($E40=1,OA40=0),50000,0))+IF($H40=1,(IF('計算A'!EM$117=1,INDEX('計算A'!EM$10:EM$54,$B40),0)+IF('計算A'!EN$117=1,INDEX('計算A'!EO$10:EO$54,$B40),0))*4000,0)-IF(AND('計算A'!EM$117=1,ZK40&gt;0),2000,0)-IF(AND($L40=1,'計算A'!EN$117=1,IM40=0),2000,0))),1000000))</f>
        <v/>
      </c>
      <c r="TQ40">
        <f>IF($B40=0,1000000,IF(INDEX('計算A'!$D$60:$EQ$104,$B40,142)*IM40=1,IF(AND($E40=2,OB40=0),1000000,IF($I40&gt;0,IF(6=$J40,IF(OR(AND(142=$I40+1,OR($K40&lt;&gt;'計算A'!$A$3,'計算A'!$A$4=0)),AND(142=$I40-1,OR(22&lt;&gt;'計算A'!$A$3,'計算A'!$A$4=0))),0,IF(22=$K40,200000,ABS(22-$K40)*100)),100000+ABS(6-$J40)*1000+220)+'計算A'!EO$5*50+IF(AND($E40=1,OB40=0),25,0),IF($F40&gt;0,INDEX('計算A'!EO$110:EO$114,$F40+1)+IF(AND($E40=1,OB40=0),1000,0),MIN(TZ40,20)*400+(IF('計算A'!EN$106=1,1-IL40,0)+IF('計算A'!EO$106=1,1-IN40,0))*150+226+'計算A'!EO$5*100000+IF(AND($E40=1,OB40=0),50000,0))+IF($H40=1,(IF('計算A'!EN$117=1,INDEX('計算A'!EN$10:EN$54,$B40),0)+IF('計算A'!EO$117=1,INDEX('計算A'!EP$10:EP$54,$B40),0))*4000,0)-IF(AND('計算A'!EN$117=1,ZL40&gt;0),2000,0)-IF(AND($L40=1,'計算A'!EO$117=1,IN40=0),2000,0))),1000000))</f>
        <v/>
      </c>
      <c r="TR40">
        <f>IF($B40=0,1000000,IF(INDEX('計算A'!$D$60:$EQ$104,$B40,143)*IN40=1,IF(AND($E40=2,OC40=0),1000000,IF($I40&gt;0,IF(6=$J40,IF(OR(AND(143=$I40+1,OR($K40&lt;&gt;'計算A'!$A$3,'計算A'!$A$4=0)),AND(143=$I40-1,OR(23&lt;&gt;'計算A'!$A$3,'計算A'!$A$4=0))),0,IF(23=$K40,200000,ABS(23-$K40)*100)),100000+ABS(6-$J40)*1000+230)+'計算A'!EP$5*50+IF(AND($E40=1,OC40=0),25,0),IF($F40&gt;0,INDEX('計算A'!EP$110:EP$114,$F40+1)+IF(AND($E40=1,OC40=0),1000,0),MIN(TZ40,20)*400+(IF('計算A'!EO$106=1,1-IM40,0)+IF('計算A'!EP$106=1,1-IO40,0))*150+236+'計算A'!EP$5*100000+IF(AND($E40=1,OC40=0),50000,0))+IF($H40=1,(IF('計算A'!EO$117=1,INDEX('計算A'!EO$10:EO$54,$B40),0)+IF('計算A'!EP$117=1,INDEX('計算A'!EQ$10:EQ$54,$B40),0))*4000,0)-IF(AND('計算A'!EO$117=1,ZM40&gt;0),2000,0)-IF(AND($L40=1,'計算A'!EP$117=1,IO40=0),2000,0))),1000000))</f>
        <v/>
      </c>
      <c r="TS40">
        <f>IF($B40=0,1000000,IF(INDEX('計算A'!$D$60:$EQ$104,$B40,144)*IO40=1,IF(AND($E40=2,OD40=0),1000000,IF($I40&gt;0,IF(6=$J40,IF(OR(AND(144=$I40+1,OR($K40&lt;&gt;'計算A'!$A$3,'計算A'!$A$4=0)),AND(144=$I40-1,OR(24&lt;&gt;'計算A'!$A$3,'計算A'!$A$4=0))),0,IF(24=$K40,200000,ABS(24-$K40)*100)),100000+ABS(6-$J40)*1000+240)+'計算A'!EQ$5*50+IF(AND($E40=1,OD40=0),25,0),IF($F40&gt;0,INDEX('計算A'!EQ$110:EQ$114,$F40+1)+IF(AND($E40=1,OD40=0),1000,0),MIN(TZ40,20)*400+(IF('計算A'!EP$106=1,1-IN40,0))*150+246+'計算A'!EQ$5*100000+IF(AND($E40=1,OD40=0),50000,0))+IF($H40=1,(IF('計算A'!EP$117=1,INDEX('計算A'!EP$10:EP$54,$B40),0))*4000,0)-IF(AND('計算A'!EP$117=1,ZN40&gt;0),2000,0))),1000000))</f>
        <v/>
      </c>
      <c r="TU40">
        <f>TU39+IF($C39&gt;0,IF(INDEX('計算A'!$D$2:$EQ$2,$C39)=1,1,0),0)</f>
        <v/>
      </c>
      <c r="TV40">
        <f>TV39+IF($C39&gt;0,IF(INDEX('計算A'!$D$2:$EQ$2,$C39)=2,1,0),0)</f>
        <v/>
      </c>
      <c r="TW40">
        <f>TW39+IF($C39&gt;0,IF(INDEX('計算A'!$D$2:$EQ$2,$C39)=3,1,0),0)</f>
        <v/>
      </c>
      <c r="TX40">
        <f>TX39+IF($C39&gt;0,IF(INDEX('計算A'!$D$2:$EQ$2,$C39)=4,1,0),0)</f>
        <v/>
      </c>
      <c r="TY40">
        <f>TY39+IF($C39&gt;0,IF(INDEX('計算A'!$D$2:$EQ$2,$C39)=5,1,0),0)</f>
        <v/>
      </c>
      <c r="TZ40">
        <f>TZ39+IF($C39&gt;0,IF(INDEX('計算A'!$D$2:$EQ$2,$C39)=6,1,0),0)</f>
        <v/>
      </c>
      <c r="UB40">
        <f>UB39+IF(AND($C39=1,$L39=1),1,0)</f>
        <v/>
      </c>
      <c r="UC40">
        <f>UC39+IF(AND($C39=2,$L39=1),1,0)</f>
        <v/>
      </c>
      <c r="UD40">
        <f>UD39+IF(AND($C39=3,$L39=1),1,0)</f>
        <v/>
      </c>
      <c r="UE40">
        <f>UE39+IF(AND($C39=4,$L39=1),1,0)</f>
        <v/>
      </c>
      <c r="UF40">
        <f>UF39+IF(AND($C39=5,$L39=1),1,0)</f>
        <v/>
      </c>
      <c r="UG40">
        <f>UG39+IF(AND($C39=6,$L39=1),1,0)</f>
        <v/>
      </c>
      <c r="UH40">
        <f>UH39+IF(AND($C39=7,$L39=1),1,0)</f>
        <v/>
      </c>
      <c r="UI40">
        <f>UI39+IF(AND($C39=8,$L39=1),1,0)</f>
        <v/>
      </c>
      <c r="UJ40">
        <f>UJ39+IF(AND($C39=9,$L39=1),1,0)</f>
        <v/>
      </c>
      <c r="UK40">
        <f>UK39+IF(AND($C39=10,$L39=1),1,0)</f>
        <v/>
      </c>
      <c r="UL40">
        <f>UL39+IF(AND($C39=11,$L39=1),1,0)</f>
        <v/>
      </c>
      <c r="UM40">
        <f>UM39+IF(AND($C39=12,$L39=1),1,0)</f>
        <v/>
      </c>
      <c r="UN40">
        <f>UN39+IF(AND($C39=13,$L39=1),1,0)</f>
        <v/>
      </c>
      <c r="UO40">
        <f>UO39+IF(AND($C39=14,$L39=1),1,0)</f>
        <v/>
      </c>
      <c r="UP40">
        <f>UP39+IF(AND($C39=15,$L39=1),1,0)</f>
        <v/>
      </c>
      <c r="UQ40">
        <f>UQ39+IF(AND($C39=16,$L39=1),1,0)</f>
        <v/>
      </c>
      <c r="UR40">
        <f>UR39+IF(AND($C39=17,$L39=1),1,0)</f>
        <v/>
      </c>
      <c r="US40">
        <f>US39+IF(AND($C39=18,$L39=1),1,0)</f>
        <v/>
      </c>
      <c r="UT40">
        <f>UT39+IF(AND($C39=19,$L39=1),1,0)</f>
        <v/>
      </c>
      <c r="UU40">
        <f>UU39+IF(AND($C39=20,$L39=1),1,0)</f>
        <v/>
      </c>
      <c r="UV40">
        <f>UV39+IF(AND($C39=21,$L39=1),1,0)</f>
        <v/>
      </c>
      <c r="UW40">
        <f>UW39+IF(AND($C39=22,$L39=1),1,0)</f>
        <v/>
      </c>
      <c r="UX40">
        <f>UX39+IF(AND($C39=23,$L39=1),1,0)</f>
        <v/>
      </c>
      <c r="UY40">
        <f>UY39+IF(AND($C39=24,$L39=1),1,0)</f>
        <v/>
      </c>
      <c r="UZ40">
        <f>UZ39+IF(AND($C39=25,$L39=1),1,0)</f>
        <v/>
      </c>
      <c r="VA40">
        <f>VA39+IF(AND($C39=26,$L39=1),1,0)</f>
        <v/>
      </c>
      <c r="VB40">
        <f>VB39+IF(AND($C39=27,$L39=1),1,0)</f>
        <v/>
      </c>
      <c r="VC40">
        <f>VC39+IF(AND($C39=28,$L39=1),1,0)</f>
        <v/>
      </c>
      <c r="VD40">
        <f>VD39+IF(AND($C39=29,$L39=1),1,0)</f>
        <v/>
      </c>
      <c r="VE40">
        <f>VE39+IF(AND($C39=30,$L39=1),1,0)</f>
        <v/>
      </c>
      <c r="VF40">
        <f>VF39+IF(AND($C39=31,$L39=1),1,0)</f>
        <v/>
      </c>
      <c r="VG40">
        <f>VG39+IF(AND($C39=32,$L39=1),1,0)</f>
        <v/>
      </c>
      <c r="VH40">
        <f>VH39+IF(AND($C39=33,$L39=1),1,0)</f>
        <v/>
      </c>
      <c r="VI40">
        <f>VI39+IF(AND($C39=34,$L39=1),1,0)</f>
        <v/>
      </c>
      <c r="VJ40">
        <f>VJ39+IF(AND($C39=35,$L39=1),1,0)</f>
        <v/>
      </c>
      <c r="VK40">
        <f>VK39+IF(AND($C39=36,$L39=1),1,0)</f>
        <v/>
      </c>
      <c r="VL40">
        <f>VL39+IF(AND($C39=37,$L39=1),1,0)</f>
        <v/>
      </c>
      <c r="VM40">
        <f>VM39+IF(AND($C39=38,$L39=1),1,0)</f>
        <v/>
      </c>
      <c r="VN40">
        <f>VN39+IF(AND($C39=39,$L39=1),1,0)</f>
        <v/>
      </c>
      <c r="VO40">
        <f>VO39+IF(AND($C39=40,$L39=1),1,0)</f>
        <v/>
      </c>
      <c r="VP40">
        <f>VP39+IF(AND($C39=41,$L39=1),1,0)</f>
        <v/>
      </c>
      <c r="VQ40">
        <f>VQ39+IF(AND($C39=42,$L39=1),1,0)</f>
        <v/>
      </c>
      <c r="VR40">
        <f>VR39+IF(AND($C39=43,$L39=1),1,0)</f>
        <v/>
      </c>
      <c r="VS40">
        <f>VS39+IF(AND($C39=44,$L39=1),1,0)</f>
        <v/>
      </c>
      <c r="VT40">
        <f>VT39+IF(AND($C39=45,$L39=1),1,0)</f>
        <v/>
      </c>
      <c r="VU40">
        <f>VU39+IF(AND($C39=46,$L39=1),1,0)</f>
        <v/>
      </c>
      <c r="VV40">
        <f>VV39+IF(AND($C39=47,$L39=1),1,0)</f>
        <v/>
      </c>
      <c r="VW40">
        <f>VW39+IF(AND($C39=48,$L39=1),1,0)</f>
        <v/>
      </c>
      <c r="VX40">
        <f>VX39+IF(AND($C39=49,$L39=1),1,0)</f>
        <v/>
      </c>
      <c r="VY40">
        <f>VY39+IF(AND($C39=50,$L39=1),1,0)</f>
        <v/>
      </c>
      <c r="VZ40">
        <f>VZ39+IF(AND($C39=51,$L39=1),1,0)</f>
        <v/>
      </c>
      <c r="WA40">
        <f>WA39+IF(AND($C39=52,$L39=1),1,0)</f>
        <v/>
      </c>
      <c r="WB40">
        <f>WB39+IF(AND($C39=53,$L39=1),1,0)</f>
        <v/>
      </c>
      <c r="WC40">
        <f>WC39+IF(AND($C39=54,$L39=1),1,0)</f>
        <v/>
      </c>
      <c r="WD40">
        <f>WD39+IF(AND($C39=55,$L39=1),1,0)</f>
        <v/>
      </c>
      <c r="WE40">
        <f>WE39+IF(AND($C39=56,$L39=1),1,0)</f>
        <v/>
      </c>
      <c r="WF40">
        <f>WF39+IF(AND($C39=57,$L39=1),1,0)</f>
        <v/>
      </c>
      <c r="WG40">
        <f>WG39+IF(AND($C39=58,$L39=1),1,0)</f>
        <v/>
      </c>
      <c r="WH40">
        <f>WH39+IF(AND($C39=59,$L39=1),1,0)</f>
        <v/>
      </c>
      <c r="WI40">
        <f>WI39+IF(AND($C39=60,$L39=1),1,0)</f>
        <v/>
      </c>
      <c r="WJ40">
        <f>WJ39+IF(AND($C39=61,$L39=1),1,0)</f>
        <v/>
      </c>
      <c r="WK40">
        <f>WK39+IF(AND($C39=62,$L39=1),1,0)</f>
        <v/>
      </c>
      <c r="WL40">
        <f>WL39+IF(AND($C39=63,$L39=1),1,0)</f>
        <v/>
      </c>
      <c r="WM40">
        <f>WM39+IF(AND($C39=64,$L39=1),1,0)</f>
        <v/>
      </c>
      <c r="WN40">
        <f>WN39+IF(AND($C39=65,$L39=1),1,0)</f>
        <v/>
      </c>
      <c r="WO40">
        <f>WO39+IF(AND($C39=66,$L39=1),1,0)</f>
        <v/>
      </c>
      <c r="WP40">
        <f>WP39+IF(AND($C39=67,$L39=1),1,0)</f>
        <v/>
      </c>
      <c r="WQ40">
        <f>WQ39+IF(AND($C39=68,$L39=1),1,0)</f>
        <v/>
      </c>
      <c r="WR40">
        <f>WR39+IF(AND($C39=69,$L39=1),1,0)</f>
        <v/>
      </c>
      <c r="WS40">
        <f>WS39+IF(AND($C39=70,$L39=1),1,0)</f>
        <v/>
      </c>
      <c r="WT40">
        <f>WT39+IF(AND($C39=71,$L39=1),1,0)</f>
        <v/>
      </c>
      <c r="WU40">
        <f>WU39+IF(AND($C39=72,$L39=1),1,0)</f>
        <v/>
      </c>
      <c r="WV40">
        <f>WV39+IF(AND($C39=73,$L39=1),1,0)</f>
        <v/>
      </c>
      <c r="WW40">
        <f>WW39+IF(AND($C39=74,$L39=1),1,0)</f>
        <v/>
      </c>
      <c r="WX40">
        <f>WX39+IF(AND($C39=75,$L39=1),1,0)</f>
        <v/>
      </c>
      <c r="WY40">
        <f>WY39+IF(AND($C39=76,$L39=1),1,0)</f>
        <v/>
      </c>
      <c r="WZ40">
        <f>WZ39+IF(AND($C39=77,$L39=1),1,0)</f>
        <v/>
      </c>
      <c r="XA40">
        <f>XA39+IF(AND($C39=78,$L39=1),1,0)</f>
        <v/>
      </c>
      <c r="XB40">
        <f>XB39+IF(AND($C39=79,$L39=1),1,0)</f>
        <v/>
      </c>
      <c r="XC40">
        <f>XC39+IF(AND($C39=80,$L39=1),1,0)</f>
        <v/>
      </c>
      <c r="XD40">
        <f>XD39+IF(AND($C39=81,$L39=1),1,0)</f>
        <v/>
      </c>
      <c r="XE40">
        <f>XE39+IF(AND($C39=82,$L39=1),1,0)</f>
        <v/>
      </c>
      <c r="XF40">
        <f>XF39+IF(AND($C39=83,$L39=1),1,0)</f>
        <v/>
      </c>
      <c r="XG40">
        <f>XG39+IF(AND($C39=84,$L39=1),1,0)</f>
        <v/>
      </c>
      <c r="XH40">
        <f>XH39+IF(AND($C39=85,$L39=1),1,0)</f>
        <v/>
      </c>
      <c r="XI40">
        <f>XI39+IF(AND($C39=86,$L39=1),1,0)</f>
        <v/>
      </c>
      <c r="XJ40">
        <f>XJ39+IF(AND($C39=87,$L39=1),1,0)</f>
        <v/>
      </c>
      <c r="XK40">
        <f>XK39+IF(AND($C39=88,$L39=1),1,0)</f>
        <v/>
      </c>
      <c r="XL40">
        <f>XL39+IF(AND($C39=89,$L39=1),1,0)</f>
        <v/>
      </c>
      <c r="XM40">
        <f>XM39+IF(AND($C39=90,$L39=1),1,0)</f>
        <v/>
      </c>
      <c r="XN40">
        <f>XN39+IF(AND($C39=91,$L39=1),1,0)</f>
        <v/>
      </c>
      <c r="XO40">
        <f>XO39+IF(AND($C39=92,$L39=1),1,0)</f>
        <v/>
      </c>
      <c r="XP40">
        <f>XP39+IF(AND($C39=93,$L39=1),1,0)</f>
        <v/>
      </c>
      <c r="XQ40">
        <f>XQ39+IF(AND($C39=94,$L39=1),1,0)</f>
        <v/>
      </c>
      <c r="XR40">
        <f>XR39+IF(AND($C39=95,$L39=1),1,0)</f>
        <v/>
      </c>
      <c r="XS40">
        <f>XS39+IF(AND($C39=96,$L39=1),1,0)</f>
        <v/>
      </c>
      <c r="XT40">
        <f>XT39+IF(AND($C39=97,$L39=1),1,0)</f>
        <v/>
      </c>
      <c r="XU40">
        <f>XU39+IF(AND($C39=98,$L39=1),1,0)</f>
        <v/>
      </c>
      <c r="XV40">
        <f>XV39+IF(AND($C39=99,$L39=1),1,0)</f>
        <v/>
      </c>
      <c r="XW40">
        <f>XW39+IF(AND($C39=100,$L39=1),1,0)</f>
        <v/>
      </c>
      <c r="XX40">
        <f>XX39+IF(AND($C39=101,$L39=1),1,0)</f>
        <v/>
      </c>
      <c r="XY40">
        <f>XY39+IF(AND($C39=102,$L39=1),1,0)</f>
        <v/>
      </c>
      <c r="XZ40">
        <f>XZ39+IF(AND($C39=103,$L39=1),1,0)</f>
        <v/>
      </c>
      <c r="YA40">
        <f>YA39+IF(AND($C39=104,$L39=1),1,0)</f>
        <v/>
      </c>
      <c r="YB40">
        <f>YB39+IF(AND($C39=105,$L39=1),1,0)</f>
        <v/>
      </c>
      <c r="YC40">
        <f>YC39+IF(AND($C39=106,$L39=1),1,0)</f>
        <v/>
      </c>
      <c r="YD40">
        <f>YD39+IF(AND($C39=107,$L39=1),1,0)</f>
        <v/>
      </c>
      <c r="YE40">
        <f>YE39+IF(AND($C39=108,$L39=1),1,0)</f>
        <v/>
      </c>
      <c r="YF40">
        <f>YF39+IF(AND($C39=109,$L39=1),1,0)</f>
        <v/>
      </c>
      <c r="YG40">
        <f>YG39+IF(AND($C39=110,$L39=1),1,0)</f>
        <v/>
      </c>
      <c r="YH40">
        <f>YH39+IF(AND($C39=111,$L39=1),1,0)</f>
        <v/>
      </c>
      <c r="YI40">
        <f>YI39+IF(AND($C39=112,$L39=1),1,0)</f>
        <v/>
      </c>
      <c r="YJ40">
        <f>YJ39+IF(AND($C39=113,$L39=1),1,0)</f>
        <v/>
      </c>
      <c r="YK40">
        <f>YK39+IF(AND($C39=114,$L39=1),1,0)</f>
        <v/>
      </c>
      <c r="YL40">
        <f>YL39+IF(AND($C39=115,$L39=1),1,0)</f>
        <v/>
      </c>
      <c r="YM40">
        <f>YM39+IF(AND($C39=116,$L39=1),1,0)</f>
        <v/>
      </c>
      <c r="YN40">
        <f>YN39+IF(AND($C39=117,$L39=1),1,0)</f>
        <v/>
      </c>
      <c r="YO40">
        <f>YO39+IF(AND($C39=118,$L39=1),1,0)</f>
        <v/>
      </c>
      <c r="YP40">
        <f>YP39+IF(AND($C39=119,$L39=1),1,0)</f>
        <v/>
      </c>
      <c r="YQ40">
        <f>YQ39+IF(AND($C39=120,$L39=1),1,0)</f>
        <v/>
      </c>
      <c r="YR40">
        <f>YR39+IF(AND($C39=121,$L39=1),1,0)</f>
        <v/>
      </c>
      <c r="YS40">
        <f>YS39+IF(AND($C39=122,$L39=1),1,0)</f>
        <v/>
      </c>
      <c r="YT40">
        <f>YT39+IF(AND($C39=123,$L39=1),1,0)</f>
        <v/>
      </c>
      <c r="YU40">
        <f>YU39+IF(AND($C39=124,$L39=1),1,0)</f>
        <v/>
      </c>
      <c r="YV40">
        <f>YV39+IF(AND($C39=125,$L39=1),1,0)</f>
        <v/>
      </c>
      <c r="YW40">
        <f>YW39+IF(AND($C39=126,$L39=1),1,0)</f>
        <v/>
      </c>
      <c r="YX40">
        <f>YX39+IF(AND($C39=127,$L39=1),1,0)</f>
        <v/>
      </c>
      <c r="YY40">
        <f>YY39+IF(AND($C39=128,$L39=1),1,0)</f>
        <v/>
      </c>
      <c r="YZ40">
        <f>YZ39+IF(AND($C39=129,$L39=1),1,0)</f>
        <v/>
      </c>
      <c r="ZA40">
        <f>ZA39+IF(AND($C39=130,$L39=1),1,0)</f>
        <v/>
      </c>
      <c r="ZB40">
        <f>ZB39+IF(AND($C39=131,$L39=1),1,0)</f>
        <v/>
      </c>
      <c r="ZC40">
        <f>ZC39+IF(AND($C39=132,$L39=1),1,0)</f>
        <v/>
      </c>
      <c r="ZD40">
        <f>ZD39+IF(AND($C39=133,$L39=1),1,0)</f>
        <v/>
      </c>
      <c r="ZE40">
        <f>ZE39+IF(AND($C39=134,$L39=1),1,0)</f>
        <v/>
      </c>
      <c r="ZF40">
        <f>ZF39+IF(AND($C39=135,$L39=1),1,0)</f>
        <v/>
      </c>
      <c r="ZG40">
        <f>ZG39+IF(AND($C39=136,$L39=1),1,0)</f>
        <v/>
      </c>
      <c r="ZH40">
        <f>ZH39+IF(AND($C39=137,$L39=1),1,0)</f>
        <v/>
      </c>
      <c r="ZI40">
        <f>ZI39+IF(AND($C39=138,$L39=1),1,0)</f>
        <v/>
      </c>
      <c r="ZJ40">
        <f>ZJ39+IF(AND($C39=139,$L39=1),1,0)</f>
        <v/>
      </c>
      <c r="ZK40">
        <f>ZK39+IF(AND($C39=140,$L39=1),1,0)</f>
        <v/>
      </c>
      <c r="ZL40">
        <f>ZL39+IF(AND($C39=141,$L39=1),1,0)</f>
        <v/>
      </c>
      <c r="ZM40">
        <f>ZM39+IF(AND($C39=142,$L39=1),1,0)</f>
        <v/>
      </c>
      <c r="ZN40">
        <f>ZN39+IF(AND($C39=143,$L39=1),1,0)</f>
        <v/>
      </c>
      <c r="ZO40">
        <f>ZO39+IF(AND($C39=144,$L39=1),1,0)</f>
        <v/>
      </c>
    </row>
    <row r="41">
      <c r="A41" t="n">
        <v>39</v>
      </c>
      <c r="B41">
        <f>IF(MIN(BH41:CZ41)&gt;=1000000,0,MATCH(MIN(BH41:CZ41),BH41:CZ41,0))</f>
        <v/>
      </c>
      <c r="C41">
        <f>IF(MIN(OF41:TS41)&gt;=1000000,0,MATCH(MIN(OF41:TS41),OF41:TS41,0))</f>
        <v/>
      </c>
      <c r="D41">
        <f>IF(C41&gt;0,INDEX('計算A'!$D$5:$EQ$5,C41),0)</f>
        <v/>
      </c>
      <c r="E41">
        <f>IF(B41=0,0,INDEX('計算A'!$IQ$10:$IQ$54,B41))</f>
        <v/>
      </c>
      <c r="F41">
        <f>IF(B41=0,0,INDEX('計算A'!$IP$10:$IP$54,B41))</f>
        <v/>
      </c>
      <c r="G41">
        <f>IF(AND(C41&gt;0,E41&gt;0),IF(AND(INDEX('計算A'!$D$106:$EQ$106,C41)=1,INDEX($IQ41:$OD41,C41)=1),C41+1,0),0)</f>
        <v/>
      </c>
      <c r="H41">
        <f>IF(B41=0,0,INDEX('計算A'!$IW$10:$IW$54,B41))</f>
        <v/>
      </c>
      <c r="I41">
        <f>IF(B41=0,0,MAX(0,INDEX('計算A'!$IT$10:$IT$54,B41)))</f>
        <v/>
      </c>
      <c r="J41">
        <f>IF(I41=0,0,INDEX('計算A'!$D$2:$EQ$2,I41))</f>
        <v/>
      </c>
      <c r="K41">
        <f>IF(I41=0,0,INDEX('計算A'!$D$3:$EQ$3,I41))</f>
        <v/>
      </c>
      <c r="L41">
        <f>IF(B41=0,0,INDEX('計算A'!$IX$10:$IX$54,B41))</f>
        <v/>
      </c>
      <c r="N41">
        <f>MAX(N40,IF($B40=1,1,0))</f>
        <v/>
      </c>
      <c r="O41">
        <f>MAX(O40,IF($B40=2,1,0))</f>
        <v/>
      </c>
      <c r="P41">
        <f>MAX(P40,IF($B40=3,1,0))</f>
        <v/>
      </c>
      <c r="Q41">
        <f>MAX(Q40,IF($B40=4,1,0))</f>
        <v/>
      </c>
      <c r="R41">
        <f>MAX(R40,IF($B40=5,1,0))</f>
        <v/>
      </c>
      <c r="S41">
        <f>MAX(S40,IF($B40=6,1,0))</f>
        <v/>
      </c>
      <c r="T41">
        <f>MAX(T40,IF($B40=7,1,0))</f>
        <v/>
      </c>
      <c r="U41">
        <f>MAX(U40,IF($B40=8,1,0))</f>
        <v/>
      </c>
      <c r="V41">
        <f>MAX(V40,IF($B40=9,1,0))</f>
        <v/>
      </c>
      <c r="W41">
        <f>MAX(W40,IF($B40=10,1,0))</f>
        <v/>
      </c>
      <c r="X41">
        <f>MAX(X40,IF($B40=11,1,0))</f>
        <v/>
      </c>
      <c r="Y41">
        <f>MAX(Y40,IF($B40=12,1,0))</f>
        <v/>
      </c>
      <c r="Z41">
        <f>MAX(Z40,IF($B40=13,1,0))</f>
        <v/>
      </c>
      <c r="AA41">
        <f>MAX(AA40,IF($B40=14,1,0))</f>
        <v/>
      </c>
      <c r="AB41">
        <f>MAX(AB40,IF($B40=15,1,0))</f>
        <v/>
      </c>
      <c r="AC41">
        <f>MAX(AC40,IF($B40=16,1,0))</f>
        <v/>
      </c>
      <c r="AD41">
        <f>MAX(AD40,IF($B40=17,1,0))</f>
        <v/>
      </c>
      <c r="AE41">
        <f>MAX(AE40,IF($B40=18,1,0))</f>
        <v/>
      </c>
      <c r="AF41">
        <f>MAX(AF40,IF($B40=19,1,0))</f>
        <v/>
      </c>
      <c r="AG41">
        <f>MAX(AG40,IF($B40=20,1,0))</f>
        <v/>
      </c>
      <c r="AH41">
        <f>MAX(AH40,IF($B40=21,1,0))</f>
        <v/>
      </c>
      <c r="AI41">
        <f>MAX(AI40,IF($B40=22,1,0))</f>
        <v/>
      </c>
      <c r="AJ41">
        <f>MAX(AJ40,IF($B40=23,1,0))</f>
        <v/>
      </c>
      <c r="AK41">
        <f>MAX(AK40,IF($B40=24,1,0))</f>
        <v/>
      </c>
      <c r="AL41">
        <f>MAX(AL40,IF($B40=25,1,0))</f>
        <v/>
      </c>
      <c r="AM41">
        <f>MAX(AM40,IF($B40=26,1,0))</f>
        <v/>
      </c>
      <c r="AN41">
        <f>MAX(AN40,IF($B40=27,1,0))</f>
        <v/>
      </c>
      <c r="AO41">
        <f>MAX(AO40,IF($B40=28,1,0))</f>
        <v/>
      </c>
      <c r="AP41">
        <f>MAX(AP40,IF($B40=29,1,0))</f>
        <v/>
      </c>
      <c r="AQ41">
        <f>MAX(AQ40,IF($B40=30,1,0))</f>
        <v/>
      </c>
      <c r="AR41">
        <f>MAX(AR40,IF($B40=31,1,0))</f>
        <v/>
      </c>
      <c r="AS41">
        <f>MAX(AS40,IF($B40=32,1,0))</f>
        <v/>
      </c>
      <c r="AT41">
        <f>MAX(AT40,IF($B40=33,1,0))</f>
        <v/>
      </c>
      <c r="AU41">
        <f>MAX(AU40,IF($B40=34,1,0))</f>
        <v/>
      </c>
      <c r="AV41">
        <f>MAX(AV40,IF($B40=35,1,0))</f>
        <v/>
      </c>
      <c r="AW41">
        <f>MAX(AW40,IF($B40=36,1,0))</f>
        <v/>
      </c>
      <c r="AX41">
        <f>MAX(AX40,IF($B40=37,1,0))</f>
        <v/>
      </c>
      <c r="AY41">
        <f>MAX(AY40,IF($B40=38,1,0))</f>
        <v/>
      </c>
      <c r="AZ41">
        <f>MAX(AZ40,IF($B40=39,1,0))</f>
        <v/>
      </c>
      <c r="BA41">
        <f>MAX(BA40,IF($B40=40,1,0))</f>
        <v/>
      </c>
      <c r="BB41">
        <f>MAX(BB40,IF($B40=41,1,0))</f>
        <v/>
      </c>
      <c r="BC41">
        <f>MAX(BC40,IF($B40=42,1,0))</f>
        <v/>
      </c>
      <c r="BD41">
        <f>MAX(BD40,IF($B40=43,1,0))</f>
        <v/>
      </c>
      <c r="BE41">
        <f>MAX(BE40,IF($B40=44,1,0))</f>
        <v/>
      </c>
      <c r="BF41">
        <f>MAX(BF40,IF($B40=45,1,0))</f>
        <v/>
      </c>
      <c r="BH41">
        <f>IF(N41=1,1000000,IF('計算A'!$IT$10&gt;0,0,500000)+IF('計算A'!$IQ$10=2,SUMPRODUCT('計算A'!$D$60:$EQ$60,$DB41:$IO41,$IQ41:$OD41),SUMPRODUCT('計算A'!$D$60:$EQ$60,$DB41:$IO41))*1000+1)</f>
        <v/>
      </c>
      <c r="BI41">
        <f>IF(O41=1,1000000,IF('計算A'!$IT$11&gt;0,0,500000)+IF('計算A'!$IQ$11=2,SUMPRODUCT('計算A'!$D$61:$EQ$61,$DB41:$IO41,$IQ41:$OD41),SUMPRODUCT('計算A'!$D$61:$EQ$61,$DB41:$IO41))*1000+2)</f>
        <v/>
      </c>
      <c r="BJ41">
        <f>IF(P41=1,1000000,IF('計算A'!$IT$12&gt;0,0,500000)+IF('計算A'!$IQ$12=2,SUMPRODUCT('計算A'!$D$62:$EQ$62,$DB41:$IO41,$IQ41:$OD41),SUMPRODUCT('計算A'!$D$62:$EQ$62,$DB41:$IO41))*1000+3)</f>
        <v/>
      </c>
      <c r="BK41">
        <f>IF(Q41=1,1000000,IF('計算A'!$IT$13&gt;0,0,500000)+IF('計算A'!$IQ$13=2,SUMPRODUCT('計算A'!$D$63:$EQ$63,$DB41:$IO41,$IQ41:$OD41),SUMPRODUCT('計算A'!$D$63:$EQ$63,$DB41:$IO41))*1000+4)</f>
        <v/>
      </c>
      <c r="BL41">
        <f>IF(R41=1,1000000,IF('計算A'!$IT$14&gt;0,0,500000)+IF('計算A'!$IQ$14=2,SUMPRODUCT('計算A'!$D$64:$EQ$64,$DB41:$IO41,$IQ41:$OD41),SUMPRODUCT('計算A'!$D$64:$EQ$64,$DB41:$IO41))*1000+5)</f>
        <v/>
      </c>
      <c r="BM41">
        <f>IF(S41=1,1000000,IF('計算A'!$IT$15&gt;0,0,500000)+IF('計算A'!$IQ$15=2,SUMPRODUCT('計算A'!$D$65:$EQ$65,$DB41:$IO41,$IQ41:$OD41),SUMPRODUCT('計算A'!$D$65:$EQ$65,$DB41:$IO41))*1000+6)</f>
        <v/>
      </c>
      <c r="BN41">
        <f>IF(T41=1,1000000,IF('計算A'!$IT$16&gt;0,0,500000)+IF('計算A'!$IQ$16=2,SUMPRODUCT('計算A'!$D$66:$EQ$66,$DB41:$IO41,$IQ41:$OD41),SUMPRODUCT('計算A'!$D$66:$EQ$66,$DB41:$IO41))*1000+7)</f>
        <v/>
      </c>
      <c r="BO41">
        <f>IF(U41=1,1000000,IF('計算A'!$IT$17&gt;0,0,500000)+IF('計算A'!$IQ$17=2,SUMPRODUCT('計算A'!$D$67:$EQ$67,$DB41:$IO41,$IQ41:$OD41),SUMPRODUCT('計算A'!$D$67:$EQ$67,$DB41:$IO41))*1000+8)</f>
        <v/>
      </c>
      <c r="BP41">
        <f>IF(V41=1,1000000,IF('計算A'!$IT$18&gt;0,0,500000)+IF('計算A'!$IQ$18=2,SUMPRODUCT('計算A'!$D$68:$EQ$68,$DB41:$IO41,$IQ41:$OD41),SUMPRODUCT('計算A'!$D$68:$EQ$68,$DB41:$IO41))*1000+9)</f>
        <v/>
      </c>
      <c r="BQ41">
        <f>IF(W41=1,1000000,IF('計算A'!$IT$19&gt;0,0,500000)+IF('計算A'!$IQ$19=2,SUMPRODUCT('計算A'!$D$69:$EQ$69,$DB41:$IO41,$IQ41:$OD41),SUMPRODUCT('計算A'!$D$69:$EQ$69,$DB41:$IO41))*1000+10)</f>
        <v/>
      </c>
      <c r="BR41">
        <f>IF(X41=1,1000000,IF('計算A'!$IT$20&gt;0,0,500000)+IF('計算A'!$IQ$20=2,SUMPRODUCT('計算A'!$D$70:$EQ$70,$DB41:$IO41,$IQ41:$OD41),SUMPRODUCT('計算A'!$D$70:$EQ$70,$DB41:$IO41))*1000+11)</f>
        <v/>
      </c>
      <c r="BS41">
        <f>IF(Y41=1,1000000,IF('計算A'!$IT$21&gt;0,0,500000)+IF('計算A'!$IQ$21=2,SUMPRODUCT('計算A'!$D$71:$EQ$71,$DB41:$IO41,$IQ41:$OD41),SUMPRODUCT('計算A'!$D$71:$EQ$71,$DB41:$IO41))*1000+12)</f>
        <v/>
      </c>
      <c r="BT41">
        <f>IF(Z41=1,1000000,IF('計算A'!$IT$22&gt;0,0,500000)+IF('計算A'!$IQ$22=2,SUMPRODUCT('計算A'!$D$72:$EQ$72,$DB41:$IO41,$IQ41:$OD41),SUMPRODUCT('計算A'!$D$72:$EQ$72,$DB41:$IO41))*1000+13)</f>
        <v/>
      </c>
      <c r="BU41">
        <f>IF(AA41=1,1000000,IF('計算A'!$IT$23&gt;0,0,500000)+IF('計算A'!$IQ$23=2,SUMPRODUCT('計算A'!$D$73:$EQ$73,$DB41:$IO41,$IQ41:$OD41),SUMPRODUCT('計算A'!$D$73:$EQ$73,$DB41:$IO41))*1000+14)</f>
        <v/>
      </c>
      <c r="BV41">
        <f>IF(AB41=1,1000000,IF('計算A'!$IT$24&gt;0,0,500000)+IF('計算A'!$IQ$24=2,SUMPRODUCT('計算A'!$D$74:$EQ$74,$DB41:$IO41,$IQ41:$OD41),SUMPRODUCT('計算A'!$D$74:$EQ$74,$DB41:$IO41))*1000+15)</f>
        <v/>
      </c>
      <c r="BW41">
        <f>IF(AC41=1,1000000,IF('計算A'!$IT$25&gt;0,0,500000)+IF('計算A'!$IQ$25=2,SUMPRODUCT('計算A'!$D$75:$EQ$75,$DB41:$IO41,$IQ41:$OD41),SUMPRODUCT('計算A'!$D$75:$EQ$75,$DB41:$IO41))*1000+16)</f>
        <v/>
      </c>
      <c r="BX41">
        <f>IF(AD41=1,1000000,IF('計算A'!$IT$26&gt;0,0,500000)+IF('計算A'!$IQ$26=2,SUMPRODUCT('計算A'!$D$76:$EQ$76,$DB41:$IO41,$IQ41:$OD41),SUMPRODUCT('計算A'!$D$76:$EQ$76,$DB41:$IO41))*1000+17)</f>
        <v/>
      </c>
      <c r="BY41">
        <f>IF(AE41=1,1000000,IF('計算A'!$IT$27&gt;0,0,500000)+IF('計算A'!$IQ$27=2,SUMPRODUCT('計算A'!$D$77:$EQ$77,$DB41:$IO41,$IQ41:$OD41),SUMPRODUCT('計算A'!$D$77:$EQ$77,$DB41:$IO41))*1000+18)</f>
        <v/>
      </c>
      <c r="BZ41">
        <f>IF(AF41=1,1000000,IF('計算A'!$IT$28&gt;0,0,500000)+IF('計算A'!$IQ$28=2,SUMPRODUCT('計算A'!$D$78:$EQ$78,$DB41:$IO41,$IQ41:$OD41),SUMPRODUCT('計算A'!$D$78:$EQ$78,$DB41:$IO41))*1000+19)</f>
        <v/>
      </c>
      <c r="CA41">
        <f>IF(AG41=1,1000000,IF('計算A'!$IT$29&gt;0,0,500000)+IF('計算A'!$IQ$29=2,SUMPRODUCT('計算A'!$D$79:$EQ$79,$DB41:$IO41,$IQ41:$OD41),SUMPRODUCT('計算A'!$D$79:$EQ$79,$DB41:$IO41))*1000+20)</f>
        <v/>
      </c>
      <c r="CB41">
        <f>IF(AH41=1,1000000,IF('計算A'!$IT$30&gt;0,0,500000)+IF('計算A'!$IQ$30=2,SUMPRODUCT('計算A'!$D$80:$EQ$80,$DB41:$IO41,$IQ41:$OD41),SUMPRODUCT('計算A'!$D$80:$EQ$80,$DB41:$IO41))*1000+21)</f>
        <v/>
      </c>
      <c r="CC41">
        <f>IF(AI41=1,1000000,IF('計算A'!$IT$31&gt;0,0,500000)+IF('計算A'!$IQ$31=2,SUMPRODUCT('計算A'!$D$81:$EQ$81,$DB41:$IO41,$IQ41:$OD41),SUMPRODUCT('計算A'!$D$81:$EQ$81,$DB41:$IO41))*1000+22)</f>
        <v/>
      </c>
      <c r="CD41">
        <f>IF(AJ41=1,1000000,IF('計算A'!$IT$32&gt;0,0,500000)+IF('計算A'!$IQ$32=2,SUMPRODUCT('計算A'!$D$82:$EQ$82,$DB41:$IO41,$IQ41:$OD41),SUMPRODUCT('計算A'!$D$82:$EQ$82,$DB41:$IO41))*1000+23)</f>
        <v/>
      </c>
      <c r="CE41">
        <f>IF(AK41=1,1000000,IF('計算A'!$IT$33&gt;0,0,500000)+IF('計算A'!$IQ$33=2,SUMPRODUCT('計算A'!$D$83:$EQ$83,$DB41:$IO41,$IQ41:$OD41),SUMPRODUCT('計算A'!$D$83:$EQ$83,$DB41:$IO41))*1000+24)</f>
        <v/>
      </c>
      <c r="CF41">
        <f>IF(AL41=1,1000000,IF('計算A'!$IT$34&gt;0,0,500000)+IF('計算A'!$IQ$34=2,SUMPRODUCT('計算A'!$D$84:$EQ$84,$DB41:$IO41,$IQ41:$OD41),SUMPRODUCT('計算A'!$D$84:$EQ$84,$DB41:$IO41))*1000+25)</f>
        <v/>
      </c>
      <c r="CG41">
        <f>IF(AM41=1,1000000,IF('計算A'!$IT$35&gt;0,0,500000)+IF('計算A'!$IQ$35=2,SUMPRODUCT('計算A'!$D$85:$EQ$85,$DB41:$IO41,$IQ41:$OD41),SUMPRODUCT('計算A'!$D$85:$EQ$85,$DB41:$IO41))*1000+26)</f>
        <v/>
      </c>
      <c r="CH41">
        <f>IF(AN41=1,1000000,IF('計算A'!$IT$36&gt;0,0,500000)+IF('計算A'!$IQ$36=2,SUMPRODUCT('計算A'!$D$86:$EQ$86,$DB41:$IO41,$IQ41:$OD41),SUMPRODUCT('計算A'!$D$86:$EQ$86,$DB41:$IO41))*1000+27)</f>
        <v/>
      </c>
      <c r="CI41">
        <f>IF(AO41=1,1000000,IF('計算A'!$IT$37&gt;0,0,500000)+IF('計算A'!$IQ$37=2,SUMPRODUCT('計算A'!$D$87:$EQ$87,$DB41:$IO41,$IQ41:$OD41),SUMPRODUCT('計算A'!$D$87:$EQ$87,$DB41:$IO41))*1000+28)</f>
        <v/>
      </c>
      <c r="CJ41">
        <f>IF(AP41=1,1000000,IF('計算A'!$IT$38&gt;0,0,500000)+IF('計算A'!$IQ$38=2,SUMPRODUCT('計算A'!$D$88:$EQ$88,$DB41:$IO41,$IQ41:$OD41),SUMPRODUCT('計算A'!$D$88:$EQ$88,$DB41:$IO41))*1000+29)</f>
        <v/>
      </c>
      <c r="CK41">
        <f>IF(AQ41=1,1000000,IF('計算A'!$IT$39&gt;0,0,500000)+IF('計算A'!$IQ$39=2,SUMPRODUCT('計算A'!$D$89:$EQ$89,$DB41:$IO41,$IQ41:$OD41),SUMPRODUCT('計算A'!$D$89:$EQ$89,$DB41:$IO41))*1000+30)</f>
        <v/>
      </c>
      <c r="CL41">
        <f>IF(AR41=1,1000000,IF('計算A'!$IT$40&gt;0,0,500000)+IF('計算A'!$IQ$40=2,SUMPRODUCT('計算A'!$D$90:$EQ$90,$DB41:$IO41,$IQ41:$OD41),SUMPRODUCT('計算A'!$D$90:$EQ$90,$DB41:$IO41))*1000+31)</f>
        <v/>
      </c>
      <c r="CM41">
        <f>IF(AS41=1,1000000,IF('計算A'!$IT$41&gt;0,0,500000)+IF('計算A'!$IQ$41=2,SUMPRODUCT('計算A'!$D$91:$EQ$91,$DB41:$IO41,$IQ41:$OD41),SUMPRODUCT('計算A'!$D$91:$EQ$91,$DB41:$IO41))*1000+32)</f>
        <v/>
      </c>
      <c r="CN41">
        <f>IF(AT41=1,1000000,IF('計算A'!$IT$42&gt;0,0,500000)+IF('計算A'!$IQ$42=2,SUMPRODUCT('計算A'!$D$92:$EQ$92,$DB41:$IO41,$IQ41:$OD41),SUMPRODUCT('計算A'!$D$92:$EQ$92,$DB41:$IO41))*1000+33)</f>
        <v/>
      </c>
      <c r="CO41">
        <f>IF(AU41=1,1000000,IF('計算A'!$IT$43&gt;0,0,500000)+IF('計算A'!$IQ$43=2,SUMPRODUCT('計算A'!$D$93:$EQ$93,$DB41:$IO41,$IQ41:$OD41),SUMPRODUCT('計算A'!$D$93:$EQ$93,$DB41:$IO41))*1000+34)</f>
        <v/>
      </c>
      <c r="CP41">
        <f>IF(AV41=1,1000000,IF('計算A'!$IT$44&gt;0,0,500000)+IF('計算A'!$IQ$44=2,SUMPRODUCT('計算A'!$D$94:$EQ$94,$DB41:$IO41,$IQ41:$OD41),SUMPRODUCT('計算A'!$D$94:$EQ$94,$DB41:$IO41))*1000+35)</f>
        <v/>
      </c>
      <c r="CQ41">
        <f>IF(AW41=1,1000000,IF('計算A'!$IT$45&gt;0,0,500000)+IF('計算A'!$IQ$45=2,SUMPRODUCT('計算A'!$D$95:$EQ$95,$DB41:$IO41,$IQ41:$OD41),SUMPRODUCT('計算A'!$D$95:$EQ$95,$DB41:$IO41))*1000+36)</f>
        <v/>
      </c>
      <c r="CR41">
        <f>IF(AX41=1,1000000,IF('計算A'!$IT$46&gt;0,0,500000)+IF('計算A'!$IQ$46=2,SUMPRODUCT('計算A'!$D$96:$EQ$96,$DB41:$IO41,$IQ41:$OD41),SUMPRODUCT('計算A'!$D$96:$EQ$96,$DB41:$IO41))*1000+37)</f>
        <v/>
      </c>
      <c r="CS41">
        <f>IF(AY41=1,1000000,IF('計算A'!$IT$47&gt;0,0,500000)+IF('計算A'!$IQ$47=2,SUMPRODUCT('計算A'!$D$97:$EQ$97,$DB41:$IO41,$IQ41:$OD41),SUMPRODUCT('計算A'!$D$97:$EQ$97,$DB41:$IO41))*1000+38)</f>
        <v/>
      </c>
      <c r="CT41">
        <f>IF(AZ41=1,1000000,IF('計算A'!$IT$48&gt;0,0,500000)+IF('計算A'!$IQ$48=2,SUMPRODUCT('計算A'!$D$98:$EQ$98,$DB41:$IO41,$IQ41:$OD41),SUMPRODUCT('計算A'!$D$98:$EQ$98,$DB41:$IO41))*1000+39)</f>
        <v/>
      </c>
      <c r="CU41">
        <f>IF(BA41=1,1000000,IF('計算A'!$IT$49&gt;0,0,500000)+IF('計算A'!$IQ$49=2,SUMPRODUCT('計算A'!$D$99:$EQ$99,$DB41:$IO41,$IQ41:$OD41),SUMPRODUCT('計算A'!$D$99:$EQ$99,$DB41:$IO41))*1000+40)</f>
        <v/>
      </c>
      <c r="CV41">
        <f>IF(BB41=1,1000000,IF('計算A'!$IT$50&gt;0,0,500000)+IF('計算A'!$IQ$50=2,SUMPRODUCT('計算A'!$D$100:$EQ$100,$DB41:$IO41,$IQ41:$OD41),SUMPRODUCT('計算A'!$D$100:$EQ$100,$DB41:$IO41))*1000+41)</f>
        <v/>
      </c>
      <c r="CW41">
        <f>IF(BC41=1,1000000,IF('計算A'!$IT$51&gt;0,0,500000)+IF('計算A'!$IQ$51=2,SUMPRODUCT('計算A'!$D$101:$EQ$101,$DB41:$IO41,$IQ41:$OD41),SUMPRODUCT('計算A'!$D$101:$EQ$101,$DB41:$IO41))*1000+42)</f>
        <v/>
      </c>
      <c r="CX41">
        <f>IF(BD41=1,1000000,IF('計算A'!$IT$52&gt;0,0,500000)+IF('計算A'!$IQ$52=2,SUMPRODUCT('計算A'!$D$102:$EQ$102,$DB41:$IO41,$IQ41:$OD41),SUMPRODUCT('計算A'!$D$102:$EQ$102,$DB41:$IO41))*1000+43)</f>
        <v/>
      </c>
      <c r="CY41">
        <f>IF(BE41=1,1000000,IF('計算A'!$IT$53&gt;0,0,500000)+IF('計算A'!$IQ$53=2,SUMPRODUCT('計算A'!$D$103:$EQ$103,$DB41:$IO41,$IQ41:$OD41),SUMPRODUCT('計算A'!$D$103:$EQ$103,$DB41:$IO41))*1000+44)</f>
        <v/>
      </c>
      <c r="CZ41">
        <f>IF(BF41=1,1000000,IF('計算A'!$IT$54&gt;0,0,500000)+IF('計算A'!$IQ$54=2,SUMPRODUCT('計算A'!$D$104:$EQ$104,$DB41:$IO41,$IQ41:$OD41),SUMPRODUCT('計算A'!$D$104:$EQ$104,$DB41:$IO41))*1000+45)</f>
        <v/>
      </c>
      <c r="DB41">
        <f>DB40*IF(OR($C40=1,$G40=1),0,1)</f>
        <v/>
      </c>
      <c r="DC41">
        <f>DC40*IF(OR($C40=2,$G40=2),0,1)</f>
        <v/>
      </c>
      <c r="DD41">
        <f>DD40*IF(OR($C40=3,$G40=3),0,1)</f>
        <v/>
      </c>
      <c r="DE41">
        <f>DE40*IF(OR($C40=4,$G40=4),0,1)</f>
        <v/>
      </c>
      <c r="DF41">
        <f>DF40*IF(OR($C40=5,$G40=5),0,1)</f>
        <v/>
      </c>
      <c r="DG41">
        <f>DG40*IF(OR($C40=6,$G40=6),0,1)</f>
        <v/>
      </c>
      <c r="DH41">
        <f>DH40*IF(OR($C40=7,$G40=7),0,1)</f>
        <v/>
      </c>
      <c r="DI41">
        <f>DI40*IF(OR($C40=8,$G40=8),0,1)</f>
        <v/>
      </c>
      <c r="DJ41">
        <f>DJ40*IF(OR($C40=9,$G40=9),0,1)</f>
        <v/>
      </c>
      <c r="DK41">
        <f>DK40*IF(OR($C40=10,$G40=10),0,1)</f>
        <v/>
      </c>
      <c r="DL41">
        <f>DL40*IF(OR($C40=11,$G40=11),0,1)</f>
        <v/>
      </c>
      <c r="DM41">
        <f>DM40*IF(OR($C40=12,$G40=12),0,1)</f>
        <v/>
      </c>
      <c r="DN41">
        <f>DN40*IF(OR($C40=13,$G40=13),0,1)</f>
        <v/>
      </c>
      <c r="DO41">
        <f>DO40*IF(OR($C40=14,$G40=14),0,1)</f>
        <v/>
      </c>
      <c r="DP41">
        <f>DP40*IF(OR($C40=15,$G40=15),0,1)</f>
        <v/>
      </c>
      <c r="DQ41">
        <f>DQ40*IF(OR($C40=16,$G40=16),0,1)</f>
        <v/>
      </c>
      <c r="DR41">
        <f>DR40*IF(OR($C40=17,$G40=17),0,1)</f>
        <v/>
      </c>
      <c r="DS41">
        <f>DS40*IF(OR($C40=18,$G40=18),0,1)</f>
        <v/>
      </c>
      <c r="DT41">
        <f>DT40*IF(OR($C40=19,$G40=19),0,1)</f>
        <v/>
      </c>
      <c r="DU41">
        <f>DU40*IF(OR($C40=20,$G40=20),0,1)</f>
        <v/>
      </c>
      <c r="DV41">
        <f>DV40*IF(OR($C40=21,$G40=21),0,1)</f>
        <v/>
      </c>
      <c r="DW41">
        <f>DW40*IF(OR($C40=22,$G40=22),0,1)</f>
        <v/>
      </c>
      <c r="DX41">
        <f>DX40*IF(OR($C40=23,$G40=23),0,1)</f>
        <v/>
      </c>
      <c r="DY41">
        <f>DY40*IF(OR($C40=24,$G40=24),0,1)</f>
        <v/>
      </c>
      <c r="DZ41">
        <f>DZ40*IF(OR($C40=25,$G40=25),0,1)</f>
        <v/>
      </c>
      <c r="EA41">
        <f>EA40*IF(OR($C40=26,$G40=26),0,1)</f>
        <v/>
      </c>
      <c r="EB41">
        <f>EB40*IF(OR($C40=27,$G40=27),0,1)</f>
        <v/>
      </c>
      <c r="EC41">
        <f>EC40*IF(OR($C40=28,$G40=28),0,1)</f>
        <v/>
      </c>
      <c r="ED41">
        <f>ED40*IF(OR($C40=29,$G40=29),0,1)</f>
        <v/>
      </c>
      <c r="EE41">
        <f>EE40*IF(OR($C40=30,$G40=30),0,1)</f>
        <v/>
      </c>
      <c r="EF41">
        <f>EF40*IF(OR($C40=31,$G40=31),0,1)</f>
        <v/>
      </c>
      <c r="EG41">
        <f>EG40*IF(OR($C40=32,$G40=32),0,1)</f>
        <v/>
      </c>
      <c r="EH41">
        <f>EH40*IF(OR($C40=33,$G40=33),0,1)</f>
        <v/>
      </c>
      <c r="EI41">
        <f>EI40*IF(OR($C40=34,$G40=34),0,1)</f>
        <v/>
      </c>
      <c r="EJ41">
        <f>EJ40*IF(OR($C40=35,$G40=35),0,1)</f>
        <v/>
      </c>
      <c r="EK41">
        <f>EK40*IF(OR($C40=36,$G40=36),0,1)</f>
        <v/>
      </c>
      <c r="EL41">
        <f>EL40*IF(OR($C40=37,$G40=37),0,1)</f>
        <v/>
      </c>
      <c r="EM41">
        <f>EM40*IF(OR($C40=38,$G40=38),0,1)</f>
        <v/>
      </c>
      <c r="EN41">
        <f>EN40*IF(OR($C40=39,$G40=39),0,1)</f>
        <v/>
      </c>
      <c r="EO41">
        <f>EO40*IF(OR($C40=40,$G40=40),0,1)</f>
        <v/>
      </c>
      <c r="EP41">
        <f>EP40*IF(OR($C40=41,$G40=41),0,1)</f>
        <v/>
      </c>
      <c r="EQ41">
        <f>EQ40*IF(OR($C40=42,$G40=42),0,1)</f>
        <v/>
      </c>
      <c r="ER41">
        <f>ER40*IF(OR($C40=43,$G40=43),0,1)</f>
        <v/>
      </c>
      <c r="ES41">
        <f>ES40*IF(OR($C40=44,$G40=44),0,1)</f>
        <v/>
      </c>
      <c r="ET41">
        <f>ET40*IF(OR($C40=45,$G40=45),0,1)</f>
        <v/>
      </c>
      <c r="EU41">
        <f>EU40*IF(OR($C40=46,$G40=46),0,1)</f>
        <v/>
      </c>
      <c r="EV41">
        <f>EV40*IF(OR($C40=47,$G40=47),0,1)</f>
        <v/>
      </c>
      <c r="EW41">
        <f>EW40*IF(OR($C40=48,$G40=48),0,1)</f>
        <v/>
      </c>
      <c r="EX41">
        <f>EX40*IF(OR($C40=49,$G40=49),0,1)</f>
        <v/>
      </c>
      <c r="EY41">
        <f>EY40*IF(OR($C40=50,$G40=50),0,1)</f>
        <v/>
      </c>
      <c r="EZ41">
        <f>EZ40*IF(OR($C40=51,$G40=51),0,1)</f>
        <v/>
      </c>
      <c r="FA41">
        <f>FA40*IF(OR($C40=52,$G40=52),0,1)</f>
        <v/>
      </c>
      <c r="FB41">
        <f>FB40*IF(OR($C40=53,$G40=53),0,1)</f>
        <v/>
      </c>
      <c r="FC41">
        <f>FC40*IF(OR($C40=54,$G40=54),0,1)</f>
        <v/>
      </c>
      <c r="FD41">
        <f>FD40*IF(OR($C40=55,$G40=55),0,1)</f>
        <v/>
      </c>
      <c r="FE41">
        <f>FE40*IF(OR($C40=56,$G40=56),0,1)</f>
        <v/>
      </c>
      <c r="FF41">
        <f>FF40*IF(OR($C40=57,$G40=57),0,1)</f>
        <v/>
      </c>
      <c r="FG41">
        <f>FG40*IF(OR($C40=58,$G40=58),0,1)</f>
        <v/>
      </c>
      <c r="FH41">
        <f>FH40*IF(OR($C40=59,$G40=59),0,1)</f>
        <v/>
      </c>
      <c r="FI41">
        <f>FI40*IF(OR($C40=60,$G40=60),0,1)</f>
        <v/>
      </c>
      <c r="FJ41">
        <f>FJ40*IF(OR($C40=61,$G40=61),0,1)</f>
        <v/>
      </c>
      <c r="FK41">
        <f>FK40*IF(OR($C40=62,$G40=62),0,1)</f>
        <v/>
      </c>
      <c r="FL41">
        <f>FL40*IF(OR($C40=63,$G40=63),0,1)</f>
        <v/>
      </c>
      <c r="FM41">
        <f>FM40*IF(OR($C40=64,$G40=64),0,1)</f>
        <v/>
      </c>
      <c r="FN41">
        <f>FN40*IF(OR($C40=65,$G40=65),0,1)</f>
        <v/>
      </c>
      <c r="FO41">
        <f>FO40*IF(OR($C40=66,$G40=66),0,1)</f>
        <v/>
      </c>
      <c r="FP41">
        <f>FP40*IF(OR($C40=67,$G40=67),0,1)</f>
        <v/>
      </c>
      <c r="FQ41">
        <f>FQ40*IF(OR($C40=68,$G40=68),0,1)</f>
        <v/>
      </c>
      <c r="FR41">
        <f>FR40*IF(OR($C40=69,$G40=69),0,1)</f>
        <v/>
      </c>
      <c r="FS41">
        <f>FS40*IF(OR($C40=70,$G40=70),0,1)</f>
        <v/>
      </c>
      <c r="FT41">
        <f>FT40*IF(OR($C40=71,$G40=71),0,1)</f>
        <v/>
      </c>
      <c r="FU41">
        <f>FU40*IF(OR($C40=72,$G40=72),0,1)</f>
        <v/>
      </c>
      <c r="FV41">
        <f>FV40*IF(OR($C40=73,$G40=73),0,1)</f>
        <v/>
      </c>
      <c r="FW41">
        <f>FW40*IF(OR($C40=74,$G40=74),0,1)</f>
        <v/>
      </c>
      <c r="FX41">
        <f>FX40*IF(OR($C40=75,$G40=75),0,1)</f>
        <v/>
      </c>
      <c r="FY41">
        <f>FY40*IF(OR($C40=76,$G40=76),0,1)</f>
        <v/>
      </c>
      <c r="FZ41">
        <f>FZ40*IF(OR($C40=77,$G40=77),0,1)</f>
        <v/>
      </c>
      <c r="GA41">
        <f>GA40*IF(OR($C40=78,$G40=78),0,1)</f>
        <v/>
      </c>
      <c r="GB41">
        <f>GB40*IF(OR($C40=79,$G40=79),0,1)</f>
        <v/>
      </c>
      <c r="GC41">
        <f>GC40*IF(OR($C40=80,$G40=80),0,1)</f>
        <v/>
      </c>
      <c r="GD41">
        <f>GD40*IF(OR($C40=81,$G40=81),0,1)</f>
        <v/>
      </c>
      <c r="GE41">
        <f>GE40*IF(OR($C40=82,$G40=82),0,1)</f>
        <v/>
      </c>
      <c r="GF41">
        <f>GF40*IF(OR($C40=83,$G40=83),0,1)</f>
        <v/>
      </c>
      <c r="GG41">
        <f>GG40*IF(OR($C40=84,$G40=84),0,1)</f>
        <v/>
      </c>
      <c r="GH41">
        <f>GH40*IF(OR($C40=85,$G40=85),0,1)</f>
        <v/>
      </c>
      <c r="GI41">
        <f>GI40*IF(OR($C40=86,$G40=86),0,1)</f>
        <v/>
      </c>
      <c r="GJ41">
        <f>GJ40*IF(OR($C40=87,$G40=87),0,1)</f>
        <v/>
      </c>
      <c r="GK41">
        <f>GK40*IF(OR($C40=88,$G40=88),0,1)</f>
        <v/>
      </c>
      <c r="GL41">
        <f>GL40*IF(OR($C40=89,$G40=89),0,1)</f>
        <v/>
      </c>
      <c r="GM41">
        <f>GM40*IF(OR($C40=90,$G40=90),0,1)</f>
        <v/>
      </c>
      <c r="GN41">
        <f>GN40*IF(OR($C40=91,$G40=91),0,1)</f>
        <v/>
      </c>
      <c r="GO41">
        <f>GO40*IF(OR($C40=92,$G40=92),0,1)</f>
        <v/>
      </c>
      <c r="GP41">
        <f>GP40*IF(OR($C40=93,$G40=93),0,1)</f>
        <v/>
      </c>
      <c r="GQ41">
        <f>GQ40*IF(OR($C40=94,$G40=94),0,1)</f>
        <v/>
      </c>
      <c r="GR41">
        <f>GR40*IF(OR($C40=95,$G40=95),0,1)</f>
        <v/>
      </c>
      <c r="GS41">
        <f>GS40*IF(OR($C40=96,$G40=96),0,1)</f>
        <v/>
      </c>
      <c r="GT41">
        <f>GT40*IF(OR($C40=97,$G40=97),0,1)</f>
        <v/>
      </c>
      <c r="GU41">
        <f>GU40*IF(OR($C40=98,$G40=98),0,1)</f>
        <v/>
      </c>
      <c r="GV41">
        <f>GV40*IF(OR($C40=99,$G40=99),0,1)</f>
        <v/>
      </c>
      <c r="GW41">
        <f>GW40*IF(OR($C40=100,$G40=100),0,1)</f>
        <v/>
      </c>
      <c r="GX41">
        <f>GX40*IF(OR($C40=101,$G40=101),0,1)</f>
        <v/>
      </c>
      <c r="GY41">
        <f>GY40*IF(OR($C40=102,$G40=102),0,1)</f>
        <v/>
      </c>
      <c r="GZ41">
        <f>GZ40*IF(OR($C40=103,$G40=103),0,1)</f>
        <v/>
      </c>
      <c r="HA41">
        <f>HA40*IF(OR($C40=104,$G40=104),0,1)</f>
        <v/>
      </c>
      <c r="HB41">
        <f>HB40*IF(OR($C40=105,$G40=105),0,1)</f>
        <v/>
      </c>
      <c r="HC41">
        <f>HC40*IF(OR($C40=106,$G40=106),0,1)</f>
        <v/>
      </c>
      <c r="HD41">
        <f>HD40*IF(OR($C40=107,$G40=107),0,1)</f>
        <v/>
      </c>
      <c r="HE41">
        <f>HE40*IF(OR($C40=108,$G40=108),0,1)</f>
        <v/>
      </c>
      <c r="HF41">
        <f>HF40*IF(OR($C40=109,$G40=109),0,1)</f>
        <v/>
      </c>
      <c r="HG41">
        <f>HG40*IF(OR($C40=110,$G40=110),0,1)</f>
        <v/>
      </c>
      <c r="HH41">
        <f>HH40*IF(OR($C40=111,$G40=111),0,1)</f>
        <v/>
      </c>
      <c r="HI41">
        <f>HI40*IF(OR($C40=112,$G40=112),0,1)</f>
        <v/>
      </c>
      <c r="HJ41">
        <f>HJ40*IF(OR($C40=113,$G40=113),0,1)</f>
        <v/>
      </c>
      <c r="HK41">
        <f>HK40*IF(OR($C40=114,$G40=114),0,1)</f>
        <v/>
      </c>
      <c r="HL41">
        <f>HL40*IF(OR($C40=115,$G40=115),0,1)</f>
        <v/>
      </c>
      <c r="HM41">
        <f>HM40*IF(OR($C40=116,$G40=116),0,1)</f>
        <v/>
      </c>
      <c r="HN41">
        <f>HN40*IF(OR($C40=117,$G40=117),0,1)</f>
        <v/>
      </c>
      <c r="HO41">
        <f>HO40*IF(OR($C40=118,$G40=118),0,1)</f>
        <v/>
      </c>
      <c r="HP41">
        <f>HP40*IF(OR($C40=119,$G40=119),0,1)</f>
        <v/>
      </c>
      <c r="HQ41">
        <f>HQ40*IF(OR($C40=120,$G40=120),0,1)</f>
        <v/>
      </c>
      <c r="HR41">
        <f>HR40*IF(OR($C40=121,$G40=121),0,1)</f>
        <v/>
      </c>
      <c r="HS41">
        <f>HS40*IF(OR($C40=122,$G40=122),0,1)</f>
        <v/>
      </c>
      <c r="HT41">
        <f>HT40*IF(OR($C40=123,$G40=123),0,1)</f>
        <v/>
      </c>
      <c r="HU41">
        <f>HU40*IF(OR($C40=124,$G40=124),0,1)</f>
        <v/>
      </c>
      <c r="HV41">
        <f>HV40*IF(OR($C40=125,$G40=125),0,1)</f>
        <v/>
      </c>
      <c r="HW41">
        <f>HW40*IF(OR($C40=126,$G40=126),0,1)</f>
        <v/>
      </c>
      <c r="HX41">
        <f>HX40*IF(OR($C40=127,$G40=127),0,1)</f>
        <v/>
      </c>
      <c r="HY41">
        <f>HY40*IF(OR($C40=128,$G40=128),0,1)</f>
        <v/>
      </c>
      <c r="HZ41">
        <f>HZ40*IF(OR($C40=129,$G40=129),0,1)</f>
        <v/>
      </c>
      <c r="IA41">
        <f>IA40*IF(OR($C40=130,$G40=130),0,1)</f>
        <v/>
      </c>
      <c r="IB41">
        <f>IB40*IF(OR($C40=131,$G40=131),0,1)</f>
        <v/>
      </c>
      <c r="IC41">
        <f>IC40*IF(OR($C40=132,$G40=132),0,1)</f>
        <v/>
      </c>
      <c r="ID41">
        <f>ID40*IF(OR($C40=133,$G40=133),0,1)</f>
        <v/>
      </c>
      <c r="IE41">
        <f>IE40*IF(OR($C40=134,$G40=134),0,1)</f>
        <v/>
      </c>
      <c r="IF41">
        <f>IF40*IF(OR($C40=135,$G40=135),0,1)</f>
        <v/>
      </c>
      <c r="IG41">
        <f>IG40*IF(OR($C40=136,$G40=136),0,1)</f>
        <v/>
      </c>
      <c r="IH41">
        <f>IH40*IF(OR($C40=137,$G40=137),0,1)</f>
        <v/>
      </c>
      <c r="II41">
        <f>II40*IF(OR($C40=138,$G40=138),0,1)</f>
        <v/>
      </c>
      <c r="IJ41">
        <f>IJ40*IF(OR($C40=139,$G40=139),0,1)</f>
        <v/>
      </c>
      <c r="IK41">
        <f>IK40*IF(OR($C40=140,$G40=140),0,1)</f>
        <v/>
      </c>
      <c r="IL41">
        <f>IL40*IF(OR($C40=141,$G40=141),0,1)</f>
        <v/>
      </c>
      <c r="IM41">
        <f>IM40*IF(OR($C40=142,$G40=142),0,1)</f>
        <v/>
      </c>
      <c r="IN41">
        <f>IN40*IF(OR($C40=143,$G40=143),0,1)</f>
        <v/>
      </c>
      <c r="IO41">
        <f>IO40*IF(OR($C40=144,$G40=144),0,1)</f>
        <v/>
      </c>
      <c r="IQ41">
        <f>IF('計算A'!D$106=1,DC41,1)</f>
        <v/>
      </c>
      <c r="IR41">
        <f>IF('計算A'!E$106=1,DD41,1)</f>
        <v/>
      </c>
      <c r="IS41">
        <f>IF('計算A'!F$106=1,DE41,1)</f>
        <v/>
      </c>
      <c r="IT41">
        <f>IF('計算A'!G$106=1,DF41,1)</f>
        <v/>
      </c>
      <c r="IU41">
        <f>IF('計算A'!H$106=1,DG41,1)</f>
        <v/>
      </c>
      <c r="IV41">
        <f>IF('計算A'!I$106=1,DH41,1)</f>
        <v/>
      </c>
      <c r="IW41">
        <f>IF('計算A'!J$106=1,DI41,1)</f>
        <v/>
      </c>
      <c r="IX41">
        <f>IF('計算A'!K$106=1,DJ41,1)</f>
        <v/>
      </c>
      <c r="IY41">
        <f>IF('計算A'!L$106=1,DK41,1)</f>
        <v/>
      </c>
      <c r="IZ41">
        <f>IF('計算A'!M$106=1,DL41,1)</f>
        <v/>
      </c>
      <c r="JA41">
        <f>IF('計算A'!N$106=1,DM41,1)</f>
        <v/>
      </c>
      <c r="JB41">
        <f>IF('計算A'!O$106=1,DN41,1)</f>
        <v/>
      </c>
      <c r="JC41">
        <f>IF('計算A'!P$106=1,DO41,1)</f>
        <v/>
      </c>
      <c r="JD41">
        <f>IF('計算A'!Q$106=1,DP41,1)</f>
        <v/>
      </c>
      <c r="JE41">
        <f>IF('計算A'!R$106=1,DQ41,1)</f>
        <v/>
      </c>
      <c r="JF41">
        <f>IF('計算A'!S$106=1,DR41,1)</f>
        <v/>
      </c>
      <c r="JG41">
        <f>IF('計算A'!T$106=1,DS41,1)</f>
        <v/>
      </c>
      <c r="JH41">
        <f>IF('計算A'!U$106=1,DT41,1)</f>
        <v/>
      </c>
      <c r="JI41">
        <f>IF('計算A'!V$106=1,DU41,1)</f>
        <v/>
      </c>
      <c r="JJ41">
        <f>IF('計算A'!W$106=1,DV41,1)</f>
        <v/>
      </c>
      <c r="JK41">
        <f>IF('計算A'!X$106=1,DW41,1)</f>
        <v/>
      </c>
      <c r="JL41">
        <f>IF('計算A'!Y$106=1,DX41,1)</f>
        <v/>
      </c>
      <c r="JM41">
        <f>IF('計算A'!Z$106=1,DY41,1)</f>
        <v/>
      </c>
      <c r="JN41">
        <f>IF('計算A'!AA$106=1,DZ41,1)</f>
        <v/>
      </c>
      <c r="JO41">
        <f>IF('計算A'!AB$106=1,EA41,1)</f>
        <v/>
      </c>
      <c r="JP41">
        <f>IF('計算A'!AC$106=1,EB41,1)</f>
        <v/>
      </c>
      <c r="JQ41">
        <f>IF('計算A'!AD$106=1,EC41,1)</f>
        <v/>
      </c>
      <c r="JR41">
        <f>IF('計算A'!AE$106=1,ED41,1)</f>
        <v/>
      </c>
      <c r="JS41">
        <f>IF('計算A'!AF$106=1,EE41,1)</f>
        <v/>
      </c>
      <c r="JT41">
        <f>IF('計算A'!AG$106=1,EF41,1)</f>
        <v/>
      </c>
      <c r="JU41">
        <f>IF('計算A'!AH$106=1,EG41,1)</f>
        <v/>
      </c>
      <c r="JV41">
        <f>IF('計算A'!AI$106=1,EH41,1)</f>
        <v/>
      </c>
      <c r="JW41">
        <f>IF('計算A'!AJ$106=1,EI41,1)</f>
        <v/>
      </c>
      <c r="JX41">
        <f>IF('計算A'!AK$106=1,EJ41,1)</f>
        <v/>
      </c>
      <c r="JY41">
        <f>IF('計算A'!AL$106=1,EK41,1)</f>
        <v/>
      </c>
      <c r="JZ41">
        <f>IF('計算A'!AM$106=1,EL41,1)</f>
        <v/>
      </c>
      <c r="KA41">
        <f>IF('計算A'!AN$106=1,EM41,1)</f>
        <v/>
      </c>
      <c r="KB41">
        <f>IF('計算A'!AO$106=1,EN41,1)</f>
        <v/>
      </c>
      <c r="KC41">
        <f>IF('計算A'!AP$106=1,EO41,1)</f>
        <v/>
      </c>
      <c r="KD41">
        <f>IF('計算A'!AQ$106=1,EP41,1)</f>
        <v/>
      </c>
      <c r="KE41">
        <f>IF('計算A'!AR$106=1,EQ41,1)</f>
        <v/>
      </c>
      <c r="KF41">
        <f>IF('計算A'!AS$106=1,ER41,1)</f>
        <v/>
      </c>
      <c r="KG41">
        <f>IF('計算A'!AT$106=1,ES41,1)</f>
        <v/>
      </c>
      <c r="KH41">
        <f>IF('計算A'!AU$106=1,ET41,1)</f>
        <v/>
      </c>
      <c r="KI41">
        <f>IF('計算A'!AV$106=1,EU41,1)</f>
        <v/>
      </c>
      <c r="KJ41">
        <f>IF('計算A'!AW$106=1,EV41,1)</f>
        <v/>
      </c>
      <c r="KK41">
        <f>IF('計算A'!AX$106=1,EW41,1)</f>
        <v/>
      </c>
      <c r="KL41">
        <f>IF('計算A'!AY$106=1,EX41,1)</f>
        <v/>
      </c>
      <c r="KM41">
        <f>IF('計算A'!AZ$106=1,EY41,1)</f>
        <v/>
      </c>
      <c r="KN41">
        <f>IF('計算A'!BA$106=1,EZ41,1)</f>
        <v/>
      </c>
      <c r="KO41">
        <f>IF('計算A'!BB$106=1,FA41,1)</f>
        <v/>
      </c>
      <c r="KP41">
        <f>IF('計算A'!BC$106=1,FB41,1)</f>
        <v/>
      </c>
      <c r="KQ41">
        <f>IF('計算A'!BD$106=1,FC41,1)</f>
        <v/>
      </c>
      <c r="KR41">
        <f>IF('計算A'!BE$106=1,FD41,1)</f>
        <v/>
      </c>
      <c r="KS41">
        <f>IF('計算A'!BF$106=1,FE41,1)</f>
        <v/>
      </c>
      <c r="KT41">
        <f>IF('計算A'!BG$106=1,FF41,1)</f>
        <v/>
      </c>
      <c r="KU41">
        <f>IF('計算A'!BH$106=1,FG41,1)</f>
        <v/>
      </c>
      <c r="KV41">
        <f>IF('計算A'!BI$106=1,FH41,1)</f>
        <v/>
      </c>
      <c r="KW41">
        <f>IF('計算A'!BJ$106=1,FI41,1)</f>
        <v/>
      </c>
      <c r="KX41">
        <f>IF('計算A'!BK$106=1,FJ41,1)</f>
        <v/>
      </c>
      <c r="KY41">
        <f>IF('計算A'!BL$106=1,FK41,1)</f>
        <v/>
      </c>
      <c r="KZ41">
        <f>IF('計算A'!BM$106=1,FL41,1)</f>
        <v/>
      </c>
      <c r="LA41">
        <f>IF('計算A'!BN$106=1,FM41,1)</f>
        <v/>
      </c>
      <c r="LB41">
        <f>IF('計算A'!BO$106=1,FN41,1)</f>
        <v/>
      </c>
      <c r="LC41">
        <f>IF('計算A'!BP$106=1,FO41,1)</f>
        <v/>
      </c>
      <c r="LD41">
        <f>IF('計算A'!BQ$106=1,FP41,1)</f>
        <v/>
      </c>
      <c r="LE41">
        <f>IF('計算A'!BR$106=1,FQ41,1)</f>
        <v/>
      </c>
      <c r="LF41">
        <f>IF('計算A'!BS$106=1,FR41,1)</f>
        <v/>
      </c>
      <c r="LG41">
        <f>IF('計算A'!BT$106=1,FS41,1)</f>
        <v/>
      </c>
      <c r="LH41">
        <f>IF('計算A'!BU$106=1,FT41,1)</f>
        <v/>
      </c>
      <c r="LI41">
        <f>IF('計算A'!BV$106=1,FU41,1)</f>
        <v/>
      </c>
      <c r="LJ41">
        <f>IF('計算A'!BW$106=1,FV41,1)</f>
        <v/>
      </c>
      <c r="LK41">
        <f>IF('計算A'!BX$106=1,FW41,1)</f>
        <v/>
      </c>
      <c r="LL41">
        <f>IF('計算A'!BY$106=1,FX41,1)</f>
        <v/>
      </c>
      <c r="LM41">
        <f>IF('計算A'!BZ$106=1,FY41,1)</f>
        <v/>
      </c>
      <c r="LN41">
        <f>IF('計算A'!CA$106=1,FZ41,1)</f>
        <v/>
      </c>
      <c r="LO41">
        <f>IF('計算A'!CB$106=1,GA41,1)</f>
        <v/>
      </c>
      <c r="LP41">
        <f>IF('計算A'!CC$106=1,GB41,1)</f>
        <v/>
      </c>
      <c r="LQ41">
        <f>IF('計算A'!CD$106=1,GC41,1)</f>
        <v/>
      </c>
      <c r="LR41">
        <f>IF('計算A'!CE$106=1,GD41,1)</f>
        <v/>
      </c>
      <c r="LS41">
        <f>IF('計算A'!CF$106=1,GE41,1)</f>
        <v/>
      </c>
      <c r="LT41">
        <f>IF('計算A'!CG$106=1,GF41,1)</f>
        <v/>
      </c>
      <c r="LU41">
        <f>IF('計算A'!CH$106=1,GG41,1)</f>
        <v/>
      </c>
      <c r="LV41">
        <f>IF('計算A'!CI$106=1,GH41,1)</f>
        <v/>
      </c>
      <c r="LW41">
        <f>IF('計算A'!CJ$106=1,GI41,1)</f>
        <v/>
      </c>
      <c r="LX41">
        <f>IF('計算A'!CK$106=1,GJ41,1)</f>
        <v/>
      </c>
      <c r="LY41">
        <f>IF('計算A'!CL$106=1,GK41,1)</f>
        <v/>
      </c>
      <c r="LZ41">
        <f>IF('計算A'!CM$106=1,GL41,1)</f>
        <v/>
      </c>
      <c r="MA41">
        <f>IF('計算A'!CN$106=1,GM41,1)</f>
        <v/>
      </c>
      <c r="MB41">
        <f>IF('計算A'!CO$106=1,GN41,1)</f>
        <v/>
      </c>
      <c r="MC41">
        <f>IF('計算A'!CP$106=1,GO41,1)</f>
        <v/>
      </c>
      <c r="MD41">
        <f>IF('計算A'!CQ$106=1,GP41,1)</f>
        <v/>
      </c>
      <c r="ME41">
        <f>IF('計算A'!CR$106=1,GQ41,1)</f>
        <v/>
      </c>
      <c r="MF41">
        <f>IF('計算A'!CS$106=1,GR41,1)</f>
        <v/>
      </c>
      <c r="MG41">
        <f>IF('計算A'!CT$106=1,GS41,1)</f>
        <v/>
      </c>
      <c r="MH41">
        <f>IF('計算A'!CU$106=1,GT41,1)</f>
        <v/>
      </c>
      <c r="MI41">
        <f>IF('計算A'!CV$106=1,GU41,1)</f>
        <v/>
      </c>
      <c r="MJ41">
        <f>IF('計算A'!CW$106=1,GV41,1)</f>
        <v/>
      </c>
      <c r="MK41">
        <f>IF('計算A'!CX$106=1,GW41,1)</f>
        <v/>
      </c>
      <c r="ML41">
        <f>IF('計算A'!CY$106=1,GX41,1)</f>
        <v/>
      </c>
      <c r="MM41">
        <f>IF('計算A'!CZ$106=1,GY41,1)</f>
        <v/>
      </c>
      <c r="MN41">
        <f>IF('計算A'!DA$106=1,GZ41,1)</f>
        <v/>
      </c>
      <c r="MO41">
        <f>IF('計算A'!DB$106=1,HA41,1)</f>
        <v/>
      </c>
      <c r="MP41">
        <f>IF('計算A'!DC$106=1,HB41,1)</f>
        <v/>
      </c>
      <c r="MQ41">
        <f>IF('計算A'!DD$106=1,HC41,1)</f>
        <v/>
      </c>
      <c r="MR41">
        <f>IF('計算A'!DE$106=1,HD41,1)</f>
        <v/>
      </c>
      <c r="MS41">
        <f>IF('計算A'!DF$106=1,HE41,1)</f>
        <v/>
      </c>
      <c r="MT41">
        <f>IF('計算A'!DG$106=1,HF41,1)</f>
        <v/>
      </c>
      <c r="MU41">
        <f>IF('計算A'!DH$106=1,HG41,1)</f>
        <v/>
      </c>
      <c r="MV41">
        <f>IF('計算A'!DI$106=1,HH41,1)</f>
        <v/>
      </c>
      <c r="MW41">
        <f>IF('計算A'!DJ$106=1,HI41,1)</f>
        <v/>
      </c>
      <c r="MX41">
        <f>IF('計算A'!DK$106=1,HJ41,1)</f>
        <v/>
      </c>
      <c r="MY41">
        <f>IF('計算A'!DL$106=1,HK41,1)</f>
        <v/>
      </c>
      <c r="MZ41">
        <f>IF('計算A'!DM$106=1,HL41,1)</f>
        <v/>
      </c>
      <c r="NA41">
        <f>IF('計算A'!DN$106=1,HM41,1)</f>
        <v/>
      </c>
      <c r="NB41">
        <f>IF('計算A'!DO$106=1,HN41,1)</f>
        <v/>
      </c>
      <c r="NC41">
        <f>IF('計算A'!DP$106=1,HO41,1)</f>
        <v/>
      </c>
      <c r="ND41">
        <f>IF('計算A'!DQ$106=1,HP41,1)</f>
        <v/>
      </c>
      <c r="NE41">
        <f>IF('計算A'!DR$106=1,HQ41,1)</f>
        <v/>
      </c>
      <c r="NF41">
        <f>IF('計算A'!DS$106=1,HR41,1)</f>
        <v/>
      </c>
      <c r="NG41">
        <f>IF('計算A'!DT$106=1,HS41,1)</f>
        <v/>
      </c>
      <c r="NH41">
        <f>IF('計算A'!DU$106=1,HT41,1)</f>
        <v/>
      </c>
      <c r="NI41">
        <f>IF('計算A'!DV$106=1,HU41,1)</f>
        <v/>
      </c>
      <c r="NJ41">
        <f>IF('計算A'!DW$106=1,HV41,1)</f>
        <v/>
      </c>
      <c r="NK41">
        <f>IF('計算A'!DX$106=1,HW41,1)</f>
        <v/>
      </c>
      <c r="NL41">
        <f>IF('計算A'!DY$106=1,HX41,1)</f>
        <v/>
      </c>
      <c r="NM41">
        <f>IF('計算A'!DZ$106=1,HY41,1)</f>
        <v/>
      </c>
      <c r="NN41">
        <f>IF('計算A'!EA$106=1,HZ41,1)</f>
        <v/>
      </c>
      <c r="NO41">
        <f>IF('計算A'!EB$106=1,IA41,1)</f>
        <v/>
      </c>
      <c r="NP41">
        <f>IF('計算A'!EC$106=1,IB41,1)</f>
        <v/>
      </c>
      <c r="NQ41">
        <f>IF('計算A'!ED$106=1,IC41,1)</f>
        <v/>
      </c>
      <c r="NR41">
        <f>IF('計算A'!EE$106=1,ID41,1)</f>
        <v/>
      </c>
      <c r="NS41">
        <f>IF('計算A'!EF$106=1,IE41,1)</f>
        <v/>
      </c>
      <c r="NT41">
        <f>IF('計算A'!EG$106=1,IF41,1)</f>
        <v/>
      </c>
      <c r="NU41">
        <f>IF('計算A'!EH$106=1,IG41,1)</f>
        <v/>
      </c>
      <c r="NV41">
        <f>IF('計算A'!EI$106=1,IH41,1)</f>
        <v/>
      </c>
      <c r="NW41">
        <f>IF('計算A'!EJ$106=1,II41,1)</f>
        <v/>
      </c>
      <c r="NX41">
        <f>IF('計算A'!EK$106=1,IJ41,1)</f>
        <v/>
      </c>
      <c r="NY41">
        <f>IF('計算A'!EL$106=1,IK41,1)</f>
        <v/>
      </c>
      <c r="NZ41">
        <f>IF('計算A'!EM$106=1,IL41,1)</f>
        <v/>
      </c>
      <c r="OA41">
        <f>IF('計算A'!EN$106=1,IM41,1)</f>
        <v/>
      </c>
      <c r="OB41">
        <f>IF('計算A'!EO$106=1,IN41,1)</f>
        <v/>
      </c>
      <c r="OC41">
        <f>IF('計算A'!EP$106=1,IO41,1)</f>
        <v/>
      </c>
      <c r="OD41" t="n">
        <v>1</v>
      </c>
      <c r="OF41">
        <f>IF($B41=0,1000000,IF(INDEX('計算A'!$D$60:$EQ$104,$B41,1)*DB41=1,IF(AND($E41=2,IQ41=0),1000000,IF($I41&gt;0,IF(1=$J41,IF(OR(AND(1=$I41+1,OR($K41&lt;&gt;'計算A'!$A$3,'計算A'!$A$4=0)),AND(1=$I41-1,OR(1&lt;&gt;'計算A'!$A$3,'計算A'!$A$4=0))),0,IF(1=$K41,200000,ABS(1-$K41)*100)),100000+ABS(1-$J41)*1000+10)+'計算A'!D$5*50+IF(AND($E41=1,IQ41=0),25,0),IF($F41&gt;0,INDEX('計算A'!D$110:D$114,$F41+1)+IF(AND($E41=1,IQ41=0),1000,0),MIN(TU41,20)*400+(IF('計算A'!D$106=1,1-DC41,0))*150+11+'計算A'!D$5*100000+IF(AND($E41=1,IQ41=0),50000,0))+IF($H41=1,(IF('計算A'!D$117=1,INDEX('計算A'!E$10:E$54,$B41),0))*4000,0)-IF(AND($L41=1,'計算A'!D$117=1,DC41=0),2000,0))),1000000))</f>
        <v/>
      </c>
      <c r="OG41">
        <f>IF($B41=0,1000000,IF(INDEX('計算A'!$D$60:$EQ$104,$B41,2)*DC41=1,IF(AND($E41=2,IR41=0),1000000,IF($I41&gt;0,IF(1=$J41,IF(OR(AND(2=$I41+1,OR($K41&lt;&gt;'計算A'!$A$3,'計算A'!$A$4=0)),AND(2=$I41-1,OR(2&lt;&gt;'計算A'!$A$3,'計算A'!$A$4=0))),0,IF(2=$K41,200000,ABS(2-$K41)*100)),100000+ABS(1-$J41)*1000+20)+'計算A'!E$5*50+IF(AND($E41=1,IR41=0),25,0),IF($F41&gt;0,INDEX('計算A'!E$110:E$114,$F41+1)+IF(AND($E41=1,IR41=0),1000,0),MIN(TU41,20)*400+(IF('計算A'!D$106=1,1-DB41,0)+IF('計算A'!E$106=1,1-DD41,0))*150+21+'計算A'!E$5*100000+IF(AND($E41=1,IR41=0),50000,0))+IF($H41=1,(IF('計算A'!D$117=1,INDEX('計算A'!D$10:D$54,$B41),0)+IF('計算A'!E$117=1,INDEX('計算A'!F$10:F$54,$B41),0))*4000,0)-IF(AND('計算A'!D$117=1,UB41&gt;0),2000,0)-IF(AND($L41=1,'計算A'!E$117=1,DD41=0),2000,0))),1000000))</f>
        <v/>
      </c>
      <c r="OH41">
        <f>IF($B41=0,1000000,IF(INDEX('計算A'!$D$60:$EQ$104,$B41,3)*DD41=1,IF(AND($E41=2,IS41=0),1000000,IF($I41&gt;0,IF(1=$J41,IF(OR(AND(3=$I41+1,OR($K41&lt;&gt;'計算A'!$A$3,'計算A'!$A$4=0)),AND(3=$I41-1,OR(3&lt;&gt;'計算A'!$A$3,'計算A'!$A$4=0))),0,IF(3=$K41,200000,ABS(3-$K41)*100)),100000+ABS(1-$J41)*1000+30)+'計算A'!F$5*50+IF(AND($E41=1,IS41=0),25,0),IF($F41&gt;0,INDEX('計算A'!F$110:F$114,$F41+1)+IF(AND($E41=1,IS41=0),1000,0),MIN(TU41,20)*400+(IF('計算A'!E$106=1,1-DC41,0)+IF('計算A'!F$106=1,1-DE41,0))*150+31+'計算A'!F$5*100000+IF(AND($E41=1,IS41=0),50000,0))+IF($H41=1,(IF('計算A'!E$117=1,INDEX('計算A'!E$10:E$54,$B41),0)+IF('計算A'!F$117=1,INDEX('計算A'!G$10:G$54,$B41),0))*4000,0)-IF(AND('計算A'!E$117=1,UC41&gt;0),2000,0)-IF(AND($L41=1,'計算A'!F$117=1,DE41=0),2000,0))),1000000))</f>
        <v/>
      </c>
      <c r="OI41">
        <f>IF($B41=0,1000000,IF(INDEX('計算A'!$D$60:$EQ$104,$B41,4)*DE41=1,IF(AND($E41=2,IT41=0),1000000,IF($I41&gt;0,IF(1=$J41,IF(OR(AND(4=$I41+1,OR($K41&lt;&gt;'計算A'!$A$3,'計算A'!$A$4=0)),AND(4=$I41-1,OR(4&lt;&gt;'計算A'!$A$3,'計算A'!$A$4=0))),0,IF(4=$K41,200000,ABS(4-$K41)*100)),100000+ABS(1-$J41)*1000+40)+'計算A'!G$5*50+IF(AND($E41=1,IT41=0),25,0),IF($F41&gt;0,INDEX('計算A'!G$110:G$114,$F41+1)+IF(AND($E41=1,IT41=0),1000,0),MIN(TU41,20)*400+(IF('計算A'!F$106=1,1-DD41,0)+IF('計算A'!G$106=1,1-DF41,0))*150+41+'計算A'!G$5*100000+IF(AND($E41=1,IT41=0),50000,0))+IF($H41=1,(IF('計算A'!F$117=1,INDEX('計算A'!F$10:F$54,$B41),0)+IF('計算A'!G$117=1,INDEX('計算A'!H$10:H$54,$B41),0))*4000,0)-IF(AND('計算A'!F$117=1,UD41&gt;0),2000,0)-IF(AND($L41=1,'計算A'!G$117=1,DF41=0),2000,0))),1000000))</f>
        <v/>
      </c>
      <c r="OJ41">
        <f>IF($B41=0,1000000,IF(INDEX('計算A'!$D$60:$EQ$104,$B41,5)*DF41=1,IF(AND($E41=2,IU41=0),1000000,IF($I41&gt;0,IF(1=$J41,IF(OR(AND(5=$I41+1,OR($K41&lt;&gt;'計算A'!$A$3,'計算A'!$A$4=0)),AND(5=$I41-1,OR(5&lt;&gt;'計算A'!$A$3,'計算A'!$A$4=0))),0,IF(5=$K41,200000,ABS(5-$K41)*100)),100000+ABS(1-$J41)*1000+50)+'計算A'!H$5*50+IF(AND($E41=1,IU41=0),25,0),IF($F41&gt;0,INDEX('計算A'!H$110:H$114,$F41+1)+IF(AND($E41=1,IU41=0),1000,0),MIN(TU41,20)*400+(IF('計算A'!G$106=1,1-DE41,0)+IF('計算A'!H$106=1,1-DG41,0))*150+51+'計算A'!H$5*100000+IF(AND($E41=1,IU41=0),50000,0))+IF($H41=1,(IF('計算A'!G$117=1,INDEX('計算A'!G$10:G$54,$B41),0)+IF('計算A'!H$117=1,INDEX('計算A'!I$10:I$54,$B41),0))*4000,0)-IF(AND('計算A'!G$117=1,UE41&gt;0),2000,0)-IF(AND($L41=1,'計算A'!H$117=1,DG41=0),2000,0))),1000000))</f>
        <v/>
      </c>
      <c r="OK41">
        <f>IF($B41=0,1000000,IF(INDEX('計算A'!$D$60:$EQ$104,$B41,6)*DG41=1,IF(AND($E41=2,IV41=0),1000000,IF($I41&gt;0,IF(1=$J41,IF(OR(AND(6=$I41+1,OR($K41&lt;&gt;'計算A'!$A$3,'計算A'!$A$4=0)),AND(6=$I41-1,OR(6&lt;&gt;'計算A'!$A$3,'計算A'!$A$4=0))),0,IF(6=$K41,200000,ABS(6-$K41)*100)),100000+ABS(1-$J41)*1000+60)+'計算A'!I$5*50+IF(AND($E41=1,IV41=0),25,0),IF($F41&gt;0,INDEX('計算A'!I$110:I$114,$F41+1)+IF(AND($E41=1,IV41=0),1000,0),MIN(TU41,20)*400+(IF('計算A'!H$106=1,1-DF41,0)+IF('計算A'!I$106=1,1-DH41,0))*150+61+'計算A'!I$5*100000+IF(AND($E41=1,IV41=0),50000,0))+IF($H41=1,(IF('計算A'!H$117=1,INDEX('計算A'!H$10:H$54,$B41),0)+IF('計算A'!I$117=1,INDEX('計算A'!J$10:J$54,$B41),0))*4000,0)-IF(AND('計算A'!H$117=1,UF41&gt;0),2000,0)-IF(AND($L41=1,'計算A'!I$117=1,DH41=0),2000,0))),1000000))</f>
        <v/>
      </c>
      <c r="OL41">
        <f>IF($B41=0,1000000,IF(INDEX('計算A'!$D$60:$EQ$104,$B41,7)*DH41=1,IF(AND($E41=2,IW41=0),1000000,IF($I41&gt;0,IF(1=$J41,IF(OR(AND(7=$I41+1,OR($K41&lt;&gt;'計算A'!$A$3,'計算A'!$A$4=0)),AND(7=$I41-1,OR(7&lt;&gt;'計算A'!$A$3,'計算A'!$A$4=0))),0,IF(7=$K41,200000,ABS(7-$K41)*100)),100000+ABS(1-$J41)*1000+70)+'計算A'!J$5*50+IF(AND($E41=1,IW41=0),25,0),IF($F41&gt;0,INDEX('計算A'!J$110:J$114,$F41+1)+IF(AND($E41=1,IW41=0),1000,0),MIN(TU41,20)*400+(IF('計算A'!I$106=1,1-DG41,0)+IF('計算A'!J$106=1,1-DI41,0))*150+71+'計算A'!J$5*100000+IF(AND($E41=1,IW41=0),50000,0))+IF($H41=1,(IF('計算A'!I$117=1,INDEX('計算A'!I$10:I$54,$B41),0)+IF('計算A'!J$117=1,INDEX('計算A'!K$10:K$54,$B41),0))*4000,0)-IF(AND('計算A'!I$117=1,UG41&gt;0),2000,0)-IF(AND($L41=1,'計算A'!J$117=1,DI41=0),2000,0))),1000000))</f>
        <v/>
      </c>
      <c r="OM41">
        <f>IF($B41=0,1000000,IF(INDEX('計算A'!$D$60:$EQ$104,$B41,8)*DI41=1,IF(AND($E41=2,IX41=0),1000000,IF($I41&gt;0,IF(1=$J41,IF(OR(AND(8=$I41+1,OR($K41&lt;&gt;'計算A'!$A$3,'計算A'!$A$4=0)),AND(8=$I41-1,OR(8&lt;&gt;'計算A'!$A$3,'計算A'!$A$4=0))),0,IF(8=$K41,200000,ABS(8-$K41)*100)),100000+ABS(1-$J41)*1000+80)+'計算A'!K$5*50+IF(AND($E41=1,IX41=0),25,0),IF($F41&gt;0,INDEX('計算A'!K$110:K$114,$F41+1)+IF(AND($E41=1,IX41=0),1000,0),MIN(TU41,20)*400+(IF('計算A'!J$106=1,1-DH41,0)+IF('計算A'!K$106=1,1-DJ41,0))*150+81+'計算A'!K$5*100000+IF(AND($E41=1,IX41=0),50000,0))+IF($H41=1,(IF('計算A'!J$117=1,INDEX('計算A'!J$10:J$54,$B41),0)+IF('計算A'!K$117=1,INDEX('計算A'!L$10:L$54,$B41),0))*4000,0)-IF(AND('計算A'!J$117=1,UH41&gt;0),2000,0)-IF(AND($L41=1,'計算A'!K$117=1,DJ41=0),2000,0))),1000000))</f>
        <v/>
      </c>
      <c r="ON41">
        <f>IF($B41=0,1000000,IF(INDEX('計算A'!$D$60:$EQ$104,$B41,9)*DJ41=1,IF(AND($E41=2,IY41=0),1000000,IF($I41&gt;0,IF(1=$J41,IF(OR(AND(9=$I41+1,OR($K41&lt;&gt;'計算A'!$A$3,'計算A'!$A$4=0)),AND(9=$I41-1,OR(9&lt;&gt;'計算A'!$A$3,'計算A'!$A$4=0))),0,IF(9=$K41,200000,ABS(9-$K41)*100)),100000+ABS(1-$J41)*1000+90)+'計算A'!L$5*50+IF(AND($E41=1,IY41=0),25,0),IF($F41&gt;0,INDEX('計算A'!L$110:L$114,$F41+1)+IF(AND($E41=1,IY41=0),1000,0),MIN(TU41,20)*400+(IF('計算A'!K$106=1,1-DI41,0)+IF('計算A'!L$106=1,1-DK41,0))*150+91+'計算A'!L$5*100000+IF(AND($E41=1,IY41=0),50000,0))+IF($H41=1,(IF('計算A'!K$117=1,INDEX('計算A'!K$10:K$54,$B41),0)+IF('計算A'!L$117=1,INDEX('計算A'!M$10:M$54,$B41),0))*4000,0)-IF(AND('計算A'!K$117=1,UI41&gt;0),2000,0)-IF(AND($L41=1,'計算A'!L$117=1,DK41=0),2000,0))),1000000))</f>
        <v/>
      </c>
      <c r="OO41">
        <f>IF($B41=0,1000000,IF(INDEX('計算A'!$D$60:$EQ$104,$B41,10)*DK41=1,IF(AND($E41=2,IZ41=0),1000000,IF($I41&gt;0,IF(1=$J41,IF(OR(AND(10=$I41+1,OR($K41&lt;&gt;'計算A'!$A$3,'計算A'!$A$4=0)),AND(10=$I41-1,OR(10&lt;&gt;'計算A'!$A$3,'計算A'!$A$4=0))),0,IF(10=$K41,200000,ABS(10-$K41)*100)),100000+ABS(1-$J41)*1000+100)+'計算A'!M$5*50+IF(AND($E41=1,IZ41=0),25,0),IF($F41&gt;0,INDEX('計算A'!M$110:M$114,$F41+1)+IF(AND($E41=1,IZ41=0),1000,0),MIN(TU41,20)*400+(IF('計算A'!L$106=1,1-DJ41,0)+IF('計算A'!M$106=1,1-DL41,0))*150+101+'計算A'!M$5*100000+IF(AND($E41=1,IZ41=0),50000,0))+IF($H41=1,(IF('計算A'!L$117=1,INDEX('計算A'!L$10:L$54,$B41),0)+IF('計算A'!M$117=1,INDEX('計算A'!N$10:N$54,$B41),0))*4000,0)-IF(AND('計算A'!L$117=1,UJ41&gt;0),2000,0)-IF(AND($L41=1,'計算A'!M$117=1,DL41=0),2000,0))),1000000))</f>
        <v/>
      </c>
      <c r="OP41">
        <f>IF($B41=0,1000000,IF(INDEX('計算A'!$D$60:$EQ$104,$B41,11)*DL41=1,IF(AND($E41=2,JA41=0),1000000,IF($I41&gt;0,IF(1=$J41,IF(OR(AND(11=$I41+1,OR($K41&lt;&gt;'計算A'!$A$3,'計算A'!$A$4=0)),AND(11=$I41-1,OR(11&lt;&gt;'計算A'!$A$3,'計算A'!$A$4=0))),0,IF(11=$K41,200000,ABS(11-$K41)*100)),100000+ABS(1-$J41)*1000+110)+'計算A'!N$5*50+IF(AND($E41=1,JA41=0),25,0),IF($F41&gt;0,INDEX('計算A'!N$110:N$114,$F41+1)+IF(AND($E41=1,JA41=0),1000,0),MIN(TU41,20)*400+(IF('計算A'!M$106=1,1-DK41,0)+IF('計算A'!N$106=1,1-DM41,0))*150+111+'計算A'!N$5*100000+IF(AND($E41=1,JA41=0),50000,0))+IF($H41=1,(IF('計算A'!M$117=1,INDEX('計算A'!M$10:M$54,$B41),0)+IF('計算A'!N$117=1,INDEX('計算A'!O$10:O$54,$B41),0))*4000,0)-IF(AND('計算A'!M$117=1,UK41&gt;0),2000,0)-IF(AND($L41=1,'計算A'!N$117=1,DM41=0),2000,0))),1000000))</f>
        <v/>
      </c>
      <c r="OQ41">
        <f>IF($B41=0,1000000,IF(INDEX('計算A'!$D$60:$EQ$104,$B41,12)*DM41=1,IF(AND($E41=2,JB41=0),1000000,IF($I41&gt;0,IF(1=$J41,IF(OR(AND(12=$I41+1,OR($K41&lt;&gt;'計算A'!$A$3,'計算A'!$A$4=0)),AND(12=$I41-1,OR(12&lt;&gt;'計算A'!$A$3,'計算A'!$A$4=0))),0,IF(12=$K41,200000,ABS(12-$K41)*100)),100000+ABS(1-$J41)*1000+120)+'計算A'!O$5*50+IF(AND($E41=1,JB41=0),25,0),IF($F41&gt;0,INDEX('計算A'!O$110:O$114,$F41+1)+IF(AND($E41=1,JB41=0),1000,0),MIN(TU41,20)*400+(IF('計算A'!N$106=1,1-DL41,0)+IF('計算A'!O$106=1,1-DN41,0))*150+121+'計算A'!O$5*100000+IF(AND($E41=1,JB41=0),50000,0))+IF($H41=1,(IF('計算A'!N$117=1,INDEX('計算A'!N$10:N$54,$B41),0)+IF('計算A'!O$117=1,INDEX('計算A'!P$10:P$54,$B41),0))*4000,0)-IF(AND('計算A'!N$117=1,UL41&gt;0),2000,0)-IF(AND($L41=1,'計算A'!O$117=1,DN41=0),2000,0))),1000000))</f>
        <v/>
      </c>
      <c r="OR41">
        <f>IF($B41=0,1000000,IF(INDEX('計算A'!$D$60:$EQ$104,$B41,13)*DN41=1,IF(AND($E41=2,JC41=0),1000000,IF($I41&gt;0,IF(1=$J41,IF(OR(AND(13=$I41+1,OR($K41&lt;&gt;'計算A'!$A$3,'計算A'!$A$4=0)),AND(13=$I41-1,OR(13&lt;&gt;'計算A'!$A$3,'計算A'!$A$4=0))),0,IF(13=$K41,200000,ABS(13-$K41)*100)),100000+ABS(1-$J41)*1000+130)+'計算A'!P$5*50+IF(AND($E41=1,JC41=0),25,0),IF($F41&gt;0,INDEX('計算A'!P$110:P$114,$F41+1)+IF(AND($E41=1,JC41=0),1000,0),MIN(TU41,20)*400+(IF('計算A'!O$106=1,1-DM41,0)+IF('計算A'!P$106=1,1-DO41,0))*150+131+'計算A'!P$5*100000+IF(AND($E41=1,JC41=0),50000,0))+IF($H41=1,(IF('計算A'!O$117=1,INDEX('計算A'!O$10:O$54,$B41),0)+IF('計算A'!P$117=1,INDEX('計算A'!Q$10:Q$54,$B41),0))*4000,0)-IF(AND('計算A'!O$117=1,UM41&gt;0),2000,0)-IF(AND($L41=1,'計算A'!P$117=1,DO41=0),2000,0))),1000000))</f>
        <v/>
      </c>
      <c r="OS41">
        <f>IF($B41=0,1000000,IF(INDEX('計算A'!$D$60:$EQ$104,$B41,14)*DO41=1,IF(AND($E41=2,JD41=0),1000000,IF($I41&gt;0,IF(1=$J41,IF(OR(AND(14=$I41+1,OR($K41&lt;&gt;'計算A'!$A$3,'計算A'!$A$4=0)),AND(14=$I41-1,OR(14&lt;&gt;'計算A'!$A$3,'計算A'!$A$4=0))),0,IF(14=$K41,200000,ABS(14-$K41)*100)),100000+ABS(1-$J41)*1000+140)+'計算A'!Q$5*50+IF(AND($E41=1,JD41=0),25,0),IF($F41&gt;0,INDEX('計算A'!Q$110:Q$114,$F41+1)+IF(AND($E41=1,JD41=0),1000,0),MIN(TU41,20)*400+(IF('計算A'!P$106=1,1-DN41,0)+IF('計算A'!Q$106=1,1-DP41,0))*150+141+'計算A'!Q$5*100000+IF(AND($E41=1,JD41=0),50000,0))+IF($H41=1,(IF('計算A'!P$117=1,INDEX('計算A'!P$10:P$54,$B41),0)+IF('計算A'!Q$117=1,INDEX('計算A'!R$10:R$54,$B41),0))*4000,0)-IF(AND('計算A'!P$117=1,UN41&gt;0),2000,0)-IF(AND($L41=1,'計算A'!Q$117=1,DP41=0),2000,0))),1000000))</f>
        <v/>
      </c>
      <c r="OT41">
        <f>IF($B41=0,1000000,IF(INDEX('計算A'!$D$60:$EQ$104,$B41,15)*DP41=1,IF(AND($E41=2,JE41=0),1000000,IF($I41&gt;0,IF(1=$J41,IF(OR(AND(15=$I41+1,OR($K41&lt;&gt;'計算A'!$A$3,'計算A'!$A$4=0)),AND(15=$I41-1,OR(15&lt;&gt;'計算A'!$A$3,'計算A'!$A$4=0))),0,IF(15=$K41,200000,ABS(15-$K41)*100)),100000+ABS(1-$J41)*1000+150)+'計算A'!R$5*50+IF(AND($E41=1,JE41=0),25,0),IF($F41&gt;0,INDEX('計算A'!R$110:R$114,$F41+1)+IF(AND($E41=1,JE41=0),1000,0),MIN(TU41,20)*400+(IF('計算A'!Q$106=1,1-DO41,0)+IF('計算A'!R$106=1,1-DQ41,0))*150+151+'計算A'!R$5*100000+IF(AND($E41=1,JE41=0),50000,0))+IF($H41=1,(IF('計算A'!Q$117=1,INDEX('計算A'!Q$10:Q$54,$B41),0)+IF('計算A'!R$117=1,INDEX('計算A'!S$10:S$54,$B41),0))*4000,0)-IF(AND('計算A'!Q$117=1,UO41&gt;0),2000,0)-IF(AND($L41=1,'計算A'!R$117=1,DQ41=0),2000,0))),1000000))</f>
        <v/>
      </c>
      <c r="OU41">
        <f>IF($B41=0,1000000,IF(INDEX('計算A'!$D$60:$EQ$104,$B41,16)*DQ41=1,IF(AND($E41=2,JF41=0),1000000,IF($I41&gt;0,IF(1=$J41,IF(OR(AND(16=$I41+1,OR($K41&lt;&gt;'計算A'!$A$3,'計算A'!$A$4=0)),AND(16=$I41-1,OR(16&lt;&gt;'計算A'!$A$3,'計算A'!$A$4=0))),0,IF(16=$K41,200000,ABS(16-$K41)*100)),100000+ABS(1-$J41)*1000+160)+'計算A'!S$5*50+IF(AND($E41=1,JF41=0),25,0),IF($F41&gt;0,INDEX('計算A'!S$110:S$114,$F41+1)+IF(AND($E41=1,JF41=0),1000,0),MIN(TU41,20)*400+(IF('計算A'!R$106=1,1-DP41,0)+IF('計算A'!S$106=1,1-DR41,0))*150+161+'計算A'!S$5*100000+IF(AND($E41=1,JF41=0),50000,0))+IF($H41=1,(IF('計算A'!R$117=1,INDEX('計算A'!R$10:R$54,$B41),0)+IF('計算A'!S$117=1,INDEX('計算A'!T$10:T$54,$B41),0))*4000,0)-IF(AND('計算A'!R$117=1,UP41&gt;0),2000,0)-IF(AND($L41=1,'計算A'!S$117=1,DR41=0),2000,0))),1000000))</f>
        <v/>
      </c>
      <c r="OV41">
        <f>IF($B41=0,1000000,IF(INDEX('計算A'!$D$60:$EQ$104,$B41,17)*DR41=1,IF(AND($E41=2,JG41=0),1000000,IF($I41&gt;0,IF(1=$J41,IF(OR(AND(17=$I41+1,OR($K41&lt;&gt;'計算A'!$A$3,'計算A'!$A$4=0)),AND(17=$I41-1,OR(17&lt;&gt;'計算A'!$A$3,'計算A'!$A$4=0))),0,IF(17=$K41,200000,ABS(17-$K41)*100)),100000+ABS(1-$J41)*1000+170)+'計算A'!T$5*50+IF(AND($E41=1,JG41=0),25,0),IF($F41&gt;0,INDEX('計算A'!T$110:T$114,$F41+1)+IF(AND($E41=1,JG41=0),1000,0),MIN(TU41,20)*400+(IF('計算A'!S$106=1,1-DQ41,0)+IF('計算A'!T$106=1,1-DS41,0))*150+171+'計算A'!T$5*100000+IF(AND($E41=1,JG41=0),50000,0))+IF($H41=1,(IF('計算A'!S$117=1,INDEX('計算A'!S$10:S$54,$B41),0)+IF('計算A'!T$117=1,INDEX('計算A'!U$10:U$54,$B41),0))*4000,0)-IF(AND('計算A'!S$117=1,UQ41&gt;0),2000,0)-IF(AND($L41=1,'計算A'!T$117=1,DS41=0),2000,0))),1000000))</f>
        <v/>
      </c>
      <c r="OW41">
        <f>IF($B41=0,1000000,IF(INDEX('計算A'!$D$60:$EQ$104,$B41,18)*DS41=1,IF(AND($E41=2,JH41=0),1000000,IF($I41&gt;0,IF(1=$J41,IF(OR(AND(18=$I41+1,OR($K41&lt;&gt;'計算A'!$A$3,'計算A'!$A$4=0)),AND(18=$I41-1,OR(18&lt;&gt;'計算A'!$A$3,'計算A'!$A$4=0))),0,IF(18=$K41,200000,ABS(18-$K41)*100)),100000+ABS(1-$J41)*1000+180)+'計算A'!U$5*50+IF(AND($E41=1,JH41=0),25,0),IF($F41&gt;0,INDEX('計算A'!U$110:U$114,$F41+1)+IF(AND($E41=1,JH41=0),1000,0),MIN(TU41,20)*400+(IF('計算A'!T$106=1,1-DR41,0)+IF('計算A'!U$106=1,1-DT41,0))*150+181+'計算A'!U$5*100000+IF(AND($E41=1,JH41=0),50000,0))+IF($H41=1,(IF('計算A'!T$117=1,INDEX('計算A'!T$10:T$54,$B41),0)+IF('計算A'!U$117=1,INDEX('計算A'!V$10:V$54,$B41),0))*4000,0)-IF(AND('計算A'!T$117=1,UR41&gt;0),2000,0)-IF(AND($L41=1,'計算A'!U$117=1,DT41=0),2000,0))),1000000))</f>
        <v/>
      </c>
      <c r="OX41">
        <f>IF($B41=0,1000000,IF(INDEX('計算A'!$D$60:$EQ$104,$B41,19)*DT41=1,IF(AND($E41=2,JI41=0),1000000,IF($I41&gt;0,IF(1=$J41,IF(OR(AND(19=$I41+1,OR($K41&lt;&gt;'計算A'!$A$3,'計算A'!$A$4=0)),AND(19=$I41-1,OR(19&lt;&gt;'計算A'!$A$3,'計算A'!$A$4=0))),0,IF(19=$K41,200000,ABS(19-$K41)*100)),100000+ABS(1-$J41)*1000+190)+'計算A'!V$5*50+IF(AND($E41=1,JI41=0),25,0),IF($F41&gt;0,INDEX('計算A'!V$110:V$114,$F41+1)+IF(AND($E41=1,JI41=0),1000,0),MIN(TU41,20)*400+(IF('計算A'!U$106=1,1-DS41,0)+IF('計算A'!V$106=1,1-DU41,0))*150+191+'計算A'!V$5*100000+IF(AND($E41=1,JI41=0),50000,0))+IF($H41=1,(IF('計算A'!U$117=1,INDEX('計算A'!U$10:U$54,$B41),0)+IF('計算A'!V$117=1,INDEX('計算A'!W$10:W$54,$B41),0))*4000,0)-IF(AND('計算A'!U$117=1,US41&gt;0),2000,0)-IF(AND($L41=1,'計算A'!V$117=1,DU41=0),2000,0))),1000000))</f>
        <v/>
      </c>
      <c r="OY41">
        <f>IF($B41=0,1000000,IF(INDEX('計算A'!$D$60:$EQ$104,$B41,20)*DU41=1,IF(AND($E41=2,JJ41=0),1000000,IF($I41&gt;0,IF(1=$J41,IF(OR(AND(20=$I41+1,OR($K41&lt;&gt;'計算A'!$A$3,'計算A'!$A$4=0)),AND(20=$I41-1,OR(20&lt;&gt;'計算A'!$A$3,'計算A'!$A$4=0))),0,IF(20=$K41,200000,ABS(20-$K41)*100)),100000+ABS(1-$J41)*1000+200)+'計算A'!W$5*50+IF(AND($E41=1,JJ41=0),25,0),IF($F41&gt;0,INDEX('計算A'!W$110:W$114,$F41+1)+IF(AND($E41=1,JJ41=0),1000,0),MIN(TU41,20)*400+(IF('計算A'!V$106=1,1-DT41,0)+IF('計算A'!W$106=1,1-DV41,0))*150+201+'計算A'!W$5*100000+IF(AND($E41=1,JJ41=0),50000,0))+IF($H41=1,(IF('計算A'!V$117=1,INDEX('計算A'!V$10:V$54,$B41),0)+IF('計算A'!W$117=1,INDEX('計算A'!X$10:X$54,$B41),0))*4000,0)-IF(AND('計算A'!V$117=1,UT41&gt;0),2000,0)-IF(AND($L41=1,'計算A'!W$117=1,DV41=0),2000,0))),1000000))</f>
        <v/>
      </c>
      <c r="OZ41">
        <f>IF($B41=0,1000000,IF(INDEX('計算A'!$D$60:$EQ$104,$B41,21)*DV41=1,IF(AND($E41=2,JK41=0),1000000,IF($I41&gt;0,IF(1=$J41,IF(OR(AND(21=$I41+1,OR($K41&lt;&gt;'計算A'!$A$3,'計算A'!$A$4=0)),AND(21=$I41-1,OR(21&lt;&gt;'計算A'!$A$3,'計算A'!$A$4=0))),0,IF(21=$K41,200000,ABS(21-$K41)*100)),100000+ABS(1-$J41)*1000+210)+'計算A'!X$5*50+IF(AND($E41=1,JK41=0),25,0),IF($F41&gt;0,INDEX('計算A'!X$110:X$114,$F41+1)+IF(AND($E41=1,JK41=0),1000,0),MIN(TU41,20)*400+(IF('計算A'!W$106=1,1-DU41,0)+IF('計算A'!X$106=1,1-DW41,0))*150+211+'計算A'!X$5*100000+IF(AND($E41=1,JK41=0),50000,0))+IF($H41=1,(IF('計算A'!W$117=1,INDEX('計算A'!W$10:W$54,$B41),0)+IF('計算A'!X$117=1,INDEX('計算A'!Y$10:Y$54,$B41),0))*4000,0)-IF(AND('計算A'!W$117=1,UU41&gt;0),2000,0)-IF(AND($L41=1,'計算A'!X$117=1,DW41=0),2000,0))),1000000))</f>
        <v/>
      </c>
      <c r="PA41">
        <f>IF($B41=0,1000000,IF(INDEX('計算A'!$D$60:$EQ$104,$B41,22)*DW41=1,IF(AND($E41=2,JL41=0),1000000,IF($I41&gt;0,IF(1=$J41,IF(OR(AND(22=$I41+1,OR($K41&lt;&gt;'計算A'!$A$3,'計算A'!$A$4=0)),AND(22=$I41-1,OR(22&lt;&gt;'計算A'!$A$3,'計算A'!$A$4=0))),0,IF(22=$K41,200000,ABS(22-$K41)*100)),100000+ABS(1-$J41)*1000+220)+'計算A'!Y$5*50+IF(AND($E41=1,JL41=0),25,0),IF($F41&gt;0,INDEX('計算A'!Y$110:Y$114,$F41+1)+IF(AND($E41=1,JL41=0),1000,0),MIN(TU41,20)*400+(IF('計算A'!X$106=1,1-DV41,0)+IF('計算A'!Y$106=1,1-DX41,0))*150+221+'計算A'!Y$5*100000+IF(AND($E41=1,JL41=0),50000,0))+IF($H41=1,(IF('計算A'!X$117=1,INDEX('計算A'!X$10:X$54,$B41),0)+IF('計算A'!Y$117=1,INDEX('計算A'!Z$10:Z$54,$B41),0))*4000,0)-IF(AND('計算A'!X$117=1,UV41&gt;0),2000,0)-IF(AND($L41=1,'計算A'!Y$117=1,DX41=0),2000,0))),1000000))</f>
        <v/>
      </c>
      <c r="PB41">
        <f>IF($B41=0,1000000,IF(INDEX('計算A'!$D$60:$EQ$104,$B41,23)*DX41=1,IF(AND($E41=2,JM41=0),1000000,IF($I41&gt;0,IF(1=$J41,IF(OR(AND(23=$I41+1,OR($K41&lt;&gt;'計算A'!$A$3,'計算A'!$A$4=0)),AND(23=$I41-1,OR(23&lt;&gt;'計算A'!$A$3,'計算A'!$A$4=0))),0,IF(23=$K41,200000,ABS(23-$K41)*100)),100000+ABS(1-$J41)*1000+230)+'計算A'!Z$5*50+IF(AND($E41=1,JM41=0),25,0),IF($F41&gt;0,INDEX('計算A'!Z$110:Z$114,$F41+1)+IF(AND($E41=1,JM41=0),1000,0),MIN(TU41,20)*400+(IF('計算A'!Y$106=1,1-DW41,0)+IF('計算A'!Z$106=1,1-DY41,0))*150+231+'計算A'!Z$5*100000+IF(AND($E41=1,JM41=0),50000,0))+IF($H41=1,(IF('計算A'!Y$117=1,INDEX('計算A'!Y$10:Y$54,$B41),0)+IF('計算A'!Z$117=1,INDEX('計算A'!AA$10:AA$54,$B41),0))*4000,0)-IF(AND('計算A'!Y$117=1,UW41&gt;0),2000,0)-IF(AND($L41=1,'計算A'!Z$117=1,DY41=0),2000,0))),1000000))</f>
        <v/>
      </c>
      <c r="PC41">
        <f>IF($B41=0,1000000,IF(INDEX('計算A'!$D$60:$EQ$104,$B41,24)*DY41=1,IF(AND($E41=2,JN41=0),1000000,IF($I41&gt;0,IF(1=$J41,IF(OR(AND(24=$I41+1,OR($K41&lt;&gt;'計算A'!$A$3,'計算A'!$A$4=0)),AND(24=$I41-1,OR(24&lt;&gt;'計算A'!$A$3,'計算A'!$A$4=0))),0,IF(24=$K41,200000,ABS(24-$K41)*100)),100000+ABS(1-$J41)*1000+240)+'計算A'!AA$5*50+IF(AND($E41=1,JN41=0),25,0),IF($F41&gt;0,INDEX('計算A'!AA$110:AA$114,$F41+1)+IF(AND($E41=1,JN41=0),1000,0),MIN(TU41,20)*400+(IF('計算A'!Z$106=1,1-DX41,0))*150+241+'計算A'!AA$5*100000+IF(AND($E41=1,JN41=0),50000,0))+IF($H41=1,(IF('計算A'!Z$117=1,INDEX('計算A'!Z$10:Z$54,$B41),0))*4000,0)-IF(AND('計算A'!Z$117=1,UX41&gt;0),2000,0))),1000000))</f>
        <v/>
      </c>
      <c r="PD41">
        <f>IF($B41=0,1000000,IF(INDEX('計算A'!$D$60:$EQ$104,$B41,25)*DZ41=1,IF(AND($E41=2,JO41=0),1000000,IF($I41&gt;0,IF(2=$J41,IF(OR(AND(25=$I41+1,OR($K41&lt;&gt;'計算A'!$A$3,'計算A'!$A$4=0)),AND(25=$I41-1,OR(1&lt;&gt;'計算A'!$A$3,'計算A'!$A$4=0))),0,IF(1=$K41,200000,ABS(1-$K41)*100)),100000+ABS(2-$J41)*1000+10)+'計算A'!AB$5*50+IF(AND($E41=1,JO41=0),25,0),IF($F41&gt;0,INDEX('計算A'!AB$110:AB$114,$F41+1)+IF(AND($E41=1,JO41=0),1000,0),MIN(TV41,20)*400+(IF('計算A'!AB$106=1,1-EA41,0))*150+12+'計算A'!AB$5*100000+IF(AND($E41=1,JO41=0),50000,0))+IF($H41=1,(IF('計算A'!AB$117=1,INDEX('計算A'!AC$10:AC$54,$B41),0))*4000,0)-IF(AND($L41=1,'計算A'!AB$117=1,EA41=0),2000,0))),1000000))</f>
        <v/>
      </c>
      <c r="PE41">
        <f>IF($B41=0,1000000,IF(INDEX('計算A'!$D$60:$EQ$104,$B41,26)*EA41=1,IF(AND($E41=2,JP41=0),1000000,IF($I41&gt;0,IF(2=$J41,IF(OR(AND(26=$I41+1,OR($K41&lt;&gt;'計算A'!$A$3,'計算A'!$A$4=0)),AND(26=$I41-1,OR(2&lt;&gt;'計算A'!$A$3,'計算A'!$A$4=0))),0,IF(2=$K41,200000,ABS(2-$K41)*100)),100000+ABS(2-$J41)*1000+20)+'計算A'!AC$5*50+IF(AND($E41=1,JP41=0),25,0),IF($F41&gt;0,INDEX('計算A'!AC$110:AC$114,$F41+1)+IF(AND($E41=1,JP41=0),1000,0),MIN(TV41,20)*400+(IF('計算A'!AB$106=1,1-DZ41,0)+IF('計算A'!AC$106=1,1-EB41,0))*150+22+'計算A'!AC$5*100000+IF(AND($E41=1,JP41=0),50000,0))+IF($H41=1,(IF('計算A'!AB$117=1,INDEX('計算A'!AB$10:AB$54,$B41),0)+IF('計算A'!AC$117=1,INDEX('計算A'!AD$10:AD$54,$B41),0))*4000,0)-IF(AND('計算A'!AB$117=1,UZ41&gt;0),2000,0)-IF(AND($L41=1,'計算A'!AC$117=1,EB41=0),2000,0))),1000000))</f>
        <v/>
      </c>
      <c r="PF41">
        <f>IF($B41=0,1000000,IF(INDEX('計算A'!$D$60:$EQ$104,$B41,27)*EB41=1,IF(AND($E41=2,JQ41=0),1000000,IF($I41&gt;0,IF(2=$J41,IF(OR(AND(27=$I41+1,OR($K41&lt;&gt;'計算A'!$A$3,'計算A'!$A$4=0)),AND(27=$I41-1,OR(3&lt;&gt;'計算A'!$A$3,'計算A'!$A$4=0))),0,IF(3=$K41,200000,ABS(3-$K41)*100)),100000+ABS(2-$J41)*1000+30)+'計算A'!AD$5*50+IF(AND($E41=1,JQ41=0),25,0),IF($F41&gt;0,INDEX('計算A'!AD$110:AD$114,$F41+1)+IF(AND($E41=1,JQ41=0),1000,0),MIN(TV41,20)*400+(IF('計算A'!AC$106=1,1-EA41,0)+IF('計算A'!AD$106=1,1-EC41,0))*150+32+'計算A'!AD$5*100000+IF(AND($E41=1,JQ41=0),50000,0))+IF($H41=1,(IF('計算A'!AC$117=1,INDEX('計算A'!AC$10:AC$54,$B41),0)+IF('計算A'!AD$117=1,INDEX('計算A'!AE$10:AE$54,$B41),0))*4000,0)-IF(AND('計算A'!AC$117=1,VA41&gt;0),2000,0)-IF(AND($L41=1,'計算A'!AD$117=1,EC41=0),2000,0))),1000000))</f>
        <v/>
      </c>
      <c r="PG41">
        <f>IF($B41=0,1000000,IF(INDEX('計算A'!$D$60:$EQ$104,$B41,28)*EC41=1,IF(AND($E41=2,JR41=0),1000000,IF($I41&gt;0,IF(2=$J41,IF(OR(AND(28=$I41+1,OR($K41&lt;&gt;'計算A'!$A$3,'計算A'!$A$4=0)),AND(28=$I41-1,OR(4&lt;&gt;'計算A'!$A$3,'計算A'!$A$4=0))),0,IF(4=$K41,200000,ABS(4-$K41)*100)),100000+ABS(2-$J41)*1000+40)+'計算A'!AE$5*50+IF(AND($E41=1,JR41=0),25,0),IF($F41&gt;0,INDEX('計算A'!AE$110:AE$114,$F41+1)+IF(AND($E41=1,JR41=0),1000,0),MIN(TV41,20)*400+(IF('計算A'!AD$106=1,1-EB41,0)+IF('計算A'!AE$106=1,1-ED41,0))*150+42+'計算A'!AE$5*100000+IF(AND($E41=1,JR41=0),50000,0))+IF($H41=1,(IF('計算A'!AD$117=1,INDEX('計算A'!AD$10:AD$54,$B41),0)+IF('計算A'!AE$117=1,INDEX('計算A'!AF$10:AF$54,$B41),0))*4000,0)-IF(AND('計算A'!AD$117=1,VB41&gt;0),2000,0)-IF(AND($L41=1,'計算A'!AE$117=1,ED41=0),2000,0))),1000000))</f>
        <v/>
      </c>
      <c r="PH41">
        <f>IF($B41=0,1000000,IF(INDEX('計算A'!$D$60:$EQ$104,$B41,29)*ED41=1,IF(AND($E41=2,JS41=0),1000000,IF($I41&gt;0,IF(2=$J41,IF(OR(AND(29=$I41+1,OR($K41&lt;&gt;'計算A'!$A$3,'計算A'!$A$4=0)),AND(29=$I41-1,OR(5&lt;&gt;'計算A'!$A$3,'計算A'!$A$4=0))),0,IF(5=$K41,200000,ABS(5-$K41)*100)),100000+ABS(2-$J41)*1000+50)+'計算A'!AF$5*50+IF(AND($E41=1,JS41=0),25,0),IF($F41&gt;0,INDEX('計算A'!AF$110:AF$114,$F41+1)+IF(AND($E41=1,JS41=0),1000,0),MIN(TV41,20)*400+(IF('計算A'!AE$106=1,1-EC41,0)+IF('計算A'!AF$106=1,1-EE41,0))*150+52+'計算A'!AF$5*100000+IF(AND($E41=1,JS41=0),50000,0))+IF($H41=1,(IF('計算A'!AE$117=1,INDEX('計算A'!AE$10:AE$54,$B41),0)+IF('計算A'!AF$117=1,INDEX('計算A'!AG$10:AG$54,$B41),0))*4000,0)-IF(AND('計算A'!AE$117=1,VC41&gt;0),2000,0)-IF(AND($L41=1,'計算A'!AF$117=1,EE41=0),2000,0))),1000000))</f>
        <v/>
      </c>
      <c r="PI41">
        <f>IF($B41=0,1000000,IF(INDEX('計算A'!$D$60:$EQ$104,$B41,30)*EE41=1,IF(AND($E41=2,JT41=0),1000000,IF($I41&gt;0,IF(2=$J41,IF(OR(AND(30=$I41+1,OR($K41&lt;&gt;'計算A'!$A$3,'計算A'!$A$4=0)),AND(30=$I41-1,OR(6&lt;&gt;'計算A'!$A$3,'計算A'!$A$4=0))),0,IF(6=$K41,200000,ABS(6-$K41)*100)),100000+ABS(2-$J41)*1000+60)+'計算A'!AG$5*50+IF(AND($E41=1,JT41=0),25,0),IF($F41&gt;0,INDEX('計算A'!AG$110:AG$114,$F41+1)+IF(AND($E41=1,JT41=0),1000,0),MIN(TV41,20)*400+(IF('計算A'!AF$106=1,1-ED41,0)+IF('計算A'!AG$106=1,1-EF41,0))*150+62+'計算A'!AG$5*100000+IF(AND($E41=1,JT41=0),50000,0))+IF($H41=1,(IF('計算A'!AF$117=1,INDEX('計算A'!AF$10:AF$54,$B41),0)+IF('計算A'!AG$117=1,INDEX('計算A'!AH$10:AH$54,$B41),0))*4000,0)-IF(AND('計算A'!AF$117=1,VD41&gt;0),2000,0)-IF(AND($L41=1,'計算A'!AG$117=1,EF41=0),2000,0))),1000000))</f>
        <v/>
      </c>
      <c r="PJ41">
        <f>IF($B41=0,1000000,IF(INDEX('計算A'!$D$60:$EQ$104,$B41,31)*EF41=1,IF(AND($E41=2,JU41=0),1000000,IF($I41&gt;0,IF(2=$J41,IF(OR(AND(31=$I41+1,OR($K41&lt;&gt;'計算A'!$A$3,'計算A'!$A$4=0)),AND(31=$I41-1,OR(7&lt;&gt;'計算A'!$A$3,'計算A'!$A$4=0))),0,IF(7=$K41,200000,ABS(7-$K41)*100)),100000+ABS(2-$J41)*1000+70)+'計算A'!AH$5*50+IF(AND($E41=1,JU41=0),25,0),IF($F41&gt;0,INDEX('計算A'!AH$110:AH$114,$F41+1)+IF(AND($E41=1,JU41=0),1000,0),MIN(TV41,20)*400+(IF('計算A'!AG$106=1,1-EE41,0)+IF('計算A'!AH$106=1,1-EG41,0))*150+72+'計算A'!AH$5*100000+IF(AND($E41=1,JU41=0),50000,0))+IF($H41=1,(IF('計算A'!AG$117=1,INDEX('計算A'!AG$10:AG$54,$B41),0)+IF('計算A'!AH$117=1,INDEX('計算A'!AI$10:AI$54,$B41),0))*4000,0)-IF(AND('計算A'!AG$117=1,VE41&gt;0),2000,0)-IF(AND($L41=1,'計算A'!AH$117=1,EG41=0),2000,0))),1000000))</f>
        <v/>
      </c>
      <c r="PK41">
        <f>IF($B41=0,1000000,IF(INDEX('計算A'!$D$60:$EQ$104,$B41,32)*EG41=1,IF(AND($E41=2,JV41=0),1000000,IF($I41&gt;0,IF(2=$J41,IF(OR(AND(32=$I41+1,OR($K41&lt;&gt;'計算A'!$A$3,'計算A'!$A$4=0)),AND(32=$I41-1,OR(8&lt;&gt;'計算A'!$A$3,'計算A'!$A$4=0))),0,IF(8=$K41,200000,ABS(8-$K41)*100)),100000+ABS(2-$J41)*1000+80)+'計算A'!AI$5*50+IF(AND($E41=1,JV41=0),25,0),IF($F41&gt;0,INDEX('計算A'!AI$110:AI$114,$F41+1)+IF(AND($E41=1,JV41=0),1000,0),MIN(TV41,20)*400+(IF('計算A'!AH$106=1,1-EF41,0)+IF('計算A'!AI$106=1,1-EH41,0))*150+82+'計算A'!AI$5*100000+IF(AND($E41=1,JV41=0),50000,0))+IF($H41=1,(IF('計算A'!AH$117=1,INDEX('計算A'!AH$10:AH$54,$B41),0)+IF('計算A'!AI$117=1,INDEX('計算A'!AJ$10:AJ$54,$B41),0))*4000,0)-IF(AND('計算A'!AH$117=1,VF41&gt;0),2000,0)-IF(AND($L41=1,'計算A'!AI$117=1,EH41=0),2000,0))),1000000))</f>
        <v/>
      </c>
      <c r="PL41">
        <f>IF($B41=0,1000000,IF(INDEX('計算A'!$D$60:$EQ$104,$B41,33)*EH41=1,IF(AND($E41=2,JW41=0),1000000,IF($I41&gt;0,IF(2=$J41,IF(OR(AND(33=$I41+1,OR($K41&lt;&gt;'計算A'!$A$3,'計算A'!$A$4=0)),AND(33=$I41-1,OR(9&lt;&gt;'計算A'!$A$3,'計算A'!$A$4=0))),0,IF(9=$K41,200000,ABS(9-$K41)*100)),100000+ABS(2-$J41)*1000+90)+'計算A'!AJ$5*50+IF(AND($E41=1,JW41=0),25,0),IF($F41&gt;0,INDEX('計算A'!AJ$110:AJ$114,$F41+1)+IF(AND($E41=1,JW41=0),1000,0),MIN(TV41,20)*400+(IF('計算A'!AI$106=1,1-EG41,0)+IF('計算A'!AJ$106=1,1-EI41,0))*150+92+'計算A'!AJ$5*100000+IF(AND($E41=1,JW41=0),50000,0))+IF($H41=1,(IF('計算A'!AI$117=1,INDEX('計算A'!AI$10:AI$54,$B41),0)+IF('計算A'!AJ$117=1,INDEX('計算A'!AK$10:AK$54,$B41),0))*4000,0)-IF(AND('計算A'!AI$117=1,VG41&gt;0),2000,0)-IF(AND($L41=1,'計算A'!AJ$117=1,EI41=0),2000,0))),1000000))</f>
        <v/>
      </c>
      <c r="PM41">
        <f>IF($B41=0,1000000,IF(INDEX('計算A'!$D$60:$EQ$104,$B41,34)*EI41=1,IF(AND($E41=2,JX41=0),1000000,IF($I41&gt;0,IF(2=$J41,IF(OR(AND(34=$I41+1,OR($K41&lt;&gt;'計算A'!$A$3,'計算A'!$A$4=0)),AND(34=$I41-1,OR(10&lt;&gt;'計算A'!$A$3,'計算A'!$A$4=0))),0,IF(10=$K41,200000,ABS(10-$K41)*100)),100000+ABS(2-$J41)*1000+100)+'計算A'!AK$5*50+IF(AND($E41=1,JX41=0),25,0),IF($F41&gt;0,INDEX('計算A'!AK$110:AK$114,$F41+1)+IF(AND($E41=1,JX41=0),1000,0),MIN(TV41,20)*400+(IF('計算A'!AJ$106=1,1-EH41,0)+IF('計算A'!AK$106=1,1-EJ41,0))*150+102+'計算A'!AK$5*100000+IF(AND($E41=1,JX41=0),50000,0))+IF($H41=1,(IF('計算A'!AJ$117=1,INDEX('計算A'!AJ$10:AJ$54,$B41),0)+IF('計算A'!AK$117=1,INDEX('計算A'!AL$10:AL$54,$B41),0))*4000,0)-IF(AND('計算A'!AJ$117=1,VH41&gt;0),2000,0)-IF(AND($L41=1,'計算A'!AK$117=1,EJ41=0),2000,0))),1000000))</f>
        <v/>
      </c>
      <c r="PN41">
        <f>IF($B41=0,1000000,IF(INDEX('計算A'!$D$60:$EQ$104,$B41,35)*EJ41=1,IF(AND($E41=2,JY41=0),1000000,IF($I41&gt;0,IF(2=$J41,IF(OR(AND(35=$I41+1,OR($K41&lt;&gt;'計算A'!$A$3,'計算A'!$A$4=0)),AND(35=$I41-1,OR(11&lt;&gt;'計算A'!$A$3,'計算A'!$A$4=0))),0,IF(11=$K41,200000,ABS(11-$K41)*100)),100000+ABS(2-$J41)*1000+110)+'計算A'!AL$5*50+IF(AND($E41=1,JY41=0),25,0),IF($F41&gt;0,INDEX('計算A'!AL$110:AL$114,$F41+1)+IF(AND($E41=1,JY41=0),1000,0),MIN(TV41,20)*400+(IF('計算A'!AK$106=1,1-EI41,0)+IF('計算A'!AL$106=1,1-EK41,0))*150+112+'計算A'!AL$5*100000+IF(AND($E41=1,JY41=0),50000,0))+IF($H41=1,(IF('計算A'!AK$117=1,INDEX('計算A'!AK$10:AK$54,$B41),0)+IF('計算A'!AL$117=1,INDEX('計算A'!AM$10:AM$54,$B41),0))*4000,0)-IF(AND('計算A'!AK$117=1,VI41&gt;0),2000,0)-IF(AND($L41=1,'計算A'!AL$117=1,EK41=0),2000,0))),1000000))</f>
        <v/>
      </c>
      <c r="PO41">
        <f>IF($B41=0,1000000,IF(INDEX('計算A'!$D$60:$EQ$104,$B41,36)*EK41=1,IF(AND($E41=2,JZ41=0),1000000,IF($I41&gt;0,IF(2=$J41,IF(OR(AND(36=$I41+1,OR($K41&lt;&gt;'計算A'!$A$3,'計算A'!$A$4=0)),AND(36=$I41-1,OR(12&lt;&gt;'計算A'!$A$3,'計算A'!$A$4=0))),0,IF(12=$K41,200000,ABS(12-$K41)*100)),100000+ABS(2-$J41)*1000+120)+'計算A'!AM$5*50+IF(AND($E41=1,JZ41=0),25,0),IF($F41&gt;0,INDEX('計算A'!AM$110:AM$114,$F41+1)+IF(AND($E41=1,JZ41=0),1000,0),MIN(TV41,20)*400+(IF('計算A'!AL$106=1,1-EJ41,0)+IF('計算A'!AM$106=1,1-EL41,0))*150+122+'計算A'!AM$5*100000+IF(AND($E41=1,JZ41=0),50000,0))+IF($H41=1,(IF('計算A'!AL$117=1,INDEX('計算A'!AL$10:AL$54,$B41),0)+IF('計算A'!AM$117=1,INDEX('計算A'!AN$10:AN$54,$B41),0))*4000,0)-IF(AND('計算A'!AL$117=1,VJ41&gt;0),2000,0)-IF(AND($L41=1,'計算A'!AM$117=1,EL41=0),2000,0))),1000000))</f>
        <v/>
      </c>
      <c r="PP41">
        <f>IF($B41=0,1000000,IF(INDEX('計算A'!$D$60:$EQ$104,$B41,37)*EL41=1,IF(AND($E41=2,KA41=0),1000000,IF($I41&gt;0,IF(2=$J41,IF(OR(AND(37=$I41+1,OR($K41&lt;&gt;'計算A'!$A$3,'計算A'!$A$4=0)),AND(37=$I41-1,OR(13&lt;&gt;'計算A'!$A$3,'計算A'!$A$4=0))),0,IF(13=$K41,200000,ABS(13-$K41)*100)),100000+ABS(2-$J41)*1000+130)+'計算A'!AN$5*50+IF(AND($E41=1,KA41=0),25,0),IF($F41&gt;0,INDEX('計算A'!AN$110:AN$114,$F41+1)+IF(AND($E41=1,KA41=0),1000,0),MIN(TV41,20)*400+(IF('計算A'!AM$106=1,1-EK41,0)+IF('計算A'!AN$106=1,1-EM41,0))*150+132+'計算A'!AN$5*100000+IF(AND($E41=1,KA41=0),50000,0))+IF($H41=1,(IF('計算A'!AM$117=1,INDEX('計算A'!AM$10:AM$54,$B41),0)+IF('計算A'!AN$117=1,INDEX('計算A'!AO$10:AO$54,$B41),0))*4000,0)-IF(AND('計算A'!AM$117=1,VK41&gt;0),2000,0)-IF(AND($L41=1,'計算A'!AN$117=1,EM41=0),2000,0))),1000000))</f>
        <v/>
      </c>
      <c r="PQ41">
        <f>IF($B41=0,1000000,IF(INDEX('計算A'!$D$60:$EQ$104,$B41,38)*EM41=1,IF(AND($E41=2,KB41=0),1000000,IF($I41&gt;0,IF(2=$J41,IF(OR(AND(38=$I41+1,OR($K41&lt;&gt;'計算A'!$A$3,'計算A'!$A$4=0)),AND(38=$I41-1,OR(14&lt;&gt;'計算A'!$A$3,'計算A'!$A$4=0))),0,IF(14=$K41,200000,ABS(14-$K41)*100)),100000+ABS(2-$J41)*1000+140)+'計算A'!AO$5*50+IF(AND($E41=1,KB41=0),25,0),IF($F41&gt;0,INDEX('計算A'!AO$110:AO$114,$F41+1)+IF(AND($E41=1,KB41=0),1000,0),MIN(TV41,20)*400+(IF('計算A'!AN$106=1,1-EL41,0)+IF('計算A'!AO$106=1,1-EN41,0))*150+142+'計算A'!AO$5*100000+IF(AND($E41=1,KB41=0),50000,0))+IF($H41=1,(IF('計算A'!AN$117=1,INDEX('計算A'!AN$10:AN$54,$B41),0)+IF('計算A'!AO$117=1,INDEX('計算A'!AP$10:AP$54,$B41),0))*4000,0)-IF(AND('計算A'!AN$117=1,VL41&gt;0),2000,0)-IF(AND($L41=1,'計算A'!AO$117=1,EN41=0),2000,0))),1000000))</f>
        <v/>
      </c>
      <c r="PR41">
        <f>IF($B41=0,1000000,IF(INDEX('計算A'!$D$60:$EQ$104,$B41,39)*EN41=1,IF(AND($E41=2,KC41=0),1000000,IF($I41&gt;0,IF(2=$J41,IF(OR(AND(39=$I41+1,OR($K41&lt;&gt;'計算A'!$A$3,'計算A'!$A$4=0)),AND(39=$I41-1,OR(15&lt;&gt;'計算A'!$A$3,'計算A'!$A$4=0))),0,IF(15=$K41,200000,ABS(15-$K41)*100)),100000+ABS(2-$J41)*1000+150)+'計算A'!AP$5*50+IF(AND($E41=1,KC41=0),25,0),IF($F41&gt;0,INDEX('計算A'!AP$110:AP$114,$F41+1)+IF(AND($E41=1,KC41=0),1000,0),MIN(TV41,20)*400+(IF('計算A'!AO$106=1,1-EM41,0)+IF('計算A'!AP$106=1,1-EO41,0))*150+152+'計算A'!AP$5*100000+IF(AND($E41=1,KC41=0),50000,0))+IF($H41=1,(IF('計算A'!AO$117=1,INDEX('計算A'!AO$10:AO$54,$B41),0)+IF('計算A'!AP$117=1,INDEX('計算A'!AQ$10:AQ$54,$B41),0))*4000,0)-IF(AND('計算A'!AO$117=1,VM41&gt;0),2000,0)-IF(AND($L41=1,'計算A'!AP$117=1,EO41=0),2000,0))),1000000))</f>
        <v/>
      </c>
      <c r="PS41">
        <f>IF($B41=0,1000000,IF(INDEX('計算A'!$D$60:$EQ$104,$B41,40)*EO41=1,IF(AND($E41=2,KD41=0),1000000,IF($I41&gt;0,IF(2=$J41,IF(OR(AND(40=$I41+1,OR($K41&lt;&gt;'計算A'!$A$3,'計算A'!$A$4=0)),AND(40=$I41-1,OR(16&lt;&gt;'計算A'!$A$3,'計算A'!$A$4=0))),0,IF(16=$K41,200000,ABS(16-$K41)*100)),100000+ABS(2-$J41)*1000+160)+'計算A'!AQ$5*50+IF(AND($E41=1,KD41=0),25,0),IF($F41&gt;0,INDEX('計算A'!AQ$110:AQ$114,$F41+1)+IF(AND($E41=1,KD41=0),1000,0),MIN(TV41,20)*400+(IF('計算A'!AP$106=1,1-EN41,0)+IF('計算A'!AQ$106=1,1-EP41,0))*150+162+'計算A'!AQ$5*100000+IF(AND($E41=1,KD41=0),50000,0))+IF($H41=1,(IF('計算A'!AP$117=1,INDEX('計算A'!AP$10:AP$54,$B41),0)+IF('計算A'!AQ$117=1,INDEX('計算A'!AR$10:AR$54,$B41),0))*4000,0)-IF(AND('計算A'!AP$117=1,VN41&gt;0),2000,0)-IF(AND($L41=1,'計算A'!AQ$117=1,EP41=0),2000,0))),1000000))</f>
        <v/>
      </c>
      <c r="PT41">
        <f>IF($B41=0,1000000,IF(INDEX('計算A'!$D$60:$EQ$104,$B41,41)*EP41=1,IF(AND($E41=2,KE41=0),1000000,IF($I41&gt;0,IF(2=$J41,IF(OR(AND(41=$I41+1,OR($K41&lt;&gt;'計算A'!$A$3,'計算A'!$A$4=0)),AND(41=$I41-1,OR(17&lt;&gt;'計算A'!$A$3,'計算A'!$A$4=0))),0,IF(17=$K41,200000,ABS(17-$K41)*100)),100000+ABS(2-$J41)*1000+170)+'計算A'!AR$5*50+IF(AND($E41=1,KE41=0),25,0),IF($F41&gt;0,INDEX('計算A'!AR$110:AR$114,$F41+1)+IF(AND($E41=1,KE41=0),1000,0),MIN(TV41,20)*400+(IF('計算A'!AQ$106=1,1-EO41,0)+IF('計算A'!AR$106=1,1-EQ41,0))*150+172+'計算A'!AR$5*100000+IF(AND($E41=1,KE41=0),50000,0))+IF($H41=1,(IF('計算A'!AQ$117=1,INDEX('計算A'!AQ$10:AQ$54,$B41),0)+IF('計算A'!AR$117=1,INDEX('計算A'!AS$10:AS$54,$B41),0))*4000,0)-IF(AND('計算A'!AQ$117=1,VO41&gt;0),2000,0)-IF(AND($L41=1,'計算A'!AR$117=1,EQ41=0),2000,0))),1000000))</f>
        <v/>
      </c>
      <c r="PU41">
        <f>IF($B41=0,1000000,IF(INDEX('計算A'!$D$60:$EQ$104,$B41,42)*EQ41=1,IF(AND($E41=2,KF41=0),1000000,IF($I41&gt;0,IF(2=$J41,IF(OR(AND(42=$I41+1,OR($K41&lt;&gt;'計算A'!$A$3,'計算A'!$A$4=0)),AND(42=$I41-1,OR(18&lt;&gt;'計算A'!$A$3,'計算A'!$A$4=0))),0,IF(18=$K41,200000,ABS(18-$K41)*100)),100000+ABS(2-$J41)*1000+180)+'計算A'!AS$5*50+IF(AND($E41=1,KF41=0),25,0),IF($F41&gt;0,INDEX('計算A'!AS$110:AS$114,$F41+1)+IF(AND($E41=1,KF41=0),1000,0),MIN(TV41,20)*400+(IF('計算A'!AR$106=1,1-EP41,0)+IF('計算A'!AS$106=1,1-ER41,0))*150+182+'計算A'!AS$5*100000+IF(AND($E41=1,KF41=0),50000,0))+IF($H41=1,(IF('計算A'!AR$117=1,INDEX('計算A'!AR$10:AR$54,$B41),0)+IF('計算A'!AS$117=1,INDEX('計算A'!AT$10:AT$54,$B41),0))*4000,0)-IF(AND('計算A'!AR$117=1,VP41&gt;0),2000,0)-IF(AND($L41=1,'計算A'!AS$117=1,ER41=0),2000,0))),1000000))</f>
        <v/>
      </c>
      <c r="PV41">
        <f>IF($B41=0,1000000,IF(INDEX('計算A'!$D$60:$EQ$104,$B41,43)*ER41=1,IF(AND($E41=2,KG41=0),1000000,IF($I41&gt;0,IF(2=$J41,IF(OR(AND(43=$I41+1,OR($K41&lt;&gt;'計算A'!$A$3,'計算A'!$A$4=0)),AND(43=$I41-1,OR(19&lt;&gt;'計算A'!$A$3,'計算A'!$A$4=0))),0,IF(19=$K41,200000,ABS(19-$K41)*100)),100000+ABS(2-$J41)*1000+190)+'計算A'!AT$5*50+IF(AND($E41=1,KG41=0),25,0),IF($F41&gt;0,INDEX('計算A'!AT$110:AT$114,$F41+1)+IF(AND($E41=1,KG41=0),1000,0),MIN(TV41,20)*400+(IF('計算A'!AS$106=1,1-EQ41,0)+IF('計算A'!AT$106=1,1-ES41,0))*150+192+'計算A'!AT$5*100000+IF(AND($E41=1,KG41=0),50000,0))+IF($H41=1,(IF('計算A'!AS$117=1,INDEX('計算A'!AS$10:AS$54,$B41),0)+IF('計算A'!AT$117=1,INDEX('計算A'!AU$10:AU$54,$B41),0))*4000,0)-IF(AND('計算A'!AS$117=1,VQ41&gt;0),2000,0)-IF(AND($L41=1,'計算A'!AT$117=1,ES41=0),2000,0))),1000000))</f>
        <v/>
      </c>
      <c r="PW41">
        <f>IF($B41=0,1000000,IF(INDEX('計算A'!$D$60:$EQ$104,$B41,44)*ES41=1,IF(AND($E41=2,KH41=0),1000000,IF($I41&gt;0,IF(2=$J41,IF(OR(AND(44=$I41+1,OR($K41&lt;&gt;'計算A'!$A$3,'計算A'!$A$4=0)),AND(44=$I41-1,OR(20&lt;&gt;'計算A'!$A$3,'計算A'!$A$4=0))),0,IF(20=$K41,200000,ABS(20-$K41)*100)),100000+ABS(2-$J41)*1000+200)+'計算A'!AU$5*50+IF(AND($E41=1,KH41=0),25,0),IF($F41&gt;0,INDEX('計算A'!AU$110:AU$114,$F41+1)+IF(AND($E41=1,KH41=0),1000,0),MIN(TV41,20)*400+(IF('計算A'!AT$106=1,1-ER41,0)+IF('計算A'!AU$106=1,1-ET41,0))*150+202+'計算A'!AU$5*100000+IF(AND($E41=1,KH41=0),50000,0))+IF($H41=1,(IF('計算A'!AT$117=1,INDEX('計算A'!AT$10:AT$54,$B41),0)+IF('計算A'!AU$117=1,INDEX('計算A'!AV$10:AV$54,$B41),0))*4000,0)-IF(AND('計算A'!AT$117=1,VR41&gt;0),2000,0)-IF(AND($L41=1,'計算A'!AU$117=1,ET41=0),2000,0))),1000000))</f>
        <v/>
      </c>
      <c r="PX41">
        <f>IF($B41=0,1000000,IF(INDEX('計算A'!$D$60:$EQ$104,$B41,45)*ET41=1,IF(AND($E41=2,KI41=0),1000000,IF($I41&gt;0,IF(2=$J41,IF(OR(AND(45=$I41+1,OR($K41&lt;&gt;'計算A'!$A$3,'計算A'!$A$4=0)),AND(45=$I41-1,OR(21&lt;&gt;'計算A'!$A$3,'計算A'!$A$4=0))),0,IF(21=$K41,200000,ABS(21-$K41)*100)),100000+ABS(2-$J41)*1000+210)+'計算A'!AV$5*50+IF(AND($E41=1,KI41=0),25,0),IF($F41&gt;0,INDEX('計算A'!AV$110:AV$114,$F41+1)+IF(AND($E41=1,KI41=0),1000,0),MIN(TV41,20)*400+(IF('計算A'!AU$106=1,1-ES41,0)+IF('計算A'!AV$106=1,1-EU41,0))*150+212+'計算A'!AV$5*100000+IF(AND($E41=1,KI41=0),50000,0))+IF($H41=1,(IF('計算A'!AU$117=1,INDEX('計算A'!AU$10:AU$54,$B41),0)+IF('計算A'!AV$117=1,INDEX('計算A'!AW$10:AW$54,$B41),0))*4000,0)-IF(AND('計算A'!AU$117=1,VS41&gt;0),2000,0)-IF(AND($L41=1,'計算A'!AV$117=1,EU41=0),2000,0))),1000000))</f>
        <v/>
      </c>
      <c r="PY41">
        <f>IF($B41=0,1000000,IF(INDEX('計算A'!$D$60:$EQ$104,$B41,46)*EU41=1,IF(AND($E41=2,KJ41=0),1000000,IF($I41&gt;0,IF(2=$J41,IF(OR(AND(46=$I41+1,OR($K41&lt;&gt;'計算A'!$A$3,'計算A'!$A$4=0)),AND(46=$I41-1,OR(22&lt;&gt;'計算A'!$A$3,'計算A'!$A$4=0))),0,IF(22=$K41,200000,ABS(22-$K41)*100)),100000+ABS(2-$J41)*1000+220)+'計算A'!AW$5*50+IF(AND($E41=1,KJ41=0),25,0),IF($F41&gt;0,INDEX('計算A'!AW$110:AW$114,$F41+1)+IF(AND($E41=1,KJ41=0),1000,0),MIN(TV41,20)*400+(IF('計算A'!AV$106=1,1-ET41,0)+IF('計算A'!AW$106=1,1-EV41,0))*150+222+'計算A'!AW$5*100000+IF(AND($E41=1,KJ41=0),50000,0))+IF($H41=1,(IF('計算A'!AV$117=1,INDEX('計算A'!AV$10:AV$54,$B41),0)+IF('計算A'!AW$117=1,INDEX('計算A'!AX$10:AX$54,$B41),0))*4000,0)-IF(AND('計算A'!AV$117=1,VT41&gt;0),2000,0)-IF(AND($L41=1,'計算A'!AW$117=1,EV41=0),2000,0))),1000000))</f>
        <v/>
      </c>
      <c r="PZ41">
        <f>IF($B41=0,1000000,IF(INDEX('計算A'!$D$60:$EQ$104,$B41,47)*EV41=1,IF(AND($E41=2,KK41=0),1000000,IF($I41&gt;0,IF(2=$J41,IF(OR(AND(47=$I41+1,OR($K41&lt;&gt;'計算A'!$A$3,'計算A'!$A$4=0)),AND(47=$I41-1,OR(23&lt;&gt;'計算A'!$A$3,'計算A'!$A$4=0))),0,IF(23=$K41,200000,ABS(23-$K41)*100)),100000+ABS(2-$J41)*1000+230)+'計算A'!AX$5*50+IF(AND($E41=1,KK41=0),25,0),IF($F41&gt;0,INDEX('計算A'!AX$110:AX$114,$F41+1)+IF(AND($E41=1,KK41=0),1000,0),MIN(TV41,20)*400+(IF('計算A'!AW$106=1,1-EU41,0)+IF('計算A'!AX$106=1,1-EW41,0))*150+232+'計算A'!AX$5*100000+IF(AND($E41=1,KK41=0),50000,0))+IF($H41=1,(IF('計算A'!AW$117=1,INDEX('計算A'!AW$10:AW$54,$B41),0)+IF('計算A'!AX$117=1,INDEX('計算A'!AY$10:AY$54,$B41),0))*4000,0)-IF(AND('計算A'!AW$117=1,VU41&gt;0),2000,0)-IF(AND($L41=1,'計算A'!AX$117=1,EW41=0),2000,0))),1000000))</f>
        <v/>
      </c>
      <c r="QA41">
        <f>IF($B41=0,1000000,IF(INDEX('計算A'!$D$60:$EQ$104,$B41,48)*EW41=1,IF(AND($E41=2,KL41=0),1000000,IF($I41&gt;0,IF(2=$J41,IF(OR(AND(48=$I41+1,OR($K41&lt;&gt;'計算A'!$A$3,'計算A'!$A$4=0)),AND(48=$I41-1,OR(24&lt;&gt;'計算A'!$A$3,'計算A'!$A$4=0))),0,IF(24=$K41,200000,ABS(24-$K41)*100)),100000+ABS(2-$J41)*1000+240)+'計算A'!AY$5*50+IF(AND($E41=1,KL41=0),25,0),IF($F41&gt;0,INDEX('計算A'!AY$110:AY$114,$F41+1)+IF(AND($E41=1,KL41=0),1000,0),MIN(TV41,20)*400+(IF('計算A'!AX$106=1,1-EV41,0))*150+242+'計算A'!AY$5*100000+IF(AND($E41=1,KL41=0),50000,0))+IF($H41=1,(IF('計算A'!AX$117=1,INDEX('計算A'!AX$10:AX$54,$B41),0))*4000,0)-IF(AND('計算A'!AX$117=1,VV41&gt;0),2000,0))),1000000))</f>
        <v/>
      </c>
      <c r="QB41">
        <f>IF($B41=0,1000000,IF(INDEX('計算A'!$D$60:$EQ$104,$B41,49)*EX41=1,IF(AND($E41=2,KM41=0),1000000,IF($I41&gt;0,IF(3=$J41,IF(OR(AND(49=$I41+1,OR($K41&lt;&gt;'計算A'!$A$3,'計算A'!$A$4=0)),AND(49=$I41-1,OR(1&lt;&gt;'計算A'!$A$3,'計算A'!$A$4=0))),0,IF(1=$K41,200000,ABS(1-$K41)*100)),100000+ABS(3-$J41)*1000+10)+'計算A'!AZ$5*50+IF(AND($E41=1,KM41=0),25,0),IF($F41&gt;0,INDEX('計算A'!AZ$110:AZ$114,$F41+1)+IF(AND($E41=1,KM41=0),1000,0),MIN(TW41,20)*400+(IF('計算A'!AZ$106=1,1-EY41,0))*150+13+'計算A'!AZ$5*100000+IF(AND($E41=1,KM41=0),50000,0))+IF($H41=1,(IF('計算A'!AZ$117=1,INDEX('計算A'!BA$10:BA$54,$B41),0))*4000,0)-IF(AND($L41=1,'計算A'!AZ$117=1,EY41=0),2000,0))),1000000))</f>
        <v/>
      </c>
      <c r="QC41">
        <f>IF($B41=0,1000000,IF(INDEX('計算A'!$D$60:$EQ$104,$B41,50)*EY41=1,IF(AND($E41=2,KN41=0),1000000,IF($I41&gt;0,IF(3=$J41,IF(OR(AND(50=$I41+1,OR($K41&lt;&gt;'計算A'!$A$3,'計算A'!$A$4=0)),AND(50=$I41-1,OR(2&lt;&gt;'計算A'!$A$3,'計算A'!$A$4=0))),0,IF(2=$K41,200000,ABS(2-$K41)*100)),100000+ABS(3-$J41)*1000+20)+'計算A'!BA$5*50+IF(AND($E41=1,KN41=0),25,0),IF($F41&gt;0,INDEX('計算A'!BA$110:BA$114,$F41+1)+IF(AND($E41=1,KN41=0),1000,0),MIN(TW41,20)*400+(IF('計算A'!AZ$106=1,1-EX41,0)+IF('計算A'!BA$106=1,1-EZ41,0))*150+23+'計算A'!BA$5*100000+IF(AND($E41=1,KN41=0),50000,0))+IF($H41=1,(IF('計算A'!AZ$117=1,INDEX('計算A'!AZ$10:AZ$54,$B41),0)+IF('計算A'!BA$117=1,INDEX('計算A'!BB$10:BB$54,$B41),0))*4000,0)-IF(AND('計算A'!AZ$117=1,VX41&gt;0),2000,0)-IF(AND($L41=1,'計算A'!BA$117=1,EZ41=0),2000,0))),1000000))</f>
        <v/>
      </c>
      <c r="QD41">
        <f>IF($B41=0,1000000,IF(INDEX('計算A'!$D$60:$EQ$104,$B41,51)*EZ41=1,IF(AND($E41=2,KO41=0),1000000,IF($I41&gt;0,IF(3=$J41,IF(OR(AND(51=$I41+1,OR($K41&lt;&gt;'計算A'!$A$3,'計算A'!$A$4=0)),AND(51=$I41-1,OR(3&lt;&gt;'計算A'!$A$3,'計算A'!$A$4=0))),0,IF(3=$K41,200000,ABS(3-$K41)*100)),100000+ABS(3-$J41)*1000+30)+'計算A'!BB$5*50+IF(AND($E41=1,KO41=0),25,0),IF($F41&gt;0,INDEX('計算A'!BB$110:BB$114,$F41+1)+IF(AND($E41=1,KO41=0),1000,0),MIN(TW41,20)*400+(IF('計算A'!BA$106=1,1-EY41,0)+IF('計算A'!BB$106=1,1-FA41,0))*150+33+'計算A'!BB$5*100000+IF(AND($E41=1,KO41=0),50000,0))+IF($H41=1,(IF('計算A'!BA$117=1,INDEX('計算A'!BA$10:BA$54,$B41),0)+IF('計算A'!BB$117=1,INDEX('計算A'!BC$10:BC$54,$B41),0))*4000,0)-IF(AND('計算A'!BA$117=1,VY41&gt;0),2000,0)-IF(AND($L41=1,'計算A'!BB$117=1,FA41=0),2000,0))),1000000))</f>
        <v/>
      </c>
      <c r="QE41">
        <f>IF($B41=0,1000000,IF(INDEX('計算A'!$D$60:$EQ$104,$B41,52)*FA41=1,IF(AND($E41=2,KP41=0),1000000,IF($I41&gt;0,IF(3=$J41,IF(OR(AND(52=$I41+1,OR($K41&lt;&gt;'計算A'!$A$3,'計算A'!$A$4=0)),AND(52=$I41-1,OR(4&lt;&gt;'計算A'!$A$3,'計算A'!$A$4=0))),0,IF(4=$K41,200000,ABS(4-$K41)*100)),100000+ABS(3-$J41)*1000+40)+'計算A'!BC$5*50+IF(AND($E41=1,KP41=0),25,0),IF($F41&gt;0,INDEX('計算A'!BC$110:BC$114,$F41+1)+IF(AND($E41=1,KP41=0),1000,0),MIN(TW41,20)*400+(IF('計算A'!BB$106=1,1-EZ41,0)+IF('計算A'!BC$106=1,1-FB41,0))*150+43+'計算A'!BC$5*100000+IF(AND($E41=1,KP41=0),50000,0))+IF($H41=1,(IF('計算A'!BB$117=1,INDEX('計算A'!BB$10:BB$54,$B41),0)+IF('計算A'!BC$117=1,INDEX('計算A'!BD$10:BD$54,$B41),0))*4000,0)-IF(AND('計算A'!BB$117=1,VZ41&gt;0),2000,0)-IF(AND($L41=1,'計算A'!BC$117=1,FB41=0),2000,0))),1000000))</f>
        <v/>
      </c>
      <c r="QF41">
        <f>IF($B41=0,1000000,IF(INDEX('計算A'!$D$60:$EQ$104,$B41,53)*FB41=1,IF(AND($E41=2,KQ41=0),1000000,IF($I41&gt;0,IF(3=$J41,IF(OR(AND(53=$I41+1,OR($K41&lt;&gt;'計算A'!$A$3,'計算A'!$A$4=0)),AND(53=$I41-1,OR(5&lt;&gt;'計算A'!$A$3,'計算A'!$A$4=0))),0,IF(5=$K41,200000,ABS(5-$K41)*100)),100000+ABS(3-$J41)*1000+50)+'計算A'!BD$5*50+IF(AND($E41=1,KQ41=0),25,0),IF($F41&gt;0,INDEX('計算A'!BD$110:BD$114,$F41+1)+IF(AND($E41=1,KQ41=0),1000,0),MIN(TW41,20)*400+(IF('計算A'!BC$106=1,1-FA41,0)+IF('計算A'!BD$106=1,1-FC41,0))*150+53+'計算A'!BD$5*100000+IF(AND($E41=1,KQ41=0),50000,0))+IF($H41=1,(IF('計算A'!BC$117=1,INDEX('計算A'!BC$10:BC$54,$B41),0)+IF('計算A'!BD$117=1,INDEX('計算A'!BE$10:BE$54,$B41),0))*4000,0)-IF(AND('計算A'!BC$117=1,WA41&gt;0),2000,0)-IF(AND($L41=1,'計算A'!BD$117=1,FC41=0),2000,0))),1000000))</f>
        <v/>
      </c>
      <c r="QG41">
        <f>IF($B41=0,1000000,IF(INDEX('計算A'!$D$60:$EQ$104,$B41,54)*FC41=1,IF(AND($E41=2,KR41=0),1000000,IF($I41&gt;0,IF(3=$J41,IF(OR(AND(54=$I41+1,OR($K41&lt;&gt;'計算A'!$A$3,'計算A'!$A$4=0)),AND(54=$I41-1,OR(6&lt;&gt;'計算A'!$A$3,'計算A'!$A$4=0))),0,IF(6=$K41,200000,ABS(6-$K41)*100)),100000+ABS(3-$J41)*1000+60)+'計算A'!BE$5*50+IF(AND($E41=1,KR41=0),25,0),IF($F41&gt;0,INDEX('計算A'!BE$110:BE$114,$F41+1)+IF(AND($E41=1,KR41=0),1000,0),MIN(TW41,20)*400+(IF('計算A'!BD$106=1,1-FB41,0)+IF('計算A'!BE$106=1,1-FD41,0))*150+63+'計算A'!BE$5*100000+IF(AND($E41=1,KR41=0),50000,0))+IF($H41=1,(IF('計算A'!BD$117=1,INDEX('計算A'!BD$10:BD$54,$B41),0)+IF('計算A'!BE$117=1,INDEX('計算A'!BF$10:BF$54,$B41),0))*4000,0)-IF(AND('計算A'!BD$117=1,WB41&gt;0),2000,0)-IF(AND($L41=1,'計算A'!BE$117=1,FD41=0),2000,0))),1000000))</f>
        <v/>
      </c>
      <c r="QH41">
        <f>IF($B41=0,1000000,IF(INDEX('計算A'!$D$60:$EQ$104,$B41,55)*FD41=1,IF(AND($E41=2,KS41=0),1000000,IF($I41&gt;0,IF(3=$J41,IF(OR(AND(55=$I41+1,OR($K41&lt;&gt;'計算A'!$A$3,'計算A'!$A$4=0)),AND(55=$I41-1,OR(7&lt;&gt;'計算A'!$A$3,'計算A'!$A$4=0))),0,IF(7=$K41,200000,ABS(7-$K41)*100)),100000+ABS(3-$J41)*1000+70)+'計算A'!BF$5*50+IF(AND($E41=1,KS41=0),25,0),IF($F41&gt;0,INDEX('計算A'!BF$110:BF$114,$F41+1)+IF(AND($E41=1,KS41=0),1000,0),MIN(TW41,20)*400+(IF('計算A'!BE$106=1,1-FC41,0)+IF('計算A'!BF$106=1,1-FE41,0))*150+73+'計算A'!BF$5*100000+IF(AND($E41=1,KS41=0),50000,0))+IF($H41=1,(IF('計算A'!BE$117=1,INDEX('計算A'!BE$10:BE$54,$B41),0)+IF('計算A'!BF$117=1,INDEX('計算A'!BG$10:BG$54,$B41),0))*4000,0)-IF(AND('計算A'!BE$117=1,WC41&gt;0),2000,0)-IF(AND($L41=1,'計算A'!BF$117=1,FE41=0),2000,0))),1000000))</f>
        <v/>
      </c>
      <c r="QI41">
        <f>IF($B41=0,1000000,IF(INDEX('計算A'!$D$60:$EQ$104,$B41,56)*FE41=1,IF(AND($E41=2,KT41=0),1000000,IF($I41&gt;0,IF(3=$J41,IF(OR(AND(56=$I41+1,OR($K41&lt;&gt;'計算A'!$A$3,'計算A'!$A$4=0)),AND(56=$I41-1,OR(8&lt;&gt;'計算A'!$A$3,'計算A'!$A$4=0))),0,IF(8=$K41,200000,ABS(8-$K41)*100)),100000+ABS(3-$J41)*1000+80)+'計算A'!BG$5*50+IF(AND($E41=1,KT41=0),25,0),IF($F41&gt;0,INDEX('計算A'!BG$110:BG$114,$F41+1)+IF(AND($E41=1,KT41=0),1000,0),MIN(TW41,20)*400+(IF('計算A'!BF$106=1,1-FD41,0)+IF('計算A'!BG$106=1,1-FF41,0))*150+83+'計算A'!BG$5*100000+IF(AND($E41=1,KT41=0),50000,0))+IF($H41=1,(IF('計算A'!BF$117=1,INDEX('計算A'!BF$10:BF$54,$B41),0)+IF('計算A'!BG$117=1,INDEX('計算A'!BH$10:BH$54,$B41),0))*4000,0)-IF(AND('計算A'!BF$117=1,WD41&gt;0),2000,0)-IF(AND($L41=1,'計算A'!BG$117=1,FF41=0),2000,0))),1000000))</f>
        <v/>
      </c>
      <c r="QJ41">
        <f>IF($B41=0,1000000,IF(INDEX('計算A'!$D$60:$EQ$104,$B41,57)*FF41=1,IF(AND($E41=2,KU41=0),1000000,IF($I41&gt;0,IF(3=$J41,IF(OR(AND(57=$I41+1,OR($K41&lt;&gt;'計算A'!$A$3,'計算A'!$A$4=0)),AND(57=$I41-1,OR(9&lt;&gt;'計算A'!$A$3,'計算A'!$A$4=0))),0,IF(9=$K41,200000,ABS(9-$K41)*100)),100000+ABS(3-$J41)*1000+90)+'計算A'!BH$5*50+IF(AND($E41=1,KU41=0),25,0),IF($F41&gt;0,INDEX('計算A'!BH$110:BH$114,$F41+1)+IF(AND($E41=1,KU41=0),1000,0),MIN(TW41,20)*400+(IF('計算A'!BG$106=1,1-FE41,0)+IF('計算A'!BH$106=1,1-FG41,0))*150+93+'計算A'!BH$5*100000+IF(AND($E41=1,KU41=0),50000,0))+IF($H41=1,(IF('計算A'!BG$117=1,INDEX('計算A'!BG$10:BG$54,$B41),0)+IF('計算A'!BH$117=1,INDEX('計算A'!BI$10:BI$54,$B41),0))*4000,0)-IF(AND('計算A'!BG$117=1,WE41&gt;0),2000,0)-IF(AND($L41=1,'計算A'!BH$117=1,FG41=0),2000,0))),1000000))</f>
        <v/>
      </c>
      <c r="QK41">
        <f>IF($B41=0,1000000,IF(INDEX('計算A'!$D$60:$EQ$104,$B41,58)*FG41=1,IF(AND($E41=2,KV41=0),1000000,IF($I41&gt;0,IF(3=$J41,IF(OR(AND(58=$I41+1,OR($K41&lt;&gt;'計算A'!$A$3,'計算A'!$A$4=0)),AND(58=$I41-1,OR(10&lt;&gt;'計算A'!$A$3,'計算A'!$A$4=0))),0,IF(10=$K41,200000,ABS(10-$K41)*100)),100000+ABS(3-$J41)*1000+100)+'計算A'!BI$5*50+IF(AND($E41=1,KV41=0),25,0),IF($F41&gt;0,INDEX('計算A'!BI$110:BI$114,$F41+1)+IF(AND($E41=1,KV41=0),1000,0),MIN(TW41,20)*400+(IF('計算A'!BH$106=1,1-FF41,0)+IF('計算A'!BI$106=1,1-FH41,0))*150+103+'計算A'!BI$5*100000+IF(AND($E41=1,KV41=0),50000,0))+IF($H41=1,(IF('計算A'!BH$117=1,INDEX('計算A'!BH$10:BH$54,$B41),0)+IF('計算A'!BI$117=1,INDEX('計算A'!BJ$10:BJ$54,$B41),0))*4000,0)-IF(AND('計算A'!BH$117=1,WF41&gt;0),2000,0)-IF(AND($L41=1,'計算A'!BI$117=1,FH41=0),2000,0))),1000000))</f>
        <v/>
      </c>
      <c r="QL41">
        <f>IF($B41=0,1000000,IF(INDEX('計算A'!$D$60:$EQ$104,$B41,59)*FH41=1,IF(AND($E41=2,KW41=0),1000000,IF($I41&gt;0,IF(3=$J41,IF(OR(AND(59=$I41+1,OR($K41&lt;&gt;'計算A'!$A$3,'計算A'!$A$4=0)),AND(59=$I41-1,OR(11&lt;&gt;'計算A'!$A$3,'計算A'!$A$4=0))),0,IF(11=$K41,200000,ABS(11-$K41)*100)),100000+ABS(3-$J41)*1000+110)+'計算A'!BJ$5*50+IF(AND($E41=1,KW41=0),25,0),IF($F41&gt;0,INDEX('計算A'!BJ$110:BJ$114,$F41+1)+IF(AND($E41=1,KW41=0),1000,0),MIN(TW41,20)*400+(IF('計算A'!BI$106=1,1-FG41,0)+IF('計算A'!BJ$106=1,1-FI41,0))*150+113+'計算A'!BJ$5*100000+IF(AND($E41=1,KW41=0),50000,0))+IF($H41=1,(IF('計算A'!BI$117=1,INDEX('計算A'!BI$10:BI$54,$B41),0)+IF('計算A'!BJ$117=1,INDEX('計算A'!BK$10:BK$54,$B41),0))*4000,0)-IF(AND('計算A'!BI$117=1,WG41&gt;0),2000,0)-IF(AND($L41=1,'計算A'!BJ$117=1,FI41=0),2000,0))),1000000))</f>
        <v/>
      </c>
      <c r="QM41">
        <f>IF($B41=0,1000000,IF(INDEX('計算A'!$D$60:$EQ$104,$B41,60)*FI41=1,IF(AND($E41=2,KX41=0),1000000,IF($I41&gt;0,IF(3=$J41,IF(OR(AND(60=$I41+1,OR($K41&lt;&gt;'計算A'!$A$3,'計算A'!$A$4=0)),AND(60=$I41-1,OR(12&lt;&gt;'計算A'!$A$3,'計算A'!$A$4=0))),0,IF(12=$K41,200000,ABS(12-$K41)*100)),100000+ABS(3-$J41)*1000+120)+'計算A'!BK$5*50+IF(AND($E41=1,KX41=0),25,0),IF($F41&gt;0,INDEX('計算A'!BK$110:BK$114,$F41+1)+IF(AND($E41=1,KX41=0),1000,0),MIN(TW41,20)*400+(IF('計算A'!BJ$106=1,1-FH41,0)+IF('計算A'!BK$106=1,1-FJ41,0))*150+123+'計算A'!BK$5*100000+IF(AND($E41=1,KX41=0),50000,0))+IF($H41=1,(IF('計算A'!BJ$117=1,INDEX('計算A'!BJ$10:BJ$54,$B41),0)+IF('計算A'!BK$117=1,INDEX('計算A'!BL$10:BL$54,$B41),0))*4000,0)-IF(AND('計算A'!BJ$117=1,WH41&gt;0),2000,0)-IF(AND($L41=1,'計算A'!BK$117=1,FJ41=0),2000,0))),1000000))</f>
        <v/>
      </c>
      <c r="QN41">
        <f>IF($B41=0,1000000,IF(INDEX('計算A'!$D$60:$EQ$104,$B41,61)*FJ41=1,IF(AND($E41=2,KY41=0),1000000,IF($I41&gt;0,IF(3=$J41,IF(OR(AND(61=$I41+1,OR($K41&lt;&gt;'計算A'!$A$3,'計算A'!$A$4=0)),AND(61=$I41-1,OR(13&lt;&gt;'計算A'!$A$3,'計算A'!$A$4=0))),0,IF(13=$K41,200000,ABS(13-$K41)*100)),100000+ABS(3-$J41)*1000+130)+'計算A'!BL$5*50+IF(AND($E41=1,KY41=0),25,0),IF($F41&gt;0,INDEX('計算A'!BL$110:BL$114,$F41+1)+IF(AND($E41=1,KY41=0),1000,0),MIN(TW41,20)*400+(IF('計算A'!BK$106=1,1-FI41,0)+IF('計算A'!BL$106=1,1-FK41,0))*150+133+'計算A'!BL$5*100000+IF(AND($E41=1,KY41=0),50000,0))+IF($H41=1,(IF('計算A'!BK$117=1,INDEX('計算A'!BK$10:BK$54,$B41),0)+IF('計算A'!BL$117=1,INDEX('計算A'!BM$10:BM$54,$B41),0))*4000,0)-IF(AND('計算A'!BK$117=1,WI41&gt;0),2000,0)-IF(AND($L41=1,'計算A'!BL$117=1,FK41=0),2000,0))),1000000))</f>
        <v/>
      </c>
      <c r="QO41">
        <f>IF($B41=0,1000000,IF(INDEX('計算A'!$D$60:$EQ$104,$B41,62)*FK41=1,IF(AND($E41=2,KZ41=0),1000000,IF($I41&gt;0,IF(3=$J41,IF(OR(AND(62=$I41+1,OR($K41&lt;&gt;'計算A'!$A$3,'計算A'!$A$4=0)),AND(62=$I41-1,OR(14&lt;&gt;'計算A'!$A$3,'計算A'!$A$4=0))),0,IF(14=$K41,200000,ABS(14-$K41)*100)),100000+ABS(3-$J41)*1000+140)+'計算A'!BM$5*50+IF(AND($E41=1,KZ41=0),25,0),IF($F41&gt;0,INDEX('計算A'!BM$110:BM$114,$F41+1)+IF(AND($E41=1,KZ41=0),1000,0),MIN(TW41,20)*400+(IF('計算A'!BL$106=1,1-FJ41,0)+IF('計算A'!BM$106=1,1-FL41,0))*150+143+'計算A'!BM$5*100000+IF(AND($E41=1,KZ41=0),50000,0))+IF($H41=1,(IF('計算A'!BL$117=1,INDEX('計算A'!BL$10:BL$54,$B41),0)+IF('計算A'!BM$117=1,INDEX('計算A'!BN$10:BN$54,$B41),0))*4000,0)-IF(AND('計算A'!BL$117=1,WJ41&gt;0),2000,0)-IF(AND($L41=1,'計算A'!BM$117=1,FL41=0),2000,0))),1000000))</f>
        <v/>
      </c>
      <c r="QP41">
        <f>IF($B41=0,1000000,IF(INDEX('計算A'!$D$60:$EQ$104,$B41,63)*FL41=1,IF(AND($E41=2,LA41=0),1000000,IF($I41&gt;0,IF(3=$J41,IF(OR(AND(63=$I41+1,OR($K41&lt;&gt;'計算A'!$A$3,'計算A'!$A$4=0)),AND(63=$I41-1,OR(15&lt;&gt;'計算A'!$A$3,'計算A'!$A$4=0))),0,IF(15=$K41,200000,ABS(15-$K41)*100)),100000+ABS(3-$J41)*1000+150)+'計算A'!BN$5*50+IF(AND($E41=1,LA41=0),25,0),IF($F41&gt;0,INDEX('計算A'!BN$110:BN$114,$F41+1)+IF(AND($E41=1,LA41=0),1000,0),MIN(TW41,20)*400+(IF('計算A'!BM$106=1,1-FK41,0)+IF('計算A'!BN$106=1,1-FM41,0))*150+153+'計算A'!BN$5*100000+IF(AND($E41=1,LA41=0),50000,0))+IF($H41=1,(IF('計算A'!BM$117=1,INDEX('計算A'!BM$10:BM$54,$B41),0)+IF('計算A'!BN$117=1,INDEX('計算A'!BO$10:BO$54,$B41),0))*4000,0)-IF(AND('計算A'!BM$117=1,WK41&gt;0),2000,0)-IF(AND($L41=1,'計算A'!BN$117=1,FM41=0),2000,0))),1000000))</f>
        <v/>
      </c>
      <c r="QQ41">
        <f>IF($B41=0,1000000,IF(INDEX('計算A'!$D$60:$EQ$104,$B41,64)*FM41=1,IF(AND($E41=2,LB41=0),1000000,IF($I41&gt;0,IF(3=$J41,IF(OR(AND(64=$I41+1,OR($K41&lt;&gt;'計算A'!$A$3,'計算A'!$A$4=0)),AND(64=$I41-1,OR(16&lt;&gt;'計算A'!$A$3,'計算A'!$A$4=0))),0,IF(16=$K41,200000,ABS(16-$K41)*100)),100000+ABS(3-$J41)*1000+160)+'計算A'!BO$5*50+IF(AND($E41=1,LB41=0),25,0),IF($F41&gt;0,INDEX('計算A'!BO$110:BO$114,$F41+1)+IF(AND($E41=1,LB41=0),1000,0),MIN(TW41,20)*400+(IF('計算A'!BN$106=1,1-FL41,0)+IF('計算A'!BO$106=1,1-FN41,0))*150+163+'計算A'!BO$5*100000+IF(AND($E41=1,LB41=0),50000,0))+IF($H41=1,(IF('計算A'!BN$117=1,INDEX('計算A'!BN$10:BN$54,$B41),0)+IF('計算A'!BO$117=1,INDEX('計算A'!BP$10:BP$54,$B41),0))*4000,0)-IF(AND('計算A'!BN$117=1,WL41&gt;0),2000,0)-IF(AND($L41=1,'計算A'!BO$117=1,FN41=0),2000,0))),1000000))</f>
        <v/>
      </c>
      <c r="QR41">
        <f>IF($B41=0,1000000,IF(INDEX('計算A'!$D$60:$EQ$104,$B41,65)*FN41=1,IF(AND($E41=2,LC41=0),1000000,IF($I41&gt;0,IF(3=$J41,IF(OR(AND(65=$I41+1,OR($K41&lt;&gt;'計算A'!$A$3,'計算A'!$A$4=0)),AND(65=$I41-1,OR(17&lt;&gt;'計算A'!$A$3,'計算A'!$A$4=0))),0,IF(17=$K41,200000,ABS(17-$K41)*100)),100000+ABS(3-$J41)*1000+170)+'計算A'!BP$5*50+IF(AND($E41=1,LC41=0),25,0),IF($F41&gt;0,INDEX('計算A'!BP$110:BP$114,$F41+1)+IF(AND($E41=1,LC41=0),1000,0),MIN(TW41,20)*400+(IF('計算A'!BO$106=1,1-FM41,0)+IF('計算A'!BP$106=1,1-FO41,0))*150+173+'計算A'!BP$5*100000+IF(AND($E41=1,LC41=0),50000,0))+IF($H41=1,(IF('計算A'!BO$117=1,INDEX('計算A'!BO$10:BO$54,$B41),0)+IF('計算A'!BP$117=1,INDEX('計算A'!BQ$10:BQ$54,$B41),0))*4000,0)-IF(AND('計算A'!BO$117=1,WM41&gt;0),2000,0)-IF(AND($L41=1,'計算A'!BP$117=1,FO41=0),2000,0))),1000000))</f>
        <v/>
      </c>
      <c r="QS41">
        <f>IF($B41=0,1000000,IF(INDEX('計算A'!$D$60:$EQ$104,$B41,66)*FO41=1,IF(AND($E41=2,LD41=0),1000000,IF($I41&gt;0,IF(3=$J41,IF(OR(AND(66=$I41+1,OR($K41&lt;&gt;'計算A'!$A$3,'計算A'!$A$4=0)),AND(66=$I41-1,OR(18&lt;&gt;'計算A'!$A$3,'計算A'!$A$4=0))),0,IF(18=$K41,200000,ABS(18-$K41)*100)),100000+ABS(3-$J41)*1000+180)+'計算A'!BQ$5*50+IF(AND($E41=1,LD41=0),25,0),IF($F41&gt;0,INDEX('計算A'!BQ$110:BQ$114,$F41+1)+IF(AND($E41=1,LD41=0),1000,0),MIN(TW41,20)*400+(IF('計算A'!BP$106=1,1-FN41,0)+IF('計算A'!BQ$106=1,1-FP41,0))*150+183+'計算A'!BQ$5*100000+IF(AND($E41=1,LD41=0),50000,0))+IF($H41=1,(IF('計算A'!BP$117=1,INDEX('計算A'!BP$10:BP$54,$B41),0)+IF('計算A'!BQ$117=1,INDEX('計算A'!BR$10:BR$54,$B41),0))*4000,0)-IF(AND('計算A'!BP$117=1,WN41&gt;0),2000,0)-IF(AND($L41=1,'計算A'!BQ$117=1,FP41=0),2000,0))),1000000))</f>
        <v/>
      </c>
      <c r="QT41">
        <f>IF($B41=0,1000000,IF(INDEX('計算A'!$D$60:$EQ$104,$B41,67)*FP41=1,IF(AND($E41=2,LE41=0),1000000,IF($I41&gt;0,IF(3=$J41,IF(OR(AND(67=$I41+1,OR($K41&lt;&gt;'計算A'!$A$3,'計算A'!$A$4=0)),AND(67=$I41-1,OR(19&lt;&gt;'計算A'!$A$3,'計算A'!$A$4=0))),0,IF(19=$K41,200000,ABS(19-$K41)*100)),100000+ABS(3-$J41)*1000+190)+'計算A'!BR$5*50+IF(AND($E41=1,LE41=0),25,0),IF($F41&gt;0,INDEX('計算A'!BR$110:BR$114,$F41+1)+IF(AND($E41=1,LE41=0),1000,0),MIN(TW41,20)*400+(IF('計算A'!BQ$106=1,1-FO41,0)+IF('計算A'!BR$106=1,1-FQ41,0))*150+193+'計算A'!BR$5*100000+IF(AND($E41=1,LE41=0),50000,0))+IF($H41=1,(IF('計算A'!BQ$117=1,INDEX('計算A'!BQ$10:BQ$54,$B41),0)+IF('計算A'!BR$117=1,INDEX('計算A'!BS$10:BS$54,$B41),0))*4000,0)-IF(AND('計算A'!BQ$117=1,WO41&gt;0),2000,0)-IF(AND($L41=1,'計算A'!BR$117=1,FQ41=0),2000,0))),1000000))</f>
        <v/>
      </c>
      <c r="QU41">
        <f>IF($B41=0,1000000,IF(INDEX('計算A'!$D$60:$EQ$104,$B41,68)*FQ41=1,IF(AND($E41=2,LF41=0),1000000,IF($I41&gt;0,IF(3=$J41,IF(OR(AND(68=$I41+1,OR($K41&lt;&gt;'計算A'!$A$3,'計算A'!$A$4=0)),AND(68=$I41-1,OR(20&lt;&gt;'計算A'!$A$3,'計算A'!$A$4=0))),0,IF(20=$K41,200000,ABS(20-$K41)*100)),100000+ABS(3-$J41)*1000+200)+'計算A'!BS$5*50+IF(AND($E41=1,LF41=0),25,0),IF($F41&gt;0,INDEX('計算A'!BS$110:BS$114,$F41+1)+IF(AND($E41=1,LF41=0),1000,0),MIN(TW41,20)*400+(IF('計算A'!BR$106=1,1-FP41,0)+IF('計算A'!BS$106=1,1-FR41,0))*150+203+'計算A'!BS$5*100000+IF(AND($E41=1,LF41=0),50000,0))+IF($H41=1,(IF('計算A'!BR$117=1,INDEX('計算A'!BR$10:BR$54,$B41),0)+IF('計算A'!BS$117=1,INDEX('計算A'!BT$10:BT$54,$B41),0))*4000,0)-IF(AND('計算A'!BR$117=1,WP41&gt;0),2000,0)-IF(AND($L41=1,'計算A'!BS$117=1,FR41=0),2000,0))),1000000))</f>
        <v/>
      </c>
      <c r="QV41">
        <f>IF($B41=0,1000000,IF(INDEX('計算A'!$D$60:$EQ$104,$B41,69)*FR41=1,IF(AND($E41=2,LG41=0),1000000,IF($I41&gt;0,IF(3=$J41,IF(OR(AND(69=$I41+1,OR($K41&lt;&gt;'計算A'!$A$3,'計算A'!$A$4=0)),AND(69=$I41-1,OR(21&lt;&gt;'計算A'!$A$3,'計算A'!$A$4=0))),0,IF(21=$K41,200000,ABS(21-$K41)*100)),100000+ABS(3-$J41)*1000+210)+'計算A'!BT$5*50+IF(AND($E41=1,LG41=0),25,0),IF($F41&gt;0,INDEX('計算A'!BT$110:BT$114,$F41+1)+IF(AND($E41=1,LG41=0),1000,0),MIN(TW41,20)*400+(IF('計算A'!BS$106=1,1-FQ41,0)+IF('計算A'!BT$106=1,1-FS41,0))*150+213+'計算A'!BT$5*100000+IF(AND($E41=1,LG41=0),50000,0))+IF($H41=1,(IF('計算A'!BS$117=1,INDEX('計算A'!BS$10:BS$54,$B41),0)+IF('計算A'!BT$117=1,INDEX('計算A'!BU$10:BU$54,$B41),0))*4000,0)-IF(AND('計算A'!BS$117=1,WQ41&gt;0),2000,0)-IF(AND($L41=1,'計算A'!BT$117=1,FS41=0),2000,0))),1000000))</f>
        <v/>
      </c>
      <c r="QW41">
        <f>IF($B41=0,1000000,IF(INDEX('計算A'!$D$60:$EQ$104,$B41,70)*FS41=1,IF(AND($E41=2,LH41=0),1000000,IF($I41&gt;0,IF(3=$J41,IF(OR(AND(70=$I41+1,OR($K41&lt;&gt;'計算A'!$A$3,'計算A'!$A$4=0)),AND(70=$I41-1,OR(22&lt;&gt;'計算A'!$A$3,'計算A'!$A$4=0))),0,IF(22=$K41,200000,ABS(22-$K41)*100)),100000+ABS(3-$J41)*1000+220)+'計算A'!BU$5*50+IF(AND($E41=1,LH41=0),25,0),IF($F41&gt;0,INDEX('計算A'!BU$110:BU$114,$F41+1)+IF(AND($E41=1,LH41=0),1000,0),MIN(TW41,20)*400+(IF('計算A'!BT$106=1,1-FR41,0)+IF('計算A'!BU$106=1,1-FT41,0))*150+223+'計算A'!BU$5*100000+IF(AND($E41=1,LH41=0),50000,0))+IF($H41=1,(IF('計算A'!BT$117=1,INDEX('計算A'!BT$10:BT$54,$B41),0)+IF('計算A'!BU$117=1,INDEX('計算A'!BV$10:BV$54,$B41),0))*4000,0)-IF(AND('計算A'!BT$117=1,WR41&gt;0),2000,0)-IF(AND($L41=1,'計算A'!BU$117=1,FT41=0),2000,0))),1000000))</f>
        <v/>
      </c>
      <c r="QX41">
        <f>IF($B41=0,1000000,IF(INDEX('計算A'!$D$60:$EQ$104,$B41,71)*FT41=1,IF(AND($E41=2,LI41=0),1000000,IF($I41&gt;0,IF(3=$J41,IF(OR(AND(71=$I41+1,OR($K41&lt;&gt;'計算A'!$A$3,'計算A'!$A$4=0)),AND(71=$I41-1,OR(23&lt;&gt;'計算A'!$A$3,'計算A'!$A$4=0))),0,IF(23=$K41,200000,ABS(23-$K41)*100)),100000+ABS(3-$J41)*1000+230)+'計算A'!BV$5*50+IF(AND($E41=1,LI41=0),25,0),IF($F41&gt;0,INDEX('計算A'!BV$110:BV$114,$F41+1)+IF(AND($E41=1,LI41=0),1000,0),MIN(TW41,20)*400+(IF('計算A'!BU$106=1,1-FS41,0)+IF('計算A'!BV$106=1,1-FU41,0))*150+233+'計算A'!BV$5*100000+IF(AND($E41=1,LI41=0),50000,0))+IF($H41=1,(IF('計算A'!BU$117=1,INDEX('計算A'!BU$10:BU$54,$B41),0)+IF('計算A'!BV$117=1,INDEX('計算A'!BW$10:BW$54,$B41),0))*4000,0)-IF(AND('計算A'!BU$117=1,WS41&gt;0),2000,0)-IF(AND($L41=1,'計算A'!BV$117=1,FU41=0),2000,0))),1000000))</f>
        <v/>
      </c>
      <c r="QY41">
        <f>IF($B41=0,1000000,IF(INDEX('計算A'!$D$60:$EQ$104,$B41,72)*FU41=1,IF(AND($E41=2,LJ41=0),1000000,IF($I41&gt;0,IF(3=$J41,IF(OR(AND(72=$I41+1,OR($K41&lt;&gt;'計算A'!$A$3,'計算A'!$A$4=0)),AND(72=$I41-1,OR(24&lt;&gt;'計算A'!$A$3,'計算A'!$A$4=0))),0,IF(24=$K41,200000,ABS(24-$K41)*100)),100000+ABS(3-$J41)*1000+240)+'計算A'!BW$5*50+IF(AND($E41=1,LJ41=0),25,0),IF($F41&gt;0,INDEX('計算A'!BW$110:BW$114,$F41+1)+IF(AND($E41=1,LJ41=0),1000,0),MIN(TW41,20)*400+(IF('計算A'!BV$106=1,1-FT41,0))*150+243+'計算A'!BW$5*100000+IF(AND($E41=1,LJ41=0),50000,0))+IF($H41=1,(IF('計算A'!BV$117=1,INDEX('計算A'!BV$10:BV$54,$B41),0))*4000,0)-IF(AND('計算A'!BV$117=1,WT41&gt;0),2000,0))),1000000))</f>
        <v/>
      </c>
      <c r="QZ41">
        <f>IF($B41=0,1000000,IF(INDEX('計算A'!$D$60:$EQ$104,$B41,73)*FV41=1,IF(AND($E41=2,LK41=0),1000000,IF($I41&gt;0,IF(4=$J41,IF(OR(AND(73=$I41+1,OR($K41&lt;&gt;'計算A'!$A$3,'計算A'!$A$4=0)),AND(73=$I41-1,OR(1&lt;&gt;'計算A'!$A$3,'計算A'!$A$4=0))),0,IF(1=$K41,200000,ABS(1-$K41)*100)),100000+ABS(4-$J41)*1000+10)+'計算A'!BX$5*50+IF(AND($E41=1,LK41=0),25,0),IF($F41&gt;0,INDEX('計算A'!BX$110:BX$114,$F41+1)+IF(AND($E41=1,LK41=0),1000,0),MIN(TX41,20)*400+(IF('計算A'!BX$106=1,1-FW41,0))*150+14+'計算A'!BX$5*100000+IF(AND($E41=1,LK41=0),50000,0))+IF($H41=1,(IF('計算A'!BX$117=1,INDEX('計算A'!BY$10:BY$54,$B41),0))*4000,0)-IF(AND($L41=1,'計算A'!BX$117=1,FW41=0),2000,0))),1000000))</f>
        <v/>
      </c>
      <c r="RA41">
        <f>IF($B41=0,1000000,IF(INDEX('計算A'!$D$60:$EQ$104,$B41,74)*FW41=1,IF(AND($E41=2,LL41=0),1000000,IF($I41&gt;0,IF(4=$J41,IF(OR(AND(74=$I41+1,OR($K41&lt;&gt;'計算A'!$A$3,'計算A'!$A$4=0)),AND(74=$I41-1,OR(2&lt;&gt;'計算A'!$A$3,'計算A'!$A$4=0))),0,IF(2=$K41,200000,ABS(2-$K41)*100)),100000+ABS(4-$J41)*1000+20)+'計算A'!BY$5*50+IF(AND($E41=1,LL41=0),25,0),IF($F41&gt;0,INDEX('計算A'!BY$110:BY$114,$F41+1)+IF(AND($E41=1,LL41=0),1000,0),MIN(TX41,20)*400+(IF('計算A'!BX$106=1,1-FV41,0)+IF('計算A'!BY$106=1,1-FX41,0))*150+24+'計算A'!BY$5*100000+IF(AND($E41=1,LL41=0),50000,0))+IF($H41=1,(IF('計算A'!BX$117=1,INDEX('計算A'!BX$10:BX$54,$B41),0)+IF('計算A'!BY$117=1,INDEX('計算A'!BZ$10:BZ$54,$B41),0))*4000,0)-IF(AND('計算A'!BX$117=1,WV41&gt;0),2000,0)-IF(AND($L41=1,'計算A'!BY$117=1,FX41=0),2000,0))),1000000))</f>
        <v/>
      </c>
      <c r="RB41">
        <f>IF($B41=0,1000000,IF(INDEX('計算A'!$D$60:$EQ$104,$B41,75)*FX41=1,IF(AND($E41=2,LM41=0),1000000,IF($I41&gt;0,IF(4=$J41,IF(OR(AND(75=$I41+1,OR($K41&lt;&gt;'計算A'!$A$3,'計算A'!$A$4=0)),AND(75=$I41-1,OR(3&lt;&gt;'計算A'!$A$3,'計算A'!$A$4=0))),0,IF(3=$K41,200000,ABS(3-$K41)*100)),100000+ABS(4-$J41)*1000+30)+'計算A'!BZ$5*50+IF(AND($E41=1,LM41=0),25,0),IF($F41&gt;0,INDEX('計算A'!BZ$110:BZ$114,$F41+1)+IF(AND($E41=1,LM41=0),1000,0),MIN(TX41,20)*400+(IF('計算A'!BY$106=1,1-FW41,0)+IF('計算A'!BZ$106=1,1-FY41,0))*150+34+'計算A'!BZ$5*100000+IF(AND($E41=1,LM41=0),50000,0))+IF($H41=1,(IF('計算A'!BY$117=1,INDEX('計算A'!BY$10:BY$54,$B41),0)+IF('計算A'!BZ$117=1,INDEX('計算A'!CA$10:CA$54,$B41),0))*4000,0)-IF(AND('計算A'!BY$117=1,WW41&gt;0),2000,0)-IF(AND($L41=1,'計算A'!BZ$117=1,FY41=0),2000,0))),1000000))</f>
        <v/>
      </c>
      <c r="RC41">
        <f>IF($B41=0,1000000,IF(INDEX('計算A'!$D$60:$EQ$104,$B41,76)*FY41=1,IF(AND($E41=2,LN41=0),1000000,IF($I41&gt;0,IF(4=$J41,IF(OR(AND(76=$I41+1,OR($K41&lt;&gt;'計算A'!$A$3,'計算A'!$A$4=0)),AND(76=$I41-1,OR(4&lt;&gt;'計算A'!$A$3,'計算A'!$A$4=0))),0,IF(4=$K41,200000,ABS(4-$K41)*100)),100000+ABS(4-$J41)*1000+40)+'計算A'!CA$5*50+IF(AND($E41=1,LN41=0),25,0),IF($F41&gt;0,INDEX('計算A'!CA$110:CA$114,$F41+1)+IF(AND($E41=1,LN41=0),1000,0),MIN(TX41,20)*400+(IF('計算A'!BZ$106=1,1-FX41,0)+IF('計算A'!CA$106=1,1-FZ41,0))*150+44+'計算A'!CA$5*100000+IF(AND($E41=1,LN41=0),50000,0))+IF($H41=1,(IF('計算A'!BZ$117=1,INDEX('計算A'!BZ$10:BZ$54,$B41),0)+IF('計算A'!CA$117=1,INDEX('計算A'!CB$10:CB$54,$B41),0))*4000,0)-IF(AND('計算A'!BZ$117=1,WX41&gt;0),2000,0)-IF(AND($L41=1,'計算A'!CA$117=1,FZ41=0),2000,0))),1000000))</f>
        <v/>
      </c>
      <c r="RD41">
        <f>IF($B41=0,1000000,IF(INDEX('計算A'!$D$60:$EQ$104,$B41,77)*FZ41=1,IF(AND($E41=2,LO41=0),1000000,IF($I41&gt;0,IF(4=$J41,IF(OR(AND(77=$I41+1,OR($K41&lt;&gt;'計算A'!$A$3,'計算A'!$A$4=0)),AND(77=$I41-1,OR(5&lt;&gt;'計算A'!$A$3,'計算A'!$A$4=0))),0,IF(5=$K41,200000,ABS(5-$K41)*100)),100000+ABS(4-$J41)*1000+50)+'計算A'!CB$5*50+IF(AND($E41=1,LO41=0),25,0),IF($F41&gt;0,INDEX('計算A'!CB$110:CB$114,$F41+1)+IF(AND($E41=1,LO41=0),1000,0),MIN(TX41,20)*400+(IF('計算A'!CA$106=1,1-FY41,0)+IF('計算A'!CB$106=1,1-GA41,0))*150+54+'計算A'!CB$5*100000+IF(AND($E41=1,LO41=0),50000,0))+IF($H41=1,(IF('計算A'!CA$117=1,INDEX('計算A'!CA$10:CA$54,$B41),0)+IF('計算A'!CB$117=1,INDEX('計算A'!CC$10:CC$54,$B41),0))*4000,0)-IF(AND('計算A'!CA$117=1,WY41&gt;0),2000,0)-IF(AND($L41=1,'計算A'!CB$117=1,GA41=0),2000,0))),1000000))</f>
        <v/>
      </c>
      <c r="RE41">
        <f>IF($B41=0,1000000,IF(INDEX('計算A'!$D$60:$EQ$104,$B41,78)*GA41=1,IF(AND($E41=2,LP41=0),1000000,IF($I41&gt;0,IF(4=$J41,IF(OR(AND(78=$I41+1,OR($K41&lt;&gt;'計算A'!$A$3,'計算A'!$A$4=0)),AND(78=$I41-1,OR(6&lt;&gt;'計算A'!$A$3,'計算A'!$A$4=0))),0,IF(6=$K41,200000,ABS(6-$K41)*100)),100000+ABS(4-$J41)*1000+60)+'計算A'!CC$5*50+IF(AND($E41=1,LP41=0),25,0),IF($F41&gt;0,INDEX('計算A'!CC$110:CC$114,$F41+1)+IF(AND($E41=1,LP41=0),1000,0),MIN(TX41,20)*400+(IF('計算A'!CB$106=1,1-FZ41,0)+IF('計算A'!CC$106=1,1-GB41,0))*150+64+'計算A'!CC$5*100000+IF(AND($E41=1,LP41=0),50000,0))+IF($H41=1,(IF('計算A'!CB$117=1,INDEX('計算A'!CB$10:CB$54,$B41),0)+IF('計算A'!CC$117=1,INDEX('計算A'!CD$10:CD$54,$B41),0))*4000,0)-IF(AND('計算A'!CB$117=1,WZ41&gt;0),2000,0)-IF(AND($L41=1,'計算A'!CC$117=1,GB41=0),2000,0))),1000000))</f>
        <v/>
      </c>
      <c r="RF41">
        <f>IF($B41=0,1000000,IF(INDEX('計算A'!$D$60:$EQ$104,$B41,79)*GB41=1,IF(AND($E41=2,LQ41=0),1000000,IF($I41&gt;0,IF(4=$J41,IF(OR(AND(79=$I41+1,OR($K41&lt;&gt;'計算A'!$A$3,'計算A'!$A$4=0)),AND(79=$I41-1,OR(7&lt;&gt;'計算A'!$A$3,'計算A'!$A$4=0))),0,IF(7=$K41,200000,ABS(7-$K41)*100)),100000+ABS(4-$J41)*1000+70)+'計算A'!CD$5*50+IF(AND($E41=1,LQ41=0),25,0),IF($F41&gt;0,INDEX('計算A'!CD$110:CD$114,$F41+1)+IF(AND($E41=1,LQ41=0),1000,0),MIN(TX41,20)*400+(IF('計算A'!CC$106=1,1-GA41,0)+IF('計算A'!CD$106=1,1-GC41,0))*150+74+'計算A'!CD$5*100000+IF(AND($E41=1,LQ41=0),50000,0))+IF($H41=1,(IF('計算A'!CC$117=1,INDEX('計算A'!CC$10:CC$54,$B41),0)+IF('計算A'!CD$117=1,INDEX('計算A'!CE$10:CE$54,$B41),0))*4000,0)-IF(AND('計算A'!CC$117=1,XA41&gt;0),2000,0)-IF(AND($L41=1,'計算A'!CD$117=1,GC41=0),2000,0))),1000000))</f>
        <v/>
      </c>
      <c r="RG41">
        <f>IF($B41=0,1000000,IF(INDEX('計算A'!$D$60:$EQ$104,$B41,80)*GC41=1,IF(AND($E41=2,LR41=0),1000000,IF($I41&gt;0,IF(4=$J41,IF(OR(AND(80=$I41+1,OR($K41&lt;&gt;'計算A'!$A$3,'計算A'!$A$4=0)),AND(80=$I41-1,OR(8&lt;&gt;'計算A'!$A$3,'計算A'!$A$4=0))),0,IF(8=$K41,200000,ABS(8-$K41)*100)),100000+ABS(4-$J41)*1000+80)+'計算A'!CE$5*50+IF(AND($E41=1,LR41=0),25,0),IF($F41&gt;0,INDEX('計算A'!CE$110:CE$114,$F41+1)+IF(AND($E41=1,LR41=0),1000,0),MIN(TX41,20)*400+(IF('計算A'!CD$106=1,1-GB41,0)+IF('計算A'!CE$106=1,1-GD41,0))*150+84+'計算A'!CE$5*100000+IF(AND($E41=1,LR41=0),50000,0))+IF($H41=1,(IF('計算A'!CD$117=1,INDEX('計算A'!CD$10:CD$54,$B41),0)+IF('計算A'!CE$117=1,INDEX('計算A'!CF$10:CF$54,$B41),0))*4000,0)-IF(AND('計算A'!CD$117=1,XB41&gt;0),2000,0)-IF(AND($L41=1,'計算A'!CE$117=1,GD41=0),2000,0))),1000000))</f>
        <v/>
      </c>
      <c r="RH41">
        <f>IF($B41=0,1000000,IF(INDEX('計算A'!$D$60:$EQ$104,$B41,81)*GD41=1,IF(AND($E41=2,LS41=0),1000000,IF($I41&gt;0,IF(4=$J41,IF(OR(AND(81=$I41+1,OR($K41&lt;&gt;'計算A'!$A$3,'計算A'!$A$4=0)),AND(81=$I41-1,OR(9&lt;&gt;'計算A'!$A$3,'計算A'!$A$4=0))),0,IF(9=$K41,200000,ABS(9-$K41)*100)),100000+ABS(4-$J41)*1000+90)+'計算A'!CF$5*50+IF(AND($E41=1,LS41=0),25,0),IF($F41&gt;0,INDEX('計算A'!CF$110:CF$114,$F41+1)+IF(AND($E41=1,LS41=0),1000,0),MIN(TX41,20)*400+(IF('計算A'!CE$106=1,1-GC41,0)+IF('計算A'!CF$106=1,1-GE41,0))*150+94+'計算A'!CF$5*100000+IF(AND($E41=1,LS41=0),50000,0))+IF($H41=1,(IF('計算A'!CE$117=1,INDEX('計算A'!CE$10:CE$54,$B41),0)+IF('計算A'!CF$117=1,INDEX('計算A'!CG$10:CG$54,$B41),0))*4000,0)-IF(AND('計算A'!CE$117=1,XC41&gt;0),2000,0)-IF(AND($L41=1,'計算A'!CF$117=1,GE41=0),2000,0))),1000000))</f>
        <v/>
      </c>
      <c r="RI41">
        <f>IF($B41=0,1000000,IF(INDEX('計算A'!$D$60:$EQ$104,$B41,82)*GE41=1,IF(AND($E41=2,LT41=0),1000000,IF($I41&gt;0,IF(4=$J41,IF(OR(AND(82=$I41+1,OR($K41&lt;&gt;'計算A'!$A$3,'計算A'!$A$4=0)),AND(82=$I41-1,OR(10&lt;&gt;'計算A'!$A$3,'計算A'!$A$4=0))),0,IF(10=$K41,200000,ABS(10-$K41)*100)),100000+ABS(4-$J41)*1000+100)+'計算A'!CG$5*50+IF(AND($E41=1,LT41=0),25,0),IF($F41&gt;0,INDEX('計算A'!CG$110:CG$114,$F41+1)+IF(AND($E41=1,LT41=0),1000,0),MIN(TX41,20)*400+(IF('計算A'!CF$106=1,1-GD41,0)+IF('計算A'!CG$106=1,1-GF41,0))*150+104+'計算A'!CG$5*100000+IF(AND($E41=1,LT41=0),50000,0))+IF($H41=1,(IF('計算A'!CF$117=1,INDEX('計算A'!CF$10:CF$54,$B41),0)+IF('計算A'!CG$117=1,INDEX('計算A'!CH$10:CH$54,$B41),0))*4000,0)-IF(AND('計算A'!CF$117=1,XD41&gt;0),2000,0)-IF(AND($L41=1,'計算A'!CG$117=1,GF41=0),2000,0))),1000000))</f>
        <v/>
      </c>
      <c r="RJ41">
        <f>IF($B41=0,1000000,IF(INDEX('計算A'!$D$60:$EQ$104,$B41,83)*GF41=1,IF(AND($E41=2,LU41=0),1000000,IF($I41&gt;0,IF(4=$J41,IF(OR(AND(83=$I41+1,OR($K41&lt;&gt;'計算A'!$A$3,'計算A'!$A$4=0)),AND(83=$I41-1,OR(11&lt;&gt;'計算A'!$A$3,'計算A'!$A$4=0))),0,IF(11=$K41,200000,ABS(11-$K41)*100)),100000+ABS(4-$J41)*1000+110)+'計算A'!CH$5*50+IF(AND($E41=1,LU41=0),25,0),IF($F41&gt;0,INDEX('計算A'!CH$110:CH$114,$F41+1)+IF(AND($E41=1,LU41=0),1000,0),MIN(TX41,20)*400+(IF('計算A'!CG$106=1,1-GE41,0)+IF('計算A'!CH$106=1,1-GG41,0))*150+114+'計算A'!CH$5*100000+IF(AND($E41=1,LU41=0),50000,0))+IF($H41=1,(IF('計算A'!CG$117=1,INDEX('計算A'!CG$10:CG$54,$B41),0)+IF('計算A'!CH$117=1,INDEX('計算A'!CI$10:CI$54,$B41),0))*4000,0)-IF(AND('計算A'!CG$117=1,XE41&gt;0),2000,0)-IF(AND($L41=1,'計算A'!CH$117=1,GG41=0),2000,0))),1000000))</f>
        <v/>
      </c>
      <c r="RK41">
        <f>IF($B41=0,1000000,IF(INDEX('計算A'!$D$60:$EQ$104,$B41,84)*GG41=1,IF(AND($E41=2,LV41=0),1000000,IF($I41&gt;0,IF(4=$J41,IF(OR(AND(84=$I41+1,OR($K41&lt;&gt;'計算A'!$A$3,'計算A'!$A$4=0)),AND(84=$I41-1,OR(12&lt;&gt;'計算A'!$A$3,'計算A'!$A$4=0))),0,IF(12=$K41,200000,ABS(12-$K41)*100)),100000+ABS(4-$J41)*1000+120)+'計算A'!CI$5*50+IF(AND($E41=1,LV41=0),25,0),IF($F41&gt;0,INDEX('計算A'!CI$110:CI$114,$F41+1)+IF(AND($E41=1,LV41=0),1000,0),MIN(TX41,20)*400+(IF('計算A'!CH$106=1,1-GF41,0)+IF('計算A'!CI$106=1,1-GH41,0))*150+124+'計算A'!CI$5*100000+IF(AND($E41=1,LV41=0),50000,0))+IF($H41=1,(IF('計算A'!CH$117=1,INDEX('計算A'!CH$10:CH$54,$B41),0)+IF('計算A'!CI$117=1,INDEX('計算A'!CJ$10:CJ$54,$B41),0))*4000,0)-IF(AND('計算A'!CH$117=1,XF41&gt;0),2000,0)-IF(AND($L41=1,'計算A'!CI$117=1,GH41=0),2000,0))),1000000))</f>
        <v/>
      </c>
      <c r="RL41">
        <f>IF($B41=0,1000000,IF(INDEX('計算A'!$D$60:$EQ$104,$B41,85)*GH41=1,IF(AND($E41=2,LW41=0),1000000,IF($I41&gt;0,IF(4=$J41,IF(OR(AND(85=$I41+1,OR($K41&lt;&gt;'計算A'!$A$3,'計算A'!$A$4=0)),AND(85=$I41-1,OR(13&lt;&gt;'計算A'!$A$3,'計算A'!$A$4=0))),0,IF(13=$K41,200000,ABS(13-$K41)*100)),100000+ABS(4-$J41)*1000+130)+'計算A'!CJ$5*50+IF(AND($E41=1,LW41=0),25,0),IF($F41&gt;0,INDEX('計算A'!CJ$110:CJ$114,$F41+1)+IF(AND($E41=1,LW41=0),1000,0),MIN(TX41,20)*400+(IF('計算A'!CI$106=1,1-GG41,0)+IF('計算A'!CJ$106=1,1-GI41,0))*150+134+'計算A'!CJ$5*100000+IF(AND($E41=1,LW41=0),50000,0))+IF($H41=1,(IF('計算A'!CI$117=1,INDEX('計算A'!CI$10:CI$54,$B41),0)+IF('計算A'!CJ$117=1,INDEX('計算A'!CK$10:CK$54,$B41),0))*4000,0)-IF(AND('計算A'!CI$117=1,XG41&gt;0),2000,0)-IF(AND($L41=1,'計算A'!CJ$117=1,GI41=0),2000,0))),1000000))</f>
        <v/>
      </c>
      <c r="RM41">
        <f>IF($B41=0,1000000,IF(INDEX('計算A'!$D$60:$EQ$104,$B41,86)*GI41=1,IF(AND($E41=2,LX41=0),1000000,IF($I41&gt;0,IF(4=$J41,IF(OR(AND(86=$I41+1,OR($K41&lt;&gt;'計算A'!$A$3,'計算A'!$A$4=0)),AND(86=$I41-1,OR(14&lt;&gt;'計算A'!$A$3,'計算A'!$A$4=0))),0,IF(14=$K41,200000,ABS(14-$K41)*100)),100000+ABS(4-$J41)*1000+140)+'計算A'!CK$5*50+IF(AND($E41=1,LX41=0),25,0),IF($F41&gt;0,INDEX('計算A'!CK$110:CK$114,$F41+1)+IF(AND($E41=1,LX41=0),1000,0),MIN(TX41,20)*400+(IF('計算A'!CJ$106=1,1-GH41,0)+IF('計算A'!CK$106=1,1-GJ41,0))*150+144+'計算A'!CK$5*100000+IF(AND($E41=1,LX41=0),50000,0))+IF($H41=1,(IF('計算A'!CJ$117=1,INDEX('計算A'!CJ$10:CJ$54,$B41),0)+IF('計算A'!CK$117=1,INDEX('計算A'!CL$10:CL$54,$B41),0))*4000,0)-IF(AND('計算A'!CJ$117=1,XH41&gt;0),2000,0)-IF(AND($L41=1,'計算A'!CK$117=1,GJ41=0),2000,0))),1000000))</f>
        <v/>
      </c>
      <c r="RN41">
        <f>IF($B41=0,1000000,IF(INDEX('計算A'!$D$60:$EQ$104,$B41,87)*GJ41=1,IF(AND($E41=2,LY41=0),1000000,IF($I41&gt;0,IF(4=$J41,IF(OR(AND(87=$I41+1,OR($K41&lt;&gt;'計算A'!$A$3,'計算A'!$A$4=0)),AND(87=$I41-1,OR(15&lt;&gt;'計算A'!$A$3,'計算A'!$A$4=0))),0,IF(15=$K41,200000,ABS(15-$K41)*100)),100000+ABS(4-$J41)*1000+150)+'計算A'!CL$5*50+IF(AND($E41=1,LY41=0),25,0),IF($F41&gt;0,INDEX('計算A'!CL$110:CL$114,$F41+1)+IF(AND($E41=1,LY41=0),1000,0),MIN(TX41,20)*400+(IF('計算A'!CK$106=1,1-GI41,0)+IF('計算A'!CL$106=1,1-GK41,0))*150+154+'計算A'!CL$5*100000+IF(AND($E41=1,LY41=0),50000,0))+IF($H41=1,(IF('計算A'!CK$117=1,INDEX('計算A'!CK$10:CK$54,$B41),0)+IF('計算A'!CL$117=1,INDEX('計算A'!CM$10:CM$54,$B41),0))*4000,0)-IF(AND('計算A'!CK$117=1,XI41&gt;0),2000,0)-IF(AND($L41=1,'計算A'!CL$117=1,GK41=0),2000,0))),1000000))</f>
        <v/>
      </c>
      <c r="RO41">
        <f>IF($B41=0,1000000,IF(INDEX('計算A'!$D$60:$EQ$104,$B41,88)*GK41=1,IF(AND($E41=2,LZ41=0),1000000,IF($I41&gt;0,IF(4=$J41,IF(OR(AND(88=$I41+1,OR($K41&lt;&gt;'計算A'!$A$3,'計算A'!$A$4=0)),AND(88=$I41-1,OR(16&lt;&gt;'計算A'!$A$3,'計算A'!$A$4=0))),0,IF(16=$K41,200000,ABS(16-$K41)*100)),100000+ABS(4-$J41)*1000+160)+'計算A'!CM$5*50+IF(AND($E41=1,LZ41=0),25,0),IF($F41&gt;0,INDEX('計算A'!CM$110:CM$114,$F41+1)+IF(AND($E41=1,LZ41=0),1000,0),MIN(TX41,20)*400+(IF('計算A'!CL$106=1,1-GJ41,0)+IF('計算A'!CM$106=1,1-GL41,0))*150+164+'計算A'!CM$5*100000+IF(AND($E41=1,LZ41=0),50000,0))+IF($H41=1,(IF('計算A'!CL$117=1,INDEX('計算A'!CL$10:CL$54,$B41),0)+IF('計算A'!CM$117=1,INDEX('計算A'!CN$10:CN$54,$B41),0))*4000,0)-IF(AND('計算A'!CL$117=1,XJ41&gt;0),2000,0)-IF(AND($L41=1,'計算A'!CM$117=1,GL41=0),2000,0))),1000000))</f>
        <v/>
      </c>
      <c r="RP41">
        <f>IF($B41=0,1000000,IF(INDEX('計算A'!$D$60:$EQ$104,$B41,89)*GL41=1,IF(AND($E41=2,MA41=0),1000000,IF($I41&gt;0,IF(4=$J41,IF(OR(AND(89=$I41+1,OR($K41&lt;&gt;'計算A'!$A$3,'計算A'!$A$4=0)),AND(89=$I41-1,OR(17&lt;&gt;'計算A'!$A$3,'計算A'!$A$4=0))),0,IF(17=$K41,200000,ABS(17-$K41)*100)),100000+ABS(4-$J41)*1000+170)+'計算A'!CN$5*50+IF(AND($E41=1,MA41=0),25,0),IF($F41&gt;0,INDEX('計算A'!CN$110:CN$114,$F41+1)+IF(AND($E41=1,MA41=0),1000,0),MIN(TX41,20)*400+(IF('計算A'!CM$106=1,1-GK41,0)+IF('計算A'!CN$106=1,1-GM41,0))*150+174+'計算A'!CN$5*100000+IF(AND($E41=1,MA41=0),50000,0))+IF($H41=1,(IF('計算A'!CM$117=1,INDEX('計算A'!CM$10:CM$54,$B41),0)+IF('計算A'!CN$117=1,INDEX('計算A'!CO$10:CO$54,$B41),0))*4000,0)-IF(AND('計算A'!CM$117=1,XK41&gt;0),2000,0)-IF(AND($L41=1,'計算A'!CN$117=1,GM41=0),2000,0))),1000000))</f>
        <v/>
      </c>
      <c r="RQ41">
        <f>IF($B41=0,1000000,IF(INDEX('計算A'!$D$60:$EQ$104,$B41,90)*GM41=1,IF(AND($E41=2,MB41=0),1000000,IF($I41&gt;0,IF(4=$J41,IF(OR(AND(90=$I41+1,OR($K41&lt;&gt;'計算A'!$A$3,'計算A'!$A$4=0)),AND(90=$I41-1,OR(18&lt;&gt;'計算A'!$A$3,'計算A'!$A$4=0))),0,IF(18=$K41,200000,ABS(18-$K41)*100)),100000+ABS(4-$J41)*1000+180)+'計算A'!CO$5*50+IF(AND($E41=1,MB41=0),25,0),IF($F41&gt;0,INDEX('計算A'!CO$110:CO$114,$F41+1)+IF(AND($E41=1,MB41=0),1000,0),MIN(TX41,20)*400+(IF('計算A'!CN$106=1,1-GL41,0)+IF('計算A'!CO$106=1,1-GN41,0))*150+184+'計算A'!CO$5*100000+IF(AND($E41=1,MB41=0),50000,0))+IF($H41=1,(IF('計算A'!CN$117=1,INDEX('計算A'!CN$10:CN$54,$B41),0)+IF('計算A'!CO$117=1,INDEX('計算A'!CP$10:CP$54,$B41),0))*4000,0)-IF(AND('計算A'!CN$117=1,XL41&gt;0),2000,0)-IF(AND($L41=1,'計算A'!CO$117=1,GN41=0),2000,0))),1000000))</f>
        <v/>
      </c>
      <c r="RR41">
        <f>IF($B41=0,1000000,IF(INDEX('計算A'!$D$60:$EQ$104,$B41,91)*GN41=1,IF(AND($E41=2,MC41=0),1000000,IF($I41&gt;0,IF(4=$J41,IF(OR(AND(91=$I41+1,OR($K41&lt;&gt;'計算A'!$A$3,'計算A'!$A$4=0)),AND(91=$I41-1,OR(19&lt;&gt;'計算A'!$A$3,'計算A'!$A$4=0))),0,IF(19=$K41,200000,ABS(19-$K41)*100)),100000+ABS(4-$J41)*1000+190)+'計算A'!CP$5*50+IF(AND($E41=1,MC41=0),25,0),IF($F41&gt;0,INDEX('計算A'!CP$110:CP$114,$F41+1)+IF(AND($E41=1,MC41=0),1000,0),MIN(TX41,20)*400+(IF('計算A'!CO$106=1,1-GM41,0)+IF('計算A'!CP$106=1,1-GO41,0))*150+194+'計算A'!CP$5*100000+IF(AND($E41=1,MC41=0),50000,0))+IF($H41=1,(IF('計算A'!CO$117=1,INDEX('計算A'!CO$10:CO$54,$B41),0)+IF('計算A'!CP$117=1,INDEX('計算A'!CQ$10:CQ$54,$B41),0))*4000,0)-IF(AND('計算A'!CO$117=1,XM41&gt;0),2000,0)-IF(AND($L41=1,'計算A'!CP$117=1,GO41=0),2000,0))),1000000))</f>
        <v/>
      </c>
      <c r="RS41">
        <f>IF($B41=0,1000000,IF(INDEX('計算A'!$D$60:$EQ$104,$B41,92)*GO41=1,IF(AND($E41=2,MD41=0),1000000,IF($I41&gt;0,IF(4=$J41,IF(OR(AND(92=$I41+1,OR($K41&lt;&gt;'計算A'!$A$3,'計算A'!$A$4=0)),AND(92=$I41-1,OR(20&lt;&gt;'計算A'!$A$3,'計算A'!$A$4=0))),0,IF(20=$K41,200000,ABS(20-$K41)*100)),100000+ABS(4-$J41)*1000+200)+'計算A'!CQ$5*50+IF(AND($E41=1,MD41=0),25,0),IF($F41&gt;0,INDEX('計算A'!CQ$110:CQ$114,$F41+1)+IF(AND($E41=1,MD41=0),1000,0),MIN(TX41,20)*400+(IF('計算A'!CP$106=1,1-GN41,0)+IF('計算A'!CQ$106=1,1-GP41,0))*150+204+'計算A'!CQ$5*100000+IF(AND($E41=1,MD41=0),50000,0))+IF($H41=1,(IF('計算A'!CP$117=1,INDEX('計算A'!CP$10:CP$54,$B41),0)+IF('計算A'!CQ$117=1,INDEX('計算A'!CR$10:CR$54,$B41),0))*4000,0)-IF(AND('計算A'!CP$117=1,XN41&gt;0),2000,0)-IF(AND($L41=1,'計算A'!CQ$117=1,GP41=0),2000,0))),1000000))</f>
        <v/>
      </c>
      <c r="RT41">
        <f>IF($B41=0,1000000,IF(INDEX('計算A'!$D$60:$EQ$104,$B41,93)*GP41=1,IF(AND($E41=2,ME41=0),1000000,IF($I41&gt;0,IF(4=$J41,IF(OR(AND(93=$I41+1,OR($K41&lt;&gt;'計算A'!$A$3,'計算A'!$A$4=0)),AND(93=$I41-1,OR(21&lt;&gt;'計算A'!$A$3,'計算A'!$A$4=0))),0,IF(21=$K41,200000,ABS(21-$K41)*100)),100000+ABS(4-$J41)*1000+210)+'計算A'!CR$5*50+IF(AND($E41=1,ME41=0),25,0),IF($F41&gt;0,INDEX('計算A'!CR$110:CR$114,$F41+1)+IF(AND($E41=1,ME41=0),1000,0),MIN(TX41,20)*400+(IF('計算A'!CQ$106=1,1-GO41,0)+IF('計算A'!CR$106=1,1-GQ41,0))*150+214+'計算A'!CR$5*100000+IF(AND($E41=1,ME41=0),50000,0))+IF($H41=1,(IF('計算A'!CQ$117=1,INDEX('計算A'!CQ$10:CQ$54,$B41),0)+IF('計算A'!CR$117=1,INDEX('計算A'!CS$10:CS$54,$B41),0))*4000,0)-IF(AND('計算A'!CQ$117=1,XO41&gt;0),2000,0)-IF(AND($L41=1,'計算A'!CR$117=1,GQ41=0),2000,0))),1000000))</f>
        <v/>
      </c>
      <c r="RU41">
        <f>IF($B41=0,1000000,IF(INDEX('計算A'!$D$60:$EQ$104,$B41,94)*GQ41=1,IF(AND($E41=2,MF41=0),1000000,IF($I41&gt;0,IF(4=$J41,IF(OR(AND(94=$I41+1,OR($K41&lt;&gt;'計算A'!$A$3,'計算A'!$A$4=0)),AND(94=$I41-1,OR(22&lt;&gt;'計算A'!$A$3,'計算A'!$A$4=0))),0,IF(22=$K41,200000,ABS(22-$K41)*100)),100000+ABS(4-$J41)*1000+220)+'計算A'!CS$5*50+IF(AND($E41=1,MF41=0),25,0),IF($F41&gt;0,INDEX('計算A'!CS$110:CS$114,$F41+1)+IF(AND($E41=1,MF41=0),1000,0),MIN(TX41,20)*400+(IF('計算A'!CR$106=1,1-GP41,0)+IF('計算A'!CS$106=1,1-GR41,0))*150+224+'計算A'!CS$5*100000+IF(AND($E41=1,MF41=0),50000,0))+IF($H41=1,(IF('計算A'!CR$117=1,INDEX('計算A'!CR$10:CR$54,$B41),0)+IF('計算A'!CS$117=1,INDEX('計算A'!CT$10:CT$54,$B41),0))*4000,0)-IF(AND('計算A'!CR$117=1,XP41&gt;0),2000,0)-IF(AND($L41=1,'計算A'!CS$117=1,GR41=0),2000,0))),1000000))</f>
        <v/>
      </c>
      <c r="RV41">
        <f>IF($B41=0,1000000,IF(INDEX('計算A'!$D$60:$EQ$104,$B41,95)*GR41=1,IF(AND($E41=2,MG41=0),1000000,IF($I41&gt;0,IF(4=$J41,IF(OR(AND(95=$I41+1,OR($K41&lt;&gt;'計算A'!$A$3,'計算A'!$A$4=0)),AND(95=$I41-1,OR(23&lt;&gt;'計算A'!$A$3,'計算A'!$A$4=0))),0,IF(23=$K41,200000,ABS(23-$K41)*100)),100000+ABS(4-$J41)*1000+230)+'計算A'!CT$5*50+IF(AND($E41=1,MG41=0),25,0),IF($F41&gt;0,INDEX('計算A'!CT$110:CT$114,$F41+1)+IF(AND($E41=1,MG41=0),1000,0),MIN(TX41,20)*400+(IF('計算A'!CS$106=1,1-GQ41,0)+IF('計算A'!CT$106=1,1-GS41,0))*150+234+'計算A'!CT$5*100000+IF(AND($E41=1,MG41=0),50000,0))+IF($H41=1,(IF('計算A'!CS$117=1,INDEX('計算A'!CS$10:CS$54,$B41),0)+IF('計算A'!CT$117=1,INDEX('計算A'!CU$10:CU$54,$B41),0))*4000,0)-IF(AND('計算A'!CS$117=1,XQ41&gt;0),2000,0)-IF(AND($L41=1,'計算A'!CT$117=1,GS41=0),2000,0))),1000000))</f>
        <v/>
      </c>
      <c r="RW41">
        <f>IF($B41=0,1000000,IF(INDEX('計算A'!$D$60:$EQ$104,$B41,96)*GS41=1,IF(AND($E41=2,MH41=0),1000000,IF($I41&gt;0,IF(4=$J41,IF(OR(AND(96=$I41+1,OR($K41&lt;&gt;'計算A'!$A$3,'計算A'!$A$4=0)),AND(96=$I41-1,OR(24&lt;&gt;'計算A'!$A$3,'計算A'!$A$4=0))),0,IF(24=$K41,200000,ABS(24-$K41)*100)),100000+ABS(4-$J41)*1000+240)+'計算A'!CU$5*50+IF(AND($E41=1,MH41=0),25,0),IF($F41&gt;0,INDEX('計算A'!CU$110:CU$114,$F41+1)+IF(AND($E41=1,MH41=0),1000,0),MIN(TX41,20)*400+(IF('計算A'!CT$106=1,1-GR41,0))*150+244+'計算A'!CU$5*100000+IF(AND($E41=1,MH41=0),50000,0))+IF($H41=1,(IF('計算A'!CT$117=1,INDEX('計算A'!CT$10:CT$54,$B41),0))*4000,0)-IF(AND('計算A'!CT$117=1,XR41&gt;0),2000,0))),1000000))</f>
        <v/>
      </c>
      <c r="RX41">
        <f>IF($B41=0,1000000,IF(INDEX('計算A'!$D$60:$EQ$104,$B41,97)*GT41=1,IF(AND($E41=2,MI41=0),1000000,IF($I41&gt;0,IF(5=$J41,IF(OR(AND(97=$I41+1,OR($K41&lt;&gt;'計算A'!$A$3,'計算A'!$A$4=0)),AND(97=$I41-1,OR(1&lt;&gt;'計算A'!$A$3,'計算A'!$A$4=0))),0,IF(1=$K41,200000,ABS(1-$K41)*100)),100000+ABS(5-$J41)*1000+10)+'計算A'!CV$5*50+IF(AND($E41=1,MI41=0),25,0),IF($F41&gt;0,INDEX('計算A'!CV$110:CV$114,$F41+1)+IF(AND($E41=1,MI41=0),1000,0),MIN(TY41,20)*400+(IF('計算A'!CV$106=1,1-GU41,0))*150+15+'計算A'!CV$5*100000+IF(AND($E41=1,MI41=0),50000,0))+IF($H41=1,(IF('計算A'!CV$117=1,INDEX('計算A'!CW$10:CW$54,$B41),0))*4000,0)-IF(AND($L41=1,'計算A'!CV$117=1,GU41=0),2000,0))),1000000))</f>
        <v/>
      </c>
      <c r="RY41">
        <f>IF($B41=0,1000000,IF(INDEX('計算A'!$D$60:$EQ$104,$B41,98)*GU41=1,IF(AND($E41=2,MJ41=0),1000000,IF($I41&gt;0,IF(5=$J41,IF(OR(AND(98=$I41+1,OR($K41&lt;&gt;'計算A'!$A$3,'計算A'!$A$4=0)),AND(98=$I41-1,OR(2&lt;&gt;'計算A'!$A$3,'計算A'!$A$4=0))),0,IF(2=$K41,200000,ABS(2-$K41)*100)),100000+ABS(5-$J41)*1000+20)+'計算A'!CW$5*50+IF(AND($E41=1,MJ41=0),25,0),IF($F41&gt;0,INDEX('計算A'!CW$110:CW$114,$F41+1)+IF(AND($E41=1,MJ41=0),1000,0),MIN(TY41,20)*400+(IF('計算A'!CV$106=1,1-GT41,0)+IF('計算A'!CW$106=1,1-GV41,0))*150+25+'計算A'!CW$5*100000+IF(AND($E41=1,MJ41=0),50000,0))+IF($H41=1,(IF('計算A'!CV$117=1,INDEX('計算A'!CV$10:CV$54,$B41),0)+IF('計算A'!CW$117=1,INDEX('計算A'!CX$10:CX$54,$B41),0))*4000,0)-IF(AND('計算A'!CV$117=1,XT41&gt;0),2000,0)-IF(AND($L41=1,'計算A'!CW$117=1,GV41=0),2000,0))),1000000))</f>
        <v/>
      </c>
      <c r="RZ41">
        <f>IF($B41=0,1000000,IF(INDEX('計算A'!$D$60:$EQ$104,$B41,99)*GV41=1,IF(AND($E41=2,MK41=0),1000000,IF($I41&gt;0,IF(5=$J41,IF(OR(AND(99=$I41+1,OR($K41&lt;&gt;'計算A'!$A$3,'計算A'!$A$4=0)),AND(99=$I41-1,OR(3&lt;&gt;'計算A'!$A$3,'計算A'!$A$4=0))),0,IF(3=$K41,200000,ABS(3-$K41)*100)),100000+ABS(5-$J41)*1000+30)+'計算A'!CX$5*50+IF(AND($E41=1,MK41=0),25,0),IF($F41&gt;0,INDEX('計算A'!CX$110:CX$114,$F41+1)+IF(AND($E41=1,MK41=0),1000,0),MIN(TY41,20)*400+(IF('計算A'!CW$106=1,1-GU41,0)+IF('計算A'!CX$106=1,1-GW41,0))*150+35+'計算A'!CX$5*100000+IF(AND($E41=1,MK41=0),50000,0))+IF($H41=1,(IF('計算A'!CW$117=1,INDEX('計算A'!CW$10:CW$54,$B41),0)+IF('計算A'!CX$117=1,INDEX('計算A'!CY$10:CY$54,$B41),0))*4000,0)-IF(AND('計算A'!CW$117=1,XU41&gt;0),2000,0)-IF(AND($L41=1,'計算A'!CX$117=1,GW41=0),2000,0))),1000000))</f>
        <v/>
      </c>
      <c r="SA41">
        <f>IF($B41=0,1000000,IF(INDEX('計算A'!$D$60:$EQ$104,$B41,100)*GW41=1,IF(AND($E41=2,ML41=0),1000000,IF($I41&gt;0,IF(5=$J41,IF(OR(AND(100=$I41+1,OR($K41&lt;&gt;'計算A'!$A$3,'計算A'!$A$4=0)),AND(100=$I41-1,OR(4&lt;&gt;'計算A'!$A$3,'計算A'!$A$4=0))),0,IF(4=$K41,200000,ABS(4-$K41)*100)),100000+ABS(5-$J41)*1000+40)+'計算A'!CY$5*50+IF(AND($E41=1,ML41=0),25,0),IF($F41&gt;0,INDEX('計算A'!CY$110:CY$114,$F41+1)+IF(AND($E41=1,ML41=0),1000,0),MIN(TY41,20)*400+(IF('計算A'!CX$106=1,1-GV41,0)+IF('計算A'!CY$106=1,1-GX41,0))*150+45+'計算A'!CY$5*100000+IF(AND($E41=1,ML41=0),50000,0))+IF($H41=1,(IF('計算A'!CX$117=1,INDEX('計算A'!CX$10:CX$54,$B41),0)+IF('計算A'!CY$117=1,INDEX('計算A'!CZ$10:CZ$54,$B41),0))*4000,0)-IF(AND('計算A'!CX$117=1,XV41&gt;0),2000,0)-IF(AND($L41=1,'計算A'!CY$117=1,GX41=0),2000,0))),1000000))</f>
        <v/>
      </c>
      <c r="SB41">
        <f>IF($B41=0,1000000,IF(INDEX('計算A'!$D$60:$EQ$104,$B41,101)*GX41=1,IF(AND($E41=2,MM41=0),1000000,IF($I41&gt;0,IF(5=$J41,IF(OR(AND(101=$I41+1,OR($K41&lt;&gt;'計算A'!$A$3,'計算A'!$A$4=0)),AND(101=$I41-1,OR(5&lt;&gt;'計算A'!$A$3,'計算A'!$A$4=0))),0,IF(5=$K41,200000,ABS(5-$K41)*100)),100000+ABS(5-$J41)*1000+50)+'計算A'!CZ$5*50+IF(AND($E41=1,MM41=0),25,0),IF($F41&gt;0,INDEX('計算A'!CZ$110:CZ$114,$F41+1)+IF(AND($E41=1,MM41=0),1000,0),MIN(TY41,20)*400+(IF('計算A'!CY$106=1,1-GW41,0)+IF('計算A'!CZ$106=1,1-GY41,0))*150+55+'計算A'!CZ$5*100000+IF(AND($E41=1,MM41=0),50000,0))+IF($H41=1,(IF('計算A'!CY$117=1,INDEX('計算A'!CY$10:CY$54,$B41),0)+IF('計算A'!CZ$117=1,INDEX('計算A'!DA$10:DA$54,$B41),0))*4000,0)-IF(AND('計算A'!CY$117=1,XW41&gt;0),2000,0)-IF(AND($L41=1,'計算A'!CZ$117=1,GY41=0),2000,0))),1000000))</f>
        <v/>
      </c>
      <c r="SC41">
        <f>IF($B41=0,1000000,IF(INDEX('計算A'!$D$60:$EQ$104,$B41,102)*GY41=1,IF(AND($E41=2,MN41=0),1000000,IF($I41&gt;0,IF(5=$J41,IF(OR(AND(102=$I41+1,OR($K41&lt;&gt;'計算A'!$A$3,'計算A'!$A$4=0)),AND(102=$I41-1,OR(6&lt;&gt;'計算A'!$A$3,'計算A'!$A$4=0))),0,IF(6=$K41,200000,ABS(6-$K41)*100)),100000+ABS(5-$J41)*1000+60)+'計算A'!DA$5*50+IF(AND($E41=1,MN41=0),25,0),IF($F41&gt;0,INDEX('計算A'!DA$110:DA$114,$F41+1)+IF(AND($E41=1,MN41=0),1000,0),MIN(TY41,20)*400+(IF('計算A'!CZ$106=1,1-GX41,0)+IF('計算A'!DA$106=1,1-GZ41,0))*150+65+'計算A'!DA$5*100000+IF(AND($E41=1,MN41=0),50000,0))+IF($H41=1,(IF('計算A'!CZ$117=1,INDEX('計算A'!CZ$10:CZ$54,$B41),0)+IF('計算A'!DA$117=1,INDEX('計算A'!DB$10:DB$54,$B41),0))*4000,0)-IF(AND('計算A'!CZ$117=1,XX41&gt;0),2000,0)-IF(AND($L41=1,'計算A'!DA$117=1,GZ41=0),2000,0))),1000000))</f>
        <v/>
      </c>
      <c r="SD41">
        <f>IF($B41=0,1000000,IF(INDEX('計算A'!$D$60:$EQ$104,$B41,103)*GZ41=1,IF(AND($E41=2,MO41=0),1000000,IF($I41&gt;0,IF(5=$J41,IF(OR(AND(103=$I41+1,OR($K41&lt;&gt;'計算A'!$A$3,'計算A'!$A$4=0)),AND(103=$I41-1,OR(7&lt;&gt;'計算A'!$A$3,'計算A'!$A$4=0))),0,IF(7=$K41,200000,ABS(7-$K41)*100)),100000+ABS(5-$J41)*1000+70)+'計算A'!DB$5*50+IF(AND($E41=1,MO41=0),25,0),IF($F41&gt;0,INDEX('計算A'!DB$110:DB$114,$F41+1)+IF(AND($E41=1,MO41=0),1000,0),MIN(TY41,20)*400+(IF('計算A'!DA$106=1,1-GY41,0)+IF('計算A'!DB$106=1,1-HA41,0))*150+75+'計算A'!DB$5*100000+IF(AND($E41=1,MO41=0),50000,0))+IF($H41=1,(IF('計算A'!DA$117=1,INDEX('計算A'!DA$10:DA$54,$B41),0)+IF('計算A'!DB$117=1,INDEX('計算A'!DC$10:DC$54,$B41),0))*4000,0)-IF(AND('計算A'!DA$117=1,XY41&gt;0),2000,0)-IF(AND($L41=1,'計算A'!DB$117=1,HA41=0),2000,0))),1000000))</f>
        <v/>
      </c>
      <c r="SE41">
        <f>IF($B41=0,1000000,IF(INDEX('計算A'!$D$60:$EQ$104,$B41,104)*HA41=1,IF(AND($E41=2,MP41=0),1000000,IF($I41&gt;0,IF(5=$J41,IF(OR(AND(104=$I41+1,OR($K41&lt;&gt;'計算A'!$A$3,'計算A'!$A$4=0)),AND(104=$I41-1,OR(8&lt;&gt;'計算A'!$A$3,'計算A'!$A$4=0))),0,IF(8=$K41,200000,ABS(8-$K41)*100)),100000+ABS(5-$J41)*1000+80)+'計算A'!DC$5*50+IF(AND($E41=1,MP41=0),25,0),IF($F41&gt;0,INDEX('計算A'!DC$110:DC$114,$F41+1)+IF(AND($E41=1,MP41=0),1000,0),MIN(TY41,20)*400+(IF('計算A'!DB$106=1,1-GZ41,0)+IF('計算A'!DC$106=1,1-HB41,0))*150+85+'計算A'!DC$5*100000+IF(AND($E41=1,MP41=0),50000,0))+IF($H41=1,(IF('計算A'!DB$117=1,INDEX('計算A'!DB$10:DB$54,$B41),0)+IF('計算A'!DC$117=1,INDEX('計算A'!DD$10:DD$54,$B41),0))*4000,0)-IF(AND('計算A'!DB$117=1,XZ41&gt;0),2000,0)-IF(AND($L41=1,'計算A'!DC$117=1,HB41=0),2000,0))),1000000))</f>
        <v/>
      </c>
      <c r="SF41">
        <f>IF($B41=0,1000000,IF(INDEX('計算A'!$D$60:$EQ$104,$B41,105)*HB41=1,IF(AND($E41=2,MQ41=0),1000000,IF($I41&gt;0,IF(5=$J41,IF(OR(AND(105=$I41+1,OR($K41&lt;&gt;'計算A'!$A$3,'計算A'!$A$4=0)),AND(105=$I41-1,OR(9&lt;&gt;'計算A'!$A$3,'計算A'!$A$4=0))),0,IF(9=$K41,200000,ABS(9-$K41)*100)),100000+ABS(5-$J41)*1000+90)+'計算A'!DD$5*50+IF(AND($E41=1,MQ41=0),25,0),IF($F41&gt;0,INDEX('計算A'!DD$110:DD$114,$F41+1)+IF(AND($E41=1,MQ41=0),1000,0),MIN(TY41,20)*400+(IF('計算A'!DC$106=1,1-HA41,0)+IF('計算A'!DD$106=1,1-HC41,0))*150+95+'計算A'!DD$5*100000+IF(AND($E41=1,MQ41=0),50000,0))+IF($H41=1,(IF('計算A'!DC$117=1,INDEX('計算A'!DC$10:DC$54,$B41),0)+IF('計算A'!DD$117=1,INDEX('計算A'!DE$10:DE$54,$B41),0))*4000,0)-IF(AND('計算A'!DC$117=1,YA41&gt;0),2000,0)-IF(AND($L41=1,'計算A'!DD$117=1,HC41=0),2000,0))),1000000))</f>
        <v/>
      </c>
      <c r="SG41">
        <f>IF($B41=0,1000000,IF(INDEX('計算A'!$D$60:$EQ$104,$B41,106)*HC41=1,IF(AND($E41=2,MR41=0),1000000,IF($I41&gt;0,IF(5=$J41,IF(OR(AND(106=$I41+1,OR($K41&lt;&gt;'計算A'!$A$3,'計算A'!$A$4=0)),AND(106=$I41-1,OR(10&lt;&gt;'計算A'!$A$3,'計算A'!$A$4=0))),0,IF(10=$K41,200000,ABS(10-$K41)*100)),100000+ABS(5-$J41)*1000+100)+'計算A'!DE$5*50+IF(AND($E41=1,MR41=0),25,0),IF($F41&gt;0,INDEX('計算A'!DE$110:DE$114,$F41+1)+IF(AND($E41=1,MR41=0),1000,0),MIN(TY41,20)*400+(IF('計算A'!DD$106=1,1-HB41,0)+IF('計算A'!DE$106=1,1-HD41,0))*150+105+'計算A'!DE$5*100000+IF(AND($E41=1,MR41=0),50000,0))+IF($H41=1,(IF('計算A'!DD$117=1,INDEX('計算A'!DD$10:DD$54,$B41),0)+IF('計算A'!DE$117=1,INDEX('計算A'!DF$10:DF$54,$B41),0))*4000,0)-IF(AND('計算A'!DD$117=1,YB41&gt;0),2000,0)-IF(AND($L41=1,'計算A'!DE$117=1,HD41=0),2000,0))),1000000))</f>
        <v/>
      </c>
      <c r="SH41">
        <f>IF($B41=0,1000000,IF(INDEX('計算A'!$D$60:$EQ$104,$B41,107)*HD41=1,IF(AND($E41=2,MS41=0),1000000,IF($I41&gt;0,IF(5=$J41,IF(OR(AND(107=$I41+1,OR($K41&lt;&gt;'計算A'!$A$3,'計算A'!$A$4=0)),AND(107=$I41-1,OR(11&lt;&gt;'計算A'!$A$3,'計算A'!$A$4=0))),0,IF(11=$K41,200000,ABS(11-$K41)*100)),100000+ABS(5-$J41)*1000+110)+'計算A'!DF$5*50+IF(AND($E41=1,MS41=0),25,0),IF($F41&gt;0,INDEX('計算A'!DF$110:DF$114,$F41+1)+IF(AND($E41=1,MS41=0),1000,0),MIN(TY41,20)*400+(IF('計算A'!DE$106=1,1-HC41,0)+IF('計算A'!DF$106=1,1-HE41,0))*150+115+'計算A'!DF$5*100000+IF(AND($E41=1,MS41=0),50000,0))+IF($H41=1,(IF('計算A'!DE$117=1,INDEX('計算A'!DE$10:DE$54,$B41),0)+IF('計算A'!DF$117=1,INDEX('計算A'!DG$10:DG$54,$B41),0))*4000,0)-IF(AND('計算A'!DE$117=1,YC41&gt;0),2000,0)-IF(AND($L41=1,'計算A'!DF$117=1,HE41=0),2000,0))),1000000))</f>
        <v/>
      </c>
      <c r="SI41">
        <f>IF($B41=0,1000000,IF(INDEX('計算A'!$D$60:$EQ$104,$B41,108)*HE41=1,IF(AND($E41=2,MT41=0),1000000,IF($I41&gt;0,IF(5=$J41,IF(OR(AND(108=$I41+1,OR($K41&lt;&gt;'計算A'!$A$3,'計算A'!$A$4=0)),AND(108=$I41-1,OR(12&lt;&gt;'計算A'!$A$3,'計算A'!$A$4=0))),0,IF(12=$K41,200000,ABS(12-$K41)*100)),100000+ABS(5-$J41)*1000+120)+'計算A'!DG$5*50+IF(AND($E41=1,MT41=0),25,0),IF($F41&gt;0,INDEX('計算A'!DG$110:DG$114,$F41+1)+IF(AND($E41=1,MT41=0),1000,0),MIN(TY41,20)*400+(IF('計算A'!DF$106=1,1-HD41,0)+IF('計算A'!DG$106=1,1-HF41,0))*150+125+'計算A'!DG$5*100000+IF(AND($E41=1,MT41=0),50000,0))+IF($H41=1,(IF('計算A'!DF$117=1,INDEX('計算A'!DF$10:DF$54,$B41),0)+IF('計算A'!DG$117=1,INDEX('計算A'!DH$10:DH$54,$B41),0))*4000,0)-IF(AND('計算A'!DF$117=1,YD41&gt;0),2000,0)-IF(AND($L41=1,'計算A'!DG$117=1,HF41=0),2000,0))),1000000))</f>
        <v/>
      </c>
      <c r="SJ41">
        <f>IF($B41=0,1000000,IF(INDEX('計算A'!$D$60:$EQ$104,$B41,109)*HF41=1,IF(AND($E41=2,MU41=0),1000000,IF($I41&gt;0,IF(5=$J41,IF(OR(AND(109=$I41+1,OR($K41&lt;&gt;'計算A'!$A$3,'計算A'!$A$4=0)),AND(109=$I41-1,OR(13&lt;&gt;'計算A'!$A$3,'計算A'!$A$4=0))),0,IF(13=$K41,200000,ABS(13-$K41)*100)),100000+ABS(5-$J41)*1000+130)+'計算A'!DH$5*50+IF(AND($E41=1,MU41=0),25,0),IF($F41&gt;0,INDEX('計算A'!DH$110:DH$114,$F41+1)+IF(AND($E41=1,MU41=0),1000,0),MIN(TY41,20)*400+(IF('計算A'!DG$106=1,1-HE41,0)+IF('計算A'!DH$106=1,1-HG41,0))*150+135+'計算A'!DH$5*100000+IF(AND($E41=1,MU41=0),50000,0))+IF($H41=1,(IF('計算A'!DG$117=1,INDEX('計算A'!DG$10:DG$54,$B41),0)+IF('計算A'!DH$117=1,INDEX('計算A'!DI$10:DI$54,$B41),0))*4000,0)-IF(AND('計算A'!DG$117=1,YE41&gt;0),2000,0)-IF(AND($L41=1,'計算A'!DH$117=1,HG41=0),2000,0))),1000000))</f>
        <v/>
      </c>
      <c r="SK41">
        <f>IF($B41=0,1000000,IF(INDEX('計算A'!$D$60:$EQ$104,$B41,110)*HG41=1,IF(AND($E41=2,MV41=0),1000000,IF($I41&gt;0,IF(5=$J41,IF(OR(AND(110=$I41+1,OR($K41&lt;&gt;'計算A'!$A$3,'計算A'!$A$4=0)),AND(110=$I41-1,OR(14&lt;&gt;'計算A'!$A$3,'計算A'!$A$4=0))),0,IF(14=$K41,200000,ABS(14-$K41)*100)),100000+ABS(5-$J41)*1000+140)+'計算A'!DI$5*50+IF(AND($E41=1,MV41=0),25,0),IF($F41&gt;0,INDEX('計算A'!DI$110:DI$114,$F41+1)+IF(AND($E41=1,MV41=0),1000,0),MIN(TY41,20)*400+(IF('計算A'!DH$106=1,1-HF41,0)+IF('計算A'!DI$106=1,1-HH41,0))*150+145+'計算A'!DI$5*100000+IF(AND($E41=1,MV41=0),50000,0))+IF($H41=1,(IF('計算A'!DH$117=1,INDEX('計算A'!DH$10:DH$54,$B41),0)+IF('計算A'!DI$117=1,INDEX('計算A'!DJ$10:DJ$54,$B41),0))*4000,0)-IF(AND('計算A'!DH$117=1,YF41&gt;0),2000,0)-IF(AND($L41=1,'計算A'!DI$117=1,HH41=0),2000,0))),1000000))</f>
        <v/>
      </c>
      <c r="SL41">
        <f>IF($B41=0,1000000,IF(INDEX('計算A'!$D$60:$EQ$104,$B41,111)*HH41=1,IF(AND($E41=2,MW41=0),1000000,IF($I41&gt;0,IF(5=$J41,IF(OR(AND(111=$I41+1,OR($K41&lt;&gt;'計算A'!$A$3,'計算A'!$A$4=0)),AND(111=$I41-1,OR(15&lt;&gt;'計算A'!$A$3,'計算A'!$A$4=0))),0,IF(15=$K41,200000,ABS(15-$K41)*100)),100000+ABS(5-$J41)*1000+150)+'計算A'!DJ$5*50+IF(AND($E41=1,MW41=0),25,0),IF($F41&gt;0,INDEX('計算A'!DJ$110:DJ$114,$F41+1)+IF(AND($E41=1,MW41=0),1000,0),MIN(TY41,20)*400+(IF('計算A'!DI$106=1,1-HG41,0)+IF('計算A'!DJ$106=1,1-HI41,0))*150+155+'計算A'!DJ$5*100000+IF(AND($E41=1,MW41=0),50000,0))+IF($H41=1,(IF('計算A'!DI$117=1,INDEX('計算A'!DI$10:DI$54,$B41),0)+IF('計算A'!DJ$117=1,INDEX('計算A'!DK$10:DK$54,$B41),0))*4000,0)-IF(AND('計算A'!DI$117=1,YG41&gt;0),2000,0)-IF(AND($L41=1,'計算A'!DJ$117=1,HI41=0),2000,0))),1000000))</f>
        <v/>
      </c>
      <c r="SM41">
        <f>IF($B41=0,1000000,IF(INDEX('計算A'!$D$60:$EQ$104,$B41,112)*HI41=1,IF(AND($E41=2,MX41=0),1000000,IF($I41&gt;0,IF(5=$J41,IF(OR(AND(112=$I41+1,OR($K41&lt;&gt;'計算A'!$A$3,'計算A'!$A$4=0)),AND(112=$I41-1,OR(16&lt;&gt;'計算A'!$A$3,'計算A'!$A$4=0))),0,IF(16=$K41,200000,ABS(16-$K41)*100)),100000+ABS(5-$J41)*1000+160)+'計算A'!DK$5*50+IF(AND($E41=1,MX41=0),25,0),IF($F41&gt;0,INDEX('計算A'!DK$110:DK$114,$F41+1)+IF(AND($E41=1,MX41=0),1000,0),MIN(TY41,20)*400+(IF('計算A'!DJ$106=1,1-HH41,0)+IF('計算A'!DK$106=1,1-HJ41,0))*150+165+'計算A'!DK$5*100000+IF(AND($E41=1,MX41=0),50000,0))+IF($H41=1,(IF('計算A'!DJ$117=1,INDEX('計算A'!DJ$10:DJ$54,$B41),0)+IF('計算A'!DK$117=1,INDEX('計算A'!DL$10:DL$54,$B41),0))*4000,0)-IF(AND('計算A'!DJ$117=1,YH41&gt;0),2000,0)-IF(AND($L41=1,'計算A'!DK$117=1,HJ41=0),2000,0))),1000000))</f>
        <v/>
      </c>
      <c r="SN41">
        <f>IF($B41=0,1000000,IF(INDEX('計算A'!$D$60:$EQ$104,$B41,113)*HJ41=1,IF(AND($E41=2,MY41=0),1000000,IF($I41&gt;0,IF(5=$J41,IF(OR(AND(113=$I41+1,OR($K41&lt;&gt;'計算A'!$A$3,'計算A'!$A$4=0)),AND(113=$I41-1,OR(17&lt;&gt;'計算A'!$A$3,'計算A'!$A$4=0))),0,IF(17=$K41,200000,ABS(17-$K41)*100)),100000+ABS(5-$J41)*1000+170)+'計算A'!DL$5*50+IF(AND($E41=1,MY41=0),25,0),IF($F41&gt;0,INDEX('計算A'!DL$110:DL$114,$F41+1)+IF(AND($E41=1,MY41=0),1000,0),MIN(TY41,20)*400+(IF('計算A'!DK$106=1,1-HI41,0)+IF('計算A'!DL$106=1,1-HK41,0))*150+175+'計算A'!DL$5*100000+IF(AND($E41=1,MY41=0),50000,0))+IF($H41=1,(IF('計算A'!DK$117=1,INDEX('計算A'!DK$10:DK$54,$B41),0)+IF('計算A'!DL$117=1,INDEX('計算A'!DM$10:DM$54,$B41),0))*4000,0)-IF(AND('計算A'!DK$117=1,YI41&gt;0),2000,0)-IF(AND($L41=1,'計算A'!DL$117=1,HK41=0),2000,0))),1000000))</f>
        <v/>
      </c>
      <c r="SO41">
        <f>IF($B41=0,1000000,IF(INDEX('計算A'!$D$60:$EQ$104,$B41,114)*HK41=1,IF(AND($E41=2,MZ41=0),1000000,IF($I41&gt;0,IF(5=$J41,IF(OR(AND(114=$I41+1,OR($K41&lt;&gt;'計算A'!$A$3,'計算A'!$A$4=0)),AND(114=$I41-1,OR(18&lt;&gt;'計算A'!$A$3,'計算A'!$A$4=0))),0,IF(18=$K41,200000,ABS(18-$K41)*100)),100000+ABS(5-$J41)*1000+180)+'計算A'!DM$5*50+IF(AND($E41=1,MZ41=0),25,0),IF($F41&gt;0,INDEX('計算A'!DM$110:DM$114,$F41+1)+IF(AND($E41=1,MZ41=0),1000,0),MIN(TY41,20)*400+(IF('計算A'!DL$106=1,1-HJ41,0)+IF('計算A'!DM$106=1,1-HL41,0))*150+185+'計算A'!DM$5*100000+IF(AND($E41=1,MZ41=0),50000,0))+IF($H41=1,(IF('計算A'!DL$117=1,INDEX('計算A'!DL$10:DL$54,$B41),0)+IF('計算A'!DM$117=1,INDEX('計算A'!DN$10:DN$54,$B41),0))*4000,0)-IF(AND('計算A'!DL$117=1,YJ41&gt;0),2000,0)-IF(AND($L41=1,'計算A'!DM$117=1,HL41=0),2000,0))),1000000))</f>
        <v/>
      </c>
      <c r="SP41">
        <f>IF($B41=0,1000000,IF(INDEX('計算A'!$D$60:$EQ$104,$B41,115)*HL41=1,IF(AND($E41=2,NA41=0),1000000,IF($I41&gt;0,IF(5=$J41,IF(OR(AND(115=$I41+1,OR($K41&lt;&gt;'計算A'!$A$3,'計算A'!$A$4=0)),AND(115=$I41-1,OR(19&lt;&gt;'計算A'!$A$3,'計算A'!$A$4=0))),0,IF(19=$K41,200000,ABS(19-$K41)*100)),100000+ABS(5-$J41)*1000+190)+'計算A'!DN$5*50+IF(AND($E41=1,NA41=0),25,0),IF($F41&gt;0,INDEX('計算A'!DN$110:DN$114,$F41+1)+IF(AND($E41=1,NA41=0),1000,0),MIN(TY41,20)*400+(IF('計算A'!DM$106=1,1-HK41,0)+IF('計算A'!DN$106=1,1-HM41,0))*150+195+'計算A'!DN$5*100000+IF(AND($E41=1,NA41=0),50000,0))+IF($H41=1,(IF('計算A'!DM$117=1,INDEX('計算A'!DM$10:DM$54,$B41),0)+IF('計算A'!DN$117=1,INDEX('計算A'!DO$10:DO$54,$B41),0))*4000,0)-IF(AND('計算A'!DM$117=1,YK41&gt;0),2000,0)-IF(AND($L41=1,'計算A'!DN$117=1,HM41=0),2000,0))),1000000))</f>
        <v/>
      </c>
      <c r="SQ41">
        <f>IF($B41=0,1000000,IF(INDEX('計算A'!$D$60:$EQ$104,$B41,116)*HM41=1,IF(AND($E41=2,NB41=0),1000000,IF($I41&gt;0,IF(5=$J41,IF(OR(AND(116=$I41+1,OR($K41&lt;&gt;'計算A'!$A$3,'計算A'!$A$4=0)),AND(116=$I41-1,OR(20&lt;&gt;'計算A'!$A$3,'計算A'!$A$4=0))),0,IF(20=$K41,200000,ABS(20-$K41)*100)),100000+ABS(5-$J41)*1000+200)+'計算A'!DO$5*50+IF(AND($E41=1,NB41=0),25,0),IF($F41&gt;0,INDEX('計算A'!DO$110:DO$114,$F41+1)+IF(AND($E41=1,NB41=0),1000,0),MIN(TY41,20)*400+(IF('計算A'!DN$106=1,1-HL41,0)+IF('計算A'!DO$106=1,1-HN41,0))*150+205+'計算A'!DO$5*100000+IF(AND($E41=1,NB41=0),50000,0))+IF($H41=1,(IF('計算A'!DN$117=1,INDEX('計算A'!DN$10:DN$54,$B41),0)+IF('計算A'!DO$117=1,INDEX('計算A'!DP$10:DP$54,$B41),0))*4000,0)-IF(AND('計算A'!DN$117=1,YL41&gt;0),2000,0)-IF(AND($L41=1,'計算A'!DO$117=1,HN41=0),2000,0))),1000000))</f>
        <v/>
      </c>
      <c r="SR41">
        <f>IF($B41=0,1000000,IF(INDEX('計算A'!$D$60:$EQ$104,$B41,117)*HN41=1,IF(AND($E41=2,NC41=0),1000000,IF($I41&gt;0,IF(5=$J41,IF(OR(AND(117=$I41+1,OR($K41&lt;&gt;'計算A'!$A$3,'計算A'!$A$4=0)),AND(117=$I41-1,OR(21&lt;&gt;'計算A'!$A$3,'計算A'!$A$4=0))),0,IF(21=$K41,200000,ABS(21-$K41)*100)),100000+ABS(5-$J41)*1000+210)+'計算A'!DP$5*50+IF(AND($E41=1,NC41=0),25,0),IF($F41&gt;0,INDEX('計算A'!DP$110:DP$114,$F41+1)+IF(AND($E41=1,NC41=0),1000,0),MIN(TY41,20)*400+(IF('計算A'!DO$106=1,1-HM41,0)+IF('計算A'!DP$106=1,1-HO41,0))*150+215+'計算A'!DP$5*100000+IF(AND($E41=1,NC41=0),50000,0))+IF($H41=1,(IF('計算A'!DO$117=1,INDEX('計算A'!DO$10:DO$54,$B41),0)+IF('計算A'!DP$117=1,INDEX('計算A'!DQ$10:DQ$54,$B41),0))*4000,0)-IF(AND('計算A'!DO$117=1,YM41&gt;0),2000,0)-IF(AND($L41=1,'計算A'!DP$117=1,HO41=0),2000,0))),1000000))</f>
        <v/>
      </c>
      <c r="SS41">
        <f>IF($B41=0,1000000,IF(INDEX('計算A'!$D$60:$EQ$104,$B41,118)*HO41=1,IF(AND($E41=2,ND41=0),1000000,IF($I41&gt;0,IF(5=$J41,IF(OR(AND(118=$I41+1,OR($K41&lt;&gt;'計算A'!$A$3,'計算A'!$A$4=0)),AND(118=$I41-1,OR(22&lt;&gt;'計算A'!$A$3,'計算A'!$A$4=0))),0,IF(22=$K41,200000,ABS(22-$K41)*100)),100000+ABS(5-$J41)*1000+220)+'計算A'!DQ$5*50+IF(AND($E41=1,ND41=0),25,0),IF($F41&gt;0,INDEX('計算A'!DQ$110:DQ$114,$F41+1)+IF(AND($E41=1,ND41=0),1000,0),MIN(TY41,20)*400+(IF('計算A'!DP$106=1,1-HN41,0)+IF('計算A'!DQ$106=1,1-HP41,0))*150+225+'計算A'!DQ$5*100000+IF(AND($E41=1,ND41=0),50000,0))+IF($H41=1,(IF('計算A'!DP$117=1,INDEX('計算A'!DP$10:DP$54,$B41),0)+IF('計算A'!DQ$117=1,INDEX('計算A'!DR$10:DR$54,$B41),0))*4000,0)-IF(AND('計算A'!DP$117=1,YN41&gt;0),2000,0)-IF(AND($L41=1,'計算A'!DQ$117=1,HP41=0),2000,0))),1000000))</f>
        <v/>
      </c>
      <c r="ST41">
        <f>IF($B41=0,1000000,IF(INDEX('計算A'!$D$60:$EQ$104,$B41,119)*HP41=1,IF(AND($E41=2,NE41=0),1000000,IF($I41&gt;0,IF(5=$J41,IF(OR(AND(119=$I41+1,OR($K41&lt;&gt;'計算A'!$A$3,'計算A'!$A$4=0)),AND(119=$I41-1,OR(23&lt;&gt;'計算A'!$A$3,'計算A'!$A$4=0))),0,IF(23=$K41,200000,ABS(23-$K41)*100)),100000+ABS(5-$J41)*1000+230)+'計算A'!DR$5*50+IF(AND($E41=1,NE41=0),25,0),IF($F41&gt;0,INDEX('計算A'!DR$110:DR$114,$F41+1)+IF(AND($E41=1,NE41=0),1000,0),MIN(TY41,20)*400+(IF('計算A'!DQ$106=1,1-HO41,0)+IF('計算A'!DR$106=1,1-HQ41,0))*150+235+'計算A'!DR$5*100000+IF(AND($E41=1,NE41=0),50000,0))+IF($H41=1,(IF('計算A'!DQ$117=1,INDEX('計算A'!DQ$10:DQ$54,$B41),0)+IF('計算A'!DR$117=1,INDEX('計算A'!DS$10:DS$54,$B41),0))*4000,0)-IF(AND('計算A'!DQ$117=1,YO41&gt;0),2000,0)-IF(AND($L41=1,'計算A'!DR$117=1,HQ41=0),2000,0))),1000000))</f>
        <v/>
      </c>
      <c r="SU41">
        <f>IF($B41=0,1000000,IF(INDEX('計算A'!$D$60:$EQ$104,$B41,120)*HQ41=1,IF(AND($E41=2,NF41=0),1000000,IF($I41&gt;0,IF(5=$J41,IF(OR(AND(120=$I41+1,OR($K41&lt;&gt;'計算A'!$A$3,'計算A'!$A$4=0)),AND(120=$I41-1,OR(24&lt;&gt;'計算A'!$A$3,'計算A'!$A$4=0))),0,IF(24=$K41,200000,ABS(24-$K41)*100)),100000+ABS(5-$J41)*1000+240)+'計算A'!DS$5*50+IF(AND($E41=1,NF41=0),25,0),IF($F41&gt;0,INDEX('計算A'!DS$110:DS$114,$F41+1)+IF(AND($E41=1,NF41=0),1000,0),MIN(TY41,20)*400+(IF('計算A'!DR$106=1,1-HP41,0))*150+245+'計算A'!DS$5*100000+IF(AND($E41=1,NF41=0),50000,0))+IF($H41=1,(IF('計算A'!DR$117=1,INDEX('計算A'!DR$10:DR$54,$B41),0))*4000,0)-IF(AND('計算A'!DR$117=1,YP41&gt;0),2000,0))),1000000))</f>
        <v/>
      </c>
      <c r="SV41">
        <f>IF($B41=0,1000000,IF(INDEX('計算A'!$D$60:$EQ$104,$B41,121)*HR41=1,IF(AND($E41=2,NG41=0),1000000,IF($I41&gt;0,IF(6=$J41,IF(OR(AND(121=$I41+1,OR($K41&lt;&gt;'計算A'!$A$3,'計算A'!$A$4=0)),AND(121=$I41-1,OR(1&lt;&gt;'計算A'!$A$3,'計算A'!$A$4=0))),0,IF(1=$K41,200000,ABS(1-$K41)*100)),100000+ABS(6-$J41)*1000+10)+'計算A'!DT$5*50+IF(AND($E41=1,NG41=0),25,0),IF($F41&gt;0,INDEX('計算A'!DT$110:DT$114,$F41+1)+IF(AND($E41=1,NG41=0),1000,0),MIN(TZ41,20)*400+(IF('計算A'!DT$106=1,1-HS41,0))*150+16+'計算A'!DT$5*100000+IF(AND($E41=1,NG41=0),50000,0))+IF($H41=1,(IF('計算A'!DT$117=1,INDEX('計算A'!DU$10:DU$54,$B41),0))*4000,0)-IF(AND($L41=1,'計算A'!DT$117=1,HS41=0),2000,0))),1000000))</f>
        <v/>
      </c>
      <c r="SW41">
        <f>IF($B41=0,1000000,IF(INDEX('計算A'!$D$60:$EQ$104,$B41,122)*HS41=1,IF(AND($E41=2,NH41=0),1000000,IF($I41&gt;0,IF(6=$J41,IF(OR(AND(122=$I41+1,OR($K41&lt;&gt;'計算A'!$A$3,'計算A'!$A$4=0)),AND(122=$I41-1,OR(2&lt;&gt;'計算A'!$A$3,'計算A'!$A$4=0))),0,IF(2=$K41,200000,ABS(2-$K41)*100)),100000+ABS(6-$J41)*1000+20)+'計算A'!DU$5*50+IF(AND($E41=1,NH41=0),25,0),IF($F41&gt;0,INDEX('計算A'!DU$110:DU$114,$F41+1)+IF(AND($E41=1,NH41=0),1000,0),MIN(TZ41,20)*400+(IF('計算A'!DT$106=1,1-HR41,0)+IF('計算A'!DU$106=1,1-HT41,0))*150+26+'計算A'!DU$5*100000+IF(AND($E41=1,NH41=0),50000,0))+IF($H41=1,(IF('計算A'!DT$117=1,INDEX('計算A'!DT$10:DT$54,$B41),0)+IF('計算A'!DU$117=1,INDEX('計算A'!DV$10:DV$54,$B41),0))*4000,0)-IF(AND('計算A'!DT$117=1,YR41&gt;0),2000,0)-IF(AND($L41=1,'計算A'!DU$117=1,HT41=0),2000,0))),1000000))</f>
        <v/>
      </c>
      <c r="SX41">
        <f>IF($B41=0,1000000,IF(INDEX('計算A'!$D$60:$EQ$104,$B41,123)*HT41=1,IF(AND($E41=2,NI41=0),1000000,IF($I41&gt;0,IF(6=$J41,IF(OR(AND(123=$I41+1,OR($K41&lt;&gt;'計算A'!$A$3,'計算A'!$A$4=0)),AND(123=$I41-1,OR(3&lt;&gt;'計算A'!$A$3,'計算A'!$A$4=0))),0,IF(3=$K41,200000,ABS(3-$K41)*100)),100000+ABS(6-$J41)*1000+30)+'計算A'!DV$5*50+IF(AND($E41=1,NI41=0),25,0),IF($F41&gt;0,INDEX('計算A'!DV$110:DV$114,$F41+1)+IF(AND($E41=1,NI41=0),1000,0),MIN(TZ41,20)*400+(IF('計算A'!DU$106=1,1-HS41,0)+IF('計算A'!DV$106=1,1-HU41,0))*150+36+'計算A'!DV$5*100000+IF(AND($E41=1,NI41=0),50000,0))+IF($H41=1,(IF('計算A'!DU$117=1,INDEX('計算A'!DU$10:DU$54,$B41),0)+IF('計算A'!DV$117=1,INDEX('計算A'!DW$10:DW$54,$B41),0))*4000,0)-IF(AND('計算A'!DU$117=1,YS41&gt;0),2000,0)-IF(AND($L41=1,'計算A'!DV$117=1,HU41=0),2000,0))),1000000))</f>
        <v/>
      </c>
      <c r="SY41">
        <f>IF($B41=0,1000000,IF(INDEX('計算A'!$D$60:$EQ$104,$B41,124)*HU41=1,IF(AND($E41=2,NJ41=0),1000000,IF($I41&gt;0,IF(6=$J41,IF(OR(AND(124=$I41+1,OR($K41&lt;&gt;'計算A'!$A$3,'計算A'!$A$4=0)),AND(124=$I41-1,OR(4&lt;&gt;'計算A'!$A$3,'計算A'!$A$4=0))),0,IF(4=$K41,200000,ABS(4-$K41)*100)),100000+ABS(6-$J41)*1000+40)+'計算A'!DW$5*50+IF(AND($E41=1,NJ41=0),25,0),IF($F41&gt;0,INDEX('計算A'!DW$110:DW$114,$F41+1)+IF(AND($E41=1,NJ41=0),1000,0),MIN(TZ41,20)*400+(IF('計算A'!DV$106=1,1-HT41,0)+IF('計算A'!DW$106=1,1-HV41,0))*150+46+'計算A'!DW$5*100000+IF(AND($E41=1,NJ41=0),50000,0))+IF($H41=1,(IF('計算A'!DV$117=1,INDEX('計算A'!DV$10:DV$54,$B41),0)+IF('計算A'!DW$117=1,INDEX('計算A'!DX$10:DX$54,$B41),0))*4000,0)-IF(AND('計算A'!DV$117=1,YT41&gt;0),2000,0)-IF(AND($L41=1,'計算A'!DW$117=1,HV41=0),2000,0))),1000000))</f>
        <v/>
      </c>
      <c r="SZ41">
        <f>IF($B41=0,1000000,IF(INDEX('計算A'!$D$60:$EQ$104,$B41,125)*HV41=1,IF(AND($E41=2,NK41=0),1000000,IF($I41&gt;0,IF(6=$J41,IF(OR(AND(125=$I41+1,OR($K41&lt;&gt;'計算A'!$A$3,'計算A'!$A$4=0)),AND(125=$I41-1,OR(5&lt;&gt;'計算A'!$A$3,'計算A'!$A$4=0))),0,IF(5=$K41,200000,ABS(5-$K41)*100)),100000+ABS(6-$J41)*1000+50)+'計算A'!DX$5*50+IF(AND($E41=1,NK41=0),25,0),IF($F41&gt;0,INDEX('計算A'!DX$110:DX$114,$F41+1)+IF(AND($E41=1,NK41=0),1000,0),MIN(TZ41,20)*400+(IF('計算A'!DW$106=1,1-HU41,0)+IF('計算A'!DX$106=1,1-HW41,0))*150+56+'計算A'!DX$5*100000+IF(AND($E41=1,NK41=0),50000,0))+IF($H41=1,(IF('計算A'!DW$117=1,INDEX('計算A'!DW$10:DW$54,$B41),0)+IF('計算A'!DX$117=1,INDEX('計算A'!DY$10:DY$54,$B41),0))*4000,0)-IF(AND('計算A'!DW$117=1,YU41&gt;0),2000,0)-IF(AND($L41=1,'計算A'!DX$117=1,HW41=0),2000,0))),1000000))</f>
        <v/>
      </c>
      <c r="TA41">
        <f>IF($B41=0,1000000,IF(INDEX('計算A'!$D$60:$EQ$104,$B41,126)*HW41=1,IF(AND($E41=2,NL41=0),1000000,IF($I41&gt;0,IF(6=$J41,IF(OR(AND(126=$I41+1,OR($K41&lt;&gt;'計算A'!$A$3,'計算A'!$A$4=0)),AND(126=$I41-1,OR(6&lt;&gt;'計算A'!$A$3,'計算A'!$A$4=0))),0,IF(6=$K41,200000,ABS(6-$K41)*100)),100000+ABS(6-$J41)*1000+60)+'計算A'!DY$5*50+IF(AND($E41=1,NL41=0),25,0),IF($F41&gt;0,INDEX('計算A'!DY$110:DY$114,$F41+1)+IF(AND($E41=1,NL41=0),1000,0),MIN(TZ41,20)*400+(IF('計算A'!DX$106=1,1-HV41,0)+IF('計算A'!DY$106=1,1-HX41,0))*150+66+'計算A'!DY$5*100000+IF(AND($E41=1,NL41=0),50000,0))+IF($H41=1,(IF('計算A'!DX$117=1,INDEX('計算A'!DX$10:DX$54,$B41),0)+IF('計算A'!DY$117=1,INDEX('計算A'!DZ$10:DZ$54,$B41),0))*4000,0)-IF(AND('計算A'!DX$117=1,YV41&gt;0),2000,0)-IF(AND($L41=1,'計算A'!DY$117=1,HX41=0),2000,0))),1000000))</f>
        <v/>
      </c>
      <c r="TB41">
        <f>IF($B41=0,1000000,IF(INDEX('計算A'!$D$60:$EQ$104,$B41,127)*HX41=1,IF(AND($E41=2,NM41=0),1000000,IF($I41&gt;0,IF(6=$J41,IF(OR(AND(127=$I41+1,OR($K41&lt;&gt;'計算A'!$A$3,'計算A'!$A$4=0)),AND(127=$I41-1,OR(7&lt;&gt;'計算A'!$A$3,'計算A'!$A$4=0))),0,IF(7=$K41,200000,ABS(7-$K41)*100)),100000+ABS(6-$J41)*1000+70)+'計算A'!DZ$5*50+IF(AND($E41=1,NM41=0),25,0),IF($F41&gt;0,INDEX('計算A'!DZ$110:DZ$114,$F41+1)+IF(AND($E41=1,NM41=0),1000,0),MIN(TZ41,20)*400+(IF('計算A'!DY$106=1,1-HW41,0)+IF('計算A'!DZ$106=1,1-HY41,0))*150+76+'計算A'!DZ$5*100000+IF(AND($E41=1,NM41=0),50000,0))+IF($H41=1,(IF('計算A'!DY$117=1,INDEX('計算A'!DY$10:DY$54,$B41),0)+IF('計算A'!DZ$117=1,INDEX('計算A'!EA$10:EA$54,$B41),0))*4000,0)-IF(AND('計算A'!DY$117=1,YW41&gt;0),2000,0)-IF(AND($L41=1,'計算A'!DZ$117=1,HY41=0),2000,0))),1000000))</f>
        <v/>
      </c>
      <c r="TC41">
        <f>IF($B41=0,1000000,IF(INDEX('計算A'!$D$60:$EQ$104,$B41,128)*HY41=1,IF(AND($E41=2,NN41=0),1000000,IF($I41&gt;0,IF(6=$J41,IF(OR(AND(128=$I41+1,OR($K41&lt;&gt;'計算A'!$A$3,'計算A'!$A$4=0)),AND(128=$I41-1,OR(8&lt;&gt;'計算A'!$A$3,'計算A'!$A$4=0))),0,IF(8=$K41,200000,ABS(8-$K41)*100)),100000+ABS(6-$J41)*1000+80)+'計算A'!EA$5*50+IF(AND($E41=1,NN41=0),25,0),IF($F41&gt;0,INDEX('計算A'!EA$110:EA$114,$F41+1)+IF(AND($E41=1,NN41=0),1000,0),MIN(TZ41,20)*400+(IF('計算A'!DZ$106=1,1-HX41,0)+IF('計算A'!EA$106=1,1-HZ41,0))*150+86+'計算A'!EA$5*100000+IF(AND($E41=1,NN41=0),50000,0))+IF($H41=1,(IF('計算A'!DZ$117=1,INDEX('計算A'!DZ$10:DZ$54,$B41),0)+IF('計算A'!EA$117=1,INDEX('計算A'!EB$10:EB$54,$B41),0))*4000,0)-IF(AND('計算A'!DZ$117=1,YX41&gt;0),2000,0)-IF(AND($L41=1,'計算A'!EA$117=1,HZ41=0),2000,0))),1000000))</f>
        <v/>
      </c>
      <c r="TD41">
        <f>IF($B41=0,1000000,IF(INDEX('計算A'!$D$60:$EQ$104,$B41,129)*HZ41=1,IF(AND($E41=2,NO41=0),1000000,IF($I41&gt;0,IF(6=$J41,IF(OR(AND(129=$I41+1,OR($K41&lt;&gt;'計算A'!$A$3,'計算A'!$A$4=0)),AND(129=$I41-1,OR(9&lt;&gt;'計算A'!$A$3,'計算A'!$A$4=0))),0,IF(9=$K41,200000,ABS(9-$K41)*100)),100000+ABS(6-$J41)*1000+90)+'計算A'!EB$5*50+IF(AND($E41=1,NO41=0),25,0),IF($F41&gt;0,INDEX('計算A'!EB$110:EB$114,$F41+1)+IF(AND($E41=1,NO41=0),1000,0),MIN(TZ41,20)*400+(IF('計算A'!EA$106=1,1-HY41,0)+IF('計算A'!EB$106=1,1-IA41,0))*150+96+'計算A'!EB$5*100000+IF(AND($E41=1,NO41=0),50000,0))+IF($H41=1,(IF('計算A'!EA$117=1,INDEX('計算A'!EA$10:EA$54,$B41),0)+IF('計算A'!EB$117=1,INDEX('計算A'!EC$10:EC$54,$B41),0))*4000,0)-IF(AND('計算A'!EA$117=1,YY41&gt;0),2000,0)-IF(AND($L41=1,'計算A'!EB$117=1,IA41=0),2000,0))),1000000))</f>
        <v/>
      </c>
      <c r="TE41">
        <f>IF($B41=0,1000000,IF(INDEX('計算A'!$D$60:$EQ$104,$B41,130)*IA41=1,IF(AND($E41=2,NP41=0),1000000,IF($I41&gt;0,IF(6=$J41,IF(OR(AND(130=$I41+1,OR($K41&lt;&gt;'計算A'!$A$3,'計算A'!$A$4=0)),AND(130=$I41-1,OR(10&lt;&gt;'計算A'!$A$3,'計算A'!$A$4=0))),0,IF(10=$K41,200000,ABS(10-$K41)*100)),100000+ABS(6-$J41)*1000+100)+'計算A'!EC$5*50+IF(AND($E41=1,NP41=0),25,0),IF($F41&gt;0,INDEX('計算A'!EC$110:EC$114,$F41+1)+IF(AND($E41=1,NP41=0),1000,0),MIN(TZ41,20)*400+(IF('計算A'!EB$106=1,1-HZ41,0)+IF('計算A'!EC$106=1,1-IB41,0))*150+106+'計算A'!EC$5*100000+IF(AND($E41=1,NP41=0),50000,0))+IF($H41=1,(IF('計算A'!EB$117=1,INDEX('計算A'!EB$10:EB$54,$B41),0)+IF('計算A'!EC$117=1,INDEX('計算A'!ED$10:ED$54,$B41),0))*4000,0)-IF(AND('計算A'!EB$117=1,YZ41&gt;0),2000,0)-IF(AND($L41=1,'計算A'!EC$117=1,IB41=0),2000,0))),1000000))</f>
        <v/>
      </c>
      <c r="TF41">
        <f>IF($B41=0,1000000,IF(INDEX('計算A'!$D$60:$EQ$104,$B41,131)*IB41=1,IF(AND($E41=2,NQ41=0),1000000,IF($I41&gt;0,IF(6=$J41,IF(OR(AND(131=$I41+1,OR($K41&lt;&gt;'計算A'!$A$3,'計算A'!$A$4=0)),AND(131=$I41-1,OR(11&lt;&gt;'計算A'!$A$3,'計算A'!$A$4=0))),0,IF(11=$K41,200000,ABS(11-$K41)*100)),100000+ABS(6-$J41)*1000+110)+'計算A'!ED$5*50+IF(AND($E41=1,NQ41=0),25,0),IF($F41&gt;0,INDEX('計算A'!ED$110:ED$114,$F41+1)+IF(AND($E41=1,NQ41=0),1000,0),MIN(TZ41,20)*400+(IF('計算A'!EC$106=1,1-IA41,0)+IF('計算A'!ED$106=1,1-IC41,0))*150+116+'計算A'!ED$5*100000+IF(AND($E41=1,NQ41=0),50000,0))+IF($H41=1,(IF('計算A'!EC$117=1,INDEX('計算A'!EC$10:EC$54,$B41),0)+IF('計算A'!ED$117=1,INDEX('計算A'!EE$10:EE$54,$B41),0))*4000,0)-IF(AND('計算A'!EC$117=1,ZA41&gt;0),2000,0)-IF(AND($L41=1,'計算A'!ED$117=1,IC41=0),2000,0))),1000000))</f>
        <v/>
      </c>
      <c r="TG41">
        <f>IF($B41=0,1000000,IF(INDEX('計算A'!$D$60:$EQ$104,$B41,132)*IC41=1,IF(AND($E41=2,NR41=0),1000000,IF($I41&gt;0,IF(6=$J41,IF(OR(AND(132=$I41+1,OR($K41&lt;&gt;'計算A'!$A$3,'計算A'!$A$4=0)),AND(132=$I41-1,OR(12&lt;&gt;'計算A'!$A$3,'計算A'!$A$4=0))),0,IF(12=$K41,200000,ABS(12-$K41)*100)),100000+ABS(6-$J41)*1000+120)+'計算A'!EE$5*50+IF(AND($E41=1,NR41=0),25,0),IF($F41&gt;0,INDEX('計算A'!EE$110:EE$114,$F41+1)+IF(AND($E41=1,NR41=0),1000,0),MIN(TZ41,20)*400+(IF('計算A'!ED$106=1,1-IB41,0)+IF('計算A'!EE$106=1,1-ID41,0))*150+126+'計算A'!EE$5*100000+IF(AND($E41=1,NR41=0),50000,0))+IF($H41=1,(IF('計算A'!ED$117=1,INDEX('計算A'!ED$10:ED$54,$B41),0)+IF('計算A'!EE$117=1,INDEX('計算A'!EF$10:EF$54,$B41),0))*4000,0)-IF(AND('計算A'!ED$117=1,ZB41&gt;0),2000,0)-IF(AND($L41=1,'計算A'!EE$117=1,ID41=0),2000,0))),1000000))</f>
        <v/>
      </c>
      <c r="TH41">
        <f>IF($B41=0,1000000,IF(INDEX('計算A'!$D$60:$EQ$104,$B41,133)*ID41=1,IF(AND($E41=2,NS41=0),1000000,IF($I41&gt;0,IF(6=$J41,IF(OR(AND(133=$I41+1,OR($K41&lt;&gt;'計算A'!$A$3,'計算A'!$A$4=0)),AND(133=$I41-1,OR(13&lt;&gt;'計算A'!$A$3,'計算A'!$A$4=0))),0,IF(13=$K41,200000,ABS(13-$K41)*100)),100000+ABS(6-$J41)*1000+130)+'計算A'!EF$5*50+IF(AND($E41=1,NS41=0),25,0),IF($F41&gt;0,INDEX('計算A'!EF$110:EF$114,$F41+1)+IF(AND($E41=1,NS41=0),1000,0),MIN(TZ41,20)*400+(IF('計算A'!EE$106=1,1-IC41,0)+IF('計算A'!EF$106=1,1-IE41,0))*150+136+'計算A'!EF$5*100000+IF(AND($E41=1,NS41=0),50000,0))+IF($H41=1,(IF('計算A'!EE$117=1,INDEX('計算A'!EE$10:EE$54,$B41),0)+IF('計算A'!EF$117=1,INDEX('計算A'!EG$10:EG$54,$B41),0))*4000,0)-IF(AND('計算A'!EE$117=1,ZC41&gt;0),2000,0)-IF(AND($L41=1,'計算A'!EF$117=1,IE41=0),2000,0))),1000000))</f>
        <v/>
      </c>
      <c r="TI41">
        <f>IF($B41=0,1000000,IF(INDEX('計算A'!$D$60:$EQ$104,$B41,134)*IE41=1,IF(AND($E41=2,NT41=0),1000000,IF($I41&gt;0,IF(6=$J41,IF(OR(AND(134=$I41+1,OR($K41&lt;&gt;'計算A'!$A$3,'計算A'!$A$4=0)),AND(134=$I41-1,OR(14&lt;&gt;'計算A'!$A$3,'計算A'!$A$4=0))),0,IF(14=$K41,200000,ABS(14-$K41)*100)),100000+ABS(6-$J41)*1000+140)+'計算A'!EG$5*50+IF(AND($E41=1,NT41=0),25,0),IF($F41&gt;0,INDEX('計算A'!EG$110:EG$114,$F41+1)+IF(AND($E41=1,NT41=0),1000,0),MIN(TZ41,20)*400+(IF('計算A'!EF$106=1,1-ID41,0)+IF('計算A'!EG$106=1,1-IF41,0))*150+146+'計算A'!EG$5*100000+IF(AND($E41=1,NT41=0),50000,0))+IF($H41=1,(IF('計算A'!EF$117=1,INDEX('計算A'!EF$10:EF$54,$B41),0)+IF('計算A'!EG$117=1,INDEX('計算A'!EH$10:EH$54,$B41),0))*4000,0)-IF(AND('計算A'!EF$117=1,ZD41&gt;0),2000,0)-IF(AND($L41=1,'計算A'!EG$117=1,IF41=0),2000,0))),1000000))</f>
        <v/>
      </c>
      <c r="TJ41">
        <f>IF($B41=0,1000000,IF(INDEX('計算A'!$D$60:$EQ$104,$B41,135)*IF41=1,IF(AND($E41=2,NU41=0),1000000,IF($I41&gt;0,IF(6=$J41,IF(OR(AND(135=$I41+1,OR($K41&lt;&gt;'計算A'!$A$3,'計算A'!$A$4=0)),AND(135=$I41-1,OR(15&lt;&gt;'計算A'!$A$3,'計算A'!$A$4=0))),0,IF(15=$K41,200000,ABS(15-$K41)*100)),100000+ABS(6-$J41)*1000+150)+'計算A'!EH$5*50+IF(AND($E41=1,NU41=0),25,0),IF($F41&gt;0,INDEX('計算A'!EH$110:EH$114,$F41+1)+IF(AND($E41=1,NU41=0),1000,0),MIN(TZ41,20)*400+(IF('計算A'!EG$106=1,1-IE41,0)+IF('計算A'!EH$106=1,1-IG41,0))*150+156+'計算A'!EH$5*100000+IF(AND($E41=1,NU41=0),50000,0))+IF($H41=1,(IF('計算A'!EG$117=1,INDEX('計算A'!EG$10:EG$54,$B41),0)+IF('計算A'!EH$117=1,INDEX('計算A'!EI$10:EI$54,$B41),0))*4000,0)-IF(AND('計算A'!EG$117=1,ZE41&gt;0),2000,0)-IF(AND($L41=1,'計算A'!EH$117=1,IG41=0),2000,0))),1000000))</f>
        <v/>
      </c>
      <c r="TK41">
        <f>IF($B41=0,1000000,IF(INDEX('計算A'!$D$60:$EQ$104,$B41,136)*IG41=1,IF(AND($E41=2,NV41=0),1000000,IF($I41&gt;0,IF(6=$J41,IF(OR(AND(136=$I41+1,OR($K41&lt;&gt;'計算A'!$A$3,'計算A'!$A$4=0)),AND(136=$I41-1,OR(16&lt;&gt;'計算A'!$A$3,'計算A'!$A$4=0))),0,IF(16=$K41,200000,ABS(16-$K41)*100)),100000+ABS(6-$J41)*1000+160)+'計算A'!EI$5*50+IF(AND($E41=1,NV41=0),25,0),IF($F41&gt;0,INDEX('計算A'!EI$110:EI$114,$F41+1)+IF(AND($E41=1,NV41=0),1000,0),MIN(TZ41,20)*400+(IF('計算A'!EH$106=1,1-IF41,0)+IF('計算A'!EI$106=1,1-IH41,0))*150+166+'計算A'!EI$5*100000+IF(AND($E41=1,NV41=0),50000,0))+IF($H41=1,(IF('計算A'!EH$117=1,INDEX('計算A'!EH$10:EH$54,$B41),0)+IF('計算A'!EI$117=1,INDEX('計算A'!EJ$10:EJ$54,$B41),0))*4000,0)-IF(AND('計算A'!EH$117=1,ZF41&gt;0),2000,0)-IF(AND($L41=1,'計算A'!EI$117=1,IH41=0),2000,0))),1000000))</f>
        <v/>
      </c>
      <c r="TL41">
        <f>IF($B41=0,1000000,IF(INDEX('計算A'!$D$60:$EQ$104,$B41,137)*IH41=1,IF(AND($E41=2,NW41=0),1000000,IF($I41&gt;0,IF(6=$J41,IF(OR(AND(137=$I41+1,OR($K41&lt;&gt;'計算A'!$A$3,'計算A'!$A$4=0)),AND(137=$I41-1,OR(17&lt;&gt;'計算A'!$A$3,'計算A'!$A$4=0))),0,IF(17=$K41,200000,ABS(17-$K41)*100)),100000+ABS(6-$J41)*1000+170)+'計算A'!EJ$5*50+IF(AND($E41=1,NW41=0),25,0),IF($F41&gt;0,INDEX('計算A'!EJ$110:EJ$114,$F41+1)+IF(AND($E41=1,NW41=0),1000,0),MIN(TZ41,20)*400+(IF('計算A'!EI$106=1,1-IG41,0)+IF('計算A'!EJ$106=1,1-II41,0))*150+176+'計算A'!EJ$5*100000+IF(AND($E41=1,NW41=0),50000,0))+IF($H41=1,(IF('計算A'!EI$117=1,INDEX('計算A'!EI$10:EI$54,$B41),0)+IF('計算A'!EJ$117=1,INDEX('計算A'!EK$10:EK$54,$B41),0))*4000,0)-IF(AND('計算A'!EI$117=1,ZG41&gt;0),2000,0)-IF(AND($L41=1,'計算A'!EJ$117=1,II41=0),2000,0))),1000000))</f>
        <v/>
      </c>
      <c r="TM41">
        <f>IF($B41=0,1000000,IF(INDEX('計算A'!$D$60:$EQ$104,$B41,138)*II41=1,IF(AND($E41=2,NX41=0),1000000,IF($I41&gt;0,IF(6=$J41,IF(OR(AND(138=$I41+1,OR($K41&lt;&gt;'計算A'!$A$3,'計算A'!$A$4=0)),AND(138=$I41-1,OR(18&lt;&gt;'計算A'!$A$3,'計算A'!$A$4=0))),0,IF(18=$K41,200000,ABS(18-$K41)*100)),100000+ABS(6-$J41)*1000+180)+'計算A'!EK$5*50+IF(AND($E41=1,NX41=0),25,0),IF($F41&gt;0,INDEX('計算A'!EK$110:EK$114,$F41+1)+IF(AND($E41=1,NX41=0),1000,0),MIN(TZ41,20)*400+(IF('計算A'!EJ$106=1,1-IH41,0)+IF('計算A'!EK$106=1,1-IJ41,0))*150+186+'計算A'!EK$5*100000+IF(AND($E41=1,NX41=0),50000,0))+IF($H41=1,(IF('計算A'!EJ$117=1,INDEX('計算A'!EJ$10:EJ$54,$B41),0)+IF('計算A'!EK$117=1,INDEX('計算A'!EL$10:EL$54,$B41),0))*4000,0)-IF(AND('計算A'!EJ$117=1,ZH41&gt;0),2000,0)-IF(AND($L41=1,'計算A'!EK$117=1,IJ41=0),2000,0))),1000000))</f>
        <v/>
      </c>
      <c r="TN41">
        <f>IF($B41=0,1000000,IF(INDEX('計算A'!$D$60:$EQ$104,$B41,139)*IJ41=1,IF(AND($E41=2,NY41=0),1000000,IF($I41&gt;0,IF(6=$J41,IF(OR(AND(139=$I41+1,OR($K41&lt;&gt;'計算A'!$A$3,'計算A'!$A$4=0)),AND(139=$I41-1,OR(19&lt;&gt;'計算A'!$A$3,'計算A'!$A$4=0))),0,IF(19=$K41,200000,ABS(19-$K41)*100)),100000+ABS(6-$J41)*1000+190)+'計算A'!EL$5*50+IF(AND($E41=1,NY41=0),25,0),IF($F41&gt;0,INDEX('計算A'!EL$110:EL$114,$F41+1)+IF(AND($E41=1,NY41=0),1000,0),MIN(TZ41,20)*400+(IF('計算A'!EK$106=1,1-II41,0)+IF('計算A'!EL$106=1,1-IK41,0))*150+196+'計算A'!EL$5*100000+IF(AND($E41=1,NY41=0),50000,0))+IF($H41=1,(IF('計算A'!EK$117=1,INDEX('計算A'!EK$10:EK$54,$B41),0)+IF('計算A'!EL$117=1,INDEX('計算A'!EM$10:EM$54,$B41),0))*4000,0)-IF(AND('計算A'!EK$117=1,ZI41&gt;0),2000,0)-IF(AND($L41=1,'計算A'!EL$117=1,IK41=0),2000,0))),1000000))</f>
        <v/>
      </c>
      <c r="TO41">
        <f>IF($B41=0,1000000,IF(INDEX('計算A'!$D$60:$EQ$104,$B41,140)*IK41=1,IF(AND($E41=2,NZ41=0),1000000,IF($I41&gt;0,IF(6=$J41,IF(OR(AND(140=$I41+1,OR($K41&lt;&gt;'計算A'!$A$3,'計算A'!$A$4=0)),AND(140=$I41-1,OR(20&lt;&gt;'計算A'!$A$3,'計算A'!$A$4=0))),0,IF(20=$K41,200000,ABS(20-$K41)*100)),100000+ABS(6-$J41)*1000+200)+'計算A'!EM$5*50+IF(AND($E41=1,NZ41=0),25,0),IF($F41&gt;0,INDEX('計算A'!EM$110:EM$114,$F41+1)+IF(AND($E41=1,NZ41=0),1000,0),MIN(TZ41,20)*400+(IF('計算A'!EL$106=1,1-IJ41,0)+IF('計算A'!EM$106=1,1-IL41,0))*150+206+'計算A'!EM$5*100000+IF(AND($E41=1,NZ41=0),50000,0))+IF($H41=1,(IF('計算A'!EL$117=1,INDEX('計算A'!EL$10:EL$54,$B41),0)+IF('計算A'!EM$117=1,INDEX('計算A'!EN$10:EN$54,$B41),0))*4000,0)-IF(AND('計算A'!EL$117=1,ZJ41&gt;0),2000,0)-IF(AND($L41=1,'計算A'!EM$117=1,IL41=0),2000,0))),1000000))</f>
        <v/>
      </c>
      <c r="TP41">
        <f>IF($B41=0,1000000,IF(INDEX('計算A'!$D$60:$EQ$104,$B41,141)*IL41=1,IF(AND($E41=2,OA41=0),1000000,IF($I41&gt;0,IF(6=$J41,IF(OR(AND(141=$I41+1,OR($K41&lt;&gt;'計算A'!$A$3,'計算A'!$A$4=0)),AND(141=$I41-1,OR(21&lt;&gt;'計算A'!$A$3,'計算A'!$A$4=0))),0,IF(21=$K41,200000,ABS(21-$K41)*100)),100000+ABS(6-$J41)*1000+210)+'計算A'!EN$5*50+IF(AND($E41=1,OA41=0),25,0),IF($F41&gt;0,INDEX('計算A'!EN$110:EN$114,$F41+1)+IF(AND($E41=1,OA41=0),1000,0),MIN(TZ41,20)*400+(IF('計算A'!EM$106=1,1-IK41,0)+IF('計算A'!EN$106=1,1-IM41,0))*150+216+'計算A'!EN$5*100000+IF(AND($E41=1,OA41=0),50000,0))+IF($H41=1,(IF('計算A'!EM$117=1,INDEX('計算A'!EM$10:EM$54,$B41),0)+IF('計算A'!EN$117=1,INDEX('計算A'!EO$10:EO$54,$B41),0))*4000,0)-IF(AND('計算A'!EM$117=1,ZK41&gt;0),2000,0)-IF(AND($L41=1,'計算A'!EN$117=1,IM41=0),2000,0))),1000000))</f>
        <v/>
      </c>
      <c r="TQ41">
        <f>IF($B41=0,1000000,IF(INDEX('計算A'!$D$60:$EQ$104,$B41,142)*IM41=1,IF(AND($E41=2,OB41=0),1000000,IF($I41&gt;0,IF(6=$J41,IF(OR(AND(142=$I41+1,OR($K41&lt;&gt;'計算A'!$A$3,'計算A'!$A$4=0)),AND(142=$I41-1,OR(22&lt;&gt;'計算A'!$A$3,'計算A'!$A$4=0))),0,IF(22=$K41,200000,ABS(22-$K41)*100)),100000+ABS(6-$J41)*1000+220)+'計算A'!EO$5*50+IF(AND($E41=1,OB41=0),25,0),IF($F41&gt;0,INDEX('計算A'!EO$110:EO$114,$F41+1)+IF(AND($E41=1,OB41=0),1000,0),MIN(TZ41,20)*400+(IF('計算A'!EN$106=1,1-IL41,0)+IF('計算A'!EO$106=1,1-IN41,0))*150+226+'計算A'!EO$5*100000+IF(AND($E41=1,OB41=0),50000,0))+IF($H41=1,(IF('計算A'!EN$117=1,INDEX('計算A'!EN$10:EN$54,$B41),0)+IF('計算A'!EO$117=1,INDEX('計算A'!EP$10:EP$54,$B41),0))*4000,0)-IF(AND('計算A'!EN$117=1,ZL41&gt;0),2000,0)-IF(AND($L41=1,'計算A'!EO$117=1,IN41=0),2000,0))),1000000))</f>
        <v/>
      </c>
      <c r="TR41">
        <f>IF($B41=0,1000000,IF(INDEX('計算A'!$D$60:$EQ$104,$B41,143)*IN41=1,IF(AND($E41=2,OC41=0),1000000,IF($I41&gt;0,IF(6=$J41,IF(OR(AND(143=$I41+1,OR($K41&lt;&gt;'計算A'!$A$3,'計算A'!$A$4=0)),AND(143=$I41-1,OR(23&lt;&gt;'計算A'!$A$3,'計算A'!$A$4=0))),0,IF(23=$K41,200000,ABS(23-$K41)*100)),100000+ABS(6-$J41)*1000+230)+'計算A'!EP$5*50+IF(AND($E41=1,OC41=0),25,0),IF($F41&gt;0,INDEX('計算A'!EP$110:EP$114,$F41+1)+IF(AND($E41=1,OC41=0),1000,0),MIN(TZ41,20)*400+(IF('計算A'!EO$106=1,1-IM41,0)+IF('計算A'!EP$106=1,1-IO41,0))*150+236+'計算A'!EP$5*100000+IF(AND($E41=1,OC41=0),50000,0))+IF($H41=1,(IF('計算A'!EO$117=1,INDEX('計算A'!EO$10:EO$54,$B41),0)+IF('計算A'!EP$117=1,INDEX('計算A'!EQ$10:EQ$54,$B41),0))*4000,0)-IF(AND('計算A'!EO$117=1,ZM41&gt;0),2000,0)-IF(AND($L41=1,'計算A'!EP$117=1,IO41=0),2000,0))),1000000))</f>
        <v/>
      </c>
      <c r="TS41">
        <f>IF($B41=0,1000000,IF(INDEX('計算A'!$D$60:$EQ$104,$B41,144)*IO41=1,IF(AND($E41=2,OD41=0),1000000,IF($I41&gt;0,IF(6=$J41,IF(OR(AND(144=$I41+1,OR($K41&lt;&gt;'計算A'!$A$3,'計算A'!$A$4=0)),AND(144=$I41-1,OR(24&lt;&gt;'計算A'!$A$3,'計算A'!$A$4=0))),0,IF(24=$K41,200000,ABS(24-$K41)*100)),100000+ABS(6-$J41)*1000+240)+'計算A'!EQ$5*50+IF(AND($E41=1,OD41=0),25,0),IF($F41&gt;0,INDEX('計算A'!EQ$110:EQ$114,$F41+1)+IF(AND($E41=1,OD41=0),1000,0),MIN(TZ41,20)*400+(IF('計算A'!EP$106=1,1-IN41,0))*150+246+'計算A'!EQ$5*100000+IF(AND($E41=1,OD41=0),50000,0))+IF($H41=1,(IF('計算A'!EP$117=1,INDEX('計算A'!EP$10:EP$54,$B41),0))*4000,0)-IF(AND('計算A'!EP$117=1,ZN41&gt;0),2000,0))),1000000))</f>
        <v/>
      </c>
      <c r="TU41">
        <f>TU40+IF($C40&gt;0,IF(INDEX('計算A'!$D$2:$EQ$2,$C40)=1,1,0),0)</f>
        <v/>
      </c>
      <c r="TV41">
        <f>TV40+IF($C40&gt;0,IF(INDEX('計算A'!$D$2:$EQ$2,$C40)=2,1,0),0)</f>
        <v/>
      </c>
      <c r="TW41">
        <f>TW40+IF($C40&gt;0,IF(INDEX('計算A'!$D$2:$EQ$2,$C40)=3,1,0),0)</f>
        <v/>
      </c>
      <c r="TX41">
        <f>TX40+IF($C40&gt;0,IF(INDEX('計算A'!$D$2:$EQ$2,$C40)=4,1,0),0)</f>
        <v/>
      </c>
      <c r="TY41">
        <f>TY40+IF($C40&gt;0,IF(INDEX('計算A'!$D$2:$EQ$2,$C40)=5,1,0),0)</f>
        <v/>
      </c>
      <c r="TZ41">
        <f>TZ40+IF($C40&gt;0,IF(INDEX('計算A'!$D$2:$EQ$2,$C40)=6,1,0),0)</f>
        <v/>
      </c>
      <c r="UB41">
        <f>UB40+IF(AND($C40=1,$L40=1),1,0)</f>
        <v/>
      </c>
      <c r="UC41">
        <f>UC40+IF(AND($C40=2,$L40=1),1,0)</f>
        <v/>
      </c>
      <c r="UD41">
        <f>UD40+IF(AND($C40=3,$L40=1),1,0)</f>
        <v/>
      </c>
      <c r="UE41">
        <f>UE40+IF(AND($C40=4,$L40=1),1,0)</f>
        <v/>
      </c>
      <c r="UF41">
        <f>UF40+IF(AND($C40=5,$L40=1),1,0)</f>
        <v/>
      </c>
      <c r="UG41">
        <f>UG40+IF(AND($C40=6,$L40=1),1,0)</f>
        <v/>
      </c>
      <c r="UH41">
        <f>UH40+IF(AND($C40=7,$L40=1),1,0)</f>
        <v/>
      </c>
      <c r="UI41">
        <f>UI40+IF(AND($C40=8,$L40=1),1,0)</f>
        <v/>
      </c>
      <c r="UJ41">
        <f>UJ40+IF(AND($C40=9,$L40=1),1,0)</f>
        <v/>
      </c>
      <c r="UK41">
        <f>UK40+IF(AND($C40=10,$L40=1),1,0)</f>
        <v/>
      </c>
      <c r="UL41">
        <f>UL40+IF(AND($C40=11,$L40=1),1,0)</f>
        <v/>
      </c>
      <c r="UM41">
        <f>UM40+IF(AND($C40=12,$L40=1),1,0)</f>
        <v/>
      </c>
      <c r="UN41">
        <f>UN40+IF(AND($C40=13,$L40=1),1,0)</f>
        <v/>
      </c>
      <c r="UO41">
        <f>UO40+IF(AND($C40=14,$L40=1),1,0)</f>
        <v/>
      </c>
      <c r="UP41">
        <f>UP40+IF(AND($C40=15,$L40=1),1,0)</f>
        <v/>
      </c>
      <c r="UQ41">
        <f>UQ40+IF(AND($C40=16,$L40=1),1,0)</f>
        <v/>
      </c>
      <c r="UR41">
        <f>UR40+IF(AND($C40=17,$L40=1),1,0)</f>
        <v/>
      </c>
      <c r="US41">
        <f>US40+IF(AND($C40=18,$L40=1),1,0)</f>
        <v/>
      </c>
      <c r="UT41">
        <f>UT40+IF(AND($C40=19,$L40=1),1,0)</f>
        <v/>
      </c>
      <c r="UU41">
        <f>UU40+IF(AND($C40=20,$L40=1),1,0)</f>
        <v/>
      </c>
      <c r="UV41">
        <f>UV40+IF(AND($C40=21,$L40=1),1,0)</f>
        <v/>
      </c>
      <c r="UW41">
        <f>UW40+IF(AND($C40=22,$L40=1),1,0)</f>
        <v/>
      </c>
      <c r="UX41">
        <f>UX40+IF(AND($C40=23,$L40=1),1,0)</f>
        <v/>
      </c>
      <c r="UY41">
        <f>UY40+IF(AND($C40=24,$L40=1),1,0)</f>
        <v/>
      </c>
      <c r="UZ41">
        <f>UZ40+IF(AND($C40=25,$L40=1),1,0)</f>
        <v/>
      </c>
      <c r="VA41">
        <f>VA40+IF(AND($C40=26,$L40=1),1,0)</f>
        <v/>
      </c>
      <c r="VB41">
        <f>VB40+IF(AND($C40=27,$L40=1),1,0)</f>
        <v/>
      </c>
      <c r="VC41">
        <f>VC40+IF(AND($C40=28,$L40=1),1,0)</f>
        <v/>
      </c>
      <c r="VD41">
        <f>VD40+IF(AND($C40=29,$L40=1),1,0)</f>
        <v/>
      </c>
      <c r="VE41">
        <f>VE40+IF(AND($C40=30,$L40=1),1,0)</f>
        <v/>
      </c>
      <c r="VF41">
        <f>VF40+IF(AND($C40=31,$L40=1),1,0)</f>
        <v/>
      </c>
      <c r="VG41">
        <f>VG40+IF(AND($C40=32,$L40=1),1,0)</f>
        <v/>
      </c>
      <c r="VH41">
        <f>VH40+IF(AND($C40=33,$L40=1),1,0)</f>
        <v/>
      </c>
      <c r="VI41">
        <f>VI40+IF(AND($C40=34,$L40=1),1,0)</f>
        <v/>
      </c>
      <c r="VJ41">
        <f>VJ40+IF(AND($C40=35,$L40=1),1,0)</f>
        <v/>
      </c>
      <c r="VK41">
        <f>VK40+IF(AND($C40=36,$L40=1),1,0)</f>
        <v/>
      </c>
      <c r="VL41">
        <f>VL40+IF(AND($C40=37,$L40=1),1,0)</f>
        <v/>
      </c>
      <c r="VM41">
        <f>VM40+IF(AND($C40=38,$L40=1),1,0)</f>
        <v/>
      </c>
      <c r="VN41">
        <f>VN40+IF(AND($C40=39,$L40=1),1,0)</f>
        <v/>
      </c>
      <c r="VO41">
        <f>VO40+IF(AND($C40=40,$L40=1),1,0)</f>
        <v/>
      </c>
      <c r="VP41">
        <f>VP40+IF(AND($C40=41,$L40=1),1,0)</f>
        <v/>
      </c>
      <c r="VQ41">
        <f>VQ40+IF(AND($C40=42,$L40=1),1,0)</f>
        <v/>
      </c>
      <c r="VR41">
        <f>VR40+IF(AND($C40=43,$L40=1),1,0)</f>
        <v/>
      </c>
      <c r="VS41">
        <f>VS40+IF(AND($C40=44,$L40=1),1,0)</f>
        <v/>
      </c>
      <c r="VT41">
        <f>VT40+IF(AND($C40=45,$L40=1),1,0)</f>
        <v/>
      </c>
      <c r="VU41">
        <f>VU40+IF(AND($C40=46,$L40=1),1,0)</f>
        <v/>
      </c>
      <c r="VV41">
        <f>VV40+IF(AND($C40=47,$L40=1),1,0)</f>
        <v/>
      </c>
      <c r="VW41">
        <f>VW40+IF(AND($C40=48,$L40=1),1,0)</f>
        <v/>
      </c>
      <c r="VX41">
        <f>VX40+IF(AND($C40=49,$L40=1),1,0)</f>
        <v/>
      </c>
      <c r="VY41">
        <f>VY40+IF(AND($C40=50,$L40=1),1,0)</f>
        <v/>
      </c>
      <c r="VZ41">
        <f>VZ40+IF(AND($C40=51,$L40=1),1,0)</f>
        <v/>
      </c>
      <c r="WA41">
        <f>WA40+IF(AND($C40=52,$L40=1),1,0)</f>
        <v/>
      </c>
      <c r="WB41">
        <f>WB40+IF(AND($C40=53,$L40=1),1,0)</f>
        <v/>
      </c>
      <c r="WC41">
        <f>WC40+IF(AND($C40=54,$L40=1),1,0)</f>
        <v/>
      </c>
      <c r="WD41">
        <f>WD40+IF(AND($C40=55,$L40=1),1,0)</f>
        <v/>
      </c>
      <c r="WE41">
        <f>WE40+IF(AND($C40=56,$L40=1),1,0)</f>
        <v/>
      </c>
      <c r="WF41">
        <f>WF40+IF(AND($C40=57,$L40=1),1,0)</f>
        <v/>
      </c>
      <c r="WG41">
        <f>WG40+IF(AND($C40=58,$L40=1),1,0)</f>
        <v/>
      </c>
      <c r="WH41">
        <f>WH40+IF(AND($C40=59,$L40=1),1,0)</f>
        <v/>
      </c>
      <c r="WI41">
        <f>WI40+IF(AND($C40=60,$L40=1),1,0)</f>
        <v/>
      </c>
      <c r="WJ41">
        <f>WJ40+IF(AND($C40=61,$L40=1),1,0)</f>
        <v/>
      </c>
      <c r="WK41">
        <f>WK40+IF(AND($C40=62,$L40=1),1,0)</f>
        <v/>
      </c>
      <c r="WL41">
        <f>WL40+IF(AND($C40=63,$L40=1),1,0)</f>
        <v/>
      </c>
      <c r="WM41">
        <f>WM40+IF(AND($C40=64,$L40=1),1,0)</f>
        <v/>
      </c>
      <c r="WN41">
        <f>WN40+IF(AND($C40=65,$L40=1),1,0)</f>
        <v/>
      </c>
      <c r="WO41">
        <f>WO40+IF(AND($C40=66,$L40=1),1,0)</f>
        <v/>
      </c>
      <c r="WP41">
        <f>WP40+IF(AND($C40=67,$L40=1),1,0)</f>
        <v/>
      </c>
      <c r="WQ41">
        <f>WQ40+IF(AND($C40=68,$L40=1),1,0)</f>
        <v/>
      </c>
      <c r="WR41">
        <f>WR40+IF(AND($C40=69,$L40=1),1,0)</f>
        <v/>
      </c>
      <c r="WS41">
        <f>WS40+IF(AND($C40=70,$L40=1),1,0)</f>
        <v/>
      </c>
      <c r="WT41">
        <f>WT40+IF(AND($C40=71,$L40=1),1,0)</f>
        <v/>
      </c>
      <c r="WU41">
        <f>WU40+IF(AND($C40=72,$L40=1),1,0)</f>
        <v/>
      </c>
      <c r="WV41">
        <f>WV40+IF(AND($C40=73,$L40=1),1,0)</f>
        <v/>
      </c>
      <c r="WW41">
        <f>WW40+IF(AND($C40=74,$L40=1),1,0)</f>
        <v/>
      </c>
      <c r="WX41">
        <f>WX40+IF(AND($C40=75,$L40=1),1,0)</f>
        <v/>
      </c>
      <c r="WY41">
        <f>WY40+IF(AND($C40=76,$L40=1),1,0)</f>
        <v/>
      </c>
      <c r="WZ41">
        <f>WZ40+IF(AND($C40=77,$L40=1),1,0)</f>
        <v/>
      </c>
      <c r="XA41">
        <f>XA40+IF(AND($C40=78,$L40=1),1,0)</f>
        <v/>
      </c>
      <c r="XB41">
        <f>XB40+IF(AND($C40=79,$L40=1),1,0)</f>
        <v/>
      </c>
      <c r="XC41">
        <f>XC40+IF(AND($C40=80,$L40=1),1,0)</f>
        <v/>
      </c>
      <c r="XD41">
        <f>XD40+IF(AND($C40=81,$L40=1),1,0)</f>
        <v/>
      </c>
      <c r="XE41">
        <f>XE40+IF(AND($C40=82,$L40=1),1,0)</f>
        <v/>
      </c>
      <c r="XF41">
        <f>XF40+IF(AND($C40=83,$L40=1),1,0)</f>
        <v/>
      </c>
      <c r="XG41">
        <f>XG40+IF(AND($C40=84,$L40=1),1,0)</f>
        <v/>
      </c>
      <c r="XH41">
        <f>XH40+IF(AND($C40=85,$L40=1),1,0)</f>
        <v/>
      </c>
      <c r="XI41">
        <f>XI40+IF(AND($C40=86,$L40=1),1,0)</f>
        <v/>
      </c>
      <c r="XJ41">
        <f>XJ40+IF(AND($C40=87,$L40=1),1,0)</f>
        <v/>
      </c>
      <c r="XK41">
        <f>XK40+IF(AND($C40=88,$L40=1),1,0)</f>
        <v/>
      </c>
      <c r="XL41">
        <f>XL40+IF(AND($C40=89,$L40=1),1,0)</f>
        <v/>
      </c>
      <c r="XM41">
        <f>XM40+IF(AND($C40=90,$L40=1),1,0)</f>
        <v/>
      </c>
      <c r="XN41">
        <f>XN40+IF(AND($C40=91,$L40=1),1,0)</f>
        <v/>
      </c>
      <c r="XO41">
        <f>XO40+IF(AND($C40=92,$L40=1),1,0)</f>
        <v/>
      </c>
      <c r="XP41">
        <f>XP40+IF(AND($C40=93,$L40=1),1,0)</f>
        <v/>
      </c>
      <c r="XQ41">
        <f>XQ40+IF(AND($C40=94,$L40=1),1,0)</f>
        <v/>
      </c>
      <c r="XR41">
        <f>XR40+IF(AND($C40=95,$L40=1),1,0)</f>
        <v/>
      </c>
      <c r="XS41">
        <f>XS40+IF(AND($C40=96,$L40=1),1,0)</f>
        <v/>
      </c>
      <c r="XT41">
        <f>XT40+IF(AND($C40=97,$L40=1),1,0)</f>
        <v/>
      </c>
      <c r="XU41">
        <f>XU40+IF(AND($C40=98,$L40=1),1,0)</f>
        <v/>
      </c>
      <c r="XV41">
        <f>XV40+IF(AND($C40=99,$L40=1),1,0)</f>
        <v/>
      </c>
      <c r="XW41">
        <f>XW40+IF(AND($C40=100,$L40=1),1,0)</f>
        <v/>
      </c>
      <c r="XX41">
        <f>XX40+IF(AND($C40=101,$L40=1),1,0)</f>
        <v/>
      </c>
      <c r="XY41">
        <f>XY40+IF(AND($C40=102,$L40=1),1,0)</f>
        <v/>
      </c>
      <c r="XZ41">
        <f>XZ40+IF(AND($C40=103,$L40=1),1,0)</f>
        <v/>
      </c>
      <c r="YA41">
        <f>YA40+IF(AND($C40=104,$L40=1),1,0)</f>
        <v/>
      </c>
      <c r="YB41">
        <f>YB40+IF(AND($C40=105,$L40=1),1,0)</f>
        <v/>
      </c>
      <c r="YC41">
        <f>YC40+IF(AND($C40=106,$L40=1),1,0)</f>
        <v/>
      </c>
      <c r="YD41">
        <f>YD40+IF(AND($C40=107,$L40=1),1,0)</f>
        <v/>
      </c>
      <c r="YE41">
        <f>YE40+IF(AND($C40=108,$L40=1),1,0)</f>
        <v/>
      </c>
      <c r="YF41">
        <f>YF40+IF(AND($C40=109,$L40=1),1,0)</f>
        <v/>
      </c>
      <c r="YG41">
        <f>YG40+IF(AND($C40=110,$L40=1),1,0)</f>
        <v/>
      </c>
      <c r="YH41">
        <f>YH40+IF(AND($C40=111,$L40=1),1,0)</f>
        <v/>
      </c>
      <c r="YI41">
        <f>YI40+IF(AND($C40=112,$L40=1),1,0)</f>
        <v/>
      </c>
      <c r="YJ41">
        <f>YJ40+IF(AND($C40=113,$L40=1),1,0)</f>
        <v/>
      </c>
      <c r="YK41">
        <f>YK40+IF(AND($C40=114,$L40=1),1,0)</f>
        <v/>
      </c>
      <c r="YL41">
        <f>YL40+IF(AND($C40=115,$L40=1),1,0)</f>
        <v/>
      </c>
      <c r="YM41">
        <f>YM40+IF(AND($C40=116,$L40=1),1,0)</f>
        <v/>
      </c>
      <c r="YN41">
        <f>YN40+IF(AND($C40=117,$L40=1),1,0)</f>
        <v/>
      </c>
      <c r="YO41">
        <f>YO40+IF(AND($C40=118,$L40=1),1,0)</f>
        <v/>
      </c>
      <c r="YP41">
        <f>YP40+IF(AND($C40=119,$L40=1),1,0)</f>
        <v/>
      </c>
      <c r="YQ41">
        <f>YQ40+IF(AND($C40=120,$L40=1),1,0)</f>
        <v/>
      </c>
      <c r="YR41">
        <f>YR40+IF(AND($C40=121,$L40=1),1,0)</f>
        <v/>
      </c>
      <c r="YS41">
        <f>YS40+IF(AND($C40=122,$L40=1),1,0)</f>
        <v/>
      </c>
      <c r="YT41">
        <f>YT40+IF(AND($C40=123,$L40=1),1,0)</f>
        <v/>
      </c>
      <c r="YU41">
        <f>YU40+IF(AND($C40=124,$L40=1),1,0)</f>
        <v/>
      </c>
      <c r="YV41">
        <f>YV40+IF(AND($C40=125,$L40=1),1,0)</f>
        <v/>
      </c>
      <c r="YW41">
        <f>YW40+IF(AND($C40=126,$L40=1),1,0)</f>
        <v/>
      </c>
      <c r="YX41">
        <f>YX40+IF(AND($C40=127,$L40=1),1,0)</f>
        <v/>
      </c>
      <c r="YY41">
        <f>YY40+IF(AND($C40=128,$L40=1),1,0)</f>
        <v/>
      </c>
      <c r="YZ41">
        <f>YZ40+IF(AND($C40=129,$L40=1),1,0)</f>
        <v/>
      </c>
      <c r="ZA41">
        <f>ZA40+IF(AND($C40=130,$L40=1),1,0)</f>
        <v/>
      </c>
      <c r="ZB41">
        <f>ZB40+IF(AND($C40=131,$L40=1),1,0)</f>
        <v/>
      </c>
      <c r="ZC41">
        <f>ZC40+IF(AND($C40=132,$L40=1),1,0)</f>
        <v/>
      </c>
      <c r="ZD41">
        <f>ZD40+IF(AND($C40=133,$L40=1),1,0)</f>
        <v/>
      </c>
      <c r="ZE41">
        <f>ZE40+IF(AND($C40=134,$L40=1),1,0)</f>
        <v/>
      </c>
      <c r="ZF41">
        <f>ZF40+IF(AND($C40=135,$L40=1),1,0)</f>
        <v/>
      </c>
      <c r="ZG41">
        <f>ZG40+IF(AND($C40=136,$L40=1),1,0)</f>
        <v/>
      </c>
      <c r="ZH41">
        <f>ZH40+IF(AND($C40=137,$L40=1),1,0)</f>
        <v/>
      </c>
      <c r="ZI41">
        <f>ZI40+IF(AND($C40=138,$L40=1),1,0)</f>
        <v/>
      </c>
      <c r="ZJ41">
        <f>ZJ40+IF(AND($C40=139,$L40=1),1,0)</f>
        <v/>
      </c>
      <c r="ZK41">
        <f>ZK40+IF(AND($C40=140,$L40=1),1,0)</f>
        <v/>
      </c>
      <c r="ZL41">
        <f>ZL40+IF(AND($C40=141,$L40=1),1,0)</f>
        <v/>
      </c>
      <c r="ZM41">
        <f>ZM40+IF(AND($C40=142,$L40=1),1,0)</f>
        <v/>
      </c>
      <c r="ZN41">
        <f>ZN40+IF(AND($C40=143,$L40=1),1,0)</f>
        <v/>
      </c>
      <c r="ZO41">
        <f>ZO40+IF(AND($C40=144,$L40=1),1,0)</f>
        <v/>
      </c>
    </row>
    <row r="42">
      <c r="A42" t="n">
        <v>40</v>
      </c>
      <c r="B42">
        <f>IF(MIN(BH42:CZ42)&gt;=1000000,0,MATCH(MIN(BH42:CZ42),BH42:CZ42,0))</f>
        <v/>
      </c>
      <c r="C42">
        <f>IF(MIN(OF42:TS42)&gt;=1000000,0,MATCH(MIN(OF42:TS42),OF42:TS42,0))</f>
        <v/>
      </c>
      <c r="D42">
        <f>IF(C42&gt;0,INDEX('計算A'!$D$5:$EQ$5,C42),0)</f>
        <v/>
      </c>
      <c r="E42">
        <f>IF(B42=0,0,INDEX('計算A'!$IQ$10:$IQ$54,B42))</f>
        <v/>
      </c>
      <c r="F42">
        <f>IF(B42=0,0,INDEX('計算A'!$IP$10:$IP$54,B42))</f>
        <v/>
      </c>
      <c r="G42">
        <f>IF(AND(C42&gt;0,E42&gt;0),IF(AND(INDEX('計算A'!$D$106:$EQ$106,C42)=1,INDEX($IQ42:$OD42,C42)=1),C42+1,0),0)</f>
        <v/>
      </c>
      <c r="H42">
        <f>IF(B42=0,0,INDEX('計算A'!$IW$10:$IW$54,B42))</f>
        <v/>
      </c>
      <c r="I42">
        <f>IF(B42=0,0,MAX(0,INDEX('計算A'!$IT$10:$IT$54,B42)))</f>
        <v/>
      </c>
      <c r="J42">
        <f>IF(I42=0,0,INDEX('計算A'!$D$2:$EQ$2,I42))</f>
        <v/>
      </c>
      <c r="K42">
        <f>IF(I42=0,0,INDEX('計算A'!$D$3:$EQ$3,I42))</f>
        <v/>
      </c>
      <c r="L42">
        <f>IF(B42=0,0,INDEX('計算A'!$IX$10:$IX$54,B42))</f>
        <v/>
      </c>
      <c r="N42">
        <f>MAX(N41,IF($B41=1,1,0))</f>
        <v/>
      </c>
      <c r="O42">
        <f>MAX(O41,IF($B41=2,1,0))</f>
        <v/>
      </c>
      <c r="P42">
        <f>MAX(P41,IF($B41=3,1,0))</f>
        <v/>
      </c>
      <c r="Q42">
        <f>MAX(Q41,IF($B41=4,1,0))</f>
        <v/>
      </c>
      <c r="R42">
        <f>MAX(R41,IF($B41=5,1,0))</f>
        <v/>
      </c>
      <c r="S42">
        <f>MAX(S41,IF($B41=6,1,0))</f>
        <v/>
      </c>
      <c r="T42">
        <f>MAX(T41,IF($B41=7,1,0))</f>
        <v/>
      </c>
      <c r="U42">
        <f>MAX(U41,IF($B41=8,1,0))</f>
        <v/>
      </c>
      <c r="V42">
        <f>MAX(V41,IF($B41=9,1,0))</f>
        <v/>
      </c>
      <c r="W42">
        <f>MAX(W41,IF($B41=10,1,0))</f>
        <v/>
      </c>
      <c r="X42">
        <f>MAX(X41,IF($B41=11,1,0))</f>
        <v/>
      </c>
      <c r="Y42">
        <f>MAX(Y41,IF($B41=12,1,0))</f>
        <v/>
      </c>
      <c r="Z42">
        <f>MAX(Z41,IF($B41=13,1,0))</f>
        <v/>
      </c>
      <c r="AA42">
        <f>MAX(AA41,IF($B41=14,1,0))</f>
        <v/>
      </c>
      <c r="AB42">
        <f>MAX(AB41,IF($B41=15,1,0))</f>
        <v/>
      </c>
      <c r="AC42">
        <f>MAX(AC41,IF($B41=16,1,0))</f>
        <v/>
      </c>
      <c r="AD42">
        <f>MAX(AD41,IF($B41=17,1,0))</f>
        <v/>
      </c>
      <c r="AE42">
        <f>MAX(AE41,IF($B41=18,1,0))</f>
        <v/>
      </c>
      <c r="AF42">
        <f>MAX(AF41,IF($B41=19,1,0))</f>
        <v/>
      </c>
      <c r="AG42">
        <f>MAX(AG41,IF($B41=20,1,0))</f>
        <v/>
      </c>
      <c r="AH42">
        <f>MAX(AH41,IF($B41=21,1,0))</f>
        <v/>
      </c>
      <c r="AI42">
        <f>MAX(AI41,IF($B41=22,1,0))</f>
        <v/>
      </c>
      <c r="AJ42">
        <f>MAX(AJ41,IF($B41=23,1,0))</f>
        <v/>
      </c>
      <c r="AK42">
        <f>MAX(AK41,IF($B41=24,1,0))</f>
        <v/>
      </c>
      <c r="AL42">
        <f>MAX(AL41,IF($B41=25,1,0))</f>
        <v/>
      </c>
      <c r="AM42">
        <f>MAX(AM41,IF($B41=26,1,0))</f>
        <v/>
      </c>
      <c r="AN42">
        <f>MAX(AN41,IF($B41=27,1,0))</f>
        <v/>
      </c>
      <c r="AO42">
        <f>MAX(AO41,IF($B41=28,1,0))</f>
        <v/>
      </c>
      <c r="AP42">
        <f>MAX(AP41,IF($B41=29,1,0))</f>
        <v/>
      </c>
      <c r="AQ42">
        <f>MAX(AQ41,IF($B41=30,1,0))</f>
        <v/>
      </c>
      <c r="AR42">
        <f>MAX(AR41,IF($B41=31,1,0))</f>
        <v/>
      </c>
      <c r="AS42">
        <f>MAX(AS41,IF($B41=32,1,0))</f>
        <v/>
      </c>
      <c r="AT42">
        <f>MAX(AT41,IF($B41=33,1,0))</f>
        <v/>
      </c>
      <c r="AU42">
        <f>MAX(AU41,IF($B41=34,1,0))</f>
        <v/>
      </c>
      <c r="AV42">
        <f>MAX(AV41,IF($B41=35,1,0))</f>
        <v/>
      </c>
      <c r="AW42">
        <f>MAX(AW41,IF($B41=36,1,0))</f>
        <v/>
      </c>
      <c r="AX42">
        <f>MAX(AX41,IF($B41=37,1,0))</f>
        <v/>
      </c>
      <c r="AY42">
        <f>MAX(AY41,IF($B41=38,1,0))</f>
        <v/>
      </c>
      <c r="AZ42">
        <f>MAX(AZ41,IF($B41=39,1,0))</f>
        <v/>
      </c>
      <c r="BA42">
        <f>MAX(BA41,IF($B41=40,1,0))</f>
        <v/>
      </c>
      <c r="BB42">
        <f>MAX(BB41,IF($B41=41,1,0))</f>
        <v/>
      </c>
      <c r="BC42">
        <f>MAX(BC41,IF($B41=42,1,0))</f>
        <v/>
      </c>
      <c r="BD42">
        <f>MAX(BD41,IF($B41=43,1,0))</f>
        <v/>
      </c>
      <c r="BE42">
        <f>MAX(BE41,IF($B41=44,1,0))</f>
        <v/>
      </c>
      <c r="BF42">
        <f>MAX(BF41,IF($B41=45,1,0))</f>
        <v/>
      </c>
      <c r="BH42">
        <f>IF(N42=1,1000000,IF('計算A'!$IT$10&gt;0,0,500000)+IF('計算A'!$IQ$10=2,SUMPRODUCT('計算A'!$D$60:$EQ$60,$DB42:$IO42,$IQ42:$OD42),SUMPRODUCT('計算A'!$D$60:$EQ$60,$DB42:$IO42))*1000+1)</f>
        <v/>
      </c>
      <c r="BI42">
        <f>IF(O42=1,1000000,IF('計算A'!$IT$11&gt;0,0,500000)+IF('計算A'!$IQ$11=2,SUMPRODUCT('計算A'!$D$61:$EQ$61,$DB42:$IO42,$IQ42:$OD42),SUMPRODUCT('計算A'!$D$61:$EQ$61,$DB42:$IO42))*1000+2)</f>
        <v/>
      </c>
      <c r="BJ42">
        <f>IF(P42=1,1000000,IF('計算A'!$IT$12&gt;0,0,500000)+IF('計算A'!$IQ$12=2,SUMPRODUCT('計算A'!$D$62:$EQ$62,$DB42:$IO42,$IQ42:$OD42),SUMPRODUCT('計算A'!$D$62:$EQ$62,$DB42:$IO42))*1000+3)</f>
        <v/>
      </c>
      <c r="BK42">
        <f>IF(Q42=1,1000000,IF('計算A'!$IT$13&gt;0,0,500000)+IF('計算A'!$IQ$13=2,SUMPRODUCT('計算A'!$D$63:$EQ$63,$DB42:$IO42,$IQ42:$OD42),SUMPRODUCT('計算A'!$D$63:$EQ$63,$DB42:$IO42))*1000+4)</f>
        <v/>
      </c>
      <c r="BL42">
        <f>IF(R42=1,1000000,IF('計算A'!$IT$14&gt;0,0,500000)+IF('計算A'!$IQ$14=2,SUMPRODUCT('計算A'!$D$64:$EQ$64,$DB42:$IO42,$IQ42:$OD42),SUMPRODUCT('計算A'!$D$64:$EQ$64,$DB42:$IO42))*1000+5)</f>
        <v/>
      </c>
      <c r="BM42">
        <f>IF(S42=1,1000000,IF('計算A'!$IT$15&gt;0,0,500000)+IF('計算A'!$IQ$15=2,SUMPRODUCT('計算A'!$D$65:$EQ$65,$DB42:$IO42,$IQ42:$OD42),SUMPRODUCT('計算A'!$D$65:$EQ$65,$DB42:$IO42))*1000+6)</f>
        <v/>
      </c>
      <c r="BN42">
        <f>IF(T42=1,1000000,IF('計算A'!$IT$16&gt;0,0,500000)+IF('計算A'!$IQ$16=2,SUMPRODUCT('計算A'!$D$66:$EQ$66,$DB42:$IO42,$IQ42:$OD42),SUMPRODUCT('計算A'!$D$66:$EQ$66,$DB42:$IO42))*1000+7)</f>
        <v/>
      </c>
      <c r="BO42">
        <f>IF(U42=1,1000000,IF('計算A'!$IT$17&gt;0,0,500000)+IF('計算A'!$IQ$17=2,SUMPRODUCT('計算A'!$D$67:$EQ$67,$DB42:$IO42,$IQ42:$OD42),SUMPRODUCT('計算A'!$D$67:$EQ$67,$DB42:$IO42))*1000+8)</f>
        <v/>
      </c>
      <c r="BP42">
        <f>IF(V42=1,1000000,IF('計算A'!$IT$18&gt;0,0,500000)+IF('計算A'!$IQ$18=2,SUMPRODUCT('計算A'!$D$68:$EQ$68,$DB42:$IO42,$IQ42:$OD42),SUMPRODUCT('計算A'!$D$68:$EQ$68,$DB42:$IO42))*1000+9)</f>
        <v/>
      </c>
      <c r="BQ42">
        <f>IF(W42=1,1000000,IF('計算A'!$IT$19&gt;0,0,500000)+IF('計算A'!$IQ$19=2,SUMPRODUCT('計算A'!$D$69:$EQ$69,$DB42:$IO42,$IQ42:$OD42),SUMPRODUCT('計算A'!$D$69:$EQ$69,$DB42:$IO42))*1000+10)</f>
        <v/>
      </c>
      <c r="BR42">
        <f>IF(X42=1,1000000,IF('計算A'!$IT$20&gt;0,0,500000)+IF('計算A'!$IQ$20=2,SUMPRODUCT('計算A'!$D$70:$EQ$70,$DB42:$IO42,$IQ42:$OD42),SUMPRODUCT('計算A'!$D$70:$EQ$70,$DB42:$IO42))*1000+11)</f>
        <v/>
      </c>
      <c r="BS42">
        <f>IF(Y42=1,1000000,IF('計算A'!$IT$21&gt;0,0,500000)+IF('計算A'!$IQ$21=2,SUMPRODUCT('計算A'!$D$71:$EQ$71,$DB42:$IO42,$IQ42:$OD42),SUMPRODUCT('計算A'!$D$71:$EQ$71,$DB42:$IO42))*1000+12)</f>
        <v/>
      </c>
      <c r="BT42">
        <f>IF(Z42=1,1000000,IF('計算A'!$IT$22&gt;0,0,500000)+IF('計算A'!$IQ$22=2,SUMPRODUCT('計算A'!$D$72:$EQ$72,$DB42:$IO42,$IQ42:$OD42),SUMPRODUCT('計算A'!$D$72:$EQ$72,$DB42:$IO42))*1000+13)</f>
        <v/>
      </c>
      <c r="BU42">
        <f>IF(AA42=1,1000000,IF('計算A'!$IT$23&gt;0,0,500000)+IF('計算A'!$IQ$23=2,SUMPRODUCT('計算A'!$D$73:$EQ$73,$DB42:$IO42,$IQ42:$OD42),SUMPRODUCT('計算A'!$D$73:$EQ$73,$DB42:$IO42))*1000+14)</f>
        <v/>
      </c>
      <c r="BV42">
        <f>IF(AB42=1,1000000,IF('計算A'!$IT$24&gt;0,0,500000)+IF('計算A'!$IQ$24=2,SUMPRODUCT('計算A'!$D$74:$EQ$74,$DB42:$IO42,$IQ42:$OD42),SUMPRODUCT('計算A'!$D$74:$EQ$74,$DB42:$IO42))*1000+15)</f>
        <v/>
      </c>
      <c r="BW42">
        <f>IF(AC42=1,1000000,IF('計算A'!$IT$25&gt;0,0,500000)+IF('計算A'!$IQ$25=2,SUMPRODUCT('計算A'!$D$75:$EQ$75,$DB42:$IO42,$IQ42:$OD42),SUMPRODUCT('計算A'!$D$75:$EQ$75,$DB42:$IO42))*1000+16)</f>
        <v/>
      </c>
      <c r="BX42">
        <f>IF(AD42=1,1000000,IF('計算A'!$IT$26&gt;0,0,500000)+IF('計算A'!$IQ$26=2,SUMPRODUCT('計算A'!$D$76:$EQ$76,$DB42:$IO42,$IQ42:$OD42),SUMPRODUCT('計算A'!$D$76:$EQ$76,$DB42:$IO42))*1000+17)</f>
        <v/>
      </c>
      <c r="BY42">
        <f>IF(AE42=1,1000000,IF('計算A'!$IT$27&gt;0,0,500000)+IF('計算A'!$IQ$27=2,SUMPRODUCT('計算A'!$D$77:$EQ$77,$DB42:$IO42,$IQ42:$OD42),SUMPRODUCT('計算A'!$D$77:$EQ$77,$DB42:$IO42))*1000+18)</f>
        <v/>
      </c>
      <c r="BZ42">
        <f>IF(AF42=1,1000000,IF('計算A'!$IT$28&gt;0,0,500000)+IF('計算A'!$IQ$28=2,SUMPRODUCT('計算A'!$D$78:$EQ$78,$DB42:$IO42,$IQ42:$OD42),SUMPRODUCT('計算A'!$D$78:$EQ$78,$DB42:$IO42))*1000+19)</f>
        <v/>
      </c>
      <c r="CA42">
        <f>IF(AG42=1,1000000,IF('計算A'!$IT$29&gt;0,0,500000)+IF('計算A'!$IQ$29=2,SUMPRODUCT('計算A'!$D$79:$EQ$79,$DB42:$IO42,$IQ42:$OD42),SUMPRODUCT('計算A'!$D$79:$EQ$79,$DB42:$IO42))*1000+20)</f>
        <v/>
      </c>
      <c r="CB42">
        <f>IF(AH42=1,1000000,IF('計算A'!$IT$30&gt;0,0,500000)+IF('計算A'!$IQ$30=2,SUMPRODUCT('計算A'!$D$80:$EQ$80,$DB42:$IO42,$IQ42:$OD42),SUMPRODUCT('計算A'!$D$80:$EQ$80,$DB42:$IO42))*1000+21)</f>
        <v/>
      </c>
      <c r="CC42">
        <f>IF(AI42=1,1000000,IF('計算A'!$IT$31&gt;0,0,500000)+IF('計算A'!$IQ$31=2,SUMPRODUCT('計算A'!$D$81:$EQ$81,$DB42:$IO42,$IQ42:$OD42),SUMPRODUCT('計算A'!$D$81:$EQ$81,$DB42:$IO42))*1000+22)</f>
        <v/>
      </c>
      <c r="CD42">
        <f>IF(AJ42=1,1000000,IF('計算A'!$IT$32&gt;0,0,500000)+IF('計算A'!$IQ$32=2,SUMPRODUCT('計算A'!$D$82:$EQ$82,$DB42:$IO42,$IQ42:$OD42),SUMPRODUCT('計算A'!$D$82:$EQ$82,$DB42:$IO42))*1000+23)</f>
        <v/>
      </c>
      <c r="CE42">
        <f>IF(AK42=1,1000000,IF('計算A'!$IT$33&gt;0,0,500000)+IF('計算A'!$IQ$33=2,SUMPRODUCT('計算A'!$D$83:$EQ$83,$DB42:$IO42,$IQ42:$OD42),SUMPRODUCT('計算A'!$D$83:$EQ$83,$DB42:$IO42))*1000+24)</f>
        <v/>
      </c>
      <c r="CF42">
        <f>IF(AL42=1,1000000,IF('計算A'!$IT$34&gt;0,0,500000)+IF('計算A'!$IQ$34=2,SUMPRODUCT('計算A'!$D$84:$EQ$84,$DB42:$IO42,$IQ42:$OD42),SUMPRODUCT('計算A'!$D$84:$EQ$84,$DB42:$IO42))*1000+25)</f>
        <v/>
      </c>
      <c r="CG42">
        <f>IF(AM42=1,1000000,IF('計算A'!$IT$35&gt;0,0,500000)+IF('計算A'!$IQ$35=2,SUMPRODUCT('計算A'!$D$85:$EQ$85,$DB42:$IO42,$IQ42:$OD42),SUMPRODUCT('計算A'!$D$85:$EQ$85,$DB42:$IO42))*1000+26)</f>
        <v/>
      </c>
      <c r="CH42">
        <f>IF(AN42=1,1000000,IF('計算A'!$IT$36&gt;0,0,500000)+IF('計算A'!$IQ$36=2,SUMPRODUCT('計算A'!$D$86:$EQ$86,$DB42:$IO42,$IQ42:$OD42),SUMPRODUCT('計算A'!$D$86:$EQ$86,$DB42:$IO42))*1000+27)</f>
        <v/>
      </c>
      <c r="CI42">
        <f>IF(AO42=1,1000000,IF('計算A'!$IT$37&gt;0,0,500000)+IF('計算A'!$IQ$37=2,SUMPRODUCT('計算A'!$D$87:$EQ$87,$DB42:$IO42,$IQ42:$OD42),SUMPRODUCT('計算A'!$D$87:$EQ$87,$DB42:$IO42))*1000+28)</f>
        <v/>
      </c>
      <c r="CJ42">
        <f>IF(AP42=1,1000000,IF('計算A'!$IT$38&gt;0,0,500000)+IF('計算A'!$IQ$38=2,SUMPRODUCT('計算A'!$D$88:$EQ$88,$DB42:$IO42,$IQ42:$OD42),SUMPRODUCT('計算A'!$D$88:$EQ$88,$DB42:$IO42))*1000+29)</f>
        <v/>
      </c>
      <c r="CK42">
        <f>IF(AQ42=1,1000000,IF('計算A'!$IT$39&gt;0,0,500000)+IF('計算A'!$IQ$39=2,SUMPRODUCT('計算A'!$D$89:$EQ$89,$DB42:$IO42,$IQ42:$OD42),SUMPRODUCT('計算A'!$D$89:$EQ$89,$DB42:$IO42))*1000+30)</f>
        <v/>
      </c>
      <c r="CL42">
        <f>IF(AR42=1,1000000,IF('計算A'!$IT$40&gt;0,0,500000)+IF('計算A'!$IQ$40=2,SUMPRODUCT('計算A'!$D$90:$EQ$90,$DB42:$IO42,$IQ42:$OD42),SUMPRODUCT('計算A'!$D$90:$EQ$90,$DB42:$IO42))*1000+31)</f>
        <v/>
      </c>
      <c r="CM42">
        <f>IF(AS42=1,1000000,IF('計算A'!$IT$41&gt;0,0,500000)+IF('計算A'!$IQ$41=2,SUMPRODUCT('計算A'!$D$91:$EQ$91,$DB42:$IO42,$IQ42:$OD42),SUMPRODUCT('計算A'!$D$91:$EQ$91,$DB42:$IO42))*1000+32)</f>
        <v/>
      </c>
      <c r="CN42">
        <f>IF(AT42=1,1000000,IF('計算A'!$IT$42&gt;0,0,500000)+IF('計算A'!$IQ$42=2,SUMPRODUCT('計算A'!$D$92:$EQ$92,$DB42:$IO42,$IQ42:$OD42),SUMPRODUCT('計算A'!$D$92:$EQ$92,$DB42:$IO42))*1000+33)</f>
        <v/>
      </c>
      <c r="CO42">
        <f>IF(AU42=1,1000000,IF('計算A'!$IT$43&gt;0,0,500000)+IF('計算A'!$IQ$43=2,SUMPRODUCT('計算A'!$D$93:$EQ$93,$DB42:$IO42,$IQ42:$OD42),SUMPRODUCT('計算A'!$D$93:$EQ$93,$DB42:$IO42))*1000+34)</f>
        <v/>
      </c>
      <c r="CP42">
        <f>IF(AV42=1,1000000,IF('計算A'!$IT$44&gt;0,0,500000)+IF('計算A'!$IQ$44=2,SUMPRODUCT('計算A'!$D$94:$EQ$94,$DB42:$IO42,$IQ42:$OD42),SUMPRODUCT('計算A'!$D$94:$EQ$94,$DB42:$IO42))*1000+35)</f>
        <v/>
      </c>
      <c r="CQ42">
        <f>IF(AW42=1,1000000,IF('計算A'!$IT$45&gt;0,0,500000)+IF('計算A'!$IQ$45=2,SUMPRODUCT('計算A'!$D$95:$EQ$95,$DB42:$IO42,$IQ42:$OD42),SUMPRODUCT('計算A'!$D$95:$EQ$95,$DB42:$IO42))*1000+36)</f>
        <v/>
      </c>
      <c r="CR42">
        <f>IF(AX42=1,1000000,IF('計算A'!$IT$46&gt;0,0,500000)+IF('計算A'!$IQ$46=2,SUMPRODUCT('計算A'!$D$96:$EQ$96,$DB42:$IO42,$IQ42:$OD42),SUMPRODUCT('計算A'!$D$96:$EQ$96,$DB42:$IO42))*1000+37)</f>
        <v/>
      </c>
      <c r="CS42">
        <f>IF(AY42=1,1000000,IF('計算A'!$IT$47&gt;0,0,500000)+IF('計算A'!$IQ$47=2,SUMPRODUCT('計算A'!$D$97:$EQ$97,$DB42:$IO42,$IQ42:$OD42),SUMPRODUCT('計算A'!$D$97:$EQ$97,$DB42:$IO42))*1000+38)</f>
        <v/>
      </c>
      <c r="CT42">
        <f>IF(AZ42=1,1000000,IF('計算A'!$IT$48&gt;0,0,500000)+IF('計算A'!$IQ$48=2,SUMPRODUCT('計算A'!$D$98:$EQ$98,$DB42:$IO42,$IQ42:$OD42),SUMPRODUCT('計算A'!$D$98:$EQ$98,$DB42:$IO42))*1000+39)</f>
        <v/>
      </c>
      <c r="CU42">
        <f>IF(BA42=1,1000000,IF('計算A'!$IT$49&gt;0,0,500000)+IF('計算A'!$IQ$49=2,SUMPRODUCT('計算A'!$D$99:$EQ$99,$DB42:$IO42,$IQ42:$OD42),SUMPRODUCT('計算A'!$D$99:$EQ$99,$DB42:$IO42))*1000+40)</f>
        <v/>
      </c>
      <c r="CV42">
        <f>IF(BB42=1,1000000,IF('計算A'!$IT$50&gt;0,0,500000)+IF('計算A'!$IQ$50=2,SUMPRODUCT('計算A'!$D$100:$EQ$100,$DB42:$IO42,$IQ42:$OD42),SUMPRODUCT('計算A'!$D$100:$EQ$100,$DB42:$IO42))*1000+41)</f>
        <v/>
      </c>
      <c r="CW42">
        <f>IF(BC42=1,1000000,IF('計算A'!$IT$51&gt;0,0,500000)+IF('計算A'!$IQ$51=2,SUMPRODUCT('計算A'!$D$101:$EQ$101,$DB42:$IO42,$IQ42:$OD42),SUMPRODUCT('計算A'!$D$101:$EQ$101,$DB42:$IO42))*1000+42)</f>
        <v/>
      </c>
      <c r="CX42">
        <f>IF(BD42=1,1000000,IF('計算A'!$IT$52&gt;0,0,500000)+IF('計算A'!$IQ$52=2,SUMPRODUCT('計算A'!$D$102:$EQ$102,$DB42:$IO42,$IQ42:$OD42),SUMPRODUCT('計算A'!$D$102:$EQ$102,$DB42:$IO42))*1000+43)</f>
        <v/>
      </c>
      <c r="CY42">
        <f>IF(BE42=1,1000000,IF('計算A'!$IT$53&gt;0,0,500000)+IF('計算A'!$IQ$53=2,SUMPRODUCT('計算A'!$D$103:$EQ$103,$DB42:$IO42,$IQ42:$OD42),SUMPRODUCT('計算A'!$D$103:$EQ$103,$DB42:$IO42))*1000+44)</f>
        <v/>
      </c>
      <c r="CZ42">
        <f>IF(BF42=1,1000000,IF('計算A'!$IT$54&gt;0,0,500000)+IF('計算A'!$IQ$54=2,SUMPRODUCT('計算A'!$D$104:$EQ$104,$DB42:$IO42,$IQ42:$OD42),SUMPRODUCT('計算A'!$D$104:$EQ$104,$DB42:$IO42))*1000+45)</f>
        <v/>
      </c>
      <c r="DB42">
        <f>DB41*IF(OR($C41=1,$G41=1),0,1)</f>
        <v/>
      </c>
      <c r="DC42">
        <f>DC41*IF(OR($C41=2,$G41=2),0,1)</f>
        <v/>
      </c>
      <c r="DD42">
        <f>DD41*IF(OR($C41=3,$G41=3),0,1)</f>
        <v/>
      </c>
      <c r="DE42">
        <f>DE41*IF(OR($C41=4,$G41=4),0,1)</f>
        <v/>
      </c>
      <c r="DF42">
        <f>DF41*IF(OR($C41=5,$G41=5),0,1)</f>
        <v/>
      </c>
      <c r="DG42">
        <f>DG41*IF(OR($C41=6,$G41=6),0,1)</f>
        <v/>
      </c>
      <c r="DH42">
        <f>DH41*IF(OR($C41=7,$G41=7),0,1)</f>
        <v/>
      </c>
      <c r="DI42">
        <f>DI41*IF(OR($C41=8,$G41=8),0,1)</f>
        <v/>
      </c>
      <c r="DJ42">
        <f>DJ41*IF(OR($C41=9,$G41=9),0,1)</f>
        <v/>
      </c>
      <c r="DK42">
        <f>DK41*IF(OR($C41=10,$G41=10),0,1)</f>
        <v/>
      </c>
      <c r="DL42">
        <f>DL41*IF(OR($C41=11,$G41=11),0,1)</f>
        <v/>
      </c>
      <c r="DM42">
        <f>DM41*IF(OR($C41=12,$G41=12),0,1)</f>
        <v/>
      </c>
      <c r="DN42">
        <f>DN41*IF(OR($C41=13,$G41=13),0,1)</f>
        <v/>
      </c>
      <c r="DO42">
        <f>DO41*IF(OR($C41=14,$G41=14),0,1)</f>
        <v/>
      </c>
      <c r="DP42">
        <f>DP41*IF(OR($C41=15,$G41=15),0,1)</f>
        <v/>
      </c>
      <c r="DQ42">
        <f>DQ41*IF(OR($C41=16,$G41=16),0,1)</f>
        <v/>
      </c>
      <c r="DR42">
        <f>DR41*IF(OR($C41=17,$G41=17),0,1)</f>
        <v/>
      </c>
      <c r="DS42">
        <f>DS41*IF(OR($C41=18,$G41=18),0,1)</f>
        <v/>
      </c>
      <c r="DT42">
        <f>DT41*IF(OR($C41=19,$G41=19),0,1)</f>
        <v/>
      </c>
      <c r="DU42">
        <f>DU41*IF(OR($C41=20,$G41=20),0,1)</f>
        <v/>
      </c>
      <c r="DV42">
        <f>DV41*IF(OR($C41=21,$G41=21),0,1)</f>
        <v/>
      </c>
      <c r="DW42">
        <f>DW41*IF(OR($C41=22,$G41=22),0,1)</f>
        <v/>
      </c>
      <c r="DX42">
        <f>DX41*IF(OR($C41=23,$G41=23),0,1)</f>
        <v/>
      </c>
      <c r="DY42">
        <f>DY41*IF(OR($C41=24,$G41=24),0,1)</f>
        <v/>
      </c>
      <c r="DZ42">
        <f>DZ41*IF(OR($C41=25,$G41=25),0,1)</f>
        <v/>
      </c>
      <c r="EA42">
        <f>EA41*IF(OR($C41=26,$G41=26),0,1)</f>
        <v/>
      </c>
      <c r="EB42">
        <f>EB41*IF(OR($C41=27,$G41=27),0,1)</f>
        <v/>
      </c>
      <c r="EC42">
        <f>EC41*IF(OR($C41=28,$G41=28),0,1)</f>
        <v/>
      </c>
      <c r="ED42">
        <f>ED41*IF(OR($C41=29,$G41=29),0,1)</f>
        <v/>
      </c>
      <c r="EE42">
        <f>EE41*IF(OR($C41=30,$G41=30),0,1)</f>
        <v/>
      </c>
      <c r="EF42">
        <f>EF41*IF(OR($C41=31,$G41=31),0,1)</f>
        <v/>
      </c>
      <c r="EG42">
        <f>EG41*IF(OR($C41=32,$G41=32),0,1)</f>
        <v/>
      </c>
      <c r="EH42">
        <f>EH41*IF(OR($C41=33,$G41=33),0,1)</f>
        <v/>
      </c>
      <c r="EI42">
        <f>EI41*IF(OR($C41=34,$G41=34),0,1)</f>
        <v/>
      </c>
      <c r="EJ42">
        <f>EJ41*IF(OR($C41=35,$G41=35),0,1)</f>
        <v/>
      </c>
      <c r="EK42">
        <f>EK41*IF(OR($C41=36,$G41=36),0,1)</f>
        <v/>
      </c>
      <c r="EL42">
        <f>EL41*IF(OR($C41=37,$G41=37),0,1)</f>
        <v/>
      </c>
      <c r="EM42">
        <f>EM41*IF(OR($C41=38,$G41=38),0,1)</f>
        <v/>
      </c>
      <c r="EN42">
        <f>EN41*IF(OR($C41=39,$G41=39),0,1)</f>
        <v/>
      </c>
      <c r="EO42">
        <f>EO41*IF(OR($C41=40,$G41=40),0,1)</f>
        <v/>
      </c>
      <c r="EP42">
        <f>EP41*IF(OR($C41=41,$G41=41),0,1)</f>
        <v/>
      </c>
      <c r="EQ42">
        <f>EQ41*IF(OR($C41=42,$G41=42),0,1)</f>
        <v/>
      </c>
      <c r="ER42">
        <f>ER41*IF(OR($C41=43,$G41=43),0,1)</f>
        <v/>
      </c>
      <c r="ES42">
        <f>ES41*IF(OR($C41=44,$G41=44),0,1)</f>
        <v/>
      </c>
      <c r="ET42">
        <f>ET41*IF(OR($C41=45,$G41=45),0,1)</f>
        <v/>
      </c>
      <c r="EU42">
        <f>EU41*IF(OR($C41=46,$G41=46),0,1)</f>
        <v/>
      </c>
      <c r="EV42">
        <f>EV41*IF(OR($C41=47,$G41=47),0,1)</f>
        <v/>
      </c>
      <c r="EW42">
        <f>EW41*IF(OR($C41=48,$G41=48),0,1)</f>
        <v/>
      </c>
      <c r="EX42">
        <f>EX41*IF(OR($C41=49,$G41=49),0,1)</f>
        <v/>
      </c>
      <c r="EY42">
        <f>EY41*IF(OR($C41=50,$G41=50),0,1)</f>
        <v/>
      </c>
      <c r="EZ42">
        <f>EZ41*IF(OR($C41=51,$G41=51),0,1)</f>
        <v/>
      </c>
      <c r="FA42">
        <f>FA41*IF(OR($C41=52,$G41=52),0,1)</f>
        <v/>
      </c>
      <c r="FB42">
        <f>FB41*IF(OR($C41=53,$G41=53),0,1)</f>
        <v/>
      </c>
      <c r="FC42">
        <f>FC41*IF(OR($C41=54,$G41=54),0,1)</f>
        <v/>
      </c>
      <c r="FD42">
        <f>FD41*IF(OR($C41=55,$G41=55),0,1)</f>
        <v/>
      </c>
      <c r="FE42">
        <f>FE41*IF(OR($C41=56,$G41=56),0,1)</f>
        <v/>
      </c>
      <c r="FF42">
        <f>FF41*IF(OR($C41=57,$G41=57),0,1)</f>
        <v/>
      </c>
      <c r="FG42">
        <f>FG41*IF(OR($C41=58,$G41=58),0,1)</f>
        <v/>
      </c>
      <c r="FH42">
        <f>FH41*IF(OR($C41=59,$G41=59),0,1)</f>
        <v/>
      </c>
      <c r="FI42">
        <f>FI41*IF(OR($C41=60,$G41=60),0,1)</f>
        <v/>
      </c>
      <c r="FJ42">
        <f>FJ41*IF(OR($C41=61,$G41=61),0,1)</f>
        <v/>
      </c>
      <c r="FK42">
        <f>FK41*IF(OR($C41=62,$G41=62),0,1)</f>
        <v/>
      </c>
      <c r="FL42">
        <f>FL41*IF(OR($C41=63,$G41=63),0,1)</f>
        <v/>
      </c>
      <c r="FM42">
        <f>FM41*IF(OR($C41=64,$G41=64),0,1)</f>
        <v/>
      </c>
      <c r="FN42">
        <f>FN41*IF(OR($C41=65,$G41=65),0,1)</f>
        <v/>
      </c>
      <c r="FO42">
        <f>FO41*IF(OR($C41=66,$G41=66),0,1)</f>
        <v/>
      </c>
      <c r="FP42">
        <f>FP41*IF(OR($C41=67,$G41=67),0,1)</f>
        <v/>
      </c>
      <c r="FQ42">
        <f>FQ41*IF(OR($C41=68,$G41=68),0,1)</f>
        <v/>
      </c>
      <c r="FR42">
        <f>FR41*IF(OR($C41=69,$G41=69),0,1)</f>
        <v/>
      </c>
      <c r="FS42">
        <f>FS41*IF(OR($C41=70,$G41=70),0,1)</f>
        <v/>
      </c>
      <c r="FT42">
        <f>FT41*IF(OR($C41=71,$G41=71),0,1)</f>
        <v/>
      </c>
      <c r="FU42">
        <f>FU41*IF(OR($C41=72,$G41=72),0,1)</f>
        <v/>
      </c>
      <c r="FV42">
        <f>FV41*IF(OR($C41=73,$G41=73),0,1)</f>
        <v/>
      </c>
      <c r="FW42">
        <f>FW41*IF(OR($C41=74,$G41=74),0,1)</f>
        <v/>
      </c>
      <c r="FX42">
        <f>FX41*IF(OR($C41=75,$G41=75),0,1)</f>
        <v/>
      </c>
      <c r="FY42">
        <f>FY41*IF(OR($C41=76,$G41=76),0,1)</f>
        <v/>
      </c>
      <c r="FZ42">
        <f>FZ41*IF(OR($C41=77,$G41=77),0,1)</f>
        <v/>
      </c>
      <c r="GA42">
        <f>GA41*IF(OR($C41=78,$G41=78),0,1)</f>
        <v/>
      </c>
      <c r="GB42">
        <f>GB41*IF(OR($C41=79,$G41=79),0,1)</f>
        <v/>
      </c>
      <c r="GC42">
        <f>GC41*IF(OR($C41=80,$G41=80),0,1)</f>
        <v/>
      </c>
      <c r="GD42">
        <f>GD41*IF(OR($C41=81,$G41=81),0,1)</f>
        <v/>
      </c>
      <c r="GE42">
        <f>GE41*IF(OR($C41=82,$G41=82),0,1)</f>
        <v/>
      </c>
      <c r="GF42">
        <f>GF41*IF(OR($C41=83,$G41=83),0,1)</f>
        <v/>
      </c>
      <c r="GG42">
        <f>GG41*IF(OR($C41=84,$G41=84),0,1)</f>
        <v/>
      </c>
      <c r="GH42">
        <f>GH41*IF(OR($C41=85,$G41=85),0,1)</f>
        <v/>
      </c>
      <c r="GI42">
        <f>GI41*IF(OR($C41=86,$G41=86),0,1)</f>
        <v/>
      </c>
      <c r="GJ42">
        <f>GJ41*IF(OR($C41=87,$G41=87),0,1)</f>
        <v/>
      </c>
      <c r="GK42">
        <f>GK41*IF(OR($C41=88,$G41=88),0,1)</f>
        <v/>
      </c>
      <c r="GL42">
        <f>GL41*IF(OR($C41=89,$G41=89),0,1)</f>
        <v/>
      </c>
      <c r="GM42">
        <f>GM41*IF(OR($C41=90,$G41=90),0,1)</f>
        <v/>
      </c>
      <c r="GN42">
        <f>GN41*IF(OR($C41=91,$G41=91),0,1)</f>
        <v/>
      </c>
      <c r="GO42">
        <f>GO41*IF(OR($C41=92,$G41=92),0,1)</f>
        <v/>
      </c>
      <c r="GP42">
        <f>GP41*IF(OR($C41=93,$G41=93),0,1)</f>
        <v/>
      </c>
      <c r="GQ42">
        <f>GQ41*IF(OR($C41=94,$G41=94),0,1)</f>
        <v/>
      </c>
      <c r="GR42">
        <f>GR41*IF(OR($C41=95,$G41=95),0,1)</f>
        <v/>
      </c>
      <c r="GS42">
        <f>GS41*IF(OR($C41=96,$G41=96),0,1)</f>
        <v/>
      </c>
      <c r="GT42">
        <f>GT41*IF(OR($C41=97,$G41=97),0,1)</f>
        <v/>
      </c>
      <c r="GU42">
        <f>GU41*IF(OR($C41=98,$G41=98),0,1)</f>
        <v/>
      </c>
      <c r="GV42">
        <f>GV41*IF(OR($C41=99,$G41=99),0,1)</f>
        <v/>
      </c>
      <c r="GW42">
        <f>GW41*IF(OR($C41=100,$G41=100),0,1)</f>
        <v/>
      </c>
      <c r="GX42">
        <f>GX41*IF(OR($C41=101,$G41=101),0,1)</f>
        <v/>
      </c>
      <c r="GY42">
        <f>GY41*IF(OR($C41=102,$G41=102),0,1)</f>
        <v/>
      </c>
      <c r="GZ42">
        <f>GZ41*IF(OR($C41=103,$G41=103),0,1)</f>
        <v/>
      </c>
      <c r="HA42">
        <f>HA41*IF(OR($C41=104,$G41=104),0,1)</f>
        <v/>
      </c>
      <c r="HB42">
        <f>HB41*IF(OR($C41=105,$G41=105),0,1)</f>
        <v/>
      </c>
      <c r="HC42">
        <f>HC41*IF(OR($C41=106,$G41=106),0,1)</f>
        <v/>
      </c>
      <c r="HD42">
        <f>HD41*IF(OR($C41=107,$G41=107),0,1)</f>
        <v/>
      </c>
      <c r="HE42">
        <f>HE41*IF(OR($C41=108,$G41=108),0,1)</f>
        <v/>
      </c>
      <c r="HF42">
        <f>HF41*IF(OR($C41=109,$G41=109),0,1)</f>
        <v/>
      </c>
      <c r="HG42">
        <f>HG41*IF(OR($C41=110,$G41=110),0,1)</f>
        <v/>
      </c>
      <c r="HH42">
        <f>HH41*IF(OR($C41=111,$G41=111),0,1)</f>
        <v/>
      </c>
      <c r="HI42">
        <f>HI41*IF(OR($C41=112,$G41=112),0,1)</f>
        <v/>
      </c>
      <c r="HJ42">
        <f>HJ41*IF(OR($C41=113,$G41=113),0,1)</f>
        <v/>
      </c>
      <c r="HK42">
        <f>HK41*IF(OR($C41=114,$G41=114),0,1)</f>
        <v/>
      </c>
      <c r="HL42">
        <f>HL41*IF(OR($C41=115,$G41=115),0,1)</f>
        <v/>
      </c>
      <c r="HM42">
        <f>HM41*IF(OR($C41=116,$G41=116),0,1)</f>
        <v/>
      </c>
      <c r="HN42">
        <f>HN41*IF(OR($C41=117,$G41=117),0,1)</f>
        <v/>
      </c>
      <c r="HO42">
        <f>HO41*IF(OR($C41=118,$G41=118),0,1)</f>
        <v/>
      </c>
      <c r="HP42">
        <f>HP41*IF(OR($C41=119,$G41=119),0,1)</f>
        <v/>
      </c>
      <c r="HQ42">
        <f>HQ41*IF(OR($C41=120,$G41=120),0,1)</f>
        <v/>
      </c>
      <c r="HR42">
        <f>HR41*IF(OR($C41=121,$G41=121),0,1)</f>
        <v/>
      </c>
      <c r="HS42">
        <f>HS41*IF(OR($C41=122,$G41=122),0,1)</f>
        <v/>
      </c>
      <c r="HT42">
        <f>HT41*IF(OR($C41=123,$G41=123),0,1)</f>
        <v/>
      </c>
      <c r="HU42">
        <f>HU41*IF(OR($C41=124,$G41=124),0,1)</f>
        <v/>
      </c>
      <c r="HV42">
        <f>HV41*IF(OR($C41=125,$G41=125),0,1)</f>
        <v/>
      </c>
      <c r="HW42">
        <f>HW41*IF(OR($C41=126,$G41=126),0,1)</f>
        <v/>
      </c>
      <c r="HX42">
        <f>HX41*IF(OR($C41=127,$G41=127),0,1)</f>
        <v/>
      </c>
      <c r="HY42">
        <f>HY41*IF(OR($C41=128,$G41=128),0,1)</f>
        <v/>
      </c>
      <c r="HZ42">
        <f>HZ41*IF(OR($C41=129,$G41=129),0,1)</f>
        <v/>
      </c>
      <c r="IA42">
        <f>IA41*IF(OR($C41=130,$G41=130),0,1)</f>
        <v/>
      </c>
      <c r="IB42">
        <f>IB41*IF(OR($C41=131,$G41=131),0,1)</f>
        <v/>
      </c>
      <c r="IC42">
        <f>IC41*IF(OR($C41=132,$G41=132),0,1)</f>
        <v/>
      </c>
      <c r="ID42">
        <f>ID41*IF(OR($C41=133,$G41=133),0,1)</f>
        <v/>
      </c>
      <c r="IE42">
        <f>IE41*IF(OR($C41=134,$G41=134),0,1)</f>
        <v/>
      </c>
      <c r="IF42">
        <f>IF41*IF(OR($C41=135,$G41=135),0,1)</f>
        <v/>
      </c>
      <c r="IG42">
        <f>IG41*IF(OR($C41=136,$G41=136),0,1)</f>
        <v/>
      </c>
      <c r="IH42">
        <f>IH41*IF(OR($C41=137,$G41=137),0,1)</f>
        <v/>
      </c>
      <c r="II42">
        <f>II41*IF(OR($C41=138,$G41=138),0,1)</f>
        <v/>
      </c>
      <c r="IJ42">
        <f>IJ41*IF(OR($C41=139,$G41=139),0,1)</f>
        <v/>
      </c>
      <c r="IK42">
        <f>IK41*IF(OR($C41=140,$G41=140),0,1)</f>
        <v/>
      </c>
      <c r="IL42">
        <f>IL41*IF(OR($C41=141,$G41=141),0,1)</f>
        <v/>
      </c>
      <c r="IM42">
        <f>IM41*IF(OR($C41=142,$G41=142),0,1)</f>
        <v/>
      </c>
      <c r="IN42">
        <f>IN41*IF(OR($C41=143,$G41=143),0,1)</f>
        <v/>
      </c>
      <c r="IO42">
        <f>IO41*IF(OR($C41=144,$G41=144),0,1)</f>
        <v/>
      </c>
      <c r="IQ42">
        <f>IF('計算A'!D$106=1,DC42,1)</f>
        <v/>
      </c>
      <c r="IR42">
        <f>IF('計算A'!E$106=1,DD42,1)</f>
        <v/>
      </c>
      <c r="IS42">
        <f>IF('計算A'!F$106=1,DE42,1)</f>
        <v/>
      </c>
      <c r="IT42">
        <f>IF('計算A'!G$106=1,DF42,1)</f>
        <v/>
      </c>
      <c r="IU42">
        <f>IF('計算A'!H$106=1,DG42,1)</f>
        <v/>
      </c>
      <c r="IV42">
        <f>IF('計算A'!I$106=1,DH42,1)</f>
        <v/>
      </c>
      <c r="IW42">
        <f>IF('計算A'!J$106=1,DI42,1)</f>
        <v/>
      </c>
      <c r="IX42">
        <f>IF('計算A'!K$106=1,DJ42,1)</f>
        <v/>
      </c>
      <c r="IY42">
        <f>IF('計算A'!L$106=1,DK42,1)</f>
        <v/>
      </c>
      <c r="IZ42">
        <f>IF('計算A'!M$106=1,DL42,1)</f>
        <v/>
      </c>
      <c r="JA42">
        <f>IF('計算A'!N$106=1,DM42,1)</f>
        <v/>
      </c>
      <c r="JB42">
        <f>IF('計算A'!O$106=1,DN42,1)</f>
        <v/>
      </c>
      <c r="JC42">
        <f>IF('計算A'!P$106=1,DO42,1)</f>
        <v/>
      </c>
      <c r="JD42">
        <f>IF('計算A'!Q$106=1,DP42,1)</f>
        <v/>
      </c>
      <c r="JE42">
        <f>IF('計算A'!R$106=1,DQ42,1)</f>
        <v/>
      </c>
      <c r="JF42">
        <f>IF('計算A'!S$106=1,DR42,1)</f>
        <v/>
      </c>
      <c r="JG42">
        <f>IF('計算A'!T$106=1,DS42,1)</f>
        <v/>
      </c>
      <c r="JH42">
        <f>IF('計算A'!U$106=1,DT42,1)</f>
        <v/>
      </c>
      <c r="JI42">
        <f>IF('計算A'!V$106=1,DU42,1)</f>
        <v/>
      </c>
      <c r="JJ42">
        <f>IF('計算A'!W$106=1,DV42,1)</f>
        <v/>
      </c>
      <c r="JK42">
        <f>IF('計算A'!X$106=1,DW42,1)</f>
        <v/>
      </c>
      <c r="JL42">
        <f>IF('計算A'!Y$106=1,DX42,1)</f>
        <v/>
      </c>
      <c r="JM42">
        <f>IF('計算A'!Z$106=1,DY42,1)</f>
        <v/>
      </c>
      <c r="JN42">
        <f>IF('計算A'!AA$106=1,DZ42,1)</f>
        <v/>
      </c>
      <c r="JO42">
        <f>IF('計算A'!AB$106=1,EA42,1)</f>
        <v/>
      </c>
      <c r="JP42">
        <f>IF('計算A'!AC$106=1,EB42,1)</f>
        <v/>
      </c>
      <c r="JQ42">
        <f>IF('計算A'!AD$106=1,EC42,1)</f>
        <v/>
      </c>
      <c r="JR42">
        <f>IF('計算A'!AE$106=1,ED42,1)</f>
        <v/>
      </c>
      <c r="JS42">
        <f>IF('計算A'!AF$106=1,EE42,1)</f>
        <v/>
      </c>
      <c r="JT42">
        <f>IF('計算A'!AG$106=1,EF42,1)</f>
        <v/>
      </c>
      <c r="JU42">
        <f>IF('計算A'!AH$106=1,EG42,1)</f>
        <v/>
      </c>
      <c r="JV42">
        <f>IF('計算A'!AI$106=1,EH42,1)</f>
        <v/>
      </c>
      <c r="JW42">
        <f>IF('計算A'!AJ$106=1,EI42,1)</f>
        <v/>
      </c>
      <c r="JX42">
        <f>IF('計算A'!AK$106=1,EJ42,1)</f>
        <v/>
      </c>
      <c r="JY42">
        <f>IF('計算A'!AL$106=1,EK42,1)</f>
        <v/>
      </c>
      <c r="JZ42">
        <f>IF('計算A'!AM$106=1,EL42,1)</f>
        <v/>
      </c>
      <c r="KA42">
        <f>IF('計算A'!AN$106=1,EM42,1)</f>
        <v/>
      </c>
      <c r="KB42">
        <f>IF('計算A'!AO$106=1,EN42,1)</f>
        <v/>
      </c>
      <c r="KC42">
        <f>IF('計算A'!AP$106=1,EO42,1)</f>
        <v/>
      </c>
      <c r="KD42">
        <f>IF('計算A'!AQ$106=1,EP42,1)</f>
        <v/>
      </c>
      <c r="KE42">
        <f>IF('計算A'!AR$106=1,EQ42,1)</f>
        <v/>
      </c>
      <c r="KF42">
        <f>IF('計算A'!AS$106=1,ER42,1)</f>
        <v/>
      </c>
      <c r="KG42">
        <f>IF('計算A'!AT$106=1,ES42,1)</f>
        <v/>
      </c>
      <c r="KH42">
        <f>IF('計算A'!AU$106=1,ET42,1)</f>
        <v/>
      </c>
      <c r="KI42">
        <f>IF('計算A'!AV$106=1,EU42,1)</f>
        <v/>
      </c>
      <c r="KJ42">
        <f>IF('計算A'!AW$106=1,EV42,1)</f>
        <v/>
      </c>
      <c r="KK42">
        <f>IF('計算A'!AX$106=1,EW42,1)</f>
        <v/>
      </c>
      <c r="KL42">
        <f>IF('計算A'!AY$106=1,EX42,1)</f>
        <v/>
      </c>
      <c r="KM42">
        <f>IF('計算A'!AZ$106=1,EY42,1)</f>
        <v/>
      </c>
      <c r="KN42">
        <f>IF('計算A'!BA$106=1,EZ42,1)</f>
        <v/>
      </c>
      <c r="KO42">
        <f>IF('計算A'!BB$106=1,FA42,1)</f>
        <v/>
      </c>
      <c r="KP42">
        <f>IF('計算A'!BC$106=1,FB42,1)</f>
        <v/>
      </c>
      <c r="KQ42">
        <f>IF('計算A'!BD$106=1,FC42,1)</f>
        <v/>
      </c>
      <c r="KR42">
        <f>IF('計算A'!BE$106=1,FD42,1)</f>
        <v/>
      </c>
      <c r="KS42">
        <f>IF('計算A'!BF$106=1,FE42,1)</f>
        <v/>
      </c>
      <c r="KT42">
        <f>IF('計算A'!BG$106=1,FF42,1)</f>
        <v/>
      </c>
      <c r="KU42">
        <f>IF('計算A'!BH$106=1,FG42,1)</f>
        <v/>
      </c>
      <c r="KV42">
        <f>IF('計算A'!BI$106=1,FH42,1)</f>
        <v/>
      </c>
      <c r="KW42">
        <f>IF('計算A'!BJ$106=1,FI42,1)</f>
        <v/>
      </c>
      <c r="KX42">
        <f>IF('計算A'!BK$106=1,FJ42,1)</f>
        <v/>
      </c>
      <c r="KY42">
        <f>IF('計算A'!BL$106=1,FK42,1)</f>
        <v/>
      </c>
      <c r="KZ42">
        <f>IF('計算A'!BM$106=1,FL42,1)</f>
        <v/>
      </c>
      <c r="LA42">
        <f>IF('計算A'!BN$106=1,FM42,1)</f>
        <v/>
      </c>
      <c r="LB42">
        <f>IF('計算A'!BO$106=1,FN42,1)</f>
        <v/>
      </c>
      <c r="LC42">
        <f>IF('計算A'!BP$106=1,FO42,1)</f>
        <v/>
      </c>
      <c r="LD42">
        <f>IF('計算A'!BQ$106=1,FP42,1)</f>
        <v/>
      </c>
      <c r="LE42">
        <f>IF('計算A'!BR$106=1,FQ42,1)</f>
        <v/>
      </c>
      <c r="LF42">
        <f>IF('計算A'!BS$106=1,FR42,1)</f>
        <v/>
      </c>
      <c r="LG42">
        <f>IF('計算A'!BT$106=1,FS42,1)</f>
        <v/>
      </c>
      <c r="LH42">
        <f>IF('計算A'!BU$106=1,FT42,1)</f>
        <v/>
      </c>
      <c r="LI42">
        <f>IF('計算A'!BV$106=1,FU42,1)</f>
        <v/>
      </c>
      <c r="LJ42">
        <f>IF('計算A'!BW$106=1,FV42,1)</f>
        <v/>
      </c>
      <c r="LK42">
        <f>IF('計算A'!BX$106=1,FW42,1)</f>
        <v/>
      </c>
      <c r="LL42">
        <f>IF('計算A'!BY$106=1,FX42,1)</f>
        <v/>
      </c>
      <c r="LM42">
        <f>IF('計算A'!BZ$106=1,FY42,1)</f>
        <v/>
      </c>
      <c r="LN42">
        <f>IF('計算A'!CA$106=1,FZ42,1)</f>
        <v/>
      </c>
      <c r="LO42">
        <f>IF('計算A'!CB$106=1,GA42,1)</f>
        <v/>
      </c>
      <c r="LP42">
        <f>IF('計算A'!CC$106=1,GB42,1)</f>
        <v/>
      </c>
      <c r="LQ42">
        <f>IF('計算A'!CD$106=1,GC42,1)</f>
        <v/>
      </c>
      <c r="LR42">
        <f>IF('計算A'!CE$106=1,GD42,1)</f>
        <v/>
      </c>
      <c r="LS42">
        <f>IF('計算A'!CF$106=1,GE42,1)</f>
        <v/>
      </c>
      <c r="LT42">
        <f>IF('計算A'!CG$106=1,GF42,1)</f>
        <v/>
      </c>
      <c r="LU42">
        <f>IF('計算A'!CH$106=1,GG42,1)</f>
        <v/>
      </c>
      <c r="LV42">
        <f>IF('計算A'!CI$106=1,GH42,1)</f>
        <v/>
      </c>
      <c r="LW42">
        <f>IF('計算A'!CJ$106=1,GI42,1)</f>
        <v/>
      </c>
      <c r="LX42">
        <f>IF('計算A'!CK$106=1,GJ42,1)</f>
        <v/>
      </c>
      <c r="LY42">
        <f>IF('計算A'!CL$106=1,GK42,1)</f>
        <v/>
      </c>
      <c r="LZ42">
        <f>IF('計算A'!CM$106=1,GL42,1)</f>
        <v/>
      </c>
      <c r="MA42">
        <f>IF('計算A'!CN$106=1,GM42,1)</f>
        <v/>
      </c>
      <c r="MB42">
        <f>IF('計算A'!CO$106=1,GN42,1)</f>
        <v/>
      </c>
      <c r="MC42">
        <f>IF('計算A'!CP$106=1,GO42,1)</f>
        <v/>
      </c>
      <c r="MD42">
        <f>IF('計算A'!CQ$106=1,GP42,1)</f>
        <v/>
      </c>
      <c r="ME42">
        <f>IF('計算A'!CR$106=1,GQ42,1)</f>
        <v/>
      </c>
      <c r="MF42">
        <f>IF('計算A'!CS$106=1,GR42,1)</f>
        <v/>
      </c>
      <c r="MG42">
        <f>IF('計算A'!CT$106=1,GS42,1)</f>
        <v/>
      </c>
      <c r="MH42">
        <f>IF('計算A'!CU$106=1,GT42,1)</f>
        <v/>
      </c>
      <c r="MI42">
        <f>IF('計算A'!CV$106=1,GU42,1)</f>
        <v/>
      </c>
      <c r="MJ42">
        <f>IF('計算A'!CW$106=1,GV42,1)</f>
        <v/>
      </c>
      <c r="MK42">
        <f>IF('計算A'!CX$106=1,GW42,1)</f>
        <v/>
      </c>
      <c r="ML42">
        <f>IF('計算A'!CY$106=1,GX42,1)</f>
        <v/>
      </c>
      <c r="MM42">
        <f>IF('計算A'!CZ$106=1,GY42,1)</f>
        <v/>
      </c>
      <c r="MN42">
        <f>IF('計算A'!DA$106=1,GZ42,1)</f>
        <v/>
      </c>
      <c r="MO42">
        <f>IF('計算A'!DB$106=1,HA42,1)</f>
        <v/>
      </c>
      <c r="MP42">
        <f>IF('計算A'!DC$106=1,HB42,1)</f>
        <v/>
      </c>
      <c r="MQ42">
        <f>IF('計算A'!DD$106=1,HC42,1)</f>
        <v/>
      </c>
      <c r="MR42">
        <f>IF('計算A'!DE$106=1,HD42,1)</f>
        <v/>
      </c>
      <c r="MS42">
        <f>IF('計算A'!DF$106=1,HE42,1)</f>
        <v/>
      </c>
      <c r="MT42">
        <f>IF('計算A'!DG$106=1,HF42,1)</f>
        <v/>
      </c>
      <c r="MU42">
        <f>IF('計算A'!DH$106=1,HG42,1)</f>
        <v/>
      </c>
      <c r="MV42">
        <f>IF('計算A'!DI$106=1,HH42,1)</f>
        <v/>
      </c>
      <c r="MW42">
        <f>IF('計算A'!DJ$106=1,HI42,1)</f>
        <v/>
      </c>
      <c r="MX42">
        <f>IF('計算A'!DK$106=1,HJ42,1)</f>
        <v/>
      </c>
      <c r="MY42">
        <f>IF('計算A'!DL$106=1,HK42,1)</f>
        <v/>
      </c>
      <c r="MZ42">
        <f>IF('計算A'!DM$106=1,HL42,1)</f>
        <v/>
      </c>
      <c r="NA42">
        <f>IF('計算A'!DN$106=1,HM42,1)</f>
        <v/>
      </c>
      <c r="NB42">
        <f>IF('計算A'!DO$106=1,HN42,1)</f>
        <v/>
      </c>
      <c r="NC42">
        <f>IF('計算A'!DP$106=1,HO42,1)</f>
        <v/>
      </c>
      <c r="ND42">
        <f>IF('計算A'!DQ$106=1,HP42,1)</f>
        <v/>
      </c>
      <c r="NE42">
        <f>IF('計算A'!DR$106=1,HQ42,1)</f>
        <v/>
      </c>
      <c r="NF42">
        <f>IF('計算A'!DS$106=1,HR42,1)</f>
        <v/>
      </c>
      <c r="NG42">
        <f>IF('計算A'!DT$106=1,HS42,1)</f>
        <v/>
      </c>
      <c r="NH42">
        <f>IF('計算A'!DU$106=1,HT42,1)</f>
        <v/>
      </c>
      <c r="NI42">
        <f>IF('計算A'!DV$106=1,HU42,1)</f>
        <v/>
      </c>
      <c r="NJ42">
        <f>IF('計算A'!DW$106=1,HV42,1)</f>
        <v/>
      </c>
      <c r="NK42">
        <f>IF('計算A'!DX$106=1,HW42,1)</f>
        <v/>
      </c>
      <c r="NL42">
        <f>IF('計算A'!DY$106=1,HX42,1)</f>
        <v/>
      </c>
      <c r="NM42">
        <f>IF('計算A'!DZ$106=1,HY42,1)</f>
        <v/>
      </c>
      <c r="NN42">
        <f>IF('計算A'!EA$106=1,HZ42,1)</f>
        <v/>
      </c>
      <c r="NO42">
        <f>IF('計算A'!EB$106=1,IA42,1)</f>
        <v/>
      </c>
      <c r="NP42">
        <f>IF('計算A'!EC$106=1,IB42,1)</f>
        <v/>
      </c>
      <c r="NQ42">
        <f>IF('計算A'!ED$106=1,IC42,1)</f>
        <v/>
      </c>
      <c r="NR42">
        <f>IF('計算A'!EE$106=1,ID42,1)</f>
        <v/>
      </c>
      <c r="NS42">
        <f>IF('計算A'!EF$106=1,IE42,1)</f>
        <v/>
      </c>
      <c r="NT42">
        <f>IF('計算A'!EG$106=1,IF42,1)</f>
        <v/>
      </c>
      <c r="NU42">
        <f>IF('計算A'!EH$106=1,IG42,1)</f>
        <v/>
      </c>
      <c r="NV42">
        <f>IF('計算A'!EI$106=1,IH42,1)</f>
        <v/>
      </c>
      <c r="NW42">
        <f>IF('計算A'!EJ$106=1,II42,1)</f>
        <v/>
      </c>
      <c r="NX42">
        <f>IF('計算A'!EK$106=1,IJ42,1)</f>
        <v/>
      </c>
      <c r="NY42">
        <f>IF('計算A'!EL$106=1,IK42,1)</f>
        <v/>
      </c>
      <c r="NZ42">
        <f>IF('計算A'!EM$106=1,IL42,1)</f>
        <v/>
      </c>
      <c r="OA42">
        <f>IF('計算A'!EN$106=1,IM42,1)</f>
        <v/>
      </c>
      <c r="OB42">
        <f>IF('計算A'!EO$106=1,IN42,1)</f>
        <v/>
      </c>
      <c r="OC42">
        <f>IF('計算A'!EP$106=1,IO42,1)</f>
        <v/>
      </c>
      <c r="OD42" t="n">
        <v>1</v>
      </c>
      <c r="OF42">
        <f>IF($B42=0,1000000,IF(INDEX('計算A'!$D$60:$EQ$104,$B42,1)*DB42=1,IF(AND($E42=2,IQ42=0),1000000,IF($I42&gt;0,IF(1=$J42,IF(OR(AND(1=$I42+1,OR($K42&lt;&gt;'計算A'!$A$3,'計算A'!$A$4=0)),AND(1=$I42-1,OR(1&lt;&gt;'計算A'!$A$3,'計算A'!$A$4=0))),0,IF(1=$K42,200000,ABS(1-$K42)*100)),100000+ABS(1-$J42)*1000+10)+'計算A'!D$5*50+IF(AND($E42=1,IQ42=0),25,0),IF($F42&gt;0,INDEX('計算A'!D$110:D$114,$F42+1)+IF(AND($E42=1,IQ42=0),1000,0),MIN(TU42,20)*400+(IF('計算A'!D$106=1,1-DC42,0))*150+11+'計算A'!D$5*100000+IF(AND($E42=1,IQ42=0),50000,0))+IF($H42=1,(IF('計算A'!D$117=1,INDEX('計算A'!E$10:E$54,$B42),0))*4000,0)-IF(AND($L42=1,'計算A'!D$117=1,DC42=0),2000,0))),1000000))</f>
        <v/>
      </c>
      <c r="OG42">
        <f>IF($B42=0,1000000,IF(INDEX('計算A'!$D$60:$EQ$104,$B42,2)*DC42=1,IF(AND($E42=2,IR42=0),1000000,IF($I42&gt;0,IF(1=$J42,IF(OR(AND(2=$I42+1,OR($K42&lt;&gt;'計算A'!$A$3,'計算A'!$A$4=0)),AND(2=$I42-1,OR(2&lt;&gt;'計算A'!$A$3,'計算A'!$A$4=0))),0,IF(2=$K42,200000,ABS(2-$K42)*100)),100000+ABS(1-$J42)*1000+20)+'計算A'!E$5*50+IF(AND($E42=1,IR42=0),25,0),IF($F42&gt;0,INDEX('計算A'!E$110:E$114,$F42+1)+IF(AND($E42=1,IR42=0),1000,0),MIN(TU42,20)*400+(IF('計算A'!D$106=1,1-DB42,0)+IF('計算A'!E$106=1,1-DD42,0))*150+21+'計算A'!E$5*100000+IF(AND($E42=1,IR42=0),50000,0))+IF($H42=1,(IF('計算A'!D$117=1,INDEX('計算A'!D$10:D$54,$B42),0)+IF('計算A'!E$117=1,INDEX('計算A'!F$10:F$54,$B42),0))*4000,0)-IF(AND('計算A'!D$117=1,UB42&gt;0),2000,0)-IF(AND($L42=1,'計算A'!E$117=1,DD42=0),2000,0))),1000000))</f>
        <v/>
      </c>
      <c r="OH42">
        <f>IF($B42=0,1000000,IF(INDEX('計算A'!$D$60:$EQ$104,$B42,3)*DD42=1,IF(AND($E42=2,IS42=0),1000000,IF($I42&gt;0,IF(1=$J42,IF(OR(AND(3=$I42+1,OR($K42&lt;&gt;'計算A'!$A$3,'計算A'!$A$4=0)),AND(3=$I42-1,OR(3&lt;&gt;'計算A'!$A$3,'計算A'!$A$4=0))),0,IF(3=$K42,200000,ABS(3-$K42)*100)),100000+ABS(1-$J42)*1000+30)+'計算A'!F$5*50+IF(AND($E42=1,IS42=0),25,0),IF($F42&gt;0,INDEX('計算A'!F$110:F$114,$F42+1)+IF(AND($E42=1,IS42=0),1000,0),MIN(TU42,20)*400+(IF('計算A'!E$106=1,1-DC42,0)+IF('計算A'!F$106=1,1-DE42,0))*150+31+'計算A'!F$5*100000+IF(AND($E42=1,IS42=0),50000,0))+IF($H42=1,(IF('計算A'!E$117=1,INDEX('計算A'!E$10:E$54,$B42),0)+IF('計算A'!F$117=1,INDEX('計算A'!G$10:G$54,$B42),0))*4000,0)-IF(AND('計算A'!E$117=1,UC42&gt;0),2000,0)-IF(AND($L42=1,'計算A'!F$117=1,DE42=0),2000,0))),1000000))</f>
        <v/>
      </c>
      <c r="OI42">
        <f>IF($B42=0,1000000,IF(INDEX('計算A'!$D$60:$EQ$104,$B42,4)*DE42=1,IF(AND($E42=2,IT42=0),1000000,IF($I42&gt;0,IF(1=$J42,IF(OR(AND(4=$I42+1,OR($K42&lt;&gt;'計算A'!$A$3,'計算A'!$A$4=0)),AND(4=$I42-1,OR(4&lt;&gt;'計算A'!$A$3,'計算A'!$A$4=0))),0,IF(4=$K42,200000,ABS(4-$K42)*100)),100000+ABS(1-$J42)*1000+40)+'計算A'!G$5*50+IF(AND($E42=1,IT42=0),25,0),IF($F42&gt;0,INDEX('計算A'!G$110:G$114,$F42+1)+IF(AND($E42=1,IT42=0),1000,0),MIN(TU42,20)*400+(IF('計算A'!F$106=1,1-DD42,0)+IF('計算A'!G$106=1,1-DF42,0))*150+41+'計算A'!G$5*100000+IF(AND($E42=1,IT42=0),50000,0))+IF($H42=1,(IF('計算A'!F$117=1,INDEX('計算A'!F$10:F$54,$B42),0)+IF('計算A'!G$117=1,INDEX('計算A'!H$10:H$54,$B42),0))*4000,0)-IF(AND('計算A'!F$117=1,UD42&gt;0),2000,0)-IF(AND($L42=1,'計算A'!G$117=1,DF42=0),2000,0))),1000000))</f>
        <v/>
      </c>
      <c r="OJ42">
        <f>IF($B42=0,1000000,IF(INDEX('計算A'!$D$60:$EQ$104,$B42,5)*DF42=1,IF(AND($E42=2,IU42=0),1000000,IF($I42&gt;0,IF(1=$J42,IF(OR(AND(5=$I42+1,OR($K42&lt;&gt;'計算A'!$A$3,'計算A'!$A$4=0)),AND(5=$I42-1,OR(5&lt;&gt;'計算A'!$A$3,'計算A'!$A$4=0))),0,IF(5=$K42,200000,ABS(5-$K42)*100)),100000+ABS(1-$J42)*1000+50)+'計算A'!H$5*50+IF(AND($E42=1,IU42=0),25,0),IF($F42&gt;0,INDEX('計算A'!H$110:H$114,$F42+1)+IF(AND($E42=1,IU42=0),1000,0),MIN(TU42,20)*400+(IF('計算A'!G$106=1,1-DE42,0)+IF('計算A'!H$106=1,1-DG42,0))*150+51+'計算A'!H$5*100000+IF(AND($E42=1,IU42=0),50000,0))+IF($H42=1,(IF('計算A'!G$117=1,INDEX('計算A'!G$10:G$54,$B42),0)+IF('計算A'!H$117=1,INDEX('計算A'!I$10:I$54,$B42),0))*4000,0)-IF(AND('計算A'!G$117=1,UE42&gt;0),2000,0)-IF(AND($L42=1,'計算A'!H$117=1,DG42=0),2000,0))),1000000))</f>
        <v/>
      </c>
      <c r="OK42">
        <f>IF($B42=0,1000000,IF(INDEX('計算A'!$D$60:$EQ$104,$B42,6)*DG42=1,IF(AND($E42=2,IV42=0),1000000,IF($I42&gt;0,IF(1=$J42,IF(OR(AND(6=$I42+1,OR($K42&lt;&gt;'計算A'!$A$3,'計算A'!$A$4=0)),AND(6=$I42-1,OR(6&lt;&gt;'計算A'!$A$3,'計算A'!$A$4=0))),0,IF(6=$K42,200000,ABS(6-$K42)*100)),100000+ABS(1-$J42)*1000+60)+'計算A'!I$5*50+IF(AND($E42=1,IV42=0),25,0),IF($F42&gt;0,INDEX('計算A'!I$110:I$114,$F42+1)+IF(AND($E42=1,IV42=0),1000,0),MIN(TU42,20)*400+(IF('計算A'!H$106=1,1-DF42,0)+IF('計算A'!I$106=1,1-DH42,0))*150+61+'計算A'!I$5*100000+IF(AND($E42=1,IV42=0),50000,0))+IF($H42=1,(IF('計算A'!H$117=1,INDEX('計算A'!H$10:H$54,$B42),0)+IF('計算A'!I$117=1,INDEX('計算A'!J$10:J$54,$B42),0))*4000,0)-IF(AND('計算A'!H$117=1,UF42&gt;0),2000,0)-IF(AND($L42=1,'計算A'!I$117=1,DH42=0),2000,0))),1000000))</f>
        <v/>
      </c>
      <c r="OL42">
        <f>IF($B42=0,1000000,IF(INDEX('計算A'!$D$60:$EQ$104,$B42,7)*DH42=1,IF(AND($E42=2,IW42=0),1000000,IF($I42&gt;0,IF(1=$J42,IF(OR(AND(7=$I42+1,OR($K42&lt;&gt;'計算A'!$A$3,'計算A'!$A$4=0)),AND(7=$I42-1,OR(7&lt;&gt;'計算A'!$A$3,'計算A'!$A$4=0))),0,IF(7=$K42,200000,ABS(7-$K42)*100)),100000+ABS(1-$J42)*1000+70)+'計算A'!J$5*50+IF(AND($E42=1,IW42=0),25,0),IF($F42&gt;0,INDEX('計算A'!J$110:J$114,$F42+1)+IF(AND($E42=1,IW42=0),1000,0),MIN(TU42,20)*400+(IF('計算A'!I$106=1,1-DG42,0)+IF('計算A'!J$106=1,1-DI42,0))*150+71+'計算A'!J$5*100000+IF(AND($E42=1,IW42=0),50000,0))+IF($H42=1,(IF('計算A'!I$117=1,INDEX('計算A'!I$10:I$54,$B42),0)+IF('計算A'!J$117=1,INDEX('計算A'!K$10:K$54,$B42),0))*4000,0)-IF(AND('計算A'!I$117=1,UG42&gt;0),2000,0)-IF(AND($L42=1,'計算A'!J$117=1,DI42=0),2000,0))),1000000))</f>
        <v/>
      </c>
      <c r="OM42">
        <f>IF($B42=0,1000000,IF(INDEX('計算A'!$D$60:$EQ$104,$B42,8)*DI42=1,IF(AND($E42=2,IX42=0),1000000,IF($I42&gt;0,IF(1=$J42,IF(OR(AND(8=$I42+1,OR($K42&lt;&gt;'計算A'!$A$3,'計算A'!$A$4=0)),AND(8=$I42-1,OR(8&lt;&gt;'計算A'!$A$3,'計算A'!$A$4=0))),0,IF(8=$K42,200000,ABS(8-$K42)*100)),100000+ABS(1-$J42)*1000+80)+'計算A'!K$5*50+IF(AND($E42=1,IX42=0),25,0),IF($F42&gt;0,INDEX('計算A'!K$110:K$114,$F42+1)+IF(AND($E42=1,IX42=0),1000,0),MIN(TU42,20)*400+(IF('計算A'!J$106=1,1-DH42,0)+IF('計算A'!K$106=1,1-DJ42,0))*150+81+'計算A'!K$5*100000+IF(AND($E42=1,IX42=0),50000,0))+IF($H42=1,(IF('計算A'!J$117=1,INDEX('計算A'!J$10:J$54,$B42),0)+IF('計算A'!K$117=1,INDEX('計算A'!L$10:L$54,$B42),0))*4000,0)-IF(AND('計算A'!J$117=1,UH42&gt;0),2000,0)-IF(AND($L42=1,'計算A'!K$117=1,DJ42=0),2000,0))),1000000))</f>
        <v/>
      </c>
      <c r="ON42">
        <f>IF($B42=0,1000000,IF(INDEX('計算A'!$D$60:$EQ$104,$B42,9)*DJ42=1,IF(AND($E42=2,IY42=0),1000000,IF($I42&gt;0,IF(1=$J42,IF(OR(AND(9=$I42+1,OR($K42&lt;&gt;'計算A'!$A$3,'計算A'!$A$4=0)),AND(9=$I42-1,OR(9&lt;&gt;'計算A'!$A$3,'計算A'!$A$4=0))),0,IF(9=$K42,200000,ABS(9-$K42)*100)),100000+ABS(1-$J42)*1000+90)+'計算A'!L$5*50+IF(AND($E42=1,IY42=0),25,0),IF($F42&gt;0,INDEX('計算A'!L$110:L$114,$F42+1)+IF(AND($E42=1,IY42=0),1000,0),MIN(TU42,20)*400+(IF('計算A'!K$106=1,1-DI42,0)+IF('計算A'!L$106=1,1-DK42,0))*150+91+'計算A'!L$5*100000+IF(AND($E42=1,IY42=0),50000,0))+IF($H42=1,(IF('計算A'!K$117=1,INDEX('計算A'!K$10:K$54,$B42),0)+IF('計算A'!L$117=1,INDEX('計算A'!M$10:M$54,$B42),0))*4000,0)-IF(AND('計算A'!K$117=1,UI42&gt;0),2000,0)-IF(AND($L42=1,'計算A'!L$117=1,DK42=0),2000,0))),1000000))</f>
        <v/>
      </c>
      <c r="OO42">
        <f>IF($B42=0,1000000,IF(INDEX('計算A'!$D$60:$EQ$104,$B42,10)*DK42=1,IF(AND($E42=2,IZ42=0),1000000,IF($I42&gt;0,IF(1=$J42,IF(OR(AND(10=$I42+1,OR($K42&lt;&gt;'計算A'!$A$3,'計算A'!$A$4=0)),AND(10=$I42-1,OR(10&lt;&gt;'計算A'!$A$3,'計算A'!$A$4=0))),0,IF(10=$K42,200000,ABS(10-$K42)*100)),100000+ABS(1-$J42)*1000+100)+'計算A'!M$5*50+IF(AND($E42=1,IZ42=0),25,0),IF($F42&gt;0,INDEX('計算A'!M$110:M$114,$F42+1)+IF(AND($E42=1,IZ42=0),1000,0),MIN(TU42,20)*400+(IF('計算A'!L$106=1,1-DJ42,0)+IF('計算A'!M$106=1,1-DL42,0))*150+101+'計算A'!M$5*100000+IF(AND($E42=1,IZ42=0),50000,0))+IF($H42=1,(IF('計算A'!L$117=1,INDEX('計算A'!L$10:L$54,$B42),0)+IF('計算A'!M$117=1,INDEX('計算A'!N$10:N$54,$B42),0))*4000,0)-IF(AND('計算A'!L$117=1,UJ42&gt;0),2000,0)-IF(AND($L42=1,'計算A'!M$117=1,DL42=0),2000,0))),1000000))</f>
        <v/>
      </c>
      <c r="OP42">
        <f>IF($B42=0,1000000,IF(INDEX('計算A'!$D$60:$EQ$104,$B42,11)*DL42=1,IF(AND($E42=2,JA42=0),1000000,IF($I42&gt;0,IF(1=$J42,IF(OR(AND(11=$I42+1,OR($K42&lt;&gt;'計算A'!$A$3,'計算A'!$A$4=0)),AND(11=$I42-1,OR(11&lt;&gt;'計算A'!$A$3,'計算A'!$A$4=0))),0,IF(11=$K42,200000,ABS(11-$K42)*100)),100000+ABS(1-$J42)*1000+110)+'計算A'!N$5*50+IF(AND($E42=1,JA42=0),25,0),IF($F42&gt;0,INDEX('計算A'!N$110:N$114,$F42+1)+IF(AND($E42=1,JA42=0),1000,0),MIN(TU42,20)*400+(IF('計算A'!M$106=1,1-DK42,0)+IF('計算A'!N$106=1,1-DM42,0))*150+111+'計算A'!N$5*100000+IF(AND($E42=1,JA42=0),50000,0))+IF($H42=1,(IF('計算A'!M$117=1,INDEX('計算A'!M$10:M$54,$B42),0)+IF('計算A'!N$117=1,INDEX('計算A'!O$10:O$54,$B42),0))*4000,0)-IF(AND('計算A'!M$117=1,UK42&gt;0),2000,0)-IF(AND($L42=1,'計算A'!N$117=1,DM42=0),2000,0))),1000000))</f>
        <v/>
      </c>
      <c r="OQ42">
        <f>IF($B42=0,1000000,IF(INDEX('計算A'!$D$60:$EQ$104,$B42,12)*DM42=1,IF(AND($E42=2,JB42=0),1000000,IF($I42&gt;0,IF(1=$J42,IF(OR(AND(12=$I42+1,OR($K42&lt;&gt;'計算A'!$A$3,'計算A'!$A$4=0)),AND(12=$I42-1,OR(12&lt;&gt;'計算A'!$A$3,'計算A'!$A$4=0))),0,IF(12=$K42,200000,ABS(12-$K42)*100)),100000+ABS(1-$J42)*1000+120)+'計算A'!O$5*50+IF(AND($E42=1,JB42=0),25,0),IF($F42&gt;0,INDEX('計算A'!O$110:O$114,$F42+1)+IF(AND($E42=1,JB42=0),1000,0),MIN(TU42,20)*400+(IF('計算A'!N$106=1,1-DL42,0)+IF('計算A'!O$106=1,1-DN42,0))*150+121+'計算A'!O$5*100000+IF(AND($E42=1,JB42=0),50000,0))+IF($H42=1,(IF('計算A'!N$117=1,INDEX('計算A'!N$10:N$54,$B42),0)+IF('計算A'!O$117=1,INDEX('計算A'!P$10:P$54,$B42),0))*4000,0)-IF(AND('計算A'!N$117=1,UL42&gt;0),2000,0)-IF(AND($L42=1,'計算A'!O$117=1,DN42=0),2000,0))),1000000))</f>
        <v/>
      </c>
      <c r="OR42">
        <f>IF($B42=0,1000000,IF(INDEX('計算A'!$D$60:$EQ$104,$B42,13)*DN42=1,IF(AND($E42=2,JC42=0),1000000,IF($I42&gt;0,IF(1=$J42,IF(OR(AND(13=$I42+1,OR($K42&lt;&gt;'計算A'!$A$3,'計算A'!$A$4=0)),AND(13=$I42-1,OR(13&lt;&gt;'計算A'!$A$3,'計算A'!$A$4=0))),0,IF(13=$K42,200000,ABS(13-$K42)*100)),100000+ABS(1-$J42)*1000+130)+'計算A'!P$5*50+IF(AND($E42=1,JC42=0),25,0),IF($F42&gt;0,INDEX('計算A'!P$110:P$114,$F42+1)+IF(AND($E42=1,JC42=0),1000,0),MIN(TU42,20)*400+(IF('計算A'!O$106=1,1-DM42,0)+IF('計算A'!P$106=1,1-DO42,0))*150+131+'計算A'!P$5*100000+IF(AND($E42=1,JC42=0),50000,0))+IF($H42=1,(IF('計算A'!O$117=1,INDEX('計算A'!O$10:O$54,$B42),0)+IF('計算A'!P$117=1,INDEX('計算A'!Q$10:Q$54,$B42),0))*4000,0)-IF(AND('計算A'!O$117=1,UM42&gt;0),2000,0)-IF(AND($L42=1,'計算A'!P$117=1,DO42=0),2000,0))),1000000))</f>
        <v/>
      </c>
      <c r="OS42">
        <f>IF($B42=0,1000000,IF(INDEX('計算A'!$D$60:$EQ$104,$B42,14)*DO42=1,IF(AND($E42=2,JD42=0),1000000,IF($I42&gt;0,IF(1=$J42,IF(OR(AND(14=$I42+1,OR($K42&lt;&gt;'計算A'!$A$3,'計算A'!$A$4=0)),AND(14=$I42-1,OR(14&lt;&gt;'計算A'!$A$3,'計算A'!$A$4=0))),0,IF(14=$K42,200000,ABS(14-$K42)*100)),100000+ABS(1-$J42)*1000+140)+'計算A'!Q$5*50+IF(AND($E42=1,JD42=0),25,0),IF($F42&gt;0,INDEX('計算A'!Q$110:Q$114,$F42+1)+IF(AND($E42=1,JD42=0),1000,0),MIN(TU42,20)*400+(IF('計算A'!P$106=1,1-DN42,0)+IF('計算A'!Q$106=1,1-DP42,0))*150+141+'計算A'!Q$5*100000+IF(AND($E42=1,JD42=0),50000,0))+IF($H42=1,(IF('計算A'!P$117=1,INDEX('計算A'!P$10:P$54,$B42),0)+IF('計算A'!Q$117=1,INDEX('計算A'!R$10:R$54,$B42),0))*4000,0)-IF(AND('計算A'!P$117=1,UN42&gt;0),2000,0)-IF(AND($L42=1,'計算A'!Q$117=1,DP42=0),2000,0))),1000000))</f>
        <v/>
      </c>
      <c r="OT42">
        <f>IF($B42=0,1000000,IF(INDEX('計算A'!$D$60:$EQ$104,$B42,15)*DP42=1,IF(AND($E42=2,JE42=0),1000000,IF($I42&gt;0,IF(1=$J42,IF(OR(AND(15=$I42+1,OR($K42&lt;&gt;'計算A'!$A$3,'計算A'!$A$4=0)),AND(15=$I42-1,OR(15&lt;&gt;'計算A'!$A$3,'計算A'!$A$4=0))),0,IF(15=$K42,200000,ABS(15-$K42)*100)),100000+ABS(1-$J42)*1000+150)+'計算A'!R$5*50+IF(AND($E42=1,JE42=0),25,0),IF($F42&gt;0,INDEX('計算A'!R$110:R$114,$F42+1)+IF(AND($E42=1,JE42=0),1000,0),MIN(TU42,20)*400+(IF('計算A'!Q$106=1,1-DO42,0)+IF('計算A'!R$106=1,1-DQ42,0))*150+151+'計算A'!R$5*100000+IF(AND($E42=1,JE42=0),50000,0))+IF($H42=1,(IF('計算A'!Q$117=1,INDEX('計算A'!Q$10:Q$54,$B42),0)+IF('計算A'!R$117=1,INDEX('計算A'!S$10:S$54,$B42),0))*4000,0)-IF(AND('計算A'!Q$117=1,UO42&gt;0),2000,0)-IF(AND($L42=1,'計算A'!R$117=1,DQ42=0),2000,0))),1000000))</f>
        <v/>
      </c>
      <c r="OU42">
        <f>IF($B42=0,1000000,IF(INDEX('計算A'!$D$60:$EQ$104,$B42,16)*DQ42=1,IF(AND($E42=2,JF42=0),1000000,IF($I42&gt;0,IF(1=$J42,IF(OR(AND(16=$I42+1,OR($K42&lt;&gt;'計算A'!$A$3,'計算A'!$A$4=0)),AND(16=$I42-1,OR(16&lt;&gt;'計算A'!$A$3,'計算A'!$A$4=0))),0,IF(16=$K42,200000,ABS(16-$K42)*100)),100000+ABS(1-$J42)*1000+160)+'計算A'!S$5*50+IF(AND($E42=1,JF42=0),25,0),IF($F42&gt;0,INDEX('計算A'!S$110:S$114,$F42+1)+IF(AND($E42=1,JF42=0),1000,0),MIN(TU42,20)*400+(IF('計算A'!R$106=1,1-DP42,0)+IF('計算A'!S$106=1,1-DR42,0))*150+161+'計算A'!S$5*100000+IF(AND($E42=1,JF42=0),50000,0))+IF($H42=1,(IF('計算A'!R$117=1,INDEX('計算A'!R$10:R$54,$B42),0)+IF('計算A'!S$117=1,INDEX('計算A'!T$10:T$54,$B42),0))*4000,0)-IF(AND('計算A'!R$117=1,UP42&gt;0),2000,0)-IF(AND($L42=1,'計算A'!S$117=1,DR42=0),2000,0))),1000000))</f>
        <v/>
      </c>
      <c r="OV42">
        <f>IF($B42=0,1000000,IF(INDEX('計算A'!$D$60:$EQ$104,$B42,17)*DR42=1,IF(AND($E42=2,JG42=0),1000000,IF($I42&gt;0,IF(1=$J42,IF(OR(AND(17=$I42+1,OR($K42&lt;&gt;'計算A'!$A$3,'計算A'!$A$4=0)),AND(17=$I42-1,OR(17&lt;&gt;'計算A'!$A$3,'計算A'!$A$4=0))),0,IF(17=$K42,200000,ABS(17-$K42)*100)),100000+ABS(1-$J42)*1000+170)+'計算A'!T$5*50+IF(AND($E42=1,JG42=0),25,0),IF($F42&gt;0,INDEX('計算A'!T$110:T$114,$F42+1)+IF(AND($E42=1,JG42=0),1000,0),MIN(TU42,20)*400+(IF('計算A'!S$106=1,1-DQ42,0)+IF('計算A'!T$106=1,1-DS42,0))*150+171+'計算A'!T$5*100000+IF(AND($E42=1,JG42=0),50000,0))+IF($H42=1,(IF('計算A'!S$117=1,INDEX('計算A'!S$10:S$54,$B42),0)+IF('計算A'!T$117=1,INDEX('計算A'!U$10:U$54,$B42),0))*4000,0)-IF(AND('計算A'!S$117=1,UQ42&gt;0),2000,0)-IF(AND($L42=1,'計算A'!T$117=1,DS42=0),2000,0))),1000000))</f>
        <v/>
      </c>
      <c r="OW42">
        <f>IF($B42=0,1000000,IF(INDEX('計算A'!$D$60:$EQ$104,$B42,18)*DS42=1,IF(AND($E42=2,JH42=0),1000000,IF($I42&gt;0,IF(1=$J42,IF(OR(AND(18=$I42+1,OR($K42&lt;&gt;'計算A'!$A$3,'計算A'!$A$4=0)),AND(18=$I42-1,OR(18&lt;&gt;'計算A'!$A$3,'計算A'!$A$4=0))),0,IF(18=$K42,200000,ABS(18-$K42)*100)),100000+ABS(1-$J42)*1000+180)+'計算A'!U$5*50+IF(AND($E42=1,JH42=0),25,0),IF($F42&gt;0,INDEX('計算A'!U$110:U$114,$F42+1)+IF(AND($E42=1,JH42=0),1000,0),MIN(TU42,20)*400+(IF('計算A'!T$106=1,1-DR42,0)+IF('計算A'!U$106=1,1-DT42,0))*150+181+'計算A'!U$5*100000+IF(AND($E42=1,JH42=0),50000,0))+IF($H42=1,(IF('計算A'!T$117=1,INDEX('計算A'!T$10:T$54,$B42),0)+IF('計算A'!U$117=1,INDEX('計算A'!V$10:V$54,$B42),0))*4000,0)-IF(AND('計算A'!T$117=1,UR42&gt;0),2000,0)-IF(AND($L42=1,'計算A'!U$117=1,DT42=0),2000,0))),1000000))</f>
        <v/>
      </c>
      <c r="OX42">
        <f>IF($B42=0,1000000,IF(INDEX('計算A'!$D$60:$EQ$104,$B42,19)*DT42=1,IF(AND($E42=2,JI42=0),1000000,IF($I42&gt;0,IF(1=$J42,IF(OR(AND(19=$I42+1,OR($K42&lt;&gt;'計算A'!$A$3,'計算A'!$A$4=0)),AND(19=$I42-1,OR(19&lt;&gt;'計算A'!$A$3,'計算A'!$A$4=0))),0,IF(19=$K42,200000,ABS(19-$K42)*100)),100000+ABS(1-$J42)*1000+190)+'計算A'!V$5*50+IF(AND($E42=1,JI42=0),25,0),IF($F42&gt;0,INDEX('計算A'!V$110:V$114,$F42+1)+IF(AND($E42=1,JI42=0),1000,0),MIN(TU42,20)*400+(IF('計算A'!U$106=1,1-DS42,0)+IF('計算A'!V$106=1,1-DU42,0))*150+191+'計算A'!V$5*100000+IF(AND($E42=1,JI42=0),50000,0))+IF($H42=1,(IF('計算A'!U$117=1,INDEX('計算A'!U$10:U$54,$B42),0)+IF('計算A'!V$117=1,INDEX('計算A'!W$10:W$54,$B42),0))*4000,0)-IF(AND('計算A'!U$117=1,US42&gt;0),2000,0)-IF(AND($L42=1,'計算A'!V$117=1,DU42=0),2000,0))),1000000))</f>
        <v/>
      </c>
      <c r="OY42">
        <f>IF($B42=0,1000000,IF(INDEX('計算A'!$D$60:$EQ$104,$B42,20)*DU42=1,IF(AND($E42=2,JJ42=0),1000000,IF($I42&gt;0,IF(1=$J42,IF(OR(AND(20=$I42+1,OR($K42&lt;&gt;'計算A'!$A$3,'計算A'!$A$4=0)),AND(20=$I42-1,OR(20&lt;&gt;'計算A'!$A$3,'計算A'!$A$4=0))),0,IF(20=$K42,200000,ABS(20-$K42)*100)),100000+ABS(1-$J42)*1000+200)+'計算A'!W$5*50+IF(AND($E42=1,JJ42=0),25,0),IF($F42&gt;0,INDEX('計算A'!W$110:W$114,$F42+1)+IF(AND($E42=1,JJ42=0),1000,0),MIN(TU42,20)*400+(IF('計算A'!V$106=1,1-DT42,0)+IF('計算A'!W$106=1,1-DV42,0))*150+201+'計算A'!W$5*100000+IF(AND($E42=1,JJ42=0),50000,0))+IF($H42=1,(IF('計算A'!V$117=1,INDEX('計算A'!V$10:V$54,$B42),0)+IF('計算A'!W$117=1,INDEX('計算A'!X$10:X$54,$B42),0))*4000,0)-IF(AND('計算A'!V$117=1,UT42&gt;0),2000,0)-IF(AND($L42=1,'計算A'!W$117=1,DV42=0),2000,0))),1000000))</f>
        <v/>
      </c>
      <c r="OZ42">
        <f>IF($B42=0,1000000,IF(INDEX('計算A'!$D$60:$EQ$104,$B42,21)*DV42=1,IF(AND($E42=2,JK42=0),1000000,IF($I42&gt;0,IF(1=$J42,IF(OR(AND(21=$I42+1,OR($K42&lt;&gt;'計算A'!$A$3,'計算A'!$A$4=0)),AND(21=$I42-1,OR(21&lt;&gt;'計算A'!$A$3,'計算A'!$A$4=0))),0,IF(21=$K42,200000,ABS(21-$K42)*100)),100000+ABS(1-$J42)*1000+210)+'計算A'!X$5*50+IF(AND($E42=1,JK42=0),25,0),IF($F42&gt;0,INDEX('計算A'!X$110:X$114,$F42+1)+IF(AND($E42=1,JK42=0),1000,0),MIN(TU42,20)*400+(IF('計算A'!W$106=1,1-DU42,0)+IF('計算A'!X$106=1,1-DW42,0))*150+211+'計算A'!X$5*100000+IF(AND($E42=1,JK42=0),50000,0))+IF($H42=1,(IF('計算A'!W$117=1,INDEX('計算A'!W$10:W$54,$B42),0)+IF('計算A'!X$117=1,INDEX('計算A'!Y$10:Y$54,$B42),0))*4000,0)-IF(AND('計算A'!W$117=1,UU42&gt;0),2000,0)-IF(AND($L42=1,'計算A'!X$117=1,DW42=0),2000,0))),1000000))</f>
        <v/>
      </c>
      <c r="PA42">
        <f>IF($B42=0,1000000,IF(INDEX('計算A'!$D$60:$EQ$104,$B42,22)*DW42=1,IF(AND($E42=2,JL42=0),1000000,IF($I42&gt;0,IF(1=$J42,IF(OR(AND(22=$I42+1,OR($K42&lt;&gt;'計算A'!$A$3,'計算A'!$A$4=0)),AND(22=$I42-1,OR(22&lt;&gt;'計算A'!$A$3,'計算A'!$A$4=0))),0,IF(22=$K42,200000,ABS(22-$K42)*100)),100000+ABS(1-$J42)*1000+220)+'計算A'!Y$5*50+IF(AND($E42=1,JL42=0),25,0),IF($F42&gt;0,INDEX('計算A'!Y$110:Y$114,$F42+1)+IF(AND($E42=1,JL42=0),1000,0),MIN(TU42,20)*400+(IF('計算A'!X$106=1,1-DV42,0)+IF('計算A'!Y$106=1,1-DX42,0))*150+221+'計算A'!Y$5*100000+IF(AND($E42=1,JL42=0),50000,0))+IF($H42=1,(IF('計算A'!X$117=1,INDEX('計算A'!X$10:X$54,$B42),0)+IF('計算A'!Y$117=1,INDEX('計算A'!Z$10:Z$54,$B42),0))*4000,0)-IF(AND('計算A'!X$117=1,UV42&gt;0),2000,0)-IF(AND($L42=1,'計算A'!Y$117=1,DX42=0),2000,0))),1000000))</f>
        <v/>
      </c>
      <c r="PB42">
        <f>IF($B42=0,1000000,IF(INDEX('計算A'!$D$60:$EQ$104,$B42,23)*DX42=1,IF(AND($E42=2,JM42=0),1000000,IF($I42&gt;0,IF(1=$J42,IF(OR(AND(23=$I42+1,OR($K42&lt;&gt;'計算A'!$A$3,'計算A'!$A$4=0)),AND(23=$I42-1,OR(23&lt;&gt;'計算A'!$A$3,'計算A'!$A$4=0))),0,IF(23=$K42,200000,ABS(23-$K42)*100)),100000+ABS(1-$J42)*1000+230)+'計算A'!Z$5*50+IF(AND($E42=1,JM42=0),25,0),IF($F42&gt;0,INDEX('計算A'!Z$110:Z$114,$F42+1)+IF(AND($E42=1,JM42=0),1000,0),MIN(TU42,20)*400+(IF('計算A'!Y$106=1,1-DW42,0)+IF('計算A'!Z$106=1,1-DY42,0))*150+231+'計算A'!Z$5*100000+IF(AND($E42=1,JM42=0),50000,0))+IF($H42=1,(IF('計算A'!Y$117=1,INDEX('計算A'!Y$10:Y$54,$B42),0)+IF('計算A'!Z$117=1,INDEX('計算A'!AA$10:AA$54,$B42),0))*4000,0)-IF(AND('計算A'!Y$117=1,UW42&gt;0),2000,0)-IF(AND($L42=1,'計算A'!Z$117=1,DY42=0),2000,0))),1000000))</f>
        <v/>
      </c>
      <c r="PC42">
        <f>IF($B42=0,1000000,IF(INDEX('計算A'!$D$60:$EQ$104,$B42,24)*DY42=1,IF(AND($E42=2,JN42=0),1000000,IF($I42&gt;0,IF(1=$J42,IF(OR(AND(24=$I42+1,OR($K42&lt;&gt;'計算A'!$A$3,'計算A'!$A$4=0)),AND(24=$I42-1,OR(24&lt;&gt;'計算A'!$A$3,'計算A'!$A$4=0))),0,IF(24=$K42,200000,ABS(24-$K42)*100)),100000+ABS(1-$J42)*1000+240)+'計算A'!AA$5*50+IF(AND($E42=1,JN42=0),25,0),IF($F42&gt;0,INDEX('計算A'!AA$110:AA$114,$F42+1)+IF(AND($E42=1,JN42=0),1000,0),MIN(TU42,20)*400+(IF('計算A'!Z$106=1,1-DX42,0))*150+241+'計算A'!AA$5*100000+IF(AND($E42=1,JN42=0),50000,0))+IF($H42=1,(IF('計算A'!Z$117=1,INDEX('計算A'!Z$10:Z$54,$B42),0))*4000,0)-IF(AND('計算A'!Z$117=1,UX42&gt;0),2000,0))),1000000))</f>
        <v/>
      </c>
      <c r="PD42">
        <f>IF($B42=0,1000000,IF(INDEX('計算A'!$D$60:$EQ$104,$B42,25)*DZ42=1,IF(AND($E42=2,JO42=0),1000000,IF($I42&gt;0,IF(2=$J42,IF(OR(AND(25=$I42+1,OR($K42&lt;&gt;'計算A'!$A$3,'計算A'!$A$4=0)),AND(25=$I42-1,OR(1&lt;&gt;'計算A'!$A$3,'計算A'!$A$4=0))),0,IF(1=$K42,200000,ABS(1-$K42)*100)),100000+ABS(2-$J42)*1000+10)+'計算A'!AB$5*50+IF(AND($E42=1,JO42=0),25,0),IF($F42&gt;0,INDEX('計算A'!AB$110:AB$114,$F42+1)+IF(AND($E42=1,JO42=0),1000,0),MIN(TV42,20)*400+(IF('計算A'!AB$106=1,1-EA42,0))*150+12+'計算A'!AB$5*100000+IF(AND($E42=1,JO42=0),50000,0))+IF($H42=1,(IF('計算A'!AB$117=1,INDEX('計算A'!AC$10:AC$54,$B42),0))*4000,0)-IF(AND($L42=1,'計算A'!AB$117=1,EA42=0),2000,0))),1000000))</f>
        <v/>
      </c>
      <c r="PE42">
        <f>IF($B42=0,1000000,IF(INDEX('計算A'!$D$60:$EQ$104,$B42,26)*EA42=1,IF(AND($E42=2,JP42=0),1000000,IF($I42&gt;0,IF(2=$J42,IF(OR(AND(26=$I42+1,OR($K42&lt;&gt;'計算A'!$A$3,'計算A'!$A$4=0)),AND(26=$I42-1,OR(2&lt;&gt;'計算A'!$A$3,'計算A'!$A$4=0))),0,IF(2=$K42,200000,ABS(2-$K42)*100)),100000+ABS(2-$J42)*1000+20)+'計算A'!AC$5*50+IF(AND($E42=1,JP42=0),25,0),IF($F42&gt;0,INDEX('計算A'!AC$110:AC$114,$F42+1)+IF(AND($E42=1,JP42=0),1000,0),MIN(TV42,20)*400+(IF('計算A'!AB$106=1,1-DZ42,0)+IF('計算A'!AC$106=1,1-EB42,0))*150+22+'計算A'!AC$5*100000+IF(AND($E42=1,JP42=0),50000,0))+IF($H42=1,(IF('計算A'!AB$117=1,INDEX('計算A'!AB$10:AB$54,$B42),0)+IF('計算A'!AC$117=1,INDEX('計算A'!AD$10:AD$54,$B42),0))*4000,0)-IF(AND('計算A'!AB$117=1,UZ42&gt;0),2000,0)-IF(AND($L42=1,'計算A'!AC$117=1,EB42=0),2000,0))),1000000))</f>
        <v/>
      </c>
      <c r="PF42">
        <f>IF($B42=0,1000000,IF(INDEX('計算A'!$D$60:$EQ$104,$B42,27)*EB42=1,IF(AND($E42=2,JQ42=0),1000000,IF($I42&gt;0,IF(2=$J42,IF(OR(AND(27=$I42+1,OR($K42&lt;&gt;'計算A'!$A$3,'計算A'!$A$4=0)),AND(27=$I42-1,OR(3&lt;&gt;'計算A'!$A$3,'計算A'!$A$4=0))),0,IF(3=$K42,200000,ABS(3-$K42)*100)),100000+ABS(2-$J42)*1000+30)+'計算A'!AD$5*50+IF(AND($E42=1,JQ42=0),25,0),IF($F42&gt;0,INDEX('計算A'!AD$110:AD$114,$F42+1)+IF(AND($E42=1,JQ42=0),1000,0),MIN(TV42,20)*400+(IF('計算A'!AC$106=1,1-EA42,0)+IF('計算A'!AD$106=1,1-EC42,0))*150+32+'計算A'!AD$5*100000+IF(AND($E42=1,JQ42=0),50000,0))+IF($H42=1,(IF('計算A'!AC$117=1,INDEX('計算A'!AC$10:AC$54,$B42),0)+IF('計算A'!AD$117=1,INDEX('計算A'!AE$10:AE$54,$B42),0))*4000,0)-IF(AND('計算A'!AC$117=1,VA42&gt;0),2000,0)-IF(AND($L42=1,'計算A'!AD$117=1,EC42=0),2000,0))),1000000))</f>
        <v/>
      </c>
      <c r="PG42">
        <f>IF($B42=0,1000000,IF(INDEX('計算A'!$D$60:$EQ$104,$B42,28)*EC42=1,IF(AND($E42=2,JR42=0),1000000,IF($I42&gt;0,IF(2=$J42,IF(OR(AND(28=$I42+1,OR($K42&lt;&gt;'計算A'!$A$3,'計算A'!$A$4=0)),AND(28=$I42-1,OR(4&lt;&gt;'計算A'!$A$3,'計算A'!$A$4=0))),0,IF(4=$K42,200000,ABS(4-$K42)*100)),100000+ABS(2-$J42)*1000+40)+'計算A'!AE$5*50+IF(AND($E42=1,JR42=0),25,0),IF($F42&gt;0,INDEX('計算A'!AE$110:AE$114,$F42+1)+IF(AND($E42=1,JR42=0),1000,0),MIN(TV42,20)*400+(IF('計算A'!AD$106=1,1-EB42,0)+IF('計算A'!AE$106=1,1-ED42,0))*150+42+'計算A'!AE$5*100000+IF(AND($E42=1,JR42=0),50000,0))+IF($H42=1,(IF('計算A'!AD$117=1,INDEX('計算A'!AD$10:AD$54,$B42),0)+IF('計算A'!AE$117=1,INDEX('計算A'!AF$10:AF$54,$B42),0))*4000,0)-IF(AND('計算A'!AD$117=1,VB42&gt;0),2000,0)-IF(AND($L42=1,'計算A'!AE$117=1,ED42=0),2000,0))),1000000))</f>
        <v/>
      </c>
      <c r="PH42">
        <f>IF($B42=0,1000000,IF(INDEX('計算A'!$D$60:$EQ$104,$B42,29)*ED42=1,IF(AND($E42=2,JS42=0),1000000,IF($I42&gt;0,IF(2=$J42,IF(OR(AND(29=$I42+1,OR($K42&lt;&gt;'計算A'!$A$3,'計算A'!$A$4=0)),AND(29=$I42-1,OR(5&lt;&gt;'計算A'!$A$3,'計算A'!$A$4=0))),0,IF(5=$K42,200000,ABS(5-$K42)*100)),100000+ABS(2-$J42)*1000+50)+'計算A'!AF$5*50+IF(AND($E42=1,JS42=0),25,0),IF($F42&gt;0,INDEX('計算A'!AF$110:AF$114,$F42+1)+IF(AND($E42=1,JS42=0),1000,0),MIN(TV42,20)*400+(IF('計算A'!AE$106=1,1-EC42,0)+IF('計算A'!AF$106=1,1-EE42,0))*150+52+'計算A'!AF$5*100000+IF(AND($E42=1,JS42=0),50000,0))+IF($H42=1,(IF('計算A'!AE$117=1,INDEX('計算A'!AE$10:AE$54,$B42),0)+IF('計算A'!AF$117=1,INDEX('計算A'!AG$10:AG$54,$B42),0))*4000,0)-IF(AND('計算A'!AE$117=1,VC42&gt;0),2000,0)-IF(AND($L42=1,'計算A'!AF$117=1,EE42=0),2000,0))),1000000))</f>
        <v/>
      </c>
      <c r="PI42">
        <f>IF($B42=0,1000000,IF(INDEX('計算A'!$D$60:$EQ$104,$B42,30)*EE42=1,IF(AND($E42=2,JT42=0),1000000,IF($I42&gt;0,IF(2=$J42,IF(OR(AND(30=$I42+1,OR($K42&lt;&gt;'計算A'!$A$3,'計算A'!$A$4=0)),AND(30=$I42-1,OR(6&lt;&gt;'計算A'!$A$3,'計算A'!$A$4=0))),0,IF(6=$K42,200000,ABS(6-$K42)*100)),100000+ABS(2-$J42)*1000+60)+'計算A'!AG$5*50+IF(AND($E42=1,JT42=0),25,0),IF($F42&gt;0,INDEX('計算A'!AG$110:AG$114,$F42+1)+IF(AND($E42=1,JT42=0),1000,0),MIN(TV42,20)*400+(IF('計算A'!AF$106=1,1-ED42,0)+IF('計算A'!AG$106=1,1-EF42,0))*150+62+'計算A'!AG$5*100000+IF(AND($E42=1,JT42=0),50000,0))+IF($H42=1,(IF('計算A'!AF$117=1,INDEX('計算A'!AF$10:AF$54,$B42),0)+IF('計算A'!AG$117=1,INDEX('計算A'!AH$10:AH$54,$B42),0))*4000,0)-IF(AND('計算A'!AF$117=1,VD42&gt;0),2000,0)-IF(AND($L42=1,'計算A'!AG$117=1,EF42=0),2000,0))),1000000))</f>
        <v/>
      </c>
      <c r="PJ42">
        <f>IF($B42=0,1000000,IF(INDEX('計算A'!$D$60:$EQ$104,$B42,31)*EF42=1,IF(AND($E42=2,JU42=0),1000000,IF($I42&gt;0,IF(2=$J42,IF(OR(AND(31=$I42+1,OR($K42&lt;&gt;'計算A'!$A$3,'計算A'!$A$4=0)),AND(31=$I42-1,OR(7&lt;&gt;'計算A'!$A$3,'計算A'!$A$4=0))),0,IF(7=$K42,200000,ABS(7-$K42)*100)),100000+ABS(2-$J42)*1000+70)+'計算A'!AH$5*50+IF(AND($E42=1,JU42=0),25,0),IF($F42&gt;0,INDEX('計算A'!AH$110:AH$114,$F42+1)+IF(AND($E42=1,JU42=0),1000,0),MIN(TV42,20)*400+(IF('計算A'!AG$106=1,1-EE42,0)+IF('計算A'!AH$106=1,1-EG42,0))*150+72+'計算A'!AH$5*100000+IF(AND($E42=1,JU42=0),50000,0))+IF($H42=1,(IF('計算A'!AG$117=1,INDEX('計算A'!AG$10:AG$54,$B42),0)+IF('計算A'!AH$117=1,INDEX('計算A'!AI$10:AI$54,$B42),0))*4000,0)-IF(AND('計算A'!AG$117=1,VE42&gt;0),2000,0)-IF(AND($L42=1,'計算A'!AH$117=1,EG42=0),2000,0))),1000000))</f>
        <v/>
      </c>
      <c r="PK42">
        <f>IF($B42=0,1000000,IF(INDEX('計算A'!$D$60:$EQ$104,$B42,32)*EG42=1,IF(AND($E42=2,JV42=0),1000000,IF($I42&gt;0,IF(2=$J42,IF(OR(AND(32=$I42+1,OR($K42&lt;&gt;'計算A'!$A$3,'計算A'!$A$4=0)),AND(32=$I42-1,OR(8&lt;&gt;'計算A'!$A$3,'計算A'!$A$4=0))),0,IF(8=$K42,200000,ABS(8-$K42)*100)),100000+ABS(2-$J42)*1000+80)+'計算A'!AI$5*50+IF(AND($E42=1,JV42=0),25,0),IF($F42&gt;0,INDEX('計算A'!AI$110:AI$114,$F42+1)+IF(AND($E42=1,JV42=0),1000,0),MIN(TV42,20)*400+(IF('計算A'!AH$106=1,1-EF42,0)+IF('計算A'!AI$106=1,1-EH42,0))*150+82+'計算A'!AI$5*100000+IF(AND($E42=1,JV42=0),50000,0))+IF($H42=1,(IF('計算A'!AH$117=1,INDEX('計算A'!AH$10:AH$54,$B42),0)+IF('計算A'!AI$117=1,INDEX('計算A'!AJ$10:AJ$54,$B42),0))*4000,0)-IF(AND('計算A'!AH$117=1,VF42&gt;0),2000,0)-IF(AND($L42=1,'計算A'!AI$117=1,EH42=0),2000,0))),1000000))</f>
        <v/>
      </c>
      <c r="PL42">
        <f>IF($B42=0,1000000,IF(INDEX('計算A'!$D$60:$EQ$104,$B42,33)*EH42=1,IF(AND($E42=2,JW42=0),1000000,IF($I42&gt;0,IF(2=$J42,IF(OR(AND(33=$I42+1,OR($K42&lt;&gt;'計算A'!$A$3,'計算A'!$A$4=0)),AND(33=$I42-1,OR(9&lt;&gt;'計算A'!$A$3,'計算A'!$A$4=0))),0,IF(9=$K42,200000,ABS(9-$K42)*100)),100000+ABS(2-$J42)*1000+90)+'計算A'!AJ$5*50+IF(AND($E42=1,JW42=0),25,0),IF($F42&gt;0,INDEX('計算A'!AJ$110:AJ$114,$F42+1)+IF(AND($E42=1,JW42=0),1000,0),MIN(TV42,20)*400+(IF('計算A'!AI$106=1,1-EG42,0)+IF('計算A'!AJ$106=1,1-EI42,0))*150+92+'計算A'!AJ$5*100000+IF(AND($E42=1,JW42=0),50000,0))+IF($H42=1,(IF('計算A'!AI$117=1,INDEX('計算A'!AI$10:AI$54,$B42),0)+IF('計算A'!AJ$117=1,INDEX('計算A'!AK$10:AK$54,$B42),0))*4000,0)-IF(AND('計算A'!AI$117=1,VG42&gt;0),2000,0)-IF(AND($L42=1,'計算A'!AJ$117=1,EI42=0),2000,0))),1000000))</f>
        <v/>
      </c>
      <c r="PM42">
        <f>IF($B42=0,1000000,IF(INDEX('計算A'!$D$60:$EQ$104,$B42,34)*EI42=1,IF(AND($E42=2,JX42=0),1000000,IF($I42&gt;0,IF(2=$J42,IF(OR(AND(34=$I42+1,OR($K42&lt;&gt;'計算A'!$A$3,'計算A'!$A$4=0)),AND(34=$I42-1,OR(10&lt;&gt;'計算A'!$A$3,'計算A'!$A$4=0))),0,IF(10=$K42,200000,ABS(10-$K42)*100)),100000+ABS(2-$J42)*1000+100)+'計算A'!AK$5*50+IF(AND($E42=1,JX42=0),25,0),IF($F42&gt;0,INDEX('計算A'!AK$110:AK$114,$F42+1)+IF(AND($E42=1,JX42=0),1000,0),MIN(TV42,20)*400+(IF('計算A'!AJ$106=1,1-EH42,0)+IF('計算A'!AK$106=1,1-EJ42,0))*150+102+'計算A'!AK$5*100000+IF(AND($E42=1,JX42=0),50000,0))+IF($H42=1,(IF('計算A'!AJ$117=1,INDEX('計算A'!AJ$10:AJ$54,$B42),0)+IF('計算A'!AK$117=1,INDEX('計算A'!AL$10:AL$54,$B42),0))*4000,0)-IF(AND('計算A'!AJ$117=1,VH42&gt;0),2000,0)-IF(AND($L42=1,'計算A'!AK$117=1,EJ42=0),2000,0))),1000000))</f>
        <v/>
      </c>
      <c r="PN42">
        <f>IF($B42=0,1000000,IF(INDEX('計算A'!$D$60:$EQ$104,$B42,35)*EJ42=1,IF(AND($E42=2,JY42=0),1000000,IF($I42&gt;0,IF(2=$J42,IF(OR(AND(35=$I42+1,OR($K42&lt;&gt;'計算A'!$A$3,'計算A'!$A$4=0)),AND(35=$I42-1,OR(11&lt;&gt;'計算A'!$A$3,'計算A'!$A$4=0))),0,IF(11=$K42,200000,ABS(11-$K42)*100)),100000+ABS(2-$J42)*1000+110)+'計算A'!AL$5*50+IF(AND($E42=1,JY42=0),25,0),IF($F42&gt;0,INDEX('計算A'!AL$110:AL$114,$F42+1)+IF(AND($E42=1,JY42=0),1000,0),MIN(TV42,20)*400+(IF('計算A'!AK$106=1,1-EI42,0)+IF('計算A'!AL$106=1,1-EK42,0))*150+112+'計算A'!AL$5*100000+IF(AND($E42=1,JY42=0),50000,0))+IF($H42=1,(IF('計算A'!AK$117=1,INDEX('計算A'!AK$10:AK$54,$B42),0)+IF('計算A'!AL$117=1,INDEX('計算A'!AM$10:AM$54,$B42),0))*4000,0)-IF(AND('計算A'!AK$117=1,VI42&gt;0),2000,0)-IF(AND($L42=1,'計算A'!AL$117=1,EK42=0),2000,0))),1000000))</f>
        <v/>
      </c>
      <c r="PO42">
        <f>IF($B42=0,1000000,IF(INDEX('計算A'!$D$60:$EQ$104,$B42,36)*EK42=1,IF(AND($E42=2,JZ42=0),1000000,IF($I42&gt;0,IF(2=$J42,IF(OR(AND(36=$I42+1,OR($K42&lt;&gt;'計算A'!$A$3,'計算A'!$A$4=0)),AND(36=$I42-1,OR(12&lt;&gt;'計算A'!$A$3,'計算A'!$A$4=0))),0,IF(12=$K42,200000,ABS(12-$K42)*100)),100000+ABS(2-$J42)*1000+120)+'計算A'!AM$5*50+IF(AND($E42=1,JZ42=0),25,0),IF($F42&gt;0,INDEX('計算A'!AM$110:AM$114,$F42+1)+IF(AND($E42=1,JZ42=0),1000,0),MIN(TV42,20)*400+(IF('計算A'!AL$106=1,1-EJ42,0)+IF('計算A'!AM$106=1,1-EL42,0))*150+122+'計算A'!AM$5*100000+IF(AND($E42=1,JZ42=0),50000,0))+IF($H42=1,(IF('計算A'!AL$117=1,INDEX('計算A'!AL$10:AL$54,$B42),0)+IF('計算A'!AM$117=1,INDEX('計算A'!AN$10:AN$54,$B42),0))*4000,0)-IF(AND('計算A'!AL$117=1,VJ42&gt;0),2000,0)-IF(AND($L42=1,'計算A'!AM$117=1,EL42=0),2000,0))),1000000))</f>
        <v/>
      </c>
      <c r="PP42">
        <f>IF($B42=0,1000000,IF(INDEX('計算A'!$D$60:$EQ$104,$B42,37)*EL42=1,IF(AND($E42=2,KA42=0),1000000,IF($I42&gt;0,IF(2=$J42,IF(OR(AND(37=$I42+1,OR($K42&lt;&gt;'計算A'!$A$3,'計算A'!$A$4=0)),AND(37=$I42-1,OR(13&lt;&gt;'計算A'!$A$3,'計算A'!$A$4=0))),0,IF(13=$K42,200000,ABS(13-$K42)*100)),100000+ABS(2-$J42)*1000+130)+'計算A'!AN$5*50+IF(AND($E42=1,KA42=0),25,0),IF($F42&gt;0,INDEX('計算A'!AN$110:AN$114,$F42+1)+IF(AND($E42=1,KA42=0),1000,0),MIN(TV42,20)*400+(IF('計算A'!AM$106=1,1-EK42,0)+IF('計算A'!AN$106=1,1-EM42,0))*150+132+'計算A'!AN$5*100000+IF(AND($E42=1,KA42=0),50000,0))+IF($H42=1,(IF('計算A'!AM$117=1,INDEX('計算A'!AM$10:AM$54,$B42),0)+IF('計算A'!AN$117=1,INDEX('計算A'!AO$10:AO$54,$B42),0))*4000,0)-IF(AND('計算A'!AM$117=1,VK42&gt;0),2000,0)-IF(AND($L42=1,'計算A'!AN$117=1,EM42=0),2000,0))),1000000))</f>
        <v/>
      </c>
      <c r="PQ42">
        <f>IF($B42=0,1000000,IF(INDEX('計算A'!$D$60:$EQ$104,$B42,38)*EM42=1,IF(AND($E42=2,KB42=0),1000000,IF($I42&gt;0,IF(2=$J42,IF(OR(AND(38=$I42+1,OR($K42&lt;&gt;'計算A'!$A$3,'計算A'!$A$4=0)),AND(38=$I42-1,OR(14&lt;&gt;'計算A'!$A$3,'計算A'!$A$4=0))),0,IF(14=$K42,200000,ABS(14-$K42)*100)),100000+ABS(2-$J42)*1000+140)+'計算A'!AO$5*50+IF(AND($E42=1,KB42=0),25,0),IF($F42&gt;0,INDEX('計算A'!AO$110:AO$114,$F42+1)+IF(AND($E42=1,KB42=0),1000,0),MIN(TV42,20)*400+(IF('計算A'!AN$106=1,1-EL42,0)+IF('計算A'!AO$106=1,1-EN42,0))*150+142+'計算A'!AO$5*100000+IF(AND($E42=1,KB42=0),50000,0))+IF($H42=1,(IF('計算A'!AN$117=1,INDEX('計算A'!AN$10:AN$54,$B42),0)+IF('計算A'!AO$117=1,INDEX('計算A'!AP$10:AP$54,$B42),0))*4000,0)-IF(AND('計算A'!AN$117=1,VL42&gt;0),2000,0)-IF(AND($L42=1,'計算A'!AO$117=1,EN42=0),2000,0))),1000000))</f>
        <v/>
      </c>
      <c r="PR42">
        <f>IF($B42=0,1000000,IF(INDEX('計算A'!$D$60:$EQ$104,$B42,39)*EN42=1,IF(AND($E42=2,KC42=0),1000000,IF($I42&gt;0,IF(2=$J42,IF(OR(AND(39=$I42+1,OR($K42&lt;&gt;'計算A'!$A$3,'計算A'!$A$4=0)),AND(39=$I42-1,OR(15&lt;&gt;'計算A'!$A$3,'計算A'!$A$4=0))),0,IF(15=$K42,200000,ABS(15-$K42)*100)),100000+ABS(2-$J42)*1000+150)+'計算A'!AP$5*50+IF(AND($E42=1,KC42=0),25,0),IF($F42&gt;0,INDEX('計算A'!AP$110:AP$114,$F42+1)+IF(AND($E42=1,KC42=0),1000,0),MIN(TV42,20)*400+(IF('計算A'!AO$106=1,1-EM42,0)+IF('計算A'!AP$106=1,1-EO42,0))*150+152+'計算A'!AP$5*100000+IF(AND($E42=1,KC42=0),50000,0))+IF($H42=1,(IF('計算A'!AO$117=1,INDEX('計算A'!AO$10:AO$54,$B42),0)+IF('計算A'!AP$117=1,INDEX('計算A'!AQ$10:AQ$54,$B42),0))*4000,0)-IF(AND('計算A'!AO$117=1,VM42&gt;0),2000,0)-IF(AND($L42=1,'計算A'!AP$117=1,EO42=0),2000,0))),1000000))</f>
        <v/>
      </c>
      <c r="PS42">
        <f>IF($B42=0,1000000,IF(INDEX('計算A'!$D$60:$EQ$104,$B42,40)*EO42=1,IF(AND($E42=2,KD42=0),1000000,IF($I42&gt;0,IF(2=$J42,IF(OR(AND(40=$I42+1,OR($K42&lt;&gt;'計算A'!$A$3,'計算A'!$A$4=0)),AND(40=$I42-1,OR(16&lt;&gt;'計算A'!$A$3,'計算A'!$A$4=0))),0,IF(16=$K42,200000,ABS(16-$K42)*100)),100000+ABS(2-$J42)*1000+160)+'計算A'!AQ$5*50+IF(AND($E42=1,KD42=0),25,0),IF($F42&gt;0,INDEX('計算A'!AQ$110:AQ$114,$F42+1)+IF(AND($E42=1,KD42=0),1000,0),MIN(TV42,20)*400+(IF('計算A'!AP$106=1,1-EN42,0)+IF('計算A'!AQ$106=1,1-EP42,0))*150+162+'計算A'!AQ$5*100000+IF(AND($E42=1,KD42=0),50000,0))+IF($H42=1,(IF('計算A'!AP$117=1,INDEX('計算A'!AP$10:AP$54,$B42),0)+IF('計算A'!AQ$117=1,INDEX('計算A'!AR$10:AR$54,$B42),0))*4000,0)-IF(AND('計算A'!AP$117=1,VN42&gt;0),2000,0)-IF(AND($L42=1,'計算A'!AQ$117=1,EP42=0),2000,0))),1000000))</f>
        <v/>
      </c>
      <c r="PT42">
        <f>IF($B42=0,1000000,IF(INDEX('計算A'!$D$60:$EQ$104,$B42,41)*EP42=1,IF(AND($E42=2,KE42=0),1000000,IF($I42&gt;0,IF(2=$J42,IF(OR(AND(41=$I42+1,OR($K42&lt;&gt;'計算A'!$A$3,'計算A'!$A$4=0)),AND(41=$I42-1,OR(17&lt;&gt;'計算A'!$A$3,'計算A'!$A$4=0))),0,IF(17=$K42,200000,ABS(17-$K42)*100)),100000+ABS(2-$J42)*1000+170)+'計算A'!AR$5*50+IF(AND($E42=1,KE42=0),25,0),IF($F42&gt;0,INDEX('計算A'!AR$110:AR$114,$F42+1)+IF(AND($E42=1,KE42=0),1000,0),MIN(TV42,20)*400+(IF('計算A'!AQ$106=1,1-EO42,0)+IF('計算A'!AR$106=1,1-EQ42,0))*150+172+'計算A'!AR$5*100000+IF(AND($E42=1,KE42=0),50000,0))+IF($H42=1,(IF('計算A'!AQ$117=1,INDEX('計算A'!AQ$10:AQ$54,$B42),0)+IF('計算A'!AR$117=1,INDEX('計算A'!AS$10:AS$54,$B42),0))*4000,0)-IF(AND('計算A'!AQ$117=1,VO42&gt;0),2000,0)-IF(AND($L42=1,'計算A'!AR$117=1,EQ42=0),2000,0))),1000000))</f>
        <v/>
      </c>
      <c r="PU42">
        <f>IF($B42=0,1000000,IF(INDEX('計算A'!$D$60:$EQ$104,$B42,42)*EQ42=1,IF(AND($E42=2,KF42=0),1000000,IF($I42&gt;0,IF(2=$J42,IF(OR(AND(42=$I42+1,OR($K42&lt;&gt;'計算A'!$A$3,'計算A'!$A$4=0)),AND(42=$I42-1,OR(18&lt;&gt;'計算A'!$A$3,'計算A'!$A$4=0))),0,IF(18=$K42,200000,ABS(18-$K42)*100)),100000+ABS(2-$J42)*1000+180)+'計算A'!AS$5*50+IF(AND($E42=1,KF42=0),25,0),IF($F42&gt;0,INDEX('計算A'!AS$110:AS$114,$F42+1)+IF(AND($E42=1,KF42=0),1000,0),MIN(TV42,20)*400+(IF('計算A'!AR$106=1,1-EP42,0)+IF('計算A'!AS$106=1,1-ER42,0))*150+182+'計算A'!AS$5*100000+IF(AND($E42=1,KF42=0),50000,0))+IF($H42=1,(IF('計算A'!AR$117=1,INDEX('計算A'!AR$10:AR$54,$B42),0)+IF('計算A'!AS$117=1,INDEX('計算A'!AT$10:AT$54,$B42),0))*4000,0)-IF(AND('計算A'!AR$117=1,VP42&gt;0),2000,0)-IF(AND($L42=1,'計算A'!AS$117=1,ER42=0),2000,0))),1000000))</f>
        <v/>
      </c>
      <c r="PV42">
        <f>IF($B42=0,1000000,IF(INDEX('計算A'!$D$60:$EQ$104,$B42,43)*ER42=1,IF(AND($E42=2,KG42=0),1000000,IF($I42&gt;0,IF(2=$J42,IF(OR(AND(43=$I42+1,OR($K42&lt;&gt;'計算A'!$A$3,'計算A'!$A$4=0)),AND(43=$I42-1,OR(19&lt;&gt;'計算A'!$A$3,'計算A'!$A$4=0))),0,IF(19=$K42,200000,ABS(19-$K42)*100)),100000+ABS(2-$J42)*1000+190)+'計算A'!AT$5*50+IF(AND($E42=1,KG42=0),25,0),IF($F42&gt;0,INDEX('計算A'!AT$110:AT$114,$F42+1)+IF(AND($E42=1,KG42=0),1000,0),MIN(TV42,20)*400+(IF('計算A'!AS$106=1,1-EQ42,0)+IF('計算A'!AT$106=1,1-ES42,0))*150+192+'計算A'!AT$5*100000+IF(AND($E42=1,KG42=0),50000,0))+IF($H42=1,(IF('計算A'!AS$117=1,INDEX('計算A'!AS$10:AS$54,$B42),0)+IF('計算A'!AT$117=1,INDEX('計算A'!AU$10:AU$54,$B42),0))*4000,0)-IF(AND('計算A'!AS$117=1,VQ42&gt;0),2000,0)-IF(AND($L42=1,'計算A'!AT$117=1,ES42=0),2000,0))),1000000))</f>
        <v/>
      </c>
      <c r="PW42">
        <f>IF($B42=0,1000000,IF(INDEX('計算A'!$D$60:$EQ$104,$B42,44)*ES42=1,IF(AND($E42=2,KH42=0),1000000,IF($I42&gt;0,IF(2=$J42,IF(OR(AND(44=$I42+1,OR($K42&lt;&gt;'計算A'!$A$3,'計算A'!$A$4=0)),AND(44=$I42-1,OR(20&lt;&gt;'計算A'!$A$3,'計算A'!$A$4=0))),0,IF(20=$K42,200000,ABS(20-$K42)*100)),100000+ABS(2-$J42)*1000+200)+'計算A'!AU$5*50+IF(AND($E42=1,KH42=0),25,0),IF($F42&gt;0,INDEX('計算A'!AU$110:AU$114,$F42+1)+IF(AND($E42=1,KH42=0),1000,0),MIN(TV42,20)*400+(IF('計算A'!AT$106=1,1-ER42,0)+IF('計算A'!AU$106=1,1-ET42,0))*150+202+'計算A'!AU$5*100000+IF(AND($E42=1,KH42=0),50000,0))+IF($H42=1,(IF('計算A'!AT$117=1,INDEX('計算A'!AT$10:AT$54,$B42),0)+IF('計算A'!AU$117=1,INDEX('計算A'!AV$10:AV$54,$B42),0))*4000,0)-IF(AND('計算A'!AT$117=1,VR42&gt;0),2000,0)-IF(AND($L42=1,'計算A'!AU$117=1,ET42=0),2000,0))),1000000))</f>
        <v/>
      </c>
      <c r="PX42">
        <f>IF($B42=0,1000000,IF(INDEX('計算A'!$D$60:$EQ$104,$B42,45)*ET42=1,IF(AND($E42=2,KI42=0),1000000,IF($I42&gt;0,IF(2=$J42,IF(OR(AND(45=$I42+1,OR($K42&lt;&gt;'計算A'!$A$3,'計算A'!$A$4=0)),AND(45=$I42-1,OR(21&lt;&gt;'計算A'!$A$3,'計算A'!$A$4=0))),0,IF(21=$K42,200000,ABS(21-$K42)*100)),100000+ABS(2-$J42)*1000+210)+'計算A'!AV$5*50+IF(AND($E42=1,KI42=0),25,0),IF($F42&gt;0,INDEX('計算A'!AV$110:AV$114,$F42+1)+IF(AND($E42=1,KI42=0),1000,0),MIN(TV42,20)*400+(IF('計算A'!AU$106=1,1-ES42,0)+IF('計算A'!AV$106=1,1-EU42,0))*150+212+'計算A'!AV$5*100000+IF(AND($E42=1,KI42=0),50000,0))+IF($H42=1,(IF('計算A'!AU$117=1,INDEX('計算A'!AU$10:AU$54,$B42),0)+IF('計算A'!AV$117=1,INDEX('計算A'!AW$10:AW$54,$B42),0))*4000,0)-IF(AND('計算A'!AU$117=1,VS42&gt;0),2000,0)-IF(AND($L42=1,'計算A'!AV$117=1,EU42=0),2000,0))),1000000))</f>
        <v/>
      </c>
      <c r="PY42">
        <f>IF($B42=0,1000000,IF(INDEX('計算A'!$D$60:$EQ$104,$B42,46)*EU42=1,IF(AND($E42=2,KJ42=0),1000000,IF($I42&gt;0,IF(2=$J42,IF(OR(AND(46=$I42+1,OR($K42&lt;&gt;'計算A'!$A$3,'計算A'!$A$4=0)),AND(46=$I42-1,OR(22&lt;&gt;'計算A'!$A$3,'計算A'!$A$4=0))),0,IF(22=$K42,200000,ABS(22-$K42)*100)),100000+ABS(2-$J42)*1000+220)+'計算A'!AW$5*50+IF(AND($E42=1,KJ42=0),25,0),IF($F42&gt;0,INDEX('計算A'!AW$110:AW$114,$F42+1)+IF(AND($E42=1,KJ42=0),1000,0),MIN(TV42,20)*400+(IF('計算A'!AV$106=1,1-ET42,0)+IF('計算A'!AW$106=1,1-EV42,0))*150+222+'計算A'!AW$5*100000+IF(AND($E42=1,KJ42=0),50000,0))+IF($H42=1,(IF('計算A'!AV$117=1,INDEX('計算A'!AV$10:AV$54,$B42),0)+IF('計算A'!AW$117=1,INDEX('計算A'!AX$10:AX$54,$B42),0))*4000,0)-IF(AND('計算A'!AV$117=1,VT42&gt;0),2000,0)-IF(AND($L42=1,'計算A'!AW$117=1,EV42=0),2000,0))),1000000))</f>
        <v/>
      </c>
      <c r="PZ42">
        <f>IF($B42=0,1000000,IF(INDEX('計算A'!$D$60:$EQ$104,$B42,47)*EV42=1,IF(AND($E42=2,KK42=0),1000000,IF($I42&gt;0,IF(2=$J42,IF(OR(AND(47=$I42+1,OR($K42&lt;&gt;'計算A'!$A$3,'計算A'!$A$4=0)),AND(47=$I42-1,OR(23&lt;&gt;'計算A'!$A$3,'計算A'!$A$4=0))),0,IF(23=$K42,200000,ABS(23-$K42)*100)),100000+ABS(2-$J42)*1000+230)+'計算A'!AX$5*50+IF(AND($E42=1,KK42=0),25,0),IF($F42&gt;0,INDEX('計算A'!AX$110:AX$114,$F42+1)+IF(AND($E42=1,KK42=0),1000,0),MIN(TV42,20)*400+(IF('計算A'!AW$106=1,1-EU42,0)+IF('計算A'!AX$106=1,1-EW42,0))*150+232+'計算A'!AX$5*100000+IF(AND($E42=1,KK42=0),50000,0))+IF($H42=1,(IF('計算A'!AW$117=1,INDEX('計算A'!AW$10:AW$54,$B42),0)+IF('計算A'!AX$117=1,INDEX('計算A'!AY$10:AY$54,$B42),0))*4000,0)-IF(AND('計算A'!AW$117=1,VU42&gt;0),2000,0)-IF(AND($L42=1,'計算A'!AX$117=1,EW42=0),2000,0))),1000000))</f>
        <v/>
      </c>
      <c r="QA42">
        <f>IF($B42=0,1000000,IF(INDEX('計算A'!$D$60:$EQ$104,$B42,48)*EW42=1,IF(AND($E42=2,KL42=0),1000000,IF($I42&gt;0,IF(2=$J42,IF(OR(AND(48=$I42+1,OR($K42&lt;&gt;'計算A'!$A$3,'計算A'!$A$4=0)),AND(48=$I42-1,OR(24&lt;&gt;'計算A'!$A$3,'計算A'!$A$4=0))),0,IF(24=$K42,200000,ABS(24-$K42)*100)),100000+ABS(2-$J42)*1000+240)+'計算A'!AY$5*50+IF(AND($E42=1,KL42=0),25,0),IF($F42&gt;0,INDEX('計算A'!AY$110:AY$114,$F42+1)+IF(AND($E42=1,KL42=0),1000,0),MIN(TV42,20)*400+(IF('計算A'!AX$106=1,1-EV42,0))*150+242+'計算A'!AY$5*100000+IF(AND($E42=1,KL42=0),50000,0))+IF($H42=1,(IF('計算A'!AX$117=1,INDEX('計算A'!AX$10:AX$54,$B42),0))*4000,0)-IF(AND('計算A'!AX$117=1,VV42&gt;0),2000,0))),1000000))</f>
        <v/>
      </c>
      <c r="QB42">
        <f>IF($B42=0,1000000,IF(INDEX('計算A'!$D$60:$EQ$104,$B42,49)*EX42=1,IF(AND($E42=2,KM42=0),1000000,IF($I42&gt;0,IF(3=$J42,IF(OR(AND(49=$I42+1,OR($K42&lt;&gt;'計算A'!$A$3,'計算A'!$A$4=0)),AND(49=$I42-1,OR(1&lt;&gt;'計算A'!$A$3,'計算A'!$A$4=0))),0,IF(1=$K42,200000,ABS(1-$K42)*100)),100000+ABS(3-$J42)*1000+10)+'計算A'!AZ$5*50+IF(AND($E42=1,KM42=0),25,0),IF($F42&gt;0,INDEX('計算A'!AZ$110:AZ$114,$F42+1)+IF(AND($E42=1,KM42=0),1000,0),MIN(TW42,20)*400+(IF('計算A'!AZ$106=1,1-EY42,0))*150+13+'計算A'!AZ$5*100000+IF(AND($E42=1,KM42=0),50000,0))+IF($H42=1,(IF('計算A'!AZ$117=1,INDEX('計算A'!BA$10:BA$54,$B42),0))*4000,0)-IF(AND($L42=1,'計算A'!AZ$117=1,EY42=0),2000,0))),1000000))</f>
        <v/>
      </c>
      <c r="QC42">
        <f>IF($B42=0,1000000,IF(INDEX('計算A'!$D$60:$EQ$104,$B42,50)*EY42=1,IF(AND($E42=2,KN42=0),1000000,IF($I42&gt;0,IF(3=$J42,IF(OR(AND(50=$I42+1,OR($K42&lt;&gt;'計算A'!$A$3,'計算A'!$A$4=0)),AND(50=$I42-1,OR(2&lt;&gt;'計算A'!$A$3,'計算A'!$A$4=0))),0,IF(2=$K42,200000,ABS(2-$K42)*100)),100000+ABS(3-$J42)*1000+20)+'計算A'!BA$5*50+IF(AND($E42=1,KN42=0),25,0),IF($F42&gt;0,INDEX('計算A'!BA$110:BA$114,$F42+1)+IF(AND($E42=1,KN42=0),1000,0),MIN(TW42,20)*400+(IF('計算A'!AZ$106=1,1-EX42,0)+IF('計算A'!BA$106=1,1-EZ42,0))*150+23+'計算A'!BA$5*100000+IF(AND($E42=1,KN42=0),50000,0))+IF($H42=1,(IF('計算A'!AZ$117=1,INDEX('計算A'!AZ$10:AZ$54,$B42),0)+IF('計算A'!BA$117=1,INDEX('計算A'!BB$10:BB$54,$B42),0))*4000,0)-IF(AND('計算A'!AZ$117=1,VX42&gt;0),2000,0)-IF(AND($L42=1,'計算A'!BA$117=1,EZ42=0),2000,0))),1000000))</f>
        <v/>
      </c>
      <c r="QD42">
        <f>IF($B42=0,1000000,IF(INDEX('計算A'!$D$60:$EQ$104,$B42,51)*EZ42=1,IF(AND($E42=2,KO42=0),1000000,IF($I42&gt;0,IF(3=$J42,IF(OR(AND(51=$I42+1,OR($K42&lt;&gt;'計算A'!$A$3,'計算A'!$A$4=0)),AND(51=$I42-1,OR(3&lt;&gt;'計算A'!$A$3,'計算A'!$A$4=0))),0,IF(3=$K42,200000,ABS(3-$K42)*100)),100000+ABS(3-$J42)*1000+30)+'計算A'!BB$5*50+IF(AND($E42=1,KO42=0),25,0),IF($F42&gt;0,INDEX('計算A'!BB$110:BB$114,$F42+1)+IF(AND($E42=1,KO42=0),1000,0),MIN(TW42,20)*400+(IF('計算A'!BA$106=1,1-EY42,0)+IF('計算A'!BB$106=1,1-FA42,0))*150+33+'計算A'!BB$5*100000+IF(AND($E42=1,KO42=0),50000,0))+IF($H42=1,(IF('計算A'!BA$117=1,INDEX('計算A'!BA$10:BA$54,$B42),0)+IF('計算A'!BB$117=1,INDEX('計算A'!BC$10:BC$54,$B42),0))*4000,0)-IF(AND('計算A'!BA$117=1,VY42&gt;0),2000,0)-IF(AND($L42=1,'計算A'!BB$117=1,FA42=0),2000,0))),1000000))</f>
        <v/>
      </c>
      <c r="QE42">
        <f>IF($B42=0,1000000,IF(INDEX('計算A'!$D$60:$EQ$104,$B42,52)*FA42=1,IF(AND($E42=2,KP42=0),1000000,IF($I42&gt;0,IF(3=$J42,IF(OR(AND(52=$I42+1,OR($K42&lt;&gt;'計算A'!$A$3,'計算A'!$A$4=0)),AND(52=$I42-1,OR(4&lt;&gt;'計算A'!$A$3,'計算A'!$A$4=0))),0,IF(4=$K42,200000,ABS(4-$K42)*100)),100000+ABS(3-$J42)*1000+40)+'計算A'!BC$5*50+IF(AND($E42=1,KP42=0),25,0),IF($F42&gt;0,INDEX('計算A'!BC$110:BC$114,$F42+1)+IF(AND($E42=1,KP42=0),1000,0),MIN(TW42,20)*400+(IF('計算A'!BB$106=1,1-EZ42,0)+IF('計算A'!BC$106=1,1-FB42,0))*150+43+'計算A'!BC$5*100000+IF(AND($E42=1,KP42=0),50000,0))+IF($H42=1,(IF('計算A'!BB$117=1,INDEX('計算A'!BB$10:BB$54,$B42),0)+IF('計算A'!BC$117=1,INDEX('計算A'!BD$10:BD$54,$B42),0))*4000,0)-IF(AND('計算A'!BB$117=1,VZ42&gt;0),2000,0)-IF(AND($L42=1,'計算A'!BC$117=1,FB42=0),2000,0))),1000000))</f>
        <v/>
      </c>
      <c r="QF42">
        <f>IF($B42=0,1000000,IF(INDEX('計算A'!$D$60:$EQ$104,$B42,53)*FB42=1,IF(AND($E42=2,KQ42=0),1000000,IF($I42&gt;0,IF(3=$J42,IF(OR(AND(53=$I42+1,OR($K42&lt;&gt;'計算A'!$A$3,'計算A'!$A$4=0)),AND(53=$I42-1,OR(5&lt;&gt;'計算A'!$A$3,'計算A'!$A$4=0))),0,IF(5=$K42,200000,ABS(5-$K42)*100)),100000+ABS(3-$J42)*1000+50)+'計算A'!BD$5*50+IF(AND($E42=1,KQ42=0),25,0),IF($F42&gt;0,INDEX('計算A'!BD$110:BD$114,$F42+1)+IF(AND($E42=1,KQ42=0),1000,0),MIN(TW42,20)*400+(IF('計算A'!BC$106=1,1-FA42,0)+IF('計算A'!BD$106=1,1-FC42,0))*150+53+'計算A'!BD$5*100000+IF(AND($E42=1,KQ42=0),50000,0))+IF($H42=1,(IF('計算A'!BC$117=1,INDEX('計算A'!BC$10:BC$54,$B42),0)+IF('計算A'!BD$117=1,INDEX('計算A'!BE$10:BE$54,$B42),0))*4000,0)-IF(AND('計算A'!BC$117=1,WA42&gt;0),2000,0)-IF(AND($L42=1,'計算A'!BD$117=1,FC42=0),2000,0))),1000000))</f>
        <v/>
      </c>
      <c r="QG42">
        <f>IF($B42=0,1000000,IF(INDEX('計算A'!$D$60:$EQ$104,$B42,54)*FC42=1,IF(AND($E42=2,KR42=0),1000000,IF($I42&gt;0,IF(3=$J42,IF(OR(AND(54=$I42+1,OR($K42&lt;&gt;'計算A'!$A$3,'計算A'!$A$4=0)),AND(54=$I42-1,OR(6&lt;&gt;'計算A'!$A$3,'計算A'!$A$4=0))),0,IF(6=$K42,200000,ABS(6-$K42)*100)),100000+ABS(3-$J42)*1000+60)+'計算A'!BE$5*50+IF(AND($E42=1,KR42=0),25,0),IF($F42&gt;0,INDEX('計算A'!BE$110:BE$114,$F42+1)+IF(AND($E42=1,KR42=0),1000,0),MIN(TW42,20)*400+(IF('計算A'!BD$106=1,1-FB42,0)+IF('計算A'!BE$106=1,1-FD42,0))*150+63+'計算A'!BE$5*100000+IF(AND($E42=1,KR42=0),50000,0))+IF($H42=1,(IF('計算A'!BD$117=1,INDEX('計算A'!BD$10:BD$54,$B42),0)+IF('計算A'!BE$117=1,INDEX('計算A'!BF$10:BF$54,$B42),0))*4000,0)-IF(AND('計算A'!BD$117=1,WB42&gt;0),2000,0)-IF(AND($L42=1,'計算A'!BE$117=1,FD42=0),2000,0))),1000000))</f>
        <v/>
      </c>
      <c r="QH42">
        <f>IF($B42=0,1000000,IF(INDEX('計算A'!$D$60:$EQ$104,$B42,55)*FD42=1,IF(AND($E42=2,KS42=0),1000000,IF($I42&gt;0,IF(3=$J42,IF(OR(AND(55=$I42+1,OR($K42&lt;&gt;'計算A'!$A$3,'計算A'!$A$4=0)),AND(55=$I42-1,OR(7&lt;&gt;'計算A'!$A$3,'計算A'!$A$4=0))),0,IF(7=$K42,200000,ABS(7-$K42)*100)),100000+ABS(3-$J42)*1000+70)+'計算A'!BF$5*50+IF(AND($E42=1,KS42=0),25,0),IF($F42&gt;0,INDEX('計算A'!BF$110:BF$114,$F42+1)+IF(AND($E42=1,KS42=0),1000,0),MIN(TW42,20)*400+(IF('計算A'!BE$106=1,1-FC42,0)+IF('計算A'!BF$106=1,1-FE42,0))*150+73+'計算A'!BF$5*100000+IF(AND($E42=1,KS42=0),50000,0))+IF($H42=1,(IF('計算A'!BE$117=1,INDEX('計算A'!BE$10:BE$54,$B42),0)+IF('計算A'!BF$117=1,INDEX('計算A'!BG$10:BG$54,$B42),0))*4000,0)-IF(AND('計算A'!BE$117=1,WC42&gt;0),2000,0)-IF(AND($L42=1,'計算A'!BF$117=1,FE42=0),2000,0))),1000000))</f>
        <v/>
      </c>
      <c r="QI42">
        <f>IF($B42=0,1000000,IF(INDEX('計算A'!$D$60:$EQ$104,$B42,56)*FE42=1,IF(AND($E42=2,KT42=0),1000000,IF($I42&gt;0,IF(3=$J42,IF(OR(AND(56=$I42+1,OR($K42&lt;&gt;'計算A'!$A$3,'計算A'!$A$4=0)),AND(56=$I42-1,OR(8&lt;&gt;'計算A'!$A$3,'計算A'!$A$4=0))),0,IF(8=$K42,200000,ABS(8-$K42)*100)),100000+ABS(3-$J42)*1000+80)+'計算A'!BG$5*50+IF(AND($E42=1,KT42=0),25,0),IF($F42&gt;0,INDEX('計算A'!BG$110:BG$114,$F42+1)+IF(AND($E42=1,KT42=0),1000,0),MIN(TW42,20)*400+(IF('計算A'!BF$106=1,1-FD42,0)+IF('計算A'!BG$106=1,1-FF42,0))*150+83+'計算A'!BG$5*100000+IF(AND($E42=1,KT42=0),50000,0))+IF($H42=1,(IF('計算A'!BF$117=1,INDEX('計算A'!BF$10:BF$54,$B42),0)+IF('計算A'!BG$117=1,INDEX('計算A'!BH$10:BH$54,$B42),0))*4000,0)-IF(AND('計算A'!BF$117=1,WD42&gt;0),2000,0)-IF(AND($L42=1,'計算A'!BG$117=1,FF42=0),2000,0))),1000000))</f>
        <v/>
      </c>
      <c r="QJ42">
        <f>IF($B42=0,1000000,IF(INDEX('計算A'!$D$60:$EQ$104,$B42,57)*FF42=1,IF(AND($E42=2,KU42=0),1000000,IF($I42&gt;0,IF(3=$J42,IF(OR(AND(57=$I42+1,OR($K42&lt;&gt;'計算A'!$A$3,'計算A'!$A$4=0)),AND(57=$I42-1,OR(9&lt;&gt;'計算A'!$A$3,'計算A'!$A$4=0))),0,IF(9=$K42,200000,ABS(9-$K42)*100)),100000+ABS(3-$J42)*1000+90)+'計算A'!BH$5*50+IF(AND($E42=1,KU42=0),25,0),IF($F42&gt;0,INDEX('計算A'!BH$110:BH$114,$F42+1)+IF(AND($E42=1,KU42=0),1000,0),MIN(TW42,20)*400+(IF('計算A'!BG$106=1,1-FE42,0)+IF('計算A'!BH$106=1,1-FG42,0))*150+93+'計算A'!BH$5*100000+IF(AND($E42=1,KU42=0),50000,0))+IF($H42=1,(IF('計算A'!BG$117=1,INDEX('計算A'!BG$10:BG$54,$B42),0)+IF('計算A'!BH$117=1,INDEX('計算A'!BI$10:BI$54,$B42),0))*4000,0)-IF(AND('計算A'!BG$117=1,WE42&gt;0),2000,0)-IF(AND($L42=1,'計算A'!BH$117=1,FG42=0),2000,0))),1000000))</f>
        <v/>
      </c>
      <c r="QK42">
        <f>IF($B42=0,1000000,IF(INDEX('計算A'!$D$60:$EQ$104,$B42,58)*FG42=1,IF(AND($E42=2,KV42=0),1000000,IF($I42&gt;0,IF(3=$J42,IF(OR(AND(58=$I42+1,OR($K42&lt;&gt;'計算A'!$A$3,'計算A'!$A$4=0)),AND(58=$I42-1,OR(10&lt;&gt;'計算A'!$A$3,'計算A'!$A$4=0))),0,IF(10=$K42,200000,ABS(10-$K42)*100)),100000+ABS(3-$J42)*1000+100)+'計算A'!BI$5*50+IF(AND($E42=1,KV42=0),25,0),IF($F42&gt;0,INDEX('計算A'!BI$110:BI$114,$F42+1)+IF(AND($E42=1,KV42=0),1000,0),MIN(TW42,20)*400+(IF('計算A'!BH$106=1,1-FF42,0)+IF('計算A'!BI$106=1,1-FH42,0))*150+103+'計算A'!BI$5*100000+IF(AND($E42=1,KV42=0),50000,0))+IF($H42=1,(IF('計算A'!BH$117=1,INDEX('計算A'!BH$10:BH$54,$B42),0)+IF('計算A'!BI$117=1,INDEX('計算A'!BJ$10:BJ$54,$B42),0))*4000,0)-IF(AND('計算A'!BH$117=1,WF42&gt;0),2000,0)-IF(AND($L42=1,'計算A'!BI$117=1,FH42=0),2000,0))),1000000))</f>
        <v/>
      </c>
      <c r="QL42">
        <f>IF($B42=0,1000000,IF(INDEX('計算A'!$D$60:$EQ$104,$B42,59)*FH42=1,IF(AND($E42=2,KW42=0),1000000,IF($I42&gt;0,IF(3=$J42,IF(OR(AND(59=$I42+1,OR($K42&lt;&gt;'計算A'!$A$3,'計算A'!$A$4=0)),AND(59=$I42-1,OR(11&lt;&gt;'計算A'!$A$3,'計算A'!$A$4=0))),0,IF(11=$K42,200000,ABS(11-$K42)*100)),100000+ABS(3-$J42)*1000+110)+'計算A'!BJ$5*50+IF(AND($E42=1,KW42=0),25,0),IF($F42&gt;0,INDEX('計算A'!BJ$110:BJ$114,$F42+1)+IF(AND($E42=1,KW42=0),1000,0),MIN(TW42,20)*400+(IF('計算A'!BI$106=1,1-FG42,0)+IF('計算A'!BJ$106=1,1-FI42,0))*150+113+'計算A'!BJ$5*100000+IF(AND($E42=1,KW42=0),50000,0))+IF($H42=1,(IF('計算A'!BI$117=1,INDEX('計算A'!BI$10:BI$54,$B42),0)+IF('計算A'!BJ$117=1,INDEX('計算A'!BK$10:BK$54,$B42),0))*4000,0)-IF(AND('計算A'!BI$117=1,WG42&gt;0),2000,0)-IF(AND($L42=1,'計算A'!BJ$117=1,FI42=0),2000,0))),1000000))</f>
        <v/>
      </c>
      <c r="QM42">
        <f>IF($B42=0,1000000,IF(INDEX('計算A'!$D$60:$EQ$104,$B42,60)*FI42=1,IF(AND($E42=2,KX42=0),1000000,IF($I42&gt;0,IF(3=$J42,IF(OR(AND(60=$I42+1,OR($K42&lt;&gt;'計算A'!$A$3,'計算A'!$A$4=0)),AND(60=$I42-1,OR(12&lt;&gt;'計算A'!$A$3,'計算A'!$A$4=0))),0,IF(12=$K42,200000,ABS(12-$K42)*100)),100000+ABS(3-$J42)*1000+120)+'計算A'!BK$5*50+IF(AND($E42=1,KX42=0),25,0),IF($F42&gt;0,INDEX('計算A'!BK$110:BK$114,$F42+1)+IF(AND($E42=1,KX42=0),1000,0),MIN(TW42,20)*400+(IF('計算A'!BJ$106=1,1-FH42,0)+IF('計算A'!BK$106=1,1-FJ42,0))*150+123+'計算A'!BK$5*100000+IF(AND($E42=1,KX42=0),50000,0))+IF($H42=1,(IF('計算A'!BJ$117=1,INDEX('計算A'!BJ$10:BJ$54,$B42),0)+IF('計算A'!BK$117=1,INDEX('計算A'!BL$10:BL$54,$B42),0))*4000,0)-IF(AND('計算A'!BJ$117=1,WH42&gt;0),2000,0)-IF(AND($L42=1,'計算A'!BK$117=1,FJ42=0),2000,0))),1000000))</f>
        <v/>
      </c>
      <c r="QN42">
        <f>IF($B42=0,1000000,IF(INDEX('計算A'!$D$60:$EQ$104,$B42,61)*FJ42=1,IF(AND($E42=2,KY42=0),1000000,IF($I42&gt;0,IF(3=$J42,IF(OR(AND(61=$I42+1,OR($K42&lt;&gt;'計算A'!$A$3,'計算A'!$A$4=0)),AND(61=$I42-1,OR(13&lt;&gt;'計算A'!$A$3,'計算A'!$A$4=0))),0,IF(13=$K42,200000,ABS(13-$K42)*100)),100000+ABS(3-$J42)*1000+130)+'計算A'!BL$5*50+IF(AND($E42=1,KY42=0),25,0),IF($F42&gt;0,INDEX('計算A'!BL$110:BL$114,$F42+1)+IF(AND($E42=1,KY42=0),1000,0),MIN(TW42,20)*400+(IF('計算A'!BK$106=1,1-FI42,0)+IF('計算A'!BL$106=1,1-FK42,0))*150+133+'計算A'!BL$5*100000+IF(AND($E42=1,KY42=0),50000,0))+IF($H42=1,(IF('計算A'!BK$117=1,INDEX('計算A'!BK$10:BK$54,$B42),0)+IF('計算A'!BL$117=1,INDEX('計算A'!BM$10:BM$54,$B42),0))*4000,0)-IF(AND('計算A'!BK$117=1,WI42&gt;0),2000,0)-IF(AND($L42=1,'計算A'!BL$117=1,FK42=0),2000,0))),1000000))</f>
        <v/>
      </c>
      <c r="QO42">
        <f>IF($B42=0,1000000,IF(INDEX('計算A'!$D$60:$EQ$104,$B42,62)*FK42=1,IF(AND($E42=2,KZ42=0),1000000,IF($I42&gt;0,IF(3=$J42,IF(OR(AND(62=$I42+1,OR($K42&lt;&gt;'計算A'!$A$3,'計算A'!$A$4=0)),AND(62=$I42-1,OR(14&lt;&gt;'計算A'!$A$3,'計算A'!$A$4=0))),0,IF(14=$K42,200000,ABS(14-$K42)*100)),100000+ABS(3-$J42)*1000+140)+'計算A'!BM$5*50+IF(AND($E42=1,KZ42=0),25,0),IF($F42&gt;0,INDEX('計算A'!BM$110:BM$114,$F42+1)+IF(AND($E42=1,KZ42=0),1000,0),MIN(TW42,20)*400+(IF('計算A'!BL$106=1,1-FJ42,0)+IF('計算A'!BM$106=1,1-FL42,0))*150+143+'計算A'!BM$5*100000+IF(AND($E42=1,KZ42=0),50000,0))+IF($H42=1,(IF('計算A'!BL$117=1,INDEX('計算A'!BL$10:BL$54,$B42),0)+IF('計算A'!BM$117=1,INDEX('計算A'!BN$10:BN$54,$B42),0))*4000,0)-IF(AND('計算A'!BL$117=1,WJ42&gt;0),2000,0)-IF(AND($L42=1,'計算A'!BM$117=1,FL42=0),2000,0))),1000000))</f>
        <v/>
      </c>
      <c r="QP42">
        <f>IF($B42=0,1000000,IF(INDEX('計算A'!$D$60:$EQ$104,$B42,63)*FL42=1,IF(AND($E42=2,LA42=0),1000000,IF($I42&gt;0,IF(3=$J42,IF(OR(AND(63=$I42+1,OR($K42&lt;&gt;'計算A'!$A$3,'計算A'!$A$4=0)),AND(63=$I42-1,OR(15&lt;&gt;'計算A'!$A$3,'計算A'!$A$4=0))),0,IF(15=$K42,200000,ABS(15-$K42)*100)),100000+ABS(3-$J42)*1000+150)+'計算A'!BN$5*50+IF(AND($E42=1,LA42=0),25,0),IF($F42&gt;0,INDEX('計算A'!BN$110:BN$114,$F42+1)+IF(AND($E42=1,LA42=0),1000,0),MIN(TW42,20)*400+(IF('計算A'!BM$106=1,1-FK42,0)+IF('計算A'!BN$106=1,1-FM42,0))*150+153+'計算A'!BN$5*100000+IF(AND($E42=1,LA42=0),50000,0))+IF($H42=1,(IF('計算A'!BM$117=1,INDEX('計算A'!BM$10:BM$54,$B42),0)+IF('計算A'!BN$117=1,INDEX('計算A'!BO$10:BO$54,$B42),0))*4000,0)-IF(AND('計算A'!BM$117=1,WK42&gt;0),2000,0)-IF(AND($L42=1,'計算A'!BN$117=1,FM42=0),2000,0))),1000000))</f>
        <v/>
      </c>
      <c r="QQ42">
        <f>IF($B42=0,1000000,IF(INDEX('計算A'!$D$60:$EQ$104,$B42,64)*FM42=1,IF(AND($E42=2,LB42=0),1000000,IF($I42&gt;0,IF(3=$J42,IF(OR(AND(64=$I42+1,OR($K42&lt;&gt;'計算A'!$A$3,'計算A'!$A$4=0)),AND(64=$I42-1,OR(16&lt;&gt;'計算A'!$A$3,'計算A'!$A$4=0))),0,IF(16=$K42,200000,ABS(16-$K42)*100)),100000+ABS(3-$J42)*1000+160)+'計算A'!BO$5*50+IF(AND($E42=1,LB42=0),25,0),IF($F42&gt;0,INDEX('計算A'!BO$110:BO$114,$F42+1)+IF(AND($E42=1,LB42=0),1000,0),MIN(TW42,20)*400+(IF('計算A'!BN$106=1,1-FL42,0)+IF('計算A'!BO$106=1,1-FN42,0))*150+163+'計算A'!BO$5*100000+IF(AND($E42=1,LB42=0),50000,0))+IF($H42=1,(IF('計算A'!BN$117=1,INDEX('計算A'!BN$10:BN$54,$B42),0)+IF('計算A'!BO$117=1,INDEX('計算A'!BP$10:BP$54,$B42),0))*4000,0)-IF(AND('計算A'!BN$117=1,WL42&gt;0),2000,0)-IF(AND($L42=1,'計算A'!BO$117=1,FN42=0),2000,0))),1000000))</f>
        <v/>
      </c>
      <c r="QR42">
        <f>IF($B42=0,1000000,IF(INDEX('計算A'!$D$60:$EQ$104,$B42,65)*FN42=1,IF(AND($E42=2,LC42=0),1000000,IF($I42&gt;0,IF(3=$J42,IF(OR(AND(65=$I42+1,OR($K42&lt;&gt;'計算A'!$A$3,'計算A'!$A$4=0)),AND(65=$I42-1,OR(17&lt;&gt;'計算A'!$A$3,'計算A'!$A$4=0))),0,IF(17=$K42,200000,ABS(17-$K42)*100)),100000+ABS(3-$J42)*1000+170)+'計算A'!BP$5*50+IF(AND($E42=1,LC42=0),25,0),IF($F42&gt;0,INDEX('計算A'!BP$110:BP$114,$F42+1)+IF(AND($E42=1,LC42=0),1000,0),MIN(TW42,20)*400+(IF('計算A'!BO$106=1,1-FM42,0)+IF('計算A'!BP$106=1,1-FO42,0))*150+173+'計算A'!BP$5*100000+IF(AND($E42=1,LC42=0),50000,0))+IF($H42=1,(IF('計算A'!BO$117=1,INDEX('計算A'!BO$10:BO$54,$B42),0)+IF('計算A'!BP$117=1,INDEX('計算A'!BQ$10:BQ$54,$B42),0))*4000,0)-IF(AND('計算A'!BO$117=1,WM42&gt;0),2000,0)-IF(AND($L42=1,'計算A'!BP$117=1,FO42=0),2000,0))),1000000))</f>
        <v/>
      </c>
      <c r="QS42">
        <f>IF($B42=0,1000000,IF(INDEX('計算A'!$D$60:$EQ$104,$B42,66)*FO42=1,IF(AND($E42=2,LD42=0),1000000,IF($I42&gt;0,IF(3=$J42,IF(OR(AND(66=$I42+1,OR($K42&lt;&gt;'計算A'!$A$3,'計算A'!$A$4=0)),AND(66=$I42-1,OR(18&lt;&gt;'計算A'!$A$3,'計算A'!$A$4=0))),0,IF(18=$K42,200000,ABS(18-$K42)*100)),100000+ABS(3-$J42)*1000+180)+'計算A'!BQ$5*50+IF(AND($E42=1,LD42=0),25,0),IF($F42&gt;0,INDEX('計算A'!BQ$110:BQ$114,$F42+1)+IF(AND($E42=1,LD42=0),1000,0),MIN(TW42,20)*400+(IF('計算A'!BP$106=1,1-FN42,0)+IF('計算A'!BQ$106=1,1-FP42,0))*150+183+'計算A'!BQ$5*100000+IF(AND($E42=1,LD42=0),50000,0))+IF($H42=1,(IF('計算A'!BP$117=1,INDEX('計算A'!BP$10:BP$54,$B42),0)+IF('計算A'!BQ$117=1,INDEX('計算A'!BR$10:BR$54,$B42),0))*4000,0)-IF(AND('計算A'!BP$117=1,WN42&gt;0),2000,0)-IF(AND($L42=1,'計算A'!BQ$117=1,FP42=0),2000,0))),1000000))</f>
        <v/>
      </c>
      <c r="QT42">
        <f>IF($B42=0,1000000,IF(INDEX('計算A'!$D$60:$EQ$104,$B42,67)*FP42=1,IF(AND($E42=2,LE42=0),1000000,IF($I42&gt;0,IF(3=$J42,IF(OR(AND(67=$I42+1,OR($K42&lt;&gt;'計算A'!$A$3,'計算A'!$A$4=0)),AND(67=$I42-1,OR(19&lt;&gt;'計算A'!$A$3,'計算A'!$A$4=0))),0,IF(19=$K42,200000,ABS(19-$K42)*100)),100000+ABS(3-$J42)*1000+190)+'計算A'!BR$5*50+IF(AND($E42=1,LE42=0),25,0),IF($F42&gt;0,INDEX('計算A'!BR$110:BR$114,$F42+1)+IF(AND($E42=1,LE42=0),1000,0),MIN(TW42,20)*400+(IF('計算A'!BQ$106=1,1-FO42,0)+IF('計算A'!BR$106=1,1-FQ42,0))*150+193+'計算A'!BR$5*100000+IF(AND($E42=1,LE42=0),50000,0))+IF($H42=1,(IF('計算A'!BQ$117=1,INDEX('計算A'!BQ$10:BQ$54,$B42),0)+IF('計算A'!BR$117=1,INDEX('計算A'!BS$10:BS$54,$B42),0))*4000,0)-IF(AND('計算A'!BQ$117=1,WO42&gt;0),2000,0)-IF(AND($L42=1,'計算A'!BR$117=1,FQ42=0),2000,0))),1000000))</f>
        <v/>
      </c>
      <c r="QU42">
        <f>IF($B42=0,1000000,IF(INDEX('計算A'!$D$60:$EQ$104,$B42,68)*FQ42=1,IF(AND($E42=2,LF42=0),1000000,IF($I42&gt;0,IF(3=$J42,IF(OR(AND(68=$I42+1,OR($K42&lt;&gt;'計算A'!$A$3,'計算A'!$A$4=0)),AND(68=$I42-1,OR(20&lt;&gt;'計算A'!$A$3,'計算A'!$A$4=0))),0,IF(20=$K42,200000,ABS(20-$K42)*100)),100000+ABS(3-$J42)*1000+200)+'計算A'!BS$5*50+IF(AND($E42=1,LF42=0),25,0),IF($F42&gt;0,INDEX('計算A'!BS$110:BS$114,$F42+1)+IF(AND($E42=1,LF42=0),1000,0),MIN(TW42,20)*400+(IF('計算A'!BR$106=1,1-FP42,0)+IF('計算A'!BS$106=1,1-FR42,0))*150+203+'計算A'!BS$5*100000+IF(AND($E42=1,LF42=0),50000,0))+IF($H42=1,(IF('計算A'!BR$117=1,INDEX('計算A'!BR$10:BR$54,$B42),0)+IF('計算A'!BS$117=1,INDEX('計算A'!BT$10:BT$54,$B42),0))*4000,0)-IF(AND('計算A'!BR$117=1,WP42&gt;0),2000,0)-IF(AND($L42=1,'計算A'!BS$117=1,FR42=0),2000,0))),1000000))</f>
        <v/>
      </c>
      <c r="QV42">
        <f>IF($B42=0,1000000,IF(INDEX('計算A'!$D$60:$EQ$104,$B42,69)*FR42=1,IF(AND($E42=2,LG42=0),1000000,IF($I42&gt;0,IF(3=$J42,IF(OR(AND(69=$I42+1,OR($K42&lt;&gt;'計算A'!$A$3,'計算A'!$A$4=0)),AND(69=$I42-1,OR(21&lt;&gt;'計算A'!$A$3,'計算A'!$A$4=0))),0,IF(21=$K42,200000,ABS(21-$K42)*100)),100000+ABS(3-$J42)*1000+210)+'計算A'!BT$5*50+IF(AND($E42=1,LG42=0),25,0),IF($F42&gt;0,INDEX('計算A'!BT$110:BT$114,$F42+1)+IF(AND($E42=1,LG42=0),1000,0),MIN(TW42,20)*400+(IF('計算A'!BS$106=1,1-FQ42,0)+IF('計算A'!BT$106=1,1-FS42,0))*150+213+'計算A'!BT$5*100000+IF(AND($E42=1,LG42=0),50000,0))+IF($H42=1,(IF('計算A'!BS$117=1,INDEX('計算A'!BS$10:BS$54,$B42),0)+IF('計算A'!BT$117=1,INDEX('計算A'!BU$10:BU$54,$B42),0))*4000,0)-IF(AND('計算A'!BS$117=1,WQ42&gt;0),2000,0)-IF(AND($L42=1,'計算A'!BT$117=1,FS42=0),2000,0))),1000000))</f>
        <v/>
      </c>
      <c r="QW42">
        <f>IF($B42=0,1000000,IF(INDEX('計算A'!$D$60:$EQ$104,$B42,70)*FS42=1,IF(AND($E42=2,LH42=0),1000000,IF($I42&gt;0,IF(3=$J42,IF(OR(AND(70=$I42+1,OR($K42&lt;&gt;'計算A'!$A$3,'計算A'!$A$4=0)),AND(70=$I42-1,OR(22&lt;&gt;'計算A'!$A$3,'計算A'!$A$4=0))),0,IF(22=$K42,200000,ABS(22-$K42)*100)),100000+ABS(3-$J42)*1000+220)+'計算A'!BU$5*50+IF(AND($E42=1,LH42=0),25,0),IF($F42&gt;0,INDEX('計算A'!BU$110:BU$114,$F42+1)+IF(AND($E42=1,LH42=0),1000,0),MIN(TW42,20)*400+(IF('計算A'!BT$106=1,1-FR42,0)+IF('計算A'!BU$106=1,1-FT42,0))*150+223+'計算A'!BU$5*100000+IF(AND($E42=1,LH42=0),50000,0))+IF($H42=1,(IF('計算A'!BT$117=1,INDEX('計算A'!BT$10:BT$54,$B42),0)+IF('計算A'!BU$117=1,INDEX('計算A'!BV$10:BV$54,$B42),0))*4000,0)-IF(AND('計算A'!BT$117=1,WR42&gt;0),2000,0)-IF(AND($L42=1,'計算A'!BU$117=1,FT42=0),2000,0))),1000000))</f>
        <v/>
      </c>
      <c r="QX42">
        <f>IF($B42=0,1000000,IF(INDEX('計算A'!$D$60:$EQ$104,$B42,71)*FT42=1,IF(AND($E42=2,LI42=0),1000000,IF($I42&gt;0,IF(3=$J42,IF(OR(AND(71=$I42+1,OR($K42&lt;&gt;'計算A'!$A$3,'計算A'!$A$4=0)),AND(71=$I42-1,OR(23&lt;&gt;'計算A'!$A$3,'計算A'!$A$4=0))),0,IF(23=$K42,200000,ABS(23-$K42)*100)),100000+ABS(3-$J42)*1000+230)+'計算A'!BV$5*50+IF(AND($E42=1,LI42=0),25,0),IF($F42&gt;0,INDEX('計算A'!BV$110:BV$114,$F42+1)+IF(AND($E42=1,LI42=0),1000,0),MIN(TW42,20)*400+(IF('計算A'!BU$106=1,1-FS42,0)+IF('計算A'!BV$106=1,1-FU42,0))*150+233+'計算A'!BV$5*100000+IF(AND($E42=1,LI42=0),50000,0))+IF($H42=1,(IF('計算A'!BU$117=1,INDEX('計算A'!BU$10:BU$54,$B42),0)+IF('計算A'!BV$117=1,INDEX('計算A'!BW$10:BW$54,$B42),0))*4000,0)-IF(AND('計算A'!BU$117=1,WS42&gt;0),2000,0)-IF(AND($L42=1,'計算A'!BV$117=1,FU42=0),2000,0))),1000000))</f>
        <v/>
      </c>
      <c r="QY42">
        <f>IF($B42=0,1000000,IF(INDEX('計算A'!$D$60:$EQ$104,$B42,72)*FU42=1,IF(AND($E42=2,LJ42=0),1000000,IF($I42&gt;0,IF(3=$J42,IF(OR(AND(72=$I42+1,OR($K42&lt;&gt;'計算A'!$A$3,'計算A'!$A$4=0)),AND(72=$I42-1,OR(24&lt;&gt;'計算A'!$A$3,'計算A'!$A$4=0))),0,IF(24=$K42,200000,ABS(24-$K42)*100)),100000+ABS(3-$J42)*1000+240)+'計算A'!BW$5*50+IF(AND($E42=1,LJ42=0),25,0),IF($F42&gt;0,INDEX('計算A'!BW$110:BW$114,$F42+1)+IF(AND($E42=1,LJ42=0),1000,0),MIN(TW42,20)*400+(IF('計算A'!BV$106=1,1-FT42,0))*150+243+'計算A'!BW$5*100000+IF(AND($E42=1,LJ42=0),50000,0))+IF($H42=1,(IF('計算A'!BV$117=1,INDEX('計算A'!BV$10:BV$54,$B42),0))*4000,0)-IF(AND('計算A'!BV$117=1,WT42&gt;0),2000,0))),1000000))</f>
        <v/>
      </c>
      <c r="QZ42">
        <f>IF($B42=0,1000000,IF(INDEX('計算A'!$D$60:$EQ$104,$B42,73)*FV42=1,IF(AND($E42=2,LK42=0),1000000,IF($I42&gt;0,IF(4=$J42,IF(OR(AND(73=$I42+1,OR($K42&lt;&gt;'計算A'!$A$3,'計算A'!$A$4=0)),AND(73=$I42-1,OR(1&lt;&gt;'計算A'!$A$3,'計算A'!$A$4=0))),0,IF(1=$K42,200000,ABS(1-$K42)*100)),100000+ABS(4-$J42)*1000+10)+'計算A'!BX$5*50+IF(AND($E42=1,LK42=0),25,0),IF($F42&gt;0,INDEX('計算A'!BX$110:BX$114,$F42+1)+IF(AND($E42=1,LK42=0),1000,0),MIN(TX42,20)*400+(IF('計算A'!BX$106=1,1-FW42,0))*150+14+'計算A'!BX$5*100000+IF(AND($E42=1,LK42=0),50000,0))+IF($H42=1,(IF('計算A'!BX$117=1,INDEX('計算A'!BY$10:BY$54,$B42),0))*4000,0)-IF(AND($L42=1,'計算A'!BX$117=1,FW42=0),2000,0))),1000000))</f>
        <v/>
      </c>
      <c r="RA42">
        <f>IF($B42=0,1000000,IF(INDEX('計算A'!$D$60:$EQ$104,$B42,74)*FW42=1,IF(AND($E42=2,LL42=0),1000000,IF($I42&gt;0,IF(4=$J42,IF(OR(AND(74=$I42+1,OR($K42&lt;&gt;'計算A'!$A$3,'計算A'!$A$4=0)),AND(74=$I42-1,OR(2&lt;&gt;'計算A'!$A$3,'計算A'!$A$4=0))),0,IF(2=$K42,200000,ABS(2-$K42)*100)),100000+ABS(4-$J42)*1000+20)+'計算A'!BY$5*50+IF(AND($E42=1,LL42=0),25,0),IF($F42&gt;0,INDEX('計算A'!BY$110:BY$114,$F42+1)+IF(AND($E42=1,LL42=0),1000,0),MIN(TX42,20)*400+(IF('計算A'!BX$106=1,1-FV42,0)+IF('計算A'!BY$106=1,1-FX42,0))*150+24+'計算A'!BY$5*100000+IF(AND($E42=1,LL42=0),50000,0))+IF($H42=1,(IF('計算A'!BX$117=1,INDEX('計算A'!BX$10:BX$54,$B42),0)+IF('計算A'!BY$117=1,INDEX('計算A'!BZ$10:BZ$54,$B42),0))*4000,0)-IF(AND('計算A'!BX$117=1,WV42&gt;0),2000,0)-IF(AND($L42=1,'計算A'!BY$117=1,FX42=0),2000,0))),1000000))</f>
        <v/>
      </c>
      <c r="RB42">
        <f>IF($B42=0,1000000,IF(INDEX('計算A'!$D$60:$EQ$104,$B42,75)*FX42=1,IF(AND($E42=2,LM42=0),1000000,IF($I42&gt;0,IF(4=$J42,IF(OR(AND(75=$I42+1,OR($K42&lt;&gt;'計算A'!$A$3,'計算A'!$A$4=0)),AND(75=$I42-1,OR(3&lt;&gt;'計算A'!$A$3,'計算A'!$A$4=0))),0,IF(3=$K42,200000,ABS(3-$K42)*100)),100000+ABS(4-$J42)*1000+30)+'計算A'!BZ$5*50+IF(AND($E42=1,LM42=0),25,0),IF($F42&gt;0,INDEX('計算A'!BZ$110:BZ$114,$F42+1)+IF(AND($E42=1,LM42=0),1000,0),MIN(TX42,20)*400+(IF('計算A'!BY$106=1,1-FW42,0)+IF('計算A'!BZ$106=1,1-FY42,0))*150+34+'計算A'!BZ$5*100000+IF(AND($E42=1,LM42=0),50000,0))+IF($H42=1,(IF('計算A'!BY$117=1,INDEX('計算A'!BY$10:BY$54,$B42),0)+IF('計算A'!BZ$117=1,INDEX('計算A'!CA$10:CA$54,$B42),0))*4000,0)-IF(AND('計算A'!BY$117=1,WW42&gt;0),2000,0)-IF(AND($L42=1,'計算A'!BZ$117=1,FY42=0),2000,0))),1000000))</f>
        <v/>
      </c>
      <c r="RC42">
        <f>IF($B42=0,1000000,IF(INDEX('計算A'!$D$60:$EQ$104,$B42,76)*FY42=1,IF(AND($E42=2,LN42=0),1000000,IF($I42&gt;0,IF(4=$J42,IF(OR(AND(76=$I42+1,OR($K42&lt;&gt;'計算A'!$A$3,'計算A'!$A$4=0)),AND(76=$I42-1,OR(4&lt;&gt;'計算A'!$A$3,'計算A'!$A$4=0))),0,IF(4=$K42,200000,ABS(4-$K42)*100)),100000+ABS(4-$J42)*1000+40)+'計算A'!CA$5*50+IF(AND($E42=1,LN42=0),25,0),IF($F42&gt;0,INDEX('計算A'!CA$110:CA$114,$F42+1)+IF(AND($E42=1,LN42=0),1000,0),MIN(TX42,20)*400+(IF('計算A'!BZ$106=1,1-FX42,0)+IF('計算A'!CA$106=1,1-FZ42,0))*150+44+'計算A'!CA$5*100000+IF(AND($E42=1,LN42=0),50000,0))+IF($H42=1,(IF('計算A'!BZ$117=1,INDEX('計算A'!BZ$10:BZ$54,$B42),0)+IF('計算A'!CA$117=1,INDEX('計算A'!CB$10:CB$54,$B42),0))*4000,0)-IF(AND('計算A'!BZ$117=1,WX42&gt;0),2000,0)-IF(AND($L42=1,'計算A'!CA$117=1,FZ42=0),2000,0))),1000000))</f>
        <v/>
      </c>
      <c r="RD42">
        <f>IF($B42=0,1000000,IF(INDEX('計算A'!$D$60:$EQ$104,$B42,77)*FZ42=1,IF(AND($E42=2,LO42=0),1000000,IF($I42&gt;0,IF(4=$J42,IF(OR(AND(77=$I42+1,OR($K42&lt;&gt;'計算A'!$A$3,'計算A'!$A$4=0)),AND(77=$I42-1,OR(5&lt;&gt;'計算A'!$A$3,'計算A'!$A$4=0))),0,IF(5=$K42,200000,ABS(5-$K42)*100)),100000+ABS(4-$J42)*1000+50)+'計算A'!CB$5*50+IF(AND($E42=1,LO42=0),25,0),IF($F42&gt;0,INDEX('計算A'!CB$110:CB$114,$F42+1)+IF(AND($E42=1,LO42=0),1000,0),MIN(TX42,20)*400+(IF('計算A'!CA$106=1,1-FY42,0)+IF('計算A'!CB$106=1,1-GA42,0))*150+54+'計算A'!CB$5*100000+IF(AND($E42=1,LO42=0),50000,0))+IF($H42=1,(IF('計算A'!CA$117=1,INDEX('計算A'!CA$10:CA$54,$B42),0)+IF('計算A'!CB$117=1,INDEX('計算A'!CC$10:CC$54,$B42),0))*4000,0)-IF(AND('計算A'!CA$117=1,WY42&gt;0),2000,0)-IF(AND($L42=1,'計算A'!CB$117=1,GA42=0),2000,0))),1000000))</f>
        <v/>
      </c>
      <c r="RE42">
        <f>IF($B42=0,1000000,IF(INDEX('計算A'!$D$60:$EQ$104,$B42,78)*GA42=1,IF(AND($E42=2,LP42=0),1000000,IF($I42&gt;0,IF(4=$J42,IF(OR(AND(78=$I42+1,OR($K42&lt;&gt;'計算A'!$A$3,'計算A'!$A$4=0)),AND(78=$I42-1,OR(6&lt;&gt;'計算A'!$A$3,'計算A'!$A$4=0))),0,IF(6=$K42,200000,ABS(6-$K42)*100)),100000+ABS(4-$J42)*1000+60)+'計算A'!CC$5*50+IF(AND($E42=1,LP42=0),25,0),IF($F42&gt;0,INDEX('計算A'!CC$110:CC$114,$F42+1)+IF(AND($E42=1,LP42=0),1000,0),MIN(TX42,20)*400+(IF('計算A'!CB$106=1,1-FZ42,0)+IF('計算A'!CC$106=1,1-GB42,0))*150+64+'計算A'!CC$5*100000+IF(AND($E42=1,LP42=0),50000,0))+IF($H42=1,(IF('計算A'!CB$117=1,INDEX('計算A'!CB$10:CB$54,$B42),0)+IF('計算A'!CC$117=1,INDEX('計算A'!CD$10:CD$54,$B42),0))*4000,0)-IF(AND('計算A'!CB$117=1,WZ42&gt;0),2000,0)-IF(AND($L42=1,'計算A'!CC$117=1,GB42=0),2000,0))),1000000))</f>
        <v/>
      </c>
      <c r="RF42">
        <f>IF($B42=0,1000000,IF(INDEX('計算A'!$D$60:$EQ$104,$B42,79)*GB42=1,IF(AND($E42=2,LQ42=0),1000000,IF($I42&gt;0,IF(4=$J42,IF(OR(AND(79=$I42+1,OR($K42&lt;&gt;'計算A'!$A$3,'計算A'!$A$4=0)),AND(79=$I42-1,OR(7&lt;&gt;'計算A'!$A$3,'計算A'!$A$4=0))),0,IF(7=$K42,200000,ABS(7-$K42)*100)),100000+ABS(4-$J42)*1000+70)+'計算A'!CD$5*50+IF(AND($E42=1,LQ42=0),25,0),IF($F42&gt;0,INDEX('計算A'!CD$110:CD$114,$F42+1)+IF(AND($E42=1,LQ42=0),1000,0),MIN(TX42,20)*400+(IF('計算A'!CC$106=1,1-GA42,0)+IF('計算A'!CD$106=1,1-GC42,0))*150+74+'計算A'!CD$5*100000+IF(AND($E42=1,LQ42=0),50000,0))+IF($H42=1,(IF('計算A'!CC$117=1,INDEX('計算A'!CC$10:CC$54,$B42),0)+IF('計算A'!CD$117=1,INDEX('計算A'!CE$10:CE$54,$B42),0))*4000,0)-IF(AND('計算A'!CC$117=1,XA42&gt;0),2000,0)-IF(AND($L42=1,'計算A'!CD$117=1,GC42=0),2000,0))),1000000))</f>
        <v/>
      </c>
      <c r="RG42">
        <f>IF($B42=0,1000000,IF(INDEX('計算A'!$D$60:$EQ$104,$B42,80)*GC42=1,IF(AND($E42=2,LR42=0),1000000,IF($I42&gt;0,IF(4=$J42,IF(OR(AND(80=$I42+1,OR($K42&lt;&gt;'計算A'!$A$3,'計算A'!$A$4=0)),AND(80=$I42-1,OR(8&lt;&gt;'計算A'!$A$3,'計算A'!$A$4=0))),0,IF(8=$K42,200000,ABS(8-$K42)*100)),100000+ABS(4-$J42)*1000+80)+'計算A'!CE$5*50+IF(AND($E42=1,LR42=0),25,0),IF($F42&gt;0,INDEX('計算A'!CE$110:CE$114,$F42+1)+IF(AND($E42=1,LR42=0),1000,0),MIN(TX42,20)*400+(IF('計算A'!CD$106=1,1-GB42,0)+IF('計算A'!CE$106=1,1-GD42,0))*150+84+'計算A'!CE$5*100000+IF(AND($E42=1,LR42=0),50000,0))+IF($H42=1,(IF('計算A'!CD$117=1,INDEX('計算A'!CD$10:CD$54,$B42),0)+IF('計算A'!CE$117=1,INDEX('計算A'!CF$10:CF$54,$B42),0))*4000,0)-IF(AND('計算A'!CD$117=1,XB42&gt;0),2000,0)-IF(AND($L42=1,'計算A'!CE$117=1,GD42=0),2000,0))),1000000))</f>
        <v/>
      </c>
      <c r="RH42">
        <f>IF($B42=0,1000000,IF(INDEX('計算A'!$D$60:$EQ$104,$B42,81)*GD42=1,IF(AND($E42=2,LS42=0),1000000,IF($I42&gt;0,IF(4=$J42,IF(OR(AND(81=$I42+1,OR($K42&lt;&gt;'計算A'!$A$3,'計算A'!$A$4=0)),AND(81=$I42-1,OR(9&lt;&gt;'計算A'!$A$3,'計算A'!$A$4=0))),0,IF(9=$K42,200000,ABS(9-$K42)*100)),100000+ABS(4-$J42)*1000+90)+'計算A'!CF$5*50+IF(AND($E42=1,LS42=0),25,0),IF($F42&gt;0,INDEX('計算A'!CF$110:CF$114,$F42+1)+IF(AND($E42=1,LS42=0),1000,0),MIN(TX42,20)*400+(IF('計算A'!CE$106=1,1-GC42,0)+IF('計算A'!CF$106=1,1-GE42,0))*150+94+'計算A'!CF$5*100000+IF(AND($E42=1,LS42=0),50000,0))+IF($H42=1,(IF('計算A'!CE$117=1,INDEX('計算A'!CE$10:CE$54,$B42),0)+IF('計算A'!CF$117=1,INDEX('計算A'!CG$10:CG$54,$B42),0))*4000,0)-IF(AND('計算A'!CE$117=1,XC42&gt;0),2000,0)-IF(AND($L42=1,'計算A'!CF$117=1,GE42=0),2000,0))),1000000))</f>
        <v/>
      </c>
      <c r="RI42">
        <f>IF($B42=0,1000000,IF(INDEX('計算A'!$D$60:$EQ$104,$B42,82)*GE42=1,IF(AND($E42=2,LT42=0),1000000,IF($I42&gt;0,IF(4=$J42,IF(OR(AND(82=$I42+1,OR($K42&lt;&gt;'計算A'!$A$3,'計算A'!$A$4=0)),AND(82=$I42-1,OR(10&lt;&gt;'計算A'!$A$3,'計算A'!$A$4=0))),0,IF(10=$K42,200000,ABS(10-$K42)*100)),100000+ABS(4-$J42)*1000+100)+'計算A'!CG$5*50+IF(AND($E42=1,LT42=0),25,0),IF($F42&gt;0,INDEX('計算A'!CG$110:CG$114,$F42+1)+IF(AND($E42=1,LT42=0),1000,0),MIN(TX42,20)*400+(IF('計算A'!CF$106=1,1-GD42,0)+IF('計算A'!CG$106=1,1-GF42,0))*150+104+'計算A'!CG$5*100000+IF(AND($E42=1,LT42=0),50000,0))+IF($H42=1,(IF('計算A'!CF$117=1,INDEX('計算A'!CF$10:CF$54,$B42),0)+IF('計算A'!CG$117=1,INDEX('計算A'!CH$10:CH$54,$B42),0))*4000,0)-IF(AND('計算A'!CF$117=1,XD42&gt;0),2000,0)-IF(AND($L42=1,'計算A'!CG$117=1,GF42=0),2000,0))),1000000))</f>
        <v/>
      </c>
      <c r="RJ42">
        <f>IF($B42=0,1000000,IF(INDEX('計算A'!$D$60:$EQ$104,$B42,83)*GF42=1,IF(AND($E42=2,LU42=0),1000000,IF($I42&gt;0,IF(4=$J42,IF(OR(AND(83=$I42+1,OR($K42&lt;&gt;'計算A'!$A$3,'計算A'!$A$4=0)),AND(83=$I42-1,OR(11&lt;&gt;'計算A'!$A$3,'計算A'!$A$4=0))),0,IF(11=$K42,200000,ABS(11-$K42)*100)),100000+ABS(4-$J42)*1000+110)+'計算A'!CH$5*50+IF(AND($E42=1,LU42=0),25,0),IF($F42&gt;0,INDEX('計算A'!CH$110:CH$114,$F42+1)+IF(AND($E42=1,LU42=0),1000,0),MIN(TX42,20)*400+(IF('計算A'!CG$106=1,1-GE42,0)+IF('計算A'!CH$106=1,1-GG42,0))*150+114+'計算A'!CH$5*100000+IF(AND($E42=1,LU42=0),50000,0))+IF($H42=1,(IF('計算A'!CG$117=1,INDEX('計算A'!CG$10:CG$54,$B42),0)+IF('計算A'!CH$117=1,INDEX('計算A'!CI$10:CI$54,$B42),0))*4000,0)-IF(AND('計算A'!CG$117=1,XE42&gt;0),2000,0)-IF(AND($L42=1,'計算A'!CH$117=1,GG42=0),2000,0))),1000000))</f>
        <v/>
      </c>
      <c r="RK42">
        <f>IF($B42=0,1000000,IF(INDEX('計算A'!$D$60:$EQ$104,$B42,84)*GG42=1,IF(AND($E42=2,LV42=0),1000000,IF($I42&gt;0,IF(4=$J42,IF(OR(AND(84=$I42+1,OR($K42&lt;&gt;'計算A'!$A$3,'計算A'!$A$4=0)),AND(84=$I42-1,OR(12&lt;&gt;'計算A'!$A$3,'計算A'!$A$4=0))),0,IF(12=$K42,200000,ABS(12-$K42)*100)),100000+ABS(4-$J42)*1000+120)+'計算A'!CI$5*50+IF(AND($E42=1,LV42=0),25,0),IF($F42&gt;0,INDEX('計算A'!CI$110:CI$114,$F42+1)+IF(AND($E42=1,LV42=0),1000,0),MIN(TX42,20)*400+(IF('計算A'!CH$106=1,1-GF42,0)+IF('計算A'!CI$106=1,1-GH42,0))*150+124+'計算A'!CI$5*100000+IF(AND($E42=1,LV42=0),50000,0))+IF($H42=1,(IF('計算A'!CH$117=1,INDEX('計算A'!CH$10:CH$54,$B42),0)+IF('計算A'!CI$117=1,INDEX('計算A'!CJ$10:CJ$54,$B42),0))*4000,0)-IF(AND('計算A'!CH$117=1,XF42&gt;0),2000,0)-IF(AND($L42=1,'計算A'!CI$117=1,GH42=0),2000,0))),1000000))</f>
        <v/>
      </c>
      <c r="RL42">
        <f>IF($B42=0,1000000,IF(INDEX('計算A'!$D$60:$EQ$104,$B42,85)*GH42=1,IF(AND($E42=2,LW42=0),1000000,IF($I42&gt;0,IF(4=$J42,IF(OR(AND(85=$I42+1,OR($K42&lt;&gt;'計算A'!$A$3,'計算A'!$A$4=0)),AND(85=$I42-1,OR(13&lt;&gt;'計算A'!$A$3,'計算A'!$A$4=0))),0,IF(13=$K42,200000,ABS(13-$K42)*100)),100000+ABS(4-$J42)*1000+130)+'計算A'!CJ$5*50+IF(AND($E42=1,LW42=0),25,0),IF($F42&gt;0,INDEX('計算A'!CJ$110:CJ$114,$F42+1)+IF(AND($E42=1,LW42=0),1000,0),MIN(TX42,20)*400+(IF('計算A'!CI$106=1,1-GG42,0)+IF('計算A'!CJ$106=1,1-GI42,0))*150+134+'計算A'!CJ$5*100000+IF(AND($E42=1,LW42=0),50000,0))+IF($H42=1,(IF('計算A'!CI$117=1,INDEX('計算A'!CI$10:CI$54,$B42),0)+IF('計算A'!CJ$117=1,INDEX('計算A'!CK$10:CK$54,$B42),0))*4000,0)-IF(AND('計算A'!CI$117=1,XG42&gt;0),2000,0)-IF(AND($L42=1,'計算A'!CJ$117=1,GI42=0),2000,0))),1000000))</f>
        <v/>
      </c>
      <c r="RM42">
        <f>IF($B42=0,1000000,IF(INDEX('計算A'!$D$60:$EQ$104,$B42,86)*GI42=1,IF(AND($E42=2,LX42=0),1000000,IF($I42&gt;0,IF(4=$J42,IF(OR(AND(86=$I42+1,OR($K42&lt;&gt;'計算A'!$A$3,'計算A'!$A$4=0)),AND(86=$I42-1,OR(14&lt;&gt;'計算A'!$A$3,'計算A'!$A$4=0))),0,IF(14=$K42,200000,ABS(14-$K42)*100)),100000+ABS(4-$J42)*1000+140)+'計算A'!CK$5*50+IF(AND($E42=1,LX42=0),25,0),IF($F42&gt;0,INDEX('計算A'!CK$110:CK$114,$F42+1)+IF(AND($E42=1,LX42=0),1000,0),MIN(TX42,20)*400+(IF('計算A'!CJ$106=1,1-GH42,0)+IF('計算A'!CK$106=1,1-GJ42,0))*150+144+'計算A'!CK$5*100000+IF(AND($E42=1,LX42=0),50000,0))+IF($H42=1,(IF('計算A'!CJ$117=1,INDEX('計算A'!CJ$10:CJ$54,$B42),0)+IF('計算A'!CK$117=1,INDEX('計算A'!CL$10:CL$54,$B42),0))*4000,0)-IF(AND('計算A'!CJ$117=1,XH42&gt;0),2000,0)-IF(AND($L42=1,'計算A'!CK$117=1,GJ42=0),2000,0))),1000000))</f>
        <v/>
      </c>
      <c r="RN42">
        <f>IF($B42=0,1000000,IF(INDEX('計算A'!$D$60:$EQ$104,$B42,87)*GJ42=1,IF(AND($E42=2,LY42=0),1000000,IF($I42&gt;0,IF(4=$J42,IF(OR(AND(87=$I42+1,OR($K42&lt;&gt;'計算A'!$A$3,'計算A'!$A$4=0)),AND(87=$I42-1,OR(15&lt;&gt;'計算A'!$A$3,'計算A'!$A$4=0))),0,IF(15=$K42,200000,ABS(15-$K42)*100)),100000+ABS(4-$J42)*1000+150)+'計算A'!CL$5*50+IF(AND($E42=1,LY42=0),25,0),IF($F42&gt;0,INDEX('計算A'!CL$110:CL$114,$F42+1)+IF(AND($E42=1,LY42=0),1000,0),MIN(TX42,20)*400+(IF('計算A'!CK$106=1,1-GI42,0)+IF('計算A'!CL$106=1,1-GK42,0))*150+154+'計算A'!CL$5*100000+IF(AND($E42=1,LY42=0),50000,0))+IF($H42=1,(IF('計算A'!CK$117=1,INDEX('計算A'!CK$10:CK$54,$B42),0)+IF('計算A'!CL$117=1,INDEX('計算A'!CM$10:CM$54,$B42),0))*4000,0)-IF(AND('計算A'!CK$117=1,XI42&gt;0),2000,0)-IF(AND($L42=1,'計算A'!CL$117=1,GK42=0),2000,0))),1000000))</f>
        <v/>
      </c>
      <c r="RO42">
        <f>IF($B42=0,1000000,IF(INDEX('計算A'!$D$60:$EQ$104,$B42,88)*GK42=1,IF(AND($E42=2,LZ42=0),1000000,IF($I42&gt;0,IF(4=$J42,IF(OR(AND(88=$I42+1,OR($K42&lt;&gt;'計算A'!$A$3,'計算A'!$A$4=0)),AND(88=$I42-1,OR(16&lt;&gt;'計算A'!$A$3,'計算A'!$A$4=0))),0,IF(16=$K42,200000,ABS(16-$K42)*100)),100000+ABS(4-$J42)*1000+160)+'計算A'!CM$5*50+IF(AND($E42=1,LZ42=0),25,0),IF($F42&gt;0,INDEX('計算A'!CM$110:CM$114,$F42+1)+IF(AND($E42=1,LZ42=0),1000,0),MIN(TX42,20)*400+(IF('計算A'!CL$106=1,1-GJ42,0)+IF('計算A'!CM$106=1,1-GL42,0))*150+164+'計算A'!CM$5*100000+IF(AND($E42=1,LZ42=0),50000,0))+IF($H42=1,(IF('計算A'!CL$117=1,INDEX('計算A'!CL$10:CL$54,$B42),0)+IF('計算A'!CM$117=1,INDEX('計算A'!CN$10:CN$54,$B42),0))*4000,0)-IF(AND('計算A'!CL$117=1,XJ42&gt;0),2000,0)-IF(AND($L42=1,'計算A'!CM$117=1,GL42=0),2000,0))),1000000))</f>
        <v/>
      </c>
      <c r="RP42">
        <f>IF($B42=0,1000000,IF(INDEX('計算A'!$D$60:$EQ$104,$B42,89)*GL42=1,IF(AND($E42=2,MA42=0),1000000,IF($I42&gt;0,IF(4=$J42,IF(OR(AND(89=$I42+1,OR($K42&lt;&gt;'計算A'!$A$3,'計算A'!$A$4=0)),AND(89=$I42-1,OR(17&lt;&gt;'計算A'!$A$3,'計算A'!$A$4=0))),0,IF(17=$K42,200000,ABS(17-$K42)*100)),100000+ABS(4-$J42)*1000+170)+'計算A'!CN$5*50+IF(AND($E42=1,MA42=0),25,0),IF($F42&gt;0,INDEX('計算A'!CN$110:CN$114,$F42+1)+IF(AND($E42=1,MA42=0),1000,0),MIN(TX42,20)*400+(IF('計算A'!CM$106=1,1-GK42,0)+IF('計算A'!CN$106=1,1-GM42,0))*150+174+'計算A'!CN$5*100000+IF(AND($E42=1,MA42=0),50000,0))+IF($H42=1,(IF('計算A'!CM$117=1,INDEX('計算A'!CM$10:CM$54,$B42),0)+IF('計算A'!CN$117=1,INDEX('計算A'!CO$10:CO$54,$B42),0))*4000,0)-IF(AND('計算A'!CM$117=1,XK42&gt;0),2000,0)-IF(AND($L42=1,'計算A'!CN$117=1,GM42=0),2000,0))),1000000))</f>
        <v/>
      </c>
      <c r="RQ42">
        <f>IF($B42=0,1000000,IF(INDEX('計算A'!$D$60:$EQ$104,$B42,90)*GM42=1,IF(AND($E42=2,MB42=0),1000000,IF($I42&gt;0,IF(4=$J42,IF(OR(AND(90=$I42+1,OR($K42&lt;&gt;'計算A'!$A$3,'計算A'!$A$4=0)),AND(90=$I42-1,OR(18&lt;&gt;'計算A'!$A$3,'計算A'!$A$4=0))),0,IF(18=$K42,200000,ABS(18-$K42)*100)),100000+ABS(4-$J42)*1000+180)+'計算A'!CO$5*50+IF(AND($E42=1,MB42=0),25,0),IF($F42&gt;0,INDEX('計算A'!CO$110:CO$114,$F42+1)+IF(AND($E42=1,MB42=0),1000,0),MIN(TX42,20)*400+(IF('計算A'!CN$106=1,1-GL42,0)+IF('計算A'!CO$106=1,1-GN42,0))*150+184+'計算A'!CO$5*100000+IF(AND($E42=1,MB42=0),50000,0))+IF($H42=1,(IF('計算A'!CN$117=1,INDEX('計算A'!CN$10:CN$54,$B42),0)+IF('計算A'!CO$117=1,INDEX('計算A'!CP$10:CP$54,$B42),0))*4000,0)-IF(AND('計算A'!CN$117=1,XL42&gt;0),2000,0)-IF(AND($L42=1,'計算A'!CO$117=1,GN42=0),2000,0))),1000000))</f>
        <v/>
      </c>
      <c r="RR42">
        <f>IF($B42=0,1000000,IF(INDEX('計算A'!$D$60:$EQ$104,$B42,91)*GN42=1,IF(AND($E42=2,MC42=0),1000000,IF($I42&gt;0,IF(4=$J42,IF(OR(AND(91=$I42+1,OR($K42&lt;&gt;'計算A'!$A$3,'計算A'!$A$4=0)),AND(91=$I42-1,OR(19&lt;&gt;'計算A'!$A$3,'計算A'!$A$4=0))),0,IF(19=$K42,200000,ABS(19-$K42)*100)),100000+ABS(4-$J42)*1000+190)+'計算A'!CP$5*50+IF(AND($E42=1,MC42=0),25,0),IF($F42&gt;0,INDEX('計算A'!CP$110:CP$114,$F42+1)+IF(AND($E42=1,MC42=0),1000,0),MIN(TX42,20)*400+(IF('計算A'!CO$106=1,1-GM42,0)+IF('計算A'!CP$106=1,1-GO42,0))*150+194+'計算A'!CP$5*100000+IF(AND($E42=1,MC42=0),50000,0))+IF($H42=1,(IF('計算A'!CO$117=1,INDEX('計算A'!CO$10:CO$54,$B42),0)+IF('計算A'!CP$117=1,INDEX('計算A'!CQ$10:CQ$54,$B42),0))*4000,0)-IF(AND('計算A'!CO$117=1,XM42&gt;0),2000,0)-IF(AND($L42=1,'計算A'!CP$117=1,GO42=0),2000,0))),1000000))</f>
        <v/>
      </c>
      <c r="RS42">
        <f>IF($B42=0,1000000,IF(INDEX('計算A'!$D$60:$EQ$104,$B42,92)*GO42=1,IF(AND($E42=2,MD42=0),1000000,IF($I42&gt;0,IF(4=$J42,IF(OR(AND(92=$I42+1,OR($K42&lt;&gt;'計算A'!$A$3,'計算A'!$A$4=0)),AND(92=$I42-1,OR(20&lt;&gt;'計算A'!$A$3,'計算A'!$A$4=0))),0,IF(20=$K42,200000,ABS(20-$K42)*100)),100000+ABS(4-$J42)*1000+200)+'計算A'!CQ$5*50+IF(AND($E42=1,MD42=0),25,0),IF($F42&gt;0,INDEX('計算A'!CQ$110:CQ$114,$F42+1)+IF(AND($E42=1,MD42=0),1000,0),MIN(TX42,20)*400+(IF('計算A'!CP$106=1,1-GN42,0)+IF('計算A'!CQ$106=1,1-GP42,0))*150+204+'計算A'!CQ$5*100000+IF(AND($E42=1,MD42=0),50000,0))+IF($H42=1,(IF('計算A'!CP$117=1,INDEX('計算A'!CP$10:CP$54,$B42),0)+IF('計算A'!CQ$117=1,INDEX('計算A'!CR$10:CR$54,$B42),0))*4000,0)-IF(AND('計算A'!CP$117=1,XN42&gt;0),2000,0)-IF(AND($L42=1,'計算A'!CQ$117=1,GP42=0),2000,0))),1000000))</f>
        <v/>
      </c>
      <c r="RT42">
        <f>IF($B42=0,1000000,IF(INDEX('計算A'!$D$60:$EQ$104,$B42,93)*GP42=1,IF(AND($E42=2,ME42=0),1000000,IF($I42&gt;0,IF(4=$J42,IF(OR(AND(93=$I42+1,OR($K42&lt;&gt;'計算A'!$A$3,'計算A'!$A$4=0)),AND(93=$I42-1,OR(21&lt;&gt;'計算A'!$A$3,'計算A'!$A$4=0))),0,IF(21=$K42,200000,ABS(21-$K42)*100)),100000+ABS(4-$J42)*1000+210)+'計算A'!CR$5*50+IF(AND($E42=1,ME42=0),25,0),IF($F42&gt;0,INDEX('計算A'!CR$110:CR$114,$F42+1)+IF(AND($E42=1,ME42=0),1000,0),MIN(TX42,20)*400+(IF('計算A'!CQ$106=1,1-GO42,0)+IF('計算A'!CR$106=1,1-GQ42,0))*150+214+'計算A'!CR$5*100000+IF(AND($E42=1,ME42=0),50000,0))+IF($H42=1,(IF('計算A'!CQ$117=1,INDEX('計算A'!CQ$10:CQ$54,$B42),0)+IF('計算A'!CR$117=1,INDEX('計算A'!CS$10:CS$54,$B42),0))*4000,0)-IF(AND('計算A'!CQ$117=1,XO42&gt;0),2000,0)-IF(AND($L42=1,'計算A'!CR$117=1,GQ42=0),2000,0))),1000000))</f>
        <v/>
      </c>
      <c r="RU42">
        <f>IF($B42=0,1000000,IF(INDEX('計算A'!$D$60:$EQ$104,$B42,94)*GQ42=1,IF(AND($E42=2,MF42=0),1000000,IF($I42&gt;0,IF(4=$J42,IF(OR(AND(94=$I42+1,OR($K42&lt;&gt;'計算A'!$A$3,'計算A'!$A$4=0)),AND(94=$I42-1,OR(22&lt;&gt;'計算A'!$A$3,'計算A'!$A$4=0))),0,IF(22=$K42,200000,ABS(22-$K42)*100)),100000+ABS(4-$J42)*1000+220)+'計算A'!CS$5*50+IF(AND($E42=1,MF42=0),25,0),IF($F42&gt;0,INDEX('計算A'!CS$110:CS$114,$F42+1)+IF(AND($E42=1,MF42=0),1000,0),MIN(TX42,20)*400+(IF('計算A'!CR$106=1,1-GP42,0)+IF('計算A'!CS$106=1,1-GR42,0))*150+224+'計算A'!CS$5*100000+IF(AND($E42=1,MF42=0),50000,0))+IF($H42=1,(IF('計算A'!CR$117=1,INDEX('計算A'!CR$10:CR$54,$B42),0)+IF('計算A'!CS$117=1,INDEX('計算A'!CT$10:CT$54,$B42),0))*4000,0)-IF(AND('計算A'!CR$117=1,XP42&gt;0),2000,0)-IF(AND($L42=1,'計算A'!CS$117=1,GR42=0),2000,0))),1000000))</f>
        <v/>
      </c>
      <c r="RV42">
        <f>IF($B42=0,1000000,IF(INDEX('計算A'!$D$60:$EQ$104,$B42,95)*GR42=1,IF(AND($E42=2,MG42=0),1000000,IF($I42&gt;0,IF(4=$J42,IF(OR(AND(95=$I42+1,OR($K42&lt;&gt;'計算A'!$A$3,'計算A'!$A$4=0)),AND(95=$I42-1,OR(23&lt;&gt;'計算A'!$A$3,'計算A'!$A$4=0))),0,IF(23=$K42,200000,ABS(23-$K42)*100)),100000+ABS(4-$J42)*1000+230)+'計算A'!CT$5*50+IF(AND($E42=1,MG42=0),25,0),IF($F42&gt;0,INDEX('計算A'!CT$110:CT$114,$F42+1)+IF(AND($E42=1,MG42=0),1000,0),MIN(TX42,20)*400+(IF('計算A'!CS$106=1,1-GQ42,0)+IF('計算A'!CT$106=1,1-GS42,0))*150+234+'計算A'!CT$5*100000+IF(AND($E42=1,MG42=0),50000,0))+IF($H42=1,(IF('計算A'!CS$117=1,INDEX('計算A'!CS$10:CS$54,$B42),0)+IF('計算A'!CT$117=1,INDEX('計算A'!CU$10:CU$54,$B42),0))*4000,0)-IF(AND('計算A'!CS$117=1,XQ42&gt;0),2000,0)-IF(AND($L42=1,'計算A'!CT$117=1,GS42=0),2000,0))),1000000))</f>
        <v/>
      </c>
      <c r="RW42">
        <f>IF($B42=0,1000000,IF(INDEX('計算A'!$D$60:$EQ$104,$B42,96)*GS42=1,IF(AND($E42=2,MH42=0),1000000,IF($I42&gt;0,IF(4=$J42,IF(OR(AND(96=$I42+1,OR($K42&lt;&gt;'計算A'!$A$3,'計算A'!$A$4=0)),AND(96=$I42-1,OR(24&lt;&gt;'計算A'!$A$3,'計算A'!$A$4=0))),0,IF(24=$K42,200000,ABS(24-$K42)*100)),100000+ABS(4-$J42)*1000+240)+'計算A'!CU$5*50+IF(AND($E42=1,MH42=0),25,0),IF($F42&gt;0,INDEX('計算A'!CU$110:CU$114,$F42+1)+IF(AND($E42=1,MH42=0),1000,0),MIN(TX42,20)*400+(IF('計算A'!CT$106=1,1-GR42,0))*150+244+'計算A'!CU$5*100000+IF(AND($E42=1,MH42=0),50000,0))+IF($H42=1,(IF('計算A'!CT$117=1,INDEX('計算A'!CT$10:CT$54,$B42),0))*4000,0)-IF(AND('計算A'!CT$117=1,XR42&gt;0),2000,0))),1000000))</f>
        <v/>
      </c>
      <c r="RX42">
        <f>IF($B42=0,1000000,IF(INDEX('計算A'!$D$60:$EQ$104,$B42,97)*GT42=1,IF(AND($E42=2,MI42=0),1000000,IF($I42&gt;0,IF(5=$J42,IF(OR(AND(97=$I42+1,OR($K42&lt;&gt;'計算A'!$A$3,'計算A'!$A$4=0)),AND(97=$I42-1,OR(1&lt;&gt;'計算A'!$A$3,'計算A'!$A$4=0))),0,IF(1=$K42,200000,ABS(1-$K42)*100)),100000+ABS(5-$J42)*1000+10)+'計算A'!CV$5*50+IF(AND($E42=1,MI42=0),25,0),IF($F42&gt;0,INDEX('計算A'!CV$110:CV$114,$F42+1)+IF(AND($E42=1,MI42=0),1000,0),MIN(TY42,20)*400+(IF('計算A'!CV$106=1,1-GU42,0))*150+15+'計算A'!CV$5*100000+IF(AND($E42=1,MI42=0),50000,0))+IF($H42=1,(IF('計算A'!CV$117=1,INDEX('計算A'!CW$10:CW$54,$B42),0))*4000,0)-IF(AND($L42=1,'計算A'!CV$117=1,GU42=0),2000,0))),1000000))</f>
        <v/>
      </c>
      <c r="RY42">
        <f>IF($B42=0,1000000,IF(INDEX('計算A'!$D$60:$EQ$104,$B42,98)*GU42=1,IF(AND($E42=2,MJ42=0),1000000,IF($I42&gt;0,IF(5=$J42,IF(OR(AND(98=$I42+1,OR($K42&lt;&gt;'計算A'!$A$3,'計算A'!$A$4=0)),AND(98=$I42-1,OR(2&lt;&gt;'計算A'!$A$3,'計算A'!$A$4=0))),0,IF(2=$K42,200000,ABS(2-$K42)*100)),100000+ABS(5-$J42)*1000+20)+'計算A'!CW$5*50+IF(AND($E42=1,MJ42=0),25,0),IF($F42&gt;0,INDEX('計算A'!CW$110:CW$114,$F42+1)+IF(AND($E42=1,MJ42=0),1000,0),MIN(TY42,20)*400+(IF('計算A'!CV$106=1,1-GT42,0)+IF('計算A'!CW$106=1,1-GV42,0))*150+25+'計算A'!CW$5*100000+IF(AND($E42=1,MJ42=0),50000,0))+IF($H42=1,(IF('計算A'!CV$117=1,INDEX('計算A'!CV$10:CV$54,$B42),0)+IF('計算A'!CW$117=1,INDEX('計算A'!CX$10:CX$54,$B42),0))*4000,0)-IF(AND('計算A'!CV$117=1,XT42&gt;0),2000,0)-IF(AND($L42=1,'計算A'!CW$117=1,GV42=0),2000,0))),1000000))</f>
        <v/>
      </c>
      <c r="RZ42">
        <f>IF($B42=0,1000000,IF(INDEX('計算A'!$D$60:$EQ$104,$B42,99)*GV42=1,IF(AND($E42=2,MK42=0),1000000,IF($I42&gt;0,IF(5=$J42,IF(OR(AND(99=$I42+1,OR($K42&lt;&gt;'計算A'!$A$3,'計算A'!$A$4=0)),AND(99=$I42-1,OR(3&lt;&gt;'計算A'!$A$3,'計算A'!$A$4=0))),0,IF(3=$K42,200000,ABS(3-$K42)*100)),100000+ABS(5-$J42)*1000+30)+'計算A'!CX$5*50+IF(AND($E42=1,MK42=0),25,0),IF($F42&gt;0,INDEX('計算A'!CX$110:CX$114,$F42+1)+IF(AND($E42=1,MK42=0),1000,0),MIN(TY42,20)*400+(IF('計算A'!CW$106=1,1-GU42,0)+IF('計算A'!CX$106=1,1-GW42,0))*150+35+'計算A'!CX$5*100000+IF(AND($E42=1,MK42=0),50000,0))+IF($H42=1,(IF('計算A'!CW$117=1,INDEX('計算A'!CW$10:CW$54,$B42),0)+IF('計算A'!CX$117=1,INDEX('計算A'!CY$10:CY$54,$B42),0))*4000,0)-IF(AND('計算A'!CW$117=1,XU42&gt;0),2000,0)-IF(AND($L42=1,'計算A'!CX$117=1,GW42=0),2000,0))),1000000))</f>
        <v/>
      </c>
      <c r="SA42">
        <f>IF($B42=0,1000000,IF(INDEX('計算A'!$D$60:$EQ$104,$B42,100)*GW42=1,IF(AND($E42=2,ML42=0),1000000,IF($I42&gt;0,IF(5=$J42,IF(OR(AND(100=$I42+1,OR($K42&lt;&gt;'計算A'!$A$3,'計算A'!$A$4=0)),AND(100=$I42-1,OR(4&lt;&gt;'計算A'!$A$3,'計算A'!$A$4=0))),0,IF(4=$K42,200000,ABS(4-$K42)*100)),100000+ABS(5-$J42)*1000+40)+'計算A'!CY$5*50+IF(AND($E42=1,ML42=0),25,0),IF($F42&gt;0,INDEX('計算A'!CY$110:CY$114,$F42+1)+IF(AND($E42=1,ML42=0),1000,0),MIN(TY42,20)*400+(IF('計算A'!CX$106=1,1-GV42,0)+IF('計算A'!CY$106=1,1-GX42,0))*150+45+'計算A'!CY$5*100000+IF(AND($E42=1,ML42=0),50000,0))+IF($H42=1,(IF('計算A'!CX$117=1,INDEX('計算A'!CX$10:CX$54,$B42),0)+IF('計算A'!CY$117=1,INDEX('計算A'!CZ$10:CZ$54,$B42),0))*4000,0)-IF(AND('計算A'!CX$117=1,XV42&gt;0),2000,0)-IF(AND($L42=1,'計算A'!CY$117=1,GX42=0),2000,0))),1000000))</f>
        <v/>
      </c>
      <c r="SB42">
        <f>IF($B42=0,1000000,IF(INDEX('計算A'!$D$60:$EQ$104,$B42,101)*GX42=1,IF(AND($E42=2,MM42=0),1000000,IF($I42&gt;0,IF(5=$J42,IF(OR(AND(101=$I42+1,OR($K42&lt;&gt;'計算A'!$A$3,'計算A'!$A$4=0)),AND(101=$I42-1,OR(5&lt;&gt;'計算A'!$A$3,'計算A'!$A$4=0))),0,IF(5=$K42,200000,ABS(5-$K42)*100)),100000+ABS(5-$J42)*1000+50)+'計算A'!CZ$5*50+IF(AND($E42=1,MM42=0),25,0),IF($F42&gt;0,INDEX('計算A'!CZ$110:CZ$114,$F42+1)+IF(AND($E42=1,MM42=0),1000,0),MIN(TY42,20)*400+(IF('計算A'!CY$106=1,1-GW42,0)+IF('計算A'!CZ$106=1,1-GY42,0))*150+55+'計算A'!CZ$5*100000+IF(AND($E42=1,MM42=0),50000,0))+IF($H42=1,(IF('計算A'!CY$117=1,INDEX('計算A'!CY$10:CY$54,$B42),0)+IF('計算A'!CZ$117=1,INDEX('計算A'!DA$10:DA$54,$B42),0))*4000,0)-IF(AND('計算A'!CY$117=1,XW42&gt;0),2000,0)-IF(AND($L42=1,'計算A'!CZ$117=1,GY42=0),2000,0))),1000000))</f>
        <v/>
      </c>
      <c r="SC42">
        <f>IF($B42=0,1000000,IF(INDEX('計算A'!$D$60:$EQ$104,$B42,102)*GY42=1,IF(AND($E42=2,MN42=0),1000000,IF($I42&gt;0,IF(5=$J42,IF(OR(AND(102=$I42+1,OR($K42&lt;&gt;'計算A'!$A$3,'計算A'!$A$4=0)),AND(102=$I42-1,OR(6&lt;&gt;'計算A'!$A$3,'計算A'!$A$4=0))),0,IF(6=$K42,200000,ABS(6-$K42)*100)),100000+ABS(5-$J42)*1000+60)+'計算A'!DA$5*50+IF(AND($E42=1,MN42=0),25,0),IF($F42&gt;0,INDEX('計算A'!DA$110:DA$114,$F42+1)+IF(AND($E42=1,MN42=0),1000,0),MIN(TY42,20)*400+(IF('計算A'!CZ$106=1,1-GX42,0)+IF('計算A'!DA$106=1,1-GZ42,0))*150+65+'計算A'!DA$5*100000+IF(AND($E42=1,MN42=0),50000,0))+IF($H42=1,(IF('計算A'!CZ$117=1,INDEX('計算A'!CZ$10:CZ$54,$B42),0)+IF('計算A'!DA$117=1,INDEX('計算A'!DB$10:DB$54,$B42),0))*4000,0)-IF(AND('計算A'!CZ$117=1,XX42&gt;0),2000,0)-IF(AND($L42=1,'計算A'!DA$117=1,GZ42=0),2000,0))),1000000))</f>
        <v/>
      </c>
      <c r="SD42">
        <f>IF($B42=0,1000000,IF(INDEX('計算A'!$D$60:$EQ$104,$B42,103)*GZ42=1,IF(AND($E42=2,MO42=0),1000000,IF($I42&gt;0,IF(5=$J42,IF(OR(AND(103=$I42+1,OR($K42&lt;&gt;'計算A'!$A$3,'計算A'!$A$4=0)),AND(103=$I42-1,OR(7&lt;&gt;'計算A'!$A$3,'計算A'!$A$4=0))),0,IF(7=$K42,200000,ABS(7-$K42)*100)),100000+ABS(5-$J42)*1000+70)+'計算A'!DB$5*50+IF(AND($E42=1,MO42=0),25,0),IF($F42&gt;0,INDEX('計算A'!DB$110:DB$114,$F42+1)+IF(AND($E42=1,MO42=0),1000,0),MIN(TY42,20)*400+(IF('計算A'!DA$106=1,1-GY42,0)+IF('計算A'!DB$106=1,1-HA42,0))*150+75+'計算A'!DB$5*100000+IF(AND($E42=1,MO42=0),50000,0))+IF($H42=1,(IF('計算A'!DA$117=1,INDEX('計算A'!DA$10:DA$54,$B42),0)+IF('計算A'!DB$117=1,INDEX('計算A'!DC$10:DC$54,$B42),0))*4000,0)-IF(AND('計算A'!DA$117=1,XY42&gt;0),2000,0)-IF(AND($L42=1,'計算A'!DB$117=1,HA42=0),2000,0))),1000000))</f>
        <v/>
      </c>
      <c r="SE42">
        <f>IF($B42=0,1000000,IF(INDEX('計算A'!$D$60:$EQ$104,$B42,104)*HA42=1,IF(AND($E42=2,MP42=0),1000000,IF($I42&gt;0,IF(5=$J42,IF(OR(AND(104=$I42+1,OR($K42&lt;&gt;'計算A'!$A$3,'計算A'!$A$4=0)),AND(104=$I42-1,OR(8&lt;&gt;'計算A'!$A$3,'計算A'!$A$4=0))),0,IF(8=$K42,200000,ABS(8-$K42)*100)),100000+ABS(5-$J42)*1000+80)+'計算A'!DC$5*50+IF(AND($E42=1,MP42=0),25,0),IF($F42&gt;0,INDEX('計算A'!DC$110:DC$114,$F42+1)+IF(AND($E42=1,MP42=0),1000,0),MIN(TY42,20)*400+(IF('計算A'!DB$106=1,1-GZ42,0)+IF('計算A'!DC$106=1,1-HB42,0))*150+85+'計算A'!DC$5*100000+IF(AND($E42=1,MP42=0),50000,0))+IF($H42=1,(IF('計算A'!DB$117=1,INDEX('計算A'!DB$10:DB$54,$B42),0)+IF('計算A'!DC$117=1,INDEX('計算A'!DD$10:DD$54,$B42),0))*4000,0)-IF(AND('計算A'!DB$117=1,XZ42&gt;0),2000,0)-IF(AND($L42=1,'計算A'!DC$117=1,HB42=0),2000,0))),1000000))</f>
        <v/>
      </c>
      <c r="SF42">
        <f>IF($B42=0,1000000,IF(INDEX('計算A'!$D$60:$EQ$104,$B42,105)*HB42=1,IF(AND($E42=2,MQ42=0),1000000,IF($I42&gt;0,IF(5=$J42,IF(OR(AND(105=$I42+1,OR($K42&lt;&gt;'計算A'!$A$3,'計算A'!$A$4=0)),AND(105=$I42-1,OR(9&lt;&gt;'計算A'!$A$3,'計算A'!$A$4=0))),0,IF(9=$K42,200000,ABS(9-$K42)*100)),100000+ABS(5-$J42)*1000+90)+'計算A'!DD$5*50+IF(AND($E42=1,MQ42=0),25,0),IF($F42&gt;0,INDEX('計算A'!DD$110:DD$114,$F42+1)+IF(AND($E42=1,MQ42=0),1000,0),MIN(TY42,20)*400+(IF('計算A'!DC$106=1,1-HA42,0)+IF('計算A'!DD$106=1,1-HC42,0))*150+95+'計算A'!DD$5*100000+IF(AND($E42=1,MQ42=0),50000,0))+IF($H42=1,(IF('計算A'!DC$117=1,INDEX('計算A'!DC$10:DC$54,$B42),0)+IF('計算A'!DD$117=1,INDEX('計算A'!DE$10:DE$54,$B42),0))*4000,0)-IF(AND('計算A'!DC$117=1,YA42&gt;0),2000,0)-IF(AND($L42=1,'計算A'!DD$117=1,HC42=0),2000,0))),1000000))</f>
        <v/>
      </c>
      <c r="SG42">
        <f>IF($B42=0,1000000,IF(INDEX('計算A'!$D$60:$EQ$104,$B42,106)*HC42=1,IF(AND($E42=2,MR42=0),1000000,IF($I42&gt;0,IF(5=$J42,IF(OR(AND(106=$I42+1,OR($K42&lt;&gt;'計算A'!$A$3,'計算A'!$A$4=0)),AND(106=$I42-1,OR(10&lt;&gt;'計算A'!$A$3,'計算A'!$A$4=0))),0,IF(10=$K42,200000,ABS(10-$K42)*100)),100000+ABS(5-$J42)*1000+100)+'計算A'!DE$5*50+IF(AND($E42=1,MR42=0),25,0),IF($F42&gt;0,INDEX('計算A'!DE$110:DE$114,$F42+1)+IF(AND($E42=1,MR42=0),1000,0),MIN(TY42,20)*400+(IF('計算A'!DD$106=1,1-HB42,0)+IF('計算A'!DE$106=1,1-HD42,0))*150+105+'計算A'!DE$5*100000+IF(AND($E42=1,MR42=0),50000,0))+IF($H42=1,(IF('計算A'!DD$117=1,INDEX('計算A'!DD$10:DD$54,$B42),0)+IF('計算A'!DE$117=1,INDEX('計算A'!DF$10:DF$54,$B42),0))*4000,0)-IF(AND('計算A'!DD$117=1,YB42&gt;0),2000,0)-IF(AND($L42=1,'計算A'!DE$117=1,HD42=0),2000,0))),1000000))</f>
        <v/>
      </c>
      <c r="SH42">
        <f>IF($B42=0,1000000,IF(INDEX('計算A'!$D$60:$EQ$104,$B42,107)*HD42=1,IF(AND($E42=2,MS42=0),1000000,IF($I42&gt;0,IF(5=$J42,IF(OR(AND(107=$I42+1,OR($K42&lt;&gt;'計算A'!$A$3,'計算A'!$A$4=0)),AND(107=$I42-1,OR(11&lt;&gt;'計算A'!$A$3,'計算A'!$A$4=0))),0,IF(11=$K42,200000,ABS(11-$K42)*100)),100000+ABS(5-$J42)*1000+110)+'計算A'!DF$5*50+IF(AND($E42=1,MS42=0),25,0),IF($F42&gt;0,INDEX('計算A'!DF$110:DF$114,$F42+1)+IF(AND($E42=1,MS42=0),1000,0),MIN(TY42,20)*400+(IF('計算A'!DE$106=1,1-HC42,0)+IF('計算A'!DF$106=1,1-HE42,0))*150+115+'計算A'!DF$5*100000+IF(AND($E42=1,MS42=0),50000,0))+IF($H42=1,(IF('計算A'!DE$117=1,INDEX('計算A'!DE$10:DE$54,$B42),0)+IF('計算A'!DF$117=1,INDEX('計算A'!DG$10:DG$54,$B42),0))*4000,0)-IF(AND('計算A'!DE$117=1,YC42&gt;0),2000,0)-IF(AND($L42=1,'計算A'!DF$117=1,HE42=0),2000,0))),1000000))</f>
        <v/>
      </c>
      <c r="SI42">
        <f>IF($B42=0,1000000,IF(INDEX('計算A'!$D$60:$EQ$104,$B42,108)*HE42=1,IF(AND($E42=2,MT42=0),1000000,IF($I42&gt;0,IF(5=$J42,IF(OR(AND(108=$I42+1,OR($K42&lt;&gt;'計算A'!$A$3,'計算A'!$A$4=0)),AND(108=$I42-1,OR(12&lt;&gt;'計算A'!$A$3,'計算A'!$A$4=0))),0,IF(12=$K42,200000,ABS(12-$K42)*100)),100000+ABS(5-$J42)*1000+120)+'計算A'!DG$5*50+IF(AND($E42=1,MT42=0),25,0),IF($F42&gt;0,INDEX('計算A'!DG$110:DG$114,$F42+1)+IF(AND($E42=1,MT42=0),1000,0),MIN(TY42,20)*400+(IF('計算A'!DF$106=1,1-HD42,0)+IF('計算A'!DG$106=1,1-HF42,0))*150+125+'計算A'!DG$5*100000+IF(AND($E42=1,MT42=0),50000,0))+IF($H42=1,(IF('計算A'!DF$117=1,INDEX('計算A'!DF$10:DF$54,$B42),0)+IF('計算A'!DG$117=1,INDEX('計算A'!DH$10:DH$54,$B42),0))*4000,0)-IF(AND('計算A'!DF$117=1,YD42&gt;0),2000,0)-IF(AND($L42=1,'計算A'!DG$117=1,HF42=0),2000,0))),1000000))</f>
        <v/>
      </c>
      <c r="SJ42">
        <f>IF($B42=0,1000000,IF(INDEX('計算A'!$D$60:$EQ$104,$B42,109)*HF42=1,IF(AND($E42=2,MU42=0),1000000,IF($I42&gt;0,IF(5=$J42,IF(OR(AND(109=$I42+1,OR($K42&lt;&gt;'計算A'!$A$3,'計算A'!$A$4=0)),AND(109=$I42-1,OR(13&lt;&gt;'計算A'!$A$3,'計算A'!$A$4=0))),0,IF(13=$K42,200000,ABS(13-$K42)*100)),100000+ABS(5-$J42)*1000+130)+'計算A'!DH$5*50+IF(AND($E42=1,MU42=0),25,0),IF($F42&gt;0,INDEX('計算A'!DH$110:DH$114,$F42+1)+IF(AND($E42=1,MU42=0),1000,0),MIN(TY42,20)*400+(IF('計算A'!DG$106=1,1-HE42,0)+IF('計算A'!DH$106=1,1-HG42,0))*150+135+'計算A'!DH$5*100000+IF(AND($E42=1,MU42=0),50000,0))+IF($H42=1,(IF('計算A'!DG$117=1,INDEX('計算A'!DG$10:DG$54,$B42),0)+IF('計算A'!DH$117=1,INDEX('計算A'!DI$10:DI$54,$B42),0))*4000,0)-IF(AND('計算A'!DG$117=1,YE42&gt;0),2000,0)-IF(AND($L42=1,'計算A'!DH$117=1,HG42=0),2000,0))),1000000))</f>
        <v/>
      </c>
      <c r="SK42">
        <f>IF($B42=0,1000000,IF(INDEX('計算A'!$D$60:$EQ$104,$B42,110)*HG42=1,IF(AND($E42=2,MV42=0),1000000,IF($I42&gt;0,IF(5=$J42,IF(OR(AND(110=$I42+1,OR($K42&lt;&gt;'計算A'!$A$3,'計算A'!$A$4=0)),AND(110=$I42-1,OR(14&lt;&gt;'計算A'!$A$3,'計算A'!$A$4=0))),0,IF(14=$K42,200000,ABS(14-$K42)*100)),100000+ABS(5-$J42)*1000+140)+'計算A'!DI$5*50+IF(AND($E42=1,MV42=0),25,0),IF($F42&gt;0,INDEX('計算A'!DI$110:DI$114,$F42+1)+IF(AND($E42=1,MV42=0),1000,0),MIN(TY42,20)*400+(IF('計算A'!DH$106=1,1-HF42,0)+IF('計算A'!DI$106=1,1-HH42,0))*150+145+'計算A'!DI$5*100000+IF(AND($E42=1,MV42=0),50000,0))+IF($H42=1,(IF('計算A'!DH$117=1,INDEX('計算A'!DH$10:DH$54,$B42),0)+IF('計算A'!DI$117=1,INDEX('計算A'!DJ$10:DJ$54,$B42),0))*4000,0)-IF(AND('計算A'!DH$117=1,YF42&gt;0),2000,0)-IF(AND($L42=1,'計算A'!DI$117=1,HH42=0),2000,0))),1000000))</f>
        <v/>
      </c>
      <c r="SL42">
        <f>IF($B42=0,1000000,IF(INDEX('計算A'!$D$60:$EQ$104,$B42,111)*HH42=1,IF(AND($E42=2,MW42=0),1000000,IF($I42&gt;0,IF(5=$J42,IF(OR(AND(111=$I42+1,OR($K42&lt;&gt;'計算A'!$A$3,'計算A'!$A$4=0)),AND(111=$I42-1,OR(15&lt;&gt;'計算A'!$A$3,'計算A'!$A$4=0))),0,IF(15=$K42,200000,ABS(15-$K42)*100)),100000+ABS(5-$J42)*1000+150)+'計算A'!DJ$5*50+IF(AND($E42=1,MW42=0),25,0),IF($F42&gt;0,INDEX('計算A'!DJ$110:DJ$114,$F42+1)+IF(AND($E42=1,MW42=0),1000,0),MIN(TY42,20)*400+(IF('計算A'!DI$106=1,1-HG42,0)+IF('計算A'!DJ$106=1,1-HI42,0))*150+155+'計算A'!DJ$5*100000+IF(AND($E42=1,MW42=0),50000,0))+IF($H42=1,(IF('計算A'!DI$117=1,INDEX('計算A'!DI$10:DI$54,$B42),0)+IF('計算A'!DJ$117=1,INDEX('計算A'!DK$10:DK$54,$B42),0))*4000,0)-IF(AND('計算A'!DI$117=1,YG42&gt;0),2000,0)-IF(AND($L42=1,'計算A'!DJ$117=1,HI42=0),2000,0))),1000000))</f>
        <v/>
      </c>
      <c r="SM42">
        <f>IF($B42=0,1000000,IF(INDEX('計算A'!$D$60:$EQ$104,$B42,112)*HI42=1,IF(AND($E42=2,MX42=0),1000000,IF($I42&gt;0,IF(5=$J42,IF(OR(AND(112=$I42+1,OR($K42&lt;&gt;'計算A'!$A$3,'計算A'!$A$4=0)),AND(112=$I42-1,OR(16&lt;&gt;'計算A'!$A$3,'計算A'!$A$4=0))),0,IF(16=$K42,200000,ABS(16-$K42)*100)),100000+ABS(5-$J42)*1000+160)+'計算A'!DK$5*50+IF(AND($E42=1,MX42=0),25,0),IF($F42&gt;0,INDEX('計算A'!DK$110:DK$114,$F42+1)+IF(AND($E42=1,MX42=0),1000,0),MIN(TY42,20)*400+(IF('計算A'!DJ$106=1,1-HH42,0)+IF('計算A'!DK$106=1,1-HJ42,0))*150+165+'計算A'!DK$5*100000+IF(AND($E42=1,MX42=0),50000,0))+IF($H42=1,(IF('計算A'!DJ$117=1,INDEX('計算A'!DJ$10:DJ$54,$B42),0)+IF('計算A'!DK$117=1,INDEX('計算A'!DL$10:DL$54,$B42),0))*4000,0)-IF(AND('計算A'!DJ$117=1,YH42&gt;0),2000,0)-IF(AND($L42=1,'計算A'!DK$117=1,HJ42=0),2000,0))),1000000))</f>
        <v/>
      </c>
      <c r="SN42">
        <f>IF($B42=0,1000000,IF(INDEX('計算A'!$D$60:$EQ$104,$B42,113)*HJ42=1,IF(AND($E42=2,MY42=0),1000000,IF($I42&gt;0,IF(5=$J42,IF(OR(AND(113=$I42+1,OR($K42&lt;&gt;'計算A'!$A$3,'計算A'!$A$4=0)),AND(113=$I42-1,OR(17&lt;&gt;'計算A'!$A$3,'計算A'!$A$4=0))),0,IF(17=$K42,200000,ABS(17-$K42)*100)),100000+ABS(5-$J42)*1000+170)+'計算A'!DL$5*50+IF(AND($E42=1,MY42=0),25,0),IF($F42&gt;0,INDEX('計算A'!DL$110:DL$114,$F42+1)+IF(AND($E42=1,MY42=0),1000,0),MIN(TY42,20)*400+(IF('計算A'!DK$106=1,1-HI42,0)+IF('計算A'!DL$106=1,1-HK42,0))*150+175+'計算A'!DL$5*100000+IF(AND($E42=1,MY42=0),50000,0))+IF($H42=1,(IF('計算A'!DK$117=1,INDEX('計算A'!DK$10:DK$54,$B42),0)+IF('計算A'!DL$117=1,INDEX('計算A'!DM$10:DM$54,$B42),0))*4000,0)-IF(AND('計算A'!DK$117=1,YI42&gt;0),2000,0)-IF(AND($L42=1,'計算A'!DL$117=1,HK42=0),2000,0))),1000000))</f>
        <v/>
      </c>
      <c r="SO42">
        <f>IF($B42=0,1000000,IF(INDEX('計算A'!$D$60:$EQ$104,$B42,114)*HK42=1,IF(AND($E42=2,MZ42=0),1000000,IF($I42&gt;0,IF(5=$J42,IF(OR(AND(114=$I42+1,OR($K42&lt;&gt;'計算A'!$A$3,'計算A'!$A$4=0)),AND(114=$I42-1,OR(18&lt;&gt;'計算A'!$A$3,'計算A'!$A$4=0))),0,IF(18=$K42,200000,ABS(18-$K42)*100)),100000+ABS(5-$J42)*1000+180)+'計算A'!DM$5*50+IF(AND($E42=1,MZ42=0),25,0),IF($F42&gt;0,INDEX('計算A'!DM$110:DM$114,$F42+1)+IF(AND($E42=1,MZ42=0),1000,0),MIN(TY42,20)*400+(IF('計算A'!DL$106=1,1-HJ42,0)+IF('計算A'!DM$106=1,1-HL42,0))*150+185+'計算A'!DM$5*100000+IF(AND($E42=1,MZ42=0),50000,0))+IF($H42=1,(IF('計算A'!DL$117=1,INDEX('計算A'!DL$10:DL$54,$B42),0)+IF('計算A'!DM$117=1,INDEX('計算A'!DN$10:DN$54,$B42),0))*4000,0)-IF(AND('計算A'!DL$117=1,YJ42&gt;0),2000,0)-IF(AND($L42=1,'計算A'!DM$117=1,HL42=0),2000,0))),1000000))</f>
        <v/>
      </c>
      <c r="SP42">
        <f>IF($B42=0,1000000,IF(INDEX('計算A'!$D$60:$EQ$104,$B42,115)*HL42=1,IF(AND($E42=2,NA42=0),1000000,IF($I42&gt;0,IF(5=$J42,IF(OR(AND(115=$I42+1,OR($K42&lt;&gt;'計算A'!$A$3,'計算A'!$A$4=0)),AND(115=$I42-1,OR(19&lt;&gt;'計算A'!$A$3,'計算A'!$A$4=0))),0,IF(19=$K42,200000,ABS(19-$K42)*100)),100000+ABS(5-$J42)*1000+190)+'計算A'!DN$5*50+IF(AND($E42=1,NA42=0),25,0),IF($F42&gt;0,INDEX('計算A'!DN$110:DN$114,$F42+1)+IF(AND($E42=1,NA42=0),1000,0),MIN(TY42,20)*400+(IF('計算A'!DM$106=1,1-HK42,0)+IF('計算A'!DN$106=1,1-HM42,0))*150+195+'計算A'!DN$5*100000+IF(AND($E42=1,NA42=0),50000,0))+IF($H42=1,(IF('計算A'!DM$117=1,INDEX('計算A'!DM$10:DM$54,$B42),0)+IF('計算A'!DN$117=1,INDEX('計算A'!DO$10:DO$54,$B42),0))*4000,0)-IF(AND('計算A'!DM$117=1,YK42&gt;0),2000,0)-IF(AND($L42=1,'計算A'!DN$117=1,HM42=0),2000,0))),1000000))</f>
        <v/>
      </c>
      <c r="SQ42">
        <f>IF($B42=0,1000000,IF(INDEX('計算A'!$D$60:$EQ$104,$B42,116)*HM42=1,IF(AND($E42=2,NB42=0),1000000,IF($I42&gt;0,IF(5=$J42,IF(OR(AND(116=$I42+1,OR($K42&lt;&gt;'計算A'!$A$3,'計算A'!$A$4=0)),AND(116=$I42-1,OR(20&lt;&gt;'計算A'!$A$3,'計算A'!$A$4=0))),0,IF(20=$K42,200000,ABS(20-$K42)*100)),100000+ABS(5-$J42)*1000+200)+'計算A'!DO$5*50+IF(AND($E42=1,NB42=0),25,0),IF($F42&gt;0,INDEX('計算A'!DO$110:DO$114,$F42+1)+IF(AND($E42=1,NB42=0),1000,0),MIN(TY42,20)*400+(IF('計算A'!DN$106=1,1-HL42,0)+IF('計算A'!DO$106=1,1-HN42,0))*150+205+'計算A'!DO$5*100000+IF(AND($E42=1,NB42=0),50000,0))+IF($H42=1,(IF('計算A'!DN$117=1,INDEX('計算A'!DN$10:DN$54,$B42),0)+IF('計算A'!DO$117=1,INDEX('計算A'!DP$10:DP$54,$B42),0))*4000,0)-IF(AND('計算A'!DN$117=1,YL42&gt;0),2000,0)-IF(AND($L42=1,'計算A'!DO$117=1,HN42=0),2000,0))),1000000))</f>
        <v/>
      </c>
      <c r="SR42">
        <f>IF($B42=0,1000000,IF(INDEX('計算A'!$D$60:$EQ$104,$B42,117)*HN42=1,IF(AND($E42=2,NC42=0),1000000,IF($I42&gt;0,IF(5=$J42,IF(OR(AND(117=$I42+1,OR($K42&lt;&gt;'計算A'!$A$3,'計算A'!$A$4=0)),AND(117=$I42-1,OR(21&lt;&gt;'計算A'!$A$3,'計算A'!$A$4=0))),0,IF(21=$K42,200000,ABS(21-$K42)*100)),100000+ABS(5-$J42)*1000+210)+'計算A'!DP$5*50+IF(AND($E42=1,NC42=0),25,0),IF($F42&gt;0,INDEX('計算A'!DP$110:DP$114,$F42+1)+IF(AND($E42=1,NC42=0),1000,0),MIN(TY42,20)*400+(IF('計算A'!DO$106=1,1-HM42,0)+IF('計算A'!DP$106=1,1-HO42,0))*150+215+'計算A'!DP$5*100000+IF(AND($E42=1,NC42=0),50000,0))+IF($H42=1,(IF('計算A'!DO$117=1,INDEX('計算A'!DO$10:DO$54,$B42),0)+IF('計算A'!DP$117=1,INDEX('計算A'!DQ$10:DQ$54,$B42),0))*4000,0)-IF(AND('計算A'!DO$117=1,YM42&gt;0),2000,0)-IF(AND($L42=1,'計算A'!DP$117=1,HO42=0),2000,0))),1000000))</f>
        <v/>
      </c>
      <c r="SS42">
        <f>IF($B42=0,1000000,IF(INDEX('計算A'!$D$60:$EQ$104,$B42,118)*HO42=1,IF(AND($E42=2,ND42=0),1000000,IF($I42&gt;0,IF(5=$J42,IF(OR(AND(118=$I42+1,OR($K42&lt;&gt;'計算A'!$A$3,'計算A'!$A$4=0)),AND(118=$I42-1,OR(22&lt;&gt;'計算A'!$A$3,'計算A'!$A$4=0))),0,IF(22=$K42,200000,ABS(22-$K42)*100)),100000+ABS(5-$J42)*1000+220)+'計算A'!DQ$5*50+IF(AND($E42=1,ND42=0),25,0),IF($F42&gt;0,INDEX('計算A'!DQ$110:DQ$114,$F42+1)+IF(AND($E42=1,ND42=0),1000,0),MIN(TY42,20)*400+(IF('計算A'!DP$106=1,1-HN42,0)+IF('計算A'!DQ$106=1,1-HP42,0))*150+225+'計算A'!DQ$5*100000+IF(AND($E42=1,ND42=0),50000,0))+IF($H42=1,(IF('計算A'!DP$117=1,INDEX('計算A'!DP$10:DP$54,$B42),0)+IF('計算A'!DQ$117=1,INDEX('計算A'!DR$10:DR$54,$B42),0))*4000,0)-IF(AND('計算A'!DP$117=1,YN42&gt;0),2000,0)-IF(AND($L42=1,'計算A'!DQ$117=1,HP42=0),2000,0))),1000000))</f>
        <v/>
      </c>
      <c r="ST42">
        <f>IF($B42=0,1000000,IF(INDEX('計算A'!$D$60:$EQ$104,$B42,119)*HP42=1,IF(AND($E42=2,NE42=0),1000000,IF($I42&gt;0,IF(5=$J42,IF(OR(AND(119=$I42+1,OR($K42&lt;&gt;'計算A'!$A$3,'計算A'!$A$4=0)),AND(119=$I42-1,OR(23&lt;&gt;'計算A'!$A$3,'計算A'!$A$4=0))),0,IF(23=$K42,200000,ABS(23-$K42)*100)),100000+ABS(5-$J42)*1000+230)+'計算A'!DR$5*50+IF(AND($E42=1,NE42=0),25,0),IF($F42&gt;0,INDEX('計算A'!DR$110:DR$114,$F42+1)+IF(AND($E42=1,NE42=0),1000,0),MIN(TY42,20)*400+(IF('計算A'!DQ$106=1,1-HO42,0)+IF('計算A'!DR$106=1,1-HQ42,0))*150+235+'計算A'!DR$5*100000+IF(AND($E42=1,NE42=0),50000,0))+IF($H42=1,(IF('計算A'!DQ$117=1,INDEX('計算A'!DQ$10:DQ$54,$B42),0)+IF('計算A'!DR$117=1,INDEX('計算A'!DS$10:DS$54,$B42),0))*4000,0)-IF(AND('計算A'!DQ$117=1,YO42&gt;0),2000,0)-IF(AND($L42=1,'計算A'!DR$117=1,HQ42=0),2000,0))),1000000))</f>
        <v/>
      </c>
      <c r="SU42">
        <f>IF($B42=0,1000000,IF(INDEX('計算A'!$D$60:$EQ$104,$B42,120)*HQ42=1,IF(AND($E42=2,NF42=0),1000000,IF($I42&gt;0,IF(5=$J42,IF(OR(AND(120=$I42+1,OR($K42&lt;&gt;'計算A'!$A$3,'計算A'!$A$4=0)),AND(120=$I42-1,OR(24&lt;&gt;'計算A'!$A$3,'計算A'!$A$4=0))),0,IF(24=$K42,200000,ABS(24-$K42)*100)),100000+ABS(5-$J42)*1000+240)+'計算A'!DS$5*50+IF(AND($E42=1,NF42=0),25,0),IF($F42&gt;0,INDEX('計算A'!DS$110:DS$114,$F42+1)+IF(AND($E42=1,NF42=0),1000,0),MIN(TY42,20)*400+(IF('計算A'!DR$106=1,1-HP42,0))*150+245+'計算A'!DS$5*100000+IF(AND($E42=1,NF42=0),50000,0))+IF($H42=1,(IF('計算A'!DR$117=1,INDEX('計算A'!DR$10:DR$54,$B42),0))*4000,0)-IF(AND('計算A'!DR$117=1,YP42&gt;0),2000,0))),1000000))</f>
        <v/>
      </c>
      <c r="SV42">
        <f>IF($B42=0,1000000,IF(INDEX('計算A'!$D$60:$EQ$104,$B42,121)*HR42=1,IF(AND($E42=2,NG42=0),1000000,IF($I42&gt;0,IF(6=$J42,IF(OR(AND(121=$I42+1,OR($K42&lt;&gt;'計算A'!$A$3,'計算A'!$A$4=0)),AND(121=$I42-1,OR(1&lt;&gt;'計算A'!$A$3,'計算A'!$A$4=0))),0,IF(1=$K42,200000,ABS(1-$K42)*100)),100000+ABS(6-$J42)*1000+10)+'計算A'!DT$5*50+IF(AND($E42=1,NG42=0),25,0),IF($F42&gt;0,INDEX('計算A'!DT$110:DT$114,$F42+1)+IF(AND($E42=1,NG42=0),1000,0),MIN(TZ42,20)*400+(IF('計算A'!DT$106=1,1-HS42,0))*150+16+'計算A'!DT$5*100000+IF(AND($E42=1,NG42=0),50000,0))+IF($H42=1,(IF('計算A'!DT$117=1,INDEX('計算A'!DU$10:DU$54,$B42),0))*4000,0)-IF(AND($L42=1,'計算A'!DT$117=1,HS42=0),2000,0))),1000000))</f>
        <v/>
      </c>
      <c r="SW42">
        <f>IF($B42=0,1000000,IF(INDEX('計算A'!$D$60:$EQ$104,$B42,122)*HS42=1,IF(AND($E42=2,NH42=0),1000000,IF($I42&gt;0,IF(6=$J42,IF(OR(AND(122=$I42+1,OR($K42&lt;&gt;'計算A'!$A$3,'計算A'!$A$4=0)),AND(122=$I42-1,OR(2&lt;&gt;'計算A'!$A$3,'計算A'!$A$4=0))),0,IF(2=$K42,200000,ABS(2-$K42)*100)),100000+ABS(6-$J42)*1000+20)+'計算A'!DU$5*50+IF(AND($E42=1,NH42=0),25,0),IF($F42&gt;0,INDEX('計算A'!DU$110:DU$114,$F42+1)+IF(AND($E42=1,NH42=0),1000,0),MIN(TZ42,20)*400+(IF('計算A'!DT$106=1,1-HR42,0)+IF('計算A'!DU$106=1,1-HT42,0))*150+26+'計算A'!DU$5*100000+IF(AND($E42=1,NH42=0),50000,0))+IF($H42=1,(IF('計算A'!DT$117=1,INDEX('計算A'!DT$10:DT$54,$B42),0)+IF('計算A'!DU$117=1,INDEX('計算A'!DV$10:DV$54,$B42),0))*4000,0)-IF(AND('計算A'!DT$117=1,YR42&gt;0),2000,0)-IF(AND($L42=1,'計算A'!DU$117=1,HT42=0),2000,0))),1000000))</f>
        <v/>
      </c>
      <c r="SX42">
        <f>IF($B42=0,1000000,IF(INDEX('計算A'!$D$60:$EQ$104,$B42,123)*HT42=1,IF(AND($E42=2,NI42=0),1000000,IF($I42&gt;0,IF(6=$J42,IF(OR(AND(123=$I42+1,OR($K42&lt;&gt;'計算A'!$A$3,'計算A'!$A$4=0)),AND(123=$I42-1,OR(3&lt;&gt;'計算A'!$A$3,'計算A'!$A$4=0))),0,IF(3=$K42,200000,ABS(3-$K42)*100)),100000+ABS(6-$J42)*1000+30)+'計算A'!DV$5*50+IF(AND($E42=1,NI42=0),25,0),IF($F42&gt;0,INDEX('計算A'!DV$110:DV$114,$F42+1)+IF(AND($E42=1,NI42=0),1000,0),MIN(TZ42,20)*400+(IF('計算A'!DU$106=1,1-HS42,0)+IF('計算A'!DV$106=1,1-HU42,0))*150+36+'計算A'!DV$5*100000+IF(AND($E42=1,NI42=0),50000,0))+IF($H42=1,(IF('計算A'!DU$117=1,INDEX('計算A'!DU$10:DU$54,$B42),0)+IF('計算A'!DV$117=1,INDEX('計算A'!DW$10:DW$54,$B42),0))*4000,0)-IF(AND('計算A'!DU$117=1,YS42&gt;0),2000,0)-IF(AND($L42=1,'計算A'!DV$117=1,HU42=0),2000,0))),1000000))</f>
        <v/>
      </c>
      <c r="SY42">
        <f>IF($B42=0,1000000,IF(INDEX('計算A'!$D$60:$EQ$104,$B42,124)*HU42=1,IF(AND($E42=2,NJ42=0),1000000,IF($I42&gt;0,IF(6=$J42,IF(OR(AND(124=$I42+1,OR($K42&lt;&gt;'計算A'!$A$3,'計算A'!$A$4=0)),AND(124=$I42-1,OR(4&lt;&gt;'計算A'!$A$3,'計算A'!$A$4=0))),0,IF(4=$K42,200000,ABS(4-$K42)*100)),100000+ABS(6-$J42)*1000+40)+'計算A'!DW$5*50+IF(AND($E42=1,NJ42=0),25,0),IF($F42&gt;0,INDEX('計算A'!DW$110:DW$114,$F42+1)+IF(AND($E42=1,NJ42=0),1000,0),MIN(TZ42,20)*400+(IF('計算A'!DV$106=1,1-HT42,0)+IF('計算A'!DW$106=1,1-HV42,0))*150+46+'計算A'!DW$5*100000+IF(AND($E42=1,NJ42=0),50000,0))+IF($H42=1,(IF('計算A'!DV$117=1,INDEX('計算A'!DV$10:DV$54,$B42),0)+IF('計算A'!DW$117=1,INDEX('計算A'!DX$10:DX$54,$B42),0))*4000,0)-IF(AND('計算A'!DV$117=1,YT42&gt;0),2000,0)-IF(AND($L42=1,'計算A'!DW$117=1,HV42=0),2000,0))),1000000))</f>
        <v/>
      </c>
      <c r="SZ42">
        <f>IF($B42=0,1000000,IF(INDEX('計算A'!$D$60:$EQ$104,$B42,125)*HV42=1,IF(AND($E42=2,NK42=0),1000000,IF($I42&gt;0,IF(6=$J42,IF(OR(AND(125=$I42+1,OR($K42&lt;&gt;'計算A'!$A$3,'計算A'!$A$4=0)),AND(125=$I42-1,OR(5&lt;&gt;'計算A'!$A$3,'計算A'!$A$4=0))),0,IF(5=$K42,200000,ABS(5-$K42)*100)),100000+ABS(6-$J42)*1000+50)+'計算A'!DX$5*50+IF(AND($E42=1,NK42=0),25,0),IF($F42&gt;0,INDEX('計算A'!DX$110:DX$114,$F42+1)+IF(AND($E42=1,NK42=0),1000,0),MIN(TZ42,20)*400+(IF('計算A'!DW$106=1,1-HU42,0)+IF('計算A'!DX$106=1,1-HW42,0))*150+56+'計算A'!DX$5*100000+IF(AND($E42=1,NK42=0),50000,0))+IF($H42=1,(IF('計算A'!DW$117=1,INDEX('計算A'!DW$10:DW$54,$B42),0)+IF('計算A'!DX$117=1,INDEX('計算A'!DY$10:DY$54,$B42),0))*4000,0)-IF(AND('計算A'!DW$117=1,YU42&gt;0),2000,0)-IF(AND($L42=1,'計算A'!DX$117=1,HW42=0),2000,0))),1000000))</f>
        <v/>
      </c>
      <c r="TA42">
        <f>IF($B42=0,1000000,IF(INDEX('計算A'!$D$60:$EQ$104,$B42,126)*HW42=1,IF(AND($E42=2,NL42=0),1000000,IF($I42&gt;0,IF(6=$J42,IF(OR(AND(126=$I42+1,OR($K42&lt;&gt;'計算A'!$A$3,'計算A'!$A$4=0)),AND(126=$I42-1,OR(6&lt;&gt;'計算A'!$A$3,'計算A'!$A$4=0))),0,IF(6=$K42,200000,ABS(6-$K42)*100)),100000+ABS(6-$J42)*1000+60)+'計算A'!DY$5*50+IF(AND($E42=1,NL42=0),25,0),IF($F42&gt;0,INDEX('計算A'!DY$110:DY$114,$F42+1)+IF(AND($E42=1,NL42=0),1000,0),MIN(TZ42,20)*400+(IF('計算A'!DX$106=1,1-HV42,0)+IF('計算A'!DY$106=1,1-HX42,0))*150+66+'計算A'!DY$5*100000+IF(AND($E42=1,NL42=0),50000,0))+IF($H42=1,(IF('計算A'!DX$117=1,INDEX('計算A'!DX$10:DX$54,$B42),0)+IF('計算A'!DY$117=1,INDEX('計算A'!DZ$10:DZ$54,$B42),0))*4000,0)-IF(AND('計算A'!DX$117=1,YV42&gt;0),2000,0)-IF(AND($L42=1,'計算A'!DY$117=1,HX42=0),2000,0))),1000000))</f>
        <v/>
      </c>
      <c r="TB42">
        <f>IF($B42=0,1000000,IF(INDEX('計算A'!$D$60:$EQ$104,$B42,127)*HX42=1,IF(AND($E42=2,NM42=0),1000000,IF($I42&gt;0,IF(6=$J42,IF(OR(AND(127=$I42+1,OR($K42&lt;&gt;'計算A'!$A$3,'計算A'!$A$4=0)),AND(127=$I42-1,OR(7&lt;&gt;'計算A'!$A$3,'計算A'!$A$4=0))),0,IF(7=$K42,200000,ABS(7-$K42)*100)),100000+ABS(6-$J42)*1000+70)+'計算A'!DZ$5*50+IF(AND($E42=1,NM42=0),25,0),IF($F42&gt;0,INDEX('計算A'!DZ$110:DZ$114,$F42+1)+IF(AND($E42=1,NM42=0),1000,0),MIN(TZ42,20)*400+(IF('計算A'!DY$106=1,1-HW42,0)+IF('計算A'!DZ$106=1,1-HY42,0))*150+76+'計算A'!DZ$5*100000+IF(AND($E42=1,NM42=0),50000,0))+IF($H42=1,(IF('計算A'!DY$117=1,INDEX('計算A'!DY$10:DY$54,$B42),0)+IF('計算A'!DZ$117=1,INDEX('計算A'!EA$10:EA$54,$B42),0))*4000,0)-IF(AND('計算A'!DY$117=1,YW42&gt;0),2000,0)-IF(AND($L42=1,'計算A'!DZ$117=1,HY42=0),2000,0))),1000000))</f>
        <v/>
      </c>
      <c r="TC42">
        <f>IF($B42=0,1000000,IF(INDEX('計算A'!$D$60:$EQ$104,$B42,128)*HY42=1,IF(AND($E42=2,NN42=0),1000000,IF($I42&gt;0,IF(6=$J42,IF(OR(AND(128=$I42+1,OR($K42&lt;&gt;'計算A'!$A$3,'計算A'!$A$4=0)),AND(128=$I42-1,OR(8&lt;&gt;'計算A'!$A$3,'計算A'!$A$4=0))),0,IF(8=$K42,200000,ABS(8-$K42)*100)),100000+ABS(6-$J42)*1000+80)+'計算A'!EA$5*50+IF(AND($E42=1,NN42=0),25,0),IF($F42&gt;0,INDEX('計算A'!EA$110:EA$114,$F42+1)+IF(AND($E42=1,NN42=0),1000,0),MIN(TZ42,20)*400+(IF('計算A'!DZ$106=1,1-HX42,0)+IF('計算A'!EA$106=1,1-HZ42,0))*150+86+'計算A'!EA$5*100000+IF(AND($E42=1,NN42=0),50000,0))+IF($H42=1,(IF('計算A'!DZ$117=1,INDEX('計算A'!DZ$10:DZ$54,$B42),0)+IF('計算A'!EA$117=1,INDEX('計算A'!EB$10:EB$54,$B42),0))*4000,0)-IF(AND('計算A'!DZ$117=1,YX42&gt;0),2000,0)-IF(AND($L42=1,'計算A'!EA$117=1,HZ42=0),2000,0))),1000000))</f>
        <v/>
      </c>
      <c r="TD42">
        <f>IF($B42=0,1000000,IF(INDEX('計算A'!$D$60:$EQ$104,$B42,129)*HZ42=1,IF(AND($E42=2,NO42=0),1000000,IF($I42&gt;0,IF(6=$J42,IF(OR(AND(129=$I42+1,OR($K42&lt;&gt;'計算A'!$A$3,'計算A'!$A$4=0)),AND(129=$I42-1,OR(9&lt;&gt;'計算A'!$A$3,'計算A'!$A$4=0))),0,IF(9=$K42,200000,ABS(9-$K42)*100)),100000+ABS(6-$J42)*1000+90)+'計算A'!EB$5*50+IF(AND($E42=1,NO42=0),25,0),IF($F42&gt;0,INDEX('計算A'!EB$110:EB$114,$F42+1)+IF(AND($E42=1,NO42=0),1000,0),MIN(TZ42,20)*400+(IF('計算A'!EA$106=1,1-HY42,0)+IF('計算A'!EB$106=1,1-IA42,0))*150+96+'計算A'!EB$5*100000+IF(AND($E42=1,NO42=0),50000,0))+IF($H42=1,(IF('計算A'!EA$117=1,INDEX('計算A'!EA$10:EA$54,$B42),0)+IF('計算A'!EB$117=1,INDEX('計算A'!EC$10:EC$54,$B42),0))*4000,0)-IF(AND('計算A'!EA$117=1,YY42&gt;0),2000,0)-IF(AND($L42=1,'計算A'!EB$117=1,IA42=0),2000,0))),1000000))</f>
        <v/>
      </c>
      <c r="TE42">
        <f>IF($B42=0,1000000,IF(INDEX('計算A'!$D$60:$EQ$104,$B42,130)*IA42=1,IF(AND($E42=2,NP42=0),1000000,IF($I42&gt;0,IF(6=$J42,IF(OR(AND(130=$I42+1,OR($K42&lt;&gt;'計算A'!$A$3,'計算A'!$A$4=0)),AND(130=$I42-1,OR(10&lt;&gt;'計算A'!$A$3,'計算A'!$A$4=0))),0,IF(10=$K42,200000,ABS(10-$K42)*100)),100000+ABS(6-$J42)*1000+100)+'計算A'!EC$5*50+IF(AND($E42=1,NP42=0),25,0),IF($F42&gt;0,INDEX('計算A'!EC$110:EC$114,$F42+1)+IF(AND($E42=1,NP42=0),1000,0),MIN(TZ42,20)*400+(IF('計算A'!EB$106=1,1-HZ42,0)+IF('計算A'!EC$106=1,1-IB42,0))*150+106+'計算A'!EC$5*100000+IF(AND($E42=1,NP42=0),50000,0))+IF($H42=1,(IF('計算A'!EB$117=1,INDEX('計算A'!EB$10:EB$54,$B42),0)+IF('計算A'!EC$117=1,INDEX('計算A'!ED$10:ED$54,$B42),0))*4000,0)-IF(AND('計算A'!EB$117=1,YZ42&gt;0),2000,0)-IF(AND($L42=1,'計算A'!EC$117=1,IB42=0),2000,0))),1000000))</f>
        <v/>
      </c>
      <c r="TF42">
        <f>IF($B42=0,1000000,IF(INDEX('計算A'!$D$60:$EQ$104,$B42,131)*IB42=1,IF(AND($E42=2,NQ42=0),1000000,IF($I42&gt;0,IF(6=$J42,IF(OR(AND(131=$I42+1,OR($K42&lt;&gt;'計算A'!$A$3,'計算A'!$A$4=0)),AND(131=$I42-1,OR(11&lt;&gt;'計算A'!$A$3,'計算A'!$A$4=0))),0,IF(11=$K42,200000,ABS(11-$K42)*100)),100000+ABS(6-$J42)*1000+110)+'計算A'!ED$5*50+IF(AND($E42=1,NQ42=0),25,0),IF($F42&gt;0,INDEX('計算A'!ED$110:ED$114,$F42+1)+IF(AND($E42=1,NQ42=0),1000,0),MIN(TZ42,20)*400+(IF('計算A'!EC$106=1,1-IA42,0)+IF('計算A'!ED$106=1,1-IC42,0))*150+116+'計算A'!ED$5*100000+IF(AND($E42=1,NQ42=0),50000,0))+IF($H42=1,(IF('計算A'!EC$117=1,INDEX('計算A'!EC$10:EC$54,$B42),0)+IF('計算A'!ED$117=1,INDEX('計算A'!EE$10:EE$54,$B42),0))*4000,0)-IF(AND('計算A'!EC$117=1,ZA42&gt;0),2000,0)-IF(AND($L42=1,'計算A'!ED$117=1,IC42=0),2000,0))),1000000))</f>
        <v/>
      </c>
      <c r="TG42">
        <f>IF($B42=0,1000000,IF(INDEX('計算A'!$D$60:$EQ$104,$B42,132)*IC42=1,IF(AND($E42=2,NR42=0),1000000,IF($I42&gt;0,IF(6=$J42,IF(OR(AND(132=$I42+1,OR($K42&lt;&gt;'計算A'!$A$3,'計算A'!$A$4=0)),AND(132=$I42-1,OR(12&lt;&gt;'計算A'!$A$3,'計算A'!$A$4=0))),0,IF(12=$K42,200000,ABS(12-$K42)*100)),100000+ABS(6-$J42)*1000+120)+'計算A'!EE$5*50+IF(AND($E42=1,NR42=0),25,0),IF($F42&gt;0,INDEX('計算A'!EE$110:EE$114,$F42+1)+IF(AND($E42=1,NR42=0),1000,0),MIN(TZ42,20)*400+(IF('計算A'!ED$106=1,1-IB42,0)+IF('計算A'!EE$106=1,1-ID42,0))*150+126+'計算A'!EE$5*100000+IF(AND($E42=1,NR42=0),50000,0))+IF($H42=1,(IF('計算A'!ED$117=1,INDEX('計算A'!ED$10:ED$54,$B42),0)+IF('計算A'!EE$117=1,INDEX('計算A'!EF$10:EF$54,$B42),0))*4000,0)-IF(AND('計算A'!ED$117=1,ZB42&gt;0),2000,0)-IF(AND($L42=1,'計算A'!EE$117=1,ID42=0),2000,0))),1000000))</f>
        <v/>
      </c>
      <c r="TH42">
        <f>IF($B42=0,1000000,IF(INDEX('計算A'!$D$60:$EQ$104,$B42,133)*ID42=1,IF(AND($E42=2,NS42=0),1000000,IF($I42&gt;0,IF(6=$J42,IF(OR(AND(133=$I42+1,OR($K42&lt;&gt;'計算A'!$A$3,'計算A'!$A$4=0)),AND(133=$I42-1,OR(13&lt;&gt;'計算A'!$A$3,'計算A'!$A$4=0))),0,IF(13=$K42,200000,ABS(13-$K42)*100)),100000+ABS(6-$J42)*1000+130)+'計算A'!EF$5*50+IF(AND($E42=1,NS42=0),25,0),IF($F42&gt;0,INDEX('計算A'!EF$110:EF$114,$F42+1)+IF(AND($E42=1,NS42=0),1000,0),MIN(TZ42,20)*400+(IF('計算A'!EE$106=1,1-IC42,0)+IF('計算A'!EF$106=1,1-IE42,0))*150+136+'計算A'!EF$5*100000+IF(AND($E42=1,NS42=0),50000,0))+IF($H42=1,(IF('計算A'!EE$117=1,INDEX('計算A'!EE$10:EE$54,$B42),0)+IF('計算A'!EF$117=1,INDEX('計算A'!EG$10:EG$54,$B42),0))*4000,0)-IF(AND('計算A'!EE$117=1,ZC42&gt;0),2000,0)-IF(AND($L42=1,'計算A'!EF$117=1,IE42=0),2000,0))),1000000))</f>
        <v/>
      </c>
      <c r="TI42">
        <f>IF($B42=0,1000000,IF(INDEX('計算A'!$D$60:$EQ$104,$B42,134)*IE42=1,IF(AND($E42=2,NT42=0),1000000,IF($I42&gt;0,IF(6=$J42,IF(OR(AND(134=$I42+1,OR($K42&lt;&gt;'計算A'!$A$3,'計算A'!$A$4=0)),AND(134=$I42-1,OR(14&lt;&gt;'計算A'!$A$3,'計算A'!$A$4=0))),0,IF(14=$K42,200000,ABS(14-$K42)*100)),100000+ABS(6-$J42)*1000+140)+'計算A'!EG$5*50+IF(AND($E42=1,NT42=0),25,0),IF($F42&gt;0,INDEX('計算A'!EG$110:EG$114,$F42+1)+IF(AND($E42=1,NT42=0),1000,0),MIN(TZ42,20)*400+(IF('計算A'!EF$106=1,1-ID42,0)+IF('計算A'!EG$106=1,1-IF42,0))*150+146+'計算A'!EG$5*100000+IF(AND($E42=1,NT42=0),50000,0))+IF($H42=1,(IF('計算A'!EF$117=1,INDEX('計算A'!EF$10:EF$54,$B42),0)+IF('計算A'!EG$117=1,INDEX('計算A'!EH$10:EH$54,$B42),0))*4000,0)-IF(AND('計算A'!EF$117=1,ZD42&gt;0),2000,0)-IF(AND($L42=1,'計算A'!EG$117=1,IF42=0),2000,0))),1000000))</f>
        <v/>
      </c>
      <c r="TJ42">
        <f>IF($B42=0,1000000,IF(INDEX('計算A'!$D$60:$EQ$104,$B42,135)*IF42=1,IF(AND($E42=2,NU42=0),1000000,IF($I42&gt;0,IF(6=$J42,IF(OR(AND(135=$I42+1,OR($K42&lt;&gt;'計算A'!$A$3,'計算A'!$A$4=0)),AND(135=$I42-1,OR(15&lt;&gt;'計算A'!$A$3,'計算A'!$A$4=0))),0,IF(15=$K42,200000,ABS(15-$K42)*100)),100000+ABS(6-$J42)*1000+150)+'計算A'!EH$5*50+IF(AND($E42=1,NU42=0),25,0),IF($F42&gt;0,INDEX('計算A'!EH$110:EH$114,$F42+1)+IF(AND($E42=1,NU42=0),1000,0),MIN(TZ42,20)*400+(IF('計算A'!EG$106=1,1-IE42,0)+IF('計算A'!EH$106=1,1-IG42,0))*150+156+'計算A'!EH$5*100000+IF(AND($E42=1,NU42=0),50000,0))+IF($H42=1,(IF('計算A'!EG$117=1,INDEX('計算A'!EG$10:EG$54,$B42),0)+IF('計算A'!EH$117=1,INDEX('計算A'!EI$10:EI$54,$B42),0))*4000,0)-IF(AND('計算A'!EG$117=1,ZE42&gt;0),2000,0)-IF(AND($L42=1,'計算A'!EH$117=1,IG42=0),2000,0))),1000000))</f>
        <v/>
      </c>
      <c r="TK42">
        <f>IF($B42=0,1000000,IF(INDEX('計算A'!$D$60:$EQ$104,$B42,136)*IG42=1,IF(AND($E42=2,NV42=0),1000000,IF($I42&gt;0,IF(6=$J42,IF(OR(AND(136=$I42+1,OR($K42&lt;&gt;'計算A'!$A$3,'計算A'!$A$4=0)),AND(136=$I42-1,OR(16&lt;&gt;'計算A'!$A$3,'計算A'!$A$4=0))),0,IF(16=$K42,200000,ABS(16-$K42)*100)),100000+ABS(6-$J42)*1000+160)+'計算A'!EI$5*50+IF(AND($E42=1,NV42=0),25,0),IF($F42&gt;0,INDEX('計算A'!EI$110:EI$114,$F42+1)+IF(AND($E42=1,NV42=0),1000,0),MIN(TZ42,20)*400+(IF('計算A'!EH$106=1,1-IF42,0)+IF('計算A'!EI$106=1,1-IH42,0))*150+166+'計算A'!EI$5*100000+IF(AND($E42=1,NV42=0),50000,0))+IF($H42=1,(IF('計算A'!EH$117=1,INDEX('計算A'!EH$10:EH$54,$B42),0)+IF('計算A'!EI$117=1,INDEX('計算A'!EJ$10:EJ$54,$B42),0))*4000,0)-IF(AND('計算A'!EH$117=1,ZF42&gt;0),2000,0)-IF(AND($L42=1,'計算A'!EI$117=1,IH42=0),2000,0))),1000000))</f>
        <v/>
      </c>
      <c r="TL42">
        <f>IF($B42=0,1000000,IF(INDEX('計算A'!$D$60:$EQ$104,$B42,137)*IH42=1,IF(AND($E42=2,NW42=0),1000000,IF($I42&gt;0,IF(6=$J42,IF(OR(AND(137=$I42+1,OR($K42&lt;&gt;'計算A'!$A$3,'計算A'!$A$4=0)),AND(137=$I42-1,OR(17&lt;&gt;'計算A'!$A$3,'計算A'!$A$4=0))),0,IF(17=$K42,200000,ABS(17-$K42)*100)),100000+ABS(6-$J42)*1000+170)+'計算A'!EJ$5*50+IF(AND($E42=1,NW42=0),25,0),IF($F42&gt;0,INDEX('計算A'!EJ$110:EJ$114,$F42+1)+IF(AND($E42=1,NW42=0),1000,0),MIN(TZ42,20)*400+(IF('計算A'!EI$106=1,1-IG42,0)+IF('計算A'!EJ$106=1,1-II42,0))*150+176+'計算A'!EJ$5*100000+IF(AND($E42=1,NW42=0),50000,0))+IF($H42=1,(IF('計算A'!EI$117=1,INDEX('計算A'!EI$10:EI$54,$B42),0)+IF('計算A'!EJ$117=1,INDEX('計算A'!EK$10:EK$54,$B42),0))*4000,0)-IF(AND('計算A'!EI$117=1,ZG42&gt;0),2000,0)-IF(AND($L42=1,'計算A'!EJ$117=1,II42=0),2000,0))),1000000))</f>
        <v/>
      </c>
      <c r="TM42">
        <f>IF($B42=0,1000000,IF(INDEX('計算A'!$D$60:$EQ$104,$B42,138)*II42=1,IF(AND($E42=2,NX42=0),1000000,IF($I42&gt;0,IF(6=$J42,IF(OR(AND(138=$I42+1,OR($K42&lt;&gt;'計算A'!$A$3,'計算A'!$A$4=0)),AND(138=$I42-1,OR(18&lt;&gt;'計算A'!$A$3,'計算A'!$A$4=0))),0,IF(18=$K42,200000,ABS(18-$K42)*100)),100000+ABS(6-$J42)*1000+180)+'計算A'!EK$5*50+IF(AND($E42=1,NX42=0),25,0),IF($F42&gt;0,INDEX('計算A'!EK$110:EK$114,$F42+1)+IF(AND($E42=1,NX42=0),1000,0),MIN(TZ42,20)*400+(IF('計算A'!EJ$106=1,1-IH42,0)+IF('計算A'!EK$106=1,1-IJ42,0))*150+186+'計算A'!EK$5*100000+IF(AND($E42=1,NX42=0),50000,0))+IF($H42=1,(IF('計算A'!EJ$117=1,INDEX('計算A'!EJ$10:EJ$54,$B42),0)+IF('計算A'!EK$117=1,INDEX('計算A'!EL$10:EL$54,$B42),0))*4000,0)-IF(AND('計算A'!EJ$117=1,ZH42&gt;0),2000,0)-IF(AND($L42=1,'計算A'!EK$117=1,IJ42=0),2000,0))),1000000))</f>
        <v/>
      </c>
      <c r="TN42">
        <f>IF($B42=0,1000000,IF(INDEX('計算A'!$D$60:$EQ$104,$B42,139)*IJ42=1,IF(AND($E42=2,NY42=0),1000000,IF($I42&gt;0,IF(6=$J42,IF(OR(AND(139=$I42+1,OR($K42&lt;&gt;'計算A'!$A$3,'計算A'!$A$4=0)),AND(139=$I42-1,OR(19&lt;&gt;'計算A'!$A$3,'計算A'!$A$4=0))),0,IF(19=$K42,200000,ABS(19-$K42)*100)),100000+ABS(6-$J42)*1000+190)+'計算A'!EL$5*50+IF(AND($E42=1,NY42=0),25,0),IF($F42&gt;0,INDEX('計算A'!EL$110:EL$114,$F42+1)+IF(AND($E42=1,NY42=0),1000,0),MIN(TZ42,20)*400+(IF('計算A'!EK$106=1,1-II42,0)+IF('計算A'!EL$106=1,1-IK42,0))*150+196+'計算A'!EL$5*100000+IF(AND($E42=1,NY42=0),50000,0))+IF($H42=1,(IF('計算A'!EK$117=1,INDEX('計算A'!EK$10:EK$54,$B42),0)+IF('計算A'!EL$117=1,INDEX('計算A'!EM$10:EM$54,$B42),0))*4000,0)-IF(AND('計算A'!EK$117=1,ZI42&gt;0),2000,0)-IF(AND($L42=1,'計算A'!EL$117=1,IK42=0),2000,0))),1000000))</f>
        <v/>
      </c>
      <c r="TO42">
        <f>IF($B42=0,1000000,IF(INDEX('計算A'!$D$60:$EQ$104,$B42,140)*IK42=1,IF(AND($E42=2,NZ42=0),1000000,IF($I42&gt;0,IF(6=$J42,IF(OR(AND(140=$I42+1,OR($K42&lt;&gt;'計算A'!$A$3,'計算A'!$A$4=0)),AND(140=$I42-1,OR(20&lt;&gt;'計算A'!$A$3,'計算A'!$A$4=0))),0,IF(20=$K42,200000,ABS(20-$K42)*100)),100000+ABS(6-$J42)*1000+200)+'計算A'!EM$5*50+IF(AND($E42=1,NZ42=0),25,0),IF($F42&gt;0,INDEX('計算A'!EM$110:EM$114,$F42+1)+IF(AND($E42=1,NZ42=0),1000,0),MIN(TZ42,20)*400+(IF('計算A'!EL$106=1,1-IJ42,0)+IF('計算A'!EM$106=1,1-IL42,0))*150+206+'計算A'!EM$5*100000+IF(AND($E42=1,NZ42=0),50000,0))+IF($H42=1,(IF('計算A'!EL$117=1,INDEX('計算A'!EL$10:EL$54,$B42),0)+IF('計算A'!EM$117=1,INDEX('計算A'!EN$10:EN$54,$B42),0))*4000,0)-IF(AND('計算A'!EL$117=1,ZJ42&gt;0),2000,0)-IF(AND($L42=1,'計算A'!EM$117=1,IL42=0),2000,0))),1000000))</f>
        <v/>
      </c>
      <c r="TP42">
        <f>IF($B42=0,1000000,IF(INDEX('計算A'!$D$60:$EQ$104,$B42,141)*IL42=1,IF(AND($E42=2,OA42=0),1000000,IF($I42&gt;0,IF(6=$J42,IF(OR(AND(141=$I42+1,OR($K42&lt;&gt;'計算A'!$A$3,'計算A'!$A$4=0)),AND(141=$I42-1,OR(21&lt;&gt;'計算A'!$A$3,'計算A'!$A$4=0))),0,IF(21=$K42,200000,ABS(21-$K42)*100)),100000+ABS(6-$J42)*1000+210)+'計算A'!EN$5*50+IF(AND($E42=1,OA42=0),25,0),IF($F42&gt;0,INDEX('計算A'!EN$110:EN$114,$F42+1)+IF(AND($E42=1,OA42=0),1000,0),MIN(TZ42,20)*400+(IF('計算A'!EM$106=1,1-IK42,0)+IF('計算A'!EN$106=1,1-IM42,0))*150+216+'計算A'!EN$5*100000+IF(AND($E42=1,OA42=0),50000,0))+IF($H42=1,(IF('計算A'!EM$117=1,INDEX('計算A'!EM$10:EM$54,$B42),0)+IF('計算A'!EN$117=1,INDEX('計算A'!EO$10:EO$54,$B42),0))*4000,0)-IF(AND('計算A'!EM$117=1,ZK42&gt;0),2000,0)-IF(AND($L42=1,'計算A'!EN$117=1,IM42=0),2000,0))),1000000))</f>
        <v/>
      </c>
      <c r="TQ42">
        <f>IF($B42=0,1000000,IF(INDEX('計算A'!$D$60:$EQ$104,$B42,142)*IM42=1,IF(AND($E42=2,OB42=0),1000000,IF($I42&gt;0,IF(6=$J42,IF(OR(AND(142=$I42+1,OR($K42&lt;&gt;'計算A'!$A$3,'計算A'!$A$4=0)),AND(142=$I42-1,OR(22&lt;&gt;'計算A'!$A$3,'計算A'!$A$4=0))),0,IF(22=$K42,200000,ABS(22-$K42)*100)),100000+ABS(6-$J42)*1000+220)+'計算A'!EO$5*50+IF(AND($E42=1,OB42=0),25,0),IF($F42&gt;0,INDEX('計算A'!EO$110:EO$114,$F42+1)+IF(AND($E42=1,OB42=0),1000,0),MIN(TZ42,20)*400+(IF('計算A'!EN$106=1,1-IL42,0)+IF('計算A'!EO$106=1,1-IN42,0))*150+226+'計算A'!EO$5*100000+IF(AND($E42=1,OB42=0),50000,0))+IF($H42=1,(IF('計算A'!EN$117=1,INDEX('計算A'!EN$10:EN$54,$B42),0)+IF('計算A'!EO$117=1,INDEX('計算A'!EP$10:EP$54,$B42),0))*4000,0)-IF(AND('計算A'!EN$117=1,ZL42&gt;0),2000,0)-IF(AND($L42=1,'計算A'!EO$117=1,IN42=0),2000,0))),1000000))</f>
        <v/>
      </c>
      <c r="TR42">
        <f>IF($B42=0,1000000,IF(INDEX('計算A'!$D$60:$EQ$104,$B42,143)*IN42=1,IF(AND($E42=2,OC42=0),1000000,IF($I42&gt;0,IF(6=$J42,IF(OR(AND(143=$I42+1,OR($K42&lt;&gt;'計算A'!$A$3,'計算A'!$A$4=0)),AND(143=$I42-1,OR(23&lt;&gt;'計算A'!$A$3,'計算A'!$A$4=0))),0,IF(23=$K42,200000,ABS(23-$K42)*100)),100000+ABS(6-$J42)*1000+230)+'計算A'!EP$5*50+IF(AND($E42=1,OC42=0),25,0),IF($F42&gt;0,INDEX('計算A'!EP$110:EP$114,$F42+1)+IF(AND($E42=1,OC42=0),1000,0),MIN(TZ42,20)*400+(IF('計算A'!EO$106=1,1-IM42,0)+IF('計算A'!EP$106=1,1-IO42,0))*150+236+'計算A'!EP$5*100000+IF(AND($E42=1,OC42=0),50000,0))+IF($H42=1,(IF('計算A'!EO$117=1,INDEX('計算A'!EO$10:EO$54,$B42),0)+IF('計算A'!EP$117=1,INDEX('計算A'!EQ$10:EQ$54,$B42),0))*4000,0)-IF(AND('計算A'!EO$117=1,ZM42&gt;0),2000,0)-IF(AND($L42=1,'計算A'!EP$117=1,IO42=0),2000,0))),1000000))</f>
        <v/>
      </c>
      <c r="TS42">
        <f>IF($B42=0,1000000,IF(INDEX('計算A'!$D$60:$EQ$104,$B42,144)*IO42=1,IF(AND($E42=2,OD42=0),1000000,IF($I42&gt;0,IF(6=$J42,IF(OR(AND(144=$I42+1,OR($K42&lt;&gt;'計算A'!$A$3,'計算A'!$A$4=0)),AND(144=$I42-1,OR(24&lt;&gt;'計算A'!$A$3,'計算A'!$A$4=0))),0,IF(24=$K42,200000,ABS(24-$K42)*100)),100000+ABS(6-$J42)*1000+240)+'計算A'!EQ$5*50+IF(AND($E42=1,OD42=0),25,0),IF($F42&gt;0,INDEX('計算A'!EQ$110:EQ$114,$F42+1)+IF(AND($E42=1,OD42=0),1000,0),MIN(TZ42,20)*400+(IF('計算A'!EP$106=1,1-IN42,0))*150+246+'計算A'!EQ$5*100000+IF(AND($E42=1,OD42=0),50000,0))+IF($H42=1,(IF('計算A'!EP$117=1,INDEX('計算A'!EP$10:EP$54,$B42),0))*4000,0)-IF(AND('計算A'!EP$117=1,ZN42&gt;0),2000,0))),1000000))</f>
        <v/>
      </c>
      <c r="TU42">
        <f>TU41+IF($C41&gt;0,IF(INDEX('計算A'!$D$2:$EQ$2,$C41)=1,1,0),0)</f>
        <v/>
      </c>
      <c r="TV42">
        <f>TV41+IF($C41&gt;0,IF(INDEX('計算A'!$D$2:$EQ$2,$C41)=2,1,0),0)</f>
        <v/>
      </c>
      <c r="TW42">
        <f>TW41+IF($C41&gt;0,IF(INDEX('計算A'!$D$2:$EQ$2,$C41)=3,1,0),0)</f>
        <v/>
      </c>
      <c r="TX42">
        <f>TX41+IF($C41&gt;0,IF(INDEX('計算A'!$D$2:$EQ$2,$C41)=4,1,0),0)</f>
        <v/>
      </c>
      <c r="TY42">
        <f>TY41+IF($C41&gt;0,IF(INDEX('計算A'!$D$2:$EQ$2,$C41)=5,1,0),0)</f>
        <v/>
      </c>
      <c r="TZ42">
        <f>TZ41+IF($C41&gt;0,IF(INDEX('計算A'!$D$2:$EQ$2,$C41)=6,1,0),0)</f>
        <v/>
      </c>
      <c r="UB42">
        <f>UB41+IF(AND($C41=1,$L41=1),1,0)</f>
        <v/>
      </c>
      <c r="UC42">
        <f>UC41+IF(AND($C41=2,$L41=1),1,0)</f>
        <v/>
      </c>
      <c r="UD42">
        <f>UD41+IF(AND($C41=3,$L41=1),1,0)</f>
        <v/>
      </c>
      <c r="UE42">
        <f>UE41+IF(AND($C41=4,$L41=1),1,0)</f>
        <v/>
      </c>
      <c r="UF42">
        <f>UF41+IF(AND($C41=5,$L41=1),1,0)</f>
        <v/>
      </c>
      <c r="UG42">
        <f>UG41+IF(AND($C41=6,$L41=1),1,0)</f>
        <v/>
      </c>
      <c r="UH42">
        <f>UH41+IF(AND($C41=7,$L41=1),1,0)</f>
        <v/>
      </c>
      <c r="UI42">
        <f>UI41+IF(AND($C41=8,$L41=1),1,0)</f>
        <v/>
      </c>
      <c r="UJ42">
        <f>UJ41+IF(AND($C41=9,$L41=1),1,0)</f>
        <v/>
      </c>
      <c r="UK42">
        <f>UK41+IF(AND($C41=10,$L41=1),1,0)</f>
        <v/>
      </c>
      <c r="UL42">
        <f>UL41+IF(AND($C41=11,$L41=1),1,0)</f>
        <v/>
      </c>
      <c r="UM42">
        <f>UM41+IF(AND($C41=12,$L41=1),1,0)</f>
        <v/>
      </c>
      <c r="UN42">
        <f>UN41+IF(AND($C41=13,$L41=1),1,0)</f>
        <v/>
      </c>
      <c r="UO42">
        <f>UO41+IF(AND($C41=14,$L41=1),1,0)</f>
        <v/>
      </c>
      <c r="UP42">
        <f>UP41+IF(AND($C41=15,$L41=1),1,0)</f>
        <v/>
      </c>
      <c r="UQ42">
        <f>UQ41+IF(AND($C41=16,$L41=1),1,0)</f>
        <v/>
      </c>
      <c r="UR42">
        <f>UR41+IF(AND($C41=17,$L41=1),1,0)</f>
        <v/>
      </c>
      <c r="US42">
        <f>US41+IF(AND($C41=18,$L41=1),1,0)</f>
        <v/>
      </c>
      <c r="UT42">
        <f>UT41+IF(AND($C41=19,$L41=1),1,0)</f>
        <v/>
      </c>
      <c r="UU42">
        <f>UU41+IF(AND($C41=20,$L41=1),1,0)</f>
        <v/>
      </c>
      <c r="UV42">
        <f>UV41+IF(AND($C41=21,$L41=1),1,0)</f>
        <v/>
      </c>
      <c r="UW42">
        <f>UW41+IF(AND($C41=22,$L41=1),1,0)</f>
        <v/>
      </c>
      <c r="UX42">
        <f>UX41+IF(AND($C41=23,$L41=1),1,0)</f>
        <v/>
      </c>
      <c r="UY42">
        <f>UY41+IF(AND($C41=24,$L41=1),1,0)</f>
        <v/>
      </c>
      <c r="UZ42">
        <f>UZ41+IF(AND($C41=25,$L41=1),1,0)</f>
        <v/>
      </c>
      <c r="VA42">
        <f>VA41+IF(AND($C41=26,$L41=1),1,0)</f>
        <v/>
      </c>
      <c r="VB42">
        <f>VB41+IF(AND($C41=27,$L41=1),1,0)</f>
        <v/>
      </c>
      <c r="VC42">
        <f>VC41+IF(AND($C41=28,$L41=1),1,0)</f>
        <v/>
      </c>
      <c r="VD42">
        <f>VD41+IF(AND($C41=29,$L41=1),1,0)</f>
        <v/>
      </c>
      <c r="VE42">
        <f>VE41+IF(AND($C41=30,$L41=1),1,0)</f>
        <v/>
      </c>
      <c r="VF42">
        <f>VF41+IF(AND($C41=31,$L41=1),1,0)</f>
        <v/>
      </c>
      <c r="VG42">
        <f>VG41+IF(AND($C41=32,$L41=1),1,0)</f>
        <v/>
      </c>
      <c r="VH42">
        <f>VH41+IF(AND($C41=33,$L41=1),1,0)</f>
        <v/>
      </c>
      <c r="VI42">
        <f>VI41+IF(AND($C41=34,$L41=1),1,0)</f>
        <v/>
      </c>
      <c r="VJ42">
        <f>VJ41+IF(AND($C41=35,$L41=1),1,0)</f>
        <v/>
      </c>
      <c r="VK42">
        <f>VK41+IF(AND($C41=36,$L41=1),1,0)</f>
        <v/>
      </c>
      <c r="VL42">
        <f>VL41+IF(AND($C41=37,$L41=1),1,0)</f>
        <v/>
      </c>
      <c r="VM42">
        <f>VM41+IF(AND($C41=38,$L41=1),1,0)</f>
        <v/>
      </c>
      <c r="VN42">
        <f>VN41+IF(AND($C41=39,$L41=1),1,0)</f>
        <v/>
      </c>
      <c r="VO42">
        <f>VO41+IF(AND($C41=40,$L41=1),1,0)</f>
        <v/>
      </c>
      <c r="VP42">
        <f>VP41+IF(AND($C41=41,$L41=1),1,0)</f>
        <v/>
      </c>
      <c r="VQ42">
        <f>VQ41+IF(AND($C41=42,$L41=1),1,0)</f>
        <v/>
      </c>
      <c r="VR42">
        <f>VR41+IF(AND($C41=43,$L41=1),1,0)</f>
        <v/>
      </c>
      <c r="VS42">
        <f>VS41+IF(AND($C41=44,$L41=1),1,0)</f>
        <v/>
      </c>
      <c r="VT42">
        <f>VT41+IF(AND($C41=45,$L41=1),1,0)</f>
        <v/>
      </c>
      <c r="VU42">
        <f>VU41+IF(AND($C41=46,$L41=1),1,0)</f>
        <v/>
      </c>
      <c r="VV42">
        <f>VV41+IF(AND($C41=47,$L41=1),1,0)</f>
        <v/>
      </c>
      <c r="VW42">
        <f>VW41+IF(AND($C41=48,$L41=1),1,0)</f>
        <v/>
      </c>
      <c r="VX42">
        <f>VX41+IF(AND($C41=49,$L41=1),1,0)</f>
        <v/>
      </c>
      <c r="VY42">
        <f>VY41+IF(AND($C41=50,$L41=1),1,0)</f>
        <v/>
      </c>
      <c r="VZ42">
        <f>VZ41+IF(AND($C41=51,$L41=1),1,0)</f>
        <v/>
      </c>
      <c r="WA42">
        <f>WA41+IF(AND($C41=52,$L41=1),1,0)</f>
        <v/>
      </c>
      <c r="WB42">
        <f>WB41+IF(AND($C41=53,$L41=1),1,0)</f>
        <v/>
      </c>
      <c r="WC42">
        <f>WC41+IF(AND($C41=54,$L41=1),1,0)</f>
        <v/>
      </c>
      <c r="WD42">
        <f>WD41+IF(AND($C41=55,$L41=1),1,0)</f>
        <v/>
      </c>
      <c r="WE42">
        <f>WE41+IF(AND($C41=56,$L41=1),1,0)</f>
        <v/>
      </c>
      <c r="WF42">
        <f>WF41+IF(AND($C41=57,$L41=1),1,0)</f>
        <v/>
      </c>
      <c r="WG42">
        <f>WG41+IF(AND($C41=58,$L41=1),1,0)</f>
        <v/>
      </c>
      <c r="WH42">
        <f>WH41+IF(AND($C41=59,$L41=1),1,0)</f>
        <v/>
      </c>
      <c r="WI42">
        <f>WI41+IF(AND($C41=60,$L41=1),1,0)</f>
        <v/>
      </c>
      <c r="WJ42">
        <f>WJ41+IF(AND($C41=61,$L41=1),1,0)</f>
        <v/>
      </c>
      <c r="WK42">
        <f>WK41+IF(AND($C41=62,$L41=1),1,0)</f>
        <v/>
      </c>
      <c r="WL42">
        <f>WL41+IF(AND($C41=63,$L41=1),1,0)</f>
        <v/>
      </c>
      <c r="WM42">
        <f>WM41+IF(AND($C41=64,$L41=1),1,0)</f>
        <v/>
      </c>
      <c r="WN42">
        <f>WN41+IF(AND($C41=65,$L41=1),1,0)</f>
        <v/>
      </c>
      <c r="WO42">
        <f>WO41+IF(AND($C41=66,$L41=1),1,0)</f>
        <v/>
      </c>
      <c r="WP42">
        <f>WP41+IF(AND($C41=67,$L41=1),1,0)</f>
        <v/>
      </c>
      <c r="WQ42">
        <f>WQ41+IF(AND($C41=68,$L41=1),1,0)</f>
        <v/>
      </c>
      <c r="WR42">
        <f>WR41+IF(AND($C41=69,$L41=1),1,0)</f>
        <v/>
      </c>
      <c r="WS42">
        <f>WS41+IF(AND($C41=70,$L41=1),1,0)</f>
        <v/>
      </c>
      <c r="WT42">
        <f>WT41+IF(AND($C41=71,$L41=1),1,0)</f>
        <v/>
      </c>
      <c r="WU42">
        <f>WU41+IF(AND($C41=72,$L41=1),1,0)</f>
        <v/>
      </c>
      <c r="WV42">
        <f>WV41+IF(AND($C41=73,$L41=1),1,0)</f>
        <v/>
      </c>
      <c r="WW42">
        <f>WW41+IF(AND($C41=74,$L41=1),1,0)</f>
        <v/>
      </c>
      <c r="WX42">
        <f>WX41+IF(AND($C41=75,$L41=1),1,0)</f>
        <v/>
      </c>
      <c r="WY42">
        <f>WY41+IF(AND($C41=76,$L41=1),1,0)</f>
        <v/>
      </c>
      <c r="WZ42">
        <f>WZ41+IF(AND($C41=77,$L41=1),1,0)</f>
        <v/>
      </c>
      <c r="XA42">
        <f>XA41+IF(AND($C41=78,$L41=1),1,0)</f>
        <v/>
      </c>
      <c r="XB42">
        <f>XB41+IF(AND($C41=79,$L41=1),1,0)</f>
        <v/>
      </c>
      <c r="XC42">
        <f>XC41+IF(AND($C41=80,$L41=1),1,0)</f>
        <v/>
      </c>
      <c r="XD42">
        <f>XD41+IF(AND($C41=81,$L41=1),1,0)</f>
        <v/>
      </c>
      <c r="XE42">
        <f>XE41+IF(AND($C41=82,$L41=1),1,0)</f>
        <v/>
      </c>
      <c r="XF42">
        <f>XF41+IF(AND($C41=83,$L41=1),1,0)</f>
        <v/>
      </c>
      <c r="XG42">
        <f>XG41+IF(AND($C41=84,$L41=1),1,0)</f>
        <v/>
      </c>
      <c r="XH42">
        <f>XH41+IF(AND($C41=85,$L41=1),1,0)</f>
        <v/>
      </c>
      <c r="XI42">
        <f>XI41+IF(AND($C41=86,$L41=1),1,0)</f>
        <v/>
      </c>
      <c r="XJ42">
        <f>XJ41+IF(AND($C41=87,$L41=1),1,0)</f>
        <v/>
      </c>
      <c r="XK42">
        <f>XK41+IF(AND($C41=88,$L41=1),1,0)</f>
        <v/>
      </c>
      <c r="XL42">
        <f>XL41+IF(AND($C41=89,$L41=1),1,0)</f>
        <v/>
      </c>
      <c r="XM42">
        <f>XM41+IF(AND($C41=90,$L41=1),1,0)</f>
        <v/>
      </c>
      <c r="XN42">
        <f>XN41+IF(AND($C41=91,$L41=1),1,0)</f>
        <v/>
      </c>
      <c r="XO42">
        <f>XO41+IF(AND($C41=92,$L41=1),1,0)</f>
        <v/>
      </c>
      <c r="XP42">
        <f>XP41+IF(AND($C41=93,$L41=1),1,0)</f>
        <v/>
      </c>
      <c r="XQ42">
        <f>XQ41+IF(AND($C41=94,$L41=1),1,0)</f>
        <v/>
      </c>
      <c r="XR42">
        <f>XR41+IF(AND($C41=95,$L41=1),1,0)</f>
        <v/>
      </c>
      <c r="XS42">
        <f>XS41+IF(AND($C41=96,$L41=1),1,0)</f>
        <v/>
      </c>
      <c r="XT42">
        <f>XT41+IF(AND($C41=97,$L41=1),1,0)</f>
        <v/>
      </c>
      <c r="XU42">
        <f>XU41+IF(AND($C41=98,$L41=1),1,0)</f>
        <v/>
      </c>
      <c r="XV42">
        <f>XV41+IF(AND($C41=99,$L41=1),1,0)</f>
        <v/>
      </c>
      <c r="XW42">
        <f>XW41+IF(AND($C41=100,$L41=1),1,0)</f>
        <v/>
      </c>
      <c r="XX42">
        <f>XX41+IF(AND($C41=101,$L41=1),1,0)</f>
        <v/>
      </c>
      <c r="XY42">
        <f>XY41+IF(AND($C41=102,$L41=1),1,0)</f>
        <v/>
      </c>
      <c r="XZ42">
        <f>XZ41+IF(AND($C41=103,$L41=1),1,0)</f>
        <v/>
      </c>
      <c r="YA42">
        <f>YA41+IF(AND($C41=104,$L41=1),1,0)</f>
        <v/>
      </c>
      <c r="YB42">
        <f>YB41+IF(AND($C41=105,$L41=1),1,0)</f>
        <v/>
      </c>
      <c r="YC42">
        <f>YC41+IF(AND($C41=106,$L41=1),1,0)</f>
        <v/>
      </c>
      <c r="YD42">
        <f>YD41+IF(AND($C41=107,$L41=1),1,0)</f>
        <v/>
      </c>
      <c r="YE42">
        <f>YE41+IF(AND($C41=108,$L41=1),1,0)</f>
        <v/>
      </c>
      <c r="YF42">
        <f>YF41+IF(AND($C41=109,$L41=1),1,0)</f>
        <v/>
      </c>
      <c r="YG42">
        <f>YG41+IF(AND($C41=110,$L41=1),1,0)</f>
        <v/>
      </c>
      <c r="YH42">
        <f>YH41+IF(AND($C41=111,$L41=1),1,0)</f>
        <v/>
      </c>
      <c r="YI42">
        <f>YI41+IF(AND($C41=112,$L41=1),1,0)</f>
        <v/>
      </c>
      <c r="YJ42">
        <f>YJ41+IF(AND($C41=113,$L41=1),1,0)</f>
        <v/>
      </c>
      <c r="YK42">
        <f>YK41+IF(AND($C41=114,$L41=1),1,0)</f>
        <v/>
      </c>
      <c r="YL42">
        <f>YL41+IF(AND($C41=115,$L41=1),1,0)</f>
        <v/>
      </c>
      <c r="YM42">
        <f>YM41+IF(AND($C41=116,$L41=1),1,0)</f>
        <v/>
      </c>
      <c r="YN42">
        <f>YN41+IF(AND($C41=117,$L41=1),1,0)</f>
        <v/>
      </c>
      <c r="YO42">
        <f>YO41+IF(AND($C41=118,$L41=1),1,0)</f>
        <v/>
      </c>
      <c r="YP42">
        <f>YP41+IF(AND($C41=119,$L41=1),1,0)</f>
        <v/>
      </c>
      <c r="YQ42">
        <f>YQ41+IF(AND($C41=120,$L41=1),1,0)</f>
        <v/>
      </c>
      <c r="YR42">
        <f>YR41+IF(AND($C41=121,$L41=1),1,0)</f>
        <v/>
      </c>
      <c r="YS42">
        <f>YS41+IF(AND($C41=122,$L41=1),1,0)</f>
        <v/>
      </c>
      <c r="YT42">
        <f>YT41+IF(AND($C41=123,$L41=1),1,0)</f>
        <v/>
      </c>
      <c r="YU42">
        <f>YU41+IF(AND($C41=124,$L41=1),1,0)</f>
        <v/>
      </c>
      <c r="YV42">
        <f>YV41+IF(AND($C41=125,$L41=1),1,0)</f>
        <v/>
      </c>
      <c r="YW42">
        <f>YW41+IF(AND($C41=126,$L41=1),1,0)</f>
        <v/>
      </c>
      <c r="YX42">
        <f>YX41+IF(AND($C41=127,$L41=1),1,0)</f>
        <v/>
      </c>
      <c r="YY42">
        <f>YY41+IF(AND($C41=128,$L41=1),1,0)</f>
        <v/>
      </c>
      <c r="YZ42">
        <f>YZ41+IF(AND($C41=129,$L41=1),1,0)</f>
        <v/>
      </c>
      <c r="ZA42">
        <f>ZA41+IF(AND($C41=130,$L41=1),1,0)</f>
        <v/>
      </c>
      <c r="ZB42">
        <f>ZB41+IF(AND($C41=131,$L41=1),1,0)</f>
        <v/>
      </c>
      <c r="ZC42">
        <f>ZC41+IF(AND($C41=132,$L41=1),1,0)</f>
        <v/>
      </c>
      <c r="ZD42">
        <f>ZD41+IF(AND($C41=133,$L41=1),1,0)</f>
        <v/>
      </c>
      <c r="ZE42">
        <f>ZE41+IF(AND($C41=134,$L41=1),1,0)</f>
        <v/>
      </c>
      <c r="ZF42">
        <f>ZF41+IF(AND($C41=135,$L41=1),1,0)</f>
        <v/>
      </c>
      <c r="ZG42">
        <f>ZG41+IF(AND($C41=136,$L41=1),1,0)</f>
        <v/>
      </c>
      <c r="ZH42">
        <f>ZH41+IF(AND($C41=137,$L41=1),1,0)</f>
        <v/>
      </c>
      <c r="ZI42">
        <f>ZI41+IF(AND($C41=138,$L41=1),1,0)</f>
        <v/>
      </c>
      <c r="ZJ42">
        <f>ZJ41+IF(AND($C41=139,$L41=1),1,0)</f>
        <v/>
      </c>
      <c r="ZK42">
        <f>ZK41+IF(AND($C41=140,$L41=1),1,0)</f>
        <v/>
      </c>
      <c r="ZL42">
        <f>ZL41+IF(AND($C41=141,$L41=1),1,0)</f>
        <v/>
      </c>
      <c r="ZM42">
        <f>ZM41+IF(AND($C41=142,$L41=1),1,0)</f>
        <v/>
      </c>
      <c r="ZN42">
        <f>ZN41+IF(AND($C41=143,$L41=1),1,0)</f>
        <v/>
      </c>
      <c r="ZO42">
        <f>ZO41+IF(AND($C41=144,$L41=1),1,0)</f>
        <v/>
      </c>
    </row>
    <row r="43">
      <c r="A43" t="n">
        <v>41</v>
      </c>
      <c r="B43">
        <f>IF(MIN(BH43:CZ43)&gt;=1000000,0,MATCH(MIN(BH43:CZ43),BH43:CZ43,0))</f>
        <v/>
      </c>
      <c r="C43">
        <f>IF(MIN(OF43:TS43)&gt;=1000000,0,MATCH(MIN(OF43:TS43),OF43:TS43,0))</f>
        <v/>
      </c>
      <c r="D43">
        <f>IF(C43&gt;0,INDEX('計算A'!$D$5:$EQ$5,C43),0)</f>
        <v/>
      </c>
      <c r="E43">
        <f>IF(B43=0,0,INDEX('計算A'!$IQ$10:$IQ$54,B43))</f>
        <v/>
      </c>
      <c r="F43">
        <f>IF(B43=0,0,INDEX('計算A'!$IP$10:$IP$54,B43))</f>
        <v/>
      </c>
      <c r="G43">
        <f>IF(AND(C43&gt;0,E43&gt;0),IF(AND(INDEX('計算A'!$D$106:$EQ$106,C43)=1,INDEX($IQ43:$OD43,C43)=1),C43+1,0),0)</f>
        <v/>
      </c>
      <c r="H43">
        <f>IF(B43=0,0,INDEX('計算A'!$IW$10:$IW$54,B43))</f>
        <v/>
      </c>
      <c r="I43">
        <f>IF(B43=0,0,MAX(0,INDEX('計算A'!$IT$10:$IT$54,B43)))</f>
        <v/>
      </c>
      <c r="J43">
        <f>IF(I43=0,0,INDEX('計算A'!$D$2:$EQ$2,I43))</f>
        <v/>
      </c>
      <c r="K43">
        <f>IF(I43=0,0,INDEX('計算A'!$D$3:$EQ$3,I43))</f>
        <v/>
      </c>
      <c r="L43">
        <f>IF(B43=0,0,INDEX('計算A'!$IX$10:$IX$54,B43))</f>
        <v/>
      </c>
      <c r="N43">
        <f>MAX(N42,IF($B42=1,1,0))</f>
        <v/>
      </c>
      <c r="O43">
        <f>MAX(O42,IF($B42=2,1,0))</f>
        <v/>
      </c>
      <c r="P43">
        <f>MAX(P42,IF($B42=3,1,0))</f>
        <v/>
      </c>
      <c r="Q43">
        <f>MAX(Q42,IF($B42=4,1,0))</f>
        <v/>
      </c>
      <c r="R43">
        <f>MAX(R42,IF($B42=5,1,0))</f>
        <v/>
      </c>
      <c r="S43">
        <f>MAX(S42,IF($B42=6,1,0))</f>
        <v/>
      </c>
      <c r="T43">
        <f>MAX(T42,IF($B42=7,1,0))</f>
        <v/>
      </c>
      <c r="U43">
        <f>MAX(U42,IF($B42=8,1,0))</f>
        <v/>
      </c>
      <c r="V43">
        <f>MAX(V42,IF($B42=9,1,0))</f>
        <v/>
      </c>
      <c r="W43">
        <f>MAX(W42,IF($B42=10,1,0))</f>
        <v/>
      </c>
      <c r="X43">
        <f>MAX(X42,IF($B42=11,1,0))</f>
        <v/>
      </c>
      <c r="Y43">
        <f>MAX(Y42,IF($B42=12,1,0))</f>
        <v/>
      </c>
      <c r="Z43">
        <f>MAX(Z42,IF($B42=13,1,0))</f>
        <v/>
      </c>
      <c r="AA43">
        <f>MAX(AA42,IF($B42=14,1,0))</f>
        <v/>
      </c>
      <c r="AB43">
        <f>MAX(AB42,IF($B42=15,1,0))</f>
        <v/>
      </c>
      <c r="AC43">
        <f>MAX(AC42,IF($B42=16,1,0))</f>
        <v/>
      </c>
      <c r="AD43">
        <f>MAX(AD42,IF($B42=17,1,0))</f>
        <v/>
      </c>
      <c r="AE43">
        <f>MAX(AE42,IF($B42=18,1,0))</f>
        <v/>
      </c>
      <c r="AF43">
        <f>MAX(AF42,IF($B42=19,1,0))</f>
        <v/>
      </c>
      <c r="AG43">
        <f>MAX(AG42,IF($B42=20,1,0))</f>
        <v/>
      </c>
      <c r="AH43">
        <f>MAX(AH42,IF($B42=21,1,0))</f>
        <v/>
      </c>
      <c r="AI43">
        <f>MAX(AI42,IF($B42=22,1,0))</f>
        <v/>
      </c>
      <c r="AJ43">
        <f>MAX(AJ42,IF($B42=23,1,0))</f>
        <v/>
      </c>
      <c r="AK43">
        <f>MAX(AK42,IF($B42=24,1,0))</f>
        <v/>
      </c>
      <c r="AL43">
        <f>MAX(AL42,IF($B42=25,1,0))</f>
        <v/>
      </c>
      <c r="AM43">
        <f>MAX(AM42,IF($B42=26,1,0))</f>
        <v/>
      </c>
      <c r="AN43">
        <f>MAX(AN42,IF($B42=27,1,0))</f>
        <v/>
      </c>
      <c r="AO43">
        <f>MAX(AO42,IF($B42=28,1,0))</f>
        <v/>
      </c>
      <c r="AP43">
        <f>MAX(AP42,IF($B42=29,1,0))</f>
        <v/>
      </c>
      <c r="AQ43">
        <f>MAX(AQ42,IF($B42=30,1,0))</f>
        <v/>
      </c>
      <c r="AR43">
        <f>MAX(AR42,IF($B42=31,1,0))</f>
        <v/>
      </c>
      <c r="AS43">
        <f>MAX(AS42,IF($B42=32,1,0))</f>
        <v/>
      </c>
      <c r="AT43">
        <f>MAX(AT42,IF($B42=33,1,0))</f>
        <v/>
      </c>
      <c r="AU43">
        <f>MAX(AU42,IF($B42=34,1,0))</f>
        <v/>
      </c>
      <c r="AV43">
        <f>MAX(AV42,IF($B42=35,1,0))</f>
        <v/>
      </c>
      <c r="AW43">
        <f>MAX(AW42,IF($B42=36,1,0))</f>
        <v/>
      </c>
      <c r="AX43">
        <f>MAX(AX42,IF($B42=37,1,0))</f>
        <v/>
      </c>
      <c r="AY43">
        <f>MAX(AY42,IF($B42=38,1,0))</f>
        <v/>
      </c>
      <c r="AZ43">
        <f>MAX(AZ42,IF($B42=39,1,0))</f>
        <v/>
      </c>
      <c r="BA43">
        <f>MAX(BA42,IF($B42=40,1,0))</f>
        <v/>
      </c>
      <c r="BB43">
        <f>MAX(BB42,IF($B42=41,1,0))</f>
        <v/>
      </c>
      <c r="BC43">
        <f>MAX(BC42,IF($B42=42,1,0))</f>
        <v/>
      </c>
      <c r="BD43">
        <f>MAX(BD42,IF($B42=43,1,0))</f>
        <v/>
      </c>
      <c r="BE43">
        <f>MAX(BE42,IF($B42=44,1,0))</f>
        <v/>
      </c>
      <c r="BF43">
        <f>MAX(BF42,IF($B42=45,1,0))</f>
        <v/>
      </c>
      <c r="BH43">
        <f>IF(N43=1,1000000,IF('計算A'!$IT$10&gt;0,0,500000)+IF('計算A'!$IQ$10=2,SUMPRODUCT('計算A'!$D$60:$EQ$60,$DB43:$IO43,$IQ43:$OD43),SUMPRODUCT('計算A'!$D$60:$EQ$60,$DB43:$IO43))*1000+1)</f>
        <v/>
      </c>
      <c r="BI43">
        <f>IF(O43=1,1000000,IF('計算A'!$IT$11&gt;0,0,500000)+IF('計算A'!$IQ$11=2,SUMPRODUCT('計算A'!$D$61:$EQ$61,$DB43:$IO43,$IQ43:$OD43),SUMPRODUCT('計算A'!$D$61:$EQ$61,$DB43:$IO43))*1000+2)</f>
        <v/>
      </c>
      <c r="BJ43">
        <f>IF(P43=1,1000000,IF('計算A'!$IT$12&gt;0,0,500000)+IF('計算A'!$IQ$12=2,SUMPRODUCT('計算A'!$D$62:$EQ$62,$DB43:$IO43,$IQ43:$OD43),SUMPRODUCT('計算A'!$D$62:$EQ$62,$DB43:$IO43))*1000+3)</f>
        <v/>
      </c>
      <c r="BK43">
        <f>IF(Q43=1,1000000,IF('計算A'!$IT$13&gt;0,0,500000)+IF('計算A'!$IQ$13=2,SUMPRODUCT('計算A'!$D$63:$EQ$63,$DB43:$IO43,$IQ43:$OD43),SUMPRODUCT('計算A'!$D$63:$EQ$63,$DB43:$IO43))*1000+4)</f>
        <v/>
      </c>
      <c r="BL43">
        <f>IF(R43=1,1000000,IF('計算A'!$IT$14&gt;0,0,500000)+IF('計算A'!$IQ$14=2,SUMPRODUCT('計算A'!$D$64:$EQ$64,$DB43:$IO43,$IQ43:$OD43),SUMPRODUCT('計算A'!$D$64:$EQ$64,$DB43:$IO43))*1000+5)</f>
        <v/>
      </c>
      <c r="BM43">
        <f>IF(S43=1,1000000,IF('計算A'!$IT$15&gt;0,0,500000)+IF('計算A'!$IQ$15=2,SUMPRODUCT('計算A'!$D$65:$EQ$65,$DB43:$IO43,$IQ43:$OD43),SUMPRODUCT('計算A'!$D$65:$EQ$65,$DB43:$IO43))*1000+6)</f>
        <v/>
      </c>
      <c r="BN43">
        <f>IF(T43=1,1000000,IF('計算A'!$IT$16&gt;0,0,500000)+IF('計算A'!$IQ$16=2,SUMPRODUCT('計算A'!$D$66:$EQ$66,$DB43:$IO43,$IQ43:$OD43),SUMPRODUCT('計算A'!$D$66:$EQ$66,$DB43:$IO43))*1000+7)</f>
        <v/>
      </c>
      <c r="BO43">
        <f>IF(U43=1,1000000,IF('計算A'!$IT$17&gt;0,0,500000)+IF('計算A'!$IQ$17=2,SUMPRODUCT('計算A'!$D$67:$EQ$67,$DB43:$IO43,$IQ43:$OD43),SUMPRODUCT('計算A'!$D$67:$EQ$67,$DB43:$IO43))*1000+8)</f>
        <v/>
      </c>
      <c r="BP43">
        <f>IF(V43=1,1000000,IF('計算A'!$IT$18&gt;0,0,500000)+IF('計算A'!$IQ$18=2,SUMPRODUCT('計算A'!$D$68:$EQ$68,$DB43:$IO43,$IQ43:$OD43),SUMPRODUCT('計算A'!$D$68:$EQ$68,$DB43:$IO43))*1000+9)</f>
        <v/>
      </c>
      <c r="BQ43">
        <f>IF(W43=1,1000000,IF('計算A'!$IT$19&gt;0,0,500000)+IF('計算A'!$IQ$19=2,SUMPRODUCT('計算A'!$D$69:$EQ$69,$DB43:$IO43,$IQ43:$OD43),SUMPRODUCT('計算A'!$D$69:$EQ$69,$DB43:$IO43))*1000+10)</f>
        <v/>
      </c>
      <c r="BR43">
        <f>IF(X43=1,1000000,IF('計算A'!$IT$20&gt;0,0,500000)+IF('計算A'!$IQ$20=2,SUMPRODUCT('計算A'!$D$70:$EQ$70,$DB43:$IO43,$IQ43:$OD43),SUMPRODUCT('計算A'!$D$70:$EQ$70,$DB43:$IO43))*1000+11)</f>
        <v/>
      </c>
      <c r="BS43">
        <f>IF(Y43=1,1000000,IF('計算A'!$IT$21&gt;0,0,500000)+IF('計算A'!$IQ$21=2,SUMPRODUCT('計算A'!$D$71:$EQ$71,$DB43:$IO43,$IQ43:$OD43),SUMPRODUCT('計算A'!$D$71:$EQ$71,$DB43:$IO43))*1000+12)</f>
        <v/>
      </c>
      <c r="BT43">
        <f>IF(Z43=1,1000000,IF('計算A'!$IT$22&gt;0,0,500000)+IF('計算A'!$IQ$22=2,SUMPRODUCT('計算A'!$D$72:$EQ$72,$DB43:$IO43,$IQ43:$OD43),SUMPRODUCT('計算A'!$D$72:$EQ$72,$DB43:$IO43))*1000+13)</f>
        <v/>
      </c>
      <c r="BU43">
        <f>IF(AA43=1,1000000,IF('計算A'!$IT$23&gt;0,0,500000)+IF('計算A'!$IQ$23=2,SUMPRODUCT('計算A'!$D$73:$EQ$73,$DB43:$IO43,$IQ43:$OD43),SUMPRODUCT('計算A'!$D$73:$EQ$73,$DB43:$IO43))*1000+14)</f>
        <v/>
      </c>
      <c r="BV43">
        <f>IF(AB43=1,1000000,IF('計算A'!$IT$24&gt;0,0,500000)+IF('計算A'!$IQ$24=2,SUMPRODUCT('計算A'!$D$74:$EQ$74,$DB43:$IO43,$IQ43:$OD43),SUMPRODUCT('計算A'!$D$74:$EQ$74,$DB43:$IO43))*1000+15)</f>
        <v/>
      </c>
      <c r="BW43">
        <f>IF(AC43=1,1000000,IF('計算A'!$IT$25&gt;0,0,500000)+IF('計算A'!$IQ$25=2,SUMPRODUCT('計算A'!$D$75:$EQ$75,$DB43:$IO43,$IQ43:$OD43),SUMPRODUCT('計算A'!$D$75:$EQ$75,$DB43:$IO43))*1000+16)</f>
        <v/>
      </c>
      <c r="BX43">
        <f>IF(AD43=1,1000000,IF('計算A'!$IT$26&gt;0,0,500000)+IF('計算A'!$IQ$26=2,SUMPRODUCT('計算A'!$D$76:$EQ$76,$DB43:$IO43,$IQ43:$OD43),SUMPRODUCT('計算A'!$D$76:$EQ$76,$DB43:$IO43))*1000+17)</f>
        <v/>
      </c>
      <c r="BY43">
        <f>IF(AE43=1,1000000,IF('計算A'!$IT$27&gt;0,0,500000)+IF('計算A'!$IQ$27=2,SUMPRODUCT('計算A'!$D$77:$EQ$77,$DB43:$IO43,$IQ43:$OD43),SUMPRODUCT('計算A'!$D$77:$EQ$77,$DB43:$IO43))*1000+18)</f>
        <v/>
      </c>
      <c r="BZ43">
        <f>IF(AF43=1,1000000,IF('計算A'!$IT$28&gt;0,0,500000)+IF('計算A'!$IQ$28=2,SUMPRODUCT('計算A'!$D$78:$EQ$78,$DB43:$IO43,$IQ43:$OD43),SUMPRODUCT('計算A'!$D$78:$EQ$78,$DB43:$IO43))*1000+19)</f>
        <v/>
      </c>
      <c r="CA43">
        <f>IF(AG43=1,1000000,IF('計算A'!$IT$29&gt;0,0,500000)+IF('計算A'!$IQ$29=2,SUMPRODUCT('計算A'!$D$79:$EQ$79,$DB43:$IO43,$IQ43:$OD43),SUMPRODUCT('計算A'!$D$79:$EQ$79,$DB43:$IO43))*1000+20)</f>
        <v/>
      </c>
      <c r="CB43">
        <f>IF(AH43=1,1000000,IF('計算A'!$IT$30&gt;0,0,500000)+IF('計算A'!$IQ$30=2,SUMPRODUCT('計算A'!$D$80:$EQ$80,$DB43:$IO43,$IQ43:$OD43),SUMPRODUCT('計算A'!$D$80:$EQ$80,$DB43:$IO43))*1000+21)</f>
        <v/>
      </c>
      <c r="CC43">
        <f>IF(AI43=1,1000000,IF('計算A'!$IT$31&gt;0,0,500000)+IF('計算A'!$IQ$31=2,SUMPRODUCT('計算A'!$D$81:$EQ$81,$DB43:$IO43,$IQ43:$OD43),SUMPRODUCT('計算A'!$D$81:$EQ$81,$DB43:$IO43))*1000+22)</f>
        <v/>
      </c>
      <c r="CD43">
        <f>IF(AJ43=1,1000000,IF('計算A'!$IT$32&gt;0,0,500000)+IF('計算A'!$IQ$32=2,SUMPRODUCT('計算A'!$D$82:$EQ$82,$DB43:$IO43,$IQ43:$OD43),SUMPRODUCT('計算A'!$D$82:$EQ$82,$DB43:$IO43))*1000+23)</f>
        <v/>
      </c>
      <c r="CE43">
        <f>IF(AK43=1,1000000,IF('計算A'!$IT$33&gt;0,0,500000)+IF('計算A'!$IQ$33=2,SUMPRODUCT('計算A'!$D$83:$EQ$83,$DB43:$IO43,$IQ43:$OD43),SUMPRODUCT('計算A'!$D$83:$EQ$83,$DB43:$IO43))*1000+24)</f>
        <v/>
      </c>
      <c r="CF43">
        <f>IF(AL43=1,1000000,IF('計算A'!$IT$34&gt;0,0,500000)+IF('計算A'!$IQ$34=2,SUMPRODUCT('計算A'!$D$84:$EQ$84,$DB43:$IO43,$IQ43:$OD43),SUMPRODUCT('計算A'!$D$84:$EQ$84,$DB43:$IO43))*1000+25)</f>
        <v/>
      </c>
      <c r="CG43">
        <f>IF(AM43=1,1000000,IF('計算A'!$IT$35&gt;0,0,500000)+IF('計算A'!$IQ$35=2,SUMPRODUCT('計算A'!$D$85:$EQ$85,$DB43:$IO43,$IQ43:$OD43),SUMPRODUCT('計算A'!$D$85:$EQ$85,$DB43:$IO43))*1000+26)</f>
        <v/>
      </c>
      <c r="CH43">
        <f>IF(AN43=1,1000000,IF('計算A'!$IT$36&gt;0,0,500000)+IF('計算A'!$IQ$36=2,SUMPRODUCT('計算A'!$D$86:$EQ$86,$DB43:$IO43,$IQ43:$OD43),SUMPRODUCT('計算A'!$D$86:$EQ$86,$DB43:$IO43))*1000+27)</f>
        <v/>
      </c>
      <c r="CI43">
        <f>IF(AO43=1,1000000,IF('計算A'!$IT$37&gt;0,0,500000)+IF('計算A'!$IQ$37=2,SUMPRODUCT('計算A'!$D$87:$EQ$87,$DB43:$IO43,$IQ43:$OD43),SUMPRODUCT('計算A'!$D$87:$EQ$87,$DB43:$IO43))*1000+28)</f>
        <v/>
      </c>
      <c r="CJ43">
        <f>IF(AP43=1,1000000,IF('計算A'!$IT$38&gt;0,0,500000)+IF('計算A'!$IQ$38=2,SUMPRODUCT('計算A'!$D$88:$EQ$88,$DB43:$IO43,$IQ43:$OD43),SUMPRODUCT('計算A'!$D$88:$EQ$88,$DB43:$IO43))*1000+29)</f>
        <v/>
      </c>
      <c r="CK43">
        <f>IF(AQ43=1,1000000,IF('計算A'!$IT$39&gt;0,0,500000)+IF('計算A'!$IQ$39=2,SUMPRODUCT('計算A'!$D$89:$EQ$89,$DB43:$IO43,$IQ43:$OD43),SUMPRODUCT('計算A'!$D$89:$EQ$89,$DB43:$IO43))*1000+30)</f>
        <v/>
      </c>
      <c r="CL43">
        <f>IF(AR43=1,1000000,IF('計算A'!$IT$40&gt;0,0,500000)+IF('計算A'!$IQ$40=2,SUMPRODUCT('計算A'!$D$90:$EQ$90,$DB43:$IO43,$IQ43:$OD43),SUMPRODUCT('計算A'!$D$90:$EQ$90,$DB43:$IO43))*1000+31)</f>
        <v/>
      </c>
      <c r="CM43">
        <f>IF(AS43=1,1000000,IF('計算A'!$IT$41&gt;0,0,500000)+IF('計算A'!$IQ$41=2,SUMPRODUCT('計算A'!$D$91:$EQ$91,$DB43:$IO43,$IQ43:$OD43),SUMPRODUCT('計算A'!$D$91:$EQ$91,$DB43:$IO43))*1000+32)</f>
        <v/>
      </c>
      <c r="CN43">
        <f>IF(AT43=1,1000000,IF('計算A'!$IT$42&gt;0,0,500000)+IF('計算A'!$IQ$42=2,SUMPRODUCT('計算A'!$D$92:$EQ$92,$DB43:$IO43,$IQ43:$OD43),SUMPRODUCT('計算A'!$D$92:$EQ$92,$DB43:$IO43))*1000+33)</f>
        <v/>
      </c>
      <c r="CO43">
        <f>IF(AU43=1,1000000,IF('計算A'!$IT$43&gt;0,0,500000)+IF('計算A'!$IQ$43=2,SUMPRODUCT('計算A'!$D$93:$EQ$93,$DB43:$IO43,$IQ43:$OD43),SUMPRODUCT('計算A'!$D$93:$EQ$93,$DB43:$IO43))*1000+34)</f>
        <v/>
      </c>
      <c r="CP43">
        <f>IF(AV43=1,1000000,IF('計算A'!$IT$44&gt;0,0,500000)+IF('計算A'!$IQ$44=2,SUMPRODUCT('計算A'!$D$94:$EQ$94,$DB43:$IO43,$IQ43:$OD43),SUMPRODUCT('計算A'!$D$94:$EQ$94,$DB43:$IO43))*1000+35)</f>
        <v/>
      </c>
      <c r="CQ43">
        <f>IF(AW43=1,1000000,IF('計算A'!$IT$45&gt;0,0,500000)+IF('計算A'!$IQ$45=2,SUMPRODUCT('計算A'!$D$95:$EQ$95,$DB43:$IO43,$IQ43:$OD43),SUMPRODUCT('計算A'!$D$95:$EQ$95,$DB43:$IO43))*1000+36)</f>
        <v/>
      </c>
      <c r="CR43">
        <f>IF(AX43=1,1000000,IF('計算A'!$IT$46&gt;0,0,500000)+IF('計算A'!$IQ$46=2,SUMPRODUCT('計算A'!$D$96:$EQ$96,$DB43:$IO43,$IQ43:$OD43),SUMPRODUCT('計算A'!$D$96:$EQ$96,$DB43:$IO43))*1000+37)</f>
        <v/>
      </c>
      <c r="CS43">
        <f>IF(AY43=1,1000000,IF('計算A'!$IT$47&gt;0,0,500000)+IF('計算A'!$IQ$47=2,SUMPRODUCT('計算A'!$D$97:$EQ$97,$DB43:$IO43,$IQ43:$OD43),SUMPRODUCT('計算A'!$D$97:$EQ$97,$DB43:$IO43))*1000+38)</f>
        <v/>
      </c>
      <c r="CT43">
        <f>IF(AZ43=1,1000000,IF('計算A'!$IT$48&gt;0,0,500000)+IF('計算A'!$IQ$48=2,SUMPRODUCT('計算A'!$D$98:$EQ$98,$DB43:$IO43,$IQ43:$OD43),SUMPRODUCT('計算A'!$D$98:$EQ$98,$DB43:$IO43))*1000+39)</f>
        <v/>
      </c>
      <c r="CU43">
        <f>IF(BA43=1,1000000,IF('計算A'!$IT$49&gt;0,0,500000)+IF('計算A'!$IQ$49=2,SUMPRODUCT('計算A'!$D$99:$EQ$99,$DB43:$IO43,$IQ43:$OD43),SUMPRODUCT('計算A'!$D$99:$EQ$99,$DB43:$IO43))*1000+40)</f>
        <v/>
      </c>
      <c r="CV43">
        <f>IF(BB43=1,1000000,IF('計算A'!$IT$50&gt;0,0,500000)+IF('計算A'!$IQ$50=2,SUMPRODUCT('計算A'!$D$100:$EQ$100,$DB43:$IO43,$IQ43:$OD43),SUMPRODUCT('計算A'!$D$100:$EQ$100,$DB43:$IO43))*1000+41)</f>
        <v/>
      </c>
      <c r="CW43">
        <f>IF(BC43=1,1000000,IF('計算A'!$IT$51&gt;0,0,500000)+IF('計算A'!$IQ$51=2,SUMPRODUCT('計算A'!$D$101:$EQ$101,$DB43:$IO43,$IQ43:$OD43),SUMPRODUCT('計算A'!$D$101:$EQ$101,$DB43:$IO43))*1000+42)</f>
        <v/>
      </c>
      <c r="CX43">
        <f>IF(BD43=1,1000000,IF('計算A'!$IT$52&gt;0,0,500000)+IF('計算A'!$IQ$52=2,SUMPRODUCT('計算A'!$D$102:$EQ$102,$DB43:$IO43,$IQ43:$OD43),SUMPRODUCT('計算A'!$D$102:$EQ$102,$DB43:$IO43))*1000+43)</f>
        <v/>
      </c>
      <c r="CY43">
        <f>IF(BE43=1,1000000,IF('計算A'!$IT$53&gt;0,0,500000)+IF('計算A'!$IQ$53=2,SUMPRODUCT('計算A'!$D$103:$EQ$103,$DB43:$IO43,$IQ43:$OD43),SUMPRODUCT('計算A'!$D$103:$EQ$103,$DB43:$IO43))*1000+44)</f>
        <v/>
      </c>
      <c r="CZ43">
        <f>IF(BF43=1,1000000,IF('計算A'!$IT$54&gt;0,0,500000)+IF('計算A'!$IQ$54=2,SUMPRODUCT('計算A'!$D$104:$EQ$104,$DB43:$IO43,$IQ43:$OD43),SUMPRODUCT('計算A'!$D$104:$EQ$104,$DB43:$IO43))*1000+45)</f>
        <v/>
      </c>
      <c r="DB43">
        <f>DB42*IF(OR($C42=1,$G42=1),0,1)</f>
        <v/>
      </c>
      <c r="DC43">
        <f>DC42*IF(OR($C42=2,$G42=2),0,1)</f>
        <v/>
      </c>
      <c r="DD43">
        <f>DD42*IF(OR($C42=3,$G42=3),0,1)</f>
        <v/>
      </c>
      <c r="DE43">
        <f>DE42*IF(OR($C42=4,$G42=4),0,1)</f>
        <v/>
      </c>
      <c r="DF43">
        <f>DF42*IF(OR($C42=5,$G42=5),0,1)</f>
        <v/>
      </c>
      <c r="DG43">
        <f>DG42*IF(OR($C42=6,$G42=6),0,1)</f>
        <v/>
      </c>
      <c r="DH43">
        <f>DH42*IF(OR($C42=7,$G42=7),0,1)</f>
        <v/>
      </c>
      <c r="DI43">
        <f>DI42*IF(OR($C42=8,$G42=8),0,1)</f>
        <v/>
      </c>
      <c r="DJ43">
        <f>DJ42*IF(OR($C42=9,$G42=9),0,1)</f>
        <v/>
      </c>
      <c r="DK43">
        <f>DK42*IF(OR($C42=10,$G42=10),0,1)</f>
        <v/>
      </c>
      <c r="DL43">
        <f>DL42*IF(OR($C42=11,$G42=11),0,1)</f>
        <v/>
      </c>
      <c r="DM43">
        <f>DM42*IF(OR($C42=12,$G42=12),0,1)</f>
        <v/>
      </c>
      <c r="DN43">
        <f>DN42*IF(OR($C42=13,$G42=13),0,1)</f>
        <v/>
      </c>
      <c r="DO43">
        <f>DO42*IF(OR($C42=14,$G42=14),0,1)</f>
        <v/>
      </c>
      <c r="DP43">
        <f>DP42*IF(OR($C42=15,$G42=15),0,1)</f>
        <v/>
      </c>
      <c r="DQ43">
        <f>DQ42*IF(OR($C42=16,$G42=16),0,1)</f>
        <v/>
      </c>
      <c r="DR43">
        <f>DR42*IF(OR($C42=17,$G42=17),0,1)</f>
        <v/>
      </c>
      <c r="DS43">
        <f>DS42*IF(OR($C42=18,$G42=18),0,1)</f>
        <v/>
      </c>
      <c r="DT43">
        <f>DT42*IF(OR($C42=19,$G42=19),0,1)</f>
        <v/>
      </c>
      <c r="DU43">
        <f>DU42*IF(OR($C42=20,$G42=20),0,1)</f>
        <v/>
      </c>
      <c r="DV43">
        <f>DV42*IF(OR($C42=21,$G42=21),0,1)</f>
        <v/>
      </c>
      <c r="DW43">
        <f>DW42*IF(OR($C42=22,$G42=22),0,1)</f>
        <v/>
      </c>
      <c r="DX43">
        <f>DX42*IF(OR($C42=23,$G42=23),0,1)</f>
        <v/>
      </c>
      <c r="DY43">
        <f>DY42*IF(OR($C42=24,$G42=24),0,1)</f>
        <v/>
      </c>
      <c r="DZ43">
        <f>DZ42*IF(OR($C42=25,$G42=25),0,1)</f>
        <v/>
      </c>
      <c r="EA43">
        <f>EA42*IF(OR($C42=26,$G42=26),0,1)</f>
        <v/>
      </c>
      <c r="EB43">
        <f>EB42*IF(OR($C42=27,$G42=27),0,1)</f>
        <v/>
      </c>
      <c r="EC43">
        <f>EC42*IF(OR($C42=28,$G42=28),0,1)</f>
        <v/>
      </c>
      <c r="ED43">
        <f>ED42*IF(OR($C42=29,$G42=29),0,1)</f>
        <v/>
      </c>
      <c r="EE43">
        <f>EE42*IF(OR($C42=30,$G42=30),0,1)</f>
        <v/>
      </c>
      <c r="EF43">
        <f>EF42*IF(OR($C42=31,$G42=31),0,1)</f>
        <v/>
      </c>
      <c r="EG43">
        <f>EG42*IF(OR($C42=32,$G42=32),0,1)</f>
        <v/>
      </c>
      <c r="EH43">
        <f>EH42*IF(OR($C42=33,$G42=33),0,1)</f>
        <v/>
      </c>
      <c r="EI43">
        <f>EI42*IF(OR($C42=34,$G42=34),0,1)</f>
        <v/>
      </c>
      <c r="EJ43">
        <f>EJ42*IF(OR($C42=35,$G42=35),0,1)</f>
        <v/>
      </c>
      <c r="EK43">
        <f>EK42*IF(OR($C42=36,$G42=36),0,1)</f>
        <v/>
      </c>
      <c r="EL43">
        <f>EL42*IF(OR($C42=37,$G42=37),0,1)</f>
        <v/>
      </c>
      <c r="EM43">
        <f>EM42*IF(OR($C42=38,$G42=38),0,1)</f>
        <v/>
      </c>
      <c r="EN43">
        <f>EN42*IF(OR($C42=39,$G42=39),0,1)</f>
        <v/>
      </c>
      <c r="EO43">
        <f>EO42*IF(OR($C42=40,$G42=40),0,1)</f>
        <v/>
      </c>
      <c r="EP43">
        <f>EP42*IF(OR($C42=41,$G42=41),0,1)</f>
        <v/>
      </c>
      <c r="EQ43">
        <f>EQ42*IF(OR($C42=42,$G42=42),0,1)</f>
        <v/>
      </c>
      <c r="ER43">
        <f>ER42*IF(OR($C42=43,$G42=43),0,1)</f>
        <v/>
      </c>
      <c r="ES43">
        <f>ES42*IF(OR($C42=44,$G42=44),0,1)</f>
        <v/>
      </c>
      <c r="ET43">
        <f>ET42*IF(OR($C42=45,$G42=45),0,1)</f>
        <v/>
      </c>
      <c r="EU43">
        <f>EU42*IF(OR($C42=46,$G42=46),0,1)</f>
        <v/>
      </c>
      <c r="EV43">
        <f>EV42*IF(OR($C42=47,$G42=47),0,1)</f>
        <v/>
      </c>
      <c r="EW43">
        <f>EW42*IF(OR($C42=48,$G42=48),0,1)</f>
        <v/>
      </c>
      <c r="EX43">
        <f>EX42*IF(OR($C42=49,$G42=49),0,1)</f>
        <v/>
      </c>
      <c r="EY43">
        <f>EY42*IF(OR($C42=50,$G42=50),0,1)</f>
        <v/>
      </c>
      <c r="EZ43">
        <f>EZ42*IF(OR($C42=51,$G42=51),0,1)</f>
        <v/>
      </c>
      <c r="FA43">
        <f>FA42*IF(OR($C42=52,$G42=52),0,1)</f>
        <v/>
      </c>
      <c r="FB43">
        <f>FB42*IF(OR($C42=53,$G42=53),0,1)</f>
        <v/>
      </c>
      <c r="FC43">
        <f>FC42*IF(OR($C42=54,$G42=54),0,1)</f>
        <v/>
      </c>
      <c r="FD43">
        <f>FD42*IF(OR($C42=55,$G42=55),0,1)</f>
        <v/>
      </c>
      <c r="FE43">
        <f>FE42*IF(OR($C42=56,$G42=56),0,1)</f>
        <v/>
      </c>
      <c r="FF43">
        <f>FF42*IF(OR($C42=57,$G42=57),0,1)</f>
        <v/>
      </c>
      <c r="FG43">
        <f>FG42*IF(OR($C42=58,$G42=58),0,1)</f>
        <v/>
      </c>
      <c r="FH43">
        <f>FH42*IF(OR($C42=59,$G42=59),0,1)</f>
        <v/>
      </c>
      <c r="FI43">
        <f>FI42*IF(OR($C42=60,$G42=60),0,1)</f>
        <v/>
      </c>
      <c r="FJ43">
        <f>FJ42*IF(OR($C42=61,$G42=61),0,1)</f>
        <v/>
      </c>
      <c r="FK43">
        <f>FK42*IF(OR($C42=62,$G42=62),0,1)</f>
        <v/>
      </c>
      <c r="FL43">
        <f>FL42*IF(OR($C42=63,$G42=63),0,1)</f>
        <v/>
      </c>
      <c r="FM43">
        <f>FM42*IF(OR($C42=64,$G42=64),0,1)</f>
        <v/>
      </c>
      <c r="FN43">
        <f>FN42*IF(OR($C42=65,$G42=65),0,1)</f>
        <v/>
      </c>
      <c r="FO43">
        <f>FO42*IF(OR($C42=66,$G42=66),0,1)</f>
        <v/>
      </c>
      <c r="FP43">
        <f>FP42*IF(OR($C42=67,$G42=67),0,1)</f>
        <v/>
      </c>
      <c r="FQ43">
        <f>FQ42*IF(OR($C42=68,$G42=68),0,1)</f>
        <v/>
      </c>
      <c r="FR43">
        <f>FR42*IF(OR($C42=69,$G42=69),0,1)</f>
        <v/>
      </c>
      <c r="FS43">
        <f>FS42*IF(OR($C42=70,$G42=70),0,1)</f>
        <v/>
      </c>
      <c r="FT43">
        <f>FT42*IF(OR($C42=71,$G42=71),0,1)</f>
        <v/>
      </c>
      <c r="FU43">
        <f>FU42*IF(OR($C42=72,$G42=72),0,1)</f>
        <v/>
      </c>
      <c r="FV43">
        <f>FV42*IF(OR($C42=73,$G42=73),0,1)</f>
        <v/>
      </c>
      <c r="FW43">
        <f>FW42*IF(OR($C42=74,$G42=74),0,1)</f>
        <v/>
      </c>
      <c r="FX43">
        <f>FX42*IF(OR($C42=75,$G42=75),0,1)</f>
        <v/>
      </c>
      <c r="FY43">
        <f>FY42*IF(OR($C42=76,$G42=76),0,1)</f>
        <v/>
      </c>
      <c r="FZ43">
        <f>FZ42*IF(OR($C42=77,$G42=77),0,1)</f>
        <v/>
      </c>
      <c r="GA43">
        <f>GA42*IF(OR($C42=78,$G42=78),0,1)</f>
        <v/>
      </c>
      <c r="GB43">
        <f>GB42*IF(OR($C42=79,$G42=79),0,1)</f>
        <v/>
      </c>
      <c r="GC43">
        <f>GC42*IF(OR($C42=80,$G42=80),0,1)</f>
        <v/>
      </c>
      <c r="GD43">
        <f>GD42*IF(OR($C42=81,$G42=81),0,1)</f>
        <v/>
      </c>
      <c r="GE43">
        <f>GE42*IF(OR($C42=82,$G42=82),0,1)</f>
        <v/>
      </c>
      <c r="GF43">
        <f>GF42*IF(OR($C42=83,$G42=83),0,1)</f>
        <v/>
      </c>
      <c r="GG43">
        <f>GG42*IF(OR($C42=84,$G42=84),0,1)</f>
        <v/>
      </c>
      <c r="GH43">
        <f>GH42*IF(OR($C42=85,$G42=85),0,1)</f>
        <v/>
      </c>
      <c r="GI43">
        <f>GI42*IF(OR($C42=86,$G42=86),0,1)</f>
        <v/>
      </c>
      <c r="GJ43">
        <f>GJ42*IF(OR($C42=87,$G42=87),0,1)</f>
        <v/>
      </c>
      <c r="GK43">
        <f>GK42*IF(OR($C42=88,$G42=88),0,1)</f>
        <v/>
      </c>
      <c r="GL43">
        <f>GL42*IF(OR($C42=89,$G42=89),0,1)</f>
        <v/>
      </c>
      <c r="GM43">
        <f>GM42*IF(OR($C42=90,$G42=90),0,1)</f>
        <v/>
      </c>
      <c r="GN43">
        <f>GN42*IF(OR($C42=91,$G42=91),0,1)</f>
        <v/>
      </c>
      <c r="GO43">
        <f>GO42*IF(OR($C42=92,$G42=92),0,1)</f>
        <v/>
      </c>
      <c r="GP43">
        <f>GP42*IF(OR($C42=93,$G42=93),0,1)</f>
        <v/>
      </c>
      <c r="GQ43">
        <f>GQ42*IF(OR($C42=94,$G42=94),0,1)</f>
        <v/>
      </c>
      <c r="GR43">
        <f>GR42*IF(OR($C42=95,$G42=95),0,1)</f>
        <v/>
      </c>
      <c r="GS43">
        <f>GS42*IF(OR($C42=96,$G42=96),0,1)</f>
        <v/>
      </c>
      <c r="GT43">
        <f>GT42*IF(OR($C42=97,$G42=97),0,1)</f>
        <v/>
      </c>
      <c r="GU43">
        <f>GU42*IF(OR($C42=98,$G42=98),0,1)</f>
        <v/>
      </c>
      <c r="GV43">
        <f>GV42*IF(OR($C42=99,$G42=99),0,1)</f>
        <v/>
      </c>
      <c r="GW43">
        <f>GW42*IF(OR($C42=100,$G42=100),0,1)</f>
        <v/>
      </c>
      <c r="GX43">
        <f>GX42*IF(OR($C42=101,$G42=101),0,1)</f>
        <v/>
      </c>
      <c r="GY43">
        <f>GY42*IF(OR($C42=102,$G42=102),0,1)</f>
        <v/>
      </c>
      <c r="GZ43">
        <f>GZ42*IF(OR($C42=103,$G42=103),0,1)</f>
        <v/>
      </c>
      <c r="HA43">
        <f>HA42*IF(OR($C42=104,$G42=104),0,1)</f>
        <v/>
      </c>
      <c r="HB43">
        <f>HB42*IF(OR($C42=105,$G42=105),0,1)</f>
        <v/>
      </c>
      <c r="HC43">
        <f>HC42*IF(OR($C42=106,$G42=106),0,1)</f>
        <v/>
      </c>
      <c r="HD43">
        <f>HD42*IF(OR($C42=107,$G42=107),0,1)</f>
        <v/>
      </c>
      <c r="HE43">
        <f>HE42*IF(OR($C42=108,$G42=108),0,1)</f>
        <v/>
      </c>
      <c r="HF43">
        <f>HF42*IF(OR($C42=109,$G42=109),0,1)</f>
        <v/>
      </c>
      <c r="HG43">
        <f>HG42*IF(OR($C42=110,$G42=110),0,1)</f>
        <v/>
      </c>
      <c r="HH43">
        <f>HH42*IF(OR($C42=111,$G42=111),0,1)</f>
        <v/>
      </c>
      <c r="HI43">
        <f>HI42*IF(OR($C42=112,$G42=112),0,1)</f>
        <v/>
      </c>
      <c r="HJ43">
        <f>HJ42*IF(OR($C42=113,$G42=113),0,1)</f>
        <v/>
      </c>
      <c r="HK43">
        <f>HK42*IF(OR($C42=114,$G42=114),0,1)</f>
        <v/>
      </c>
      <c r="HL43">
        <f>HL42*IF(OR($C42=115,$G42=115),0,1)</f>
        <v/>
      </c>
      <c r="HM43">
        <f>HM42*IF(OR($C42=116,$G42=116),0,1)</f>
        <v/>
      </c>
      <c r="HN43">
        <f>HN42*IF(OR($C42=117,$G42=117),0,1)</f>
        <v/>
      </c>
      <c r="HO43">
        <f>HO42*IF(OR($C42=118,$G42=118),0,1)</f>
        <v/>
      </c>
      <c r="HP43">
        <f>HP42*IF(OR($C42=119,$G42=119),0,1)</f>
        <v/>
      </c>
      <c r="HQ43">
        <f>HQ42*IF(OR($C42=120,$G42=120),0,1)</f>
        <v/>
      </c>
      <c r="HR43">
        <f>HR42*IF(OR($C42=121,$G42=121),0,1)</f>
        <v/>
      </c>
      <c r="HS43">
        <f>HS42*IF(OR($C42=122,$G42=122),0,1)</f>
        <v/>
      </c>
      <c r="HT43">
        <f>HT42*IF(OR($C42=123,$G42=123),0,1)</f>
        <v/>
      </c>
      <c r="HU43">
        <f>HU42*IF(OR($C42=124,$G42=124),0,1)</f>
        <v/>
      </c>
      <c r="HV43">
        <f>HV42*IF(OR($C42=125,$G42=125),0,1)</f>
        <v/>
      </c>
      <c r="HW43">
        <f>HW42*IF(OR($C42=126,$G42=126),0,1)</f>
        <v/>
      </c>
      <c r="HX43">
        <f>HX42*IF(OR($C42=127,$G42=127),0,1)</f>
        <v/>
      </c>
      <c r="HY43">
        <f>HY42*IF(OR($C42=128,$G42=128),0,1)</f>
        <v/>
      </c>
      <c r="HZ43">
        <f>HZ42*IF(OR($C42=129,$G42=129),0,1)</f>
        <v/>
      </c>
      <c r="IA43">
        <f>IA42*IF(OR($C42=130,$G42=130),0,1)</f>
        <v/>
      </c>
      <c r="IB43">
        <f>IB42*IF(OR($C42=131,$G42=131),0,1)</f>
        <v/>
      </c>
      <c r="IC43">
        <f>IC42*IF(OR($C42=132,$G42=132),0,1)</f>
        <v/>
      </c>
      <c r="ID43">
        <f>ID42*IF(OR($C42=133,$G42=133),0,1)</f>
        <v/>
      </c>
      <c r="IE43">
        <f>IE42*IF(OR($C42=134,$G42=134),0,1)</f>
        <v/>
      </c>
      <c r="IF43">
        <f>IF42*IF(OR($C42=135,$G42=135),0,1)</f>
        <v/>
      </c>
      <c r="IG43">
        <f>IG42*IF(OR($C42=136,$G42=136),0,1)</f>
        <v/>
      </c>
      <c r="IH43">
        <f>IH42*IF(OR($C42=137,$G42=137),0,1)</f>
        <v/>
      </c>
      <c r="II43">
        <f>II42*IF(OR($C42=138,$G42=138),0,1)</f>
        <v/>
      </c>
      <c r="IJ43">
        <f>IJ42*IF(OR($C42=139,$G42=139),0,1)</f>
        <v/>
      </c>
      <c r="IK43">
        <f>IK42*IF(OR($C42=140,$G42=140),0,1)</f>
        <v/>
      </c>
      <c r="IL43">
        <f>IL42*IF(OR($C42=141,$G42=141),0,1)</f>
        <v/>
      </c>
      <c r="IM43">
        <f>IM42*IF(OR($C42=142,$G42=142),0,1)</f>
        <v/>
      </c>
      <c r="IN43">
        <f>IN42*IF(OR($C42=143,$G42=143),0,1)</f>
        <v/>
      </c>
      <c r="IO43">
        <f>IO42*IF(OR($C42=144,$G42=144),0,1)</f>
        <v/>
      </c>
      <c r="IQ43">
        <f>IF('計算A'!D$106=1,DC43,1)</f>
        <v/>
      </c>
      <c r="IR43">
        <f>IF('計算A'!E$106=1,DD43,1)</f>
        <v/>
      </c>
      <c r="IS43">
        <f>IF('計算A'!F$106=1,DE43,1)</f>
        <v/>
      </c>
      <c r="IT43">
        <f>IF('計算A'!G$106=1,DF43,1)</f>
        <v/>
      </c>
      <c r="IU43">
        <f>IF('計算A'!H$106=1,DG43,1)</f>
        <v/>
      </c>
      <c r="IV43">
        <f>IF('計算A'!I$106=1,DH43,1)</f>
        <v/>
      </c>
      <c r="IW43">
        <f>IF('計算A'!J$106=1,DI43,1)</f>
        <v/>
      </c>
      <c r="IX43">
        <f>IF('計算A'!K$106=1,DJ43,1)</f>
        <v/>
      </c>
      <c r="IY43">
        <f>IF('計算A'!L$106=1,DK43,1)</f>
        <v/>
      </c>
      <c r="IZ43">
        <f>IF('計算A'!M$106=1,DL43,1)</f>
        <v/>
      </c>
      <c r="JA43">
        <f>IF('計算A'!N$106=1,DM43,1)</f>
        <v/>
      </c>
      <c r="JB43">
        <f>IF('計算A'!O$106=1,DN43,1)</f>
        <v/>
      </c>
      <c r="JC43">
        <f>IF('計算A'!P$106=1,DO43,1)</f>
        <v/>
      </c>
      <c r="JD43">
        <f>IF('計算A'!Q$106=1,DP43,1)</f>
        <v/>
      </c>
      <c r="JE43">
        <f>IF('計算A'!R$106=1,DQ43,1)</f>
        <v/>
      </c>
      <c r="JF43">
        <f>IF('計算A'!S$106=1,DR43,1)</f>
        <v/>
      </c>
      <c r="JG43">
        <f>IF('計算A'!T$106=1,DS43,1)</f>
        <v/>
      </c>
      <c r="JH43">
        <f>IF('計算A'!U$106=1,DT43,1)</f>
        <v/>
      </c>
      <c r="JI43">
        <f>IF('計算A'!V$106=1,DU43,1)</f>
        <v/>
      </c>
      <c r="JJ43">
        <f>IF('計算A'!W$106=1,DV43,1)</f>
        <v/>
      </c>
      <c r="JK43">
        <f>IF('計算A'!X$106=1,DW43,1)</f>
        <v/>
      </c>
      <c r="JL43">
        <f>IF('計算A'!Y$106=1,DX43,1)</f>
        <v/>
      </c>
      <c r="JM43">
        <f>IF('計算A'!Z$106=1,DY43,1)</f>
        <v/>
      </c>
      <c r="JN43">
        <f>IF('計算A'!AA$106=1,DZ43,1)</f>
        <v/>
      </c>
      <c r="JO43">
        <f>IF('計算A'!AB$106=1,EA43,1)</f>
        <v/>
      </c>
      <c r="JP43">
        <f>IF('計算A'!AC$106=1,EB43,1)</f>
        <v/>
      </c>
      <c r="JQ43">
        <f>IF('計算A'!AD$106=1,EC43,1)</f>
        <v/>
      </c>
      <c r="JR43">
        <f>IF('計算A'!AE$106=1,ED43,1)</f>
        <v/>
      </c>
      <c r="JS43">
        <f>IF('計算A'!AF$106=1,EE43,1)</f>
        <v/>
      </c>
      <c r="JT43">
        <f>IF('計算A'!AG$106=1,EF43,1)</f>
        <v/>
      </c>
      <c r="JU43">
        <f>IF('計算A'!AH$106=1,EG43,1)</f>
        <v/>
      </c>
      <c r="JV43">
        <f>IF('計算A'!AI$106=1,EH43,1)</f>
        <v/>
      </c>
      <c r="JW43">
        <f>IF('計算A'!AJ$106=1,EI43,1)</f>
        <v/>
      </c>
      <c r="JX43">
        <f>IF('計算A'!AK$106=1,EJ43,1)</f>
        <v/>
      </c>
      <c r="JY43">
        <f>IF('計算A'!AL$106=1,EK43,1)</f>
        <v/>
      </c>
      <c r="JZ43">
        <f>IF('計算A'!AM$106=1,EL43,1)</f>
        <v/>
      </c>
      <c r="KA43">
        <f>IF('計算A'!AN$106=1,EM43,1)</f>
        <v/>
      </c>
      <c r="KB43">
        <f>IF('計算A'!AO$106=1,EN43,1)</f>
        <v/>
      </c>
      <c r="KC43">
        <f>IF('計算A'!AP$106=1,EO43,1)</f>
        <v/>
      </c>
      <c r="KD43">
        <f>IF('計算A'!AQ$106=1,EP43,1)</f>
        <v/>
      </c>
      <c r="KE43">
        <f>IF('計算A'!AR$106=1,EQ43,1)</f>
        <v/>
      </c>
      <c r="KF43">
        <f>IF('計算A'!AS$106=1,ER43,1)</f>
        <v/>
      </c>
      <c r="KG43">
        <f>IF('計算A'!AT$106=1,ES43,1)</f>
        <v/>
      </c>
      <c r="KH43">
        <f>IF('計算A'!AU$106=1,ET43,1)</f>
        <v/>
      </c>
      <c r="KI43">
        <f>IF('計算A'!AV$106=1,EU43,1)</f>
        <v/>
      </c>
      <c r="KJ43">
        <f>IF('計算A'!AW$106=1,EV43,1)</f>
        <v/>
      </c>
      <c r="KK43">
        <f>IF('計算A'!AX$106=1,EW43,1)</f>
        <v/>
      </c>
      <c r="KL43">
        <f>IF('計算A'!AY$106=1,EX43,1)</f>
        <v/>
      </c>
      <c r="KM43">
        <f>IF('計算A'!AZ$106=1,EY43,1)</f>
        <v/>
      </c>
      <c r="KN43">
        <f>IF('計算A'!BA$106=1,EZ43,1)</f>
        <v/>
      </c>
      <c r="KO43">
        <f>IF('計算A'!BB$106=1,FA43,1)</f>
        <v/>
      </c>
      <c r="KP43">
        <f>IF('計算A'!BC$106=1,FB43,1)</f>
        <v/>
      </c>
      <c r="KQ43">
        <f>IF('計算A'!BD$106=1,FC43,1)</f>
        <v/>
      </c>
      <c r="KR43">
        <f>IF('計算A'!BE$106=1,FD43,1)</f>
        <v/>
      </c>
      <c r="KS43">
        <f>IF('計算A'!BF$106=1,FE43,1)</f>
        <v/>
      </c>
      <c r="KT43">
        <f>IF('計算A'!BG$106=1,FF43,1)</f>
        <v/>
      </c>
      <c r="KU43">
        <f>IF('計算A'!BH$106=1,FG43,1)</f>
        <v/>
      </c>
      <c r="KV43">
        <f>IF('計算A'!BI$106=1,FH43,1)</f>
        <v/>
      </c>
      <c r="KW43">
        <f>IF('計算A'!BJ$106=1,FI43,1)</f>
        <v/>
      </c>
      <c r="KX43">
        <f>IF('計算A'!BK$106=1,FJ43,1)</f>
        <v/>
      </c>
      <c r="KY43">
        <f>IF('計算A'!BL$106=1,FK43,1)</f>
        <v/>
      </c>
      <c r="KZ43">
        <f>IF('計算A'!BM$106=1,FL43,1)</f>
        <v/>
      </c>
      <c r="LA43">
        <f>IF('計算A'!BN$106=1,FM43,1)</f>
        <v/>
      </c>
      <c r="LB43">
        <f>IF('計算A'!BO$106=1,FN43,1)</f>
        <v/>
      </c>
      <c r="LC43">
        <f>IF('計算A'!BP$106=1,FO43,1)</f>
        <v/>
      </c>
      <c r="LD43">
        <f>IF('計算A'!BQ$106=1,FP43,1)</f>
        <v/>
      </c>
      <c r="LE43">
        <f>IF('計算A'!BR$106=1,FQ43,1)</f>
        <v/>
      </c>
      <c r="LF43">
        <f>IF('計算A'!BS$106=1,FR43,1)</f>
        <v/>
      </c>
      <c r="LG43">
        <f>IF('計算A'!BT$106=1,FS43,1)</f>
        <v/>
      </c>
      <c r="LH43">
        <f>IF('計算A'!BU$106=1,FT43,1)</f>
        <v/>
      </c>
      <c r="LI43">
        <f>IF('計算A'!BV$106=1,FU43,1)</f>
        <v/>
      </c>
      <c r="LJ43">
        <f>IF('計算A'!BW$106=1,FV43,1)</f>
        <v/>
      </c>
      <c r="LK43">
        <f>IF('計算A'!BX$106=1,FW43,1)</f>
        <v/>
      </c>
      <c r="LL43">
        <f>IF('計算A'!BY$106=1,FX43,1)</f>
        <v/>
      </c>
      <c r="LM43">
        <f>IF('計算A'!BZ$106=1,FY43,1)</f>
        <v/>
      </c>
      <c r="LN43">
        <f>IF('計算A'!CA$106=1,FZ43,1)</f>
        <v/>
      </c>
      <c r="LO43">
        <f>IF('計算A'!CB$106=1,GA43,1)</f>
        <v/>
      </c>
      <c r="LP43">
        <f>IF('計算A'!CC$106=1,GB43,1)</f>
        <v/>
      </c>
      <c r="LQ43">
        <f>IF('計算A'!CD$106=1,GC43,1)</f>
        <v/>
      </c>
      <c r="LR43">
        <f>IF('計算A'!CE$106=1,GD43,1)</f>
        <v/>
      </c>
      <c r="LS43">
        <f>IF('計算A'!CF$106=1,GE43,1)</f>
        <v/>
      </c>
      <c r="LT43">
        <f>IF('計算A'!CG$106=1,GF43,1)</f>
        <v/>
      </c>
      <c r="LU43">
        <f>IF('計算A'!CH$106=1,GG43,1)</f>
        <v/>
      </c>
      <c r="LV43">
        <f>IF('計算A'!CI$106=1,GH43,1)</f>
        <v/>
      </c>
      <c r="LW43">
        <f>IF('計算A'!CJ$106=1,GI43,1)</f>
        <v/>
      </c>
      <c r="LX43">
        <f>IF('計算A'!CK$106=1,GJ43,1)</f>
        <v/>
      </c>
      <c r="LY43">
        <f>IF('計算A'!CL$106=1,GK43,1)</f>
        <v/>
      </c>
      <c r="LZ43">
        <f>IF('計算A'!CM$106=1,GL43,1)</f>
        <v/>
      </c>
      <c r="MA43">
        <f>IF('計算A'!CN$106=1,GM43,1)</f>
        <v/>
      </c>
      <c r="MB43">
        <f>IF('計算A'!CO$106=1,GN43,1)</f>
        <v/>
      </c>
      <c r="MC43">
        <f>IF('計算A'!CP$106=1,GO43,1)</f>
        <v/>
      </c>
      <c r="MD43">
        <f>IF('計算A'!CQ$106=1,GP43,1)</f>
        <v/>
      </c>
      <c r="ME43">
        <f>IF('計算A'!CR$106=1,GQ43,1)</f>
        <v/>
      </c>
      <c r="MF43">
        <f>IF('計算A'!CS$106=1,GR43,1)</f>
        <v/>
      </c>
      <c r="MG43">
        <f>IF('計算A'!CT$106=1,GS43,1)</f>
        <v/>
      </c>
      <c r="MH43">
        <f>IF('計算A'!CU$106=1,GT43,1)</f>
        <v/>
      </c>
      <c r="MI43">
        <f>IF('計算A'!CV$106=1,GU43,1)</f>
        <v/>
      </c>
      <c r="MJ43">
        <f>IF('計算A'!CW$106=1,GV43,1)</f>
        <v/>
      </c>
      <c r="MK43">
        <f>IF('計算A'!CX$106=1,GW43,1)</f>
        <v/>
      </c>
      <c r="ML43">
        <f>IF('計算A'!CY$106=1,GX43,1)</f>
        <v/>
      </c>
      <c r="MM43">
        <f>IF('計算A'!CZ$106=1,GY43,1)</f>
        <v/>
      </c>
      <c r="MN43">
        <f>IF('計算A'!DA$106=1,GZ43,1)</f>
        <v/>
      </c>
      <c r="MO43">
        <f>IF('計算A'!DB$106=1,HA43,1)</f>
        <v/>
      </c>
      <c r="MP43">
        <f>IF('計算A'!DC$106=1,HB43,1)</f>
        <v/>
      </c>
      <c r="MQ43">
        <f>IF('計算A'!DD$106=1,HC43,1)</f>
        <v/>
      </c>
      <c r="MR43">
        <f>IF('計算A'!DE$106=1,HD43,1)</f>
        <v/>
      </c>
      <c r="MS43">
        <f>IF('計算A'!DF$106=1,HE43,1)</f>
        <v/>
      </c>
      <c r="MT43">
        <f>IF('計算A'!DG$106=1,HF43,1)</f>
        <v/>
      </c>
      <c r="MU43">
        <f>IF('計算A'!DH$106=1,HG43,1)</f>
        <v/>
      </c>
      <c r="MV43">
        <f>IF('計算A'!DI$106=1,HH43,1)</f>
        <v/>
      </c>
      <c r="MW43">
        <f>IF('計算A'!DJ$106=1,HI43,1)</f>
        <v/>
      </c>
      <c r="MX43">
        <f>IF('計算A'!DK$106=1,HJ43,1)</f>
        <v/>
      </c>
      <c r="MY43">
        <f>IF('計算A'!DL$106=1,HK43,1)</f>
        <v/>
      </c>
      <c r="MZ43">
        <f>IF('計算A'!DM$106=1,HL43,1)</f>
        <v/>
      </c>
      <c r="NA43">
        <f>IF('計算A'!DN$106=1,HM43,1)</f>
        <v/>
      </c>
      <c r="NB43">
        <f>IF('計算A'!DO$106=1,HN43,1)</f>
        <v/>
      </c>
      <c r="NC43">
        <f>IF('計算A'!DP$106=1,HO43,1)</f>
        <v/>
      </c>
      <c r="ND43">
        <f>IF('計算A'!DQ$106=1,HP43,1)</f>
        <v/>
      </c>
      <c r="NE43">
        <f>IF('計算A'!DR$106=1,HQ43,1)</f>
        <v/>
      </c>
      <c r="NF43">
        <f>IF('計算A'!DS$106=1,HR43,1)</f>
        <v/>
      </c>
      <c r="NG43">
        <f>IF('計算A'!DT$106=1,HS43,1)</f>
        <v/>
      </c>
      <c r="NH43">
        <f>IF('計算A'!DU$106=1,HT43,1)</f>
        <v/>
      </c>
      <c r="NI43">
        <f>IF('計算A'!DV$106=1,HU43,1)</f>
        <v/>
      </c>
      <c r="NJ43">
        <f>IF('計算A'!DW$106=1,HV43,1)</f>
        <v/>
      </c>
      <c r="NK43">
        <f>IF('計算A'!DX$106=1,HW43,1)</f>
        <v/>
      </c>
      <c r="NL43">
        <f>IF('計算A'!DY$106=1,HX43,1)</f>
        <v/>
      </c>
      <c r="NM43">
        <f>IF('計算A'!DZ$106=1,HY43,1)</f>
        <v/>
      </c>
      <c r="NN43">
        <f>IF('計算A'!EA$106=1,HZ43,1)</f>
        <v/>
      </c>
      <c r="NO43">
        <f>IF('計算A'!EB$106=1,IA43,1)</f>
        <v/>
      </c>
      <c r="NP43">
        <f>IF('計算A'!EC$106=1,IB43,1)</f>
        <v/>
      </c>
      <c r="NQ43">
        <f>IF('計算A'!ED$106=1,IC43,1)</f>
        <v/>
      </c>
      <c r="NR43">
        <f>IF('計算A'!EE$106=1,ID43,1)</f>
        <v/>
      </c>
      <c r="NS43">
        <f>IF('計算A'!EF$106=1,IE43,1)</f>
        <v/>
      </c>
      <c r="NT43">
        <f>IF('計算A'!EG$106=1,IF43,1)</f>
        <v/>
      </c>
      <c r="NU43">
        <f>IF('計算A'!EH$106=1,IG43,1)</f>
        <v/>
      </c>
      <c r="NV43">
        <f>IF('計算A'!EI$106=1,IH43,1)</f>
        <v/>
      </c>
      <c r="NW43">
        <f>IF('計算A'!EJ$106=1,II43,1)</f>
        <v/>
      </c>
      <c r="NX43">
        <f>IF('計算A'!EK$106=1,IJ43,1)</f>
        <v/>
      </c>
      <c r="NY43">
        <f>IF('計算A'!EL$106=1,IK43,1)</f>
        <v/>
      </c>
      <c r="NZ43">
        <f>IF('計算A'!EM$106=1,IL43,1)</f>
        <v/>
      </c>
      <c r="OA43">
        <f>IF('計算A'!EN$106=1,IM43,1)</f>
        <v/>
      </c>
      <c r="OB43">
        <f>IF('計算A'!EO$106=1,IN43,1)</f>
        <v/>
      </c>
      <c r="OC43">
        <f>IF('計算A'!EP$106=1,IO43,1)</f>
        <v/>
      </c>
      <c r="OD43" t="n">
        <v>1</v>
      </c>
      <c r="OF43">
        <f>IF($B43=0,1000000,IF(INDEX('計算A'!$D$60:$EQ$104,$B43,1)*DB43=1,IF(AND($E43=2,IQ43=0),1000000,IF($I43&gt;0,IF(1=$J43,IF(OR(AND(1=$I43+1,OR($K43&lt;&gt;'計算A'!$A$3,'計算A'!$A$4=0)),AND(1=$I43-1,OR(1&lt;&gt;'計算A'!$A$3,'計算A'!$A$4=0))),0,IF(1=$K43,200000,ABS(1-$K43)*100)),100000+ABS(1-$J43)*1000+10)+'計算A'!D$5*50+IF(AND($E43=1,IQ43=0),25,0),IF($F43&gt;0,INDEX('計算A'!D$110:D$114,$F43+1)+IF(AND($E43=1,IQ43=0),1000,0),MIN(TU43,20)*400+(IF('計算A'!D$106=1,1-DC43,0))*150+11+'計算A'!D$5*100000+IF(AND($E43=1,IQ43=0),50000,0))+IF($H43=1,(IF('計算A'!D$117=1,INDEX('計算A'!E$10:E$54,$B43),0))*4000,0)-IF(AND($L43=1,'計算A'!D$117=1,DC43=0),2000,0))),1000000))</f>
        <v/>
      </c>
      <c r="OG43">
        <f>IF($B43=0,1000000,IF(INDEX('計算A'!$D$60:$EQ$104,$B43,2)*DC43=1,IF(AND($E43=2,IR43=0),1000000,IF($I43&gt;0,IF(1=$J43,IF(OR(AND(2=$I43+1,OR($K43&lt;&gt;'計算A'!$A$3,'計算A'!$A$4=0)),AND(2=$I43-1,OR(2&lt;&gt;'計算A'!$A$3,'計算A'!$A$4=0))),0,IF(2=$K43,200000,ABS(2-$K43)*100)),100000+ABS(1-$J43)*1000+20)+'計算A'!E$5*50+IF(AND($E43=1,IR43=0),25,0),IF($F43&gt;0,INDEX('計算A'!E$110:E$114,$F43+1)+IF(AND($E43=1,IR43=0),1000,0),MIN(TU43,20)*400+(IF('計算A'!D$106=1,1-DB43,0)+IF('計算A'!E$106=1,1-DD43,0))*150+21+'計算A'!E$5*100000+IF(AND($E43=1,IR43=0),50000,0))+IF($H43=1,(IF('計算A'!D$117=1,INDEX('計算A'!D$10:D$54,$B43),0)+IF('計算A'!E$117=1,INDEX('計算A'!F$10:F$54,$B43),0))*4000,0)-IF(AND('計算A'!D$117=1,UB43&gt;0),2000,0)-IF(AND($L43=1,'計算A'!E$117=1,DD43=0),2000,0))),1000000))</f>
        <v/>
      </c>
      <c r="OH43">
        <f>IF($B43=0,1000000,IF(INDEX('計算A'!$D$60:$EQ$104,$B43,3)*DD43=1,IF(AND($E43=2,IS43=0),1000000,IF($I43&gt;0,IF(1=$J43,IF(OR(AND(3=$I43+1,OR($K43&lt;&gt;'計算A'!$A$3,'計算A'!$A$4=0)),AND(3=$I43-1,OR(3&lt;&gt;'計算A'!$A$3,'計算A'!$A$4=0))),0,IF(3=$K43,200000,ABS(3-$K43)*100)),100000+ABS(1-$J43)*1000+30)+'計算A'!F$5*50+IF(AND($E43=1,IS43=0),25,0),IF($F43&gt;0,INDEX('計算A'!F$110:F$114,$F43+1)+IF(AND($E43=1,IS43=0),1000,0),MIN(TU43,20)*400+(IF('計算A'!E$106=1,1-DC43,0)+IF('計算A'!F$106=1,1-DE43,0))*150+31+'計算A'!F$5*100000+IF(AND($E43=1,IS43=0),50000,0))+IF($H43=1,(IF('計算A'!E$117=1,INDEX('計算A'!E$10:E$54,$B43),0)+IF('計算A'!F$117=1,INDEX('計算A'!G$10:G$54,$B43),0))*4000,0)-IF(AND('計算A'!E$117=1,UC43&gt;0),2000,0)-IF(AND($L43=1,'計算A'!F$117=1,DE43=0),2000,0))),1000000))</f>
        <v/>
      </c>
      <c r="OI43">
        <f>IF($B43=0,1000000,IF(INDEX('計算A'!$D$60:$EQ$104,$B43,4)*DE43=1,IF(AND($E43=2,IT43=0),1000000,IF($I43&gt;0,IF(1=$J43,IF(OR(AND(4=$I43+1,OR($K43&lt;&gt;'計算A'!$A$3,'計算A'!$A$4=0)),AND(4=$I43-1,OR(4&lt;&gt;'計算A'!$A$3,'計算A'!$A$4=0))),0,IF(4=$K43,200000,ABS(4-$K43)*100)),100000+ABS(1-$J43)*1000+40)+'計算A'!G$5*50+IF(AND($E43=1,IT43=0),25,0),IF($F43&gt;0,INDEX('計算A'!G$110:G$114,$F43+1)+IF(AND($E43=1,IT43=0),1000,0),MIN(TU43,20)*400+(IF('計算A'!F$106=1,1-DD43,0)+IF('計算A'!G$106=1,1-DF43,0))*150+41+'計算A'!G$5*100000+IF(AND($E43=1,IT43=0),50000,0))+IF($H43=1,(IF('計算A'!F$117=1,INDEX('計算A'!F$10:F$54,$B43),0)+IF('計算A'!G$117=1,INDEX('計算A'!H$10:H$54,$B43),0))*4000,0)-IF(AND('計算A'!F$117=1,UD43&gt;0),2000,0)-IF(AND($L43=1,'計算A'!G$117=1,DF43=0),2000,0))),1000000))</f>
        <v/>
      </c>
      <c r="OJ43">
        <f>IF($B43=0,1000000,IF(INDEX('計算A'!$D$60:$EQ$104,$B43,5)*DF43=1,IF(AND($E43=2,IU43=0),1000000,IF($I43&gt;0,IF(1=$J43,IF(OR(AND(5=$I43+1,OR($K43&lt;&gt;'計算A'!$A$3,'計算A'!$A$4=0)),AND(5=$I43-1,OR(5&lt;&gt;'計算A'!$A$3,'計算A'!$A$4=0))),0,IF(5=$K43,200000,ABS(5-$K43)*100)),100000+ABS(1-$J43)*1000+50)+'計算A'!H$5*50+IF(AND($E43=1,IU43=0),25,0),IF($F43&gt;0,INDEX('計算A'!H$110:H$114,$F43+1)+IF(AND($E43=1,IU43=0),1000,0),MIN(TU43,20)*400+(IF('計算A'!G$106=1,1-DE43,0)+IF('計算A'!H$106=1,1-DG43,0))*150+51+'計算A'!H$5*100000+IF(AND($E43=1,IU43=0),50000,0))+IF($H43=1,(IF('計算A'!G$117=1,INDEX('計算A'!G$10:G$54,$B43),0)+IF('計算A'!H$117=1,INDEX('計算A'!I$10:I$54,$B43),0))*4000,0)-IF(AND('計算A'!G$117=1,UE43&gt;0),2000,0)-IF(AND($L43=1,'計算A'!H$117=1,DG43=0),2000,0))),1000000))</f>
        <v/>
      </c>
      <c r="OK43">
        <f>IF($B43=0,1000000,IF(INDEX('計算A'!$D$60:$EQ$104,$B43,6)*DG43=1,IF(AND($E43=2,IV43=0),1000000,IF($I43&gt;0,IF(1=$J43,IF(OR(AND(6=$I43+1,OR($K43&lt;&gt;'計算A'!$A$3,'計算A'!$A$4=0)),AND(6=$I43-1,OR(6&lt;&gt;'計算A'!$A$3,'計算A'!$A$4=0))),0,IF(6=$K43,200000,ABS(6-$K43)*100)),100000+ABS(1-$J43)*1000+60)+'計算A'!I$5*50+IF(AND($E43=1,IV43=0),25,0),IF($F43&gt;0,INDEX('計算A'!I$110:I$114,$F43+1)+IF(AND($E43=1,IV43=0),1000,0),MIN(TU43,20)*400+(IF('計算A'!H$106=1,1-DF43,0)+IF('計算A'!I$106=1,1-DH43,0))*150+61+'計算A'!I$5*100000+IF(AND($E43=1,IV43=0),50000,0))+IF($H43=1,(IF('計算A'!H$117=1,INDEX('計算A'!H$10:H$54,$B43),0)+IF('計算A'!I$117=1,INDEX('計算A'!J$10:J$54,$B43),0))*4000,0)-IF(AND('計算A'!H$117=1,UF43&gt;0),2000,0)-IF(AND($L43=1,'計算A'!I$117=1,DH43=0),2000,0))),1000000))</f>
        <v/>
      </c>
      <c r="OL43">
        <f>IF($B43=0,1000000,IF(INDEX('計算A'!$D$60:$EQ$104,$B43,7)*DH43=1,IF(AND($E43=2,IW43=0),1000000,IF($I43&gt;0,IF(1=$J43,IF(OR(AND(7=$I43+1,OR($K43&lt;&gt;'計算A'!$A$3,'計算A'!$A$4=0)),AND(7=$I43-1,OR(7&lt;&gt;'計算A'!$A$3,'計算A'!$A$4=0))),0,IF(7=$K43,200000,ABS(7-$K43)*100)),100000+ABS(1-$J43)*1000+70)+'計算A'!J$5*50+IF(AND($E43=1,IW43=0),25,0),IF($F43&gt;0,INDEX('計算A'!J$110:J$114,$F43+1)+IF(AND($E43=1,IW43=0),1000,0),MIN(TU43,20)*400+(IF('計算A'!I$106=1,1-DG43,0)+IF('計算A'!J$106=1,1-DI43,0))*150+71+'計算A'!J$5*100000+IF(AND($E43=1,IW43=0),50000,0))+IF($H43=1,(IF('計算A'!I$117=1,INDEX('計算A'!I$10:I$54,$B43),0)+IF('計算A'!J$117=1,INDEX('計算A'!K$10:K$54,$B43),0))*4000,0)-IF(AND('計算A'!I$117=1,UG43&gt;0),2000,0)-IF(AND($L43=1,'計算A'!J$117=1,DI43=0),2000,0))),1000000))</f>
        <v/>
      </c>
      <c r="OM43">
        <f>IF($B43=0,1000000,IF(INDEX('計算A'!$D$60:$EQ$104,$B43,8)*DI43=1,IF(AND($E43=2,IX43=0),1000000,IF($I43&gt;0,IF(1=$J43,IF(OR(AND(8=$I43+1,OR($K43&lt;&gt;'計算A'!$A$3,'計算A'!$A$4=0)),AND(8=$I43-1,OR(8&lt;&gt;'計算A'!$A$3,'計算A'!$A$4=0))),0,IF(8=$K43,200000,ABS(8-$K43)*100)),100000+ABS(1-$J43)*1000+80)+'計算A'!K$5*50+IF(AND($E43=1,IX43=0),25,0),IF($F43&gt;0,INDEX('計算A'!K$110:K$114,$F43+1)+IF(AND($E43=1,IX43=0),1000,0),MIN(TU43,20)*400+(IF('計算A'!J$106=1,1-DH43,0)+IF('計算A'!K$106=1,1-DJ43,0))*150+81+'計算A'!K$5*100000+IF(AND($E43=1,IX43=0),50000,0))+IF($H43=1,(IF('計算A'!J$117=1,INDEX('計算A'!J$10:J$54,$B43),0)+IF('計算A'!K$117=1,INDEX('計算A'!L$10:L$54,$B43),0))*4000,0)-IF(AND('計算A'!J$117=1,UH43&gt;0),2000,0)-IF(AND($L43=1,'計算A'!K$117=1,DJ43=0),2000,0))),1000000))</f>
        <v/>
      </c>
      <c r="ON43">
        <f>IF($B43=0,1000000,IF(INDEX('計算A'!$D$60:$EQ$104,$B43,9)*DJ43=1,IF(AND($E43=2,IY43=0),1000000,IF($I43&gt;0,IF(1=$J43,IF(OR(AND(9=$I43+1,OR($K43&lt;&gt;'計算A'!$A$3,'計算A'!$A$4=0)),AND(9=$I43-1,OR(9&lt;&gt;'計算A'!$A$3,'計算A'!$A$4=0))),0,IF(9=$K43,200000,ABS(9-$K43)*100)),100000+ABS(1-$J43)*1000+90)+'計算A'!L$5*50+IF(AND($E43=1,IY43=0),25,0),IF($F43&gt;0,INDEX('計算A'!L$110:L$114,$F43+1)+IF(AND($E43=1,IY43=0),1000,0),MIN(TU43,20)*400+(IF('計算A'!K$106=1,1-DI43,0)+IF('計算A'!L$106=1,1-DK43,0))*150+91+'計算A'!L$5*100000+IF(AND($E43=1,IY43=0),50000,0))+IF($H43=1,(IF('計算A'!K$117=1,INDEX('計算A'!K$10:K$54,$B43),0)+IF('計算A'!L$117=1,INDEX('計算A'!M$10:M$54,$B43),0))*4000,0)-IF(AND('計算A'!K$117=1,UI43&gt;0),2000,0)-IF(AND($L43=1,'計算A'!L$117=1,DK43=0),2000,0))),1000000))</f>
        <v/>
      </c>
      <c r="OO43">
        <f>IF($B43=0,1000000,IF(INDEX('計算A'!$D$60:$EQ$104,$B43,10)*DK43=1,IF(AND($E43=2,IZ43=0),1000000,IF($I43&gt;0,IF(1=$J43,IF(OR(AND(10=$I43+1,OR($K43&lt;&gt;'計算A'!$A$3,'計算A'!$A$4=0)),AND(10=$I43-1,OR(10&lt;&gt;'計算A'!$A$3,'計算A'!$A$4=0))),0,IF(10=$K43,200000,ABS(10-$K43)*100)),100000+ABS(1-$J43)*1000+100)+'計算A'!M$5*50+IF(AND($E43=1,IZ43=0),25,0),IF($F43&gt;0,INDEX('計算A'!M$110:M$114,$F43+1)+IF(AND($E43=1,IZ43=0),1000,0),MIN(TU43,20)*400+(IF('計算A'!L$106=1,1-DJ43,0)+IF('計算A'!M$106=1,1-DL43,0))*150+101+'計算A'!M$5*100000+IF(AND($E43=1,IZ43=0),50000,0))+IF($H43=1,(IF('計算A'!L$117=1,INDEX('計算A'!L$10:L$54,$B43),0)+IF('計算A'!M$117=1,INDEX('計算A'!N$10:N$54,$B43),0))*4000,0)-IF(AND('計算A'!L$117=1,UJ43&gt;0),2000,0)-IF(AND($L43=1,'計算A'!M$117=1,DL43=0),2000,0))),1000000))</f>
        <v/>
      </c>
      <c r="OP43">
        <f>IF($B43=0,1000000,IF(INDEX('計算A'!$D$60:$EQ$104,$B43,11)*DL43=1,IF(AND($E43=2,JA43=0),1000000,IF($I43&gt;0,IF(1=$J43,IF(OR(AND(11=$I43+1,OR($K43&lt;&gt;'計算A'!$A$3,'計算A'!$A$4=0)),AND(11=$I43-1,OR(11&lt;&gt;'計算A'!$A$3,'計算A'!$A$4=0))),0,IF(11=$K43,200000,ABS(11-$K43)*100)),100000+ABS(1-$J43)*1000+110)+'計算A'!N$5*50+IF(AND($E43=1,JA43=0),25,0),IF($F43&gt;0,INDEX('計算A'!N$110:N$114,$F43+1)+IF(AND($E43=1,JA43=0),1000,0),MIN(TU43,20)*400+(IF('計算A'!M$106=1,1-DK43,0)+IF('計算A'!N$106=1,1-DM43,0))*150+111+'計算A'!N$5*100000+IF(AND($E43=1,JA43=0),50000,0))+IF($H43=1,(IF('計算A'!M$117=1,INDEX('計算A'!M$10:M$54,$B43),0)+IF('計算A'!N$117=1,INDEX('計算A'!O$10:O$54,$B43),0))*4000,0)-IF(AND('計算A'!M$117=1,UK43&gt;0),2000,0)-IF(AND($L43=1,'計算A'!N$117=1,DM43=0),2000,0))),1000000))</f>
        <v/>
      </c>
      <c r="OQ43">
        <f>IF($B43=0,1000000,IF(INDEX('計算A'!$D$60:$EQ$104,$B43,12)*DM43=1,IF(AND($E43=2,JB43=0),1000000,IF($I43&gt;0,IF(1=$J43,IF(OR(AND(12=$I43+1,OR($K43&lt;&gt;'計算A'!$A$3,'計算A'!$A$4=0)),AND(12=$I43-1,OR(12&lt;&gt;'計算A'!$A$3,'計算A'!$A$4=0))),0,IF(12=$K43,200000,ABS(12-$K43)*100)),100000+ABS(1-$J43)*1000+120)+'計算A'!O$5*50+IF(AND($E43=1,JB43=0),25,0),IF($F43&gt;0,INDEX('計算A'!O$110:O$114,$F43+1)+IF(AND($E43=1,JB43=0),1000,0),MIN(TU43,20)*400+(IF('計算A'!N$106=1,1-DL43,0)+IF('計算A'!O$106=1,1-DN43,0))*150+121+'計算A'!O$5*100000+IF(AND($E43=1,JB43=0),50000,0))+IF($H43=1,(IF('計算A'!N$117=1,INDEX('計算A'!N$10:N$54,$B43),0)+IF('計算A'!O$117=1,INDEX('計算A'!P$10:P$54,$B43),0))*4000,0)-IF(AND('計算A'!N$117=1,UL43&gt;0),2000,0)-IF(AND($L43=1,'計算A'!O$117=1,DN43=0),2000,0))),1000000))</f>
        <v/>
      </c>
      <c r="OR43">
        <f>IF($B43=0,1000000,IF(INDEX('計算A'!$D$60:$EQ$104,$B43,13)*DN43=1,IF(AND($E43=2,JC43=0),1000000,IF($I43&gt;0,IF(1=$J43,IF(OR(AND(13=$I43+1,OR($K43&lt;&gt;'計算A'!$A$3,'計算A'!$A$4=0)),AND(13=$I43-1,OR(13&lt;&gt;'計算A'!$A$3,'計算A'!$A$4=0))),0,IF(13=$K43,200000,ABS(13-$K43)*100)),100000+ABS(1-$J43)*1000+130)+'計算A'!P$5*50+IF(AND($E43=1,JC43=0),25,0),IF($F43&gt;0,INDEX('計算A'!P$110:P$114,$F43+1)+IF(AND($E43=1,JC43=0),1000,0),MIN(TU43,20)*400+(IF('計算A'!O$106=1,1-DM43,0)+IF('計算A'!P$106=1,1-DO43,0))*150+131+'計算A'!P$5*100000+IF(AND($E43=1,JC43=0),50000,0))+IF($H43=1,(IF('計算A'!O$117=1,INDEX('計算A'!O$10:O$54,$B43),0)+IF('計算A'!P$117=1,INDEX('計算A'!Q$10:Q$54,$B43),0))*4000,0)-IF(AND('計算A'!O$117=1,UM43&gt;0),2000,0)-IF(AND($L43=1,'計算A'!P$117=1,DO43=0),2000,0))),1000000))</f>
        <v/>
      </c>
      <c r="OS43">
        <f>IF($B43=0,1000000,IF(INDEX('計算A'!$D$60:$EQ$104,$B43,14)*DO43=1,IF(AND($E43=2,JD43=0),1000000,IF($I43&gt;0,IF(1=$J43,IF(OR(AND(14=$I43+1,OR($K43&lt;&gt;'計算A'!$A$3,'計算A'!$A$4=0)),AND(14=$I43-1,OR(14&lt;&gt;'計算A'!$A$3,'計算A'!$A$4=0))),0,IF(14=$K43,200000,ABS(14-$K43)*100)),100000+ABS(1-$J43)*1000+140)+'計算A'!Q$5*50+IF(AND($E43=1,JD43=0),25,0),IF($F43&gt;0,INDEX('計算A'!Q$110:Q$114,$F43+1)+IF(AND($E43=1,JD43=0),1000,0),MIN(TU43,20)*400+(IF('計算A'!P$106=1,1-DN43,0)+IF('計算A'!Q$106=1,1-DP43,0))*150+141+'計算A'!Q$5*100000+IF(AND($E43=1,JD43=0),50000,0))+IF($H43=1,(IF('計算A'!P$117=1,INDEX('計算A'!P$10:P$54,$B43),0)+IF('計算A'!Q$117=1,INDEX('計算A'!R$10:R$54,$B43),0))*4000,0)-IF(AND('計算A'!P$117=1,UN43&gt;0),2000,0)-IF(AND($L43=1,'計算A'!Q$117=1,DP43=0),2000,0))),1000000))</f>
        <v/>
      </c>
      <c r="OT43">
        <f>IF($B43=0,1000000,IF(INDEX('計算A'!$D$60:$EQ$104,$B43,15)*DP43=1,IF(AND($E43=2,JE43=0),1000000,IF($I43&gt;0,IF(1=$J43,IF(OR(AND(15=$I43+1,OR($K43&lt;&gt;'計算A'!$A$3,'計算A'!$A$4=0)),AND(15=$I43-1,OR(15&lt;&gt;'計算A'!$A$3,'計算A'!$A$4=0))),0,IF(15=$K43,200000,ABS(15-$K43)*100)),100000+ABS(1-$J43)*1000+150)+'計算A'!R$5*50+IF(AND($E43=1,JE43=0),25,0),IF($F43&gt;0,INDEX('計算A'!R$110:R$114,$F43+1)+IF(AND($E43=1,JE43=0),1000,0),MIN(TU43,20)*400+(IF('計算A'!Q$106=1,1-DO43,0)+IF('計算A'!R$106=1,1-DQ43,0))*150+151+'計算A'!R$5*100000+IF(AND($E43=1,JE43=0),50000,0))+IF($H43=1,(IF('計算A'!Q$117=1,INDEX('計算A'!Q$10:Q$54,$B43),0)+IF('計算A'!R$117=1,INDEX('計算A'!S$10:S$54,$B43),0))*4000,0)-IF(AND('計算A'!Q$117=1,UO43&gt;0),2000,0)-IF(AND($L43=1,'計算A'!R$117=1,DQ43=0),2000,0))),1000000))</f>
        <v/>
      </c>
      <c r="OU43">
        <f>IF($B43=0,1000000,IF(INDEX('計算A'!$D$60:$EQ$104,$B43,16)*DQ43=1,IF(AND($E43=2,JF43=0),1000000,IF($I43&gt;0,IF(1=$J43,IF(OR(AND(16=$I43+1,OR($K43&lt;&gt;'計算A'!$A$3,'計算A'!$A$4=0)),AND(16=$I43-1,OR(16&lt;&gt;'計算A'!$A$3,'計算A'!$A$4=0))),0,IF(16=$K43,200000,ABS(16-$K43)*100)),100000+ABS(1-$J43)*1000+160)+'計算A'!S$5*50+IF(AND($E43=1,JF43=0),25,0),IF($F43&gt;0,INDEX('計算A'!S$110:S$114,$F43+1)+IF(AND($E43=1,JF43=0),1000,0),MIN(TU43,20)*400+(IF('計算A'!R$106=1,1-DP43,0)+IF('計算A'!S$106=1,1-DR43,0))*150+161+'計算A'!S$5*100000+IF(AND($E43=1,JF43=0),50000,0))+IF($H43=1,(IF('計算A'!R$117=1,INDEX('計算A'!R$10:R$54,$B43),0)+IF('計算A'!S$117=1,INDEX('計算A'!T$10:T$54,$B43),0))*4000,0)-IF(AND('計算A'!R$117=1,UP43&gt;0),2000,0)-IF(AND($L43=1,'計算A'!S$117=1,DR43=0),2000,0))),1000000))</f>
        <v/>
      </c>
      <c r="OV43">
        <f>IF($B43=0,1000000,IF(INDEX('計算A'!$D$60:$EQ$104,$B43,17)*DR43=1,IF(AND($E43=2,JG43=0),1000000,IF($I43&gt;0,IF(1=$J43,IF(OR(AND(17=$I43+1,OR($K43&lt;&gt;'計算A'!$A$3,'計算A'!$A$4=0)),AND(17=$I43-1,OR(17&lt;&gt;'計算A'!$A$3,'計算A'!$A$4=0))),0,IF(17=$K43,200000,ABS(17-$K43)*100)),100000+ABS(1-$J43)*1000+170)+'計算A'!T$5*50+IF(AND($E43=1,JG43=0),25,0),IF($F43&gt;0,INDEX('計算A'!T$110:T$114,$F43+1)+IF(AND($E43=1,JG43=0),1000,0),MIN(TU43,20)*400+(IF('計算A'!S$106=1,1-DQ43,0)+IF('計算A'!T$106=1,1-DS43,0))*150+171+'計算A'!T$5*100000+IF(AND($E43=1,JG43=0),50000,0))+IF($H43=1,(IF('計算A'!S$117=1,INDEX('計算A'!S$10:S$54,$B43),0)+IF('計算A'!T$117=1,INDEX('計算A'!U$10:U$54,$B43),0))*4000,0)-IF(AND('計算A'!S$117=1,UQ43&gt;0),2000,0)-IF(AND($L43=1,'計算A'!T$117=1,DS43=0),2000,0))),1000000))</f>
        <v/>
      </c>
      <c r="OW43">
        <f>IF($B43=0,1000000,IF(INDEX('計算A'!$D$60:$EQ$104,$B43,18)*DS43=1,IF(AND($E43=2,JH43=0),1000000,IF($I43&gt;0,IF(1=$J43,IF(OR(AND(18=$I43+1,OR($K43&lt;&gt;'計算A'!$A$3,'計算A'!$A$4=0)),AND(18=$I43-1,OR(18&lt;&gt;'計算A'!$A$3,'計算A'!$A$4=0))),0,IF(18=$K43,200000,ABS(18-$K43)*100)),100000+ABS(1-$J43)*1000+180)+'計算A'!U$5*50+IF(AND($E43=1,JH43=0),25,0),IF($F43&gt;0,INDEX('計算A'!U$110:U$114,$F43+1)+IF(AND($E43=1,JH43=0),1000,0),MIN(TU43,20)*400+(IF('計算A'!T$106=1,1-DR43,0)+IF('計算A'!U$106=1,1-DT43,0))*150+181+'計算A'!U$5*100000+IF(AND($E43=1,JH43=0),50000,0))+IF($H43=1,(IF('計算A'!T$117=1,INDEX('計算A'!T$10:T$54,$B43),0)+IF('計算A'!U$117=1,INDEX('計算A'!V$10:V$54,$B43),0))*4000,0)-IF(AND('計算A'!T$117=1,UR43&gt;0),2000,0)-IF(AND($L43=1,'計算A'!U$117=1,DT43=0),2000,0))),1000000))</f>
        <v/>
      </c>
      <c r="OX43">
        <f>IF($B43=0,1000000,IF(INDEX('計算A'!$D$60:$EQ$104,$B43,19)*DT43=1,IF(AND($E43=2,JI43=0),1000000,IF($I43&gt;0,IF(1=$J43,IF(OR(AND(19=$I43+1,OR($K43&lt;&gt;'計算A'!$A$3,'計算A'!$A$4=0)),AND(19=$I43-1,OR(19&lt;&gt;'計算A'!$A$3,'計算A'!$A$4=0))),0,IF(19=$K43,200000,ABS(19-$K43)*100)),100000+ABS(1-$J43)*1000+190)+'計算A'!V$5*50+IF(AND($E43=1,JI43=0),25,0),IF($F43&gt;0,INDEX('計算A'!V$110:V$114,$F43+1)+IF(AND($E43=1,JI43=0),1000,0),MIN(TU43,20)*400+(IF('計算A'!U$106=1,1-DS43,0)+IF('計算A'!V$106=1,1-DU43,0))*150+191+'計算A'!V$5*100000+IF(AND($E43=1,JI43=0),50000,0))+IF($H43=1,(IF('計算A'!U$117=1,INDEX('計算A'!U$10:U$54,$B43),0)+IF('計算A'!V$117=1,INDEX('計算A'!W$10:W$54,$B43),0))*4000,0)-IF(AND('計算A'!U$117=1,US43&gt;0),2000,0)-IF(AND($L43=1,'計算A'!V$117=1,DU43=0),2000,0))),1000000))</f>
        <v/>
      </c>
      <c r="OY43">
        <f>IF($B43=0,1000000,IF(INDEX('計算A'!$D$60:$EQ$104,$B43,20)*DU43=1,IF(AND($E43=2,JJ43=0),1000000,IF($I43&gt;0,IF(1=$J43,IF(OR(AND(20=$I43+1,OR($K43&lt;&gt;'計算A'!$A$3,'計算A'!$A$4=0)),AND(20=$I43-1,OR(20&lt;&gt;'計算A'!$A$3,'計算A'!$A$4=0))),0,IF(20=$K43,200000,ABS(20-$K43)*100)),100000+ABS(1-$J43)*1000+200)+'計算A'!W$5*50+IF(AND($E43=1,JJ43=0),25,0),IF($F43&gt;0,INDEX('計算A'!W$110:W$114,$F43+1)+IF(AND($E43=1,JJ43=0),1000,0),MIN(TU43,20)*400+(IF('計算A'!V$106=1,1-DT43,0)+IF('計算A'!W$106=1,1-DV43,0))*150+201+'計算A'!W$5*100000+IF(AND($E43=1,JJ43=0),50000,0))+IF($H43=1,(IF('計算A'!V$117=1,INDEX('計算A'!V$10:V$54,$B43),0)+IF('計算A'!W$117=1,INDEX('計算A'!X$10:X$54,$B43),0))*4000,0)-IF(AND('計算A'!V$117=1,UT43&gt;0),2000,0)-IF(AND($L43=1,'計算A'!W$117=1,DV43=0),2000,0))),1000000))</f>
        <v/>
      </c>
      <c r="OZ43">
        <f>IF($B43=0,1000000,IF(INDEX('計算A'!$D$60:$EQ$104,$B43,21)*DV43=1,IF(AND($E43=2,JK43=0),1000000,IF($I43&gt;0,IF(1=$J43,IF(OR(AND(21=$I43+1,OR($K43&lt;&gt;'計算A'!$A$3,'計算A'!$A$4=0)),AND(21=$I43-1,OR(21&lt;&gt;'計算A'!$A$3,'計算A'!$A$4=0))),0,IF(21=$K43,200000,ABS(21-$K43)*100)),100000+ABS(1-$J43)*1000+210)+'計算A'!X$5*50+IF(AND($E43=1,JK43=0),25,0),IF($F43&gt;0,INDEX('計算A'!X$110:X$114,$F43+1)+IF(AND($E43=1,JK43=0),1000,0),MIN(TU43,20)*400+(IF('計算A'!W$106=1,1-DU43,0)+IF('計算A'!X$106=1,1-DW43,0))*150+211+'計算A'!X$5*100000+IF(AND($E43=1,JK43=0),50000,0))+IF($H43=1,(IF('計算A'!W$117=1,INDEX('計算A'!W$10:W$54,$B43),0)+IF('計算A'!X$117=1,INDEX('計算A'!Y$10:Y$54,$B43),0))*4000,0)-IF(AND('計算A'!W$117=1,UU43&gt;0),2000,0)-IF(AND($L43=1,'計算A'!X$117=1,DW43=0),2000,0))),1000000))</f>
        <v/>
      </c>
      <c r="PA43">
        <f>IF($B43=0,1000000,IF(INDEX('計算A'!$D$60:$EQ$104,$B43,22)*DW43=1,IF(AND($E43=2,JL43=0),1000000,IF($I43&gt;0,IF(1=$J43,IF(OR(AND(22=$I43+1,OR($K43&lt;&gt;'計算A'!$A$3,'計算A'!$A$4=0)),AND(22=$I43-1,OR(22&lt;&gt;'計算A'!$A$3,'計算A'!$A$4=0))),0,IF(22=$K43,200000,ABS(22-$K43)*100)),100000+ABS(1-$J43)*1000+220)+'計算A'!Y$5*50+IF(AND($E43=1,JL43=0),25,0),IF($F43&gt;0,INDEX('計算A'!Y$110:Y$114,$F43+1)+IF(AND($E43=1,JL43=0),1000,0),MIN(TU43,20)*400+(IF('計算A'!X$106=1,1-DV43,0)+IF('計算A'!Y$106=1,1-DX43,0))*150+221+'計算A'!Y$5*100000+IF(AND($E43=1,JL43=0),50000,0))+IF($H43=1,(IF('計算A'!X$117=1,INDEX('計算A'!X$10:X$54,$B43),0)+IF('計算A'!Y$117=1,INDEX('計算A'!Z$10:Z$54,$B43),0))*4000,0)-IF(AND('計算A'!X$117=1,UV43&gt;0),2000,0)-IF(AND($L43=1,'計算A'!Y$117=1,DX43=0),2000,0))),1000000))</f>
        <v/>
      </c>
      <c r="PB43">
        <f>IF($B43=0,1000000,IF(INDEX('計算A'!$D$60:$EQ$104,$B43,23)*DX43=1,IF(AND($E43=2,JM43=0),1000000,IF($I43&gt;0,IF(1=$J43,IF(OR(AND(23=$I43+1,OR($K43&lt;&gt;'計算A'!$A$3,'計算A'!$A$4=0)),AND(23=$I43-1,OR(23&lt;&gt;'計算A'!$A$3,'計算A'!$A$4=0))),0,IF(23=$K43,200000,ABS(23-$K43)*100)),100000+ABS(1-$J43)*1000+230)+'計算A'!Z$5*50+IF(AND($E43=1,JM43=0),25,0),IF($F43&gt;0,INDEX('計算A'!Z$110:Z$114,$F43+1)+IF(AND($E43=1,JM43=0),1000,0),MIN(TU43,20)*400+(IF('計算A'!Y$106=1,1-DW43,0)+IF('計算A'!Z$106=1,1-DY43,0))*150+231+'計算A'!Z$5*100000+IF(AND($E43=1,JM43=0),50000,0))+IF($H43=1,(IF('計算A'!Y$117=1,INDEX('計算A'!Y$10:Y$54,$B43),0)+IF('計算A'!Z$117=1,INDEX('計算A'!AA$10:AA$54,$B43),0))*4000,0)-IF(AND('計算A'!Y$117=1,UW43&gt;0),2000,0)-IF(AND($L43=1,'計算A'!Z$117=1,DY43=0),2000,0))),1000000))</f>
        <v/>
      </c>
      <c r="PC43">
        <f>IF($B43=0,1000000,IF(INDEX('計算A'!$D$60:$EQ$104,$B43,24)*DY43=1,IF(AND($E43=2,JN43=0),1000000,IF($I43&gt;0,IF(1=$J43,IF(OR(AND(24=$I43+1,OR($K43&lt;&gt;'計算A'!$A$3,'計算A'!$A$4=0)),AND(24=$I43-1,OR(24&lt;&gt;'計算A'!$A$3,'計算A'!$A$4=0))),0,IF(24=$K43,200000,ABS(24-$K43)*100)),100000+ABS(1-$J43)*1000+240)+'計算A'!AA$5*50+IF(AND($E43=1,JN43=0),25,0),IF($F43&gt;0,INDEX('計算A'!AA$110:AA$114,$F43+1)+IF(AND($E43=1,JN43=0),1000,0),MIN(TU43,20)*400+(IF('計算A'!Z$106=1,1-DX43,0))*150+241+'計算A'!AA$5*100000+IF(AND($E43=1,JN43=0),50000,0))+IF($H43=1,(IF('計算A'!Z$117=1,INDEX('計算A'!Z$10:Z$54,$B43),0))*4000,0)-IF(AND('計算A'!Z$117=1,UX43&gt;0),2000,0))),1000000))</f>
        <v/>
      </c>
      <c r="PD43">
        <f>IF($B43=0,1000000,IF(INDEX('計算A'!$D$60:$EQ$104,$B43,25)*DZ43=1,IF(AND($E43=2,JO43=0),1000000,IF($I43&gt;0,IF(2=$J43,IF(OR(AND(25=$I43+1,OR($K43&lt;&gt;'計算A'!$A$3,'計算A'!$A$4=0)),AND(25=$I43-1,OR(1&lt;&gt;'計算A'!$A$3,'計算A'!$A$4=0))),0,IF(1=$K43,200000,ABS(1-$K43)*100)),100000+ABS(2-$J43)*1000+10)+'計算A'!AB$5*50+IF(AND($E43=1,JO43=0),25,0),IF($F43&gt;0,INDEX('計算A'!AB$110:AB$114,$F43+1)+IF(AND($E43=1,JO43=0),1000,0),MIN(TV43,20)*400+(IF('計算A'!AB$106=1,1-EA43,0))*150+12+'計算A'!AB$5*100000+IF(AND($E43=1,JO43=0),50000,0))+IF($H43=1,(IF('計算A'!AB$117=1,INDEX('計算A'!AC$10:AC$54,$B43),0))*4000,0)-IF(AND($L43=1,'計算A'!AB$117=1,EA43=0),2000,0))),1000000))</f>
        <v/>
      </c>
      <c r="PE43">
        <f>IF($B43=0,1000000,IF(INDEX('計算A'!$D$60:$EQ$104,$B43,26)*EA43=1,IF(AND($E43=2,JP43=0),1000000,IF($I43&gt;0,IF(2=$J43,IF(OR(AND(26=$I43+1,OR($K43&lt;&gt;'計算A'!$A$3,'計算A'!$A$4=0)),AND(26=$I43-1,OR(2&lt;&gt;'計算A'!$A$3,'計算A'!$A$4=0))),0,IF(2=$K43,200000,ABS(2-$K43)*100)),100000+ABS(2-$J43)*1000+20)+'計算A'!AC$5*50+IF(AND($E43=1,JP43=0),25,0),IF($F43&gt;0,INDEX('計算A'!AC$110:AC$114,$F43+1)+IF(AND($E43=1,JP43=0),1000,0),MIN(TV43,20)*400+(IF('計算A'!AB$106=1,1-DZ43,0)+IF('計算A'!AC$106=1,1-EB43,0))*150+22+'計算A'!AC$5*100000+IF(AND($E43=1,JP43=0),50000,0))+IF($H43=1,(IF('計算A'!AB$117=1,INDEX('計算A'!AB$10:AB$54,$B43),0)+IF('計算A'!AC$117=1,INDEX('計算A'!AD$10:AD$54,$B43),0))*4000,0)-IF(AND('計算A'!AB$117=1,UZ43&gt;0),2000,0)-IF(AND($L43=1,'計算A'!AC$117=1,EB43=0),2000,0))),1000000))</f>
        <v/>
      </c>
      <c r="PF43">
        <f>IF($B43=0,1000000,IF(INDEX('計算A'!$D$60:$EQ$104,$B43,27)*EB43=1,IF(AND($E43=2,JQ43=0),1000000,IF($I43&gt;0,IF(2=$J43,IF(OR(AND(27=$I43+1,OR($K43&lt;&gt;'計算A'!$A$3,'計算A'!$A$4=0)),AND(27=$I43-1,OR(3&lt;&gt;'計算A'!$A$3,'計算A'!$A$4=0))),0,IF(3=$K43,200000,ABS(3-$K43)*100)),100000+ABS(2-$J43)*1000+30)+'計算A'!AD$5*50+IF(AND($E43=1,JQ43=0),25,0),IF($F43&gt;0,INDEX('計算A'!AD$110:AD$114,$F43+1)+IF(AND($E43=1,JQ43=0),1000,0),MIN(TV43,20)*400+(IF('計算A'!AC$106=1,1-EA43,0)+IF('計算A'!AD$106=1,1-EC43,0))*150+32+'計算A'!AD$5*100000+IF(AND($E43=1,JQ43=0),50000,0))+IF($H43=1,(IF('計算A'!AC$117=1,INDEX('計算A'!AC$10:AC$54,$B43),0)+IF('計算A'!AD$117=1,INDEX('計算A'!AE$10:AE$54,$B43),0))*4000,0)-IF(AND('計算A'!AC$117=1,VA43&gt;0),2000,0)-IF(AND($L43=1,'計算A'!AD$117=1,EC43=0),2000,0))),1000000))</f>
        <v/>
      </c>
      <c r="PG43">
        <f>IF($B43=0,1000000,IF(INDEX('計算A'!$D$60:$EQ$104,$B43,28)*EC43=1,IF(AND($E43=2,JR43=0),1000000,IF($I43&gt;0,IF(2=$J43,IF(OR(AND(28=$I43+1,OR($K43&lt;&gt;'計算A'!$A$3,'計算A'!$A$4=0)),AND(28=$I43-1,OR(4&lt;&gt;'計算A'!$A$3,'計算A'!$A$4=0))),0,IF(4=$K43,200000,ABS(4-$K43)*100)),100000+ABS(2-$J43)*1000+40)+'計算A'!AE$5*50+IF(AND($E43=1,JR43=0),25,0),IF($F43&gt;0,INDEX('計算A'!AE$110:AE$114,$F43+1)+IF(AND($E43=1,JR43=0),1000,0),MIN(TV43,20)*400+(IF('計算A'!AD$106=1,1-EB43,0)+IF('計算A'!AE$106=1,1-ED43,0))*150+42+'計算A'!AE$5*100000+IF(AND($E43=1,JR43=0),50000,0))+IF($H43=1,(IF('計算A'!AD$117=1,INDEX('計算A'!AD$10:AD$54,$B43),0)+IF('計算A'!AE$117=1,INDEX('計算A'!AF$10:AF$54,$B43),0))*4000,0)-IF(AND('計算A'!AD$117=1,VB43&gt;0),2000,0)-IF(AND($L43=1,'計算A'!AE$117=1,ED43=0),2000,0))),1000000))</f>
        <v/>
      </c>
      <c r="PH43">
        <f>IF($B43=0,1000000,IF(INDEX('計算A'!$D$60:$EQ$104,$B43,29)*ED43=1,IF(AND($E43=2,JS43=0),1000000,IF($I43&gt;0,IF(2=$J43,IF(OR(AND(29=$I43+1,OR($K43&lt;&gt;'計算A'!$A$3,'計算A'!$A$4=0)),AND(29=$I43-1,OR(5&lt;&gt;'計算A'!$A$3,'計算A'!$A$4=0))),0,IF(5=$K43,200000,ABS(5-$K43)*100)),100000+ABS(2-$J43)*1000+50)+'計算A'!AF$5*50+IF(AND($E43=1,JS43=0),25,0),IF($F43&gt;0,INDEX('計算A'!AF$110:AF$114,$F43+1)+IF(AND($E43=1,JS43=0),1000,0),MIN(TV43,20)*400+(IF('計算A'!AE$106=1,1-EC43,0)+IF('計算A'!AF$106=1,1-EE43,0))*150+52+'計算A'!AF$5*100000+IF(AND($E43=1,JS43=0),50000,0))+IF($H43=1,(IF('計算A'!AE$117=1,INDEX('計算A'!AE$10:AE$54,$B43),0)+IF('計算A'!AF$117=1,INDEX('計算A'!AG$10:AG$54,$B43),0))*4000,0)-IF(AND('計算A'!AE$117=1,VC43&gt;0),2000,0)-IF(AND($L43=1,'計算A'!AF$117=1,EE43=0),2000,0))),1000000))</f>
        <v/>
      </c>
      <c r="PI43">
        <f>IF($B43=0,1000000,IF(INDEX('計算A'!$D$60:$EQ$104,$B43,30)*EE43=1,IF(AND($E43=2,JT43=0),1000000,IF($I43&gt;0,IF(2=$J43,IF(OR(AND(30=$I43+1,OR($K43&lt;&gt;'計算A'!$A$3,'計算A'!$A$4=0)),AND(30=$I43-1,OR(6&lt;&gt;'計算A'!$A$3,'計算A'!$A$4=0))),0,IF(6=$K43,200000,ABS(6-$K43)*100)),100000+ABS(2-$J43)*1000+60)+'計算A'!AG$5*50+IF(AND($E43=1,JT43=0),25,0),IF($F43&gt;0,INDEX('計算A'!AG$110:AG$114,$F43+1)+IF(AND($E43=1,JT43=0),1000,0),MIN(TV43,20)*400+(IF('計算A'!AF$106=1,1-ED43,0)+IF('計算A'!AG$106=1,1-EF43,0))*150+62+'計算A'!AG$5*100000+IF(AND($E43=1,JT43=0),50000,0))+IF($H43=1,(IF('計算A'!AF$117=1,INDEX('計算A'!AF$10:AF$54,$B43),0)+IF('計算A'!AG$117=1,INDEX('計算A'!AH$10:AH$54,$B43),0))*4000,0)-IF(AND('計算A'!AF$117=1,VD43&gt;0),2000,0)-IF(AND($L43=1,'計算A'!AG$117=1,EF43=0),2000,0))),1000000))</f>
        <v/>
      </c>
      <c r="PJ43">
        <f>IF($B43=0,1000000,IF(INDEX('計算A'!$D$60:$EQ$104,$B43,31)*EF43=1,IF(AND($E43=2,JU43=0),1000000,IF($I43&gt;0,IF(2=$J43,IF(OR(AND(31=$I43+1,OR($K43&lt;&gt;'計算A'!$A$3,'計算A'!$A$4=0)),AND(31=$I43-1,OR(7&lt;&gt;'計算A'!$A$3,'計算A'!$A$4=0))),0,IF(7=$K43,200000,ABS(7-$K43)*100)),100000+ABS(2-$J43)*1000+70)+'計算A'!AH$5*50+IF(AND($E43=1,JU43=0),25,0),IF($F43&gt;0,INDEX('計算A'!AH$110:AH$114,$F43+1)+IF(AND($E43=1,JU43=0),1000,0),MIN(TV43,20)*400+(IF('計算A'!AG$106=1,1-EE43,0)+IF('計算A'!AH$106=1,1-EG43,0))*150+72+'計算A'!AH$5*100000+IF(AND($E43=1,JU43=0),50000,0))+IF($H43=1,(IF('計算A'!AG$117=1,INDEX('計算A'!AG$10:AG$54,$B43),0)+IF('計算A'!AH$117=1,INDEX('計算A'!AI$10:AI$54,$B43),0))*4000,0)-IF(AND('計算A'!AG$117=1,VE43&gt;0),2000,0)-IF(AND($L43=1,'計算A'!AH$117=1,EG43=0),2000,0))),1000000))</f>
        <v/>
      </c>
      <c r="PK43">
        <f>IF($B43=0,1000000,IF(INDEX('計算A'!$D$60:$EQ$104,$B43,32)*EG43=1,IF(AND($E43=2,JV43=0),1000000,IF($I43&gt;0,IF(2=$J43,IF(OR(AND(32=$I43+1,OR($K43&lt;&gt;'計算A'!$A$3,'計算A'!$A$4=0)),AND(32=$I43-1,OR(8&lt;&gt;'計算A'!$A$3,'計算A'!$A$4=0))),0,IF(8=$K43,200000,ABS(8-$K43)*100)),100000+ABS(2-$J43)*1000+80)+'計算A'!AI$5*50+IF(AND($E43=1,JV43=0),25,0),IF($F43&gt;0,INDEX('計算A'!AI$110:AI$114,$F43+1)+IF(AND($E43=1,JV43=0),1000,0),MIN(TV43,20)*400+(IF('計算A'!AH$106=1,1-EF43,0)+IF('計算A'!AI$106=1,1-EH43,0))*150+82+'計算A'!AI$5*100000+IF(AND($E43=1,JV43=0),50000,0))+IF($H43=1,(IF('計算A'!AH$117=1,INDEX('計算A'!AH$10:AH$54,$B43),0)+IF('計算A'!AI$117=1,INDEX('計算A'!AJ$10:AJ$54,$B43),0))*4000,0)-IF(AND('計算A'!AH$117=1,VF43&gt;0),2000,0)-IF(AND($L43=1,'計算A'!AI$117=1,EH43=0),2000,0))),1000000))</f>
        <v/>
      </c>
      <c r="PL43">
        <f>IF($B43=0,1000000,IF(INDEX('計算A'!$D$60:$EQ$104,$B43,33)*EH43=1,IF(AND($E43=2,JW43=0),1000000,IF($I43&gt;0,IF(2=$J43,IF(OR(AND(33=$I43+1,OR($K43&lt;&gt;'計算A'!$A$3,'計算A'!$A$4=0)),AND(33=$I43-1,OR(9&lt;&gt;'計算A'!$A$3,'計算A'!$A$4=0))),0,IF(9=$K43,200000,ABS(9-$K43)*100)),100000+ABS(2-$J43)*1000+90)+'計算A'!AJ$5*50+IF(AND($E43=1,JW43=0),25,0),IF($F43&gt;0,INDEX('計算A'!AJ$110:AJ$114,$F43+1)+IF(AND($E43=1,JW43=0),1000,0),MIN(TV43,20)*400+(IF('計算A'!AI$106=1,1-EG43,0)+IF('計算A'!AJ$106=1,1-EI43,0))*150+92+'計算A'!AJ$5*100000+IF(AND($E43=1,JW43=0),50000,0))+IF($H43=1,(IF('計算A'!AI$117=1,INDEX('計算A'!AI$10:AI$54,$B43),0)+IF('計算A'!AJ$117=1,INDEX('計算A'!AK$10:AK$54,$B43),0))*4000,0)-IF(AND('計算A'!AI$117=1,VG43&gt;0),2000,0)-IF(AND($L43=1,'計算A'!AJ$117=1,EI43=0),2000,0))),1000000))</f>
        <v/>
      </c>
      <c r="PM43">
        <f>IF($B43=0,1000000,IF(INDEX('計算A'!$D$60:$EQ$104,$B43,34)*EI43=1,IF(AND($E43=2,JX43=0),1000000,IF($I43&gt;0,IF(2=$J43,IF(OR(AND(34=$I43+1,OR($K43&lt;&gt;'計算A'!$A$3,'計算A'!$A$4=0)),AND(34=$I43-1,OR(10&lt;&gt;'計算A'!$A$3,'計算A'!$A$4=0))),0,IF(10=$K43,200000,ABS(10-$K43)*100)),100000+ABS(2-$J43)*1000+100)+'計算A'!AK$5*50+IF(AND($E43=1,JX43=0),25,0),IF($F43&gt;0,INDEX('計算A'!AK$110:AK$114,$F43+1)+IF(AND($E43=1,JX43=0),1000,0),MIN(TV43,20)*400+(IF('計算A'!AJ$106=1,1-EH43,0)+IF('計算A'!AK$106=1,1-EJ43,0))*150+102+'計算A'!AK$5*100000+IF(AND($E43=1,JX43=0),50000,0))+IF($H43=1,(IF('計算A'!AJ$117=1,INDEX('計算A'!AJ$10:AJ$54,$B43),0)+IF('計算A'!AK$117=1,INDEX('計算A'!AL$10:AL$54,$B43),0))*4000,0)-IF(AND('計算A'!AJ$117=1,VH43&gt;0),2000,0)-IF(AND($L43=1,'計算A'!AK$117=1,EJ43=0),2000,0))),1000000))</f>
        <v/>
      </c>
      <c r="PN43">
        <f>IF($B43=0,1000000,IF(INDEX('計算A'!$D$60:$EQ$104,$B43,35)*EJ43=1,IF(AND($E43=2,JY43=0),1000000,IF($I43&gt;0,IF(2=$J43,IF(OR(AND(35=$I43+1,OR($K43&lt;&gt;'計算A'!$A$3,'計算A'!$A$4=0)),AND(35=$I43-1,OR(11&lt;&gt;'計算A'!$A$3,'計算A'!$A$4=0))),0,IF(11=$K43,200000,ABS(11-$K43)*100)),100000+ABS(2-$J43)*1000+110)+'計算A'!AL$5*50+IF(AND($E43=1,JY43=0),25,0),IF($F43&gt;0,INDEX('計算A'!AL$110:AL$114,$F43+1)+IF(AND($E43=1,JY43=0),1000,0),MIN(TV43,20)*400+(IF('計算A'!AK$106=1,1-EI43,0)+IF('計算A'!AL$106=1,1-EK43,0))*150+112+'計算A'!AL$5*100000+IF(AND($E43=1,JY43=0),50000,0))+IF($H43=1,(IF('計算A'!AK$117=1,INDEX('計算A'!AK$10:AK$54,$B43),0)+IF('計算A'!AL$117=1,INDEX('計算A'!AM$10:AM$54,$B43),0))*4000,0)-IF(AND('計算A'!AK$117=1,VI43&gt;0),2000,0)-IF(AND($L43=1,'計算A'!AL$117=1,EK43=0),2000,0))),1000000))</f>
        <v/>
      </c>
      <c r="PO43">
        <f>IF($B43=0,1000000,IF(INDEX('計算A'!$D$60:$EQ$104,$B43,36)*EK43=1,IF(AND($E43=2,JZ43=0),1000000,IF($I43&gt;0,IF(2=$J43,IF(OR(AND(36=$I43+1,OR($K43&lt;&gt;'計算A'!$A$3,'計算A'!$A$4=0)),AND(36=$I43-1,OR(12&lt;&gt;'計算A'!$A$3,'計算A'!$A$4=0))),0,IF(12=$K43,200000,ABS(12-$K43)*100)),100000+ABS(2-$J43)*1000+120)+'計算A'!AM$5*50+IF(AND($E43=1,JZ43=0),25,0),IF($F43&gt;0,INDEX('計算A'!AM$110:AM$114,$F43+1)+IF(AND($E43=1,JZ43=0),1000,0),MIN(TV43,20)*400+(IF('計算A'!AL$106=1,1-EJ43,0)+IF('計算A'!AM$106=1,1-EL43,0))*150+122+'計算A'!AM$5*100000+IF(AND($E43=1,JZ43=0),50000,0))+IF($H43=1,(IF('計算A'!AL$117=1,INDEX('計算A'!AL$10:AL$54,$B43),0)+IF('計算A'!AM$117=1,INDEX('計算A'!AN$10:AN$54,$B43),0))*4000,0)-IF(AND('計算A'!AL$117=1,VJ43&gt;0),2000,0)-IF(AND($L43=1,'計算A'!AM$117=1,EL43=0),2000,0))),1000000))</f>
        <v/>
      </c>
      <c r="PP43">
        <f>IF($B43=0,1000000,IF(INDEX('計算A'!$D$60:$EQ$104,$B43,37)*EL43=1,IF(AND($E43=2,KA43=0),1000000,IF($I43&gt;0,IF(2=$J43,IF(OR(AND(37=$I43+1,OR($K43&lt;&gt;'計算A'!$A$3,'計算A'!$A$4=0)),AND(37=$I43-1,OR(13&lt;&gt;'計算A'!$A$3,'計算A'!$A$4=0))),0,IF(13=$K43,200000,ABS(13-$K43)*100)),100000+ABS(2-$J43)*1000+130)+'計算A'!AN$5*50+IF(AND($E43=1,KA43=0),25,0),IF($F43&gt;0,INDEX('計算A'!AN$110:AN$114,$F43+1)+IF(AND($E43=1,KA43=0),1000,0),MIN(TV43,20)*400+(IF('計算A'!AM$106=1,1-EK43,0)+IF('計算A'!AN$106=1,1-EM43,0))*150+132+'計算A'!AN$5*100000+IF(AND($E43=1,KA43=0),50000,0))+IF($H43=1,(IF('計算A'!AM$117=1,INDEX('計算A'!AM$10:AM$54,$B43),0)+IF('計算A'!AN$117=1,INDEX('計算A'!AO$10:AO$54,$B43),0))*4000,0)-IF(AND('計算A'!AM$117=1,VK43&gt;0),2000,0)-IF(AND($L43=1,'計算A'!AN$117=1,EM43=0),2000,0))),1000000))</f>
        <v/>
      </c>
      <c r="PQ43">
        <f>IF($B43=0,1000000,IF(INDEX('計算A'!$D$60:$EQ$104,$B43,38)*EM43=1,IF(AND($E43=2,KB43=0),1000000,IF($I43&gt;0,IF(2=$J43,IF(OR(AND(38=$I43+1,OR($K43&lt;&gt;'計算A'!$A$3,'計算A'!$A$4=0)),AND(38=$I43-1,OR(14&lt;&gt;'計算A'!$A$3,'計算A'!$A$4=0))),0,IF(14=$K43,200000,ABS(14-$K43)*100)),100000+ABS(2-$J43)*1000+140)+'計算A'!AO$5*50+IF(AND($E43=1,KB43=0),25,0),IF($F43&gt;0,INDEX('計算A'!AO$110:AO$114,$F43+1)+IF(AND($E43=1,KB43=0),1000,0),MIN(TV43,20)*400+(IF('計算A'!AN$106=1,1-EL43,0)+IF('計算A'!AO$106=1,1-EN43,0))*150+142+'計算A'!AO$5*100000+IF(AND($E43=1,KB43=0),50000,0))+IF($H43=1,(IF('計算A'!AN$117=1,INDEX('計算A'!AN$10:AN$54,$B43),0)+IF('計算A'!AO$117=1,INDEX('計算A'!AP$10:AP$54,$B43),0))*4000,0)-IF(AND('計算A'!AN$117=1,VL43&gt;0),2000,0)-IF(AND($L43=1,'計算A'!AO$117=1,EN43=0),2000,0))),1000000))</f>
        <v/>
      </c>
      <c r="PR43">
        <f>IF($B43=0,1000000,IF(INDEX('計算A'!$D$60:$EQ$104,$B43,39)*EN43=1,IF(AND($E43=2,KC43=0),1000000,IF($I43&gt;0,IF(2=$J43,IF(OR(AND(39=$I43+1,OR($K43&lt;&gt;'計算A'!$A$3,'計算A'!$A$4=0)),AND(39=$I43-1,OR(15&lt;&gt;'計算A'!$A$3,'計算A'!$A$4=0))),0,IF(15=$K43,200000,ABS(15-$K43)*100)),100000+ABS(2-$J43)*1000+150)+'計算A'!AP$5*50+IF(AND($E43=1,KC43=0),25,0),IF($F43&gt;0,INDEX('計算A'!AP$110:AP$114,$F43+1)+IF(AND($E43=1,KC43=0),1000,0),MIN(TV43,20)*400+(IF('計算A'!AO$106=1,1-EM43,0)+IF('計算A'!AP$106=1,1-EO43,0))*150+152+'計算A'!AP$5*100000+IF(AND($E43=1,KC43=0),50000,0))+IF($H43=1,(IF('計算A'!AO$117=1,INDEX('計算A'!AO$10:AO$54,$B43),0)+IF('計算A'!AP$117=1,INDEX('計算A'!AQ$10:AQ$54,$B43),0))*4000,0)-IF(AND('計算A'!AO$117=1,VM43&gt;0),2000,0)-IF(AND($L43=1,'計算A'!AP$117=1,EO43=0),2000,0))),1000000))</f>
        <v/>
      </c>
      <c r="PS43">
        <f>IF($B43=0,1000000,IF(INDEX('計算A'!$D$60:$EQ$104,$B43,40)*EO43=1,IF(AND($E43=2,KD43=0),1000000,IF($I43&gt;0,IF(2=$J43,IF(OR(AND(40=$I43+1,OR($K43&lt;&gt;'計算A'!$A$3,'計算A'!$A$4=0)),AND(40=$I43-1,OR(16&lt;&gt;'計算A'!$A$3,'計算A'!$A$4=0))),0,IF(16=$K43,200000,ABS(16-$K43)*100)),100000+ABS(2-$J43)*1000+160)+'計算A'!AQ$5*50+IF(AND($E43=1,KD43=0),25,0),IF($F43&gt;0,INDEX('計算A'!AQ$110:AQ$114,$F43+1)+IF(AND($E43=1,KD43=0),1000,0),MIN(TV43,20)*400+(IF('計算A'!AP$106=1,1-EN43,0)+IF('計算A'!AQ$106=1,1-EP43,0))*150+162+'計算A'!AQ$5*100000+IF(AND($E43=1,KD43=0),50000,0))+IF($H43=1,(IF('計算A'!AP$117=1,INDEX('計算A'!AP$10:AP$54,$B43),0)+IF('計算A'!AQ$117=1,INDEX('計算A'!AR$10:AR$54,$B43),0))*4000,0)-IF(AND('計算A'!AP$117=1,VN43&gt;0),2000,0)-IF(AND($L43=1,'計算A'!AQ$117=1,EP43=0),2000,0))),1000000))</f>
        <v/>
      </c>
      <c r="PT43">
        <f>IF($B43=0,1000000,IF(INDEX('計算A'!$D$60:$EQ$104,$B43,41)*EP43=1,IF(AND($E43=2,KE43=0),1000000,IF($I43&gt;0,IF(2=$J43,IF(OR(AND(41=$I43+1,OR($K43&lt;&gt;'計算A'!$A$3,'計算A'!$A$4=0)),AND(41=$I43-1,OR(17&lt;&gt;'計算A'!$A$3,'計算A'!$A$4=0))),0,IF(17=$K43,200000,ABS(17-$K43)*100)),100000+ABS(2-$J43)*1000+170)+'計算A'!AR$5*50+IF(AND($E43=1,KE43=0),25,0),IF($F43&gt;0,INDEX('計算A'!AR$110:AR$114,$F43+1)+IF(AND($E43=1,KE43=0),1000,0),MIN(TV43,20)*400+(IF('計算A'!AQ$106=1,1-EO43,0)+IF('計算A'!AR$106=1,1-EQ43,0))*150+172+'計算A'!AR$5*100000+IF(AND($E43=1,KE43=0),50000,0))+IF($H43=1,(IF('計算A'!AQ$117=1,INDEX('計算A'!AQ$10:AQ$54,$B43),0)+IF('計算A'!AR$117=1,INDEX('計算A'!AS$10:AS$54,$B43),0))*4000,0)-IF(AND('計算A'!AQ$117=1,VO43&gt;0),2000,0)-IF(AND($L43=1,'計算A'!AR$117=1,EQ43=0),2000,0))),1000000))</f>
        <v/>
      </c>
      <c r="PU43">
        <f>IF($B43=0,1000000,IF(INDEX('計算A'!$D$60:$EQ$104,$B43,42)*EQ43=1,IF(AND($E43=2,KF43=0),1000000,IF($I43&gt;0,IF(2=$J43,IF(OR(AND(42=$I43+1,OR($K43&lt;&gt;'計算A'!$A$3,'計算A'!$A$4=0)),AND(42=$I43-1,OR(18&lt;&gt;'計算A'!$A$3,'計算A'!$A$4=0))),0,IF(18=$K43,200000,ABS(18-$K43)*100)),100000+ABS(2-$J43)*1000+180)+'計算A'!AS$5*50+IF(AND($E43=1,KF43=0),25,0),IF($F43&gt;0,INDEX('計算A'!AS$110:AS$114,$F43+1)+IF(AND($E43=1,KF43=0),1000,0),MIN(TV43,20)*400+(IF('計算A'!AR$106=1,1-EP43,0)+IF('計算A'!AS$106=1,1-ER43,0))*150+182+'計算A'!AS$5*100000+IF(AND($E43=1,KF43=0),50000,0))+IF($H43=1,(IF('計算A'!AR$117=1,INDEX('計算A'!AR$10:AR$54,$B43),0)+IF('計算A'!AS$117=1,INDEX('計算A'!AT$10:AT$54,$B43),0))*4000,0)-IF(AND('計算A'!AR$117=1,VP43&gt;0),2000,0)-IF(AND($L43=1,'計算A'!AS$117=1,ER43=0),2000,0))),1000000))</f>
        <v/>
      </c>
      <c r="PV43">
        <f>IF($B43=0,1000000,IF(INDEX('計算A'!$D$60:$EQ$104,$B43,43)*ER43=1,IF(AND($E43=2,KG43=0),1000000,IF($I43&gt;0,IF(2=$J43,IF(OR(AND(43=$I43+1,OR($K43&lt;&gt;'計算A'!$A$3,'計算A'!$A$4=0)),AND(43=$I43-1,OR(19&lt;&gt;'計算A'!$A$3,'計算A'!$A$4=0))),0,IF(19=$K43,200000,ABS(19-$K43)*100)),100000+ABS(2-$J43)*1000+190)+'計算A'!AT$5*50+IF(AND($E43=1,KG43=0),25,0),IF($F43&gt;0,INDEX('計算A'!AT$110:AT$114,$F43+1)+IF(AND($E43=1,KG43=0),1000,0),MIN(TV43,20)*400+(IF('計算A'!AS$106=1,1-EQ43,0)+IF('計算A'!AT$106=1,1-ES43,0))*150+192+'計算A'!AT$5*100000+IF(AND($E43=1,KG43=0),50000,0))+IF($H43=1,(IF('計算A'!AS$117=1,INDEX('計算A'!AS$10:AS$54,$B43),0)+IF('計算A'!AT$117=1,INDEX('計算A'!AU$10:AU$54,$B43),0))*4000,0)-IF(AND('計算A'!AS$117=1,VQ43&gt;0),2000,0)-IF(AND($L43=1,'計算A'!AT$117=1,ES43=0),2000,0))),1000000))</f>
        <v/>
      </c>
      <c r="PW43">
        <f>IF($B43=0,1000000,IF(INDEX('計算A'!$D$60:$EQ$104,$B43,44)*ES43=1,IF(AND($E43=2,KH43=0),1000000,IF($I43&gt;0,IF(2=$J43,IF(OR(AND(44=$I43+1,OR($K43&lt;&gt;'計算A'!$A$3,'計算A'!$A$4=0)),AND(44=$I43-1,OR(20&lt;&gt;'計算A'!$A$3,'計算A'!$A$4=0))),0,IF(20=$K43,200000,ABS(20-$K43)*100)),100000+ABS(2-$J43)*1000+200)+'計算A'!AU$5*50+IF(AND($E43=1,KH43=0),25,0),IF($F43&gt;0,INDEX('計算A'!AU$110:AU$114,$F43+1)+IF(AND($E43=1,KH43=0),1000,0),MIN(TV43,20)*400+(IF('計算A'!AT$106=1,1-ER43,0)+IF('計算A'!AU$106=1,1-ET43,0))*150+202+'計算A'!AU$5*100000+IF(AND($E43=1,KH43=0),50000,0))+IF($H43=1,(IF('計算A'!AT$117=1,INDEX('計算A'!AT$10:AT$54,$B43),0)+IF('計算A'!AU$117=1,INDEX('計算A'!AV$10:AV$54,$B43),0))*4000,0)-IF(AND('計算A'!AT$117=1,VR43&gt;0),2000,0)-IF(AND($L43=1,'計算A'!AU$117=1,ET43=0),2000,0))),1000000))</f>
        <v/>
      </c>
      <c r="PX43">
        <f>IF($B43=0,1000000,IF(INDEX('計算A'!$D$60:$EQ$104,$B43,45)*ET43=1,IF(AND($E43=2,KI43=0),1000000,IF($I43&gt;0,IF(2=$J43,IF(OR(AND(45=$I43+1,OR($K43&lt;&gt;'計算A'!$A$3,'計算A'!$A$4=0)),AND(45=$I43-1,OR(21&lt;&gt;'計算A'!$A$3,'計算A'!$A$4=0))),0,IF(21=$K43,200000,ABS(21-$K43)*100)),100000+ABS(2-$J43)*1000+210)+'計算A'!AV$5*50+IF(AND($E43=1,KI43=0),25,0),IF($F43&gt;0,INDEX('計算A'!AV$110:AV$114,$F43+1)+IF(AND($E43=1,KI43=0),1000,0),MIN(TV43,20)*400+(IF('計算A'!AU$106=1,1-ES43,0)+IF('計算A'!AV$106=1,1-EU43,0))*150+212+'計算A'!AV$5*100000+IF(AND($E43=1,KI43=0),50000,0))+IF($H43=1,(IF('計算A'!AU$117=1,INDEX('計算A'!AU$10:AU$54,$B43),0)+IF('計算A'!AV$117=1,INDEX('計算A'!AW$10:AW$54,$B43),0))*4000,0)-IF(AND('計算A'!AU$117=1,VS43&gt;0),2000,0)-IF(AND($L43=1,'計算A'!AV$117=1,EU43=0),2000,0))),1000000))</f>
        <v/>
      </c>
      <c r="PY43">
        <f>IF($B43=0,1000000,IF(INDEX('計算A'!$D$60:$EQ$104,$B43,46)*EU43=1,IF(AND($E43=2,KJ43=0),1000000,IF($I43&gt;0,IF(2=$J43,IF(OR(AND(46=$I43+1,OR($K43&lt;&gt;'計算A'!$A$3,'計算A'!$A$4=0)),AND(46=$I43-1,OR(22&lt;&gt;'計算A'!$A$3,'計算A'!$A$4=0))),0,IF(22=$K43,200000,ABS(22-$K43)*100)),100000+ABS(2-$J43)*1000+220)+'計算A'!AW$5*50+IF(AND($E43=1,KJ43=0),25,0),IF($F43&gt;0,INDEX('計算A'!AW$110:AW$114,$F43+1)+IF(AND($E43=1,KJ43=0),1000,0),MIN(TV43,20)*400+(IF('計算A'!AV$106=1,1-ET43,0)+IF('計算A'!AW$106=1,1-EV43,0))*150+222+'計算A'!AW$5*100000+IF(AND($E43=1,KJ43=0),50000,0))+IF($H43=1,(IF('計算A'!AV$117=1,INDEX('計算A'!AV$10:AV$54,$B43),0)+IF('計算A'!AW$117=1,INDEX('計算A'!AX$10:AX$54,$B43),0))*4000,0)-IF(AND('計算A'!AV$117=1,VT43&gt;0),2000,0)-IF(AND($L43=1,'計算A'!AW$117=1,EV43=0),2000,0))),1000000))</f>
        <v/>
      </c>
      <c r="PZ43">
        <f>IF($B43=0,1000000,IF(INDEX('計算A'!$D$60:$EQ$104,$B43,47)*EV43=1,IF(AND($E43=2,KK43=0),1000000,IF($I43&gt;0,IF(2=$J43,IF(OR(AND(47=$I43+1,OR($K43&lt;&gt;'計算A'!$A$3,'計算A'!$A$4=0)),AND(47=$I43-1,OR(23&lt;&gt;'計算A'!$A$3,'計算A'!$A$4=0))),0,IF(23=$K43,200000,ABS(23-$K43)*100)),100000+ABS(2-$J43)*1000+230)+'計算A'!AX$5*50+IF(AND($E43=1,KK43=0),25,0),IF($F43&gt;0,INDEX('計算A'!AX$110:AX$114,$F43+1)+IF(AND($E43=1,KK43=0),1000,0),MIN(TV43,20)*400+(IF('計算A'!AW$106=1,1-EU43,0)+IF('計算A'!AX$106=1,1-EW43,0))*150+232+'計算A'!AX$5*100000+IF(AND($E43=1,KK43=0),50000,0))+IF($H43=1,(IF('計算A'!AW$117=1,INDEX('計算A'!AW$10:AW$54,$B43),0)+IF('計算A'!AX$117=1,INDEX('計算A'!AY$10:AY$54,$B43),0))*4000,0)-IF(AND('計算A'!AW$117=1,VU43&gt;0),2000,0)-IF(AND($L43=1,'計算A'!AX$117=1,EW43=0),2000,0))),1000000))</f>
        <v/>
      </c>
      <c r="QA43">
        <f>IF($B43=0,1000000,IF(INDEX('計算A'!$D$60:$EQ$104,$B43,48)*EW43=1,IF(AND($E43=2,KL43=0),1000000,IF($I43&gt;0,IF(2=$J43,IF(OR(AND(48=$I43+1,OR($K43&lt;&gt;'計算A'!$A$3,'計算A'!$A$4=0)),AND(48=$I43-1,OR(24&lt;&gt;'計算A'!$A$3,'計算A'!$A$4=0))),0,IF(24=$K43,200000,ABS(24-$K43)*100)),100000+ABS(2-$J43)*1000+240)+'計算A'!AY$5*50+IF(AND($E43=1,KL43=0),25,0),IF($F43&gt;0,INDEX('計算A'!AY$110:AY$114,$F43+1)+IF(AND($E43=1,KL43=0),1000,0),MIN(TV43,20)*400+(IF('計算A'!AX$106=1,1-EV43,0))*150+242+'計算A'!AY$5*100000+IF(AND($E43=1,KL43=0),50000,0))+IF($H43=1,(IF('計算A'!AX$117=1,INDEX('計算A'!AX$10:AX$54,$B43),0))*4000,0)-IF(AND('計算A'!AX$117=1,VV43&gt;0),2000,0))),1000000))</f>
        <v/>
      </c>
      <c r="QB43">
        <f>IF($B43=0,1000000,IF(INDEX('計算A'!$D$60:$EQ$104,$B43,49)*EX43=1,IF(AND($E43=2,KM43=0),1000000,IF($I43&gt;0,IF(3=$J43,IF(OR(AND(49=$I43+1,OR($K43&lt;&gt;'計算A'!$A$3,'計算A'!$A$4=0)),AND(49=$I43-1,OR(1&lt;&gt;'計算A'!$A$3,'計算A'!$A$4=0))),0,IF(1=$K43,200000,ABS(1-$K43)*100)),100000+ABS(3-$J43)*1000+10)+'計算A'!AZ$5*50+IF(AND($E43=1,KM43=0),25,0),IF($F43&gt;0,INDEX('計算A'!AZ$110:AZ$114,$F43+1)+IF(AND($E43=1,KM43=0),1000,0),MIN(TW43,20)*400+(IF('計算A'!AZ$106=1,1-EY43,0))*150+13+'計算A'!AZ$5*100000+IF(AND($E43=1,KM43=0),50000,0))+IF($H43=1,(IF('計算A'!AZ$117=1,INDEX('計算A'!BA$10:BA$54,$B43),0))*4000,0)-IF(AND($L43=1,'計算A'!AZ$117=1,EY43=0),2000,0))),1000000))</f>
        <v/>
      </c>
      <c r="QC43">
        <f>IF($B43=0,1000000,IF(INDEX('計算A'!$D$60:$EQ$104,$B43,50)*EY43=1,IF(AND($E43=2,KN43=0),1000000,IF($I43&gt;0,IF(3=$J43,IF(OR(AND(50=$I43+1,OR($K43&lt;&gt;'計算A'!$A$3,'計算A'!$A$4=0)),AND(50=$I43-1,OR(2&lt;&gt;'計算A'!$A$3,'計算A'!$A$4=0))),0,IF(2=$K43,200000,ABS(2-$K43)*100)),100000+ABS(3-$J43)*1000+20)+'計算A'!BA$5*50+IF(AND($E43=1,KN43=0),25,0),IF($F43&gt;0,INDEX('計算A'!BA$110:BA$114,$F43+1)+IF(AND($E43=1,KN43=0),1000,0),MIN(TW43,20)*400+(IF('計算A'!AZ$106=1,1-EX43,0)+IF('計算A'!BA$106=1,1-EZ43,0))*150+23+'計算A'!BA$5*100000+IF(AND($E43=1,KN43=0),50000,0))+IF($H43=1,(IF('計算A'!AZ$117=1,INDEX('計算A'!AZ$10:AZ$54,$B43),0)+IF('計算A'!BA$117=1,INDEX('計算A'!BB$10:BB$54,$B43),0))*4000,0)-IF(AND('計算A'!AZ$117=1,VX43&gt;0),2000,0)-IF(AND($L43=1,'計算A'!BA$117=1,EZ43=0),2000,0))),1000000))</f>
        <v/>
      </c>
      <c r="QD43">
        <f>IF($B43=0,1000000,IF(INDEX('計算A'!$D$60:$EQ$104,$B43,51)*EZ43=1,IF(AND($E43=2,KO43=0),1000000,IF($I43&gt;0,IF(3=$J43,IF(OR(AND(51=$I43+1,OR($K43&lt;&gt;'計算A'!$A$3,'計算A'!$A$4=0)),AND(51=$I43-1,OR(3&lt;&gt;'計算A'!$A$3,'計算A'!$A$4=0))),0,IF(3=$K43,200000,ABS(3-$K43)*100)),100000+ABS(3-$J43)*1000+30)+'計算A'!BB$5*50+IF(AND($E43=1,KO43=0),25,0),IF($F43&gt;0,INDEX('計算A'!BB$110:BB$114,$F43+1)+IF(AND($E43=1,KO43=0),1000,0),MIN(TW43,20)*400+(IF('計算A'!BA$106=1,1-EY43,0)+IF('計算A'!BB$106=1,1-FA43,0))*150+33+'計算A'!BB$5*100000+IF(AND($E43=1,KO43=0),50000,0))+IF($H43=1,(IF('計算A'!BA$117=1,INDEX('計算A'!BA$10:BA$54,$B43),0)+IF('計算A'!BB$117=1,INDEX('計算A'!BC$10:BC$54,$B43),0))*4000,0)-IF(AND('計算A'!BA$117=1,VY43&gt;0),2000,0)-IF(AND($L43=1,'計算A'!BB$117=1,FA43=0),2000,0))),1000000))</f>
        <v/>
      </c>
      <c r="QE43">
        <f>IF($B43=0,1000000,IF(INDEX('計算A'!$D$60:$EQ$104,$B43,52)*FA43=1,IF(AND($E43=2,KP43=0),1000000,IF($I43&gt;0,IF(3=$J43,IF(OR(AND(52=$I43+1,OR($K43&lt;&gt;'計算A'!$A$3,'計算A'!$A$4=0)),AND(52=$I43-1,OR(4&lt;&gt;'計算A'!$A$3,'計算A'!$A$4=0))),0,IF(4=$K43,200000,ABS(4-$K43)*100)),100000+ABS(3-$J43)*1000+40)+'計算A'!BC$5*50+IF(AND($E43=1,KP43=0),25,0),IF($F43&gt;0,INDEX('計算A'!BC$110:BC$114,$F43+1)+IF(AND($E43=1,KP43=0),1000,0),MIN(TW43,20)*400+(IF('計算A'!BB$106=1,1-EZ43,0)+IF('計算A'!BC$106=1,1-FB43,0))*150+43+'計算A'!BC$5*100000+IF(AND($E43=1,KP43=0),50000,0))+IF($H43=1,(IF('計算A'!BB$117=1,INDEX('計算A'!BB$10:BB$54,$B43),0)+IF('計算A'!BC$117=1,INDEX('計算A'!BD$10:BD$54,$B43),0))*4000,0)-IF(AND('計算A'!BB$117=1,VZ43&gt;0),2000,0)-IF(AND($L43=1,'計算A'!BC$117=1,FB43=0),2000,0))),1000000))</f>
        <v/>
      </c>
      <c r="QF43">
        <f>IF($B43=0,1000000,IF(INDEX('計算A'!$D$60:$EQ$104,$B43,53)*FB43=1,IF(AND($E43=2,KQ43=0),1000000,IF($I43&gt;0,IF(3=$J43,IF(OR(AND(53=$I43+1,OR($K43&lt;&gt;'計算A'!$A$3,'計算A'!$A$4=0)),AND(53=$I43-1,OR(5&lt;&gt;'計算A'!$A$3,'計算A'!$A$4=0))),0,IF(5=$K43,200000,ABS(5-$K43)*100)),100000+ABS(3-$J43)*1000+50)+'計算A'!BD$5*50+IF(AND($E43=1,KQ43=0),25,0),IF($F43&gt;0,INDEX('計算A'!BD$110:BD$114,$F43+1)+IF(AND($E43=1,KQ43=0),1000,0),MIN(TW43,20)*400+(IF('計算A'!BC$106=1,1-FA43,0)+IF('計算A'!BD$106=1,1-FC43,0))*150+53+'計算A'!BD$5*100000+IF(AND($E43=1,KQ43=0),50000,0))+IF($H43=1,(IF('計算A'!BC$117=1,INDEX('計算A'!BC$10:BC$54,$B43),0)+IF('計算A'!BD$117=1,INDEX('計算A'!BE$10:BE$54,$B43),0))*4000,0)-IF(AND('計算A'!BC$117=1,WA43&gt;0),2000,0)-IF(AND($L43=1,'計算A'!BD$117=1,FC43=0),2000,0))),1000000))</f>
        <v/>
      </c>
      <c r="QG43">
        <f>IF($B43=0,1000000,IF(INDEX('計算A'!$D$60:$EQ$104,$B43,54)*FC43=1,IF(AND($E43=2,KR43=0),1000000,IF($I43&gt;0,IF(3=$J43,IF(OR(AND(54=$I43+1,OR($K43&lt;&gt;'計算A'!$A$3,'計算A'!$A$4=0)),AND(54=$I43-1,OR(6&lt;&gt;'計算A'!$A$3,'計算A'!$A$4=0))),0,IF(6=$K43,200000,ABS(6-$K43)*100)),100000+ABS(3-$J43)*1000+60)+'計算A'!BE$5*50+IF(AND($E43=1,KR43=0),25,0),IF($F43&gt;0,INDEX('計算A'!BE$110:BE$114,$F43+1)+IF(AND($E43=1,KR43=0),1000,0),MIN(TW43,20)*400+(IF('計算A'!BD$106=1,1-FB43,0)+IF('計算A'!BE$106=1,1-FD43,0))*150+63+'計算A'!BE$5*100000+IF(AND($E43=1,KR43=0),50000,0))+IF($H43=1,(IF('計算A'!BD$117=1,INDEX('計算A'!BD$10:BD$54,$B43),0)+IF('計算A'!BE$117=1,INDEX('計算A'!BF$10:BF$54,$B43),0))*4000,0)-IF(AND('計算A'!BD$117=1,WB43&gt;0),2000,0)-IF(AND($L43=1,'計算A'!BE$117=1,FD43=0),2000,0))),1000000))</f>
        <v/>
      </c>
      <c r="QH43">
        <f>IF($B43=0,1000000,IF(INDEX('計算A'!$D$60:$EQ$104,$B43,55)*FD43=1,IF(AND($E43=2,KS43=0),1000000,IF($I43&gt;0,IF(3=$J43,IF(OR(AND(55=$I43+1,OR($K43&lt;&gt;'計算A'!$A$3,'計算A'!$A$4=0)),AND(55=$I43-1,OR(7&lt;&gt;'計算A'!$A$3,'計算A'!$A$4=0))),0,IF(7=$K43,200000,ABS(7-$K43)*100)),100000+ABS(3-$J43)*1000+70)+'計算A'!BF$5*50+IF(AND($E43=1,KS43=0),25,0),IF($F43&gt;0,INDEX('計算A'!BF$110:BF$114,$F43+1)+IF(AND($E43=1,KS43=0),1000,0),MIN(TW43,20)*400+(IF('計算A'!BE$106=1,1-FC43,0)+IF('計算A'!BF$106=1,1-FE43,0))*150+73+'計算A'!BF$5*100000+IF(AND($E43=1,KS43=0),50000,0))+IF($H43=1,(IF('計算A'!BE$117=1,INDEX('計算A'!BE$10:BE$54,$B43),0)+IF('計算A'!BF$117=1,INDEX('計算A'!BG$10:BG$54,$B43),0))*4000,0)-IF(AND('計算A'!BE$117=1,WC43&gt;0),2000,0)-IF(AND($L43=1,'計算A'!BF$117=1,FE43=0),2000,0))),1000000))</f>
        <v/>
      </c>
      <c r="QI43">
        <f>IF($B43=0,1000000,IF(INDEX('計算A'!$D$60:$EQ$104,$B43,56)*FE43=1,IF(AND($E43=2,KT43=0),1000000,IF($I43&gt;0,IF(3=$J43,IF(OR(AND(56=$I43+1,OR($K43&lt;&gt;'計算A'!$A$3,'計算A'!$A$4=0)),AND(56=$I43-1,OR(8&lt;&gt;'計算A'!$A$3,'計算A'!$A$4=0))),0,IF(8=$K43,200000,ABS(8-$K43)*100)),100000+ABS(3-$J43)*1000+80)+'計算A'!BG$5*50+IF(AND($E43=1,KT43=0),25,0),IF($F43&gt;0,INDEX('計算A'!BG$110:BG$114,$F43+1)+IF(AND($E43=1,KT43=0),1000,0),MIN(TW43,20)*400+(IF('計算A'!BF$106=1,1-FD43,0)+IF('計算A'!BG$106=1,1-FF43,0))*150+83+'計算A'!BG$5*100000+IF(AND($E43=1,KT43=0),50000,0))+IF($H43=1,(IF('計算A'!BF$117=1,INDEX('計算A'!BF$10:BF$54,$B43),0)+IF('計算A'!BG$117=1,INDEX('計算A'!BH$10:BH$54,$B43),0))*4000,0)-IF(AND('計算A'!BF$117=1,WD43&gt;0),2000,0)-IF(AND($L43=1,'計算A'!BG$117=1,FF43=0),2000,0))),1000000))</f>
        <v/>
      </c>
      <c r="QJ43">
        <f>IF($B43=0,1000000,IF(INDEX('計算A'!$D$60:$EQ$104,$B43,57)*FF43=1,IF(AND($E43=2,KU43=0),1000000,IF($I43&gt;0,IF(3=$J43,IF(OR(AND(57=$I43+1,OR($K43&lt;&gt;'計算A'!$A$3,'計算A'!$A$4=0)),AND(57=$I43-1,OR(9&lt;&gt;'計算A'!$A$3,'計算A'!$A$4=0))),0,IF(9=$K43,200000,ABS(9-$K43)*100)),100000+ABS(3-$J43)*1000+90)+'計算A'!BH$5*50+IF(AND($E43=1,KU43=0),25,0),IF($F43&gt;0,INDEX('計算A'!BH$110:BH$114,$F43+1)+IF(AND($E43=1,KU43=0),1000,0),MIN(TW43,20)*400+(IF('計算A'!BG$106=1,1-FE43,0)+IF('計算A'!BH$106=1,1-FG43,0))*150+93+'計算A'!BH$5*100000+IF(AND($E43=1,KU43=0),50000,0))+IF($H43=1,(IF('計算A'!BG$117=1,INDEX('計算A'!BG$10:BG$54,$B43),0)+IF('計算A'!BH$117=1,INDEX('計算A'!BI$10:BI$54,$B43),0))*4000,0)-IF(AND('計算A'!BG$117=1,WE43&gt;0),2000,0)-IF(AND($L43=1,'計算A'!BH$117=1,FG43=0),2000,0))),1000000))</f>
        <v/>
      </c>
      <c r="QK43">
        <f>IF($B43=0,1000000,IF(INDEX('計算A'!$D$60:$EQ$104,$B43,58)*FG43=1,IF(AND($E43=2,KV43=0),1000000,IF($I43&gt;0,IF(3=$J43,IF(OR(AND(58=$I43+1,OR($K43&lt;&gt;'計算A'!$A$3,'計算A'!$A$4=0)),AND(58=$I43-1,OR(10&lt;&gt;'計算A'!$A$3,'計算A'!$A$4=0))),0,IF(10=$K43,200000,ABS(10-$K43)*100)),100000+ABS(3-$J43)*1000+100)+'計算A'!BI$5*50+IF(AND($E43=1,KV43=0),25,0),IF($F43&gt;0,INDEX('計算A'!BI$110:BI$114,$F43+1)+IF(AND($E43=1,KV43=0),1000,0),MIN(TW43,20)*400+(IF('計算A'!BH$106=1,1-FF43,0)+IF('計算A'!BI$106=1,1-FH43,0))*150+103+'計算A'!BI$5*100000+IF(AND($E43=1,KV43=0),50000,0))+IF($H43=1,(IF('計算A'!BH$117=1,INDEX('計算A'!BH$10:BH$54,$B43),0)+IF('計算A'!BI$117=1,INDEX('計算A'!BJ$10:BJ$54,$B43),0))*4000,0)-IF(AND('計算A'!BH$117=1,WF43&gt;0),2000,0)-IF(AND($L43=1,'計算A'!BI$117=1,FH43=0),2000,0))),1000000))</f>
        <v/>
      </c>
      <c r="QL43">
        <f>IF($B43=0,1000000,IF(INDEX('計算A'!$D$60:$EQ$104,$B43,59)*FH43=1,IF(AND($E43=2,KW43=0),1000000,IF($I43&gt;0,IF(3=$J43,IF(OR(AND(59=$I43+1,OR($K43&lt;&gt;'計算A'!$A$3,'計算A'!$A$4=0)),AND(59=$I43-1,OR(11&lt;&gt;'計算A'!$A$3,'計算A'!$A$4=0))),0,IF(11=$K43,200000,ABS(11-$K43)*100)),100000+ABS(3-$J43)*1000+110)+'計算A'!BJ$5*50+IF(AND($E43=1,KW43=0),25,0),IF($F43&gt;0,INDEX('計算A'!BJ$110:BJ$114,$F43+1)+IF(AND($E43=1,KW43=0),1000,0),MIN(TW43,20)*400+(IF('計算A'!BI$106=1,1-FG43,0)+IF('計算A'!BJ$106=1,1-FI43,0))*150+113+'計算A'!BJ$5*100000+IF(AND($E43=1,KW43=0),50000,0))+IF($H43=1,(IF('計算A'!BI$117=1,INDEX('計算A'!BI$10:BI$54,$B43),0)+IF('計算A'!BJ$117=1,INDEX('計算A'!BK$10:BK$54,$B43),0))*4000,0)-IF(AND('計算A'!BI$117=1,WG43&gt;0),2000,0)-IF(AND($L43=1,'計算A'!BJ$117=1,FI43=0),2000,0))),1000000))</f>
        <v/>
      </c>
      <c r="QM43">
        <f>IF($B43=0,1000000,IF(INDEX('計算A'!$D$60:$EQ$104,$B43,60)*FI43=1,IF(AND($E43=2,KX43=0),1000000,IF($I43&gt;0,IF(3=$J43,IF(OR(AND(60=$I43+1,OR($K43&lt;&gt;'計算A'!$A$3,'計算A'!$A$4=0)),AND(60=$I43-1,OR(12&lt;&gt;'計算A'!$A$3,'計算A'!$A$4=0))),0,IF(12=$K43,200000,ABS(12-$K43)*100)),100000+ABS(3-$J43)*1000+120)+'計算A'!BK$5*50+IF(AND($E43=1,KX43=0),25,0),IF($F43&gt;0,INDEX('計算A'!BK$110:BK$114,$F43+1)+IF(AND($E43=1,KX43=0),1000,0),MIN(TW43,20)*400+(IF('計算A'!BJ$106=1,1-FH43,0)+IF('計算A'!BK$106=1,1-FJ43,0))*150+123+'計算A'!BK$5*100000+IF(AND($E43=1,KX43=0),50000,0))+IF($H43=1,(IF('計算A'!BJ$117=1,INDEX('計算A'!BJ$10:BJ$54,$B43),0)+IF('計算A'!BK$117=1,INDEX('計算A'!BL$10:BL$54,$B43),0))*4000,0)-IF(AND('計算A'!BJ$117=1,WH43&gt;0),2000,0)-IF(AND($L43=1,'計算A'!BK$117=1,FJ43=0),2000,0))),1000000))</f>
        <v/>
      </c>
      <c r="QN43">
        <f>IF($B43=0,1000000,IF(INDEX('計算A'!$D$60:$EQ$104,$B43,61)*FJ43=1,IF(AND($E43=2,KY43=0),1000000,IF($I43&gt;0,IF(3=$J43,IF(OR(AND(61=$I43+1,OR($K43&lt;&gt;'計算A'!$A$3,'計算A'!$A$4=0)),AND(61=$I43-1,OR(13&lt;&gt;'計算A'!$A$3,'計算A'!$A$4=0))),0,IF(13=$K43,200000,ABS(13-$K43)*100)),100000+ABS(3-$J43)*1000+130)+'計算A'!BL$5*50+IF(AND($E43=1,KY43=0),25,0),IF($F43&gt;0,INDEX('計算A'!BL$110:BL$114,$F43+1)+IF(AND($E43=1,KY43=0),1000,0),MIN(TW43,20)*400+(IF('計算A'!BK$106=1,1-FI43,0)+IF('計算A'!BL$106=1,1-FK43,0))*150+133+'計算A'!BL$5*100000+IF(AND($E43=1,KY43=0),50000,0))+IF($H43=1,(IF('計算A'!BK$117=1,INDEX('計算A'!BK$10:BK$54,$B43),0)+IF('計算A'!BL$117=1,INDEX('計算A'!BM$10:BM$54,$B43),0))*4000,0)-IF(AND('計算A'!BK$117=1,WI43&gt;0),2000,0)-IF(AND($L43=1,'計算A'!BL$117=1,FK43=0),2000,0))),1000000))</f>
        <v/>
      </c>
      <c r="QO43">
        <f>IF($B43=0,1000000,IF(INDEX('計算A'!$D$60:$EQ$104,$B43,62)*FK43=1,IF(AND($E43=2,KZ43=0),1000000,IF($I43&gt;0,IF(3=$J43,IF(OR(AND(62=$I43+1,OR($K43&lt;&gt;'計算A'!$A$3,'計算A'!$A$4=0)),AND(62=$I43-1,OR(14&lt;&gt;'計算A'!$A$3,'計算A'!$A$4=0))),0,IF(14=$K43,200000,ABS(14-$K43)*100)),100000+ABS(3-$J43)*1000+140)+'計算A'!BM$5*50+IF(AND($E43=1,KZ43=0),25,0),IF($F43&gt;0,INDEX('計算A'!BM$110:BM$114,$F43+1)+IF(AND($E43=1,KZ43=0),1000,0),MIN(TW43,20)*400+(IF('計算A'!BL$106=1,1-FJ43,0)+IF('計算A'!BM$106=1,1-FL43,0))*150+143+'計算A'!BM$5*100000+IF(AND($E43=1,KZ43=0),50000,0))+IF($H43=1,(IF('計算A'!BL$117=1,INDEX('計算A'!BL$10:BL$54,$B43),0)+IF('計算A'!BM$117=1,INDEX('計算A'!BN$10:BN$54,$B43),0))*4000,0)-IF(AND('計算A'!BL$117=1,WJ43&gt;0),2000,0)-IF(AND($L43=1,'計算A'!BM$117=1,FL43=0),2000,0))),1000000))</f>
        <v/>
      </c>
      <c r="QP43">
        <f>IF($B43=0,1000000,IF(INDEX('計算A'!$D$60:$EQ$104,$B43,63)*FL43=1,IF(AND($E43=2,LA43=0),1000000,IF($I43&gt;0,IF(3=$J43,IF(OR(AND(63=$I43+1,OR($K43&lt;&gt;'計算A'!$A$3,'計算A'!$A$4=0)),AND(63=$I43-1,OR(15&lt;&gt;'計算A'!$A$3,'計算A'!$A$4=0))),0,IF(15=$K43,200000,ABS(15-$K43)*100)),100000+ABS(3-$J43)*1000+150)+'計算A'!BN$5*50+IF(AND($E43=1,LA43=0),25,0),IF($F43&gt;0,INDEX('計算A'!BN$110:BN$114,$F43+1)+IF(AND($E43=1,LA43=0),1000,0),MIN(TW43,20)*400+(IF('計算A'!BM$106=1,1-FK43,0)+IF('計算A'!BN$106=1,1-FM43,0))*150+153+'計算A'!BN$5*100000+IF(AND($E43=1,LA43=0),50000,0))+IF($H43=1,(IF('計算A'!BM$117=1,INDEX('計算A'!BM$10:BM$54,$B43),0)+IF('計算A'!BN$117=1,INDEX('計算A'!BO$10:BO$54,$B43),0))*4000,0)-IF(AND('計算A'!BM$117=1,WK43&gt;0),2000,0)-IF(AND($L43=1,'計算A'!BN$117=1,FM43=0),2000,0))),1000000))</f>
        <v/>
      </c>
      <c r="QQ43">
        <f>IF($B43=0,1000000,IF(INDEX('計算A'!$D$60:$EQ$104,$B43,64)*FM43=1,IF(AND($E43=2,LB43=0),1000000,IF($I43&gt;0,IF(3=$J43,IF(OR(AND(64=$I43+1,OR($K43&lt;&gt;'計算A'!$A$3,'計算A'!$A$4=0)),AND(64=$I43-1,OR(16&lt;&gt;'計算A'!$A$3,'計算A'!$A$4=0))),0,IF(16=$K43,200000,ABS(16-$K43)*100)),100000+ABS(3-$J43)*1000+160)+'計算A'!BO$5*50+IF(AND($E43=1,LB43=0),25,0),IF($F43&gt;0,INDEX('計算A'!BO$110:BO$114,$F43+1)+IF(AND($E43=1,LB43=0),1000,0),MIN(TW43,20)*400+(IF('計算A'!BN$106=1,1-FL43,0)+IF('計算A'!BO$106=1,1-FN43,0))*150+163+'計算A'!BO$5*100000+IF(AND($E43=1,LB43=0),50000,0))+IF($H43=1,(IF('計算A'!BN$117=1,INDEX('計算A'!BN$10:BN$54,$B43),0)+IF('計算A'!BO$117=1,INDEX('計算A'!BP$10:BP$54,$B43),0))*4000,0)-IF(AND('計算A'!BN$117=1,WL43&gt;0),2000,0)-IF(AND($L43=1,'計算A'!BO$117=1,FN43=0),2000,0))),1000000))</f>
        <v/>
      </c>
      <c r="QR43">
        <f>IF($B43=0,1000000,IF(INDEX('計算A'!$D$60:$EQ$104,$B43,65)*FN43=1,IF(AND($E43=2,LC43=0),1000000,IF($I43&gt;0,IF(3=$J43,IF(OR(AND(65=$I43+1,OR($K43&lt;&gt;'計算A'!$A$3,'計算A'!$A$4=0)),AND(65=$I43-1,OR(17&lt;&gt;'計算A'!$A$3,'計算A'!$A$4=0))),0,IF(17=$K43,200000,ABS(17-$K43)*100)),100000+ABS(3-$J43)*1000+170)+'計算A'!BP$5*50+IF(AND($E43=1,LC43=0),25,0),IF($F43&gt;0,INDEX('計算A'!BP$110:BP$114,$F43+1)+IF(AND($E43=1,LC43=0),1000,0),MIN(TW43,20)*400+(IF('計算A'!BO$106=1,1-FM43,0)+IF('計算A'!BP$106=1,1-FO43,0))*150+173+'計算A'!BP$5*100000+IF(AND($E43=1,LC43=0),50000,0))+IF($H43=1,(IF('計算A'!BO$117=1,INDEX('計算A'!BO$10:BO$54,$B43),0)+IF('計算A'!BP$117=1,INDEX('計算A'!BQ$10:BQ$54,$B43),0))*4000,0)-IF(AND('計算A'!BO$117=1,WM43&gt;0),2000,0)-IF(AND($L43=1,'計算A'!BP$117=1,FO43=0),2000,0))),1000000))</f>
        <v/>
      </c>
      <c r="QS43">
        <f>IF($B43=0,1000000,IF(INDEX('計算A'!$D$60:$EQ$104,$B43,66)*FO43=1,IF(AND($E43=2,LD43=0),1000000,IF($I43&gt;0,IF(3=$J43,IF(OR(AND(66=$I43+1,OR($K43&lt;&gt;'計算A'!$A$3,'計算A'!$A$4=0)),AND(66=$I43-1,OR(18&lt;&gt;'計算A'!$A$3,'計算A'!$A$4=0))),0,IF(18=$K43,200000,ABS(18-$K43)*100)),100000+ABS(3-$J43)*1000+180)+'計算A'!BQ$5*50+IF(AND($E43=1,LD43=0),25,0),IF($F43&gt;0,INDEX('計算A'!BQ$110:BQ$114,$F43+1)+IF(AND($E43=1,LD43=0),1000,0),MIN(TW43,20)*400+(IF('計算A'!BP$106=1,1-FN43,0)+IF('計算A'!BQ$106=1,1-FP43,0))*150+183+'計算A'!BQ$5*100000+IF(AND($E43=1,LD43=0),50000,0))+IF($H43=1,(IF('計算A'!BP$117=1,INDEX('計算A'!BP$10:BP$54,$B43),0)+IF('計算A'!BQ$117=1,INDEX('計算A'!BR$10:BR$54,$B43),0))*4000,0)-IF(AND('計算A'!BP$117=1,WN43&gt;0),2000,0)-IF(AND($L43=1,'計算A'!BQ$117=1,FP43=0),2000,0))),1000000))</f>
        <v/>
      </c>
      <c r="QT43">
        <f>IF($B43=0,1000000,IF(INDEX('計算A'!$D$60:$EQ$104,$B43,67)*FP43=1,IF(AND($E43=2,LE43=0),1000000,IF($I43&gt;0,IF(3=$J43,IF(OR(AND(67=$I43+1,OR($K43&lt;&gt;'計算A'!$A$3,'計算A'!$A$4=0)),AND(67=$I43-1,OR(19&lt;&gt;'計算A'!$A$3,'計算A'!$A$4=0))),0,IF(19=$K43,200000,ABS(19-$K43)*100)),100000+ABS(3-$J43)*1000+190)+'計算A'!BR$5*50+IF(AND($E43=1,LE43=0),25,0),IF($F43&gt;0,INDEX('計算A'!BR$110:BR$114,$F43+1)+IF(AND($E43=1,LE43=0),1000,0),MIN(TW43,20)*400+(IF('計算A'!BQ$106=1,1-FO43,0)+IF('計算A'!BR$106=1,1-FQ43,0))*150+193+'計算A'!BR$5*100000+IF(AND($E43=1,LE43=0),50000,0))+IF($H43=1,(IF('計算A'!BQ$117=1,INDEX('計算A'!BQ$10:BQ$54,$B43),0)+IF('計算A'!BR$117=1,INDEX('計算A'!BS$10:BS$54,$B43),0))*4000,0)-IF(AND('計算A'!BQ$117=1,WO43&gt;0),2000,0)-IF(AND($L43=1,'計算A'!BR$117=1,FQ43=0),2000,0))),1000000))</f>
        <v/>
      </c>
      <c r="QU43">
        <f>IF($B43=0,1000000,IF(INDEX('計算A'!$D$60:$EQ$104,$B43,68)*FQ43=1,IF(AND($E43=2,LF43=0),1000000,IF($I43&gt;0,IF(3=$J43,IF(OR(AND(68=$I43+1,OR($K43&lt;&gt;'計算A'!$A$3,'計算A'!$A$4=0)),AND(68=$I43-1,OR(20&lt;&gt;'計算A'!$A$3,'計算A'!$A$4=0))),0,IF(20=$K43,200000,ABS(20-$K43)*100)),100000+ABS(3-$J43)*1000+200)+'計算A'!BS$5*50+IF(AND($E43=1,LF43=0),25,0),IF($F43&gt;0,INDEX('計算A'!BS$110:BS$114,$F43+1)+IF(AND($E43=1,LF43=0),1000,0),MIN(TW43,20)*400+(IF('計算A'!BR$106=1,1-FP43,0)+IF('計算A'!BS$106=1,1-FR43,0))*150+203+'計算A'!BS$5*100000+IF(AND($E43=1,LF43=0),50000,0))+IF($H43=1,(IF('計算A'!BR$117=1,INDEX('計算A'!BR$10:BR$54,$B43),0)+IF('計算A'!BS$117=1,INDEX('計算A'!BT$10:BT$54,$B43),0))*4000,0)-IF(AND('計算A'!BR$117=1,WP43&gt;0),2000,0)-IF(AND($L43=1,'計算A'!BS$117=1,FR43=0),2000,0))),1000000))</f>
        <v/>
      </c>
      <c r="QV43">
        <f>IF($B43=0,1000000,IF(INDEX('計算A'!$D$60:$EQ$104,$B43,69)*FR43=1,IF(AND($E43=2,LG43=0),1000000,IF($I43&gt;0,IF(3=$J43,IF(OR(AND(69=$I43+1,OR($K43&lt;&gt;'計算A'!$A$3,'計算A'!$A$4=0)),AND(69=$I43-1,OR(21&lt;&gt;'計算A'!$A$3,'計算A'!$A$4=0))),0,IF(21=$K43,200000,ABS(21-$K43)*100)),100000+ABS(3-$J43)*1000+210)+'計算A'!BT$5*50+IF(AND($E43=1,LG43=0),25,0),IF($F43&gt;0,INDEX('計算A'!BT$110:BT$114,$F43+1)+IF(AND($E43=1,LG43=0),1000,0),MIN(TW43,20)*400+(IF('計算A'!BS$106=1,1-FQ43,0)+IF('計算A'!BT$106=1,1-FS43,0))*150+213+'計算A'!BT$5*100000+IF(AND($E43=1,LG43=0),50000,0))+IF($H43=1,(IF('計算A'!BS$117=1,INDEX('計算A'!BS$10:BS$54,$B43),0)+IF('計算A'!BT$117=1,INDEX('計算A'!BU$10:BU$54,$B43),0))*4000,0)-IF(AND('計算A'!BS$117=1,WQ43&gt;0),2000,0)-IF(AND($L43=1,'計算A'!BT$117=1,FS43=0),2000,0))),1000000))</f>
        <v/>
      </c>
      <c r="QW43">
        <f>IF($B43=0,1000000,IF(INDEX('計算A'!$D$60:$EQ$104,$B43,70)*FS43=1,IF(AND($E43=2,LH43=0),1000000,IF($I43&gt;0,IF(3=$J43,IF(OR(AND(70=$I43+1,OR($K43&lt;&gt;'計算A'!$A$3,'計算A'!$A$4=0)),AND(70=$I43-1,OR(22&lt;&gt;'計算A'!$A$3,'計算A'!$A$4=0))),0,IF(22=$K43,200000,ABS(22-$K43)*100)),100000+ABS(3-$J43)*1000+220)+'計算A'!BU$5*50+IF(AND($E43=1,LH43=0),25,0),IF($F43&gt;0,INDEX('計算A'!BU$110:BU$114,$F43+1)+IF(AND($E43=1,LH43=0),1000,0),MIN(TW43,20)*400+(IF('計算A'!BT$106=1,1-FR43,0)+IF('計算A'!BU$106=1,1-FT43,0))*150+223+'計算A'!BU$5*100000+IF(AND($E43=1,LH43=0),50000,0))+IF($H43=1,(IF('計算A'!BT$117=1,INDEX('計算A'!BT$10:BT$54,$B43),0)+IF('計算A'!BU$117=1,INDEX('計算A'!BV$10:BV$54,$B43),0))*4000,0)-IF(AND('計算A'!BT$117=1,WR43&gt;0),2000,0)-IF(AND($L43=1,'計算A'!BU$117=1,FT43=0),2000,0))),1000000))</f>
        <v/>
      </c>
      <c r="QX43">
        <f>IF($B43=0,1000000,IF(INDEX('計算A'!$D$60:$EQ$104,$B43,71)*FT43=1,IF(AND($E43=2,LI43=0),1000000,IF($I43&gt;0,IF(3=$J43,IF(OR(AND(71=$I43+1,OR($K43&lt;&gt;'計算A'!$A$3,'計算A'!$A$4=0)),AND(71=$I43-1,OR(23&lt;&gt;'計算A'!$A$3,'計算A'!$A$4=0))),0,IF(23=$K43,200000,ABS(23-$K43)*100)),100000+ABS(3-$J43)*1000+230)+'計算A'!BV$5*50+IF(AND($E43=1,LI43=0),25,0),IF($F43&gt;0,INDEX('計算A'!BV$110:BV$114,$F43+1)+IF(AND($E43=1,LI43=0),1000,0),MIN(TW43,20)*400+(IF('計算A'!BU$106=1,1-FS43,0)+IF('計算A'!BV$106=1,1-FU43,0))*150+233+'計算A'!BV$5*100000+IF(AND($E43=1,LI43=0),50000,0))+IF($H43=1,(IF('計算A'!BU$117=1,INDEX('計算A'!BU$10:BU$54,$B43),0)+IF('計算A'!BV$117=1,INDEX('計算A'!BW$10:BW$54,$B43),0))*4000,0)-IF(AND('計算A'!BU$117=1,WS43&gt;0),2000,0)-IF(AND($L43=1,'計算A'!BV$117=1,FU43=0),2000,0))),1000000))</f>
        <v/>
      </c>
      <c r="QY43">
        <f>IF($B43=0,1000000,IF(INDEX('計算A'!$D$60:$EQ$104,$B43,72)*FU43=1,IF(AND($E43=2,LJ43=0),1000000,IF($I43&gt;0,IF(3=$J43,IF(OR(AND(72=$I43+1,OR($K43&lt;&gt;'計算A'!$A$3,'計算A'!$A$4=0)),AND(72=$I43-1,OR(24&lt;&gt;'計算A'!$A$3,'計算A'!$A$4=0))),0,IF(24=$K43,200000,ABS(24-$K43)*100)),100000+ABS(3-$J43)*1000+240)+'計算A'!BW$5*50+IF(AND($E43=1,LJ43=0),25,0),IF($F43&gt;0,INDEX('計算A'!BW$110:BW$114,$F43+1)+IF(AND($E43=1,LJ43=0),1000,0),MIN(TW43,20)*400+(IF('計算A'!BV$106=1,1-FT43,0))*150+243+'計算A'!BW$5*100000+IF(AND($E43=1,LJ43=0),50000,0))+IF($H43=1,(IF('計算A'!BV$117=1,INDEX('計算A'!BV$10:BV$54,$B43),0))*4000,0)-IF(AND('計算A'!BV$117=1,WT43&gt;0),2000,0))),1000000))</f>
        <v/>
      </c>
      <c r="QZ43">
        <f>IF($B43=0,1000000,IF(INDEX('計算A'!$D$60:$EQ$104,$B43,73)*FV43=1,IF(AND($E43=2,LK43=0),1000000,IF($I43&gt;0,IF(4=$J43,IF(OR(AND(73=$I43+1,OR($K43&lt;&gt;'計算A'!$A$3,'計算A'!$A$4=0)),AND(73=$I43-1,OR(1&lt;&gt;'計算A'!$A$3,'計算A'!$A$4=0))),0,IF(1=$K43,200000,ABS(1-$K43)*100)),100000+ABS(4-$J43)*1000+10)+'計算A'!BX$5*50+IF(AND($E43=1,LK43=0),25,0),IF($F43&gt;0,INDEX('計算A'!BX$110:BX$114,$F43+1)+IF(AND($E43=1,LK43=0),1000,0),MIN(TX43,20)*400+(IF('計算A'!BX$106=1,1-FW43,0))*150+14+'計算A'!BX$5*100000+IF(AND($E43=1,LK43=0),50000,0))+IF($H43=1,(IF('計算A'!BX$117=1,INDEX('計算A'!BY$10:BY$54,$B43),0))*4000,0)-IF(AND($L43=1,'計算A'!BX$117=1,FW43=0),2000,0))),1000000))</f>
        <v/>
      </c>
      <c r="RA43">
        <f>IF($B43=0,1000000,IF(INDEX('計算A'!$D$60:$EQ$104,$B43,74)*FW43=1,IF(AND($E43=2,LL43=0),1000000,IF($I43&gt;0,IF(4=$J43,IF(OR(AND(74=$I43+1,OR($K43&lt;&gt;'計算A'!$A$3,'計算A'!$A$4=0)),AND(74=$I43-1,OR(2&lt;&gt;'計算A'!$A$3,'計算A'!$A$4=0))),0,IF(2=$K43,200000,ABS(2-$K43)*100)),100000+ABS(4-$J43)*1000+20)+'計算A'!BY$5*50+IF(AND($E43=1,LL43=0),25,0),IF($F43&gt;0,INDEX('計算A'!BY$110:BY$114,$F43+1)+IF(AND($E43=1,LL43=0),1000,0),MIN(TX43,20)*400+(IF('計算A'!BX$106=1,1-FV43,0)+IF('計算A'!BY$106=1,1-FX43,0))*150+24+'計算A'!BY$5*100000+IF(AND($E43=1,LL43=0),50000,0))+IF($H43=1,(IF('計算A'!BX$117=1,INDEX('計算A'!BX$10:BX$54,$B43),0)+IF('計算A'!BY$117=1,INDEX('計算A'!BZ$10:BZ$54,$B43),0))*4000,0)-IF(AND('計算A'!BX$117=1,WV43&gt;0),2000,0)-IF(AND($L43=1,'計算A'!BY$117=1,FX43=0),2000,0))),1000000))</f>
        <v/>
      </c>
      <c r="RB43">
        <f>IF($B43=0,1000000,IF(INDEX('計算A'!$D$60:$EQ$104,$B43,75)*FX43=1,IF(AND($E43=2,LM43=0),1000000,IF($I43&gt;0,IF(4=$J43,IF(OR(AND(75=$I43+1,OR($K43&lt;&gt;'計算A'!$A$3,'計算A'!$A$4=0)),AND(75=$I43-1,OR(3&lt;&gt;'計算A'!$A$3,'計算A'!$A$4=0))),0,IF(3=$K43,200000,ABS(3-$K43)*100)),100000+ABS(4-$J43)*1000+30)+'計算A'!BZ$5*50+IF(AND($E43=1,LM43=0),25,0),IF($F43&gt;0,INDEX('計算A'!BZ$110:BZ$114,$F43+1)+IF(AND($E43=1,LM43=0),1000,0),MIN(TX43,20)*400+(IF('計算A'!BY$106=1,1-FW43,0)+IF('計算A'!BZ$106=1,1-FY43,0))*150+34+'計算A'!BZ$5*100000+IF(AND($E43=1,LM43=0),50000,0))+IF($H43=1,(IF('計算A'!BY$117=1,INDEX('計算A'!BY$10:BY$54,$B43),0)+IF('計算A'!BZ$117=1,INDEX('計算A'!CA$10:CA$54,$B43),0))*4000,0)-IF(AND('計算A'!BY$117=1,WW43&gt;0),2000,0)-IF(AND($L43=1,'計算A'!BZ$117=1,FY43=0),2000,0))),1000000))</f>
        <v/>
      </c>
      <c r="RC43">
        <f>IF($B43=0,1000000,IF(INDEX('計算A'!$D$60:$EQ$104,$B43,76)*FY43=1,IF(AND($E43=2,LN43=0),1000000,IF($I43&gt;0,IF(4=$J43,IF(OR(AND(76=$I43+1,OR($K43&lt;&gt;'計算A'!$A$3,'計算A'!$A$4=0)),AND(76=$I43-1,OR(4&lt;&gt;'計算A'!$A$3,'計算A'!$A$4=0))),0,IF(4=$K43,200000,ABS(4-$K43)*100)),100000+ABS(4-$J43)*1000+40)+'計算A'!CA$5*50+IF(AND($E43=1,LN43=0),25,0),IF($F43&gt;0,INDEX('計算A'!CA$110:CA$114,$F43+1)+IF(AND($E43=1,LN43=0),1000,0),MIN(TX43,20)*400+(IF('計算A'!BZ$106=1,1-FX43,0)+IF('計算A'!CA$106=1,1-FZ43,0))*150+44+'計算A'!CA$5*100000+IF(AND($E43=1,LN43=0),50000,0))+IF($H43=1,(IF('計算A'!BZ$117=1,INDEX('計算A'!BZ$10:BZ$54,$B43),0)+IF('計算A'!CA$117=1,INDEX('計算A'!CB$10:CB$54,$B43),0))*4000,0)-IF(AND('計算A'!BZ$117=1,WX43&gt;0),2000,0)-IF(AND($L43=1,'計算A'!CA$117=1,FZ43=0),2000,0))),1000000))</f>
        <v/>
      </c>
      <c r="RD43">
        <f>IF($B43=0,1000000,IF(INDEX('計算A'!$D$60:$EQ$104,$B43,77)*FZ43=1,IF(AND($E43=2,LO43=0),1000000,IF($I43&gt;0,IF(4=$J43,IF(OR(AND(77=$I43+1,OR($K43&lt;&gt;'計算A'!$A$3,'計算A'!$A$4=0)),AND(77=$I43-1,OR(5&lt;&gt;'計算A'!$A$3,'計算A'!$A$4=0))),0,IF(5=$K43,200000,ABS(5-$K43)*100)),100000+ABS(4-$J43)*1000+50)+'計算A'!CB$5*50+IF(AND($E43=1,LO43=0),25,0),IF($F43&gt;0,INDEX('計算A'!CB$110:CB$114,$F43+1)+IF(AND($E43=1,LO43=0),1000,0),MIN(TX43,20)*400+(IF('計算A'!CA$106=1,1-FY43,0)+IF('計算A'!CB$106=1,1-GA43,0))*150+54+'計算A'!CB$5*100000+IF(AND($E43=1,LO43=0),50000,0))+IF($H43=1,(IF('計算A'!CA$117=1,INDEX('計算A'!CA$10:CA$54,$B43),0)+IF('計算A'!CB$117=1,INDEX('計算A'!CC$10:CC$54,$B43),0))*4000,0)-IF(AND('計算A'!CA$117=1,WY43&gt;0),2000,0)-IF(AND($L43=1,'計算A'!CB$117=1,GA43=0),2000,0))),1000000))</f>
        <v/>
      </c>
      <c r="RE43">
        <f>IF($B43=0,1000000,IF(INDEX('計算A'!$D$60:$EQ$104,$B43,78)*GA43=1,IF(AND($E43=2,LP43=0),1000000,IF($I43&gt;0,IF(4=$J43,IF(OR(AND(78=$I43+1,OR($K43&lt;&gt;'計算A'!$A$3,'計算A'!$A$4=0)),AND(78=$I43-1,OR(6&lt;&gt;'計算A'!$A$3,'計算A'!$A$4=0))),0,IF(6=$K43,200000,ABS(6-$K43)*100)),100000+ABS(4-$J43)*1000+60)+'計算A'!CC$5*50+IF(AND($E43=1,LP43=0),25,0),IF($F43&gt;0,INDEX('計算A'!CC$110:CC$114,$F43+1)+IF(AND($E43=1,LP43=0),1000,0),MIN(TX43,20)*400+(IF('計算A'!CB$106=1,1-FZ43,0)+IF('計算A'!CC$106=1,1-GB43,0))*150+64+'計算A'!CC$5*100000+IF(AND($E43=1,LP43=0),50000,0))+IF($H43=1,(IF('計算A'!CB$117=1,INDEX('計算A'!CB$10:CB$54,$B43),0)+IF('計算A'!CC$117=1,INDEX('計算A'!CD$10:CD$54,$B43),0))*4000,0)-IF(AND('計算A'!CB$117=1,WZ43&gt;0),2000,0)-IF(AND($L43=1,'計算A'!CC$117=1,GB43=0),2000,0))),1000000))</f>
        <v/>
      </c>
      <c r="RF43">
        <f>IF($B43=0,1000000,IF(INDEX('計算A'!$D$60:$EQ$104,$B43,79)*GB43=1,IF(AND($E43=2,LQ43=0),1000000,IF($I43&gt;0,IF(4=$J43,IF(OR(AND(79=$I43+1,OR($K43&lt;&gt;'計算A'!$A$3,'計算A'!$A$4=0)),AND(79=$I43-1,OR(7&lt;&gt;'計算A'!$A$3,'計算A'!$A$4=0))),0,IF(7=$K43,200000,ABS(7-$K43)*100)),100000+ABS(4-$J43)*1000+70)+'計算A'!CD$5*50+IF(AND($E43=1,LQ43=0),25,0),IF($F43&gt;0,INDEX('計算A'!CD$110:CD$114,$F43+1)+IF(AND($E43=1,LQ43=0),1000,0),MIN(TX43,20)*400+(IF('計算A'!CC$106=1,1-GA43,0)+IF('計算A'!CD$106=1,1-GC43,0))*150+74+'計算A'!CD$5*100000+IF(AND($E43=1,LQ43=0),50000,0))+IF($H43=1,(IF('計算A'!CC$117=1,INDEX('計算A'!CC$10:CC$54,$B43),0)+IF('計算A'!CD$117=1,INDEX('計算A'!CE$10:CE$54,$B43),0))*4000,0)-IF(AND('計算A'!CC$117=1,XA43&gt;0),2000,0)-IF(AND($L43=1,'計算A'!CD$117=1,GC43=0),2000,0))),1000000))</f>
        <v/>
      </c>
      <c r="RG43">
        <f>IF($B43=0,1000000,IF(INDEX('計算A'!$D$60:$EQ$104,$B43,80)*GC43=1,IF(AND($E43=2,LR43=0),1000000,IF($I43&gt;0,IF(4=$J43,IF(OR(AND(80=$I43+1,OR($K43&lt;&gt;'計算A'!$A$3,'計算A'!$A$4=0)),AND(80=$I43-1,OR(8&lt;&gt;'計算A'!$A$3,'計算A'!$A$4=0))),0,IF(8=$K43,200000,ABS(8-$K43)*100)),100000+ABS(4-$J43)*1000+80)+'計算A'!CE$5*50+IF(AND($E43=1,LR43=0),25,0),IF($F43&gt;0,INDEX('計算A'!CE$110:CE$114,$F43+1)+IF(AND($E43=1,LR43=0),1000,0),MIN(TX43,20)*400+(IF('計算A'!CD$106=1,1-GB43,0)+IF('計算A'!CE$106=1,1-GD43,0))*150+84+'計算A'!CE$5*100000+IF(AND($E43=1,LR43=0),50000,0))+IF($H43=1,(IF('計算A'!CD$117=1,INDEX('計算A'!CD$10:CD$54,$B43),0)+IF('計算A'!CE$117=1,INDEX('計算A'!CF$10:CF$54,$B43),0))*4000,0)-IF(AND('計算A'!CD$117=1,XB43&gt;0),2000,0)-IF(AND($L43=1,'計算A'!CE$117=1,GD43=0),2000,0))),1000000))</f>
        <v/>
      </c>
      <c r="RH43">
        <f>IF($B43=0,1000000,IF(INDEX('計算A'!$D$60:$EQ$104,$B43,81)*GD43=1,IF(AND($E43=2,LS43=0),1000000,IF($I43&gt;0,IF(4=$J43,IF(OR(AND(81=$I43+1,OR($K43&lt;&gt;'計算A'!$A$3,'計算A'!$A$4=0)),AND(81=$I43-1,OR(9&lt;&gt;'計算A'!$A$3,'計算A'!$A$4=0))),0,IF(9=$K43,200000,ABS(9-$K43)*100)),100000+ABS(4-$J43)*1000+90)+'計算A'!CF$5*50+IF(AND($E43=1,LS43=0),25,0),IF($F43&gt;0,INDEX('計算A'!CF$110:CF$114,$F43+1)+IF(AND($E43=1,LS43=0),1000,0),MIN(TX43,20)*400+(IF('計算A'!CE$106=1,1-GC43,0)+IF('計算A'!CF$106=1,1-GE43,0))*150+94+'計算A'!CF$5*100000+IF(AND($E43=1,LS43=0),50000,0))+IF($H43=1,(IF('計算A'!CE$117=1,INDEX('計算A'!CE$10:CE$54,$B43),0)+IF('計算A'!CF$117=1,INDEX('計算A'!CG$10:CG$54,$B43),0))*4000,0)-IF(AND('計算A'!CE$117=1,XC43&gt;0),2000,0)-IF(AND($L43=1,'計算A'!CF$117=1,GE43=0),2000,0))),1000000))</f>
        <v/>
      </c>
      <c r="RI43">
        <f>IF($B43=0,1000000,IF(INDEX('計算A'!$D$60:$EQ$104,$B43,82)*GE43=1,IF(AND($E43=2,LT43=0),1000000,IF($I43&gt;0,IF(4=$J43,IF(OR(AND(82=$I43+1,OR($K43&lt;&gt;'計算A'!$A$3,'計算A'!$A$4=0)),AND(82=$I43-1,OR(10&lt;&gt;'計算A'!$A$3,'計算A'!$A$4=0))),0,IF(10=$K43,200000,ABS(10-$K43)*100)),100000+ABS(4-$J43)*1000+100)+'計算A'!CG$5*50+IF(AND($E43=1,LT43=0),25,0),IF($F43&gt;0,INDEX('計算A'!CG$110:CG$114,$F43+1)+IF(AND($E43=1,LT43=0),1000,0),MIN(TX43,20)*400+(IF('計算A'!CF$106=1,1-GD43,0)+IF('計算A'!CG$106=1,1-GF43,0))*150+104+'計算A'!CG$5*100000+IF(AND($E43=1,LT43=0),50000,0))+IF($H43=1,(IF('計算A'!CF$117=1,INDEX('計算A'!CF$10:CF$54,$B43),0)+IF('計算A'!CG$117=1,INDEX('計算A'!CH$10:CH$54,$B43),0))*4000,0)-IF(AND('計算A'!CF$117=1,XD43&gt;0),2000,0)-IF(AND($L43=1,'計算A'!CG$117=1,GF43=0),2000,0))),1000000))</f>
        <v/>
      </c>
      <c r="RJ43">
        <f>IF($B43=0,1000000,IF(INDEX('計算A'!$D$60:$EQ$104,$B43,83)*GF43=1,IF(AND($E43=2,LU43=0),1000000,IF($I43&gt;0,IF(4=$J43,IF(OR(AND(83=$I43+1,OR($K43&lt;&gt;'計算A'!$A$3,'計算A'!$A$4=0)),AND(83=$I43-1,OR(11&lt;&gt;'計算A'!$A$3,'計算A'!$A$4=0))),0,IF(11=$K43,200000,ABS(11-$K43)*100)),100000+ABS(4-$J43)*1000+110)+'計算A'!CH$5*50+IF(AND($E43=1,LU43=0),25,0),IF($F43&gt;0,INDEX('計算A'!CH$110:CH$114,$F43+1)+IF(AND($E43=1,LU43=0),1000,0),MIN(TX43,20)*400+(IF('計算A'!CG$106=1,1-GE43,0)+IF('計算A'!CH$106=1,1-GG43,0))*150+114+'計算A'!CH$5*100000+IF(AND($E43=1,LU43=0),50000,0))+IF($H43=1,(IF('計算A'!CG$117=1,INDEX('計算A'!CG$10:CG$54,$B43),0)+IF('計算A'!CH$117=1,INDEX('計算A'!CI$10:CI$54,$B43),0))*4000,0)-IF(AND('計算A'!CG$117=1,XE43&gt;0),2000,0)-IF(AND($L43=1,'計算A'!CH$117=1,GG43=0),2000,0))),1000000))</f>
        <v/>
      </c>
      <c r="RK43">
        <f>IF($B43=0,1000000,IF(INDEX('計算A'!$D$60:$EQ$104,$B43,84)*GG43=1,IF(AND($E43=2,LV43=0),1000000,IF($I43&gt;0,IF(4=$J43,IF(OR(AND(84=$I43+1,OR($K43&lt;&gt;'計算A'!$A$3,'計算A'!$A$4=0)),AND(84=$I43-1,OR(12&lt;&gt;'計算A'!$A$3,'計算A'!$A$4=0))),0,IF(12=$K43,200000,ABS(12-$K43)*100)),100000+ABS(4-$J43)*1000+120)+'計算A'!CI$5*50+IF(AND($E43=1,LV43=0),25,0),IF($F43&gt;0,INDEX('計算A'!CI$110:CI$114,$F43+1)+IF(AND($E43=1,LV43=0),1000,0),MIN(TX43,20)*400+(IF('計算A'!CH$106=1,1-GF43,0)+IF('計算A'!CI$106=1,1-GH43,0))*150+124+'計算A'!CI$5*100000+IF(AND($E43=1,LV43=0),50000,0))+IF($H43=1,(IF('計算A'!CH$117=1,INDEX('計算A'!CH$10:CH$54,$B43),0)+IF('計算A'!CI$117=1,INDEX('計算A'!CJ$10:CJ$54,$B43),0))*4000,0)-IF(AND('計算A'!CH$117=1,XF43&gt;0),2000,0)-IF(AND($L43=1,'計算A'!CI$117=1,GH43=0),2000,0))),1000000))</f>
        <v/>
      </c>
      <c r="RL43">
        <f>IF($B43=0,1000000,IF(INDEX('計算A'!$D$60:$EQ$104,$B43,85)*GH43=1,IF(AND($E43=2,LW43=0),1000000,IF($I43&gt;0,IF(4=$J43,IF(OR(AND(85=$I43+1,OR($K43&lt;&gt;'計算A'!$A$3,'計算A'!$A$4=0)),AND(85=$I43-1,OR(13&lt;&gt;'計算A'!$A$3,'計算A'!$A$4=0))),0,IF(13=$K43,200000,ABS(13-$K43)*100)),100000+ABS(4-$J43)*1000+130)+'計算A'!CJ$5*50+IF(AND($E43=1,LW43=0),25,0),IF($F43&gt;0,INDEX('計算A'!CJ$110:CJ$114,$F43+1)+IF(AND($E43=1,LW43=0),1000,0),MIN(TX43,20)*400+(IF('計算A'!CI$106=1,1-GG43,0)+IF('計算A'!CJ$106=1,1-GI43,0))*150+134+'計算A'!CJ$5*100000+IF(AND($E43=1,LW43=0),50000,0))+IF($H43=1,(IF('計算A'!CI$117=1,INDEX('計算A'!CI$10:CI$54,$B43),0)+IF('計算A'!CJ$117=1,INDEX('計算A'!CK$10:CK$54,$B43),0))*4000,0)-IF(AND('計算A'!CI$117=1,XG43&gt;0),2000,0)-IF(AND($L43=1,'計算A'!CJ$117=1,GI43=0),2000,0))),1000000))</f>
        <v/>
      </c>
      <c r="RM43">
        <f>IF($B43=0,1000000,IF(INDEX('計算A'!$D$60:$EQ$104,$B43,86)*GI43=1,IF(AND($E43=2,LX43=0),1000000,IF($I43&gt;0,IF(4=$J43,IF(OR(AND(86=$I43+1,OR($K43&lt;&gt;'計算A'!$A$3,'計算A'!$A$4=0)),AND(86=$I43-1,OR(14&lt;&gt;'計算A'!$A$3,'計算A'!$A$4=0))),0,IF(14=$K43,200000,ABS(14-$K43)*100)),100000+ABS(4-$J43)*1000+140)+'計算A'!CK$5*50+IF(AND($E43=1,LX43=0),25,0),IF($F43&gt;0,INDEX('計算A'!CK$110:CK$114,$F43+1)+IF(AND($E43=1,LX43=0),1000,0),MIN(TX43,20)*400+(IF('計算A'!CJ$106=1,1-GH43,0)+IF('計算A'!CK$106=1,1-GJ43,0))*150+144+'計算A'!CK$5*100000+IF(AND($E43=1,LX43=0),50000,0))+IF($H43=1,(IF('計算A'!CJ$117=1,INDEX('計算A'!CJ$10:CJ$54,$B43),0)+IF('計算A'!CK$117=1,INDEX('計算A'!CL$10:CL$54,$B43),0))*4000,0)-IF(AND('計算A'!CJ$117=1,XH43&gt;0),2000,0)-IF(AND($L43=1,'計算A'!CK$117=1,GJ43=0),2000,0))),1000000))</f>
        <v/>
      </c>
      <c r="RN43">
        <f>IF($B43=0,1000000,IF(INDEX('計算A'!$D$60:$EQ$104,$B43,87)*GJ43=1,IF(AND($E43=2,LY43=0),1000000,IF($I43&gt;0,IF(4=$J43,IF(OR(AND(87=$I43+1,OR($K43&lt;&gt;'計算A'!$A$3,'計算A'!$A$4=0)),AND(87=$I43-1,OR(15&lt;&gt;'計算A'!$A$3,'計算A'!$A$4=0))),0,IF(15=$K43,200000,ABS(15-$K43)*100)),100000+ABS(4-$J43)*1000+150)+'計算A'!CL$5*50+IF(AND($E43=1,LY43=0),25,0),IF($F43&gt;0,INDEX('計算A'!CL$110:CL$114,$F43+1)+IF(AND($E43=1,LY43=0),1000,0),MIN(TX43,20)*400+(IF('計算A'!CK$106=1,1-GI43,0)+IF('計算A'!CL$106=1,1-GK43,0))*150+154+'計算A'!CL$5*100000+IF(AND($E43=1,LY43=0),50000,0))+IF($H43=1,(IF('計算A'!CK$117=1,INDEX('計算A'!CK$10:CK$54,$B43),0)+IF('計算A'!CL$117=1,INDEX('計算A'!CM$10:CM$54,$B43),0))*4000,0)-IF(AND('計算A'!CK$117=1,XI43&gt;0),2000,0)-IF(AND($L43=1,'計算A'!CL$117=1,GK43=0),2000,0))),1000000))</f>
        <v/>
      </c>
      <c r="RO43">
        <f>IF($B43=0,1000000,IF(INDEX('計算A'!$D$60:$EQ$104,$B43,88)*GK43=1,IF(AND($E43=2,LZ43=0),1000000,IF($I43&gt;0,IF(4=$J43,IF(OR(AND(88=$I43+1,OR($K43&lt;&gt;'計算A'!$A$3,'計算A'!$A$4=0)),AND(88=$I43-1,OR(16&lt;&gt;'計算A'!$A$3,'計算A'!$A$4=0))),0,IF(16=$K43,200000,ABS(16-$K43)*100)),100000+ABS(4-$J43)*1000+160)+'計算A'!CM$5*50+IF(AND($E43=1,LZ43=0),25,0),IF($F43&gt;0,INDEX('計算A'!CM$110:CM$114,$F43+1)+IF(AND($E43=1,LZ43=0),1000,0),MIN(TX43,20)*400+(IF('計算A'!CL$106=1,1-GJ43,0)+IF('計算A'!CM$106=1,1-GL43,0))*150+164+'計算A'!CM$5*100000+IF(AND($E43=1,LZ43=0),50000,0))+IF($H43=1,(IF('計算A'!CL$117=1,INDEX('計算A'!CL$10:CL$54,$B43),0)+IF('計算A'!CM$117=1,INDEX('計算A'!CN$10:CN$54,$B43),0))*4000,0)-IF(AND('計算A'!CL$117=1,XJ43&gt;0),2000,0)-IF(AND($L43=1,'計算A'!CM$117=1,GL43=0),2000,0))),1000000))</f>
        <v/>
      </c>
      <c r="RP43">
        <f>IF($B43=0,1000000,IF(INDEX('計算A'!$D$60:$EQ$104,$B43,89)*GL43=1,IF(AND($E43=2,MA43=0),1000000,IF($I43&gt;0,IF(4=$J43,IF(OR(AND(89=$I43+1,OR($K43&lt;&gt;'計算A'!$A$3,'計算A'!$A$4=0)),AND(89=$I43-1,OR(17&lt;&gt;'計算A'!$A$3,'計算A'!$A$4=0))),0,IF(17=$K43,200000,ABS(17-$K43)*100)),100000+ABS(4-$J43)*1000+170)+'計算A'!CN$5*50+IF(AND($E43=1,MA43=0),25,0),IF($F43&gt;0,INDEX('計算A'!CN$110:CN$114,$F43+1)+IF(AND($E43=1,MA43=0),1000,0),MIN(TX43,20)*400+(IF('計算A'!CM$106=1,1-GK43,0)+IF('計算A'!CN$106=1,1-GM43,0))*150+174+'計算A'!CN$5*100000+IF(AND($E43=1,MA43=0),50000,0))+IF($H43=1,(IF('計算A'!CM$117=1,INDEX('計算A'!CM$10:CM$54,$B43),0)+IF('計算A'!CN$117=1,INDEX('計算A'!CO$10:CO$54,$B43),0))*4000,0)-IF(AND('計算A'!CM$117=1,XK43&gt;0),2000,0)-IF(AND($L43=1,'計算A'!CN$117=1,GM43=0),2000,0))),1000000))</f>
        <v/>
      </c>
      <c r="RQ43">
        <f>IF($B43=0,1000000,IF(INDEX('計算A'!$D$60:$EQ$104,$B43,90)*GM43=1,IF(AND($E43=2,MB43=0),1000000,IF($I43&gt;0,IF(4=$J43,IF(OR(AND(90=$I43+1,OR($K43&lt;&gt;'計算A'!$A$3,'計算A'!$A$4=0)),AND(90=$I43-1,OR(18&lt;&gt;'計算A'!$A$3,'計算A'!$A$4=0))),0,IF(18=$K43,200000,ABS(18-$K43)*100)),100000+ABS(4-$J43)*1000+180)+'計算A'!CO$5*50+IF(AND($E43=1,MB43=0),25,0),IF($F43&gt;0,INDEX('計算A'!CO$110:CO$114,$F43+1)+IF(AND($E43=1,MB43=0),1000,0),MIN(TX43,20)*400+(IF('計算A'!CN$106=1,1-GL43,0)+IF('計算A'!CO$106=1,1-GN43,0))*150+184+'計算A'!CO$5*100000+IF(AND($E43=1,MB43=0),50000,0))+IF($H43=1,(IF('計算A'!CN$117=1,INDEX('計算A'!CN$10:CN$54,$B43),0)+IF('計算A'!CO$117=1,INDEX('計算A'!CP$10:CP$54,$B43),0))*4000,0)-IF(AND('計算A'!CN$117=1,XL43&gt;0),2000,0)-IF(AND($L43=1,'計算A'!CO$117=1,GN43=0),2000,0))),1000000))</f>
        <v/>
      </c>
      <c r="RR43">
        <f>IF($B43=0,1000000,IF(INDEX('計算A'!$D$60:$EQ$104,$B43,91)*GN43=1,IF(AND($E43=2,MC43=0),1000000,IF($I43&gt;0,IF(4=$J43,IF(OR(AND(91=$I43+1,OR($K43&lt;&gt;'計算A'!$A$3,'計算A'!$A$4=0)),AND(91=$I43-1,OR(19&lt;&gt;'計算A'!$A$3,'計算A'!$A$4=0))),0,IF(19=$K43,200000,ABS(19-$K43)*100)),100000+ABS(4-$J43)*1000+190)+'計算A'!CP$5*50+IF(AND($E43=1,MC43=0),25,0),IF($F43&gt;0,INDEX('計算A'!CP$110:CP$114,$F43+1)+IF(AND($E43=1,MC43=0),1000,0),MIN(TX43,20)*400+(IF('計算A'!CO$106=1,1-GM43,0)+IF('計算A'!CP$106=1,1-GO43,0))*150+194+'計算A'!CP$5*100000+IF(AND($E43=1,MC43=0),50000,0))+IF($H43=1,(IF('計算A'!CO$117=1,INDEX('計算A'!CO$10:CO$54,$B43),0)+IF('計算A'!CP$117=1,INDEX('計算A'!CQ$10:CQ$54,$B43),0))*4000,0)-IF(AND('計算A'!CO$117=1,XM43&gt;0),2000,0)-IF(AND($L43=1,'計算A'!CP$117=1,GO43=0),2000,0))),1000000))</f>
        <v/>
      </c>
      <c r="RS43">
        <f>IF($B43=0,1000000,IF(INDEX('計算A'!$D$60:$EQ$104,$B43,92)*GO43=1,IF(AND($E43=2,MD43=0),1000000,IF($I43&gt;0,IF(4=$J43,IF(OR(AND(92=$I43+1,OR($K43&lt;&gt;'計算A'!$A$3,'計算A'!$A$4=0)),AND(92=$I43-1,OR(20&lt;&gt;'計算A'!$A$3,'計算A'!$A$4=0))),0,IF(20=$K43,200000,ABS(20-$K43)*100)),100000+ABS(4-$J43)*1000+200)+'計算A'!CQ$5*50+IF(AND($E43=1,MD43=0),25,0),IF($F43&gt;0,INDEX('計算A'!CQ$110:CQ$114,$F43+1)+IF(AND($E43=1,MD43=0),1000,0),MIN(TX43,20)*400+(IF('計算A'!CP$106=1,1-GN43,0)+IF('計算A'!CQ$106=1,1-GP43,0))*150+204+'計算A'!CQ$5*100000+IF(AND($E43=1,MD43=0),50000,0))+IF($H43=1,(IF('計算A'!CP$117=1,INDEX('計算A'!CP$10:CP$54,$B43),0)+IF('計算A'!CQ$117=1,INDEX('計算A'!CR$10:CR$54,$B43),0))*4000,0)-IF(AND('計算A'!CP$117=1,XN43&gt;0),2000,0)-IF(AND($L43=1,'計算A'!CQ$117=1,GP43=0),2000,0))),1000000))</f>
        <v/>
      </c>
      <c r="RT43">
        <f>IF($B43=0,1000000,IF(INDEX('計算A'!$D$60:$EQ$104,$B43,93)*GP43=1,IF(AND($E43=2,ME43=0),1000000,IF($I43&gt;0,IF(4=$J43,IF(OR(AND(93=$I43+1,OR($K43&lt;&gt;'計算A'!$A$3,'計算A'!$A$4=0)),AND(93=$I43-1,OR(21&lt;&gt;'計算A'!$A$3,'計算A'!$A$4=0))),0,IF(21=$K43,200000,ABS(21-$K43)*100)),100000+ABS(4-$J43)*1000+210)+'計算A'!CR$5*50+IF(AND($E43=1,ME43=0),25,0),IF($F43&gt;0,INDEX('計算A'!CR$110:CR$114,$F43+1)+IF(AND($E43=1,ME43=0),1000,0),MIN(TX43,20)*400+(IF('計算A'!CQ$106=1,1-GO43,0)+IF('計算A'!CR$106=1,1-GQ43,0))*150+214+'計算A'!CR$5*100000+IF(AND($E43=1,ME43=0),50000,0))+IF($H43=1,(IF('計算A'!CQ$117=1,INDEX('計算A'!CQ$10:CQ$54,$B43),0)+IF('計算A'!CR$117=1,INDEX('計算A'!CS$10:CS$54,$B43),0))*4000,0)-IF(AND('計算A'!CQ$117=1,XO43&gt;0),2000,0)-IF(AND($L43=1,'計算A'!CR$117=1,GQ43=0),2000,0))),1000000))</f>
        <v/>
      </c>
      <c r="RU43">
        <f>IF($B43=0,1000000,IF(INDEX('計算A'!$D$60:$EQ$104,$B43,94)*GQ43=1,IF(AND($E43=2,MF43=0),1000000,IF($I43&gt;0,IF(4=$J43,IF(OR(AND(94=$I43+1,OR($K43&lt;&gt;'計算A'!$A$3,'計算A'!$A$4=0)),AND(94=$I43-1,OR(22&lt;&gt;'計算A'!$A$3,'計算A'!$A$4=0))),0,IF(22=$K43,200000,ABS(22-$K43)*100)),100000+ABS(4-$J43)*1000+220)+'計算A'!CS$5*50+IF(AND($E43=1,MF43=0),25,0),IF($F43&gt;0,INDEX('計算A'!CS$110:CS$114,$F43+1)+IF(AND($E43=1,MF43=0),1000,0),MIN(TX43,20)*400+(IF('計算A'!CR$106=1,1-GP43,0)+IF('計算A'!CS$106=1,1-GR43,0))*150+224+'計算A'!CS$5*100000+IF(AND($E43=1,MF43=0),50000,0))+IF($H43=1,(IF('計算A'!CR$117=1,INDEX('計算A'!CR$10:CR$54,$B43),0)+IF('計算A'!CS$117=1,INDEX('計算A'!CT$10:CT$54,$B43),0))*4000,0)-IF(AND('計算A'!CR$117=1,XP43&gt;0),2000,0)-IF(AND($L43=1,'計算A'!CS$117=1,GR43=0),2000,0))),1000000))</f>
        <v/>
      </c>
      <c r="RV43">
        <f>IF($B43=0,1000000,IF(INDEX('計算A'!$D$60:$EQ$104,$B43,95)*GR43=1,IF(AND($E43=2,MG43=0),1000000,IF($I43&gt;0,IF(4=$J43,IF(OR(AND(95=$I43+1,OR($K43&lt;&gt;'計算A'!$A$3,'計算A'!$A$4=0)),AND(95=$I43-1,OR(23&lt;&gt;'計算A'!$A$3,'計算A'!$A$4=0))),0,IF(23=$K43,200000,ABS(23-$K43)*100)),100000+ABS(4-$J43)*1000+230)+'計算A'!CT$5*50+IF(AND($E43=1,MG43=0),25,0),IF($F43&gt;0,INDEX('計算A'!CT$110:CT$114,$F43+1)+IF(AND($E43=1,MG43=0),1000,0),MIN(TX43,20)*400+(IF('計算A'!CS$106=1,1-GQ43,0)+IF('計算A'!CT$106=1,1-GS43,0))*150+234+'計算A'!CT$5*100000+IF(AND($E43=1,MG43=0),50000,0))+IF($H43=1,(IF('計算A'!CS$117=1,INDEX('計算A'!CS$10:CS$54,$B43),0)+IF('計算A'!CT$117=1,INDEX('計算A'!CU$10:CU$54,$B43),0))*4000,0)-IF(AND('計算A'!CS$117=1,XQ43&gt;0),2000,0)-IF(AND($L43=1,'計算A'!CT$117=1,GS43=0),2000,0))),1000000))</f>
        <v/>
      </c>
      <c r="RW43">
        <f>IF($B43=0,1000000,IF(INDEX('計算A'!$D$60:$EQ$104,$B43,96)*GS43=1,IF(AND($E43=2,MH43=0),1000000,IF($I43&gt;0,IF(4=$J43,IF(OR(AND(96=$I43+1,OR($K43&lt;&gt;'計算A'!$A$3,'計算A'!$A$4=0)),AND(96=$I43-1,OR(24&lt;&gt;'計算A'!$A$3,'計算A'!$A$4=0))),0,IF(24=$K43,200000,ABS(24-$K43)*100)),100000+ABS(4-$J43)*1000+240)+'計算A'!CU$5*50+IF(AND($E43=1,MH43=0),25,0),IF($F43&gt;0,INDEX('計算A'!CU$110:CU$114,$F43+1)+IF(AND($E43=1,MH43=0),1000,0),MIN(TX43,20)*400+(IF('計算A'!CT$106=1,1-GR43,0))*150+244+'計算A'!CU$5*100000+IF(AND($E43=1,MH43=0),50000,0))+IF($H43=1,(IF('計算A'!CT$117=1,INDEX('計算A'!CT$10:CT$54,$B43),0))*4000,0)-IF(AND('計算A'!CT$117=1,XR43&gt;0),2000,0))),1000000))</f>
        <v/>
      </c>
      <c r="RX43">
        <f>IF($B43=0,1000000,IF(INDEX('計算A'!$D$60:$EQ$104,$B43,97)*GT43=1,IF(AND($E43=2,MI43=0),1000000,IF($I43&gt;0,IF(5=$J43,IF(OR(AND(97=$I43+1,OR($K43&lt;&gt;'計算A'!$A$3,'計算A'!$A$4=0)),AND(97=$I43-1,OR(1&lt;&gt;'計算A'!$A$3,'計算A'!$A$4=0))),0,IF(1=$K43,200000,ABS(1-$K43)*100)),100000+ABS(5-$J43)*1000+10)+'計算A'!CV$5*50+IF(AND($E43=1,MI43=0),25,0),IF($F43&gt;0,INDEX('計算A'!CV$110:CV$114,$F43+1)+IF(AND($E43=1,MI43=0),1000,0),MIN(TY43,20)*400+(IF('計算A'!CV$106=1,1-GU43,0))*150+15+'計算A'!CV$5*100000+IF(AND($E43=1,MI43=0),50000,0))+IF($H43=1,(IF('計算A'!CV$117=1,INDEX('計算A'!CW$10:CW$54,$B43),0))*4000,0)-IF(AND($L43=1,'計算A'!CV$117=1,GU43=0),2000,0))),1000000))</f>
        <v/>
      </c>
      <c r="RY43">
        <f>IF($B43=0,1000000,IF(INDEX('計算A'!$D$60:$EQ$104,$B43,98)*GU43=1,IF(AND($E43=2,MJ43=0),1000000,IF($I43&gt;0,IF(5=$J43,IF(OR(AND(98=$I43+1,OR($K43&lt;&gt;'計算A'!$A$3,'計算A'!$A$4=0)),AND(98=$I43-1,OR(2&lt;&gt;'計算A'!$A$3,'計算A'!$A$4=0))),0,IF(2=$K43,200000,ABS(2-$K43)*100)),100000+ABS(5-$J43)*1000+20)+'計算A'!CW$5*50+IF(AND($E43=1,MJ43=0),25,0),IF($F43&gt;0,INDEX('計算A'!CW$110:CW$114,$F43+1)+IF(AND($E43=1,MJ43=0),1000,0),MIN(TY43,20)*400+(IF('計算A'!CV$106=1,1-GT43,0)+IF('計算A'!CW$106=1,1-GV43,0))*150+25+'計算A'!CW$5*100000+IF(AND($E43=1,MJ43=0),50000,0))+IF($H43=1,(IF('計算A'!CV$117=1,INDEX('計算A'!CV$10:CV$54,$B43),0)+IF('計算A'!CW$117=1,INDEX('計算A'!CX$10:CX$54,$B43),0))*4000,0)-IF(AND('計算A'!CV$117=1,XT43&gt;0),2000,0)-IF(AND($L43=1,'計算A'!CW$117=1,GV43=0),2000,0))),1000000))</f>
        <v/>
      </c>
      <c r="RZ43">
        <f>IF($B43=0,1000000,IF(INDEX('計算A'!$D$60:$EQ$104,$B43,99)*GV43=1,IF(AND($E43=2,MK43=0),1000000,IF($I43&gt;0,IF(5=$J43,IF(OR(AND(99=$I43+1,OR($K43&lt;&gt;'計算A'!$A$3,'計算A'!$A$4=0)),AND(99=$I43-1,OR(3&lt;&gt;'計算A'!$A$3,'計算A'!$A$4=0))),0,IF(3=$K43,200000,ABS(3-$K43)*100)),100000+ABS(5-$J43)*1000+30)+'計算A'!CX$5*50+IF(AND($E43=1,MK43=0),25,0),IF($F43&gt;0,INDEX('計算A'!CX$110:CX$114,$F43+1)+IF(AND($E43=1,MK43=0),1000,0),MIN(TY43,20)*400+(IF('計算A'!CW$106=1,1-GU43,0)+IF('計算A'!CX$106=1,1-GW43,0))*150+35+'計算A'!CX$5*100000+IF(AND($E43=1,MK43=0),50000,0))+IF($H43=1,(IF('計算A'!CW$117=1,INDEX('計算A'!CW$10:CW$54,$B43),0)+IF('計算A'!CX$117=1,INDEX('計算A'!CY$10:CY$54,$B43),0))*4000,0)-IF(AND('計算A'!CW$117=1,XU43&gt;0),2000,0)-IF(AND($L43=1,'計算A'!CX$117=1,GW43=0),2000,0))),1000000))</f>
        <v/>
      </c>
      <c r="SA43">
        <f>IF($B43=0,1000000,IF(INDEX('計算A'!$D$60:$EQ$104,$B43,100)*GW43=1,IF(AND($E43=2,ML43=0),1000000,IF($I43&gt;0,IF(5=$J43,IF(OR(AND(100=$I43+1,OR($K43&lt;&gt;'計算A'!$A$3,'計算A'!$A$4=0)),AND(100=$I43-1,OR(4&lt;&gt;'計算A'!$A$3,'計算A'!$A$4=0))),0,IF(4=$K43,200000,ABS(4-$K43)*100)),100000+ABS(5-$J43)*1000+40)+'計算A'!CY$5*50+IF(AND($E43=1,ML43=0),25,0),IF($F43&gt;0,INDEX('計算A'!CY$110:CY$114,$F43+1)+IF(AND($E43=1,ML43=0),1000,0),MIN(TY43,20)*400+(IF('計算A'!CX$106=1,1-GV43,0)+IF('計算A'!CY$106=1,1-GX43,0))*150+45+'計算A'!CY$5*100000+IF(AND($E43=1,ML43=0),50000,0))+IF($H43=1,(IF('計算A'!CX$117=1,INDEX('計算A'!CX$10:CX$54,$B43),0)+IF('計算A'!CY$117=1,INDEX('計算A'!CZ$10:CZ$54,$B43),0))*4000,0)-IF(AND('計算A'!CX$117=1,XV43&gt;0),2000,0)-IF(AND($L43=1,'計算A'!CY$117=1,GX43=0),2000,0))),1000000))</f>
        <v/>
      </c>
      <c r="SB43">
        <f>IF($B43=0,1000000,IF(INDEX('計算A'!$D$60:$EQ$104,$B43,101)*GX43=1,IF(AND($E43=2,MM43=0),1000000,IF($I43&gt;0,IF(5=$J43,IF(OR(AND(101=$I43+1,OR($K43&lt;&gt;'計算A'!$A$3,'計算A'!$A$4=0)),AND(101=$I43-1,OR(5&lt;&gt;'計算A'!$A$3,'計算A'!$A$4=0))),0,IF(5=$K43,200000,ABS(5-$K43)*100)),100000+ABS(5-$J43)*1000+50)+'計算A'!CZ$5*50+IF(AND($E43=1,MM43=0),25,0),IF($F43&gt;0,INDEX('計算A'!CZ$110:CZ$114,$F43+1)+IF(AND($E43=1,MM43=0),1000,0),MIN(TY43,20)*400+(IF('計算A'!CY$106=1,1-GW43,0)+IF('計算A'!CZ$106=1,1-GY43,0))*150+55+'計算A'!CZ$5*100000+IF(AND($E43=1,MM43=0),50000,0))+IF($H43=1,(IF('計算A'!CY$117=1,INDEX('計算A'!CY$10:CY$54,$B43),0)+IF('計算A'!CZ$117=1,INDEX('計算A'!DA$10:DA$54,$B43),0))*4000,0)-IF(AND('計算A'!CY$117=1,XW43&gt;0),2000,0)-IF(AND($L43=1,'計算A'!CZ$117=1,GY43=0),2000,0))),1000000))</f>
        <v/>
      </c>
      <c r="SC43">
        <f>IF($B43=0,1000000,IF(INDEX('計算A'!$D$60:$EQ$104,$B43,102)*GY43=1,IF(AND($E43=2,MN43=0),1000000,IF($I43&gt;0,IF(5=$J43,IF(OR(AND(102=$I43+1,OR($K43&lt;&gt;'計算A'!$A$3,'計算A'!$A$4=0)),AND(102=$I43-1,OR(6&lt;&gt;'計算A'!$A$3,'計算A'!$A$4=0))),0,IF(6=$K43,200000,ABS(6-$K43)*100)),100000+ABS(5-$J43)*1000+60)+'計算A'!DA$5*50+IF(AND($E43=1,MN43=0),25,0),IF($F43&gt;0,INDEX('計算A'!DA$110:DA$114,$F43+1)+IF(AND($E43=1,MN43=0),1000,0),MIN(TY43,20)*400+(IF('計算A'!CZ$106=1,1-GX43,0)+IF('計算A'!DA$106=1,1-GZ43,0))*150+65+'計算A'!DA$5*100000+IF(AND($E43=1,MN43=0),50000,0))+IF($H43=1,(IF('計算A'!CZ$117=1,INDEX('計算A'!CZ$10:CZ$54,$B43),0)+IF('計算A'!DA$117=1,INDEX('計算A'!DB$10:DB$54,$B43),0))*4000,0)-IF(AND('計算A'!CZ$117=1,XX43&gt;0),2000,0)-IF(AND($L43=1,'計算A'!DA$117=1,GZ43=0),2000,0))),1000000))</f>
        <v/>
      </c>
      <c r="SD43">
        <f>IF($B43=0,1000000,IF(INDEX('計算A'!$D$60:$EQ$104,$B43,103)*GZ43=1,IF(AND($E43=2,MO43=0),1000000,IF($I43&gt;0,IF(5=$J43,IF(OR(AND(103=$I43+1,OR($K43&lt;&gt;'計算A'!$A$3,'計算A'!$A$4=0)),AND(103=$I43-1,OR(7&lt;&gt;'計算A'!$A$3,'計算A'!$A$4=0))),0,IF(7=$K43,200000,ABS(7-$K43)*100)),100000+ABS(5-$J43)*1000+70)+'計算A'!DB$5*50+IF(AND($E43=1,MO43=0),25,0),IF($F43&gt;0,INDEX('計算A'!DB$110:DB$114,$F43+1)+IF(AND($E43=1,MO43=0),1000,0),MIN(TY43,20)*400+(IF('計算A'!DA$106=1,1-GY43,0)+IF('計算A'!DB$106=1,1-HA43,0))*150+75+'計算A'!DB$5*100000+IF(AND($E43=1,MO43=0),50000,0))+IF($H43=1,(IF('計算A'!DA$117=1,INDEX('計算A'!DA$10:DA$54,$B43),0)+IF('計算A'!DB$117=1,INDEX('計算A'!DC$10:DC$54,$B43),0))*4000,0)-IF(AND('計算A'!DA$117=1,XY43&gt;0),2000,0)-IF(AND($L43=1,'計算A'!DB$117=1,HA43=0),2000,0))),1000000))</f>
        <v/>
      </c>
      <c r="SE43">
        <f>IF($B43=0,1000000,IF(INDEX('計算A'!$D$60:$EQ$104,$B43,104)*HA43=1,IF(AND($E43=2,MP43=0),1000000,IF($I43&gt;0,IF(5=$J43,IF(OR(AND(104=$I43+1,OR($K43&lt;&gt;'計算A'!$A$3,'計算A'!$A$4=0)),AND(104=$I43-1,OR(8&lt;&gt;'計算A'!$A$3,'計算A'!$A$4=0))),0,IF(8=$K43,200000,ABS(8-$K43)*100)),100000+ABS(5-$J43)*1000+80)+'計算A'!DC$5*50+IF(AND($E43=1,MP43=0),25,0),IF($F43&gt;0,INDEX('計算A'!DC$110:DC$114,$F43+1)+IF(AND($E43=1,MP43=0),1000,0),MIN(TY43,20)*400+(IF('計算A'!DB$106=1,1-GZ43,0)+IF('計算A'!DC$106=1,1-HB43,0))*150+85+'計算A'!DC$5*100000+IF(AND($E43=1,MP43=0),50000,0))+IF($H43=1,(IF('計算A'!DB$117=1,INDEX('計算A'!DB$10:DB$54,$B43),0)+IF('計算A'!DC$117=1,INDEX('計算A'!DD$10:DD$54,$B43),0))*4000,0)-IF(AND('計算A'!DB$117=1,XZ43&gt;0),2000,0)-IF(AND($L43=1,'計算A'!DC$117=1,HB43=0),2000,0))),1000000))</f>
        <v/>
      </c>
      <c r="SF43">
        <f>IF($B43=0,1000000,IF(INDEX('計算A'!$D$60:$EQ$104,$B43,105)*HB43=1,IF(AND($E43=2,MQ43=0),1000000,IF($I43&gt;0,IF(5=$J43,IF(OR(AND(105=$I43+1,OR($K43&lt;&gt;'計算A'!$A$3,'計算A'!$A$4=0)),AND(105=$I43-1,OR(9&lt;&gt;'計算A'!$A$3,'計算A'!$A$4=0))),0,IF(9=$K43,200000,ABS(9-$K43)*100)),100000+ABS(5-$J43)*1000+90)+'計算A'!DD$5*50+IF(AND($E43=1,MQ43=0),25,0),IF($F43&gt;0,INDEX('計算A'!DD$110:DD$114,$F43+1)+IF(AND($E43=1,MQ43=0),1000,0),MIN(TY43,20)*400+(IF('計算A'!DC$106=1,1-HA43,0)+IF('計算A'!DD$106=1,1-HC43,0))*150+95+'計算A'!DD$5*100000+IF(AND($E43=1,MQ43=0),50000,0))+IF($H43=1,(IF('計算A'!DC$117=1,INDEX('計算A'!DC$10:DC$54,$B43),0)+IF('計算A'!DD$117=1,INDEX('計算A'!DE$10:DE$54,$B43),0))*4000,0)-IF(AND('計算A'!DC$117=1,YA43&gt;0),2000,0)-IF(AND($L43=1,'計算A'!DD$117=1,HC43=0),2000,0))),1000000))</f>
        <v/>
      </c>
      <c r="SG43">
        <f>IF($B43=0,1000000,IF(INDEX('計算A'!$D$60:$EQ$104,$B43,106)*HC43=1,IF(AND($E43=2,MR43=0),1000000,IF($I43&gt;0,IF(5=$J43,IF(OR(AND(106=$I43+1,OR($K43&lt;&gt;'計算A'!$A$3,'計算A'!$A$4=0)),AND(106=$I43-1,OR(10&lt;&gt;'計算A'!$A$3,'計算A'!$A$4=0))),0,IF(10=$K43,200000,ABS(10-$K43)*100)),100000+ABS(5-$J43)*1000+100)+'計算A'!DE$5*50+IF(AND($E43=1,MR43=0),25,0),IF($F43&gt;0,INDEX('計算A'!DE$110:DE$114,$F43+1)+IF(AND($E43=1,MR43=0),1000,0),MIN(TY43,20)*400+(IF('計算A'!DD$106=1,1-HB43,0)+IF('計算A'!DE$106=1,1-HD43,0))*150+105+'計算A'!DE$5*100000+IF(AND($E43=1,MR43=0),50000,0))+IF($H43=1,(IF('計算A'!DD$117=1,INDEX('計算A'!DD$10:DD$54,$B43),0)+IF('計算A'!DE$117=1,INDEX('計算A'!DF$10:DF$54,$B43),0))*4000,0)-IF(AND('計算A'!DD$117=1,YB43&gt;0),2000,0)-IF(AND($L43=1,'計算A'!DE$117=1,HD43=0),2000,0))),1000000))</f>
        <v/>
      </c>
      <c r="SH43">
        <f>IF($B43=0,1000000,IF(INDEX('計算A'!$D$60:$EQ$104,$B43,107)*HD43=1,IF(AND($E43=2,MS43=0),1000000,IF($I43&gt;0,IF(5=$J43,IF(OR(AND(107=$I43+1,OR($K43&lt;&gt;'計算A'!$A$3,'計算A'!$A$4=0)),AND(107=$I43-1,OR(11&lt;&gt;'計算A'!$A$3,'計算A'!$A$4=0))),0,IF(11=$K43,200000,ABS(11-$K43)*100)),100000+ABS(5-$J43)*1000+110)+'計算A'!DF$5*50+IF(AND($E43=1,MS43=0),25,0),IF($F43&gt;0,INDEX('計算A'!DF$110:DF$114,$F43+1)+IF(AND($E43=1,MS43=0),1000,0),MIN(TY43,20)*400+(IF('計算A'!DE$106=1,1-HC43,0)+IF('計算A'!DF$106=1,1-HE43,0))*150+115+'計算A'!DF$5*100000+IF(AND($E43=1,MS43=0),50000,0))+IF($H43=1,(IF('計算A'!DE$117=1,INDEX('計算A'!DE$10:DE$54,$B43),0)+IF('計算A'!DF$117=1,INDEX('計算A'!DG$10:DG$54,$B43),0))*4000,0)-IF(AND('計算A'!DE$117=1,YC43&gt;0),2000,0)-IF(AND($L43=1,'計算A'!DF$117=1,HE43=0),2000,0))),1000000))</f>
        <v/>
      </c>
      <c r="SI43">
        <f>IF($B43=0,1000000,IF(INDEX('計算A'!$D$60:$EQ$104,$B43,108)*HE43=1,IF(AND($E43=2,MT43=0),1000000,IF($I43&gt;0,IF(5=$J43,IF(OR(AND(108=$I43+1,OR($K43&lt;&gt;'計算A'!$A$3,'計算A'!$A$4=0)),AND(108=$I43-1,OR(12&lt;&gt;'計算A'!$A$3,'計算A'!$A$4=0))),0,IF(12=$K43,200000,ABS(12-$K43)*100)),100000+ABS(5-$J43)*1000+120)+'計算A'!DG$5*50+IF(AND($E43=1,MT43=0),25,0),IF($F43&gt;0,INDEX('計算A'!DG$110:DG$114,$F43+1)+IF(AND($E43=1,MT43=0),1000,0),MIN(TY43,20)*400+(IF('計算A'!DF$106=1,1-HD43,0)+IF('計算A'!DG$106=1,1-HF43,0))*150+125+'計算A'!DG$5*100000+IF(AND($E43=1,MT43=0),50000,0))+IF($H43=1,(IF('計算A'!DF$117=1,INDEX('計算A'!DF$10:DF$54,$B43),0)+IF('計算A'!DG$117=1,INDEX('計算A'!DH$10:DH$54,$B43),0))*4000,0)-IF(AND('計算A'!DF$117=1,YD43&gt;0),2000,0)-IF(AND($L43=1,'計算A'!DG$117=1,HF43=0),2000,0))),1000000))</f>
        <v/>
      </c>
      <c r="SJ43">
        <f>IF($B43=0,1000000,IF(INDEX('計算A'!$D$60:$EQ$104,$B43,109)*HF43=1,IF(AND($E43=2,MU43=0),1000000,IF($I43&gt;0,IF(5=$J43,IF(OR(AND(109=$I43+1,OR($K43&lt;&gt;'計算A'!$A$3,'計算A'!$A$4=0)),AND(109=$I43-1,OR(13&lt;&gt;'計算A'!$A$3,'計算A'!$A$4=0))),0,IF(13=$K43,200000,ABS(13-$K43)*100)),100000+ABS(5-$J43)*1000+130)+'計算A'!DH$5*50+IF(AND($E43=1,MU43=0),25,0),IF($F43&gt;0,INDEX('計算A'!DH$110:DH$114,$F43+1)+IF(AND($E43=1,MU43=0),1000,0),MIN(TY43,20)*400+(IF('計算A'!DG$106=1,1-HE43,0)+IF('計算A'!DH$106=1,1-HG43,0))*150+135+'計算A'!DH$5*100000+IF(AND($E43=1,MU43=0),50000,0))+IF($H43=1,(IF('計算A'!DG$117=1,INDEX('計算A'!DG$10:DG$54,$B43),0)+IF('計算A'!DH$117=1,INDEX('計算A'!DI$10:DI$54,$B43),0))*4000,0)-IF(AND('計算A'!DG$117=1,YE43&gt;0),2000,0)-IF(AND($L43=1,'計算A'!DH$117=1,HG43=0),2000,0))),1000000))</f>
        <v/>
      </c>
      <c r="SK43">
        <f>IF($B43=0,1000000,IF(INDEX('計算A'!$D$60:$EQ$104,$B43,110)*HG43=1,IF(AND($E43=2,MV43=0),1000000,IF($I43&gt;0,IF(5=$J43,IF(OR(AND(110=$I43+1,OR($K43&lt;&gt;'計算A'!$A$3,'計算A'!$A$4=0)),AND(110=$I43-1,OR(14&lt;&gt;'計算A'!$A$3,'計算A'!$A$4=0))),0,IF(14=$K43,200000,ABS(14-$K43)*100)),100000+ABS(5-$J43)*1000+140)+'計算A'!DI$5*50+IF(AND($E43=1,MV43=0),25,0),IF($F43&gt;0,INDEX('計算A'!DI$110:DI$114,$F43+1)+IF(AND($E43=1,MV43=0),1000,0),MIN(TY43,20)*400+(IF('計算A'!DH$106=1,1-HF43,0)+IF('計算A'!DI$106=1,1-HH43,0))*150+145+'計算A'!DI$5*100000+IF(AND($E43=1,MV43=0),50000,0))+IF($H43=1,(IF('計算A'!DH$117=1,INDEX('計算A'!DH$10:DH$54,$B43),0)+IF('計算A'!DI$117=1,INDEX('計算A'!DJ$10:DJ$54,$B43),0))*4000,0)-IF(AND('計算A'!DH$117=1,YF43&gt;0),2000,0)-IF(AND($L43=1,'計算A'!DI$117=1,HH43=0),2000,0))),1000000))</f>
        <v/>
      </c>
      <c r="SL43">
        <f>IF($B43=0,1000000,IF(INDEX('計算A'!$D$60:$EQ$104,$B43,111)*HH43=1,IF(AND($E43=2,MW43=0),1000000,IF($I43&gt;0,IF(5=$J43,IF(OR(AND(111=$I43+1,OR($K43&lt;&gt;'計算A'!$A$3,'計算A'!$A$4=0)),AND(111=$I43-1,OR(15&lt;&gt;'計算A'!$A$3,'計算A'!$A$4=0))),0,IF(15=$K43,200000,ABS(15-$K43)*100)),100000+ABS(5-$J43)*1000+150)+'計算A'!DJ$5*50+IF(AND($E43=1,MW43=0),25,0),IF($F43&gt;0,INDEX('計算A'!DJ$110:DJ$114,$F43+1)+IF(AND($E43=1,MW43=0),1000,0),MIN(TY43,20)*400+(IF('計算A'!DI$106=1,1-HG43,0)+IF('計算A'!DJ$106=1,1-HI43,0))*150+155+'計算A'!DJ$5*100000+IF(AND($E43=1,MW43=0),50000,0))+IF($H43=1,(IF('計算A'!DI$117=1,INDEX('計算A'!DI$10:DI$54,$B43),0)+IF('計算A'!DJ$117=1,INDEX('計算A'!DK$10:DK$54,$B43),0))*4000,0)-IF(AND('計算A'!DI$117=1,YG43&gt;0),2000,0)-IF(AND($L43=1,'計算A'!DJ$117=1,HI43=0),2000,0))),1000000))</f>
        <v/>
      </c>
      <c r="SM43">
        <f>IF($B43=0,1000000,IF(INDEX('計算A'!$D$60:$EQ$104,$B43,112)*HI43=1,IF(AND($E43=2,MX43=0),1000000,IF($I43&gt;0,IF(5=$J43,IF(OR(AND(112=$I43+1,OR($K43&lt;&gt;'計算A'!$A$3,'計算A'!$A$4=0)),AND(112=$I43-1,OR(16&lt;&gt;'計算A'!$A$3,'計算A'!$A$4=0))),0,IF(16=$K43,200000,ABS(16-$K43)*100)),100000+ABS(5-$J43)*1000+160)+'計算A'!DK$5*50+IF(AND($E43=1,MX43=0),25,0),IF($F43&gt;0,INDEX('計算A'!DK$110:DK$114,$F43+1)+IF(AND($E43=1,MX43=0),1000,0),MIN(TY43,20)*400+(IF('計算A'!DJ$106=1,1-HH43,0)+IF('計算A'!DK$106=1,1-HJ43,0))*150+165+'計算A'!DK$5*100000+IF(AND($E43=1,MX43=0),50000,0))+IF($H43=1,(IF('計算A'!DJ$117=1,INDEX('計算A'!DJ$10:DJ$54,$B43),0)+IF('計算A'!DK$117=1,INDEX('計算A'!DL$10:DL$54,$B43),0))*4000,0)-IF(AND('計算A'!DJ$117=1,YH43&gt;0),2000,0)-IF(AND($L43=1,'計算A'!DK$117=1,HJ43=0),2000,0))),1000000))</f>
        <v/>
      </c>
      <c r="SN43">
        <f>IF($B43=0,1000000,IF(INDEX('計算A'!$D$60:$EQ$104,$B43,113)*HJ43=1,IF(AND($E43=2,MY43=0),1000000,IF($I43&gt;0,IF(5=$J43,IF(OR(AND(113=$I43+1,OR($K43&lt;&gt;'計算A'!$A$3,'計算A'!$A$4=0)),AND(113=$I43-1,OR(17&lt;&gt;'計算A'!$A$3,'計算A'!$A$4=0))),0,IF(17=$K43,200000,ABS(17-$K43)*100)),100000+ABS(5-$J43)*1000+170)+'計算A'!DL$5*50+IF(AND($E43=1,MY43=0),25,0),IF($F43&gt;0,INDEX('計算A'!DL$110:DL$114,$F43+1)+IF(AND($E43=1,MY43=0),1000,0),MIN(TY43,20)*400+(IF('計算A'!DK$106=1,1-HI43,0)+IF('計算A'!DL$106=1,1-HK43,0))*150+175+'計算A'!DL$5*100000+IF(AND($E43=1,MY43=0),50000,0))+IF($H43=1,(IF('計算A'!DK$117=1,INDEX('計算A'!DK$10:DK$54,$B43),0)+IF('計算A'!DL$117=1,INDEX('計算A'!DM$10:DM$54,$B43),0))*4000,0)-IF(AND('計算A'!DK$117=1,YI43&gt;0),2000,0)-IF(AND($L43=1,'計算A'!DL$117=1,HK43=0),2000,0))),1000000))</f>
        <v/>
      </c>
      <c r="SO43">
        <f>IF($B43=0,1000000,IF(INDEX('計算A'!$D$60:$EQ$104,$B43,114)*HK43=1,IF(AND($E43=2,MZ43=0),1000000,IF($I43&gt;0,IF(5=$J43,IF(OR(AND(114=$I43+1,OR($K43&lt;&gt;'計算A'!$A$3,'計算A'!$A$4=0)),AND(114=$I43-1,OR(18&lt;&gt;'計算A'!$A$3,'計算A'!$A$4=0))),0,IF(18=$K43,200000,ABS(18-$K43)*100)),100000+ABS(5-$J43)*1000+180)+'計算A'!DM$5*50+IF(AND($E43=1,MZ43=0),25,0),IF($F43&gt;0,INDEX('計算A'!DM$110:DM$114,$F43+1)+IF(AND($E43=1,MZ43=0),1000,0),MIN(TY43,20)*400+(IF('計算A'!DL$106=1,1-HJ43,0)+IF('計算A'!DM$106=1,1-HL43,0))*150+185+'計算A'!DM$5*100000+IF(AND($E43=1,MZ43=0),50000,0))+IF($H43=1,(IF('計算A'!DL$117=1,INDEX('計算A'!DL$10:DL$54,$B43),0)+IF('計算A'!DM$117=1,INDEX('計算A'!DN$10:DN$54,$B43),0))*4000,0)-IF(AND('計算A'!DL$117=1,YJ43&gt;0),2000,0)-IF(AND($L43=1,'計算A'!DM$117=1,HL43=0),2000,0))),1000000))</f>
        <v/>
      </c>
      <c r="SP43">
        <f>IF($B43=0,1000000,IF(INDEX('計算A'!$D$60:$EQ$104,$B43,115)*HL43=1,IF(AND($E43=2,NA43=0),1000000,IF($I43&gt;0,IF(5=$J43,IF(OR(AND(115=$I43+1,OR($K43&lt;&gt;'計算A'!$A$3,'計算A'!$A$4=0)),AND(115=$I43-1,OR(19&lt;&gt;'計算A'!$A$3,'計算A'!$A$4=0))),0,IF(19=$K43,200000,ABS(19-$K43)*100)),100000+ABS(5-$J43)*1000+190)+'計算A'!DN$5*50+IF(AND($E43=1,NA43=0),25,0),IF($F43&gt;0,INDEX('計算A'!DN$110:DN$114,$F43+1)+IF(AND($E43=1,NA43=0),1000,0),MIN(TY43,20)*400+(IF('計算A'!DM$106=1,1-HK43,0)+IF('計算A'!DN$106=1,1-HM43,0))*150+195+'計算A'!DN$5*100000+IF(AND($E43=1,NA43=0),50000,0))+IF($H43=1,(IF('計算A'!DM$117=1,INDEX('計算A'!DM$10:DM$54,$B43),0)+IF('計算A'!DN$117=1,INDEX('計算A'!DO$10:DO$54,$B43),0))*4000,0)-IF(AND('計算A'!DM$117=1,YK43&gt;0),2000,0)-IF(AND($L43=1,'計算A'!DN$117=1,HM43=0),2000,0))),1000000))</f>
        <v/>
      </c>
      <c r="SQ43">
        <f>IF($B43=0,1000000,IF(INDEX('計算A'!$D$60:$EQ$104,$B43,116)*HM43=1,IF(AND($E43=2,NB43=0),1000000,IF($I43&gt;0,IF(5=$J43,IF(OR(AND(116=$I43+1,OR($K43&lt;&gt;'計算A'!$A$3,'計算A'!$A$4=0)),AND(116=$I43-1,OR(20&lt;&gt;'計算A'!$A$3,'計算A'!$A$4=0))),0,IF(20=$K43,200000,ABS(20-$K43)*100)),100000+ABS(5-$J43)*1000+200)+'計算A'!DO$5*50+IF(AND($E43=1,NB43=0),25,0),IF($F43&gt;0,INDEX('計算A'!DO$110:DO$114,$F43+1)+IF(AND($E43=1,NB43=0),1000,0),MIN(TY43,20)*400+(IF('計算A'!DN$106=1,1-HL43,0)+IF('計算A'!DO$106=1,1-HN43,0))*150+205+'計算A'!DO$5*100000+IF(AND($E43=1,NB43=0),50000,0))+IF($H43=1,(IF('計算A'!DN$117=1,INDEX('計算A'!DN$10:DN$54,$B43),0)+IF('計算A'!DO$117=1,INDEX('計算A'!DP$10:DP$54,$B43),0))*4000,0)-IF(AND('計算A'!DN$117=1,YL43&gt;0),2000,0)-IF(AND($L43=1,'計算A'!DO$117=1,HN43=0),2000,0))),1000000))</f>
        <v/>
      </c>
      <c r="SR43">
        <f>IF($B43=0,1000000,IF(INDEX('計算A'!$D$60:$EQ$104,$B43,117)*HN43=1,IF(AND($E43=2,NC43=0),1000000,IF($I43&gt;0,IF(5=$J43,IF(OR(AND(117=$I43+1,OR($K43&lt;&gt;'計算A'!$A$3,'計算A'!$A$4=0)),AND(117=$I43-1,OR(21&lt;&gt;'計算A'!$A$3,'計算A'!$A$4=0))),0,IF(21=$K43,200000,ABS(21-$K43)*100)),100000+ABS(5-$J43)*1000+210)+'計算A'!DP$5*50+IF(AND($E43=1,NC43=0),25,0),IF($F43&gt;0,INDEX('計算A'!DP$110:DP$114,$F43+1)+IF(AND($E43=1,NC43=0),1000,0),MIN(TY43,20)*400+(IF('計算A'!DO$106=1,1-HM43,0)+IF('計算A'!DP$106=1,1-HO43,0))*150+215+'計算A'!DP$5*100000+IF(AND($E43=1,NC43=0),50000,0))+IF($H43=1,(IF('計算A'!DO$117=1,INDEX('計算A'!DO$10:DO$54,$B43),0)+IF('計算A'!DP$117=1,INDEX('計算A'!DQ$10:DQ$54,$B43),0))*4000,0)-IF(AND('計算A'!DO$117=1,YM43&gt;0),2000,0)-IF(AND($L43=1,'計算A'!DP$117=1,HO43=0),2000,0))),1000000))</f>
        <v/>
      </c>
      <c r="SS43">
        <f>IF($B43=0,1000000,IF(INDEX('計算A'!$D$60:$EQ$104,$B43,118)*HO43=1,IF(AND($E43=2,ND43=0),1000000,IF($I43&gt;0,IF(5=$J43,IF(OR(AND(118=$I43+1,OR($K43&lt;&gt;'計算A'!$A$3,'計算A'!$A$4=0)),AND(118=$I43-1,OR(22&lt;&gt;'計算A'!$A$3,'計算A'!$A$4=0))),0,IF(22=$K43,200000,ABS(22-$K43)*100)),100000+ABS(5-$J43)*1000+220)+'計算A'!DQ$5*50+IF(AND($E43=1,ND43=0),25,0),IF($F43&gt;0,INDEX('計算A'!DQ$110:DQ$114,$F43+1)+IF(AND($E43=1,ND43=0),1000,0),MIN(TY43,20)*400+(IF('計算A'!DP$106=1,1-HN43,0)+IF('計算A'!DQ$106=1,1-HP43,0))*150+225+'計算A'!DQ$5*100000+IF(AND($E43=1,ND43=0),50000,0))+IF($H43=1,(IF('計算A'!DP$117=1,INDEX('計算A'!DP$10:DP$54,$B43),0)+IF('計算A'!DQ$117=1,INDEX('計算A'!DR$10:DR$54,$B43),0))*4000,0)-IF(AND('計算A'!DP$117=1,YN43&gt;0),2000,0)-IF(AND($L43=1,'計算A'!DQ$117=1,HP43=0),2000,0))),1000000))</f>
        <v/>
      </c>
      <c r="ST43">
        <f>IF($B43=0,1000000,IF(INDEX('計算A'!$D$60:$EQ$104,$B43,119)*HP43=1,IF(AND($E43=2,NE43=0),1000000,IF($I43&gt;0,IF(5=$J43,IF(OR(AND(119=$I43+1,OR($K43&lt;&gt;'計算A'!$A$3,'計算A'!$A$4=0)),AND(119=$I43-1,OR(23&lt;&gt;'計算A'!$A$3,'計算A'!$A$4=0))),0,IF(23=$K43,200000,ABS(23-$K43)*100)),100000+ABS(5-$J43)*1000+230)+'計算A'!DR$5*50+IF(AND($E43=1,NE43=0),25,0),IF($F43&gt;0,INDEX('計算A'!DR$110:DR$114,$F43+1)+IF(AND($E43=1,NE43=0),1000,0),MIN(TY43,20)*400+(IF('計算A'!DQ$106=1,1-HO43,0)+IF('計算A'!DR$106=1,1-HQ43,0))*150+235+'計算A'!DR$5*100000+IF(AND($E43=1,NE43=0),50000,0))+IF($H43=1,(IF('計算A'!DQ$117=1,INDEX('計算A'!DQ$10:DQ$54,$B43),0)+IF('計算A'!DR$117=1,INDEX('計算A'!DS$10:DS$54,$B43),0))*4000,0)-IF(AND('計算A'!DQ$117=1,YO43&gt;0),2000,0)-IF(AND($L43=1,'計算A'!DR$117=1,HQ43=0),2000,0))),1000000))</f>
        <v/>
      </c>
      <c r="SU43">
        <f>IF($B43=0,1000000,IF(INDEX('計算A'!$D$60:$EQ$104,$B43,120)*HQ43=1,IF(AND($E43=2,NF43=0),1000000,IF($I43&gt;0,IF(5=$J43,IF(OR(AND(120=$I43+1,OR($K43&lt;&gt;'計算A'!$A$3,'計算A'!$A$4=0)),AND(120=$I43-1,OR(24&lt;&gt;'計算A'!$A$3,'計算A'!$A$4=0))),0,IF(24=$K43,200000,ABS(24-$K43)*100)),100000+ABS(5-$J43)*1000+240)+'計算A'!DS$5*50+IF(AND($E43=1,NF43=0),25,0),IF($F43&gt;0,INDEX('計算A'!DS$110:DS$114,$F43+1)+IF(AND($E43=1,NF43=0),1000,0),MIN(TY43,20)*400+(IF('計算A'!DR$106=1,1-HP43,0))*150+245+'計算A'!DS$5*100000+IF(AND($E43=1,NF43=0),50000,0))+IF($H43=1,(IF('計算A'!DR$117=1,INDEX('計算A'!DR$10:DR$54,$B43),0))*4000,0)-IF(AND('計算A'!DR$117=1,YP43&gt;0),2000,0))),1000000))</f>
        <v/>
      </c>
      <c r="SV43">
        <f>IF($B43=0,1000000,IF(INDEX('計算A'!$D$60:$EQ$104,$B43,121)*HR43=1,IF(AND($E43=2,NG43=0),1000000,IF($I43&gt;0,IF(6=$J43,IF(OR(AND(121=$I43+1,OR($K43&lt;&gt;'計算A'!$A$3,'計算A'!$A$4=0)),AND(121=$I43-1,OR(1&lt;&gt;'計算A'!$A$3,'計算A'!$A$4=0))),0,IF(1=$K43,200000,ABS(1-$K43)*100)),100000+ABS(6-$J43)*1000+10)+'計算A'!DT$5*50+IF(AND($E43=1,NG43=0),25,0),IF($F43&gt;0,INDEX('計算A'!DT$110:DT$114,$F43+1)+IF(AND($E43=1,NG43=0),1000,0),MIN(TZ43,20)*400+(IF('計算A'!DT$106=1,1-HS43,0))*150+16+'計算A'!DT$5*100000+IF(AND($E43=1,NG43=0),50000,0))+IF($H43=1,(IF('計算A'!DT$117=1,INDEX('計算A'!DU$10:DU$54,$B43),0))*4000,0)-IF(AND($L43=1,'計算A'!DT$117=1,HS43=0),2000,0))),1000000))</f>
        <v/>
      </c>
      <c r="SW43">
        <f>IF($B43=0,1000000,IF(INDEX('計算A'!$D$60:$EQ$104,$B43,122)*HS43=1,IF(AND($E43=2,NH43=0),1000000,IF($I43&gt;0,IF(6=$J43,IF(OR(AND(122=$I43+1,OR($K43&lt;&gt;'計算A'!$A$3,'計算A'!$A$4=0)),AND(122=$I43-1,OR(2&lt;&gt;'計算A'!$A$3,'計算A'!$A$4=0))),0,IF(2=$K43,200000,ABS(2-$K43)*100)),100000+ABS(6-$J43)*1000+20)+'計算A'!DU$5*50+IF(AND($E43=1,NH43=0),25,0),IF($F43&gt;0,INDEX('計算A'!DU$110:DU$114,$F43+1)+IF(AND($E43=1,NH43=0),1000,0),MIN(TZ43,20)*400+(IF('計算A'!DT$106=1,1-HR43,0)+IF('計算A'!DU$106=1,1-HT43,0))*150+26+'計算A'!DU$5*100000+IF(AND($E43=1,NH43=0),50000,0))+IF($H43=1,(IF('計算A'!DT$117=1,INDEX('計算A'!DT$10:DT$54,$B43),0)+IF('計算A'!DU$117=1,INDEX('計算A'!DV$10:DV$54,$B43),0))*4000,0)-IF(AND('計算A'!DT$117=1,YR43&gt;0),2000,0)-IF(AND($L43=1,'計算A'!DU$117=1,HT43=0),2000,0))),1000000))</f>
        <v/>
      </c>
      <c r="SX43">
        <f>IF($B43=0,1000000,IF(INDEX('計算A'!$D$60:$EQ$104,$B43,123)*HT43=1,IF(AND($E43=2,NI43=0),1000000,IF($I43&gt;0,IF(6=$J43,IF(OR(AND(123=$I43+1,OR($K43&lt;&gt;'計算A'!$A$3,'計算A'!$A$4=0)),AND(123=$I43-1,OR(3&lt;&gt;'計算A'!$A$3,'計算A'!$A$4=0))),0,IF(3=$K43,200000,ABS(3-$K43)*100)),100000+ABS(6-$J43)*1000+30)+'計算A'!DV$5*50+IF(AND($E43=1,NI43=0),25,0),IF($F43&gt;0,INDEX('計算A'!DV$110:DV$114,$F43+1)+IF(AND($E43=1,NI43=0),1000,0),MIN(TZ43,20)*400+(IF('計算A'!DU$106=1,1-HS43,0)+IF('計算A'!DV$106=1,1-HU43,0))*150+36+'計算A'!DV$5*100000+IF(AND($E43=1,NI43=0),50000,0))+IF($H43=1,(IF('計算A'!DU$117=1,INDEX('計算A'!DU$10:DU$54,$B43),0)+IF('計算A'!DV$117=1,INDEX('計算A'!DW$10:DW$54,$B43),0))*4000,0)-IF(AND('計算A'!DU$117=1,YS43&gt;0),2000,0)-IF(AND($L43=1,'計算A'!DV$117=1,HU43=0),2000,0))),1000000))</f>
        <v/>
      </c>
      <c r="SY43">
        <f>IF($B43=0,1000000,IF(INDEX('計算A'!$D$60:$EQ$104,$B43,124)*HU43=1,IF(AND($E43=2,NJ43=0),1000000,IF($I43&gt;0,IF(6=$J43,IF(OR(AND(124=$I43+1,OR($K43&lt;&gt;'計算A'!$A$3,'計算A'!$A$4=0)),AND(124=$I43-1,OR(4&lt;&gt;'計算A'!$A$3,'計算A'!$A$4=0))),0,IF(4=$K43,200000,ABS(4-$K43)*100)),100000+ABS(6-$J43)*1000+40)+'計算A'!DW$5*50+IF(AND($E43=1,NJ43=0),25,0),IF($F43&gt;0,INDEX('計算A'!DW$110:DW$114,$F43+1)+IF(AND($E43=1,NJ43=0),1000,0),MIN(TZ43,20)*400+(IF('計算A'!DV$106=1,1-HT43,0)+IF('計算A'!DW$106=1,1-HV43,0))*150+46+'計算A'!DW$5*100000+IF(AND($E43=1,NJ43=0),50000,0))+IF($H43=1,(IF('計算A'!DV$117=1,INDEX('計算A'!DV$10:DV$54,$B43),0)+IF('計算A'!DW$117=1,INDEX('計算A'!DX$10:DX$54,$B43),0))*4000,0)-IF(AND('計算A'!DV$117=1,YT43&gt;0),2000,0)-IF(AND($L43=1,'計算A'!DW$117=1,HV43=0),2000,0))),1000000))</f>
        <v/>
      </c>
      <c r="SZ43">
        <f>IF($B43=0,1000000,IF(INDEX('計算A'!$D$60:$EQ$104,$B43,125)*HV43=1,IF(AND($E43=2,NK43=0),1000000,IF($I43&gt;0,IF(6=$J43,IF(OR(AND(125=$I43+1,OR($K43&lt;&gt;'計算A'!$A$3,'計算A'!$A$4=0)),AND(125=$I43-1,OR(5&lt;&gt;'計算A'!$A$3,'計算A'!$A$4=0))),0,IF(5=$K43,200000,ABS(5-$K43)*100)),100000+ABS(6-$J43)*1000+50)+'計算A'!DX$5*50+IF(AND($E43=1,NK43=0),25,0),IF($F43&gt;0,INDEX('計算A'!DX$110:DX$114,$F43+1)+IF(AND($E43=1,NK43=0),1000,0),MIN(TZ43,20)*400+(IF('計算A'!DW$106=1,1-HU43,0)+IF('計算A'!DX$106=1,1-HW43,0))*150+56+'計算A'!DX$5*100000+IF(AND($E43=1,NK43=0),50000,0))+IF($H43=1,(IF('計算A'!DW$117=1,INDEX('計算A'!DW$10:DW$54,$B43),0)+IF('計算A'!DX$117=1,INDEX('計算A'!DY$10:DY$54,$B43),0))*4000,0)-IF(AND('計算A'!DW$117=1,YU43&gt;0),2000,0)-IF(AND($L43=1,'計算A'!DX$117=1,HW43=0),2000,0))),1000000))</f>
        <v/>
      </c>
      <c r="TA43">
        <f>IF($B43=0,1000000,IF(INDEX('計算A'!$D$60:$EQ$104,$B43,126)*HW43=1,IF(AND($E43=2,NL43=0),1000000,IF($I43&gt;0,IF(6=$J43,IF(OR(AND(126=$I43+1,OR($K43&lt;&gt;'計算A'!$A$3,'計算A'!$A$4=0)),AND(126=$I43-1,OR(6&lt;&gt;'計算A'!$A$3,'計算A'!$A$4=0))),0,IF(6=$K43,200000,ABS(6-$K43)*100)),100000+ABS(6-$J43)*1000+60)+'計算A'!DY$5*50+IF(AND($E43=1,NL43=0),25,0),IF($F43&gt;0,INDEX('計算A'!DY$110:DY$114,$F43+1)+IF(AND($E43=1,NL43=0),1000,0),MIN(TZ43,20)*400+(IF('計算A'!DX$106=1,1-HV43,0)+IF('計算A'!DY$106=1,1-HX43,0))*150+66+'計算A'!DY$5*100000+IF(AND($E43=1,NL43=0),50000,0))+IF($H43=1,(IF('計算A'!DX$117=1,INDEX('計算A'!DX$10:DX$54,$B43),0)+IF('計算A'!DY$117=1,INDEX('計算A'!DZ$10:DZ$54,$B43),0))*4000,0)-IF(AND('計算A'!DX$117=1,YV43&gt;0),2000,0)-IF(AND($L43=1,'計算A'!DY$117=1,HX43=0),2000,0))),1000000))</f>
        <v/>
      </c>
      <c r="TB43">
        <f>IF($B43=0,1000000,IF(INDEX('計算A'!$D$60:$EQ$104,$B43,127)*HX43=1,IF(AND($E43=2,NM43=0),1000000,IF($I43&gt;0,IF(6=$J43,IF(OR(AND(127=$I43+1,OR($K43&lt;&gt;'計算A'!$A$3,'計算A'!$A$4=0)),AND(127=$I43-1,OR(7&lt;&gt;'計算A'!$A$3,'計算A'!$A$4=0))),0,IF(7=$K43,200000,ABS(7-$K43)*100)),100000+ABS(6-$J43)*1000+70)+'計算A'!DZ$5*50+IF(AND($E43=1,NM43=0),25,0),IF($F43&gt;0,INDEX('計算A'!DZ$110:DZ$114,$F43+1)+IF(AND($E43=1,NM43=0),1000,0),MIN(TZ43,20)*400+(IF('計算A'!DY$106=1,1-HW43,0)+IF('計算A'!DZ$106=1,1-HY43,0))*150+76+'計算A'!DZ$5*100000+IF(AND($E43=1,NM43=0),50000,0))+IF($H43=1,(IF('計算A'!DY$117=1,INDEX('計算A'!DY$10:DY$54,$B43),0)+IF('計算A'!DZ$117=1,INDEX('計算A'!EA$10:EA$54,$B43),0))*4000,0)-IF(AND('計算A'!DY$117=1,YW43&gt;0),2000,0)-IF(AND($L43=1,'計算A'!DZ$117=1,HY43=0),2000,0))),1000000))</f>
        <v/>
      </c>
      <c r="TC43">
        <f>IF($B43=0,1000000,IF(INDEX('計算A'!$D$60:$EQ$104,$B43,128)*HY43=1,IF(AND($E43=2,NN43=0),1000000,IF($I43&gt;0,IF(6=$J43,IF(OR(AND(128=$I43+1,OR($K43&lt;&gt;'計算A'!$A$3,'計算A'!$A$4=0)),AND(128=$I43-1,OR(8&lt;&gt;'計算A'!$A$3,'計算A'!$A$4=0))),0,IF(8=$K43,200000,ABS(8-$K43)*100)),100000+ABS(6-$J43)*1000+80)+'計算A'!EA$5*50+IF(AND($E43=1,NN43=0),25,0),IF($F43&gt;0,INDEX('計算A'!EA$110:EA$114,$F43+1)+IF(AND($E43=1,NN43=0),1000,0),MIN(TZ43,20)*400+(IF('計算A'!DZ$106=1,1-HX43,0)+IF('計算A'!EA$106=1,1-HZ43,0))*150+86+'計算A'!EA$5*100000+IF(AND($E43=1,NN43=0),50000,0))+IF($H43=1,(IF('計算A'!DZ$117=1,INDEX('計算A'!DZ$10:DZ$54,$B43),0)+IF('計算A'!EA$117=1,INDEX('計算A'!EB$10:EB$54,$B43),0))*4000,0)-IF(AND('計算A'!DZ$117=1,YX43&gt;0),2000,0)-IF(AND($L43=1,'計算A'!EA$117=1,HZ43=0),2000,0))),1000000))</f>
        <v/>
      </c>
      <c r="TD43">
        <f>IF($B43=0,1000000,IF(INDEX('計算A'!$D$60:$EQ$104,$B43,129)*HZ43=1,IF(AND($E43=2,NO43=0),1000000,IF($I43&gt;0,IF(6=$J43,IF(OR(AND(129=$I43+1,OR($K43&lt;&gt;'計算A'!$A$3,'計算A'!$A$4=0)),AND(129=$I43-1,OR(9&lt;&gt;'計算A'!$A$3,'計算A'!$A$4=0))),0,IF(9=$K43,200000,ABS(9-$K43)*100)),100000+ABS(6-$J43)*1000+90)+'計算A'!EB$5*50+IF(AND($E43=1,NO43=0),25,0),IF($F43&gt;0,INDEX('計算A'!EB$110:EB$114,$F43+1)+IF(AND($E43=1,NO43=0),1000,0),MIN(TZ43,20)*400+(IF('計算A'!EA$106=1,1-HY43,0)+IF('計算A'!EB$106=1,1-IA43,0))*150+96+'計算A'!EB$5*100000+IF(AND($E43=1,NO43=0),50000,0))+IF($H43=1,(IF('計算A'!EA$117=1,INDEX('計算A'!EA$10:EA$54,$B43),0)+IF('計算A'!EB$117=1,INDEX('計算A'!EC$10:EC$54,$B43),0))*4000,0)-IF(AND('計算A'!EA$117=1,YY43&gt;0),2000,0)-IF(AND($L43=1,'計算A'!EB$117=1,IA43=0),2000,0))),1000000))</f>
        <v/>
      </c>
      <c r="TE43">
        <f>IF($B43=0,1000000,IF(INDEX('計算A'!$D$60:$EQ$104,$B43,130)*IA43=1,IF(AND($E43=2,NP43=0),1000000,IF($I43&gt;0,IF(6=$J43,IF(OR(AND(130=$I43+1,OR($K43&lt;&gt;'計算A'!$A$3,'計算A'!$A$4=0)),AND(130=$I43-1,OR(10&lt;&gt;'計算A'!$A$3,'計算A'!$A$4=0))),0,IF(10=$K43,200000,ABS(10-$K43)*100)),100000+ABS(6-$J43)*1000+100)+'計算A'!EC$5*50+IF(AND($E43=1,NP43=0),25,0),IF($F43&gt;0,INDEX('計算A'!EC$110:EC$114,$F43+1)+IF(AND($E43=1,NP43=0),1000,0),MIN(TZ43,20)*400+(IF('計算A'!EB$106=1,1-HZ43,0)+IF('計算A'!EC$106=1,1-IB43,0))*150+106+'計算A'!EC$5*100000+IF(AND($E43=1,NP43=0),50000,0))+IF($H43=1,(IF('計算A'!EB$117=1,INDEX('計算A'!EB$10:EB$54,$B43),0)+IF('計算A'!EC$117=1,INDEX('計算A'!ED$10:ED$54,$B43),0))*4000,0)-IF(AND('計算A'!EB$117=1,YZ43&gt;0),2000,0)-IF(AND($L43=1,'計算A'!EC$117=1,IB43=0),2000,0))),1000000))</f>
        <v/>
      </c>
      <c r="TF43">
        <f>IF($B43=0,1000000,IF(INDEX('計算A'!$D$60:$EQ$104,$B43,131)*IB43=1,IF(AND($E43=2,NQ43=0),1000000,IF($I43&gt;0,IF(6=$J43,IF(OR(AND(131=$I43+1,OR($K43&lt;&gt;'計算A'!$A$3,'計算A'!$A$4=0)),AND(131=$I43-1,OR(11&lt;&gt;'計算A'!$A$3,'計算A'!$A$4=0))),0,IF(11=$K43,200000,ABS(11-$K43)*100)),100000+ABS(6-$J43)*1000+110)+'計算A'!ED$5*50+IF(AND($E43=1,NQ43=0),25,0),IF($F43&gt;0,INDEX('計算A'!ED$110:ED$114,$F43+1)+IF(AND($E43=1,NQ43=0),1000,0),MIN(TZ43,20)*400+(IF('計算A'!EC$106=1,1-IA43,0)+IF('計算A'!ED$106=1,1-IC43,0))*150+116+'計算A'!ED$5*100000+IF(AND($E43=1,NQ43=0),50000,0))+IF($H43=1,(IF('計算A'!EC$117=1,INDEX('計算A'!EC$10:EC$54,$B43),0)+IF('計算A'!ED$117=1,INDEX('計算A'!EE$10:EE$54,$B43),0))*4000,0)-IF(AND('計算A'!EC$117=1,ZA43&gt;0),2000,0)-IF(AND($L43=1,'計算A'!ED$117=1,IC43=0),2000,0))),1000000))</f>
        <v/>
      </c>
      <c r="TG43">
        <f>IF($B43=0,1000000,IF(INDEX('計算A'!$D$60:$EQ$104,$B43,132)*IC43=1,IF(AND($E43=2,NR43=0),1000000,IF($I43&gt;0,IF(6=$J43,IF(OR(AND(132=$I43+1,OR($K43&lt;&gt;'計算A'!$A$3,'計算A'!$A$4=0)),AND(132=$I43-1,OR(12&lt;&gt;'計算A'!$A$3,'計算A'!$A$4=0))),0,IF(12=$K43,200000,ABS(12-$K43)*100)),100000+ABS(6-$J43)*1000+120)+'計算A'!EE$5*50+IF(AND($E43=1,NR43=0),25,0),IF($F43&gt;0,INDEX('計算A'!EE$110:EE$114,$F43+1)+IF(AND($E43=1,NR43=0),1000,0),MIN(TZ43,20)*400+(IF('計算A'!ED$106=1,1-IB43,0)+IF('計算A'!EE$106=1,1-ID43,0))*150+126+'計算A'!EE$5*100000+IF(AND($E43=1,NR43=0),50000,0))+IF($H43=1,(IF('計算A'!ED$117=1,INDEX('計算A'!ED$10:ED$54,$B43),0)+IF('計算A'!EE$117=1,INDEX('計算A'!EF$10:EF$54,$B43),0))*4000,0)-IF(AND('計算A'!ED$117=1,ZB43&gt;0),2000,0)-IF(AND($L43=1,'計算A'!EE$117=1,ID43=0),2000,0))),1000000))</f>
        <v/>
      </c>
      <c r="TH43">
        <f>IF($B43=0,1000000,IF(INDEX('計算A'!$D$60:$EQ$104,$B43,133)*ID43=1,IF(AND($E43=2,NS43=0),1000000,IF($I43&gt;0,IF(6=$J43,IF(OR(AND(133=$I43+1,OR($K43&lt;&gt;'計算A'!$A$3,'計算A'!$A$4=0)),AND(133=$I43-1,OR(13&lt;&gt;'計算A'!$A$3,'計算A'!$A$4=0))),0,IF(13=$K43,200000,ABS(13-$K43)*100)),100000+ABS(6-$J43)*1000+130)+'計算A'!EF$5*50+IF(AND($E43=1,NS43=0),25,0),IF($F43&gt;0,INDEX('計算A'!EF$110:EF$114,$F43+1)+IF(AND($E43=1,NS43=0),1000,0),MIN(TZ43,20)*400+(IF('計算A'!EE$106=1,1-IC43,0)+IF('計算A'!EF$106=1,1-IE43,0))*150+136+'計算A'!EF$5*100000+IF(AND($E43=1,NS43=0),50000,0))+IF($H43=1,(IF('計算A'!EE$117=1,INDEX('計算A'!EE$10:EE$54,$B43),0)+IF('計算A'!EF$117=1,INDEX('計算A'!EG$10:EG$54,$B43),0))*4000,0)-IF(AND('計算A'!EE$117=1,ZC43&gt;0),2000,0)-IF(AND($L43=1,'計算A'!EF$117=1,IE43=0),2000,0))),1000000))</f>
        <v/>
      </c>
      <c r="TI43">
        <f>IF($B43=0,1000000,IF(INDEX('計算A'!$D$60:$EQ$104,$B43,134)*IE43=1,IF(AND($E43=2,NT43=0),1000000,IF($I43&gt;0,IF(6=$J43,IF(OR(AND(134=$I43+1,OR($K43&lt;&gt;'計算A'!$A$3,'計算A'!$A$4=0)),AND(134=$I43-1,OR(14&lt;&gt;'計算A'!$A$3,'計算A'!$A$4=0))),0,IF(14=$K43,200000,ABS(14-$K43)*100)),100000+ABS(6-$J43)*1000+140)+'計算A'!EG$5*50+IF(AND($E43=1,NT43=0),25,0),IF($F43&gt;0,INDEX('計算A'!EG$110:EG$114,$F43+1)+IF(AND($E43=1,NT43=0),1000,0),MIN(TZ43,20)*400+(IF('計算A'!EF$106=1,1-ID43,0)+IF('計算A'!EG$106=1,1-IF43,0))*150+146+'計算A'!EG$5*100000+IF(AND($E43=1,NT43=0),50000,0))+IF($H43=1,(IF('計算A'!EF$117=1,INDEX('計算A'!EF$10:EF$54,$B43),0)+IF('計算A'!EG$117=1,INDEX('計算A'!EH$10:EH$54,$B43),0))*4000,0)-IF(AND('計算A'!EF$117=1,ZD43&gt;0),2000,0)-IF(AND($L43=1,'計算A'!EG$117=1,IF43=0),2000,0))),1000000))</f>
        <v/>
      </c>
      <c r="TJ43">
        <f>IF($B43=0,1000000,IF(INDEX('計算A'!$D$60:$EQ$104,$B43,135)*IF43=1,IF(AND($E43=2,NU43=0),1000000,IF($I43&gt;0,IF(6=$J43,IF(OR(AND(135=$I43+1,OR($K43&lt;&gt;'計算A'!$A$3,'計算A'!$A$4=0)),AND(135=$I43-1,OR(15&lt;&gt;'計算A'!$A$3,'計算A'!$A$4=0))),0,IF(15=$K43,200000,ABS(15-$K43)*100)),100000+ABS(6-$J43)*1000+150)+'計算A'!EH$5*50+IF(AND($E43=1,NU43=0),25,0),IF($F43&gt;0,INDEX('計算A'!EH$110:EH$114,$F43+1)+IF(AND($E43=1,NU43=0),1000,0),MIN(TZ43,20)*400+(IF('計算A'!EG$106=1,1-IE43,0)+IF('計算A'!EH$106=1,1-IG43,0))*150+156+'計算A'!EH$5*100000+IF(AND($E43=1,NU43=0),50000,0))+IF($H43=1,(IF('計算A'!EG$117=1,INDEX('計算A'!EG$10:EG$54,$B43),0)+IF('計算A'!EH$117=1,INDEX('計算A'!EI$10:EI$54,$B43),0))*4000,0)-IF(AND('計算A'!EG$117=1,ZE43&gt;0),2000,0)-IF(AND($L43=1,'計算A'!EH$117=1,IG43=0),2000,0))),1000000))</f>
        <v/>
      </c>
      <c r="TK43">
        <f>IF($B43=0,1000000,IF(INDEX('計算A'!$D$60:$EQ$104,$B43,136)*IG43=1,IF(AND($E43=2,NV43=0),1000000,IF($I43&gt;0,IF(6=$J43,IF(OR(AND(136=$I43+1,OR($K43&lt;&gt;'計算A'!$A$3,'計算A'!$A$4=0)),AND(136=$I43-1,OR(16&lt;&gt;'計算A'!$A$3,'計算A'!$A$4=0))),0,IF(16=$K43,200000,ABS(16-$K43)*100)),100000+ABS(6-$J43)*1000+160)+'計算A'!EI$5*50+IF(AND($E43=1,NV43=0),25,0),IF($F43&gt;0,INDEX('計算A'!EI$110:EI$114,$F43+1)+IF(AND($E43=1,NV43=0),1000,0),MIN(TZ43,20)*400+(IF('計算A'!EH$106=1,1-IF43,0)+IF('計算A'!EI$106=1,1-IH43,0))*150+166+'計算A'!EI$5*100000+IF(AND($E43=1,NV43=0),50000,0))+IF($H43=1,(IF('計算A'!EH$117=1,INDEX('計算A'!EH$10:EH$54,$B43),0)+IF('計算A'!EI$117=1,INDEX('計算A'!EJ$10:EJ$54,$B43),0))*4000,0)-IF(AND('計算A'!EH$117=1,ZF43&gt;0),2000,0)-IF(AND($L43=1,'計算A'!EI$117=1,IH43=0),2000,0))),1000000))</f>
        <v/>
      </c>
      <c r="TL43">
        <f>IF($B43=0,1000000,IF(INDEX('計算A'!$D$60:$EQ$104,$B43,137)*IH43=1,IF(AND($E43=2,NW43=0),1000000,IF($I43&gt;0,IF(6=$J43,IF(OR(AND(137=$I43+1,OR($K43&lt;&gt;'計算A'!$A$3,'計算A'!$A$4=0)),AND(137=$I43-1,OR(17&lt;&gt;'計算A'!$A$3,'計算A'!$A$4=0))),0,IF(17=$K43,200000,ABS(17-$K43)*100)),100000+ABS(6-$J43)*1000+170)+'計算A'!EJ$5*50+IF(AND($E43=1,NW43=0),25,0),IF($F43&gt;0,INDEX('計算A'!EJ$110:EJ$114,$F43+1)+IF(AND($E43=1,NW43=0),1000,0),MIN(TZ43,20)*400+(IF('計算A'!EI$106=1,1-IG43,0)+IF('計算A'!EJ$106=1,1-II43,0))*150+176+'計算A'!EJ$5*100000+IF(AND($E43=1,NW43=0),50000,0))+IF($H43=1,(IF('計算A'!EI$117=1,INDEX('計算A'!EI$10:EI$54,$B43),0)+IF('計算A'!EJ$117=1,INDEX('計算A'!EK$10:EK$54,$B43),0))*4000,0)-IF(AND('計算A'!EI$117=1,ZG43&gt;0),2000,0)-IF(AND($L43=1,'計算A'!EJ$117=1,II43=0),2000,0))),1000000))</f>
        <v/>
      </c>
      <c r="TM43">
        <f>IF($B43=0,1000000,IF(INDEX('計算A'!$D$60:$EQ$104,$B43,138)*II43=1,IF(AND($E43=2,NX43=0),1000000,IF($I43&gt;0,IF(6=$J43,IF(OR(AND(138=$I43+1,OR($K43&lt;&gt;'計算A'!$A$3,'計算A'!$A$4=0)),AND(138=$I43-1,OR(18&lt;&gt;'計算A'!$A$3,'計算A'!$A$4=0))),0,IF(18=$K43,200000,ABS(18-$K43)*100)),100000+ABS(6-$J43)*1000+180)+'計算A'!EK$5*50+IF(AND($E43=1,NX43=0),25,0),IF($F43&gt;0,INDEX('計算A'!EK$110:EK$114,$F43+1)+IF(AND($E43=1,NX43=0),1000,0),MIN(TZ43,20)*400+(IF('計算A'!EJ$106=1,1-IH43,0)+IF('計算A'!EK$106=1,1-IJ43,0))*150+186+'計算A'!EK$5*100000+IF(AND($E43=1,NX43=0),50000,0))+IF($H43=1,(IF('計算A'!EJ$117=1,INDEX('計算A'!EJ$10:EJ$54,$B43),0)+IF('計算A'!EK$117=1,INDEX('計算A'!EL$10:EL$54,$B43),0))*4000,0)-IF(AND('計算A'!EJ$117=1,ZH43&gt;0),2000,0)-IF(AND($L43=1,'計算A'!EK$117=1,IJ43=0),2000,0))),1000000))</f>
        <v/>
      </c>
      <c r="TN43">
        <f>IF($B43=0,1000000,IF(INDEX('計算A'!$D$60:$EQ$104,$B43,139)*IJ43=1,IF(AND($E43=2,NY43=0),1000000,IF($I43&gt;0,IF(6=$J43,IF(OR(AND(139=$I43+1,OR($K43&lt;&gt;'計算A'!$A$3,'計算A'!$A$4=0)),AND(139=$I43-1,OR(19&lt;&gt;'計算A'!$A$3,'計算A'!$A$4=0))),0,IF(19=$K43,200000,ABS(19-$K43)*100)),100000+ABS(6-$J43)*1000+190)+'計算A'!EL$5*50+IF(AND($E43=1,NY43=0),25,0),IF($F43&gt;0,INDEX('計算A'!EL$110:EL$114,$F43+1)+IF(AND($E43=1,NY43=0),1000,0),MIN(TZ43,20)*400+(IF('計算A'!EK$106=1,1-II43,0)+IF('計算A'!EL$106=1,1-IK43,0))*150+196+'計算A'!EL$5*100000+IF(AND($E43=1,NY43=0),50000,0))+IF($H43=1,(IF('計算A'!EK$117=1,INDEX('計算A'!EK$10:EK$54,$B43),0)+IF('計算A'!EL$117=1,INDEX('計算A'!EM$10:EM$54,$B43),0))*4000,0)-IF(AND('計算A'!EK$117=1,ZI43&gt;0),2000,0)-IF(AND($L43=1,'計算A'!EL$117=1,IK43=0),2000,0))),1000000))</f>
        <v/>
      </c>
      <c r="TO43">
        <f>IF($B43=0,1000000,IF(INDEX('計算A'!$D$60:$EQ$104,$B43,140)*IK43=1,IF(AND($E43=2,NZ43=0),1000000,IF($I43&gt;0,IF(6=$J43,IF(OR(AND(140=$I43+1,OR($K43&lt;&gt;'計算A'!$A$3,'計算A'!$A$4=0)),AND(140=$I43-1,OR(20&lt;&gt;'計算A'!$A$3,'計算A'!$A$4=0))),0,IF(20=$K43,200000,ABS(20-$K43)*100)),100000+ABS(6-$J43)*1000+200)+'計算A'!EM$5*50+IF(AND($E43=1,NZ43=0),25,0),IF($F43&gt;0,INDEX('計算A'!EM$110:EM$114,$F43+1)+IF(AND($E43=1,NZ43=0),1000,0),MIN(TZ43,20)*400+(IF('計算A'!EL$106=1,1-IJ43,0)+IF('計算A'!EM$106=1,1-IL43,0))*150+206+'計算A'!EM$5*100000+IF(AND($E43=1,NZ43=0),50000,0))+IF($H43=1,(IF('計算A'!EL$117=1,INDEX('計算A'!EL$10:EL$54,$B43),0)+IF('計算A'!EM$117=1,INDEX('計算A'!EN$10:EN$54,$B43),0))*4000,0)-IF(AND('計算A'!EL$117=1,ZJ43&gt;0),2000,0)-IF(AND($L43=1,'計算A'!EM$117=1,IL43=0),2000,0))),1000000))</f>
        <v/>
      </c>
      <c r="TP43">
        <f>IF($B43=0,1000000,IF(INDEX('計算A'!$D$60:$EQ$104,$B43,141)*IL43=1,IF(AND($E43=2,OA43=0),1000000,IF($I43&gt;0,IF(6=$J43,IF(OR(AND(141=$I43+1,OR($K43&lt;&gt;'計算A'!$A$3,'計算A'!$A$4=0)),AND(141=$I43-1,OR(21&lt;&gt;'計算A'!$A$3,'計算A'!$A$4=0))),0,IF(21=$K43,200000,ABS(21-$K43)*100)),100000+ABS(6-$J43)*1000+210)+'計算A'!EN$5*50+IF(AND($E43=1,OA43=0),25,0),IF($F43&gt;0,INDEX('計算A'!EN$110:EN$114,$F43+1)+IF(AND($E43=1,OA43=0),1000,0),MIN(TZ43,20)*400+(IF('計算A'!EM$106=1,1-IK43,0)+IF('計算A'!EN$106=1,1-IM43,0))*150+216+'計算A'!EN$5*100000+IF(AND($E43=1,OA43=0),50000,0))+IF($H43=1,(IF('計算A'!EM$117=1,INDEX('計算A'!EM$10:EM$54,$B43),0)+IF('計算A'!EN$117=1,INDEX('計算A'!EO$10:EO$54,$B43),0))*4000,0)-IF(AND('計算A'!EM$117=1,ZK43&gt;0),2000,0)-IF(AND($L43=1,'計算A'!EN$117=1,IM43=0),2000,0))),1000000))</f>
        <v/>
      </c>
      <c r="TQ43">
        <f>IF($B43=0,1000000,IF(INDEX('計算A'!$D$60:$EQ$104,$B43,142)*IM43=1,IF(AND($E43=2,OB43=0),1000000,IF($I43&gt;0,IF(6=$J43,IF(OR(AND(142=$I43+1,OR($K43&lt;&gt;'計算A'!$A$3,'計算A'!$A$4=0)),AND(142=$I43-1,OR(22&lt;&gt;'計算A'!$A$3,'計算A'!$A$4=0))),0,IF(22=$K43,200000,ABS(22-$K43)*100)),100000+ABS(6-$J43)*1000+220)+'計算A'!EO$5*50+IF(AND($E43=1,OB43=0),25,0),IF($F43&gt;0,INDEX('計算A'!EO$110:EO$114,$F43+1)+IF(AND($E43=1,OB43=0),1000,0),MIN(TZ43,20)*400+(IF('計算A'!EN$106=1,1-IL43,0)+IF('計算A'!EO$106=1,1-IN43,0))*150+226+'計算A'!EO$5*100000+IF(AND($E43=1,OB43=0),50000,0))+IF($H43=1,(IF('計算A'!EN$117=1,INDEX('計算A'!EN$10:EN$54,$B43),0)+IF('計算A'!EO$117=1,INDEX('計算A'!EP$10:EP$54,$B43),0))*4000,0)-IF(AND('計算A'!EN$117=1,ZL43&gt;0),2000,0)-IF(AND($L43=1,'計算A'!EO$117=1,IN43=0),2000,0))),1000000))</f>
        <v/>
      </c>
      <c r="TR43">
        <f>IF($B43=0,1000000,IF(INDEX('計算A'!$D$60:$EQ$104,$B43,143)*IN43=1,IF(AND($E43=2,OC43=0),1000000,IF($I43&gt;0,IF(6=$J43,IF(OR(AND(143=$I43+1,OR($K43&lt;&gt;'計算A'!$A$3,'計算A'!$A$4=0)),AND(143=$I43-1,OR(23&lt;&gt;'計算A'!$A$3,'計算A'!$A$4=0))),0,IF(23=$K43,200000,ABS(23-$K43)*100)),100000+ABS(6-$J43)*1000+230)+'計算A'!EP$5*50+IF(AND($E43=1,OC43=0),25,0),IF($F43&gt;0,INDEX('計算A'!EP$110:EP$114,$F43+1)+IF(AND($E43=1,OC43=0),1000,0),MIN(TZ43,20)*400+(IF('計算A'!EO$106=1,1-IM43,0)+IF('計算A'!EP$106=1,1-IO43,0))*150+236+'計算A'!EP$5*100000+IF(AND($E43=1,OC43=0),50000,0))+IF($H43=1,(IF('計算A'!EO$117=1,INDEX('計算A'!EO$10:EO$54,$B43),0)+IF('計算A'!EP$117=1,INDEX('計算A'!EQ$10:EQ$54,$B43),0))*4000,0)-IF(AND('計算A'!EO$117=1,ZM43&gt;0),2000,0)-IF(AND($L43=1,'計算A'!EP$117=1,IO43=0),2000,0))),1000000))</f>
        <v/>
      </c>
      <c r="TS43">
        <f>IF($B43=0,1000000,IF(INDEX('計算A'!$D$60:$EQ$104,$B43,144)*IO43=1,IF(AND($E43=2,OD43=0),1000000,IF($I43&gt;0,IF(6=$J43,IF(OR(AND(144=$I43+1,OR($K43&lt;&gt;'計算A'!$A$3,'計算A'!$A$4=0)),AND(144=$I43-1,OR(24&lt;&gt;'計算A'!$A$3,'計算A'!$A$4=0))),0,IF(24=$K43,200000,ABS(24-$K43)*100)),100000+ABS(6-$J43)*1000+240)+'計算A'!EQ$5*50+IF(AND($E43=1,OD43=0),25,0),IF($F43&gt;0,INDEX('計算A'!EQ$110:EQ$114,$F43+1)+IF(AND($E43=1,OD43=0),1000,0),MIN(TZ43,20)*400+(IF('計算A'!EP$106=1,1-IN43,0))*150+246+'計算A'!EQ$5*100000+IF(AND($E43=1,OD43=0),50000,0))+IF($H43=1,(IF('計算A'!EP$117=1,INDEX('計算A'!EP$10:EP$54,$B43),0))*4000,0)-IF(AND('計算A'!EP$117=1,ZN43&gt;0),2000,0))),1000000))</f>
        <v/>
      </c>
      <c r="TU43">
        <f>TU42+IF($C42&gt;0,IF(INDEX('計算A'!$D$2:$EQ$2,$C42)=1,1,0),0)</f>
        <v/>
      </c>
      <c r="TV43">
        <f>TV42+IF($C42&gt;0,IF(INDEX('計算A'!$D$2:$EQ$2,$C42)=2,1,0),0)</f>
        <v/>
      </c>
      <c r="TW43">
        <f>TW42+IF($C42&gt;0,IF(INDEX('計算A'!$D$2:$EQ$2,$C42)=3,1,0),0)</f>
        <v/>
      </c>
      <c r="TX43">
        <f>TX42+IF($C42&gt;0,IF(INDEX('計算A'!$D$2:$EQ$2,$C42)=4,1,0),0)</f>
        <v/>
      </c>
      <c r="TY43">
        <f>TY42+IF($C42&gt;0,IF(INDEX('計算A'!$D$2:$EQ$2,$C42)=5,1,0),0)</f>
        <v/>
      </c>
      <c r="TZ43">
        <f>TZ42+IF($C42&gt;0,IF(INDEX('計算A'!$D$2:$EQ$2,$C42)=6,1,0),0)</f>
        <v/>
      </c>
      <c r="UB43">
        <f>UB42+IF(AND($C42=1,$L42=1),1,0)</f>
        <v/>
      </c>
      <c r="UC43">
        <f>UC42+IF(AND($C42=2,$L42=1),1,0)</f>
        <v/>
      </c>
      <c r="UD43">
        <f>UD42+IF(AND($C42=3,$L42=1),1,0)</f>
        <v/>
      </c>
      <c r="UE43">
        <f>UE42+IF(AND($C42=4,$L42=1),1,0)</f>
        <v/>
      </c>
      <c r="UF43">
        <f>UF42+IF(AND($C42=5,$L42=1),1,0)</f>
        <v/>
      </c>
      <c r="UG43">
        <f>UG42+IF(AND($C42=6,$L42=1),1,0)</f>
        <v/>
      </c>
      <c r="UH43">
        <f>UH42+IF(AND($C42=7,$L42=1),1,0)</f>
        <v/>
      </c>
      <c r="UI43">
        <f>UI42+IF(AND($C42=8,$L42=1),1,0)</f>
        <v/>
      </c>
      <c r="UJ43">
        <f>UJ42+IF(AND($C42=9,$L42=1),1,0)</f>
        <v/>
      </c>
      <c r="UK43">
        <f>UK42+IF(AND($C42=10,$L42=1),1,0)</f>
        <v/>
      </c>
      <c r="UL43">
        <f>UL42+IF(AND($C42=11,$L42=1),1,0)</f>
        <v/>
      </c>
      <c r="UM43">
        <f>UM42+IF(AND($C42=12,$L42=1),1,0)</f>
        <v/>
      </c>
      <c r="UN43">
        <f>UN42+IF(AND($C42=13,$L42=1),1,0)</f>
        <v/>
      </c>
      <c r="UO43">
        <f>UO42+IF(AND($C42=14,$L42=1),1,0)</f>
        <v/>
      </c>
      <c r="UP43">
        <f>UP42+IF(AND($C42=15,$L42=1),1,0)</f>
        <v/>
      </c>
      <c r="UQ43">
        <f>UQ42+IF(AND($C42=16,$L42=1),1,0)</f>
        <v/>
      </c>
      <c r="UR43">
        <f>UR42+IF(AND($C42=17,$L42=1),1,0)</f>
        <v/>
      </c>
      <c r="US43">
        <f>US42+IF(AND($C42=18,$L42=1),1,0)</f>
        <v/>
      </c>
      <c r="UT43">
        <f>UT42+IF(AND($C42=19,$L42=1),1,0)</f>
        <v/>
      </c>
      <c r="UU43">
        <f>UU42+IF(AND($C42=20,$L42=1),1,0)</f>
        <v/>
      </c>
      <c r="UV43">
        <f>UV42+IF(AND($C42=21,$L42=1),1,0)</f>
        <v/>
      </c>
      <c r="UW43">
        <f>UW42+IF(AND($C42=22,$L42=1),1,0)</f>
        <v/>
      </c>
      <c r="UX43">
        <f>UX42+IF(AND($C42=23,$L42=1),1,0)</f>
        <v/>
      </c>
      <c r="UY43">
        <f>UY42+IF(AND($C42=24,$L42=1),1,0)</f>
        <v/>
      </c>
      <c r="UZ43">
        <f>UZ42+IF(AND($C42=25,$L42=1),1,0)</f>
        <v/>
      </c>
      <c r="VA43">
        <f>VA42+IF(AND($C42=26,$L42=1),1,0)</f>
        <v/>
      </c>
      <c r="VB43">
        <f>VB42+IF(AND($C42=27,$L42=1),1,0)</f>
        <v/>
      </c>
      <c r="VC43">
        <f>VC42+IF(AND($C42=28,$L42=1),1,0)</f>
        <v/>
      </c>
      <c r="VD43">
        <f>VD42+IF(AND($C42=29,$L42=1),1,0)</f>
        <v/>
      </c>
      <c r="VE43">
        <f>VE42+IF(AND($C42=30,$L42=1),1,0)</f>
        <v/>
      </c>
      <c r="VF43">
        <f>VF42+IF(AND($C42=31,$L42=1),1,0)</f>
        <v/>
      </c>
      <c r="VG43">
        <f>VG42+IF(AND($C42=32,$L42=1),1,0)</f>
        <v/>
      </c>
      <c r="VH43">
        <f>VH42+IF(AND($C42=33,$L42=1),1,0)</f>
        <v/>
      </c>
      <c r="VI43">
        <f>VI42+IF(AND($C42=34,$L42=1),1,0)</f>
        <v/>
      </c>
      <c r="VJ43">
        <f>VJ42+IF(AND($C42=35,$L42=1),1,0)</f>
        <v/>
      </c>
      <c r="VK43">
        <f>VK42+IF(AND($C42=36,$L42=1),1,0)</f>
        <v/>
      </c>
      <c r="VL43">
        <f>VL42+IF(AND($C42=37,$L42=1),1,0)</f>
        <v/>
      </c>
      <c r="VM43">
        <f>VM42+IF(AND($C42=38,$L42=1),1,0)</f>
        <v/>
      </c>
      <c r="VN43">
        <f>VN42+IF(AND($C42=39,$L42=1),1,0)</f>
        <v/>
      </c>
      <c r="VO43">
        <f>VO42+IF(AND($C42=40,$L42=1),1,0)</f>
        <v/>
      </c>
      <c r="VP43">
        <f>VP42+IF(AND($C42=41,$L42=1),1,0)</f>
        <v/>
      </c>
      <c r="VQ43">
        <f>VQ42+IF(AND($C42=42,$L42=1),1,0)</f>
        <v/>
      </c>
      <c r="VR43">
        <f>VR42+IF(AND($C42=43,$L42=1),1,0)</f>
        <v/>
      </c>
      <c r="VS43">
        <f>VS42+IF(AND($C42=44,$L42=1),1,0)</f>
        <v/>
      </c>
      <c r="VT43">
        <f>VT42+IF(AND($C42=45,$L42=1),1,0)</f>
        <v/>
      </c>
      <c r="VU43">
        <f>VU42+IF(AND($C42=46,$L42=1),1,0)</f>
        <v/>
      </c>
      <c r="VV43">
        <f>VV42+IF(AND($C42=47,$L42=1),1,0)</f>
        <v/>
      </c>
      <c r="VW43">
        <f>VW42+IF(AND($C42=48,$L42=1),1,0)</f>
        <v/>
      </c>
      <c r="VX43">
        <f>VX42+IF(AND($C42=49,$L42=1),1,0)</f>
        <v/>
      </c>
      <c r="VY43">
        <f>VY42+IF(AND($C42=50,$L42=1),1,0)</f>
        <v/>
      </c>
      <c r="VZ43">
        <f>VZ42+IF(AND($C42=51,$L42=1),1,0)</f>
        <v/>
      </c>
      <c r="WA43">
        <f>WA42+IF(AND($C42=52,$L42=1),1,0)</f>
        <v/>
      </c>
      <c r="WB43">
        <f>WB42+IF(AND($C42=53,$L42=1),1,0)</f>
        <v/>
      </c>
      <c r="WC43">
        <f>WC42+IF(AND($C42=54,$L42=1),1,0)</f>
        <v/>
      </c>
      <c r="WD43">
        <f>WD42+IF(AND($C42=55,$L42=1),1,0)</f>
        <v/>
      </c>
      <c r="WE43">
        <f>WE42+IF(AND($C42=56,$L42=1),1,0)</f>
        <v/>
      </c>
      <c r="WF43">
        <f>WF42+IF(AND($C42=57,$L42=1),1,0)</f>
        <v/>
      </c>
      <c r="WG43">
        <f>WG42+IF(AND($C42=58,$L42=1),1,0)</f>
        <v/>
      </c>
      <c r="WH43">
        <f>WH42+IF(AND($C42=59,$L42=1),1,0)</f>
        <v/>
      </c>
      <c r="WI43">
        <f>WI42+IF(AND($C42=60,$L42=1),1,0)</f>
        <v/>
      </c>
      <c r="WJ43">
        <f>WJ42+IF(AND($C42=61,$L42=1),1,0)</f>
        <v/>
      </c>
      <c r="WK43">
        <f>WK42+IF(AND($C42=62,$L42=1),1,0)</f>
        <v/>
      </c>
      <c r="WL43">
        <f>WL42+IF(AND($C42=63,$L42=1),1,0)</f>
        <v/>
      </c>
      <c r="WM43">
        <f>WM42+IF(AND($C42=64,$L42=1),1,0)</f>
        <v/>
      </c>
      <c r="WN43">
        <f>WN42+IF(AND($C42=65,$L42=1),1,0)</f>
        <v/>
      </c>
      <c r="WO43">
        <f>WO42+IF(AND($C42=66,$L42=1),1,0)</f>
        <v/>
      </c>
      <c r="WP43">
        <f>WP42+IF(AND($C42=67,$L42=1),1,0)</f>
        <v/>
      </c>
      <c r="WQ43">
        <f>WQ42+IF(AND($C42=68,$L42=1),1,0)</f>
        <v/>
      </c>
      <c r="WR43">
        <f>WR42+IF(AND($C42=69,$L42=1),1,0)</f>
        <v/>
      </c>
      <c r="WS43">
        <f>WS42+IF(AND($C42=70,$L42=1),1,0)</f>
        <v/>
      </c>
      <c r="WT43">
        <f>WT42+IF(AND($C42=71,$L42=1),1,0)</f>
        <v/>
      </c>
      <c r="WU43">
        <f>WU42+IF(AND($C42=72,$L42=1),1,0)</f>
        <v/>
      </c>
      <c r="WV43">
        <f>WV42+IF(AND($C42=73,$L42=1),1,0)</f>
        <v/>
      </c>
      <c r="WW43">
        <f>WW42+IF(AND($C42=74,$L42=1),1,0)</f>
        <v/>
      </c>
      <c r="WX43">
        <f>WX42+IF(AND($C42=75,$L42=1),1,0)</f>
        <v/>
      </c>
      <c r="WY43">
        <f>WY42+IF(AND($C42=76,$L42=1),1,0)</f>
        <v/>
      </c>
      <c r="WZ43">
        <f>WZ42+IF(AND($C42=77,$L42=1),1,0)</f>
        <v/>
      </c>
      <c r="XA43">
        <f>XA42+IF(AND($C42=78,$L42=1),1,0)</f>
        <v/>
      </c>
      <c r="XB43">
        <f>XB42+IF(AND($C42=79,$L42=1),1,0)</f>
        <v/>
      </c>
      <c r="XC43">
        <f>XC42+IF(AND($C42=80,$L42=1),1,0)</f>
        <v/>
      </c>
      <c r="XD43">
        <f>XD42+IF(AND($C42=81,$L42=1),1,0)</f>
        <v/>
      </c>
      <c r="XE43">
        <f>XE42+IF(AND($C42=82,$L42=1),1,0)</f>
        <v/>
      </c>
      <c r="XF43">
        <f>XF42+IF(AND($C42=83,$L42=1),1,0)</f>
        <v/>
      </c>
      <c r="XG43">
        <f>XG42+IF(AND($C42=84,$L42=1),1,0)</f>
        <v/>
      </c>
      <c r="XH43">
        <f>XH42+IF(AND($C42=85,$L42=1),1,0)</f>
        <v/>
      </c>
      <c r="XI43">
        <f>XI42+IF(AND($C42=86,$L42=1),1,0)</f>
        <v/>
      </c>
      <c r="XJ43">
        <f>XJ42+IF(AND($C42=87,$L42=1),1,0)</f>
        <v/>
      </c>
      <c r="XK43">
        <f>XK42+IF(AND($C42=88,$L42=1),1,0)</f>
        <v/>
      </c>
      <c r="XL43">
        <f>XL42+IF(AND($C42=89,$L42=1),1,0)</f>
        <v/>
      </c>
      <c r="XM43">
        <f>XM42+IF(AND($C42=90,$L42=1),1,0)</f>
        <v/>
      </c>
      <c r="XN43">
        <f>XN42+IF(AND($C42=91,$L42=1),1,0)</f>
        <v/>
      </c>
      <c r="XO43">
        <f>XO42+IF(AND($C42=92,$L42=1),1,0)</f>
        <v/>
      </c>
      <c r="XP43">
        <f>XP42+IF(AND($C42=93,$L42=1),1,0)</f>
        <v/>
      </c>
      <c r="XQ43">
        <f>XQ42+IF(AND($C42=94,$L42=1),1,0)</f>
        <v/>
      </c>
      <c r="XR43">
        <f>XR42+IF(AND($C42=95,$L42=1),1,0)</f>
        <v/>
      </c>
      <c r="XS43">
        <f>XS42+IF(AND($C42=96,$L42=1),1,0)</f>
        <v/>
      </c>
      <c r="XT43">
        <f>XT42+IF(AND($C42=97,$L42=1),1,0)</f>
        <v/>
      </c>
      <c r="XU43">
        <f>XU42+IF(AND($C42=98,$L42=1),1,0)</f>
        <v/>
      </c>
      <c r="XV43">
        <f>XV42+IF(AND($C42=99,$L42=1),1,0)</f>
        <v/>
      </c>
      <c r="XW43">
        <f>XW42+IF(AND($C42=100,$L42=1),1,0)</f>
        <v/>
      </c>
      <c r="XX43">
        <f>XX42+IF(AND($C42=101,$L42=1),1,0)</f>
        <v/>
      </c>
      <c r="XY43">
        <f>XY42+IF(AND($C42=102,$L42=1),1,0)</f>
        <v/>
      </c>
      <c r="XZ43">
        <f>XZ42+IF(AND($C42=103,$L42=1),1,0)</f>
        <v/>
      </c>
      <c r="YA43">
        <f>YA42+IF(AND($C42=104,$L42=1),1,0)</f>
        <v/>
      </c>
      <c r="YB43">
        <f>YB42+IF(AND($C42=105,$L42=1),1,0)</f>
        <v/>
      </c>
      <c r="YC43">
        <f>YC42+IF(AND($C42=106,$L42=1),1,0)</f>
        <v/>
      </c>
      <c r="YD43">
        <f>YD42+IF(AND($C42=107,$L42=1),1,0)</f>
        <v/>
      </c>
      <c r="YE43">
        <f>YE42+IF(AND($C42=108,$L42=1),1,0)</f>
        <v/>
      </c>
      <c r="YF43">
        <f>YF42+IF(AND($C42=109,$L42=1),1,0)</f>
        <v/>
      </c>
      <c r="YG43">
        <f>YG42+IF(AND($C42=110,$L42=1),1,0)</f>
        <v/>
      </c>
      <c r="YH43">
        <f>YH42+IF(AND($C42=111,$L42=1),1,0)</f>
        <v/>
      </c>
      <c r="YI43">
        <f>YI42+IF(AND($C42=112,$L42=1),1,0)</f>
        <v/>
      </c>
      <c r="YJ43">
        <f>YJ42+IF(AND($C42=113,$L42=1),1,0)</f>
        <v/>
      </c>
      <c r="YK43">
        <f>YK42+IF(AND($C42=114,$L42=1),1,0)</f>
        <v/>
      </c>
      <c r="YL43">
        <f>YL42+IF(AND($C42=115,$L42=1),1,0)</f>
        <v/>
      </c>
      <c r="YM43">
        <f>YM42+IF(AND($C42=116,$L42=1),1,0)</f>
        <v/>
      </c>
      <c r="YN43">
        <f>YN42+IF(AND($C42=117,$L42=1),1,0)</f>
        <v/>
      </c>
      <c r="YO43">
        <f>YO42+IF(AND($C42=118,$L42=1),1,0)</f>
        <v/>
      </c>
      <c r="YP43">
        <f>YP42+IF(AND($C42=119,$L42=1),1,0)</f>
        <v/>
      </c>
      <c r="YQ43">
        <f>YQ42+IF(AND($C42=120,$L42=1),1,0)</f>
        <v/>
      </c>
      <c r="YR43">
        <f>YR42+IF(AND($C42=121,$L42=1),1,0)</f>
        <v/>
      </c>
      <c r="YS43">
        <f>YS42+IF(AND($C42=122,$L42=1),1,0)</f>
        <v/>
      </c>
      <c r="YT43">
        <f>YT42+IF(AND($C42=123,$L42=1),1,0)</f>
        <v/>
      </c>
      <c r="YU43">
        <f>YU42+IF(AND($C42=124,$L42=1),1,0)</f>
        <v/>
      </c>
      <c r="YV43">
        <f>YV42+IF(AND($C42=125,$L42=1),1,0)</f>
        <v/>
      </c>
      <c r="YW43">
        <f>YW42+IF(AND($C42=126,$L42=1),1,0)</f>
        <v/>
      </c>
      <c r="YX43">
        <f>YX42+IF(AND($C42=127,$L42=1),1,0)</f>
        <v/>
      </c>
      <c r="YY43">
        <f>YY42+IF(AND($C42=128,$L42=1),1,0)</f>
        <v/>
      </c>
      <c r="YZ43">
        <f>YZ42+IF(AND($C42=129,$L42=1),1,0)</f>
        <v/>
      </c>
      <c r="ZA43">
        <f>ZA42+IF(AND($C42=130,$L42=1),1,0)</f>
        <v/>
      </c>
      <c r="ZB43">
        <f>ZB42+IF(AND($C42=131,$L42=1),1,0)</f>
        <v/>
      </c>
      <c r="ZC43">
        <f>ZC42+IF(AND($C42=132,$L42=1),1,0)</f>
        <v/>
      </c>
      <c r="ZD43">
        <f>ZD42+IF(AND($C42=133,$L42=1),1,0)</f>
        <v/>
      </c>
      <c r="ZE43">
        <f>ZE42+IF(AND($C42=134,$L42=1),1,0)</f>
        <v/>
      </c>
      <c r="ZF43">
        <f>ZF42+IF(AND($C42=135,$L42=1),1,0)</f>
        <v/>
      </c>
      <c r="ZG43">
        <f>ZG42+IF(AND($C42=136,$L42=1),1,0)</f>
        <v/>
      </c>
      <c r="ZH43">
        <f>ZH42+IF(AND($C42=137,$L42=1),1,0)</f>
        <v/>
      </c>
      <c r="ZI43">
        <f>ZI42+IF(AND($C42=138,$L42=1),1,0)</f>
        <v/>
      </c>
      <c r="ZJ43">
        <f>ZJ42+IF(AND($C42=139,$L42=1),1,0)</f>
        <v/>
      </c>
      <c r="ZK43">
        <f>ZK42+IF(AND($C42=140,$L42=1),1,0)</f>
        <v/>
      </c>
      <c r="ZL43">
        <f>ZL42+IF(AND($C42=141,$L42=1),1,0)</f>
        <v/>
      </c>
      <c r="ZM43">
        <f>ZM42+IF(AND($C42=142,$L42=1),1,0)</f>
        <v/>
      </c>
      <c r="ZN43">
        <f>ZN42+IF(AND($C42=143,$L42=1),1,0)</f>
        <v/>
      </c>
      <c r="ZO43">
        <f>ZO42+IF(AND($C42=144,$L42=1),1,0)</f>
        <v/>
      </c>
    </row>
    <row r="44">
      <c r="A44" t="n">
        <v>42</v>
      </c>
      <c r="B44">
        <f>IF(MIN(BH44:CZ44)&gt;=1000000,0,MATCH(MIN(BH44:CZ44),BH44:CZ44,0))</f>
        <v/>
      </c>
      <c r="C44">
        <f>IF(MIN(OF44:TS44)&gt;=1000000,0,MATCH(MIN(OF44:TS44),OF44:TS44,0))</f>
        <v/>
      </c>
      <c r="D44">
        <f>IF(C44&gt;0,INDEX('計算A'!$D$5:$EQ$5,C44),0)</f>
        <v/>
      </c>
      <c r="E44">
        <f>IF(B44=0,0,INDEX('計算A'!$IQ$10:$IQ$54,B44))</f>
        <v/>
      </c>
      <c r="F44">
        <f>IF(B44=0,0,INDEX('計算A'!$IP$10:$IP$54,B44))</f>
        <v/>
      </c>
      <c r="G44">
        <f>IF(AND(C44&gt;0,E44&gt;0),IF(AND(INDEX('計算A'!$D$106:$EQ$106,C44)=1,INDEX($IQ44:$OD44,C44)=1),C44+1,0),0)</f>
        <v/>
      </c>
      <c r="H44">
        <f>IF(B44=0,0,INDEX('計算A'!$IW$10:$IW$54,B44))</f>
        <v/>
      </c>
      <c r="I44">
        <f>IF(B44=0,0,MAX(0,INDEX('計算A'!$IT$10:$IT$54,B44)))</f>
        <v/>
      </c>
      <c r="J44">
        <f>IF(I44=0,0,INDEX('計算A'!$D$2:$EQ$2,I44))</f>
        <v/>
      </c>
      <c r="K44">
        <f>IF(I44=0,0,INDEX('計算A'!$D$3:$EQ$3,I44))</f>
        <v/>
      </c>
      <c r="L44">
        <f>IF(B44=0,0,INDEX('計算A'!$IX$10:$IX$54,B44))</f>
        <v/>
      </c>
      <c r="N44">
        <f>MAX(N43,IF($B43=1,1,0))</f>
        <v/>
      </c>
      <c r="O44">
        <f>MAX(O43,IF($B43=2,1,0))</f>
        <v/>
      </c>
      <c r="P44">
        <f>MAX(P43,IF($B43=3,1,0))</f>
        <v/>
      </c>
      <c r="Q44">
        <f>MAX(Q43,IF($B43=4,1,0))</f>
        <v/>
      </c>
      <c r="R44">
        <f>MAX(R43,IF($B43=5,1,0))</f>
        <v/>
      </c>
      <c r="S44">
        <f>MAX(S43,IF($B43=6,1,0))</f>
        <v/>
      </c>
      <c r="T44">
        <f>MAX(T43,IF($B43=7,1,0))</f>
        <v/>
      </c>
      <c r="U44">
        <f>MAX(U43,IF($B43=8,1,0))</f>
        <v/>
      </c>
      <c r="V44">
        <f>MAX(V43,IF($B43=9,1,0))</f>
        <v/>
      </c>
      <c r="W44">
        <f>MAX(W43,IF($B43=10,1,0))</f>
        <v/>
      </c>
      <c r="X44">
        <f>MAX(X43,IF($B43=11,1,0))</f>
        <v/>
      </c>
      <c r="Y44">
        <f>MAX(Y43,IF($B43=12,1,0))</f>
        <v/>
      </c>
      <c r="Z44">
        <f>MAX(Z43,IF($B43=13,1,0))</f>
        <v/>
      </c>
      <c r="AA44">
        <f>MAX(AA43,IF($B43=14,1,0))</f>
        <v/>
      </c>
      <c r="AB44">
        <f>MAX(AB43,IF($B43=15,1,0))</f>
        <v/>
      </c>
      <c r="AC44">
        <f>MAX(AC43,IF($B43=16,1,0))</f>
        <v/>
      </c>
      <c r="AD44">
        <f>MAX(AD43,IF($B43=17,1,0))</f>
        <v/>
      </c>
      <c r="AE44">
        <f>MAX(AE43,IF($B43=18,1,0))</f>
        <v/>
      </c>
      <c r="AF44">
        <f>MAX(AF43,IF($B43=19,1,0))</f>
        <v/>
      </c>
      <c r="AG44">
        <f>MAX(AG43,IF($B43=20,1,0))</f>
        <v/>
      </c>
      <c r="AH44">
        <f>MAX(AH43,IF($B43=21,1,0))</f>
        <v/>
      </c>
      <c r="AI44">
        <f>MAX(AI43,IF($B43=22,1,0))</f>
        <v/>
      </c>
      <c r="AJ44">
        <f>MAX(AJ43,IF($B43=23,1,0))</f>
        <v/>
      </c>
      <c r="AK44">
        <f>MAX(AK43,IF($B43=24,1,0))</f>
        <v/>
      </c>
      <c r="AL44">
        <f>MAX(AL43,IF($B43=25,1,0))</f>
        <v/>
      </c>
      <c r="AM44">
        <f>MAX(AM43,IF($B43=26,1,0))</f>
        <v/>
      </c>
      <c r="AN44">
        <f>MAX(AN43,IF($B43=27,1,0))</f>
        <v/>
      </c>
      <c r="AO44">
        <f>MAX(AO43,IF($B43=28,1,0))</f>
        <v/>
      </c>
      <c r="AP44">
        <f>MAX(AP43,IF($B43=29,1,0))</f>
        <v/>
      </c>
      <c r="AQ44">
        <f>MAX(AQ43,IF($B43=30,1,0))</f>
        <v/>
      </c>
      <c r="AR44">
        <f>MAX(AR43,IF($B43=31,1,0))</f>
        <v/>
      </c>
      <c r="AS44">
        <f>MAX(AS43,IF($B43=32,1,0))</f>
        <v/>
      </c>
      <c r="AT44">
        <f>MAX(AT43,IF($B43=33,1,0))</f>
        <v/>
      </c>
      <c r="AU44">
        <f>MAX(AU43,IF($B43=34,1,0))</f>
        <v/>
      </c>
      <c r="AV44">
        <f>MAX(AV43,IF($B43=35,1,0))</f>
        <v/>
      </c>
      <c r="AW44">
        <f>MAX(AW43,IF($B43=36,1,0))</f>
        <v/>
      </c>
      <c r="AX44">
        <f>MAX(AX43,IF($B43=37,1,0))</f>
        <v/>
      </c>
      <c r="AY44">
        <f>MAX(AY43,IF($B43=38,1,0))</f>
        <v/>
      </c>
      <c r="AZ44">
        <f>MAX(AZ43,IF($B43=39,1,0))</f>
        <v/>
      </c>
      <c r="BA44">
        <f>MAX(BA43,IF($B43=40,1,0))</f>
        <v/>
      </c>
      <c r="BB44">
        <f>MAX(BB43,IF($B43=41,1,0))</f>
        <v/>
      </c>
      <c r="BC44">
        <f>MAX(BC43,IF($B43=42,1,0))</f>
        <v/>
      </c>
      <c r="BD44">
        <f>MAX(BD43,IF($B43=43,1,0))</f>
        <v/>
      </c>
      <c r="BE44">
        <f>MAX(BE43,IF($B43=44,1,0))</f>
        <v/>
      </c>
      <c r="BF44">
        <f>MAX(BF43,IF($B43=45,1,0))</f>
        <v/>
      </c>
      <c r="BH44">
        <f>IF(N44=1,1000000,IF('計算A'!$IT$10&gt;0,0,500000)+IF('計算A'!$IQ$10=2,SUMPRODUCT('計算A'!$D$60:$EQ$60,$DB44:$IO44,$IQ44:$OD44),SUMPRODUCT('計算A'!$D$60:$EQ$60,$DB44:$IO44))*1000+1)</f>
        <v/>
      </c>
      <c r="BI44">
        <f>IF(O44=1,1000000,IF('計算A'!$IT$11&gt;0,0,500000)+IF('計算A'!$IQ$11=2,SUMPRODUCT('計算A'!$D$61:$EQ$61,$DB44:$IO44,$IQ44:$OD44),SUMPRODUCT('計算A'!$D$61:$EQ$61,$DB44:$IO44))*1000+2)</f>
        <v/>
      </c>
      <c r="BJ44">
        <f>IF(P44=1,1000000,IF('計算A'!$IT$12&gt;0,0,500000)+IF('計算A'!$IQ$12=2,SUMPRODUCT('計算A'!$D$62:$EQ$62,$DB44:$IO44,$IQ44:$OD44),SUMPRODUCT('計算A'!$D$62:$EQ$62,$DB44:$IO44))*1000+3)</f>
        <v/>
      </c>
      <c r="BK44">
        <f>IF(Q44=1,1000000,IF('計算A'!$IT$13&gt;0,0,500000)+IF('計算A'!$IQ$13=2,SUMPRODUCT('計算A'!$D$63:$EQ$63,$DB44:$IO44,$IQ44:$OD44),SUMPRODUCT('計算A'!$D$63:$EQ$63,$DB44:$IO44))*1000+4)</f>
        <v/>
      </c>
      <c r="BL44">
        <f>IF(R44=1,1000000,IF('計算A'!$IT$14&gt;0,0,500000)+IF('計算A'!$IQ$14=2,SUMPRODUCT('計算A'!$D$64:$EQ$64,$DB44:$IO44,$IQ44:$OD44),SUMPRODUCT('計算A'!$D$64:$EQ$64,$DB44:$IO44))*1000+5)</f>
        <v/>
      </c>
      <c r="BM44">
        <f>IF(S44=1,1000000,IF('計算A'!$IT$15&gt;0,0,500000)+IF('計算A'!$IQ$15=2,SUMPRODUCT('計算A'!$D$65:$EQ$65,$DB44:$IO44,$IQ44:$OD44),SUMPRODUCT('計算A'!$D$65:$EQ$65,$DB44:$IO44))*1000+6)</f>
        <v/>
      </c>
      <c r="BN44">
        <f>IF(T44=1,1000000,IF('計算A'!$IT$16&gt;0,0,500000)+IF('計算A'!$IQ$16=2,SUMPRODUCT('計算A'!$D$66:$EQ$66,$DB44:$IO44,$IQ44:$OD44),SUMPRODUCT('計算A'!$D$66:$EQ$66,$DB44:$IO44))*1000+7)</f>
        <v/>
      </c>
      <c r="BO44">
        <f>IF(U44=1,1000000,IF('計算A'!$IT$17&gt;0,0,500000)+IF('計算A'!$IQ$17=2,SUMPRODUCT('計算A'!$D$67:$EQ$67,$DB44:$IO44,$IQ44:$OD44),SUMPRODUCT('計算A'!$D$67:$EQ$67,$DB44:$IO44))*1000+8)</f>
        <v/>
      </c>
      <c r="BP44">
        <f>IF(V44=1,1000000,IF('計算A'!$IT$18&gt;0,0,500000)+IF('計算A'!$IQ$18=2,SUMPRODUCT('計算A'!$D$68:$EQ$68,$DB44:$IO44,$IQ44:$OD44),SUMPRODUCT('計算A'!$D$68:$EQ$68,$DB44:$IO44))*1000+9)</f>
        <v/>
      </c>
      <c r="BQ44">
        <f>IF(W44=1,1000000,IF('計算A'!$IT$19&gt;0,0,500000)+IF('計算A'!$IQ$19=2,SUMPRODUCT('計算A'!$D$69:$EQ$69,$DB44:$IO44,$IQ44:$OD44),SUMPRODUCT('計算A'!$D$69:$EQ$69,$DB44:$IO44))*1000+10)</f>
        <v/>
      </c>
      <c r="BR44">
        <f>IF(X44=1,1000000,IF('計算A'!$IT$20&gt;0,0,500000)+IF('計算A'!$IQ$20=2,SUMPRODUCT('計算A'!$D$70:$EQ$70,$DB44:$IO44,$IQ44:$OD44),SUMPRODUCT('計算A'!$D$70:$EQ$70,$DB44:$IO44))*1000+11)</f>
        <v/>
      </c>
      <c r="BS44">
        <f>IF(Y44=1,1000000,IF('計算A'!$IT$21&gt;0,0,500000)+IF('計算A'!$IQ$21=2,SUMPRODUCT('計算A'!$D$71:$EQ$71,$DB44:$IO44,$IQ44:$OD44),SUMPRODUCT('計算A'!$D$71:$EQ$71,$DB44:$IO44))*1000+12)</f>
        <v/>
      </c>
      <c r="BT44">
        <f>IF(Z44=1,1000000,IF('計算A'!$IT$22&gt;0,0,500000)+IF('計算A'!$IQ$22=2,SUMPRODUCT('計算A'!$D$72:$EQ$72,$DB44:$IO44,$IQ44:$OD44),SUMPRODUCT('計算A'!$D$72:$EQ$72,$DB44:$IO44))*1000+13)</f>
        <v/>
      </c>
      <c r="BU44">
        <f>IF(AA44=1,1000000,IF('計算A'!$IT$23&gt;0,0,500000)+IF('計算A'!$IQ$23=2,SUMPRODUCT('計算A'!$D$73:$EQ$73,$DB44:$IO44,$IQ44:$OD44),SUMPRODUCT('計算A'!$D$73:$EQ$73,$DB44:$IO44))*1000+14)</f>
        <v/>
      </c>
      <c r="BV44">
        <f>IF(AB44=1,1000000,IF('計算A'!$IT$24&gt;0,0,500000)+IF('計算A'!$IQ$24=2,SUMPRODUCT('計算A'!$D$74:$EQ$74,$DB44:$IO44,$IQ44:$OD44),SUMPRODUCT('計算A'!$D$74:$EQ$74,$DB44:$IO44))*1000+15)</f>
        <v/>
      </c>
      <c r="BW44">
        <f>IF(AC44=1,1000000,IF('計算A'!$IT$25&gt;0,0,500000)+IF('計算A'!$IQ$25=2,SUMPRODUCT('計算A'!$D$75:$EQ$75,$DB44:$IO44,$IQ44:$OD44),SUMPRODUCT('計算A'!$D$75:$EQ$75,$DB44:$IO44))*1000+16)</f>
        <v/>
      </c>
      <c r="BX44">
        <f>IF(AD44=1,1000000,IF('計算A'!$IT$26&gt;0,0,500000)+IF('計算A'!$IQ$26=2,SUMPRODUCT('計算A'!$D$76:$EQ$76,$DB44:$IO44,$IQ44:$OD44),SUMPRODUCT('計算A'!$D$76:$EQ$76,$DB44:$IO44))*1000+17)</f>
        <v/>
      </c>
      <c r="BY44">
        <f>IF(AE44=1,1000000,IF('計算A'!$IT$27&gt;0,0,500000)+IF('計算A'!$IQ$27=2,SUMPRODUCT('計算A'!$D$77:$EQ$77,$DB44:$IO44,$IQ44:$OD44),SUMPRODUCT('計算A'!$D$77:$EQ$77,$DB44:$IO44))*1000+18)</f>
        <v/>
      </c>
      <c r="BZ44">
        <f>IF(AF44=1,1000000,IF('計算A'!$IT$28&gt;0,0,500000)+IF('計算A'!$IQ$28=2,SUMPRODUCT('計算A'!$D$78:$EQ$78,$DB44:$IO44,$IQ44:$OD44),SUMPRODUCT('計算A'!$D$78:$EQ$78,$DB44:$IO44))*1000+19)</f>
        <v/>
      </c>
      <c r="CA44">
        <f>IF(AG44=1,1000000,IF('計算A'!$IT$29&gt;0,0,500000)+IF('計算A'!$IQ$29=2,SUMPRODUCT('計算A'!$D$79:$EQ$79,$DB44:$IO44,$IQ44:$OD44),SUMPRODUCT('計算A'!$D$79:$EQ$79,$DB44:$IO44))*1000+20)</f>
        <v/>
      </c>
      <c r="CB44">
        <f>IF(AH44=1,1000000,IF('計算A'!$IT$30&gt;0,0,500000)+IF('計算A'!$IQ$30=2,SUMPRODUCT('計算A'!$D$80:$EQ$80,$DB44:$IO44,$IQ44:$OD44),SUMPRODUCT('計算A'!$D$80:$EQ$80,$DB44:$IO44))*1000+21)</f>
        <v/>
      </c>
      <c r="CC44">
        <f>IF(AI44=1,1000000,IF('計算A'!$IT$31&gt;0,0,500000)+IF('計算A'!$IQ$31=2,SUMPRODUCT('計算A'!$D$81:$EQ$81,$DB44:$IO44,$IQ44:$OD44),SUMPRODUCT('計算A'!$D$81:$EQ$81,$DB44:$IO44))*1000+22)</f>
        <v/>
      </c>
      <c r="CD44">
        <f>IF(AJ44=1,1000000,IF('計算A'!$IT$32&gt;0,0,500000)+IF('計算A'!$IQ$32=2,SUMPRODUCT('計算A'!$D$82:$EQ$82,$DB44:$IO44,$IQ44:$OD44),SUMPRODUCT('計算A'!$D$82:$EQ$82,$DB44:$IO44))*1000+23)</f>
        <v/>
      </c>
      <c r="CE44">
        <f>IF(AK44=1,1000000,IF('計算A'!$IT$33&gt;0,0,500000)+IF('計算A'!$IQ$33=2,SUMPRODUCT('計算A'!$D$83:$EQ$83,$DB44:$IO44,$IQ44:$OD44),SUMPRODUCT('計算A'!$D$83:$EQ$83,$DB44:$IO44))*1000+24)</f>
        <v/>
      </c>
      <c r="CF44">
        <f>IF(AL44=1,1000000,IF('計算A'!$IT$34&gt;0,0,500000)+IF('計算A'!$IQ$34=2,SUMPRODUCT('計算A'!$D$84:$EQ$84,$DB44:$IO44,$IQ44:$OD44),SUMPRODUCT('計算A'!$D$84:$EQ$84,$DB44:$IO44))*1000+25)</f>
        <v/>
      </c>
      <c r="CG44">
        <f>IF(AM44=1,1000000,IF('計算A'!$IT$35&gt;0,0,500000)+IF('計算A'!$IQ$35=2,SUMPRODUCT('計算A'!$D$85:$EQ$85,$DB44:$IO44,$IQ44:$OD44),SUMPRODUCT('計算A'!$D$85:$EQ$85,$DB44:$IO44))*1000+26)</f>
        <v/>
      </c>
      <c r="CH44">
        <f>IF(AN44=1,1000000,IF('計算A'!$IT$36&gt;0,0,500000)+IF('計算A'!$IQ$36=2,SUMPRODUCT('計算A'!$D$86:$EQ$86,$DB44:$IO44,$IQ44:$OD44),SUMPRODUCT('計算A'!$D$86:$EQ$86,$DB44:$IO44))*1000+27)</f>
        <v/>
      </c>
      <c r="CI44">
        <f>IF(AO44=1,1000000,IF('計算A'!$IT$37&gt;0,0,500000)+IF('計算A'!$IQ$37=2,SUMPRODUCT('計算A'!$D$87:$EQ$87,$DB44:$IO44,$IQ44:$OD44),SUMPRODUCT('計算A'!$D$87:$EQ$87,$DB44:$IO44))*1000+28)</f>
        <v/>
      </c>
      <c r="CJ44">
        <f>IF(AP44=1,1000000,IF('計算A'!$IT$38&gt;0,0,500000)+IF('計算A'!$IQ$38=2,SUMPRODUCT('計算A'!$D$88:$EQ$88,$DB44:$IO44,$IQ44:$OD44),SUMPRODUCT('計算A'!$D$88:$EQ$88,$DB44:$IO44))*1000+29)</f>
        <v/>
      </c>
      <c r="CK44">
        <f>IF(AQ44=1,1000000,IF('計算A'!$IT$39&gt;0,0,500000)+IF('計算A'!$IQ$39=2,SUMPRODUCT('計算A'!$D$89:$EQ$89,$DB44:$IO44,$IQ44:$OD44),SUMPRODUCT('計算A'!$D$89:$EQ$89,$DB44:$IO44))*1000+30)</f>
        <v/>
      </c>
      <c r="CL44">
        <f>IF(AR44=1,1000000,IF('計算A'!$IT$40&gt;0,0,500000)+IF('計算A'!$IQ$40=2,SUMPRODUCT('計算A'!$D$90:$EQ$90,$DB44:$IO44,$IQ44:$OD44),SUMPRODUCT('計算A'!$D$90:$EQ$90,$DB44:$IO44))*1000+31)</f>
        <v/>
      </c>
      <c r="CM44">
        <f>IF(AS44=1,1000000,IF('計算A'!$IT$41&gt;0,0,500000)+IF('計算A'!$IQ$41=2,SUMPRODUCT('計算A'!$D$91:$EQ$91,$DB44:$IO44,$IQ44:$OD44),SUMPRODUCT('計算A'!$D$91:$EQ$91,$DB44:$IO44))*1000+32)</f>
        <v/>
      </c>
      <c r="CN44">
        <f>IF(AT44=1,1000000,IF('計算A'!$IT$42&gt;0,0,500000)+IF('計算A'!$IQ$42=2,SUMPRODUCT('計算A'!$D$92:$EQ$92,$DB44:$IO44,$IQ44:$OD44),SUMPRODUCT('計算A'!$D$92:$EQ$92,$DB44:$IO44))*1000+33)</f>
        <v/>
      </c>
      <c r="CO44">
        <f>IF(AU44=1,1000000,IF('計算A'!$IT$43&gt;0,0,500000)+IF('計算A'!$IQ$43=2,SUMPRODUCT('計算A'!$D$93:$EQ$93,$DB44:$IO44,$IQ44:$OD44),SUMPRODUCT('計算A'!$D$93:$EQ$93,$DB44:$IO44))*1000+34)</f>
        <v/>
      </c>
      <c r="CP44">
        <f>IF(AV44=1,1000000,IF('計算A'!$IT$44&gt;0,0,500000)+IF('計算A'!$IQ$44=2,SUMPRODUCT('計算A'!$D$94:$EQ$94,$DB44:$IO44,$IQ44:$OD44),SUMPRODUCT('計算A'!$D$94:$EQ$94,$DB44:$IO44))*1000+35)</f>
        <v/>
      </c>
      <c r="CQ44">
        <f>IF(AW44=1,1000000,IF('計算A'!$IT$45&gt;0,0,500000)+IF('計算A'!$IQ$45=2,SUMPRODUCT('計算A'!$D$95:$EQ$95,$DB44:$IO44,$IQ44:$OD44),SUMPRODUCT('計算A'!$D$95:$EQ$95,$DB44:$IO44))*1000+36)</f>
        <v/>
      </c>
      <c r="CR44">
        <f>IF(AX44=1,1000000,IF('計算A'!$IT$46&gt;0,0,500000)+IF('計算A'!$IQ$46=2,SUMPRODUCT('計算A'!$D$96:$EQ$96,$DB44:$IO44,$IQ44:$OD44),SUMPRODUCT('計算A'!$D$96:$EQ$96,$DB44:$IO44))*1000+37)</f>
        <v/>
      </c>
      <c r="CS44">
        <f>IF(AY44=1,1000000,IF('計算A'!$IT$47&gt;0,0,500000)+IF('計算A'!$IQ$47=2,SUMPRODUCT('計算A'!$D$97:$EQ$97,$DB44:$IO44,$IQ44:$OD44),SUMPRODUCT('計算A'!$D$97:$EQ$97,$DB44:$IO44))*1000+38)</f>
        <v/>
      </c>
      <c r="CT44">
        <f>IF(AZ44=1,1000000,IF('計算A'!$IT$48&gt;0,0,500000)+IF('計算A'!$IQ$48=2,SUMPRODUCT('計算A'!$D$98:$EQ$98,$DB44:$IO44,$IQ44:$OD44),SUMPRODUCT('計算A'!$D$98:$EQ$98,$DB44:$IO44))*1000+39)</f>
        <v/>
      </c>
      <c r="CU44">
        <f>IF(BA44=1,1000000,IF('計算A'!$IT$49&gt;0,0,500000)+IF('計算A'!$IQ$49=2,SUMPRODUCT('計算A'!$D$99:$EQ$99,$DB44:$IO44,$IQ44:$OD44),SUMPRODUCT('計算A'!$D$99:$EQ$99,$DB44:$IO44))*1000+40)</f>
        <v/>
      </c>
      <c r="CV44">
        <f>IF(BB44=1,1000000,IF('計算A'!$IT$50&gt;0,0,500000)+IF('計算A'!$IQ$50=2,SUMPRODUCT('計算A'!$D$100:$EQ$100,$DB44:$IO44,$IQ44:$OD44),SUMPRODUCT('計算A'!$D$100:$EQ$100,$DB44:$IO44))*1000+41)</f>
        <v/>
      </c>
      <c r="CW44">
        <f>IF(BC44=1,1000000,IF('計算A'!$IT$51&gt;0,0,500000)+IF('計算A'!$IQ$51=2,SUMPRODUCT('計算A'!$D$101:$EQ$101,$DB44:$IO44,$IQ44:$OD44),SUMPRODUCT('計算A'!$D$101:$EQ$101,$DB44:$IO44))*1000+42)</f>
        <v/>
      </c>
      <c r="CX44">
        <f>IF(BD44=1,1000000,IF('計算A'!$IT$52&gt;0,0,500000)+IF('計算A'!$IQ$52=2,SUMPRODUCT('計算A'!$D$102:$EQ$102,$DB44:$IO44,$IQ44:$OD44),SUMPRODUCT('計算A'!$D$102:$EQ$102,$DB44:$IO44))*1000+43)</f>
        <v/>
      </c>
      <c r="CY44">
        <f>IF(BE44=1,1000000,IF('計算A'!$IT$53&gt;0,0,500000)+IF('計算A'!$IQ$53=2,SUMPRODUCT('計算A'!$D$103:$EQ$103,$DB44:$IO44,$IQ44:$OD44),SUMPRODUCT('計算A'!$D$103:$EQ$103,$DB44:$IO44))*1000+44)</f>
        <v/>
      </c>
      <c r="CZ44">
        <f>IF(BF44=1,1000000,IF('計算A'!$IT$54&gt;0,0,500000)+IF('計算A'!$IQ$54=2,SUMPRODUCT('計算A'!$D$104:$EQ$104,$DB44:$IO44,$IQ44:$OD44),SUMPRODUCT('計算A'!$D$104:$EQ$104,$DB44:$IO44))*1000+45)</f>
        <v/>
      </c>
      <c r="DB44">
        <f>DB43*IF(OR($C43=1,$G43=1),0,1)</f>
        <v/>
      </c>
      <c r="DC44">
        <f>DC43*IF(OR($C43=2,$G43=2),0,1)</f>
        <v/>
      </c>
      <c r="DD44">
        <f>DD43*IF(OR($C43=3,$G43=3),0,1)</f>
        <v/>
      </c>
      <c r="DE44">
        <f>DE43*IF(OR($C43=4,$G43=4),0,1)</f>
        <v/>
      </c>
      <c r="DF44">
        <f>DF43*IF(OR($C43=5,$G43=5),0,1)</f>
        <v/>
      </c>
      <c r="DG44">
        <f>DG43*IF(OR($C43=6,$G43=6),0,1)</f>
        <v/>
      </c>
      <c r="DH44">
        <f>DH43*IF(OR($C43=7,$G43=7),0,1)</f>
        <v/>
      </c>
      <c r="DI44">
        <f>DI43*IF(OR($C43=8,$G43=8),0,1)</f>
        <v/>
      </c>
      <c r="DJ44">
        <f>DJ43*IF(OR($C43=9,$G43=9),0,1)</f>
        <v/>
      </c>
      <c r="DK44">
        <f>DK43*IF(OR($C43=10,$G43=10),0,1)</f>
        <v/>
      </c>
      <c r="DL44">
        <f>DL43*IF(OR($C43=11,$G43=11),0,1)</f>
        <v/>
      </c>
      <c r="DM44">
        <f>DM43*IF(OR($C43=12,$G43=12),0,1)</f>
        <v/>
      </c>
      <c r="DN44">
        <f>DN43*IF(OR($C43=13,$G43=13),0,1)</f>
        <v/>
      </c>
      <c r="DO44">
        <f>DO43*IF(OR($C43=14,$G43=14),0,1)</f>
        <v/>
      </c>
      <c r="DP44">
        <f>DP43*IF(OR($C43=15,$G43=15),0,1)</f>
        <v/>
      </c>
      <c r="DQ44">
        <f>DQ43*IF(OR($C43=16,$G43=16),0,1)</f>
        <v/>
      </c>
      <c r="DR44">
        <f>DR43*IF(OR($C43=17,$G43=17),0,1)</f>
        <v/>
      </c>
      <c r="DS44">
        <f>DS43*IF(OR($C43=18,$G43=18),0,1)</f>
        <v/>
      </c>
      <c r="DT44">
        <f>DT43*IF(OR($C43=19,$G43=19),0,1)</f>
        <v/>
      </c>
      <c r="DU44">
        <f>DU43*IF(OR($C43=20,$G43=20),0,1)</f>
        <v/>
      </c>
      <c r="DV44">
        <f>DV43*IF(OR($C43=21,$G43=21),0,1)</f>
        <v/>
      </c>
      <c r="DW44">
        <f>DW43*IF(OR($C43=22,$G43=22),0,1)</f>
        <v/>
      </c>
      <c r="DX44">
        <f>DX43*IF(OR($C43=23,$G43=23),0,1)</f>
        <v/>
      </c>
      <c r="DY44">
        <f>DY43*IF(OR($C43=24,$G43=24),0,1)</f>
        <v/>
      </c>
      <c r="DZ44">
        <f>DZ43*IF(OR($C43=25,$G43=25),0,1)</f>
        <v/>
      </c>
      <c r="EA44">
        <f>EA43*IF(OR($C43=26,$G43=26),0,1)</f>
        <v/>
      </c>
      <c r="EB44">
        <f>EB43*IF(OR($C43=27,$G43=27),0,1)</f>
        <v/>
      </c>
      <c r="EC44">
        <f>EC43*IF(OR($C43=28,$G43=28),0,1)</f>
        <v/>
      </c>
      <c r="ED44">
        <f>ED43*IF(OR($C43=29,$G43=29),0,1)</f>
        <v/>
      </c>
      <c r="EE44">
        <f>EE43*IF(OR($C43=30,$G43=30),0,1)</f>
        <v/>
      </c>
      <c r="EF44">
        <f>EF43*IF(OR($C43=31,$G43=31),0,1)</f>
        <v/>
      </c>
      <c r="EG44">
        <f>EG43*IF(OR($C43=32,$G43=32),0,1)</f>
        <v/>
      </c>
      <c r="EH44">
        <f>EH43*IF(OR($C43=33,$G43=33),0,1)</f>
        <v/>
      </c>
      <c r="EI44">
        <f>EI43*IF(OR($C43=34,$G43=34),0,1)</f>
        <v/>
      </c>
      <c r="EJ44">
        <f>EJ43*IF(OR($C43=35,$G43=35),0,1)</f>
        <v/>
      </c>
      <c r="EK44">
        <f>EK43*IF(OR($C43=36,$G43=36),0,1)</f>
        <v/>
      </c>
      <c r="EL44">
        <f>EL43*IF(OR($C43=37,$G43=37),0,1)</f>
        <v/>
      </c>
      <c r="EM44">
        <f>EM43*IF(OR($C43=38,$G43=38),0,1)</f>
        <v/>
      </c>
      <c r="EN44">
        <f>EN43*IF(OR($C43=39,$G43=39),0,1)</f>
        <v/>
      </c>
      <c r="EO44">
        <f>EO43*IF(OR($C43=40,$G43=40),0,1)</f>
        <v/>
      </c>
      <c r="EP44">
        <f>EP43*IF(OR($C43=41,$G43=41),0,1)</f>
        <v/>
      </c>
      <c r="EQ44">
        <f>EQ43*IF(OR($C43=42,$G43=42),0,1)</f>
        <v/>
      </c>
      <c r="ER44">
        <f>ER43*IF(OR($C43=43,$G43=43),0,1)</f>
        <v/>
      </c>
      <c r="ES44">
        <f>ES43*IF(OR($C43=44,$G43=44),0,1)</f>
        <v/>
      </c>
      <c r="ET44">
        <f>ET43*IF(OR($C43=45,$G43=45),0,1)</f>
        <v/>
      </c>
      <c r="EU44">
        <f>EU43*IF(OR($C43=46,$G43=46),0,1)</f>
        <v/>
      </c>
      <c r="EV44">
        <f>EV43*IF(OR($C43=47,$G43=47),0,1)</f>
        <v/>
      </c>
      <c r="EW44">
        <f>EW43*IF(OR($C43=48,$G43=48),0,1)</f>
        <v/>
      </c>
      <c r="EX44">
        <f>EX43*IF(OR($C43=49,$G43=49),0,1)</f>
        <v/>
      </c>
      <c r="EY44">
        <f>EY43*IF(OR($C43=50,$G43=50),0,1)</f>
        <v/>
      </c>
      <c r="EZ44">
        <f>EZ43*IF(OR($C43=51,$G43=51),0,1)</f>
        <v/>
      </c>
      <c r="FA44">
        <f>FA43*IF(OR($C43=52,$G43=52),0,1)</f>
        <v/>
      </c>
      <c r="FB44">
        <f>FB43*IF(OR($C43=53,$G43=53),0,1)</f>
        <v/>
      </c>
      <c r="FC44">
        <f>FC43*IF(OR($C43=54,$G43=54),0,1)</f>
        <v/>
      </c>
      <c r="FD44">
        <f>FD43*IF(OR($C43=55,$G43=55),0,1)</f>
        <v/>
      </c>
      <c r="FE44">
        <f>FE43*IF(OR($C43=56,$G43=56),0,1)</f>
        <v/>
      </c>
      <c r="FF44">
        <f>FF43*IF(OR($C43=57,$G43=57),0,1)</f>
        <v/>
      </c>
      <c r="FG44">
        <f>FG43*IF(OR($C43=58,$G43=58),0,1)</f>
        <v/>
      </c>
      <c r="FH44">
        <f>FH43*IF(OR($C43=59,$G43=59),0,1)</f>
        <v/>
      </c>
      <c r="FI44">
        <f>FI43*IF(OR($C43=60,$G43=60),0,1)</f>
        <v/>
      </c>
      <c r="FJ44">
        <f>FJ43*IF(OR($C43=61,$G43=61),0,1)</f>
        <v/>
      </c>
      <c r="FK44">
        <f>FK43*IF(OR($C43=62,$G43=62),0,1)</f>
        <v/>
      </c>
      <c r="FL44">
        <f>FL43*IF(OR($C43=63,$G43=63),0,1)</f>
        <v/>
      </c>
      <c r="FM44">
        <f>FM43*IF(OR($C43=64,$G43=64),0,1)</f>
        <v/>
      </c>
      <c r="FN44">
        <f>FN43*IF(OR($C43=65,$G43=65),0,1)</f>
        <v/>
      </c>
      <c r="FO44">
        <f>FO43*IF(OR($C43=66,$G43=66),0,1)</f>
        <v/>
      </c>
      <c r="FP44">
        <f>FP43*IF(OR($C43=67,$G43=67),0,1)</f>
        <v/>
      </c>
      <c r="FQ44">
        <f>FQ43*IF(OR($C43=68,$G43=68),0,1)</f>
        <v/>
      </c>
      <c r="FR44">
        <f>FR43*IF(OR($C43=69,$G43=69),0,1)</f>
        <v/>
      </c>
      <c r="FS44">
        <f>FS43*IF(OR($C43=70,$G43=70),0,1)</f>
        <v/>
      </c>
      <c r="FT44">
        <f>FT43*IF(OR($C43=71,$G43=71),0,1)</f>
        <v/>
      </c>
      <c r="FU44">
        <f>FU43*IF(OR($C43=72,$G43=72),0,1)</f>
        <v/>
      </c>
      <c r="FV44">
        <f>FV43*IF(OR($C43=73,$G43=73),0,1)</f>
        <v/>
      </c>
      <c r="FW44">
        <f>FW43*IF(OR($C43=74,$G43=74),0,1)</f>
        <v/>
      </c>
      <c r="FX44">
        <f>FX43*IF(OR($C43=75,$G43=75),0,1)</f>
        <v/>
      </c>
      <c r="FY44">
        <f>FY43*IF(OR($C43=76,$G43=76),0,1)</f>
        <v/>
      </c>
      <c r="FZ44">
        <f>FZ43*IF(OR($C43=77,$G43=77),0,1)</f>
        <v/>
      </c>
      <c r="GA44">
        <f>GA43*IF(OR($C43=78,$G43=78),0,1)</f>
        <v/>
      </c>
      <c r="GB44">
        <f>GB43*IF(OR($C43=79,$G43=79),0,1)</f>
        <v/>
      </c>
      <c r="GC44">
        <f>GC43*IF(OR($C43=80,$G43=80),0,1)</f>
        <v/>
      </c>
      <c r="GD44">
        <f>GD43*IF(OR($C43=81,$G43=81),0,1)</f>
        <v/>
      </c>
      <c r="GE44">
        <f>GE43*IF(OR($C43=82,$G43=82),0,1)</f>
        <v/>
      </c>
      <c r="GF44">
        <f>GF43*IF(OR($C43=83,$G43=83),0,1)</f>
        <v/>
      </c>
      <c r="GG44">
        <f>GG43*IF(OR($C43=84,$G43=84),0,1)</f>
        <v/>
      </c>
      <c r="GH44">
        <f>GH43*IF(OR($C43=85,$G43=85),0,1)</f>
        <v/>
      </c>
      <c r="GI44">
        <f>GI43*IF(OR($C43=86,$G43=86),0,1)</f>
        <v/>
      </c>
      <c r="GJ44">
        <f>GJ43*IF(OR($C43=87,$G43=87),0,1)</f>
        <v/>
      </c>
      <c r="GK44">
        <f>GK43*IF(OR($C43=88,$G43=88),0,1)</f>
        <v/>
      </c>
      <c r="GL44">
        <f>GL43*IF(OR($C43=89,$G43=89),0,1)</f>
        <v/>
      </c>
      <c r="GM44">
        <f>GM43*IF(OR($C43=90,$G43=90),0,1)</f>
        <v/>
      </c>
      <c r="GN44">
        <f>GN43*IF(OR($C43=91,$G43=91),0,1)</f>
        <v/>
      </c>
      <c r="GO44">
        <f>GO43*IF(OR($C43=92,$G43=92),0,1)</f>
        <v/>
      </c>
      <c r="GP44">
        <f>GP43*IF(OR($C43=93,$G43=93),0,1)</f>
        <v/>
      </c>
      <c r="GQ44">
        <f>GQ43*IF(OR($C43=94,$G43=94),0,1)</f>
        <v/>
      </c>
      <c r="GR44">
        <f>GR43*IF(OR($C43=95,$G43=95),0,1)</f>
        <v/>
      </c>
      <c r="GS44">
        <f>GS43*IF(OR($C43=96,$G43=96),0,1)</f>
        <v/>
      </c>
      <c r="GT44">
        <f>GT43*IF(OR($C43=97,$G43=97),0,1)</f>
        <v/>
      </c>
      <c r="GU44">
        <f>GU43*IF(OR($C43=98,$G43=98),0,1)</f>
        <v/>
      </c>
      <c r="GV44">
        <f>GV43*IF(OR($C43=99,$G43=99),0,1)</f>
        <v/>
      </c>
      <c r="GW44">
        <f>GW43*IF(OR($C43=100,$G43=100),0,1)</f>
        <v/>
      </c>
      <c r="GX44">
        <f>GX43*IF(OR($C43=101,$G43=101),0,1)</f>
        <v/>
      </c>
      <c r="GY44">
        <f>GY43*IF(OR($C43=102,$G43=102),0,1)</f>
        <v/>
      </c>
      <c r="GZ44">
        <f>GZ43*IF(OR($C43=103,$G43=103),0,1)</f>
        <v/>
      </c>
      <c r="HA44">
        <f>HA43*IF(OR($C43=104,$G43=104),0,1)</f>
        <v/>
      </c>
      <c r="HB44">
        <f>HB43*IF(OR($C43=105,$G43=105),0,1)</f>
        <v/>
      </c>
      <c r="HC44">
        <f>HC43*IF(OR($C43=106,$G43=106),0,1)</f>
        <v/>
      </c>
      <c r="HD44">
        <f>HD43*IF(OR($C43=107,$G43=107),0,1)</f>
        <v/>
      </c>
      <c r="HE44">
        <f>HE43*IF(OR($C43=108,$G43=108),0,1)</f>
        <v/>
      </c>
      <c r="HF44">
        <f>HF43*IF(OR($C43=109,$G43=109),0,1)</f>
        <v/>
      </c>
      <c r="HG44">
        <f>HG43*IF(OR($C43=110,$G43=110),0,1)</f>
        <v/>
      </c>
      <c r="HH44">
        <f>HH43*IF(OR($C43=111,$G43=111),0,1)</f>
        <v/>
      </c>
      <c r="HI44">
        <f>HI43*IF(OR($C43=112,$G43=112),0,1)</f>
        <v/>
      </c>
      <c r="HJ44">
        <f>HJ43*IF(OR($C43=113,$G43=113),0,1)</f>
        <v/>
      </c>
      <c r="HK44">
        <f>HK43*IF(OR($C43=114,$G43=114),0,1)</f>
        <v/>
      </c>
      <c r="HL44">
        <f>HL43*IF(OR($C43=115,$G43=115),0,1)</f>
        <v/>
      </c>
      <c r="HM44">
        <f>HM43*IF(OR($C43=116,$G43=116),0,1)</f>
        <v/>
      </c>
      <c r="HN44">
        <f>HN43*IF(OR($C43=117,$G43=117),0,1)</f>
        <v/>
      </c>
      <c r="HO44">
        <f>HO43*IF(OR($C43=118,$G43=118),0,1)</f>
        <v/>
      </c>
      <c r="HP44">
        <f>HP43*IF(OR($C43=119,$G43=119),0,1)</f>
        <v/>
      </c>
      <c r="HQ44">
        <f>HQ43*IF(OR($C43=120,$G43=120),0,1)</f>
        <v/>
      </c>
      <c r="HR44">
        <f>HR43*IF(OR($C43=121,$G43=121),0,1)</f>
        <v/>
      </c>
      <c r="HS44">
        <f>HS43*IF(OR($C43=122,$G43=122),0,1)</f>
        <v/>
      </c>
      <c r="HT44">
        <f>HT43*IF(OR($C43=123,$G43=123),0,1)</f>
        <v/>
      </c>
      <c r="HU44">
        <f>HU43*IF(OR($C43=124,$G43=124),0,1)</f>
        <v/>
      </c>
      <c r="HV44">
        <f>HV43*IF(OR($C43=125,$G43=125),0,1)</f>
        <v/>
      </c>
      <c r="HW44">
        <f>HW43*IF(OR($C43=126,$G43=126),0,1)</f>
        <v/>
      </c>
      <c r="HX44">
        <f>HX43*IF(OR($C43=127,$G43=127),0,1)</f>
        <v/>
      </c>
      <c r="HY44">
        <f>HY43*IF(OR($C43=128,$G43=128),0,1)</f>
        <v/>
      </c>
      <c r="HZ44">
        <f>HZ43*IF(OR($C43=129,$G43=129),0,1)</f>
        <v/>
      </c>
      <c r="IA44">
        <f>IA43*IF(OR($C43=130,$G43=130),0,1)</f>
        <v/>
      </c>
      <c r="IB44">
        <f>IB43*IF(OR($C43=131,$G43=131),0,1)</f>
        <v/>
      </c>
      <c r="IC44">
        <f>IC43*IF(OR($C43=132,$G43=132),0,1)</f>
        <v/>
      </c>
      <c r="ID44">
        <f>ID43*IF(OR($C43=133,$G43=133),0,1)</f>
        <v/>
      </c>
      <c r="IE44">
        <f>IE43*IF(OR($C43=134,$G43=134),0,1)</f>
        <v/>
      </c>
      <c r="IF44">
        <f>IF43*IF(OR($C43=135,$G43=135),0,1)</f>
        <v/>
      </c>
      <c r="IG44">
        <f>IG43*IF(OR($C43=136,$G43=136),0,1)</f>
        <v/>
      </c>
      <c r="IH44">
        <f>IH43*IF(OR($C43=137,$G43=137),0,1)</f>
        <v/>
      </c>
      <c r="II44">
        <f>II43*IF(OR($C43=138,$G43=138),0,1)</f>
        <v/>
      </c>
      <c r="IJ44">
        <f>IJ43*IF(OR($C43=139,$G43=139),0,1)</f>
        <v/>
      </c>
      <c r="IK44">
        <f>IK43*IF(OR($C43=140,$G43=140),0,1)</f>
        <v/>
      </c>
      <c r="IL44">
        <f>IL43*IF(OR($C43=141,$G43=141),0,1)</f>
        <v/>
      </c>
      <c r="IM44">
        <f>IM43*IF(OR($C43=142,$G43=142),0,1)</f>
        <v/>
      </c>
      <c r="IN44">
        <f>IN43*IF(OR($C43=143,$G43=143),0,1)</f>
        <v/>
      </c>
      <c r="IO44">
        <f>IO43*IF(OR($C43=144,$G43=144),0,1)</f>
        <v/>
      </c>
      <c r="IQ44">
        <f>IF('計算A'!D$106=1,DC44,1)</f>
        <v/>
      </c>
      <c r="IR44">
        <f>IF('計算A'!E$106=1,DD44,1)</f>
        <v/>
      </c>
      <c r="IS44">
        <f>IF('計算A'!F$106=1,DE44,1)</f>
        <v/>
      </c>
      <c r="IT44">
        <f>IF('計算A'!G$106=1,DF44,1)</f>
        <v/>
      </c>
      <c r="IU44">
        <f>IF('計算A'!H$106=1,DG44,1)</f>
        <v/>
      </c>
      <c r="IV44">
        <f>IF('計算A'!I$106=1,DH44,1)</f>
        <v/>
      </c>
      <c r="IW44">
        <f>IF('計算A'!J$106=1,DI44,1)</f>
        <v/>
      </c>
      <c r="IX44">
        <f>IF('計算A'!K$106=1,DJ44,1)</f>
        <v/>
      </c>
      <c r="IY44">
        <f>IF('計算A'!L$106=1,DK44,1)</f>
        <v/>
      </c>
      <c r="IZ44">
        <f>IF('計算A'!M$106=1,DL44,1)</f>
        <v/>
      </c>
      <c r="JA44">
        <f>IF('計算A'!N$106=1,DM44,1)</f>
        <v/>
      </c>
      <c r="JB44">
        <f>IF('計算A'!O$106=1,DN44,1)</f>
        <v/>
      </c>
      <c r="JC44">
        <f>IF('計算A'!P$106=1,DO44,1)</f>
        <v/>
      </c>
      <c r="JD44">
        <f>IF('計算A'!Q$106=1,DP44,1)</f>
        <v/>
      </c>
      <c r="JE44">
        <f>IF('計算A'!R$106=1,DQ44,1)</f>
        <v/>
      </c>
      <c r="JF44">
        <f>IF('計算A'!S$106=1,DR44,1)</f>
        <v/>
      </c>
      <c r="JG44">
        <f>IF('計算A'!T$106=1,DS44,1)</f>
        <v/>
      </c>
      <c r="JH44">
        <f>IF('計算A'!U$106=1,DT44,1)</f>
        <v/>
      </c>
      <c r="JI44">
        <f>IF('計算A'!V$106=1,DU44,1)</f>
        <v/>
      </c>
      <c r="JJ44">
        <f>IF('計算A'!W$106=1,DV44,1)</f>
        <v/>
      </c>
      <c r="JK44">
        <f>IF('計算A'!X$106=1,DW44,1)</f>
        <v/>
      </c>
      <c r="JL44">
        <f>IF('計算A'!Y$106=1,DX44,1)</f>
        <v/>
      </c>
      <c r="JM44">
        <f>IF('計算A'!Z$106=1,DY44,1)</f>
        <v/>
      </c>
      <c r="JN44">
        <f>IF('計算A'!AA$106=1,DZ44,1)</f>
        <v/>
      </c>
      <c r="JO44">
        <f>IF('計算A'!AB$106=1,EA44,1)</f>
        <v/>
      </c>
      <c r="JP44">
        <f>IF('計算A'!AC$106=1,EB44,1)</f>
        <v/>
      </c>
      <c r="JQ44">
        <f>IF('計算A'!AD$106=1,EC44,1)</f>
        <v/>
      </c>
      <c r="JR44">
        <f>IF('計算A'!AE$106=1,ED44,1)</f>
        <v/>
      </c>
      <c r="JS44">
        <f>IF('計算A'!AF$106=1,EE44,1)</f>
        <v/>
      </c>
      <c r="JT44">
        <f>IF('計算A'!AG$106=1,EF44,1)</f>
        <v/>
      </c>
      <c r="JU44">
        <f>IF('計算A'!AH$106=1,EG44,1)</f>
        <v/>
      </c>
      <c r="JV44">
        <f>IF('計算A'!AI$106=1,EH44,1)</f>
        <v/>
      </c>
      <c r="JW44">
        <f>IF('計算A'!AJ$106=1,EI44,1)</f>
        <v/>
      </c>
      <c r="JX44">
        <f>IF('計算A'!AK$106=1,EJ44,1)</f>
        <v/>
      </c>
      <c r="JY44">
        <f>IF('計算A'!AL$106=1,EK44,1)</f>
        <v/>
      </c>
      <c r="JZ44">
        <f>IF('計算A'!AM$106=1,EL44,1)</f>
        <v/>
      </c>
      <c r="KA44">
        <f>IF('計算A'!AN$106=1,EM44,1)</f>
        <v/>
      </c>
      <c r="KB44">
        <f>IF('計算A'!AO$106=1,EN44,1)</f>
        <v/>
      </c>
      <c r="KC44">
        <f>IF('計算A'!AP$106=1,EO44,1)</f>
        <v/>
      </c>
      <c r="KD44">
        <f>IF('計算A'!AQ$106=1,EP44,1)</f>
        <v/>
      </c>
      <c r="KE44">
        <f>IF('計算A'!AR$106=1,EQ44,1)</f>
        <v/>
      </c>
      <c r="KF44">
        <f>IF('計算A'!AS$106=1,ER44,1)</f>
        <v/>
      </c>
      <c r="KG44">
        <f>IF('計算A'!AT$106=1,ES44,1)</f>
        <v/>
      </c>
      <c r="KH44">
        <f>IF('計算A'!AU$106=1,ET44,1)</f>
        <v/>
      </c>
      <c r="KI44">
        <f>IF('計算A'!AV$106=1,EU44,1)</f>
        <v/>
      </c>
      <c r="KJ44">
        <f>IF('計算A'!AW$106=1,EV44,1)</f>
        <v/>
      </c>
      <c r="KK44">
        <f>IF('計算A'!AX$106=1,EW44,1)</f>
        <v/>
      </c>
      <c r="KL44">
        <f>IF('計算A'!AY$106=1,EX44,1)</f>
        <v/>
      </c>
      <c r="KM44">
        <f>IF('計算A'!AZ$106=1,EY44,1)</f>
        <v/>
      </c>
      <c r="KN44">
        <f>IF('計算A'!BA$106=1,EZ44,1)</f>
        <v/>
      </c>
      <c r="KO44">
        <f>IF('計算A'!BB$106=1,FA44,1)</f>
        <v/>
      </c>
      <c r="KP44">
        <f>IF('計算A'!BC$106=1,FB44,1)</f>
        <v/>
      </c>
      <c r="KQ44">
        <f>IF('計算A'!BD$106=1,FC44,1)</f>
        <v/>
      </c>
      <c r="KR44">
        <f>IF('計算A'!BE$106=1,FD44,1)</f>
        <v/>
      </c>
      <c r="KS44">
        <f>IF('計算A'!BF$106=1,FE44,1)</f>
        <v/>
      </c>
      <c r="KT44">
        <f>IF('計算A'!BG$106=1,FF44,1)</f>
        <v/>
      </c>
      <c r="KU44">
        <f>IF('計算A'!BH$106=1,FG44,1)</f>
        <v/>
      </c>
      <c r="KV44">
        <f>IF('計算A'!BI$106=1,FH44,1)</f>
        <v/>
      </c>
      <c r="KW44">
        <f>IF('計算A'!BJ$106=1,FI44,1)</f>
        <v/>
      </c>
      <c r="KX44">
        <f>IF('計算A'!BK$106=1,FJ44,1)</f>
        <v/>
      </c>
      <c r="KY44">
        <f>IF('計算A'!BL$106=1,FK44,1)</f>
        <v/>
      </c>
      <c r="KZ44">
        <f>IF('計算A'!BM$106=1,FL44,1)</f>
        <v/>
      </c>
      <c r="LA44">
        <f>IF('計算A'!BN$106=1,FM44,1)</f>
        <v/>
      </c>
      <c r="LB44">
        <f>IF('計算A'!BO$106=1,FN44,1)</f>
        <v/>
      </c>
      <c r="LC44">
        <f>IF('計算A'!BP$106=1,FO44,1)</f>
        <v/>
      </c>
      <c r="LD44">
        <f>IF('計算A'!BQ$106=1,FP44,1)</f>
        <v/>
      </c>
      <c r="LE44">
        <f>IF('計算A'!BR$106=1,FQ44,1)</f>
        <v/>
      </c>
      <c r="LF44">
        <f>IF('計算A'!BS$106=1,FR44,1)</f>
        <v/>
      </c>
      <c r="LG44">
        <f>IF('計算A'!BT$106=1,FS44,1)</f>
        <v/>
      </c>
      <c r="LH44">
        <f>IF('計算A'!BU$106=1,FT44,1)</f>
        <v/>
      </c>
      <c r="LI44">
        <f>IF('計算A'!BV$106=1,FU44,1)</f>
        <v/>
      </c>
      <c r="LJ44">
        <f>IF('計算A'!BW$106=1,FV44,1)</f>
        <v/>
      </c>
      <c r="LK44">
        <f>IF('計算A'!BX$106=1,FW44,1)</f>
        <v/>
      </c>
      <c r="LL44">
        <f>IF('計算A'!BY$106=1,FX44,1)</f>
        <v/>
      </c>
      <c r="LM44">
        <f>IF('計算A'!BZ$106=1,FY44,1)</f>
        <v/>
      </c>
      <c r="LN44">
        <f>IF('計算A'!CA$106=1,FZ44,1)</f>
        <v/>
      </c>
      <c r="LO44">
        <f>IF('計算A'!CB$106=1,GA44,1)</f>
        <v/>
      </c>
      <c r="LP44">
        <f>IF('計算A'!CC$106=1,GB44,1)</f>
        <v/>
      </c>
      <c r="LQ44">
        <f>IF('計算A'!CD$106=1,GC44,1)</f>
        <v/>
      </c>
      <c r="LR44">
        <f>IF('計算A'!CE$106=1,GD44,1)</f>
        <v/>
      </c>
      <c r="LS44">
        <f>IF('計算A'!CF$106=1,GE44,1)</f>
        <v/>
      </c>
      <c r="LT44">
        <f>IF('計算A'!CG$106=1,GF44,1)</f>
        <v/>
      </c>
      <c r="LU44">
        <f>IF('計算A'!CH$106=1,GG44,1)</f>
        <v/>
      </c>
      <c r="LV44">
        <f>IF('計算A'!CI$106=1,GH44,1)</f>
        <v/>
      </c>
      <c r="LW44">
        <f>IF('計算A'!CJ$106=1,GI44,1)</f>
        <v/>
      </c>
      <c r="LX44">
        <f>IF('計算A'!CK$106=1,GJ44,1)</f>
        <v/>
      </c>
      <c r="LY44">
        <f>IF('計算A'!CL$106=1,GK44,1)</f>
        <v/>
      </c>
      <c r="LZ44">
        <f>IF('計算A'!CM$106=1,GL44,1)</f>
        <v/>
      </c>
      <c r="MA44">
        <f>IF('計算A'!CN$106=1,GM44,1)</f>
        <v/>
      </c>
      <c r="MB44">
        <f>IF('計算A'!CO$106=1,GN44,1)</f>
        <v/>
      </c>
      <c r="MC44">
        <f>IF('計算A'!CP$106=1,GO44,1)</f>
        <v/>
      </c>
      <c r="MD44">
        <f>IF('計算A'!CQ$106=1,GP44,1)</f>
        <v/>
      </c>
      <c r="ME44">
        <f>IF('計算A'!CR$106=1,GQ44,1)</f>
        <v/>
      </c>
      <c r="MF44">
        <f>IF('計算A'!CS$106=1,GR44,1)</f>
        <v/>
      </c>
      <c r="MG44">
        <f>IF('計算A'!CT$106=1,GS44,1)</f>
        <v/>
      </c>
      <c r="MH44">
        <f>IF('計算A'!CU$106=1,GT44,1)</f>
        <v/>
      </c>
      <c r="MI44">
        <f>IF('計算A'!CV$106=1,GU44,1)</f>
        <v/>
      </c>
      <c r="MJ44">
        <f>IF('計算A'!CW$106=1,GV44,1)</f>
        <v/>
      </c>
      <c r="MK44">
        <f>IF('計算A'!CX$106=1,GW44,1)</f>
        <v/>
      </c>
      <c r="ML44">
        <f>IF('計算A'!CY$106=1,GX44,1)</f>
        <v/>
      </c>
      <c r="MM44">
        <f>IF('計算A'!CZ$106=1,GY44,1)</f>
        <v/>
      </c>
      <c r="MN44">
        <f>IF('計算A'!DA$106=1,GZ44,1)</f>
        <v/>
      </c>
      <c r="MO44">
        <f>IF('計算A'!DB$106=1,HA44,1)</f>
        <v/>
      </c>
      <c r="MP44">
        <f>IF('計算A'!DC$106=1,HB44,1)</f>
        <v/>
      </c>
      <c r="MQ44">
        <f>IF('計算A'!DD$106=1,HC44,1)</f>
        <v/>
      </c>
      <c r="MR44">
        <f>IF('計算A'!DE$106=1,HD44,1)</f>
        <v/>
      </c>
      <c r="MS44">
        <f>IF('計算A'!DF$106=1,HE44,1)</f>
        <v/>
      </c>
      <c r="MT44">
        <f>IF('計算A'!DG$106=1,HF44,1)</f>
        <v/>
      </c>
      <c r="MU44">
        <f>IF('計算A'!DH$106=1,HG44,1)</f>
        <v/>
      </c>
      <c r="MV44">
        <f>IF('計算A'!DI$106=1,HH44,1)</f>
        <v/>
      </c>
      <c r="MW44">
        <f>IF('計算A'!DJ$106=1,HI44,1)</f>
        <v/>
      </c>
      <c r="MX44">
        <f>IF('計算A'!DK$106=1,HJ44,1)</f>
        <v/>
      </c>
      <c r="MY44">
        <f>IF('計算A'!DL$106=1,HK44,1)</f>
        <v/>
      </c>
      <c r="MZ44">
        <f>IF('計算A'!DM$106=1,HL44,1)</f>
        <v/>
      </c>
      <c r="NA44">
        <f>IF('計算A'!DN$106=1,HM44,1)</f>
        <v/>
      </c>
      <c r="NB44">
        <f>IF('計算A'!DO$106=1,HN44,1)</f>
        <v/>
      </c>
      <c r="NC44">
        <f>IF('計算A'!DP$106=1,HO44,1)</f>
        <v/>
      </c>
      <c r="ND44">
        <f>IF('計算A'!DQ$106=1,HP44,1)</f>
        <v/>
      </c>
      <c r="NE44">
        <f>IF('計算A'!DR$106=1,HQ44,1)</f>
        <v/>
      </c>
      <c r="NF44">
        <f>IF('計算A'!DS$106=1,HR44,1)</f>
        <v/>
      </c>
      <c r="NG44">
        <f>IF('計算A'!DT$106=1,HS44,1)</f>
        <v/>
      </c>
      <c r="NH44">
        <f>IF('計算A'!DU$106=1,HT44,1)</f>
        <v/>
      </c>
      <c r="NI44">
        <f>IF('計算A'!DV$106=1,HU44,1)</f>
        <v/>
      </c>
      <c r="NJ44">
        <f>IF('計算A'!DW$106=1,HV44,1)</f>
        <v/>
      </c>
      <c r="NK44">
        <f>IF('計算A'!DX$106=1,HW44,1)</f>
        <v/>
      </c>
      <c r="NL44">
        <f>IF('計算A'!DY$106=1,HX44,1)</f>
        <v/>
      </c>
      <c r="NM44">
        <f>IF('計算A'!DZ$106=1,HY44,1)</f>
        <v/>
      </c>
      <c r="NN44">
        <f>IF('計算A'!EA$106=1,HZ44,1)</f>
        <v/>
      </c>
      <c r="NO44">
        <f>IF('計算A'!EB$106=1,IA44,1)</f>
        <v/>
      </c>
      <c r="NP44">
        <f>IF('計算A'!EC$106=1,IB44,1)</f>
        <v/>
      </c>
      <c r="NQ44">
        <f>IF('計算A'!ED$106=1,IC44,1)</f>
        <v/>
      </c>
      <c r="NR44">
        <f>IF('計算A'!EE$106=1,ID44,1)</f>
        <v/>
      </c>
      <c r="NS44">
        <f>IF('計算A'!EF$106=1,IE44,1)</f>
        <v/>
      </c>
      <c r="NT44">
        <f>IF('計算A'!EG$106=1,IF44,1)</f>
        <v/>
      </c>
      <c r="NU44">
        <f>IF('計算A'!EH$106=1,IG44,1)</f>
        <v/>
      </c>
      <c r="NV44">
        <f>IF('計算A'!EI$106=1,IH44,1)</f>
        <v/>
      </c>
      <c r="NW44">
        <f>IF('計算A'!EJ$106=1,II44,1)</f>
        <v/>
      </c>
      <c r="NX44">
        <f>IF('計算A'!EK$106=1,IJ44,1)</f>
        <v/>
      </c>
      <c r="NY44">
        <f>IF('計算A'!EL$106=1,IK44,1)</f>
        <v/>
      </c>
      <c r="NZ44">
        <f>IF('計算A'!EM$106=1,IL44,1)</f>
        <v/>
      </c>
      <c r="OA44">
        <f>IF('計算A'!EN$106=1,IM44,1)</f>
        <v/>
      </c>
      <c r="OB44">
        <f>IF('計算A'!EO$106=1,IN44,1)</f>
        <v/>
      </c>
      <c r="OC44">
        <f>IF('計算A'!EP$106=1,IO44,1)</f>
        <v/>
      </c>
      <c r="OD44" t="n">
        <v>1</v>
      </c>
      <c r="OF44">
        <f>IF($B44=0,1000000,IF(INDEX('計算A'!$D$60:$EQ$104,$B44,1)*DB44=1,IF(AND($E44=2,IQ44=0),1000000,IF($I44&gt;0,IF(1=$J44,IF(OR(AND(1=$I44+1,OR($K44&lt;&gt;'計算A'!$A$3,'計算A'!$A$4=0)),AND(1=$I44-1,OR(1&lt;&gt;'計算A'!$A$3,'計算A'!$A$4=0))),0,IF(1=$K44,200000,ABS(1-$K44)*100)),100000+ABS(1-$J44)*1000+10)+'計算A'!D$5*50+IF(AND($E44=1,IQ44=0),25,0),IF($F44&gt;0,INDEX('計算A'!D$110:D$114,$F44+1)+IF(AND($E44=1,IQ44=0),1000,0),MIN(TU44,20)*400+(IF('計算A'!D$106=1,1-DC44,0))*150+11+'計算A'!D$5*100000+IF(AND($E44=1,IQ44=0),50000,0))+IF($H44=1,(IF('計算A'!D$117=1,INDEX('計算A'!E$10:E$54,$B44),0))*4000,0)-IF(AND($L44=1,'計算A'!D$117=1,DC44=0),2000,0))),1000000))</f>
        <v/>
      </c>
      <c r="OG44">
        <f>IF($B44=0,1000000,IF(INDEX('計算A'!$D$60:$EQ$104,$B44,2)*DC44=1,IF(AND($E44=2,IR44=0),1000000,IF($I44&gt;0,IF(1=$J44,IF(OR(AND(2=$I44+1,OR($K44&lt;&gt;'計算A'!$A$3,'計算A'!$A$4=0)),AND(2=$I44-1,OR(2&lt;&gt;'計算A'!$A$3,'計算A'!$A$4=0))),0,IF(2=$K44,200000,ABS(2-$K44)*100)),100000+ABS(1-$J44)*1000+20)+'計算A'!E$5*50+IF(AND($E44=1,IR44=0),25,0),IF($F44&gt;0,INDEX('計算A'!E$110:E$114,$F44+1)+IF(AND($E44=1,IR44=0),1000,0),MIN(TU44,20)*400+(IF('計算A'!D$106=1,1-DB44,0)+IF('計算A'!E$106=1,1-DD44,0))*150+21+'計算A'!E$5*100000+IF(AND($E44=1,IR44=0),50000,0))+IF($H44=1,(IF('計算A'!D$117=1,INDEX('計算A'!D$10:D$54,$B44),0)+IF('計算A'!E$117=1,INDEX('計算A'!F$10:F$54,$B44),0))*4000,0)-IF(AND('計算A'!D$117=1,UB44&gt;0),2000,0)-IF(AND($L44=1,'計算A'!E$117=1,DD44=0),2000,0))),1000000))</f>
        <v/>
      </c>
      <c r="OH44">
        <f>IF($B44=0,1000000,IF(INDEX('計算A'!$D$60:$EQ$104,$B44,3)*DD44=1,IF(AND($E44=2,IS44=0),1000000,IF($I44&gt;0,IF(1=$J44,IF(OR(AND(3=$I44+1,OR($K44&lt;&gt;'計算A'!$A$3,'計算A'!$A$4=0)),AND(3=$I44-1,OR(3&lt;&gt;'計算A'!$A$3,'計算A'!$A$4=0))),0,IF(3=$K44,200000,ABS(3-$K44)*100)),100000+ABS(1-$J44)*1000+30)+'計算A'!F$5*50+IF(AND($E44=1,IS44=0),25,0),IF($F44&gt;0,INDEX('計算A'!F$110:F$114,$F44+1)+IF(AND($E44=1,IS44=0),1000,0),MIN(TU44,20)*400+(IF('計算A'!E$106=1,1-DC44,0)+IF('計算A'!F$106=1,1-DE44,0))*150+31+'計算A'!F$5*100000+IF(AND($E44=1,IS44=0),50000,0))+IF($H44=1,(IF('計算A'!E$117=1,INDEX('計算A'!E$10:E$54,$B44),0)+IF('計算A'!F$117=1,INDEX('計算A'!G$10:G$54,$B44),0))*4000,0)-IF(AND('計算A'!E$117=1,UC44&gt;0),2000,0)-IF(AND($L44=1,'計算A'!F$117=1,DE44=0),2000,0))),1000000))</f>
        <v/>
      </c>
      <c r="OI44">
        <f>IF($B44=0,1000000,IF(INDEX('計算A'!$D$60:$EQ$104,$B44,4)*DE44=1,IF(AND($E44=2,IT44=0),1000000,IF($I44&gt;0,IF(1=$J44,IF(OR(AND(4=$I44+1,OR($K44&lt;&gt;'計算A'!$A$3,'計算A'!$A$4=0)),AND(4=$I44-1,OR(4&lt;&gt;'計算A'!$A$3,'計算A'!$A$4=0))),0,IF(4=$K44,200000,ABS(4-$K44)*100)),100000+ABS(1-$J44)*1000+40)+'計算A'!G$5*50+IF(AND($E44=1,IT44=0),25,0),IF($F44&gt;0,INDEX('計算A'!G$110:G$114,$F44+1)+IF(AND($E44=1,IT44=0),1000,0),MIN(TU44,20)*400+(IF('計算A'!F$106=1,1-DD44,0)+IF('計算A'!G$106=1,1-DF44,0))*150+41+'計算A'!G$5*100000+IF(AND($E44=1,IT44=0),50000,0))+IF($H44=1,(IF('計算A'!F$117=1,INDEX('計算A'!F$10:F$54,$B44),0)+IF('計算A'!G$117=1,INDEX('計算A'!H$10:H$54,$B44),0))*4000,0)-IF(AND('計算A'!F$117=1,UD44&gt;0),2000,0)-IF(AND($L44=1,'計算A'!G$117=1,DF44=0),2000,0))),1000000))</f>
        <v/>
      </c>
      <c r="OJ44">
        <f>IF($B44=0,1000000,IF(INDEX('計算A'!$D$60:$EQ$104,$B44,5)*DF44=1,IF(AND($E44=2,IU44=0),1000000,IF($I44&gt;0,IF(1=$J44,IF(OR(AND(5=$I44+1,OR($K44&lt;&gt;'計算A'!$A$3,'計算A'!$A$4=0)),AND(5=$I44-1,OR(5&lt;&gt;'計算A'!$A$3,'計算A'!$A$4=0))),0,IF(5=$K44,200000,ABS(5-$K44)*100)),100000+ABS(1-$J44)*1000+50)+'計算A'!H$5*50+IF(AND($E44=1,IU44=0),25,0),IF($F44&gt;0,INDEX('計算A'!H$110:H$114,$F44+1)+IF(AND($E44=1,IU44=0),1000,0),MIN(TU44,20)*400+(IF('計算A'!G$106=1,1-DE44,0)+IF('計算A'!H$106=1,1-DG44,0))*150+51+'計算A'!H$5*100000+IF(AND($E44=1,IU44=0),50000,0))+IF($H44=1,(IF('計算A'!G$117=1,INDEX('計算A'!G$10:G$54,$B44),0)+IF('計算A'!H$117=1,INDEX('計算A'!I$10:I$54,$B44),0))*4000,0)-IF(AND('計算A'!G$117=1,UE44&gt;0),2000,0)-IF(AND($L44=1,'計算A'!H$117=1,DG44=0),2000,0))),1000000))</f>
        <v/>
      </c>
      <c r="OK44">
        <f>IF($B44=0,1000000,IF(INDEX('計算A'!$D$60:$EQ$104,$B44,6)*DG44=1,IF(AND($E44=2,IV44=0),1000000,IF($I44&gt;0,IF(1=$J44,IF(OR(AND(6=$I44+1,OR($K44&lt;&gt;'計算A'!$A$3,'計算A'!$A$4=0)),AND(6=$I44-1,OR(6&lt;&gt;'計算A'!$A$3,'計算A'!$A$4=0))),0,IF(6=$K44,200000,ABS(6-$K44)*100)),100000+ABS(1-$J44)*1000+60)+'計算A'!I$5*50+IF(AND($E44=1,IV44=0),25,0),IF($F44&gt;0,INDEX('計算A'!I$110:I$114,$F44+1)+IF(AND($E44=1,IV44=0),1000,0),MIN(TU44,20)*400+(IF('計算A'!H$106=1,1-DF44,0)+IF('計算A'!I$106=1,1-DH44,0))*150+61+'計算A'!I$5*100000+IF(AND($E44=1,IV44=0),50000,0))+IF($H44=1,(IF('計算A'!H$117=1,INDEX('計算A'!H$10:H$54,$B44),0)+IF('計算A'!I$117=1,INDEX('計算A'!J$10:J$54,$B44),0))*4000,0)-IF(AND('計算A'!H$117=1,UF44&gt;0),2000,0)-IF(AND($L44=1,'計算A'!I$117=1,DH44=0),2000,0))),1000000))</f>
        <v/>
      </c>
      <c r="OL44">
        <f>IF($B44=0,1000000,IF(INDEX('計算A'!$D$60:$EQ$104,$B44,7)*DH44=1,IF(AND($E44=2,IW44=0),1000000,IF($I44&gt;0,IF(1=$J44,IF(OR(AND(7=$I44+1,OR($K44&lt;&gt;'計算A'!$A$3,'計算A'!$A$4=0)),AND(7=$I44-1,OR(7&lt;&gt;'計算A'!$A$3,'計算A'!$A$4=0))),0,IF(7=$K44,200000,ABS(7-$K44)*100)),100000+ABS(1-$J44)*1000+70)+'計算A'!J$5*50+IF(AND($E44=1,IW44=0),25,0),IF($F44&gt;0,INDEX('計算A'!J$110:J$114,$F44+1)+IF(AND($E44=1,IW44=0),1000,0),MIN(TU44,20)*400+(IF('計算A'!I$106=1,1-DG44,0)+IF('計算A'!J$106=1,1-DI44,0))*150+71+'計算A'!J$5*100000+IF(AND($E44=1,IW44=0),50000,0))+IF($H44=1,(IF('計算A'!I$117=1,INDEX('計算A'!I$10:I$54,$B44),0)+IF('計算A'!J$117=1,INDEX('計算A'!K$10:K$54,$B44),0))*4000,0)-IF(AND('計算A'!I$117=1,UG44&gt;0),2000,0)-IF(AND($L44=1,'計算A'!J$117=1,DI44=0),2000,0))),1000000))</f>
        <v/>
      </c>
      <c r="OM44">
        <f>IF($B44=0,1000000,IF(INDEX('計算A'!$D$60:$EQ$104,$B44,8)*DI44=1,IF(AND($E44=2,IX44=0),1000000,IF($I44&gt;0,IF(1=$J44,IF(OR(AND(8=$I44+1,OR($K44&lt;&gt;'計算A'!$A$3,'計算A'!$A$4=0)),AND(8=$I44-1,OR(8&lt;&gt;'計算A'!$A$3,'計算A'!$A$4=0))),0,IF(8=$K44,200000,ABS(8-$K44)*100)),100000+ABS(1-$J44)*1000+80)+'計算A'!K$5*50+IF(AND($E44=1,IX44=0),25,0),IF($F44&gt;0,INDEX('計算A'!K$110:K$114,$F44+1)+IF(AND($E44=1,IX44=0),1000,0),MIN(TU44,20)*400+(IF('計算A'!J$106=1,1-DH44,0)+IF('計算A'!K$106=1,1-DJ44,0))*150+81+'計算A'!K$5*100000+IF(AND($E44=1,IX44=0),50000,0))+IF($H44=1,(IF('計算A'!J$117=1,INDEX('計算A'!J$10:J$54,$B44),0)+IF('計算A'!K$117=1,INDEX('計算A'!L$10:L$54,$B44),0))*4000,0)-IF(AND('計算A'!J$117=1,UH44&gt;0),2000,0)-IF(AND($L44=1,'計算A'!K$117=1,DJ44=0),2000,0))),1000000))</f>
        <v/>
      </c>
      <c r="ON44">
        <f>IF($B44=0,1000000,IF(INDEX('計算A'!$D$60:$EQ$104,$B44,9)*DJ44=1,IF(AND($E44=2,IY44=0),1000000,IF($I44&gt;0,IF(1=$J44,IF(OR(AND(9=$I44+1,OR($K44&lt;&gt;'計算A'!$A$3,'計算A'!$A$4=0)),AND(9=$I44-1,OR(9&lt;&gt;'計算A'!$A$3,'計算A'!$A$4=0))),0,IF(9=$K44,200000,ABS(9-$K44)*100)),100000+ABS(1-$J44)*1000+90)+'計算A'!L$5*50+IF(AND($E44=1,IY44=0),25,0),IF($F44&gt;0,INDEX('計算A'!L$110:L$114,$F44+1)+IF(AND($E44=1,IY44=0),1000,0),MIN(TU44,20)*400+(IF('計算A'!K$106=1,1-DI44,0)+IF('計算A'!L$106=1,1-DK44,0))*150+91+'計算A'!L$5*100000+IF(AND($E44=1,IY44=0),50000,0))+IF($H44=1,(IF('計算A'!K$117=1,INDEX('計算A'!K$10:K$54,$B44),0)+IF('計算A'!L$117=1,INDEX('計算A'!M$10:M$54,$B44),0))*4000,0)-IF(AND('計算A'!K$117=1,UI44&gt;0),2000,0)-IF(AND($L44=1,'計算A'!L$117=1,DK44=0),2000,0))),1000000))</f>
        <v/>
      </c>
      <c r="OO44">
        <f>IF($B44=0,1000000,IF(INDEX('計算A'!$D$60:$EQ$104,$B44,10)*DK44=1,IF(AND($E44=2,IZ44=0),1000000,IF($I44&gt;0,IF(1=$J44,IF(OR(AND(10=$I44+1,OR($K44&lt;&gt;'計算A'!$A$3,'計算A'!$A$4=0)),AND(10=$I44-1,OR(10&lt;&gt;'計算A'!$A$3,'計算A'!$A$4=0))),0,IF(10=$K44,200000,ABS(10-$K44)*100)),100000+ABS(1-$J44)*1000+100)+'計算A'!M$5*50+IF(AND($E44=1,IZ44=0),25,0),IF($F44&gt;0,INDEX('計算A'!M$110:M$114,$F44+1)+IF(AND($E44=1,IZ44=0),1000,0),MIN(TU44,20)*400+(IF('計算A'!L$106=1,1-DJ44,0)+IF('計算A'!M$106=1,1-DL44,0))*150+101+'計算A'!M$5*100000+IF(AND($E44=1,IZ44=0),50000,0))+IF($H44=1,(IF('計算A'!L$117=1,INDEX('計算A'!L$10:L$54,$B44),0)+IF('計算A'!M$117=1,INDEX('計算A'!N$10:N$54,$B44),0))*4000,0)-IF(AND('計算A'!L$117=1,UJ44&gt;0),2000,0)-IF(AND($L44=1,'計算A'!M$117=1,DL44=0),2000,0))),1000000))</f>
        <v/>
      </c>
      <c r="OP44">
        <f>IF($B44=0,1000000,IF(INDEX('計算A'!$D$60:$EQ$104,$B44,11)*DL44=1,IF(AND($E44=2,JA44=0),1000000,IF($I44&gt;0,IF(1=$J44,IF(OR(AND(11=$I44+1,OR($K44&lt;&gt;'計算A'!$A$3,'計算A'!$A$4=0)),AND(11=$I44-1,OR(11&lt;&gt;'計算A'!$A$3,'計算A'!$A$4=0))),0,IF(11=$K44,200000,ABS(11-$K44)*100)),100000+ABS(1-$J44)*1000+110)+'計算A'!N$5*50+IF(AND($E44=1,JA44=0),25,0),IF($F44&gt;0,INDEX('計算A'!N$110:N$114,$F44+1)+IF(AND($E44=1,JA44=0),1000,0),MIN(TU44,20)*400+(IF('計算A'!M$106=1,1-DK44,0)+IF('計算A'!N$106=1,1-DM44,0))*150+111+'計算A'!N$5*100000+IF(AND($E44=1,JA44=0),50000,0))+IF($H44=1,(IF('計算A'!M$117=1,INDEX('計算A'!M$10:M$54,$B44),0)+IF('計算A'!N$117=1,INDEX('計算A'!O$10:O$54,$B44),0))*4000,0)-IF(AND('計算A'!M$117=1,UK44&gt;0),2000,0)-IF(AND($L44=1,'計算A'!N$117=1,DM44=0),2000,0))),1000000))</f>
        <v/>
      </c>
      <c r="OQ44">
        <f>IF($B44=0,1000000,IF(INDEX('計算A'!$D$60:$EQ$104,$B44,12)*DM44=1,IF(AND($E44=2,JB44=0),1000000,IF($I44&gt;0,IF(1=$J44,IF(OR(AND(12=$I44+1,OR($K44&lt;&gt;'計算A'!$A$3,'計算A'!$A$4=0)),AND(12=$I44-1,OR(12&lt;&gt;'計算A'!$A$3,'計算A'!$A$4=0))),0,IF(12=$K44,200000,ABS(12-$K44)*100)),100000+ABS(1-$J44)*1000+120)+'計算A'!O$5*50+IF(AND($E44=1,JB44=0),25,0),IF($F44&gt;0,INDEX('計算A'!O$110:O$114,$F44+1)+IF(AND($E44=1,JB44=0),1000,0),MIN(TU44,20)*400+(IF('計算A'!N$106=1,1-DL44,0)+IF('計算A'!O$106=1,1-DN44,0))*150+121+'計算A'!O$5*100000+IF(AND($E44=1,JB44=0),50000,0))+IF($H44=1,(IF('計算A'!N$117=1,INDEX('計算A'!N$10:N$54,$B44),0)+IF('計算A'!O$117=1,INDEX('計算A'!P$10:P$54,$B44),0))*4000,0)-IF(AND('計算A'!N$117=1,UL44&gt;0),2000,0)-IF(AND($L44=1,'計算A'!O$117=1,DN44=0),2000,0))),1000000))</f>
        <v/>
      </c>
      <c r="OR44">
        <f>IF($B44=0,1000000,IF(INDEX('計算A'!$D$60:$EQ$104,$B44,13)*DN44=1,IF(AND($E44=2,JC44=0),1000000,IF($I44&gt;0,IF(1=$J44,IF(OR(AND(13=$I44+1,OR($K44&lt;&gt;'計算A'!$A$3,'計算A'!$A$4=0)),AND(13=$I44-1,OR(13&lt;&gt;'計算A'!$A$3,'計算A'!$A$4=0))),0,IF(13=$K44,200000,ABS(13-$K44)*100)),100000+ABS(1-$J44)*1000+130)+'計算A'!P$5*50+IF(AND($E44=1,JC44=0),25,0),IF($F44&gt;0,INDEX('計算A'!P$110:P$114,$F44+1)+IF(AND($E44=1,JC44=0),1000,0),MIN(TU44,20)*400+(IF('計算A'!O$106=1,1-DM44,0)+IF('計算A'!P$106=1,1-DO44,0))*150+131+'計算A'!P$5*100000+IF(AND($E44=1,JC44=0),50000,0))+IF($H44=1,(IF('計算A'!O$117=1,INDEX('計算A'!O$10:O$54,$B44),0)+IF('計算A'!P$117=1,INDEX('計算A'!Q$10:Q$54,$B44),0))*4000,0)-IF(AND('計算A'!O$117=1,UM44&gt;0),2000,0)-IF(AND($L44=1,'計算A'!P$117=1,DO44=0),2000,0))),1000000))</f>
        <v/>
      </c>
      <c r="OS44">
        <f>IF($B44=0,1000000,IF(INDEX('計算A'!$D$60:$EQ$104,$B44,14)*DO44=1,IF(AND($E44=2,JD44=0),1000000,IF($I44&gt;0,IF(1=$J44,IF(OR(AND(14=$I44+1,OR($K44&lt;&gt;'計算A'!$A$3,'計算A'!$A$4=0)),AND(14=$I44-1,OR(14&lt;&gt;'計算A'!$A$3,'計算A'!$A$4=0))),0,IF(14=$K44,200000,ABS(14-$K44)*100)),100000+ABS(1-$J44)*1000+140)+'計算A'!Q$5*50+IF(AND($E44=1,JD44=0),25,0),IF($F44&gt;0,INDEX('計算A'!Q$110:Q$114,$F44+1)+IF(AND($E44=1,JD44=0),1000,0),MIN(TU44,20)*400+(IF('計算A'!P$106=1,1-DN44,0)+IF('計算A'!Q$106=1,1-DP44,0))*150+141+'計算A'!Q$5*100000+IF(AND($E44=1,JD44=0),50000,0))+IF($H44=1,(IF('計算A'!P$117=1,INDEX('計算A'!P$10:P$54,$B44),0)+IF('計算A'!Q$117=1,INDEX('計算A'!R$10:R$54,$B44),0))*4000,0)-IF(AND('計算A'!P$117=1,UN44&gt;0),2000,0)-IF(AND($L44=1,'計算A'!Q$117=1,DP44=0),2000,0))),1000000))</f>
        <v/>
      </c>
      <c r="OT44">
        <f>IF($B44=0,1000000,IF(INDEX('計算A'!$D$60:$EQ$104,$B44,15)*DP44=1,IF(AND($E44=2,JE44=0),1000000,IF($I44&gt;0,IF(1=$J44,IF(OR(AND(15=$I44+1,OR($K44&lt;&gt;'計算A'!$A$3,'計算A'!$A$4=0)),AND(15=$I44-1,OR(15&lt;&gt;'計算A'!$A$3,'計算A'!$A$4=0))),0,IF(15=$K44,200000,ABS(15-$K44)*100)),100000+ABS(1-$J44)*1000+150)+'計算A'!R$5*50+IF(AND($E44=1,JE44=0),25,0),IF($F44&gt;0,INDEX('計算A'!R$110:R$114,$F44+1)+IF(AND($E44=1,JE44=0),1000,0),MIN(TU44,20)*400+(IF('計算A'!Q$106=1,1-DO44,0)+IF('計算A'!R$106=1,1-DQ44,0))*150+151+'計算A'!R$5*100000+IF(AND($E44=1,JE44=0),50000,0))+IF($H44=1,(IF('計算A'!Q$117=1,INDEX('計算A'!Q$10:Q$54,$B44),0)+IF('計算A'!R$117=1,INDEX('計算A'!S$10:S$54,$B44),0))*4000,0)-IF(AND('計算A'!Q$117=1,UO44&gt;0),2000,0)-IF(AND($L44=1,'計算A'!R$117=1,DQ44=0),2000,0))),1000000))</f>
        <v/>
      </c>
      <c r="OU44">
        <f>IF($B44=0,1000000,IF(INDEX('計算A'!$D$60:$EQ$104,$B44,16)*DQ44=1,IF(AND($E44=2,JF44=0),1000000,IF($I44&gt;0,IF(1=$J44,IF(OR(AND(16=$I44+1,OR($K44&lt;&gt;'計算A'!$A$3,'計算A'!$A$4=0)),AND(16=$I44-1,OR(16&lt;&gt;'計算A'!$A$3,'計算A'!$A$4=0))),0,IF(16=$K44,200000,ABS(16-$K44)*100)),100000+ABS(1-$J44)*1000+160)+'計算A'!S$5*50+IF(AND($E44=1,JF44=0),25,0),IF($F44&gt;0,INDEX('計算A'!S$110:S$114,$F44+1)+IF(AND($E44=1,JF44=0),1000,0),MIN(TU44,20)*400+(IF('計算A'!R$106=1,1-DP44,0)+IF('計算A'!S$106=1,1-DR44,0))*150+161+'計算A'!S$5*100000+IF(AND($E44=1,JF44=0),50000,0))+IF($H44=1,(IF('計算A'!R$117=1,INDEX('計算A'!R$10:R$54,$B44),0)+IF('計算A'!S$117=1,INDEX('計算A'!T$10:T$54,$B44),0))*4000,0)-IF(AND('計算A'!R$117=1,UP44&gt;0),2000,0)-IF(AND($L44=1,'計算A'!S$117=1,DR44=0),2000,0))),1000000))</f>
        <v/>
      </c>
      <c r="OV44">
        <f>IF($B44=0,1000000,IF(INDEX('計算A'!$D$60:$EQ$104,$B44,17)*DR44=1,IF(AND($E44=2,JG44=0),1000000,IF($I44&gt;0,IF(1=$J44,IF(OR(AND(17=$I44+1,OR($K44&lt;&gt;'計算A'!$A$3,'計算A'!$A$4=0)),AND(17=$I44-1,OR(17&lt;&gt;'計算A'!$A$3,'計算A'!$A$4=0))),0,IF(17=$K44,200000,ABS(17-$K44)*100)),100000+ABS(1-$J44)*1000+170)+'計算A'!T$5*50+IF(AND($E44=1,JG44=0),25,0),IF($F44&gt;0,INDEX('計算A'!T$110:T$114,$F44+1)+IF(AND($E44=1,JG44=0),1000,0),MIN(TU44,20)*400+(IF('計算A'!S$106=1,1-DQ44,0)+IF('計算A'!T$106=1,1-DS44,0))*150+171+'計算A'!T$5*100000+IF(AND($E44=1,JG44=0),50000,0))+IF($H44=1,(IF('計算A'!S$117=1,INDEX('計算A'!S$10:S$54,$B44),0)+IF('計算A'!T$117=1,INDEX('計算A'!U$10:U$54,$B44),0))*4000,0)-IF(AND('計算A'!S$117=1,UQ44&gt;0),2000,0)-IF(AND($L44=1,'計算A'!T$117=1,DS44=0),2000,0))),1000000))</f>
        <v/>
      </c>
      <c r="OW44">
        <f>IF($B44=0,1000000,IF(INDEX('計算A'!$D$60:$EQ$104,$B44,18)*DS44=1,IF(AND($E44=2,JH44=0),1000000,IF($I44&gt;0,IF(1=$J44,IF(OR(AND(18=$I44+1,OR($K44&lt;&gt;'計算A'!$A$3,'計算A'!$A$4=0)),AND(18=$I44-1,OR(18&lt;&gt;'計算A'!$A$3,'計算A'!$A$4=0))),0,IF(18=$K44,200000,ABS(18-$K44)*100)),100000+ABS(1-$J44)*1000+180)+'計算A'!U$5*50+IF(AND($E44=1,JH44=0),25,0),IF($F44&gt;0,INDEX('計算A'!U$110:U$114,$F44+1)+IF(AND($E44=1,JH44=0),1000,0),MIN(TU44,20)*400+(IF('計算A'!T$106=1,1-DR44,0)+IF('計算A'!U$106=1,1-DT44,0))*150+181+'計算A'!U$5*100000+IF(AND($E44=1,JH44=0),50000,0))+IF($H44=1,(IF('計算A'!T$117=1,INDEX('計算A'!T$10:T$54,$B44),0)+IF('計算A'!U$117=1,INDEX('計算A'!V$10:V$54,$B44),0))*4000,0)-IF(AND('計算A'!T$117=1,UR44&gt;0),2000,0)-IF(AND($L44=1,'計算A'!U$117=1,DT44=0),2000,0))),1000000))</f>
        <v/>
      </c>
      <c r="OX44">
        <f>IF($B44=0,1000000,IF(INDEX('計算A'!$D$60:$EQ$104,$B44,19)*DT44=1,IF(AND($E44=2,JI44=0),1000000,IF($I44&gt;0,IF(1=$J44,IF(OR(AND(19=$I44+1,OR($K44&lt;&gt;'計算A'!$A$3,'計算A'!$A$4=0)),AND(19=$I44-1,OR(19&lt;&gt;'計算A'!$A$3,'計算A'!$A$4=0))),0,IF(19=$K44,200000,ABS(19-$K44)*100)),100000+ABS(1-$J44)*1000+190)+'計算A'!V$5*50+IF(AND($E44=1,JI44=0),25,0),IF($F44&gt;0,INDEX('計算A'!V$110:V$114,$F44+1)+IF(AND($E44=1,JI44=0),1000,0),MIN(TU44,20)*400+(IF('計算A'!U$106=1,1-DS44,0)+IF('計算A'!V$106=1,1-DU44,0))*150+191+'計算A'!V$5*100000+IF(AND($E44=1,JI44=0),50000,0))+IF($H44=1,(IF('計算A'!U$117=1,INDEX('計算A'!U$10:U$54,$B44),0)+IF('計算A'!V$117=1,INDEX('計算A'!W$10:W$54,$B44),0))*4000,0)-IF(AND('計算A'!U$117=1,US44&gt;0),2000,0)-IF(AND($L44=1,'計算A'!V$117=1,DU44=0),2000,0))),1000000))</f>
        <v/>
      </c>
      <c r="OY44">
        <f>IF($B44=0,1000000,IF(INDEX('計算A'!$D$60:$EQ$104,$B44,20)*DU44=1,IF(AND($E44=2,JJ44=0),1000000,IF($I44&gt;0,IF(1=$J44,IF(OR(AND(20=$I44+1,OR($K44&lt;&gt;'計算A'!$A$3,'計算A'!$A$4=0)),AND(20=$I44-1,OR(20&lt;&gt;'計算A'!$A$3,'計算A'!$A$4=0))),0,IF(20=$K44,200000,ABS(20-$K44)*100)),100000+ABS(1-$J44)*1000+200)+'計算A'!W$5*50+IF(AND($E44=1,JJ44=0),25,0),IF($F44&gt;0,INDEX('計算A'!W$110:W$114,$F44+1)+IF(AND($E44=1,JJ44=0),1000,0),MIN(TU44,20)*400+(IF('計算A'!V$106=1,1-DT44,0)+IF('計算A'!W$106=1,1-DV44,0))*150+201+'計算A'!W$5*100000+IF(AND($E44=1,JJ44=0),50000,0))+IF($H44=1,(IF('計算A'!V$117=1,INDEX('計算A'!V$10:V$54,$B44),0)+IF('計算A'!W$117=1,INDEX('計算A'!X$10:X$54,$B44),0))*4000,0)-IF(AND('計算A'!V$117=1,UT44&gt;0),2000,0)-IF(AND($L44=1,'計算A'!W$117=1,DV44=0),2000,0))),1000000))</f>
        <v/>
      </c>
      <c r="OZ44">
        <f>IF($B44=0,1000000,IF(INDEX('計算A'!$D$60:$EQ$104,$B44,21)*DV44=1,IF(AND($E44=2,JK44=0),1000000,IF($I44&gt;0,IF(1=$J44,IF(OR(AND(21=$I44+1,OR($K44&lt;&gt;'計算A'!$A$3,'計算A'!$A$4=0)),AND(21=$I44-1,OR(21&lt;&gt;'計算A'!$A$3,'計算A'!$A$4=0))),0,IF(21=$K44,200000,ABS(21-$K44)*100)),100000+ABS(1-$J44)*1000+210)+'計算A'!X$5*50+IF(AND($E44=1,JK44=0),25,0),IF($F44&gt;0,INDEX('計算A'!X$110:X$114,$F44+1)+IF(AND($E44=1,JK44=0),1000,0),MIN(TU44,20)*400+(IF('計算A'!W$106=1,1-DU44,0)+IF('計算A'!X$106=1,1-DW44,0))*150+211+'計算A'!X$5*100000+IF(AND($E44=1,JK44=0),50000,0))+IF($H44=1,(IF('計算A'!W$117=1,INDEX('計算A'!W$10:W$54,$B44),0)+IF('計算A'!X$117=1,INDEX('計算A'!Y$10:Y$54,$B44),0))*4000,0)-IF(AND('計算A'!W$117=1,UU44&gt;0),2000,0)-IF(AND($L44=1,'計算A'!X$117=1,DW44=0),2000,0))),1000000))</f>
        <v/>
      </c>
      <c r="PA44">
        <f>IF($B44=0,1000000,IF(INDEX('計算A'!$D$60:$EQ$104,$B44,22)*DW44=1,IF(AND($E44=2,JL44=0),1000000,IF($I44&gt;0,IF(1=$J44,IF(OR(AND(22=$I44+1,OR($K44&lt;&gt;'計算A'!$A$3,'計算A'!$A$4=0)),AND(22=$I44-1,OR(22&lt;&gt;'計算A'!$A$3,'計算A'!$A$4=0))),0,IF(22=$K44,200000,ABS(22-$K44)*100)),100000+ABS(1-$J44)*1000+220)+'計算A'!Y$5*50+IF(AND($E44=1,JL44=0),25,0),IF($F44&gt;0,INDEX('計算A'!Y$110:Y$114,$F44+1)+IF(AND($E44=1,JL44=0),1000,0),MIN(TU44,20)*400+(IF('計算A'!X$106=1,1-DV44,0)+IF('計算A'!Y$106=1,1-DX44,0))*150+221+'計算A'!Y$5*100000+IF(AND($E44=1,JL44=0),50000,0))+IF($H44=1,(IF('計算A'!X$117=1,INDEX('計算A'!X$10:X$54,$B44),0)+IF('計算A'!Y$117=1,INDEX('計算A'!Z$10:Z$54,$B44),0))*4000,0)-IF(AND('計算A'!X$117=1,UV44&gt;0),2000,0)-IF(AND($L44=1,'計算A'!Y$117=1,DX44=0),2000,0))),1000000))</f>
        <v/>
      </c>
      <c r="PB44">
        <f>IF($B44=0,1000000,IF(INDEX('計算A'!$D$60:$EQ$104,$B44,23)*DX44=1,IF(AND($E44=2,JM44=0),1000000,IF($I44&gt;0,IF(1=$J44,IF(OR(AND(23=$I44+1,OR($K44&lt;&gt;'計算A'!$A$3,'計算A'!$A$4=0)),AND(23=$I44-1,OR(23&lt;&gt;'計算A'!$A$3,'計算A'!$A$4=0))),0,IF(23=$K44,200000,ABS(23-$K44)*100)),100000+ABS(1-$J44)*1000+230)+'計算A'!Z$5*50+IF(AND($E44=1,JM44=0),25,0),IF($F44&gt;0,INDEX('計算A'!Z$110:Z$114,$F44+1)+IF(AND($E44=1,JM44=0),1000,0),MIN(TU44,20)*400+(IF('計算A'!Y$106=1,1-DW44,0)+IF('計算A'!Z$106=1,1-DY44,0))*150+231+'計算A'!Z$5*100000+IF(AND($E44=1,JM44=0),50000,0))+IF($H44=1,(IF('計算A'!Y$117=1,INDEX('計算A'!Y$10:Y$54,$B44),0)+IF('計算A'!Z$117=1,INDEX('計算A'!AA$10:AA$54,$B44),0))*4000,0)-IF(AND('計算A'!Y$117=1,UW44&gt;0),2000,0)-IF(AND($L44=1,'計算A'!Z$117=1,DY44=0),2000,0))),1000000))</f>
        <v/>
      </c>
      <c r="PC44">
        <f>IF($B44=0,1000000,IF(INDEX('計算A'!$D$60:$EQ$104,$B44,24)*DY44=1,IF(AND($E44=2,JN44=0),1000000,IF($I44&gt;0,IF(1=$J44,IF(OR(AND(24=$I44+1,OR($K44&lt;&gt;'計算A'!$A$3,'計算A'!$A$4=0)),AND(24=$I44-1,OR(24&lt;&gt;'計算A'!$A$3,'計算A'!$A$4=0))),0,IF(24=$K44,200000,ABS(24-$K44)*100)),100000+ABS(1-$J44)*1000+240)+'計算A'!AA$5*50+IF(AND($E44=1,JN44=0),25,0),IF($F44&gt;0,INDEX('計算A'!AA$110:AA$114,$F44+1)+IF(AND($E44=1,JN44=0),1000,0),MIN(TU44,20)*400+(IF('計算A'!Z$106=1,1-DX44,0))*150+241+'計算A'!AA$5*100000+IF(AND($E44=1,JN44=0),50000,0))+IF($H44=1,(IF('計算A'!Z$117=1,INDEX('計算A'!Z$10:Z$54,$B44),0))*4000,0)-IF(AND('計算A'!Z$117=1,UX44&gt;0),2000,0))),1000000))</f>
        <v/>
      </c>
      <c r="PD44">
        <f>IF($B44=0,1000000,IF(INDEX('計算A'!$D$60:$EQ$104,$B44,25)*DZ44=1,IF(AND($E44=2,JO44=0),1000000,IF($I44&gt;0,IF(2=$J44,IF(OR(AND(25=$I44+1,OR($K44&lt;&gt;'計算A'!$A$3,'計算A'!$A$4=0)),AND(25=$I44-1,OR(1&lt;&gt;'計算A'!$A$3,'計算A'!$A$4=0))),0,IF(1=$K44,200000,ABS(1-$K44)*100)),100000+ABS(2-$J44)*1000+10)+'計算A'!AB$5*50+IF(AND($E44=1,JO44=0),25,0),IF($F44&gt;0,INDEX('計算A'!AB$110:AB$114,$F44+1)+IF(AND($E44=1,JO44=0),1000,0),MIN(TV44,20)*400+(IF('計算A'!AB$106=1,1-EA44,0))*150+12+'計算A'!AB$5*100000+IF(AND($E44=1,JO44=0),50000,0))+IF($H44=1,(IF('計算A'!AB$117=1,INDEX('計算A'!AC$10:AC$54,$B44),0))*4000,0)-IF(AND($L44=1,'計算A'!AB$117=1,EA44=0),2000,0))),1000000))</f>
        <v/>
      </c>
      <c r="PE44">
        <f>IF($B44=0,1000000,IF(INDEX('計算A'!$D$60:$EQ$104,$B44,26)*EA44=1,IF(AND($E44=2,JP44=0),1000000,IF($I44&gt;0,IF(2=$J44,IF(OR(AND(26=$I44+1,OR($K44&lt;&gt;'計算A'!$A$3,'計算A'!$A$4=0)),AND(26=$I44-1,OR(2&lt;&gt;'計算A'!$A$3,'計算A'!$A$4=0))),0,IF(2=$K44,200000,ABS(2-$K44)*100)),100000+ABS(2-$J44)*1000+20)+'計算A'!AC$5*50+IF(AND($E44=1,JP44=0),25,0),IF($F44&gt;0,INDEX('計算A'!AC$110:AC$114,$F44+1)+IF(AND($E44=1,JP44=0),1000,0),MIN(TV44,20)*400+(IF('計算A'!AB$106=1,1-DZ44,0)+IF('計算A'!AC$106=1,1-EB44,0))*150+22+'計算A'!AC$5*100000+IF(AND($E44=1,JP44=0),50000,0))+IF($H44=1,(IF('計算A'!AB$117=1,INDEX('計算A'!AB$10:AB$54,$B44),0)+IF('計算A'!AC$117=1,INDEX('計算A'!AD$10:AD$54,$B44),0))*4000,0)-IF(AND('計算A'!AB$117=1,UZ44&gt;0),2000,0)-IF(AND($L44=1,'計算A'!AC$117=1,EB44=0),2000,0))),1000000))</f>
        <v/>
      </c>
      <c r="PF44">
        <f>IF($B44=0,1000000,IF(INDEX('計算A'!$D$60:$EQ$104,$B44,27)*EB44=1,IF(AND($E44=2,JQ44=0),1000000,IF($I44&gt;0,IF(2=$J44,IF(OR(AND(27=$I44+1,OR($K44&lt;&gt;'計算A'!$A$3,'計算A'!$A$4=0)),AND(27=$I44-1,OR(3&lt;&gt;'計算A'!$A$3,'計算A'!$A$4=0))),0,IF(3=$K44,200000,ABS(3-$K44)*100)),100000+ABS(2-$J44)*1000+30)+'計算A'!AD$5*50+IF(AND($E44=1,JQ44=0),25,0),IF($F44&gt;0,INDEX('計算A'!AD$110:AD$114,$F44+1)+IF(AND($E44=1,JQ44=0),1000,0),MIN(TV44,20)*400+(IF('計算A'!AC$106=1,1-EA44,0)+IF('計算A'!AD$106=1,1-EC44,0))*150+32+'計算A'!AD$5*100000+IF(AND($E44=1,JQ44=0),50000,0))+IF($H44=1,(IF('計算A'!AC$117=1,INDEX('計算A'!AC$10:AC$54,$B44),0)+IF('計算A'!AD$117=1,INDEX('計算A'!AE$10:AE$54,$B44),0))*4000,0)-IF(AND('計算A'!AC$117=1,VA44&gt;0),2000,0)-IF(AND($L44=1,'計算A'!AD$117=1,EC44=0),2000,0))),1000000))</f>
        <v/>
      </c>
      <c r="PG44">
        <f>IF($B44=0,1000000,IF(INDEX('計算A'!$D$60:$EQ$104,$B44,28)*EC44=1,IF(AND($E44=2,JR44=0),1000000,IF($I44&gt;0,IF(2=$J44,IF(OR(AND(28=$I44+1,OR($K44&lt;&gt;'計算A'!$A$3,'計算A'!$A$4=0)),AND(28=$I44-1,OR(4&lt;&gt;'計算A'!$A$3,'計算A'!$A$4=0))),0,IF(4=$K44,200000,ABS(4-$K44)*100)),100000+ABS(2-$J44)*1000+40)+'計算A'!AE$5*50+IF(AND($E44=1,JR44=0),25,0),IF($F44&gt;0,INDEX('計算A'!AE$110:AE$114,$F44+1)+IF(AND($E44=1,JR44=0),1000,0),MIN(TV44,20)*400+(IF('計算A'!AD$106=1,1-EB44,0)+IF('計算A'!AE$106=1,1-ED44,0))*150+42+'計算A'!AE$5*100000+IF(AND($E44=1,JR44=0),50000,0))+IF($H44=1,(IF('計算A'!AD$117=1,INDEX('計算A'!AD$10:AD$54,$B44),0)+IF('計算A'!AE$117=1,INDEX('計算A'!AF$10:AF$54,$B44),0))*4000,0)-IF(AND('計算A'!AD$117=1,VB44&gt;0),2000,0)-IF(AND($L44=1,'計算A'!AE$117=1,ED44=0),2000,0))),1000000))</f>
        <v/>
      </c>
      <c r="PH44">
        <f>IF($B44=0,1000000,IF(INDEX('計算A'!$D$60:$EQ$104,$B44,29)*ED44=1,IF(AND($E44=2,JS44=0),1000000,IF($I44&gt;0,IF(2=$J44,IF(OR(AND(29=$I44+1,OR($K44&lt;&gt;'計算A'!$A$3,'計算A'!$A$4=0)),AND(29=$I44-1,OR(5&lt;&gt;'計算A'!$A$3,'計算A'!$A$4=0))),0,IF(5=$K44,200000,ABS(5-$K44)*100)),100000+ABS(2-$J44)*1000+50)+'計算A'!AF$5*50+IF(AND($E44=1,JS44=0),25,0),IF($F44&gt;0,INDEX('計算A'!AF$110:AF$114,$F44+1)+IF(AND($E44=1,JS44=0),1000,0),MIN(TV44,20)*400+(IF('計算A'!AE$106=1,1-EC44,0)+IF('計算A'!AF$106=1,1-EE44,0))*150+52+'計算A'!AF$5*100000+IF(AND($E44=1,JS44=0),50000,0))+IF($H44=1,(IF('計算A'!AE$117=1,INDEX('計算A'!AE$10:AE$54,$B44),0)+IF('計算A'!AF$117=1,INDEX('計算A'!AG$10:AG$54,$B44),0))*4000,0)-IF(AND('計算A'!AE$117=1,VC44&gt;0),2000,0)-IF(AND($L44=1,'計算A'!AF$117=1,EE44=0),2000,0))),1000000))</f>
        <v/>
      </c>
      <c r="PI44">
        <f>IF($B44=0,1000000,IF(INDEX('計算A'!$D$60:$EQ$104,$B44,30)*EE44=1,IF(AND($E44=2,JT44=0),1000000,IF($I44&gt;0,IF(2=$J44,IF(OR(AND(30=$I44+1,OR($K44&lt;&gt;'計算A'!$A$3,'計算A'!$A$4=0)),AND(30=$I44-1,OR(6&lt;&gt;'計算A'!$A$3,'計算A'!$A$4=0))),0,IF(6=$K44,200000,ABS(6-$K44)*100)),100000+ABS(2-$J44)*1000+60)+'計算A'!AG$5*50+IF(AND($E44=1,JT44=0),25,0),IF($F44&gt;0,INDEX('計算A'!AG$110:AG$114,$F44+1)+IF(AND($E44=1,JT44=0),1000,0),MIN(TV44,20)*400+(IF('計算A'!AF$106=1,1-ED44,0)+IF('計算A'!AG$106=1,1-EF44,0))*150+62+'計算A'!AG$5*100000+IF(AND($E44=1,JT44=0),50000,0))+IF($H44=1,(IF('計算A'!AF$117=1,INDEX('計算A'!AF$10:AF$54,$B44),0)+IF('計算A'!AG$117=1,INDEX('計算A'!AH$10:AH$54,$B44),0))*4000,0)-IF(AND('計算A'!AF$117=1,VD44&gt;0),2000,0)-IF(AND($L44=1,'計算A'!AG$117=1,EF44=0),2000,0))),1000000))</f>
        <v/>
      </c>
      <c r="PJ44">
        <f>IF($B44=0,1000000,IF(INDEX('計算A'!$D$60:$EQ$104,$B44,31)*EF44=1,IF(AND($E44=2,JU44=0),1000000,IF($I44&gt;0,IF(2=$J44,IF(OR(AND(31=$I44+1,OR($K44&lt;&gt;'計算A'!$A$3,'計算A'!$A$4=0)),AND(31=$I44-1,OR(7&lt;&gt;'計算A'!$A$3,'計算A'!$A$4=0))),0,IF(7=$K44,200000,ABS(7-$K44)*100)),100000+ABS(2-$J44)*1000+70)+'計算A'!AH$5*50+IF(AND($E44=1,JU44=0),25,0),IF($F44&gt;0,INDEX('計算A'!AH$110:AH$114,$F44+1)+IF(AND($E44=1,JU44=0),1000,0),MIN(TV44,20)*400+(IF('計算A'!AG$106=1,1-EE44,0)+IF('計算A'!AH$106=1,1-EG44,0))*150+72+'計算A'!AH$5*100000+IF(AND($E44=1,JU44=0),50000,0))+IF($H44=1,(IF('計算A'!AG$117=1,INDEX('計算A'!AG$10:AG$54,$B44),0)+IF('計算A'!AH$117=1,INDEX('計算A'!AI$10:AI$54,$B44),0))*4000,0)-IF(AND('計算A'!AG$117=1,VE44&gt;0),2000,0)-IF(AND($L44=1,'計算A'!AH$117=1,EG44=0),2000,0))),1000000))</f>
        <v/>
      </c>
      <c r="PK44">
        <f>IF($B44=0,1000000,IF(INDEX('計算A'!$D$60:$EQ$104,$B44,32)*EG44=1,IF(AND($E44=2,JV44=0),1000000,IF($I44&gt;0,IF(2=$J44,IF(OR(AND(32=$I44+1,OR($K44&lt;&gt;'計算A'!$A$3,'計算A'!$A$4=0)),AND(32=$I44-1,OR(8&lt;&gt;'計算A'!$A$3,'計算A'!$A$4=0))),0,IF(8=$K44,200000,ABS(8-$K44)*100)),100000+ABS(2-$J44)*1000+80)+'計算A'!AI$5*50+IF(AND($E44=1,JV44=0),25,0),IF($F44&gt;0,INDEX('計算A'!AI$110:AI$114,$F44+1)+IF(AND($E44=1,JV44=0),1000,0),MIN(TV44,20)*400+(IF('計算A'!AH$106=1,1-EF44,0)+IF('計算A'!AI$106=1,1-EH44,0))*150+82+'計算A'!AI$5*100000+IF(AND($E44=1,JV44=0),50000,0))+IF($H44=1,(IF('計算A'!AH$117=1,INDEX('計算A'!AH$10:AH$54,$B44),0)+IF('計算A'!AI$117=1,INDEX('計算A'!AJ$10:AJ$54,$B44),0))*4000,0)-IF(AND('計算A'!AH$117=1,VF44&gt;0),2000,0)-IF(AND($L44=1,'計算A'!AI$117=1,EH44=0),2000,0))),1000000))</f>
        <v/>
      </c>
      <c r="PL44">
        <f>IF($B44=0,1000000,IF(INDEX('計算A'!$D$60:$EQ$104,$B44,33)*EH44=1,IF(AND($E44=2,JW44=0),1000000,IF($I44&gt;0,IF(2=$J44,IF(OR(AND(33=$I44+1,OR($K44&lt;&gt;'計算A'!$A$3,'計算A'!$A$4=0)),AND(33=$I44-1,OR(9&lt;&gt;'計算A'!$A$3,'計算A'!$A$4=0))),0,IF(9=$K44,200000,ABS(9-$K44)*100)),100000+ABS(2-$J44)*1000+90)+'計算A'!AJ$5*50+IF(AND($E44=1,JW44=0),25,0),IF($F44&gt;0,INDEX('計算A'!AJ$110:AJ$114,$F44+1)+IF(AND($E44=1,JW44=0),1000,0),MIN(TV44,20)*400+(IF('計算A'!AI$106=1,1-EG44,0)+IF('計算A'!AJ$106=1,1-EI44,0))*150+92+'計算A'!AJ$5*100000+IF(AND($E44=1,JW44=0),50000,0))+IF($H44=1,(IF('計算A'!AI$117=1,INDEX('計算A'!AI$10:AI$54,$B44),0)+IF('計算A'!AJ$117=1,INDEX('計算A'!AK$10:AK$54,$B44),0))*4000,0)-IF(AND('計算A'!AI$117=1,VG44&gt;0),2000,0)-IF(AND($L44=1,'計算A'!AJ$117=1,EI44=0),2000,0))),1000000))</f>
        <v/>
      </c>
      <c r="PM44">
        <f>IF($B44=0,1000000,IF(INDEX('計算A'!$D$60:$EQ$104,$B44,34)*EI44=1,IF(AND($E44=2,JX44=0),1000000,IF($I44&gt;0,IF(2=$J44,IF(OR(AND(34=$I44+1,OR($K44&lt;&gt;'計算A'!$A$3,'計算A'!$A$4=0)),AND(34=$I44-1,OR(10&lt;&gt;'計算A'!$A$3,'計算A'!$A$4=0))),0,IF(10=$K44,200000,ABS(10-$K44)*100)),100000+ABS(2-$J44)*1000+100)+'計算A'!AK$5*50+IF(AND($E44=1,JX44=0),25,0),IF($F44&gt;0,INDEX('計算A'!AK$110:AK$114,$F44+1)+IF(AND($E44=1,JX44=0),1000,0),MIN(TV44,20)*400+(IF('計算A'!AJ$106=1,1-EH44,0)+IF('計算A'!AK$106=1,1-EJ44,0))*150+102+'計算A'!AK$5*100000+IF(AND($E44=1,JX44=0),50000,0))+IF($H44=1,(IF('計算A'!AJ$117=1,INDEX('計算A'!AJ$10:AJ$54,$B44),0)+IF('計算A'!AK$117=1,INDEX('計算A'!AL$10:AL$54,$B44),0))*4000,0)-IF(AND('計算A'!AJ$117=1,VH44&gt;0),2000,0)-IF(AND($L44=1,'計算A'!AK$117=1,EJ44=0),2000,0))),1000000))</f>
        <v/>
      </c>
      <c r="PN44">
        <f>IF($B44=0,1000000,IF(INDEX('計算A'!$D$60:$EQ$104,$B44,35)*EJ44=1,IF(AND($E44=2,JY44=0),1000000,IF($I44&gt;0,IF(2=$J44,IF(OR(AND(35=$I44+1,OR($K44&lt;&gt;'計算A'!$A$3,'計算A'!$A$4=0)),AND(35=$I44-1,OR(11&lt;&gt;'計算A'!$A$3,'計算A'!$A$4=0))),0,IF(11=$K44,200000,ABS(11-$K44)*100)),100000+ABS(2-$J44)*1000+110)+'計算A'!AL$5*50+IF(AND($E44=1,JY44=0),25,0),IF($F44&gt;0,INDEX('計算A'!AL$110:AL$114,$F44+1)+IF(AND($E44=1,JY44=0),1000,0),MIN(TV44,20)*400+(IF('計算A'!AK$106=1,1-EI44,0)+IF('計算A'!AL$106=1,1-EK44,0))*150+112+'計算A'!AL$5*100000+IF(AND($E44=1,JY44=0),50000,0))+IF($H44=1,(IF('計算A'!AK$117=1,INDEX('計算A'!AK$10:AK$54,$B44),0)+IF('計算A'!AL$117=1,INDEX('計算A'!AM$10:AM$54,$B44),0))*4000,0)-IF(AND('計算A'!AK$117=1,VI44&gt;0),2000,0)-IF(AND($L44=1,'計算A'!AL$117=1,EK44=0),2000,0))),1000000))</f>
        <v/>
      </c>
      <c r="PO44">
        <f>IF($B44=0,1000000,IF(INDEX('計算A'!$D$60:$EQ$104,$B44,36)*EK44=1,IF(AND($E44=2,JZ44=0),1000000,IF($I44&gt;0,IF(2=$J44,IF(OR(AND(36=$I44+1,OR($K44&lt;&gt;'計算A'!$A$3,'計算A'!$A$4=0)),AND(36=$I44-1,OR(12&lt;&gt;'計算A'!$A$3,'計算A'!$A$4=0))),0,IF(12=$K44,200000,ABS(12-$K44)*100)),100000+ABS(2-$J44)*1000+120)+'計算A'!AM$5*50+IF(AND($E44=1,JZ44=0),25,0),IF($F44&gt;0,INDEX('計算A'!AM$110:AM$114,$F44+1)+IF(AND($E44=1,JZ44=0),1000,0),MIN(TV44,20)*400+(IF('計算A'!AL$106=1,1-EJ44,0)+IF('計算A'!AM$106=1,1-EL44,0))*150+122+'計算A'!AM$5*100000+IF(AND($E44=1,JZ44=0),50000,0))+IF($H44=1,(IF('計算A'!AL$117=1,INDEX('計算A'!AL$10:AL$54,$B44),0)+IF('計算A'!AM$117=1,INDEX('計算A'!AN$10:AN$54,$B44),0))*4000,0)-IF(AND('計算A'!AL$117=1,VJ44&gt;0),2000,0)-IF(AND($L44=1,'計算A'!AM$117=1,EL44=0),2000,0))),1000000))</f>
        <v/>
      </c>
      <c r="PP44">
        <f>IF($B44=0,1000000,IF(INDEX('計算A'!$D$60:$EQ$104,$B44,37)*EL44=1,IF(AND($E44=2,KA44=0),1000000,IF($I44&gt;0,IF(2=$J44,IF(OR(AND(37=$I44+1,OR($K44&lt;&gt;'計算A'!$A$3,'計算A'!$A$4=0)),AND(37=$I44-1,OR(13&lt;&gt;'計算A'!$A$3,'計算A'!$A$4=0))),0,IF(13=$K44,200000,ABS(13-$K44)*100)),100000+ABS(2-$J44)*1000+130)+'計算A'!AN$5*50+IF(AND($E44=1,KA44=0),25,0),IF($F44&gt;0,INDEX('計算A'!AN$110:AN$114,$F44+1)+IF(AND($E44=1,KA44=0),1000,0),MIN(TV44,20)*400+(IF('計算A'!AM$106=1,1-EK44,0)+IF('計算A'!AN$106=1,1-EM44,0))*150+132+'計算A'!AN$5*100000+IF(AND($E44=1,KA44=0),50000,0))+IF($H44=1,(IF('計算A'!AM$117=1,INDEX('計算A'!AM$10:AM$54,$B44),0)+IF('計算A'!AN$117=1,INDEX('計算A'!AO$10:AO$54,$B44),0))*4000,0)-IF(AND('計算A'!AM$117=1,VK44&gt;0),2000,0)-IF(AND($L44=1,'計算A'!AN$117=1,EM44=0),2000,0))),1000000))</f>
        <v/>
      </c>
      <c r="PQ44">
        <f>IF($B44=0,1000000,IF(INDEX('計算A'!$D$60:$EQ$104,$B44,38)*EM44=1,IF(AND($E44=2,KB44=0),1000000,IF($I44&gt;0,IF(2=$J44,IF(OR(AND(38=$I44+1,OR($K44&lt;&gt;'計算A'!$A$3,'計算A'!$A$4=0)),AND(38=$I44-1,OR(14&lt;&gt;'計算A'!$A$3,'計算A'!$A$4=0))),0,IF(14=$K44,200000,ABS(14-$K44)*100)),100000+ABS(2-$J44)*1000+140)+'計算A'!AO$5*50+IF(AND($E44=1,KB44=0),25,0),IF($F44&gt;0,INDEX('計算A'!AO$110:AO$114,$F44+1)+IF(AND($E44=1,KB44=0),1000,0),MIN(TV44,20)*400+(IF('計算A'!AN$106=1,1-EL44,0)+IF('計算A'!AO$106=1,1-EN44,0))*150+142+'計算A'!AO$5*100000+IF(AND($E44=1,KB44=0),50000,0))+IF($H44=1,(IF('計算A'!AN$117=1,INDEX('計算A'!AN$10:AN$54,$B44),0)+IF('計算A'!AO$117=1,INDEX('計算A'!AP$10:AP$54,$B44),0))*4000,0)-IF(AND('計算A'!AN$117=1,VL44&gt;0),2000,0)-IF(AND($L44=1,'計算A'!AO$117=1,EN44=0),2000,0))),1000000))</f>
        <v/>
      </c>
      <c r="PR44">
        <f>IF($B44=0,1000000,IF(INDEX('計算A'!$D$60:$EQ$104,$B44,39)*EN44=1,IF(AND($E44=2,KC44=0),1000000,IF($I44&gt;0,IF(2=$J44,IF(OR(AND(39=$I44+1,OR($K44&lt;&gt;'計算A'!$A$3,'計算A'!$A$4=0)),AND(39=$I44-1,OR(15&lt;&gt;'計算A'!$A$3,'計算A'!$A$4=0))),0,IF(15=$K44,200000,ABS(15-$K44)*100)),100000+ABS(2-$J44)*1000+150)+'計算A'!AP$5*50+IF(AND($E44=1,KC44=0),25,0),IF($F44&gt;0,INDEX('計算A'!AP$110:AP$114,$F44+1)+IF(AND($E44=1,KC44=0),1000,0),MIN(TV44,20)*400+(IF('計算A'!AO$106=1,1-EM44,0)+IF('計算A'!AP$106=1,1-EO44,0))*150+152+'計算A'!AP$5*100000+IF(AND($E44=1,KC44=0),50000,0))+IF($H44=1,(IF('計算A'!AO$117=1,INDEX('計算A'!AO$10:AO$54,$B44),0)+IF('計算A'!AP$117=1,INDEX('計算A'!AQ$10:AQ$54,$B44),0))*4000,0)-IF(AND('計算A'!AO$117=1,VM44&gt;0),2000,0)-IF(AND($L44=1,'計算A'!AP$117=1,EO44=0),2000,0))),1000000))</f>
        <v/>
      </c>
      <c r="PS44">
        <f>IF($B44=0,1000000,IF(INDEX('計算A'!$D$60:$EQ$104,$B44,40)*EO44=1,IF(AND($E44=2,KD44=0),1000000,IF($I44&gt;0,IF(2=$J44,IF(OR(AND(40=$I44+1,OR($K44&lt;&gt;'計算A'!$A$3,'計算A'!$A$4=0)),AND(40=$I44-1,OR(16&lt;&gt;'計算A'!$A$3,'計算A'!$A$4=0))),0,IF(16=$K44,200000,ABS(16-$K44)*100)),100000+ABS(2-$J44)*1000+160)+'計算A'!AQ$5*50+IF(AND($E44=1,KD44=0),25,0),IF($F44&gt;0,INDEX('計算A'!AQ$110:AQ$114,$F44+1)+IF(AND($E44=1,KD44=0),1000,0),MIN(TV44,20)*400+(IF('計算A'!AP$106=1,1-EN44,0)+IF('計算A'!AQ$106=1,1-EP44,0))*150+162+'計算A'!AQ$5*100000+IF(AND($E44=1,KD44=0),50000,0))+IF($H44=1,(IF('計算A'!AP$117=1,INDEX('計算A'!AP$10:AP$54,$B44),0)+IF('計算A'!AQ$117=1,INDEX('計算A'!AR$10:AR$54,$B44),0))*4000,0)-IF(AND('計算A'!AP$117=1,VN44&gt;0),2000,0)-IF(AND($L44=1,'計算A'!AQ$117=1,EP44=0),2000,0))),1000000))</f>
        <v/>
      </c>
      <c r="PT44">
        <f>IF($B44=0,1000000,IF(INDEX('計算A'!$D$60:$EQ$104,$B44,41)*EP44=1,IF(AND($E44=2,KE44=0),1000000,IF($I44&gt;0,IF(2=$J44,IF(OR(AND(41=$I44+1,OR($K44&lt;&gt;'計算A'!$A$3,'計算A'!$A$4=0)),AND(41=$I44-1,OR(17&lt;&gt;'計算A'!$A$3,'計算A'!$A$4=0))),0,IF(17=$K44,200000,ABS(17-$K44)*100)),100000+ABS(2-$J44)*1000+170)+'計算A'!AR$5*50+IF(AND($E44=1,KE44=0),25,0),IF($F44&gt;0,INDEX('計算A'!AR$110:AR$114,$F44+1)+IF(AND($E44=1,KE44=0),1000,0),MIN(TV44,20)*400+(IF('計算A'!AQ$106=1,1-EO44,0)+IF('計算A'!AR$106=1,1-EQ44,0))*150+172+'計算A'!AR$5*100000+IF(AND($E44=1,KE44=0),50000,0))+IF($H44=1,(IF('計算A'!AQ$117=1,INDEX('計算A'!AQ$10:AQ$54,$B44),0)+IF('計算A'!AR$117=1,INDEX('計算A'!AS$10:AS$54,$B44),0))*4000,0)-IF(AND('計算A'!AQ$117=1,VO44&gt;0),2000,0)-IF(AND($L44=1,'計算A'!AR$117=1,EQ44=0),2000,0))),1000000))</f>
        <v/>
      </c>
      <c r="PU44">
        <f>IF($B44=0,1000000,IF(INDEX('計算A'!$D$60:$EQ$104,$B44,42)*EQ44=1,IF(AND($E44=2,KF44=0),1000000,IF($I44&gt;0,IF(2=$J44,IF(OR(AND(42=$I44+1,OR($K44&lt;&gt;'計算A'!$A$3,'計算A'!$A$4=0)),AND(42=$I44-1,OR(18&lt;&gt;'計算A'!$A$3,'計算A'!$A$4=0))),0,IF(18=$K44,200000,ABS(18-$K44)*100)),100000+ABS(2-$J44)*1000+180)+'計算A'!AS$5*50+IF(AND($E44=1,KF44=0),25,0),IF($F44&gt;0,INDEX('計算A'!AS$110:AS$114,$F44+1)+IF(AND($E44=1,KF44=0),1000,0),MIN(TV44,20)*400+(IF('計算A'!AR$106=1,1-EP44,0)+IF('計算A'!AS$106=1,1-ER44,0))*150+182+'計算A'!AS$5*100000+IF(AND($E44=1,KF44=0),50000,0))+IF($H44=1,(IF('計算A'!AR$117=1,INDEX('計算A'!AR$10:AR$54,$B44),0)+IF('計算A'!AS$117=1,INDEX('計算A'!AT$10:AT$54,$B44),0))*4000,0)-IF(AND('計算A'!AR$117=1,VP44&gt;0),2000,0)-IF(AND($L44=1,'計算A'!AS$117=1,ER44=0),2000,0))),1000000))</f>
        <v/>
      </c>
      <c r="PV44">
        <f>IF($B44=0,1000000,IF(INDEX('計算A'!$D$60:$EQ$104,$B44,43)*ER44=1,IF(AND($E44=2,KG44=0),1000000,IF($I44&gt;0,IF(2=$J44,IF(OR(AND(43=$I44+1,OR($K44&lt;&gt;'計算A'!$A$3,'計算A'!$A$4=0)),AND(43=$I44-1,OR(19&lt;&gt;'計算A'!$A$3,'計算A'!$A$4=0))),0,IF(19=$K44,200000,ABS(19-$K44)*100)),100000+ABS(2-$J44)*1000+190)+'計算A'!AT$5*50+IF(AND($E44=1,KG44=0),25,0),IF($F44&gt;0,INDEX('計算A'!AT$110:AT$114,$F44+1)+IF(AND($E44=1,KG44=0),1000,0),MIN(TV44,20)*400+(IF('計算A'!AS$106=1,1-EQ44,0)+IF('計算A'!AT$106=1,1-ES44,0))*150+192+'計算A'!AT$5*100000+IF(AND($E44=1,KG44=0),50000,0))+IF($H44=1,(IF('計算A'!AS$117=1,INDEX('計算A'!AS$10:AS$54,$B44),0)+IF('計算A'!AT$117=1,INDEX('計算A'!AU$10:AU$54,$B44),0))*4000,0)-IF(AND('計算A'!AS$117=1,VQ44&gt;0),2000,0)-IF(AND($L44=1,'計算A'!AT$117=1,ES44=0),2000,0))),1000000))</f>
        <v/>
      </c>
      <c r="PW44">
        <f>IF($B44=0,1000000,IF(INDEX('計算A'!$D$60:$EQ$104,$B44,44)*ES44=1,IF(AND($E44=2,KH44=0),1000000,IF($I44&gt;0,IF(2=$J44,IF(OR(AND(44=$I44+1,OR($K44&lt;&gt;'計算A'!$A$3,'計算A'!$A$4=0)),AND(44=$I44-1,OR(20&lt;&gt;'計算A'!$A$3,'計算A'!$A$4=0))),0,IF(20=$K44,200000,ABS(20-$K44)*100)),100000+ABS(2-$J44)*1000+200)+'計算A'!AU$5*50+IF(AND($E44=1,KH44=0),25,0),IF($F44&gt;0,INDEX('計算A'!AU$110:AU$114,$F44+1)+IF(AND($E44=1,KH44=0),1000,0),MIN(TV44,20)*400+(IF('計算A'!AT$106=1,1-ER44,0)+IF('計算A'!AU$106=1,1-ET44,0))*150+202+'計算A'!AU$5*100000+IF(AND($E44=1,KH44=0),50000,0))+IF($H44=1,(IF('計算A'!AT$117=1,INDEX('計算A'!AT$10:AT$54,$B44),0)+IF('計算A'!AU$117=1,INDEX('計算A'!AV$10:AV$54,$B44),0))*4000,0)-IF(AND('計算A'!AT$117=1,VR44&gt;0),2000,0)-IF(AND($L44=1,'計算A'!AU$117=1,ET44=0),2000,0))),1000000))</f>
        <v/>
      </c>
      <c r="PX44">
        <f>IF($B44=0,1000000,IF(INDEX('計算A'!$D$60:$EQ$104,$B44,45)*ET44=1,IF(AND($E44=2,KI44=0),1000000,IF($I44&gt;0,IF(2=$J44,IF(OR(AND(45=$I44+1,OR($K44&lt;&gt;'計算A'!$A$3,'計算A'!$A$4=0)),AND(45=$I44-1,OR(21&lt;&gt;'計算A'!$A$3,'計算A'!$A$4=0))),0,IF(21=$K44,200000,ABS(21-$K44)*100)),100000+ABS(2-$J44)*1000+210)+'計算A'!AV$5*50+IF(AND($E44=1,KI44=0),25,0),IF($F44&gt;0,INDEX('計算A'!AV$110:AV$114,$F44+1)+IF(AND($E44=1,KI44=0),1000,0),MIN(TV44,20)*400+(IF('計算A'!AU$106=1,1-ES44,0)+IF('計算A'!AV$106=1,1-EU44,0))*150+212+'計算A'!AV$5*100000+IF(AND($E44=1,KI44=0),50000,0))+IF($H44=1,(IF('計算A'!AU$117=1,INDEX('計算A'!AU$10:AU$54,$B44),0)+IF('計算A'!AV$117=1,INDEX('計算A'!AW$10:AW$54,$B44),0))*4000,0)-IF(AND('計算A'!AU$117=1,VS44&gt;0),2000,0)-IF(AND($L44=1,'計算A'!AV$117=1,EU44=0),2000,0))),1000000))</f>
        <v/>
      </c>
      <c r="PY44">
        <f>IF($B44=0,1000000,IF(INDEX('計算A'!$D$60:$EQ$104,$B44,46)*EU44=1,IF(AND($E44=2,KJ44=0),1000000,IF($I44&gt;0,IF(2=$J44,IF(OR(AND(46=$I44+1,OR($K44&lt;&gt;'計算A'!$A$3,'計算A'!$A$4=0)),AND(46=$I44-1,OR(22&lt;&gt;'計算A'!$A$3,'計算A'!$A$4=0))),0,IF(22=$K44,200000,ABS(22-$K44)*100)),100000+ABS(2-$J44)*1000+220)+'計算A'!AW$5*50+IF(AND($E44=1,KJ44=0),25,0),IF($F44&gt;0,INDEX('計算A'!AW$110:AW$114,$F44+1)+IF(AND($E44=1,KJ44=0),1000,0),MIN(TV44,20)*400+(IF('計算A'!AV$106=1,1-ET44,0)+IF('計算A'!AW$106=1,1-EV44,0))*150+222+'計算A'!AW$5*100000+IF(AND($E44=1,KJ44=0),50000,0))+IF($H44=1,(IF('計算A'!AV$117=1,INDEX('計算A'!AV$10:AV$54,$B44),0)+IF('計算A'!AW$117=1,INDEX('計算A'!AX$10:AX$54,$B44),0))*4000,0)-IF(AND('計算A'!AV$117=1,VT44&gt;0),2000,0)-IF(AND($L44=1,'計算A'!AW$117=1,EV44=0),2000,0))),1000000))</f>
        <v/>
      </c>
      <c r="PZ44">
        <f>IF($B44=0,1000000,IF(INDEX('計算A'!$D$60:$EQ$104,$B44,47)*EV44=1,IF(AND($E44=2,KK44=0),1000000,IF($I44&gt;0,IF(2=$J44,IF(OR(AND(47=$I44+1,OR($K44&lt;&gt;'計算A'!$A$3,'計算A'!$A$4=0)),AND(47=$I44-1,OR(23&lt;&gt;'計算A'!$A$3,'計算A'!$A$4=0))),0,IF(23=$K44,200000,ABS(23-$K44)*100)),100000+ABS(2-$J44)*1000+230)+'計算A'!AX$5*50+IF(AND($E44=1,KK44=0),25,0),IF($F44&gt;0,INDEX('計算A'!AX$110:AX$114,$F44+1)+IF(AND($E44=1,KK44=0),1000,0),MIN(TV44,20)*400+(IF('計算A'!AW$106=1,1-EU44,0)+IF('計算A'!AX$106=1,1-EW44,0))*150+232+'計算A'!AX$5*100000+IF(AND($E44=1,KK44=0),50000,0))+IF($H44=1,(IF('計算A'!AW$117=1,INDEX('計算A'!AW$10:AW$54,$B44),0)+IF('計算A'!AX$117=1,INDEX('計算A'!AY$10:AY$54,$B44),0))*4000,0)-IF(AND('計算A'!AW$117=1,VU44&gt;0),2000,0)-IF(AND($L44=1,'計算A'!AX$117=1,EW44=0),2000,0))),1000000))</f>
        <v/>
      </c>
      <c r="QA44">
        <f>IF($B44=0,1000000,IF(INDEX('計算A'!$D$60:$EQ$104,$B44,48)*EW44=1,IF(AND($E44=2,KL44=0),1000000,IF($I44&gt;0,IF(2=$J44,IF(OR(AND(48=$I44+1,OR($K44&lt;&gt;'計算A'!$A$3,'計算A'!$A$4=0)),AND(48=$I44-1,OR(24&lt;&gt;'計算A'!$A$3,'計算A'!$A$4=0))),0,IF(24=$K44,200000,ABS(24-$K44)*100)),100000+ABS(2-$J44)*1000+240)+'計算A'!AY$5*50+IF(AND($E44=1,KL44=0),25,0),IF($F44&gt;0,INDEX('計算A'!AY$110:AY$114,$F44+1)+IF(AND($E44=1,KL44=0),1000,0),MIN(TV44,20)*400+(IF('計算A'!AX$106=1,1-EV44,0))*150+242+'計算A'!AY$5*100000+IF(AND($E44=1,KL44=0),50000,0))+IF($H44=1,(IF('計算A'!AX$117=1,INDEX('計算A'!AX$10:AX$54,$B44),0))*4000,0)-IF(AND('計算A'!AX$117=1,VV44&gt;0),2000,0))),1000000))</f>
        <v/>
      </c>
      <c r="QB44">
        <f>IF($B44=0,1000000,IF(INDEX('計算A'!$D$60:$EQ$104,$B44,49)*EX44=1,IF(AND($E44=2,KM44=0),1000000,IF($I44&gt;0,IF(3=$J44,IF(OR(AND(49=$I44+1,OR($K44&lt;&gt;'計算A'!$A$3,'計算A'!$A$4=0)),AND(49=$I44-1,OR(1&lt;&gt;'計算A'!$A$3,'計算A'!$A$4=0))),0,IF(1=$K44,200000,ABS(1-$K44)*100)),100000+ABS(3-$J44)*1000+10)+'計算A'!AZ$5*50+IF(AND($E44=1,KM44=0),25,0),IF($F44&gt;0,INDEX('計算A'!AZ$110:AZ$114,$F44+1)+IF(AND($E44=1,KM44=0),1000,0),MIN(TW44,20)*400+(IF('計算A'!AZ$106=1,1-EY44,0))*150+13+'計算A'!AZ$5*100000+IF(AND($E44=1,KM44=0),50000,0))+IF($H44=1,(IF('計算A'!AZ$117=1,INDEX('計算A'!BA$10:BA$54,$B44),0))*4000,0)-IF(AND($L44=1,'計算A'!AZ$117=1,EY44=0),2000,0))),1000000))</f>
        <v/>
      </c>
      <c r="QC44">
        <f>IF($B44=0,1000000,IF(INDEX('計算A'!$D$60:$EQ$104,$B44,50)*EY44=1,IF(AND($E44=2,KN44=0),1000000,IF($I44&gt;0,IF(3=$J44,IF(OR(AND(50=$I44+1,OR($K44&lt;&gt;'計算A'!$A$3,'計算A'!$A$4=0)),AND(50=$I44-1,OR(2&lt;&gt;'計算A'!$A$3,'計算A'!$A$4=0))),0,IF(2=$K44,200000,ABS(2-$K44)*100)),100000+ABS(3-$J44)*1000+20)+'計算A'!BA$5*50+IF(AND($E44=1,KN44=0),25,0),IF($F44&gt;0,INDEX('計算A'!BA$110:BA$114,$F44+1)+IF(AND($E44=1,KN44=0),1000,0),MIN(TW44,20)*400+(IF('計算A'!AZ$106=1,1-EX44,0)+IF('計算A'!BA$106=1,1-EZ44,0))*150+23+'計算A'!BA$5*100000+IF(AND($E44=1,KN44=0),50000,0))+IF($H44=1,(IF('計算A'!AZ$117=1,INDEX('計算A'!AZ$10:AZ$54,$B44),0)+IF('計算A'!BA$117=1,INDEX('計算A'!BB$10:BB$54,$B44),0))*4000,0)-IF(AND('計算A'!AZ$117=1,VX44&gt;0),2000,0)-IF(AND($L44=1,'計算A'!BA$117=1,EZ44=0),2000,0))),1000000))</f>
        <v/>
      </c>
      <c r="QD44">
        <f>IF($B44=0,1000000,IF(INDEX('計算A'!$D$60:$EQ$104,$B44,51)*EZ44=1,IF(AND($E44=2,KO44=0),1000000,IF($I44&gt;0,IF(3=$J44,IF(OR(AND(51=$I44+1,OR($K44&lt;&gt;'計算A'!$A$3,'計算A'!$A$4=0)),AND(51=$I44-1,OR(3&lt;&gt;'計算A'!$A$3,'計算A'!$A$4=0))),0,IF(3=$K44,200000,ABS(3-$K44)*100)),100000+ABS(3-$J44)*1000+30)+'計算A'!BB$5*50+IF(AND($E44=1,KO44=0),25,0),IF($F44&gt;0,INDEX('計算A'!BB$110:BB$114,$F44+1)+IF(AND($E44=1,KO44=0),1000,0),MIN(TW44,20)*400+(IF('計算A'!BA$106=1,1-EY44,0)+IF('計算A'!BB$106=1,1-FA44,0))*150+33+'計算A'!BB$5*100000+IF(AND($E44=1,KO44=0),50000,0))+IF($H44=1,(IF('計算A'!BA$117=1,INDEX('計算A'!BA$10:BA$54,$B44),0)+IF('計算A'!BB$117=1,INDEX('計算A'!BC$10:BC$54,$B44),0))*4000,0)-IF(AND('計算A'!BA$117=1,VY44&gt;0),2000,0)-IF(AND($L44=1,'計算A'!BB$117=1,FA44=0),2000,0))),1000000))</f>
        <v/>
      </c>
      <c r="QE44">
        <f>IF($B44=0,1000000,IF(INDEX('計算A'!$D$60:$EQ$104,$B44,52)*FA44=1,IF(AND($E44=2,KP44=0),1000000,IF($I44&gt;0,IF(3=$J44,IF(OR(AND(52=$I44+1,OR($K44&lt;&gt;'計算A'!$A$3,'計算A'!$A$4=0)),AND(52=$I44-1,OR(4&lt;&gt;'計算A'!$A$3,'計算A'!$A$4=0))),0,IF(4=$K44,200000,ABS(4-$K44)*100)),100000+ABS(3-$J44)*1000+40)+'計算A'!BC$5*50+IF(AND($E44=1,KP44=0),25,0),IF($F44&gt;0,INDEX('計算A'!BC$110:BC$114,$F44+1)+IF(AND($E44=1,KP44=0),1000,0),MIN(TW44,20)*400+(IF('計算A'!BB$106=1,1-EZ44,0)+IF('計算A'!BC$106=1,1-FB44,0))*150+43+'計算A'!BC$5*100000+IF(AND($E44=1,KP44=0),50000,0))+IF($H44=1,(IF('計算A'!BB$117=1,INDEX('計算A'!BB$10:BB$54,$B44),0)+IF('計算A'!BC$117=1,INDEX('計算A'!BD$10:BD$54,$B44),0))*4000,0)-IF(AND('計算A'!BB$117=1,VZ44&gt;0),2000,0)-IF(AND($L44=1,'計算A'!BC$117=1,FB44=0),2000,0))),1000000))</f>
        <v/>
      </c>
      <c r="QF44">
        <f>IF($B44=0,1000000,IF(INDEX('計算A'!$D$60:$EQ$104,$B44,53)*FB44=1,IF(AND($E44=2,KQ44=0),1000000,IF($I44&gt;0,IF(3=$J44,IF(OR(AND(53=$I44+1,OR($K44&lt;&gt;'計算A'!$A$3,'計算A'!$A$4=0)),AND(53=$I44-1,OR(5&lt;&gt;'計算A'!$A$3,'計算A'!$A$4=0))),0,IF(5=$K44,200000,ABS(5-$K44)*100)),100000+ABS(3-$J44)*1000+50)+'計算A'!BD$5*50+IF(AND($E44=1,KQ44=0),25,0),IF($F44&gt;0,INDEX('計算A'!BD$110:BD$114,$F44+1)+IF(AND($E44=1,KQ44=0),1000,0),MIN(TW44,20)*400+(IF('計算A'!BC$106=1,1-FA44,0)+IF('計算A'!BD$106=1,1-FC44,0))*150+53+'計算A'!BD$5*100000+IF(AND($E44=1,KQ44=0),50000,0))+IF($H44=1,(IF('計算A'!BC$117=1,INDEX('計算A'!BC$10:BC$54,$B44),0)+IF('計算A'!BD$117=1,INDEX('計算A'!BE$10:BE$54,$B44),0))*4000,0)-IF(AND('計算A'!BC$117=1,WA44&gt;0),2000,0)-IF(AND($L44=1,'計算A'!BD$117=1,FC44=0),2000,0))),1000000))</f>
        <v/>
      </c>
      <c r="QG44">
        <f>IF($B44=0,1000000,IF(INDEX('計算A'!$D$60:$EQ$104,$B44,54)*FC44=1,IF(AND($E44=2,KR44=0),1000000,IF($I44&gt;0,IF(3=$J44,IF(OR(AND(54=$I44+1,OR($K44&lt;&gt;'計算A'!$A$3,'計算A'!$A$4=0)),AND(54=$I44-1,OR(6&lt;&gt;'計算A'!$A$3,'計算A'!$A$4=0))),0,IF(6=$K44,200000,ABS(6-$K44)*100)),100000+ABS(3-$J44)*1000+60)+'計算A'!BE$5*50+IF(AND($E44=1,KR44=0),25,0),IF($F44&gt;0,INDEX('計算A'!BE$110:BE$114,$F44+1)+IF(AND($E44=1,KR44=0),1000,0),MIN(TW44,20)*400+(IF('計算A'!BD$106=1,1-FB44,0)+IF('計算A'!BE$106=1,1-FD44,0))*150+63+'計算A'!BE$5*100000+IF(AND($E44=1,KR44=0),50000,0))+IF($H44=1,(IF('計算A'!BD$117=1,INDEX('計算A'!BD$10:BD$54,$B44),0)+IF('計算A'!BE$117=1,INDEX('計算A'!BF$10:BF$54,$B44),0))*4000,0)-IF(AND('計算A'!BD$117=1,WB44&gt;0),2000,0)-IF(AND($L44=1,'計算A'!BE$117=1,FD44=0),2000,0))),1000000))</f>
        <v/>
      </c>
      <c r="QH44">
        <f>IF($B44=0,1000000,IF(INDEX('計算A'!$D$60:$EQ$104,$B44,55)*FD44=1,IF(AND($E44=2,KS44=0),1000000,IF($I44&gt;0,IF(3=$J44,IF(OR(AND(55=$I44+1,OR($K44&lt;&gt;'計算A'!$A$3,'計算A'!$A$4=0)),AND(55=$I44-1,OR(7&lt;&gt;'計算A'!$A$3,'計算A'!$A$4=0))),0,IF(7=$K44,200000,ABS(7-$K44)*100)),100000+ABS(3-$J44)*1000+70)+'計算A'!BF$5*50+IF(AND($E44=1,KS44=0),25,0),IF($F44&gt;0,INDEX('計算A'!BF$110:BF$114,$F44+1)+IF(AND($E44=1,KS44=0),1000,0),MIN(TW44,20)*400+(IF('計算A'!BE$106=1,1-FC44,0)+IF('計算A'!BF$106=1,1-FE44,0))*150+73+'計算A'!BF$5*100000+IF(AND($E44=1,KS44=0),50000,0))+IF($H44=1,(IF('計算A'!BE$117=1,INDEX('計算A'!BE$10:BE$54,$B44),0)+IF('計算A'!BF$117=1,INDEX('計算A'!BG$10:BG$54,$B44),0))*4000,0)-IF(AND('計算A'!BE$117=1,WC44&gt;0),2000,0)-IF(AND($L44=1,'計算A'!BF$117=1,FE44=0),2000,0))),1000000))</f>
        <v/>
      </c>
      <c r="QI44">
        <f>IF($B44=0,1000000,IF(INDEX('計算A'!$D$60:$EQ$104,$B44,56)*FE44=1,IF(AND($E44=2,KT44=0),1000000,IF($I44&gt;0,IF(3=$J44,IF(OR(AND(56=$I44+1,OR($K44&lt;&gt;'計算A'!$A$3,'計算A'!$A$4=0)),AND(56=$I44-1,OR(8&lt;&gt;'計算A'!$A$3,'計算A'!$A$4=0))),0,IF(8=$K44,200000,ABS(8-$K44)*100)),100000+ABS(3-$J44)*1000+80)+'計算A'!BG$5*50+IF(AND($E44=1,KT44=0),25,0),IF($F44&gt;0,INDEX('計算A'!BG$110:BG$114,$F44+1)+IF(AND($E44=1,KT44=0),1000,0),MIN(TW44,20)*400+(IF('計算A'!BF$106=1,1-FD44,0)+IF('計算A'!BG$106=1,1-FF44,0))*150+83+'計算A'!BG$5*100000+IF(AND($E44=1,KT44=0),50000,0))+IF($H44=1,(IF('計算A'!BF$117=1,INDEX('計算A'!BF$10:BF$54,$B44),0)+IF('計算A'!BG$117=1,INDEX('計算A'!BH$10:BH$54,$B44),0))*4000,0)-IF(AND('計算A'!BF$117=1,WD44&gt;0),2000,0)-IF(AND($L44=1,'計算A'!BG$117=1,FF44=0),2000,0))),1000000))</f>
        <v/>
      </c>
      <c r="QJ44">
        <f>IF($B44=0,1000000,IF(INDEX('計算A'!$D$60:$EQ$104,$B44,57)*FF44=1,IF(AND($E44=2,KU44=0),1000000,IF($I44&gt;0,IF(3=$J44,IF(OR(AND(57=$I44+1,OR($K44&lt;&gt;'計算A'!$A$3,'計算A'!$A$4=0)),AND(57=$I44-1,OR(9&lt;&gt;'計算A'!$A$3,'計算A'!$A$4=0))),0,IF(9=$K44,200000,ABS(9-$K44)*100)),100000+ABS(3-$J44)*1000+90)+'計算A'!BH$5*50+IF(AND($E44=1,KU44=0),25,0),IF($F44&gt;0,INDEX('計算A'!BH$110:BH$114,$F44+1)+IF(AND($E44=1,KU44=0),1000,0),MIN(TW44,20)*400+(IF('計算A'!BG$106=1,1-FE44,0)+IF('計算A'!BH$106=1,1-FG44,0))*150+93+'計算A'!BH$5*100000+IF(AND($E44=1,KU44=0),50000,0))+IF($H44=1,(IF('計算A'!BG$117=1,INDEX('計算A'!BG$10:BG$54,$B44),0)+IF('計算A'!BH$117=1,INDEX('計算A'!BI$10:BI$54,$B44),0))*4000,0)-IF(AND('計算A'!BG$117=1,WE44&gt;0),2000,0)-IF(AND($L44=1,'計算A'!BH$117=1,FG44=0),2000,0))),1000000))</f>
        <v/>
      </c>
      <c r="QK44">
        <f>IF($B44=0,1000000,IF(INDEX('計算A'!$D$60:$EQ$104,$B44,58)*FG44=1,IF(AND($E44=2,KV44=0),1000000,IF($I44&gt;0,IF(3=$J44,IF(OR(AND(58=$I44+1,OR($K44&lt;&gt;'計算A'!$A$3,'計算A'!$A$4=0)),AND(58=$I44-1,OR(10&lt;&gt;'計算A'!$A$3,'計算A'!$A$4=0))),0,IF(10=$K44,200000,ABS(10-$K44)*100)),100000+ABS(3-$J44)*1000+100)+'計算A'!BI$5*50+IF(AND($E44=1,KV44=0),25,0),IF($F44&gt;0,INDEX('計算A'!BI$110:BI$114,$F44+1)+IF(AND($E44=1,KV44=0),1000,0),MIN(TW44,20)*400+(IF('計算A'!BH$106=1,1-FF44,0)+IF('計算A'!BI$106=1,1-FH44,0))*150+103+'計算A'!BI$5*100000+IF(AND($E44=1,KV44=0),50000,0))+IF($H44=1,(IF('計算A'!BH$117=1,INDEX('計算A'!BH$10:BH$54,$B44),0)+IF('計算A'!BI$117=1,INDEX('計算A'!BJ$10:BJ$54,$B44),0))*4000,0)-IF(AND('計算A'!BH$117=1,WF44&gt;0),2000,0)-IF(AND($L44=1,'計算A'!BI$117=1,FH44=0),2000,0))),1000000))</f>
        <v/>
      </c>
      <c r="QL44">
        <f>IF($B44=0,1000000,IF(INDEX('計算A'!$D$60:$EQ$104,$B44,59)*FH44=1,IF(AND($E44=2,KW44=0),1000000,IF($I44&gt;0,IF(3=$J44,IF(OR(AND(59=$I44+1,OR($K44&lt;&gt;'計算A'!$A$3,'計算A'!$A$4=0)),AND(59=$I44-1,OR(11&lt;&gt;'計算A'!$A$3,'計算A'!$A$4=0))),0,IF(11=$K44,200000,ABS(11-$K44)*100)),100000+ABS(3-$J44)*1000+110)+'計算A'!BJ$5*50+IF(AND($E44=1,KW44=0),25,0),IF($F44&gt;0,INDEX('計算A'!BJ$110:BJ$114,$F44+1)+IF(AND($E44=1,KW44=0),1000,0),MIN(TW44,20)*400+(IF('計算A'!BI$106=1,1-FG44,0)+IF('計算A'!BJ$106=1,1-FI44,0))*150+113+'計算A'!BJ$5*100000+IF(AND($E44=1,KW44=0),50000,0))+IF($H44=1,(IF('計算A'!BI$117=1,INDEX('計算A'!BI$10:BI$54,$B44),0)+IF('計算A'!BJ$117=1,INDEX('計算A'!BK$10:BK$54,$B44),0))*4000,0)-IF(AND('計算A'!BI$117=1,WG44&gt;0),2000,0)-IF(AND($L44=1,'計算A'!BJ$117=1,FI44=0),2000,0))),1000000))</f>
        <v/>
      </c>
      <c r="QM44">
        <f>IF($B44=0,1000000,IF(INDEX('計算A'!$D$60:$EQ$104,$B44,60)*FI44=1,IF(AND($E44=2,KX44=0),1000000,IF($I44&gt;0,IF(3=$J44,IF(OR(AND(60=$I44+1,OR($K44&lt;&gt;'計算A'!$A$3,'計算A'!$A$4=0)),AND(60=$I44-1,OR(12&lt;&gt;'計算A'!$A$3,'計算A'!$A$4=0))),0,IF(12=$K44,200000,ABS(12-$K44)*100)),100000+ABS(3-$J44)*1000+120)+'計算A'!BK$5*50+IF(AND($E44=1,KX44=0),25,0),IF($F44&gt;0,INDEX('計算A'!BK$110:BK$114,$F44+1)+IF(AND($E44=1,KX44=0),1000,0),MIN(TW44,20)*400+(IF('計算A'!BJ$106=1,1-FH44,0)+IF('計算A'!BK$106=1,1-FJ44,0))*150+123+'計算A'!BK$5*100000+IF(AND($E44=1,KX44=0),50000,0))+IF($H44=1,(IF('計算A'!BJ$117=1,INDEX('計算A'!BJ$10:BJ$54,$B44),0)+IF('計算A'!BK$117=1,INDEX('計算A'!BL$10:BL$54,$B44),0))*4000,0)-IF(AND('計算A'!BJ$117=1,WH44&gt;0),2000,0)-IF(AND($L44=1,'計算A'!BK$117=1,FJ44=0),2000,0))),1000000))</f>
        <v/>
      </c>
      <c r="QN44">
        <f>IF($B44=0,1000000,IF(INDEX('計算A'!$D$60:$EQ$104,$B44,61)*FJ44=1,IF(AND($E44=2,KY44=0),1000000,IF($I44&gt;0,IF(3=$J44,IF(OR(AND(61=$I44+1,OR($K44&lt;&gt;'計算A'!$A$3,'計算A'!$A$4=0)),AND(61=$I44-1,OR(13&lt;&gt;'計算A'!$A$3,'計算A'!$A$4=0))),0,IF(13=$K44,200000,ABS(13-$K44)*100)),100000+ABS(3-$J44)*1000+130)+'計算A'!BL$5*50+IF(AND($E44=1,KY44=0),25,0),IF($F44&gt;0,INDEX('計算A'!BL$110:BL$114,$F44+1)+IF(AND($E44=1,KY44=0),1000,0),MIN(TW44,20)*400+(IF('計算A'!BK$106=1,1-FI44,0)+IF('計算A'!BL$106=1,1-FK44,0))*150+133+'計算A'!BL$5*100000+IF(AND($E44=1,KY44=0),50000,0))+IF($H44=1,(IF('計算A'!BK$117=1,INDEX('計算A'!BK$10:BK$54,$B44),0)+IF('計算A'!BL$117=1,INDEX('計算A'!BM$10:BM$54,$B44),0))*4000,0)-IF(AND('計算A'!BK$117=1,WI44&gt;0),2000,0)-IF(AND($L44=1,'計算A'!BL$117=1,FK44=0),2000,0))),1000000))</f>
        <v/>
      </c>
      <c r="QO44">
        <f>IF($B44=0,1000000,IF(INDEX('計算A'!$D$60:$EQ$104,$B44,62)*FK44=1,IF(AND($E44=2,KZ44=0),1000000,IF($I44&gt;0,IF(3=$J44,IF(OR(AND(62=$I44+1,OR($K44&lt;&gt;'計算A'!$A$3,'計算A'!$A$4=0)),AND(62=$I44-1,OR(14&lt;&gt;'計算A'!$A$3,'計算A'!$A$4=0))),0,IF(14=$K44,200000,ABS(14-$K44)*100)),100000+ABS(3-$J44)*1000+140)+'計算A'!BM$5*50+IF(AND($E44=1,KZ44=0),25,0),IF($F44&gt;0,INDEX('計算A'!BM$110:BM$114,$F44+1)+IF(AND($E44=1,KZ44=0),1000,0),MIN(TW44,20)*400+(IF('計算A'!BL$106=1,1-FJ44,0)+IF('計算A'!BM$106=1,1-FL44,0))*150+143+'計算A'!BM$5*100000+IF(AND($E44=1,KZ44=0),50000,0))+IF($H44=1,(IF('計算A'!BL$117=1,INDEX('計算A'!BL$10:BL$54,$B44),0)+IF('計算A'!BM$117=1,INDEX('計算A'!BN$10:BN$54,$B44),0))*4000,0)-IF(AND('計算A'!BL$117=1,WJ44&gt;0),2000,0)-IF(AND($L44=1,'計算A'!BM$117=1,FL44=0),2000,0))),1000000))</f>
        <v/>
      </c>
      <c r="QP44">
        <f>IF($B44=0,1000000,IF(INDEX('計算A'!$D$60:$EQ$104,$B44,63)*FL44=1,IF(AND($E44=2,LA44=0),1000000,IF($I44&gt;0,IF(3=$J44,IF(OR(AND(63=$I44+1,OR($K44&lt;&gt;'計算A'!$A$3,'計算A'!$A$4=0)),AND(63=$I44-1,OR(15&lt;&gt;'計算A'!$A$3,'計算A'!$A$4=0))),0,IF(15=$K44,200000,ABS(15-$K44)*100)),100000+ABS(3-$J44)*1000+150)+'計算A'!BN$5*50+IF(AND($E44=1,LA44=0),25,0),IF($F44&gt;0,INDEX('計算A'!BN$110:BN$114,$F44+1)+IF(AND($E44=1,LA44=0),1000,0),MIN(TW44,20)*400+(IF('計算A'!BM$106=1,1-FK44,0)+IF('計算A'!BN$106=1,1-FM44,0))*150+153+'計算A'!BN$5*100000+IF(AND($E44=1,LA44=0),50000,0))+IF($H44=1,(IF('計算A'!BM$117=1,INDEX('計算A'!BM$10:BM$54,$B44),0)+IF('計算A'!BN$117=1,INDEX('計算A'!BO$10:BO$54,$B44),0))*4000,0)-IF(AND('計算A'!BM$117=1,WK44&gt;0),2000,0)-IF(AND($L44=1,'計算A'!BN$117=1,FM44=0),2000,0))),1000000))</f>
        <v/>
      </c>
      <c r="QQ44">
        <f>IF($B44=0,1000000,IF(INDEX('計算A'!$D$60:$EQ$104,$B44,64)*FM44=1,IF(AND($E44=2,LB44=0),1000000,IF($I44&gt;0,IF(3=$J44,IF(OR(AND(64=$I44+1,OR($K44&lt;&gt;'計算A'!$A$3,'計算A'!$A$4=0)),AND(64=$I44-1,OR(16&lt;&gt;'計算A'!$A$3,'計算A'!$A$4=0))),0,IF(16=$K44,200000,ABS(16-$K44)*100)),100000+ABS(3-$J44)*1000+160)+'計算A'!BO$5*50+IF(AND($E44=1,LB44=0),25,0),IF($F44&gt;0,INDEX('計算A'!BO$110:BO$114,$F44+1)+IF(AND($E44=1,LB44=0),1000,0),MIN(TW44,20)*400+(IF('計算A'!BN$106=1,1-FL44,0)+IF('計算A'!BO$106=1,1-FN44,0))*150+163+'計算A'!BO$5*100000+IF(AND($E44=1,LB44=0),50000,0))+IF($H44=1,(IF('計算A'!BN$117=1,INDEX('計算A'!BN$10:BN$54,$B44),0)+IF('計算A'!BO$117=1,INDEX('計算A'!BP$10:BP$54,$B44),0))*4000,0)-IF(AND('計算A'!BN$117=1,WL44&gt;0),2000,0)-IF(AND($L44=1,'計算A'!BO$117=1,FN44=0),2000,0))),1000000))</f>
        <v/>
      </c>
      <c r="QR44">
        <f>IF($B44=0,1000000,IF(INDEX('計算A'!$D$60:$EQ$104,$B44,65)*FN44=1,IF(AND($E44=2,LC44=0),1000000,IF($I44&gt;0,IF(3=$J44,IF(OR(AND(65=$I44+1,OR($K44&lt;&gt;'計算A'!$A$3,'計算A'!$A$4=0)),AND(65=$I44-1,OR(17&lt;&gt;'計算A'!$A$3,'計算A'!$A$4=0))),0,IF(17=$K44,200000,ABS(17-$K44)*100)),100000+ABS(3-$J44)*1000+170)+'計算A'!BP$5*50+IF(AND($E44=1,LC44=0),25,0),IF($F44&gt;0,INDEX('計算A'!BP$110:BP$114,$F44+1)+IF(AND($E44=1,LC44=0),1000,0),MIN(TW44,20)*400+(IF('計算A'!BO$106=1,1-FM44,0)+IF('計算A'!BP$106=1,1-FO44,0))*150+173+'計算A'!BP$5*100000+IF(AND($E44=1,LC44=0),50000,0))+IF($H44=1,(IF('計算A'!BO$117=1,INDEX('計算A'!BO$10:BO$54,$B44),0)+IF('計算A'!BP$117=1,INDEX('計算A'!BQ$10:BQ$54,$B44),0))*4000,0)-IF(AND('計算A'!BO$117=1,WM44&gt;0),2000,0)-IF(AND($L44=1,'計算A'!BP$117=1,FO44=0),2000,0))),1000000))</f>
        <v/>
      </c>
      <c r="QS44">
        <f>IF($B44=0,1000000,IF(INDEX('計算A'!$D$60:$EQ$104,$B44,66)*FO44=1,IF(AND($E44=2,LD44=0),1000000,IF($I44&gt;0,IF(3=$J44,IF(OR(AND(66=$I44+1,OR($K44&lt;&gt;'計算A'!$A$3,'計算A'!$A$4=0)),AND(66=$I44-1,OR(18&lt;&gt;'計算A'!$A$3,'計算A'!$A$4=0))),0,IF(18=$K44,200000,ABS(18-$K44)*100)),100000+ABS(3-$J44)*1000+180)+'計算A'!BQ$5*50+IF(AND($E44=1,LD44=0),25,0),IF($F44&gt;0,INDEX('計算A'!BQ$110:BQ$114,$F44+1)+IF(AND($E44=1,LD44=0),1000,0),MIN(TW44,20)*400+(IF('計算A'!BP$106=1,1-FN44,0)+IF('計算A'!BQ$106=1,1-FP44,0))*150+183+'計算A'!BQ$5*100000+IF(AND($E44=1,LD44=0),50000,0))+IF($H44=1,(IF('計算A'!BP$117=1,INDEX('計算A'!BP$10:BP$54,$B44),0)+IF('計算A'!BQ$117=1,INDEX('計算A'!BR$10:BR$54,$B44),0))*4000,0)-IF(AND('計算A'!BP$117=1,WN44&gt;0),2000,0)-IF(AND($L44=1,'計算A'!BQ$117=1,FP44=0),2000,0))),1000000))</f>
        <v/>
      </c>
      <c r="QT44">
        <f>IF($B44=0,1000000,IF(INDEX('計算A'!$D$60:$EQ$104,$B44,67)*FP44=1,IF(AND($E44=2,LE44=0),1000000,IF($I44&gt;0,IF(3=$J44,IF(OR(AND(67=$I44+1,OR($K44&lt;&gt;'計算A'!$A$3,'計算A'!$A$4=0)),AND(67=$I44-1,OR(19&lt;&gt;'計算A'!$A$3,'計算A'!$A$4=0))),0,IF(19=$K44,200000,ABS(19-$K44)*100)),100000+ABS(3-$J44)*1000+190)+'計算A'!BR$5*50+IF(AND($E44=1,LE44=0),25,0),IF($F44&gt;0,INDEX('計算A'!BR$110:BR$114,$F44+1)+IF(AND($E44=1,LE44=0),1000,0),MIN(TW44,20)*400+(IF('計算A'!BQ$106=1,1-FO44,0)+IF('計算A'!BR$106=1,1-FQ44,0))*150+193+'計算A'!BR$5*100000+IF(AND($E44=1,LE44=0),50000,0))+IF($H44=1,(IF('計算A'!BQ$117=1,INDEX('計算A'!BQ$10:BQ$54,$B44),0)+IF('計算A'!BR$117=1,INDEX('計算A'!BS$10:BS$54,$B44),0))*4000,0)-IF(AND('計算A'!BQ$117=1,WO44&gt;0),2000,0)-IF(AND($L44=1,'計算A'!BR$117=1,FQ44=0),2000,0))),1000000))</f>
        <v/>
      </c>
      <c r="QU44">
        <f>IF($B44=0,1000000,IF(INDEX('計算A'!$D$60:$EQ$104,$B44,68)*FQ44=1,IF(AND($E44=2,LF44=0),1000000,IF($I44&gt;0,IF(3=$J44,IF(OR(AND(68=$I44+1,OR($K44&lt;&gt;'計算A'!$A$3,'計算A'!$A$4=0)),AND(68=$I44-1,OR(20&lt;&gt;'計算A'!$A$3,'計算A'!$A$4=0))),0,IF(20=$K44,200000,ABS(20-$K44)*100)),100000+ABS(3-$J44)*1000+200)+'計算A'!BS$5*50+IF(AND($E44=1,LF44=0),25,0),IF($F44&gt;0,INDEX('計算A'!BS$110:BS$114,$F44+1)+IF(AND($E44=1,LF44=0),1000,0),MIN(TW44,20)*400+(IF('計算A'!BR$106=1,1-FP44,0)+IF('計算A'!BS$106=1,1-FR44,0))*150+203+'計算A'!BS$5*100000+IF(AND($E44=1,LF44=0),50000,0))+IF($H44=1,(IF('計算A'!BR$117=1,INDEX('計算A'!BR$10:BR$54,$B44),0)+IF('計算A'!BS$117=1,INDEX('計算A'!BT$10:BT$54,$B44),0))*4000,0)-IF(AND('計算A'!BR$117=1,WP44&gt;0),2000,0)-IF(AND($L44=1,'計算A'!BS$117=1,FR44=0),2000,0))),1000000))</f>
        <v/>
      </c>
      <c r="QV44">
        <f>IF($B44=0,1000000,IF(INDEX('計算A'!$D$60:$EQ$104,$B44,69)*FR44=1,IF(AND($E44=2,LG44=0),1000000,IF($I44&gt;0,IF(3=$J44,IF(OR(AND(69=$I44+1,OR($K44&lt;&gt;'計算A'!$A$3,'計算A'!$A$4=0)),AND(69=$I44-1,OR(21&lt;&gt;'計算A'!$A$3,'計算A'!$A$4=0))),0,IF(21=$K44,200000,ABS(21-$K44)*100)),100000+ABS(3-$J44)*1000+210)+'計算A'!BT$5*50+IF(AND($E44=1,LG44=0),25,0),IF($F44&gt;0,INDEX('計算A'!BT$110:BT$114,$F44+1)+IF(AND($E44=1,LG44=0),1000,0),MIN(TW44,20)*400+(IF('計算A'!BS$106=1,1-FQ44,0)+IF('計算A'!BT$106=1,1-FS44,0))*150+213+'計算A'!BT$5*100000+IF(AND($E44=1,LG44=0),50000,0))+IF($H44=1,(IF('計算A'!BS$117=1,INDEX('計算A'!BS$10:BS$54,$B44),0)+IF('計算A'!BT$117=1,INDEX('計算A'!BU$10:BU$54,$B44),0))*4000,0)-IF(AND('計算A'!BS$117=1,WQ44&gt;0),2000,0)-IF(AND($L44=1,'計算A'!BT$117=1,FS44=0),2000,0))),1000000))</f>
        <v/>
      </c>
      <c r="QW44">
        <f>IF($B44=0,1000000,IF(INDEX('計算A'!$D$60:$EQ$104,$B44,70)*FS44=1,IF(AND($E44=2,LH44=0),1000000,IF($I44&gt;0,IF(3=$J44,IF(OR(AND(70=$I44+1,OR($K44&lt;&gt;'計算A'!$A$3,'計算A'!$A$4=0)),AND(70=$I44-1,OR(22&lt;&gt;'計算A'!$A$3,'計算A'!$A$4=0))),0,IF(22=$K44,200000,ABS(22-$K44)*100)),100000+ABS(3-$J44)*1000+220)+'計算A'!BU$5*50+IF(AND($E44=1,LH44=0),25,0),IF($F44&gt;0,INDEX('計算A'!BU$110:BU$114,$F44+1)+IF(AND($E44=1,LH44=0),1000,0),MIN(TW44,20)*400+(IF('計算A'!BT$106=1,1-FR44,0)+IF('計算A'!BU$106=1,1-FT44,0))*150+223+'計算A'!BU$5*100000+IF(AND($E44=1,LH44=0),50000,0))+IF($H44=1,(IF('計算A'!BT$117=1,INDEX('計算A'!BT$10:BT$54,$B44),0)+IF('計算A'!BU$117=1,INDEX('計算A'!BV$10:BV$54,$B44),0))*4000,0)-IF(AND('計算A'!BT$117=1,WR44&gt;0),2000,0)-IF(AND($L44=1,'計算A'!BU$117=1,FT44=0),2000,0))),1000000))</f>
        <v/>
      </c>
      <c r="QX44">
        <f>IF($B44=0,1000000,IF(INDEX('計算A'!$D$60:$EQ$104,$B44,71)*FT44=1,IF(AND($E44=2,LI44=0),1000000,IF($I44&gt;0,IF(3=$J44,IF(OR(AND(71=$I44+1,OR($K44&lt;&gt;'計算A'!$A$3,'計算A'!$A$4=0)),AND(71=$I44-1,OR(23&lt;&gt;'計算A'!$A$3,'計算A'!$A$4=0))),0,IF(23=$K44,200000,ABS(23-$K44)*100)),100000+ABS(3-$J44)*1000+230)+'計算A'!BV$5*50+IF(AND($E44=1,LI44=0),25,0),IF($F44&gt;0,INDEX('計算A'!BV$110:BV$114,$F44+1)+IF(AND($E44=1,LI44=0),1000,0),MIN(TW44,20)*400+(IF('計算A'!BU$106=1,1-FS44,0)+IF('計算A'!BV$106=1,1-FU44,0))*150+233+'計算A'!BV$5*100000+IF(AND($E44=1,LI44=0),50000,0))+IF($H44=1,(IF('計算A'!BU$117=1,INDEX('計算A'!BU$10:BU$54,$B44),0)+IF('計算A'!BV$117=1,INDEX('計算A'!BW$10:BW$54,$B44),0))*4000,0)-IF(AND('計算A'!BU$117=1,WS44&gt;0),2000,0)-IF(AND($L44=1,'計算A'!BV$117=1,FU44=0),2000,0))),1000000))</f>
        <v/>
      </c>
      <c r="QY44">
        <f>IF($B44=0,1000000,IF(INDEX('計算A'!$D$60:$EQ$104,$B44,72)*FU44=1,IF(AND($E44=2,LJ44=0),1000000,IF($I44&gt;0,IF(3=$J44,IF(OR(AND(72=$I44+1,OR($K44&lt;&gt;'計算A'!$A$3,'計算A'!$A$4=0)),AND(72=$I44-1,OR(24&lt;&gt;'計算A'!$A$3,'計算A'!$A$4=0))),0,IF(24=$K44,200000,ABS(24-$K44)*100)),100000+ABS(3-$J44)*1000+240)+'計算A'!BW$5*50+IF(AND($E44=1,LJ44=0),25,0),IF($F44&gt;0,INDEX('計算A'!BW$110:BW$114,$F44+1)+IF(AND($E44=1,LJ44=0),1000,0),MIN(TW44,20)*400+(IF('計算A'!BV$106=1,1-FT44,0))*150+243+'計算A'!BW$5*100000+IF(AND($E44=1,LJ44=0),50000,0))+IF($H44=1,(IF('計算A'!BV$117=1,INDEX('計算A'!BV$10:BV$54,$B44),0))*4000,0)-IF(AND('計算A'!BV$117=1,WT44&gt;0),2000,0))),1000000))</f>
        <v/>
      </c>
      <c r="QZ44">
        <f>IF($B44=0,1000000,IF(INDEX('計算A'!$D$60:$EQ$104,$B44,73)*FV44=1,IF(AND($E44=2,LK44=0),1000000,IF($I44&gt;0,IF(4=$J44,IF(OR(AND(73=$I44+1,OR($K44&lt;&gt;'計算A'!$A$3,'計算A'!$A$4=0)),AND(73=$I44-1,OR(1&lt;&gt;'計算A'!$A$3,'計算A'!$A$4=0))),0,IF(1=$K44,200000,ABS(1-$K44)*100)),100000+ABS(4-$J44)*1000+10)+'計算A'!BX$5*50+IF(AND($E44=1,LK44=0),25,0),IF($F44&gt;0,INDEX('計算A'!BX$110:BX$114,$F44+1)+IF(AND($E44=1,LK44=0),1000,0),MIN(TX44,20)*400+(IF('計算A'!BX$106=1,1-FW44,0))*150+14+'計算A'!BX$5*100000+IF(AND($E44=1,LK44=0),50000,0))+IF($H44=1,(IF('計算A'!BX$117=1,INDEX('計算A'!BY$10:BY$54,$B44),0))*4000,0)-IF(AND($L44=1,'計算A'!BX$117=1,FW44=0),2000,0))),1000000))</f>
        <v/>
      </c>
      <c r="RA44">
        <f>IF($B44=0,1000000,IF(INDEX('計算A'!$D$60:$EQ$104,$B44,74)*FW44=1,IF(AND($E44=2,LL44=0),1000000,IF($I44&gt;0,IF(4=$J44,IF(OR(AND(74=$I44+1,OR($K44&lt;&gt;'計算A'!$A$3,'計算A'!$A$4=0)),AND(74=$I44-1,OR(2&lt;&gt;'計算A'!$A$3,'計算A'!$A$4=0))),0,IF(2=$K44,200000,ABS(2-$K44)*100)),100000+ABS(4-$J44)*1000+20)+'計算A'!BY$5*50+IF(AND($E44=1,LL44=0),25,0),IF($F44&gt;0,INDEX('計算A'!BY$110:BY$114,$F44+1)+IF(AND($E44=1,LL44=0),1000,0),MIN(TX44,20)*400+(IF('計算A'!BX$106=1,1-FV44,0)+IF('計算A'!BY$106=1,1-FX44,0))*150+24+'計算A'!BY$5*100000+IF(AND($E44=1,LL44=0),50000,0))+IF($H44=1,(IF('計算A'!BX$117=1,INDEX('計算A'!BX$10:BX$54,$B44),0)+IF('計算A'!BY$117=1,INDEX('計算A'!BZ$10:BZ$54,$B44),0))*4000,0)-IF(AND('計算A'!BX$117=1,WV44&gt;0),2000,0)-IF(AND($L44=1,'計算A'!BY$117=1,FX44=0),2000,0))),1000000))</f>
        <v/>
      </c>
      <c r="RB44">
        <f>IF($B44=0,1000000,IF(INDEX('計算A'!$D$60:$EQ$104,$B44,75)*FX44=1,IF(AND($E44=2,LM44=0),1000000,IF($I44&gt;0,IF(4=$J44,IF(OR(AND(75=$I44+1,OR($K44&lt;&gt;'計算A'!$A$3,'計算A'!$A$4=0)),AND(75=$I44-1,OR(3&lt;&gt;'計算A'!$A$3,'計算A'!$A$4=0))),0,IF(3=$K44,200000,ABS(3-$K44)*100)),100000+ABS(4-$J44)*1000+30)+'計算A'!BZ$5*50+IF(AND($E44=1,LM44=0),25,0),IF($F44&gt;0,INDEX('計算A'!BZ$110:BZ$114,$F44+1)+IF(AND($E44=1,LM44=0),1000,0),MIN(TX44,20)*400+(IF('計算A'!BY$106=1,1-FW44,0)+IF('計算A'!BZ$106=1,1-FY44,0))*150+34+'計算A'!BZ$5*100000+IF(AND($E44=1,LM44=0),50000,0))+IF($H44=1,(IF('計算A'!BY$117=1,INDEX('計算A'!BY$10:BY$54,$B44),0)+IF('計算A'!BZ$117=1,INDEX('計算A'!CA$10:CA$54,$B44),0))*4000,0)-IF(AND('計算A'!BY$117=1,WW44&gt;0),2000,0)-IF(AND($L44=1,'計算A'!BZ$117=1,FY44=0),2000,0))),1000000))</f>
        <v/>
      </c>
      <c r="RC44">
        <f>IF($B44=0,1000000,IF(INDEX('計算A'!$D$60:$EQ$104,$B44,76)*FY44=1,IF(AND($E44=2,LN44=0),1000000,IF($I44&gt;0,IF(4=$J44,IF(OR(AND(76=$I44+1,OR($K44&lt;&gt;'計算A'!$A$3,'計算A'!$A$4=0)),AND(76=$I44-1,OR(4&lt;&gt;'計算A'!$A$3,'計算A'!$A$4=0))),0,IF(4=$K44,200000,ABS(4-$K44)*100)),100000+ABS(4-$J44)*1000+40)+'計算A'!CA$5*50+IF(AND($E44=1,LN44=0),25,0),IF($F44&gt;0,INDEX('計算A'!CA$110:CA$114,$F44+1)+IF(AND($E44=1,LN44=0),1000,0),MIN(TX44,20)*400+(IF('計算A'!BZ$106=1,1-FX44,0)+IF('計算A'!CA$106=1,1-FZ44,0))*150+44+'計算A'!CA$5*100000+IF(AND($E44=1,LN44=0),50000,0))+IF($H44=1,(IF('計算A'!BZ$117=1,INDEX('計算A'!BZ$10:BZ$54,$B44),0)+IF('計算A'!CA$117=1,INDEX('計算A'!CB$10:CB$54,$B44),0))*4000,0)-IF(AND('計算A'!BZ$117=1,WX44&gt;0),2000,0)-IF(AND($L44=1,'計算A'!CA$117=1,FZ44=0),2000,0))),1000000))</f>
        <v/>
      </c>
      <c r="RD44">
        <f>IF($B44=0,1000000,IF(INDEX('計算A'!$D$60:$EQ$104,$B44,77)*FZ44=1,IF(AND($E44=2,LO44=0),1000000,IF($I44&gt;0,IF(4=$J44,IF(OR(AND(77=$I44+1,OR($K44&lt;&gt;'計算A'!$A$3,'計算A'!$A$4=0)),AND(77=$I44-1,OR(5&lt;&gt;'計算A'!$A$3,'計算A'!$A$4=0))),0,IF(5=$K44,200000,ABS(5-$K44)*100)),100000+ABS(4-$J44)*1000+50)+'計算A'!CB$5*50+IF(AND($E44=1,LO44=0),25,0),IF($F44&gt;0,INDEX('計算A'!CB$110:CB$114,$F44+1)+IF(AND($E44=1,LO44=0),1000,0),MIN(TX44,20)*400+(IF('計算A'!CA$106=1,1-FY44,0)+IF('計算A'!CB$106=1,1-GA44,0))*150+54+'計算A'!CB$5*100000+IF(AND($E44=1,LO44=0),50000,0))+IF($H44=1,(IF('計算A'!CA$117=1,INDEX('計算A'!CA$10:CA$54,$B44),0)+IF('計算A'!CB$117=1,INDEX('計算A'!CC$10:CC$54,$B44),0))*4000,0)-IF(AND('計算A'!CA$117=1,WY44&gt;0),2000,0)-IF(AND($L44=1,'計算A'!CB$117=1,GA44=0),2000,0))),1000000))</f>
        <v/>
      </c>
      <c r="RE44">
        <f>IF($B44=0,1000000,IF(INDEX('計算A'!$D$60:$EQ$104,$B44,78)*GA44=1,IF(AND($E44=2,LP44=0),1000000,IF($I44&gt;0,IF(4=$J44,IF(OR(AND(78=$I44+1,OR($K44&lt;&gt;'計算A'!$A$3,'計算A'!$A$4=0)),AND(78=$I44-1,OR(6&lt;&gt;'計算A'!$A$3,'計算A'!$A$4=0))),0,IF(6=$K44,200000,ABS(6-$K44)*100)),100000+ABS(4-$J44)*1000+60)+'計算A'!CC$5*50+IF(AND($E44=1,LP44=0),25,0),IF($F44&gt;0,INDEX('計算A'!CC$110:CC$114,$F44+1)+IF(AND($E44=1,LP44=0),1000,0),MIN(TX44,20)*400+(IF('計算A'!CB$106=1,1-FZ44,0)+IF('計算A'!CC$106=1,1-GB44,0))*150+64+'計算A'!CC$5*100000+IF(AND($E44=1,LP44=0),50000,0))+IF($H44=1,(IF('計算A'!CB$117=1,INDEX('計算A'!CB$10:CB$54,$B44),0)+IF('計算A'!CC$117=1,INDEX('計算A'!CD$10:CD$54,$B44),0))*4000,0)-IF(AND('計算A'!CB$117=1,WZ44&gt;0),2000,0)-IF(AND($L44=1,'計算A'!CC$117=1,GB44=0),2000,0))),1000000))</f>
        <v/>
      </c>
      <c r="RF44">
        <f>IF($B44=0,1000000,IF(INDEX('計算A'!$D$60:$EQ$104,$B44,79)*GB44=1,IF(AND($E44=2,LQ44=0),1000000,IF($I44&gt;0,IF(4=$J44,IF(OR(AND(79=$I44+1,OR($K44&lt;&gt;'計算A'!$A$3,'計算A'!$A$4=0)),AND(79=$I44-1,OR(7&lt;&gt;'計算A'!$A$3,'計算A'!$A$4=0))),0,IF(7=$K44,200000,ABS(7-$K44)*100)),100000+ABS(4-$J44)*1000+70)+'計算A'!CD$5*50+IF(AND($E44=1,LQ44=0),25,0),IF($F44&gt;0,INDEX('計算A'!CD$110:CD$114,$F44+1)+IF(AND($E44=1,LQ44=0),1000,0),MIN(TX44,20)*400+(IF('計算A'!CC$106=1,1-GA44,0)+IF('計算A'!CD$106=1,1-GC44,0))*150+74+'計算A'!CD$5*100000+IF(AND($E44=1,LQ44=0),50000,0))+IF($H44=1,(IF('計算A'!CC$117=1,INDEX('計算A'!CC$10:CC$54,$B44),0)+IF('計算A'!CD$117=1,INDEX('計算A'!CE$10:CE$54,$B44),0))*4000,0)-IF(AND('計算A'!CC$117=1,XA44&gt;0),2000,0)-IF(AND($L44=1,'計算A'!CD$117=1,GC44=0),2000,0))),1000000))</f>
        <v/>
      </c>
      <c r="RG44">
        <f>IF($B44=0,1000000,IF(INDEX('計算A'!$D$60:$EQ$104,$B44,80)*GC44=1,IF(AND($E44=2,LR44=0),1000000,IF($I44&gt;0,IF(4=$J44,IF(OR(AND(80=$I44+1,OR($K44&lt;&gt;'計算A'!$A$3,'計算A'!$A$4=0)),AND(80=$I44-1,OR(8&lt;&gt;'計算A'!$A$3,'計算A'!$A$4=0))),0,IF(8=$K44,200000,ABS(8-$K44)*100)),100000+ABS(4-$J44)*1000+80)+'計算A'!CE$5*50+IF(AND($E44=1,LR44=0),25,0),IF($F44&gt;0,INDEX('計算A'!CE$110:CE$114,$F44+1)+IF(AND($E44=1,LR44=0),1000,0),MIN(TX44,20)*400+(IF('計算A'!CD$106=1,1-GB44,0)+IF('計算A'!CE$106=1,1-GD44,0))*150+84+'計算A'!CE$5*100000+IF(AND($E44=1,LR44=0),50000,0))+IF($H44=1,(IF('計算A'!CD$117=1,INDEX('計算A'!CD$10:CD$54,$B44),0)+IF('計算A'!CE$117=1,INDEX('計算A'!CF$10:CF$54,$B44),0))*4000,0)-IF(AND('計算A'!CD$117=1,XB44&gt;0),2000,0)-IF(AND($L44=1,'計算A'!CE$117=1,GD44=0),2000,0))),1000000))</f>
        <v/>
      </c>
      <c r="RH44">
        <f>IF($B44=0,1000000,IF(INDEX('計算A'!$D$60:$EQ$104,$B44,81)*GD44=1,IF(AND($E44=2,LS44=0),1000000,IF($I44&gt;0,IF(4=$J44,IF(OR(AND(81=$I44+1,OR($K44&lt;&gt;'計算A'!$A$3,'計算A'!$A$4=0)),AND(81=$I44-1,OR(9&lt;&gt;'計算A'!$A$3,'計算A'!$A$4=0))),0,IF(9=$K44,200000,ABS(9-$K44)*100)),100000+ABS(4-$J44)*1000+90)+'計算A'!CF$5*50+IF(AND($E44=1,LS44=0),25,0),IF($F44&gt;0,INDEX('計算A'!CF$110:CF$114,$F44+1)+IF(AND($E44=1,LS44=0),1000,0),MIN(TX44,20)*400+(IF('計算A'!CE$106=1,1-GC44,0)+IF('計算A'!CF$106=1,1-GE44,0))*150+94+'計算A'!CF$5*100000+IF(AND($E44=1,LS44=0),50000,0))+IF($H44=1,(IF('計算A'!CE$117=1,INDEX('計算A'!CE$10:CE$54,$B44),0)+IF('計算A'!CF$117=1,INDEX('計算A'!CG$10:CG$54,$B44),0))*4000,0)-IF(AND('計算A'!CE$117=1,XC44&gt;0),2000,0)-IF(AND($L44=1,'計算A'!CF$117=1,GE44=0),2000,0))),1000000))</f>
        <v/>
      </c>
      <c r="RI44">
        <f>IF($B44=0,1000000,IF(INDEX('計算A'!$D$60:$EQ$104,$B44,82)*GE44=1,IF(AND($E44=2,LT44=0),1000000,IF($I44&gt;0,IF(4=$J44,IF(OR(AND(82=$I44+1,OR($K44&lt;&gt;'計算A'!$A$3,'計算A'!$A$4=0)),AND(82=$I44-1,OR(10&lt;&gt;'計算A'!$A$3,'計算A'!$A$4=0))),0,IF(10=$K44,200000,ABS(10-$K44)*100)),100000+ABS(4-$J44)*1000+100)+'計算A'!CG$5*50+IF(AND($E44=1,LT44=0),25,0),IF($F44&gt;0,INDEX('計算A'!CG$110:CG$114,$F44+1)+IF(AND($E44=1,LT44=0),1000,0),MIN(TX44,20)*400+(IF('計算A'!CF$106=1,1-GD44,0)+IF('計算A'!CG$106=1,1-GF44,0))*150+104+'計算A'!CG$5*100000+IF(AND($E44=1,LT44=0),50000,0))+IF($H44=1,(IF('計算A'!CF$117=1,INDEX('計算A'!CF$10:CF$54,$B44),0)+IF('計算A'!CG$117=1,INDEX('計算A'!CH$10:CH$54,$B44),0))*4000,0)-IF(AND('計算A'!CF$117=1,XD44&gt;0),2000,0)-IF(AND($L44=1,'計算A'!CG$117=1,GF44=0),2000,0))),1000000))</f>
        <v/>
      </c>
      <c r="RJ44">
        <f>IF($B44=0,1000000,IF(INDEX('計算A'!$D$60:$EQ$104,$B44,83)*GF44=1,IF(AND($E44=2,LU44=0),1000000,IF($I44&gt;0,IF(4=$J44,IF(OR(AND(83=$I44+1,OR($K44&lt;&gt;'計算A'!$A$3,'計算A'!$A$4=0)),AND(83=$I44-1,OR(11&lt;&gt;'計算A'!$A$3,'計算A'!$A$4=0))),0,IF(11=$K44,200000,ABS(11-$K44)*100)),100000+ABS(4-$J44)*1000+110)+'計算A'!CH$5*50+IF(AND($E44=1,LU44=0),25,0),IF($F44&gt;0,INDEX('計算A'!CH$110:CH$114,$F44+1)+IF(AND($E44=1,LU44=0),1000,0),MIN(TX44,20)*400+(IF('計算A'!CG$106=1,1-GE44,0)+IF('計算A'!CH$106=1,1-GG44,0))*150+114+'計算A'!CH$5*100000+IF(AND($E44=1,LU44=0),50000,0))+IF($H44=1,(IF('計算A'!CG$117=1,INDEX('計算A'!CG$10:CG$54,$B44),0)+IF('計算A'!CH$117=1,INDEX('計算A'!CI$10:CI$54,$B44),0))*4000,0)-IF(AND('計算A'!CG$117=1,XE44&gt;0),2000,0)-IF(AND($L44=1,'計算A'!CH$117=1,GG44=0),2000,0))),1000000))</f>
        <v/>
      </c>
      <c r="RK44">
        <f>IF($B44=0,1000000,IF(INDEX('計算A'!$D$60:$EQ$104,$B44,84)*GG44=1,IF(AND($E44=2,LV44=0),1000000,IF($I44&gt;0,IF(4=$J44,IF(OR(AND(84=$I44+1,OR($K44&lt;&gt;'計算A'!$A$3,'計算A'!$A$4=0)),AND(84=$I44-1,OR(12&lt;&gt;'計算A'!$A$3,'計算A'!$A$4=0))),0,IF(12=$K44,200000,ABS(12-$K44)*100)),100000+ABS(4-$J44)*1000+120)+'計算A'!CI$5*50+IF(AND($E44=1,LV44=0),25,0),IF($F44&gt;0,INDEX('計算A'!CI$110:CI$114,$F44+1)+IF(AND($E44=1,LV44=0),1000,0),MIN(TX44,20)*400+(IF('計算A'!CH$106=1,1-GF44,0)+IF('計算A'!CI$106=1,1-GH44,0))*150+124+'計算A'!CI$5*100000+IF(AND($E44=1,LV44=0),50000,0))+IF($H44=1,(IF('計算A'!CH$117=1,INDEX('計算A'!CH$10:CH$54,$B44),0)+IF('計算A'!CI$117=1,INDEX('計算A'!CJ$10:CJ$54,$B44),0))*4000,0)-IF(AND('計算A'!CH$117=1,XF44&gt;0),2000,0)-IF(AND($L44=1,'計算A'!CI$117=1,GH44=0),2000,0))),1000000))</f>
        <v/>
      </c>
      <c r="RL44">
        <f>IF($B44=0,1000000,IF(INDEX('計算A'!$D$60:$EQ$104,$B44,85)*GH44=1,IF(AND($E44=2,LW44=0),1000000,IF($I44&gt;0,IF(4=$J44,IF(OR(AND(85=$I44+1,OR($K44&lt;&gt;'計算A'!$A$3,'計算A'!$A$4=0)),AND(85=$I44-1,OR(13&lt;&gt;'計算A'!$A$3,'計算A'!$A$4=0))),0,IF(13=$K44,200000,ABS(13-$K44)*100)),100000+ABS(4-$J44)*1000+130)+'計算A'!CJ$5*50+IF(AND($E44=1,LW44=0),25,0),IF($F44&gt;0,INDEX('計算A'!CJ$110:CJ$114,$F44+1)+IF(AND($E44=1,LW44=0),1000,0),MIN(TX44,20)*400+(IF('計算A'!CI$106=1,1-GG44,0)+IF('計算A'!CJ$106=1,1-GI44,0))*150+134+'計算A'!CJ$5*100000+IF(AND($E44=1,LW44=0),50000,0))+IF($H44=1,(IF('計算A'!CI$117=1,INDEX('計算A'!CI$10:CI$54,$B44),0)+IF('計算A'!CJ$117=1,INDEX('計算A'!CK$10:CK$54,$B44),0))*4000,0)-IF(AND('計算A'!CI$117=1,XG44&gt;0),2000,0)-IF(AND($L44=1,'計算A'!CJ$117=1,GI44=0),2000,0))),1000000))</f>
        <v/>
      </c>
      <c r="RM44">
        <f>IF($B44=0,1000000,IF(INDEX('計算A'!$D$60:$EQ$104,$B44,86)*GI44=1,IF(AND($E44=2,LX44=0),1000000,IF($I44&gt;0,IF(4=$J44,IF(OR(AND(86=$I44+1,OR($K44&lt;&gt;'計算A'!$A$3,'計算A'!$A$4=0)),AND(86=$I44-1,OR(14&lt;&gt;'計算A'!$A$3,'計算A'!$A$4=0))),0,IF(14=$K44,200000,ABS(14-$K44)*100)),100000+ABS(4-$J44)*1000+140)+'計算A'!CK$5*50+IF(AND($E44=1,LX44=0),25,0),IF($F44&gt;0,INDEX('計算A'!CK$110:CK$114,$F44+1)+IF(AND($E44=1,LX44=0),1000,0),MIN(TX44,20)*400+(IF('計算A'!CJ$106=1,1-GH44,0)+IF('計算A'!CK$106=1,1-GJ44,0))*150+144+'計算A'!CK$5*100000+IF(AND($E44=1,LX44=0),50000,0))+IF($H44=1,(IF('計算A'!CJ$117=1,INDEX('計算A'!CJ$10:CJ$54,$B44),0)+IF('計算A'!CK$117=1,INDEX('計算A'!CL$10:CL$54,$B44),0))*4000,0)-IF(AND('計算A'!CJ$117=1,XH44&gt;0),2000,0)-IF(AND($L44=1,'計算A'!CK$117=1,GJ44=0),2000,0))),1000000))</f>
        <v/>
      </c>
      <c r="RN44">
        <f>IF($B44=0,1000000,IF(INDEX('計算A'!$D$60:$EQ$104,$B44,87)*GJ44=1,IF(AND($E44=2,LY44=0),1000000,IF($I44&gt;0,IF(4=$J44,IF(OR(AND(87=$I44+1,OR($K44&lt;&gt;'計算A'!$A$3,'計算A'!$A$4=0)),AND(87=$I44-1,OR(15&lt;&gt;'計算A'!$A$3,'計算A'!$A$4=0))),0,IF(15=$K44,200000,ABS(15-$K44)*100)),100000+ABS(4-$J44)*1000+150)+'計算A'!CL$5*50+IF(AND($E44=1,LY44=0),25,0),IF($F44&gt;0,INDEX('計算A'!CL$110:CL$114,$F44+1)+IF(AND($E44=1,LY44=0),1000,0),MIN(TX44,20)*400+(IF('計算A'!CK$106=1,1-GI44,0)+IF('計算A'!CL$106=1,1-GK44,0))*150+154+'計算A'!CL$5*100000+IF(AND($E44=1,LY44=0),50000,0))+IF($H44=1,(IF('計算A'!CK$117=1,INDEX('計算A'!CK$10:CK$54,$B44),0)+IF('計算A'!CL$117=1,INDEX('計算A'!CM$10:CM$54,$B44),0))*4000,0)-IF(AND('計算A'!CK$117=1,XI44&gt;0),2000,0)-IF(AND($L44=1,'計算A'!CL$117=1,GK44=0),2000,0))),1000000))</f>
        <v/>
      </c>
      <c r="RO44">
        <f>IF($B44=0,1000000,IF(INDEX('計算A'!$D$60:$EQ$104,$B44,88)*GK44=1,IF(AND($E44=2,LZ44=0),1000000,IF($I44&gt;0,IF(4=$J44,IF(OR(AND(88=$I44+1,OR($K44&lt;&gt;'計算A'!$A$3,'計算A'!$A$4=0)),AND(88=$I44-1,OR(16&lt;&gt;'計算A'!$A$3,'計算A'!$A$4=0))),0,IF(16=$K44,200000,ABS(16-$K44)*100)),100000+ABS(4-$J44)*1000+160)+'計算A'!CM$5*50+IF(AND($E44=1,LZ44=0),25,0),IF($F44&gt;0,INDEX('計算A'!CM$110:CM$114,$F44+1)+IF(AND($E44=1,LZ44=0),1000,0),MIN(TX44,20)*400+(IF('計算A'!CL$106=1,1-GJ44,0)+IF('計算A'!CM$106=1,1-GL44,0))*150+164+'計算A'!CM$5*100000+IF(AND($E44=1,LZ44=0),50000,0))+IF($H44=1,(IF('計算A'!CL$117=1,INDEX('計算A'!CL$10:CL$54,$B44),0)+IF('計算A'!CM$117=1,INDEX('計算A'!CN$10:CN$54,$B44),0))*4000,0)-IF(AND('計算A'!CL$117=1,XJ44&gt;0),2000,0)-IF(AND($L44=1,'計算A'!CM$117=1,GL44=0),2000,0))),1000000))</f>
        <v/>
      </c>
      <c r="RP44">
        <f>IF($B44=0,1000000,IF(INDEX('計算A'!$D$60:$EQ$104,$B44,89)*GL44=1,IF(AND($E44=2,MA44=0),1000000,IF($I44&gt;0,IF(4=$J44,IF(OR(AND(89=$I44+1,OR($K44&lt;&gt;'計算A'!$A$3,'計算A'!$A$4=0)),AND(89=$I44-1,OR(17&lt;&gt;'計算A'!$A$3,'計算A'!$A$4=0))),0,IF(17=$K44,200000,ABS(17-$K44)*100)),100000+ABS(4-$J44)*1000+170)+'計算A'!CN$5*50+IF(AND($E44=1,MA44=0),25,0),IF($F44&gt;0,INDEX('計算A'!CN$110:CN$114,$F44+1)+IF(AND($E44=1,MA44=0),1000,0),MIN(TX44,20)*400+(IF('計算A'!CM$106=1,1-GK44,0)+IF('計算A'!CN$106=1,1-GM44,0))*150+174+'計算A'!CN$5*100000+IF(AND($E44=1,MA44=0),50000,0))+IF($H44=1,(IF('計算A'!CM$117=1,INDEX('計算A'!CM$10:CM$54,$B44),0)+IF('計算A'!CN$117=1,INDEX('計算A'!CO$10:CO$54,$B44),0))*4000,0)-IF(AND('計算A'!CM$117=1,XK44&gt;0),2000,0)-IF(AND($L44=1,'計算A'!CN$117=1,GM44=0),2000,0))),1000000))</f>
        <v/>
      </c>
      <c r="RQ44">
        <f>IF($B44=0,1000000,IF(INDEX('計算A'!$D$60:$EQ$104,$B44,90)*GM44=1,IF(AND($E44=2,MB44=0),1000000,IF($I44&gt;0,IF(4=$J44,IF(OR(AND(90=$I44+1,OR($K44&lt;&gt;'計算A'!$A$3,'計算A'!$A$4=0)),AND(90=$I44-1,OR(18&lt;&gt;'計算A'!$A$3,'計算A'!$A$4=0))),0,IF(18=$K44,200000,ABS(18-$K44)*100)),100000+ABS(4-$J44)*1000+180)+'計算A'!CO$5*50+IF(AND($E44=1,MB44=0),25,0),IF($F44&gt;0,INDEX('計算A'!CO$110:CO$114,$F44+1)+IF(AND($E44=1,MB44=0),1000,0),MIN(TX44,20)*400+(IF('計算A'!CN$106=1,1-GL44,0)+IF('計算A'!CO$106=1,1-GN44,0))*150+184+'計算A'!CO$5*100000+IF(AND($E44=1,MB44=0),50000,0))+IF($H44=1,(IF('計算A'!CN$117=1,INDEX('計算A'!CN$10:CN$54,$B44),0)+IF('計算A'!CO$117=1,INDEX('計算A'!CP$10:CP$54,$B44),0))*4000,0)-IF(AND('計算A'!CN$117=1,XL44&gt;0),2000,0)-IF(AND($L44=1,'計算A'!CO$117=1,GN44=0),2000,0))),1000000))</f>
        <v/>
      </c>
      <c r="RR44">
        <f>IF($B44=0,1000000,IF(INDEX('計算A'!$D$60:$EQ$104,$B44,91)*GN44=1,IF(AND($E44=2,MC44=0),1000000,IF($I44&gt;0,IF(4=$J44,IF(OR(AND(91=$I44+1,OR($K44&lt;&gt;'計算A'!$A$3,'計算A'!$A$4=0)),AND(91=$I44-1,OR(19&lt;&gt;'計算A'!$A$3,'計算A'!$A$4=0))),0,IF(19=$K44,200000,ABS(19-$K44)*100)),100000+ABS(4-$J44)*1000+190)+'計算A'!CP$5*50+IF(AND($E44=1,MC44=0),25,0),IF($F44&gt;0,INDEX('計算A'!CP$110:CP$114,$F44+1)+IF(AND($E44=1,MC44=0),1000,0),MIN(TX44,20)*400+(IF('計算A'!CO$106=1,1-GM44,0)+IF('計算A'!CP$106=1,1-GO44,0))*150+194+'計算A'!CP$5*100000+IF(AND($E44=1,MC44=0),50000,0))+IF($H44=1,(IF('計算A'!CO$117=1,INDEX('計算A'!CO$10:CO$54,$B44),0)+IF('計算A'!CP$117=1,INDEX('計算A'!CQ$10:CQ$54,$B44),0))*4000,0)-IF(AND('計算A'!CO$117=1,XM44&gt;0),2000,0)-IF(AND($L44=1,'計算A'!CP$117=1,GO44=0),2000,0))),1000000))</f>
        <v/>
      </c>
      <c r="RS44">
        <f>IF($B44=0,1000000,IF(INDEX('計算A'!$D$60:$EQ$104,$B44,92)*GO44=1,IF(AND($E44=2,MD44=0),1000000,IF($I44&gt;0,IF(4=$J44,IF(OR(AND(92=$I44+1,OR($K44&lt;&gt;'計算A'!$A$3,'計算A'!$A$4=0)),AND(92=$I44-1,OR(20&lt;&gt;'計算A'!$A$3,'計算A'!$A$4=0))),0,IF(20=$K44,200000,ABS(20-$K44)*100)),100000+ABS(4-$J44)*1000+200)+'計算A'!CQ$5*50+IF(AND($E44=1,MD44=0),25,0),IF($F44&gt;0,INDEX('計算A'!CQ$110:CQ$114,$F44+1)+IF(AND($E44=1,MD44=0),1000,0),MIN(TX44,20)*400+(IF('計算A'!CP$106=1,1-GN44,0)+IF('計算A'!CQ$106=1,1-GP44,0))*150+204+'計算A'!CQ$5*100000+IF(AND($E44=1,MD44=0),50000,0))+IF($H44=1,(IF('計算A'!CP$117=1,INDEX('計算A'!CP$10:CP$54,$B44),0)+IF('計算A'!CQ$117=1,INDEX('計算A'!CR$10:CR$54,$B44),0))*4000,0)-IF(AND('計算A'!CP$117=1,XN44&gt;0),2000,0)-IF(AND($L44=1,'計算A'!CQ$117=1,GP44=0),2000,0))),1000000))</f>
        <v/>
      </c>
      <c r="RT44">
        <f>IF($B44=0,1000000,IF(INDEX('計算A'!$D$60:$EQ$104,$B44,93)*GP44=1,IF(AND($E44=2,ME44=0),1000000,IF($I44&gt;0,IF(4=$J44,IF(OR(AND(93=$I44+1,OR($K44&lt;&gt;'計算A'!$A$3,'計算A'!$A$4=0)),AND(93=$I44-1,OR(21&lt;&gt;'計算A'!$A$3,'計算A'!$A$4=0))),0,IF(21=$K44,200000,ABS(21-$K44)*100)),100000+ABS(4-$J44)*1000+210)+'計算A'!CR$5*50+IF(AND($E44=1,ME44=0),25,0),IF($F44&gt;0,INDEX('計算A'!CR$110:CR$114,$F44+1)+IF(AND($E44=1,ME44=0),1000,0),MIN(TX44,20)*400+(IF('計算A'!CQ$106=1,1-GO44,0)+IF('計算A'!CR$106=1,1-GQ44,0))*150+214+'計算A'!CR$5*100000+IF(AND($E44=1,ME44=0),50000,0))+IF($H44=1,(IF('計算A'!CQ$117=1,INDEX('計算A'!CQ$10:CQ$54,$B44),0)+IF('計算A'!CR$117=1,INDEX('計算A'!CS$10:CS$54,$B44),0))*4000,0)-IF(AND('計算A'!CQ$117=1,XO44&gt;0),2000,0)-IF(AND($L44=1,'計算A'!CR$117=1,GQ44=0),2000,0))),1000000))</f>
        <v/>
      </c>
      <c r="RU44">
        <f>IF($B44=0,1000000,IF(INDEX('計算A'!$D$60:$EQ$104,$B44,94)*GQ44=1,IF(AND($E44=2,MF44=0),1000000,IF($I44&gt;0,IF(4=$J44,IF(OR(AND(94=$I44+1,OR($K44&lt;&gt;'計算A'!$A$3,'計算A'!$A$4=0)),AND(94=$I44-1,OR(22&lt;&gt;'計算A'!$A$3,'計算A'!$A$4=0))),0,IF(22=$K44,200000,ABS(22-$K44)*100)),100000+ABS(4-$J44)*1000+220)+'計算A'!CS$5*50+IF(AND($E44=1,MF44=0),25,0),IF($F44&gt;0,INDEX('計算A'!CS$110:CS$114,$F44+1)+IF(AND($E44=1,MF44=0),1000,0),MIN(TX44,20)*400+(IF('計算A'!CR$106=1,1-GP44,0)+IF('計算A'!CS$106=1,1-GR44,0))*150+224+'計算A'!CS$5*100000+IF(AND($E44=1,MF44=0),50000,0))+IF($H44=1,(IF('計算A'!CR$117=1,INDEX('計算A'!CR$10:CR$54,$B44),0)+IF('計算A'!CS$117=1,INDEX('計算A'!CT$10:CT$54,$B44),0))*4000,0)-IF(AND('計算A'!CR$117=1,XP44&gt;0),2000,0)-IF(AND($L44=1,'計算A'!CS$117=1,GR44=0),2000,0))),1000000))</f>
        <v/>
      </c>
      <c r="RV44">
        <f>IF($B44=0,1000000,IF(INDEX('計算A'!$D$60:$EQ$104,$B44,95)*GR44=1,IF(AND($E44=2,MG44=0),1000000,IF($I44&gt;0,IF(4=$J44,IF(OR(AND(95=$I44+1,OR($K44&lt;&gt;'計算A'!$A$3,'計算A'!$A$4=0)),AND(95=$I44-1,OR(23&lt;&gt;'計算A'!$A$3,'計算A'!$A$4=0))),0,IF(23=$K44,200000,ABS(23-$K44)*100)),100000+ABS(4-$J44)*1000+230)+'計算A'!CT$5*50+IF(AND($E44=1,MG44=0),25,0),IF($F44&gt;0,INDEX('計算A'!CT$110:CT$114,$F44+1)+IF(AND($E44=1,MG44=0),1000,0),MIN(TX44,20)*400+(IF('計算A'!CS$106=1,1-GQ44,0)+IF('計算A'!CT$106=1,1-GS44,0))*150+234+'計算A'!CT$5*100000+IF(AND($E44=1,MG44=0),50000,0))+IF($H44=1,(IF('計算A'!CS$117=1,INDEX('計算A'!CS$10:CS$54,$B44),0)+IF('計算A'!CT$117=1,INDEX('計算A'!CU$10:CU$54,$B44),0))*4000,0)-IF(AND('計算A'!CS$117=1,XQ44&gt;0),2000,0)-IF(AND($L44=1,'計算A'!CT$117=1,GS44=0),2000,0))),1000000))</f>
        <v/>
      </c>
      <c r="RW44">
        <f>IF($B44=0,1000000,IF(INDEX('計算A'!$D$60:$EQ$104,$B44,96)*GS44=1,IF(AND($E44=2,MH44=0),1000000,IF($I44&gt;0,IF(4=$J44,IF(OR(AND(96=$I44+1,OR($K44&lt;&gt;'計算A'!$A$3,'計算A'!$A$4=0)),AND(96=$I44-1,OR(24&lt;&gt;'計算A'!$A$3,'計算A'!$A$4=0))),0,IF(24=$K44,200000,ABS(24-$K44)*100)),100000+ABS(4-$J44)*1000+240)+'計算A'!CU$5*50+IF(AND($E44=1,MH44=0),25,0),IF($F44&gt;0,INDEX('計算A'!CU$110:CU$114,$F44+1)+IF(AND($E44=1,MH44=0),1000,0),MIN(TX44,20)*400+(IF('計算A'!CT$106=1,1-GR44,0))*150+244+'計算A'!CU$5*100000+IF(AND($E44=1,MH44=0),50000,0))+IF($H44=1,(IF('計算A'!CT$117=1,INDEX('計算A'!CT$10:CT$54,$B44),0))*4000,0)-IF(AND('計算A'!CT$117=1,XR44&gt;0),2000,0))),1000000))</f>
        <v/>
      </c>
      <c r="RX44">
        <f>IF($B44=0,1000000,IF(INDEX('計算A'!$D$60:$EQ$104,$B44,97)*GT44=1,IF(AND($E44=2,MI44=0),1000000,IF($I44&gt;0,IF(5=$J44,IF(OR(AND(97=$I44+1,OR($K44&lt;&gt;'計算A'!$A$3,'計算A'!$A$4=0)),AND(97=$I44-1,OR(1&lt;&gt;'計算A'!$A$3,'計算A'!$A$4=0))),0,IF(1=$K44,200000,ABS(1-$K44)*100)),100000+ABS(5-$J44)*1000+10)+'計算A'!CV$5*50+IF(AND($E44=1,MI44=0),25,0),IF($F44&gt;0,INDEX('計算A'!CV$110:CV$114,$F44+1)+IF(AND($E44=1,MI44=0),1000,0),MIN(TY44,20)*400+(IF('計算A'!CV$106=1,1-GU44,0))*150+15+'計算A'!CV$5*100000+IF(AND($E44=1,MI44=0),50000,0))+IF($H44=1,(IF('計算A'!CV$117=1,INDEX('計算A'!CW$10:CW$54,$B44),0))*4000,0)-IF(AND($L44=1,'計算A'!CV$117=1,GU44=0),2000,0))),1000000))</f>
        <v/>
      </c>
      <c r="RY44">
        <f>IF($B44=0,1000000,IF(INDEX('計算A'!$D$60:$EQ$104,$B44,98)*GU44=1,IF(AND($E44=2,MJ44=0),1000000,IF($I44&gt;0,IF(5=$J44,IF(OR(AND(98=$I44+1,OR($K44&lt;&gt;'計算A'!$A$3,'計算A'!$A$4=0)),AND(98=$I44-1,OR(2&lt;&gt;'計算A'!$A$3,'計算A'!$A$4=0))),0,IF(2=$K44,200000,ABS(2-$K44)*100)),100000+ABS(5-$J44)*1000+20)+'計算A'!CW$5*50+IF(AND($E44=1,MJ44=0),25,0),IF($F44&gt;0,INDEX('計算A'!CW$110:CW$114,$F44+1)+IF(AND($E44=1,MJ44=0),1000,0),MIN(TY44,20)*400+(IF('計算A'!CV$106=1,1-GT44,0)+IF('計算A'!CW$106=1,1-GV44,0))*150+25+'計算A'!CW$5*100000+IF(AND($E44=1,MJ44=0),50000,0))+IF($H44=1,(IF('計算A'!CV$117=1,INDEX('計算A'!CV$10:CV$54,$B44),0)+IF('計算A'!CW$117=1,INDEX('計算A'!CX$10:CX$54,$B44),0))*4000,0)-IF(AND('計算A'!CV$117=1,XT44&gt;0),2000,0)-IF(AND($L44=1,'計算A'!CW$117=1,GV44=0),2000,0))),1000000))</f>
        <v/>
      </c>
      <c r="RZ44">
        <f>IF($B44=0,1000000,IF(INDEX('計算A'!$D$60:$EQ$104,$B44,99)*GV44=1,IF(AND($E44=2,MK44=0),1000000,IF($I44&gt;0,IF(5=$J44,IF(OR(AND(99=$I44+1,OR($K44&lt;&gt;'計算A'!$A$3,'計算A'!$A$4=0)),AND(99=$I44-1,OR(3&lt;&gt;'計算A'!$A$3,'計算A'!$A$4=0))),0,IF(3=$K44,200000,ABS(3-$K44)*100)),100000+ABS(5-$J44)*1000+30)+'計算A'!CX$5*50+IF(AND($E44=1,MK44=0),25,0),IF($F44&gt;0,INDEX('計算A'!CX$110:CX$114,$F44+1)+IF(AND($E44=1,MK44=0),1000,0),MIN(TY44,20)*400+(IF('計算A'!CW$106=1,1-GU44,0)+IF('計算A'!CX$106=1,1-GW44,0))*150+35+'計算A'!CX$5*100000+IF(AND($E44=1,MK44=0),50000,0))+IF($H44=1,(IF('計算A'!CW$117=1,INDEX('計算A'!CW$10:CW$54,$B44),0)+IF('計算A'!CX$117=1,INDEX('計算A'!CY$10:CY$54,$B44),0))*4000,0)-IF(AND('計算A'!CW$117=1,XU44&gt;0),2000,0)-IF(AND($L44=1,'計算A'!CX$117=1,GW44=0),2000,0))),1000000))</f>
        <v/>
      </c>
      <c r="SA44">
        <f>IF($B44=0,1000000,IF(INDEX('計算A'!$D$60:$EQ$104,$B44,100)*GW44=1,IF(AND($E44=2,ML44=0),1000000,IF($I44&gt;0,IF(5=$J44,IF(OR(AND(100=$I44+1,OR($K44&lt;&gt;'計算A'!$A$3,'計算A'!$A$4=0)),AND(100=$I44-1,OR(4&lt;&gt;'計算A'!$A$3,'計算A'!$A$4=0))),0,IF(4=$K44,200000,ABS(4-$K44)*100)),100000+ABS(5-$J44)*1000+40)+'計算A'!CY$5*50+IF(AND($E44=1,ML44=0),25,0),IF($F44&gt;0,INDEX('計算A'!CY$110:CY$114,$F44+1)+IF(AND($E44=1,ML44=0),1000,0),MIN(TY44,20)*400+(IF('計算A'!CX$106=1,1-GV44,0)+IF('計算A'!CY$106=1,1-GX44,0))*150+45+'計算A'!CY$5*100000+IF(AND($E44=1,ML44=0),50000,0))+IF($H44=1,(IF('計算A'!CX$117=1,INDEX('計算A'!CX$10:CX$54,$B44),0)+IF('計算A'!CY$117=1,INDEX('計算A'!CZ$10:CZ$54,$B44),0))*4000,0)-IF(AND('計算A'!CX$117=1,XV44&gt;0),2000,0)-IF(AND($L44=1,'計算A'!CY$117=1,GX44=0),2000,0))),1000000))</f>
        <v/>
      </c>
      <c r="SB44">
        <f>IF($B44=0,1000000,IF(INDEX('計算A'!$D$60:$EQ$104,$B44,101)*GX44=1,IF(AND($E44=2,MM44=0),1000000,IF($I44&gt;0,IF(5=$J44,IF(OR(AND(101=$I44+1,OR($K44&lt;&gt;'計算A'!$A$3,'計算A'!$A$4=0)),AND(101=$I44-1,OR(5&lt;&gt;'計算A'!$A$3,'計算A'!$A$4=0))),0,IF(5=$K44,200000,ABS(5-$K44)*100)),100000+ABS(5-$J44)*1000+50)+'計算A'!CZ$5*50+IF(AND($E44=1,MM44=0),25,0),IF($F44&gt;0,INDEX('計算A'!CZ$110:CZ$114,$F44+1)+IF(AND($E44=1,MM44=0),1000,0),MIN(TY44,20)*400+(IF('計算A'!CY$106=1,1-GW44,0)+IF('計算A'!CZ$106=1,1-GY44,0))*150+55+'計算A'!CZ$5*100000+IF(AND($E44=1,MM44=0),50000,0))+IF($H44=1,(IF('計算A'!CY$117=1,INDEX('計算A'!CY$10:CY$54,$B44),0)+IF('計算A'!CZ$117=1,INDEX('計算A'!DA$10:DA$54,$B44),0))*4000,0)-IF(AND('計算A'!CY$117=1,XW44&gt;0),2000,0)-IF(AND($L44=1,'計算A'!CZ$117=1,GY44=0),2000,0))),1000000))</f>
        <v/>
      </c>
      <c r="SC44">
        <f>IF($B44=0,1000000,IF(INDEX('計算A'!$D$60:$EQ$104,$B44,102)*GY44=1,IF(AND($E44=2,MN44=0),1000000,IF($I44&gt;0,IF(5=$J44,IF(OR(AND(102=$I44+1,OR($K44&lt;&gt;'計算A'!$A$3,'計算A'!$A$4=0)),AND(102=$I44-1,OR(6&lt;&gt;'計算A'!$A$3,'計算A'!$A$4=0))),0,IF(6=$K44,200000,ABS(6-$K44)*100)),100000+ABS(5-$J44)*1000+60)+'計算A'!DA$5*50+IF(AND($E44=1,MN44=0),25,0),IF($F44&gt;0,INDEX('計算A'!DA$110:DA$114,$F44+1)+IF(AND($E44=1,MN44=0),1000,0),MIN(TY44,20)*400+(IF('計算A'!CZ$106=1,1-GX44,0)+IF('計算A'!DA$106=1,1-GZ44,0))*150+65+'計算A'!DA$5*100000+IF(AND($E44=1,MN44=0),50000,0))+IF($H44=1,(IF('計算A'!CZ$117=1,INDEX('計算A'!CZ$10:CZ$54,$B44),0)+IF('計算A'!DA$117=1,INDEX('計算A'!DB$10:DB$54,$B44),0))*4000,0)-IF(AND('計算A'!CZ$117=1,XX44&gt;0),2000,0)-IF(AND($L44=1,'計算A'!DA$117=1,GZ44=0),2000,0))),1000000))</f>
        <v/>
      </c>
      <c r="SD44">
        <f>IF($B44=0,1000000,IF(INDEX('計算A'!$D$60:$EQ$104,$B44,103)*GZ44=1,IF(AND($E44=2,MO44=0),1000000,IF($I44&gt;0,IF(5=$J44,IF(OR(AND(103=$I44+1,OR($K44&lt;&gt;'計算A'!$A$3,'計算A'!$A$4=0)),AND(103=$I44-1,OR(7&lt;&gt;'計算A'!$A$3,'計算A'!$A$4=0))),0,IF(7=$K44,200000,ABS(7-$K44)*100)),100000+ABS(5-$J44)*1000+70)+'計算A'!DB$5*50+IF(AND($E44=1,MO44=0),25,0),IF($F44&gt;0,INDEX('計算A'!DB$110:DB$114,$F44+1)+IF(AND($E44=1,MO44=0),1000,0),MIN(TY44,20)*400+(IF('計算A'!DA$106=1,1-GY44,0)+IF('計算A'!DB$106=1,1-HA44,0))*150+75+'計算A'!DB$5*100000+IF(AND($E44=1,MO44=0),50000,0))+IF($H44=1,(IF('計算A'!DA$117=1,INDEX('計算A'!DA$10:DA$54,$B44),0)+IF('計算A'!DB$117=1,INDEX('計算A'!DC$10:DC$54,$B44),0))*4000,0)-IF(AND('計算A'!DA$117=1,XY44&gt;0),2000,0)-IF(AND($L44=1,'計算A'!DB$117=1,HA44=0),2000,0))),1000000))</f>
        <v/>
      </c>
      <c r="SE44">
        <f>IF($B44=0,1000000,IF(INDEX('計算A'!$D$60:$EQ$104,$B44,104)*HA44=1,IF(AND($E44=2,MP44=0),1000000,IF($I44&gt;0,IF(5=$J44,IF(OR(AND(104=$I44+1,OR($K44&lt;&gt;'計算A'!$A$3,'計算A'!$A$4=0)),AND(104=$I44-1,OR(8&lt;&gt;'計算A'!$A$3,'計算A'!$A$4=0))),0,IF(8=$K44,200000,ABS(8-$K44)*100)),100000+ABS(5-$J44)*1000+80)+'計算A'!DC$5*50+IF(AND($E44=1,MP44=0),25,0),IF($F44&gt;0,INDEX('計算A'!DC$110:DC$114,$F44+1)+IF(AND($E44=1,MP44=0),1000,0),MIN(TY44,20)*400+(IF('計算A'!DB$106=1,1-GZ44,0)+IF('計算A'!DC$106=1,1-HB44,0))*150+85+'計算A'!DC$5*100000+IF(AND($E44=1,MP44=0),50000,0))+IF($H44=1,(IF('計算A'!DB$117=1,INDEX('計算A'!DB$10:DB$54,$B44),0)+IF('計算A'!DC$117=1,INDEX('計算A'!DD$10:DD$54,$B44),0))*4000,0)-IF(AND('計算A'!DB$117=1,XZ44&gt;0),2000,0)-IF(AND($L44=1,'計算A'!DC$117=1,HB44=0),2000,0))),1000000))</f>
        <v/>
      </c>
      <c r="SF44">
        <f>IF($B44=0,1000000,IF(INDEX('計算A'!$D$60:$EQ$104,$B44,105)*HB44=1,IF(AND($E44=2,MQ44=0),1000000,IF($I44&gt;0,IF(5=$J44,IF(OR(AND(105=$I44+1,OR($K44&lt;&gt;'計算A'!$A$3,'計算A'!$A$4=0)),AND(105=$I44-1,OR(9&lt;&gt;'計算A'!$A$3,'計算A'!$A$4=0))),0,IF(9=$K44,200000,ABS(9-$K44)*100)),100000+ABS(5-$J44)*1000+90)+'計算A'!DD$5*50+IF(AND($E44=1,MQ44=0),25,0),IF($F44&gt;0,INDEX('計算A'!DD$110:DD$114,$F44+1)+IF(AND($E44=1,MQ44=0),1000,0),MIN(TY44,20)*400+(IF('計算A'!DC$106=1,1-HA44,0)+IF('計算A'!DD$106=1,1-HC44,0))*150+95+'計算A'!DD$5*100000+IF(AND($E44=1,MQ44=0),50000,0))+IF($H44=1,(IF('計算A'!DC$117=1,INDEX('計算A'!DC$10:DC$54,$B44),0)+IF('計算A'!DD$117=1,INDEX('計算A'!DE$10:DE$54,$B44),0))*4000,0)-IF(AND('計算A'!DC$117=1,YA44&gt;0),2000,0)-IF(AND($L44=1,'計算A'!DD$117=1,HC44=0),2000,0))),1000000))</f>
        <v/>
      </c>
      <c r="SG44">
        <f>IF($B44=0,1000000,IF(INDEX('計算A'!$D$60:$EQ$104,$B44,106)*HC44=1,IF(AND($E44=2,MR44=0),1000000,IF($I44&gt;0,IF(5=$J44,IF(OR(AND(106=$I44+1,OR($K44&lt;&gt;'計算A'!$A$3,'計算A'!$A$4=0)),AND(106=$I44-1,OR(10&lt;&gt;'計算A'!$A$3,'計算A'!$A$4=0))),0,IF(10=$K44,200000,ABS(10-$K44)*100)),100000+ABS(5-$J44)*1000+100)+'計算A'!DE$5*50+IF(AND($E44=1,MR44=0),25,0),IF($F44&gt;0,INDEX('計算A'!DE$110:DE$114,$F44+1)+IF(AND($E44=1,MR44=0),1000,0),MIN(TY44,20)*400+(IF('計算A'!DD$106=1,1-HB44,0)+IF('計算A'!DE$106=1,1-HD44,0))*150+105+'計算A'!DE$5*100000+IF(AND($E44=1,MR44=0),50000,0))+IF($H44=1,(IF('計算A'!DD$117=1,INDEX('計算A'!DD$10:DD$54,$B44),0)+IF('計算A'!DE$117=1,INDEX('計算A'!DF$10:DF$54,$B44),0))*4000,0)-IF(AND('計算A'!DD$117=1,YB44&gt;0),2000,0)-IF(AND($L44=1,'計算A'!DE$117=1,HD44=0),2000,0))),1000000))</f>
        <v/>
      </c>
      <c r="SH44">
        <f>IF($B44=0,1000000,IF(INDEX('計算A'!$D$60:$EQ$104,$B44,107)*HD44=1,IF(AND($E44=2,MS44=0),1000000,IF($I44&gt;0,IF(5=$J44,IF(OR(AND(107=$I44+1,OR($K44&lt;&gt;'計算A'!$A$3,'計算A'!$A$4=0)),AND(107=$I44-1,OR(11&lt;&gt;'計算A'!$A$3,'計算A'!$A$4=0))),0,IF(11=$K44,200000,ABS(11-$K44)*100)),100000+ABS(5-$J44)*1000+110)+'計算A'!DF$5*50+IF(AND($E44=1,MS44=0),25,0),IF($F44&gt;0,INDEX('計算A'!DF$110:DF$114,$F44+1)+IF(AND($E44=1,MS44=0),1000,0),MIN(TY44,20)*400+(IF('計算A'!DE$106=1,1-HC44,0)+IF('計算A'!DF$106=1,1-HE44,0))*150+115+'計算A'!DF$5*100000+IF(AND($E44=1,MS44=0),50000,0))+IF($H44=1,(IF('計算A'!DE$117=1,INDEX('計算A'!DE$10:DE$54,$B44),0)+IF('計算A'!DF$117=1,INDEX('計算A'!DG$10:DG$54,$B44),0))*4000,0)-IF(AND('計算A'!DE$117=1,YC44&gt;0),2000,0)-IF(AND($L44=1,'計算A'!DF$117=1,HE44=0),2000,0))),1000000))</f>
        <v/>
      </c>
      <c r="SI44">
        <f>IF($B44=0,1000000,IF(INDEX('計算A'!$D$60:$EQ$104,$B44,108)*HE44=1,IF(AND($E44=2,MT44=0),1000000,IF($I44&gt;0,IF(5=$J44,IF(OR(AND(108=$I44+1,OR($K44&lt;&gt;'計算A'!$A$3,'計算A'!$A$4=0)),AND(108=$I44-1,OR(12&lt;&gt;'計算A'!$A$3,'計算A'!$A$4=0))),0,IF(12=$K44,200000,ABS(12-$K44)*100)),100000+ABS(5-$J44)*1000+120)+'計算A'!DG$5*50+IF(AND($E44=1,MT44=0),25,0),IF($F44&gt;0,INDEX('計算A'!DG$110:DG$114,$F44+1)+IF(AND($E44=1,MT44=0),1000,0),MIN(TY44,20)*400+(IF('計算A'!DF$106=1,1-HD44,0)+IF('計算A'!DG$106=1,1-HF44,0))*150+125+'計算A'!DG$5*100000+IF(AND($E44=1,MT44=0),50000,0))+IF($H44=1,(IF('計算A'!DF$117=1,INDEX('計算A'!DF$10:DF$54,$B44),0)+IF('計算A'!DG$117=1,INDEX('計算A'!DH$10:DH$54,$B44),0))*4000,0)-IF(AND('計算A'!DF$117=1,YD44&gt;0),2000,0)-IF(AND($L44=1,'計算A'!DG$117=1,HF44=0),2000,0))),1000000))</f>
        <v/>
      </c>
      <c r="SJ44">
        <f>IF($B44=0,1000000,IF(INDEX('計算A'!$D$60:$EQ$104,$B44,109)*HF44=1,IF(AND($E44=2,MU44=0),1000000,IF($I44&gt;0,IF(5=$J44,IF(OR(AND(109=$I44+1,OR($K44&lt;&gt;'計算A'!$A$3,'計算A'!$A$4=0)),AND(109=$I44-1,OR(13&lt;&gt;'計算A'!$A$3,'計算A'!$A$4=0))),0,IF(13=$K44,200000,ABS(13-$K44)*100)),100000+ABS(5-$J44)*1000+130)+'計算A'!DH$5*50+IF(AND($E44=1,MU44=0),25,0),IF($F44&gt;0,INDEX('計算A'!DH$110:DH$114,$F44+1)+IF(AND($E44=1,MU44=0),1000,0),MIN(TY44,20)*400+(IF('計算A'!DG$106=1,1-HE44,0)+IF('計算A'!DH$106=1,1-HG44,0))*150+135+'計算A'!DH$5*100000+IF(AND($E44=1,MU44=0),50000,0))+IF($H44=1,(IF('計算A'!DG$117=1,INDEX('計算A'!DG$10:DG$54,$B44),0)+IF('計算A'!DH$117=1,INDEX('計算A'!DI$10:DI$54,$B44),0))*4000,0)-IF(AND('計算A'!DG$117=1,YE44&gt;0),2000,0)-IF(AND($L44=1,'計算A'!DH$117=1,HG44=0),2000,0))),1000000))</f>
        <v/>
      </c>
      <c r="SK44">
        <f>IF($B44=0,1000000,IF(INDEX('計算A'!$D$60:$EQ$104,$B44,110)*HG44=1,IF(AND($E44=2,MV44=0),1000000,IF($I44&gt;0,IF(5=$J44,IF(OR(AND(110=$I44+1,OR($K44&lt;&gt;'計算A'!$A$3,'計算A'!$A$4=0)),AND(110=$I44-1,OR(14&lt;&gt;'計算A'!$A$3,'計算A'!$A$4=0))),0,IF(14=$K44,200000,ABS(14-$K44)*100)),100000+ABS(5-$J44)*1000+140)+'計算A'!DI$5*50+IF(AND($E44=1,MV44=0),25,0),IF($F44&gt;0,INDEX('計算A'!DI$110:DI$114,$F44+1)+IF(AND($E44=1,MV44=0),1000,0),MIN(TY44,20)*400+(IF('計算A'!DH$106=1,1-HF44,0)+IF('計算A'!DI$106=1,1-HH44,0))*150+145+'計算A'!DI$5*100000+IF(AND($E44=1,MV44=0),50000,0))+IF($H44=1,(IF('計算A'!DH$117=1,INDEX('計算A'!DH$10:DH$54,$B44),0)+IF('計算A'!DI$117=1,INDEX('計算A'!DJ$10:DJ$54,$B44),0))*4000,0)-IF(AND('計算A'!DH$117=1,YF44&gt;0),2000,0)-IF(AND($L44=1,'計算A'!DI$117=1,HH44=0),2000,0))),1000000))</f>
        <v/>
      </c>
      <c r="SL44">
        <f>IF($B44=0,1000000,IF(INDEX('計算A'!$D$60:$EQ$104,$B44,111)*HH44=1,IF(AND($E44=2,MW44=0),1000000,IF($I44&gt;0,IF(5=$J44,IF(OR(AND(111=$I44+1,OR($K44&lt;&gt;'計算A'!$A$3,'計算A'!$A$4=0)),AND(111=$I44-1,OR(15&lt;&gt;'計算A'!$A$3,'計算A'!$A$4=0))),0,IF(15=$K44,200000,ABS(15-$K44)*100)),100000+ABS(5-$J44)*1000+150)+'計算A'!DJ$5*50+IF(AND($E44=1,MW44=0),25,0),IF($F44&gt;0,INDEX('計算A'!DJ$110:DJ$114,$F44+1)+IF(AND($E44=1,MW44=0),1000,0),MIN(TY44,20)*400+(IF('計算A'!DI$106=1,1-HG44,0)+IF('計算A'!DJ$106=1,1-HI44,0))*150+155+'計算A'!DJ$5*100000+IF(AND($E44=1,MW44=0),50000,0))+IF($H44=1,(IF('計算A'!DI$117=1,INDEX('計算A'!DI$10:DI$54,$B44),0)+IF('計算A'!DJ$117=1,INDEX('計算A'!DK$10:DK$54,$B44),0))*4000,0)-IF(AND('計算A'!DI$117=1,YG44&gt;0),2000,0)-IF(AND($L44=1,'計算A'!DJ$117=1,HI44=0),2000,0))),1000000))</f>
        <v/>
      </c>
      <c r="SM44">
        <f>IF($B44=0,1000000,IF(INDEX('計算A'!$D$60:$EQ$104,$B44,112)*HI44=1,IF(AND($E44=2,MX44=0),1000000,IF($I44&gt;0,IF(5=$J44,IF(OR(AND(112=$I44+1,OR($K44&lt;&gt;'計算A'!$A$3,'計算A'!$A$4=0)),AND(112=$I44-1,OR(16&lt;&gt;'計算A'!$A$3,'計算A'!$A$4=0))),0,IF(16=$K44,200000,ABS(16-$K44)*100)),100000+ABS(5-$J44)*1000+160)+'計算A'!DK$5*50+IF(AND($E44=1,MX44=0),25,0),IF($F44&gt;0,INDEX('計算A'!DK$110:DK$114,$F44+1)+IF(AND($E44=1,MX44=0),1000,0),MIN(TY44,20)*400+(IF('計算A'!DJ$106=1,1-HH44,0)+IF('計算A'!DK$106=1,1-HJ44,0))*150+165+'計算A'!DK$5*100000+IF(AND($E44=1,MX44=0),50000,0))+IF($H44=1,(IF('計算A'!DJ$117=1,INDEX('計算A'!DJ$10:DJ$54,$B44),0)+IF('計算A'!DK$117=1,INDEX('計算A'!DL$10:DL$54,$B44),0))*4000,0)-IF(AND('計算A'!DJ$117=1,YH44&gt;0),2000,0)-IF(AND($L44=1,'計算A'!DK$117=1,HJ44=0),2000,0))),1000000))</f>
        <v/>
      </c>
      <c r="SN44">
        <f>IF($B44=0,1000000,IF(INDEX('計算A'!$D$60:$EQ$104,$B44,113)*HJ44=1,IF(AND($E44=2,MY44=0),1000000,IF($I44&gt;0,IF(5=$J44,IF(OR(AND(113=$I44+1,OR($K44&lt;&gt;'計算A'!$A$3,'計算A'!$A$4=0)),AND(113=$I44-1,OR(17&lt;&gt;'計算A'!$A$3,'計算A'!$A$4=0))),0,IF(17=$K44,200000,ABS(17-$K44)*100)),100000+ABS(5-$J44)*1000+170)+'計算A'!DL$5*50+IF(AND($E44=1,MY44=0),25,0),IF($F44&gt;0,INDEX('計算A'!DL$110:DL$114,$F44+1)+IF(AND($E44=1,MY44=0),1000,0),MIN(TY44,20)*400+(IF('計算A'!DK$106=1,1-HI44,0)+IF('計算A'!DL$106=1,1-HK44,0))*150+175+'計算A'!DL$5*100000+IF(AND($E44=1,MY44=0),50000,0))+IF($H44=1,(IF('計算A'!DK$117=1,INDEX('計算A'!DK$10:DK$54,$B44),0)+IF('計算A'!DL$117=1,INDEX('計算A'!DM$10:DM$54,$B44),0))*4000,0)-IF(AND('計算A'!DK$117=1,YI44&gt;0),2000,0)-IF(AND($L44=1,'計算A'!DL$117=1,HK44=0),2000,0))),1000000))</f>
        <v/>
      </c>
      <c r="SO44">
        <f>IF($B44=0,1000000,IF(INDEX('計算A'!$D$60:$EQ$104,$B44,114)*HK44=1,IF(AND($E44=2,MZ44=0),1000000,IF($I44&gt;0,IF(5=$J44,IF(OR(AND(114=$I44+1,OR($K44&lt;&gt;'計算A'!$A$3,'計算A'!$A$4=0)),AND(114=$I44-1,OR(18&lt;&gt;'計算A'!$A$3,'計算A'!$A$4=0))),0,IF(18=$K44,200000,ABS(18-$K44)*100)),100000+ABS(5-$J44)*1000+180)+'計算A'!DM$5*50+IF(AND($E44=1,MZ44=0),25,0),IF($F44&gt;0,INDEX('計算A'!DM$110:DM$114,$F44+1)+IF(AND($E44=1,MZ44=0),1000,0),MIN(TY44,20)*400+(IF('計算A'!DL$106=1,1-HJ44,0)+IF('計算A'!DM$106=1,1-HL44,0))*150+185+'計算A'!DM$5*100000+IF(AND($E44=1,MZ44=0),50000,0))+IF($H44=1,(IF('計算A'!DL$117=1,INDEX('計算A'!DL$10:DL$54,$B44),0)+IF('計算A'!DM$117=1,INDEX('計算A'!DN$10:DN$54,$B44),0))*4000,0)-IF(AND('計算A'!DL$117=1,YJ44&gt;0),2000,0)-IF(AND($L44=1,'計算A'!DM$117=1,HL44=0),2000,0))),1000000))</f>
        <v/>
      </c>
      <c r="SP44">
        <f>IF($B44=0,1000000,IF(INDEX('計算A'!$D$60:$EQ$104,$B44,115)*HL44=1,IF(AND($E44=2,NA44=0),1000000,IF($I44&gt;0,IF(5=$J44,IF(OR(AND(115=$I44+1,OR($K44&lt;&gt;'計算A'!$A$3,'計算A'!$A$4=0)),AND(115=$I44-1,OR(19&lt;&gt;'計算A'!$A$3,'計算A'!$A$4=0))),0,IF(19=$K44,200000,ABS(19-$K44)*100)),100000+ABS(5-$J44)*1000+190)+'計算A'!DN$5*50+IF(AND($E44=1,NA44=0),25,0),IF($F44&gt;0,INDEX('計算A'!DN$110:DN$114,$F44+1)+IF(AND($E44=1,NA44=0),1000,0),MIN(TY44,20)*400+(IF('計算A'!DM$106=1,1-HK44,0)+IF('計算A'!DN$106=1,1-HM44,0))*150+195+'計算A'!DN$5*100000+IF(AND($E44=1,NA44=0),50000,0))+IF($H44=1,(IF('計算A'!DM$117=1,INDEX('計算A'!DM$10:DM$54,$B44),0)+IF('計算A'!DN$117=1,INDEX('計算A'!DO$10:DO$54,$B44),0))*4000,0)-IF(AND('計算A'!DM$117=1,YK44&gt;0),2000,0)-IF(AND($L44=1,'計算A'!DN$117=1,HM44=0),2000,0))),1000000))</f>
        <v/>
      </c>
      <c r="SQ44">
        <f>IF($B44=0,1000000,IF(INDEX('計算A'!$D$60:$EQ$104,$B44,116)*HM44=1,IF(AND($E44=2,NB44=0),1000000,IF($I44&gt;0,IF(5=$J44,IF(OR(AND(116=$I44+1,OR($K44&lt;&gt;'計算A'!$A$3,'計算A'!$A$4=0)),AND(116=$I44-1,OR(20&lt;&gt;'計算A'!$A$3,'計算A'!$A$4=0))),0,IF(20=$K44,200000,ABS(20-$K44)*100)),100000+ABS(5-$J44)*1000+200)+'計算A'!DO$5*50+IF(AND($E44=1,NB44=0),25,0),IF($F44&gt;0,INDEX('計算A'!DO$110:DO$114,$F44+1)+IF(AND($E44=1,NB44=0),1000,0),MIN(TY44,20)*400+(IF('計算A'!DN$106=1,1-HL44,0)+IF('計算A'!DO$106=1,1-HN44,0))*150+205+'計算A'!DO$5*100000+IF(AND($E44=1,NB44=0),50000,0))+IF($H44=1,(IF('計算A'!DN$117=1,INDEX('計算A'!DN$10:DN$54,$B44),0)+IF('計算A'!DO$117=1,INDEX('計算A'!DP$10:DP$54,$B44),0))*4000,0)-IF(AND('計算A'!DN$117=1,YL44&gt;0),2000,0)-IF(AND($L44=1,'計算A'!DO$117=1,HN44=0),2000,0))),1000000))</f>
        <v/>
      </c>
      <c r="SR44">
        <f>IF($B44=0,1000000,IF(INDEX('計算A'!$D$60:$EQ$104,$B44,117)*HN44=1,IF(AND($E44=2,NC44=0),1000000,IF($I44&gt;0,IF(5=$J44,IF(OR(AND(117=$I44+1,OR($K44&lt;&gt;'計算A'!$A$3,'計算A'!$A$4=0)),AND(117=$I44-1,OR(21&lt;&gt;'計算A'!$A$3,'計算A'!$A$4=0))),0,IF(21=$K44,200000,ABS(21-$K44)*100)),100000+ABS(5-$J44)*1000+210)+'計算A'!DP$5*50+IF(AND($E44=1,NC44=0),25,0),IF($F44&gt;0,INDEX('計算A'!DP$110:DP$114,$F44+1)+IF(AND($E44=1,NC44=0),1000,0),MIN(TY44,20)*400+(IF('計算A'!DO$106=1,1-HM44,0)+IF('計算A'!DP$106=1,1-HO44,0))*150+215+'計算A'!DP$5*100000+IF(AND($E44=1,NC44=0),50000,0))+IF($H44=1,(IF('計算A'!DO$117=1,INDEX('計算A'!DO$10:DO$54,$B44),0)+IF('計算A'!DP$117=1,INDEX('計算A'!DQ$10:DQ$54,$B44),0))*4000,0)-IF(AND('計算A'!DO$117=1,YM44&gt;0),2000,0)-IF(AND($L44=1,'計算A'!DP$117=1,HO44=0),2000,0))),1000000))</f>
        <v/>
      </c>
      <c r="SS44">
        <f>IF($B44=0,1000000,IF(INDEX('計算A'!$D$60:$EQ$104,$B44,118)*HO44=1,IF(AND($E44=2,ND44=0),1000000,IF($I44&gt;0,IF(5=$J44,IF(OR(AND(118=$I44+1,OR($K44&lt;&gt;'計算A'!$A$3,'計算A'!$A$4=0)),AND(118=$I44-1,OR(22&lt;&gt;'計算A'!$A$3,'計算A'!$A$4=0))),0,IF(22=$K44,200000,ABS(22-$K44)*100)),100000+ABS(5-$J44)*1000+220)+'計算A'!DQ$5*50+IF(AND($E44=1,ND44=0),25,0),IF($F44&gt;0,INDEX('計算A'!DQ$110:DQ$114,$F44+1)+IF(AND($E44=1,ND44=0),1000,0),MIN(TY44,20)*400+(IF('計算A'!DP$106=1,1-HN44,0)+IF('計算A'!DQ$106=1,1-HP44,0))*150+225+'計算A'!DQ$5*100000+IF(AND($E44=1,ND44=0),50000,0))+IF($H44=1,(IF('計算A'!DP$117=1,INDEX('計算A'!DP$10:DP$54,$B44),0)+IF('計算A'!DQ$117=1,INDEX('計算A'!DR$10:DR$54,$B44),0))*4000,0)-IF(AND('計算A'!DP$117=1,YN44&gt;0),2000,0)-IF(AND($L44=1,'計算A'!DQ$117=1,HP44=0),2000,0))),1000000))</f>
        <v/>
      </c>
      <c r="ST44">
        <f>IF($B44=0,1000000,IF(INDEX('計算A'!$D$60:$EQ$104,$B44,119)*HP44=1,IF(AND($E44=2,NE44=0),1000000,IF($I44&gt;0,IF(5=$J44,IF(OR(AND(119=$I44+1,OR($K44&lt;&gt;'計算A'!$A$3,'計算A'!$A$4=0)),AND(119=$I44-1,OR(23&lt;&gt;'計算A'!$A$3,'計算A'!$A$4=0))),0,IF(23=$K44,200000,ABS(23-$K44)*100)),100000+ABS(5-$J44)*1000+230)+'計算A'!DR$5*50+IF(AND($E44=1,NE44=0),25,0),IF($F44&gt;0,INDEX('計算A'!DR$110:DR$114,$F44+1)+IF(AND($E44=1,NE44=0),1000,0),MIN(TY44,20)*400+(IF('計算A'!DQ$106=1,1-HO44,0)+IF('計算A'!DR$106=1,1-HQ44,0))*150+235+'計算A'!DR$5*100000+IF(AND($E44=1,NE44=0),50000,0))+IF($H44=1,(IF('計算A'!DQ$117=1,INDEX('計算A'!DQ$10:DQ$54,$B44),0)+IF('計算A'!DR$117=1,INDEX('計算A'!DS$10:DS$54,$B44),0))*4000,0)-IF(AND('計算A'!DQ$117=1,YO44&gt;0),2000,0)-IF(AND($L44=1,'計算A'!DR$117=1,HQ44=0),2000,0))),1000000))</f>
        <v/>
      </c>
      <c r="SU44">
        <f>IF($B44=0,1000000,IF(INDEX('計算A'!$D$60:$EQ$104,$B44,120)*HQ44=1,IF(AND($E44=2,NF44=0),1000000,IF($I44&gt;0,IF(5=$J44,IF(OR(AND(120=$I44+1,OR($K44&lt;&gt;'計算A'!$A$3,'計算A'!$A$4=0)),AND(120=$I44-1,OR(24&lt;&gt;'計算A'!$A$3,'計算A'!$A$4=0))),0,IF(24=$K44,200000,ABS(24-$K44)*100)),100000+ABS(5-$J44)*1000+240)+'計算A'!DS$5*50+IF(AND($E44=1,NF44=0),25,0),IF($F44&gt;0,INDEX('計算A'!DS$110:DS$114,$F44+1)+IF(AND($E44=1,NF44=0),1000,0),MIN(TY44,20)*400+(IF('計算A'!DR$106=1,1-HP44,0))*150+245+'計算A'!DS$5*100000+IF(AND($E44=1,NF44=0),50000,0))+IF($H44=1,(IF('計算A'!DR$117=1,INDEX('計算A'!DR$10:DR$54,$B44),0))*4000,0)-IF(AND('計算A'!DR$117=1,YP44&gt;0),2000,0))),1000000))</f>
        <v/>
      </c>
      <c r="SV44">
        <f>IF($B44=0,1000000,IF(INDEX('計算A'!$D$60:$EQ$104,$B44,121)*HR44=1,IF(AND($E44=2,NG44=0),1000000,IF($I44&gt;0,IF(6=$J44,IF(OR(AND(121=$I44+1,OR($K44&lt;&gt;'計算A'!$A$3,'計算A'!$A$4=0)),AND(121=$I44-1,OR(1&lt;&gt;'計算A'!$A$3,'計算A'!$A$4=0))),0,IF(1=$K44,200000,ABS(1-$K44)*100)),100000+ABS(6-$J44)*1000+10)+'計算A'!DT$5*50+IF(AND($E44=1,NG44=0),25,0),IF($F44&gt;0,INDEX('計算A'!DT$110:DT$114,$F44+1)+IF(AND($E44=1,NG44=0),1000,0),MIN(TZ44,20)*400+(IF('計算A'!DT$106=1,1-HS44,0))*150+16+'計算A'!DT$5*100000+IF(AND($E44=1,NG44=0),50000,0))+IF($H44=1,(IF('計算A'!DT$117=1,INDEX('計算A'!DU$10:DU$54,$B44),0))*4000,0)-IF(AND($L44=1,'計算A'!DT$117=1,HS44=0),2000,0))),1000000))</f>
        <v/>
      </c>
      <c r="SW44">
        <f>IF($B44=0,1000000,IF(INDEX('計算A'!$D$60:$EQ$104,$B44,122)*HS44=1,IF(AND($E44=2,NH44=0),1000000,IF($I44&gt;0,IF(6=$J44,IF(OR(AND(122=$I44+1,OR($K44&lt;&gt;'計算A'!$A$3,'計算A'!$A$4=0)),AND(122=$I44-1,OR(2&lt;&gt;'計算A'!$A$3,'計算A'!$A$4=0))),0,IF(2=$K44,200000,ABS(2-$K44)*100)),100000+ABS(6-$J44)*1000+20)+'計算A'!DU$5*50+IF(AND($E44=1,NH44=0),25,0),IF($F44&gt;0,INDEX('計算A'!DU$110:DU$114,$F44+1)+IF(AND($E44=1,NH44=0),1000,0),MIN(TZ44,20)*400+(IF('計算A'!DT$106=1,1-HR44,0)+IF('計算A'!DU$106=1,1-HT44,0))*150+26+'計算A'!DU$5*100000+IF(AND($E44=1,NH44=0),50000,0))+IF($H44=1,(IF('計算A'!DT$117=1,INDEX('計算A'!DT$10:DT$54,$B44),0)+IF('計算A'!DU$117=1,INDEX('計算A'!DV$10:DV$54,$B44),0))*4000,0)-IF(AND('計算A'!DT$117=1,YR44&gt;0),2000,0)-IF(AND($L44=1,'計算A'!DU$117=1,HT44=0),2000,0))),1000000))</f>
        <v/>
      </c>
      <c r="SX44">
        <f>IF($B44=0,1000000,IF(INDEX('計算A'!$D$60:$EQ$104,$B44,123)*HT44=1,IF(AND($E44=2,NI44=0),1000000,IF($I44&gt;0,IF(6=$J44,IF(OR(AND(123=$I44+1,OR($K44&lt;&gt;'計算A'!$A$3,'計算A'!$A$4=0)),AND(123=$I44-1,OR(3&lt;&gt;'計算A'!$A$3,'計算A'!$A$4=0))),0,IF(3=$K44,200000,ABS(3-$K44)*100)),100000+ABS(6-$J44)*1000+30)+'計算A'!DV$5*50+IF(AND($E44=1,NI44=0),25,0),IF($F44&gt;0,INDEX('計算A'!DV$110:DV$114,$F44+1)+IF(AND($E44=1,NI44=0),1000,0),MIN(TZ44,20)*400+(IF('計算A'!DU$106=1,1-HS44,0)+IF('計算A'!DV$106=1,1-HU44,0))*150+36+'計算A'!DV$5*100000+IF(AND($E44=1,NI44=0),50000,0))+IF($H44=1,(IF('計算A'!DU$117=1,INDEX('計算A'!DU$10:DU$54,$B44),0)+IF('計算A'!DV$117=1,INDEX('計算A'!DW$10:DW$54,$B44),0))*4000,0)-IF(AND('計算A'!DU$117=1,YS44&gt;0),2000,0)-IF(AND($L44=1,'計算A'!DV$117=1,HU44=0),2000,0))),1000000))</f>
        <v/>
      </c>
      <c r="SY44">
        <f>IF($B44=0,1000000,IF(INDEX('計算A'!$D$60:$EQ$104,$B44,124)*HU44=1,IF(AND($E44=2,NJ44=0),1000000,IF($I44&gt;0,IF(6=$J44,IF(OR(AND(124=$I44+1,OR($K44&lt;&gt;'計算A'!$A$3,'計算A'!$A$4=0)),AND(124=$I44-1,OR(4&lt;&gt;'計算A'!$A$3,'計算A'!$A$4=0))),0,IF(4=$K44,200000,ABS(4-$K44)*100)),100000+ABS(6-$J44)*1000+40)+'計算A'!DW$5*50+IF(AND($E44=1,NJ44=0),25,0),IF($F44&gt;0,INDEX('計算A'!DW$110:DW$114,$F44+1)+IF(AND($E44=1,NJ44=0),1000,0),MIN(TZ44,20)*400+(IF('計算A'!DV$106=1,1-HT44,0)+IF('計算A'!DW$106=1,1-HV44,0))*150+46+'計算A'!DW$5*100000+IF(AND($E44=1,NJ44=0),50000,0))+IF($H44=1,(IF('計算A'!DV$117=1,INDEX('計算A'!DV$10:DV$54,$B44),0)+IF('計算A'!DW$117=1,INDEX('計算A'!DX$10:DX$54,$B44),0))*4000,0)-IF(AND('計算A'!DV$117=1,YT44&gt;0),2000,0)-IF(AND($L44=1,'計算A'!DW$117=1,HV44=0),2000,0))),1000000))</f>
        <v/>
      </c>
      <c r="SZ44">
        <f>IF($B44=0,1000000,IF(INDEX('計算A'!$D$60:$EQ$104,$B44,125)*HV44=1,IF(AND($E44=2,NK44=0),1000000,IF($I44&gt;0,IF(6=$J44,IF(OR(AND(125=$I44+1,OR($K44&lt;&gt;'計算A'!$A$3,'計算A'!$A$4=0)),AND(125=$I44-1,OR(5&lt;&gt;'計算A'!$A$3,'計算A'!$A$4=0))),0,IF(5=$K44,200000,ABS(5-$K44)*100)),100000+ABS(6-$J44)*1000+50)+'計算A'!DX$5*50+IF(AND($E44=1,NK44=0),25,0),IF($F44&gt;0,INDEX('計算A'!DX$110:DX$114,$F44+1)+IF(AND($E44=1,NK44=0),1000,0),MIN(TZ44,20)*400+(IF('計算A'!DW$106=1,1-HU44,0)+IF('計算A'!DX$106=1,1-HW44,0))*150+56+'計算A'!DX$5*100000+IF(AND($E44=1,NK44=0),50000,0))+IF($H44=1,(IF('計算A'!DW$117=1,INDEX('計算A'!DW$10:DW$54,$B44),0)+IF('計算A'!DX$117=1,INDEX('計算A'!DY$10:DY$54,$B44),0))*4000,0)-IF(AND('計算A'!DW$117=1,YU44&gt;0),2000,0)-IF(AND($L44=1,'計算A'!DX$117=1,HW44=0),2000,0))),1000000))</f>
        <v/>
      </c>
      <c r="TA44">
        <f>IF($B44=0,1000000,IF(INDEX('計算A'!$D$60:$EQ$104,$B44,126)*HW44=1,IF(AND($E44=2,NL44=0),1000000,IF($I44&gt;0,IF(6=$J44,IF(OR(AND(126=$I44+1,OR($K44&lt;&gt;'計算A'!$A$3,'計算A'!$A$4=0)),AND(126=$I44-1,OR(6&lt;&gt;'計算A'!$A$3,'計算A'!$A$4=0))),0,IF(6=$K44,200000,ABS(6-$K44)*100)),100000+ABS(6-$J44)*1000+60)+'計算A'!DY$5*50+IF(AND($E44=1,NL44=0),25,0),IF($F44&gt;0,INDEX('計算A'!DY$110:DY$114,$F44+1)+IF(AND($E44=1,NL44=0),1000,0),MIN(TZ44,20)*400+(IF('計算A'!DX$106=1,1-HV44,0)+IF('計算A'!DY$106=1,1-HX44,0))*150+66+'計算A'!DY$5*100000+IF(AND($E44=1,NL44=0),50000,0))+IF($H44=1,(IF('計算A'!DX$117=1,INDEX('計算A'!DX$10:DX$54,$B44),0)+IF('計算A'!DY$117=1,INDEX('計算A'!DZ$10:DZ$54,$B44),0))*4000,0)-IF(AND('計算A'!DX$117=1,YV44&gt;0),2000,0)-IF(AND($L44=1,'計算A'!DY$117=1,HX44=0),2000,0))),1000000))</f>
        <v/>
      </c>
      <c r="TB44">
        <f>IF($B44=0,1000000,IF(INDEX('計算A'!$D$60:$EQ$104,$B44,127)*HX44=1,IF(AND($E44=2,NM44=0),1000000,IF($I44&gt;0,IF(6=$J44,IF(OR(AND(127=$I44+1,OR($K44&lt;&gt;'計算A'!$A$3,'計算A'!$A$4=0)),AND(127=$I44-1,OR(7&lt;&gt;'計算A'!$A$3,'計算A'!$A$4=0))),0,IF(7=$K44,200000,ABS(7-$K44)*100)),100000+ABS(6-$J44)*1000+70)+'計算A'!DZ$5*50+IF(AND($E44=1,NM44=0),25,0),IF($F44&gt;0,INDEX('計算A'!DZ$110:DZ$114,$F44+1)+IF(AND($E44=1,NM44=0),1000,0),MIN(TZ44,20)*400+(IF('計算A'!DY$106=1,1-HW44,0)+IF('計算A'!DZ$106=1,1-HY44,0))*150+76+'計算A'!DZ$5*100000+IF(AND($E44=1,NM44=0),50000,0))+IF($H44=1,(IF('計算A'!DY$117=1,INDEX('計算A'!DY$10:DY$54,$B44),0)+IF('計算A'!DZ$117=1,INDEX('計算A'!EA$10:EA$54,$B44),0))*4000,0)-IF(AND('計算A'!DY$117=1,YW44&gt;0),2000,0)-IF(AND($L44=1,'計算A'!DZ$117=1,HY44=0),2000,0))),1000000))</f>
        <v/>
      </c>
      <c r="TC44">
        <f>IF($B44=0,1000000,IF(INDEX('計算A'!$D$60:$EQ$104,$B44,128)*HY44=1,IF(AND($E44=2,NN44=0),1000000,IF($I44&gt;0,IF(6=$J44,IF(OR(AND(128=$I44+1,OR($K44&lt;&gt;'計算A'!$A$3,'計算A'!$A$4=0)),AND(128=$I44-1,OR(8&lt;&gt;'計算A'!$A$3,'計算A'!$A$4=0))),0,IF(8=$K44,200000,ABS(8-$K44)*100)),100000+ABS(6-$J44)*1000+80)+'計算A'!EA$5*50+IF(AND($E44=1,NN44=0),25,0),IF($F44&gt;0,INDEX('計算A'!EA$110:EA$114,$F44+1)+IF(AND($E44=1,NN44=0),1000,0),MIN(TZ44,20)*400+(IF('計算A'!DZ$106=1,1-HX44,0)+IF('計算A'!EA$106=1,1-HZ44,0))*150+86+'計算A'!EA$5*100000+IF(AND($E44=1,NN44=0),50000,0))+IF($H44=1,(IF('計算A'!DZ$117=1,INDEX('計算A'!DZ$10:DZ$54,$B44),0)+IF('計算A'!EA$117=1,INDEX('計算A'!EB$10:EB$54,$B44),0))*4000,0)-IF(AND('計算A'!DZ$117=1,YX44&gt;0),2000,0)-IF(AND($L44=1,'計算A'!EA$117=1,HZ44=0),2000,0))),1000000))</f>
        <v/>
      </c>
      <c r="TD44">
        <f>IF($B44=0,1000000,IF(INDEX('計算A'!$D$60:$EQ$104,$B44,129)*HZ44=1,IF(AND($E44=2,NO44=0),1000000,IF($I44&gt;0,IF(6=$J44,IF(OR(AND(129=$I44+1,OR($K44&lt;&gt;'計算A'!$A$3,'計算A'!$A$4=0)),AND(129=$I44-1,OR(9&lt;&gt;'計算A'!$A$3,'計算A'!$A$4=0))),0,IF(9=$K44,200000,ABS(9-$K44)*100)),100000+ABS(6-$J44)*1000+90)+'計算A'!EB$5*50+IF(AND($E44=1,NO44=0),25,0),IF($F44&gt;0,INDEX('計算A'!EB$110:EB$114,$F44+1)+IF(AND($E44=1,NO44=0),1000,0),MIN(TZ44,20)*400+(IF('計算A'!EA$106=1,1-HY44,0)+IF('計算A'!EB$106=1,1-IA44,0))*150+96+'計算A'!EB$5*100000+IF(AND($E44=1,NO44=0),50000,0))+IF($H44=1,(IF('計算A'!EA$117=1,INDEX('計算A'!EA$10:EA$54,$B44),0)+IF('計算A'!EB$117=1,INDEX('計算A'!EC$10:EC$54,$B44),0))*4000,0)-IF(AND('計算A'!EA$117=1,YY44&gt;0),2000,0)-IF(AND($L44=1,'計算A'!EB$117=1,IA44=0),2000,0))),1000000))</f>
        <v/>
      </c>
      <c r="TE44">
        <f>IF($B44=0,1000000,IF(INDEX('計算A'!$D$60:$EQ$104,$B44,130)*IA44=1,IF(AND($E44=2,NP44=0),1000000,IF($I44&gt;0,IF(6=$J44,IF(OR(AND(130=$I44+1,OR($K44&lt;&gt;'計算A'!$A$3,'計算A'!$A$4=0)),AND(130=$I44-1,OR(10&lt;&gt;'計算A'!$A$3,'計算A'!$A$4=0))),0,IF(10=$K44,200000,ABS(10-$K44)*100)),100000+ABS(6-$J44)*1000+100)+'計算A'!EC$5*50+IF(AND($E44=1,NP44=0),25,0),IF($F44&gt;0,INDEX('計算A'!EC$110:EC$114,$F44+1)+IF(AND($E44=1,NP44=0),1000,0),MIN(TZ44,20)*400+(IF('計算A'!EB$106=1,1-HZ44,0)+IF('計算A'!EC$106=1,1-IB44,0))*150+106+'計算A'!EC$5*100000+IF(AND($E44=1,NP44=0),50000,0))+IF($H44=1,(IF('計算A'!EB$117=1,INDEX('計算A'!EB$10:EB$54,$B44),0)+IF('計算A'!EC$117=1,INDEX('計算A'!ED$10:ED$54,$B44),0))*4000,0)-IF(AND('計算A'!EB$117=1,YZ44&gt;0),2000,0)-IF(AND($L44=1,'計算A'!EC$117=1,IB44=0),2000,0))),1000000))</f>
        <v/>
      </c>
      <c r="TF44">
        <f>IF($B44=0,1000000,IF(INDEX('計算A'!$D$60:$EQ$104,$B44,131)*IB44=1,IF(AND($E44=2,NQ44=0),1000000,IF($I44&gt;0,IF(6=$J44,IF(OR(AND(131=$I44+1,OR($K44&lt;&gt;'計算A'!$A$3,'計算A'!$A$4=0)),AND(131=$I44-1,OR(11&lt;&gt;'計算A'!$A$3,'計算A'!$A$4=0))),0,IF(11=$K44,200000,ABS(11-$K44)*100)),100000+ABS(6-$J44)*1000+110)+'計算A'!ED$5*50+IF(AND($E44=1,NQ44=0),25,0),IF($F44&gt;0,INDEX('計算A'!ED$110:ED$114,$F44+1)+IF(AND($E44=1,NQ44=0),1000,0),MIN(TZ44,20)*400+(IF('計算A'!EC$106=1,1-IA44,0)+IF('計算A'!ED$106=1,1-IC44,0))*150+116+'計算A'!ED$5*100000+IF(AND($E44=1,NQ44=0),50000,0))+IF($H44=1,(IF('計算A'!EC$117=1,INDEX('計算A'!EC$10:EC$54,$B44),0)+IF('計算A'!ED$117=1,INDEX('計算A'!EE$10:EE$54,$B44),0))*4000,0)-IF(AND('計算A'!EC$117=1,ZA44&gt;0),2000,0)-IF(AND($L44=1,'計算A'!ED$117=1,IC44=0),2000,0))),1000000))</f>
        <v/>
      </c>
      <c r="TG44">
        <f>IF($B44=0,1000000,IF(INDEX('計算A'!$D$60:$EQ$104,$B44,132)*IC44=1,IF(AND($E44=2,NR44=0),1000000,IF($I44&gt;0,IF(6=$J44,IF(OR(AND(132=$I44+1,OR($K44&lt;&gt;'計算A'!$A$3,'計算A'!$A$4=0)),AND(132=$I44-1,OR(12&lt;&gt;'計算A'!$A$3,'計算A'!$A$4=0))),0,IF(12=$K44,200000,ABS(12-$K44)*100)),100000+ABS(6-$J44)*1000+120)+'計算A'!EE$5*50+IF(AND($E44=1,NR44=0),25,0),IF($F44&gt;0,INDEX('計算A'!EE$110:EE$114,$F44+1)+IF(AND($E44=1,NR44=0),1000,0),MIN(TZ44,20)*400+(IF('計算A'!ED$106=1,1-IB44,0)+IF('計算A'!EE$106=1,1-ID44,0))*150+126+'計算A'!EE$5*100000+IF(AND($E44=1,NR44=0),50000,0))+IF($H44=1,(IF('計算A'!ED$117=1,INDEX('計算A'!ED$10:ED$54,$B44),0)+IF('計算A'!EE$117=1,INDEX('計算A'!EF$10:EF$54,$B44),0))*4000,0)-IF(AND('計算A'!ED$117=1,ZB44&gt;0),2000,0)-IF(AND($L44=1,'計算A'!EE$117=1,ID44=0),2000,0))),1000000))</f>
        <v/>
      </c>
      <c r="TH44">
        <f>IF($B44=0,1000000,IF(INDEX('計算A'!$D$60:$EQ$104,$B44,133)*ID44=1,IF(AND($E44=2,NS44=0),1000000,IF($I44&gt;0,IF(6=$J44,IF(OR(AND(133=$I44+1,OR($K44&lt;&gt;'計算A'!$A$3,'計算A'!$A$4=0)),AND(133=$I44-1,OR(13&lt;&gt;'計算A'!$A$3,'計算A'!$A$4=0))),0,IF(13=$K44,200000,ABS(13-$K44)*100)),100000+ABS(6-$J44)*1000+130)+'計算A'!EF$5*50+IF(AND($E44=1,NS44=0),25,0),IF($F44&gt;0,INDEX('計算A'!EF$110:EF$114,$F44+1)+IF(AND($E44=1,NS44=0),1000,0),MIN(TZ44,20)*400+(IF('計算A'!EE$106=1,1-IC44,0)+IF('計算A'!EF$106=1,1-IE44,0))*150+136+'計算A'!EF$5*100000+IF(AND($E44=1,NS44=0),50000,0))+IF($H44=1,(IF('計算A'!EE$117=1,INDEX('計算A'!EE$10:EE$54,$B44),0)+IF('計算A'!EF$117=1,INDEX('計算A'!EG$10:EG$54,$B44),0))*4000,0)-IF(AND('計算A'!EE$117=1,ZC44&gt;0),2000,0)-IF(AND($L44=1,'計算A'!EF$117=1,IE44=0),2000,0))),1000000))</f>
        <v/>
      </c>
      <c r="TI44">
        <f>IF($B44=0,1000000,IF(INDEX('計算A'!$D$60:$EQ$104,$B44,134)*IE44=1,IF(AND($E44=2,NT44=0),1000000,IF($I44&gt;0,IF(6=$J44,IF(OR(AND(134=$I44+1,OR($K44&lt;&gt;'計算A'!$A$3,'計算A'!$A$4=0)),AND(134=$I44-1,OR(14&lt;&gt;'計算A'!$A$3,'計算A'!$A$4=0))),0,IF(14=$K44,200000,ABS(14-$K44)*100)),100000+ABS(6-$J44)*1000+140)+'計算A'!EG$5*50+IF(AND($E44=1,NT44=0),25,0),IF($F44&gt;0,INDEX('計算A'!EG$110:EG$114,$F44+1)+IF(AND($E44=1,NT44=0),1000,0),MIN(TZ44,20)*400+(IF('計算A'!EF$106=1,1-ID44,0)+IF('計算A'!EG$106=1,1-IF44,0))*150+146+'計算A'!EG$5*100000+IF(AND($E44=1,NT44=0),50000,0))+IF($H44=1,(IF('計算A'!EF$117=1,INDEX('計算A'!EF$10:EF$54,$B44),0)+IF('計算A'!EG$117=1,INDEX('計算A'!EH$10:EH$54,$B44),0))*4000,0)-IF(AND('計算A'!EF$117=1,ZD44&gt;0),2000,0)-IF(AND($L44=1,'計算A'!EG$117=1,IF44=0),2000,0))),1000000))</f>
        <v/>
      </c>
      <c r="TJ44">
        <f>IF($B44=0,1000000,IF(INDEX('計算A'!$D$60:$EQ$104,$B44,135)*IF44=1,IF(AND($E44=2,NU44=0),1000000,IF($I44&gt;0,IF(6=$J44,IF(OR(AND(135=$I44+1,OR($K44&lt;&gt;'計算A'!$A$3,'計算A'!$A$4=0)),AND(135=$I44-1,OR(15&lt;&gt;'計算A'!$A$3,'計算A'!$A$4=0))),0,IF(15=$K44,200000,ABS(15-$K44)*100)),100000+ABS(6-$J44)*1000+150)+'計算A'!EH$5*50+IF(AND($E44=1,NU44=0),25,0),IF($F44&gt;0,INDEX('計算A'!EH$110:EH$114,$F44+1)+IF(AND($E44=1,NU44=0),1000,0),MIN(TZ44,20)*400+(IF('計算A'!EG$106=1,1-IE44,0)+IF('計算A'!EH$106=1,1-IG44,0))*150+156+'計算A'!EH$5*100000+IF(AND($E44=1,NU44=0),50000,0))+IF($H44=1,(IF('計算A'!EG$117=1,INDEX('計算A'!EG$10:EG$54,$B44),0)+IF('計算A'!EH$117=1,INDEX('計算A'!EI$10:EI$54,$B44),0))*4000,0)-IF(AND('計算A'!EG$117=1,ZE44&gt;0),2000,0)-IF(AND($L44=1,'計算A'!EH$117=1,IG44=0),2000,0))),1000000))</f>
        <v/>
      </c>
      <c r="TK44">
        <f>IF($B44=0,1000000,IF(INDEX('計算A'!$D$60:$EQ$104,$B44,136)*IG44=1,IF(AND($E44=2,NV44=0),1000000,IF($I44&gt;0,IF(6=$J44,IF(OR(AND(136=$I44+1,OR($K44&lt;&gt;'計算A'!$A$3,'計算A'!$A$4=0)),AND(136=$I44-1,OR(16&lt;&gt;'計算A'!$A$3,'計算A'!$A$4=0))),0,IF(16=$K44,200000,ABS(16-$K44)*100)),100000+ABS(6-$J44)*1000+160)+'計算A'!EI$5*50+IF(AND($E44=1,NV44=0),25,0),IF($F44&gt;0,INDEX('計算A'!EI$110:EI$114,$F44+1)+IF(AND($E44=1,NV44=0),1000,0),MIN(TZ44,20)*400+(IF('計算A'!EH$106=1,1-IF44,0)+IF('計算A'!EI$106=1,1-IH44,0))*150+166+'計算A'!EI$5*100000+IF(AND($E44=1,NV44=0),50000,0))+IF($H44=1,(IF('計算A'!EH$117=1,INDEX('計算A'!EH$10:EH$54,$B44),0)+IF('計算A'!EI$117=1,INDEX('計算A'!EJ$10:EJ$54,$B44),0))*4000,0)-IF(AND('計算A'!EH$117=1,ZF44&gt;0),2000,0)-IF(AND($L44=1,'計算A'!EI$117=1,IH44=0),2000,0))),1000000))</f>
        <v/>
      </c>
      <c r="TL44">
        <f>IF($B44=0,1000000,IF(INDEX('計算A'!$D$60:$EQ$104,$B44,137)*IH44=1,IF(AND($E44=2,NW44=0),1000000,IF($I44&gt;0,IF(6=$J44,IF(OR(AND(137=$I44+1,OR($K44&lt;&gt;'計算A'!$A$3,'計算A'!$A$4=0)),AND(137=$I44-1,OR(17&lt;&gt;'計算A'!$A$3,'計算A'!$A$4=0))),0,IF(17=$K44,200000,ABS(17-$K44)*100)),100000+ABS(6-$J44)*1000+170)+'計算A'!EJ$5*50+IF(AND($E44=1,NW44=0),25,0),IF($F44&gt;0,INDEX('計算A'!EJ$110:EJ$114,$F44+1)+IF(AND($E44=1,NW44=0),1000,0),MIN(TZ44,20)*400+(IF('計算A'!EI$106=1,1-IG44,0)+IF('計算A'!EJ$106=1,1-II44,0))*150+176+'計算A'!EJ$5*100000+IF(AND($E44=1,NW44=0),50000,0))+IF($H44=1,(IF('計算A'!EI$117=1,INDEX('計算A'!EI$10:EI$54,$B44),0)+IF('計算A'!EJ$117=1,INDEX('計算A'!EK$10:EK$54,$B44),0))*4000,0)-IF(AND('計算A'!EI$117=1,ZG44&gt;0),2000,0)-IF(AND($L44=1,'計算A'!EJ$117=1,II44=0),2000,0))),1000000))</f>
        <v/>
      </c>
      <c r="TM44">
        <f>IF($B44=0,1000000,IF(INDEX('計算A'!$D$60:$EQ$104,$B44,138)*II44=1,IF(AND($E44=2,NX44=0),1000000,IF($I44&gt;0,IF(6=$J44,IF(OR(AND(138=$I44+1,OR($K44&lt;&gt;'計算A'!$A$3,'計算A'!$A$4=0)),AND(138=$I44-1,OR(18&lt;&gt;'計算A'!$A$3,'計算A'!$A$4=0))),0,IF(18=$K44,200000,ABS(18-$K44)*100)),100000+ABS(6-$J44)*1000+180)+'計算A'!EK$5*50+IF(AND($E44=1,NX44=0),25,0),IF($F44&gt;0,INDEX('計算A'!EK$110:EK$114,$F44+1)+IF(AND($E44=1,NX44=0),1000,0),MIN(TZ44,20)*400+(IF('計算A'!EJ$106=1,1-IH44,0)+IF('計算A'!EK$106=1,1-IJ44,0))*150+186+'計算A'!EK$5*100000+IF(AND($E44=1,NX44=0),50000,0))+IF($H44=1,(IF('計算A'!EJ$117=1,INDEX('計算A'!EJ$10:EJ$54,$B44),0)+IF('計算A'!EK$117=1,INDEX('計算A'!EL$10:EL$54,$B44),0))*4000,0)-IF(AND('計算A'!EJ$117=1,ZH44&gt;0),2000,0)-IF(AND($L44=1,'計算A'!EK$117=1,IJ44=0),2000,0))),1000000))</f>
        <v/>
      </c>
      <c r="TN44">
        <f>IF($B44=0,1000000,IF(INDEX('計算A'!$D$60:$EQ$104,$B44,139)*IJ44=1,IF(AND($E44=2,NY44=0),1000000,IF($I44&gt;0,IF(6=$J44,IF(OR(AND(139=$I44+1,OR($K44&lt;&gt;'計算A'!$A$3,'計算A'!$A$4=0)),AND(139=$I44-1,OR(19&lt;&gt;'計算A'!$A$3,'計算A'!$A$4=0))),0,IF(19=$K44,200000,ABS(19-$K44)*100)),100000+ABS(6-$J44)*1000+190)+'計算A'!EL$5*50+IF(AND($E44=1,NY44=0),25,0),IF($F44&gt;0,INDEX('計算A'!EL$110:EL$114,$F44+1)+IF(AND($E44=1,NY44=0),1000,0),MIN(TZ44,20)*400+(IF('計算A'!EK$106=1,1-II44,0)+IF('計算A'!EL$106=1,1-IK44,0))*150+196+'計算A'!EL$5*100000+IF(AND($E44=1,NY44=0),50000,0))+IF($H44=1,(IF('計算A'!EK$117=1,INDEX('計算A'!EK$10:EK$54,$B44),0)+IF('計算A'!EL$117=1,INDEX('計算A'!EM$10:EM$54,$B44),0))*4000,0)-IF(AND('計算A'!EK$117=1,ZI44&gt;0),2000,0)-IF(AND($L44=1,'計算A'!EL$117=1,IK44=0),2000,0))),1000000))</f>
        <v/>
      </c>
      <c r="TO44">
        <f>IF($B44=0,1000000,IF(INDEX('計算A'!$D$60:$EQ$104,$B44,140)*IK44=1,IF(AND($E44=2,NZ44=0),1000000,IF($I44&gt;0,IF(6=$J44,IF(OR(AND(140=$I44+1,OR($K44&lt;&gt;'計算A'!$A$3,'計算A'!$A$4=0)),AND(140=$I44-1,OR(20&lt;&gt;'計算A'!$A$3,'計算A'!$A$4=0))),0,IF(20=$K44,200000,ABS(20-$K44)*100)),100000+ABS(6-$J44)*1000+200)+'計算A'!EM$5*50+IF(AND($E44=1,NZ44=0),25,0),IF($F44&gt;0,INDEX('計算A'!EM$110:EM$114,$F44+1)+IF(AND($E44=1,NZ44=0),1000,0),MIN(TZ44,20)*400+(IF('計算A'!EL$106=1,1-IJ44,0)+IF('計算A'!EM$106=1,1-IL44,0))*150+206+'計算A'!EM$5*100000+IF(AND($E44=1,NZ44=0),50000,0))+IF($H44=1,(IF('計算A'!EL$117=1,INDEX('計算A'!EL$10:EL$54,$B44),0)+IF('計算A'!EM$117=1,INDEX('計算A'!EN$10:EN$54,$B44),0))*4000,0)-IF(AND('計算A'!EL$117=1,ZJ44&gt;0),2000,0)-IF(AND($L44=1,'計算A'!EM$117=1,IL44=0),2000,0))),1000000))</f>
        <v/>
      </c>
      <c r="TP44">
        <f>IF($B44=0,1000000,IF(INDEX('計算A'!$D$60:$EQ$104,$B44,141)*IL44=1,IF(AND($E44=2,OA44=0),1000000,IF($I44&gt;0,IF(6=$J44,IF(OR(AND(141=$I44+1,OR($K44&lt;&gt;'計算A'!$A$3,'計算A'!$A$4=0)),AND(141=$I44-1,OR(21&lt;&gt;'計算A'!$A$3,'計算A'!$A$4=0))),0,IF(21=$K44,200000,ABS(21-$K44)*100)),100000+ABS(6-$J44)*1000+210)+'計算A'!EN$5*50+IF(AND($E44=1,OA44=0),25,0),IF($F44&gt;0,INDEX('計算A'!EN$110:EN$114,$F44+1)+IF(AND($E44=1,OA44=0),1000,0),MIN(TZ44,20)*400+(IF('計算A'!EM$106=1,1-IK44,0)+IF('計算A'!EN$106=1,1-IM44,0))*150+216+'計算A'!EN$5*100000+IF(AND($E44=1,OA44=0),50000,0))+IF($H44=1,(IF('計算A'!EM$117=1,INDEX('計算A'!EM$10:EM$54,$B44),0)+IF('計算A'!EN$117=1,INDEX('計算A'!EO$10:EO$54,$B44),0))*4000,0)-IF(AND('計算A'!EM$117=1,ZK44&gt;0),2000,0)-IF(AND($L44=1,'計算A'!EN$117=1,IM44=0),2000,0))),1000000))</f>
        <v/>
      </c>
      <c r="TQ44">
        <f>IF($B44=0,1000000,IF(INDEX('計算A'!$D$60:$EQ$104,$B44,142)*IM44=1,IF(AND($E44=2,OB44=0),1000000,IF($I44&gt;0,IF(6=$J44,IF(OR(AND(142=$I44+1,OR($K44&lt;&gt;'計算A'!$A$3,'計算A'!$A$4=0)),AND(142=$I44-1,OR(22&lt;&gt;'計算A'!$A$3,'計算A'!$A$4=0))),0,IF(22=$K44,200000,ABS(22-$K44)*100)),100000+ABS(6-$J44)*1000+220)+'計算A'!EO$5*50+IF(AND($E44=1,OB44=0),25,0),IF($F44&gt;0,INDEX('計算A'!EO$110:EO$114,$F44+1)+IF(AND($E44=1,OB44=0),1000,0),MIN(TZ44,20)*400+(IF('計算A'!EN$106=1,1-IL44,0)+IF('計算A'!EO$106=1,1-IN44,0))*150+226+'計算A'!EO$5*100000+IF(AND($E44=1,OB44=0),50000,0))+IF($H44=1,(IF('計算A'!EN$117=1,INDEX('計算A'!EN$10:EN$54,$B44),0)+IF('計算A'!EO$117=1,INDEX('計算A'!EP$10:EP$54,$B44),0))*4000,0)-IF(AND('計算A'!EN$117=1,ZL44&gt;0),2000,0)-IF(AND($L44=1,'計算A'!EO$117=1,IN44=0),2000,0))),1000000))</f>
        <v/>
      </c>
      <c r="TR44">
        <f>IF($B44=0,1000000,IF(INDEX('計算A'!$D$60:$EQ$104,$B44,143)*IN44=1,IF(AND($E44=2,OC44=0),1000000,IF($I44&gt;0,IF(6=$J44,IF(OR(AND(143=$I44+1,OR($K44&lt;&gt;'計算A'!$A$3,'計算A'!$A$4=0)),AND(143=$I44-1,OR(23&lt;&gt;'計算A'!$A$3,'計算A'!$A$4=0))),0,IF(23=$K44,200000,ABS(23-$K44)*100)),100000+ABS(6-$J44)*1000+230)+'計算A'!EP$5*50+IF(AND($E44=1,OC44=0),25,0),IF($F44&gt;0,INDEX('計算A'!EP$110:EP$114,$F44+1)+IF(AND($E44=1,OC44=0),1000,0),MIN(TZ44,20)*400+(IF('計算A'!EO$106=1,1-IM44,0)+IF('計算A'!EP$106=1,1-IO44,0))*150+236+'計算A'!EP$5*100000+IF(AND($E44=1,OC44=0),50000,0))+IF($H44=1,(IF('計算A'!EO$117=1,INDEX('計算A'!EO$10:EO$54,$B44),0)+IF('計算A'!EP$117=1,INDEX('計算A'!EQ$10:EQ$54,$B44),0))*4000,0)-IF(AND('計算A'!EO$117=1,ZM44&gt;0),2000,0)-IF(AND($L44=1,'計算A'!EP$117=1,IO44=0),2000,0))),1000000))</f>
        <v/>
      </c>
      <c r="TS44">
        <f>IF($B44=0,1000000,IF(INDEX('計算A'!$D$60:$EQ$104,$B44,144)*IO44=1,IF(AND($E44=2,OD44=0),1000000,IF($I44&gt;0,IF(6=$J44,IF(OR(AND(144=$I44+1,OR($K44&lt;&gt;'計算A'!$A$3,'計算A'!$A$4=0)),AND(144=$I44-1,OR(24&lt;&gt;'計算A'!$A$3,'計算A'!$A$4=0))),0,IF(24=$K44,200000,ABS(24-$K44)*100)),100000+ABS(6-$J44)*1000+240)+'計算A'!EQ$5*50+IF(AND($E44=1,OD44=0),25,0),IF($F44&gt;0,INDEX('計算A'!EQ$110:EQ$114,$F44+1)+IF(AND($E44=1,OD44=0),1000,0),MIN(TZ44,20)*400+(IF('計算A'!EP$106=1,1-IN44,0))*150+246+'計算A'!EQ$5*100000+IF(AND($E44=1,OD44=0),50000,0))+IF($H44=1,(IF('計算A'!EP$117=1,INDEX('計算A'!EP$10:EP$54,$B44),0))*4000,0)-IF(AND('計算A'!EP$117=1,ZN44&gt;0),2000,0))),1000000))</f>
        <v/>
      </c>
      <c r="TU44">
        <f>TU43+IF($C43&gt;0,IF(INDEX('計算A'!$D$2:$EQ$2,$C43)=1,1,0),0)</f>
        <v/>
      </c>
      <c r="TV44">
        <f>TV43+IF($C43&gt;0,IF(INDEX('計算A'!$D$2:$EQ$2,$C43)=2,1,0),0)</f>
        <v/>
      </c>
      <c r="TW44">
        <f>TW43+IF($C43&gt;0,IF(INDEX('計算A'!$D$2:$EQ$2,$C43)=3,1,0),0)</f>
        <v/>
      </c>
      <c r="TX44">
        <f>TX43+IF($C43&gt;0,IF(INDEX('計算A'!$D$2:$EQ$2,$C43)=4,1,0),0)</f>
        <v/>
      </c>
      <c r="TY44">
        <f>TY43+IF($C43&gt;0,IF(INDEX('計算A'!$D$2:$EQ$2,$C43)=5,1,0),0)</f>
        <v/>
      </c>
      <c r="TZ44">
        <f>TZ43+IF($C43&gt;0,IF(INDEX('計算A'!$D$2:$EQ$2,$C43)=6,1,0),0)</f>
        <v/>
      </c>
      <c r="UB44">
        <f>UB43+IF(AND($C43=1,$L43=1),1,0)</f>
        <v/>
      </c>
      <c r="UC44">
        <f>UC43+IF(AND($C43=2,$L43=1),1,0)</f>
        <v/>
      </c>
      <c r="UD44">
        <f>UD43+IF(AND($C43=3,$L43=1),1,0)</f>
        <v/>
      </c>
      <c r="UE44">
        <f>UE43+IF(AND($C43=4,$L43=1),1,0)</f>
        <v/>
      </c>
      <c r="UF44">
        <f>UF43+IF(AND($C43=5,$L43=1),1,0)</f>
        <v/>
      </c>
      <c r="UG44">
        <f>UG43+IF(AND($C43=6,$L43=1),1,0)</f>
        <v/>
      </c>
      <c r="UH44">
        <f>UH43+IF(AND($C43=7,$L43=1),1,0)</f>
        <v/>
      </c>
      <c r="UI44">
        <f>UI43+IF(AND($C43=8,$L43=1),1,0)</f>
        <v/>
      </c>
      <c r="UJ44">
        <f>UJ43+IF(AND($C43=9,$L43=1),1,0)</f>
        <v/>
      </c>
      <c r="UK44">
        <f>UK43+IF(AND($C43=10,$L43=1),1,0)</f>
        <v/>
      </c>
      <c r="UL44">
        <f>UL43+IF(AND($C43=11,$L43=1),1,0)</f>
        <v/>
      </c>
      <c r="UM44">
        <f>UM43+IF(AND($C43=12,$L43=1),1,0)</f>
        <v/>
      </c>
      <c r="UN44">
        <f>UN43+IF(AND($C43=13,$L43=1),1,0)</f>
        <v/>
      </c>
      <c r="UO44">
        <f>UO43+IF(AND($C43=14,$L43=1),1,0)</f>
        <v/>
      </c>
      <c r="UP44">
        <f>UP43+IF(AND($C43=15,$L43=1),1,0)</f>
        <v/>
      </c>
      <c r="UQ44">
        <f>UQ43+IF(AND($C43=16,$L43=1),1,0)</f>
        <v/>
      </c>
      <c r="UR44">
        <f>UR43+IF(AND($C43=17,$L43=1),1,0)</f>
        <v/>
      </c>
      <c r="US44">
        <f>US43+IF(AND($C43=18,$L43=1),1,0)</f>
        <v/>
      </c>
      <c r="UT44">
        <f>UT43+IF(AND($C43=19,$L43=1),1,0)</f>
        <v/>
      </c>
      <c r="UU44">
        <f>UU43+IF(AND($C43=20,$L43=1),1,0)</f>
        <v/>
      </c>
      <c r="UV44">
        <f>UV43+IF(AND($C43=21,$L43=1),1,0)</f>
        <v/>
      </c>
      <c r="UW44">
        <f>UW43+IF(AND($C43=22,$L43=1),1,0)</f>
        <v/>
      </c>
      <c r="UX44">
        <f>UX43+IF(AND($C43=23,$L43=1),1,0)</f>
        <v/>
      </c>
      <c r="UY44">
        <f>UY43+IF(AND($C43=24,$L43=1),1,0)</f>
        <v/>
      </c>
      <c r="UZ44">
        <f>UZ43+IF(AND($C43=25,$L43=1),1,0)</f>
        <v/>
      </c>
      <c r="VA44">
        <f>VA43+IF(AND($C43=26,$L43=1),1,0)</f>
        <v/>
      </c>
      <c r="VB44">
        <f>VB43+IF(AND($C43=27,$L43=1),1,0)</f>
        <v/>
      </c>
      <c r="VC44">
        <f>VC43+IF(AND($C43=28,$L43=1),1,0)</f>
        <v/>
      </c>
      <c r="VD44">
        <f>VD43+IF(AND($C43=29,$L43=1),1,0)</f>
        <v/>
      </c>
      <c r="VE44">
        <f>VE43+IF(AND($C43=30,$L43=1),1,0)</f>
        <v/>
      </c>
      <c r="VF44">
        <f>VF43+IF(AND($C43=31,$L43=1),1,0)</f>
        <v/>
      </c>
      <c r="VG44">
        <f>VG43+IF(AND($C43=32,$L43=1),1,0)</f>
        <v/>
      </c>
      <c r="VH44">
        <f>VH43+IF(AND($C43=33,$L43=1),1,0)</f>
        <v/>
      </c>
      <c r="VI44">
        <f>VI43+IF(AND($C43=34,$L43=1),1,0)</f>
        <v/>
      </c>
      <c r="VJ44">
        <f>VJ43+IF(AND($C43=35,$L43=1),1,0)</f>
        <v/>
      </c>
      <c r="VK44">
        <f>VK43+IF(AND($C43=36,$L43=1),1,0)</f>
        <v/>
      </c>
      <c r="VL44">
        <f>VL43+IF(AND($C43=37,$L43=1),1,0)</f>
        <v/>
      </c>
      <c r="VM44">
        <f>VM43+IF(AND($C43=38,$L43=1),1,0)</f>
        <v/>
      </c>
      <c r="VN44">
        <f>VN43+IF(AND($C43=39,$L43=1),1,0)</f>
        <v/>
      </c>
      <c r="VO44">
        <f>VO43+IF(AND($C43=40,$L43=1),1,0)</f>
        <v/>
      </c>
      <c r="VP44">
        <f>VP43+IF(AND($C43=41,$L43=1),1,0)</f>
        <v/>
      </c>
      <c r="VQ44">
        <f>VQ43+IF(AND($C43=42,$L43=1),1,0)</f>
        <v/>
      </c>
      <c r="VR44">
        <f>VR43+IF(AND($C43=43,$L43=1),1,0)</f>
        <v/>
      </c>
      <c r="VS44">
        <f>VS43+IF(AND($C43=44,$L43=1),1,0)</f>
        <v/>
      </c>
      <c r="VT44">
        <f>VT43+IF(AND($C43=45,$L43=1),1,0)</f>
        <v/>
      </c>
      <c r="VU44">
        <f>VU43+IF(AND($C43=46,$L43=1),1,0)</f>
        <v/>
      </c>
      <c r="VV44">
        <f>VV43+IF(AND($C43=47,$L43=1),1,0)</f>
        <v/>
      </c>
      <c r="VW44">
        <f>VW43+IF(AND($C43=48,$L43=1),1,0)</f>
        <v/>
      </c>
      <c r="VX44">
        <f>VX43+IF(AND($C43=49,$L43=1),1,0)</f>
        <v/>
      </c>
      <c r="VY44">
        <f>VY43+IF(AND($C43=50,$L43=1),1,0)</f>
        <v/>
      </c>
      <c r="VZ44">
        <f>VZ43+IF(AND($C43=51,$L43=1),1,0)</f>
        <v/>
      </c>
      <c r="WA44">
        <f>WA43+IF(AND($C43=52,$L43=1),1,0)</f>
        <v/>
      </c>
      <c r="WB44">
        <f>WB43+IF(AND($C43=53,$L43=1),1,0)</f>
        <v/>
      </c>
      <c r="WC44">
        <f>WC43+IF(AND($C43=54,$L43=1),1,0)</f>
        <v/>
      </c>
      <c r="WD44">
        <f>WD43+IF(AND($C43=55,$L43=1),1,0)</f>
        <v/>
      </c>
      <c r="WE44">
        <f>WE43+IF(AND($C43=56,$L43=1),1,0)</f>
        <v/>
      </c>
      <c r="WF44">
        <f>WF43+IF(AND($C43=57,$L43=1),1,0)</f>
        <v/>
      </c>
      <c r="WG44">
        <f>WG43+IF(AND($C43=58,$L43=1),1,0)</f>
        <v/>
      </c>
      <c r="WH44">
        <f>WH43+IF(AND($C43=59,$L43=1),1,0)</f>
        <v/>
      </c>
      <c r="WI44">
        <f>WI43+IF(AND($C43=60,$L43=1),1,0)</f>
        <v/>
      </c>
      <c r="WJ44">
        <f>WJ43+IF(AND($C43=61,$L43=1),1,0)</f>
        <v/>
      </c>
      <c r="WK44">
        <f>WK43+IF(AND($C43=62,$L43=1),1,0)</f>
        <v/>
      </c>
      <c r="WL44">
        <f>WL43+IF(AND($C43=63,$L43=1),1,0)</f>
        <v/>
      </c>
      <c r="WM44">
        <f>WM43+IF(AND($C43=64,$L43=1),1,0)</f>
        <v/>
      </c>
      <c r="WN44">
        <f>WN43+IF(AND($C43=65,$L43=1),1,0)</f>
        <v/>
      </c>
      <c r="WO44">
        <f>WO43+IF(AND($C43=66,$L43=1),1,0)</f>
        <v/>
      </c>
      <c r="WP44">
        <f>WP43+IF(AND($C43=67,$L43=1),1,0)</f>
        <v/>
      </c>
      <c r="WQ44">
        <f>WQ43+IF(AND($C43=68,$L43=1),1,0)</f>
        <v/>
      </c>
      <c r="WR44">
        <f>WR43+IF(AND($C43=69,$L43=1),1,0)</f>
        <v/>
      </c>
      <c r="WS44">
        <f>WS43+IF(AND($C43=70,$L43=1),1,0)</f>
        <v/>
      </c>
      <c r="WT44">
        <f>WT43+IF(AND($C43=71,$L43=1),1,0)</f>
        <v/>
      </c>
      <c r="WU44">
        <f>WU43+IF(AND($C43=72,$L43=1),1,0)</f>
        <v/>
      </c>
      <c r="WV44">
        <f>WV43+IF(AND($C43=73,$L43=1),1,0)</f>
        <v/>
      </c>
      <c r="WW44">
        <f>WW43+IF(AND($C43=74,$L43=1),1,0)</f>
        <v/>
      </c>
      <c r="WX44">
        <f>WX43+IF(AND($C43=75,$L43=1),1,0)</f>
        <v/>
      </c>
      <c r="WY44">
        <f>WY43+IF(AND($C43=76,$L43=1),1,0)</f>
        <v/>
      </c>
      <c r="WZ44">
        <f>WZ43+IF(AND($C43=77,$L43=1),1,0)</f>
        <v/>
      </c>
      <c r="XA44">
        <f>XA43+IF(AND($C43=78,$L43=1),1,0)</f>
        <v/>
      </c>
      <c r="XB44">
        <f>XB43+IF(AND($C43=79,$L43=1),1,0)</f>
        <v/>
      </c>
      <c r="XC44">
        <f>XC43+IF(AND($C43=80,$L43=1),1,0)</f>
        <v/>
      </c>
      <c r="XD44">
        <f>XD43+IF(AND($C43=81,$L43=1),1,0)</f>
        <v/>
      </c>
      <c r="XE44">
        <f>XE43+IF(AND($C43=82,$L43=1),1,0)</f>
        <v/>
      </c>
      <c r="XF44">
        <f>XF43+IF(AND($C43=83,$L43=1),1,0)</f>
        <v/>
      </c>
      <c r="XG44">
        <f>XG43+IF(AND($C43=84,$L43=1),1,0)</f>
        <v/>
      </c>
      <c r="XH44">
        <f>XH43+IF(AND($C43=85,$L43=1),1,0)</f>
        <v/>
      </c>
      <c r="XI44">
        <f>XI43+IF(AND($C43=86,$L43=1),1,0)</f>
        <v/>
      </c>
      <c r="XJ44">
        <f>XJ43+IF(AND($C43=87,$L43=1),1,0)</f>
        <v/>
      </c>
      <c r="XK44">
        <f>XK43+IF(AND($C43=88,$L43=1),1,0)</f>
        <v/>
      </c>
      <c r="XL44">
        <f>XL43+IF(AND($C43=89,$L43=1),1,0)</f>
        <v/>
      </c>
      <c r="XM44">
        <f>XM43+IF(AND($C43=90,$L43=1),1,0)</f>
        <v/>
      </c>
      <c r="XN44">
        <f>XN43+IF(AND($C43=91,$L43=1),1,0)</f>
        <v/>
      </c>
      <c r="XO44">
        <f>XO43+IF(AND($C43=92,$L43=1),1,0)</f>
        <v/>
      </c>
      <c r="XP44">
        <f>XP43+IF(AND($C43=93,$L43=1),1,0)</f>
        <v/>
      </c>
      <c r="XQ44">
        <f>XQ43+IF(AND($C43=94,$L43=1),1,0)</f>
        <v/>
      </c>
      <c r="XR44">
        <f>XR43+IF(AND($C43=95,$L43=1),1,0)</f>
        <v/>
      </c>
      <c r="XS44">
        <f>XS43+IF(AND($C43=96,$L43=1),1,0)</f>
        <v/>
      </c>
      <c r="XT44">
        <f>XT43+IF(AND($C43=97,$L43=1),1,0)</f>
        <v/>
      </c>
      <c r="XU44">
        <f>XU43+IF(AND($C43=98,$L43=1),1,0)</f>
        <v/>
      </c>
      <c r="XV44">
        <f>XV43+IF(AND($C43=99,$L43=1),1,0)</f>
        <v/>
      </c>
      <c r="XW44">
        <f>XW43+IF(AND($C43=100,$L43=1),1,0)</f>
        <v/>
      </c>
      <c r="XX44">
        <f>XX43+IF(AND($C43=101,$L43=1),1,0)</f>
        <v/>
      </c>
      <c r="XY44">
        <f>XY43+IF(AND($C43=102,$L43=1),1,0)</f>
        <v/>
      </c>
      <c r="XZ44">
        <f>XZ43+IF(AND($C43=103,$L43=1),1,0)</f>
        <v/>
      </c>
      <c r="YA44">
        <f>YA43+IF(AND($C43=104,$L43=1),1,0)</f>
        <v/>
      </c>
      <c r="YB44">
        <f>YB43+IF(AND($C43=105,$L43=1),1,0)</f>
        <v/>
      </c>
      <c r="YC44">
        <f>YC43+IF(AND($C43=106,$L43=1),1,0)</f>
        <v/>
      </c>
      <c r="YD44">
        <f>YD43+IF(AND($C43=107,$L43=1),1,0)</f>
        <v/>
      </c>
      <c r="YE44">
        <f>YE43+IF(AND($C43=108,$L43=1),1,0)</f>
        <v/>
      </c>
      <c r="YF44">
        <f>YF43+IF(AND($C43=109,$L43=1),1,0)</f>
        <v/>
      </c>
      <c r="YG44">
        <f>YG43+IF(AND($C43=110,$L43=1),1,0)</f>
        <v/>
      </c>
      <c r="YH44">
        <f>YH43+IF(AND($C43=111,$L43=1),1,0)</f>
        <v/>
      </c>
      <c r="YI44">
        <f>YI43+IF(AND($C43=112,$L43=1),1,0)</f>
        <v/>
      </c>
      <c r="YJ44">
        <f>YJ43+IF(AND($C43=113,$L43=1),1,0)</f>
        <v/>
      </c>
      <c r="YK44">
        <f>YK43+IF(AND($C43=114,$L43=1),1,0)</f>
        <v/>
      </c>
      <c r="YL44">
        <f>YL43+IF(AND($C43=115,$L43=1),1,0)</f>
        <v/>
      </c>
      <c r="YM44">
        <f>YM43+IF(AND($C43=116,$L43=1),1,0)</f>
        <v/>
      </c>
      <c r="YN44">
        <f>YN43+IF(AND($C43=117,$L43=1),1,0)</f>
        <v/>
      </c>
      <c r="YO44">
        <f>YO43+IF(AND($C43=118,$L43=1),1,0)</f>
        <v/>
      </c>
      <c r="YP44">
        <f>YP43+IF(AND($C43=119,$L43=1),1,0)</f>
        <v/>
      </c>
      <c r="YQ44">
        <f>YQ43+IF(AND($C43=120,$L43=1),1,0)</f>
        <v/>
      </c>
      <c r="YR44">
        <f>YR43+IF(AND($C43=121,$L43=1),1,0)</f>
        <v/>
      </c>
      <c r="YS44">
        <f>YS43+IF(AND($C43=122,$L43=1),1,0)</f>
        <v/>
      </c>
      <c r="YT44">
        <f>YT43+IF(AND($C43=123,$L43=1),1,0)</f>
        <v/>
      </c>
      <c r="YU44">
        <f>YU43+IF(AND($C43=124,$L43=1),1,0)</f>
        <v/>
      </c>
      <c r="YV44">
        <f>YV43+IF(AND($C43=125,$L43=1),1,0)</f>
        <v/>
      </c>
      <c r="YW44">
        <f>YW43+IF(AND($C43=126,$L43=1),1,0)</f>
        <v/>
      </c>
      <c r="YX44">
        <f>YX43+IF(AND($C43=127,$L43=1),1,0)</f>
        <v/>
      </c>
      <c r="YY44">
        <f>YY43+IF(AND($C43=128,$L43=1),1,0)</f>
        <v/>
      </c>
      <c r="YZ44">
        <f>YZ43+IF(AND($C43=129,$L43=1),1,0)</f>
        <v/>
      </c>
      <c r="ZA44">
        <f>ZA43+IF(AND($C43=130,$L43=1),1,0)</f>
        <v/>
      </c>
      <c r="ZB44">
        <f>ZB43+IF(AND($C43=131,$L43=1),1,0)</f>
        <v/>
      </c>
      <c r="ZC44">
        <f>ZC43+IF(AND($C43=132,$L43=1),1,0)</f>
        <v/>
      </c>
      <c r="ZD44">
        <f>ZD43+IF(AND($C43=133,$L43=1),1,0)</f>
        <v/>
      </c>
      <c r="ZE44">
        <f>ZE43+IF(AND($C43=134,$L43=1),1,0)</f>
        <v/>
      </c>
      <c r="ZF44">
        <f>ZF43+IF(AND($C43=135,$L43=1),1,0)</f>
        <v/>
      </c>
      <c r="ZG44">
        <f>ZG43+IF(AND($C43=136,$L43=1),1,0)</f>
        <v/>
      </c>
      <c r="ZH44">
        <f>ZH43+IF(AND($C43=137,$L43=1),1,0)</f>
        <v/>
      </c>
      <c r="ZI44">
        <f>ZI43+IF(AND($C43=138,$L43=1),1,0)</f>
        <v/>
      </c>
      <c r="ZJ44">
        <f>ZJ43+IF(AND($C43=139,$L43=1),1,0)</f>
        <v/>
      </c>
      <c r="ZK44">
        <f>ZK43+IF(AND($C43=140,$L43=1),1,0)</f>
        <v/>
      </c>
      <c r="ZL44">
        <f>ZL43+IF(AND($C43=141,$L43=1),1,0)</f>
        <v/>
      </c>
      <c r="ZM44">
        <f>ZM43+IF(AND($C43=142,$L43=1),1,0)</f>
        <v/>
      </c>
      <c r="ZN44">
        <f>ZN43+IF(AND($C43=143,$L43=1),1,0)</f>
        <v/>
      </c>
      <c r="ZO44">
        <f>ZO43+IF(AND($C43=144,$L43=1),1,0)</f>
        <v/>
      </c>
    </row>
    <row r="45">
      <c r="A45" t="n">
        <v>43</v>
      </c>
      <c r="B45">
        <f>IF(MIN(BH45:CZ45)&gt;=1000000,0,MATCH(MIN(BH45:CZ45),BH45:CZ45,0))</f>
        <v/>
      </c>
      <c r="C45">
        <f>IF(MIN(OF45:TS45)&gt;=1000000,0,MATCH(MIN(OF45:TS45),OF45:TS45,0))</f>
        <v/>
      </c>
      <c r="D45">
        <f>IF(C45&gt;0,INDEX('計算A'!$D$5:$EQ$5,C45),0)</f>
        <v/>
      </c>
      <c r="E45">
        <f>IF(B45=0,0,INDEX('計算A'!$IQ$10:$IQ$54,B45))</f>
        <v/>
      </c>
      <c r="F45">
        <f>IF(B45=0,0,INDEX('計算A'!$IP$10:$IP$54,B45))</f>
        <v/>
      </c>
      <c r="G45">
        <f>IF(AND(C45&gt;0,E45&gt;0),IF(AND(INDEX('計算A'!$D$106:$EQ$106,C45)=1,INDEX($IQ45:$OD45,C45)=1),C45+1,0),0)</f>
        <v/>
      </c>
      <c r="H45">
        <f>IF(B45=0,0,INDEX('計算A'!$IW$10:$IW$54,B45))</f>
        <v/>
      </c>
      <c r="I45">
        <f>IF(B45=0,0,MAX(0,INDEX('計算A'!$IT$10:$IT$54,B45)))</f>
        <v/>
      </c>
      <c r="J45">
        <f>IF(I45=0,0,INDEX('計算A'!$D$2:$EQ$2,I45))</f>
        <v/>
      </c>
      <c r="K45">
        <f>IF(I45=0,0,INDEX('計算A'!$D$3:$EQ$3,I45))</f>
        <v/>
      </c>
      <c r="L45">
        <f>IF(B45=0,0,INDEX('計算A'!$IX$10:$IX$54,B45))</f>
        <v/>
      </c>
      <c r="N45">
        <f>MAX(N44,IF($B44=1,1,0))</f>
        <v/>
      </c>
      <c r="O45">
        <f>MAX(O44,IF($B44=2,1,0))</f>
        <v/>
      </c>
      <c r="P45">
        <f>MAX(P44,IF($B44=3,1,0))</f>
        <v/>
      </c>
      <c r="Q45">
        <f>MAX(Q44,IF($B44=4,1,0))</f>
        <v/>
      </c>
      <c r="R45">
        <f>MAX(R44,IF($B44=5,1,0))</f>
        <v/>
      </c>
      <c r="S45">
        <f>MAX(S44,IF($B44=6,1,0))</f>
        <v/>
      </c>
      <c r="T45">
        <f>MAX(T44,IF($B44=7,1,0))</f>
        <v/>
      </c>
      <c r="U45">
        <f>MAX(U44,IF($B44=8,1,0))</f>
        <v/>
      </c>
      <c r="V45">
        <f>MAX(V44,IF($B44=9,1,0))</f>
        <v/>
      </c>
      <c r="W45">
        <f>MAX(W44,IF($B44=10,1,0))</f>
        <v/>
      </c>
      <c r="X45">
        <f>MAX(X44,IF($B44=11,1,0))</f>
        <v/>
      </c>
      <c r="Y45">
        <f>MAX(Y44,IF($B44=12,1,0))</f>
        <v/>
      </c>
      <c r="Z45">
        <f>MAX(Z44,IF($B44=13,1,0))</f>
        <v/>
      </c>
      <c r="AA45">
        <f>MAX(AA44,IF($B44=14,1,0))</f>
        <v/>
      </c>
      <c r="AB45">
        <f>MAX(AB44,IF($B44=15,1,0))</f>
        <v/>
      </c>
      <c r="AC45">
        <f>MAX(AC44,IF($B44=16,1,0))</f>
        <v/>
      </c>
      <c r="AD45">
        <f>MAX(AD44,IF($B44=17,1,0))</f>
        <v/>
      </c>
      <c r="AE45">
        <f>MAX(AE44,IF($B44=18,1,0))</f>
        <v/>
      </c>
      <c r="AF45">
        <f>MAX(AF44,IF($B44=19,1,0))</f>
        <v/>
      </c>
      <c r="AG45">
        <f>MAX(AG44,IF($B44=20,1,0))</f>
        <v/>
      </c>
      <c r="AH45">
        <f>MAX(AH44,IF($B44=21,1,0))</f>
        <v/>
      </c>
      <c r="AI45">
        <f>MAX(AI44,IF($B44=22,1,0))</f>
        <v/>
      </c>
      <c r="AJ45">
        <f>MAX(AJ44,IF($B44=23,1,0))</f>
        <v/>
      </c>
      <c r="AK45">
        <f>MAX(AK44,IF($B44=24,1,0))</f>
        <v/>
      </c>
      <c r="AL45">
        <f>MAX(AL44,IF($B44=25,1,0))</f>
        <v/>
      </c>
      <c r="AM45">
        <f>MAX(AM44,IF($B44=26,1,0))</f>
        <v/>
      </c>
      <c r="AN45">
        <f>MAX(AN44,IF($B44=27,1,0))</f>
        <v/>
      </c>
      <c r="AO45">
        <f>MAX(AO44,IF($B44=28,1,0))</f>
        <v/>
      </c>
      <c r="AP45">
        <f>MAX(AP44,IF($B44=29,1,0))</f>
        <v/>
      </c>
      <c r="AQ45">
        <f>MAX(AQ44,IF($B44=30,1,0))</f>
        <v/>
      </c>
      <c r="AR45">
        <f>MAX(AR44,IF($B44=31,1,0))</f>
        <v/>
      </c>
      <c r="AS45">
        <f>MAX(AS44,IF($B44=32,1,0))</f>
        <v/>
      </c>
      <c r="AT45">
        <f>MAX(AT44,IF($B44=33,1,0))</f>
        <v/>
      </c>
      <c r="AU45">
        <f>MAX(AU44,IF($B44=34,1,0))</f>
        <v/>
      </c>
      <c r="AV45">
        <f>MAX(AV44,IF($B44=35,1,0))</f>
        <v/>
      </c>
      <c r="AW45">
        <f>MAX(AW44,IF($B44=36,1,0))</f>
        <v/>
      </c>
      <c r="AX45">
        <f>MAX(AX44,IF($B44=37,1,0))</f>
        <v/>
      </c>
      <c r="AY45">
        <f>MAX(AY44,IF($B44=38,1,0))</f>
        <v/>
      </c>
      <c r="AZ45">
        <f>MAX(AZ44,IF($B44=39,1,0))</f>
        <v/>
      </c>
      <c r="BA45">
        <f>MAX(BA44,IF($B44=40,1,0))</f>
        <v/>
      </c>
      <c r="BB45">
        <f>MAX(BB44,IF($B44=41,1,0))</f>
        <v/>
      </c>
      <c r="BC45">
        <f>MAX(BC44,IF($B44=42,1,0))</f>
        <v/>
      </c>
      <c r="BD45">
        <f>MAX(BD44,IF($B44=43,1,0))</f>
        <v/>
      </c>
      <c r="BE45">
        <f>MAX(BE44,IF($B44=44,1,0))</f>
        <v/>
      </c>
      <c r="BF45">
        <f>MAX(BF44,IF($B44=45,1,0))</f>
        <v/>
      </c>
      <c r="BH45">
        <f>IF(N45=1,1000000,IF('計算A'!$IT$10&gt;0,0,500000)+IF('計算A'!$IQ$10=2,SUMPRODUCT('計算A'!$D$60:$EQ$60,$DB45:$IO45,$IQ45:$OD45),SUMPRODUCT('計算A'!$D$60:$EQ$60,$DB45:$IO45))*1000+1)</f>
        <v/>
      </c>
      <c r="BI45">
        <f>IF(O45=1,1000000,IF('計算A'!$IT$11&gt;0,0,500000)+IF('計算A'!$IQ$11=2,SUMPRODUCT('計算A'!$D$61:$EQ$61,$DB45:$IO45,$IQ45:$OD45),SUMPRODUCT('計算A'!$D$61:$EQ$61,$DB45:$IO45))*1000+2)</f>
        <v/>
      </c>
      <c r="BJ45">
        <f>IF(P45=1,1000000,IF('計算A'!$IT$12&gt;0,0,500000)+IF('計算A'!$IQ$12=2,SUMPRODUCT('計算A'!$D$62:$EQ$62,$DB45:$IO45,$IQ45:$OD45),SUMPRODUCT('計算A'!$D$62:$EQ$62,$DB45:$IO45))*1000+3)</f>
        <v/>
      </c>
      <c r="BK45">
        <f>IF(Q45=1,1000000,IF('計算A'!$IT$13&gt;0,0,500000)+IF('計算A'!$IQ$13=2,SUMPRODUCT('計算A'!$D$63:$EQ$63,$DB45:$IO45,$IQ45:$OD45),SUMPRODUCT('計算A'!$D$63:$EQ$63,$DB45:$IO45))*1000+4)</f>
        <v/>
      </c>
      <c r="BL45">
        <f>IF(R45=1,1000000,IF('計算A'!$IT$14&gt;0,0,500000)+IF('計算A'!$IQ$14=2,SUMPRODUCT('計算A'!$D$64:$EQ$64,$DB45:$IO45,$IQ45:$OD45),SUMPRODUCT('計算A'!$D$64:$EQ$64,$DB45:$IO45))*1000+5)</f>
        <v/>
      </c>
      <c r="BM45">
        <f>IF(S45=1,1000000,IF('計算A'!$IT$15&gt;0,0,500000)+IF('計算A'!$IQ$15=2,SUMPRODUCT('計算A'!$D$65:$EQ$65,$DB45:$IO45,$IQ45:$OD45),SUMPRODUCT('計算A'!$D$65:$EQ$65,$DB45:$IO45))*1000+6)</f>
        <v/>
      </c>
      <c r="BN45">
        <f>IF(T45=1,1000000,IF('計算A'!$IT$16&gt;0,0,500000)+IF('計算A'!$IQ$16=2,SUMPRODUCT('計算A'!$D$66:$EQ$66,$DB45:$IO45,$IQ45:$OD45),SUMPRODUCT('計算A'!$D$66:$EQ$66,$DB45:$IO45))*1000+7)</f>
        <v/>
      </c>
      <c r="BO45">
        <f>IF(U45=1,1000000,IF('計算A'!$IT$17&gt;0,0,500000)+IF('計算A'!$IQ$17=2,SUMPRODUCT('計算A'!$D$67:$EQ$67,$DB45:$IO45,$IQ45:$OD45),SUMPRODUCT('計算A'!$D$67:$EQ$67,$DB45:$IO45))*1000+8)</f>
        <v/>
      </c>
      <c r="BP45">
        <f>IF(V45=1,1000000,IF('計算A'!$IT$18&gt;0,0,500000)+IF('計算A'!$IQ$18=2,SUMPRODUCT('計算A'!$D$68:$EQ$68,$DB45:$IO45,$IQ45:$OD45),SUMPRODUCT('計算A'!$D$68:$EQ$68,$DB45:$IO45))*1000+9)</f>
        <v/>
      </c>
      <c r="BQ45">
        <f>IF(W45=1,1000000,IF('計算A'!$IT$19&gt;0,0,500000)+IF('計算A'!$IQ$19=2,SUMPRODUCT('計算A'!$D$69:$EQ$69,$DB45:$IO45,$IQ45:$OD45),SUMPRODUCT('計算A'!$D$69:$EQ$69,$DB45:$IO45))*1000+10)</f>
        <v/>
      </c>
      <c r="BR45">
        <f>IF(X45=1,1000000,IF('計算A'!$IT$20&gt;0,0,500000)+IF('計算A'!$IQ$20=2,SUMPRODUCT('計算A'!$D$70:$EQ$70,$DB45:$IO45,$IQ45:$OD45),SUMPRODUCT('計算A'!$D$70:$EQ$70,$DB45:$IO45))*1000+11)</f>
        <v/>
      </c>
      <c r="BS45">
        <f>IF(Y45=1,1000000,IF('計算A'!$IT$21&gt;0,0,500000)+IF('計算A'!$IQ$21=2,SUMPRODUCT('計算A'!$D$71:$EQ$71,$DB45:$IO45,$IQ45:$OD45),SUMPRODUCT('計算A'!$D$71:$EQ$71,$DB45:$IO45))*1000+12)</f>
        <v/>
      </c>
      <c r="BT45">
        <f>IF(Z45=1,1000000,IF('計算A'!$IT$22&gt;0,0,500000)+IF('計算A'!$IQ$22=2,SUMPRODUCT('計算A'!$D$72:$EQ$72,$DB45:$IO45,$IQ45:$OD45),SUMPRODUCT('計算A'!$D$72:$EQ$72,$DB45:$IO45))*1000+13)</f>
        <v/>
      </c>
      <c r="BU45">
        <f>IF(AA45=1,1000000,IF('計算A'!$IT$23&gt;0,0,500000)+IF('計算A'!$IQ$23=2,SUMPRODUCT('計算A'!$D$73:$EQ$73,$DB45:$IO45,$IQ45:$OD45),SUMPRODUCT('計算A'!$D$73:$EQ$73,$DB45:$IO45))*1000+14)</f>
        <v/>
      </c>
      <c r="BV45">
        <f>IF(AB45=1,1000000,IF('計算A'!$IT$24&gt;0,0,500000)+IF('計算A'!$IQ$24=2,SUMPRODUCT('計算A'!$D$74:$EQ$74,$DB45:$IO45,$IQ45:$OD45),SUMPRODUCT('計算A'!$D$74:$EQ$74,$DB45:$IO45))*1000+15)</f>
        <v/>
      </c>
      <c r="BW45">
        <f>IF(AC45=1,1000000,IF('計算A'!$IT$25&gt;0,0,500000)+IF('計算A'!$IQ$25=2,SUMPRODUCT('計算A'!$D$75:$EQ$75,$DB45:$IO45,$IQ45:$OD45),SUMPRODUCT('計算A'!$D$75:$EQ$75,$DB45:$IO45))*1000+16)</f>
        <v/>
      </c>
      <c r="BX45">
        <f>IF(AD45=1,1000000,IF('計算A'!$IT$26&gt;0,0,500000)+IF('計算A'!$IQ$26=2,SUMPRODUCT('計算A'!$D$76:$EQ$76,$DB45:$IO45,$IQ45:$OD45),SUMPRODUCT('計算A'!$D$76:$EQ$76,$DB45:$IO45))*1000+17)</f>
        <v/>
      </c>
      <c r="BY45">
        <f>IF(AE45=1,1000000,IF('計算A'!$IT$27&gt;0,0,500000)+IF('計算A'!$IQ$27=2,SUMPRODUCT('計算A'!$D$77:$EQ$77,$DB45:$IO45,$IQ45:$OD45),SUMPRODUCT('計算A'!$D$77:$EQ$77,$DB45:$IO45))*1000+18)</f>
        <v/>
      </c>
      <c r="BZ45">
        <f>IF(AF45=1,1000000,IF('計算A'!$IT$28&gt;0,0,500000)+IF('計算A'!$IQ$28=2,SUMPRODUCT('計算A'!$D$78:$EQ$78,$DB45:$IO45,$IQ45:$OD45),SUMPRODUCT('計算A'!$D$78:$EQ$78,$DB45:$IO45))*1000+19)</f>
        <v/>
      </c>
      <c r="CA45">
        <f>IF(AG45=1,1000000,IF('計算A'!$IT$29&gt;0,0,500000)+IF('計算A'!$IQ$29=2,SUMPRODUCT('計算A'!$D$79:$EQ$79,$DB45:$IO45,$IQ45:$OD45),SUMPRODUCT('計算A'!$D$79:$EQ$79,$DB45:$IO45))*1000+20)</f>
        <v/>
      </c>
      <c r="CB45">
        <f>IF(AH45=1,1000000,IF('計算A'!$IT$30&gt;0,0,500000)+IF('計算A'!$IQ$30=2,SUMPRODUCT('計算A'!$D$80:$EQ$80,$DB45:$IO45,$IQ45:$OD45),SUMPRODUCT('計算A'!$D$80:$EQ$80,$DB45:$IO45))*1000+21)</f>
        <v/>
      </c>
      <c r="CC45">
        <f>IF(AI45=1,1000000,IF('計算A'!$IT$31&gt;0,0,500000)+IF('計算A'!$IQ$31=2,SUMPRODUCT('計算A'!$D$81:$EQ$81,$DB45:$IO45,$IQ45:$OD45),SUMPRODUCT('計算A'!$D$81:$EQ$81,$DB45:$IO45))*1000+22)</f>
        <v/>
      </c>
      <c r="CD45">
        <f>IF(AJ45=1,1000000,IF('計算A'!$IT$32&gt;0,0,500000)+IF('計算A'!$IQ$32=2,SUMPRODUCT('計算A'!$D$82:$EQ$82,$DB45:$IO45,$IQ45:$OD45),SUMPRODUCT('計算A'!$D$82:$EQ$82,$DB45:$IO45))*1000+23)</f>
        <v/>
      </c>
      <c r="CE45">
        <f>IF(AK45=1,1000000,IF('計算A'!$IT$33&gt;0,0,500000)+IF('計算A'!$IQ$33=2,SUMPRODUCT('計算A'!$D$83:$EQ$83,$DB45:$IO45,$IQ45:$OD45),SUMPRODUCT('計算A'!$D$83:$EQ$83,$DB45:$IO45))*1000+24)</f>
        <v/>
      </c>
      <c r="CF45">
        <f>IF(AL45=1,1000000,IF('計算A'!$IT$34&gt;0,0,500000)+IF('計算A'!$IQ$34=2,SUMPRODUCT('計算A'!$D$84:$EQ$84,$DB45:$IO45,$IQ45:$OD45),SUMPRODUCT('計算A'!$D$84:$EQ$84,$DB45:$IO45))*1000+25)</f>
        <v/>
      </c>
      <c r="CG45">
        <f>IF(AM45=1,1000000,IF('計算A'!$IT$35&gt;0,0,500000)+IF('計算A'!$IQ$35=2,SUMPRODUCT('計算A'!$D$85:$EQ$85,$DB45:$IO45,$IQ45:$OD45),SUMPRODUCT('計算A'!$D$85:$EQ$85,$DB45:$IO45))*1000+26)</f>
        <v/>
      </c>
      <c r="CH45">
        <f>IF(AN45=1,1000000,IF('計算A'!$IT$36&gt;0,0,500000)+IF('計算A'!$IQ$36=2,SUMPRODUCT('計算A'!$D$86:$EQ$86,$DB45:$IO45,$IQ45:$OD45),SUMPRODUCT('計算A'!$D$86:$EQ$86,$DB45:$IO45))*1000+27)</f>
        <v/>
      </c>
      <c r="CI45">
        <f>IF(AO45=1,1000000,IF('計算A'!$IT$37&gt;0,0,500000)+IF('計算A'!$IQ$37=2,SUMPRODUCT('計算A'!$D$87:$EQ$87,$DB45:$IO45,$IQ45:$OD45),SUMPRODUCT('計算A'!$D$87:$EQ$87,$DB45:$IO45))*1000+28)</f>
        <v/>
      </c>
      <c r="CJ45">
        <f>IF(AP45=1,1000000,IF('計算A'!$IT$38&gt;0,0,500000)+IF('計算A'!$IQ$38=2,SUMPRODUCT('計算A'!$D$88:$EQ$88,$DB45:$IO45,$IQ45:$OD45),SUMPRODUCT('計算A'!$D$88:$EQ$88,$DB45:$IO45))*1000+29)</f>
        <v/>
      </c>
      <c r="CK45">
        <f>IF(AQ45=1,1000000,IF('計算A'!$IT$39&gt;0,0,500000)+IF('計算A'!$IQ$39=2,SUMPRODUCT('計算A'!$D$89:$EQ$89,$DB45:$IO45,$IQ45:$OD45),SUMPRODUCT('計算A'!$D$89:$EQ$89,$DB45:$IO45))*1000+30)</f>
        <v/>
      </c>
      <c r="CL45">
        <f>IF(AR45=1,1000000,IF('計算A'!$IT$40&gt;0,0,500000)+IF('計算A'!$IQ$40=2,SUMPRODUCT('計算A'!$D$90:$EQ$90,$DB45:$IO45,$IQ45:$OD45),SUMPRODUCT('計算A'!$D$90:$EQ$90,$DB45:$IO45))*1000+31)</f>
        <v/>
      </c>
      <c r="CM45">
        <f>IF(AS45=1,1000000,IF('計算A'!$IT$41&gt;0,0,500000)+IF('計算A'!$IQ$41=2,SUMPRODUCT('計算A'!$D$91:$EQ$91,$DB45:$IO45,$IQ45:$OD45),SUMPRODUCT('計算A'!$D$91:$EQ$91,$DB45:$IO45))*1000+32)</f>
        <v/>
      </c>
      <c r="CN45">
        <f>IF(AT45=1,1000000,IF('計算A'!$IT$42&gt;0,0,500000)+IF('計算A'!$IQ$42=2,SUMPRODUCT('計算A'!$D$92:$EQ$92,$DB45:$IO45,$IQ45:$OD45),SUMPRODUCT('計算A'!$D$92:$EQ$92,$DB45:$IO45))*1000+33)</f>
        <v/>
      </c>
      <c r="CO45">
        <f>IF(AU45=1,1000000,IF('計算A'!$IT$43&gt;0,0,500000)+IF('計算A'!$IQ$43=2,SUMPRODUCT('計算A'!$D$93:$EQ$93,$DB45:$IO45,$IQ45:$OD45),SUMPRODUCT('計算A'!$D$93:$EQ$93,$DB45:$IO45))*1000+34)</f>
        <v/>
      </c>
      <c r="CP45">
        <f>IF(AV45=1,1000000,IF('計算A'!$IT$44&gt;0,0,500000)+IF('計算A'!$IQ$44=2,SUMPRODUCT('計算A'!$D$94:$EQ$94,$DB45:$IO45,$IQ45:$OD45),SUMPRODUCT('計算A'!$D$94:$EQ$94,$DB45:$IO45))*1000+35)</f>
        <v/>
      </c>
      <c r="CQ45">
        <f>IF(AW45=1,1000000,IF('計算A'!$IT$45&gt;0,0,500000)+IF('計算A'!$IQ$45=2,SUMPRODUCT('計算A'!$D$95:$EQ$95,$DB45:$IO45,$IQ45:$OD45),SUMPRODUCT('計算A'!$D$95:$EQ$95,$DB45:$IO45))*1000+36)</f>
        <v/>
      </c>
      <c r="CR45">
        <f>IF(AX45=1,1000000,IF('計算A'!$IT$46&gt;0,0,500000)+IF('計算A'!$IQ$46=2,SUMPRODUCT('計算A'!$D$96:$EQ$96,$DB45:$IO45,$IQ45:$OD45),SUMPRODUCT('計算A'!$D$96:$EQ$96,$DB45:$IO45))*1000+37)</f>
        <v/>
      </c>
      <c r="CS45">
        <f>IF(AY45=1,1000000,IF('計算A'!$IT$47&gt;0,0,500000)+IF('計算A'!$IQ$47=2,SUMPRODUCT('計算A'!$D$97:$EQ$97,$DB45:$IO45,$IQ45:$OD45),SUMPRODUCT('計算A'!$D$97:$EQ$97,$DB45:$IO45))*1000+38)</f>
        <v/>
      </c>
      <c r="CT45">
        <f>IF(AZ45=1,1000000,IF('計算A'!$IT$48&gt;0,0,500000)+IF('計算A'!$IQ$48=2,SUMPRODUCT('計算A'!$D$98:$EQ$98,$DB45:$IO45,$IQ45:$OD45),SUMPRODUCT('計算A'!$D$98:$EQ$98,$DB45:$IO45))*1000+39)</f>
        <v/>
      </c>
      <c r="CU45">
        <f>IF(BA45=1,1000000,IF('計算A'!$IT$49&gt;0,0,500000)+IF('計算A'!$IQ$49=2,SUMPRODUCT('計算A'!$D$99:$EQ$99,$DB45:$IO45,$IQ45:$OD45),SUMPRODUCT('計算A'!$D$99:$EQ$99,$DB45:$IO45))*1000+40)</f>
        <v/>
      </c>
      <c r="CV45">
        <f>IF(BB45=1,1000000,IF('計算A'!$IT$50&gt;0,0,500000)+IF('計算A'!$IQ$50=2,SUMPRODUCT('計算A'!$D$100:$EQ$100,$DB45:$IO45,$IQ45:$OD45),SUMPRODUCT('計算A'!$D$100:$EQ$100,$DB45:$IO45))*1000+41)</f>
        <v/>
      </c>
      <c r="CW45">
        <f>IF(BC45=1,1000000,IF('計算A'!$IT$51&gt;0,0,500000)+IF('計算A'!$IQ$51=2,SUMPRODUCT('計算A'!$D$101:$EQ$101,$DB45:$IO45,$IQ45:$OD45),SUMPRODUCT('計算A'!$D$101:$EQ$101,$DB45:$IO45))*1000+42)</f>
        <v/>
      </c>
      <c r="CX45">
        <f>IF(BD45=1,1000000,IF('計算A'!$IT$52&gt;0,0,500000)+IF('計算A'!$IQ$52=2,SUMPRODUCT('計算A'!$D$102:$EQ$102,$DB45:$IO45,$IQ45:$OD45),SUMPRODUCT('計算A'!$D$102:$EQ$102,$DB45:$IO45))*1000+43)</f>
        <v/>
      </c>
      <c r="CY45">
        <f>IF(BE45=1,1000000,IF('計算A'!$IT$53&gt;0,0,500000)+IF('計算A'!$IQ$53=2,SUMPRODUCT('計算A'!$D$103:$EQ$103,$DB45:$IO45,$IQ45:$OD45),SUMPRODUCT('計算A'!$D$103:$EQ$103,$DB45:$IO45))*1000+44)</f>
        <v/>
      </c>
      <c r="CZ45">
        <f>IF(BF45=1,1000000,IF('計算A'!$IT$54&gt;0,0,500000)+IF('計算A'!$IQ$54=2,SUMPRODUCT('計算A'!$D$104:$EQ$104,$DB45:$IO45,$IQ45:$OD45),SUMPRODUCT('計算A'!$D$104:$EQ$104,$DB45:$IO45))*1000+45)</f>
        <v/>
      </c>
      <c r="DB45">
        <f>DB44*IF(OR($C44=1,$G44=1),0,1)</f>
        <v/>
      </c>
      <c r="DC45">
        <f>DC44*IF(OR($C44=2,$G44=2),0,1)</f>
        <v/>
      </c>
      <c r="DD45">
        <f>DD44*IF(OR($C44=3,$G44=3),0,1)</f>
        <v/>
      </c>
      <c r="DE45">
        <f>DE44*IF(OR($C44=4,$G44=4),0,1)</f>
        <v/>
      </c>
      <c r="DF45">
        <f>DF44*IF(OR($C44=5,$G44=5),0,1)</f>
        <v/>
      </c>
      <c r="DG45">
        <f>DG44*IF(OR($C44=6,$G44=6),0,1)</f>
        <v/>
      </c>
      <c r="DH45">
        <f>DH44*IF(OR($C44=7,$G44=7),0,1)</f>
        <v/>
      </c>
      <c r="DI45">
        <f>DI44*IF(OR($C44=8,$G44=8),0,1)</f>
        <v/>
      </c>
      <c r="DJ45">
        <f>DJ44*IF(OR($C44=9,$G44=9),0,1)</f>
        <v/>
      </c>
      <c r="DK45">
        <f>DK44*IF(OR($C44=10,$G44=10),0,1)</f>
        <v/>
      </c>
      <c r="DL45">
        <f>DL44*IF(OR($C44=11,$G44=11),0,1)</f>
        <v/>
      </c>
      <c r="DM45">
        <f>DM44*IF(OR($C44=12,$G44=12),0,1)</f>
        <v/>
      </c>
      <c r="DN45">
        <f>DN44*IF(OR($C44=13,$G44=13),0,1)</f>
        <v/>
      </c>
      <c r="DO45">
        <f>DO44*IF(OR($C44=14,$G44=14),0,1)</f>
        <v/>
      </c>
      <c r="DP45">
        <f>DP44*IF(OR($C44=15,$G44=15),0,1)</f>
        <v/>
      </c>
      <c r="DQ45">
        <f>DQ44*IF(OR($C44=16,$G44=16),0,1)</f>
        <v/>
      </c>
      <c r="DR45">
        <f>DR44*IF(OR($C44=17,$G44=17),0,1)</f>
        <v/>
      </c>
      <c r="DS45">
        <f>DS44*IF(OR($C44=18,$G44=18),0,1)</f>
        <v/>
      </c>
      <c r="DT45">
        <f>DT44*IF(OR($C44=19,$G44=19),0,1)</f>
        <v/>
      </c>
      <c r="DU45">
        <f>DU44*IF(OR($C44=20,$G44=20),0,1)</f>
        <v/>
      </c>
      <c r="DV45">
        <f>DV44*IF(OR($C44=21,$G44=21),0,1)</f>
        <v/>
      </c>
      <c r="DW45">
        <f>DW44*IF(OR($C44=22,$G44=22),0,1)</f>
        <v/>
      </c>
      <c r="DX45">
        <f>DX44*IF(OR($C44=23,$G44=23),0,1)</f>
        <v/>
      </c>
      <c r="DY45">
        <f>DY44*IF(OR($C44=24,$G44=24),0,1)</f>
        <v/>
      </c>
      <c r="DZ45">
        <f>DZ44*IF(OR($C44=25,$G44=25),0,1)</f>
        <v/>
      </c>
      <c r="EA45">
        <f>EA44*IF(OR($C44=26,$G44=26),0,1)</f>
        <v/>
      </c>
      <c r="EB45">
        <f>EB44*IF(OR($C44=27,$G44=27),0,1)</f>
        <v/>
      </c>
      <c r="EC45">
        <f>EC44*IF(OR($C44=28,$G44=28),0,1)</f>
        <v/>
      </c>
      <c r="ED45">
        <f>ED44*IF(OR($C44=29,$G44=29),0,1)</f>
        <v/>
      </c>
      <c r="EE45">
        <f>EE44*IF(OR($C44=30,$G44=30),0,1)</f>
        <v/>
      </c>
      <c r="EF45">
        <f>EF44*IF(OR($C44=31,$G44=31),0,1)</f>
        <v/>
      </c>
      <c r="EG45">
        <f>EG44*IF(OR($C44=32,$G44=32),0,1)</f>
        <v/>
      </c>
      <c r="EH45">
        <f>EH44*IF(OR($C44=33,$G44=33),0,1)</f>
        <v/>
      </c>
      <c r="EI45">
        <f>EI44*IF(OR($C44=34,$G44=34),0,1)</f>
        <v/>
      </c>
      <c r="EJ45">
        <f>EJ44*IF(OR($C44=35,$G44=35),0,1)</f>
        <v/>
      </c>
      <c r="EK45">
        <f>EK44*IF(OR($C44=36,$G44=36),0,1)</f>
        <v/>
      </c>
      <c r="EL45">
        <f>EL44*IF(OR($C44=37,$G44=37),0,1)</f>
        <v/>
      </c>
      <c r="EM45">
        <f>EM44*IF(OR($C44=38,$G44=38),0,1)</f>
        <v/>
      </c>
      <c r="EN45">
        <f>EN44*IF(OR($C44=39,$G44=39),0,1)</f>
        <v/>
      </c>
      <c r="EO45">
        <f>EO44*IF(OR($C44=40,$G44=40),0,1)</f>
        <v/>
      </c>
      <c r="EP45">
        <f>EP44*IF(OR($C44=41,$G44=41),0,1)</f>
        <v/>
      </c>
      <c r="EQ45">
        <f>EQ44*IF(OR($C44=42,$G44=42),0,1)</f>
        <v/>
      </c>
      <c r="ER45">
        <f>ER44*IF(OR($C44=43,$G44=43),0,1)</f>
        <v/>
      </c>
      <c r="ES45">
        <f>ES44*IF(OR($C44=44,$G44=44),0,1)</f>
        <v/>
      </c>
      <c r="ET45">
        <f>ET44*IF(OR($C44=45,$G44=45),0,1)</f>
        <v/>
      </c>
      <c r="EU45">
        <f>EU44*IF(OR($C44=46,$G44=46),0,1)</f>
        <v/>
      </c>
      <c r="EV45">
        <f>EV44*IF(OR($C44=47,$G44=47),0,1)</f>
        <v/>
      </c>
      <c r="EW45">
        <f>EW44*IF(OR($C44=48,$G44=48),0,1)</f>
        <v/>
      </c>
      <c r="EX45">
        <f>EX44*IF(OR($C44=49,$G44=49),0,1)</f>
        <v/>
      </c>
      <c r="EY45">
        <f>EY44*IF(OR($C44=50,$G44=50),0,1)</f>
        <v/>
      </c>
      <c r="EZ45">
        <f>EZ44*IF(OR($C44=51,$G44=51),0,1)</f>
        <v/>
      </c>
      <c r="FA45">
        <f>FA44*IF(OR($C44=52,$G44=52),0,1)</f>
        <v/>
      </c>
      <c r="FB45">
        <f>FB44*IF(OR($C44=53,$G44=53),0,1)</f>
        <v/>
      </c>
      <c r="FC45">
        <f>FC44*IF(OR($C44=54,$G44=54),0,1)</f>
        <v/>
      </c>
      <c r="FD45">
        <f>FD44*IF(OR($C44=55,$G44=55),0,1)</f>
        <v/>
      </c>
      <c r="FE45">
        <f>FE44*IF(OR($C44=56,$G44=56),0,1)</f>
        <v/>
      </c>
      <c r="FF45">
        <f>FF44*IF(OR($C44=57,$G44=57),0,1)</f>
        <v/>
      </c>
      <c r="FG45">
        <f>FG44*IF(OR($C44=58,$G44=58),0,1)</f>
        <v/>
      </c>
      <c r="FH45">
        <f>FH44*IF(OR($C44=59,$G44=59),0,1)</f>
        <v/>
      </c>
      <c r="FI45">
        <f>FI44*IF(OR($C44=60,$G44=60),0,1)</f>
        <v/>
      </c>
      <c r="FJ45">
        <f>FJ44*IF(OR($C44=61,$G44=61),0,1)</f>
        <v/>
      </c>
      <c r="FK45">
        <f>FK44*IF(OR($C44=62,$G44=62),0,1)</f>
        <v/>
      </c>
      <c r="FL45">
        <f>FL44*IF(OR($C44=63,$G44=63),0,1)</f>
        <v/>
      </c>
      <c r="FM45">
        <f>FM44*IF(OR($C44=64,$G44=64),0,1)</f>
        <v/>
      </c>
      <c r="FN45">
        <f>FN44*IF(OR($C44=65,$G44=65),0,1)</f>
        <v/>
      </c>
      <c r="FO45">
        <f>FO44*IF(OR($C44=66,$G44=66),0,1)</f>
        <v/>
      </c>
      <c r="FP45">
        <f>FP44*IF(OR($C44=67,$G44=67),0,1)</f>
        <v/>
      </c>
      <c r="FQ45">
        <f>FQ44*IF(OR($C44=68,$G44=68),0,1)</f>
        <v/>
      </c>
      <c r="FR45">
        <f>FR44*IF(OR($C44=69,$G44=69),0,1)</f>
        <v/>
      </c>
      <c r="FS45">
        <f>FS44*IF(OR($C44=70,$G44=70),0,1)</f>
        <v/>
      </c>
      <c r="FT45">
        <f>FT44*IF(OR($C44=71,$G44=71),0,1)</f>
        <v/>
      </c>
      <c r="FU45">
        <f>FU44*IF(OR($C44=72,$G44=72),0,1)</f>
        <v/>
      </c>
      <c r="FV45">
        <f>FV44*IF(OR($C44=73,$G44=73),0,1)</f>
        <v/>
      </c>
      <c r="FW45">
        <f>FW44*IF(OR($C44=74,$G44=74),0,1)</f>
        <v/>
      </c>
      <c r="FX45">
        <f>FX44*IF(OR($C44=75,$G44=75),0,1)</f>
        <v/>
      </c>
      <c r="FY45">
        <f>FY44*IF(OR($C44=76,$G44=76),0,1)</f>
        <v/>
      </c>
      <c r="FZ45">
        <f>FZ44*IF(OR($C44=77,$G44=77),0,1)</f>
        <v/>
      </c>
      <c r="GA45">
        <f>GA44*IF(OR($C44=78,$G44=78),0,1)</f>
        <v/>
      </c>
      <c r="GB45">
        <f>GB44*IF(OR($C44=79,$G44=79),0,1)</f>
        <v/>
      </c>
      <c r="GC45">
        <f>GC44*IF(OR($C44=80,$G44=80),0,1)</f>
        <v/>
      </c>
      <c r="GD45">
        <f>GD44*IF(OR($C44=81,$G44=81),0,1)</f>
        <v/>
      </c>
      <c r="GE45">
        <f>GE44*IF(OR($C44=82,$G44=82),0,1)</f>
        <v/>
      </c>
      <c r="GF45">
        <f>GF44*IF(OR($C44=83,$G44=83),0,1)</f>
        <v/>
      </c>
      <c r="GG45">
        <f>GG44*IF(OR($C44=84,$G44=84),0,1)</f>
        <v/>
      </c>
      <c r="GH45">
        <f>GH44*IF(OR($C44=85,$G44=85),0,1)</f>
        <v/>
      </c>
      <c r="GI45">
        <f>GI44*IF(OR($C44=86,$G44=86),0,1)</f>
        <v/>
      </c>
      <c r="GJ45">
        <f>GJ44*IF(OR($C44=87,$G44=87),0,1)</f>
        <v/>
      </c>
      <c r="GK45">
        <f>GK44*IF(OR($C44=88,$G44=88),0,1)</f>
        <v/>
      </c>
      <c r="GL45">
        <f>GL44*IF(OR($C44=89,$G44=89),0,1)</f>
        <v/>
      </c>
      <c r="GM45">
        <f>GM44*IF(OR($C44=90,$G44=90),0,1)</f>
        <v/>
      </c>
      <c r="GN45">
        <f>GN44*IF(OR($C44=91,$G44=91),0,1)</f>
        <v/>
      </c>
      <c r="GO45">
        <f>GO44*IF(OR($C44=92,$G44=92),0,1)</f>
        <v/>
      </c>
      <c r="GP45">
        <f>GP44*IF(OR($C44=93,$G44=93),0,1)</f>
        <v/>
      </c>
      <c r="GQ45">
        <f>GQ44*IF(OR($C44=94,$G44=94),0,1)</f>
        <v/>
      </c>
      <c r="GR45">
        <f>GR44*IF(OR($C44=95,$G44=95),0,1)</f>
        <v/>
      </c>
      <c r="GS45">
        <f>GS44*IF(OR($C44=96,$G44=96),0,1)</f>
        <v/>
      </c>
      <c r="GT45">
        <f>GT44*IF(OR($C44=97,$G44=97),0,1)</f>
        <v/>
      </c>
      <c r="GU45">
        <f>GU44*IF(OR($C44=98,$G44=98),0,1)</f>
        <v/>
      </c>
      <c r="GV45">
        <f>GV44*IF(OR($C44=99,$G44=99),0,1)</f>
        <v/>
      </c>
      <c r="GW45">
        <f>GW44*IF(OR($C44=100,$G44=100),0,1)</f>
        <v/>
      </c>
      <c r="GX45">
        <f>GX44*IF(OR($C44=101,$G44=101),0,1)</f>
        <v/>
      </c>
      <c r="GY45">
        <f>GY44*IF(OR($C44=102,$G44=102),0,1)</f>
        <v/>
      </c>
      <c r="GZ45">
        <f>GZ44*IF(OR($C44=103,$G44=103),0,1)</f>
        <v/>
      </c>
      <c r="HA45">
        <f>HA44*IF(OR($C44=104,$G44=104),0,1)</f>
        <v/>
      </c>
      <c r="HB45">
        <f>HB44*IF(OR($C44=105,$G44=105),0,1)</f>
        <v/>
      </c>
      <c r="HC45">
        <f>HC44*IF(OR($C44=106,$G44=106),0,1)</f>
        <v/>
      </c>
      <c r="HD45">
        <f>HD44*IF(OR($C44=107,$G44=107),0,1)</f>
        <v/>
      </c>
      <c r="HE45">
        <f>HE44*IF(OR($C44=108,$G44=108),0,1)</f>
        <v/>
      </c>
      <c r="HF45">
        <f>HF44*IF(OR($C44=109,$G44=109),0,1)</f>
        <v/>
      </c>
      <c r="HG45">
        <f>HG44*IF(OR($C44=110,$G44=110),0,1)</f>
        <v/>
      </c>
      <c r="HH45">
        <f>HH44*IF(OR($C44=111,$G44=111),0,1)</f>
        <v/>
      </c>
      <c r="HI45">
        <f>HI44*IF(OR($C44=112,$G44=112),0,1)</f>
        <v/>
      </c>
      <c r="HJ45">
        <f>HJ44*IF(OR($C44=113,$G44=113),0,1)</f>
        <v/>
      </c>
      <c r="HK45">
        <f>HK44*IF(OR($C44=114,$G44=114),0,1)</f>
        <v/>
      </c>
      <c r="HL45">
        <f>HL44*IF(OR($C44=115,$G44=115),0,1)</f>
        <v/>
      </c>
      <c r="HM45">
        <f>HM44*IF(OR($C44=116,$G44=116),0,1)</f>
        <v/>
      </c>
      <c r="HN45">
        <f>HN44*IF(OR($C44=117,$G44=117),0,1)</f>
        <v/>
      </c>
      <c r="HO45">
        <f>HO44*IF(OR($C44=118,$G44=118),0,1)</f>
        <v/>
      </c>
      <c r="HP45">
        <f>HP44*IF(OR($C44=119,$G44=119),0,1)</f>
        <v/>
      </c>
      <c r="HQ45">
        <f>HQ44*IF(OR($C44=120,$G44=120),0,1)</f>
        <v/>
      </c>
      <c r="HR45">
        <f>HR44*IF(OR($C44=121,$G44=121),0,1)</f>
        <v/>
      </c>
      <c r="HS45">
        <f>HS44*IF(OR($C44=122,$G44=122),0,1)</f>
        <v/>
      </c>
      <c r="HT45">
        <f>HT44*IF(OR($C44=123,$G44=123),0,1)</f>
        <v/>
      </c>
      <c r="HU45">
        <f>HU44*IF(OR($C44=124,$G44=124),0,1)</f>
        <v/>
      </c>
      <c r="HV45">
        <f>HV44*IF(OR($C44=125,$G44=125),0,1)</f>
        <v/>
      </c>
      <c r="HW45">
        <f>HW44*IF(OR($C44=126,$G44=126),0,1)</f>
        <v/>
      </c>
      <c r="HX45">
        <f>HX44*IF(OR($C44=127,$G44=127),0,1)</f>
        <v/>
      </c>
      <c r="HY45">
        <f>HY44*IF(OR($C44=128,$G44=128),0,1)</f>
        <v/>
      </c>
      <c r="HZ45">
        <f>HZ44*IF(OR($C44=129,$G44=129),0,1)</f>
        <v/>
      </c>
      <c r="IA45">
        <f>IA44*IF(OR($C44=130,$G44=130),0,1)</f>
        <v/>
      </c>
      <c r="IB45">
        <f>IB44*IF(OR($C44=131,$G44=131),0,1)</f>
        <v/>
      </c>
      <c r="IC45">
        <f>IC44*IF(OR($C44=132,$G44=132),0,1)</f>
        <v/>
      </c>
      <c r="ID45">
        <f>ID44*IF(OR($C44=133,$G44=133),0,1)</f>
        <v/>
      </c>
      <c r="IE45">
        <f>IE44*IF(OR($C44=134,$G44=134),0,1)</f>
        <v/>
      </c>
      <c r="IF45">
        <f>IF44*IF(OR($C44=135,$G44=135),0,1)</f>
        <v/>
      </c>
      <c r="IG45">
        <f>IG44*IF(OR($C44=136,$G44=136),0,1)</f>
        <v/>
      </c>
      <c r="IH45">
        <f>IH44*IF(OR($C44=137,$G44=137),0,1)</f>
        <v/>
      </c>
      <c r="II45">
        <f>II44*IF(OR($C44=138,$G44=138),0,1)</f>
        <v/>
      </c>
      <c r="IJ45">
        <f>IJ44*IF(OR($C44=139,$G44=139),0,1)</f>
        <v/>
      </c>
      <c r="IK45">
        <f>IK44*IF(OR($C44=140,$G44=140),0,1)</f>
        <v/>
      </c>
      <c r="IL45">
        <f>IL44*IF(OR($C44=141,$G44=141),0,1)</f>
        <v/>
      </c>
      <c r="IM45">
        <f>IM44*IF(OR($C44=142,$G44=142),0,1)</f>
        <v/>
      </c>
      <c r="IN45">
        <f>IN44*IF(OR($C44=143,$G44=143),0,1)</f>
        <v/>
      </c>
      <c r="IO45">
        <f>IO44*IF(OR($C44=144,$G44=144),0,1)</f>
        <v/>
      </c>
      <c r="IQ45">
        <f>IF('計算A'!D$106=1,DC45,1)</f>
        <v/>
      </c>
      <c r="IR45">
        <f>IF('計算A'!E$106=1,DD45,1)</f>
        <v/>
      </c>
      <c r="IS45">
        <f>IF('計算A'!F$106=1,DE45,1)</f>
        <v/>
      </c>
      <c r="IT45">
        <f>IF('計算A'!G$106=1,DF45,1)</f>
        <v/>
      </c>
      <c r="IU45">
        <f>IF('計算A'!H$106=1,DG45,1)</f>
        <v/>
      </c>
      <c r="IV45">
        <f>IF('計算A'!I$106=1,DH45,1)</f>
        <v/>
      </c>
      <c r="IW45">
        <f>IF('計算A'!J$106=1,DI45,1)</f>
        <v/>
      </c>
      <c r="IX45">
        <f>IF('計算A'!K$106=1,DJ45,1)</f>
        <v/>
      </c>
      <c r="IY45">
        <f>IF('計算A'!L$106=1,DK45,1)</f>
        <v/>
      </c>
      <c r="IZ45">
        <f>IF('計算A'!M$106=1,DL45,1)</f>
        <v/>
      </c>
      <c r="JA45">
        <f>IF('計算A'!N$106=1,DM45,1)</f>
        <v/>
      </c>
      <c r="JB45">
        <f>IF('計算A'!O$106=1,DN45,1)</f>
        <v/>
      </c>
      <c r="JC45">
        <f>IF('計算A'!P$106=1,DO45,1)</f>
        <v/>
      </c>
      <c r="JD45">
        <f>IF('計算A'!Q$106=1,DP45,1)</f>
        <v/>
      </c>
      <c r="JE45">
        <f>IF('計算A'!R$106=1,DQ45,1)</f>
        <v/>
      </c>
      <c r="JF45">
        <f>IF('計算A'!S$106=1,DR45,1)</f>
        <v/>
      </c>
      <c r="JG45">
        <f>IF('計算A'!T$106=1,DS45,1)</f>
        <v/>
      </c>
      <c r="JH45">
        <f>IF('計算A'!U$106=1,DT45,1)</f>
        <v/>
      </c>
      <c r="JI45">
        <f>IF('計算A'!V$106=1,DU45,1)</f>
        <v/>
      </c>
      <c r="JJ45">
        <f>IF('計算A'!W$106=1,DV45,1)</f>
        <v/>
      </c>
      <c r="JK45">
        <f>IF('計算A'!X$106=1,DW45,1)</f>
        <v/>
      </c>
      <c r="JL45">
        <f>IF('計算A'!Y$106=1,DX45,1)</f>
        <v/>
      </c>
      <c r="JM45">
        <f>IF('計算A'!Z$106=1,DY45,1)</f>
        <v/>
      </c>
      <c r="JN45">
        <f>IF('計算A'!AA$106=1,DZ45,1)</f>
        <v/>
      </c>
      <c r="JO45">
        <f>IF('計算A'!AB$106=1,EA45,1)</f>
        <v/>
      </c>
      <c r="JP45">
        <f>IF('計算A'!AC$106=1,EB45,1)</f>
        <v/>
      </c>
      <c r="JQ45">
        <f>IF('計算A'!AD$106=1,EC45,1)</f>
        <v/>
      </c>
      <c r="JR45">
        <f>IF('計算A'!AE$106=1,ED45,1)</f>
        <v/>
      </c>
      <c r="JS45">
        <f>IF('計算A'!AF$106=1,EE45,1)</f>
        <v/>
      </c>
      <c r="JT45">
        <f>IF('計算A'!AG$106=1,EF45,1)</f>
        <v/>
      </c>
      <c r="JU45">
        <f>IF('計算A'!AH$106=1,EG45,1)</f>
        <v/>
      </c>
      <c r="JV45">
        <f>IF('計算A'!AI$106=1,EH45,1)</f>
        <v/>
      </c>
      <c r="JW45">
        <f>IF('計算A'!AJ$106=1,EI45,1)</f>
        <v/>
      </c>
      <c r="JX45">
        <f>IF('計算A'!AK$106=1,EJ45,1)</f>
        <v/>
      </c>
      <c r="JY45">
        <f>IF('計算A'!AL$106=1,EK45,1)</f>
        <v/>
      </c>
      <c r="JZ45">
        <f>IF('計算A'!AM$106=1,EL45,1)</f>
        <v/>
      </c>
      <c r="KA45">
        <f>IF('計算A'!AN$106=1,EM45,1)</f>
        <v/>
      </c>
      <c r="KB45">
        <f>IF('計算A'!AO$106=1,EN45,1)</f>
        <v/>
      </c>
      <c r="KC45">
        <f>IF('計算A'!AP$106=1,EO45,1)</f>
        <v/>
      </c>
      <c r="KD45">
        <f>IF('計算A'!AQ$106=1,EP45,1)</f>
        <v/>
      </c>
      <c r="KE45">
        <f>IF('計算A'!AR$106=1,EQ45,1)</f>
        <v/>
      </c>
      <c r="KF45">
        <f>IF('計算A'!AS$106=1,ER45,1)</f>
        <v/>
      </c>
      <c r="KG45">
        <f>IF('計算A'!AT$106=1,ES45,1)</f>
        <v/>
      </c>
      <c r="KH45">
        <f>IF('計算A'!AU$106=1,ET45,1)</f>
        <v/>
      </c>
      <c r="KI45">
        <f>IF('計算A'!AV$106=1,EU45,1)</f>
        <v/>
      </c>
      <c r="KJ45">
        <f>IF('計算A'!AW$106=1,EV45,1)</f>
        <v/>
      </c>
      <c r="KK45">
        <f>IF('計算A'!AX$106=1,EW45,1)</f>
        <v/>
      </c>
      <c r="KL45">
        <f>IF('計算A'!AY$106=1,EX45,1)</f>
        <v/>
      </c>
      <c r="KM45">
        <f>IF('計算A'!AZ$106=1,EY45,1)</f>
        <v/>
      </c>
      <c r="KN45">
        <f>IF('計算A'!BA$106=1,EZ45,1)</f>
        <v/>
      </c>
      <c r="KO45">
        <f>IF('計算A'!BB$106=1,FA45,1)</f>
        <v/>
      </c>
      <c r="KP45">
        <f>IF('計算A'!BC$106=1,FB45,1)</f>
        <v/>
      </c>
      <c r="KQ45">
        <f>IF('計算A'!BD$106=1,FC45,1)</f>
        <v/>
      </c>
      <c r="KR45">
        <f>IF('計算A'!BE$106=1,FD45,1)</f>
        <v/>
      </c>
      <c r="KS45">
        <f>IF('計算A'!BF$106=1,FE45,1)</f>
        <v/>
      </c>
      <c r="KT45">
        <f>IF('計算A'!BG$106=1,FF45,1)</f>
        <v/>
      </c>
      <c r="KU45">
        <f>IF('計算A'!BH$106=1,FG45,1)</f>
        <v/>
      </c>
      <c r="KV45">
        <f>IF('計算A'!BI$106=1,FH45,1)</f>
        <v/>
      </c>
      <c r="KW45">
        <f>IF('計算A'!BJ$106=1,FI45,1)</f>
        <v/>
      </c>
      <c r="KX45">
        <f>IF('計算A'!BK$106=1,FJ45,1)</f>
        <v/>
      </c>
      <c r="KY45">
        <f>IF('計算A'!BL$106=1,FK45,1)</f>
        <v/>
      </c>
      <c r="KZ45">
        <f>IF('計算A'!BM$106=1,FL45,1)</f>
        <v/>
      </c>
      <c r="LA45">
        <f>IF('計算A'!BN$106=1,FM45,1)</f>
        <v/>
      </c>
      <c r="LB45">
        <f>IF('計算A'!BO$106=1,FN45,1)</f>
        <v/>
      </c>
      <c r="LC45">
        <f>IF('計算A'!BP$106=1,FO45,1)</f>
        <v/>
      </c>
      <c r="LD45">
        <f>IF('計算A'!BQ$106=1,FP45,1)</f>
        <v/>
      </c>
      <c r="LE45">
        <f>IF('計算A'!BR$106=1,FQ45,1)</f>
        <v/>
      </c>
      <c r="LF45">
        <f>IF('計算A'!BS$106=1,FR45,1)</f>
        <v/>
      </c>
      <c r="LG45">
        <f>IF('計算A'!BT$106=1,FS45,1)</f>
        <v/>
      </c>
      <c r="LH45">
        <f>IF('計算A'!BU$106=1,FT45,1)</f>
        <v/>
      </c>
      <c r="LI45">
        <f>IF('計算A'!BV$106=1,FU45,1)</f>
        <v/>
      </c>
      <c r="LJ45">
        <f>IF('計算A'!BW$106=1,FV45,1)</f>
        <v/>
      </c>
      <c r="LK45">
        <f>IF('計算A'!BX$106=1,FW45,1)</f>
        <v/>
      </c>
      <c r="LL45">
        <f>IF('計算A'!BY$106=1,FX45,1)</f>
        <v/>
      </c>
      <c r="LM45">
        <f>IF('計算A'!BZ$106=1,FY45,1)</f>
        <v/>
      </c>
      <c r="LN45">
        <f>IF('計算A'!CA$106=1,FZ45,1)</f>
        <v/>
      </c>
      <c r="LO45">
        <f>IF('計算A'!CB$106=1,GA45,1)</f>
        <v/>
      </c>
      <c r="LP45">
        <f>IF('計算A'!CC$106=1,GB45,1)</f>
        <v/>
      </c>
      <c r="LQ45">
        <f>IF('計算A'!CD$106=1,GC45,1)</f>
        <v/>
      </c>
      <c r="LR45">
        <f>IF('計算A'!CE$106=1,GD45,1)</f>
        <v/>
      </c>
      <c r="LS45">
        <f>IF('計算A'!CF$106=1,GE45,1)</f>
        <v/>
      </c>
      <c r="LT45">
        <f>IF('計算A'!CG$106=1,GF45,1)</f>
        <v/>
      </c>
      <c r="LU45">
        <f>IF('計算A'!CH$106=1,GG45,1)</f>
        <v/>
      </c>
      <c r="LV45">
        <f>IF('計算A'!CI$106=1,GH45,1)</f>
        <v/>
      </c>
      <c r="LW45">
        <f>IF('計算A'!CJ$106=1,GI45,1)</f>
        <v/>
      </c>
      <c r="LX45">
        <f>IF('計算A'!CK$106=1,GJ45,1)</f>
        <v/>
      </c>
      <c r="LY45">
        <f>IF('計算A'!CL$106=1,GK45,1)</f>
        <v/>
      </c>
      <c r="LZ45">
        <f>IF('計算A'!CM$106=1,GL45,1)</f>
        <v/>
      </c>
      <c r="MA45">
        <f>IF('計算A'!CN$106=1,GM45,1)</f>
        <v/>
      </c>
      <c r="MB45">
        <f>IF('計算A'!CO$106=1,GN45,1)</f>
        <v/>
      </c>
      <c r="MC45">
        <f>IF('計算A'!CP$106=1,GO45,1)</f>
        <v/>
      </c>
      <c r="MD45">
        <f>IF('計算A'!CQ$106=1,GP45,1)</f>
        <v/>
      </c>
      <c r="ME45">
        <f>IF('計算A'!CR$106=1,GQ45,1)</f>
        <v/>
      </c>
      <c r="MF45">
        <f>IF('計算A'!CS$106=1,GR45,1)</f>
        <v/>
      </c>
      <c r="MG45">
        <f>IF('計算A'!CT$106=1,GS45,1)</f>
        <v/>
      </c>
      <c r="MH45">
        <f>IF('計算A'!CU$106=1,GT45,1)</f>
        <v/>
      </c>
      <c r="MI45">
        <f>IF('計算A'!CV$106=1,GU45,1)</f>
        <v/>
      </c>
      <c r="MJ45">
        <f>IF('計算A'!CW$106=1,GV45,1)</f>
        <v/>
      </c>
      <c r="MK45">
        <f>IF('計算A'!CX$106=1,GW45,1)</f>
        <v/>
      </c>
      <c r="ML45">
        <f>IF('計算A'!CY$106=1,GX45,1)</f>
        <v/>
      </c>
      <c r="MM45">
        <f>IF('計算A'!CZ$106=1,GY45,1)</f>
        <v/>
      </c>
      <c r="MN45">
        <f>IF('計算A'!DA$106=1,GZ45,1)</f>
        <v/>
      </c>
      <c r="MO45">
        <f>IF('計算A'!DB$106=1,HA45,1)</f>
        <v/>
      </c>
      <c r="MP45">
        <f>IF('計算A'!DC$106=1,HB45,1)</f>
        <v/>
      </c>
      <c r="MQ45">
        <f>IF('計算A'!DD$106=1,HC45,1)</f>
        <v/>
      </c>
      <c r="MR45">
        <f>IF('計算A'!DE$106=1,HD45,1)</f>
        <v/>
      </c>
      <c r="MS45">
        <f>IF('計算A'!DF$106=1,HE45,1)</f>
        <v/>
      </c>
      <c r="MT45">
        <f>IF('計算A'!DG$106=1,HF45,1)</f>
        <v/>
      </c>
      <c r="MU45">
        <f>IF('計算A'!DH$106=1,HG45,1)</f>
        <v/>
      </c>
      <c r="MV45">
        <f>IF('計算A'!DI$106=1,HH45,1)</f>
        <v/>
      </c>
      <c r="MW45">
        <f>IF('計算A'!DJ$106=1,HI45,1)</f>
        <v/>
      </c>
      <c r="MX45">
        <f>IF('計算A'!DK$106=1,HJ45,1)</f>
        <v/>
      </c>
      <c r="MY45">
        <f>IF('計算A'!DL$106=1,HK45,1)</f>
        <v/>
      </c>
      <c r="MZ45">
        <f>IF('計算A'!DM$106=1,HL45,1)</f>
        <v/>
      </c>
      <c r="NA45">
        <f>IF('計算A'!DN$106=1,HM45,1)</f>
        <v/>
      </c>
      <c r="NB45">
        <f>IF('計算A'!DO$106=1,HN45,1)</f>
        <v/>
      </c>
      <c r="NC45">
        <f>IF('計算A'!DP$106=1,HO45,1)</f>
        <v/>
      </c>
      <c r="ND45">
        <f>IF('計算A'!DQ$106=1,HP45,1)</f>
        <v/>
      </c>
      <c r="NE45">
        <f>IF('計算A'!DR$106=1,HQ45,1)</f>
        <v/>
      </c>
      <c r="NF45">
        <f>IF('計算A'!DS$106=1,HR45,1)</f>
        <v/>
      </c>
      <c r="NG45">
        <f>IF('計算A'!DT$106=1,HS45,1)</f>
        <v/>
      </c>
      <c r="NH45">
        <f>IF('計算A'!DU$106=1,HT45,1)</f>
        <v/>
      </c>
      <c r="NI45">
        <f>IF('計算A'!DV$106=1,HU45,1)</f>
        <v/>
      </c>
      <c r="NJ45">
        <f>IF('計算A'!DW$106=1,HV45,1)</f>
        <v/>
      </c>
      <c r="NK45">
        <f>IF('計算A'!DX$106=1,HW45,1)</f>
        <v/>
      </c>
      <c r="NL45">
        <f>IF('計算A'!DY$106=1,HX45,1)</f>
        <v/>
      </c>
      <c r="NM45">
        <f>IF('計算A'!DZ$106=1,HY45,1)</f>
        <v/>
      </c>
      <c r="NN45">
        <f>IF('計算A'!EA$106=1,HZ45,1)</f>
        <v/>
      </c>
      <c r="NO45">
        <f>IF('計算A'!EB$106=1,IA45,1)</f>
        <v/>
      </c>
      <c r="NP45">
        <f>IF('計算A'!EC$106=1,IB45,1)</f>
        <v/>
      </c>
      <c r="NQ45">
        <f>IF('計算A'!ED$106=1,IC45,1)</f>
        <v/>
      </c>
      <c r="NR45">
        <f>IF('計算A'!EE$106=1,ID45,1)</f>
        <v/>
      </c>
      <c r="NS45">
        <f>IF('計算A'!EF$106=1,IE45,1)</f>
        <v/>
      </c>
      <c r="NT45">
        <f>IF('計算A'!EG$106=1,IF45,1)</f>
        <v/>
      </c>
      <c r="NU45">
        <f>IF('計算A'!EH$106=1,IG45,1)</f>
        <v/>
      </c>
      <c r="NV45">
        <f>IF('計算A'!EI$106=1,IH45,1)</f>
        <v/>
      </c>
      <c r="NW45">
        <f>IF('計算A'!EJ$106=1,II45,1)</f>
        <v/>
      </c>
      <c r="NX45">
        <f>IF('計算A'!EK$106=1,IJ45,1)</f>
        <v/>
      </c>
      <c r="NY45">
        <f>IF('計算A'!EL$106=1,IK45,1)</f>
        <v/>
      </c>
      <c r="NZ45">
        <f>IF('計算A'!EM$106=1,IL45,1)</f>
        <v/>
      </c>
      <c r="OA45">
        <f>IF('計算A'!EN$106=1,IM45,1)</f>
        <v/>
      </c>
      <c r="OB45">
        <f>IF('計算A'!EO$106=1,IN45,1)</f>
        <v/>
      </c>
      <c r="OC45">
        <f>IF('計算A'!EP$106=1,IO45,1)</f>
        <v/>
      </c>
      <c r="OD45" t="n">
        <v>1</v>
      </c>
      <c r="OF45">
        <f>IF($B45=0,1000000,IF(INDEX('計算A'!$D$60:$EQ$104,$B45,1)*DB45=1,IF(AND($E45=2,IQ45=0),1000000,IF($I45&gt;0,IF(1=$J45,IF(OR(AND(1=$I45+1,OR($K45&lt;&gt;'計算A'!$A$3,'計算A'!$A$4=0)),AND(1=$I45-1,OR(1&lt;&gt;'計算A'!$A$3,'計算A'!$A$4=0))),0,IF(1=$K45,200000,ABS(1-$K45)*100)),100000+ABS(1-$J45)*1000+10)+'計算A'!D$5*50+IF(AND($E45=1,IQ45=0),25,0),IF($F45&gt;0,INDEX('計算A'!D$110:D$114,$F45+1)+IF(AND($E45=1,IQ45=0),1000,0),MIN(TU45,20)*400+(IF('計算A'!D$106=1,1-DC45,0))*150+11+'計算A'!D$5*100000+IF(AND($E45=1,IQ45=0),50000,0))+IF($H45=1,(IF('計算A'!D$117=1,INDEX('計算A'!E$10:E$54,$B45),0))*4000,0)-IF(AND($L45=1,'計算A'!D$117=1,DC45=0),2000,0))),1000000))</f>
        <v/>
      </c>
      <c r="OG45">
        <f>IF($B45=0,1000000,IF(INDEX('計算A'!$D$60:$EQ$104,$B45,2)*DC45=1,IF(AND($E45=2,IR45=0),1000000,IF($I45&gt;0,IF(1=$J45,IF(OR(AND(2=$I45+1,OR($K45&lt;&gt;'計算A'!$A$3,'計算A'!$A$4=0)),AND(2=$I45-1,OR(2&lt;&gt;'計算A'!$A$3,'計算A'!$A$4=0))),0,IF(2=$K45,200000,ABS(2-$K45)*100)),100000+ABS(1-$J45)*1000+20)+'計算A'!E$5*50+IF(AND($E45=1,IR45=0),25,0),IF($F45&gt;0,INDEX('計算A'!E$110:E$114,$F45+1)+IF(AND($E45=1,IR45=0),1000,0),MIN(TU45,20)*400+(IF('計算A'!D$106=1,1-DB45,0)+IF('計算A'!E$106=1,1-DD45,0))*150+21+'計算A'!E$5*100000+IF(AND($E45=1,IR45=0),50000,0))+IF($H45=1,(IF('計算A'!D$117=1,INDEX('計算A'!D$10:D$54,$B45),0)+IF('計算A'!E$117=1,INDEX('計算A'!F$10:F$54,$B45),0))*4000,0)-IF(AND('計算A'!D$117=1,UB45&gt;0),2000,0)-IF(AND($L45=1,'計算A'!E$117=1,DD45=0),2000,0))),1000000))</f>
        <v/>
      </c>
      <c r="OH45">
        <f>IF($B45=0,1000000,IF(INDEX('計算A'!$D$60:$EQ$104,$B45,3)*DD45=1,IF(AND($E45=2,IS45=0),1000000,IF($I45&gt;0,IF(1=$J45,IF(OR(AND(3=$I45+1,OR($K45&lt;&gt;'計算A'!$A$3,'計算A'!$A$4=0)),AND(3=$I45-1,OR(3&lt;&gt;'計算A'!$A$3,'計算A'!$A$4=0))),0,IF(3=$K45,200000,ABS(3-$K45)*100)),100000+ABS(1-$J45)*1000+30)+'計算A'!F$5*50+IF(AND($E45=1,IS45=0),25,0),IF($F45&gt;0,INDEX('計算A'!F$110:F$114,$F45+1)+IF(AND($E45=1,IS45=0),1000,0),MIN(TU45,20)*400+(IF('計算A'!E$106=1,1-DC45,0)+IF('計算A'!F$106=1,1-DE45,0))*150+31+'計算A'!F$5*100000+IF(AND($E45=1,IS45=0),50000,0))+IF($H45=1,(IF('計算A'!E$117=1,INDEX('計算A'!E$10:E$54,$B45),0)+IF('計算A'!F$117=1,INDEX('計算A'!G$10:G$54,$B45),0))*4000,0)-IF(AND('計算A'!E$117=1,UC45&gt;0),2000,0)-IF(AND($L45=1,'計算A'!F$117=1,DE45=0),2000,0))),1000000))</f>
        <v/>
      </c>
      <c r="OI45">
        <f>IF($B45=0,1000000,IF(INDEX('計算A'!$D$60:$EQ$104,$B45,4)*DE45=1,IF(AND($E45=2,IT45=0),1000000,IF($I45&gt;0,IF(1=$J45,IF(OR(AND(4=$I45+1,OR($K45&lt;&gt;'計算A'!$A$3,'計算A'!$A$4=0)),AND(4=$I45-1,OR(4&lt;&gt;'計算A'!$A$3,'計算A'!$A$4=0))),0,IF(4=$K45,200000,ABS(4-$K45)*100)),100000+ABS(1-$J45)*1000+40)+'計算A'!G$5*50+IF(AND($E45=1,IT45=0),25,0),IF($F45&gt;0,INDEX('計算A'!G$110:G$114,$F45+1)+IF(AND($E45=1,IT45=0),1000,0),MIN(TU45,20)*400+(IF('計算A'!F$106=1,1-DD45,0)+IF('計算A'!G$106=1,1-DF45,0))*150+41+'計算A'!G$5*100000+IF(AND($E45=1,IT45=0),50000,0))+IF($H45=1,(IF('計算A'!F$117=1,INDEX('計算A'!F$10:F$54,$B45),0)+IF('計算A'!G$117=1,INDEX('計算A'!H$10:H$54,$B45),0))*4000,0)-IF(AND('計算A'!F$117=1,UD45&gt;0),2000,0)-IF(AND($L45=1,'計算A'!G$117=1,DF45=0),2000,0))),1000000))</f>
        <v/>
      </c>
      <c r="OJ45">
        <f>IF($B45=0,1000000,IF(INDEX('計算A'!$D$60:$EQ$104,$B45,5)*DF45=1,IF(AND($E45=2,IU45=0),1000000,IF($I45&gt;0,IF(1=$J45,IF(OR(AND(5=$I45+1,OR($K45&lt;&gt;'計算A'!$A$3,'計算A'!$A$4=0)),AND(5=$I45-1,OR(5&lt;&gt;'計算A'!$A$3,'計算A'!$A$4=0))),0,IF(5=$K45,200000,ABS(5-$K45)*100)),100000+ABS(1-$J45)*1000+50)+'計算A'!H$5*50+IF(AND($E45=1,IU45=0),25,0),IF($F45&gt;0,INDEX('計算A'!H$110:H$114,$F45+1)+IF(AND($E45=1,IU45=0),1000,0),MIN(TU45,20)*400+(IF('計算A'!G$106=1,1-DE45,0)+IF('計算A'!H$106=1,1-DG45,0))*150+51+'計算A'!H$5*100000+IF(AND($E45=1,IU45=0),50000,0))+IF($H45=1,(IF('計算A'!G$117=1,INDEX('計算A'!G$10:G$54,$B45),0)+IF('計算A'!H$117=1,INDEX('計算A'!I$10:I$54,$B45),0))*4000,0)-IF(AND('計算A'!G$117=1,UE45&gt;0),2000,0)-IF(AND($L45=1,'計算A'!H$117=1,DG45=0),2000,0))),1000000))</f>
        <v/>
      </c>
      <c r="OK45">
        <f>IF($B45=0,1000000,IF(INDEX('計算A'!$D$60:$EQ$104,$B45,6)*DG45=1,IF(AND($E45=2,IV45=0),1000000,IF($I45&gt;0,IF(1=$J45,IF(OR(AND(6=$I45+1,OR($K45&lt;&gt;'計算A'!$A$3,'計算A'!$A$4=0)),AND(6=$I45-1,OR(6&lt;&gt;'計算A'!$A$3,'計算A'!$A$4=0))),0,IF(6=$K45,200000,ABS(6-$K45)*100)),100000+ABS(1-$J45)*1000+60)+'計算A'!I$5*50+IF(AND($E45=1,IV45=0),25,0),IF($F45&gt;0,INDEX('計算A'!I$110:I$114,$F45+1)+IF(AND($E45=1,IV45=0),1000,0),MIN(TU45,20)*400+(IF('計算A'!H$106=1,1-DF45,0)+IF('計算A'!I$106=1,1-DH45,0))*150+61+'計算A'!I$5*100000+IF(AND($E45=1,IV45=0),50000,0))+IF($H45=1,(IF('計算A'!H$117=1,INDEX('計算A'!H$10:H$54,$B45),0)+IF('計算A'!I$117=1,INDEX('計算A'!J$10:J$54,$B45),0))*4000,0)-IF(AND('計算A'!H$117=1,UF45&gt;0),2000,0)-IF(AND($L45=1,'計算A'!I$117=1,DH45=0),2000,0))),1000000))</f>
        <v/>
      </c>
      <c r="OL45">
        <f>IF($B45=0,1000000,IF(INDEX('計算A'!$D$60:$EQ$104,$B45,7)*DH45=1,IF(AND($E45=2,IW45=0),1000000,IF($I45&gt;0,IF(1=$J45,IF(OR(AND(7=$I45+1,OR($K45&lt;&gt;'計算A'!$A$3,'計算A'!$A$4=0)),AND(7=$I45-1,OR(7&lt;&gt;'計算A'!$A$3,'計算A'!$A$4=0))),0,IF(7=$K45,200000,ABS(7-$K45)*100)),100000+ABS(1-$J45)*1000+70)+'計算A'!J$5*50+IF(AND($E45=1,IW45=0),25,0),IF($F45&gt;0,INDEX('計算A'!J$110:J$114,$F45+1)+IF(AND($E45=1,IW45=0),1000,0),MIN(TU45,20)*400+(IF('計算A'!I$106=1,1-DG45,0)+IF('計算A'!J$106=1,1-DI45,0))*150+71+'計算A'!J$5*100000+IF(AND($E45=1,IW45=0),50000,0))+IF($H45=1,(IF('計算A'!I$117=1,INDEX('計算A'!I$10:I$54,$B45),0)+IF('計算A'!J$117=1,INDEX('計算A'!K$10:K$54,$B45),0))*4000,0)-IF(AND('計算A'!I$117=1,UG45&gt;0),2000,0)-IF(AND($L45=1,'計算A'!J$117=1,DI45=0),2000,0))),1000000))</f>
        <v/>
      </c>
      <c r="OM45">
        <f>IF($B45=0,1000000,IF(INDEX('計算A'!$D$60:$EQ$104,$B45,8)*DI45=1,IF(AND($E45=2,IX45=0),1000000,IF($I45&gt;0,IF(1=$J45,IF(OR(AND(8=$I45+1,OR($K45&lt;&gt;'計算A'!$A$3,'計算A'!$A$4=0)),AND(8=$I45-1,OR(8&lt;&gt;'計算A'!$A$3,'計算A'!$A$4=0))),0,IF(8=$K45,200000,ABS(8-$K45)*100)),100000+ABS(1-$J45)*1000+80)+'計算A'!K$5*50+IF(AND($E45=1,IX45=0),25,0),IF($F45&gt;0,INDEX('計算A'!K$110:K$114,$F45+1)+IF(AND($E45=1,IX45=0),1000,0),MIN(TU45,20)*400+(IF('計算A'!J$106=1,1-DH45,0)+IF('計算A'!K$106=1,1-DJ45,0))*150+81+'計算A'!K$5*100000+IF(AND($E45=1,IX45=0),50000,0))+IF($H45=1,(IF('計算A'!J$117=1,INDEX('計算A'!J$10:J$54,$B45),0)+IF('計算A'!K$117=1,INDEX('計算A'!L$10:L$54,$B45),0))*4000,0)-IF(AND('計算A'!J$117=1,UH45&gt;0),2000,0)-IF(AND($L45=1,'計算A'!K$117=1,DJ45=0),2000,0))),1000000))</f>
        <v/>
      </c>
      <c r="ON45">
        <f>IF($B45=0,1000000,IF(INDEX('計算A'!$D$60:$EQ$104,$B45,9)*DJ45=1,IF(AND($E45=2,IY45=0),1000000,IF($I45&gt;0,IF(1=$J45,IF(OR(AND(9=$I45+1,OR($K45&lt;&gt;'計算A'!$A$3,'計算A'!$A$4=0)),AND(9=$I45-1,OR(9&lt;&gt;'計算A'!$A$3,'計算A'!$A$4=0))),0,IF(9=$K45,200000,ABS(9-$K45)*100)),100000+ABS(1-$J45)*1000+90)+'計算A'!L$5*50+IF(AND($E45=1,IY45=0),25,0),IF($F45&gt;0,INDEX('計算A'!L$110:L$114,$F45+1)+IF(AND($E45=1,IY45=0),1000,0),MIN(TU45,20)*400+(IF('計算A'!K$106=1,1-DI45,0)+IF('計算A'!L$106=1,1-DK45,0))*150+91+'計算A'!L$5*100000+IF(AND($E45=1,IY45=0),50000,0))+IF($H45=1,(IF('計算A'!K$117=1,INDEX('計算A'!K$10:K$54,$B45),0)+IF('計算A'!L$117=1,INDEX('計算A'!M$10:M$54,$B45),0))*4000,0)-IF(AND('計算A'!K$117=1,UI45&gt;0),2000,0)-IF(AND($L45=1,'計算A'!L$117=1,DK45=0),2000,0))),1000000))</f>
        <v/>
      </c>
      <c r="OO45">
        <f>IF($B45=0,1000000,IF(INDEX('計算A'!$D$60:$EQ$104,$B45,10)*DK45=1,IF(AND($E45=2,IZ45=0),1000000,IF($I45&gt;0,IF(1=$J45,IF(OR(AND(10=$I45+1,OR($K45&lt;&gt;'計算A'!$A$3,'計算A'!$A$4=0)),AND(10=$I45-1,OR(10&lt;&gt;'計算A'!$A$3,'計算A'!$A$4=0))),0,IF(10=$K45,200000,ABS(10-$K45)*100)),100000+ABS(1-$J45)*1000+100)+'計算A'!M$5*50+IF(AND($E45=1,IZ45=0),25,0),IF($F45&gt;0,INDEX('計算A'!M$110:M$114,$F45+1)+IF(AND($E45=1,IZ45=0),1000,0),MIN(TU45,20)*400+(IF('計算A'!L$106=1,1-DJ45,0)+IF('計算A'!M$106=1,1-DL45,0))*150+101+'計算A'!M$5*100000+IF(AND($E45=1,IZ45=0),50000,0))+IF($H45=1,(IF('計算A'!L$117=1,INDEX('計算A'!L$10:L$54,$B45),0)+IF('計算A'!M$117=1,INDEX('計算A'!N$10:N$54,$B45),0))*4000,0)-IF(AND('計算A'!L$117=1,UJ45&gt;0),2000,0)-IF(AND($L45=1,'計算A'!M$117=1,DL45=0),2000,0))),1000000))</f>
        <v/>
      </c>
      <c r="OP45">
        <f>IF($B45=0,1000000,IF(INDEX('計算A'!$D$60:$EQ$104,$B45,11)*DL45=1,IF(AND($E45=2,JA45=0),1000000,IF($I45&gt;0,IF(1=$J45,IF(OR(AND(11=$I45+1,OR($K45&lt;&gt;'計算A'!$A$3,'計算A'!$A$4=0)),AND(11=$I45-1,OR(11&lt;&gt;'計算A'!$A$3,'計算A'!$A$4=0))),0,IF(11=$K45,200000,ABS(11-$K45)*100)),100000+ABS(1-$J45)*1000+110)+'計算A'!N$5*50+IF(AND($E45=1,JA45=0),25,0),IF($F45&gt;0,INDEX('計算A'!N$110:N$114,$F45+1)+IF(AND($E45=1,JA45=0),1000,0),MIN(TU45,20)*400+(IF('計算A'!M$106=1,1-DK45,0)+IF('計算A'!N$106=1,1-DM45,0))*150+111+'計算A'!N$5*100000+IF(AND($E45=1,JA45=0),50000,0))+IF($H45=1,(IF('計算A'!M$117=1,INDEX('計算A'!M$10:M$54,$B45),0)+IF('計算A'!N$117=1,INDEX('計算A'!O$10:O$54,$B45),0))*4000,0)-IF(AND('計算A'!M$117=1,UK45&gt;0),2000,0)-IF(AND($L45=1,'計算A'!N$117=1,DM45=0),2000,0))),1000000))</f>
        <v/>
      </c>
      <c r="OQ45">
        <f>IF($B45=0,1000000,IF(INDEX('計算A'!$D$60:$EQ$104,$B45,12)*DM45=1,IF(AND($E45=2,JB45=0),1000000,IF($I45&gt;0,IF(1=$J45,IF(OR(AND(12=$I45+1,OR($K45&lt;&gt;'計算A'!$A$3,'計算A'!$A$4=0)),AND(12=$I45-1,OR(12&lt;&gt;'計算A'!$A$3,'計算A'!$A$4=0))),0,IF(12=$K45,200000,ABS(12-$K45)*100)),100000+ABS(1-$J45)*1000+120)+'計算A'!O$5*50+IF(AND($E45=1,JB45=0),25,0),IF($F45&gt;0,INDEX('計算A'!O$110:O$114,$F45+1)+IF(AND($E45=1,JB45=0),1000,0),MIN(TU45,20)*400+(IF('計算A'!N$106=1,1-DL45,0)+IF('計算A'!O$106=1,1-DN45,0))*150+121+'計算A'!O$5*100000+IF(AND($E45=1,JB45=0),50000,0))+IF($H45=1,(IF('計算A'!N$117=1,INDEX('計算A'!N$10:N$54,$B45),0)+IF('計算A'!O$117=1,INDEX('計算A'!P$10:P$54,$B45),0))*4000,0)-IF(AND('計算A'!N$117=1,UL45&gt;0),2000,0)-IF(AND($L45=1,'計算A'!O$117=1,DN45=0),2000,0))),1000000))</f>
        <v/>
      </c>
      <c r="OR45">
        <f>IF($B45=0,1000000,IF(INDEX('計算A'!$D$60:$EQ$104,$B45,13)*DN45=1,IF(AND($E45=2,JC45=0),1000000,IF($I45&gt;0,IF(1=$J45,IF(OR(AND(13=$I45+1,OR($K45&lt;&gt;'計算A'!$A$3,'計算A'!$A$4=0)),AND(13=$I45-1,OR(13&lt;&gt;'計算A'!$A$3,'計算A'!$A$4=0))),0,IF(13=$K45,200000,ABS(13-$K45)*100)),100000+ABS(1-$J45)*1000+130)+'計算A'!P$5*50+IF(AND($E45=1,JC45=0),25,0),IF($F45&gt;0,INDEX('計算A'!P$110:P$114,$F45+1)+IF(AND($E45=1,JC45=0),1000,0),MIN(TU45,20)*400+(IF('計算A'!O$106=1,1-DM45,0)+IF('計算A'!P$106=1,1-DO45,0))*150+131+'計算A'!P$5*100000+IF(AND($E45=1,JC45=0),50000,0))+IF($H45=1,(IF('計算A'!O$117=1,INDEX('計算A'!O$10:O$54,$B45),0)+IF('計算A'!P$117=1,INDEX('計算A'!Q$10:Q$54,$B45),0))*4000,0)-IF(AND('計算A'!O$117=1,UM45&gt;0),2000,0)-IF(AND($L45=1,'計算A'!P$117=1,DO45=0),2000,0))),1000000))</f>
        <v/>
      </c>
      <c r="OS45">
        <f>IF($B45=0,1000000,IF(INDEX('計算A'!$D$60:$EQ$104,$B45,14)*DO45=1,IF(AND($E45=2,JD45=0),1000000,IF($I45&gt;0,IF(1=$J45,IF(OR(AND(14=$I45+1,OR($K45&lt;&gt;'計算A'!$A$3,'計算A'!$A$4=0)),AND(14=$I45-1,OR(14&lt;&gt;'計算A'!$A$3,'計算A'!$A$4=0))),0,IF(14=$K45,200000,ABS(14-$K45)*100)),100000+ABS(1-$J45)*1000+140)+'計算A'!Q$5*50+IF(AND($E45=1,JD45=0),25,0),IF($F45&gt;0,INDEX('計算A'!Q$110:Q$114,$F45+1)+IF(AND($E45=1,JD45=0),1000,0),MIN(TU45,20)*400+(IF('計算A'!P$106=1,1-DN45,0)+IF('計算A'!Q$106=1,1-DP45,0))*150+141+'計算A'!Q$5*100000+IF(AND($E45=1,JD45=0),50000,0))+IF($H45=1,(IF('計算A'!P$117=1,INDEX('計算A'!P$10:P$54,$B45),0)+IF('計算A'!Q$117=1,INDEX('計算A'!R$10:R$54,$B45),0))*4000,0)-IF(AND('計算A'!P$117=1,UN45&gt;0),2000,0)-IF(AND($L45=1,'計算A'!Q$117=1,DP45=0),2000,0))),1000000))</f>
        <v/>
      </c>
      <c r="OT45">
        <f>IF($B45=0,1000000,IF(INDEX('計算A'!$D$60:$EQ$104,$B45,15)*DP45=1,IF(AND($E45=2,JE45=0),1000000,IF($I45&gt;0,IF(1=$J45,IF(OR(AND(15=$I45+1,OR($K45&lt;&gt;'計算A'!$A$3,'計算A'!$A$4=0)),AND(15=$I45-1,OR(15&lt;&gt;'計算A'!$A$3,'計算A'!$A$4=0))),0,IF(15=$K45,200000,ABS(15-$K45)*100)),100000+ABS(1-$J45)*1000+150)+'計算A'!R$5*50+IF(AND($E45=1,JE45=0),25,0),IF($F45&gt;0,INDEX('計算A'!R$110:R$114,$F45+1)+IF(AND($E45=1,JE45=0),1000,0),MIN(TU45,20)*400+(IF('計算A'!Q$106=1,1-DO45,0)+IF('計算A'!R$106=1,1-DQ45,0))*150+151+'計算A'!R$5*100000+IF(AND($E45=1,JE45=0),50000,0))+IF($H45=1,(IF('計算A'!Q$117=1,INDEX('計算A'!Q$10:Q$54,$B45),0)+IF('計算A'!R$117=1,INDEX('計算A'!S$10:S$54,$B45),0))*4000,0)-IF(AND('計算A'!Q$117=1,UO45&gt;0),2000,0)-IF(AND($L45=1,'計算A'!R$117=1,DQ45=0),2000,0))),1000000))</f>
        <v/>
      </c>
      <c r="OU45">
        <f>IF($B45=0,1000000,IF(INDEX('計算A'!$D$60:$EQ$104,$B45,16)*DQ45=1,IF(AND($E45=2,JF45=0),1000000,IF($I45&gt;0,IF(1=$J45,IF(OR(AND(16=$I45+1,OR($K45&lt;&gt;'計算A'!$A$3,'計算A'!$A$4=0)),AND(16=$I45-1,OR(16&lt;&gt;'計算A'!$A$3,'計算A'!$A$4=0))),0,IF(16=$K45,200000,ABS(16-$K45)*100)),100000+ABS(1-$J45)*1000+160)+'計算A'!S$5*50+IF(AND($E45=1,JF45=0),25,0),IF($F45&gt;0,INDEX('計算A'!S$110:S$114,$F45+1)+IF(AND($E45=1,JF45=0),1000,0),MIN(TU45,20)*400+(IF('計算A'!R$106=1,1-DP45,0)+IF('計算A'!S$106=1,1-DR45,0))*150+161+'計算A'!S$5*100000+IF(AND($E45=1,JF45=0),50000,0))+IF($H45=1,(IF('計算A'!R$117=1,INDEX('計算A'!R$10:R$54,$B45),0)+IF('計算A'!S$117=1,INDEX('計算A'!T$10:T$54,$B45),0))*4000,0)-IF(AND('計算A'!R$117=1,UP45&gt;0),2000,0)-IF(AND($L45=1,'計算A'!S$117=1,DR45=0),2000,0))),1000000))</f>
        <v/>
      </c>
      <c r="OV45">
        <f>IF($B45=0,1000000,IF(INDEX('計算A'!$D$60:$EQ$104,$B45,17)*DR45=1,IF(AND($E45=2,JG45=0),1000000,IF($I45&gt;0,IF(1=$J45,IF(OR(AND(17=$I45+1,OR($K45&lt;&gt;'計算A'!$A$3,'計算A'!$A$4=0)),AND(17=$I45-1,OR(17&lt;&gt;'計算A'!$A$3,'計算A'!$A$4=0))),0,IF(17=$K45,200000,ABS(17-$K45)*100)),100000+ABS(1-$J45)*1000+170)+'計算A'!T$5*50+IF(AND($E45=1,JG45=0),25,0),IF($F45&gt;0,INDEX('計算A'!T$110:T$114,$F45+1)+IF(AND($E45=1,JG45=0),1000,0),MIN(TU45,20)*400+(IF('計算A'!S$106=1,1-DQ45,0)+IF('計算A'!T$106=1,1-DS45,0))*150+171+'計算A'!T$5*100000+IF(AND($E45=1,JG45=0),50000,0))+IF($H45=1,(IF('計算A'!S$117=1,INDEX('計算A'!S$10:S$54,$B45),0)+IF('計算A'!T$117=1,INDEX('計算A'!U$10:U$54,$B45),0))*4000,0)-IF(AND('計算A'!S$117=1,UQ45&gt;0),2000,0)-IF(AND($L45=1,'計算A'!T$117=1,DS45=0),2000,0))),1000000))</f>
        <v/>
      </c>
      <c r="OW45">
        <f>IF($B45=0,1000000,IF(INDEX('計算A'!$D$60:$EQ$104,$B45,18)*DS45=1,IF(AND($E45=2,JH45=0),1000000,IF($I45&gt;0,IF(1=$J45,IF(OR(AND(18=$I45+1,OR($K45&lt;&gt;'計算A'!$A$3,'計算A'!$A$4=0)),AND(18=$I45-1,OR(18&lt;&gt;'計算A'!$A$3,'計算A'!$A$4=0))),0,IF(18=$K45,200000,ABS(18-$K45)*100)),100000+ABS(1-$J45)*1000+180)+'計算A'!U$5*50+IF(AND($E45=1,JH45=0),25,0),IF($F45&gt;0,INDEX('計算A'!U$110:U$114,$F45+1)+IF(AND($E45=1,JH45=0),1000,0),MIN(TU45,20)*400+(IF('計算A'!T$106=1,1-DR45,0)+IF('計算A'!U$106=1,1-DT45,0))*150+181+'計算A'!U$5*100000+IF(AND($E45=1,JH45=0),50000,0))+IF($H45=1,(IF('計算A'!T$117=1,INDEX('計算A'!T$10:T$54,$B45),0)+IF('計算A'!U$117=1,INDEX('計算A'!V$10:V$54,$B45),0))*4000,0)-IF(AND('計算A'!T$117=1,UR45&gt;0),2000,0)-IF(AND($L45=1,'計算A'!U$117=1,DT45=0),2000,0))),1000000))</f>
        <v/>
      </c>
      <c r="OX45">
        <f>IF($B45=0,1000000,IF(INDEX('計算A'!$D$60:$EQ$104,$B45,19)*DT45=1,IF(AND($E45=2,JI45=0),1000000,IF($I45&gt;0,IF(1=$J45,IF(OR(AND(19=$I45+1,OR($K45&lt;&gt;'計算A'!$A$3,'計算A'!$A$4=0)),AND(19=$I45-1,OR(19&lt;&gt;'計算A'!$A$3,'計算A'!$A$4=0))),0,IF(19=$K45,200000,ABS(19-$K45)*100)),100000+ABS(1-$J45)*1000+190)+'計算A'!V$5*50+IF(AND($E45=1,JI45=0),25,0),IF($F45&gt;0,INDEX('計算A'!V$110:V$114,$F45+1)+IF(AND($E45=1,JI45=0),1000,0),MIN(TU45,20)*400+(IF('計算A'!U$106=1,1-DS45,0)+IF('計算A'!V$106=1,1-DU45,0))*150+191+'計算A'!V$5*100000+IF(AND($E45=1,JI45=0),50000,0))+IF($H45=1,(IF('計算A'!U$117=1,INDEX('計算A'!U$10:U$54,$B45),0)+IF('計算A'!V$117=1,INDEX('計算A'!W$10:W$54,$B45),0))*4000,0)-IF(AND('計算A'!U$117=1,US45&gt;0),2000,0)-IF(AND($L45=1,'計算A'!V$117=1,DU45=0),2000,0))),1000000))</f>
        <v/>
      </c>
      <c r="OY45">
        <f>IF($B45=0,1000000,IF(INDEX('計算A'!$D$60:$EQ$104,$B45,20)*DU45=1,IF(AND($E45=2,JJ45=0),1000000,IF($I45&gt;0,IF(1=$J45,IF(OR(AND(20=$I45+1,OR($K45&lt;&gt;'計算A'!$A$3,'計算A'!$A$4=0)),AND(20=$I45-1,OR(20&lt;&gt;'計算A'!$A$3,'計算A'!$A$4=0))),0,IF(20=$K45,200000,ABS(20-$K45)*100)),100000+ABS(1-$J45)*1000+200)+'計算A'!W$5*50+IF(AND($E45=1,JJ45=0),25,0),IF($F45&gt;0,INDEX('計算A'!W$110:W$114,$F45+1)+IF(AND($E45=1,JJ45=0),1000,0),MIN(TU45,20)*400+(IF('計算A'!V$106=1,1-DT45,0)+IF('計算A'!W$106=1,1-DV45,0))*150+201+'計算A'!W$5*100000+IF(AND($E45=1,JJ45=0),50000,0))+IF($H45=1,(IF('計算A'!V$117=1,INDEX('計算A'!V$10:V$54,$B45),0)+IF('計算A'!W$117=1,INDEX('計算A'!X$10:X$54,$B45),0))*4000,0)-IF(AND('計算A'!V$117=1,UT45&gt;0),2000,0)-IF(AND($L45=1,'計算A'!W$117=1,DV45=0),2000,0))),1000000))</f>
        <v/>
      </c>
      <c r="OZ45">
        <f>IF($B45=0,1000000,IF(INDEX('計算A'!$D$60:$EQ$104,$B45,21)*DV45=1,IF(AND($E45=2,JK45=0),1000000,IF($I45&gt;0,IF(1=$J45,IF(OR(AND(21=$I45+1,OR($K45&lt;&gt;'計算A'!$A$3,'計算A'!$A$4=0)),AND(21=$I45-1,OR(21&lt;&gt;'計算A'!$A$3,'計算A'!$A$4=0))),0,IF(21=$K45,200000,ABS(21-$K45)*100)),100000+ABS(1-$J45)*1000+210)+'計算A'!X$5*50+IF(AND($E45=1,JK45=0),25,0),IF($F45&gt;0,INDEX('計算A'!X$110:X$114,$F45+1)+IF(AND($E45=1,JK45=0),1000,0),MIN(TU45,20)*400+(IF('計算A'!W$106=1,1-DU45,0)+IF('計算A'!X$106=1,1-DW45,0))*150+211+'計算A'!X$5*100000+IF(AND($E45=1,JK45=0),50000,0))+IF($H45=1,(IF('計算A'!W$117=1,INDEX('計算A'!W$10:W$54,$B45),0)+IF('計算A'!X$117=1,INDEX('計算A'!Y$10:Y$54,$B45),0))*4000,0)-IF(AND('計算A'!W$117=1,UU45&gt;0),2000,0)-IF(AND($L45=1,'計算A'!X$117=1,DW45=0),2000,0))),1000000))</f>
        <v/>
      </c>
      <c r="PA45">
        <f>IF($B45=0,1000000,IF(INDEX('計算A'!$D$60:$EQ$104,$B45,22)*DW45=1,IF(AND($E45=2,JL45=0),1000000,IF($I45&gt;0,IF(1=$J45,IF(OR(AND(22=$I45+1,OR($K45&lt;&gt;'計算A'!$A$3,'計算A'!$A$4=0)),AND(22=$I45-1,OR(22&lt;&gt;'計算A'!$A$3,'計算A'!$A$4=0))),0,IF(22=$K45,200000,ABS(22-$K45)*100)),100000+ABS(1-$J45)*1000+220)+'計算A'!Y$5*50+IF(AND($E45=1,JL45=0),25,0),IF($F45&gt;0,INDEX('計算A'!Y$110:Y$114,$F45+1)+IF(AND($E45=1,JL45=0),1000,0),MIN(TU45,20)*400+(IF('計算A'!X$106=1,1-DV45,0)+IF('計算A'!Y$106=1,1-DX45,0))*150+221+'計算A'!Y$5*100000+IF(AND($E45=1,JL45=0),50000,0))+IF($H45=1,(IF('計算A'!X$117=1,INDEX('計算A'!X$10:X$54,$B45),0)+IF('計算A'!Y$117=1,INDEX('計算A'!Z$10:Z$54,$B45),0))*4000,0)-IF(AND('計算A'!X$117=1,UV45&gt;0),2000,0)-IF(AND($L45=1,'計算A'!Y$117=1,DX45=0),2000,0))),1000000))</f>
        <v/>
      </c>
      <c r="PB45">
        <f>IF($B45=0,1000000,IF(INDEX('計算A'!$D$60:$EQ$104,$B45,23)*DX45=1,IF(AND($E45=2,JM45=0),1000000,IF($I45&gt;0,IF(1=$J45,IF(OR(AND(23=$I45+1,OR($K45&lt;&gt;'計算A'!$A$3,'計算A'!$A$4=0)),AND(23=$I45-1,OR(23&lt;&gt;'計算A'!$A$3,'計算A'!$A$4=0))),0,IF(23=$K45,200000,ABS(23-$K45)*100)),100000+ABS(1-$J45)*1000+230)+'計算A'!Z$5*50+IF(AND($E45=1,JM45=0),25,0),IF($F45&gt;0,INDEX('計算A'!Z$110:Z$114,$F45+1)+IF(AND($E45=1,JM45=0),1000,0),MIN(TU45,20)*400+(IF('計算A'!Y$106=1,1-DW45,0)+IF('計算A'!Z$106=1,1-DY45,0))*150+231+'計算A'!Z$5*100000+IF(AND($E45=1,JM45=0),50000,0))+IF($H45=1,(IF('計算A'!Y$117=1,INDEX('計算A'!Y$10:Y$54,$B45),0)+IF('計算A'!Z$117=1,INDEX('計算A'!AA$10:AA$54,$B45),0))*4000,0)-IF(AND('計算A'!Y$117=1,UW45&gt;0),2000,0)-IF(AND($L45=1,'計算A'!Z$117=1,DY45=0),2000,0))),1000000))</f>
        <v/>
      </c>
      <c r="PC45">
        <f>IF($B45=0,1000000,IF(INDEX('計算A'!$D$60:$EQ$104,$B45,24)*DY45=1,IF(AND($E45=2,JN45=0),1000000,IF($I45&gt;0,IF(1=$J45,IF(OR(AND(24=$I45+1,OR($K45&lt;&gt;'計算A'!$A$3,'計算A'!$A$4=0)),AND(24=$I45-1,OR(24&lt;&gt;'計算A'!$A$3,'計算A'!$A$4=0))),0,IF(24=$K45,200000,ABS(24-$K45)*100)),100000+ABS(1-$J45)*1000+240)+'計算A'!AA$5*50+IF(AND($E45=1,JN45=0),25,0),IF($F45&gt;0,INDEX('計算A'!AA$110:AA$114,$F45+1)+IF(AND($E45=1,JN45=0),1000,0),MIN(TU45,20)*400+(IF('計算A'!Z$106=1,1-DX45,0))*150+241+'計算A'!AA$5*100000+IF(AND($E45=1,JN45=0),50000,0))+IF($H45=1,(IF('計算A'!Z$117=1,INDEX('計算A'!Z$10:Z$54,$B45),0))*4000,0)-IF(AND('計算A'!Z$117=1,UX45&gt;0),2000,0))),1000000))</f>
        <v/>
      </c>
      <c r="PD45">
        <f>IF($B45=0,1000000,IF(INDEX('計算A'!$D$60:$EQ$104,$B45,25)*DZ45=1,IF(AND($E45=2,JO45=0),1000000,IF($I45&gt;0,IF(2=$J45,IF(OR(AND(25=$I45+1,OR($K45&lt;&gt;'計算A'!$A$3,'計算A'!$A$4=0)),AND(25=$I45-1,OR(1&lt;&gt;'計算A'!$A$3,'計算A'!$A$4=0))),0,IF(1=$K45,200000,ABS(1-$K45)*100)),100000+ABS(2-$J45)*1000+10)+'計算A'!AB$5*50+IF(AND($E45=1,JO45=0),25,0),IF($F45&gt;0,INDEX('計算A'!AB$110:AB$114,$F45+1)+IF(AND($E45=1,JO45=0),1000,0),MIN(TV45,20)*400+(IF('計算A'!AB$106=1,1-EA45,0))*150+12+'計算A'!AB$5*100000+IF(AND($E45=1,JO45=0),50000,0))+IF($H45=1,(IF('計算A'!AB$117=1,INDEX('計算A'!AC$10:AC$54,$B45),0))*4000,0)-IF(AND($L45=1,'計算A'!AB$117=1,EA45=0),2000,0))),1000000))</f>
        <v/>
      </c>
      <c r="PE45">
        <f>IF($B45=0,1000000,IF(INDEX('計算A'!$D$60:$EQ$104,$B45,26)*EA45=1,IF(AND($E45=2,JP45=0),1000000,IF($I45&gt;0,IF(2=$J45,IF(OR(AND(26=$I45+1,OR($K45&lt;&gt;'計算A'!$A$3,'計算A'!$A$4=0)),AND(26=$I45-1,OR(2&lt;&gt;'計算A'!$A$3,'計算A'!$A$4=0))),0,IF(2=$K45,200000,ABS(2-$K45)*100)),100000+ABS(2-$J45)*1000+20)+'計算A'!AC$5*50+IF(AND($E45=1,JP45=0),25,0),IF($F45&gt;0,INDEX('計算A'!AC$110:AC$114,$F45+1)+IF(AND($E45=1,JP45=0),1000,0),MIN(TV45,20)*400+(IF('計算A'!AB$106=1,1-DZ45,0)+IF('計算A'!AC$106=1,1-EB45,0))*150+22+'計算A'!AC$5*100000+IF(AND($E45=1,JP45=0),50000,0))+IF($H45=1,(IF('計算A'!AB$117=1,INDEX('計算A'!AB$10:AB$54,$B45),0)+IF('計算A'!AC$117=1,INDEX('計算A'!AD$10:AD$54,$B45),0))*4000,0)-IF(AND('計算A'!AB$117=1,UZ45&gt;0),2000,0)-IF(AND($L45=1,'計算A'!AC$117=1,EB45=0),2000,0))),1000000))</f>
        <v/>
      </c>
      <c r="PF45">
        <f>IF($B45=0,1000000,IF(INDEX('計算A'!$D$60:$EQ$104,$B45,27)*EB45=1,IF(AND($E45=2,JQ45=0),1000000,IF($I45&gt;0,IF(2=$J45,IF(OR(AND(27=$I45+1,OR($K45&lt;&gt;'計算A'!$A$3,'計算A'!$A$4=0)),AND(27=$I45-1,OR(3&lt;&gt;'計算A'!$A$3,'計算A'!$A$4=0))),0,IF(3=$K45,200000,ABS(3-$K45)*100)),100000+ABS(2-$J45)*1000+30)+'計算A'!AD$5*50+IF(AND($E45=1,JQ45=0),25,0),IF($F45&gt;0,INDEX('計算A'!AD$110:AD$114,$F45+1)+IF(AND($E45=1,JQ45=0),1000,0),MIN(TV45,20)*400+(IF('計算A'!AC$106=1,1-EA45,0)+IF('計算A'!AD$106=1,1-EC45,0))*150+32+'計算A'!AD$5*100000+IF(AND($E45=1,JQ45=0),50000,0))+IF($H45=1,(IF('計算A'!AC$117=1,INDEX('計算A'!AC$10:AC$54,$B45),0)+IF('計算A'!AD$117=1,INDEX('計算A'!AE$10:AE$54,$B45),0))*4000,0)-IF(AND('計算A'!AC$117=1,VA45&gt;0),2000,0)-IF(AND($L45=1,'計算A'!AD$117=1,EC45=0),2000,0))),1000000))</f>
        <v/>
      </c>
      <c r="PG45">
        <f>IF($B45=0,1000000,IF(INDEX('計算A'!$D$60:$EQ$104,$B45,28)*EC45=1,IF(AND($E45=2,JR45=0),1000000,IF($I45&gt;0,IF(2=$J45,IF(OR(AND(28=$I45+1,OR($K45&lt;&gt;'計算A'!$A$3,'計算A'!$A$4=0)),AND(28=$I45-1,OR(4&lt;&gt;'計算A'!$A$3,'計算A'!$A$4=0))),0,IF(4=$K45,200000,ABS(4-$K45)*100)),100000+ABS(2-$J45)*1000+40)+'計算A'!AE$5*50+IF(AND($E45=1,JR45=0),25,0),IF($F45&gt;0,INDEX('計算A'!AE$110:AE$114,$F45+1)+IF(AND($E45=1,JR45=0),1000,0),MIN(TV45,20)*400+(IF('計算A'!AD$106=1,1-EB45,0)+IF('計算A'!AE$106=1,1-ED45,0))*150+42+'計算A'!AE$5*100000+IF(AND($E45=1,JR45=0),50000,0))+IF($H45=1,(IF('計算A'!AD$117=1,INDEX('計算A'!AD$10:AD$54,$B45),0)+IF('計算A'!AE$117=1,INDEX('計算A'!AF$10:AF$54,$B45),0))*4000,0)-IF(AND('計算A'!AD$117=1,VB45&gt;0),2000,0)-IF(AND($L45=1,'計算A'!AE$117=1,ED45=0),2000,0))),1000000))</f>
        <v/>
      </c>
      <c r="PH45">
        <f>IF($B45=0,1000000,IF(INDEX('計算A'!$D$60:$EQ$104,$B45,29)*ED45=1,IF(AND($E45=2,JS45=0),1000000,IF($I45&gt;0,IF(2=$J45,IF(OR(AND(29=$I45+1,OR($K45&lt;&gt;'計算A'!$A$3,'計算A'!$A$4=0)),AND(29=$I45-1,OR(5&lt;&gt;'計算A'!$A$3,'計算A'!$A$4=0))),0,IF(5=$K45,200000,ABS(5-$K45)*100)),100000+ABS(2-$J45)*1000+50)+'計算A'!AF$5*50+IF(AND($E45=1,JS45=0),25,0),IF($F45&gt;0,INDEX('計算A'!AF$110:AF$114,$F45+1)+IF(AND($E45=1,JS45=0),1000,0),MIN(TV45,20)*400+(IF('計算A'!AE$106=1,1-EC45,0)+IF('計算A'!AF$106=1,1-EE45,0))*150+52+'計算A'!AF$5*100000+IF(AND($E45=1,JS45=0),50000,0))+IF($H45=1,(IF('計算A'!AE$117=1,INDEX('計算A'!AE$10:AE$54,$B45),0)+IF('計算A'!AF$117=1,INDEX('計算A'!AG$10:AG$54,$B45),0))*4000,0)-IF(AND('計算A'!AE$117=1,VC45&gt;0),2000,0)-IF(AND($L45=1,'計算A'!AF$117=1,EE45=0),2000,0))),1000000))</f>
        <v/>
      </c>
      <c r="PI45">
        <f>IF($B45=0,1000000,IF(INDEX('計算A'!$D$60:$EQ$104,$B45,30)*EE45=1,IF(AND($E45=2,JT45=0),1000000,IF($I45&gt;0,IF(2=$J45,IF(OR(AND(30=$I45+1,OR($K45&lt;&gt;'計算A'!$A$3,'計算A'!$A$4=0)),AND(30=$I45-1,OR(6&lt;&gt;'計算A'!$A$3,'計算A'!$A$4=0))),0,IF(6=$K45,200000,ABS(6-$K45)*100)),100000+ABS(2-$J45)*1000+60)+'計算A'!AG$5*50+IF(AND($E45=1,JT45=0),25,0),IF($F45&gt;0,INDEX('計算A'!AG$110:AG$114,$F45+1)+IF(AND($E45=1,JT45=0),1000,0),MIN(TV45,20)*400+(IF('計算A'!AF$106=1,1-ED45,0)+IF('計算A'!AG$106=1,1-EF45,0))*150+62+'計算A'!AG$5*100000+IF(AND($E45=1,JT45=0),50000,0))+IF($H45=1,(IF('計算A'!AF$117=1,INDEX('計算A'!AF$10:AF$54,$B45),0)+IF('計算A'!AG$117=1,INDEX('計算A'!AH$10:AH$54,$B45),0))*4000,0)-IF(AND('計算A'!AF$117=1,VD45&gt;0),2000,0)-IF(AND($L45=1,'計算A'!AG$117=1,EF45=0),2000,0))),1000000))</f>
        <v/>
      </c>
      <c r="PJ45">
        <f>IF($B45=0,1000000,IF(INDEX('計算A'!$D$60:$EQ$104,$B45,31)*EF45=1,IF(AND($E45=2,JU45=0),1000000,IF($I45&gt;0,IF(2=$J45,IF(OR(AND(31=$I45+1,OR($K45&lt;&gt;'計算A'!$A$3,'計算A'!$A$4=0)),AND(31=$I45-1,OR(7&lt;&gt;'計算A'!$A$3,'計算A'!$A$4=0))),0,IF(7=$K45,200000,ABS(7-$K45)*100)),100000+ABS(2-$J45)*1000+70)+'計算A'!AH$5*50+IF(AND($E45=1,JU45=0),25,0),IF($F45&gt;0,INDEX('計算A'!AH$110:AH$114,$F45+1)+IF(AND($E45=1,JU45=0),1000,0),MIN(TV45,20)*400+(IF('計算A'!AG$106=1,1-EE45,0)+IF('計算A'!AH$106=1,1-EG45,0))*150+72+'計算A'!AH$5*100000+IF(AND($E45=1,JU45=0),50000,0))+IF($H45=1,(IF('計算A'!AG$117=1,INDEX('計算A'!AG$10:AG$54,$B45),0)+IF('計算A'!AH$117=1,INDEX('計算A'!AI$10:AI$54,$B45),0))*4000,0)-IF(AND('計算A'!AG$117=1,VE45&gt;0),2000,0)-IF(AND($L45=1,'計算A'!AH$117=1,EG45=0),2000,0))),1000000))</f>
        <v/>
      </c>
      <c r="PK45">
        <f>IF($B45=0,1000000,IF(INDEX('計算A'!$D$60:$EQ$104,$B45,32)*EG45=1,IF(AND($E45=2,JV45=0),1000000,IF($I45&gt;0,IF(2=$J45,IF(OR(AND(32=$I45+1,OR($K45&lt;&gt;'計算A'!$A$3,'計算A'!$A$4=0)),AND(32=$I45-1,OR(8&lt;&gt;'計算A'!$A$3,'計算A'!$A$4=0))),0,IF(8=$K45,200000,ABS(8-$K45)*100)),100000+ABS(2-$J45)*1000+80)+'計算A'!AI$5*50+IF(AND($E45=1,JV45=0),25,0),IF($F45&gt;0,INDEX('計算A'!AI$110:AI$114,$F45+1)+IF(AND($E45=1,JV45=0),1000,0),MIN(TV45,20)*400+(IF('計算A'!AH$106=1,1-EF45,0)+IF('計算A'!AI$106=1,1-EH45,0))*150+82+'計算A'!AI$5*100000+IF(AND($E45=1,JV45=0),50000,0))+IF($H45=1,(IF('計算A'!AH$117=1,INDEX('計算A'!AH$10:AH$54,$B45),0)+IF('計算A'!AI$117=1,INDEX('計算A'!AJ$10:AJ$54,$B45),0))*4000,0)-IF(AND('計算A'!AH$117=1,VF45&gt;0),2000,0)-IF(AND($L45=1,'計算A'!AI$117=1,EH45=0),2000,0))),1000000))</f>
        <v/>
      </c>
      <c r="PL45">
        <f>IF($B45=0,1000000,IF(INDEX('計算A'!$D$60:$EQ$104,$B45,33)*EH45=1,IF(AND($E45=2,JW45=0),1000000,IF($I45&gt;0,IF(2=$J45,IF(OR(AND(33=$I45+1,OR($K45&lt;&gt;'計算A'!$A$3,'計算A'!$A$4=0)),AND(33=$I45-1,OR(9&lt;&gt;'計算A'!$A$3,'計算A'!$A$4=0))),0,IF(9=$K45,200000,ABS(9-$K45)*100)),100000+ABS(2-$J45)*1000+90)+'計算A'!AJ$5*50+IF(AND($E45=1,JW45=0),25,0),IF($F45&gt;0,INDEX('計算A'!AJ$110:AJ$114,$F45+1)+IF(AND($E45=1,JW45=0),1000,0),MIN(TV45,20)*400+(IF('計算A'!AI$106=1,1-EG45,0)+IF('計算A'!AJ$106=1,1-EI45,0))*150+92+'計算A'!AJ$5*100000+IF(AND($E45=1,JW45=0),50000,0))+IF($H45=1,(IF('計算A'!AI$117=1,INDEX('計算A'!AI$10:AI$54,$B45),0)+IF('計算A'!AJ$117=1,INDEX('計算A'!AK$10:AK$54,$B45),0))*4000,0)-IF(AND('計算A'!AI$117=1,VG45&gt;0),2000,0)-IF(AND($L45=1,'計算A'!AJ$117=1,EI45=0),2000,0))),1000000))</f>
        <v/>
      </c>
      <c r="PM45">
        <f>IF($B45=0,1000000,IF(INDEX('計算A'!$D$60:$EQ$104,$B45,34)*EI45=1,IF(AND($E45=2,JX45=0),1000000,IF($I45&gt;0,IF(2=$J45,IF(OR(AND(34=$I45+1,OR($K45&lt;&gt;'計算A'!$A$3,'計算A'!$A$4=0)),AND(34=$I45-1,OR(10&lt;&gt;'計算A'!$A$3,'計算A'!$A$4=0))),0,IF(10=$K45,200000,ABS(10-$K45)*100)),100000+ABS(2-$J45)*1000+100)+'計算A'!AK$5*50+IF(AND($E45=1,JX45=0),25,0),IF($F45&gt;0,INDEX('計算A'!AK$110:AK$114,$F45+1)+IF(AND($E45=1,JX45=0),1000,0),MIN(TV45,20)*400+(IF('計算A'!AJ$106=1,1-EH45,0)+IF('計算A'!AK$106=1,1-EJ45,0))*150+102+'計算A'!AK$5*100000+IF(AND($E45=1,JX45=0),50000,0))+IF($H45=1,(IF('計算A'!AJ$117=1,INDEX('計算A'!AJ$10:AJ$54,$B45),0)+IF('計算A'!AK$117=1,INDEX('計算A'!AL$10:AL$54,$B45),0))*4000,0)-IF(AND('計算A'!AJ$117=1,VH45&gt;0),2000,0)-IF(AND($L45=1,'計算A'!AK$117=1,EJ45=0),2000,0))),1000000))</f>
        <v/>
      </c>
      <c r="PN45">
        <f>IF($B45=0,1000000,IF(INDEX('計算A'!$D$60:$EQ$104,$B45,35)*EJ45=1,IF(AND($E45=2,JY45=0),1000000,IF($I45&gt;0,IF(2=$J45,IF(OR(AND(35=$I45+1,OR($K45&lt;&gt;'計算A'!$A$3,'計算A'!$A$4=0)),AND(35=$I45-1,OR(11&lt;&gt;'計算A'!$A$3,'計算A'!$A$4=0))),0,IF(11=$K45,200000,ABS(11-$K45)*100)),100000+ABS(2-$J45)*1000+110)+'計算A'!AL$5*50+IF(AND($E45=1,JY45=0),25,0),IF($F45&gt;0,INDEX('計算A'!AL$110:AL$114,$F45+1)+IF(AND($E45=1,JY45=0),1000,0),MIN(TV45,20)*400+(IF('計算A'!AK$106=1,1-EI45,0)+IF('計算A'!AL$106=1,1-EK45,0))*150+112+'計算A'!AL$5*100000+IF(AND($E45=1,JY45=0),50000,0))+IF($H45=1,(IF('計算A'!AK$117=1,INDEX('計算A'!AK$10:AK$54,$B45),0)+IF('計算A'!AL$117=1,INDEX('計算A'!AM$10:AM$54,$B45),0))*4000,0)-IF(AND('計算A'!AK$117=1,VI45&gt;0),2000,0)-IF(AND($L45=1,'計算A'!AL$117=1,EK45=0),2000,0))),1000000))</f>
        <v/>
      </c>
      <c r="PO45">
        <f>IF($B45=0,1000000,IF(INDEX('計算A'!$D$60:$EQ$104,$B45,36)*EK45=1,IF(AND($E45=2,JZ45=0),1000000,IF($I45&gt;0,IF(2=$J45,IF(OR(AND(36=$I45+1,OR($K45&lt;&gt;'計算A'!$A$3,'計算A'!$A$4=0)),AND(36=$I45-1,OR(12&lt;&gt;'計算A'!$A$3,'計算A'!$A$4=0))),0,IF(12=$K45,200000,ABS(12-$K45)*100)),100000+ABS(2-$J45)*1000+120)+'計算A'!AM$5*50+IF(AND($E45=1,JZ45=0),25,0),IF($F45&gt;0,INDEX('計算A'!AM$110:AM$114,$F45+1)+IF(AND($E45=1,JZ45=0),1000,0),MIN(TV45,20)*400+(IF('計算A'!AL$106=1,1-EJ45,0)+IF('計算A'!AM$106=1,1-EL45,0))*150+122+'計算A'!AM$5*100000+IF(AND($E45=1,JZ45=0),50000,0))+IF($H45=1,(IF('計算A'!AL$117=1,INDEX('計算A'!AL$10:AL$54,$B45),0)+IF('計算A'!AM$117=1,INDEX('計算A'!AN$10:AN$54,$B45),0))*4000,0)-IF(AND('計算A'!AL$117=1,VJ45&gt;0),2000,0)-IF(AND($L45=1,'計算A'!AM$117=1,EL45=0),2000,0))),1000000))</f>
        <v/>
      </c>
      <c r="PP45">
        <f>IF($B45=0,1000000,IF(INDEX('計算A'!$D$60:$EQ$104,$B45,37)*EL45=1,IF(AND($E45=2,KA45=0),1000000,IF($I45&gt;0,IF(2=$J45,IF(OR(AND(37=$I45+1,OR($K45&lt;&gt;'計算A'!$A$3,'計算A'!$A$4=0)),AND(37=$I45-1,OR(13&lt;&gt;'計算A'!$A$3,'計算A'!$A$4=0))),0,IF(13=$K45,200000,ABS(13-$K45)*100)),100000+ABS(2-$J45)*1000+130)+'計算A'!AN$5*50+IF(AND($E45=1,KA45=0),25,0),IF($F45&gt;0,INDEX('計算A'!AN$110:AN$114,$F45+1)+IF(AND($E45=1,KA45=0),1000,0),MIN(TV45,20)*400+(IF('計算A'!AM$106=1,1-EK45,0)+IF('計算A'!AN$106=1,1-EM45,0))*150+132+'計算A'!AN$5*100000+IF(AND($E45=1,KA45=0),50000,0))+IF($H45=1,(IF('計算A'!AM$117=1,INDEX('計算A'!AM$10:AM$54,$B45),0)+IF('計算A'!AN$117=1,INDEX('計算A'!AO$10:AO$54,$B45),0))*4000,0)-IF(AND('計算A'!AM$117=1,VK45&gt;0),2000,0)-IF(AND($L45=1,'計算A'!AN$117=1,EM45=0),2000,0))),1000000))</f>
        <v/>
      </c>
      <c r="PQ45">
        <f>IF($B45=0,1000000,IF(INDEX('計算A'!$D$60:$EQ$104,$B45,38)*EM45=1,IF(AND($E45=2,KB45=0),1000000,IF($I45&gt;0,IF(2=$J45,IF(OR(AND(38=$I45+1,OR($K45&lt;&gt;'計算A'!$A$3,'計算A'!$A$4=0)),AND(38=$I45-1,OR(14&lt;&gt;'計算A'!$A$3,'計算A'!$A$4=0))),0,IF(14=$K45,200000,ABS(14-$K45)*100)),100000+ABS(2-$J45)*1000+140)+'計算A'!AO$5*50+IF(AND($E45=1,KB45=0),25,0),IF($F45&gt;0,INDEX('計算A'!AO$110:AO$114,$F45+1)+IF(AND($E45=1,KB45=0),1000,0),MIN(TV45,20)*400+(IF('計算A'!AN$106=1,1-EL45,0)+IF('計算A'!AO$106=1,1-EN45,0))*150+142+'計算A'!AO$5*100000+IF(AND($E45=1,KB45=0),50000,0))+IF($H45=1,(IF('計算A'!AN$117=1,INDEX('計算A'!AN$10:AN$54,$B45),0)+IF('計算A'!AO$117=1,INDEX('計算A'!AP$10:AP$54,$B45),0))*4000,0)-IF(AND('計算A'!AN$117=1,VL45&gt;0),2000,0)-IF(AND($L45=1,'計算A'!AO$117=1,EN45=0),2000,0))),1000000))</f>
        <v/>
      </c>
      <c r="PR45">
        <f>IF($B45=0,1000000,IF(INDEX('計算A'!$D$60:$EQ$104,$B45,39)*EN45=1,IF(AND($E45=2,KC45=0),1000000,IF($I45&gt;0,IF(2=$J45,IF(OR(AND(39=$I45+1,OR($K45&lt;&gt;'計算A'!$A$3,'計算A'!$A$4=0)),AND(39=$I45-1,OR(15&lt;&gt;'計算A'!$A$3,'計算A'!$A$4=0))),0,IF(15=$K45,200000,ABS(15-$K45)*100)),100000+ABS(2-$J45)*1000+150)+'計算A'!AP$5*50+IF(AND($E45=1,KC45=0),25,0),IF($F45&gt;0,INDEX('計算A'!AP$110:AP$114,$F45+1)+IF(AND($E45=1,KC45=0),1000,0),MIN(TV45,20)*400+(IF('計算A'!AO$106=1,1-EM45,0)+IF('計算A'!AP$106=1,1-EO45,0))*150+152+'計算A'!AP$5*100000+IF(AND($E45=1,KC45=0),50000,0))+IF($H45=1,(IF('計算A'!AO$117=1,INDEX('計算A'!AO$10:AO$54,$B45),0)+IF('計算A'!AP$117=1,INDEX('計算A'!AQ$10:AQ$54,$B45),0))*4000,0)-IF(AND('計算A'!AO$117=1,VM45&gt;0),2000,0)-IF(AND($L45=1,'計算A'!AP$117=1,EO45=0),2000,0))),1000000))</f>
        <v/>
      </c>
      <c r="PS45">
        <f>IF($B45=0,1000000,IF(INDEX('計算A'!$D$60:$EQ$104,$B45,40)*EO45=1,IF(AND($E45=2,KD45=0),1000000,IF($I45&gt;0,IF(2=$J45,IF(OR(AND(40=$I45+1,OR($K45&lt;&gt;'計算A'!$A$3,'計算A'!$A$4=0)),AND(40=$I45-1,OR(16&lt;&gt;'計算A'!$A$3,'計算A'!$A$4=0))),0,IF(16=$K45,200000,ABS(16-$K45)*100)),100000+ABS(2-$J45)*1000+160)+'計算A'!AQ$5*50+IF(AND($E45=1,KD45=0),25,0),IF($F45&gt;0,INDEX('計算A'!AQ$110:AQ$114,$F45+1)+IF(AND($E45=1,KD45=0),1000,0),MIN(TV45,20)*400+(IF('計算A'!AP$106=1,1-EN45,0)+IF('計算A'!AQ$106=1,1-EP45,0))*150+162+'計算A'!AQ$5*100000+IF(AND($E45=1,KD45=0),50000,0))+IF($H45=1,(IF('計算A'!AP$117=1,INDEX('計算A'!AP$10:AP$54,$B45),0)+IF('計算A'!AQ$117=1,INDEX('計算A'!AR$10:AR$54,$B45),0))*4000,0)-IF(AND('計算A'!AP$117=1,VN45&gt;0),2000,0)-IF(AND($L45=1,'計算A'!AQ$117=1,EP45=0),2000,0))),1000000))</f>
        <v/>
      </c>
      <c r="PT45">
        <f>IF($B45=0,1000000,IF(INDEX('計算A'!$D$60:$EQ$104,$B45,41)*EP45=1,IF(AND($E45=2,KE45=0),1000000,IF($I45&gt;0,IF(2=$J45,IF(OR(AND(41=$I45+1,OR($K45&lt;&gt;'計算A'!$A$3,'計算A'!$A$4=0)),AND(41=$I45-1,OR(17&lt;&gt;'計算A'!$A$3,'計算A'!$A$4=0))),0,IF(17=$K45,200000,ABS(17-$K45)*100)),100000+ABS(2-$J45)*1000+170)+'計算A'!AR$5*50+IF(AND($E45=1,KE45=0),25,0),IF($F45&gt;0,INDEX('計算A'!AR$110:AR$114,$F45+1)+IF(AND($E45=1,KE45=0),1000,0),MIN(TV45,20)*400+(IF('計算A'!AQ$106=1,1-EO45,0)+IF('計算A'!AR$106=1,1-EQ45,0))*150+172+'計算A'!AR$5*100000+IF(AND($E45=1,KE45=0),50000,0))+IF($H45=1,(IF('計算A'!AQ$117=1,INDEX('計算A'!AQ$10:AQ$54,$B45),0)+IF('計算A'!AR$117=1,INDEX('計算A'!AS$10:AS$54,$B45),0))*4000,0)-IF(AND('計算A'!AQ$117=1,VO45&gt;0),2000,0)-IF(AND($L45=1,'計算A'!AR$117=1,EQ45=0),2000,0))),1000000))</f>
        <v/>
      </c>
      <c r="PU45">
        <f>IF($B45=0,1000000,IF(INDEX('計算A'!$D$60:$EQ$104,$B45,42)*EQ45=1,IF(AND($E45=2,KF45=0),1000000,IF($I45&gt;0,IF(2=$J45,IF(OR(AND(42=$I45+1,OR($K45&lt;&gt;'計算A'!$A$3,'計算A'!$A$4=0)),AND(42=$I45-1,OR(18&lt;&gt;'計算A'!$A$3,'計算A'!$A$4=0))),0,IF(18=$K45,200000,ABS(18-$K45)*100)),100000+ABS(2-$J45)*1000+180)+'計算A'!AS$5*50+IF(AND($E45=1,KF45=0),25,0),IF($F45&gt;0,INDEX('計算A'!AS$110:AS$114,$F45+1)+IF(AND($E45=1,KF45=0),1000,0),MIN(TV45,20)*400+(IF('計算A'!AR$106=1,1-EP45,0)+IF('計算A'!AS$106=1,1-ER45,0))*150+182+'計算A'!AS$5*100000+IF(AND($E45=1,KF45=0),50000,0))+IF($H45=1,(IF('計算A'!AR$117=1,INDEX('計算A'!AR$10:AR$54,$B45),0)+IF('計算A'!AS$117=1,INDEX('計算A'!AT$10:AT$54,$B45),0))*4000,0)-IF(AND('計算A'!AR$117=1,VP45&gt;0),2000,0)-IF(AND($L45=1,'計算A'!AS$117=1,ER45=0),2000,0))),1000000))</f>
        <v/>
      </c>
      <c r="PV45">
        <f>IF($B45=0,1000000,IF(INDEX('計算A'!$D$60:$EQ$104,$B45,43)*ER45=1,IF(AND($E45=2,KG45=0),1000000,IF($I45&gt;0,IF(2=$J45,IF(OR(AND(43=$I45+1,OR($K45&lt;&gt;'計算A'!$A$3,'計算A'!$A$4=0)),AND(43=$I45-1,OR(19&lt;&gt;'計算A'!$A$3,'計算A'!$A$4=0))),0,IF(19=$K45,200000,ABS(19-$K45)*100)),100000+ABS(2-$J45)*1000+190)+'計算A'!AT$5*50+IF(AND($E45=1,KG45=0),25,0),IF($F45&gt;0,INDEX('計算A'!AT$110:AT$114,$F45+1)+IF(AND($E45=1,KG45=0),1000,0),MIN(TV45,20)*400+(IF('計算A'!AS$106=1,1-EQ45,0)+IF('計算A'!AT$106=1,1-ES45,0))*150+192+'計算A'!AT$5*100000+IF(AND($E45=1,KG45=0),50000,0))+IF($H45=1,(IF('計算A'!AS$117=1,INDEX('計算A'!AS$10:AS$54,$B45),0)+IF('計算A'!AT$117=1,INDEX('計算A'!AU$10:AU$54,$B45),0))*4000,0)-IF(AND('計算A'!AS$117=1,VQ45&gt;0),2000,0)-IF(AND($L45=1,'計算A'!AT$117=1,ES45=0),2000,0))),1000000))</f>
        <v/>
      </c>
      <c r="PW45">
        <f>IF($B45=0,1000000,IF(INDEX('計算A'!$D$60:$EQ$104,$B45,44)*ES45=1,IF(AND($E45=2,KH45=0),1000000,IF($I45&gt;0,IF(2=$J45,IF(OR(AND(44=$I45+1,OR($K45&lt;&gt;'計算A'!$A$3,'計算A'!$A$4=0)),AND(44=$I45-1,OR(20&lt;&gt;'計算A'!$A$3,'計算A'!$A$4=0))),0,IF(20=$K45,200000,ABS(20-$K45)*100)),100000+ABS(2-$J45)*1000+200)+'計算A'!AU$5*50+IF(AND($E45=1,KH45=0),25,0),IF($F45&gt;0,INDEX('計算A'!AU$110:AU$114,$F45+1)+IF(AND($E45=1,KH45=0),1000,0),MIN(TV45,20)*400+(IF('計算A'!AT$106=1,1-ER45,0)+IF('計算A'!AU$106=1,1-ET45,0))*150+202+'計算A'!AU$5*100000+IF(AND($E45=1,KH45=0),50000,0))+IF($H45=1,(IF('計算A'!AT$117=1,INDEX('計算A'!AT$10:AT$54,$B45),0)+IF('計算A'!AU$117=1,INDEX('計算A'!AV$10:AV$54,$B45),0))*4000,0)-IF(AND('計算A'!AT$117=1,VR45&gt;0),2000,0)-IF(AND($L45=1,'計算A'!AU$117=1,ET45=0),2000,0))),1000000))</f>
        <v/>
      </c>
      <c r="PX45">
        <f>IF($B45=0,1000000,IF(INDEX('計算A'!$D$60:$EQ$104,$B45,45)*ET45=1,IF(AND($E45=2,KI45=0),1000000,IF($I45&gt;0,IF(2=$J45,IF(OR(AND(45=$I45+1,OR($K45&lt;&gt;'計算A'!$A$3,'計算A'!$A$4=0)),AND(45=$I45-1,OR(21&lt;&gt;'計算A'!$A$3,'計算A'!$A$4=0))),0,IF(21=$K45,200000,ABS(21-$K45)*100)),100000+ABS(2-$J45)*1000+210)+'計算A'!AV$5*50+IF(AND($E45=1,KI45=0),25,0),IF($F45&gt;0,INDEX('計算A'!AV$110:AV$114,$F45+1)+IF(AND($E45=1,KI45=0),1000,0),MIN(TV45,20)*400+(IF('計算A'!AU$106=1,1-ES45,0)+IF('計算A'!AV$106=1,1-EU45,0))*150+212+'計算A'!AV$5*100000+IF(AND($E45=1,KI45=0),50000,0))+IF($H45=1,(IF('計算A'!AU$117=1,INDEX('計算A'!AU$10:AU$54,$B45),0)+IF('計算A'!AV$117=1,INDEX('計算A'!AW$10:AW$54,$B45),0))*4000,0)-IF(AND('計算A'!AU$117=1,VS45&gt;0),2000,0)-IF(AND($L45=1,'計算A'!AV$117=1,EU45=0),2000,0))),1000000))</f>
        <v/>
      </c>
      <c r="PY45">
        <f>IF($B45=0,1000000,IF(INDEX('計算A'!$D$60:$EQ$104,$B45,46)*EU45=1,IF(AND($E45=2,KJ45=0),1000000,IF($I45&gt;0,IF(2=$J45,IF(OR(AND(46=$I45+1,OR($K45&lt;&gt;'計算A'!$A$3,'計算A'!$A$4=0)),AND(46=$I45-1,OR(22&lt;&gt;'計算A'!$A$3,'計算A'!$A$4=0))),0,IF(22=$K45,200000,ABS(22-$K45)*100)),100000+ABS(2-$J45)*1000+220)+'計算A'!AW$5*50+IF(AND($E45=1,KJ45=0),25,0),IF($F45&gt;0,INDEX('計算A'!AW$110:AW$114,$F45+1)+IF(AND($E45=1,KJ45=0),1000,0),MIN(TV45,20)*400+(IF('計算A'!AV$106=1,1-ET45,0)+IF('計算A'!AW$106=1,1-EV45,0))*150+222+'計算A'!AW$5*100000+IF(AND($E45=1,KJ45=0),50000,0))+IF($H45=1,(IF('計算A'!AV$117=1,INDEX('計算A'!AV$10:AV$54,$B45),0)+IF('計算A'!AW$117=1,INDEX('計算A'!AX$10:AX$54,$B45),0))*4000,0)-IF(AND('計算A'!AV$117=1,VT45&gt;0),2000,0)-IF(AND($L45=1,'計算A'!AW$117=1,EV45=0),2000,0))),1000000))</f>
        <v/>
      </c>
      <c r="PZ45">
        <f>IF($B45=0,1000000,IF(INDEX('計算A'!$D$60:$EQ$104,$B45,47)*EV45=1,IF(AND($E45=2,KK45=0),1000000,IF($I45&gt;0,IF(2=$J45,IF(OR(AND(47=$I45+1,OR($K45&lt;&gt;'計算A'!$A$3,'計算A'!$A$4=0)),AND(47=$I45-1,OR(23&lt;&gt;'計算A'!$A$3,'計算A'!$A$4=0))),0,IF(23=$K45,200000,ABS(23-$K45)*100)),100000+ABS(2-$J45)*1000+230)+'計算A'!AX$5*50+IF(AND($E45=1,KK45=0),25,0),IF($F45&gt;0,INDEX('計算A'!AX$110:AX$114,$F45+1)+IF(AND($E45=1,KK45=0),1000,0),MIN(TV45,20)*400+(IF('計算A'!AW$106=1,1-EU45,0)+IF('計算A'!AX$106=1,1-EW45,0))*150+232+'計算A'!AX$5*100000+IF(AND($E45=1,KK45=0),50000,0))+IF($H45=1,(IF('計算A'!AW$117=1,INDEX('計算A'!AW$10:AW$54,$B45),0)+IF('計算A'!AX$117=1,INDEX('計算A'!AY$10:AY$54,$B45),0))*4000,0)-IF(AND('計算A'!AW$117=1,VU45&gt;0),2000,0)-IF(AND($L45=1,'計算A'!AX$117=1,EW45=0),2000,0))),1000000))</f>
        <v/>
      </c>
      <c r="QA45">
        <f>IF($B45=0,1000000,IF(INDEX('計算A'!$D$60:$EQ$104,$B45,48)*EW45=1,IF(AND($E45=2,KL45=0),1000000,IF($I45&gt;0,IF(2=$J45,IF(OR(AND(48=$I45+1,OR($K45&lt;&gt;'計算A'!$A$3,'計算A'!$A$4=0)),AND(48=$I45-1,OR(24&lt;&gt;'計算A'!$A$3,'計算A'!$A$4=0))),0,IF(24=$K45,200000,ABS(24-$K45)*100)),100000+ABS(2-$J45)*1000+240)+'計算A'!AY$5*50+IF(AND($E45=1,KL45=0),25,0),IF($F45&gt;0,INDEX('計算A'!AY$110:AY$114,$F45+1)+IF(AND($E45=1,KL45=0),1000,0),MIN(TV45,20)*400+(IF('計算A'!AX$106=1,1-EV45,0))*150+242+'計算A'!AY$5*100000+IF(AND($E45=1,KL45=0),50000,0))+IF($H45=1,(IF('計算A'!AX$117=1,INDEX('計算A'!AX$10:AX$54,$B45),0))*4000,0)-IF(AND('計算A'!AX$117=1,VV45&gt;0),2000,0))),1000000))</f>
        <v/>
      </c>
      <c r="QB45">
        <f>IF($B45=0,1000000,IF(INDEX('計算A'!$D$60:$EQ$104,$B45,49)*EX45=1,IF(AND($E45=2,KM45=0),1000000,IF($I45&gt;0,IF(3=$J45,IF(OR(AND(49=$I45+1,OR($K45&lt;&gt;'計算A'!$A$3,'計算A'!$A$4=0)),AND(49=$I45-1,OR(1&lt;&gt;'計算A'!$A$3,'計算A'!$A$4=0))),0,IF(1=$K45,200000,ABS(1-$K45)*100)),100000+ABS(3-$J45)*1000+10)+'計算A'!AZ$5*50+IF(AND($E45=1,KM45=0),25,0),IF($F45&gt;0,INDEX('計算A'!AZ$110:AZ$114,$F45+1)+IF(AND($E45=1,KM45=0),1000,0),MIN(TW45,20)*400+(IF('計算A'!AZ$106=1,1-EY45,0))*150+13+'計算A'!AZ$5*100000+IF(AND($E45=1,KM45=0),50000,0))+IF($H45=1,(IF('計算A'!AZ$117=1,INDEX('計算A'!BA$10:BA$54,$B45),0))*4000,0)-IF(AND($L45=1,'計算A'!AZ$117=1,EY45=0),2000,0))),1000000))</f>
        <v/>
      </c>
      <c r="QC45">
        <f>IF($B45=0,1000000,IF(INDEX('計算A'!$D$60:$EQ$104,$B45,50)*EY45=1,IF(AND($E45=2,KN45=0),1000000,IF($I45&gt;0,IF(3=$J45,IF(OR(AND(50=$I45+1,OR($K45&lt;&gt;'計算A'!$A$3,'計算A'!$A$4=0)),AND(50=$I45-1,OR(2&lt;&gt;'計算A'!$A$3,'計算A'!$A$4=0))),0,IF(2=$K45,200000,ABS(2-$K45)*100)),100000+ABS(3-$J45)*1000+20)+'計算A'!BA$5*50+IF(AND($E45=1,KN45=0),25,0),IF($F45&gt;0,INDEX('計算A'!BA$110:BA$114,$F45+1)+IF(AND($E45=1,KN45=0),1000,0),MIN(TW45,20)*400+(IF('計算A'!AZ$106=1,1-EX45,0)+IF('計算A'!BA$106=1,1-EZ45,0))*150+23+'計算A'!BA$5*100000+IF(AND($E45=1,KN45=0),50000,0))+IF($H45=1,(IF('計算A'!AZ$117=1,INDEX('計算A'!AZ$10:AZ$54,$B45),0)+IF('計算A'!BA$117=1,INDEX('計算A'!BB$10:BB$54,$B45),0))*4000,0)-IF(AND('計算A'!AZ$117=1,VX45&gt;0),2000,0)-IF(AND($L45=1,'計算A'!BA$117=1,EZ45=0),2000,0))),1000000))</f>
        <v/>
      </c>
      <c r="QD45">
        <f>IF($B45=0,1000000,IF(INDEX('計算A'!$D$60:$EQ$104,$B45,51)*EZ45=1,IF(AND($E45=2,KO45=0),1000000,IF($I45&gt;0,IF(3=$J45,IF(OR(AND(51=$I45+1,OR($K45&lt;&gt;'計算A'!$A$3,'計算A'!$A$4=0)),AND(51=$I45-1,OR(3&lt;&gt;'計算A'!$A$3,'計算A'!$A$4=0))),0,IF(3=$K45,200000,ABS(3-$K45)*100)),100000+ABS(3-$J45)*1000+30)+'計算A'!BB$5*50+IF(AND($E45=1,KO45=0),25,0),IF($F45&gt;0,INDEX('計算A'!BB$110:BB$114,$F45+1)+IF(AND($E45=1,KO45=0),1000,0),MIN(TW45,20)*400+(IF('計算A'!BA$106=1,1-EY45,0)+IF('計算A'!BB$106=1,1-FA45,0))*150+33+'計算A'!BB$5*100000+IF(AND($E45=1,KO45=0),50000,0))+IF($H45=1,(IF('計算A'!BA$117=1,INDEX('計算A'!BA$10:BA$54,$B45),0)+IF('計算A'!BB$117=1,INDEX('計算A'!BC$10:BC$54,$B45),0))*4000,0)-IF(AND('計算A'!BA$117=1,VY45&gt;0),2000,0)-IF(AND($L45=1,'計算A'!BB$117=1,FA45=0),2000,0))),1000000))</f>
        <v/>
      </c>
      <c r="QE45">
        <f>IF($B45=0,1000000,IF(INDEX('計算A'!$D$60:$EQ$104,$B45,52)*FA45=1,IF(AND($E45=2,KP45=0),1000000,IF($I45&gt;0,IF(3=$J45,IF(OR(AND(52=$I45+1,OR($K45&lt;&gt;'計算A'!$A$3,'計算A'!$A$4=0)),AND(52=$I45-1,OR(4&lt;&gt;'計算A'!$A$3,'計算A'!$A$4=0))),0,IF(4=$K45,200000,ABS(4-$K45)*100)),100000+ABS(3-$J45)*1000+40)+'計算A'!BC$5*50+IF(AND($E45=1,KP45=0),25,0),IF($F45&gt;0,INDEX('計算A'!BC$110:BC$114,$F45+1)+IF(AND($E45=1,KP45=0),1000,0),MIN(TW45,20)*400+(IF('計算A'!BB$106=1,1-EZ45,0)+IF('計算A'!BC$106=1,1-FB45,0))*150+43+'計算A'!BC$5*100000+IF(AND($E45=1,KP45=0),50000,0))+IF($H45=1,(IF('計算A'!BB$117=1,INDEX('計算A'!BB$10:BB$54,$B45),0)+IF('計算A'!BC$117=1,INDEX('計算A'!BD$10:BD$54,$B45),0))*4000,0)-IF(AND('計算A'!BB$117=1,VZ45&gt;0),2000,0)-IF(AND($L45=1,'計算A'!BC$117=1,FB45=0),2000,0))),1000000))</f>
        <v/>
      </c>
      <c r="QF45">
        <f>IF($B45=0,1000000,IF(INDEX('計算A'!$D$60:$EQ$104,$B45,53)*FB45=1,IF(AND($E45=2,KQ45=0),1000000,IF($I45&gt;0,IF(3=$J45,IF(OR(AND(53=$I45+1,OR($K45&lt;&gt;'計算A'!$A$3,'計算A'!$A$4=0)),AND(53=$I45-1,OR(5&lt;&gt;'計算A'!$A$3,'計算A'!$A$4=0))),0,IF(5=$K45,200000,ABS(5-$K45)*100)),100000+ABS(3-$J45)*1000+50)+'計算A'!BD$5*50+IF(AND($E45=1,KQ45=0),25,0),IF($F45&gt;0,INDEX('計算A'!BD$110:BD$114,$F45+1)+IF(AND($E45=1,KQ45=0),1000,0),MIN(TW45,20)*400+(IF('計算A'!BC$106=1,1-FA45,0)+IF('計算A'!BD$106=1,1-FC45,0))*150+53+'計算A'!BD$5*100000+IF(AND($E45=1,KQ45=0),50000,0))+IF($H45=1,(IF('計算A'!BC$117=1,INDEX('計算A'!BC$10:BC$54,$B45),0)+IF('計算A'!BD$117=1,INDEX('計算A'!BE$10:BE$54,$B45),0))*4000,0)-IF(AND('計算A'!BC$117=1,WA45&gt;0),2000,0)-IF(AND($L45=1,'計算A'!BD$117=1,FC45=0),2000,0))),1000000))</f>
        <v/>
      </c>
      <c r="QG45">
        <f>IF($B45=0,1000000,IF(INDEX('計算A'!$D$60:$EQ$104,$B45,54)*FC45=1,IF(AND($E45=2,KR45=0),1000000,IF($I45&gt;0,IF(3=$J45,IF(OR(AND(54=$I45+1,OR($K45&lt;&gt;'計算A'!$A$3,'計算A'!$A$4=0)),AND(54=$I45-1,OR(6&lt;&gt;'計算A'!$A$3,'計算A'!$A$4=0))),0,IF(6=$K45,200000,ABS(6-$K45)*100)),100000+ABS(3-$J45)*1000+60)+'計算A'!BE$5*50+IF(AND($E45=1,KR45=0),25,0),IF($F45&gt;0,INDEX('計算A'!BE$110:BE$114,$F45+1)+IF(AND($E45=1,KR45=0),1000,0),MIN(TW45,20)*400+(IF('計算A'!BD$106=1,1-FB45,0)+IF('計算A'!BE$106=1,1-FD45,0))*150+63+'計算A'!BE$5*100000+IF(AND($E45=1,KR45=0),50000,0))+IF($H45=1,(IF('計算A'!BD$117=1,INDEX('計算A'!BD$10:BD$54,$B45),0)+IF('計算A'!BE$117=1,INDEX('計算A'!BF$10:BF$54,$B45),0))*4000,0)-IF(AND('計算A'!BD$117=1,WB45&gt;0),2000,0)-IF(AND($L45=1,'計算A'!BE$117=1,FD45=0),2000,0))),1000000))</f>
        <v/>
      </c>
      <c r="QH45">
        <f>IF($B45=0,1000000,IF(INDEX('計算A'!$D$60:$EQ$104,$B45,55)*FD45=1,IF(AND($E45=2,KS45=0),1000000,IF($I45&gt;0,IF(3=$J45,IF(OR(AND(55=$I45+1,OR($K45&lt;&gt;'計算A'!$A$3,'計算A'!$A$4=0)),AND(55=$I45-1,OR(7&lt;&gt;'計算A'!$A$3,'計算A'!$A$4=0))),0,IF(7=$K45,200000,ABS(7-$K45)*100)),100000+ABS(3-$J45)*1000+70)+'計算A'!BF$5*50+IF(AND($E45=1,KS45=0),25,0),IF($F45&gt;0,INDEX('計算A'!BF$110:BF$114,$F45+1)+IF(AND($E45=1,KS45=0),1000,0),MIN(TW45,20)*400+(IF('計算A'!BE$106=1,1-FC45,0)+IF('計算A'!BF$106=1,1-FE45,0))*150+73+'計算A'!BF$5*100000+IF(AND($E45=1,KS45=0),50000,0))+IF($H45=1,(IF('計算A'!BE$117=1,INDEX('計算A'!BE$10:BE$54,$B45),0)+IF('計算A'!BF$117=1,INDEX('計算A'!BG$10:BG$54,$B45),0))*4000,0)-IF(AND('計算A'!BE$117=1,WC45&gt;0),2000,0)-IF(AND($L45=1,'計算A'!BF$117=1,FE45=0),2000,0))),1000000))</f>
        <v/>
      </c>
      <c r="QI45">
        <f>IF($B45=0,1000000,IF(INDEX('計算A'!$D$60:$EQ$104,$B45,56)*FE45=1,IF(AND($E45=2,KT45=0),1000000,IF($I45&gt;0,IF(3=$J45,IF(OR(AND(56=$I45+1,OR($K45&lt;&gt;'計算A'!$A$3,'計算A'!$A$4=0)),AND(56=$I45-1,OR(8&lt;&gt;'計算A'!$A$3,'計算A'!$A$4=0))),0,IF(8=$K45,200000,ABS(8-$K45)*100)),100000+ABS(3-$J45)*1000+80)+'計算A'!BG$5*50+IF(AND($E45=1,KT45=0),25,0),IF($F45&gt;0,INDEX('計算A'!BG$110:BG$114,$F45+1)+IF(AND($E45=1,KT45=0),1000,0),MIN(TW45,20)*400+(IF('計算A'!BF$106=1,1-FD45,0)+IF('計算A'!BG$106=1,1-FF45,0))*150+83+'計算A'!BG$5*100000+IF(AND($E45=1,KT45=0),50000,0))+IF($H45=1,(IF('計算A'!BF$117=1,INDEX('計算A'!BF$10:BF$54,$B45),0)+IF('計算A'!BG$117=1,INDEX('計算A'!BH$10:BH$54,$B45),0))*4000,0)-IF(AND('計算A'!BF$117=1,WD45&gt;0),2000,0)-IF(AND($L45=1,'計算A'!BG$117=1,FF45=0),2000,0))),1000000))</f>
        <v/>
      </c>
      <c r="QJ45">
        <f>IF($B45=0,1000000,IF(INDEX('計算A'!$D$60:$EQ$104,$B45,57)*FF45=1,IF(AND($E45=2,KU45=0),1000000,IF($I45&gt;0,IF(3=$J45,IF(OR(AND(57=$I45+1,OR($K45&lt;&gt;'計算A'!$A$3,'計算A'!$A$4=0)),AND(57=$I45-1,OR(9&lt;&gt;'計算A'!$A$3,'計算A'!$A$4=0))),0,IF(9=$K45,200000,ABS(9-$K45)*100)),100000+ABS(3-$J45)*1000+90)+'計算A'!BH$5*50+IF(AND($E45=1,KU45=0),25,0),IF($F45&gt;0,INDEX('計算A'!BH$110:BH$114,$F45+1)+IF(AND($E45=1,KU45=0),1000,0),MIN(TW45,20)*400+(IF('計算A'!BG$106=1,1-FE45,0)+IF('計算A'!BH$106=1,1-FG45,0))*150+93+'計算A'!BH$5*100000+IF(AND($E45=1,KU45=0),50000,0))+IF($H45=1,(IF('計算A'!BG$117=1,INDEX('計算A'!BG$10:BG$54,$B45),0)+IF('計算A'!BH$117=1,INDEX('計算A'!BI$10:BI$54,$B45),0))*4000,0)-IF(AND('計算A'!BG$117=1,WE45&gt;0),2000,0)-IF(AND($L45=1,'計算A'!BH$117=1,FG45=0),2000,0))),1000000))</f>
        <v/>
      </c>
      <c r="QK45">
        <f>IF($B45=0,1000000,IF(INDEX('計算A'!$D$60:$EQ$104,$B45,58)*FG45=1,IF(AND($E45=2,KV45=0),1000000,IF($I45&gt;0,IF(3=$J45,IF(OR(AND(58=$I45+1,OR($K45&lt;&gt;'計算A'!$A$3,'計算A'!$A$4=0)),AND(58=$I45-1,OR(10&lt;&gt;'計算A'!$A$3,'計算A'!$A$4=0))),0,IF(10=$K45,200000,ABS(10-$K45)*100)),100000+ABS(3-$J45)*1000+100)+'計算A'!BI$5*50+IF(AND($E45=1,KV45=0),25,0),IF($F45&gt;0,INDEX('計算A'!BI$110:BI$114,$F45+1)+IF(AND($E45=1,KV45=0),1000,0),MIN(TW45,20)*400+(IF('計算A'!BH$106=1,1-FF45,0)+IF('計算A'!BI$106=1,1-FH45,0))*150+103+'計算A'!BI$5*100000+IF(AND($E45=1,KV45=0),50000,0))+IF($H45=1,(IF('計算A'!BH$117=1,INDEX('計算A'!BH$10:BH$54,$B45),0)+IF('計算A'!BI$117=1,INDEX('計算A'!BJ$10:BJ$54,$B45),0))*4000,0)-IF(AND('計算A'!BH$117=1,WF45&gt;0),2000,0)-IF(AND($L45=1,'計算A'!BI$117=1,FH45=0),2000,0))),1000000))</f>
        <v/>
      </c>
      <c r="QL45">
        <f>IF($B45=0,1000000,IF(INDEX('計算A'!$D$60:$EQ$104,$B45,59)*FH45=1,IF(AND($E45=2,KW45=0),1000000,IF($I45&gt;0,IF(3=$J45,IF(OR(AND(59=$I45+1,OR($K45&lt;&gt;'計算A'!$A$3,'計算A'!$A$4=0)),AND(59=$I45-1,OR(11&lt;&gt;'計算A'!$A$3,'計算A'!$A$4=0))),0,IF(11=$K45,200000,ABS(11-$K45)*100)),100000+ABS(3-$J45)*1000+110)+'計算A'!BJ$5*50+IF(AND($E45=1,KW45=0),25,0),IF($F45&gt;0,INDEX('計算A'!BJ$110:BJ$114,$F45+1)+IF(AND($E45=1,KW45=0),1000,0),MIN(TW45,20)*400+(IF('計算A'!BI$106=1,1-FG45,0)+IF('計算A'!BJ$106=1,1-FI45,0))*150+113+'計算A'!BJ$5*100000+IF(AND($E45=1,KW45=0),50000,0))+IF($H45=1,(IF('計算A'!BI$117=1,INDEX('計算A'!BI$10:BI$54,$B45),0)+IF('計算A'!BJ$117=1,INDEX('計算A'!BK$10:BK$54,$B45),0))*4000,0)-IF(AND('計算A'!BI$117=1,WG45&gt;0),2000,0)-IF(AND($L45=1,'計算A'!BJ$117=1,FI45=0),2000,0))),1000000))</f>
        <v/>
      </c>
      <c r="QM45">
        <f>IF($B45=0,1000000,IF(INDEX('計算A'!$D$60:$EQ$104,$B45,60)*FI45=1,IF(AND($E45=2,KX45=0),1000000,IF($I45&gt;0,IF(3=$J45,IF(OR(AND(60=$I45+1,OR($K45&lt;&gt;'計算A'!$A$3,'計算A'!$A$4=0)),AND(60=$I45-1,OR(12&lt;&gt;'計算A'!$A$3,'計算A'!$A$4=0))),0,IF(12=$K45,200000,ABS(12-$K45)*100)),100000+ABS(3-$J45)*1000+120)+'計算A'!BK$5*50+IF(AND($E45=1,KX45=0),25,0),IF($F45&gt;0,INDEX('計算A'!BK$110:BK$114,$F45+1)+IF(AND($E45=1,KX45=0),1000,0),MIN(TW45,20)*400+(IF('計算A'!BJ$106=1,1-FH45,0)+IF('計算A'!BK$106=1,1-FJ45,0))*150+123+'計算A'!BK$5*100000+IF(AND($E45=1,KX45=0),50000,0))+IF($H45=1,(IF('計算A'!BJ$117=1,INDEX('計算A'!BJ$10:BJ$54,$B45),0)+IF('計算A'!BK$117=1,INDEX('計算A'!BL$10:BL$54,$B45),0))*4000,0)-IF(AND('計算A'!BJ$117=1,WH45&gt;0),2000,0)-IF(AND($L45=1,'計算A'!BK$117=1,FJ45=0),2000,0))),1000000))</f>
        <v/>
      </c>
      <c r="QN45">
        <f>IF($B45=0,1000000,IF(INDEX('計算A'!$D$60:$EQ$104,$B45,61)*FJ45=1,IF(AND($E45=2,KY45=0),1000000,IF($I45&gt;0,IF(3=$J45,IF(OR(AND(61=$I45+1,OR($K45&lt;&gt;'計算A'!$A$3,'計算A'!$A$4=0)),AND(61=$I45-1,OR(13&lt;&gt;'計算A'!$A$3,'計算A'!$A$4=0))),0,IF(13=$K45,200000,ABS(13-$K45)*100)),100000+ABS(3-$J45)*1000+130)+'計算A'!BL$5*50+IF(AND($E45=1,KY45=0),25,0),IF($F45&gt;0,INDEX('計算A'!BL$110:BL$114,$F45+1)+IF(AND($E45=1,KY45=0),1000,0),MIN(TW45,20)*400+(IF('計算A'!BK$106=1,1-FI45,0)+IF('計算A'!BL$106=1,1-FK45,0))*150+133+'計算A'!BL$5*100000+IF(AND($E45=1,KY45=0),50000,0))+IF($H45=1,(IF('計算A'!BK$117=1,INDEX('計算A'!BK$10:BK$54,$B45),0)+IF('計算A'!BL$117=1,INDEX('計算A'!BM$10:BM$54,$B45),0))*4000,0)-IF(AND('計算A'!BK$117=1,WI45&gt;0),2000,0)-IF(AND($L45=1,'計算A'!BL$117=1,FK45=0),2000,0))),1000000))</f>
        <v/>
      </c>
      <c r="QO45">
        <f>IF($B45=0,1000000,IF(INDEX('計算A'!$D$60:$EQ$104,$B45,62)*FK45=1,IF(AND($E45=2,KZ45=0),1000000,IF($I45&gt;0,IF(3=$J45,IF(OR(AND(62=$I45+1,OR($K45&lt;&gt;'計算A'!$A$3,'計算A'!$A$4=0)),AND(62=$I45-1,OR(14&lt;&gt;'計算A'!$A$3,'計算A'!$A$4=0))),0,IF(14=$K45,200000,ABS(14-$K45)*100)),100000+ABS(3-$J45)*1000+140)+'計算A'!BM$5*50+IF(AND($E45=1,KZ45=0),25,0),IF($F45&gt;0,INDEX('計算A'!BM$110:BM$114,$F45+1)+IF(AND($E45=1,KZ45=0),1000,0),MIN(TW45,20)*400+(IF('計算A'!BL$106=1,1-FJ45,0)+IF('計算A'!BM$106=1,1-FL45,0))*150+143+'計算A'!BM$5*100000+IF(AND($E45=1,KZ45=0),50000,0))+IF($H45=1,(IF('計算A'!BL$117=1,INDEX('計算A'!BL$10:BL$54,$B45),0)+IF('計算A'!BM$117=1,INDEX('計算A'!BN$10:BN$54,$B45),0))*4000,0)-IF(AND('計算A'!BL$117=1,WJ45&gt;0),2000,0)-IF(AND($L45=1,'計算A'!BM$117=1,FL45=0),2000,0))),1000000))</f>
        <v/>
      </c>
      <c r="QP45">
        <f>IF($B45=0,1000000,IF(INDEX('計算A'!$D$60:$EQ$104,$B45,63)*FL45=1,IF(AND($E45=2,LA45=0),1000000,IF($I45&gt;0,IF(3=$J45,IF(OR(AND(63=$I45+1,OR($K45&lt;&gt;'計算A'!$A$3,'計算A'!$A$4=0)),AND(63=$I45-1,OR(15&lt;&gt;'計算A'!$A$3,'計算A'!$A$4=0))),0,IF(15=$K45,200000,ABS(15-$K45)*100)),100000+ABS(3-$J45)*1000+150)+'計算A'!BN$5*50+IF(AND($E45=1,LA45=0),25,0),IF($F45&gt;0,INDEX('計算A'!BN$110:BN$114,$F45+1)+IF(AND($E45=1,LA45=0),1000,0),MIN(TW45,20)*400+(IF('計算A'!BM$106=1,1-FK45,0)+IF('計算A'!BN$106=1,1-FM45,0))*150+153+'計算A'!BN$5*100000+IF(AND($E45=1,LA45=0),50000,0))+IF($H45=1,(IF('計算A'!BM$117=1,INDEX('計算A'!BM$10:BM$54,$B45),0)+IF('計算A'!BN$117=1,INDEX('計算A'!BO$10:BO$54,$B45),0))*4000,0)-IF(AND('計算A'!BM$117=1,WK45&gt;0),2000,0)-IF(AND($L45=1,'計算A'!BN$117=1,FM45=0),2000,0))),1000000))</f>
        <v/>
      </c>
      <c r="QQ45">
        <f>IF($B45=0,1000000,IF(INDEX('計算A'!$D$60:$EQ$104,$B45,64)*FM45=1,IF(AND($E45=2,LB45=0),1000000,IF($I45&gt;0,IF(3=$J45,IF(OR(AND(64=$I45+1,OR($K45&lt;&gt;'計算A'!$A$3,'計算A'!$A$4=0)),AND(64=$I45-1,OR(16&lt;&gt;'計算A'!$A$3,'計算A'!$A$4=0))),0,IF(16=$K45,200000,ABS(16-$K45)*100)),100000+ABS(3-$J45)*1000+160)+'計算A'!BO$5*50+IF(AND($E45=1,LB45=0),25,0),IF($F45&gt;0,INDEX('計算A'!BO$110:BO$114,$F45+1)+IF(AND($E45=1,LB45=0),1000,0),MIN(TW45,20)*400+(IF('計算A'!BN$106=1,1-FL45,0)+IF('計算A'!BO$106=1,1-FN45,0))*150+163+'計算A'!BO$5*100000+IF(AND($E45=1,LB45=0),50000,0))+IF($H45=1,(IF('計算A'!BN$117=1,INDEX('計算A'!BN$10:BN$54,$B45),0)+IF('計算A'!BO$117=1,INDEX('計算A'!BP$10:BP$54,$B45),0))*4000,0)-IF(AND('計算A'!BN$117=1,WL45&gt;0),2000,0)-IF(AND($L45=1,'計算A'!BO$117=1,FN45=0),2000,0))),1000000))</f>
        <v/>
      </c>
      <c r="QR45">
        <f>IF($B45=0,1000000,IF(INDEX('計算A'!$D$60:$EQ$104,$B45,65)*FN45=1,IF(AND($E45=2,LC45=0),1000000,IF($I45&gt;0,IF(3=$J45,IF(OR(AND(65=$I45+1,OR($K45&lt;&gt;'計算A'!$A$3,'計算A'!$A$4=0)),AND(65=$I45-1,OR(17&lt;&gt;'計算A'!$A$3,'計算A'!$A$4=0))),0,IF(17=$K45,200000,ABS(17-$K45)*100)),100000+ABS(3-$J45)*1000+170)+'計算A'!BP$5*50+IF(AND($E45=1,LC45=0),25,0),IF($F45&gt;0,INDEX('計算A'!BP$110:BP$114,$F45+1)+IF(AND($E45=1,LC45=0),1000,0),MIN(TW45,20)*400+(IF('計算A'!BO$106=1,1-FM45,0)+IF('計算A'!BP$106=1,1-FO45,0))*150+173+'計算A'!BP$5*100000+IF(AND($E45=1,LC45=0),50000,0))+IF($H45=1,(IF('計算A'!BO$117=1,INDEX('計算A'!BO$10:BO$54,$B45),0)+IF('計算A'!BP$117=1,INDEX('計算A'!BQ$10:BQ$54,$B45),0))*4000,0)-IF(AND('計算A'!BO$117=1,WM45&gt;0),2000,0)-IF(AND($L45=1,'計算A'!BP$117=1,FO45=0),2000,0))),1000000))</f>
        <v/>
      </c>
      <c r="QS45">
        <f>IF($B45=0,1000000,IF(INDEX('計算A'!$D$60:$EQ$104,$B45,66)*FO45=1,IF(AND($E45=2,LD45=0),1000000,IF($I45&gt;0,IF(3=$J45,IF(OR(AND(66=$I45+1,OR($K45&lt;&gt;'計算A'!$A$3,'計算A'!$A$4=0)),AND(66=$I45-1,OR(18&lt;&gt;'計算A'!$A$3,'計算A'!$A$4=0))),0,IF(18=$K45,200000,ABS(18-$K45)*100)),100000+ABS(3-$J45)*1000+180)+'計算A'!BQ$5*50+IF(AND($E45=1,LD45=0),25,0),IF($F45&gt;0,INDEX('計算A'!BQ$110:BQ$114,$F45+1)+IF(AND($E45=1,LD45=0),1000,0),MIN(TW45,20)*400+(IF('計算A'!BP$106=1,1-FN45,0)+IF('計算A'!BQ$106=1,1-FP45,0))*150+183+'計算A'!BQ$5*100000+IF(AND($E45=1,LD45=0),50000,0))+IF($H45=1,(IF('計算A'!BP$117=1,INDEX('計算A'!BP$10:BP$54,$B45),0)+IF('計算A'!BQ$117=1,INDEX('計算A'!BR$10:BR$54,$B45),0))*4000,0)-IF(AND('計算A'!BP$117=1,WN45&gt;0),2000,0)-IF(AND($L45=1,'計算A'!BQ$117=1,FP45=0),2000,0))),1000000))</f>
        <v/>
      </c>
      <c r="QT45">
        <f>IF($B45=0,1000000,IF(INDEX('計算A'!$D$60:$EQ$104,$B45,67)*FP45=1,IF(AND($E45=2,LE45=0),1000000,IF($I45&gt;0,IF(3=$J45,IF(OR(AND(67=$I45+1,OR($K45&lt;&gt;'計算A'!$A$3,'計算A'!$A$4=0)),AND(67=$I45-1,OR(19&lt;&gt;'計算A'!$A$3,'計算A'!$A$4=0))),0,IF(19=$K45,200000,ABS(19-$K45)*100)),100000+ABS(3-$J45)*1000+190)+'計算A'!BR$5*50+IF(AND($E45=1,LE45=0),25,0),IF($F45&gt;0,INDEX('計算A'!BR$110:BR$114,$F45+1)+IF(AND($E45=1,LE45=0),1000,0),MIN(TW45,20)*400+(IF('計算A'!BQ$106=1,1-FO45,0)+IF('計算A'!BR$106=1,1-FQ45,0))*150+193+'計算A'!BR$5*100000+IF(AND($E45=1,LE45=0),50000,0))+IF($H45=1,(IF('計算A'!BQ$117=1,INDEX('計算A'!BQ$10:BQ$54,$B45),0)+IF('計算A'!BR$117=1,INDEX('計算A'!BS$10:BS$54,$B45),0))*4000,0)-IF(AND('計算A'!BQ$117=1,WO45&gt;0),2000,0)-IF(AND($L45=1,'計算A'!BR$117=1,FQ45=0),2000,0))),1000000))</f>
        <v/>
      </c>
      <c r="QU45">
        <f>IF($B45=0,1000000,IF(INDEX('計算A'!$D$60:$EQ$104,$B45,68)*FQ45=1,IF(AND($E45=2,LF45=0),1000000,IF($I45&gt;0,IF(3=$J45,IF(OR(AND(68=$I45+1,OR($K45&lt;&gt;'計算A'!$A$3,'計算A'!$A$4=0)),AND(68=$I45-1,OR(20&lt;&gt;'計算A'!$A$3,'計算A'!$A$4=0))),0,IF(20=$K45,200000,ABS(20-$K45)*100)),100000+ABS(3-$J45)*1000+200)+'計算A'!BS$5*50+IF(AND($E45=1,LF45=0),25,0),IF($F45&gt;0,INDEX('計算A'!BS$110:BS$114,$F45+1)+IF(AND($E45=1,LF45=0),1000,0),MIN(TW45,20)*400+(IF('計算A'!BR$106=1,1-FP45,0)+IF('計算A'!BS$106=1,1-FR45,0))*150+203+'計算A'!BS$5*100000+IF(AND($E45=1,LF45=0),50000,0))+IF($H45=1,(IF('計算A'!BR$117=1,INDEX('計算A'!BR$10:BR$54,$B45),0)+IF('計算A'!BS$117=1,INDEX('計算A'!BT$10:BT$54,$B45),0))*4000,0)-IF(AND('計算A'!BR$117=1,WP45&gt;0),2000,0)-IF(AND($L45=1,'計算A'!BS$117=1,FR45=0),2000,0))),1000000))</f>
        <v/>
      </c>
      <c r="QV45">
        <f>IF($B45=0,1000000,IF(INDEX('計算A'!$D$60:$EQ$104,$B45,69)*FR45=1,IF(AND($E45=2,LG45=0),1000000,IF($I45&gt;0,IF(3=$J45,IF(OR(AND(69=$I45+1,OR($K45&lt;&gt;'計算A'!$A$3,'計算A'!$A$4=0)),AND(69=$I45-1,OR(21&lt;&gt;'計算A'!$A$3,'計算A'!$A$4=0))),0,IF(21=$K45,200000,ABS(21-$K45)*100)),100000+ABS(3-$J45)*1000+210)+'計算A'!BT$5*50+IF(AND($E45=1,LG45=0),25,0),IF($F45&gt;0,INDEX('計算A'!BT$110:BT$114,$F45+1)+IF(AND($E45=1,LG45=0),1000,0),MIN(TW45,20)*400+(IF('計算A'!BS$106=1,1-FQ45,0)+IF('計算A'!BT$106=1,1-FS45,0))*150+213+'計算A'!BT$5*100000+IF(AND($E45=1,LG45=0),50000,0))+IF($H45=1,(IF('計算A'!BS$117=1,INDEX('計算A'!BS$10:BS$54,$B45),0)+IF('計算A'!BT$117=1,INDEX('計算A'!BU$10:BU$54,$B45),0))*4000,0)-IF(AND('計算A'!BS$117=1,WQ45&gt;0),2000,0)-IF(AND($L45=1,'計算A'!BT$117=1,FS45=0),2000,0))),1000000))</f>
        <v/>
      </c>
      <c r="QW45">
        <f>IF($B45=0,1000000,IF(INDEX('計算A'!$D$60:$EQ$104,$B45,70)*FS45=1,IF(AND($E45=2,LH45=0),1000000,IF($I45&gt;0,IF(3=$J45,IF(OR(AND(70=$I45+1,OR($K45&lt;&gt;'計算A'!$A$3,'計算A'!$A$4=0)),AND(70=$I45-1,OR(22&lt;&gt;'計算A'!$A$3,'計算A'!$A$4=0))),0,IF(22=$K45,200000,ABS(22-$K45)*100)),100000+ABS(3-$J45)*1000+220)+'計算A'!BU$5*50+IF(AND($E45=1,LH45=0),25,0),IF($F45&gt;0,INDEX('計算A'!BU$110:BU$114,$F45+1)+IF(AND($E45=1,LH45=0),1000,0),MIN(TW45,20)*400+(IF('計算A'!BT$106=1,1-FR45,0)+IF('計算A'!BU$106=1,1-FT45,0))*150+223+'計算A'!BU$5*100000+IF(AND($E45=1,LH45=0),50000,0))+IF($H45=1,(IF('計算A'!BT$117=1,INDEX('計算A'!BT$10:BT$54,$B45),0)+IF('計算A'!BU$117=1,INDEX('計算A'!BV$10:BV$54,$B45),0))*4000,0)-IF(AND('計算A'!BT$117=1,WR45&gt;0),2000,0)-IF(AND($L45=1,'計算A'!BU$117=1,FT45=0),2000,0))),1000000))</f>
        <v/>
      </c>
      <c r="QX45">
        <f>IF($B45=0,1000000,IF(INDEX('計算A'!$D$60:$EQ$104,$B45,71)*FT45=1,IF(AND($E45=2,LI45=0),1000000,IF($I45&gt;0,IF(3=$J45,IF(OR(AND(71=$I45+1,OR($K45&lt;&gt;'計算A'!$A$3,'計算A'!$A$4=0)),AND(71=$I45-1,OR(23&lt;&gt;'計算A'!$A$3,'計算A'!$A$4=0))),0,IF(23=$K45,200000,ABS(23-$K45)*100)),100000+ABS(3-$J45)*1000+230)+'計算A'!BV$5*50+IF(AND($E45=1,LI45=0),25,0),IF($F45&gt;0,INDEX('計算A'!BV$110:BV$114,$F45+1)+IF(AND($E45=1,LI45=0),1000,0),MIN(TW45,20)*400+(IF('計算A'!BU$106=1,1-FS45,0)+IF('計算A'!BV$106=1,1-FU45,0))*150+233+'計算A'!BV$5*100000+IF(AND($E45=1,LI45=0),50000,0))+IF($H45=1,(IF('計算A'!BU$117=1,INDEX('計算A'!BU$10:BU$54,$B45),0)+IF('計算A'!BV$117=1,INDEX('計算A'!BW$10:BW$54,$B45),0))*4000,0)-IF(AND('計算A'!BU$117=1,WS45&gt;0),2000,0)-IF(AND($L45=1,'計算A'!BV$117=1,FU45=0),2000,0))),1000000))</f>
        <v/>
      </c>
      <c r="QY45">
        <f>IF($B45=0,1000000,IF(INDEX('計算A'!$D$60:$EQ$104,$B45,72)*FU45=1,IF(AND($E45=2,LJ45=0),1000000,IF($I45&gt;0,IF(3=$J45,IF(OR(AND(72=$I45+1,OR($K45&lt;&gt;'計算A'!$A$3,'計算A'!$A$4=0)),AND(72=$I45-1,OR(24&lt;&gt;'計算A'!$A$3,'計算A'!$A$4=0))),0,IF(24=$K45,200000,ABS(24-$K45)*100)),100000+ABS(3-$J45)*1000+240)+'計算A'!BW$5*50+IF(AND($E45=1,LJ45=0),25,0),IF($F45&gt;0,INDEX('計算A'!BW$110:BW$114,$F45+1)+IF(AND($E45=1,LJ45=0),1000,0),MIN(TW45,20)*400+(IF('計算A'!BV$106=1,1-FT45,0))*150+243+'計算A'!BW$5*100000+IF(AND($E45=1,LJ45=0),50000,0))+IF($H45=1,(IF('計算A'!BV$117=1,INDEX('計算A'!BV$10:BV$54,$B45),0))*4000,0)-IF(AND('計算A'!BV$117=1,WT45&gt;0),2000,0))),1000000))</f>
        <v/>
      </c>
      <c r="QZ45">
        <f>IF($B45=0,1000000,IF(INDEX('計算A'!$D$60:$EQ$104,$B45,73)*FV45=1,IF(AND($E45=2,LK45=0),1000000,IF($I45&gt;0,IF(4=$J45,IF(OR(AND(73=$I45+1,OR($K45&lt;&gt;'計算A'!$A$3,'計算A'!$A$4=0)),AND(73=$I45-1,OR(1&lt;&gt;'計算A'!$A$3,'計算A'!$A$4=0))),0,IF(1=$K45,200000,ABS(1-$K45)*100)),100000+ABS(4-$J45)*1000+10)+'計算A'!BX$5*50+IF(AND($E45=1,LK45=0),25,0),IF($F45&gt;0,INDEX('計算A'!BX$110:BX$114,$F45+1)+IF(AND($E45=1,LK45=0),1000,0),MIN(TX45,20)*400+(IF('計算A'!BX$106=1,1-FW45,0))*150+14+'計算A'!BX$5*100000+IF(AND($E45=1,LK45=0),50000,0))+IF($H45=1,(IF('計算A'!BX$117=1,INDEX('計算A'!BY$10:BY$54,$B45),0))*4000,0)-IF(AND($L45=1,'計算A'!BX$117=1,FW45=0),2000,0))),1000000))</f>
        <v/>
      </c>
      <c r="RA45">
        <f>IF($B45=0,1000000,IF(INDEX('計算A'!$D$60:$EQ$104,$B45,74)*FW45=1,IF(AND($E45=2,LL45=0),1000000,IF($I45&gt;0,IF(4=$J45,IF(OR(AND(74=$I45+1,OR($K45&lt;&gt;'計算A'!$A$3,'計算A'!$A$4=0)),AND(74=$I45-1,OR(2&lt;&gt;'計算A'!$A$3,'計算A'!$A$4=0))),0,IF(2=$K45,200000,ABS(2-$K45)*100)),100000+ABS(4-$J45)*1000+20)+'計算A'!BY$5*50+IF(AND($E45=1,LL45=0),25,0),IF($F45&gt;0,INDEX('計算A'!BY$110:BY$114,$F45+1)+IF(AND($E45=1,LL45=0),1000,0),MIN(TX45,20)*400+(IF('計算A'!BX$106=1,1-FV45,0)+IF('計算A'!BY$106=1,1-FX45,0))*150+24+'計算A'!BY$5*100000+IF(AND($E45=1,LL45=0),50000,0))+IF($H45=1,(IF('計算A'!BX$117=1,INDEX('計算A'!BX$10:BX$54,$B45),0)+IF('計算A'!BY$117=1,INDEX('計算A'!BZ$10:BZ$54,$B45),0))*4000,0)-IF(AND('計算A'!BX$117=1,WV45&gt;0),2000,0)-IF(AND($L45=1,'計算A'!BY$117=1,FX45=0),2000,0))),1000000))</f>
        <v/>
      </c>
      <c r="RB45">
        <f>IF($B45=0,1000000,IF(INDEX('計算A'!$D$60:$EQ$104,$B45,75)*FX45=1,IF(AND($E45=2,LM45=0),1000000,IF($I45&gt;0,IF(4=$J45,IF(OR(AND(75=$I45+1,OR($K45&lt;&gt;'計算A'!$A$3,'計算A'!$A$4=0)),AND(75=$I45-1,OR(3&lt;&gt;'計算A'!$A$3,'計算A'!$A$4=0))),0,IF(3=$K45,200000,ABS(3-$K45)*100)),100000+ABS(4-$J45)*1000+30)+'計算A'!BZ$5*50+IF(AND($E45=1,LM45=0),25,0),IF($F45&gt;0,INDEX('計算A'!BZ$110:BZ$114,$F45+1)+IF(AND($E45=1,LM45=0),1000,0),MIN(TX45,20)*400+(IF('計算A'!BY$106=1,1-FW45,0)+IF('計算A'!BZ$106=1,1-FY45,0))*150+34+'計算A'!BZ$5*100000+IF(AND($E45=1,LM45=0),50000,0))+IF($H45=1,(IF('計算A'!BY$117=1,INDEX('計算A'!BY$10:BY$54,$B45),0)+IF('計算A'!BZ$117=1,INDEX('計算A'!CA$10:CA$54,$B45),0))*4000,0)-IF(AND('計算A'!BY$117=1,WW45&gt;0),2000,0)-IF(AND($L45=1,'計算A'!BZ$117=1,FY45=0),2000,0))),1000000))</f>
        <v/>
      </c>
      <c r="RC45">
        <f>IF($B45=0,1000000,IF(INDEX('計算A'!$D$60:$EQ$104,$B45,76)*FY45=1,IF(AND($E45=2,LN45=0),1000000,IF($I45&gt;0,IF(4=$J45,IF(OR(AND(76=$I45+1,OR($K45&lt;&gt;'計算A'!$A$3,'計算A'!$A$4=0)),AND(76=$I45-1,OR(4&lt;&gt;'計算A'!$A$3,'計算A'!$A$4=0))),0,IF(4=$K45,200000,ABS(4-$K45)*100)),100000+ABS(4-$J45)*1000+40)+'計算A'!CA$5*50+IF(AND($E45=1,LN45=0),25,0),IF($F45&gt;0,INDEX('計算A'!CA$110:CA$114,$F45+1)+IF(AND($E45=1,LN45=0),1000,0),MIN(TX45,20)*400+(IF('計算A'!BZ$106=1,1-FX45,0)+IF('計算A'!CA$106=1,1-FZ45,0))*150+44+'計算A'!CA$5*100000+IF(AND($E45=1,LN45=0),50000,0))+IF($H45=1,(IF('計算A'!BZ$117=1,INDEX('計算A'!BZ$10:BZ$54,$B45),0)+IF('計算A'!CA$117=1,INDEX('計算A'!CB$10:CB$54,$B45),0))*4000,0)-IF(AND('計算A'!BZ$117=1,WX45&gt;0),2000,0)-IF(AND($L45=1,'計算A'!CA$117=1,FZ45=0),2000,0))),1000000))</f>
        <v/>
      </c>
      <c r="RD45">
        <f>IF($B45=0,1000000,IF(INDEX('計算A'!$D$60:$EQ$104,$B45,77)*FZ45=1,IF(AND($E45=2,LO45=0),1000000,IF($I45&gt;0,IF(4=$J45,IF(OR(AND(77=$I45+1,OR($K45&lt;&gt;'計算A'!$A$3,'計算A'!$A$4=0)),AND(77=$I45-1,OR(5&lt;&gt;'計算A'!$A$3,'計算A'!$A$4=0))),0,IF(5=$K45,200000,ABS(5-$K45)*100)),100000+ABS(4-$J45)*1000+50)+'計算A'!CB$5*50+IF(AND($E45=1,LO45=0),25,0),IF($F45&gt;0,INDEX('計算A'!CB$110:CB$114,$F45+1)+IF(AND($E45=1,LO45=0),1000,0),MIN(TX45,20)*400+(IF('計算A'!CA$106=1,1-FY45,0)+IF('計算A'!CB$106=1,1-GA45,0))*150+54+'計算A'!CB$5*100000+IF(AND($E45=1,LO45=0),50000,0))+IF($H45=1,(IF('計算A'!CA$117=1,INDEX('計算A'!CA$10:CA$54,$B45),0)+IF('計算A'!CB$117=1,INDEX('計算A'!CC$10:CC$54,$B45),0))*4000,0)-IF(AND('計算A'!CA$117=1,WY45&gt;0),2000,0)-IF(AND($L45=1,'計算A'!CB$117=1,GA45=0),2000,0))),1000000))</f>
        <v/>
      </c>
      <c r="RE45">
        <f>IF($B45=0,1000000,IF(INDEX('計算A'!$D$60:$EQ$104,$B45,78)*GA45=1,IF(AND($E45=2,LP45=0),1000000,IF($I45&gt;0,IF(4=$J45,IF(OR(AND(78=$I45+1,OR($K45&lt;&gt;'計算A'!$A$3,'計算A'!$A$4=0)),AND(78=$I45-1,OR(6&lt;&gt;'計算A'!$A$3,'計算A'!$A$4=0))),0,IF(6=$K45,200000,ABS(6-$K45)*100)),100000+ABS(4-$J45)*1000+60)+'計算A'!CC$5*50+IF(AND($E45=1,LP45=0),25,0),IF($F45&gt;0,INDEX('計算A'!CC$110:CC$114,$F45+1)+IF(AND($E45=1,LP45=0),1000,0),MIN(TX45,20)*400+(IF('計算A'!CB$106=1,1-FZ45,0)+IF('計算A'!CC$106=1,1-GB45,0))*150+64+'計算A'!CC$5*100000+IF(AND($E45=1,LP45=0),50000,0))+IF($H45=1,(IF('計算A'!CB$117=1,INDEX('計算A'!CB$10:CB$54,$B45),0)+IF('計算A'!CC$117=1,INDEX('計算A'!CD$10:CD$54,$B45),0))*4000,0)-IF(AND('計算A'!CB$117=1,WZ45&gt;0),2000,0)-IF(AND($L45=1,'計算A'!CC$117=1,GB45=0),2000,0))),1000000))</f>
        <v/>
      </c>
      <c r="RF45">
        <f>IF($B45=0,1000000,IF(INDEX('計算A'!$D$60:$EQ$104,$B45,79)*GB45=1,IF(AND($E45=2,LQ45=0),1000000,IF($I45&gt;0,IF(4=$J45,IF(OR(AND(79=$I45+1,OR($K45&lt;&gt;'計算A'!$A$3,'計算A'!$A$4=0)),AND(79=$I45-1,OR(7&lt;&gt;'計算A'!$A$3,'計算A'!$A$4=0))),0,IF(7=$K45,200000,ABS(7-$K45)*100)),100000+ABS(4-$J45)*1000+70)+'計算A'!CD$5*50+IF(AND($E45=1,LQ45=0),25,0),IF($F45&gt;0,INDEX('計算A'!CD$110:CD$114,$F45+1)+IF(AND($E45=1,LQ45=0),1000,0),MIN(TX45,20)*400+(IF('計算A'!CC$106=1,1-GA45,0)+IF('計算A'!CD$106=1,1-GC45,0))*150+74+'計算A'!CD$5*100000+IF(AND($E45=1,LQ45=0),50000,0))+IF($H45=1,(IF('計算A'!CC$117=1,INDEX('計算A'!CC$10:CC$54,$B45),0)+IF('計算A'!CD$117=1,INDEX('計算A'!CE$10:CE$54,$B45),0))*4000,0)-IF(AND('計算A'!CC$117=1,XA45&gt;0),2000,0)-IF(AND($L45=1,'計算A'!CD$117=1,GC45=0),2000,0))),1000000))</f>
        <v/>
      </c>
      <c r="RG45">
        <f>IF($B45=0,1000000,IF(INDEX('計算A'!$D$60:$EQ$104,$B45,80)*GC45=1,IF(AND($E45=2,LR45=0),1000000,IF($I45&gt;0,IF(4=$J45,IF(OR(AND(80=$I45+1,OR($K45&lt;&gt;'計算A'!$A$3,'計算A'!$A$4=0)),AND(80=$I45-1,OR(8&lt;&gt;'計算A'!$A$3,'計算A'!$A$4=0))),0,IF(8=$K45,200000,ABS(8-$K45)*100)),100000+ABS(4-$J45)*1000+80)+'計算A'!CE$5*50+IF(AND($E45=1,LR45=0),25,0),IF($F45&gt;0,INDEX('計算A'!CE$110:CE$114,$F45+1)+IF(AND($E45=1,LR45=0),1000,0),MIN(TX45,20)*400+(IF('計算A'!CD$106=1,1-GB45,0)+IF('計算A'!CE$106=1,1-GD45,0))*150+84+'計算A'!CE$5*100000+IF(AND($E45=1,LR45=0),50000,0))+IF($H45=1,(IF('計算A'!CD$117=1,INDEX('計算A'!CD$10:CD$54,$B45),0)+IF('計算A'!CE$117=1,INDEX('計算A'!CF$10:CF$54,$B45),0))*4000,0)-IF(AND('計算A'!CD$117=1,XB45&gt;0),2000,0)-IF(AND($L45=1,'計算A'!CE$117=1,GD45=0),2000,0))),1000000))</f>
        <v/>
      </c>
      <c r="RH45">
        <f>IF($B45=0,1000000,IF(INDEX('計算A'!$D$60:$EQ$104,$B45,81)*GD45=1,IF(AND($E45=2,LS45=0),1000000,IF($I45&gt;0,IF(4=$J45,IF(OR(AND(81=$I45+1,OR($K45&lt;&gt;'計算A'!$A$3,'計算A'!$A$4=0)),AND(81=$I45-1,OR(9&lt;&gt;'計算A'!$A$3,'計算A'!$A$4=0))),0,IF(9=$K45,200000,ABS(9-$K45)*100)),100000+ABS(4-$J45)*1000+90)+'計算A'!CF$5*50+IF(AND($E45=1,LS45=0),25,0),IF($F45&gt;0,INDEX('計算A'!CF$110:CF$114,$F45+1)+IF(AND($E45=1,LS45=0),1000,0),MIN(TX45,20)*400+(IF('計算A'!CE$106=1,1-GC45,0)+IF('計算A'!CF$106=1,1-GE45,0))*150+94+'計算A'!CF$5*100000+IF(AND($E45=1,LS45=0),50000,0))+IF($H45=1,(IF('計算A'!CE$117=1,INDEX('計算A'!CE$10:CE$54,$B45),0)+IF('計算A'!CF$117=1,INDEX('計算A'!CG$10:CG$54,$B45),0))*4000,0)-IF(AND('計算A'!CE$117=1,XC45&gt;0),2000,0)-IF(AND($L45=1,'計算A'!CF$117=1,GE45=0),2000,0))),1000000))</f>
        <v/>
      </c>
      <c r="RI45">
        <f>IF($B45=0,1000000,IF(INDEX('計算A'!$D$60:$EQ$104,$B45,82)*GE45=1,IF(AND($E45=2,LT45=0),1000000,IF($I45&gt;0,IF(4=$J45,IF(OR(AND(82=$I45+1,OR($K45&lt;&gt;'計算A'!$A$3,'計算A'!$A$4=0)),AND(82=$I45-1,OR(10&lt;&gt;'計算A'!$A$3,'計算A'!$A$4=0))),0,IF(10=$K45,200000,ABS(10-$K45)*100)),100000+ABS(4-$J45)*1000+100)+'計算A'!CG$5*50+IF(AND($E45=1,LT45=0),25,0),IF($F45&gt;0,INDEX('計算A'!CG$110:CG$114,$F45+1)+IF(AND($E45=1,LT45=0),1000,0),MIN(TX45,20)*400+(IF('計算A'!CF$106=1,1-GD45,0)+IF('計算A'!CG$106=1,1-GF45,0))*150+104+'計算A'!CG$5*100000+IF(AND($E45=1,LT45=0),50000,0))+IF($H45=1,(IF('計算A'!CF$117=1,INDEX('計算A'!CF$10:CF$54,$B45),0)+IF('計算A'!CG$117=1,INDEX('計算A'!CH$10:CH$54,$B45),0))*4000,0)-IF(AND('計算A'!CF$117=1,XD45&gt;0),2000,0)-IF(AND($L45=1,'計算A'!CG$117=1,GF45=0),2000,0))),1000000))</f>
        <v/>
      </c>
      <c r="RJ45">
        <f>IF($B45=0,1000000,IF(INDEX('計算A'!$D$60:$EQ$104,$B45,83)*GF45=1,IF(AND($E45=2,LU45=0),1000000,IF($I45&gt;0,IF(4=$J45,IF(OR(AND(83=$I45+1,OR($K45&lt;&gt;'計算A'!$A$3,'計算A'!$A$4=0)),AND(83=$I45-1,OR(11&lt;&gt;'計算A'!$A$3,'計算A'!$A$4=0))),0,IF(11=$K45,200000,ABS(11-$K45)*100)),100000+ABS(4-$J45)*1000+110)+'計算A'!CH$5*50+IF(AND($E45=1,LU45=0),25,0),IF($F45&gt;0,INDEX('計算A'!CH$110:CH$114,$F45+1)+IF(AND($E45=1,LU45=0),1000,0),MIN(TX45,20)*400+(IF('計算A'!CG$106=1,1-GE45,0)+IF('計算A'!CH$106=1,1-GG45,0))*150+114+'計算A'!CH$5*100000+IF(AND($E45=1,LU45=0),50000,0))+IF($H45=1,(IF('計算A'!CG$117=1,INDEX('計算A'!CG$10:CG$54,$B45),0)+IF('計算A'!CH$117=1,INDEX('計算A'!CI$10:CI$54,$B45),0))*4000,0)-IF(AND('計算A'!CG$117=1,XE45&gt;0),2000,0)-IF(AND($L45=1,'計算A'!CH$117=1,GG45=0),2000,0))),1000000))</f>
        <v/>
      </c>
      <c r="RK45">
        <f>IF($B45=0,1000000,IF(INDEX('計算A'!$D$60:$EQ$104,$B45,84)*GG45=1,IF(AND($E45=2,LV45=0),1000000,IF($I45&gt;0,IF(4=$J45,IF(OR(AND(84=$I45+1,OR($K45&lt;&gt;'計算A'!$A$3,'計算A'!$A$4=0)),AND(84=$I45-1,OR(12&lt;&gt;'計算A'!$A$3,'計算A'!$A$4=0))),0,IF(12=$K45,200000,ABS(12-$K45)*100)),100000+ABS(4-$J45)*1000+120)+'計算A'!CI$5*50+IF(AND($E45=1,LV45=0),25,0),IF($F45&gt;0,INDEX('計算A'!CI$110:CI$114,$F45+1)+IF(AND($E45=1,LV45=0),1000,0),MIN(TX45,20)*400+(IF('計算A'!CH$106=1,1-GF45,0)+IF('計算A'!CI$106=1,1-GH45,0))*150+124+'計算A'!CI$5*100000+IF(AND($E45=1,LV45=0),50000,0))+IF($H45=1,(IF('計算A'!CH$117=1,INDEX('計算A'!CH$10:CH$54,$B45),0)+IF('計算A'!CI$117=1,INDEX('計算A'!CJ$10:CJ$54,$B45),0))*4000,0)-IF(AND('計算A'!CH$117=1,XF45&gt;0),2000,0)-IF(AND($L45=1,'計算A'!CI$117=1,GH45=0),2000,0))),1000000))</f>
        <v/>
      </c>
      <c r="RL45">
        <f>IF($B45=0,1000000,IF(INDEX('計算A'!$D$60:$EQ$104,$B45,85)*GH45=1,IF(AND($E45=2,LW45=0),1000000,IF($I45&gt;0,IF(4=$J45,IF(OR(AND(85=$I45+1,OR($K45&lt;&gt;'計算A'!$A$3,'計算A'!$A$4=0)),AND(85=$I45-1,OR(13&lt;&gt;'計算A'!$A$3,'計算A'!$A$4=0))),0,IF(13=$K45,200000,ABS(13-$K45)*100)),100000+ABS(4-$J45)*1000+130)+'計算A'!CJ$5*50+IF(AND($E45=1,LW45=0),25,0),IF($F45&gt;0,INDEX('計算A'!CJ$110:CJ$114,$F45+1)+IF(AND($E45=1,LW45=0),1000,0),MIN(TX45,20)*400+(IF('計算A'!CI$106=1,1-GG45,0)+IF('計算A'!CJ$106=1,1-GI45,0))*150+134+'計算A'!CJ$5*100000+IF(AND($E45=1,LW45=0),50000,0))+IF($H45=1,(IF('計算A'!CI$117=1,INDEX('計算A'!CI$10:CI$54,$B45),0)+IF('計算A'!CJ$117=1,INDEX('計算A'!CK$10:CK$54,$B45),0))*4000,0)-IF(AND('計算A'!CI$117=1,XG45&gt;0),2000,0)-IF(AND($L45=1,'計算A'!CJ$117=1,GI45=0),2000,0))),1000000))</f>
        <v/>
      </c>
      <c r="RM45">
        <f>IF($B45=0,1000000,IF(INDEX('計算A'!$D$60:$EQ$104,$B45,86)*GI45=1,IF(AND($E45=2,LX45=0),1000000,IF($I45&gt;0,IF(4=$J45,IF(OR(AND(86=$I45+1,OR($K45&lt;&gt;'計算A'!$A$3,'計算A'!$A$4=0)),AND(86=$I45-1,OR(14&lt;&gt;'計算A'!$A$3,'計算A'!$A$4=0))),0,IF(14=$K45,200000,ABS(14-$K45)*100)),100000+ABS(4-$J45)*1000+140)+'計算A'!CK$5*50+IF(AND($E45=1,LX45=0),25,0),IF($F45&gt;0,INDEX('計算A'!CK$110:CK$114,$F45+1)+IF(AND($E45=1,LX45=0),1000,0),MIN(TX45,20)*400+(IF('計算A'!CJ$106=1,1-GH45,0)+IF('計算A'!CK$106=1,1-GJ45,0))*150+144+'計算A'!CK$5*100000+IF(AND($E45=1,LX45=0),50000,0))+IF($H45=1,(IF('計算A'!CJ$117=1,INDEX('計算A'!CJ$10:CJ$54,$B45),0)+IF('計算A'!CK$117=1,INDEX('計算A'!CL$10:CL$54,$B45),0))*4000,0)-IF(AND('計算A'!CJ$117=1,XH45&gt;0),2000,0)-IF(AND($L45=1,'計算A'!CK$117=1,GJ45=0),2000,0))),1000000))</f>
        <v/>
      </c>
      <c r="RN45">
        <f>IF($B45=0,1000000,IF(INDEX('計算A'!$D$60:$EQ$104,$B45,87)*GJ45=1,IF(AND($E45=2,LY45=0),1000000,IF($I45&gt;0,IF(4=$J45,IF(OR(AND(87=$I45+1,OR($K45&lt;&gt;'計算A'!$A$3,'計算A'!$A$4=0)),AND(87=$I45-1,OR(15&lt;&gt;'計算A'!$A$3,'計算A'!$A$4=0))),0,IF(15=$K45,200000,ABS(15-$K45)*100)),100000+ABS(4-$J45)*1000+150)+'計算A'!CL$5*50+IF(AND($E45=1,LY45=0),25,0),IF($F45&gt;0,INDEX('計算A'!CL$110:CL$114,$F45+1)+IF(AND($E45=1,LY45=0),1000,0),MIN(TX45,20)*400+(IF('計算A'!CK$106=1,1-GI45,0)+IF('計算A'!CL$106=1,1-GK45,0))*150+154+'計算A'!CL$5*100000+IF(AND($E45=1,LY45=0),50000,0))+IF($H45=1,(IF('計算A'!CK$117=1,INDEX('計算A'!CK$10:CK$54,$B45),0)+IF('計算A'!CL$117=1,INDEX('計算A'!CM$10:CM$54,$B45),0))*4000,0)-IF(AND('計算A'!CK$117=1,XI45&gt;0),2000,0)-IF(AND($L45=1,'計算A'!CL$117=1,GK45=0),2000,0))),1000000))</f>
        <v/>
      </c>
      <c r="RO45">
        <f>IF($B45=0,1000000,IF(INDEX('計算A'!$D$60:$EQ$104,$B45,88)*GK45=1,IF(AND($E45=2,LZ45=0),1000000,IF($I45&gt;0,IF(4=$J45,IF(OR(AND(88=$I45+1,OR($K45&lt;&gt;'計算A'!$A$3,'計算A'!$A$4=0)),AND(88=$I45-1,OR(16&lt;&gt;'計算A'!$A$3,'計算A'!$A$4=0))),0,IF(16=$K45,200000,ABS(16-$K45)*100)),100000+ABS(4-$J45)*1000+160)+'計算A'!CM$5*50+IF(AND($E45=1,LZ45=0),25,0),IF($F45&gt;0,INDEX('計算A'!CM$110:CM$114,$F45+1)+IF(AND($E45=1,LZ45=0),1000,0),MIN(TX45,20)*400+(IF('計算A'!CL$106=1,1-GJ45,0)+IF('計算A'!CM$106=1,1-GL45,0))*150+164+'計算A'!CM$5*100000+IF(AND($E45=1,LZ45=0),50000,0))+IF($H45=1,(IF('計算A'!CL$117=1,INDEX('計算A'!CL$10:CL$54,$B45),0)+IF('計算A'!CM$117=1,INDEX('計算A'!CN$10:CN$54,$B45),0))*4000,0)-IF(AND('計算A'!CL$117=1,XJ45&gt;0),2000,0)-IF(AND($L45=1,'計算A'!CM$117=1,GL45=0),2000,0))),1000000))</f>
        <v/>
      </c>
      <c r="RP45">
        <f>IF($B45=0,1000000,IF(INDEX('計算A'!$D$60:$EQ$104,$B45,89)*GL45=1,IF(AND($E45=2,MA45=0),1000000,IF($I45&gt;0,IF(4=$J45,IF(OR(AND(89=$I45+1,OR($K45&lt;&gt;'計算A'!$A$3,'計算A'!$A$4=0)),AND(89=$I45-1,OR(17&lt;&gt;'計算A'!$A$3,'計算A'!$A$4=0))),0,IF(17=$K45,200000,ABS(17-$K45)*100)),100000+ABS(4-$J45)*1000+170)+'計算A'!CN$5*50+IF(AND($E45=1,MA45=0),25,0),IF($F45&gt;0,INDEX('計算A'!CN$110:CN$114,$F45+1)+IF(AND($E45=1,MA45=0),1000,0),MIN(TX45,20)*400+(IF('計算A'!CM$106=1,1-GK45,0)+IF('計算A'!CN$106=1,1-GM45,0))*150+174+'計算A'!CN$5*100000+IF(AND($E45=1,MA45=0),50000,0))+IF($H45=1,(IF('計算A'!CM$117=1,INDEX('計算A'!CM$10:CM$54,$B45),0)+IF('計算A'!CN$117=1,INDEX('計算A'!CO$10:CO$54,$B45),0))*4000,0)-IF(AND('計算A'!CM$117=1,XK45&gt;0),2000,0)-IF(AND($L45=1,'計算A'!CN$117=1,GM45=0),2000,0))),1000000))</f>
        <v/>
      </c>
      <c r="RQ45">
        <f>IF($B45=0,1000000,IF(INDEX('計算A'!$D$60:$EQ$104,$B45,90)*GM45=1,IF(AND($E45=2,MB45=0),1000000,IF($I45&gt;0,IF(4=$J45,IF(OR(AND(90=$I45+1,OR($K45&lt;&gt;'計算A'!$A$3,'計算A'!$A$4=0)),AND(90=$I45-1,OR(18&lt;&gt;'計算A'!$A$3,'計算A'!$A$4=0))),0,IF(18=$K45,200000,ABS(18-$K45)*100)),100000+ABS(4-$J45)*1000+180)+'計算A'!CO$5*50+IF(AND($E45=1,MB45=0),25,0),IF($F45&gt;0,INDEX('計算A'!CO$110:CO$114,$F45+1)+IF(AND($E45=1,MB45=0),1000,0),MIN(TX45,20)*400+(IF('計算A'!CN$106=1,1-GL45,0)+IF('計算A'!CO$106=1,1-GN45,0))*150+184+'計算A'!CO$5*100000+IF(AND($E45=1,MB45=0),50000,0))+IF($H45=1,(IF('計算A'!CN$117=1,INDEX('計算A'!CN$10:CN$54,$B45),0)+IF('計算A'!CO$117=1,INDEX('計算A'!CP$10:CP$54,$B45),0))*4000,0)-IF(AND('計算A'!CN$117=1,XL45&gt;0),2000,0)-IF(AND($L45=1,'計算A'!CO$117=1,GN45=0),2000,0))),1000000))</f>
        <v/>
      </c>
      <c r="RR45">
        <f>IF($B45=0,1000000,IF(INDEX('計算A'!$D$60:$EQ$104,$B45,91)*GN45=1,IF(AND($E45=2,MC45=0),1000000,IF($I45&gt;0,IF(4=$J45,IF(OR(AND(91=$I45+1,OR($K45&lt;&gt;'計算A'!$A$3,'計算A'!$A$4=0)),AND(91=$I45-1,OR(19&lt;&gt;'計算A'!$A$3,'計算A'!$A$4=0))),0,IF(19=$K45,200000,ABS(19-$K45)*100)),100000+ABS(4-$J45)*1000+190)+'計算A'!CP$5*50+IF(AND($E45=1,MC45=0),25,0),IF($F45&gt;0,INDEX('計算A'!CP$110:CP$114,$F45+1)+IF(AND($E45=1,MC45=0),1000,0),MIN(TX45,20)*400+(IF('計算A'!CO$106=1,1-GM45,0)+IF('計算A'!CP$106=1,1-GO45,0))*150+194+'計算A'!CP$5*100000+IF(AND($E45=1,MC45=0),50000,0))+IF($H45=1,(IF('計算A'!CO$117=1,INDEX('計算A'!CO$10:CO$54,$B45),0)+IF('計算A'!CP$117=1,INDEX('計算A'!CQ$10:CQ$54,$B45),0))*4000,0)-IF(AND('計算A'!CO$117=1,XM45&gt;0),2000,0)-IF(AND($L45=1,'計算A'!CP$117=1,GO45=0),2000,0))),1000000))</f>
        <v/>
      </c>
      <c r="RS45">
        <f>IF($B45=0,1000000,IF(INDEX('計算A'!$D$60:$EQ$104,$B45,92)*GO45=1,IF(AND($E45=2,MD45=0),1000000,IF($I45&gt;0,IF(4=$J45,IF(OR(AND(92=$I45+1,OR($K45&lt;&gt;'計算A'!$A$3,'計算A'!$A$4=0)),AND(92=$I45-1,OR(20&lt;&gt;'計算A'!$A$3,'計算A'!$A$4=0))),0,IF(20=$K45,200000,ABS(20-$K45)*100)),100000+ABS(4-$J45)*1000+200)+'計算A'!CQ$5*50+IF(AND($E45=1,MD45=0),25,0),IF($F45&gt;0,INDEX('計算A'!CQ$110:CQ$114,$F45+1)+IF(AND($E45=1,MD45=0),1000,0),MIN(TX45,20)*400+(IF('計算A'!CP$106=1,1-GN45,0)+IF('計算A'!CQ$106=1,1-GP45,0))*150+204+'計算A'!CQ$5*100000+IF(AND($E45=1,MD45=0),50000,0))+IF($H45=1,(IF('計算A'!CP$117=1,INDEX('計算A'!CP$10:CP$54,$B45),0)+IF('計算A'!CQ$117=1,INDEX('計算A'!CR$10:CR$54,$B45),0))*4000,0)-IF(AND('計算A'!CP$117=1,XN45&gt;0),2000,0)-IF(AND($L45=1,'計算A'!CQ$117=1,GP45=0),2000,0))),1000000))</f>
        <v/>
      </c>
      <c r="RT45">
        <f>IF($B45=0,1000000,IF(INDEX('計算A'!$D$60:$EQ$104,$B45,93)*GP45=1,IF(AND($E45=2,ME45=0),1000000,IF($I45&gt;0,IF(4=$J45,IF(OR(AND(93=$I45+1,OR($K45&lt;&gt;'計算A'!$A$3,'計算A'!$A$4=0)),AND(93=$I45-1,OR(21&lt;&gt;'計算A'!$A$3,'計算A'!$A$4=0))),0,IF(21=$K45,200000,ABS(21-$K45)*100)),100000+ABS(4-$J45)*1000+210)+'計算A'!CR$5*50+IF(AND($E45=1,ME45=0),25,0),IF($F45&gt;0,INDEX('計算A'!CR$110:CR$114,$F45+1)+IF(AND($E45=1,ME45=0),1000,0),MIN(TX45,20)*400+(IF('計算A'!CQ$106=1,1-GO45,0)+IF('計算A'!CR$106=1,1-GQ45,0))*150+214+'計算A'!CR$5*100000+IF(AND($E45=1,ME45=0),50000,0))+IF($H45=1,(IF('計算A'!CQ$117=1,INDEX('計算A'!CQ$10:CQ$54,$B45),0)+IF('計算A'!CR$117=1,INDEX('計算A'!CS$10:CS$54,$B45),0))*4000,0)-IF(AND('計算A'!CQ$117=1,XO45&gt;0),2000,0)-IF(AND($L45=1,'計算A'!CR$117=1,GQ45=0),2000,0))),1000000))</f>
        <v/>
      </c>
      <c r="RU45">
        <f>IF($B45=0,1000000,IF(INDEX('計算A'!$D$60:$EQ$104,$B45,94)*GQ45=1,IF(AND($E45=2,MF45=0),1000000,IF($I45&gt;0,IF(4=$J45,IF(OR(AND(94=$I45+1,OR($K45&lt;&gt;'計算A'!$A$3,'計算A'!$A$4=0)),AND(94=$I45-1,OR(22&lt;&gt;'計算A'!$A$3,'計算A'!$A$4=0))),0,IF(22=$K45,200000,ABS(22-$K45)*100)),100000+ABS(4-$J45)*1000+220)+'計算A'!CS$5*50+IF(AND($E45=1,MF45=0),25,0),IF($F45&gt;0,INDEX('計算A'!CS$110:CS$114,$F45+1)+IF(AND($E45=1,MF45=0),1000,0),MIN(TX45,20)*400+(IF('計算A'!CR$106=1,1-GP45,0)+IF('計算A'!CS$106=1,1-GR45,0))*150+224+'計算A'!CS$5*100000+IF(AND($E45=1,MF45=0),50000,0))+IF($H45=1,(IF('計算A'!CR$117=1,INDEX('計算A'!CR$10:CR$54,$B45),0)+IF('計算A'!CS$117=1,INDEX('計算A'!CT$10:CT$54,$B45),0))*4000,0)-IF(AND('計算A'!CR$117=1,XP45&gt;0),2000,0)-IF(AND($L45=1,'計算A'!CS$117=1,GR45=0),2000,0))),1000000))</f>
        <v/>
      </c>
      <c r="RV45">
        <f>IF($B45=0,1000000,IF(INDEX('計算A'!$D$60:$EQ$104,$B45,95)*GR45=1,IF(AND($E45=2,MG45=0),1000000,IF($I45&gt;0,IF(4=$J45,IF(OR(AND(95=$I45+1,OR($K45&lt;&gt;'計算A'!$A$3,'計算A'!$A$4=0)),AND(95=$I45-1,OR(23&lt;&gt;'計算A'!$A$3,'計算A'!$A$4=0))),0,IF(23=$K45,200000,ABS(23-$K45)*100)),100000+ABS(4-$J45)*1000+230)+'計算A'!CT$5*50+IF(AND($E45=1,MG45=0),25,0),IF($F45&gt;0,INDEX('計算A'!CT$110:CT$114,$F45+1)+IF(AND($E45=1,MG45=0),1000,0),MIN(TX45,20)*400+(IF('計算A'!CS$106=1,1-GQ45,0)+IF('計算A'!CT$106=1,1-GS45,0))*150+234+'計算A'!CT$5*100000+IF(AND($E45=1,MG45=0),50000,0))+IF($H45=1,(IF('計算A'!CS$117=1,INDEX('計算A'!CS$10:CS$54,$B45),0)+IF('計算A'!CT$117=1,INDEX('計算A'!CU$10:CU$54,$B45),0))*4000,0)-IF(AND('計算A'!CS$117=1,XQ45&gt;0),2000,0)-IF(AND($L45=1,'計算A'!CT$117=1,GS45=0),2000,0))),1000000))</f>
        <v/>
      </c>
      <c r="RW45">
        <f>IF($B45=0,1000000,IF(INDEX('計算A'!$D$60:$EQ$104,$B45,96)*GS45=1,IF(AND($E45=2,MH45=0),1000000,IF($I45&gt;0,IF(4=$J45,IF(OR(AND(96=$I45+1,OR($K45&lt;&gt;'計算A'!$A$3,'計算A'!$A$4=0)),AND(96=$I45-1,OR(24&lt;&gt;'計算A'!$A$3,'計算A'!$A$4=0))),0,IF(24=$K45,200000,ABS(24-$K45)*100)),100000+ABS(4-$J45)*1000+240)+'計算A'!CU$5*50+IF(AND($E45=1,MH45=0),25,0),IF($F45&gt;0,INDEX('計算A'!CU$110:CU$114,$F45+1)+IF(AND($E45=1,MH45=0),1000,0),MIN(TX45,20)*400+(IF('計算A'!CT$106=1,1-GR45,0))*150+244+'計算A'!CU$5*100000+IF(AND($E45=1,MH45=0),50000,0))+IF($H45=1,(IF('計算A'!CT$117=1,INDEX('計算A'!CT$10:CT$54,$B45),0))*4000,0)-IF(AND('計算A'!CT$117=1,XR45&gt;0),2000,0))),1000000))</f>
        <v/>
      </c>
      <c r="RX45">
        <f>IF($B45=0,1000000,IF(INDEX('計算A'!$D$60:$EQ$104,$B45,97)*GT45=1,IF(AND($E45=2,MI45=0),1000000,IF($I45&gt;0,IF(5=$J45,IF(OR(AND(97=$I45+1,OR($K45&lt;&gt;'計算A'!$A$3,'計算A'!$A$4=0)),AND(97=$I45-1,OR(1&lt;&gt;'計算A'!$A$3,'計算A'!$A$4=0))),0,IF(1=$K45,200000,ABS(1-$K45)*100)),100000+ABS(5-$J45)*1000+10)+'計算A'!CV$5*50+IF(AND($E45=1,MI45=0),25,0),IF($F45&gt;0,INDEX('計算A'!CV$110:CV$114,$F45+1)+IF(AND($E45=1,MI45=0),1000,0),MIN(TY45,20)*400+(IF('計算A'!CV$106=1,1-GU45,0))*150+15+'計算A'!CV$5*100000+IF(AND($E45=1,MI45=0),50000,0))+IF($H45=1,(IF('計算A'!CV$117=1,INDEX('計算A'!CW$10:CW$54,$B45),0))*4000,0)-IF(AND($L45=1,'計算A'!CV$117=1,GU45=0),2000,0))),1000000))</f>
        <v/>
      </c>
      <c r="RY45">
        <f>IF($B45=0,1000000,IF(INDEX('計算A'!$D$60:$EQ$104,$B45,98)*GU45=1,IF(AND($E45=2,MJ45=0),1000000,IF($I45&gt;0,IF(5=$J45,IF(OR(AND(98=$I45+1,OR($K45&lt;&gt;'計算A'!$A$3,'計算A'!$A$4=0)),AND(98=$I45-1,OR(2&lt;&gt;'計算A'!$A$3,'計算A'!$A$4=0))),0,IF(2=$K45,200000,ABS(2-$K45)*100)),100000+ABS(5-$J45)*1000+20)+'計算A'!CW$5*50+IF(AND($E45=1,MJ45=0),25,0),IF($F45&gt;0,INDEX('計算A'!CW$110:CW$114,$F45+1)+IF(AND($E45=1,MJ45=0),1000,0),MIN(TY45,20)*400+(IF('計算A'!CV$106=1,1-GT45,0)+IF('計算A'!CW$106=1,1-GV45,0))*150+25+'計算A'!CW$5*100000+IF(AND($E45=1,MJ45=0),50000,0))+IF($H45=1,(IF('計算A'!CV$117=1,INDEX('計算A'!CV$10:CV$54,$B45),0)+IF('計算A'!CW$117=1,INDEX('計算A'!CX$10:CX$54,$B45),0))*4000,0)-IF(AND('計算A'!CV$117=1,XT45&gt;0),2000,0)-IF(AND($L45=1,'計算A'!CW$117=1,GV45=0),2000,0))),1000000))</f>
        <v/>
      </c>
      <c r="RZ45">
        <f>IF($B45=0,1000000,IF(INDEX('計算A'!$D$60:$EQ$104,$B45,99)*GV45=1,IF(AND($E45=2,MK45=0),1000000,IF($I45&gt;0,IF(5=$J45,IF(OR(AND(99=$I45+1,OR($K45&lt;&gt;'計算A'!$A$3,'計算A'!$A$4=0)),AND(99=$I45-1,OR(3&lt;&gt;'計算A'!$A$3,'計算A'!$A$4=0))),0,IF(3=$K45,200000,ABS(3-$K45)*100)),100000+ABS(5-$J45)*1000+30)+'計算A'!CX$5*50+IF(AND($E45=1,MK45=0),25,0),IF($F45&gt;0,INDEX('計算A'!CX$110:CX$114,$F45+1)+IF(AND($E45=1,MK45=0),1000,0),MIN(TY45,20)*400+(IF('計算A'!CW$106=1,1-GU45,0)+IF('計算A'!CX$106=1,1-GW45,0))*150+35+'計算A'!CX$5*100000+IF(AND($E45=1,MK45=0),50000,0))+IF($H45=1,(IF('計算A'!CW$117=1,INDEX('計算A'!CW$10:CW$54,$B45),0)+IF('計算A'!CX$117=1,INDEX('計算A'!CY$10:CY$54,$B45),0))*4000,0)-IF(AND('計算A'!CW$117=1,XU45&gt;0),2000,0)-IF(AND($L45=1,'計算A'!CX$117=1,GW45=0),2000,0))),1000000))</f>
        <v/>
      </c>
      <c r="SA45">
        <f>IF($B45=0,1000000,IF(INDEX('計算A'!$D$60:$EQ$104,$B45,100)*GW45=1,IF(AND($E45=2,ML45=0),1000000,IF($I45&gt;0,IF(5=$J45,IF(OR(AND(100=$I45+1,OR($K45&lt;&gt;'計算A'!$A$3,'計算A'!$A$4=0)),AND(100=$I45-1,OR(4&lt;&gt;'計算A'!$A$3,'計算A'!$A$4=0))),0,IF(4=$K45,200000,ABS(4-$K45)*100)),100000+ABS(5-$J45)*1000+40)+'計算A'!CY$5*50+IF(AND($E45=1,ML45=0),25,0),IF($F45&gt;0,INDEX('計算A'!CY$110:CY$114,$F45+1)+IF(AND($E45=1,ML45=0),1000,0),MIN(TY45,20)*400+(IF('計算A'!CX$106=1,1-GV45,0)+IF('計算A'!CY$106=1,1-GX45,0))*150+45+'計算A'!CY$5*100000+IF(AND($E45=1,ML45=0),50000,0))+IF($H45=1,(IF('計算A'!CX$117=1,INDEX('計算A'!CX$10:CX$54,$B45),0)+IF('計算A'!CY$117=1,INDEX('計算A'!CZ$10:CZ$54,$B45),0))*4000,0)-IF(AND('計算A'!CX$117=1,XV45&gt;0),2000,0)-IF(AND($L45=1,'計算A'!CY$117=1,GX45=0),2000,0))),1000000))</f>
        <v/>
      </c>
      <c r="SB45">
        <f>IF($B45=0,1000000,IF(INDEX('計算A'!$D$60:$EQ$104,$B45,101)*GX45=1,IF(AND($E45=2,MM45=0),1000000,IF($I45&gt;0,IF(5=$J45,IF(OR(AND(101=$I45+1,OR($K45&lt;&gt;'計算A'!$A$3,'計算A'!$A$4=0)),AND(101=$I45-1,OR(5&lt;&gt;'計算A'!$A$3,'計算A'!$A$4=0))),0,IF(5=$K45,200000,ABS(5-$K45)*100)),100000+ABS(5-$J45)*1000+50)+'計算A'!CZ$5*50+IF(AND($E45=1,MM45=0),25,0),IF($F45&gt;0,INDEX('計算A'!CZ$110:CZ$114,$F45+1)+IF(AND($E45=1,MM45=0),1000,0),MIN(TY45,20)*400+(IF('計算A'!CY$106=1,1-GW45,0)+IF('計算A'!CZ$106=1,1-GY45,0))*150+55+'計算A'!CZ$5*100000+IF(AND($E45=1,MM45=0),50000,0))+IF($H45=1,(IF('計算A'!CY$117=1,INDEX('計算A'!CY$10:CY$54,$B45),0)+IF('計算A'!CZ$117=1,INDEX('計算A'!DA$10:DA$54,$B45),0))*4000,0)-IF(AND('計算A'!CY$117=1,XW45&gt;0),2000,0)-IF(AND($L45=1,'計算A'!CZ$117=1,GY45=0),2000,0))),1000000))</f>
        <v/>
      </c>
      <c r="SC45">
        <f>IF($B45=0,1000000,IF(INDEX('計算A'!$D$60:$EQ$104,$B45,102)*GY45=1,IF(AND($E45=2,MN45=0),1000000,IF($I45&gt;0,IF(5=$J45,IF(OR(AND(102=$I45+1,OR($K45&lt;&gt;'計算A'!$A$3,'計算A'!$A$4=0)),AND(102=$I45-1,OR(6&lt;&gt;'計算A'!$A$3,'計算A'!$A$4=0))),0,IF(6=$K45,200000,ABS(6-$K45)*100)),100000+ABS(5-$J45)*1000+60)+'計算A'!DA$5*50+IF(AND($E45=1,MN45=0),25,0),IF($F45&gt;0,INDEX('計算A'!DA$110:DA$114,$F45+1)+IF(AND($E45=1,MN45=0),1000,0),MIN(TY45,20)*400+(IF('計算A'!CZ$106=1,1-GX45,0)+IF('計算A'!DA$106=1,1-GZ45,0))*150+65+'計算A'!DA$5*100000+IF(AND($E45=1,MN45=0),50000,0))+IF($H45=1,(IF('計算A'!CZ$117=1,INDEX('計算A'!CZ$10:CZ$54,$B45),0)+IF('計算A'!DA$117=1,INDEX('計算A'!DB$10:DB$54,$B45),0))*4000,0)-IF(AND('計算A'!CZ$117=1,XX45&gt;0),2000,0)-IF(AND($L45=1,'計算A'!DA$117=1,GZ45=0),2000,0))),1000000))</f>
        <v/>
      </c>
      <c r="SD45">
        <f>IF($B45=0,1000000,IF(INDEX('計算A'!$D$60:$EQ$104,$B45,103)*GZ45=1,IF(AND($E45=2,MO45=0),1000000,IF($I45&gt;0,IF(5=$J45,IF(OR(AND(103=$I45+1,OR($K45&lt;&gt;'計算A'!$A$3,'計算A'!$A$4=0)),AND(103=$I45-1,OR(7&lt;&gt;'計算A'!$A$3,'計算A'!$A$4=0))),0,IF(7=$K45,200000,ABS(7-$K45)*100)),100000+ABS(5-$J45)*1000+70)+'計算A'!DB$5*50+IF(AND($E45=1,MO45=0),25,0),IF($F45&gt;0,INDEX('計算A'!DB$110:DB$114,$F45+1)+IF(AND($E45=1,MO45=0),1000,0),MIN(TY45,20)*400+(IF('計算A'!DA$106=1,1-GY45,0)+IF('計算A'!DB$106=1,1-HA45,0))*150+75+'計算A'!DB$5*100000+IF(AND($E45=1,MO45=0),50000,0))+IF($H45=1,(IF('計算A'!DA$117=1,INDEX('計算A'!DA$10:DA$54,$B45),0)+IF('計算A'!DB$117=1,INDEX('計算A'!DC$10:DC$54,$B45),0))*4000,0)-IF(AND('計算A'!DA$117=1,XY45&gt;0),2000,0)-IF(AND($L45=1,'計算A'!DB$117=1,HA45=0),2000,0))),1000000))</f>
        <v/>
      </c>
      <c r="SE45">
        <f>IF($B45=0,1000000,IF(INDEX('計算A'!$D$60:$EQ$104,$B45,104)*HA45=1,IF(AND($E45=2,MP45=0),1000000,IF($I45&gt;0,IF(5=$J45,IF(OR(AND(104=$I45+1,OR($K45&lt;&gt;'計算A'!$A$3,'計算A'!$A$4=0)),AND(104=$I45-1,OR(8&lt;&gt;'計算A'!$A$3,'計算A'!$A$4=0))),0,IF(8=$K45,200000,ABS(8-$K45)*100)),100000+ABS(5-$J45)*1000+80)+'計算A'!DC$5*50+IF(AND($E45=1,MP45=0),25,0),IF($F45&gt;0,INDEX('計算A'!DC$110:DC$114,$F45+1)+IF(AND($E45=1,MP45=0),1000,0),MIN(TY45,20)*400+(IF('計算A'!DB$106=1,1-GZ45,0)+IF('計算A'!DC$106=1,1-HB45,0))*150+85+'計算A'!DC$5*100000+IF(AND($E45=1,MP45=0),50000,0))+IF($H45=1,(IF('計算A'!DB$117=1,INDEX('計算A'!DB$10:DB$54,$B45),0)+IF('計算A'!DC$117=1,INDEX('計算A'!DD$10:DD$54,$B45),0))*4000,0)-IF(AND('計算A'!DB$117=1,XZ45&gt;0),2000,0)-IF(AND($L45=1,'計算A'!DC$117=1,HB45=0),2000,0))),1000000))</f>
        <v/>
      </c>
      <c r="SF45">
        <f>IF($B45=0,1000000,IF(INDEX('計算A'!$D$60:$EQ$104,$B45,105)*HB45=1,IF(AND($E45=2,MQ45=0),1000000,IF($I45&gt;0,IF(5=$J45,IF(OR(AND(105=$I45+1,OR($K45&lt;&gt;'計算A'!$A$3,'計算A'!$A$4=0)),AND(105=$I45-1,OR(9&lt;&gt;'計算A'!$A$3,'計算A'!$A$4=0))),0,IF(9=$K45,200000,ABS(9-$K45)*100)),100000+ABS(5-$J45)*1000+90)+'計算A'!DD$5*50+IF(AND($E45=1,MQ45=0),25,0),IF($F45&gt;0,INDEX('計算A'!DD$110:DD$114,$F45+1)+IF(AND($E45=1,MQ45=0),1000,0),MIN(TY45,20)*400+(IF('計算A'!DC$106=1,1-HA45,0)+IF('計算A'!DD$106=1,1-HC45,0))*150+95+'計算A'!DD$5*100000+IF(AND($E45=1,MQ45=0),50000,0))+IF($H45=1,(IF('計算A'!DC$117=1,INDEX('計算A'!DC$10:DC$54,$B45),0)+IF('計算A'!DD$117=1,INDEX('計算A'!DE$10:DE$54,$B45),0))*4000,0)-IF(AND('計算A'!DC$117=1,YA45&gt;0),2000,0)-IF(AND($L45=1,'計算A'!DD$117=1,HC45=0),2000,0))),1000000))</f>
        <v/>
      </c>
      <c r="SG45">
        <f>IF($B45=0,1000000,IF(INDEX('計算A'!$D$60:$EQ$104,$B45,106)*HC45=1,IF(AND($E45=2,MR45=0),1000000,IF($I45&gt;0,IF(5=$J45,IF(OR(AND(106=$I45+1,OR($K45&lt;&gt;'計算A'!$A$3,'計算A'!$A$4=0)),AND(106=$I45-1,OR(10&lt;&gt;'計算A'!$A$3,'計算A'!$A$4=0))),0,IF(10=$K45,200000,ABS(10-$K45)*100)),100000+ABS(5-$J45)*1000+100)+'計算A'!DE$5*50+IF(AND($E45=1,MR45=0),25,0),IF($F45&gt;0,INDEX('計算A'!DE$110:DE$114,$F45+1)+IF(AND($E45=1,MR45=0),1000,0),MIN(TY45,20)*400+(IF('計算A'!DD$106=1,1-HB45,0)+IF('計算A'!DE$106=1,1-HD45,0))*150+105+'計算A'!DE$5*100000+IF(AND($E45=1,MR45=0),50000,0))+IF($H45=1,(IF('計算A'!DD$117=1,INDEX('計算A'!DD$10:DD$54,$B45),0)+IF('計算A'!DE$117=1,INDEX('計算A'!DF$10:DF$54,$B45),0))*4000,0)-IF(AND('計算A'!DD$117=1,YB45&gt;0),2000,0)-IF(AND($L45=1,'計算A'!DE$117=1,HD45=0),2000,0))),1000000))</f>
        <v/>
      </c>
      <c r="SH45">
        <f>IF($B45=0,1000000,IF(INDEX('計算A'!$D$60:$EQ$104,$B45,107)*HD45=1,IF(AND($E45=2,MS45=0),1000000,IF($I45&gt;0,IF(5=$J45,IF(OR(AND(107=$I45+1,OR($K45&lt;&gt;'計算A'!$A$3,'計算A'!$A$4=0)),AND(107=$I45-1,OR(11&lt;&gt;'計算A'!$A$3,'計算A'!$A$4=0))),0,IF(11=$K45,200000,ABS(11-$K45)*100)),100000+ABS(5-$J45)*1000+110)+'計算A'!DF$5*50+IF(AND($E45=1,MS45=0),25,0),IF($F45&gt;0,INDEX('計算A'!DF$110:DF$114,$F45+1)+IF(AND($E45=1,MS45=0),1000,0),MIN(TY45,20)*400+(IF('計算A'!DE$106=1,1-HC45,0)+IF('計算A'!DF$106=1,1-HE45,0))*150+115+'計算A'!DF$5*100000+IF(AND($E45=1,MS45=0),50000,0))+IF($H45=1,(IF('計算A'!DE$117=1,INDEX('計算A'!DE$10:DE$54,$B45),0)+IF('計算A'!DF$117=1,INDEX('計算A'!DG$10:DG$54,$B45),0))*4000,0)-IF(AND('計算A'!DE$117=1,YC45&gt;0),2000,0)-IF(AND($L45=1,'計算A'!DF$117=1,HE45=0),2000,0))),1000000))</f>
        <v/>
      </c>
      <c r="SI45">
        <f>IF($B45=0,1000000,IF(INDEX('計算A'!$D$60:$EQ$104,$B45,108)*HE45=1,IF(AND($E45=2,MT45=0),1000000,IF($I45&gt;0,IF(5=$J45,IF(OR(AND(108=$I45+1,OR($K45&lt;&gt;'計算A'!$A$3,'計算A'!$A$4=0)),AND(108=$I45-1,OR(12&lt;&gt;'計算A'!$A$3,'計算A'!$A$4=0))),0,IF(12=$K45,200000,ABS(12-$K45)*100)),100000+ABS(5-$J45)*1000+120)+'計算A'!DG$5*50+IF(AND($E45=1,MT45=0),25,0),IF($F45&gt;0,INDEX('計算A'!DG$110:DG$114,$F45+1)+IF(AND($E45=1,MT45=0),1000,0),MIN(TY45,20)*400+(IF('計算A'!DF$106=1,1-HD45,0)+IF('計算A'!DG$106=1,1-HF45,0))*150+125+'計算A'!DG$5*100000+IF(AND($E45=1,MT45=0),50000,0))+IF($H45=1,(IF('計算A'!DF$117=1,INDEX('計算A'!DF$10:DF$54,$B45),0)+IF('計算A'!DG$117=1,INDEX('計算A'!DH$10:DH$54,$B45),0))*4000,0)-IF(AND('計算A'!DF$117=1,YD45&gt;0),2000,0)-IF(AND($L45=1,'計算A'!DG$117=1,HF45=0),2000,0))),1000000))</f>
        <v/>
      </c>
      <c r="SJ45">
        <f>IF($B45=0,1000000,IF(INDEX('計算A'!$D$60:$EQ$104,$B45,109)*HF45=1,IF(AND($E45=2,MU45=0),1000000,IF($I45&gt;0,IF(5=$J45,IF(OR(AND(109=$I45+1,OR($K45&lt;&gt;'計算A'!$A$3,'計算A'!$A$4=0)),AND(109=$I45-1,OR(13&lt;&gt;'計算A'!$A$3,'計算A'!$A$4=0))),0,IF(13=$K45,200000,ABS(13-$K45)*100)),100000+ABS(5-$J45)*1000+130)+'計算A'!DH$5*50+IF(AND($E45=1,MU45=0),25,0),IF($F45&gt;0,INDEX('計算A'!DH$110:DH$114,$F45+1)+IF(AND($E45=1,MU45=0),1000,0),MIN(TY45,20)*400+(IF('計算A'!DG$106=1,1-HE45,0)+IF('計算A'!DH$106=1,1-HG45,0))*150+135+'計算A'!DH$5*100000+IF(AND($E45=1,MU45=0),50000,0))+IF($H45=1,(IF('計算A'!DG$117=1,INDEX('計算A'!DG$10:DG$54,$B45),0)+IF('計算A'!DH$117=1,INDEX('計算A'!DI$10:DI$54,$B45),0))*4000,0)-IF(AND('計算A'!DG$117=1,YE45&gt;0),2000,0)-IF(AND($L45=1,'計算A'!DH$117=1,HG45=0),2000,0))),1000000))</f>
        <v/>
      </c>
      <c r="SK45">
        <f>IF($B45=0,1000000,IF(INDEX('計算A'!$D$60:$EQ$104,$B45,110)*HG45=1,IF(AND($E45=2,MV45=0),1000000,IF($I45&gt;0,IF(5=$J45,IF(OR(AND(110=$I45+1,OR($K45&lt;&gt;'計算A'!$A$3,'計算A'!$A$4=0)),AND(110=$I45-1,OR(14&lt;&gt;'計算A'!$A$3,'計算A'!$A$4=0))),0,IF(14=$K45,200000,ABS(14-$K45)*100)),100000+ABS(5-$J45)*1000+140)+'計算A'!DI$5*50+IF(AND($E45=1,MV45=0),25,0),IF($F45&gt;0,INDEX('計算A'!DI$110:DI$114,$F45+1)+IF(AND($E45=1,MV45=0),1000,0),MIN(TY45,20)*400+(IF('計算A'!DH$106=1,1-HF45,0)+IF('計算A'!DI$106=1,1-HH45,0))*150+145+'計算A'!DI$5*100000+IF(AND($E45=1,MV45=0),50000,0))+IF($H45=1,(IF('計算A'!DH$117=1,INDEX('計算A'!DH$10:DH$54,$B45),0)+IF('計算A'!DI$117=1,INDEX('計算A'!DJ$10:DJ$54,$B45),0))*4000,0)-IF(AND('計算A'!DH$117=1,YF45&gt;0),2000,0)-IF(AND($L45=1,'計算A'!DI$117=1,HH45=0),2000,0))),1000000))</f>
        <v/>
      </c>
      <c r="SL45">
        <f>IF($B45=0,1000000,IF(INDEX('計算A'!$D$60:$EQ$104,$B45,111)*HH45=1,IF(AND($E45=2,MW45=0),1000000,IF($I45&gt;0,IF(5=$J45,IF(OR(AND(111=$I45+1,OR($K45&lt;&gt;'計算A'!$A$3,'計算A'!$A$4=0)),AND(111=$I45-1,OR(15&lt;&gt;'計算A'!$A$3,'計算A'!$A$4=0))),0,IF(15=$K45,200000,ABS(15-$K45)*100)),100000+ABS(5-$J45)*1000+150)+'計算A'!DJ$5*50+IF(AND($E45=1,MW45=0),25,0),IF($F45&gt;0,INDEX('計算A'!DJ$110:DJ$114,$F45+1)+IF(AND($E45=1,MW45=0),1000,0),MIN(TY45,20)*400+(IF('計算A'!DI$106=1,1-HG45,0)+IF('計算A'!DJ$106=1,1-HI45,0))*150+155+'計算A'!DJ$5*100000+IF(AND($E45=1,MW45=0),50000,0))+IF($H45=1,(IF('計算A'!DI$117=1,INDEX('計算A'!DI$10:DI$54,$B45),0)+IF('計算A'!DJ$117=1,INDEX('計算A'!DK$10:DK$54,$B45),0))*4000,0)-IF(AND('計算A'!DI$117=1,YG45&gt;0),2000,0)-IF(AND($L45=1,'計算A'!DJ$117=1,HI45=0),2000,0))),1000000))</f>
        <v/>
      </c>
      <c r="SM45">
        <f>IF($B45=0,1000000,IF(INDEX('計算A'!$D$60:$EQ$104,$B45,112)*HI45=1,IF(AND($E45=2,MX45=0),1000000,IF($I45&gt;0,IF(5=$J45,IF(OR(AND(112=$I45+1,OR($K45&lt;&gt;'計算A'!$A$3,'計算A'!$A$4=0)),AND(112=$I45-1,OR(16&lt;&gt;'計算A'!$A$3,'計算A'!$A$4=0))),0,IF(16=$K45,200000,ABS(16-$K45)*100)),100000+ABS(5-$J45)*1000+160)+'計算A'!DK$5*50+IF(AND($E45=1,MX45=0),25,0),IF($F45&gt;0,INDEX('計算A'!DK$110:DK$114,$F45+1)+IF(AND($E45=1,MX45=0),1000,0),MIN(TY45,20)*400+(IF('計算A'!DJ$106=1,1-HH45,0)+IF('計算A'!DK$106=1,1-HJ45,0))*150+165+'計算A'!DK$5*100000+IF(AND($E45=1,MX45=0),50000,0))+IF($H45=1,(IF('計算A'!DJ$117=1,INDEX('計算A'!DJ$10:DJ$54,$B45),0)+IF('計算A'!DK$117=1,INDEX('計算A'!DL$10:DL$54,$B45),0))*4000,0)-IF(AND('計算A'!DJ$117=1,YH45&gt;0),2000,0)-IF(AND($L45=1,'計算A'!DK$117=1,HJ45=0),2000,0))),1000000))</f>
        <v/>
      </c>
      <c r="SN45">
        <f>IF($B45=0,1000000,IF(INDEX('計算A'!$D$60:$EQ$104,$B45,113)*HJ45=1,IF(AND($E45=2,MY45=0),1000000,IF($I45&gt;0,IF(5=$J45,IF(OR(AND(113=$I45+1,OR($K45&lt;&gt;'計算A'!$A$3,'計算A'!$A$4=0)),AND(113=$I45-1,OR(17&lt;&gt;'計算A'!$A$3,'計算A'!$A$4=0))),0,IF(17=$K45,200000,ABS(17-$K45)*100)),100000+ABS(5-$J45)*1000+170)+'計算A'!DL$5*50+IF(AND($E45=1,MY45=0),25,0),IF($F45&gt;0,INDEX('計算A'!DL$110:DL$114,$F45+1)+IF(AND($E45=1,MY45=0),1000,0),MIN(TY45,20)*400+(IF('計算A'!DK$106=1,1-HI45,0)+IF('計算A'!DL$106=1,1-HK45,0))*150+175+'計算A'!DL$5*100000+IF(AND($E45=1,MY45=0),50000,0))+IF($H45=1,(IF('計算A'!DK$117=1,INDEX('計算A'!DK$10:DK$54,$B45),0)+IF('計算A'!DL$117=1,INDEX('計算A'!DM$10:DM$54,$B45),0))*4000,0)-IF(AND('計算A'!DK$117=1,YI45&gt;0),2000,0)-IF(AND($L45=1,'計算A'!DL$117=1,HK45=0),2000,0))),1000000))</f>
        <v/>
      </c>
      <c r="SO45">
        <f>IF($B45=0,1000000,IF(INDEX('計算A'!$D$60:$EQ$104,$B45,114)*HK45=1,IF(AND($E45=2,MZ45=0),1000000,IF($I45&gt;0,IF(5=$J45,IF(OR(AND(114=$I45+1,OR($K45&lt;&gt;'計算A'!$A$3,'計算A'!$A$4=0)),AND(114=$I45-1,OR(18&lt;&gt;'計算A'!$A$3,'計算A'!$A$4=0))),0,IF(18=$K45,200000,ABS(18-$K45)*100)),100000+ABS(5-$J45)*1000+180)+'計算A'!DM$5*50+IF(AND($E45=1,MZ45=0),25,0),IF($F45&gt;0,INDEX('計算A'!DM$110:DM$114,$F45+1)+IF(AND($E45=1,MZ45=0),1000,0),MIN(TY45,20)*400+(IF('計算A'!DL$106=1,1-HJ45,0)+IF('計算A'!DM$106=1,1-HL45,0))*150+185+'計算A'!DM$5*100000+IF(AND($E45=1,MZ45=0),50000,0))+IF($H45=1,(IF('計算A'!DL$117=1,INDEX('計算A'!DL$10:DL$54,$B45),0)+IF('計算A'!DM$117=1,INDEX('計算A'!DN$10:DN$54,$B45),0))*4000,0)-IF(AND('計算A'!DL$117=1,YJ45&gt;0),2000,0)-IF(AND($L45=1,'計算A'!DM$117=1,HL45=0),2000,0))),1000000))</f>
        <v/>
      </c>
      <c r="SP45">
        <f>IF($B45=0,1000000,IF(INDEX('計算A'!$D$60:$EQ$104,$B45,115)*HL45=1,IF(AND($E45=2,NA45=0),1000000,IF($I45&gt;0,IF(5=$J45,IF(OR(AND(115=$I45+1,OR($K45&lt;&gt;'計算A'!$A$3,'計算A'!$A$4=0)),AND(115=$I45-1,OR(19&lt;&gt;'計算A'!$A$3,'計算A'!$A$4=0))),0,IF(19=$K45,200000,ABS(19-$K45)*100)),100000+ABS(5-$J45)*1000+190)+'計算A'!DN$5*50+IF(AND($E45=1,NA45=0),25,0),IF($F45&gt;0,INDEX('計算A'!DN$110:DN$114,$F45+1)+IF(AND($E45=1,NA45=0),1000,0),MIN(TY45,20)*400+(IF('計算A'!DM$106=1,1-HK45,0)+IF('計算A'!DN$106=1,1-HM45,0))*150+195+'計算A'!DN$5*100000+IF(AND($E45=1,NA45=0),50000,0))+IF($H45=1,(IF('計算A'!DM$117=1,INDEX('計算A'!DM$10:DM$54,$B45),0)+IF('計算A'!DN$117=1,INDEX('計算A'!DO$10:DO$54,$B45),0))*4000,0)-IF(AND('計算A'!DM$117=1,YK45&gt;0),2000,0)-IF(AND($L45=1,'計算A'!DN$117=1,HM45=0),2000,0))),1000000))</f>
        <v/>
      </c>
      <c r="SQ45">
        <f>IF($B45=0,1000000,IF(INDEX('計算A'!$D$60:$EQ$104,$B45,116)*HM45=1,IF(AND($E45=2,NB45=0),1000000,IF($I45&gt;0,IF(5=$J45,IF(OR(AND(116=$I45+1,OR($K45&lt;&gt;'計算A'!$A$3,'計算A'!$A$4=0)),AND(116=$I45-1,OR(20&lt;&gt;'計算A'!$A$3,'計算A'!$A$4=0))),0,IF(20=$K45,200000,ABS(20-$K45)*100)),100000+ABS(5-$J45)*1000+200)+'計算A'!DO$5*50+IF(AND($E45=1,NB45=0),25,0),IF($F45&gt;0,INDEX('計算A'!DO$110:DO$114,$F45+1)+IF(AND($E45=1,NB45=0),1000,0),MIN(TY45,20)*400+(IF('計算A'!DN$106=1,1-HL45,0)+IF('計算A'!DO$106=1,1-HN45,0))*150+205+'計算A'!DO$5*100000+IF(AND($E45=1,NB45=0),50000,0))+IF($H45=1,(IF('計算A'!DN$117=1,INDEX('計算A'!DN$10:DN$54,$B45),0)+IF('計算A'!DO$117=1,INDEX('計算A'!DP$10:DP$54,$B45),0))*4000,0)-IF(AND('計算A'!DN$117=1,YL45&gt;0),2000,0)-IF(AND($L45=1,'計算A'!DO$117=1,HN45=0),2000,0))),1000000))</f>
        <v/>
      </c>
      <c r="SR45">
        <f>IF($B45=0,1000000,IF(INDEX('計算A'!$D$60:$EQ$104,$B45,117)*HN45=1,IF(AND($E45=2,NC45=0),1000000,IF($I45&gt;0,IF(5=$J45,IF(OR(AND(117=$I45+1,OR($K45&lt;&gt;'計算A'!$A$3,'計算A'!$A$4=0)),AND(117=$I45-1,OR(21&lt;&gt;'計算A'!$A$3,'計算A'!$A$4=0))),0,IF(21=$K45,200000,ABS(21-$K45)*100)),100000+ABS(5-$J45)*1000+210)+'計算A'!DP$5*50+IF(AND($E45=1,NC45=0),25,0),IF($F45&gt;0,INDEX('計算A'!DP$110:DP$114,$F45+1)+IF(AND($E45=1,NC45=0),1000,0),MIN(TY45,20)*400+(IF('計算A'!DO$106=1,1-HM45,0)+IF('計算A'!DP$106=1,1-HO45,0))*150+215+'計算A'!DP$5*100000+IF(AND($E45=1,NC45=0),50000,0))+IF($H45=1,(IF('計算A'!DO$117=1,INDEX('計算A'!DO$10:DO$54,$B45),0)+IF('計算A'!DP$117=1,INDEX('計算A'!DQ$10:DQ$54,$B45),0))*4000,0)-IF(AND('計算A'!DO$117=1,YM45&gt;0),2000,0)-IF(AND($L45=1,'計算A'!DP$117=1,HO45=0),2000,0))),1000000))</f>
        <v/>
      </c>
      <c r="SS45">
        <f>IF($B45=0,1000000,IF(INDEX('計算A'!$D$60:$EQ$104,$B45,118)*HO45=1,IF(AND($E45=2,ND45=0),1000000,IF($I45&gt;0,IF(5=$J45,IF(OR(AND(118=$I45+1,OR($K45&lt;&gt;'計算A'!$A$3,'計算A'!$A$4=0)),AND(118=$I45-1,OR(22&lt;&gt;'計算A'!$A$3,'計算A'!$A$4=0))),0,IF(22=$K45,200000,ABS(22-$K45)*100)),100000+ABS(5-$J45)*1000+220)+'計算A'!DQ$5*50+IF(AND($E45=1,ND45=0),25,0),IF($F45&gt;0,INDEX('計算A'!DQ$110:DQ$114,$F45+1)+IF(AND($E45=1,ND45=0),1000,0),MIN(TY45,20)*400+(IF('計算A'!DP$106=1,1-HN45,0)+IF('計算A'!DQ$106=1,1-HP45,0))*150+225+'計算A'!DQ$5*100000+IF(AND($E45=1,ND45=0),50000,0))+IF($H45=1,(IF('計算A'!DP$117=1,INDEX('計算A'!DP$10:DP$54,$B45),0)+IF('計算A'!DQ$117=1,INDEX('計算A'!DR$10:DR$54,$B45),0))*4000,0)-IF(AND('計算A'!DP$117=1,YN45&gt;0),2000,0)-IF(AND($L45=1,'計算A'!DQ$117=1,HP45=0),2000,0))),1000000))</f>
        <v/>
      </c>
      <c r="ST45">
        <f>IF($B45=0,1000000,IF(INDEX('計算A'!$D$60:$EQ$104,$B45,119)*HP45=1,IF(AND($E45=2,NE45=0),1000000,IF($I45&gt;0,IF(5=$J45,IF(OR(AND(119=$I45+1,OR($K45&lt;&gt;'計算A'!$A$3,'計算A'!$A$4=0)),AND(119=$I45-1,OR(23&lt;&gt;'計算A'!$A$3,'計算A'!$A$4=0))),0,IF(23=$K45,200000,ABS(23-$K45)*100)),100000+ABS(5-$J45)*1000+230)+'計算A'!DR$5*50+IF(AND($E45=1,NE45=0),25,0),IF($F45&gt;0,INDEX('計算A'!DR$110:DR$114,$F45+1)+IF(AND($E45=1,NE45=0),1000,0),MIN(TY45,20)*400+(IF('計算A'!DQ$106=1,1-HO45,0)+IF('計算A'!DR$106=1,1-HQ45,0))*150+235+'計算A'!DR$5*100000+IF(AND($E45=1,NE45=0),50000,0))+IF($H45=1,(IF('計算A'!DQ$117=1,INDEX('計算A'!DQ$10:DQ$54,$B45),0)+IF('計算A'!DR$117=1,INDEX('計算A'!DS$10:DS$54,$B45),0))*4000,0)-IF(AND('計算A'!DQ$117=1,YO45&gt;0),2000,0)-IF(AND($L45=1,'計算A'!DR$117=1,HQ45=0),2000,0))),1000000))</f>
        <v/>
      </c>
      <c r="SU45">
        <f>IF($B45=0,1000000,IF(INDEX('計算A'!$D$60:$EQ$104,$B45,120)*HQ45=1,IF(AND($E45=2,NF45=0),1000000,IF($I45&gt;0,IF(5=$J45,IF(OR(AND(120=$I45+1,OR($K45&lt;&gt;'計算A'!$A$3,'計算A'!$A$4=0)),AND(120=$I45-1,OR(24&lt;&gt;'計算A'!$A$3,'計算A'!$A$4=0))),0,IF(24=$K45,200000,ABS(24-$K45)*100)),100000+ABS(5-$J45)*1000+240)+'計算A'!DS$5*50+IF(AND($E45=1,NF45=0),25,0),IF($F45&gt;0,INDEX('計算A'!DS$110:DS$114,$F45+1)+IF(AND($E45=1,NF45=0),1000,0),MIN(TY45,20)*400+(IF('計算A'!DR$106=1,1-HP45,0))*150+245+'計算A'!DS$5*100000+IF(AND($E45=1,NF45=0),50000,0))+IF($H45=1,(IF('計算A'!DR$117=1,INDEX('計算A'!DR$10:DR$54,$B45),0))*4000,0)-IF(AND('計算A'!DR$117=1,YP45&gt;0),2000,0))),1000000))</f>
        <v/>
      </c>
      <c r="SV45">
        <f>IF($B45=0,1000000,IF(INDEX('計算A'!$D$60:$EQ$104,$B45,121)*HR45=1,IF(AND($E45=2,NG45=0),1000000,IF($I45&gt;0,IF(6=$J45,IF(OR(AND(121=$I45+1,OR($K45&lt;&gt;'計算A'!$A$3,'計算A'!$A$4=0)),AND(121=$I45-1,OR(1&lt;&gt;'計算A'!$A$3,'計算A'!$A$4=0))),0,IF(1=$K45,200000,ABS(1-$K45)*100)),100000+ABS(6-$J45)*1000+10)+'計算A'!DT$5*50+IF(AND($E45=1,NG45=0),25,0),IF($F45&gt;0,INDEX('計算A'!DT$110:DT$114,$F45+1)+IF(AND($E45=1,NG45=0),1000,0),MIN(TZ45,20)*400+(IF('計算A'!DT$106=1,1-HS45,0))*150+16+'計算A'!DT$5*100000+IF(AND($E45=1,NG45=0),50000,0))+IF($H45=1,(IF('計算A'!DT$117=1,INDEX('計算A'!DU$10:DU$54,$B45),0))*4000,0)-IF(AND($L45=1,'計算A'!DT$117=1,HS45=0),2000,0))),1000000))</f>
        <v/>
      </c>
      <c r="SW45">
        <f>IF($B45=0,1000000,IF(INDEX('計算A'!$D$60:$EQ$104,$B45,122)*HS45=1,IF(AND($E45=2,NH45=0),1000000,IF($I45&gt;0,IF(6=$J45,IF(OR(AND(122=$I45+1,OR($K45&lt;&gt;'計算A'!$A$3,'計算A'!$A$4=0)),AND(122=$I45-1,OR(2&lt;&gt;'計算A'!$A$3,'計算A'!$A$4=0))),0,IF(2=$K45,200000,ABS(2-$K45)*100)),100000+ABS(6-$J45)*1000+20)+'計算A'!DU$5*50+IF(AND($E45=1,NH45=0),25,0),IF($F45&gt;0,INDEX('計算A'!DU$110:DU$114,$F45+1)+IF(AND($E45=1,NH45=0),1000,0),MIN(TZ45,20)*400+(IF('計算A'!DT$106=1,1-HR45,0)+IF('計算A'!DU$106=1,1-HT45,0))*150+26+'計算A'!DU$5*100000+IF(AND($E45=1,NH45=0),50000,0))+IF($H45=1,(IF('計算A'!DT$117=1,INDEX('計算A'!DT$10:DT$54,$B45),0)+IF('計算A'!DU$117=1,INDEX('計算A'!DV$10:DV$54,$B45),0))*4000,0)-IF(AND('計算A'!DT$117=1,YR45&gt;0),2000,0)-IF(AND($L45=1,'計算A'!DU$117=1,HT45=0),2000,0))),1000000))</f>
        <v/>
      </c>
      <c r="SX45">
        <f>IF($B45=0,1000000,IF(INDEX('計算A'!$D$60:$EQ$104,$B45,123)*HT45=1,IF(AND($E45=2,NI45=0),1000000,IF($I45&gt;0,IF(6=$J45,IF(OR(AND(123=$I45+1,OR($K45&lt;&gt;'計算A'!$A$3,'計算A'!$A$4=0)),AND(123=$I45-1,OR(3&lt;&gt;'計算A'!$A$3,'計算A'!$A$4=0))),0,IF(3=$K45,200000,ABS(3-$K45)*100)),100000+ABS(6-$J45)*1000+30)+'計算A'!DV$5*50+IF(AND($E45=1,NI45=0),25,0),IF($F45&gt;0,INDEX('計算A'!DV$110:DV$114,$F45+1)+IF(AND($E45=1,NI45=0),1000,0),MIN(TZ45,20)*400+(IF('計算A'!DU$106=1,1-HS45,0)+IF('計算A'!DV$106=1,1-HU45,0))*150+36+'計算A'!DV$5*100000+IF(AND($E45=1,NI45=0),50000,0))+IF($H45=1,(IF('計算A'!DU$117=1,INDEX('計算A'!DU$10:DU$54,$B45),0)+IF('計算A'!DV$117=1,INDEX('計算A'!DW$10:DW$54,$B45),0))*4000,0)-IF(AND('計算A'!DU$117=1,YS45&gt;0),2000,0)-IF(AND($L45=1,'計算A'!DV$117=1,HU45=0),2000,0))),1000000))</f>
        <v/>
      </c>
      <c r="SY45">
        <f>IF($B45=0,1000000,IF(INDEX('計算A'!$D$60:$EQ$104,$B45,124)*HU45=1,IF(AND($E45=2,NJ45=0),1000000,IF($I45&gt;0,IF(6=$J45,IF(OR(AND(124=$I45+1,OR($K45&lt;&gt;'計算A'!$A$3,'計算A'!$A$4=0)),AND(124=$I45-1,OR(4&lt;&gt;'計算A'!$A$3,'計算A'!$A$4=0))),0,IF(4=$K45,200000,ABS(4-$K45)*100)),100000+ABS(6-$J45)*1000+40)+'計算A'!DW$5*50+IF(AND($E45=1,NJ45=0),25,0),IF($F45&gt;0,INDEX('計算A'!DW$110:DW$114,$F45+1)+IF(AND($E45=1,NJ45=0),1000,0),MIN(TZ45,20)*400+(IF('計算A'!DV$106=1,1-HT45,0)+IF('計算A'!DW$106=1,1-HV45,0))*150+46+'計算A'!DW$5*100000+IF(AND($E45=1,NJ45=0),50000,0))+IF($H45=1,(IF('計算A'!DV$117=1,INDEX('計算A'!DV$10:DV$54,$B45),0)+IF('計算A'!DW$117=1,INDEX('計算A'!DX$10:DX$54,$B45),0))*4000,0)-IF(AND('計算A'!DV$117=1,YT45&gt;0),2000,0)-IF(AND($L45=1,'計算A'!DW$117=1,HV45=0),2000,0))),1000000))</f>
        <v/>
      </c>
      <c r="SZ45">
        <f>IF($B45=0,1000000,IF(INDEX('計算A'!$D$60:$EQ$104,$B45,125)*HV45=1,IF(AND($E45=2,NK45=0),1000000,IF($I45&gt;0,IF(6=$J45,IF(OR(AND(125=$I45+1,OR($K45&lt;&gt;'計算A'!$A$3,'計算A'!$A$4=0)),AND(125=$I45-1,OR(5&lt;&gt;'計算A'!$A$3,'計算A'!$A$4=0))),0,IF(5=$K45,200000,ABS(5-$K45)*100)),100000+ABS(6-$J45)*1000+50)+'計算A'!DX$5*50+IF(AND($E45=1,NK45=0),25,0),IF($F45&gt;0,INDEX('計算A'!DX$110:DX$114,$F45+1)+IF(AND($E45=1,NK45=0),1000,0),MIN(TZ45,20)*400+(IF('計算A'!DW$106=1,1-HU45,0)+IF('計算A'!DX$106=1,1-HW45,0))*150+56+'計算A'!DX$5*100000+IF(AND($E45=1,NK45=0),50000,0))+IF($H45=1,(IF('計算A'!DW$117=1,INDEX('計算A'!DW$10:DW$54,$B45),0)+IF('計算A'!DX$117=1,INDEX('計算A'!DY$10:DY$54,$B45),0))*4000,0)-IF(AND('計算A'!DW$117=1,YU45&gt;0),2000,0)-IF(AND($L45=1,'計算A'!DX$117=1,HW45=0),2000,0))),1000000))</f>
        <v/>
      </c>
      <c r="TA45">
        <f>IF($B45=0,1000000,IF(INDEX('計算A'!$D$60:$EQ$104,$B45,126)*HW45=1,IF(AND($E45=2,NL45=0),1000000,IF($I45&gt;0,IF(6=$J45,IF(OR(AND(126=$I45+1,OR($K45&lt;&gt;'計算A'!$A$3,'計算A'!$A$4=0)),AND(126=$I45-1,OR(6&lt;&gt;'計算A'!$A$3,'計算A'!$A$4=0))),0,IF(6=$K45,200000,ABS(6-$K45)*100)),100000+ABS(6-$J45)*1000+60)+'計算A'!DY$5*50+IF(AND($E45=1,NL45=0),25,0),IF($F45&gt;0,INDEX('計算A'!DY$110:DY$114,$F45+1)+IF(AND($E45=1,NL45=0),1000,0),MIN(TZ45,20)*400+(IF('計算A'!DX$106=1,1-HV45,0)+IF('計算A'!DY$106=1,1-HX45,0))*150+66+'計算A'!DY$5*100000+IF(AND($E45=1,NL45=0),50000,0))+IF($H45=1,(IF('計算A'!DX$117=1,INDEX('計算A'!DX$10:DX$54,$B45),0)+IF('計算A'!DY$117=1,INDEX('計算A'!DZ$10:DZ$54,$B45),0))*4000,0)-IF(AND('計算A'!DX$117=1,YV45&gt;0),2000,0)-IF(AND($L45=1,'計算A'!DY$117=1,HX45=0),2000,0))),1000000))</f>
        <v/>
      </c>
      <c r="TB45">
        <f>IF($B45=0,1000000,IF(INDEX('計算A'!$D$60:$EQ$104,$B45,127)*HX45=1,IF(AND($E45=2,NM45=0),1000000,IF($I45&gt;0,IF(6=$J45,IF(OR(AND(127=$I45+1,OR($K45&lt;&gt;'計算A'!$A$3,'計算A'!$A$4=0)),AND(127=$I45-1,OR(7&lt;&gt;'計算A'!$A$3,'計算A'!$A$4=0))),0,IF(7=$K45,200000,ABS(7-$K45)*100)),100000+ABS(6-$J45)*1000+70)+'計算A'!DZ$5*50+IF(AND($E45=1,NM45=0),25,0),IF($F45&gt;0,INDEX('計算A'!DZ$110:DZ$114,$F45+1)+IF(AND($E45=1,NM45=0),1000,0),MIN(TZ45,20)*400+(IF('計算A'!DY$106=1,1-HW45,0)+IF('計算A'!DZ$106=1,1-HY45,0))*150+76+'計算A'!DZ$5*100000+IF(AND($E45=1,NM45=0),50000,0))+IF($H45=1,(IF('計算A'!DY$117=1,INDEX('計算A'!DY$10:DY$54,$B45),0)+IF('計算A'!DZ$117=1,INDEX('計算A'!EA$10:EA$54,$B45),0))*4000,0)-IF(AND('計算A'!DY$117=1,YW45&gt;0),2000,0)-IF(AND($L45=1,'計算A'!DZ$117=1,HY45=0),2000,0))),1000000))</f>
        <v/>
      </c>
      <c r="TC45">
        <f>IF($B45=0,1000000,IF(INDEX('計算A'!$D$60:$EQ$104,$B45,128)*HY45=1,IF(AND($E45=2,NN45=0),1000000,IF($I45&gt;0,IF(6=$J45,IF(OR(AND(128=$I45+1,OR($K45&lt;&gt;'計算A'!$A$3,'計算A'!$A$4=0)),AND(128=$I45-1,OR(8&lt;&gt;'計算A'!$A$3,'計算A'!$A$4=0))),0,IF(8=$K45,200000,ABS(8-$K45)*100)),100000+ABS(6-$J45)*1000+80)+'計算A'!EA$5*50+IF(AND($E45=1,NN45=0),25,0),IF($F45&gt;0,INDEX('計算A'!EA$110:EA$114,$F45+1)+IF(AND($E45=1,NN45=0),1000,0),MIN(TZ45,20)*400+(IF('計算A'!DZ$106=1,1-HX45,0)+IF('計算A'!EA$106=1,1-HZ45,0))*150+86+'計算A'!EA$5*100000+IF(AND($E45=1,NN45=0),50000,0))+IF($H45=1,(IF('計算A'!DZ$117=1,INDEX('計算A'!DZ$10:DZ$54,$B45),0)+IF('計算A'!EA$117=1,INDEX('計算A'!EB$10:EB$54,$B45),0))*4000,0)-IF(AND('計算A'!DZ$117=1,YX45&gt;0),2000,0)-IF(AND($L45=1,'計算A'!EA$117=1,HZ45=0),2000,0))),1000000))</f>
        <v/>
      </c>
      <c r="TD45">
        <f>IF($B45=0,1000000,IF(INDEX('計算A'!$D$60:$EQ$104,$B45,129)*HZ45=1,IF(AND($E45=2,NO45=0),1000000,IF($I45&gt;0,IF(6=$J45,IF(OR(AND(129=$I45+1,OR($K45&lt;&gt;'計算A'!$A$3,'計算A'!$A$4=0)),AND(129=$I45-1,OR(9&lt;&gt;'計算A'!$A$3,'計算A'!$A$4=0))),0,IF(9=$K45,200000,ABS(9-$K45)*100)),100000+ABS(6-$J45)*1000+90)+'計算A'!EB$5*50+IF(AND($E45=1,NO45=0),25,0),IF($F45&gt;0,INDEX('計算A'!EB$110:EB$114,$F45+1)+IF(AND($E45=1,NO45=0),1000,0),MIN(TZ45,20)*400+(IF('計算A'!EA$106=1,1-HY45,0)+IF('計算A'!EB$106=1,1-IA45,0))*150+96+'計算A'!EB$5*100000+IF(AND($E45=1,NO45=0),50000,0))+IF($H45=1,(IF('計算A'!EA$117=1,INDEX('計算A'!EA$10:EA$54,$B45),0)+IF('計算A'!EB$117=1,INDEX('計算A'!EC$10:EC$54,$B45),0))*4000,0)-IF(AND('計算A'!EA$117=1,YY45&gt;0),2000,0)-IF(AND($L45=1,'計算A'!EB$117=1,IA45=0),2000,0))),1000000))</f>
        <v/>
      </c>
      <c r="TE45">
        <f>IF($B45=0,1000000,IF(INDEX('計算A'!$D$60:$EQ$104,$B45,130)*IA45=1,IF(AND($E45=2,NP45=0),1000000,IF($I45&gt;0,IF(6=$J45,IF(OR(AND(130=$I45+1,OR($K45&lt;&gt;'計算A'!$A$3,'計算A'!$A$4=0)),AND(130=$I45-1,OR(10&lt;&gt;'計算A'!$A$3,'計算A'!$A$4=0))),0,IF(10=$K45,200000,ABS(10-$K45)*100)),100000+ABS(6-$J45)*1000+100)+'計算A'!EC$5*50+IF(AND($E45=1,NP45=0),25,0),IF($F45&gt;0,INDEX('計算A'!EC$110:EC$114,$F45+1)+IF(AND($E45=1,NP45=0),1000,0),MIN(TZ45,20)*400+(IF('計算A'!EB$106=1,1-HZ45,0)+IF('計算A'!EC$106=1,1-IB45,0))*150+106+'計算A'!EC$5*100000+IF(AND($E45=1,NP45=0),50000,0))+IF($H45=1,(IF('計算A'!EB$117=1,INDEX('計算A'!EB$10:EB$54,$B45),0)+IF('計算A'!EC$117=1,INDEX('計算A'!ED$10:ED$54,$B45),0))*4000,0)-IF(AND('計算A'!EB$117=1,YZ45&gt;0),2000,0)-IF(AND($L45=1,'計算A'!EC$117=1,IB45=0),2000,0))),1000000))</f>
        <v/>
      </c>
      <c r="TF45">
        <f>IF($B45=0,1000000,IF(INDEX('計算A'!$D$60:$EQ$104,$B45,131)*IB45=1,IF(AND($E45=2,NQ45=0),1000000,IF($I45&gt;0,IF(6=$J45,IF(OR(AND(131=$I45+1,OR($K45&lt;&gt;'計算A'!$A$3,'計算A'!$A$4=0)),AND(131=$I45-1,OR(11&lt;&gt;'計算A'!$A$3,'計算A'!$A$4=0))),0,IF(11=$K45,200000,ABS(11-$K45)*100)),100000+ABS(6-$J45)*1000+110)+'計算A'!ED$5*50+IF(AND($E45=1,NQ45=0),25,0),IF($F45&gt;0,INDEX('計算A'!ED$110:ED$114,$F45+1)+IF(AND($E45=1,NQ45=0),1000,0),MIN(TZ45,20)*400+(IF('計算A'!EC$106=1,1-IA45,0)+IF('計算A'!ED$106=1,1-IC45,0))*150+116+'計算A'!ED$5*100000+IF(AND($E45=1,NQ45=0),50000,0))+IF($H45=1,(IF('計算A'!EC$117=1,INDEX('計算A'!EC$10:EC$54,$B45),0)+IF('計算A'!ED$117=1,INDEX('計算A'!EE$10:EE$54,$B45),0))*4000,0)-IF(AND('計算A'!EC$117=1,ZA45&gt;0),2000,0)-IF(AND($L45=1,'計算A'!ED$117=1,IC45=0),2000,0))),1000000))</f>
        <v/>
      </c>
      <c r="TG45">
        <f>IF($B45=0,1000000,IF(INDEX('計算A'!$D$60:$EQ$104,$B45,132)*IC45=1,IF(AND($E45=2,NR45=0),1000000,IF($I45&gt;0,IF(6=$J45,IF(OR(AND(132=$I45+1,OR($K45&lt;&gt;'計算A'!$A$3,'計算A'!$A$4=0)),AND(132=$I45-1,OR(12&lt;&gt;'計算A'!$A$3,'計算A'!$A$4=0))),0,IF(12=$K45,200000,ABS(12-$K45)*100)),100000+ABS(6-$J45)*1000+120)+'計算A'!EE$5*50+IF(AND($E45=1,NR45=0),25,0),IF($F45&gt;0,INDEX('計算A'!EE$110:EE$114,$F45+1)+IF(AND($E45=1,NR45=0),1000,0),MIN(TZ45,20)*400+(IF('計算A'!ED$106=1,1-IB45,0)+IF('計算A'!EE$106=1,1-ID45,0))*150+126+'計算A'!EE$5*100000+IF(AND($E45=1,NR45=0),50000,0))+IF($H45=1,(IF('計算A'!ED$117=1,INDEX('計算A'!ED$10:ED$54,$B45),0)+IF('計算A'!EE$117=1,INDEX('計算A'!EF$10:EF$54,$B45),0))*4000,0)-IF(AND('計算A'!ED$117=1,ZB45&gt;0),2000,0)-IF(AND($L45=1,'計算A'!EE$117=1,ID45=0),2000,0))),1000000))</f>
        <v/>
      </c>
      <c r="TH45">
        <f>IF($B45=0,1000000,IF(INDEX('計算A'!$D$60:$EQ$104,$B45,133)*ID45=1,IF(AND($E45=2,NS45=0),1000000,IF($I45&gt;0,IF(6=$J45,IF(OR(AND(133=$I45+1,OR($K45&lt;&gt;'計算A'!$A$3,'計算A'!$A$4=0)),AND(133=$I45-1,OR(13&lt;&gt;'計算A'!$A$3,'計算A'!$A$4=0))),0,IF(13=$K45,200000,ABS(13-$K45)*100)),100000+ABS(6-$J45)*1000+130)+'計算A'!EF$5*50+IF(AND($E45=1,NS45=0),25,0),IF($F45&gt;0,INDEX('計算A'!EF$110:EF$114,$F45+1)+IF(AND($E45=1,NS45=0),1000,0),MIN(TZ45,20)*400+(IF('計算A'!EE$106=1,1-IC45,0)+IF('計算A'!EF$106=1,1-IE45,0))*150+136+'計算A'!EF$5*100000+IF(AND($E45=1,NS45=0),50000,0))+IF($H45=1,(IF('計算A'!EE$117=1,INDEX('計算A'!EE$10:EE$54,$B45),0)+IF('計算A'!EF$117=1,INDEX('計算A'!EG$10:EG$54,$B45),0))*4000,0)-IF(AND('計算A'!EE$117=1,ZC45&gt;0),2000,0)-IF(AND($L45=1,'計算A'!EF$117=1,IE45=0),2000,0))),1000000))</f>
        <v/>
      </c>
      <c r="TI45">
        <f>IF($B45=0,1000000,IF(INDEX('計算A'!$D$60:$EQ$104,$B45,134)*IE45=1,IF(AND($E45=2,NT45=0),1000000,IF($I45&gt;0,IF(6=$J45,IF(OR(AND(134=$I45+1,OR($K45&lt;&gt;'計算A'!$A$3,'計算A'!$A$4=0)),AND(134=$I45-1,OR(14&lt;&gt;'計算A'!$A$3,'計算A'!$A$4=0))),0,IF(14=$K45,200000,ABS(14-$K45)*100)),100000+ABS(6-$J45)*1000+140)+'計算A'!EG$5*50+IF(AND($E45=1,NT45=0),25,0),IF($F45&gt;0,INDEX('計算A'!EG$110:EG$114,$F45+1)+IF(AND($E45=1,NT45=0),1000,0),MIN(TZ45,20)*400+(IF('計算A'!EF$106=1,1-ID45,0)+IF('計算A'!EG$106=1,1-IF45,0))*150+146+'計算A'!EG$5*100000+IF(AND($E45=1,NT45=0),50000,0))+IF($H45=1,(IF('計算A'!EF$117=1,INDEX('計算A'!EF$10:EF$54,$B45),0)+IF('計算A'!EG$117=1,INDEX('計算A'!EH$10:EH$54,$B45),0))*4000,0)-IF(AND('計算A'!EF$117=1,ZD45&gt;0),2000,0)-IF(AND($L45=1,'計算A'!EG$117=1,IF45=0),2000,0))),1000000))</f>
        <v/>
      </c>
      <c r="TJ45">
        <f>IF($B45=0,1000000,IF(INDEX('計算A'!$D$60:$EQ$104,$B45,135)*IF45=1,IF(AND($E45=2,NU45=0),1000000,IF($I45&gt;0,IF(6=$J45,IF(OR(AND(135=$I45+1,OR($K45&lt;&gt;'計算A'!$A$3,'計算A'!$A$4=0)),AND(135=$I45-1,OR(15&lt;&gt;'計算A'!$A$3,'計算A'!$A$4=0))),0,IF(15=$K45,200000,ABS(15-$K45)*100)),100000+ABS(6-$J45)*1000+150)+'計算A'!EH$5*50+IF(AND($E45=1,NU45=0),25,0),IF($F45&gt;0,INDEX('計算A'!EH$110:EH$114,$F45+1)+IF(AND($E45=1,NU45=0),1000,0),MIN(TZ45,20)*400+(IF('計算A'!EG$106=1,1-IE45,0)+IF('計算A'!EH$106=1,1-IG45,0))*150+156+'計算A'!EH$5*100000+IF(AND($E45=1,NU45=0),50000,0))+IF($H45=1,(IF('計算A'!EG$117=1,INDEX('計算A'!EG$10:EG$54,$B45),0)+IF('計算A'!EH$117=1,INDEX('計算A'!EI$10:EI$54,$B45),0))*4000,0)-IF(AND('計算A'!EG$117=1,ZE45&gt;0),2000,0)-IF(AND($L45=1,'計算A'!EH$117=1,IG45=0),2000,0))),1000000))</f>
        <v/>
      </c>
      <c r="TK45">
        <f>IF($B45=0,1000000,IF(INDEX('計算A'!$D$60:$EQ$104,$B45,136)*IG45=1,IF(AND($E45=2,NV45=0),1000000,IF($I45&gt;0,IF(6=$J45,IF(OR(AND(136=$I45+1,OR($K45&lt;&gt;'計算A'!$A$3,'計算A'!$A$4=0)),AND(136=$I45-1,OR(16&lt;&gt;'計算A'!$A$3,'計算A'!$A$4=0))),0,IF(16=$K45,200000,ABS(16-$K45)*100)),100000+ABS(6-$J45)*1000+160)+'計算A'!EI$5*50+IF(AND($E45=1,NV45=0),25,0),IF($F45&gt;0,INDEX('計算A'!EI$110:EI$114,$F45+1)+IF(AND($E45=1,NV45=0),1000,0),MIN(TZ45,20)*400+(IF('計算A'!EH$106=1,1-IF45,0)+IF('計算A'!EI$106=1,1-IH45,0))*150+166+'計算A'!EI$5*100000+IF(AND($E45=1,NV45=0),50000,0))+IF($H45=1,(IF('計算A'!EH$117=1,INDEX('計算A'!EH$10:EH$54,$B45),0)+IF('計算A'!EI$117=1,INDEX('計算A'!EJ$10:EJ$54,$B45),0))*4000,0)-IF(AND('計算A'!EH$117=1,ZF45&gt;0),2000,0)-IF(AND($L45=1,'計算A'!EI$117=1,IH45=0),2000,0))),1000000))</f>
        <v/>
      </c>
      <c r="TL45">
        <f>IF($B45=0,1000000,IF(INDEX('計算A'!$D$60:$EQ$104,$B45,137)*IH45=1,IF(AND($E45=2,NW45=0),1000000,IF($I45&gt;0,IF(6=$J45,IF(OR(AND(137=$I45+1,OR($K45&lt;&gt;'計算A'!$A$3,'計算A'!$A$4=0)),AND(137=$I45-1,OR(17&lt;&gt;'計算A'!$A$3,'計算A'!$A$4=0))),0,IF(17=$K45,200000,ABS(17-$K45)*100)),100000+ABS(6-$J45)*1000+170)+'計算A'!EJ$5*50+IF(AND($E45=1,NW45=0),25,0),IF($F45&gt;0,INDEX('計算A'!EJ$110:EJ$114,$F45+1)+IF(AND($E45=1,NW45=0),1000,0),MIN(TZ45,20)*400+(IF('計算A'!EI$106=1,1-IG45,0)+IF('計算A'!EJ$106=1,1-II45,0))*150+176+'計算A'!EJ$5*100000+IF(AND($E45=1,NW45=0),50000,0))+IF($H45=1,(IF('計算A'!EI$117=1,INDEX('計算A'!EI$10:EI$54,$B45),0)+IF('計算A'!EJ$117=1,INDEX('計算A'!EK$10:EK$54,$B45),0))*4000,0)-IF(AND('計算A'!EI$117=1,ZG45&gt;0),2000,0)-IF(AND($L45=1,'計算A'!EJ$117=1,II45=0),2000,0))),1000000))</f>
        <v/>
      </c>
      <c r="TM45">
        <f>IF($B45=0,1000000,IF(INDEX('計算A'!$D$60:$EQ$104,$B45,138)*II45=1,IF(AND($E45=2,NX45=0),1000000,IF($I45&gt;0,IF(6=$J45,IF(OR(AND(138=$I45+1,OR($K45&lt;&gt;'計算A'!$A$3,'計算A'!$A$4=0)),AND(138=$I45-1,OR(18&lt;&gt;'計算A'!$A$3,'計算A'!$A$4=0))),0,IF(18=$K45,200000,ABS(18-$K45)*100)),100000+ABS(6-$J45)*1000+180)+'計算A'!EK$5*50+IF(AND($E45=1,NX45=0),25,0),IF($F45&gt;0,INDEX('計算A'!EK$110:EK$114,$F45+1)+IF(AND($E45=1,NX45=0),1000,0),MIN(TZ45,20)*400+(IF('計算A'!EJ$106=1,1-IH45,0)+IF('計算A'!EK$106=1,1-IJ45,0))*150+186+'計算A'!EK$5*100000+IF(AND($E45=1,NX45=0),50000,0))+IF($H45=1,(IF('計算A'!EJ$117=1,INDEX('計算A'!EJ$10:EJ$54,$B45),0)+IF('計算A'!EK$117=1,INDEX('計算A'!EL$10:EL$54,$B45),0))*4000,0)-IF(AND('計算A'!EJ$117=1,ZH45&gt;0),2000,0)-IF(AND($L45=1,'計算A'!EK$117=1,IJ45=0),2000,0))),1000000))</f>
        <v/>
      </c>
      <c r="TN45">
        <f>IF($B45=0,1000000,IF(INDEX('計算A'!$D$60:$EQ$104,$B45,139)*IJ45=1,IF(AND($E45=2,NY45=0),1000000,IF($I45&gt;0,IF(6=$J45,IF(OR(AND(139=$I45+1,OR($K45&lt;&gt;'計算A'!$A$3,'計算A'!$A$4=0)),AND(139=$I45-1,OR(19&lt;&gt;'計算A'!$A$3,'計算A'!$A$4=0))),0,IF(19=$K45,200000,ABS(19-$K45)*100)),100000+ABS(6-$J45)*1000+190)+'計算A'!EL$5*50+IF(AND($E45=1,NY45=0),25,0),IF($F45&gt;0,INDEX('計算A'!EL$110:EL$114,$F45+1)+IF(AND($E45=1,NY45=0),1000,0),MIN(TZ45,20)*400+(IF('計算A'!EK$106=1,1-II45,0)+IF('計算A'!EL$106=1,1-IK45,0))*150+196+'計算A'!EL$5*100000+IF(AND($E45=1,NY45=0),50000,0))+IF($H45=1,(IF('計算A'!EK$117=1,INDEX('計算A'!EK$10:EK$54,$B45),0)+IF('計算A'!EL$117=1,INDEX('計算A'!EM$10:EM$54,$B45),0))*4000,0)-IF(AND('計算A'!EK$117=1,ZI45&gt;0),2000,0)-IF(AND($L45=1,'計算A'!EL$117=1,IK45=0),2000,0))),1000000))</f>
        <v/>
      </c>
      <c r="TO45">
        <f>IF($B45=0,1000000,IF(INDEX('計算A'!$D$60:$EQ$104,$B45,140)*IK45=1,IF(AND($E45=2,NZ45=0),1000000,IF($I45&gt;0,IF(6=$J45,IF(OR(AND(140=$I45+1,OR($K45&lt;&gt;'計算A'!$A$3,'計算A'!$A$4=0)),AND(140=$I45-1,OR(20&lt;&gt;'計算A'!$A$3,'計算A'!$A$4=0))),0,IF(20=$K45,200000,ABS(20-$K45)*100)),100000+ABS(6-$J45)*1000+200)+'計算A'!EM$5*50+IF(AND($E45=1,NZ45=0),25,0),IF($F45&gt;0,INDEX('計算A'!EM$110:EM$114,$F45+1)+IF(AND($E45=1,NZ45=0),1000,0),MIN(TZ45,20)*400+(IF('計算A'!EL$106=1,1-IJ45,0)+IF('計算A'!EM$106=1,1-IL45,0))*150+206+'計算A'!EM$5*100000+IF(AND($E45=1,NZ45=0),50000,0))+IF($H45=1,(IF('計算A'!EL$117=1,INDEX('計算A'!EL$10:EL$54,$B45),0)+IF('計算A'!EM$117=1,INDEX('計算A'!EN$10:EN$54,$B45),0))*4000,0)-IF(AND('計算A'!EL$117=1,ZJ45&gt;0),2000,0)-IF(AND($L45=1,'計算A'!EM$117=1,IL45=0),2000,0))),1000000))</f>
        <v/>
      </c>
      <c r="TP45">
        <f>IF($B45=0,1000000,IF(INDEX('計算A'!$D$60:$EQ$104,$B45,141)*IL45=1,IF(AND($E45=2,OA45=0),1000000,IF($I45&gt;0,IF(6=$J45,IF(OR(AND(141=$I45+1,OR($K45&lt;&gt;'計算A'!$A$3,'計算A'!$A$4=0)),AND(141=$I45-1,OR(21&lt;&gt;'計算A'!$A$3,'計算A'!$A$4=0))),0,IF(21=$K45,200000,ABS(21-$K45)*100)),100000+ABS(6-$J45)*1000+210)+'計算A'!EN$5*50+IF(AND($E45=1,OA45=0),25,0),IF($F45&gt;0,INDEX('計算A'!EN$110:EN$114,$F45+1)+IF(AND($E45=1,OA45=0),1000,0),MIN(TZ45,20)*400+(IF('計算A'!EM$106=1,1-IK45,0)+IF('計算A'!EN$106=1,1-IM45,0))*150+216+'計算A'!EN$5*100000+IF(AND($E45=1,OA45=0),50000,0))+IF($H45=1,(IF('計算A'!EM$117=1,INDEX('計算A'!EM$10:EM$54,$B45),0)+IF('計算A'!EN$117=1,INDEX('計算A'!EO$10:EO$54,$B45),0))*4000,0)-IF(AND('計算A'!EM$117=1,ZK45&gt;0),2000,0)-IF(AND($L45=1,'計算A'!EN$117=1,IM45=0),2000,0))),1000000))</f>
        <v/>
      </c>
      <c r="TQ45">
        <f>IF($B45=0,1000000,IF(INDEX('計算A'!$D$60:$EQ$104,$B45,142)*IM45=1,IF(AND($E45=2,OB45=0),1000000,IF($I45&gt;0,IF(6=$J45,IF(OR(AND(142=$I45+1,OR($K45&lt;&gt;'計算A'!$A$3,'計算A'!$A$4=0)),AND(142=$I45-1,OR(22&lt;&gt;'計算A'!$A$3,'計算A'!$A$4=0))),0,IF(22=$K45,200000,ABS(22-$K45)*100)),100000+ABS(6-$J45)*1000+220)+'計算A'!EO$5*50+IF(AND($E45=1,OB45=0),25,0),IF($F45&gt;0,INDEX('計算A'!EO$110:EO$114,$F45+1)+IF(AND($E45=1,OB45=0),1000,0),MIN(TZ45,20)*400+(IF('計算A'!EN$106=1,1-IL45,0)+IF('計算A'!EO$106=1,1-IN45,0))*150+226+'計算A'!EO$5*100000+IF(AND($E45=1,OB45=0),50000,0))+IF($H45=1,(IF('計算A'!EN$117=1,INDEX('計算A'!EN$10:EN$54,$B45),0)+IF('計算A'!EO$117=1,INDEX('計算A'!EP$10:EP$54,$B45),0))*4000,0)-IF(AND('計算A'!EN$117=1,ZL45&gt;0),2000,0)-IF(AND($L45=1,'計算A'!EO$117=1,IN45=0),2000,0))),1000000))</f>
        <v/>
      </c>
      <c r="TR45">
        <f>IF($B45=0,1000000,IF(INDEX('計算A'!$D$60:$EQ$104,$B45,143)*IN45=1,IF(AND($E45=2,OC45=0),1000000,IF($I45&gt;0,IF(6=$J45,IF(OR(AND(143=$I45+1,OR($K45&lt;&gt;'計算A'!$A$3,'計算A'!$A$4=0)),AND(143=$I45-1,OR(23&lt;&gt;'計算A'!$A$3,'計算A'!$A$4=0))),0,IF(23=$K45,200000,ABS(23-$K45)*100)),100000+ABS(6-$J45)*1000+230)+'計算A'!EP$5*50+IF(AND($E45=1,OC45=0),25,0),IF($F45&gt;0,INDEX('計算A'!EP$110:EP$114,$F45+1)+IF(AND($E45=1,OC45=0),1000,0),MIN(TZ45,20)*400+(IF('計算A'!EO$106=1,1-IM45,0)+IF('計算A'!EP$106=1,1-IO45,0))*150+236+'計算A'!EP$5*100000+IF(AND($E45=1,OC45=0),50000,0))+IF($H45=1,(IF('計算A'!EO$117=1,INDEX('計算A'!EO$10:EO$54,$B45),0)+IF('計算A'!EP$117=1,INDEX('計算A'!EQ$10:EQ$54,$B45),0))*4000,0)-IF(AND('計算A'!EO$117=1,ZM45&gt;0),2000,0)-IF(AND($L45=1,'計算A'!EP$117=1,IO45=0),2000,0))),1000000))</f>
        <v/>
      </c>
      <c r="TS45">
        <f>IF($B45=0,1000000,IF(INDEX('計算A'!$D$60:$EQ$104,$B45,144)*IO45=1,IF(AND($E45=2,OD45=0),1000000,IF($I45&gt;0,IF(6=$J45,IF(OR(AND(144=$I45+1,OR($K45&lt;&gt;'計算A'!$A$3,'計算A'!$A$4=0)),AND(144=$I45-1,OR(24&lt;&gt;'計算A'!$A$3,'計算A'!$A$4=0))),0,IF(24=$K45,200000,ABS(24-$K45)*100)),100000+ABS(6-$J45)*1000+240)+'計算A'!EQ$5*50+IF(AND($E45=1,OD45=0),25,0),IF($F45&gt;0,INDEX('計算A'!EQ$110:EQ$114,$F45+1)+IF(AND($E45=1,OD45=0),1000,0),MIN(TZ45,20)*400+(IF('計算A'!EP$106=1,1-IN45,0))*150+246+'計算A'!EQ$5*100000+IF(AND($E45=1,OD45=0),50000,0))+IF($H45=1,(IF('計算A'!EP$117=1,INDEX('計算A'!EP$10:EP$54,$B45),0))*4000,0)-IF(AND('計算A'!EP$117=1,ZN45&gt;0),2000,0))),1000000))</f>
        <v/>
      </c>
      <c r="TU45">
        <f>TU44+IF($C44&gt;0,IF(INDEX('計算A'!$D$2:$EQ$2,$C44)=1,1,0),0)</f>
        <v/>
      </c>
      <c r="TV45">
        <f>TV44+IF($C44&gt;0,IF(INDEX('計算A'!$D$2:$EQ$2,$C44)=2,1,0),0)</f>
        <v/>
      </c>
      <c r="TW45">
        <f>TW44+IF($C44&gt;0,IF(INDEX('計算A'!$D$2:$EQ$2,$C44)=3,1,0),0)</f>
        <v/>
      </c>
      <c r="TX45">
        <f>TX44+IF($C44&gt;0,IF(INDEX('計算A'!$D$2:$EQ$2,$C44)=4,1,0),0)</f>
        <v/>
      </c>
      <c r="TY45">
        <f>TY44+IF($C44&gt;0,IF(INDEX('計算A'!$D$2:$EQ$2,$C44)=5,1,0),0)</f>
        <v/>
      </c>
      <c r="TZ45">
        <f>TZ44+IF($C44&gt;0,IF(INDEX('計算A'!$D$2:$EQ$2,$C44)=6,1,0),0)</f>
        <v/>
      </c>
      <c r="UB45">
        <f>UB44+IF(AND($C44=1,$L44=1),1,0)</f>
        <v/>
      </c>
      <c r="UC45">
        <f>UC44+IF(AND($C44=2,$L44=1),1,0)</f>
        <v/>
      </c>
      <c r="UD45">
        <f>UD44+IF(AND($C44=3,$L44=1),1,0)</f>
        <v/>
      </c>
      <c r="UE45">
        <f>UE44+IF(AND($C44=4,$L44=1),1,0)</f>
        <v/>
      </c>
      <c r="UF45">
        <f>UF44+IF(AND($C44=5,$L44=1),1,0)</f>
        <v/>
      </c>
      <c r="UG45">
        <f>UG44+IF(AND($C44=6,$L44=1),1,0)</f>
        <v/>
      </c>
      <c r="UH45">
        <f>UH44+IF(AND($C44=7,$L44=1),1,0)</f>
        <v/>
      </c>
      <c r="UI45">
        <f>UI44+IF(AND($C44=8,$L44=1),1,0)</f>
        <v/>
      </c>
      <c r="UJ45">
        <f>UJ44+IF(AND($C44=9,$L44=1),1,0)</f>
        <v/>
      </c>
      <c r="UK45">
        <f>UK44+IF(AND($C44=10,$L44=1),1,0)</f>
        <v/>
      </c>
      <c r="UL45">
        <f>UL44+IF(AND($C44=11,$L44=1),1,0)</f>
        <v/>
      </c>
      <c r="UM45">
        <f>UM44+IF(AND($C44=12,$L44=1),1,0)</f>
        <v/>
      </c>
      <c r="UN45">
        <f>UN44+IF(AND($C44=13,$L44=1),1,0)</f>
        <v/>
      </c>
      <c r="UO45">
        <f>UO44+IF(AND($C44=14,$L44=1),1,0)</f>
        <v/>
      </c>
      <c r="UP45">
        <f>UP44+IF(AND($C44=15,$L44=1),1,0)</f>
        <v/>
      </c>
      <c r="UQ45">
        <f>UQ44+IF(AND($C44=16,$L44=1),1,0)</f>
        <v/>
      </c>
      <c r="UR45">
        <f>UR44+IF(AND($C44=17,$L44=1),1,0)</f>
        <v/>
      </c>
      <c r="US45">
        <f>US44+IF(AND($C44=18,$L44=1),1,0)</f>
        <v/>
      </c>
      <c r="UT45">
        <f>UT44+IF(AND($C44=19,$L44=1),1,0)</f>
        <v/>
      </c>
      <c r="UU45">
        <f>UU44+IF(AND($C44=20,$L44=1),1,0)</f>
        <v/>
      </c>
      <c r="UV45">
        <f>UV44+IF(AND($C44=21,$L44=1),1,0)</f>
        <v/>
      </c>
      <c r="UW45">
        <f>UW44+IF(AND($C44=22,$L44=1),1,0)</f>
        <v/>
      </c>
      <c r="UX45">
        <f>UX44+IF(AND($C44=23,$L44=1),1,0)</f>
        <v/>
      </c>
      <c r="UY45">
        <f>UY44+IF(AND($C44=24,$L44=1),1,0)</f>
        <v/>
      </c>
      <c r="UZ45">
        <f>UZ44+IF(AND($C44=25,$L44=1),1,0)</f>
        <v/>
      </c>
      <c r="VA45">
        <f>VA44+IF(AND($C44=26,$L44=1),1,0)</f>
        <v/>
      </c>
      <c r="VB45">
        <f>VB44+IF(AND($C44=27,$L44=1),1,0)</f>
        <v/>
      </c>
      <c r="VC45">
        <f>VC44+IF(AND($C44=28,$L44=1),1,0)</f>
        <v/>
      </c>
      <c r="VD45">
        <f>VD44+IF(AND($C44=29,$L44=1),1,0)</f>
        <v/>
      </c>
      <c r="VE45">
        <f>VE44+IF(AND($C44=30,$L44=1),1,0)</f>
        <v/>
      </c>
      <c r="VF45">
        <f>VF44+IF(AND($C44=31,$L44=1),1,0)</f>
        <v/>
      </c>
      <c r="VG45">
        <f>VG44+IF(AND($C44=32,$L44=1),1,0)</f>
        <v/>
      </c>
      <c r="VH45">
        <f>VH44+IF(AND($C44=33,$L44=1),1,0)</f>
        <v/>
      </c>
      <c r="VI45">
        <f>VI44+IF(AND($C44=34,$L44=1),1,0)</f>
        <v/>
      </c>
      <c r="VJ45">
        <f>VJ44+IF(AND($C44=35,$L44=1),1,0)</f>
        <v/>
      </c>
      <c r="VK45">
        <f>VK44+IF(AND($C44=36,$L44=1),1,0)</f>
        <v/>
      </c>
      <c r="VL45">
        <f>VL44+IF(AND($C44=37,$L44=1),1,0)</f>
        <v/>
      </c>
      <c r="VM45">
        <f>VM44+IF(AND($C44=38,$L44=1),1,0)</f>
        <v/>
      </c>
      <c r="VN45">
        <f>VN44+IF(AND($C44=39,$L44=1),1,0)</f>
        <v/>
      </c>
      <c r="VO45">
        <f>VO44+IF(AND($C44=40,$L44=1),1,0)</f>
        <v/>
      </c>
      <c r="VP45">
        <f>VP44+IF(AND($C44=41,$L44=1),1,0)</f>
        <v/>
      </c>
      <c r="VQ45">
        <f>VQ44+IF(AND($C44=42,$L44=1),1,0)</f>
        <v/>
      </c>
      <c r="VR45">
        <f>VR44+IF(AND($C44=43,$L44=1),1,0)</f>
        <v/>
      </c>
      <c r="VS45">
        <f>VS44+IF(AND($C44=44,$L44=1),1,0)</f>
        <v/>
      </c>
      <c r="VT45">
        <f>VT44+IF(AND($C44=45,$L44=1),1,0)</f>
        <v/>
      </c>
      <c r="VU45">
        <f>VU44+IF(AND($C44=46,$L44=1),1,0)</f>
        <v/>
      </c>
      <c r="VV45">
        <f>VV44+IF(AND($C44=47,$L44=1),1,0)</f>
        <v/>
      </c>
      <c r="VW45">
        <f>VW44+IF(AND($C44=48,$L44=1),1,0)</f>
        <v/>
      </c>
      <c r="VX45">
        <f>VX44+IF(AND($C44=49,$L44=1),1,0)</f>
        <v/>
      </c>
      <c r="VY45">
        <f>VY44+IF(AND($C44=50,$L44=1),1,0)</f>
        <v/>
      </c>
      <c r="VZ45">
        <f>VZ44+IF(AND($C44=51,$L44=1),1,0)</f>
        <v/>
      </c>
      <c r="WA45">
        <f>WA44+IF(AND($C44=52,$L44=1),1,0)</f>
        <v/>
      </c>
      <c r="WB45">
        <f>WB44+IF(AND($C44=53,$L44=1),1,0)</f>
        <v/>
      </c>
      <c r="WC45">
        <f>WC44+IF(AND($C44=54,$L44=1),1,0)</f>
        <v/>
      </c>
      <c r="WD45">
        <f>WD44+IF(AND($C44=55,$L44=1),1,0)</f>
        <v/>
      </c>
      <c r="WE45">
        <f>WE44+IF(AND($C44=56,$L44=1),1,0)</f>
        <v/>
      </c>
      <c r="WF45">
        <f>WF44+IF(AND($C44=57,$L44=1),1,0)</f>
        <v/>
      </c>
      <c r="WG45">
        <f>WG44+IF(AND($C44=58,$L44=1),1,0)</f>
        <v/>
      </c>
      <c r="WH45">
        <f>WH44+IF(AND($C44=59,$L44=1),1,0)</f>
        <v/>
      </c>
      <c r="WI45">
        <f>WI44+IF(AND($C44=60,$L44=1),1,0)</f>
        <v/>
      </c>
      <c r="WJ45">
        <f>WJ44+IF(AND($C44=61,$L44=1),1,0)</f>
        <v/>
      </c>
      <c r="WK45">
        <f>WK44+IF(AND($C44=62,$L44=1),1,0)</f>
        <v/>
      </c>
      <c r="WL45">
        <f>WL44+IF(AND($C44=63,$L44=1),1,0)</f>
        <v/>
      </c>
      <c r="WM45">
        <f>WM44+IF(AND($C44=64,$L44=1),1,0)</f>
        <v/>
      </c>
      <c r="WN45">
        <f>WN44+IF(AND($C44=65,$L44=1),1,0)</f>
        <v/>
      </c>
      <c r="WO45">
        <f>WO44+IF(AND($C44=66,$L44=1),1,0)</f>
        <v/>
      </c>
      <c r="WP45">
        <f>WP44+IF(AND($C44=67,$L44=1),1,0)</f>
        <v/>
      </c>
      <c r="WQ45">
        <f>WQ44+IF(AND($C44=68,$L44=1),1,0)</f>
        <v/>
      </c>
      <c r="WR45">
        <f>WR44+IF(AND($C44=69,$L44=1),1,0)</f>
        <v/>
      </c>
      <c r="WS45">
        <f>WS44+IF(AND($C44=70,$L44=1),1,0)</f>
        <v/>
      </c>
      <c r="WT45">
        <f>WT44+IF(AND($C44=71,$L44=1),1,0)</f>
        <v/>
      </c>
      <c r="WU45">
        <f>WU44+IF(AND($C44=72,$L44=1),1,0)</f>
        <v/>
      </c>
      <c r="WV45">
        <f>WV44+IF(AND($C44=73,$L44=1),1,0)</f>
        <v/>
      </c>
      <c r="WW45">
        <f>WW44+IF(AND($C44=74,$L44=1),1,0)</f>
        <v/>
      </c>
      <c r="WX45">
        <f>WX44+IF(AND($C44=75,$L44=1),1,0)</f>
        <v/>
      </c>
      <c r="WY45">
        <f>WY44+IF(AND($C44=76,$L44=1),1,0)</f>
        <v/>
      </c>
      <c r="WZ45">
        <f>WZ44+IF(AND($C44=77,$L44=1),1,0)</f>
        <v/>
      </c>
      <c r="XA45">
        <f>XA44+IF(AND($C44=78,$L44=1),1,0)</f>
        <v/>
      </c>
      <c r="XB45">
        <f>XB44+IF(AND($C44=79,$L44=1),1,0)</f>
        <v/>
      </c>
      <c r="XC45">
        <f>XC44+IF(AND($C44=80,$L44=1),1,0)</f>
        <v/>
      </c>
      <c r="XD45">
        <f>XD44+IF(AND($C44=81,$L44=1),1,0)</f>
        <v/>
      </c>
      <c r="XE45">
        <f>XE44+IF(AND($C44=82,$L44=1),1,0)</f>
        <v/>
      </c>
      <c r="XF45">
        <f>XF44+IF(AND($C44=83,$L44=1),1,0)</f>
        <v/>
      </c>
      <c r="XG45">
        <f>XG44+IF(AND($C44=84,$L44=1),1,0)</f>
        <v/>
      </c>
      <c r="XH45">
        <f>XH44+IF(AND($C44=85,$L44=1),1,0)</f>
        <v/>
      </c>
      <c r="XI45">
        <f>XI44+IF(AND($C44=86,$L44=1),1,0)</f>
        <v/>
      </c>
      <c r="XJ45">
        <f>XJ44+IF(AND($C44=87,$L44=1),1,0)</f>
        <v/>
      </c>
      <c r="XK45">
        <f>XK44+IF(AND($C44=88,$L44=1),1,0)</f>
        <v/>
      </c>
      <c r="XL45">
        <f>XL44+IF(AND($C44=89,$L44=1),1,0)</f>
        <v/>
      </c>
      <c r="XM45">
        <f>XM44+IF(AND($C44=90,$L44=1),1,0)</f>
        <v/>
      </c>
      <c r="XN45">
        <f>XN44+IF(AND($C44=91,$L44=1),1,0)</f>
        <v/>
      </c>
      <c r="XO45">
        <f>XO44+IF(AND($C44=92,$L44=1),1,0)</f>
        <v/>
      </c>
      <c r="XP45">
        <f>XP44+IF(AND($C44=93,$L44=1),1,0)</f>
        <v/>
      </c>
      <c r="XQ45">
        <f>XQ44+IF(AND($C44=94,$L44=1),1,0)</f>
        <v/>
      </c>
      <c r="XR45">
        <f>XR44+IF(AND($C44=95,$L44=1),1,0)</f>
        <v/>
      </c>
      <c r="XS45">
        <f>XS44+IF(AND($C44=96,$L44=1),1,0)</f>
        <v/>
      </c>
      <c r="XT45">
        <f>XT44+IF(AND($C44=97,$L44=1),1,0)</f>
        <v/>
      </c>
      <c r="XU45">
        <f>XU44+IF(AND($C44=98,$L44=1),1,0)</f>
        <v/>
      </c>
      <c r="XV45">
        <f>XV44+IF(AND($C44=99,$L44=1),1,0)</f>
        <v/>
      </c>
      <c r="XW45">
        <f>XW44+IF(AND($C44=100,$L44=1),1,0)</f>
        <v/>
      </c>
      <c r="XX45">
        <f>XX44+IF(AND($C44=101,$L44=1),1,0)</f>
        <v/>
      </c>
      <c r="XY45">
        <f>XY44+IF(AND($C44=102,$L44=1),1,0)</f>
        <v/>
      </c>
      <c r="XZ45">
        <f>XZ44+IF(AND($C44=103,$L44=1),1,0)</f>
        <v/>
      </c>
      <c r="YA45">
        <f>YA44+IF(AND($C44=104,$L44=1),1,0)</f>
        <v/>
      </c>
      <c r="YB45">
        <f>YB44+IF(AND($C44=105,$L44=1),1,0)</f>
        <v/>
      </c>
      <c r="YC45">
        <f>YC44+IF(AND($C44=106,$L44=1),1,0)</f>
        <v/>
      </c>
      <c r="YD45">
        <f>YD44+IF(AND($C44=107,$L44=1),1,0)</f>
        <v/>
      </c>
      <c r="YE45">
        <f>YE44+IF(AND($C44=108,$L44=1),1,0)</f>
        <v/>
      </c>
      <c r="YF45">
        <f>YF44+IF(AND($C44=109,$L44=1),1,0)</f>
        <v/>
      </c>
      <c r="YG45">
        <f>YG44+IF(AND($C44=110,$L44=1),1,0)</f>
        <v/>
      </c>
      <c r="YH45">
        <f>YH44+IF(AND($C44=111,$L44=1),1,0)</f>
        <v/>
      </c>
      <c r="YI45">
        <f>YI44+IF(AND($C44=112,$L44=1),1,0)</f>
        <v/>
      </c>
      <c r="YJ45">
        <f>YJ44+IF(AND($C44=113,$L44=1),1,0)</f>
        <v/>
      </c>
      <c r="YK45">
        <f>YK44+IF(AND($C44=114,$L44=1),1,0)</f>
        <v/>
      </c>
      <c r="YL45">
        <f>YL44+IF(AND($C44=115,$L44=1),1,0)</f>
        <v/>
      </c>
      <c r="YM45">
        <f>YM44+IF(AND($C44=116,$L44=1),1,0)</f>
        <v/>
      </c>
      <c r="YN45">
        <f>YN44+IF(AND($C44=117,$L44=1),1,0)</f>
        <v/>
      </c>
      <c r="YO45">
        <f>YO44+IF(AND($C44=118,$L44=1),1,0)</f>
        <v/>
      </c>
      <c r="YP45">
        <f>YP44+IF(AND($C44=119,$L44=1),1,0)</f>
        <v/>
      </c>
      <c r="YQ45">
        <f>YQ44+IF(AND($C44=120,$L44=1),1,0)</f>
        <v/>
      </c>
      <c r="YR45">
        <f>YR44+IF(AND($C44=121,$L44=1),1,0)</f>
        <v/>
      </c>
      <c r="YS45">
        <f>YS44+IF(AND($C44=122,$L44=1),1,0)</f>
        <v/>
      </c>
      <c r="YT45">
        <f>YT44+IF(AND($C44=123,$L44=1),1,0)</f>
        <v/>
      </c>
      <c r="YU45">
        <f>YU44+IF(AND($C44=124,$L44=1),1,0)</f>
        <v/>
      </c>
      <c r="YV45">
        <f>YV44+IF(AND($C44=125,$L44=1),1,0)</f>
        <v/>
      </c>
      <c r="YW45">
        <f>YW44+IF(AND($C44=126,$L44=1),1,0)</f>
        <v/>
      </c>
      <c r="YX45">
        <f>YX44+IF(AND($C44=127,$L44=1),1,0)</f>
        <v/>
      </c>
      <c r="YY45">
        <f>YY44+IF(AND($C44=128,$L44=1),1,0)</f>
        <v/>
      </c>
      <c r="YZ45">
        <f>YZ44+IF(AND($C44=129,$L44=1),1,0)</f>
        <v/>
      </c>
      <c r="ZA45">
        <f>ZA44+IF(AND($C44=130,$L44=1),1,0)</f>
        <v/>
      </c>
      <c r="ZB45">
        <f>ZB44+IF(AND($C44=131,$L44=1),1,0)</f>
        <v/>
      </c>
      <c r="ZC45">
        <f>ZC44+IF(AND($C44=132,$L44=1),1,0)</f>
        <v/>
      </c>
      <c r="ZD45">
        <f>ZD44+IF(AND($C44=133,$L44=1),1,0)</f>
        <v/>
      </c>
      <c r="ZE45">
        <f>ZE44+IF(AND($C44=134,$L44=1),1,0)</f>
        <v/>
      </c>
      <c r="ZF45">
        <f>ZF44+IF(AND($C44=135,$L44=1),1,0)</f>
        <v/>
      </c>
      <c r="ZG45">
        <f>ZG44+IF(AND($C44=136,$L44=1),1,0)</f>
        <v/>
      </c>
      <c r="ZH45">
        <f>ZH44+IF(AND($C44=137,$L44=1),1,0)</f>
        <v/>
      </c>
      <c r="ZI45">
        <f>ZI44+IF(AND($C44=138,$L44=1),1,0)</f>
        <v/>
      </c>
      <c r="ZJ45">
        <f>ZJ44+IF(AND($C44=139,$L44=1),1,0)</f>
        <v/>
      </c>
      <c r="ZK45">
        <f>ZK44+IF(AND($C44=140,$L44=1),1,0)</f>
        <v/>
      </c>
      <c r="ZL45">
        <f>ZL44+IF(AND($C44=141,$L44=1),1,0)</f>
        <v/>
      </c>
      <c r="ZM45">
        <f>ZM44+IF(AND($C44=142,$L44=1),1,0)</f>
        <v/>
      </c>
      <c r="ZN45">
        <f>ZN44+IF(AND($C44=143,$L44=1),1,0)</f>
        <v/>
      </c>
      <c r="ZO45">
        <f>ZO44+IF(AND($C44=144,$L44=1),1,0)</f>
        <v/>
      </c>
    </row>
    <row r="46">
      <c r="A46" t="n">
        <v>44</v>
      </c>
      <c r="B46">
        <f>IF(MIN(BH46:CZ46)&gt;=1000000,0,MATCH(MIN(BH46:CZ46),BH46:CZ46,0))</f>
        <v/>
      </c>
      <c r="C46">
        <f>IF(MIN(OF46:TS46)&gt;=1000000,0,MATCH(MIN(OF46:TS46),OF46:TS46,0))</f>
        <v/>
      </c>
      <c r="D46">
        <f>IF(C46&gt;0,INDEX('計算A'!$D$5:$EQ$5,C46),0)</f>
        <v/>
      </c>
      <c r="E46">
        <f>IF(B46=0,0,INDEX('計算A'!$IQ$10:$IQ$54,B46))</f>
        <v/>
      </c>
      <c r="F46">
        <f>IF(B46=0,0,INDEX('計算A'!$IP$10:$IP$54,B46))</f>
        <v/>
      </c>
      <c r="G46">
        <f>IF(AND(C46&gt;0,E46&gt;0),IF(AND(INDEX('計算A'!$D$106:$EQ$106,C46)=1,INDEX($IQ46:$OD46,C46)=1),C46+1,0),0)</f>
        <v/>
      </c>
      <c r="H46">
        <f>IF(B46=0,0,INDEX('計算A'!$IW$10:$IW$54,B46))</f>
        <v/>
      </c>
      <c r="I46">
        <f>IF(B46=0,0,MAX(0,INDEX('計算A'!$IT$10:$IT$54,B46)))</f>
        <v/>
      </c>
      <c r="J46">
        <f>IF(I46=0,0,INDEX('計算A'!$D$2:$EQ$2,I46))</f>
        <v/>
      </c>
      <c r="K46">
        <f>IF(I46=0,0,INDEX('計算A'!$D$3:$EQ$3,I46))</f>
        <v/>
      </c>
      <c r="L46">
        <f>IF(B46=0,0,INDEX('計算A'!$IX$10:$IX$54,B46))</f>
        <v/>
      </c>
      <c r="N46">
        <f>MAX(N45,IF($B45=1,1,0))</f>
        <v/>
      </c>
      <c r="O46">
        <f>MAX(O45,IF($B45=2,1,0))</f>
        <v/>
      </c>
      <c r="P46">
        <f>MAX(P45,IF($B45=3,1,0))</f>
        <v/>
      </c>
      <c r="Q46">
        <f>MAX(Q45,IF($B45=4,1,0))</f>
        <v/>
      </c>
      <c r="R46">
        <f>MAX(R45,IF($B45=5,1,0))</f>
        <v/>
      </c>
      <c r="S46">
        <f>MAX(S45,IF($B45=6,1,0))</f>
        <v/>
      </c>
      <c r="T46">
        <f>MAX(T45,IF($B45=7,1,0))</f>
        <v/>
      </c>
      <c r="U46">
        <f>MAX(U45,IF($B45=8,1,0))</f>
        <v/>
      </c>
      <c r="V46">
        <f>MAX(V45,IF($B45=9,1,0))</f>
        <v/>
      </c>
      <c r="W46">
        <f>MAX(W45,IF($B45=10,1,0))</f>
        <v/>
      </c>
      <c r="X46">
        <f>MAX(X45,IF($B45=11,1,0))</f>
        <v/>
      </c>
      <c r="Y46">
        <f>MAX(Y45,IF($B45=12,1,0))</f>
        <v/>
      </c>
      <c r="Z46">
        <f>MAX(Z45,IF($B45=13,1,0))</f>
        <v/>
      </c>
      <c r="AA46">
        <f>MAX(AA45,IF($B45=14,1,0))</f>
        <v/>
      </c>
      <c r="AB46">
        <f>MAX(AB45,IF($B45=15,1,0))</f>
        <v/>
      </c>
      <c r="AC46">
        <f>MAX(AC45,IF($B45=16,1,0))</f>
        <v/>
      </c>
      <c r="AD46">
        <f>MAX(AD45,IF($B45=17,1,0))</f>
        <v/>
      </c>
      <c r="AE46">
        <f>MAX(AE45,IF($B45=18,1,0))</f>
        <v/>
      </c>
      <c r="AF46">
        <f>MAX(AF45,IF($B45=19,1,0))</f>
        <v/>
      </c>
      <c r="AG46">
        <f>MAX(AG45,IF($B45=20,1,0))</f>
        <v/>
      </c>
      <c r="AH46">
        <f>MAX(AH45,IF($B45=21,1,0))</f>
        <v/>
      </c>
      <c r="AI46">
        <f>MAX(AI45,IF($B45=22,1,0))</f>
        <v/>
      </c>
      <c r="AJ46">
        <f>MAX(AJ45,IF($B45=23,1,0))</f>
        <v/>
      </c>
      <c r="AK46">
        <f>MAX(AK45,IF($B45=24,1,0))</f>
        <v/>
      </c>
      <c r="AL46">
        <f>MAX(AL45,IF($B45=25,1,0))</f>
        <v/>
      </c>
      <c r="AM46">
        <f>MAX(AM45,IF($B45=26,1,0))</f>
        <v/>
      </c>
      <c r="AN46">
        <f>MAX(AN45,IF($B45=27,1,0))</f>
        <v/>
      </c>
      <c r="AO46">
        <f>MAX(AO45,IF($B45=28,1,0))</f>
        <v/>
      </c>
      <c r="AP46">
        <f>MAX(AP45,IF($B45=29,1,0))</f>
        <v/>
      </c>
      <c r="AQ46">
        <f>MAX(AQ45,IF($B45=30,1,0))</f>
        <v/>
      </c>
      <c r="AR46">
        <f>MAX(AR45,IF($B45=31,1,0))</f>
        <v/>
      </c>
      <c r="AS46">
        <f>MAX(AS45,IF($B45=32,1,0))</f>
        <v/>
      </c>
      <c r="AT46">
        <f>MAX(AT45,IF($B45=33,1,0))</f>
        <v/>
      </c>
      <c r="AU46">
        <f>MAX(AU45,IF($B45=34,1,0))</f>
        <v/>
      </c>
      <c r="AV46">
        <f>MAX(AV45,IF($B45=35,1,0))</f>
        <v/>
      </c>
      <c r="AW46">
        <f>MAX(AW45,IF($B45=36,1,0))</f>
        <v/>
      </c>
      <c r="AX46">
        <f>MAX(AX45,IF($B45=37,1,0))</f>
        <v/>
      </c>
      <c r="AY46">
        <f>MAX(AY45,IF($B45=38,1,0))</f>
        <v/>
      </c>
      <c r="AZ46">
        <f>MAX(AZ45,IF($B45=39,1,0))</f>
        <v/>
      </c>
      <c r="BA46">
        <f>MAX(BA45,IF($B45=40,1,0))</f>
        <v/>
      </c>
      <c r="BB46">
        <f>MAX(BB45,IF($B45=41,1,0))</f>
        <v/>
      </c>
      <c r="BC46">
        <f>MAX(BC45,IF($B45=42,1,0))</f>
        <v/>
      </c>
      <c r="BD46">
        <f>MAX(BD45,IF($B45=43,1,0))</f>
        <v/>
      </c>
      <c r="BE46">
        <f>MAX(BE45,IF($B45=44,1,0))</f>
        <v/>
      </c>
      <c r="BF46">
        <f>MAX(BF45,IF($B45=45,1,0))</f>
        <v/>
      </c>
      <c r="BH46">
        <f>IF(N46=1,1000000,IF('計算A'!$IT$10&gt;0,0,500000)+IF('計算A'!$IQ$10=2,SUMPRODUCT('計算A'!$D$60:$EQ$60,$DB46:$IO46,$IQ46:$OD46),SUMPRODUCT('計算A'!$D$60:$EQ$60,$DB46:$IO46))*1000+1)</f>
        <v/>
      </c>
      <c r="BI46">
        <f>IF(O46=1,1000000,IF('計算A'!$IT$11&gt;0,0,500000)+IF('計算A'!$IQ$11=2,SUMPRODUCT('計算A'!$D$61:$EQ$61,$DB46:$IO46,$IQ46:$OD46),SUMPRODUCT('計算A'!$D$61:$EQ$61,$DB46:$IO46))*1000+2)</f>
        <v/>
      </c>
      <c r="BJ46">
        <f>IF(P46=1,1000000,IF('計算A'!$IT$12&gt;0,0,500000)+IF('計算A'!$IQ$12=2,SUMPRODUCT('計算A'!$D$62:$EQ$62,$DB46:$IO46,$IQ46:$OD46),SUMPRODUCT('計算A'!$D$62:$EQ$62,$DB46:$IO46))*1000+3)</f>
        <v/>
      </c>
      <c r="BK46">
        <f>IF(Q46=1,1000000,IF('計算A'!$IT$13&gt;0,0,500000)+IF('計算A'!$IQ$13=2,SUMPRODUCT('計算A'!$D$63:$EQ$63,$DB46:$IO46,$IQ46:$OD46),SUMPRODUCT('計算A'!$D$63:$EQ$63,$DB46:$IO46))*1000+4)</f>
        <v/>
      </c>
      <c r="BL46">
        <f>IF(R46=1,1000000,IF('計算A'!$IT$14&gt;0,0,500000)+IF('計算A'!$IQ$14=2,SUMPRODUCT('計算A'!$D$64:$EQ$64,$DB46:$IO46,$IQ46:$OD46),SUMPRODUCT('計算A'!$D$64:$EQ$64,$DB46:$IO46))*1000+5)</f>
        <v/>
      </c>
      <c r="BM46">
        <f>IF(S46=1,1000000,IF('計算A'!$IT$15&gt;0,0,500000)+IF('計算A'!$IQ$15=2,SUMPRODUCT('計算A'!$D$65:$EQ$65,$DB46:$IO46,$IQ46:$OD46),SUMPRODUCT('計算A'!$D$65:$EQ$65,$DB46:$IO46))*1000+6)</f>
        <v/>
      </c>
      <c r="BN46">
        <f>IF(T46=1,1000000,IF('計算A'!$IT$16&gt;0,0,500000)+IF('計算A'!$IQ$16=2,SUMPRODUCT('計算A'!$D$66:$EQ$66,$DB46:$IO46,$IQ46:$OD46),SUMPRODUCT('計算A'!$D$66:$EQ$66,$DB46:$IO46))*1000+7)</f>
        <v/>
      </c>
      <c r="BO46">
        <f>IF(U46=1,1000000,IF('計算A'!$IT$17&gt;0,0,500000)+IF('計算A'!$IQ$17=2,SUMPRODUCT('計算A'!$D$67:$EQ$67,$DB46:$IO46,$IQ46:$OD46),SUMPRODUCT('計算A'!$D$67:$EQ$67,$DB46:$IO46))*1000+8)</f>
        <v/>
      </c>
      <c r="BP46">
        <f>IF(V46=1,1000000,IF('計算A'!$IT$18&gt;0,0,500000)+IF('計算A'!$IQ$18=2,SUMPRODUCT('計算A'!$D$68:$EQ$68,$DB46:$IO46,$IQ46:$OD46),SUMPRODUCT('計算A'!$D$68:$EQ$68,$DB46:$IO46))*1000+9)</f>
        <v/>
      </c>
      <c r="BQ46">
        <f>IF(W46=1,1000000,IF('計算A'!$IT$19&gt;0,0,500000)+IF('計算A'!$IQ$19=2,SUMPRODUCT('計算A'!$D$69:$EQ$69,$DB46:$IO46,$IQ46:$OD46),SUMPRODUCT('計算A'!$D$69:$EQ$69,$DB46:$IO46))*1000+10)</f>
        <v/>
      </c>
      <c r="BR46">
        <f>IF(X46=1,1000000,IF('計算A'!$IT$20&gt;0,0,500000)+IF('計算A'!$IQ$20=2,SUMPRODUCT('計算A'!$D$70:$EQ$70,$DB46:$IO46,$IQ46:$OD46),SUMPRODUCT('計算A'!$D$70:$EQ$70,$DB46:$IO46))*1000+11)</f>
        <v/>
      </c>
      <c r="BS46">
        <f>IF(Y46=1,1000000,IF('計算A'!$IT$21&gt;0,0,500000)+IF('計算A'!$IQ$21=2,SUMPRODUCT('計算A'!$D$71:$EQ$71,$DB46:$IO46,$IQ46:$OD46),SUMPRODUCT('計算A'!$D$71:$EQ$71,$DB46:$IO46))*1000+12)</f>
        <v/>
      </c>
      <c r="BT46">
        <f>IF(Z46=1,1000000,IF('計算A'!$IT$22&gt;0,0,500000)+IF('計算A'!$IQ$22=2,SUMPRODUCT('計算A'!$D$72:$EQ$72,$DB46:$IO46,$IQ46:$OD46),SUMPRODUCT('計算A'!$D$72:$EQ$72,$DB46:$IO46))*1000+13)</f>
        <v/>
      </c>
      <c r="BU46">
        <f>IF(AA46=1,1000000,IF('計算A'!$IT$23&gt;0,0,500000)+IF('計算A'!$IQ$23=2,SUMPRODUCT('計算A'!$D$73:$EQ$73,$DB46:$IO46,$IQ46:$OD46),SUMPRODUCT('計算A'!$D$73:$EQ$73,$DB46:$IO46))*1000+14)</f>
        <v/>
      </c>
      <c r="BV46">
        <f>IF(AB46=1,1000000,IF('計算A'!$IT$24&gt;0,0,500000)+IF('計算A'!$IQ$24=2,SUMPRODUCT('計算A'!$D$74:$EQ$74,$DB46:$IO46,$IQ46:$OD46),SUMPRODUCT('計算A'!$D$74:$EQ$74,$DB46:$IO46))*1000+15)</f>
        <v/>
      </c>
      <c r="BW46">
        <f>IF(AC46=1,1000000,IF('計算A'!$IT$25&gt;0,0,500000)+IF('計算A'!$IQ$25=2,SUMPRODUCT('計算A'!$D$75:$EQ$75,$DB46:$IO46,$IQ46:$OD46),SUMPRODUCT('計算A'!$D$75:$EQ$75,$DB46:$IO46))*1000+16)</f>
        <v/>
      </c>
      <c r="BX46">
        <f>IF(AD46=1,1000000,IF('計算A'!$IT$26&gt;0,0,500000)+IF('計算A'!$IQ$26=2,SUMPRODUCT('計算A'!$D$76:$EQ$76,$DB46:$IO46,$IQ46:$OD46),SUMPRODUCT('計算A'!$D$76:$EQ$76,$DB46:$IO46))*1000+17)</f>
        <v/>
      </c>
      <c r="BY46">
        <f>IF(AE46=1,1000000,IF('計算A'!$IT$27&gt;0,0,500000)+IF('計算A'!$IQ$27=2,SUMPRODUCT('計算A'!$D$77:$EQ$77,$DB46:$IO46,$IQ46:$OD46),SUMPRODUCT('計算A'!$D$77:$EQ$77,$DB46:$IO46))*1000+18)</f>
        <v/>
      </c>
      <c r="BZ46">
        <f>IF(AF46=1,1000000,IF('計算A'!$IT$28&gt;0,0,500000)+IF('計算A'!$IQ$28=2,SUMPRODUCT('計算A'!$D$78:$EQ$78,$DB46:$IO46,$IQ46:$OD46),SUMPRODUCT('計算A'!$D$78:$EQ$78,$DB46:$IO46))*1000+19)</f>
        <v/>
      </c>
      <c r="CA46">
        <f>IF(AG46=1,1000000,IF('計算A'!$IT$29&gt;0,0,500000)+IF('計算A'!$IQ$29=2,SUMPRODUCT('計算A'!$D$79:$EQ$79,$DB46:$IO46,$IQ46:$OD46),SUMPRODUCT('計算A'!$D$79:$EQ$79,$DB46:$IO46))*1000+20)</f>
        <v/>
      </c>
      <c r="CB46">
        <f>IF(AH46=1,1000000,IF('計算A'!$IT$30&gt;0,0,500000)+IF('計算A'!$IQ$30=2,SUMPRODUCT('計算A'!$D$80:$EQ$80,$DB46:$IO46,$IQ46:$OD46),SUMPRODUCT('計算A'!$D$80:$EQ$80,$DB46:$IO46))*1000+21)</f>
        <v/>
      </c>
      <c r="CC46">
        <f>IF(AI46=1,1000000,IF('計算A'!$IT$31&gt;0,0,500000)+IF('計算A'!$IQ$31=2,SUMPRODUCT('計算A'!$D$81:$EQ$81,$DB46:$IO46,$IQ46:$OD46),SUMPRODUCT('計算A'!$D$81:$EQ$81,$DB46:$IO46))*1000+22)</f>
        <v/>
      </c>
      <c r="CD46">
        <f>IF(AJ46=1,1000000,IF('計算A'!$IT$32&gt;0,0,500000)+IF('計算A'!$IQ$32=2,SUMPRODUCT('計算A'!$D$82:$EQ$82,$DB46:$IO46,$IQ46:$OD46),SUMPRODUCT('計算A'!$D$82:$EQ$82,$DB46:$IO46))*1000+23)</f>
        <v/>
      </c>
      <c r="CE46">
        <f>IF(AK46=1,1000000,IF('計算A'!$IT$33&gt;0,0,500000)+IF('計算A'!$IQ$33=2,SUMPRODUCT('計算A'!$D$83:$EQ$83,$DB46:$IO46,$IQ46:$OD46),SUMPRODUCT('計算A'!$D$83:$EQ$83,$DB46:$IO46))*1000+24)</f>
        <v/>
      </c>
      <c r="CF46">
        <f>IF(AL46=1,1000000,IF('計算A'!$IT$34&gt;0,0,500000)+IF('計算A'!$IQ$34=2,SUMPRODUCT('計算A'!$D$84:$EQ$84,$DB46:$IO46,$IQ46:$OD46),SUMPRODUCT('計算A'!$D$84:$EQ$84,$DB46:$IO46))*1000+25)</f>
        <v/>
      </c>
      <c r="CG46">
        <f>IF(AM46=1,1000000,IF('計算A'!$IT$35&gt;0,0,500000)+IF('計算A'!$IQ$35=2,SUMPRODUCT('計算A'!$D$85:$EQ$85,$DB46:$IO46,$IQ46:$OD46),SUMPRODUCT('計算A'!$D$85:$EQ$85,$DB46:$IO46))*1000+26)</f>
        <v/>
      </c>
      <c r="CH46">
        <f>IF(AN46=1,1000000,IF('計算A'!$IT$36&gt;0,0,500000)+IF('計算A'!$IQ$36=2,SUMPRODUCT('計算A'!$D$86:$EQ$86,$DB46:$IO46,$IQ46:$OD46),SUMPRODUCT('計算A'!$D$86:$EQ$86,$DB46:$IO46))*1000+27)</f>
        <v/>
      </c>
      <c r="CI46">
        <f>IF(AO46=1,1000000,IF('計算A'!$IT$37&gt;0,0,500000)+IF('計算A'!$IQ$37=2,SUMPRODUCT('計算A'!$D$87:$EQ$87,$DB46:$IO46,$IQ46:$OD46),SUMPRODUCT('計算A'!$D$87:$EQ$87,$DB46:$IO46))*1000+28)</f>
        <v/>
      </c>
      <c r="CJ46">
        <f>IF(AP46=1,1000000,IF('計算A'!$IT$38&gt;0,0,500000)+IF('計算A'!$IQ$38=2,SUMPRODUCT('計算A'!$D$88:$EQ$88,$DB46:$IO46,$IQ46:$OD46),SUMPRODUCT('計算A'!$D$88:$EQ$88,$DB46:$IO46))*1000+29)</f>
        <v/>
      </c>
      <c r="CK46">
        <f>IF(AQ46=1,1000000,IF('計算A'!$IT$39&gt;0,0,500000)+IF('計算A'!$IQ$39=2,SUMPRODUCT('計算A'!$D$89:$EQ$89,$DB46:$IO46,$IQ46:$OD46),SUMPRODUCT('計算A'!$D$89:$EQ$89,$DB46:$IO46))*1000+30)</f>
        <v/>
      </c>
      <c r="CL46">
        <f>IF(AR46=1,1000000,IF('計算A'!$IT$40&gt;0,0,500000)+IF('計算A'!$IQ$40=2,SUMPRODUCT('計算A'!$D$90:$EQ$90,$DB46:$IO46,$IQ46:$OD46),SUMPRODUCT('計算A'!$D$90:$EQ$90,$DB46:$IO46))*1000+31)</f>
        <v/>
      </c>
      <c r="CM46">
        <f>IF(AS46=1,1000000,IF('計算A'!$IT$41&gt;0,0,500000)+IF('計算A'!$IQ$41=2,SUMPRODUCT('計算A'!$D$91:$EQ$91,$DB46:$IO46,$IQ46:$OD46),SUMPRODUCT('計算A'!$D$91:$EQ$91,$DB46:$IO46))*1000+32)</f>
        <v/>
      </c>
      <c r="CN46">
        <f>IF(AT46=1,1000000,IF('計算A'!$IT$42&gt;0,0,500000)+IF('計算A'!$IQ$42=2,SUMPRODUCT('計算A'!$D$92:$EQ$92,$DB46:$IO46,$IQ46:$OD46),SUMPRODUCT('計算A'!$D$92:$EQ$92,$DB46:$IO46))*1000+33)</f>
        <v/>
      </c>
      <c r="CO46">
        <f>IF(AU46=1,1000000,IF('計算A'!$IT$43&gt;0,0,500000)+IF('計算A'!$IQ$43=2,SUMPRODUCT('計算A'!$D$93:$EQ$93,$DB46:$IO46,$IQ46:$OD46),SUMPRODUCT('計算A'!$D$93:$EQ$93,$DB46:$IO46))*1000+34)</f>
        <v/>
      </c>
      <c r="CP46">
        <f>IF(AV46=1,1000000,IF('計算A'!$IT$44&gt;0,0,500000)+IF('計算A'!$IQ$44=2,SUMPRODUCT('計算A'!$D$94:$EQ$94,$DB46:$IO46,$IQ46:$OD46),SUMPRODUCT('計算A'!$D$94:$EQ$94,$DB46:$IO46))*1000+35)</f>
        <v/>
      </c>
      <c r="CQ46">
        <f>IF(AW46=1,1000000,IF('計算A'!$IT$45&gt;0,0,500000)+IF('計算A'!$IQ$45=2,SUMPRODUCT('計算A'!$D$95:$EQ$95,$DB46:$IO46,$IQ46:$OD46),SUMPRODUCT('計算A'!$D$95:$EQ$95,$DB46:$IO46))*1000+36)</f>
        <v/>
      </c>
      <c r="CR46">
        <f>IF(AX46=1,1000000,IF('計算A'!$IT$46&gt;0,0,500000)+IF('計算A'!$IQ$46=2,SUMPRODUCT('計算A'!$D$96:$EQ$96,$DB46:$IO46,$IQ46:$OD46),SUMPRODUCT('計算A'!$D$96:$EQ$96,$DB46:$IO46))*1000+37)</f>
        <v/>
      </c>
      <c r="CS46">
        <f>IF(AY46=1,1000000,IF('計算A'!$IT$47&gt;0,0,500000)+IF('計算A'!$IQ$47=2,SUMPRODUCT('計算A'!$D$97:$EQ$97,$DB46:$IO46,$IQ46:$OD46),SUMPRODUCT('計算A'!$D$97:$EQ$97,$DB46:$IO46))*1000+38)</f>
        <v/>
      </c>
      <c r="CT46">
        <f>IF(AZ46=1,1000000,IF('計算A'!$IT$48&gt;0,0,500000)+IF('計算A'!$IQ$48=2,SUMPRODUCT('計算A'!$D$98:$EQ$98,$DB46:$IO46,$IQ46:$OD46),SUMPRODUCT('計算A'!$D$98:$EQ$98,$DB46:$IO46))*1000+39)</f>
        <v/>
      </c>
      <c r="CU46">
        <f>IF(BA46=1,1000000,IF('計算A'!$IT$49&gt;0,0,500000)+IF('計算A'!$IQ$49=2,SUMPRODUCT('計算A'!$D$99:$EQ$99,$DB46:$IO46,$IQ46:$OD46),SUMPRODUCT('計算A'!$D$99:$EQ$99,$DB46:$IO46))*1000+40)</f>
        <v/>
      </c>
      <c r="CV46">
        <f>IF(BB46=1,1000000,IF('計算A'!$IT$50&gt;0,0,500000)+IF('計算A'!$IQ$50=2,SUMPRODUCT('計算A'!$D$100:$EQ$100,$DB46:$IO46,$IQ46:$OD46),SUMPRODUCT('計算A'!$D$100:$EQ$100,$DB46:$IO46))*1000+41)</f>
        <v/>
      </c>
      <c r="CW46">
        <f>IF(BC46=1,1000000,IF('計算A'!$IT$51&gt;0,0,500000)+IF('計算A'!$IQ$51=2,SUMPRODUCT('計算A'!$D$101:$EQ$101,$DB46:$IO46,$IQ46:$OD46),SUMPRODUCT('計算A'!$D$101:$EQ$101,$DB46:$IO46))*1000+42)</f>
        <v/>
      </c>
      <c r="CX46">
        <f>IF(BD46=1,1000000,IF('計算A'!$IT$52&gt;0,0,500000)+IF('計算A'!$IQ$52=2,SUMPRODUCT('計算A'!$D$102:$EQ$102,$DB46:$IO46,$IQ46:$OD46),SUMPRODUCT('計算A'!$D$102:$EQ$102,$DB46:$IO46))*1000+43)</f>
        <v/>
      </c>
      <c r="CY46">
        <f>IF(BE46=1,1000000,IF('計算A'!$IT$53&gt;0,0,500000)+IF('計算A'!$IQ$53=2,SUMPRODUCT('計算A'!$D$103:$EQ$103,$DB46:$IO46,$IQ46:$OD46),SUMPRODUCT('計算A'!$D$103:$EQ$103,$DB46:$IO46))*1000+44)</f>
        <v/>
      </c>
      <c r="CZ46">
        <f>IF(BF46=1,1000000,IF('計算A'!$IT$54&gt;0,0,500000)+IF('計算A'!$IQ$54=2,SUMPRODUCT('計算A'!$D$104:$EQ$104,$DB46:$IO46,$IQ46:$OD46),SUMPRODUCT('計算A'!$D$104:$EQ$104,$DB46:$IO46))*1000+45)</f>
        <v/>
      </c>
      <c r="DB46">
        <f>DB45*IF(OR($C45=1,$G45=1),0,1)</f>
        <v/>
      </c>
      <c r="DC46">
        <f>DC45*IF(OR($C45=2,$G45=2),0,1)</f>
        <v/>
      </c>
      <c r="DD46">
        <f>DD45*IF(OR($C45=3,$G45=3),0,1)</f>
        <v/>
      </c>
      <c r="DE46">
        <f>DE45*IF(OR($C45=4,$G45=4),0,1)</f>
        <v/>
      </c>
      <c r="DF46">
        <f>DF45*IF(OR($C45=5,$G45=5),0,1)</f>
        <v/>
      </c>
      <c r="DG46">
        <f>DG45*IF(OR($C45=6,$G45=6),0,1)</f>
        <v/>
      </c>
      <c r="DH46">
        <f>DH45*IF(OR($C45=7,$G45=7),0,1)</f>
        <v/>
      </c>
      <c r="DI46">
        <f>DI45*IF(OR($C45=8,$G45=8),0,1)</f>
        <v/>
      </c>
      <c r="DJ46">
        <f>DJ45*IF(OR($C45=9,$G45=9),0,1)</f>
        <v/>
      </c>
      <c r="DK46">
        <f>DK45*IF(OR($C45=10,$G45=10),0,1)</f>
        <v/>
      </c>
      <c r="DL46">
        <f>DL45*IF(OR($C45=11,$G45=11),0,1)</f>
        <v/>
      </c>
      <c r="DM46">
        <f>DM45*IF(OR($C45=12,$G45=12),0,1)</f>
        <v/>
      </c>
      <c r="DN46">
        <f>DN45*IF(OR($C45=13,$G45=13),0,1)</f>
        <v/>
      </c>
      <c r="DO46">
        <f>DO45*IF(OR($C45=14,$G45=14),0,1)</f>
        <v/>
      </c>
      <c r="DP46">
        <f>DP45*IF(OR($C45=15,$G45=15),0,1)</f>
        <v/>
      </c>
      <c r="DQ46">
        <f>DQ45*IF(OR($C45=16,$G45=16),0,1)</f>
        <v/>
      </c>
      <c r="DR46">
        <f>DR45*IF(OR($C45=17,$G45=17),0,1)</f>
        <v/>
      </c>
      <c r="DS46">
        <f>DS45*IF(OR($C45=18,$G45=18),0,1)</f>
        <v/>
      </c>
      <c r="DT46">
        <f>DT45*IF(OR($C45=19,$G45=19),0,1)</f>
        <v/>
      </c>
      <c r="DU46">
        <f>DU45*IF(OR($C45=20,$G45=20),0,1)</f>
        <v/>
      </c>
      <c r="DV46">
        <f>DV45*IF(OR($C45=21,$G45=21),0,1)</f>
        <v/>
      </c>
      <c r="DW46">
        <f>DW45*IF(OR($C45=22,$G45=22),0,1)</f>
        <v/>
      </c>
      <c r="DX46">
        <f>DX45*IF(OR($C45=23,$G45=23),0,1)</f>
        <v/>
      </c>
      <c r="DY46">
        <f>DY45*IF(OR($C45=24,$G45=24),0,1)</f>
        <v/>
      </c>
      <c r="DZ46">
        <f>DZ45*IF(OR($C45=25,$G45=25),0,1)</f>
        <v/>
      </c>
      <c r="EA46">
        <f>EA45*IF(OR($C45=26,$G45=26),0,1)</f>
        <v/>
      </c>
      <c r="EB46">
        <f>EB45*IF(OR($C45=27,$G45=27),0,1)</f>
        <v/>
      </c>
      <c r="EC46">
        <f>EC45*IF(OR($C45=28,$G45=28),0,1)</f>
        <v/>
      </c>
      <c r="ED46">
        <f>ED45*IF(OR($C45=29,$G45=29),0,1)</f>
        <v/>
      </c>
      <c r="EE46">
        <f>EE45*IF(OR($C45=30,$G45=30),0,1)</f>
        <v/>
      </c>
      <c r="EF46">
        <f>EF45*IF(OR($C45=31,$G45=31),0,1)</f>
        <v/>
      </c>
      <c r="EG46">
        <f>EG45*IF(OR($C45=32,$G45=32),0,1)</f>
        <v/>
      </c>
      <c r="EH46">
        <f>EH45*IF(OR($C45=33,$G45=33),0,1)</f>
        <v/>
      </c>
      <c r="EI46">
        <f>EI45*IF(OR($C45=34,$G45=34),0,1)</f>
        <v/>
      </c>
      <c r="EJ46">
        <f>EJ45*IF(OR($C45=35,$G45=35),0,1)</f>
        <v/>
      </c>
      <c r="EK46">
        <f>EK45*IF(OR($C45=36,$G45=36),0,1)</f>
        <v/>
      </c>
      <c r="EL46">
        <f>EL45*IF(OR($C45=37,$G45=37),0,1)</f>
        <v/>
      </c>
      <c r="EM46">
        <f>EM45*IF(OR($C45=38,$G45=38),0,1)</f>
        <v/>
      </c>
      <c r="EN46">
        <f>EN45*IF(OR($C45=39,$G45=39),0,1)</f>
        <v/>
      </c>
      <c r="EO46">
        <f>EO45*IF(OR($C45=40,$G45=40),0,1)</f>
        <v/>
      </c>
      <c r="EP46">
        <f>EP45*IF(OR($C45=41,$G45=41),0,1)</f>
        <v/>
      </c>
      <c r="EQ46">
        <f>EQ45*IF(OR($C45=42,$G45=42),0,1)</f>
        <v/>
      </c>
      <c r="ER46">
        <f>ER45*IF(OR($C45=43,$G45=43),0,1)</f>
        <v/>
      </c>
      <c r="ES46">
        <f>ES45*IF(OR($C45=44,$G45=44),0,1)</f>
        <v/>
      </c>
      <c r="ET46">
        <f>ET45*IF(OR($C45=45,$G45=45),0,1)</f>
        <v/>
      </c>
      <c r="EU46">
        <f>EU45*IF(OR($C45=46,$G45=46),0,1)</f>
        <v/>
      </c>
      <c r="EV46">
        <f>EV45*IF(OR($C45=47,$G45=47),0,1)</f>
        <v/>
      </c>
      <c r="EW46">
        <f>EW45*IF(OR($C45=48,$G45=48),0,1)</f>
        <v/>
      </c>
      <c r="EX46">
        <f>EX45*IF(OR($C45=49,$G45=49),0,1)</f>
        <v/>
      </c>
      <c r="EY46">
        <f>EY45*IF(OR($C45=50,$G45=50),0,1)</f>
        <v/>
      </c>
      <c r="EZ46">
        <f>EZ45*IF(OR($C45=51,$G45=51),0,1)</f>
        <v/>
      </c>
      <c r="FA46">
        <f>FA45*IF(OR($C45=52,$G45=52),0,1)</f>
        <v/>
      </c>
      <c r="FB46">
        <f>FB45*IF(OR($C45=53,$G45=53),0,1)</f>
        <v/>
      </c>
      <c r="FC46">
        <f>FC45*IF(OR($C45=54,$G45=54),0,1)</f>
        <v/>
      </c>
      <c r="FD46">
        <f>FD45*IF(OR($C45=55,$G45=55),0,1)</f>
        <v/>
      </c>
      <c r="FE46">
        <f>FE45*IF(OR($C45=56,$G45=56),0,1)</f>
        <v/>
      </c>
      <c r="FF46">
        <f>FF45*IF(OR($C45=57,$G45=57),0,1)</f>
        <v/>
      </c>
      <c r="FG46">
        <f>FG45*IF(OR($C45=58,$G45=58),0,1)</f>
        <v/>
      </c>
      <c r="FH46">
        <f>FH45*IF(OR($C45=59,$G45=59),0,1)</f>
        <v/>
      </c>
      <c r="FI46">
        <f>FI45*IF(OR($C45=60,$G45=60),0,1)</f>
        <v/>
      </c>
      <c r="FJ46">
        <f>FJ45*IF(OR($C45=61,$G45=61),0,1)</f>
        <v/>
      </c>
      <c r="FK46">
        <f>FK45*IF(OR($C45=62,$G45=62),0,1)</f>
        <v/>
      </c>
      <c r="FL46">
        <f>FL45*IF(OR($C45=63,$G45=63),0,1)</f>
        <v/>
      </c>
      <c r="FM46">
        <f>FM45*IF(OR($C45=64,$G45=64),0,1)</f>
        <v/>
      </c>
      <c r="FN46">
        <f>FN45*IF(OR($C45=65,$G45=65),0,1)</f>
        <v/>
      </c>
      <c r="FO46">
        <f>FO45*IF(OR($C45=66,$G45=66),0,1)</f>
        <v/>
      </c>
      <c r="FP46">
        <f>FP45*IF(OR($C45=67,$G45=67),0,1)</f>
        <v/>
      </c>
      <c r="FQ46">
        <f>FQ45*IF(OR($C45=68,$G45=68),0,1)</f>
        <v/>
      </c>
      <c r="FR46">
        <f>FR45*IF(OR($C45=69,$G45=69),0,1)</f>
        <v/>
      </c>
      <c r="FS46">
        <f>FS45*IF(OR($C45=70,$G45=70),0,1)</f>
        <v/>
      </c>
      <c r="FT46">
        <f>FT45*IF(OR($C45=71,$G45=71),0,1)</f>
        <v/>
      </c>
      <c r="FU46">
        <f>FU45*IF(OR($C45=72,$G45=72),0,1)</f>
        <v/>
      </c>
      <c r="FV46">
        <f>FV45*IF(OR($C45=73,$G45=73),0,1)</f>
        <v/>
      </c>
      <c r="FW46">
        <f>FW45*IF(OR($C45=74,$G45=74),0,1)</f>
        <v/>
      </c>
      <c r="FX46">
        <f>FX45*IF(OR($C45=75,$G45=75),0,1)</f>
        <v/>
      </c>
      <c r="FY46">
        <f>FY45*IF(OR($C45=76,$G45=76),0,1)</f>
        <v/>
      </c>
      <c r="FZ46">
        <f>FZ45*IF(OR($C45=77,$G45=77),0,1)</f>
        <v/>
      </c>
      <c r="GA46">
        <f>GA45*IF(OR($C45=78,$G45=78),0,1)</f>
        <v/>
      </c>
      <c r="GB46">
        <f>GB45*IF(OR($C45=79,$G45=79),0,1)</f>
        <v/>
      </c>
      <c r="GC46">
        <f>GC45*IF(OR($C45=80,$G45=80),0,1)</f>
        <v/>
      </c>
      <c r="GD46">
        <f>GD45*IF(OR($C45=81,$G45=81),0,1)</f>
        <v/>
      </c>
      <c r="GE46">
        <f>GE45*IF(OR($C45=82,$G45=82),0,1)</f>
        <v/>
      </c>
      <c r="GF46">
        <f>GF45*IF(OR($C45=83,$G45=83),0,1)</f>
        <v/>
      </c>
      <c r="GG46">
        <f>GG45*IF(OR($C45=84,$G45=84),0,1)</f>
        <v/>
      </c>
      <c r="GH46">
        <f>GH45*IF(OR($C45=85,$G45=85),0,1)</f>
        <v/>
      </c>
      <c r="GI46">
        <f>GI45*IF(OR($C45=86,$G45=86),0,1)</f>
        <v/>
      </c>
      <c r="GJ46">
        <f>GJ45*IF(OR($C45=87,$G45=87),0,1)</f>
        <v/>
      </c>
      <c r="GK46">
        <f>GK45*IF(OR($C45=88,$G45=88),0,1)</f>
        <v/>
      </c>
      <c r="GL46">
        <f>GL45*IF(OR($C45=89,$G45=89),0,1)</f>
        <v/>
      </c>
      <c r="GM46">
        <f>GM45*IF(OR($C45=90,$G45=90),0,1)</f>
        <v/>
      </c>
      <c r="GN46">
        <f>GN45*IF(OR($C45=91,$G45=91),0,1)</f>
        <v/>
      </c>
      <c r="GO46">
        <f>GO45*IF(OR($C45=92,$G45=92),0,1)</f>
        <v/>
      </c>
      <c r="GP46">
        <f>GP45*IF(OR($C45=93,$G45=93),0,1)</f>
        <v/>
      </c>
      <c r="GQ46">
        <f>GQ45*IF(OR($C45=94,$G45=94),0,1)</f>
        <v/>
      </c>
      <c r="GR46">
        <f>GR45*IF(OR($C45=95,$G45=95),0,1)</f>
        <v/>
      </c>
      <c r="GS46">
        <f>GS45*IF(OR($C45=96,$G45=96),0,1)</f>
        <v/>
      </c>
      <c r="GT46">
        <f>GT45*IF(OR($C45=97,$G45=97),0,1)</f>
        <v/>
      </c>
      <c r="GU46">
        <f>GU45*IF(OR($C45=98,$G45=98),0,1)</f>
        <v/>
      </c>
      <c r="GV46">
        <f>GV45*IF(OR($C45=99,$G45=99),0,1)</f>
        <v/>
      </c>
      <c r="GW46">
        <f>GW45*IF(OR($C45=100,$G45=100),0,1)</f>
        <v/>
      </c>
      <c r="GX46">
        <f>GX45*IF(OR($C45=101,$G45=101),0,1)</f>
        <v/>
      </c>
      <c r="GY46">
        <f>GY45*IF(OR($C45=102,$G45=102),0,1)</f>
        <v/>
      </c>
      <c r="GZ46">
        <f>GZ45*IF(OR($C45=103,$G45=103),0,1)</f>
        <v/>
      </c>
      <c r="HA46">
        <f>HA45*IF(OR($C45=104,$G45=104),0,1)</f>
        <v/>
      </c>
      <c r="HB46">
        <f>HB45*IF(OR($C45=105,$G45=105),0,1)</f>
        <v/>
      </c>
      <c r="HC46">
        <f>HC45*IF(OR($C45=106,$G45=106),0,1)</f>
        <v/>
      </c>
      <c r="HD46">
        <f>HD45*IF(OR($C45=107,$G45=107),0,1)</f>
        <v/>
      </c>
      <c r="HE46">
        <f>HE45*IF(OR($C45=108,$G45=108),0,1)</f>
        <v/>
      </c>
      <c r="HF46">
        <f>HF45*IF(OR($C45=109,$G45=109),0,1)</f>
        <v/>
      </c>
      <c r="HG46">
        <f>HG45*IF(OR($C45=110,$G45=110),0,1)</f>
        <v/>
      </c>
      <c r="HH46">
        <f>HH45*IF(OR($C45=111,$G45=111),0,1)</f>
        <v/>
      </c>
      <c r="HI46">
        <f>HI45*IF(OR($C45=112,$G45=112),0,1)</f>
        <v/>
      </c>
      <c r="HJ46">
        <f>HJ45*IF(OR($C45=113,$G45=113),0,1)</f>
        <v/>
      </c>
      <c r="HK46">
        <f>HK45*IF(OR($C45=114,$G45=114),0,1)</f>
        <v/>
      </c>
      <c r="HL46">
        <f>HL45*IF(OR($C45=115,$G45=115),0,1)</f>
        <v/>
      </c>
      <c r="HM46">
        <f>HM45*IF(OR($C45=116,$G45=116),0,1)</f>
        <v/>
      </c>
      <c r="HN46">
        <f>HN45*IF(OR($C45=117,$G45=117),0,1)</f>
        <v/>
      </c>
      <c r="HO46">
        <f>HO45*IF(OR($C45=118,$G45=118),0,1)</f>
        <v/>
      </c>
      <c r="HP46">
        <f>HP45*IF(OR($C45=119,$G45=119),0,1)</f>
        <v/>
      </c>
      <c r="HQ46">
        <f>HQ45*IF(OR($C45=120,$G45=120),0,1)</f>
        <v/>
      </c>
      <c r="HR46">
        <f>HR45*IF(OR($C45=121,$G45=121),0,1)</f>
        <v/>
      </c>
      <c r="HS46">
        <f>HS45*IF(OR($C45=122,$G45=122),0,1)</f>
        <v/>
      </c>
      <c r="HT46">
        <f>HT45*IF(OR($C45=123,$G45=123),0,1)</f>
        <v/>
      </c>
      <c r="HU46">
        <f>HU45*IF(OR($C45=124,$G45=124),0,1)</f>
        <v/>
      </c>
      <c r="HV46">
        <f>HV45*IF(OR($C45=125,$G45=125),0,1)</f>
        <v/>
      </c>
      <c r="HW46">
        <f>HW45*IF(OR($C45=126,$G45=126),0,1)</f>
        <v/>
      </c>
      <c r="HX46">
        <f>HX45*IF(OR($C45=127,$G45=127),0,1)</f>
        <v/>
      </c>
      <c r="HY46">
        <f>HY45*IF(OR($C45=128,$G45=128),0,1)</f>
        <v/>
      </c>
      <c r="HZ46">
        <f>HZ45*IF(OR($C45=129,$G45=129),0,1)</f>
        <v/>
      </c>
      <c r="IA46">
        <f>IA45*IF(OR($C45=130,$G45=130),0,1)</f>
        <v/>
      </c>
      <c r="IB46">
        <f>IB45*IF(OR($C45=131,$G45=131),0,1)</f>
        <v/>
      </c>
      <c r="IC46">
        <f>IC45*IF(OR($C45=132,$G45=132),0,1)</f>
        <v/>
      </c>
      <c r="ID46">
        <f>ID45*IF(OR($C45=133,$G45=133),0,1)</f>
        <v/>
      </c>
      <c r="IE46">
        <f>IE45*IF(OR($C45=134,$G45=134),0,1)</f>
        <v/>
      </c>
      <c r="IF46">
        <f>IF45*IF(OR($C45=135,$G45=135),0,1)</f>
        <v/>
      </c>
      <c r="IG46">
        <f>IG45*IF(OR($C45=136,$G45=136),0,1)</f>
        <v/>
      </c>
      <c r="IH46">
        <f>IH45*IF(OR($C45=137,$G45=137),0,1)</f>
        <v/>
      </c>
      <c r="II46">
        <f>II45*IF(OR($C45=138,$G45=138),0,1)</f>
        <v/>
      </c>
      <c r="IJ46">
        <f>IJ45*IF(OR($C45=139,$G45=139),0,1)</f>
        <v/>
      </c>
      <c r="IK46">
        <f>IK45*IF(OR($C45=140,$G45=140),0,1)</f>
        <v/>
      </c>
      <c r="IL46">
        <f>IL45*IF(OR($C45=141,$G45=141),0,1)</f>
        <v/>
      </c>
      <c r="IM46">
        <f>IM45*IF(OR($C45=142,$G45=142),0,1)</f>
        <v/>
      </c>
      <c r="IN46">
        <f>IN45*IF(OR($C45=143,$G45=143),0,1)</f>
        <v/>
      </c>
      <c r="IO46">
        <f>IO45*IF(OR($C45=144,$G45=144),0,1)</f>
        <v/>
      </c>
      <c r="IQ46">
        <f>IF('計算A'!D$106=1,DC46,1)</f>
        <v/>
      </c>
      <c r="IR46">
        <f>IF('計算A'!E$106=1,DD46,1)</f>
        <v/>
      </c>
      <c r="IS46">
        <f>IF('計算A'!F$106=1,DE46,1)</f>
        <v/>
      </c>
      <c r="IT46">
        <f>IF('計算A'!G$106=1,DF46,1)</f>
        <v/>
      </c>
      <c r="IU46">
        <f>IF('計算A'!H$106=1,DG46,1)</f>
        <v/>
      </c>
      <c r="IV46">
        <f>IF('計算A'!I$106=1,DH46,1)</f>
        <v/>
      </c>
      <c r="IW46">
        <f>IF('計算A'!J$106=1,DI46,1)</f>
        <v/>
      </c>
      <c r="IX46">
        <f>IF('計算A'!K$106=1,DJ46,1)</f>
        <v/>
      </c>
      <c r="IY46">
        <f>IF('計算A'!L$106=1,DK46,1)</f>
        <v/>
      </c>
      <c r="IZ46">
        <f>IF('計算A'!M$106=1,DL46,1)</f>
        <v/>
      </c>
      <c r="JA46">
        <f>IF('計算A'!N$106=1,DM46,1)</f>
        <v/>
      </c>
      <c r="JB46">
        <f>IF('計算A'!O$106=1,DN46,1)</f>
        <v/>
      </c>
      <c r="JC46">
        <f>IF('計算A'!P$106=1,DO46,1)</f>
        <v/>
      </c>
      <c r="JD46">
        <f>IF('計算A'!Q$106=1,DP46,1)</f>
        <v/>
      </c>
      <c r="JE46">
        <f>IF('計算A'!R$106=1,DQ46,1)</f>
        <v/>
      </c>
      <c r="JF46">
        <f>IF('計算A'!S$106=1,DR46,1)</f>
        <v/>
      </c>
      <c r="JG46">
        <f>IF('計算A'!T$106=1,DS46,1)</f>
        <v/>
      </c>
      <c r="JH46">
        <f>IF('計算A'!U$106=1,DT46,1)</f>
        <v/>
      </c>
      <c r="JI46">
        <f>IF('計算A'!V$106=1,DU46,1)</f>
        <v/>
      </c>
      <c r="JJ46">
        <f>IF('計算A'!W$106=1,DV46,1)</f>
        <v/>
      </c>
      <c r="JK46">
        <f>IF('計算A'!X$106=1,DW46,1)</f>
        <v/>
      </c>
      <c r="JL46">
        <f>IF('計算A'!Y$106=1,DX46,1)</f>
        <v/>
      </c>
      <c r="JM46">
        <f>IF('計算A'!Z$106=1,DY46,1)</f>
        <v/>
      </c>
      <c r="JN46">
        <f>IF('計算A'!AA$106=1,DZ46,1)</f>
        <v/>
      </c>
      <c r="JO46">
        <f>IF('計算A'!AB$106=1,EA46,1)</f>
        <v/>
      </c>
      <c r="JP46">
        <f>IF('計算A'!AC$106=1,EB46,1)</f>
        <v/>
      </c>
      <c r="JQ46">
        <f>IF('計算A'!AD$106=1,EC46,1)</f>
        <v/>
      </c>
      <c r="JR46">
        <f>IF('計算A'!AE$106=1,ED46,1)</f>
        <v/>
      </c>
      <c r="JS46">
        <f>IF('計算A'!AF$106=1,EE46,1)</f>
        <v/>
      </c>
      <c r="JT46">
        <f>IF('計算A'!AG$106=1,EF46,1)</f>
        <v/>
      </c>
      <c r="JU46">
        <f>IF('計算A'!AH$106=1,EG46,1)</f>
        <v/>
      </c>
      <c r="JV46">
        <f>IF('計算A'!AI$106=1,EH46,1)</f>
        <v/>
      </c>
      <c r="JW46">
        <f>IF('計算A'!AJ$106=1,EI46,1)</f>
        <v/>
      </c>
      <c r="JX46">
        <f>IF('計算A'!AK$106=1,EJ46,1)</f>
        <v/>
      </c>
      <c r="JY46">
        <f>IF('計算A'!AL$106=1,EK46,1)</f>
        <v/>
      </c>
      <c r="JZ46">
        <f>IF('計算A'!AM$106=1,EL46,1)</f>
        <v/>
      </c>
      <c r="KA46">
        <f>IF('計算A'!AN$106=1,EM46,1)</f>
        <v/>
      </c>
      <c r="KB46">
        <f>IF('計算A'!AO$106=1,EN46,1)</f>
        <v/>
      </c>
      <c r="KC46">
        <f>IF('計算A'!AP$106=1,EO46,1)</f>
        <v/>
      </c>
      <c r="KD46">
        <f>IF('計算A'!AQ$106=1,EP46,1)</f>
        <v/>
      </c>
      <c r="KE46">
        <f>IF('計算A'!AR$106=1,EQ46,1)</f>
        <v/>
      </c>
      <c r="KF46">
        <f>IF('計算A'!AS$106=1,ER46,1)</f>
        <v/>
      </c>
      <c r="KG46">
        <f>IF('計算A'!AT$106=1,ES46,1)</f>
        <v/>
      </c>
      <c r="KH46">
        <f>IF('計算A'!AU$106=1,ET46,1)</f>
        <v/>
      </c>
      <c r="KI46">
        <f>IF('計算A'!AV$106=1,EU46,1)</f>
        <v/>
      </c>
      <c r="KJ46">
        <f>IF('計算A'!AW$106=1,EV46,1)</f>
        <v/>
      </c>
      <c r="KK46">
        <f>IF('計算A'!AX$106=1,EW46,1)</f>
        <v/>
      </c>
      <c r="KL46">
        <f>IF('計算A'!AY$106=1,EX46,1)</f>
        <v/>
      </c>
      <c r="KM46">
        <f>IF('計算A'!AZ$106=1,EY46,1)</f>
        <v/>
      </c>
      <c r="KN46">
        <f>IF('計算A'!BA$106=1,EZ46,1)</f>
        <v/>
      </c>
      <c r="KO46">
        <f>IF('計算A'!BB$106=1,FA46,1)</f>
        <v/>
      </c>
      <c r="KP46">
        <f>IF('計算A'!BC$106=1,FB46,1)</f>
        <v/>
      </c>
      <c r="KQ46">
        <f>IF('計算A'!BD$106=1,FC46,1)</f>
        <v/>
      </c>
      <c r="KR46">
        <f>IF('計算A'!BE$106=1,FD46,1)</f>
        <v/>
      </c>
      <c r="KS46">
        <f>IF('計算A'!BF$106=1,FE46,1)</f>
        <v/>
      </c>
      <c r="KT46">
        <f>IF('計算A'!BG$106=1,FF46,1)</f>
        <v/>
      </c>
      <c r="KU46">
        <f>IF('計算A'!BH$106=1,FG46,1)</f>
        <v/>
      </c>
      <c r="KV46">
        <f>IF('計算A'!BI$106=1,FH46,1)</f>
        <v/>
      </c>
      <c r="KW46">
        <f>IF('計算A'!BJ$106=1,FI46,1)</f>
        <v/>
      </c>
      <c r="KX46">
        <f>IF('計算A'!BK$106=1,FJ46,1)</f>
        <v/>
      </c>
      <c r="KY46">
        <f>IF('計算A'!BL$106=1,FK46,1)</f>
        <v/>
      </c>
      <c r="KZ46">
        <f>IF('計算A'!BM$106=1,FL46,1)</f>
        <v/>
      </c>
      <c r="LA46">
        <f>IF('計算A'!BN$106=1,FM46,1)</f>
        <v/>
      </c>
      <c r="LB46">
        <f>IF('計算A'!BO$106=1,FN46,1)</f>
        <v/>
      </c>
      <c r="LC46">
        <f>IF('計算A'!BP$106=1,FO46,1)</f>
        <v/>
      </c>
      <c r="LD46">
        <f>IF('計算A'!BQ$106=1,FP46,1)</f>
        <v/>
      </c>
      <c r="LE46">
        <f>IF('計算A'!BR$106=1,FQ46,1)</f>
        <v/>
      </c>
      <c r="LF46">
        <f>IF('計算A'!BS$106=1,FR46,1)</f>
        <v/>
      </c>
      <c r="LG46">
        <f>IF('計算A'!BT$106=1,FS46,1)</f>
        <v/>
      </c>
      <c r="LH46">
        <f>IF('計算A'!BU$106=1,FT46,1)</f>
        <v/>
      </c>
      <c r="LI46">
        <f>IF('計算A'!BV$106=1,FU46,1)</f>
        <v/>
      </c>
      <c r="LJ46">
        <f>IF('計算A'!BW$106=1,FV46,1)</f>
        <v/>
      </c>
      <c r="LK46">
        <f>IF('計算A'!BX$106=1,FW46,1)</f>
        <v/>
      </c>
      <c r="LL46">
        <f>IF('計算A'!BY$106=1,FX46,1)</f>
        <v/>
      </c>
      <c r="LM46">
        <f>IF('計算A'!BZ$106=1,FY46,1)</f>
        <v/>
      </c>
      <c r="LN46">
        <f>IF('計算A'!CA$106=1,FZ46,1)</f>
        <v/>
      </c>
      <c r="LO46">
        <f>IF('計算A'!CB$106=1,GA46,1)</f>
        <v/>
      </c>
      <c r="LP46">
        <f>IF('計算A'!CC$106=1,GB46,1)</f>
        <v/>
      </c>
      <c r="LQ46">
        <f>IF('計算A'!CD$106=1,GC46,1)</f>
        <v/>
      </c>
      <c r="LR46">
        <f>IF('計算A'!CE$106=1,GD46,1)</f>
        <v/>
      </c>
      <c r="LS46">
        <f>IF('計算A'!CF$106=1,GE46,1)</f>
        <v/>
      </c>
      <c r="LT46">
        <f>IF('計算A'!CG$106=1,GF46,1)</f>
        <v/>
      </c>
      <c r="LU46">
        <f>IF('計算A'!CH$106=1,GG46,1)</f>
        <v/>
      </c>
      <c r="LV46">
        <f>IF('計算A'!CI$106=1,GH46,1)</f>
        <v/>
      </c>
      <c r="LW46">
        <f>IF('計算A'!CJ$106=1,GI46,1)</f>
        <v/>
      </c>
      <c r="LX46">
        <f>IF('計算A'!CK$106=1,GJ46,1)</f>
        <v/>
      </c>
      <c r="LY46">
        <f>IF('計算A'!CL$106=1,GK46,1)</f>
        <v/>
      </c>
      <c r="LZ46">
        <f>IF('計算A'!CM$106=1,GL46,1)</f>
        <v/>
      </c>
      <c r="MA46">
        <f>IF('計算A'!CN$106=1,GM46,1)</f>
        <v/>
      </c>
      <c r="MB46">
        <f>IF('計算A'!CO$106=1,GN46,1)</f>
        <v/>
      </c>
      <c r="MC46">
        <f>IF('計算A'!CP$106=1,GO46,1)</f>
        <v/>
      </c>
      <c r="MD46">
        <f>IF('計算A'!CQ$106=1,GP46,1)</f>
        <v/>
      </c>
      <c r="ME46">
        <f>IF('計算A'!CR$106=1,GQ46,1)</f>
        <v/>
      </c>
      <c r="MF46">
        <f>IF('計算A'!CS$106=1,GR46,1)</f>
        <v/>
      </c>
      <c r="MG46">
        <f>IF('計算A'!CT$106=1,GS46,1)</f>
        <v/>
      </c>
      <c r="MH46">
        <f>IF('計算A'!CU$106=1,GT46,1)</f>
        <v/>
      </c>
      <c r="MI46">
        <f>IF('計算A'!CV$106=1,GU46,1)</f>
        <v/>
      </c>
      <c r="MJ46">
        <f>IF('計算A'!CW$106=1,GV46,1)</f>
        <v/>
      </c>
      <c r="MK46">
        <f>IF('計算A'!CX$106=1,GW46,1)</f>
        <v/>
      </c>
      <c r="ML46">
        <f>IF('計算A'!CY$106=1,GX46,1)</f>
        <v/>
      </c>
      <c r="MM46">
        <f>IF('計算A'!CZ$106=1,GY46,1)</f>
        <v/>
      </c>
      <c r="MN46">
        <f>IF('計算A'!DA$106=1,GZ46,1)</f>
        <v/>
      </c>
      <c r="MO46">
        <f>IF('計算A'!DB$106=1,HA46,1)</f>
        <v/>
      </c>
      <c r="MP46">
        <f>IF('計算A'!DC$106=1,HB46,1)</f>
        <v/>
      </c>
      <c r="MQ46">
        <f>IF('計算A'!DD$106=1,HC46,1)</f>
        <v/>
      </c>
      <c r="MR46">
        <f>IF('計算A'!DE$106=1,HD46,1)</f>
        <v/>
      </c>
      <c r="MS46">
        <f>IF('計算A'!DF$106=1,HE46,1)</f>
        <v/>
      </c>
      <c r="MT46">
        <f>IF('計算A'!DG$106=1,HF46,1)</f>
        <v/>
      </c>
      <c r="MU46">
        <f>IF('計算A'!DH$106=1,HG46,1)</f>
        <v/>
      </c>
      <c r="MV46">
        <f>IF('計算A'!DI$106=1,HH46,1)</f>
        <v/>
      </c>
      <c r="MW46">
        <f>IF('計算A'!DJ$106=1,HI46,1)</f>
        <v/>
      </c>
      <c r="MX46">
        <f>IF('計算A'!DK$106=1,HJ46,1)</f>
        <v/>
      </c>
      <c r="MY46">
        <f>IF('計算A'!DL$106=1,HK46,1)</f>
        <v/>
      </c>
      <c r="MZ46">
        <f>IF('計算A'!DM$106=1,HL46,1)</f>
        <v/>
      </c>
      <c r="NA46">
        <f>IF('計算A'!DN$106=1,HM46,1)</f>
        <v/>
      </c>
      <c r="NB46">
        <f>IF('計算A'!DO$106=1,HN46,1)</f>
        <v/>
      </c>
      <c r="NC46">
        <f>IF('計算A'!DP$106=1,HO46,1)</f>
        <v/>
      </c>
      <c r="ND46">
        <f>IF('計算A'!DQ$106=1,HP46,1)</f>
        <v/>
      </c>
      <c r="NE46">
        <f>IF('計算A'!DR$106=1,HQ46,1)</f>
        <v/>
      </c>
      <c r="NF46">
        <f>IF('計算A'!DS$106=1,HR46,1)</f>
        <v/>
      </c>
      <c r="NG46">
        <f>IF('計算A'!DT$106=1,HS46,1)</f>
        <v/>
      </c>
      <c r="NH46">
        <f>IF('計算A'!DU$106=1,HT46,1)</f>
        <v/>
      </c>
      <c r="NI46">
        <f>IF('計算A'!DV$106=1,HU46,1)</f>
        <v/>
      </c>
      <c r="NJ46">
        <f>IF('計算A'!DW$106=1,HV46,1)</f>
        <v/>
      </c>
      <c r="NK46">
        <f>IF('計算A'!DX$106=1,HW46,1)</f>
        <v/>
      </c>
      <c r="NL46">
        <f>IF('計算A'!DY$106=1,HX46,1)</f>
        <v/>
      </c>
      <c r="NM46">
        <f>IF('計算A'!DZ$106=1,HY46,1)</f>
        <v/>
      </c>
      <c r="NN46">
        <f>IF('計算A'!EA$106=1,HZ46,1)</f>
        <v/>
      </c>
      <c r="NO46">
        <f>IF('計算A'!EB$106=1,IA46,1)</f>
        <v/>
      </c>
      <c r="NP46">
        <f>IF('計算A'!EC$106=1,IB46,1)</f>
        <v/>
      </c>
      <c r="NQ46">
        <f>IF('計算A'!ED$106=1,IC46,1)</f>
        <v/>
      </c>
      <c r="NR46">
        <f>IF('計算A'!EE$106=1,ID46,1)</f>
        <v/>
      </c>
      <c r="NS46">
        <f>IF('計算A'!EF$106=1,IE46,1)</f>
        <v/>
      </c>
      <c r="NT46">
        <f>IF('計算A'!EG$106=1,IF46,1)</f>
        <v/>
      </c>
      <c r="NU46">
        <f>IF('計算A'!EH$106=1,IG46,1)</f>
        <v/>
      </c>
      <c r="NV46">
        <f>IF('計算A'!EI$106=1,IH46,1)</f>
        <v/>
      </c>
      <c r="NW46">
        <f>IF('計算A'!EJ$106=1,II46,1)</f>
        <v/>
      </c>
      <c r="NX46">
        <f>IF('計算A'!EK$106=1,IJ46,1)</f>
        <v/>
      </c>
      <c r="NY46">
        <f>IF('計算A'!EL$106=1,IK46,1)</f>
        <v/>
      </c>
      <c r="NZ46">
        <f>IF('計算A'!EM$106=1,IL46,1)</f>
        <v/>
      </c>
      <c r="OA46">
        <f>IF('計算A'!EN$106=1,IM46,1)</f>
        <v/>
      </c>
      <c r="OB46">
        <f>IF('計算A'!EO$106=1,IN46,1)</f>
        <v/>
      </c>
      <c r="OC46">
        <f>IF('計算A'!EP$106=1,IO46,1)</f>
        <v/>
      </c>
      <c r="OD46" t="n">
        <v>1</v>
      </c>
      <c r="OF46">
        <f>IF($B46=0,1000000,IF(INDEX('計算A'!$D$60:$EQ$104,$B46,1)*DB46=1,IF(AND($E46=2,IQ46=0),1000000,IF($I46&gt;0,IF(1=$J46,IF(OR(AND(1=$I46+1,OR($K46&lt;&gt;'計算A'!$A$3,'計算A'!$A$4=0)),AND(1=$I46-1,OR(1&lt;&gt;'計算A'!$A$3,'計算A'!$A$4=0))),0,IF(1=$K46,200000,ABS(1-$K46)*100)),100000+ABS(1-$J46)*1000+10)+'計算A'!D$5*50+IF(AND($E46=1,IQ46=0),25,0),IF($F46&gt;0,INDEX('計算A'!D$110:D$114,$F46+1)+IF(AND($E46=1,IQ46=0),1000,0),MIN(TU46,20)*400+(IF('計算A'!D$106=1,1-DC46,0))*150+11+'計算A'!D$5*100000+IF(AND($E46=1,IQ46=0),50000,0))+IF($H46=1,(IF('計算A'!D$117=1,INDEX('計算A'!E$10:E$54,$B46),0))*4000,0)-IF(AND($L46=1,'計算A'!D$117=1,DC46=0),2000,0))),1000000))</f>
        <v/>
      </c>
      <c r="OG46">
        <f>IF($B46=0,1000000,IF(INDEX('計算A'!$D$60:$EQ$104,$B46,2)*DC46=1,IF(AND($E46=2,IR46=0),1000000,IF($I46&gt;0,IF(1=$J46,IF(OR(AND(2=$I46+1,OR($K46&lt;&gt;'計算A'!$A$3,'計算A'!$A$4=0)),AND(2=$I46-1,OR(2&lt;&gt;'計算A'!$A$3,'計算A'!$A$4=0))),0,IF(2=$K46,200000,ABS(2-$K46)*100)),100000+ABS(1-$J46)*1000+20)+'計算A'!E$5*50+IF(AND($E46=1,IR46=0),25,0),IF($F46&gt;0,INDEX('計算A'!E$110:E$114,$F46+1)+IF(AND($E46=1,IR46=0),1000,0),MIN(TU46,20)*400+(IF('計算A'!D$106=1,1-DB46,0)+IF('計算A'!E$106=1,1-DD46,0))*150+21+'計算A'!E$5*100000+IF(AND($E46=1,IR46=0),50000,0))+IF($H46=1,(IF('計算A'!D$117=1,INDEX('計算A'!D$10:D$54,$B46),0)+IF('計算A'!E$117=1,INDEX('計算A'!F$10:F$54,$B46),0))*4000,0)-IF(AND('計算A'!D$117=1,UB46&gt;0),2000,0)-IF(AND($L46=1,'計算A'!E$117=1,DD46=0),2000,0))),1000000))</f>
        <v/>
      </c>
      <c r="OH46">
        <f>IF($B46=0,1000000,IF(INDEX('計算A'!$D$60:$EQ$104,$B46,3)*DD46=1,IF(AND($E46=2,IS46=0),1000000,IF($I46&gt;0,IF(1=$J46,IF(OR(AND(3=$I46+1,OR($K46&lt;&gt;'計算A'!$A$3,'計算A'!$A$4=0)),AND(3=$I46-1,OR(3&lt;&gt;'計算A'!$A$3,'計算A'!$A$4=0))),0,IF(3=$K46,200000,ABS(3-$K46)*100)),100000+ABS(1-$J46)*1000+30)+'計算A'!F$5*50+IF(AND($E46=1,IS46=0),25,0),IF($F46&gt;0,INDEX('計算A'!F$110:F$114,$F46+1)+IF(AND($E46=1,IS46=0),1000,0),MIN(TU46,20)*400+(IF('計算A'!E$106=1,1-DC46,0)+IF('計算A'!F$106=1,1-DE46,0))*150+31+'計算A'!F$5*100000+IF(AND($E46=1,IS46=0),50000,0))+IF($H46=1,(IF('計算A'!E$117=1,INDEX('計算A'!E$10:E$54,$B46),0)+IF('計算A'!F$117=1,INDEX('計算A'!G$10:G$54,$B46),0))*4000,0)-IF(AND('計算A'!E$117=1,UC46&gt;0),2000,0)-IF(AND($L46=1,'計算A'!F$117=1,DE46=0),2000,0))),1000000))</f>
        <v/>
      </c>
      <c r="OI46">
        <f>IF($B46=0,1000000,IF(INDEX('計算A'!$D$60:$EQ$104,$B46,4)*DE46=1,IF(AND($E46=2,IT46=0),1000000,IF($I46&gt;0,IF(1=$J46,IF(OR(AND(4=$I46+1,OR($K46&lt;&gt;'計算A'!$A$3,'計算A'!$A$4=0)),AND(4=$I46-1,OR(4&lt;&gt;'計算A'!$A$3,'計算A'!$A$4=0))),0,IF(4=$K46,200000,ABS(4-$K46)*100)),100000+ABS(1-$J46)*1000+40)+'計算A'!G$5*50+IF(AND($E46=1,IT46=0),25,0),IF($F46&gt;0,INDEX('計算A'!G$110:G$114,$F46+1)+IF(AND($E46=1,IT46=0),1000,0),MIN(TU46,20)*400+(IF('計算A'!F$106=1,1-DD46,0)+IF('計算A'!G$106=1,1-DF46,0))*150+41+'計算A'!G$5*100000+IF(AND($E46=1,IT46=0),50000,0))+IF($H46=1,(IF('計算A'!F$117=1,INDEX('計算A'!F$10:F$54,$B46),0)+IF('計算A'!G$117=1,INDEX('計算A'!H$10:H$54,$B46),0))*4000,0)-IF(AND('計算A'!F$117=1,UD46&gt;0),2000,0)-IF(AND($L46=1,'計算A'!G$117=1,DF46=0),2000,0))),1000000))</f>
        <v/>
      </c>
      <c r="OJ46">
        <f>IF($B46=0,1000000,IF(INDEX('計算A'!$D$60:$EQ$104,$B46,5)*DF46=1,IF(AND($E46=2,IU46=0),1000000,IF($I46&gt;0,IF(1=$J46,IF(OR(AND(5=$I46+1,OR($K46&lt;&gt;'計算A'!$A$3,'計算A'!$A$4=0)),AND(5=$I46-1,OR(5&lt;&gt;'計算A'!$A$3,'計算A'!$A$4=0))),0,IF(5=$K46,200000,ABS(5-$K46)*100)),100000+ABS(1-$J46)*1000+50)+'計算A'!H$5*50+IF(AND($E46=1,IU46=0),25,0),IF($F46&gt;0,INDEX('計算A'!H$110:H$114,$F46+1)+IF(AND($E46=1,IU46=0),1000,0),MIN(TU46,20)*400+(IF('計算A'!G$106=1,1-DE46,0)+IF('計算A'!H$106=1,1-DG46,0))*150+51+'計算A'!H$5*100000+IF(AND($E46=1,IU46=0),50000,0))+IF($H46=1,(IF('計算A'!G$117=1,INDEX('計算A'!G$10:G$54,$B46),0)+IF('計算A'!H$117=1,INDEX('計算A'!I$10:I$54,$B46),0))*4000,0)-IF(AND('計算A'!G$117=1,UE46&gt;0),2000,0)-IF(AND($L46=1,'計算A'!H$117=1,DG46=0),2000,0))),1000000))</f>
        <v/>
      </c>
      <c r="OK46">
        <f>IF($B46=0,1000000,IF(INDEX('計算A'!$D$60:$EQ$104,$B46,6)*DG46=1,IF(AND($E46=2,IV46=0),1000000,IF($I46&gt;0,IF(1=$J46,IF(OR(AND(6=$I46+1,OR($K46&lt;&gt;'計算A'!$A$3,'計算A'!$A$4=0)),AND(6=$I46-1,OR(6&lt;&gt;'計算A'!$A$3,'計算A'!$A$4=0))),0,IF(6=$K46,200000,ABS(6-$K46)*100)),100000+ABS(1-$J46)*1000+60)+'計算A'!I$5*50+IF(AND($E46=1,IV46=0),25,0),IF($F46&gt;0,INDEX('計算A'!I$110:I$114,$F46+1)+IF(AND($E46=1,IV46=0),1000,0),MIN(TU46,20)*400+(IF('計算A'!H$106=1,1-DF46,0)+IF('計算A'!I$106=1,1-DH46,0))*150+61+'計算A'!I$5*100000+IF(AND($E46=1,IV46=0),50000,0))+IF($H46=1,(IF('計算A'!H$117=1,INDEX('計算A'!H$10:H$54,$B46),0)+IF('計算A'!I$117=1,INDEX('計算A'!J$10:J$54,$B46),0))*4000,0)-IF(AND('計算A'!H$117=1,UF46&gt;0),2000,0)-IF(AND($L46=1,'計算A'!I$117=1,DH46=0),2000,0))),1000000))</f>
        <v/>
      </c>
      <c r="OL46">
        <f>IF($B46=0,1000000,IF(INDEX('計算A'!$D$60:$EQ$104,$B46,7)*DH46=1,IF(AND($E46=2,IW46=0),1000000,IF($I46&gt;0,IF(1=$J46,IF(OR(AND(7=$I46+1,OR($K46&lt;&gt;'計算A'!$A$3,'計算A'!$A$4=0)),AND(7=$I46-1,OR(7&lt;&gt;'計算A'!$A$3,'計算A'!$A$4=0))),0,IF(7=$K46,200000,ABS(7-$K46)*100)),100000+ABS(1-$J46)*1000+70)+'計算A'!J$5*50+IF(AND($E46=1,IW46=0),25,0),IF($F46&gt;0,INDEX('計算A'!J$110:J$114,$F46+1)+IF(AND($E46=1,IW46=0),1000,0),MIN(TU46,20)*400+(IF('計算A'!I$106=1,1-DG46,0)+IF('計算A'!J$106=1,1-DI46,0))*150+71+'計算A'!J$5*100000+IF(AND($E46=1,IW46=0),50000,0))+IF($H46=1,(IF('計算A'!I$117=1,INDEX('計算A'!I$10:I$54,$B46),0)+IF('計算A'!J$117=1,INDEX('計算A'!K$10:K$54,$B46),0))*4000,0)-IF(AND('計算A'!I$117=1,UG46&gt;0),2000,0)-IF(AND($L46=1,'計算A'!J$117=1,DI46=0),2000,0))),1000000))</f>
        <v/>
      </c>
      <c r="OM46">
        <f>IF($B46=0,1000000,IF(INDEX('計算A'!$D$60:$EQ$104,$B46,8)*DI46=1,IF(AND($E46=2,IX46=0),1000000,IF($I46&gt;0,IF(1=$J46,IF(OR(AND(8=$I46+1,OR($K46&lt;&gt;'計算A'!$A$3,'計算A'!$A$4=0)),AND(8=$I46-1,OR(8&lt;&gt;'計算A'!$A$3,'計算A'!$A$4=0))),0,IF(8=$K46,200000,ABS(8-$K46)*100)),100000+ABS(1-$J46)*1000+80)+'計算A'!K$5*50+IF(AND($E46=1,IX46=0),25,0),IF($F46&gt;0,INDEX('計算A'!K$110:K$114,$F46+1)+IF(AND($E46=1,IX46=0),1000,0),MIN(TU46,20)*400+(IF('計算A'!J$106=1,1-DH46,0)+IF('計算A'!K$106=1,1-DJ46,0))*150+81+'計算A'!K$5*100000+IF(AND($E46=1,IX46=0),50000,0))+IF($H46=1,(IF('計算A'!J$117=1,INDEX('計算A'!J$10:J$54,$B46),0)+IF('計算A'!K$117=1,INDEX('計算A'!L$10:L$54,$B46),0))*4000,0)-IF(AND('計算A'!J$117=1,UH46&gt;0),2000,0)-IF(AND($L46=1,'計算A'!K$117=1,DJ46=0),2000,0))),1000000))</f>
        <v/>
      </c>
      <c r="ON46">
        <f>IF($B46=0,1000000,IF(INDEX('計算A'!$D$60:$EQ$104,$B46,9)*DJ46=1,IF(AND($E46=2,IY46=0),1000000,IF($I46&gt;0,IF(1=$J46,IF(OR(AND(9=$I46+1,OR($K46&lt;&gt;'計算A'!$A$3,'計算A'!$A$4=0)),AND(9=$I46-1,OR(9&lt;&gt;'計算A'!$A$3,'計算A'!$A$4=0))),0,IF(9=$K46,200000,ABS(9-$K46)*100)),100000+ABS(1-$J46)*1000+90)+'計算A'!L$5*50+IF(AND($E46=1,IY46=0),25,0),IF($F46&gt;0,INDEX('計算A'!L$110:L$114,$F46+1)+IF(AND($E46=1,IY46=0),1000,0),MIN(TU46,20)*400+(IF('計算A'!K$106=1,1-DI46,0)+IF('計算A'!L$106=1,1-DK46,0))*150+91+'計算A'!L$5*100000+IF(AND($E46=1,IY46=0),50000,0))+IF($H46=1,(IF('計算A'!K$117=1,INDEX('計算A'!K$10:K$54,$B46),0)+IF('計算A'!L$117=1,INDEX('計算A'!M$10:M$54,$B46),0))*4000,0)-IF(AND('計算A'!K$117=1,UI46&gt;0),2000,0)-IF(AND($L46=1,'計算A'!L$117=1,DK46=0),2000,0))),1000000))</f>
        <v/>
      </c>
      <c r="OO46">
        <f>IF($B46=0,1000000,IF(INDEX('計算A'!$D$60:$EQ$104,$B46,10)*DK46=1,IF(AND($E46=2,IZ46=0),1000000,IF($I46&gt;0,IF(1=$J46,IF(OR(AND(10=$I46+1,OR($K46&lt;&gt;'計算A'!$A$3,'計算A'!$A$4=0)),AND(10=$I46-1,OR(10&lt;&gt;'計算A'!$A$3,'計算A'!$A$4=0))),0,IF(10=$K46,200000,ABS(10-$K46)*100)),100000+ABS(1-$J46)*1000+100)+'計算A'!M$5*50+IF(AND($E46=1,IZ46=0),25,0),IF($F46&gt;0,INDEX('計算A'!M$110:M$114,$F46+1)+IF(AND($E46=1,IZ46=0),1000,0),MIN(TU46,20)*400+(IF('計算A'!L$106=1,1-DJ46,0)+IF('計算A'!M$106=1,1-DL46,0))*150+101+'計算A'!M$5*100000+IF(AND($E46=1,IZ46=0),50000,0))+IF($H46=1,(IF('計算A'!L$117=1,INDEX('計算A'!L$10:L$54,$B46),0)+IF('計算A'!M$117=1,INDEX('計算A'!N$10:N$54,$B46),0))*4000,0)-IF(AND('計算A'!L$117=1,UJ46&gt;0),2000,0)-IF(AND($L46=1,'計算A'!M$117=1,DL46=0),2000,0))),1000000))</f>
        <v/>
      </c>
      <c r="OP46">
        <f>IF($B46=0,1000000,IF(INDEX('計算A'!$D$60:$EQ$104,$B46,11)*DL46=1,IF(AND($E46=2,JA46=0),1000000,IF($I46&gt;0,IF(1=$J46,IF(OR(AND(11=$I46+1,OR($K46&lt;&gt;'計算A'!$A$3,'計算A'!$A$4=0)),AND(11=$I46-1,OR(11&lt;&gt;'計算A'!$A$3,'計算A'!$A$4=0))),0,IF(11=$K46,200000,ABS(11-$K46)*100)),100000+ABS(1-$J46)*1000+110)+'計算A'!N$5*50+IF(AND($E46=1,JA46=0),25,0),IF($F46&gt;0,INDEX('計算A'!N$110:N$114,$F46+1)+IF(AND($E46=1,JA46=0),1000,0),MIN(TU46,20)*400+(IF('計算A'!M$106=1,1-DK46,0)+IF('計算A'!N$106=1,1-DM46,0))*150+111+'計算A'!N$5*100000+IF(AND($E46=1,JA46=0),50000,0))+IF($H46=1,(IF('計算A'!M$117=1,INDEX('計算A'!M$10:M$54,$B46),0)+IF('計算A'!N$117=1,INDEX('計算A'!O$10:O$54,$B46),0))*4000,0)-IF(AND('計算A'!M$117=1,UK46&gt;0),2000,0)-IF(AND($L46=1,'計算A'!N$117=1,DM46=0),2000,0))),1000000))</f>
        <v/>
      </c>
      <c r="OQ46">
        <f>IF($B46=0,1000000,IF(INDEX('計算A'!$D$60:$EQ$104,$B46,12)*DM46=1,IF(AND($E46=2,JB46=0),1000000,IF($I46&gt;0,IF(1=$J46,IF(OR(AND(12=$I46+1,OR($K46&lt;&gt;'計算A'!$A$3,'計算A'!$A$4=0)),AND(12=$I46-1,OR(12&lt;&gt;'計算A'!$A$3,'計算A'!$A$4=0))),0,IF(12=$K46,200000,ABS(12-$K46)*100)),100000+ABS(1-$J46)*1000+120)+'計算A'!O$5*50+IF(AND($E46=1,JB46=0),25,0),IF($F46&gt;0,INDEX('計算A'!O$110:O$114,$F46+1)+IF(AND($E46=1,JB46=0),1000,0),MIN(TU46,20)*400+(IF('計算A'!N$106=1,1-DL46,0)+IF('計算A'!O$106=1,1-DN46,0))*150+121+'計算A'!O$5*100000+IF(AND($E46=1,JB46=0),50000,0))+IF($H46=1,(IF('計算A'!N$117=1,INDEX('計算A'!N$10:N$54,$B46),0)+IF('計算A'!O$117=1,INDEX('計算A'!P$10:P$54,$B46),0))*4000,0)-IF(AND('計算A'!N$117=1,UL46&gt;0),2000,0)-IF(AND($L46=1,'計算A'!O$117=1,DN46=0),2000,0))),1000000))</f>
        <v/>
      </c>
      <c r="OR46">
        <f>IF($B46=0,1000000,IF(INDEX('計算A'!$D$60:$EQ$104,$B46,13)*DN46=1,IF(AND($E46=2,JC46=0),1000000,IF($I46&gt;0,IF(1=$J46,IF(OR(AND(13=$I46+1,OR($K46&lt;&gt;'計算A'!$A$3,'計算A'!$A$4=0)),AND(13=$I46-1,OR(13&lt;&gt;'計算A'!$A$3,'計算A'!$A$4=0))),0,IF(13=$K46,200000,ABS(13-$K46)*100)),100000+ABS(1-$J46)*1000+130)+'計算A'!P$5*50+IF(AND($E46=1,JC46=0),25,0),IF($F46&gt;0,INDEX('計算A'!P$110:P$114,$F46+1)+IF(AND($E46=1,JC46=0),1000,0),MIN(TU46,20)*400+(IF('計算A'!O$106=1,1-DM46,0)+IF('計算A'!P$106=1,1-DO46,0))*150+131+'計算A'!P$5*100000+IF(AND($E46=1,JC46=0),50000,0))+IF($H46=1,(IF('計算A'!O$117=1,INDEX('計算A'!O$10:O$54,$B46),0)+IF('計算A'!P$117=1,INDEX('計算A'!Q$10:Q$54,$B46),0))*4000,0)-IF(AND('計算A'!O$117=1,UM46&gt;0),2000,0)-IF(AND($L46=1,'計算A'!P$117=1,DO46=0),2000,0))),1000000))</f>
        <v/>
      </c>
      <c r="OS46">
        <f>IF($B46=0,1000000,IF(INDEX('計算A'!$D$60:$EQ$104,$B46,14)*DO46=1,IF(AND($E46=2,JD46=0),1000000,IF($I46&gt;0,IF(1=$J46,IF(OR(AND(14=$I46+1,OR($K46&lt;&gt;'計算A'!$A$3,'計算A'!$A$4=0)),AND(14=$I46-1,OR(14&lt;&gt;'計算A'!$A$3,'計算A'!$A$4=0))),0,IF(14=$K46,200000,ABS(14-$K46)*100)),100000+ABS(1-$J46)*1000+140)+'計算A'!Q$5*50+IF(AND($E46=1,JD46=0),25,0),IF($F46&gt;0,INDEX('計算A'!Q$110:Q$114,$F46+1)+IF(AND($E46=1,JD46=0),1000,0),MIN(TU46,20)*400+(IF('計算A'!P$106=1,1-DN46,0)+IF('計算A'!Q$106=1,1-DP46,0))*150+141+'計算A'!Q$5*100000+IF(AND($E46=1,JD46=0),50000,0))+IF($H46=1,(IF('計算A'!P$117=1,INDEX('計算A'!P$10:P$54,$B46),0)+IF('計算A'!Q$117=1,INDEX('計算A'!R$10:R$54,$B46),0))*4000,0)-IF(AND('計算A'!P$117=1,UN46&gt;0),2000,0)-IF(AND($L46=1,'計算A'!Q$117=1,DP46=0),2000,0))),1000000))</f>
        <v/>
      </c>
      <c r="OT46">
        <f>IF($B46=0,1000000,IF(INDEX('計算A'!$D$60:$EQ$104,$B46,15)*DP46=1,IF(AND($E46=2,JE46=0),1000000,IF($I46&gt;0,IF(1=$J46,IF(OR(AND(15=$I46+1,OR($K46&lt;&gt;'計算A'!$A$3,'計算A'!$A$4=0)),AND(15=$I46-1,OR(15&lt;&gt;'計算A'!$A$3,'計算A'!$A$4=0))),0,IF(15=$K46,200000,ABS(15-$K46)*100)),100000+ABS(1-$J46)*1000+150)+'計算A'!R$5*50+IF(AND($E46=1,JE46=0),25,0),IF($F46&gt;0,INDEX('計算A'!R$110:R$114,$F46+1)+IF(AND($E46=1,JE46=0),1000,0),MIN(TU46,20)*400+(IF('計算A'!Q$106=1,1-DO46,0)+IF('計算A'!R$106=1,1-DQ46,0))*150+151+'計算A'!R$5*100000+IF(AND($E46=1,JE46=0),50000,0))+IF($H46=1,(IF('計算A'!Q$117=1,INDEX('計算A'!Q$10:Q$54,$B46),0)+IF('計算A'!R$117=1,INDEX('計算A'!S$10:S$54,$B46),0))*4000,0)-IF(AND('計算A'!Q$117=1,UO46&gt;0),2000,0)-IF(AND($L46=1,'計算A'!R$117=1,DQ46=0),2000,0))),1000000))</f>
        <v/>
      </c>
      <c r="OU46">
        <f>IF($B46=0,1000000,IF(INDEX('計算A'!$D$60:$EQ$104,$B46,16)*DQ46=1,IF(AND($E46=2,JF46=0),1000000,IF($I46&gt;0,IF(1=$J46,IF(OR(AND(16=$I46+1,OR($K46&lt;&gt;'計算A'!$A$3,'計算A'!$A$4=0)),AND(16=$I46-1,OR(16&lt;&gt;'計算A'!$A$3,'計算A'!$A$4=0))),0,IF(16=$K46,200000,ABS(16-$K46)*100)),100000+ABS(1-$J46)*1000+160)+'計算A'!S$5*50+IF(AND($E46=1,JF46=0),25,0),IF($F46&gt;0,INDEX('計算A'!S$110:S$114,$F46+1)+IF(AND($E46=1,JF46=0),1000,0),MIN(TU46,20)*400+(IF('計算A'!R$106=1,1-DP46,0)+IF('計算A'!S$106=1,1-DR46,0))*150+161+'計算A'!S$5*100000+IF(AND($E46=1,JF46=0),50000,0))+IF($H46=1,(IF('計算A'!R$117=1,INDEX('計算A'!R$10:R$54,$B46),0)+IF('計算A'!S$117=1,INDEX('計算A'!T$10:T$54,$B46),0))*4000,0)-IF(AND('計算A'!R$117=1,UP46&gt;0),2000,0)-IF(AND($L46=1,'計算A'!S$117=1,DR46=0),2000,0))),1000000))</f>
        <v/>
      </c>
      <c r="OV46">
        <f>IF($B46=0,1000000,IF(INDEX('計算A'!$D$60:$EQ$104,$B46,17)*DR46=1,IF(AND($E46=2,JG46=0),1000000,IF($I46&gt;0,IF(1=$J46,IF(OR(AND(17=$I46+1,OR($K46&lt;&gt;'計算A'!$A$3,'計算A'!$A$4=0)),AND(17=$I46-1,OR(17&lt;&gt;'計算A'!$A$3,'計算A'!$A$4=0))),0,IF(17=$K46,200000,ABS(17-$K46)*100)),100000+ABS(1-$J46)*1000+170)+'計算A'!T$5*50+IF(AND($E46=1,JG46=0),25,0),IF($F46&gt;0,INDEX('計算A'!T$110:T$114,$F46+1)+IF(AND($E46=1,JG46=0),1000,0),MIN(TU46,20)*400+(IF('計算A'!S$106=1,1-DQ46,0)+IF('計算A'!T$106=1,1-DS46,0))*150+171+'計算A'!T$5*100000+IF(AND($E46=1,JG46=0),50000,0))+IF($H46=1,(IF('計算A'!S$117=1,INDEX('計算A'!S$10:S$54,$B46),0)+IF('計算A'!T$117=1,INDEX('計算A'!U$10:U$54,$B46),0))*4000,0)-IF(AND('計算A'!S$117=1,UQ46&gt;0),2000,0)-IF(AND($L46=1,'計算A'!T$117=1,DS46=0),2000,0))),1000000))</f>
        <v/>
      </c>
      <c r="OW46">
        <f>IF($B46=0,1000000,IF(INDEX('計算A'!$D$60:$EQ$104,$B46,18)*DS46=1,IF(AND($E46=2,JH46=0),1000000,IF($I46&gt;0,IF(1=$J46,IF(OR(AND(18=$I46+1,OR($K46&lt;&gt;'計算A'!$A$3,'計算A'!$A$4=0)),AND(18=$I46-1,OR(18&lt;&gt;'計算A'!$A$3,'計算A'!$A$4=0))),0,IF(18=$K46,200000,ABS(18-$K46)*100)),100000+ABS(1-$J46)*1000+180)+'計算A'!U$5*50+IF(AND($E46=1,JH46=0),25,0),IF($F46&gt;0,INDEX('計算A'!U$110:U$114,$F46+1)+IF(AND($E46=1,JH46=0),1000,0),MIN(TU46,20)*400+(IF('計算A'!T$106=1,1-DR46,0)+IF('計算A'!U$106=1,1-DT46,0))*150+181+'計算A'!U$5*100000+IF(AND($E46=1,JH46=0),50000,0))+IF($H46=1,(IF('計算A'!T$117=1,INDEX('計算A'!T$10:T$54,$B46),0)+IF('計算A'!U$117=1,INDEX('計算A'!V$10:V$54,$B46),0))*4000,0)-IF(AND('計算A'!T$117=1,UR46&gt;0),2000,0)-IF(AND($L46=1,'計算A'!U$117=1,DT46=0),2000,0))),1000000))</f>
        <v/>
      </c>
      <c r="OX46">
        <f>IF($B46=0,1000000,IF(INDEX('計算A'!$D$60:$EQ$104,$B46,19)*DT46=1,IF(AND($E46=2,JI46=0),1000000,IF($I46&gt;0,IF(1=$J46,IF(OR(AND(19=$I46+1,OR($K46&lt;&gt;'計算A'!$A$3,'計算A'!$A$4=0)),AND(19=$I46-1,OR(19&lt;&gt;'計算A'!$A$3,'計算A'!$A$4=0))),0,IF(19=$K46,200000,ABS(19-$K46)*100)),100000+ABS(1-$J46)*1000+190)+'計算A'!V$5*50+IF(AND($E46=1,JI46=0),25,0),IF($F46&gt;0,INDEX('計算A'!V$110:V$114,$F46+1)+IF(AND($E46=1,JI46=0),1000,0),MIN(TU46,20)*400+(IF('計算A'!U$106=1,1-DS46,0)+IF('計算A'!V$106=1,1-DU46,0))*150+191+'計算A'!V$5*100000+IF(AND($E46=1,JI46=0),50000,0))+IF($H46=1,(IF('計算A'!U$117=1,INDEX('計算A'!U$10:U$54,$B46),0)+IF('計算A'!V$117=1,INDEX('計算A'!W$10:W$54,$B46),0))*4000,0)-IF(AND('計算A'!U$117=1,US46&gt;0),2000,0)-IF(AND($L46=1,'計算A'!V$117=1,DU46=0),2000,0))),1000000))</f>
        <v/>
      </c>
      <c r="OY46">
        <f>IF($B46=0,1000000,IF(INDEX('計算A'!$D$60:$EQ$104,$B46,20)*DU46=1,IF(AND($E46=2,JJ46=0),1000000,IF($I46&gt;0,IF(1=$J46,IF(OR(AND(20=$I46+1,OR($K46&lt;&gt;'計算A'!$A$3,'計算A'!$A$4=0)),AND(20=$I46-1,OR(20&lt;&gt;'計算A'!$A$3,'計算A'!$A$4=0))),0,IF(20=$K46,200000,ABS(20-$K46)*100)),100000+ABS(1-$J46)*1000+200)+'計算A'!W$5*50+IF(AND($E46=1,JJ46=0),25,0),IF($F46&gt;0,INDEX('計算A'!W$110:W$114,$F46+1)+IF(AND($E46=1,JJ46=0),1000,0),MIN(TU46,20)*400+(IF('計算A'!V$106=1,1-DT46,0)+IF('計算A'!W$106=1,1-DV46,0))*150+201+'計算A'!W$5*100000+IF(AND($E46=1,JJ46=0),50000,0))+IF($H46=1,(IF('計算A'!V$117=1,INDEX('計算A'!V$10:V$54,$B46),0)+IF('計算A'!W$117=1,INDEX('計算A'!X$10:X$54,$B46),0))*4000,0)-IF(AND('計算A'!V$117=1,UT46&gt;0),2000,0)-IF(AND($L46=1,'計算A'!W$117=1,DV46=0),2000,0))),1000000))</f>
        <v/>
      </c>
      <c r="OZ46">
        <f>IF($B46=0,1000000,IF(INDEX('計算A'!$D$60:$EQ$104,$B46,21)*DV46=1,IF(AND($E46=2,JK46=0),1000000,IF($I46&gt;0,IF(1=$J46,IF(OR(AND(21=$I46+1,OR($K46&lt;&gt;'計算A'!$A$3,'計算A'!$A$4=0)),AND(21=$I46-1,OR(21&lt;&gt;'計算A'!$A$3,'計算A'!$A$4=0))),0,IF(21=$K46,200000,ABS(21-$K46)*100)),100000+ABS(1-$J46)*1000+210)+'計算A'!X$5*50+IF(AND($E46=1,JK46=0),25,0),IF($F46&gt;0,INDEX('計算A'!X$110:X$114,$F46+1)+IF(AND($E46=1,JK46=0),1000,0),MIN(TU46,20)*400+(IF('計算A'!W$106=1,1-DU46,0)+IF('計算A'!X$106=1,1-DW46,0))*150+211+'計算A'!X$5*100000+IF(AND($E46=1,JK46=0),50000,0))+IF($H46=1,(IF('計算A'!W$117=1,INDEX('計算A'!W$10:W$54,$B46),0)+IF('計算A'!X$117=1,INDEX('計算A'!Y$10:Y$54,$B46),0))*4000,0)-IF(AND('計算A'!W$117=1,UU46&gt;0),2000,0)-IF(AND($L46=1,'計算A'!X$117=1,DW46=0),2000,0))),1000000))</f>
        <v/>
      </c>
      <c r="PA46">
        <f>IF($B46=0,1000000,IF(INDEX('計算A'!$D$60:$EQ$104,$B46,22)*DW46=1,IF(AND($E46=2,JL46=0),1000000,IF($I46&gt;0,IF(1=$J46,IF(OR(AND(22=$I46+1,OR($K46&lt;&gt;'計算A'!$A$3,'計算A'!$A$4=0)),AND(22=$I46-1,OR(22&lt;&gt;'計算A'!$A$3,'計算A'!$A$4=0))),0,IF(22=$K46,200000,ABS(22-$K46)*100)),100000+ABS(1-$J46)*1000+220)+'計算A'!Y$5*50+IF(AND($E46=1,JL46=0),25,0),IF($F46&gt;0,INDEX('計算A'!Y$110:Y$114,$F46+1)+IF(AND($E46=1,JL46=0),1000,0),MIN(TU46,20)*400+(IF('計算A'!X$106=1,1-DV46,0)+IF('計算A'!Y$106=1,1-DX46,0))*150+221+'計算A'!Y$5*100000+IF(AND($E46=1,JL46=0),50000,0))+IF($H46=1,(IF('計算A'!X$117=1,INDEX('計算A'!X$10:X$54,$B46),0)+IF('計算A'!Y$117=1,INDEX('計算A'!Z$10:Z$54,$B46),0))*4000,0)-IF(AND('計算A'!X$117=1,UV46&gt;0),2000,0)-IF(AND($L46=1,'計算A'!Y$117=1,DX46=0),2000,0))),1000000))</f>
        <v/>
      </c>
      <c r="PB46">
        <f>IF($B46=0,1000000,IF(INDEX('計算A'!$D$60:$EQ$104,$B46,23)*DX46=1,IF(AND($E46=2,JM46=0),1000000,IF($I46&gt;0,IF(1=$J46,IF(OR(AND(23=$I46+1,OR($K46&lt;&gt;'計算A'!$A$3,'計算A'!$A$4=0)),AND(23=$I46-1,OR(23&lt;&gt;'計算A'!$A$3,'計算A'!$A$4=0))),0,IF(23=$K46,200000,ABS(23-$K46)*100)),100000+ABS(1-$J46)*1000+230)+'計算A'!Z$5*50+IF(AND($E46=1,JM46=0),25,0),IF($F46&gt;0,INDEX('計算A'!Z$110:Z$114,$F46+1)+IF(AND($E46=1,JM46=0),1000,0),MIN(TU46,20)*400+(IF('計算A'!Y$106=1,1-DW46,0)+IF('計算A'!Z$106=1,1-DY46,0))*150+231+'計算A'!Z$5*100000+IF(AND($E46=1,JM46=0),50000,0))+IF($H46=1,(IF('計算A'!Y$117=1,INDEX('計算A'!Y$10:Y$54,$B46),0)+IF('計算A'!Z$117=1,INDEX('計算A'!AA$10:AA$54,$B46),0))*4000,0)-IF(AND('計算A'!Y$117=1,UW46&gt;0),2000,0)-IF(AND($L46=1,'計算A'!Z$117=1,DY46=0),2000,0))),1000000))</f>
        <v/>
      </c>
      <c r="PC46">
        <f>IF($B46=0,1000000,IF(INDEX('計算A'!$D$60:$EQ$104,$B46,24)*DY46=1,IF(AND($E46=2,JN46=0),1000000,IF($I46&gt;0,IF(1=$J46,IF(OR(AND(24=$I46+1,OR($K46&lt;&gt;'計算A'!$A$3,'計算A'!$A$4=0)),AND(24=$I46-1,OR(24&lt;&gt;'計算A'!$A$3,'計算A'!$A$4=0))),0,IF(24=$K46,200000,ABS(24-$K46)*100)),100000+ABS(1-$J46)*1000+240)+'計算A'!AA$5*50+IF(AND($E46=1,JN46=0),25,0),IF($F46&gt;0,INDEX('計算A'!AA$110:AA$114,$F46+1)+IF(AND($E46=1,JN46=0),1000,0),MIN(TU46,20)*400+(IF('計算A'!Z$106=1,1-DX46,0))*150+241+'計算A'!AA$5*100000+IF(AND($E46=1,JN46=0),50000,0))+IF($H46=1,(IF('計算A'!Z$117=1,INDEX('計算A'!Z$10:Z$54,$B46),0))*4000,0)-IF(AND('計算A'!Z$117=1,UX46&gt;0),2000,0))),1000000))</f>
        <v/>
      </c>
      <c r="PD46">
        <f>IF($B46=0,1000000,IF(INDEX('計算A'!$D$60:$EQ$104,$B46,25)*DZ46=1,IF(AND($E46=2,JO46=0),1000000,IF($I46&gt;0,IF(2=$J46,IF(OR(AND(25=$I46+1,OR($K46&lt;&gt;'計算A'!$A$3,'計算A'!$A$4=0)),AND(25=$I46-1,OR(1&lt;&gt;'計算A'!$A$3,'計算A'!$A$4=0))),0,IF(1=$K46,200000,ABS(1-$K46)*100)),100000+ABS(2-$J46)*1000+10)+'計算A'!AB$5*50+IF(AND($E46=1,JO46=0),25,0),IF($F46&gt;0,INDEX('計算A'!AB$110:AB$114,$F46+1)+IF(AND($E46=1,JO46=0),1000,0),MIN(TV46,20)*400+(IF('計算A'!AB$106=1,1-EA46,0))*150+12+'計算A'!AB$5*100000+IF(AND($E46=1,JO46=0),50000,0))+IF($H46=1,(IF('計算A'!AB$117=1,INDEX('計算A'!AC$10:AC$54,$B46),0))*4000,0)-IF(AND($L46=1,'計算A'!AB$117=1,EA46=0),2000,0))),1000000))</f>
        <v/>
      </c>
      <c r="PE46">
        <f>IF($B46=0,1000000,IF(INDEX('計算A'!$D$60:$EQ$104,$B46,26)*EA46=1,IF(AND($E46=2,JP46=0),1000000,IF($I46&gt;0,IF(2=$J46,IF(OR(AND(26=$I46+1,OR($K46&lt;&gt;'計算A'!$A$3,'計算A'!$A$4=0)),AND(26=$I46-1,OR(2&lt;&gt;'計算A'!$A$3,'計算A'!$A$4=0))),0,IF(2=$K46,200000,ABS(2-$K46)*100)),100000+ABS(2-$J46)*1000+20)+'計算A'!AC$5*50+IF(AND($E46=1,JP46=0),25,0),IF($F46&gt;0,INDEX('計算A'!AC$110:AC$114,$F46+1)+IF(AND($E46=1,JP46=0),1000,0),MIN(TV46,20)*400+(IF('計算A'!AB$106=1,1-DZ46,0)+IF('計算A'!AC$106=1,1-EB46,0))*150+22+'計算A'!AC$5*100000+IF(AND($E46=1,JP46=0),50000,0))+IF($H46=1,(IF('計算A'!AB$117=1,INDEX('計算A'!AB$10:AB$54,$B46),0)+IF('計算A'!AC$117=1,INDEX('計算A'!AD$10:AD$54,$B46),0))*4000,0)-IF(AND('計算A'!AB$117=1,UZ46&gt;0),2000,0)-IF(AND($L46=1,'計算A'!AC$117=1,EB46=0),2000,0))),1000000))</f>
        <v/>
      </c>
      <c r="PF46">
        <f>IF($B46=0,1000000,IF(INDEX('計算A'!$D$60:$EQ$104,$B46,27)*EB46=1,IF(AND($E46=2,JQ46=0),1000000,IF($I46&gt;0,IF(2=$J46,IF(OR(AND(27=$I46+1,OR($K46&lt;&gt;'計算A'!$A$3,'計算A'!$A$4=0)),AND(27=$I46-1,OR(3&lt;&gt;'計算A'!$A$3,'計算A'!$A$4=0))),0,IF(3=$K46,200000,ABS(3-$K46)*100)),100000+ABS(2-$J46)*1000+30)+'計算A'!AD$5*50+IF(AND($E46=1,JQ46=0),25,0),IF($F46&gt;0,INDEX('計算A'!AD$110:AD$114,$F46+1)+IF(AND($E46=1,JQ46=0),1000,0),MIN(TV46,20)*400+(IF('計算A'!AC$106=1,1-EA46,0)+IF('計算A'!AD$106=1,1-EC46,0))*150+32+'計算A'!AD$5*100000+IF(AND($E46=1,JQ46=0),50000,0))+IF($H46=1,(IF('計算A'!AC$117=1,INDEX('計算A'!AC$10:AC$54,$B46),0)+IF('計算A'!AD$117=1,INDEX('計算A'!AE$10:AE$54,$B46),0))*4000,0)-IF(AND('計算A'!AC$117=1,VA46&gt;0),2000,0)-IF(AND($L46=1,'計算A'!AD$117=1,EC46=0),2000,0))),1000000))</f>
        <v/>
      </c>
      <c r="PG46">
        <f>IF($B46=0,1000000,IF(INDEX('計算A'!$D$60:$EQ$104,$B46,28)*EC46=1,IF(AND($E46=2,JR46=0),1000000,IF($I46&gt;0,IF(2=$J46,IF(OR(AND(28=$I46+1,OR($K46&lt;&gt;'計算A'!$A$3,'計算A'!$A$4=0)),AND(28=$I46-1,OR(4&lt;&gt;'計算A'!$A$3,'計算A'!$A$4=0))),0,IF(4=$K46,200000,ABS(4-$K46)*100)),100000+ABS(2-$J46)*1000+40)+'計算A'!AE$5*50+IF(AND($E46=1,JR46=0),25,0),IF($F46&gt;0,INDEX('計算A'!AE$110:AE$114,$F46+1)+IF(AND($E46=1,JR46=0),1000,0),MIN(TV46,20)*400+(IF('計算A'!AD$106=1,1-EB46,0)+IF('計算A'!AE$106=1,1-ED46,0))*150+42+'計算A'!AE$5*100000+IF(AND($E46=1,JR46=0),50000,0))+IF($H46=1,(IF('計算A'!AD$117=1,INDEX('計算A'!AD$10:AD$54,$B46),0)+IF('計算A'!AE$117=1,INDEX('計算A'!AF$10:AF$54,$B46),0))*4000,0)-IF(AND('計算A'!AD$117=1,VB46&gt;0),2000,0)-IF(AND($L46=1,'計算A'!AE$117=1,ED46=0),2000,0))),1000000))</f>
        <v/>
      </c>
      <c r="PH46">
        <f>IF($B46=0,1000000,IF(INDEX('計算A'!$D$60:$EQ$104,$B46,29)*ED46=1,IF(AND($E46=2,JS46=0),1000000,IF($I46&gt;0,IF(2=$J46,IF(OR(AND(29=$I46+1,OR($K46&lt;&gt;'計算A'!$A$3,'計算A'!$A$4=0)),AND(29=$I46-1,OR(5&lt;&gt;'計算A'!$A$3,'計算A'!$A$4=0))),0,IF(5=$K46,200000,ABS(5-$K46)*100)),100000+ABS(2-$J46)*1000+50)+'計算A'!AF$5*50+IF(AND($E46=1,JS46=0),25,0),IF($F46&gt;0,INDEX('計算A'!AF$110:AF$114,$F46+1)+IF(AND($E46=1,JS46=0),1000,0),MIN(TV46,20)*400+(IF('計算A'!AE$106=1,1-EC46,0)+IF('計算A'!AF$106=1,1-EE46,0))*150+52+'計算A'!AF$5*100000+IF(AND($E46=1,JS46=0),50000,0))+IF($H46=1,(IF('計算A'!AE$117=1,INDEX('計算A'!AE$10:AE$54,$B46),0)+IF('計算A'!AF$117=1,INDEX('計算A'!AG$10:AG$54,$B46),0))*4000,0)-IF(AND('計算A'!AE$117=1,VC46&gt;0),2000,0)-IF(AND($L46=1,'計算A'!AF$117=1,EE46=0),2000,0))),1000000))</f>
        <v/>
      </c>
      <c r="PI46">
        <f>IF($B46=0,1000000,IF(INDEX('計算A'!$D$60:$EQ$104,$B46,30)*EE46=1,IF(AND($E46=2,JT46=0),1000000,IF($I46&gt;0,IF(2=$J46,IF(OR(AND(30=$I46+1,OR($K46&lt;&gt;'計算A'!$A$3,'計算A'!$A$4=0)),AND(30=$I46-1,OR(6&lt;&gt;'計算A'!$A$3,'計算A'!$A$4=0))),0,IF(6=$K46,200000,ABS(6-$K46)*100)),100000+ABS(2-$J46)*1000+60)+'計算A'!AG$5*50+IF(AND($E46=1,JT46=0),25,0),IF($F46&gt;0,INDEX('計算A'!AG$110:AG$114,$F46+1)+IF(AND($E46=1,JT46=0),1000,0),MIN(TV46,20)*400+(IF('計算A'!AF$106=1,1-ED46,0)+IF('計算A'!AG$106=1,1-EF46,0))*150+62+'計算A'!AG$5*100000+IF(AND($E46=1,JT46=0),50000,0))+IF($H46=1,(IF('計算A'!AF$117=1,INDEX('計算A'!AF$10:AF$54,$B46),0)+IF('計算A'!AG$117=1,INDEX('計算A'!AH$10:AH$54,$B46),0))*4000,0)-IF(AND('計算A'!AF$117=1,VD46&gt;0),2000,0)-IF(AND($L46=1,'計算A'!AG$117=1,EF46=0),2000,0))),1000000))</f>
        <v/>
      </c>
      <c r="PJ46">
        <f>IF($B46=0,1000000,IF(INDEX('計算A'!$D$60:$EQ$104,$B46,31)*EF46=1,IF(AND($E46=2,JU46=0),1000000,IF($I46&gt;0,IF(2=$J46,IF(OR(AND(31=$I46+1,OR($K46&lt;&gt;'計算A'!$A$3,'計算A'!$A$4=0)),AND(31=$I46-1,OR(7&lt;&gt;'計算A'!$A$3,'計算A'!$A$4=0))),0,IF(7=$K46,200000,ABS(7-$K46)*100)),100000+ABS(2-$J46)*1000+70)+'計算A'!AH$5*50+IF(AND($E46=1,JU46=0),25,0),IF($F46&gt;0,INDEX('計算A'!AH$110:AH$114,$F46+1)+IF(AND($E46=1,JU46=0),1000,0),MIN(TV46,20)*400+(IF('計算A'!AG$106=1,1-EE46,0)+IF('計算A'!AH$106=1,1-EG46,0))*150+72+'計算A'!AH$5*100000+IF(AND($E46=1,JU46=0),50000,0))+IF($H46=1,(IF('計算A'!AG$117=1,INDEX('計算A'!AG$10:AG$54,$B46),0)+IF('計算A'!AH$117=1,INDEX('計算A'!AI$10:AI$54,$B46),0))*4000,0)-IF(AND('計算A'!AG$117=1,VE46&gt;0),2000,0)-IF(AND($L46=1,'計算A'!AH$117=1,EG46=0),2000,0))),1000000))</f>
        <v/>
      </c>
      <c r="PK46">
        <f>IF($B46=0,1000000,IF(INDEX('計算A'!$D$60:$EQ$104,$B46,32)*EG46=1,IF(AND($E46=2,JV46=0),1000000,IF($I46&gt;0,IF(2=$J46,IF(OR(AND(32=$I46+1,OR($K46&lt;&gt;'計算A'!$A$3,'計算A'!$A$4=0)),AND(32=$I46-1,OR(8&lt;&gt;'計算A'!$A$3,'計算A'!$A$4=0))),0,IF(8=$K46,200000,ABS(8-$K46)*100)),100000+ABS(2-$J46)*1000+80)+'計算A'!AI$5*50+IF(AND($E46=1,JV46=0),25,0),IF($F46&gt;0,INDEX('計算A'!AI$110:AI$114,$F46+1)+IF(AND($E46=1,JV46=0),1000,0),MIN(TV46,20)*400+(IF('計算A'!AH$106=1,1-EF46,0)+IF('計算A'!AI$106=1,1-EH46,0))*150+82+'計算A'!AI$5*100000+IF(AND($E46=1,JV46=0),50000,0))+IF($H46=1,(IF('計算A'!AH$117=1,INDEX('計算A'!AH$10:AH$54,$B46),0)+IF('計算A'!AI$117=1,INDEX('計算A'!AJ$10:AJ$54,$B46),0))*4000,0)-IF(AND('計算A'!AH$117=1,VF46&gt;0),2000,0)-IF(AND($L46=1,'計算A'!AI$117=1,EH46=0),2000,0))),1000000))</f>
        <v/>
      </c>
      <c r="PL46">
        <f>IF($B46=0,1000000,IF(INDEX('計算A'!$D$60:$EQ$104,$B46,33)*EH46=1,IF(AND($E46=2,JW46=0),1000000,IF($I46&gt;0,IF(2=$J46,IF(OR(AND(33=$I46+1,OR($K46&lt;&gt;'計算A'!$A$3,'計算A'!$A$4=0)),AND(33=$I46-1,OR(9&lt;&gt;'計算A'!$A$3,'計算A'!$A$4=0))),0,IF(9=$K46,200000,ABS(9-$K46)*100)),100000+ABS(2-$J46)*1000+90)+'計算A'!AJ$5*50+IF(AND($E46=1,JW46=0),25,0),IF($F46&gt;0,INDEX('計算A'!AJ$110:AJ$114,$F46+1)+IF(AND($E46=1,JW46=0),1000,0),MIN(TV46,20)*400+(IF('計算A'!AI$106=1,1-EG46,0)+IF('計算A'!AJ$106=1,1-EI46,0))*150+92+'計算A'!AJ$5*100000+IF(AND($E46=1,JW46=0),50000,0))+IF($H46=1,(IF('計算A'!AI$117=1,INDEX('計算A'!AI$10:AI$54,$B46),0)+IF('計算A'!AJ$117=1,INDEX('計算A'!AK$10:AK$54,$B46),0))*4000,0)-IF(AND('計算A'!AI$117=1,VG46&gt;0),2000,0)-IF(AND($L46=1,'計算A'!AJ$117=1,EI46=0),2000,0))),1000000))</f>
        <v/>
      </c>
      <c r="PM46">
        <f>IF($B46=0,1000000,IF(INDEX('計算A'!$D$60:$EQ$104,$B46,34)*EI46=1,IF(AND($E46=2,JX46=0),1000000,IF($I46&gt;0,IF(2=$J46,IF(OR(AND(34=$I46+1,OR($K46&lt;&gt;'計算A'!$A$3,'計算A'!$A$4=0)),AND(34=$I46-1,OR(10&lt;&gt;'計算A'!$A$3,'計算A'!$A$4=0))),0,IF(10=$K46,200000,ABS(10-$K46)*100)),100000+ABS(2-$J46)*1000+100)+'計算A'!AK$5*50+IF(AND($E46=1,JX46=0),25,0),IF($F46&gt;0,INDEX('計算A'!AK$110:AK$114,$F46+1)+IF(AND($E46=1,JX46=0),1000,0),MIN(TV46,20)*400+(IF('計算A'!AJ$106=1,1-EH46,0)+IF('計算A'!AK$106=1,1-EJ46,0))*150+102+'計算A'!AK$5*100000+IF(AND($E46=1,JX46=0),50000,0))+IF($H46=1,(IF('計算A'!AJ$117=1,INDEX('計算A'!AJ$10:AJ$54,$B46),0)+IF('計算A'!AK$117=1,INDEX('計算A'!AL$10:AL$54,$B46),0))*4000,0)-IF(AND('計算A'!AJ$117=1,VH46&gt;0),2000,0)-IF(AND($L46=1,'計算A'!AK$117=1,EJ46=0),2000,0))),1000000))</f>
        <v/>
      </c>
      <c r="PN46">
        <f>IF($B46=0,1000000,IF(INDEX('計算A'!$D$60:$EQ$104,$B46,35)*EJ46=1,IF(AND($E46=2,JY46=0),1000000,IF($I46&gt;0,IF(2=$J46,IF(OR(AND(35=$I46+1,OR($K46&lt;&gt;'計算A'!$A$3,'計算A'!$A$4=0)),AND(35=$I46-1,OR(11&lt;&gt;'計算A'!$A$3,'計算A'!$A$4=0))),0,IF(11=$K46,200000,ABS(11-$K46)*100)),100000+ABS(2-$J46)*1000+110)+'計算A'!AL$5*50+IF(AND($E46=1,JY46=0),25,0),IF($F46&gt;0,INDEX('計算A'!AL$110:AL$114,$F46+1)+IF(AND($E46=1,JY46=0),1000,0),MIN(TV46,20)*400+(IF('計算A'!AK$106=1,1-EI46,0)+IF('計算A'!AL$106=1,1-EK46,0))*150+112+'計算A'!AL$5*100000+IF(AND($E46=1,JY46=0),50000,0))+IF($H46=1,(IF('計算A'!AK$117=1,INDEX('計算A'!AK$10:AK$54,$B46),0)+IF('計算A'!AL$117=1,INDEX('計算A'!AM$10:AM$54,$B46),0))*4000,0)-IF(AND('計算A'!AK$117=1,VI46&gt;0),2000,0)-IF(AND($L46=1,'計算A'!AL$117=1,EK46=0),2000,0))),1000000))</f>
        <v/>
      </c>
      <c r="PO46">
        <f>IF($B46=0,1000000,IF(INDEX('計算A'!$D$60:$EQ$104,$B46,36)*EK46=1,IF(AND($E46=2,JZ46=0),1000000,IF($I46&gt;0,IF(2=$J46,IF(OR(AND(36=$I46+1,OR($K46&lt;&gt;'計算A'!$A$3,'計算A'!$A$4=0)),AND(36=$I46-1,OR(12&lt;&gt;'計算A'!$A$3,'計算A'!$A$4=0))),0,IF(12=$K46,200000,ABS(12-$K46)*100)),100000+ABS(2-$J46)*1000+120)+'計算A'!AM$5*50+IF(AND($E46=1,JZ46=0),25,0),IF($F46&gt;0,INDEX('計算A'!AM$110:AM$114,$F46+1)+IF(AND($E46=1,JZ46=0),1000,0),MIN(TV46,20)*400+(IF('計算A'!AL$106=1,1-EJ46,0)+IF('計算A'!AM$106=1,1-EL46,0))*150+122+'計算A'!AM$5*100000+IF(AND($E46=1,JZ46=0),50000,0))+IF($H46=1,(IF('計算A'!AL$117=1,INDEX('計算A'!AL$10:AL$54,$B46),0)+IF('計算A'!AM$117=1,INDEX('計算A'!AN$10:AN$54,$B46),0))*4000,0)-IF(AND('計算A'!AL$117=1,VJ46&gt;0),2000,0)-IF(AND($L46=1,'計算A'!AM$117=1,EL46=0),2000,0))),1000000))</f>
        <v/>
      </c>
      <c r="PP46">
        <f>IF($B46=0,1000000,IF(INDEX('計算A'!$D$60:$EQ$104,$B46,37)*EL46=1,IF(AND($E46=2,KA46=0),1000000,IF($I46&gt;0,IF(2=$J46,IF(OR(AND(37=$I46+1,OR($K46&lt;&gt;'計算A'!$A$3,'計算A'!$A$4=0)),AND(37=$I46-1,OR(13&lt;&gt;'計算A'!$A$3,'計算A'!$A$4=0))),0,IF(13=$K46,200000,ABS(13-$K46)*100)),100000+ABS(2-$J46)*1000+130)+'計算A'!AN$5*50+IF(AND($E46=1,KA46=0),25,0),IF($F46&gt;0,INDEX('計算A'!AN$110:AN$114,$F46+1)+IF(AND($E46=1,KA46=0),1000,0),MIN(TV46,20)*400+(IF('計算A'!AM$106=1,1-EK46,0)+IF('計算A'!AN$106=1,1-EM46,0))*150+132+'計算A'!AN$5*100000+IF(AND($E46=1,KA46=0),50000,0))+IF($H46=1,(IF('計算A'!AM$117=1,INDEX('計算A'!AM$10:AM$54,$B46),0)+IF('計算A'!AN$117=1,INDEX('計算A'!AO$10:AO$54,$B46),0))*4000,0)-IF(AND('計算A'!AM$117=1,VK46&gt;0),2000,0)-IF(AND($L46=1,'計算A'!AN$117=1,EM46=0),2000,0))),1000000))</f>
        <v/>
      </c>
      <c r="PQ46">
        <f>IF($B46=0,1000000,IF(INDEX('計算A'!$D$60:$EQ$104,$B46,38)*EM46=1,IF(AND($E46=2,KB46=0),1000000,IF($I46&gt;0,IF(2=$J46,IF(OR(AND(38=$I46+1,OR($K46&lt;&gt;'計算A'!$A$3,'計算A'!$A$4=0)),AND(38=$I46-1,OR(14&lt;&gt;'計算A'!$A$3,'計算A'!$A$4=0))),0,IF(14=$K46,200000,ABS(14-$K46)*100)),100000+ABS(2-$J46)*1000+140)+'計算A'!AO$5*50+IF(AND($E46=1,KB46=0),25,0),IF($F46&gt;0,INDEX('計算A'!AO$110:AO$114,$F46+1)+IF(AND($E46=1,KB46=0),1000,0),MIN(TV46,20)*400+(IF('計算A'!AN$106=1,1-EL46,0)+IF('計算A'!AO$106=1,1-EN46,0))*150+142+'計算A'!AO$5*100000+IF(AND($E46=1,KB46=0),50000,0))+IF($H46=1,(IF('計算A'!AN$117=1,INDEX('計算A'!AN$10:AN$54,$B46),0)+IF('計算A'!AO$117=1,INDEX('計算A'!AP$10:AP$54,$B46),0))*4000,0)-IF(AND('計算A'!AN$117=1,VL46&gt;0),2000,0)-IF(AND($L46=1,'計算A'!AO$117=1,EN46=0),2000,0))),1000000))</f>
        <v/>
      </c>
      <c r="PR46">
        <f>IF($B46=0,1000000,IF(INDEX('計算A'!$D$60:$EQ$104,$B46,39)*EN46=1,IF(AND($E46=2,KC46=0),1000000,IF($I46&gt;0,IF(2=$J46,IF(OR(AND(39=$I46+1,OR($K46&lt;&gt;'計算A'!$A$3,'計算A'!$A$4=0)),AND(39=$I46-1,OR(15&lt;&gt;'計算A'!$A$3,'計算A'!$A$4=0))),0,IF(15=$K46,200000,ABS(15-$K46)*100)),100000+ABS(2-$J46)*1000+150)+'計算A'!AP$5*50+IF(AND($E46=1,KC46=0),25,0),IF($F46&gt;0,INDEX('計算A'!AP$110:AP$114,$F46+1)+IF(AND($E46=1,KC46=0),1000,0),MIN(TV46,20)*400+(IF('計算A'!AO$106=1,1-EM46,0)+IF('計算A'!AP$106=1,1-EO46,0))*150+152+'計算A'!AP$5*100000+IF(AND($E46=1,KC46=0),50000,0))+IF($H46=1,(IF('計算A'!AO$117=1,INDEX('計算A'!AO$10:AO$54,$B46),0)+IF('計算A'!AP$117=1,INDEX('計算A'!AQ$10:AQ$54,$B46),0))*4000,0)-IF(AND('計算A'!AO$117=1,VM46&gt;0),2000,0)-IF(AND($L46=1,'計算A'!AP$117=1,EO46=0),2000,0))),1000000))</f>
        <v/>
      </c>
      <c r="PS46">
        <f>IF($B46=0,1000000,IF(INDEX('計算A'!$D$60:$EQ$104,$B46,40)*EO46=1,IF(AND($E46=2,KD46=0),1000000,IF($I46&gt;0,IF(2=$J46,IF(OR(AND(40=$I46+1,OR($K46&lt;&gt;'計算A'!$A$3,'計算A'!$A$4=0)),AND(40=$I46-1,OR(16&lt;&gt;'計算A'!$A$3,'計算A'!$A$4=0))),0,IF(16=$K46,200000,ABS(16-$K46)*100)),100000+ABS(2-$J46)*1000+160)+'計算A'!AQ$5*50+IF(AND($E46=1,KD46=0),25,0),IF($F46&gt;0,INDEX('計算A'!AQ$110:AQ$114,$F46+1)+IF(AND($E46=1,KD46=0),1000,0),MIN(TV46,20)*400+(IF('計算A'!AP$106=1,1-EN46,0)+IF('計算A'!AQ$106=1,1-EP46,0))*150+162+'計算A'!AQ$5*100000+IF(AND($E46=1,KD46=0),50000,0))+IF($H46=1,(IF('計算A'!AP$117=1,INDEX('計算A'!AP$10:AP$54,$B46),0)+IF('計算A'!AQ$117=1,INDEX('計算A'!AR$10:AR$54,$B46),0))*4000,0)-IF(AND('計算A'!AP$117=1,VN46&gt;0),2000,0)-IF(AND($L46=1,'計算A'!AQ$117=1,EP46=0),2000,0))),1000000))</f>
        <v/>
      </c>
      <c r="PT46">
        <f>IF($B46=0,1000000,IF(INDEX('計算A'!$D$60:$EQ$104,$B46,41)*EP46=1,IF(AND($E46=2,KE46=0),1000000,IF($I46&gt;0,IF(2=$J46,IF(OR(AND(41=$I46+1,OR($K46&lt;&gt;'計算A'!$A$3,'計算A'!$A$4=0)),AND(41=$I46-1,OR(17&lt;&gt;'計算A'!$A$3,'計算A'!$A$4=0))),0,IF(17=$K46,200000,ABS(17-$K46)*100)),100000+ABS(2-$J46)*1000+170)+'計算A'!AR$5*50+IF(AND($E46=1,KE46=0),25,0),IF($F46&gt;0,INDEX('計算A'!AR$110:AR$114,$F46+1)+IF(AND($E46=1,KE46=0),1000,0),MIN(TV46,20)*400+(IF('計算A'!AQ$106=1,1-EO46,0)+IF('計算A'!AR$106=1,1-EQ46,0))*150+172+'計算A'!AR$5*100000+IF(AND($E46=1,KE46=0),50000,0))+IF($H46=1,(IF('計算A'!AQ$117=1,INDEX('計算A'!AQ$10:AQ$54,$B46),0)+IF('計算A'!AR$117=1,INDEX('計算A'!AS$10:AS$54,$B46),0))*4000,0)-IF(AND('計算A'!AQ$117=1,VO46&gt;0),2000,0)-IF(AND($L46=1,'計算A'!AR$117=1,EQ46=0),2000,0))),1000000))</f>
        <v/>
      </c>
      <c r="PU46">
        <f>IF($B46=0,1000000,IF(INDEX('計算A'!$D$60:$EQ$104,$B46,42)*EQ46=1,IF(AND($E46=2,KF46=0),1000000,IF($I46&gt;0,IF(2=$J46,IF(OR(AND(42=$I46+1,OR($K46&lt;&gt;'計算A'!$A$3,'計算A'!$A$4=0)),AND(42=$I46-1,OR(18&lt;&gt;'計算A'!$A$3,'計算A'!$A$4=0))),0,IF(18=$K46,200000,ABS(18-$K46)*100)),100000+ABS(2-$J46)*1000+180)+'計算A'!AS$5*50+IF(AND($E46=1,KF46=0),25,0),IF($F46&gt;0,INDEX('計算A'!AS$110:AS$114,$F46+1)+IF(AND($E46=1,KF46=0),1000,0),MIN(TV46,20)*400+(IF('計算A'!AR$106=1,1-EP46,0)+IF('計算A'!AS$106=1,1-ER46,0))*150+182+'計算A'!AS$5*100000+IF(AND($E46=1,KF46=0),50000,0))+IF($H46=1,(IF('計算A'!AR$117=1,INDEX('計算A'!AR$10:AR$54,$B46),0)+IF('計算A'!AS$117=1,INDEX('計算A'!AT$10:AT$54,$B46),0))*4000,0)-IF(AND('計算A'!AR$117=1,VP46&gt;0),2000,0)-IF(AND($L46=1,'計算A'!AS$117=1,ER46=0),2000,0))),1000000))</f>
        <v/>
      </c>
      <c r="PV46">
        <f>IF($B46=0,1000000,IF(INDEX('計算A'!$D$60:$EQ$104,$B46,43)*ER46=1,IF(AND($E46=2,KG46=0),1000000,IF($I46&gt;0,IF(2=$J46,IF(OR(AND(43=$I46+1,OR($K46&lt;&gt;'計算A'!$A$3,'計算A'!$A$4=0)),AND(43=$I46-1,OR(19&lt;&gt;'計算A'!$A$3,'計算A'!$A$4=0))),0,IF(19=$K46,200000,ABS(19-$K46)*100)),100000+ABS(2-$J46)*1000+190)+'計算A'!AT$5*50+IF(AND($E46=1,KG46=0),25,0),IF($F46&gt;0,INDEX('計算A'!AT$110:AT$114,$F46+1)+IF(AND($E46=1,KG46=0),1000,0),MIN(TV46,20)*400+(IF('計算A'!AS$106=1,1-EQ46,0)+IF('計算A'!AT$106=1,1-ES46,0))*150+192+'計算A'!AT$5*100000+IF(AND($E46=1,KG46=0),50000,0))+IF($H46=1,(IF('計算A'!AS$117=1,INDEX('計算A'!AS$10:AS$54,$B46),0)+IF('計算A'!AT$117=1,INDEX('計算A'!AU$10:AU$54,$B46),0))*4000,0)-IF(AND('計算A'!AS$117=1,VQ46&gt;0),2000,0)-IF(AND($L46=1,'計算A'!AT$117=1,ES46=0),2000,0))),1000000))</f>
        <v/>
      </c>
      <c r="PW46">
        <f>IF($B46=0,1000000,IF(INDEX('計算A'!$D$60:$EQ$104,$B46,44)*ES46=1,IF(AND($E46=2,KH46=0),1000000,IF($I46&gt;0,IF(2=$J46,IF(OR(AND(44=$I46+1,OR($K46&lt;&gt;'計算A'!$A$3,'計算A'!$A$4=0)),AND(44=$I46-1,OR(20&lt;&gt;'計算A'!$A$3,'計算A'!$A$4=0))),0,IF(20=$K46,200000,ABS(20-$K46)*100)),100000+ABS(2-$J46)*1000+200)+'計算A'!AU$5*50+IF(AND($E46=1,KH46=0),25,0),IF($F46&gt;0,INDEX('計算A'!AU$110:AU$114,$F46+1)+IF(AND($E46=1,KH46=0),1000,0),MIN(TV46,20)*400+(IF('計算A'!AT$106=1,1-ER46,0)+IF('計算A'!AU$106=1,1-ET46,0))*150+202+'計算A'!AU$5*100000+IF(AND($E46=1,KH46=0),50000,0))+IF($H46=1,(IF('計算A'!AT$117=1,INDEX('計算A'!AT$10:AT$54,$B46),0)+IF('計算A'!AU$117=1,INDEX('計算A'!AV$10:AV$54,$B46),0))*4000,0)-IF(AND('計算A'!AT$117=1,VR46&gt;0),2000,0)-IF(AND($L46=1,'計算A'!AU$117=1,ET46=0),2000,0))),1000000))</f>
        <v/>
      </c>
      <c r="PX46">
        <f>IF($B46=0,1000000,IF(INDEX('計算A'!$D$60:$EQ$104,$B46,45)*ET46=1,IF(AND($E46=2,KI46=0),1000000,IF($I46&gt;0,IF(2=$J46,IF(OR(AND(45=$I46+1,OR($K46&lt;&gt;'計算A'!$A$3,'計算A'!$A$4=0)),AND(45=$I46-1,OR(21&lt;&gt;'計算A'!$A$3,'計算A'!$A$4=0))),0,IF(21=$K46,200000,ABS(21-$K46)*100)),100000+ABS(2-$J46)*1000+210)+'計算A'!AV$5*50+IF(AND($E46=1,KI46=0),25,0),IF($F46&gt;0,INDEX('計算A'!AV$110:AV$114,$F46+1)+IF(AND($E46=1,KI46=0),1000,0),MIN(TV46,20)*400+(IF('計算A'!AU$106=1,1-ES46,0)+IF('計算A'!AV$106=1,1-EU46,0))*150+212+'計算A'!AV$5*100000+IF(AND($E46=1,KI46=0),50000,0))+IF($H46=1,(IF('計算A'!AU$117=1,INDEX('計算A'!AU$10:AU$54,$B46),0)+IF('計算A'!AV$117=1,INDEX('計算A'!AW$10:AW$54,$B46),0))*4000,0)-IF(AND('計算A'!AU$117=1,VS46&gt;0),2000,0)-IF(AND($L46=1,'計算A'!AV$117=1,EU46=0),2000,0))),1000000))</f>
        <v/>
      </c>
      <c r="PY46">
        <f>IF($B46=0,1000000,IF(INDEX('計算A'!$D$60:$EQ$104,$B46,46)*EU46=1,IF(AND($E46=2,KJ46=0),1000000,IF($I46&gt;0,IF(2=$J46,IF(OR(AND(46=$I46+1,OR($K46&lt;&gt;'計算A'!$A$3,'計算A'!$A$4=0)),AND(46=$I46-1,OR(22&lt;&gt;'計算A'!$A$3,'計算A'!$A$4=0))),0,IF(22=$K46,200000,ABS(22-$K46)*100)),100000+ABS(2-$J46)*1000+220)+'計算A'!AW$5*50+IF(AND($E46=1,KJ46=0),25,0),IF($F46&gt;0,INDEX('計算A'!AW$110:AW$114,$F46+1)+IF(AND($E46=1,KJ46=0),1000,0),MIN(TV46,20)*400+(IF('計算A'!AV$106=1,1-ET46,0)+IF('計算A'!AW$106=1,1-EV46,0))*150+222+'計算A'!AW$5*100000+IF(AND($E46=1,KJ46=0),50000,0))+IF($H46=1,(IF('計算A'!AV$117=1,INDEX('計算A'!AV$10:AV$54,$B46),0)+IF('計算A'!AW$117=1,INDEX('計算A'!AX$10:AX$54,$B46),0))*4000,0)-IF(AND('計算A'!AV$117=1,VT46&gt;0),2000,0)-IF(AND($L46=1,'計算A'!AW$117=1,EV46=0),2000,0))),1000000))</f>
        <v/>
      </c>
      <c r="PZ46">
        <f>IF($B46=0,1000000,IF(INDEX('計算A'!$D$60:$EQ$104,$B46,47)*EV46=1,IF(AND($E46=2,KK46=0),1000000,IF($I46&gt;0,IF(2=$J46,IF(OR(AND(47=$I46+1,OR($K46&lt;&gt;'計算A'!$A$3,'計算A'!$A$4=0)),AND(47=$I46-1,OR(23&lt;&gt;'計算A'!$A$3,'計算A'!$A$4=0))),0,IF(23=$K46,200000,ABS(23-$K46)*100)),100000+ABS(2-$J46)*1000+230)+'計算A'!AX$5*50+IF(AND($E46=1,KK46=0),25,0),IF($F46&gt;0,INDEX('計算A'!AX$110:AX$114,$F46+1)+IF(AND($E46=1,KK46=0),1000,0),MIN(TV46,20)*400+(IF('計算A'!AW$106=1,1-EU46,0)+IF('計算A'!AX$106=1,1-EW46,0))*150+232+'計算A'!AX$5*100000+IF(AND($E46=1,KK46=0),50000,0))+IF($H46=1,(IF('計算A'!AW$117=1,INDEX('計算A'!AW$10:AW$54,$B46),0)+IF('計算A'!AX$117=1,INDEX('計算A'!AY$10:AY$54,$B46),0))*4000,0)-IF(AND('計算A'!AW$117=1,VU46&gt;0),2000,0)-IF(AND($L46=1,'計算A'!AX$117=1,EW46=0),2000,0))),1000000))</f>
        <v/>
      </c>
      <c r="QA46">
        <f>IF($B46=0,1000000,IF(INDEX('計算A'!$D$60:$EQ$104,$B46,48)*EW46=1,IF(AND($E46=2,KL46=0),1000000,IF($I46&gt;0,IF(2=$J46,IF(OR(AND(48=$I46+1,OR($K46&lt;&gt;'計算A'!$A$3,'計算A'!$A$4=0)),AND(48=$I46-1,OR(24&lt;&gt;'計算A'!$A$3,'計算A'!$A$4=0))),0,IF(24=$K46,200000,ABS(24-$K46)*100)),100000+ABS(2-$J46)*1000+240)+'計算A'!AY$5*50+IF(AND($E46=1,KL46=0),25,0),IF($F46&gt;0,INDEX('計算A'!AY$110:AY$114,$F46+1)+IF(AND($E46=1,KL46=0),1000,0),MIN(TV46,20)*400+(IF('計算A'!AX$106=1,1-EV46,0))*150+242+'計算A'!AY$5*100000+IF(AND($E46=1,KL46=0),50000,0))+IF($H46=1,(IF('計算A'!AX$117=1,INDEX('計算A'!AX$10:AX$54,$B46),0))*4000,0)-IF(AND('計算A'!AX$117=1,VV46&gt;0),2000,0))),1000000))</f>
        <v/>
      </c>
      <c r="QB46">
        <f>IF($B46=0,1000000,IF(INDEX('計算A'!$D$60:$EQ$104,$B46,49)*EX46=1,IF(AND($E46=2,KM46=0),1000000,IF($I46&gt;0,IF(3=$J46,IF(OR(AND(49=$I46+1,OR($K46&lt;&gt;'計算A'!$A$3,'計算A'!$A$4=0)),AND(49=$I46-1,OR(1&lt;&gt;'計算A'!$A$3,'計算A'!$A$4=0))),0,IF(1=$K46,200000,ABS(1-$K46)*100)),100000+ABS(3-$J46)*1000+10)+'計算A'!AZ$5*50+IF(AND($E46=1,KM46=0),25,0),IF($F46&gt;0,INDEX('計算A'!AZ$110:AZ$114,$F46+1)+IF(AND($E46=1,KM46=0),1000,0),MIN(TW46,20)*400+(IF('計算A'!AZ$106=1,1-EY46,0))*150+13+'計算A'!AZ$5*100000+IF(AND($E46=1,KM46=0),50000,0))+IF($H46=1,(IF('計算A'!AZ$117=1,INDEX('計算A'!BA$10:BA$54,$B46),0))*4000,0)-IF(AND($L46=1,'計算A'!AZ$117=1,EY46=0),2000,0))),1000000))</f>
        <v/>
      </c>
      <c r="QC46">
        <f>IF($B46=0,1000000,IF(INDEX('計算A'!$D$60:$EQ$104,$B46,50)*EY46=1,IF(AND($E46=2,KN46=0),1000000,IF($I46&gt;0,IF(3=$J46,IF(OR(AND(50=$I46+1,OR($K46&lt;&gt;'計算A'!$A$3,'計算A'!$A$4=0)),AND(50=$I46-1,OR(2&lt;&gt;'計算A'!$A$3,'計算A'!$A$4=0))),0,IF(2=$K46,200000,ABS(2-$K46)*100)),100000+ABS(3-$J46)*1000+20)+'計算A'!BA$5*50+IF(AND($E46=1,KN46=0),25,0),IF($F46&gt;0,INDEX('計算A'!BA$110:BA$114,$F46+1)+IF(AND($E46=1,KN46=0),1000,0),MIN(TW46,20)*400+(IF('計算A'!AZ$106=1,1-EX46,0)+IF('計算A'!BA$106=1,1-EZ46,0))*150+23+'計算A'!BA$5*100000+IF(AND($E46=1,KN46=0),50000,0))+IF($H46=1,(IF('計算A'!AZ$117=1,INDEX('計算A'!AZ$10:AZ$54,$B46),0)+IF('計算A'!BA$117=1,INDEX('計算A'!BB$10:BB$54,$B46),0))*4000,0)-IF(AND('計算A'!AZ$117=1,VX46&gt;0),2000,0)-IF(AND($L46=1,'計算A'!BA$117=1,EZ46=0),2000,0))),1000000))</f>
        <v/>
      </c>
      <c r="QD46">
        <f>IF($B46=0,1000000,IF(INDEX('計算A'!$D$60:$EQ$104,$B46,51)*EZ46=1,IF(AND($E46=2,KO46=0),1000000,IF($I46&gt;0,IF(3=$J46,IF(OR(AND(51=$I46+1,OR($K46&lt;&gt;'計算A'!$A$3,'計算A'!$A$4=0)),AND(51=$I46-1,OR(3&lt;&gt;'計算A'!$A$3,'計算A'!$A$4=0))),0,IF(3=$K46,200000,ABS(3-$K46)*100)),100000+ABS(3-$J46)*1000+30)+'計算A'!BB$5*50+IF(AND($E46=1,KO46=0),25,0),IF($F46&gt;0,INDEX('計算A'!BB$110:BB$114,$F46+1)+IF(AND($E46=1,KO46=0),1000,0),MIN(TW46,20)*400+(IF('計算A'!BA$106=1,1-EY46,0)+IF('計算A'!BB$106=1,1-FA46,0))*150+33+'計算A'!BB$5*100000+IF(AND($E46=1,KO46=0),50000,0))+IF($H46=1,(IF('計算A'!BA$117=1,INDEX('計算A'!BA$10:BA$54,$B46),0)+IF('計算A'!BB$117=1,INDEX('計算A'!BC$10:BC$54,$B46),0))*4000,0)-IF(AND('計算A'!BA$117=1,VY46&gt;0),2000,0)-IF(AND($L46=1,'計算A'!BB$117=1,FA46=0),2000,0))),1000000))</f>
        <v/>
      </c>
      <c r="QE46">
        <f>IF($B46=0,1000000,IF(INDEX('計算A'!$D$60:$EQ$104,$B46,52)*FA46=1,IF(AND($E46=2,KP46=0),1000000,IF($I46&gt;0,IF(3=$J46,IF(OR(AND(52=$I46+1,OR($K46&lt;&gt;'計算A'!$A$3,'計算A'!$A$4=0)),AND(52=$I46-1,OR(4&lt;&gt;'計算A'!$A$3,'計算A'!$A$4=0))),0,IF(4=$K46,200000,ABS(4-$K46)*100)),100000+ABS(3-$J46)*1000+40)+'計算A'!BC$5*50+IF(AND($E46=1,KP46=0),25,0),IF($F46&gt;0,INDEX('計算A'!BC$110:BC$114,$F46+1)+IF(AND($E46=1,KP46=0),1000,0),MIN(TW46,20)*400+(IF('計算A'!BB$106=1,1-EZ46,0)+IF('計算A'!BC$106=1,1-FB46,0))*150+43+'計算A'!BC$5*100000+IF(AND($E46=1,KP46=0),50000,0))+IF($H46=1,(IF('計算A'!BB$117=1,INDEX('計算A'!BB$10:BB$54,$B46),0)+IF('計算A'!BC$117=1,INDEX('計算A'!BD$10:BD$54,$B46),0))*4000,0)-IF(AND('計算A'!BB$117=1,VZ46&gt;0),2000,0)-IF(AND($L46=1,'計算A'!BC$117=1,FB46=0),2000,0))),1000000))</f>
        <v/>
      </c>
      <c r="QF46">
        <f>IF($B46=0,1000000,IF(INDEX('計算A'!$D$60:$EQ$104,$B46,53)*FB46=1,IF(AND($E46=2,KQ46=0),1000000,IF($I46&gt;0,IF(3=$J46,IF(OR(AND(53=$I46+1,OR($K46&lt;&gt;'計算A'!$A$3,'計算A'!$A$4=0)),AND(53=$I46-1,OR(5&lt;&gt;'計算A'!$A$3,'計算A'!$A$4=0))),0,IF(5=$K46,200000,ABS(5-$K46)*100)),100000+ABS(3-$J46)*1000+50)+'計算A'!BD$5*50+IF(AND($E46=1,KQ46=0),25,0),IF($F46&gt;0,INDEX('計算A'!BD$110:BD$114,$F46+1)+IF(AND($E46=1,KQ46=0),1000,0),MIN(TW46,20)*400+(IF('計算A'!BC$106=1,1-FA46,0)+IF('計算A'!BD$106=1,1-FC46,0))*150+53+'計算A'!BD$5*100000+IF(AND($E46=1,KQ46=0),50000,0))+IF($H46=1,(IF('計算A'!BC$117=1,INDEX('計算A'!BC$10:BC$54,$B46),0)+IF('計算A'!BD$117=1,INDEX('計算A'!BE$10:BE$54,$B46),0))*4000,0)-IF(AND('計算A'!BC$117=1,WA46&gt;0),2000,0)-IF(AND($L46=1,'計算A'!BD$117=1,FC46=0),2000,0))),1000000))</f>
        <v/>
      </c>
      <c r="QG46">
        <f>IF($B46=0,1000000,IF(INDEX('計算A'!$D$60:$EQ$104,$B46,54)*FC46=1,IF(AND($E46=2,KR46=0),1000000,IF($I46&gt;0,IF(3=$J46,IF(OR(AND(54=$I46+1,OR($K46&lt;&gt;'計算A'!$A$3,'計算A'!$A$4=0)),AND(54=$I46-1,OR(6&lt;&gt;'計算A'!$A$3,'計算A'!$A$4=0))),0,IF(6=$K46,200000,ABS(6-$K46)*100)),100000+ABS(3-$J46)*1000+60)+'計算A'!BE$5*50+IF(AND($E46=1,KR46=0),25,0),IF($F46&gt;0,INDEX('計算A'!BE$110:BE$114,$F46+1)+IF(AND($E46=1,KR46=0),1000,0),MIN(TW46,20)*400+(IF('計算A'!BD$106=1,1-FB46,0)+IF('計算A'!BE$106=1,1-FD46,0))*150+63+'計算A'!BE$5*100000+IF(AND($E46=1,KR46=0),50000,0))+IF($H46=1,(IF('計算A'!BD$117=1,INDEX('計算A'!BD$10:BD$54,$B46),0)+IF('計算A'!BE$117=1,INDEX('計算A'!BF$10:BF$54,$B46),0))*4000,0)-IF(AND('計算A'!BD$117=1,WB46&gt;0),2000,0)-IF(AND($L46=1,'計算A'!BE$117=1,FD46=0),2000,0))),1000000))</f>
        <v/>
      </c>
      <c r="QH46">
        <f>IF($B46=0,1000000,IF(INDEX('計算A'!$D$60:$EQ$104,$B46,55)*FD46=1,IF(AND($E46=2,KS46=0),1000000,IF($I46&gt;0,IF(3=$J46,IF(OR(AND(55=$I46+1,OR($K46&lt;&gt;'計算A'!$A$3,'計算A'!$A$4=0)),AND(55=$I46-1,OR(7&lt;&gt;'計算A'!$A$3,'計算A'!$A$4=0))),0,IF(7=$K46,200000,ABS(7-$K46)*100)),100000+ABS(3-$J46)*1000+70)+'計算A'!BF$5*50+IF(AND($E46=1,KS46=0),25,0),IF($F46&gt;0,INDEX('計算A'!BF$110:BF$114,$F46+1)+IF(AND($E46=1,KS46=0),1000,0),MIN(TW46,20)*400+(IF('計算A'!BE$106=1,1-FC46,0)+IF('計算A'!BF$106=1,1-FE46,0))*150+73+'計算A'!BF$5*100000+IF(AND($E46=1,KS46=0),50000,0))+IF($H46=1,(IF('計算A'!BE$117=1,INDEX('計算A'!BE$10:BE$54,$B46),0)+IF('計算A'!BF$117=1,INDEX('計算A'!BG$10:BG$54,$B46),0))*4000,0)-IF(AND('計算A'!BE$117=1,WC46&gt;0),2000,0)-IF(AND($L46=1,'計算A'!BF$117=1,FE46=0),2000,0))),1000000))</f>
        <v/>
      </c>
      <c r="QI46">
        <f>IF($B46=0,1000000,IF(INDEX('計算A'!$D$60:$EQ$104,$B46,56)*FE46=1,IF(AND($E46=2,KT46=0),1000000,IF($I46&gt;0,IF(3=$J46,IF(OR(AND(56=$I46+1,OR($K46&lt;&gt;'計算A'!$A$3,'計算A'!$A$4=0)),AND(56=$I46-1,OR(8&lt;&gt;'計算A'!$A$3,'計算A'!$A$4=0))),0,IF(8=$K46,200000,ABS(8-$K46)*100)),100000+ABS(3-$J46)*1000+80)+'計算A'!BG$5*50+IF(AND($E46=1,KT46=0),25,0),IF($F46&gt;0,INDEX('計算A'!BG$110:BG$114,$F46+1)+IF(AND($E46=1,KT46=0),1000,0),MIN(TW46,20)*400+(IF('計算A'!BF$106=1,1-FD46,0)+IF('計算A'!BG$106=1,1-FF46,0))*150+83+'計算A'!BG$5*100000+IF(AND($E46=1,KT46=0),50000,0))+IF($H46=1,(IF('計算A'!BF$117=1,INDEX('計算A'!BF$10:BF$54,$B46),0)+IF('計算A'!BG$117=1,INDEX('計算A'!BH$10:BH$54,$B46),0))*4000,0)-IF(AND('計算A'!BF$117=1,WD46&gt;0),2000,0)-IF(AND($L46=1,'計算A'!BG$117=1,FF46=0),2000,0))),1000000))</f>
        <v/>
      </c>
      <c r="QJ46">
        <f>IF($B46=0,1000000,IF(INDEX('計算A'!$D$60:$EQ$104,$B46,57)*FF46=1,IF(AND($E46=2,KU46=0),1000000,IF($I46&gt;0,IF(3=$J46,IF(OR(AND(57=$I46+1,OR($K46&lt;&gt;'計算A'!$A$3,'計算A'!$A$4=0)),AND(57=$I46-1,OR(9&lt;&gt;'計算A'!$A$3,'計算A'!$A$4=0))),0,IF(9=$K46,200000,ABS(9-$K46)*100)),100000+ABS(3-$J46)*1000+90)+'計算A'!BH$5*50+IF(AND($E46=1,KU46=0),25,0),IF($F46&gt;0,INDEX('計算A'!BH$110:BH$114,$F46+1)+IF(AND($E46=1,KU46=0),1000,0),MIN(TW46,20)*400+(IF('計算A'!BG$106=1,1-FE46,0)+IF('計算A'!BH$106=1,1-FG46,0))*150+93+'計算A'!BH$5*100000+IF(AND($E46=1,KU46=0),50000,0))+IF($H46=1,(IF('計算A'!BG$117=1,INDEX('計算A'!BG$10:BG$54,$B46),0)+IF('計算A'!BH$117=1,INDEX('計算A'!BI$10:BI$54,$B46),0))*4000,0)-IF(AND('計算A'!BG$117=1,WE46&gt;0),2000,0)-IF(AND($L46=1,'計算A'!BH$117=1,FG46=0),2000,0))),1000000))</f>
        <v/>
      </c>
      <c r="QK46">
        <f>IF($B46=0,1000000,IF(INDEX('計算A'!$D$60:$EQ$104,$B46,58)*FG46=1,IF(AND($E46=2,KV46=0),1000000,IF($I46&gt;0,IF(3=$J46,IF(OR(AND(58=$I46+1,OR($K46&lt;&gt;'計算A'!$A$3,'計算A'!$A$4=0)),AND(58=$I46-1,OR(10&lt;&gt;'計算A'!$A$3,'計算A'!$A$4=0))),0,IF(10=$K46,200000,ABS(10-$K46)*100)),100000+ABS(3-$J46)*1000+100)+'計算A'!BI$5*50+IF(AND($E46=1,KV46=0),25,0),IF($F46&gt;0,INDEX('計算A'!BI$110:BI$114,$F46+1)+IF(AND($E46=1,KV46=0),1000,0),MIN(TW46,20)*400+(IF('計算A'!BH$106=1,1-FF46,0)+IF('計算A'!BI$106=1,1-FH46,0))*150+103+'計算A'!BI$5*100000+IF(AND($E46=1,KV46=0),50000,0))+IF($H46=1,(IF('計算A'!BH$117=1,INDEX('計算A'!BH$10:BH$54,$B46),0)+IF('計算A'!BI$117=1,INDEX('計算A'!BJ$10:BJ$54,$B46),0))*4000,0)-IF(AND('計算A'!BH$117=1,WF46&gt;0),2000,0)-IF(AND($L46=1,'計算A'!BI$117=1,FH46=0),2000,0))),1000000))</f>
        <v/>
      </c>
      <c r="QL46">
        <f>IF($B46=0,1000000,IF(INDEX('計算A'!$D$60:$EQ$104,$B46,59)*FH46=1,IF(AND($E46=2,KW46=0),1000000,IF($I46&gt;0,IF(3=$J46,IF(OR(AND(59=$I46+1,OR($K46&lt;&gt;'計算A'!$A$3,'計算A'!$A$4=0)),AND(59=$I46-1,OR(11&lt;&gt;'計算A'!$A$3,'計算A'!$A$4=0))),0,IF(11=$K46,200000,ABS(11-$K46)*100)),100000+ABS(3-$J46)*1000+110)+'計算A'!BJ$5*50+IF(AND($E46=1,KW46=0),25,0),IF($F46&gt;0,INDEX('計算A'!BJ$110:BJ$114,$F46+1)+IF(AND($E46=1,KW46=0),1000,0),MIN(TW46,20)*400+(IF('計算A'!BI$106=1,1-FG46,0)+IF('計算A'!BJ$106=1,1-FI46,0))*150+113+'計算A'!BJ$5*100000+IF(AND($E46=1,KW46=0),50000,0))+IF($H46=1,(IF('計算A'!BI$117=1,INDEX('計算A'!BI$10:BI$54,$B46),0)+IF('計算A'!BJ$117=1,INDEX('計算A'!BK$10:BK$54,$B46),0))*4000,0)-IF(AND('計算A'!BI$117=1,WG46&gt;0),2000,0)-IF(AND($L46=1,'計算A'!BJ$117=1,FI46=0),2000,0))),1000000))</f>
        <v/>
      </c>
      <c r="QM46">
        <f>IF($B46=0,1000000,IF(INDEX('計算A'!$D$60:$EQ$104,$B46,60)*FI46=1,IF(AND($E46=2,KX46=0),1000000,IF($I46&gt;0,IF(3=$J46,IF(OR(AND(60=$I46+1,OR($K46&lt;&gt;'計算A'!$A$3,'計算A'!$A$4=0)),AND(60=$I46-1,OR(12&lt;&gt;'計算A'!$A$3,'計算A'!$A$4=0))),0,IF(12=$K46,200000,ABS(12-$K46)*100)),100000+ABS(3-$J46)*1000+120)+'計算A'!BK$5*50+IF(AND($E46=1,KX46=0),25,0),IF($F46&gt;0,INDEX('計算A'!BK$110:BK$114,$F46+1)+IF(AND($E46=1,KX46=0),1000,0),MIN(TW46,20)*400+(IF('計算A'!BJ$106=1,1-FH46,0)+IF('計算A'!BK$106=1,1-FJ46,0))*150+123+'計算A'!BK$5*100000+IF(AND($E46=1,KX46=0),50000,0))+IF($H46=1,(IF('計算A'!BJ$117=1,INDEX('計算A'!BJ$10:BJ$54,$B46),0)+IF('計算A'!BK$117=1,INDEX('計算A'!BL$10:BL$54,$B46),0))*4000,0)-IF(AND('計算A'!BJ$117=1,WH46&gt;0),2000,0)-IF(AND($L46=1,'計算A'!BK$117=1,FJ46=0),2000,0))),1000000))</f>
        <v/>
      </c>
      <c r="QN46">
        <f>IF($B46=0,1000000,IF(INDEX('計算A'!$D$60:$EQ$104,$B46,61)*FJ46=1,IF(AND($E46=2,KY46=0),1000000,IF($I46&gt;0,IF(3=$J46,IF(OR(AND(61=$I46+1,OR($K46&lt;&gt;'計算A'!$A$3,'計算A'!$A$4=0)),AND(61=$I46-1,OR(13&lt;&gt;'計算A'!$A$3,'計算A'!$A$4=0))),0,IF(13=$K46,200000,ABS(13-$K46)*100)),100000+ABS(3-$J46)*1000+130)+'計算A'!BL$5*50+IF(AND($E46=1,KY46=0),25,0),IF($F46&gt;0,INDEX('計算A'!BL$110:BL$114,$F46+1)+IF(AND($E46=1,KY46=0),1000,0),MIN(TW46,20)*400+(IF('計算A'!BK$106=1,1-FI46,0)+IF('計算A'!BL$106=1,1-FK46,0))*150+133+'計算A'!BL$5*100000+IF(AND($E46=1,KY46=0),50000,0))+IF($H46=1,(IF('計算A'!BK$117=1,INDEX('計算A'!BK$10:BK$54,$B46),0)+IF('計算A'!BL$117=1,INDEX('計算A'!BM$10:BM$54,$B46),0))*4000,0)-IF(AND('計算A'!BK$117=1,WI46&gt;0),2000,0)-IF(AND($L46=1,'計算A'!BL$117=1,FK46=0),2000,0))),1000000))</f>
        <v/>
      </c>
      <c r="QO46">
        <f>IF($B46=0,1000000,IF(INDEX('計算A'!$D$60:$EQ$104,$B46,62)*FK46=1,IF(AND($E46=2,KZ46=0),1000000,IF($I46&gt;0,IF(3=$J46,IF(OR(AND(62=$I46+1,OR($K46&lt;&gt;'計算A'!$A$3,'計算A'!$A$4=0)),AND(62=$I46-1,OR(14&lt;&gt;'計算A'!$A$3,'計算A'!$A$4=0))),0,IF(14=$K46,200000,ABS(14-$K46)*100)),100000+ABS(3-$J46)*1000+140)+'計算A'!BM$5*50+IF(AND($E46=1,KZ46=0),25,0),IF($F46&gt;0,INDEX('計算A'!BM$110:BM$114,$F46+1)+IF(AND($E46=1,KZ46=0),1000,0),MIN(TW46,20)*400+(IF('計算A'!BL$106=1,1-FJ46,0)+IF('計算A'!BM$106=1,1-FL46,0))*150+143+'計算A'!BM$5*100000+IF(AND($E46=1,KZ46=0),50000,0))+IF($H46=1,(IF('計算A'!BL$117=1,INDEX('計算A'!BL$10:BL$54,$B46),0)+IF('計算A'!BM$117=1,INDEX('計算A'!BN$10:BN$54,$B46),0))*4000,0)-IF(AND('計算A'!BL$117=1,WJ46&gt;0),2000,0)-IF(AND($L46=1,'計算A'!BM$117=1,FL46=0),2000,0))),1000000))</f>
        <v/>
      </c>
      <c r="QP46">
        <f>IF($B46=0,1000000,IF(INDEX('計算A'!$D$60:$EQ$104,$B46,63)*FL46=1,IF(AND($E46=2,LA46=0),1000000,IF($I46&gt;0,IF(3=$J46,IF(OR(AND(63=$I46+1,OR($K46&lt;&gt;'計算A'!$A$3,'計算A'!$A$4=0)),AND(63=$I46-1,OR(15&lt;&gt;'計算A'!$A$3,'計算A'!$A$4=0))),0,IF(15=$K46,200000,ABS(15-$K46)*100)),100000+ABS(3-$J46)*1000+150)+'計算A'!BN$5*50+IF(AND($E46=1,LA46=0),25,0),IF($F46&gt;0,INDEX('計算A'!BN$110:BN$114,$F46+1)+IF(AND($E46=1,LA46=0),1000,0),MIN(TW46,20)*400+(IF('計算A'!BM$106=1,1-FK46,0)+IF('計算A'!BN$106=1,1-FM46,0))*150+153+'計算A'!BN$5*100000+IF(AND($E46=1,LA46=0),50000,0))+IF($H46=1,(IF('計算A'!BM$117=1,INDEX('計算A'!BM$10:BM$54,$B46),0)+IF('計算A'!BN$117=1,INDEX('計算A'!BO$10:BO$54,$B46),0))*4000,0)-IF(AND('計算A'!BM$117=1,WK46&gt;0),2000,0)-IF(AND($L46=1,'計算A'!BN$117=1,FM46=0),2000,0))),1000000))</f>
        <v/>
      </c>
      <c r="QQ46">
        <f>IF($B46=0,1000000,IF(INDEX('計算A'!$D$60:$EQ$104,$B46,64)*FM46=1,IF(AND($E46=2,LB46=0),1000000,IF($I46&gt;0,IF(3=$J46,IF(OR(AND(64=$I46+1,OR($K46&lt;&gt;'計算A'!$A$3,'計算A'!$A$4=0)),AND(64=$I46-1,OR(16&lt;&gt;'計算A'!$A$3,'計算A'!$A$4=0))),0,IF(16=$K46,200000,ABS(16-$K46)*100)),100000+ABS(3-$J46)*1000+160)+'計算A'!BO$5*50+IF(AND($E46=1,LB46=0),25,0),IF($F46&gt;0,INDEX('計算A'!BO$110:BO$114,$F46+1)+IF(AND($E46=1,LB46=0),1000,0),MIN(TW46,20)*400+(IF('計算A'!BN$106=1,1-FL46,0)+IF('計算A'!BO$106=1,1-FN46,0))*150+163+'計算A'!BO$5*100000+IF(AND($E46=1,LB46=0),50000,0))+IF($H46=1,(IF('計算A'!BN$117=1,INDEX('計算A'!BN$10:BN$54,$B46),0)+IF('計算A'!BO$117=1,INDEX('計算A'!BP$10:BP$54,$B46),0))*4000,0)-IF(AND('計算A'!BN$117=1,WL46&gt;0),2000,0)-IF(AND($L46=1,'計算A'!BO$117=1,FN46=0),2000,0))),1000000))</f>
        <v/>
      </c>
      <c r="QR46">
        <f>IF($B46=0,1000000,IF(INDEX('計算A'!$D$60:$EQ$104,$B46,65)*FN46=1,IF(AND($E46=2,LC46=0),1000000,IF($I46&gt;0,IF(3=$J46,IF(OR(AND(65=$I46+1,OR($K46&lt;&gt;'計算A'!$A$3,'計算A'!$A$4=0)),AND(65=$I46-1,OR(17&lt;&gt;'計算A'!$A$3,'計算A'!$A$4=0))),0,IF(17=$K46,200000,ABS(17-$K46)*100)),100000+ABS(3-$J46)*1000+170)+'計算A'!BP$5*50+IF(AND($E46=1,LC46=0),25,0),IF($F46&gt;0,INDEX('計算A'!BP$110:BP$114,$F46+1)+IF(AND($E46=1,LC46=0),1000,0),MIN(TW46,20)*400+(IF('計算A'!BO$106=1,1-FM46,0)+IF('計算A'!BP$106=1,1-FO46,0))*150+173+'計算A'!BP$5*100000+IF(AND($E46=1,LC46=0),50000,0))+IF($H46=1,(IF('計算A'!BO$117=1,INDEX('計算A'!BO$10:BO$54,$B46),0)+IF('計算A'!BP$117=1,INDEX('計算A'!BQ$10:BQ$54,$B46),0))*4000,0)-IF(AND('計算A'!BO$117=1,WM46&gt;0),2000,0)-IF(AND($L46=1,'計算A'!BP$117=1,FO46=0),2000,0))),1000000))</f>
        <v/>
      </c>
      <c r="QS46">
        <f>IF($B46=0,1000000,IF(INDEX('計算A'!$D$60:$EQ$104,$B46,66)*FO46=1,IF(AND($E46=2,LD46=0),1000000,IF($I46&gt;0,IF(3=$J46,IF(OR(AND(66=$I46+1,OR($K46&lt;&gt;'計算A'!$A$3,'計算A'!$A$4=0)),AND(66=$I46-1,OR(18&lt;&gt;'計算A'!$A$3,'計算A'!$A$4=0))),0,IF(18=$K46,200000,ABS(18-$K46)*100)),100000+ABS(3-$J46)*1000+180)+'計算A'!BQ$5*50+IF(AND($E46=1,LD46=0),25,0),IF($F46&gt;0,INDEX('計算A'!BQ$110:BQ$114,$F46+1)+IF(AND($E46=1,LD46=0),1000,0),MIN(TW46,20)*400+(IF('計算A'!BP$106=1,1-FN46,0)+IF('計算A'!BQ$106=1,1-FP46,0))*150+183+'計算A'!BQ$5*100000+IF(AND($E46=1,LD46=0),50000,0))+IF($H46=1,(IF('計算A'!BP$117=1,INDEX('計算A'!BP$10:BP$54,$B46),0)+IF('計算A'!BQ$117=1,INDEX('計算A'!BR$10:BR$54,$B46),0))*4000,0)-IF(AND('計算A'!BP$117=1,WN46&gt;0),2000,0)-IF(AND($L46=1,'計算A'!BQ$117=1,FP46=0),2000,0))),1000000))</f>
        <v/>
      </c>
      <c r="QT46">
        <f>IF($B46=0,1000000,IF(INDEX('計算A'!$D$60:$EQ$104,$B46,67)*FP46=1,IF(AND($E46=2,LE46=0),1000000,IF($I46&gt;0,IF(3=$J46,IF(OR(AND(67=$I46+1,OR($K46&lt;&gt;'計算A'!$A$3,'計算A'!$A$4=0)),AND(67=$I46-1,OR(19&lt;&gt;'計算A'!$A$3,'計算A'!$A$4=0))),0,IF(19=$K46,200000,ABS(19-$K46)*100)),100000+ABS(3-$J46)*1000+190)+'計算A'!BR$5*50+IF(AND($E46=1,LE46=0),25,0),IF($F46&gt;0,INDEX('計算A'!BR$110:BR$114,$F46+1)+IF(AND($E46=1,LE46=0),1000,0),MIN(TW46,20)*400+(IF('計算A'!BQ$106=1,1-FO46,0)+IF('計算A'!BR$106=1,1-FQ46,0))*150+193+'計算A'!BR$5*100000+IF(AND($E46=1,LE46=0),50000,0))+IF($H46=1,(IF('計算A'!BQ$117=1,INDEX('計算A'!BQ$10:BQ$54,$B46),0)+IF('計算A'!BR$117=1,INDEX('計算A'!BS$10:BS$54,$B46),0))*4000,0)-IF(AND('計算A'!BQ$117=1,WO46&gt;0),2000,0)-IF(AND($L46=1,'計算A'!BR$117=1,FQ46=0),2000,0))),1000000))</f>
        <v/>
      </c>
      <c r="QU46">
        <f>IF($B46=0,1000000,IF(INDEX('計算A'!$D$60:$EQ$104,$B46,68)*FQ46=1,IF(AND($E46=2,LF46=0),1000000,IF($I46&gt;0,IF(3=$J46,IF(OR(AND(68=$I46+1,OR($K46&lt;&gt;'計算A'!$A$3,'計算A'!$A$4=0)),AND(68=$I46-1,OR(20&lt;&gt;'計算A'!$A$3,'計算A'!$A$4=0))),0,IF(20=$K46,200000,ABS(20-$K46)*100)),100000+ABS(3-$J46)*1000+200)+'計算A'!BS$5*50+IF(AND($E46=1,LF46=0),25,0),IF($F46&gt;0,INDEX('計算A'!BS$110:BS$114,$F46+1)+IF(AND($E46=1,LF46=0),1000,0),MIN(TW46,20)*400+(IF('計算A'!BR$106=1,1-FP46,0)+IF('計算A'!BS$106=1,1-FR46,0))*150+203+'計算A'!BS$5*100000+IF(AND($E46=1,LF46=0),50000,0))+IF($H46=1,(IF('計算A'!BR$117=1,INDEX('計算A'!BR$10:BR$54,$B46),0)+IF('計算A'!BS$117=1,INDEX('計算A'!BT$10:BT$54,$B46),0))*4000,0)-IF(AND('計算A'!BR$117=1,WP46&gt;0),2000,0)-IF(AND($L46=1,'計算A'!BS$117=1,FR46=0),2000,0))),1000000))</f>
        <v/>
      </c>
      <c r="QV46">
        <f>IF($B46=0,1000000,IF(INDEX('計算A'!$D$60:$EQ$104,$B46,69)*FR46=1,IF(AND($E46=2,LG46=0),1000000,IF($I46&gt;0,IF(3=$J46,IF(OR(AND(69=$I46+1,OR($K46&lt;&gt;'計算A'!$A$3,'計算A'!$A$4=0)),AND(69=$I46-1,OR(21&lt;&gt;'計算A'!$A$3,'計算A'!$A$4=0))),0,IF(21=$K46,200000,ABS(21-$K46)*100)),100000+ABS(3-$J46)*1000+210)+'計算A'!BT$5*50+IF(AND($E46=1,LG46=0),25,0),IF($F46&gt;0,INDEX('計算A'!BT$110:BT$114,$F46+1)+IF(AND($E46=1,LG46=0),1000,0),MIN(TW46,20)*400+(IF('計算A'!BS$106=1,1-FQ46,0)+IF('計算A'!BT$106=1,1-FS46,0))*150+213+'計算A'!BT$5*100000+IF(AND($E46=1,LG46=0),50000,0))+IF($H46=1,(IF('計算A'!BS$117=1,INDEX('計算A'!BS$10:BS$54,$B46),0)+IF('計算A'!BT$117=1,INDEX('計算A'!BU$10:BU$54,$B46),0))*4000,0)-IF(AND('計算A'!BS$117=1,WQ46&gt;0),2000,0)-IF(AND($L46=1,'計算A'!BT$117=1,FS46=0),2000,0))),1000000))</f>
        <v/>
      </c>
      <c r="QW46">
        <f>IF($B46=0,1000000,IF(INDEX('計算A'!$D$60:$EQ$104,$B46,70)*FS46=1,IF(AND($E46=2,LH46=0),1000000,IF($I46&gt;0,IF(3=$J46,IF(OR(AND(70=$I46+1,OR($K46&lt;&gt;'計算A'!$A$3,'計算A'!$A$4=0)),AND(70=$I46-1,OR(22&lt;&gt;'計算A'!$A$3,'計算A'!$A$4=0))),0,IF(22=$K46,200000,ABS(22-$K46)*100)),100000+ABS(3-$J46)*1000+220)+'計算A'!BU$5*50+IF(AND($E46=1,LH46=0),25,0),IF($F46&gt;0,INDEX('計算A'!BU$110:BU$114,$F46+1)+IF(AND($E46=1,LH46=0),1000,0),MIN(TW46,20)*400+(IF('計算A'!BT$106=1,1-FR46,0)+IF('計算A'!BU$106=1,1-FT46,0))*150+223+'計算A'!BU$5*100000+IF(AND($E46=1,LH46=0),50000,0))+IF($H46=1,(IF('計算A'!BT$117=1,INDEX('計算A'!BT$10:BT$54,$B46),0)+IF('計算A'!BU$117=1,INDEX('計算A'!BV$10:BV$54,$B46),0))*4000,0)-IF(AND('計算A'!BT$117=1,WR46&gt;0),2000,0)-IF(AND($L46=1,'計算A'!BU$117=1,FT46=0),2000,0))),1000000))</f>
        <v/>
      </c>
      <c r="QX46">
        <f>IF($B46=0,1000000,IF(INDEX('計算A'!$D$60:$EQ$104,$B46,71)*FT46=1,IF(AND($E46=2,LI46=0),1000000,IF($I46&gt;0,IF(3=$J46,IF(OR(AND(71=$I46+1,OR($K46&lt;&gt;'計算A'!$A$3,'計算A'!$A$4=0)),AND(71=$I46-1,OR(23&lt;&gt;'計算A'!$A$3,'計算A'!$A$4=0))),0,IF(23=$K46,200000,ABS(23-$K46)*100)),100000+ABS(3-$J46)*1000+230)+'計算A'!BV$5*50+IF(AND($E46=1,LI46=0),25,0),IF($F46&gt;0,INDEX('計算A'!BV$110:BV$114,$F46+1)+IF(AND($E46=1,LI46=0),1000,0),MIN(TW46,20)*400+(IF('計算A'!BU$106=1,1-FS46,0)+IF('計算A'!BV$106=1,1-FU46,0))*150+233+'計算A'!BV$5*100000+IF(AND($E46=1,LI46=0),50000,0))+IF($H46=1,(IF('計算A'!BU$117=1,INDEX('計算A'!BU$10:BU$54,$B46),0)+IF('計算A'!BV$117=1,INDEX('計算A'!BW$10:BW$54,$B46),0))*4000,0)-IF(AND('計算A'!BU$117=1,WS46&gt;0),2000,0)-IF(AND($L46=1,'計算A'!BV$117=1,FU46=0),2000,0))),1000000))</f>
        <v/>
      </c>
      <c r="QY46">
        <f>IF($B46=0,1000000,IF(INDEX('計算A'!$D$60:$EQ$104,$B46,72)*FU46=1,IF(AND($E46=2,LJ46=0),1000000,IF($I46&gt;0,IF(3=$J46,IF(OR(AND(72=$I46+1,OR($K46&lt;&gt;'計算A'!$A$3,'計算A'!$A$4=0)),AND(72=$I46-1,OR(24&lt;&gt;'計算A'!$A$3,'計算A'!$A$4=0))),0,IF(24=$K46,200000,ABS(24-$K46)*100)),100000+ABS(3-$J46)*1000+240)+'計算A'!BW$5*50+IF(AND($E46=1,LJ46=0),25,0),IF($F46&gt;0,INDEX('計算A'!BW$110:BW$114,$F46+1)+IF(AND($E46=1,LJ46=0),1000,0),MIN(TW46,20)*400+(IF('計算A'!BV$106=1,1-FT46,0))*150+243+'計算A'!BW$5*100000+IF(AND($E46=1,LJ46=0),50000,0))+IF($H46=1,(IF('計算A'!BV$117=1,INDEX('計算A'!BV$10:BV$54,$B46),0))*4000,0)-IF(AND('計算A'!BV$117=1,WT46&gt;0),2000,0))),1000000))</f>
        <v/>
      </c>
      <c r="QZ46">
        <f>IF($B46=0,1000000,IF(INDEX('計算A'!$D$60:$EQ$104,$B46,73)*FV46=1,IF(AND($E46=2,LK46=0),1000000,IF($I46&gt;0,IF(4=$J46,IF(OR(AND(73=$I46+1,OR($K46&lt;&gt;'計算A'!$A$3,'計算A'!$A$4=0)),AND(73=$I46-1,OR(1&lt;&gt;'計算A'!$A$3,'計算A'!$A$4=0))),0,IF(1=$K46,200000,ABS(1-$K46)*100)),100000+ABS(4-$J46)*1000+10)+'計算A'!BX$5*50+IF(AND($E46=1,LK46=0),25,0),IF($F46&gt;0,INDEX('計算A'!BX$110:BX$114,$F46+1)+IF(AND($E46=1,LK46=0),1000,0),MIN(TX46,20)*400+(IF('計算A'!BX$106=1,1-FW46,0))*150+14+'計算A'!BX$5*100000+IF(AND($E46=1,LK46=0),50000,0))+IF($H46=1,(IF('計算A'!BX$117=1,INDEX('計算A'!BY$10:BY$54,$B46),0))*4000,0)-IF(AND($L46=1,'計算A'!BX$117=1,FW46=0),2000,0))),1000000))</f>
        <v/>
      </c>
      <c r="RA46">
        <f>IF($B46=0,1000000,IF(INDEX('計算A'!$D$60:$EQ$104,$B46,74)*FW46=1,IF(AND($E46=2,LL46=0),1000000,IF($I46&gt;0,IF(4=$J46,IF(OR(AND(74=$I46+1,OR($K46&lt;&gt;'計算A'!$A$3,'計算A'!$A$4=0)),AND(74=$I46-1,OR(2&lt;&gt;'計算A'!$A$3,'計算A'!$A$4=0))),0,IF(2=$K46,200000,ABS(2-$K46)*100)),100000+ABS(4-$J46)*1000+20)+'計算A'!BY$5*50+IF(AND($E46=1,LL46=0),25,0),IF($F46&gt;0,INDEX('計算A'!BY$110:BY$114,$F46+1)+IF(AND($E46=1,LL46=0),1000,0),MIN(TX46,20)*400+(IF('計算A'!BX$106=1,1-FV46,0)+IF('計算A'!BY$106=1,1-FX46,0))*150+24+'計算A'!BY$5*100000+IF(AND($E46=1,LL46=0),50000,0))+IF($H46=1,(IF('計算A'!BX$117=1,INDEX('計算A'!BX$10:BX$54,$B46),0)+IF('計算A'!BY$117=1,INDEX('計算A'!BZ$10:BZ$54,$B46),0))*4000,0)-IF(AND('計算A'!BX$117=1,WV46&gt;0),2000,0)-IF(AND($L46=1,'計算A'!BY$117=1,FX46=0),2000,0))),1000000))</f>
        <v/>
      </c>
      <c r="RB46">
        <f>IF($B46=0,1000000,IF(INDEX('計算A'!$D$60:$EQ$104,$B46,75)*FX46=1,IF(AND($E46=2,LM46=0),1000000,IF($I46&gt;0,IF(4=$J46,IF(OR(AND(75=$I46+1,OR($K46&lt;&gt;'計算A'!$A$3,'計算A'!$A$4=0)),AND(75=$I46-1,OR(3&lt;&gt;'計算A'!$A$3,'計算A'!$A$4=0))),0,IF(3=$K46,200000,ABS(3-$K46)*100)),100000+ABS(4-$J46)*1000+30)+'計算A'!BZ$5*50+IF(AND($E46=1,LM46=0),25,0),IF($F46&gt;0,INDEX('計算A'!BZ$110:BZ$114,$F46+1)+IF(AND($E46=1,LM46=0),1000,0),MIN(TX46,20)*400+(IF('計算A'!BY$106=1,1-FW46,0)+IF('計算A'!BZ$106=1,1-FY46,0))*150+34+'計算A'!BZ$5*100000+IF(AND($E46=1,LM46=0),50000,0))+IF($H46=1,(IF('計算A'!BY$117=1,INDEX('計算A'!BY$10:BY$54,$B46),0)+IF('計算A'!BZ$117=1,INDEX('計算A'!CA$10:CA$54,$B46),0))*4000,0)-IF(AND('計算A'!BY$117=1,WW46&gt;0),2000,0)-IF(AND($L46=1,'計算A'!BZ$117=1,FY46=0),2000,0))),1000000))</f>
        <v/>
      </c>
      <c r="RC46">
        <f>IF($B46=0,1000000,IF(INDEX('計算A'!$D$60:$EQ$104,$B46,76)*FY46=1,IF(AND($E46=2,LN46=0),1000000,IF($I46&gt;0,IF(4=$J46,IF(OR(AND(76=$I46+1,OR($K46&lt;&gt;'計算A'!$A$3,'計算A'!$A$4=0)),AND(76=$I46-1,OR(4&lt;&gt;'計算A'!$A$3,'計算A'!$A$4=0))),0,IF(4=$K46,200000,ABS(4-$K46)*100)),100000+ABS(4-$J46)*1000+40)+'計算A'!CA$5*50+IF(AND($E46=1,LN46=0),25,0),IF($F46&gt;0,INDEX('計算A'!CA$110:CA$114,$F46+1)+IF(AND($E46=1,LN46=0),1000,0),MIN(TX46,20)*400+(IF('計算A'!BZ$106=1,1-FX46,0)+IF('計算A'!CA$106=1,1-FZ46,0))*150+44+'計算A'!CA$5*100000+IF(AND($E46=1,LN46=0),50000,0))+IF($H46=1,(IF('計算A'!BZ$117=1,INDEX('計算A'!BZ$10:BZ$54,$B46),0)+IF('計算A'!CA$117=1,INDEX('計算A'!CB$10:CB$54,$B46),0))*4000,0)-IF(AND('計算A'!BZ$117=1,WX46&gt;0),2000,0)-IF(AND($L46=1,'計算A'!CA$117=1,FZ46=0),2000,0))),1000000))</f>
        <v/>
      </c>
      <c r="RD46">
        <f>IF($B46=0,1000000,IF(INDEX('計算A'!$D$60:$EQ$104,$B46,77)*FZ46=1,IF(AND($E46=2,LO46=0),1000000,IF($I46&gt;0,IF(4=$J46,IF(OR(AND(77=$I46+1,OR($K46&lt;&gt;'計算A'!$A$3,'計算A'!$A$4=0)),AND(77=$I46-1,OR(5&lt;&gt;'計算A'!$A$3,'計算A'!$A$4=0))),0,IF(5=$K46,200000,ABS(5-$K46)*100)),100000+ABS(4-$J46)*1000+50)+'計算A'!CB$5*50+IF(AND($E46=1,LO46=0),25,0),IF($F46&gt;0,INDEX('計算A'!CB$110:CB$114,$F46+1)+IF(AND($E46=1,LO46=0),1000,0),MIN(TX46,20)*400+(IF('計算A'!CA$106=1,1-FY46,0)+IF('計算A'!CB$106=1,1-GA46,0))*150+54+'計算A'!CB$5*100000+IF(AND($E46=1,LO46=0),50000,0))+IF($H46=1,(IF('計算A'!CA$117=1,INDEX('計算A'!CA$10:CA$54,$B46),0)+IF('計算A'!CB$117=1,INDEX('計算A'!CC$10:CC$54,$B46),0))*4000,0)-IF(AND('計算A'!CA$117=1,WY46&gt;0),2000,0)-IF(AND($L46=1,'計算A'!CB$117=1,GA46=0),2000,0))),1000000))</f>
        <v/>
      </c>
      <c r="RE46">
        <f>IF($B46=0,1000000,IF(INDEX('計算A'!$D$60:$EQ$104,$B46,78)*GA46=1,IF(AND($E46=2,LP46=0),1000000,IF($I46&gt;0,IF(4=$J46,IF(OR(AND(78=$I46+1,OR($K46&lt;&gt;'計算A'!$A$3,'計算A'!$A$4=0)),AND(78=$I46-1,OR(6&lt;&gt;'計算A'!$A$3,'計算A'!$A$4=0))),0,IF(6=$K46,200000,ABS(6-$K46)*100)),100000+ABS(4-$J46)*1000+60)+'計算A'!CC$5*50+IF(AND($E46=1,LP46=0),25,0),IF($F46&gt;0,INDEX('計算A'!CC$110:CC$114,$F46+1)+IF(AND($E46=1,LP46=0),1000,0),MIN(TX46,20)*400+(IF('計算A'!CB$106=1,1-FZ46,0)+IF('計算A'!CC$106=1,1-GB46,0))*150+64+'計算A'!CC$5*100000+IF(AND($E46=1,LP46=0),50000,0))+IF($H46=1,(IF('計算A'!CB$117=1,INDEX('計算A'!CB$10:CB$54,$B46),0)+IF('計算A'!CC$117=1,INDEX('計算A'!CD$10:CD$54,$B46),0))*4000,0)-IF(AND('計算A'!CB$117=1,WZ46&gt;0),2000,0)-IF(AND($L46=1,'計算A'!CC$117=1,GB46=0),2000,0))),1000000))</f>
        <v/>
      </c>
      <c r="RF46">
        <f>IF($B46=0,1000000,IF(INDEX('計算A'!$D$60:$EQ$104,$B46,79)*GB46=1,IF(AND($E46=2,LQ46=0),1000000,IF($I46&gt;0,IF(4=$J46,IF(OR(AND(79=$I46+1,OR($K46&lt;&gt;'計算A'!$A$3,'計算A'!$A$4=0)),AND(79=$I46-1,OR(7&lt;&gt;'計算A'!$A$3,'計算A'!$A$4=0))),0,IF(7=$K46,200000,ABS(7-$K46)*100)),100000+ABS(4-$J46)*1000+70)+'計算A'!CD$5*50+IF(AND($E46=1,LQ46=0),25,0),IF($F46&gt;0,INDEX('計算A'!CD$110:CD$114,$F46+1)+IF(AND($E46=1,LQ46=0),1000,0),MIN(TX46,20)*400+(IF('計算A'!CC$106=1,1-GA46,0)+IF('計算A'!CD$106=1,1-GC46,0))*150+74+'計算A'!CD$5*100000+IF(AND($E46=1,LQ46=0),50000,0))+IF($H46=1,(IF('計算A'!CC$117=1,INDEX('計算A'!CC$10:CC$54,$B46),0)+IF('計算A'!CD$117=1,INDEX('計算A'!CE$10:CE$54,$B46),0))*4000,0)-IF(AND('計算A'!CC$117=1,XA46&gt;0),2000,0)-IF(AND($L46=1,'計算A'!CD$117=1,GC46=0),2000,0))),1000000))</f>
        <v/>
      </c>
      <c r="RG46">
        <f>IF($B46=0,1000000,IF(INDEX('計算A'!$D$60:$EQ$104,$B46,80)*GC46=1,IF(AND($E46=2,LR46=0),1000000,IF($I46&gt;0,IF(4=$J46,IF(OR(AND(80=$I46+1,OR($K46&lt;&gt;'計算A'!$A$3,'計算A'!$A$4=0)),AND(80=$I46-1,OR(8&lt;&gt;'計算A'!$A$3,'計算A'!$A$4=0))),0,IF(8=$K46,200000,ABS(8-$K46)*100)),100000+ABS(4-$J46)*1000+80)+'計算A'!CE$5*50+IF(AND($E46=1,LR46=0),25,0),IF($F46&gt;0,INDEX('計算A'!CE$110:CE$114,$F46+1)+IF(AND($E46=1,LR46=0),1000,0),MIN(TX46,20)*400+(IF('計算A'!CD$106=1,1-GB46,0)+IF('計算A'!CE$106=1,1-GD46,0))*150+84+'計算A'!CE$5*100000+IF(AND($E46=1,LR46=0),50000,0))+IF($H46=1,(IF('計算A'!CD$117=1,INDEX('計算A'!CD$10:CD$54,$B46),0)+IF('計算A'!CE$117=1,INDEX('計算A'!CF$10:CF$54,$B46),0))*4000,0)-IF(AND('計算A'!CD$117=1,XB46&gt;0),2000,0)-IF(AND($L46=1,'計算A'!CE$117=1,GD46=0),2000,0))),1000000))</f>
        <v/>
      </c>
      <c r="RH46">
        <f>IF($B46=0,1000000,IF(INDEX('計算A'!$D$60:$EQ$104,$B46,81)*GD46=1,IF(AND($E46=2,LS46=0),1000000,IF($I46&gt;0,IF(4=$J46,IF(OR(AND(81=$I46+1,OR($K46&lt;&gt;'計算A'!$A$3,'計算A'!$A$4=0)),AND(81=$I46-1,OR(9&lt;&gt;'計算A'!$A$3,'計算A'!$A$4=0))),0,IF(9=$K46,200000,ABS(9-$K46)*100)),100000+ABS(4-$J46)*1000+90)+'計算A'!CF$5*50+IF(AND($E46=1,LS46=0),25,0),IF($F46&gt;0,INDEX('計算A'!CF$110:CF$114,$F46+1)+IF(AND($E46=1,LS46=0),1000,0),MIN(TX46,20)*400+(IF('計算A'!CE$106=1,1-GC46,0)+IF('計算A'!CF$106=1,1-GE46,0))*150+94+'計算A'!CF$5*100000+IF(AND($E46=1,LS46=0),50000,0))+IF($H46=1,(IF('計算A'!CE$117=1,INDEX('計算A'!CE$10:CE$54,$B46),0)+IF('計算A'!CF$117=1,INDEX('計算A'!CG$10:CG$54,$B46),0))*4000,0)-IF(AND('計算A'!CE$117=1,XC46&gt;0),2000,0)-IF(AND($L46=1,'計算A'!CF$117=1,GE46=0),2000,0))),1000000))</f>
        <v/>
      </c>
      <c r="RI46">
        <f>IF($B46=0,1000000,IF(INDEX('計算A'!$D$60:$EQ$104,$B46,82)*GE46=1,IF(AND($E46=2,LT46=0),1000000,IF($I46&gt;0,IF(4=$J46,IF(OR(AND(82=$I46+1,OR($K46&lt;&gt;'計算A'!$A$3,'計算A'!$A$4=0)),AND(82=$I46-1,OR(10&lt;&gt;'計算A'!$A$3,'計算A'!$A$4=0))),0,IF(10=$K46,200000,ABS(10-$K46)*100)),100000+ABS(4-$J46)*1000+100)+'計算A'!CG$5*50+IF(AND($E46=1,LT46=0),25,0),IF($F46&gt;0,INDEX('計算A'!CG$110:CG$114,$F46+1)+IF(AND($E46=1,LT46=0),1000,0),MIN(TX46,20)*400+(IF('計算A'!CF$106=1,1-GD46,0)+IF('計算A'!CG$106=1,1-GF46,0))*150+104+'計算A'!CG$5*100000+IF(AND($E46=1,LT46=0),50000,0))+IF($H46=1,(IF('計算A'!CF$117=1,INDEX('計算A'!CF$10:CF$54,$B46),0)+IF('計算A'!CG$117=1,INDEX('計算A'!CH$10:CH$54,$B46),0))*4000,0)-IF(AND('計算A'!CF$117=1,XD46&gt;0),2000,0)-IF(AND($L46=1,'計算A'!CG$117=1,GF46=0),2000,0))),1000000))</f>
        <v/>
      </c>
      <c r="RJ46">
        <f>IF($B46=0,1000000,IF(INDEX('計算A'!$D$60:$EQ$104,$B46,83)*GF46=1,IF(AND($E46=2,LU46=0),1000000,IF($I46&gt;0,IF(4=$J46,IF(OR(AND(83=$I46+1,OR($K46&lt;&gt;'計算A'!$A$3,'計算A'!$A$4=0)),AND(83=$I46-1,OR(11&lt;&gt;'計算A'!$A$3,'計算A'!$A$4=0))),0,IF(11=$K46,200000,ABS(11-$K46)*100)),100000+ABS(4-$J46)*1000+110)+'計算A'!CH$5*50+IF(AND($E46=1,LU46=0),25,0),IF($F46&gt;0,INDEX('計算A'!CH$110:CH$114,$F46+1)+IF(AND($E46=1,LU46=0),1000,0),MIN(TX46,20)*400+(IF('計算A'!CG$106=1,1-GE46,0)+IF('計算A'!CH$106=1,1-GG46,0))*150+114+'計算A'!CH$5*100000+IF(AND($E46=1,LU46=0),50000,0))+IF($H46=1,(IF('計算A'!CG$117=1,INDEX('計算A'!CG$10:CG$54,$B46),0)+IF('計算A'!CH$117=1,INDEX('計算A'!CI$10:CI$54,$B46),0))*4000,0)-IF(AND('計算A'!CG$117=1,XE46&gt;0),2000,0)-IF(AND($L46=1,'計算A'!CH$117=1,GG46=0),2000,0))),1000000))</f>
        <v/>
      </c>
      <c r="RK46">
        <f>IF($B46=0,1000000,IF(INDEX('計算A'!$D$60:$EQ$104,$B46,84)*GG46=1,IF(AND($E46=2,LV46=0),1000000,IF($I46&gt;0,IF(4=$J46,IF(OR(AND(84=$I46+1,OR($K46&lt;&gt;'計算A'!$A$3,'計算A'!$A$4=0)),AND(84=$I46-1,OR(12&lt;&gt;'計算A'!$A$3,'計算A'!$A$4=0))),0,IF(12=$K46,200000,ABS(12-$K46)*100)),100000+ABS(4-$J46)*1000+120)+'計算A'!CI$5*50+IF(AND($E46=1,LV46=0),25,0),IF($F46&gt;0,INDEX('計算A'!CI$110:CI$114,$F46+1)+IF(AND($E46=1,LV46=0),1000,0),MIN(TX46,20)*400+(IF('計算A'!CH$106=1,1-GF46,0)+IF('計算A'!CI$106=1,1-GH46,0))*150+124+'計算A'!CI$5*100000+IF(AND($E46=1,LV46=0),50000,0))+IF($H46=1,(IF('計算A'!CH$117=1,INDEX('計算A'!CH$10:CH$54,$B46),0)+IF('計算A'!CI$117=1,INDEX('計算A'!CJ$10:CJ$54,$B46),0))*4000,0)-IF(AND('計算A'!CH$117=1,XF46&gt;0),2000,0)-IF(AND($L46=1,'計算A'!CI$117=1,GH46=0),2000,0))),1000000))</f>
        <v/>
      </c>
      <c r="RL46">
        <f>IF($B46=0,1000000,IF(INDEX('計算A'!$D$60:$EQ$104,$B46,85)*GH46=1,IF(AND($E46=2,LW46=0),1000000,IF($I46&gt;0,IF(4=$J46,IF(OR(AND(85=$I46+1,OR($K46&lt;&gt;'計算A'!$A$3,'計算A'!$A$4=0)),AND(85=$I46-1,OR(13&lt;&gt;'計算A'!$A$3,'計算A'!$A$4=0))),0,IF(13=$K46,200000,ABS(13-$K46)*100)),100000+ABS(4-$J46)*1000+130)+'計算A'!CJ$5*50+IF(AND($E46=1,LW46=0),25,0),IF($F46&gt;0,INDEX('計算A'!CJ$110:CJ$114,$F46+1)+IF(AND($E46=1,LW46=0),1000,0),MIN(TX46,20)*400+(IF('計算A'!CI$106=1,1-GG46,0)+IF('計算A'!CJ$106=1,1-GI46,0))*150+134+'計算A'!CJ$5*100000+IF(AND($E46=1,LW46=0),50000,0))+IF($H46=1,(IF('計算A'!CI$117=1,INDEX('計算A'!CI$10:CI$54,$B46),0)+IF('計算A'!CJ$117=1,INDEX('計算A'!CK$10:CK$54,$B46),0))*4000,0)-IF(AND('計算A'!CI$117=1,XG46&gt;0),2000,0)-IF(AND($L46=1,'計算A'!CJ$117=1,GI46=0),2000,0))),1000000))</f>
        <v/>
      </c>
      <c r="RM46">
        <f>IF($B46=0,1000000,IF(INDEX('計算A'!$D$60:$EQ$104,$B46,86)*GI46=1,IF(AND($E46=2,LX46=0),1000000,IF($I46&gt;0,IF(4=$J46,IF(OR(AND(86=$I46+1,OR($K46&lt;&gt;'計算A'!$A$3,'計算A'!$A$4=0)),AND(86=$I46-1,OR(14&lt;&gt;'計算A'!$A$3,'計算A'!$A$4=0))),0,IF(14=$K46,200000,ABS(14-$K46)*100)),100000+ABS(4-$J46)*1000+140)+'計算A'!CK$5*50+IF(AND($E46=1,LX46=0),25,0),IF($F46&gt;0,INDEX('計算A'!CK$110:CK$114,$F46+1)+IF(AND($E46=1,LX46=0),1000,0),MIN(TX46,20)*400+(IF('計算A'!CJ$106=1,1-GH46,0)+IF('計算A'!CK$106=1,1-GJ46,0))*150+144+'計算A'!CK$5*100000+IF(AND($E46=1,LX46=0),50000,0))+IF($H46=1,(IF('計算A'!CJ$117=1,INDEX('計算A'!CJ$10:CJ$54,$B46),0)+IF('計算A'!CK$117=1,INDEX('計算A'!CL$10:CL$54,$B46),0))*4000,0)-IF(AND('計算A'!CJ$117=1,XH46&gt;0),2000,0)-IF(AND($L46=1,'計算A'!CK$117=1,GJ46=0),2000,0))),1000000))</f>
        <v/>
      </c>
      <c r="RN46">
        <f>IF($B46=0,1000000,IF(INDEX('計算A'!$D$60:$EQ$104,$B46,87)*GJ46=1,IF(AND($E46=2,LY46=0),1000000,IF($I46&gt;0,IF(4=$J46,IF(OR(AND(87=$I46+1,OR($K46&lt;&gt;'計算A'!$A$3,'計算A'!$A$4=0)),AND(87=$I46-1,OR(15&lt;&gt;'計算A'!$A$3,'計算A'!$A$4=0))),0,IF(15=$K46,200000,ABS(15-$K46)*100)),100000+ABS(4-$J46)*1000+150)+'計算A'!CL$5*50+IF(AND($E46=1,LY46=0),25,0),IF($F46&gt;0,INDEX('計算A'!CL$110:CL$114,$F46+1)+IF(AND($E46=1,LY46=0),1000,0),MIN(TX46,20)*400+(IF('計算A'!CK$106=1,1-GI46,0)+IF('計算A'!CL$106=1,1-GK46,0))*150+154+'計算A'!CL$5*100000+IF(AND($E46=1,LY46=0),50000,0))+IF($H46=1,(IF('計算A'!CK$117=1,INDEX('計算A'!CK$10:CK$54,$B46),0)+IF('計算A'!CL$117=1,INDEX('計算A'!CM$10:CM$54,$B46),0))*4000,0)-IF(AND('計算A'!CK$117=1,XI46&gt;0),2000,0)-IF(AND($L46=1,'計算A'!CL$117=1,GK46=0),2000,0))),1000000))</f>
        <v/>
      </c>
      <c r="RO46">
        <f>IF($B46=0,1000000,IF(INDEX('計算A'!$D$60:$EQ$104,$B46,88)*GK46=1,IF(AND($E46=2,LZ46=0),1000000,IF($I46&gt;0,IF(4=$J46,IF(OR(AND(88=$I46+1,OR($K46&lt;&gt;'計算A'!$A$3,'計算A'!$A$4=0)),AND(88=$I46-1,OR(16&lt;&gt;'計算A'!$A$3,'計算A'!$A$4=0))),0,IF(16=$K46,200000,ABS(16-$K46)*100)),100000+ABS(4-$J46)*1000+160)+'計算A'!CM$5*50+IF(AND($E46=1,LZ46=0),25,0),IF($F46&gt;0,INDEX('計算A'!CM$110:CM$114,$F46+1)+IF(AND($E46=1,LZ46=0),1000,0),MIN(TX46,20)*400+(IF('計算A'!CL$106=1,1-GJ46,0)+IF('計算A'!CM$106=1,1-GL46,0))*150+164+'計算A'!CM$5*100000+IF(AND($E46=1,LZ46=0),50000,0))+IF($H46=1,(IF('計算A'!CL$117=1,INDEX('計算A'!CL$10:CL$54,$B46),0)+IF('計算A'!CM$117=1,INDEX('計算A'!CN$10:CN$54,$B46),0))*4000,0)-IF(AND('計算A'!CL$117=1,XJ46&gt;0),2000,0)-IF(AND($L46=1,'計算A'!CM$117=1,GL46=0),2000,0))),1000000))</f>
        <v/>
      </c>
      <c r="RP46">
        <f>IF($B46=0,1000000,IF(INDEX('計算A'!$D$60:$EQ$104,$B46,89)*GL46=1,IF(AND($E46=2,MA46=0),1000000,IF($I46&gt;0,IF(4=$J46,IF(OR(AND(89=$I46+1,OR($K46&lt;&gt;'計算A'!$A$3,'計算A'!$A$4=0)),AND(89=$I46-1,OR(17&lt;&gt;'計算A'!$A$3,'計算A'!$A$4=0))),0,IF(17=$K46,200000,ABS(17-$K46)*100)),100000+ABS(4-$J46)*1000+170)+'計算A'!CN$5*50+IF(AND($E46=1,MA46=0),25,0),IF($F46&gt;0,INDEX('計算A'!CN$110:CN$114,$F46+1)+IF(AND($E46=1,MA46=0),1000,0),MIN(TX46,20)*400+(IF('計算A'!CM$106=1,1-GK46,0)+IF('計算A'!CN$106=1,1-GM46,0))*150+174+'計算A'!CN$5*100000+IF(AND($E46=1,MA46=0),50000,0))+IF($H46=1,(IF('計算A'!CM$117=1,INDEX('計算A'!CM$10:CM$54,$B46),0)+IF('計算A'!CN$117=1,INDEX('計算A'!CO$10:CO$54,$B46),0))*4000,0)-IF(AND('計算A'!CM$117=1,XK46&gt;0),2000,0)-IF(AND($L46=1,'計算A'!CN$117=1,GM46=0),2000,0))),1000000))</f>
        <v/>
      </c>
      <c r="RQ46">
        <f>IF($B46=0,1000000,IF(INDEX('計算A'!$D$60:$EQ$104,$B46,90)*GM46=1,IF(AND($E46=2,MB46=0),1000000,IF($I46&gt;0,IF(4=$J46,IF(OR(AND(90=$I46+1,OR($K46&lt;&gt;'計算A'!$A$3,'計算A'!$A$4=0)),AND(90=$I46-1,OR(18&lt;&gt;'計算A'!$A$3,'計算A'!$A$4=0))),0,IF(18=$K46,200000,ABS(18-$K46)*100)),100000+ABS(4-$J46)*1000+180)+'計算A'!CO$5*50+IF(AND($E46=1,MB46=0),25,0),IF($F46&gt;0,INDEX('計算A'!CO$110:CO$114,$F46+1)+IF(AND($E46=1,MB46=0),1000,0),MIN(TX46,20)*400+(IF('計算A'!CN$106=1,1-GL46,0)+IF('計算A'!CO$106=1,1-GN46,0))*150+184+'計算A'!CO$5*100000+IF(AND($E46=1,MB46=0),50000,0))+IF($H46=1,(IF('計算A'!CN$117=1,INDEX('計算A'!CN$10:CN$54,$B46),0)+IF('計算A'!CO$117=1,INDEX('計算A'!CP$10:CP$54,$B46),0))*4000,0)-IF(AND('計算A'!CN$117=1,XL46&gt;0),2000,0)-IF(AND($L46=1,'計算A'!CO$117=1,GN46=0),2000,0))),1000000))</f>
        <v/>
      </c>
      <c r="RR46">
        <f>IF($B46=0,1000000,IF(INDEX('計算A'!$D$60:$EQ$104,$B46,91)*GN46=1,IF(AND($E46=2,MC46=0),1000000,IF($I46&gt;0,IF(4=$J46,IF(OR(AND(91=$I46+1,OR($K46&lt;&gt;'計算A'!$A$3,'計算A'!$A$4=0)),AND(91=$I46-1,OR(19&lt;&gt;'計算A'!$A$3,'計算A'!$A$4=0))),0,IF(19=$K46,200000,ABS(19-$K46)*100)),100000+ABS(4-$J46)*1000+190)+'計算A'!CP$5*50+IF(AND($E46=1,MC46=0),25,0),IF($F46&gt;0,INDEX('計算A'!CP$110:CP$114,$F46+1)+IF(AND($E46=1,MC46=0),1000,0),MIN(TX46,20)*400+(IF('計算A'!CO$106=1,1-GM46,0)+IF('計算A'!CP$106=1,1-GO46,0))*150+194+'計算A'!CP$5*100000+IF(AND($E46=1,MC46=0),50000,0))+IF($H46=1,(IF('計算A'!CO$117=1,INDEX('計算A'!CO$10:CO$54,$B46),0)+IF('計算A'!CP$117=1,INDEX('計算A'!CQ$10:CQ$54,$B46),0))*4000,0)-IF(AND('計算A'!CO$117=1,XM46&gt;0),2000,0)-IF(AND($L46=1,'計算A'!CP$117=1,GO46=0),2000,0))),1000000))</f>
        <v/>
      </c>
      <c r="RS46">
        <f>IF($B46=0,1000000,IF(INDEX('計算A'!$D$60:$EQ$104,$B46,92)*GO46=1,IF(AND($E46=2,MD46=0),1000000,IF($I46&gt;0,IF(4=$J46,IF(OR(AND(92=$I46+1,OR($K46&lt;&gt;'計算A'!$A$3,'計算A'!$A$4=0)),AND(92=$I46-1,OR(20&lt;&gt;'計算A'!$A$3,'計算A'!$A$4=0))),0,IF(20=$K46,200000,ABS(20-$K46)*100)),100000+ABS(4-$J46)*1000+200)+'計算A'!CQ$5*50+IF(AND($E46=1,MD46=0),25,0),IF($F46&gt;0,INDEX('計算A'!CQ$110:CQ$114,$F46+1)+IF(AND($E46=1,MD46=0),1000,0),MIN(TX46,20)*400+(IF('計算A'!CP$106=1,1-GN46,0)+IF('計算A'!CQ$106=1,1-GP46,0))*150+204+'計算A'!CQ$5*100000+IF(AND($E46=1,MD46=0),50000,0))+IF($H46=1,(IF('計算A'!CP$117=1,INDEX('計算A'!CP$10:CP$54,$B46),0)+IF('計算A'!CQ$117=1,INDEX('計算A'!CR$10:CR$54,$B46),0))*4000,0)-IF(AND('計算A'!CP$117=1,XN46&gt;0),2000,0)-IF(AND($L46=1,'計算A'!CQ$117=1,GP46=0),2000,0))),1000000))</f>
        <v/>
      </c>
      <c r="RT46">
        <f>IF($B46=0,1000000,IF(INDEX('計算A'!$D$60:$EQ$104,$B46,93)*GP46=1,IF(AND($E46=2,ME46=0),1000000,IF($I46&gt;0,IF(4=$J46,IF(OR(AND(93=$I46+1,OR($K46&lt;&gt;'計算A'!$A$3,'計算A'!$A$4=0)),AND(93=$I46-1,OR(21&lt;&gt;'計算A'!$A$3,'計算A'!$A$4=0))),0,IF(21=$K46,200000,ABS(21-$K46)*100)),100000+ABS(4-$J46)*1000+210)+'計算A'!CR$5*50+IF(AND($E46=1,ME46=0),25,0),IF($F46&gt;0,INDEX('計算A'!CR$110:CR$114,$F46+1)+IF(AND($E46=1,ME46=0),1000,0),MIN(TX46,20)*400+(IF('計算A'!CQ$106=1,1-GO46,0)+IF('計算A'!CR$106=1,1-GQ46,0))*150+214+'計算A'!CR$5*100000+IF(AND($E46=1,ME46=0),50000,0))+IF($H46=1,(IF('計算A'!CQ$117=1,INDEX('計算A'!CQ$10:CQ$54,$B46),0)+IF('計算A'!CR$117=1,INDEX('計算A'!CS$10:CS$54,$B46),0))*4000,0)-IF(AND('計算A'!CQ$117=1,XO46&gt;0),2000,0)-IF(AND($L46=1,'計算A'!CR$117=1,GQ46=0),2000,0))),1000000))</f>
        <v/>
      </c>
      <c r="RU46">
        <f>IF($B46=0,1000000,IF(INDEX('計算A'!$D$60:$EQ$104,$B46,94)*GQ46=1,IF(AND($E46=2,MF46=0),1000000,IF($I46&gt;0,IF(4=$J46,IF(OR(AND(94=$I46+1,OR($K46&lt;&gt;'計算A'!$A$3,'計算A'!$A$4=0)),AND(94=$I46-1,OR(22&lt;&gt;'計算A'!$A$3,'計算A'!$A$4=0))),0,IF(22=$K46,200000,ABS(22-$K46)*100)),100000+ABS(4-$J46)*1000+220)+'計算A'!CS$5*50+IF(AND($E46=1,MF46=0),25,0),IF($F46&gt;0,INDEX('計算A'!CS$110:CS$114,$F46+1)+IF(AND($E46=1,MF46=0),1000,0),MIN(TX46,20)*400+(IF('計算A'!CR$106=1,1-GP46,0)+IF('計算A'!CS$106=1,1-GR46,0))*150+224+'計算A'!CS$5*100000+IF(AND($E46=1,MF46=0),50000,0))+IF($H46=1,(IF('計算A'!CR$117=1,INDEX('計算A'!CR$10:CR$54,$B46),0)+IF('計算A'!CS$117=1,INDEX('計算A'!CT$10:CT$54,$B46),0))*4000,0)-IF(AND('計算A'!CR$117=1,XP46&gt;0),2000,0)-IF(AND($L46=1,'計算A'!CS$117=1,GR46=0),2000,0))),1000000))</f>
        <v/>
      </c>
      <c r="RV46">
        <f>IF($B46=0,1000000,IF(INDEX('計算A'!$D$60:$EQ$104,$B46,95)*GR46=1,IF(AND($E46=2,MG46=0),1000000,IF($I46&gt;0,IF(4=$J46,IF(OR(AND(95=$I46+1,OR($K46&lt;&gt;'計算A'!$A$3,'計算A'!$A$4=0)),AND(95=$I46-1,OR(23&lt;&gt;'計算A'!$A$3,'計算A'!$A$4=0))),0,IF(23=$K46,200000,ABS(23-$K46)*100)),100000+ABS(4-$J46)*1000+230)+'計算A'!CT$5*50+IF(AND($E46=1,MG46=0),25,0),IF($F46&gt;0,INDEX('計算A'!CT$110:CT$114,$F46+1)+IF(AND($E46=1,MG46=0),1000,0),MIN(TX46,20)*400+(IF('計算A'!CS$106=1,1-GQ46,0)+IF('計算A'!CT$106=1,1-GS46,0))*150+234+'計算A'!CT$5*100000+IF(AND($E46=1,MG46=0),50000,0))+IF($H46=1,(IF('計算A'!CS$117=1,INDEX('計算A'!CS$10:CS$54,$B46),0)+IF('計算A'!CT$117=1,INDEX('計算A'!CU$10:CU$54,$B46),0))*4000,0)-IF(AND('計算A'!CS$117=1,XQ46&gt;0),2000,0)-IF(AND($L46=1,'計算A'!CT$117=1,GS46=0),2000,0))),1000000))</f>
        <v/>
      </c>
      <c r="RW46">
        <f>IF($B46=0,1000000,IF(INDEX('計算A'!$D$60:$EQ$104,$B46,96)*GS46=1,IF(AND($E46=2,MH46=0),1000000,IF($I46&gt;0,IF(4=$J46,IF(OR(AND(96=$I46+1,OR($K46&lt;&gt;'計算A'!$A$3,'計算A'!$A$4=0)),AND(96=$I46-1,OR(24&lt;&gt;'計算A'!$A$3,'計算A'!$A$4=0))),0,IF(24=$K46,200000,ABS(24-$K46)*100)),100000+ABS(4-$J46)*1000+240)+'計算A'!CU$5*50+IF(AND($E46=1,MH46=0),25,0),IF($F46&gt;0,INDEX('計算A'!CU$110:CU$114,$F46+1)+IF(AND($E46=1,MH46=0),1000,0),MIN(TX46,20)*400+(IF('計算A'!CT$106=1,1-GR46,0))*150+244+'計算A'!CU$5*100000+IF(AND($E46=1,MH46=0),50000,0))+IF($H46=1,(IF('計算A'!CT$117=1,INDEX('計算A'!CT$10:CT$54,$B46),0))*4000,0)-IF(AND('計算A'!CT$117=1,XR46&gt;0),2000,0))),1000000))</f>
        <v/>
      </c>
      <c r="RX46">
        <f>IF($B46=0,1000000,IF(INDEX('計算A'!$D$60:$EQ$104,$B46,97)*GT46=1,IF(AND($E46=2,MI46=0),1000000,IF($I46&gt;0,IF(5=$J46,IF(OR(AND(97=$I46+1,OR($K46&lt;&gt;'計算A'!$A$3,'計算A'!$A$4=0)),AND(97=$I46-1,OR(1&lt;&gt;'計算A'!$A$3,'計算A'!$A$4=0))),0,IF(1=$K46,200000,ABS(1-$K46)*100)),100000+ABS(5-$J46)*1000+10)+'計算A'!CV$5*50+IF(AND($E46=1,MI46=0),25,0),IF($F46&gt;0,INDEX('計算A'!CV$110:CV$114,$F46+1)+IF(AND($E46=1,MI46=0),1000,0),MIN(TY46,20)*400+(IF('計算A'!CV$106=1,1-GU46,0))*150+15+'計算A'!CV$5*100000+IF(AND($E46=1,MI46=0),50000,0))+IF($H46=1,(IF('計算A'!CV$117=1,INDEX('計算A'!CW$10:CW$54,$B46),0))*4000,0)-IF(AND($L46=1,'計算A'!CV$117=1,GU46=0),2000,0))),1000000))</f>
        <v/>
      </c>
      <c r="RY46">
        <f>IF($B46=0,1000000,IF(INDEX('計算A'!$D$60:$EQ$104,$B46,98)*GU46=1,IF(AND($E46=2,MJ46=0),1000000,IF($I46&gt;0,IF(5=$J46,IF(OR(AND(98=$I46+1,OR($K46&lt;&gt;'計算A'!$A$3,'計算A'!$A$4=0)),AND(98=$I46-1,OR(2&lt;&gt;'計算A'!$A$3,'計算A'!$A$4=0))),0,IF(2=$K46,200000,ABS(2-$K46)*100)),100000+ABS(5-$J46)*1000+20)+'計算A'!CW$5*50+IF(AND($E46=1,MJ46=0),25,0),IF($F46&gt;0,INDEX('計算A'!CW$110:CW$114,$F46+1)+IF(AND($E46=1,MJ46=0),1000,0),MIN(TY46,20)*400+(IF('計算A'!CV$106=1,1-GT46,0)+IF('計算A'!CW$106=1,1-GV46,0))*150+25+'計算A'!CW$5*100000+IF(AND($E46=1,MJ46=0),50000,0))+IF($H46=1,(IF('計算A'!CV$117=1,INDEX('計算A'!CV$10:CV$54,$B46),0)+IF('計算A'!CW$117=1,INDEX('計算A'!CX$10:CX$54,$B46),0))*4000,0)-IF(AND('計算A'!CV$117=1,XT46&gt;0),2000,0)-IF(AND($L46=1,'計算A'!CW$117=1,GV46=0),2000,0))),1000000))</f>
        <v/>
      </c>
      <c r="RZ46">
        <f>IF($B46=0,1000000,IF(INDEX('計算A'!$D$60:$EQ$104,$B46,99)*GV46=1,IF(AND($E46=2,MK46=0),1000000,IF($I46&gt;0,IF(5=$J46,IF(OR(AND(99=$I46+1,OR($K46&lt;&gt;'計算A'!$A$3,'計算A'!$A$4=0)),AND(99=$I46-1,OR(3&lt;&gt;'計算A'!$A$3,'計算A'!$A$4=0))),0,IF(3=$K46,200000,ABS(3-$K46)*100)),100000+ABS(5-$J46)*1000+30)+'計算A'!CX$5*50+IF(AND($E46=1,MK46=0),25,0),IF($F46&gt;0,INDEX('計算A'!CX$110:CX$114,$F46+1)+IF(AND($E46=1,MK46=0),1000,0),MIN(TY46,20)*400+(IF('計算A'!CW$106=1,1-GU46,0)+IF('計算A'!CX$106=1,1-GW46,0))*150+35+'計算A'!CX$5*100000+IF(AND($E46=1,MK46=0),50000,0))+IF($H46=1,(IF('計算A'!CW$117=1,INDEX('計算A'!CW$10:CW$54,$B46),0)+IF('計算A'!CX$117=1,INDEX('計算A'!CY$10:CY$54,$B46),0))*4000,0)-IF(AND('計算A'!CW$117=1,XU46&gt;0),2000,0)-IF(AND($L46=1,'計算A'!CX$117=1,GW46=0),2000,0))),1000000))</f>
        <v/>
      </c>
      <c r="SA46">
        <f>IF($B46=0,1000000,IF(INDEX('計算A'!$D$60:$EQ$104,$B46,100)*GW46=1,IF(AND($E46=2,ML46=0),1000000,IF($I46&gt;0,IF(5=$J46,IF(OR(AND(100=$I46+1,OR($K46&lt;&gt;'計算A'!$A$3,'計算A'!$A$4=0)),AND(100=$I46-1,OR(4&lt;&gt;'計算A'!$A$3,'計算A'!$A$4=0))),0,IF(4=$K46,200000,ABS(4-$K46)*100)),100000+ABS(5-$J46)*1000+40)+'計算A'!CY$5*50+IF(AND($E46=1,ML46=0),25,0),IF($F46&gt;0,INDEX('計算A'!CY$110:CY$114,$F46+1)+IF(AND($E46=1,ML46=0),1000,0),MIN(TY46,20)*400+(IF('計算A'!CX$106=1,1-GV46,0)+IF('計算A'!CY$106=1,1-GX46,0))*150+45+'計算A'!CY$5*100000+IF(AND($E46=1,ML46=0),50000,0))+IF($H46=1,(IF('計算A'!CX$117=1,INDEX('計算A'!CX$10:CX$54,$B46),0)+IF('計算A'!CY$117=1,INDEX('計算A'!CZ$10:CZ$54,$B46),0))*4000,0)-IF(AND('計算A'!CX$117=1,XV46&gt;0),2000,0)-IF(AND($L46=1,'計算A'!CY$117=1,GX46=0),2000,0))),1000000))</f>
        <v/>
      </c>
      <c r="SB46">
        <f>IF($B46=0,1000000,IF(INDEX('計算A'!$D$60:$EQ$104,$B46,101)*GX46=1,IF(AND($E46=2,MM46=0),1000000,IF($I46&gt;0,IF(5=$J46,IF(OR(AND(101=$I46+1,OR($K46&lt;&gt;'計算A'!$A$3,'計算A'!$A$4=0)),AND(101=$I46-1,OR(5&lt;&gt;'計算A'!$A$3,'計算A'!$A$4=0))),0,IF(5=$K46,200000,ABS(5-$K46)*100)),100000+ABS(5-$J46)*1000+50)+'計算A'!CZ$5*50+IF(AND($E46=1,MM46=0),25,0),IF($F46&gt;0,INDEX('計算A'!CZ$110:CZ$114,$F46+1)+IF(AND($E46=1,MM46=0),1000,0),MIN(TY46,20)*400+(IF('計算A'!CY$106=1,1-GW46,0)+IF('計算A'!CZ$106=1,1-GY46,0))*150+55+'計算A'!CZ$5*100000+IF(AND($E46=1,MM46=0),50000,0))+IF($H46=1,(IF('計算A'!CY$117=1,INDEX('計算A'!CY$10:CY$54,$B46),0)+IF('計算A'!CZ$117=1,INDEX('計算A'!DA$10:DA$54,$B46),0))*4000,0)-IF(AND('計算A'!CY$117=1,XW46&gt;0),2000,0)-IF(AND($L46=1,'計算A'!CZ$117=1,GY46=0),2000,0))),1000000))</f>
        <v/>
      </c>
      <c r="SC46">
        <f>IF($B46=0,1000000,IF(INDEX('計算A'!$D$60:$EQ$104,$B46,102)*GY46=1,IF(AND($E46=2,MN46=0),1000000,IF($I46&gt;0,IF(5=$J46,IF(OR(AND(102=$I46+1,OR($K46&lt;&gt;'計算A'!$A$3,'計算A'!$A$4=0)),AND(102=$I46-1,OR(6&lt;&gt;'計算A'!$A$3,'計算A'!$A$4=0))),0,IF(6=$K46,200000,ABS(6-$K46)*100)),100000+ABS(5-$J46)*1000+60)+'計算A'!DA$5*50+IF(AND($E46=1,MN46=0),25,0),IF($F46&gt;0,INDEX('計算A'!DA$110:DA$114,$F46+1)+IF(AND($E46=1,MN46=0),1000,0),MIN(TY46,20)*400+(IF('計算A'!CZ$106=1,1-GX46,0)+IF('計算A'!DA$106=1,1-GZ46,0))*150+65+'計算A'!DA$5*100000+IF(AND($E46=1,MN46=0),50000,0))+IF($H46=1,(IF('計算A'!CZ$117=1,INDEX('計算A'!CZ$10:CZ$54,$B46),0)+IF('計算A'!DA$117=1,INDEX('計算A'!DB$10:DB$54,$B46),0))*4000,0)-IF(AND('計算A'!CZ$117=1,XX46&gt;0),2000,0)-IF(AND($L46=1,'計算A'!DA$117=1,GZ46=0),2000,0))),1000000))</f>
        <v/>
      </c>
      <c r="SD46">
        <f>IF($B46=0,1000000,IF(INDEX('計算A'!$D$60:$EQ$104,$B46,103)*GZ46=1,IF(AND($E46=2,MO46=0),1000000,IF($I46&gt;0,IF(5=$J46,IF(OR(AND(103=$I46+1,OR($K46&lt;&gt;'計算A'!$A$3,'計算A'!$A$4=0)),AND(103=$I46-1,OR(7&lt;&gt;'計算A'!$A$3,'計算A'!$A$4=0))),0,IF(7=$K46,200000,ABS(7-$K46)*100)),100000+ABS(5-$J46)*1000+70)+'計算A'!DB$5*50+IF(AND($E46=1,MO46=0),25,0),IF($F46&gt;0,INDEX('計算A'!DB$110:DB$114,$F46+1)+IF(AND($E46=1,MO46=0),1000,0),MIN(TY46,20)*400+(IF('計算A'!DA$106=1,1-GY46,0)+IF('計算A'!DB$106=1,1-HA46,0))*150+75+'計算A'!DB$5*100000+IF(AND($E46=1,MO46=0),50000,0))+IF($H46=1,(IF('計算A'!DA$117=1,INDEX('計算A'!DA$10:DA$54,$B46),0)+IF('計算A'!DB$117=1,INDEX('計算A'!DC$10:DC$54,$B46),0))*4000,0)-IF(AND('計算A'!DA$117=1,XY46&gt;0),2000,0)-IF(AND($L46=1,'計算A'!DB$117=1,HA46=0),2000,0))),1000000))</f>
        <v/>
      </c>
      <c r="SE46">
        <f>IF($B46=0,1000000,IF(INDEX('計算A'!$D$60:$EQ$104,$B46,104)*HA46=1,IF(AND($E46=2,MP46=0),1000000,IF($I46&gt;0,IF(5=$J46,IF(OR(AND(104=$I46+1,OR($K46&lt;&gt;'計算A'!$A$3,'計算A'!$A$4=0)),AND(104=$I46-1,OR(8&lt;&gt;'計算A'!$A$3,'計算A'!$A$4=0))),0,IF(8=$K46,200000,ABS(8-$K46)*100)),100000+ABS(5-$J46)*1000+80)+'計算A'!DC$5*50+IF(AND($E46=1,MP46=0),25,0),IF($F46&gt;0,INDEX('計算A'!DC$110:DC$114,$F46+1)+IF(AND($E46=1,MP46=0),1000,0),MIN(TY46,20)*400+(IF('計算A'!DB$106=1,1-GZ46,0)+IF('計算A'!DC$106=1,1-HB46,0))*150+85+'計算A'!DC$5*100000+IF(AND($E46=1,MP46=0),50000,0))+IF($H46=1,(IF('計算A'!DB$117=1,INDEX('計算A'!DB$10:DB$54,$B46),0)+IF('計算A'!DC$117=1,INDEX('計算A'!DD$10:DD$54,$B46),0))*4000,0)-IF(AND('計算A'!DB$117=1,XZ46&gt;0),2000,0)-IF(AND($L46=1,'計算A'!DC$117=1,HB46=0),2000,0))),1000000))</f>
        <v/>
      </c>
      <c r="SF46">
        <f>IF($B46=0,1000000,IF(INDEX('計算A'!$D$60:$EQ$104,$B46,105)*HB46=1,IF(AND($E46=2,MQ46=0),1000000,IF($I46&gt;0,IF(5=$J46,IF(OR(AND(105=$I46+1,OR($K46&lt;&gt;'計算A'!$A$3,'計算A'!$A$4=0)),AND(105=$I46-1,OR(9&lt;&gt;'計算A'!$A$3,'計算A'!$A$4=0))),0,IF(9=$K46,200000,ABS(9-$K46)*100)),100000+ABS(5-$J46)*1000+90)+'計算A'!DD$5*50+IF(AND($E46=1,MQ46=0),25,0),IF($F46&gt;0,INDEX('計算A'!DD$110:DD$114,$F46+1)+IF(AND($E46=1,MQ46=0),1000,0),MIN(TY46,20)*400+(IF('計算A'!DC$106=1,1-HA46,0)+IF('計算A'!DD$106=1,1-HC46,0))*150+95+'計算A'!DD$5*100000+IF(AND($E46=1,MQ46=0),50000,0))+IF($H46=1,(IF('計算A'!DC$117=1,INDEX('計算A'!DC$10:DC$54,$B46),0)+IF('計算A'!DD$117=1,INDEX('計算A'!DE$10:DE$54,$B46),0))*4000,0)-IF(AND('計算A'!DC$117=1,YA46&gt;0),2000,0)-IF(AND($L46=1,'計算A'!DD$117=1,HC46=0),2000,0))),1000000))</f>
        <v/>
      </c>
      <c r="SG46">
        <f>IF($B46=0,1000000,IF(INDEX('計算A'!$D$60:$EQ$104,$B46,106)*HC46=1,IF(AND($E46=2,MR46=0),1000000,IF($I46&gt;0,IF(5=$J46,IF(OR(AND(106=$I46+1,OR($K46&lt;&gt;'計算A'!$A$3,'計算A'!$A$4=0)),AND(106=$I46-1,OR(10&lt;&gt;'計算A'!$A$3,'計算A'!$A$4=0))),0,IF(10=$K46,200000,ABS(10-$K46)*100)),100000+ABS(5-$J46)*1000+100)+'計算A'!DE$5*50+IF(AND($E46=1,MR46=0),25,0),IF($F46&gt;0,INDEX('計算A'!DE$110:DE$114,$F46+1)+IF(AND($E46=1,MR46=0),1000,0),MIN(TY46,20)*400+(IF('計算A'!DD$106=1,1-HB46,0)+IF('計算A'!DE$106=1,1-HD46,0))*150+105+'計算A'!DE$5*100000+IF(AND($E46=1,MR46=0),50000,0))+IF($H46=1,(IF('計算A'!DD$117=1,INDEX('計算A'!DD$10:DD$54,$B46),0)+IF('計算A'!DE$117=1,INDEX('計算A'!DF$10:DF$54,$B46),0))*4000,0)-IF(AND('計算A'!DD$117=1,YB46&gt;0),2000,0)-IF(AND($L46=1,'計算A'!DE$117=1,HD46=0),2000,0))),1000000))</f>
        <v/>
      </c>
      <c r="SH46">
        <f>IF($B46=0,1000000,IF(INDEX('計算A'!$D$60:$EQ$104,$B46,107)*HD46=1,IF(AND($E46=2,MS46=0),1000000,IF($I46&gt;0,IF(5=$J46,IF(OR(AND(107=$I46+1,OR($K46&lt;&gt;'計算A'!$A$3,'計算A'!$A$4=0)),AND(107=$I46-1,OR(11&lt;&gt;'計算A'!$A$3,'計算A'!$A$4=0))),0,IF(11=$K46,200000,ABS(11-$K46)*100)),100000+ABS(5-$J46)*1000+110)+'計算A'!DF$5*50+IF(AND($E46=1,MS46=0),25,0),IF($F46&gt;0,INDEX('計算A'!DF$110:DF$114,$F46+1)+IF(AND($E46=1,MS46=0),1000,0),MIN(TY46,20)*400+(IF('計算A'!DE$106=1,1-HC46,0)+IF('計算A'!DF$106=1,1-HE46,0))*150+115+'計算A'!DF$5*100000+IF(AND($E46=1,MS46=0),50000,0))+IF($H46=1,(IF('計算A'!DE$117=1,INDEX('計算A'!DE$10:DE$54,$B46),0)+IF('計算A'!DF$117=1,INDEX('計算A'!DG$10:DG$54,$B46),0))*4000,0)-IF(AND('計算A'!DE$117=1,YC46&gt;0),2000,0)-IF(AND($L46=1,'計算A'!DF$117=1,HE46=0),2000,0))),1000000))</f>
        <v/>
      </c>
      <c r="SI46">
        <f>IF($B46=0,1000000,IF(INDEX('計算A'!$D$60:$EQ$104,$B46,108)*HE46=1,IF(AND($E46=2,MT46=0),1000000,IF($I46&gt;0,IF(5=$J46,IF(OR(AND(108=$I46+1,OR($K46&lt;&gt;'計算A'!$A$3,'計算A'!$A$4=0)),AND(108=$I46-1,OR(12&lt;&gt;'計算A'!$A$3,'計算A'!$A$4=0))),0,IF(12=$K46,200000,ABS(12-$K46)*100)),100000+ABS(5-$J46)*1000+120)+'計算A'!DG$5*50+IF(AND($E46=1,MT46=0),25,0),IF($F46&gt;0,INDEX('計算A'!DG$110:DG$114,$F46+1)+IF(AND($E46=1,MT46=0),1000,0),MIN(TY46,20)*400+(IF('計算A'!DF$106=1,1-HD46,0)+IF('計算A'!DG$106=1,1-HF46,0))*150+125+'計算A'!DG$5*100000+IF(AND($E46=1,MT46=0),50000,0))+IF($H46=1,(IF('計算A'!DF$117=1,INDEX('計算A'!DF$10:DF$54,$B46),0)+IF('計算A'!DG$117=1,INDEX('計算A'!DH$10:DH$54,$B46),0))*4000,0)-IF(AND('計算A'!DF$117=1,YD46&gt;0),2000,0)-IF(AND($L46=1,'計算A'!DG$117=1,HF46=0),2000,0))),1000000))</f>
        <v/>
      </c>
      <c r="SJ46">
        <f>IF($B46=0,1000000,IF(INDEX('計算A'!$D$60:$EQ$104,$B46,109)*HF46=1,IF(AND($E46=2,MU46=0),1000000,IF($I46&gt;0,IF(5=$J46,IF(OR(AND(109=$I46+1,OR($K46&lt;&gt;'計算A'!$A$3,'計算A'!$A$4=0)),AND(109=$I46-1,OR(13&lt;&gt;'計算A'!$A$3,'計算A'!$A$4=0))),0,IF(13=$K46,200000,ABS(13-$K46)*100)),100000+ABS(5-$J46)*1000+130)+'計算A'!DH$5*50+IF(AND($E46=1,MU46=0),25,0),IF($F46&gt;0,INDEX('計算A'!DH$110:DH$114,$F46+1)+IF(AND($E46=1,MU46=0),1000,0),MIN(TY46,20)*400+(IF('計算A'!DG$106=1,1-HE46,0)+IF('計算A'!DH$106=1,1-HG46,0))*150+135+'計算A'!DH$5*100000+IF(AND($E46=1,MU46=0),50000,0))+IF($H46=1,(IF('計算A'!DG$117=1,INDEX('計算A'!DG$10:DG$54,$B46),0)+IF('計算A'!DH$117=1,INDEX('計算A'!DI$10:DI$54,$B46),0))*4000,0)-IF(AND('計算A'!DG$117=1,YE46&gt;0),2000,0)-IF(AND($L46=1,'計算A'!DH$117=1,HG46=0),2000,0))),1000000))</f>
        <v/>
      </c>
      <c r="SK46">
        <f>IF($B46=0,1000000,IF(INDEX('計算A'!$D$60:$EQ$104,$B46,110)*HG46=1,IF(AND($E46=2,MV46=0),1000000,IF($I46&gt;0,IF(5=$J46,IF(OR(AND(110=$I46+1,OR($K46&lt;&gt;'計算A'!$A$3,'計算A'!$A$4=0)),AND(110=$I46-1,OR(14&lt;&gt;'計算A'!$A$3,'計算A'!$A$4=0))),0,IF(14=$K46,200000,ABS(14-$K46)*100)),100000+ABS(5-$J46)*1000+140)+'計算A'!DI$5*50+IF(AND($E46=1,MV46=0),25,0),IF($F46&gt;0,INDEX('計算A'!DI$110:DI$114,$F46+1)+IF(AND($E46=1,MV46=0),1000,0),MIN(TY46,20)*400+(IF('計算A'!DH$106=1,1-HF46,0)+IF('計算A'!DI$106=1,1-HH46,0))*150+145+'計算A'!DI$5*100000+IF(AND($E46=1,MV46=0),50000,0))+IF($H46=1,(IF('計算A'!DH$117=1,INDEX('計算A'!DH$10:DH$54,$B46),0)+IF('計算A'!DI$117=1,INDEX('計算A'!DJ$10:DJ$54,$B46),0))*4000,0)-IF(AND('計算A'!DH$117=1,YF46&gt;0),2000,0)-IF(AND($L46=1,'計算A'!DI$117=1,HH46=0),2000,0))),1000000))</f>
        <v/>
      </c>
      <c r="SL46">
        <f>IF($B46=0,1000000,IF(INDEX('計算A'!$D$60:$EQ$104,$B46,111)*HH46=1,IF(AND($E46=2,MW46=0),1000000,IF($I46&gt;0,IF(5=$J46,IF(OR(AND(111=$I46+1,OR($K46&lt;&gt;'計算A'!$A$3,'計算A'!$A$4=0)),AND(111=$I46-1,OR(15&lt;&gt;'計算A'!$A$3,'計算A'!$A$4=0))),0,IF(15=$K46,200000,ABS(15-$K46)*100)),100000+ABS(5-$J46)*1000+150)+'計算A'!DJ$5*50+IF(AND($E46=1,MW46=0),25,0),IF($F46&gt;0,INDEX('計算A'!DJ$110:DJ$114,$F46+1)+IF(AND($E46=1,MW46=0),1000,0),MIN(TY46,20)*400+(IF('計算A'!DI$106=1,1-HG46,0)+IF('計算A'!DJ$106=1,1-HI46,0))*150+155+'計算A'!DJ$5*100000+IF(AND($E46=1,MW46=0),50000,0))+IF($H46=1,(IF('計算A'!DI$117=1,INDEX('計算A'!DI$10:DI$54,$B46),0)+IF('計算A'!DJ$117=1,INDEX('計算A'!DK$10:DK$54,$B46),0))*4000,0)-IF(AND('計算A'!DI$117=1,YG46&gt;0),2000,0)-IF(AND($L46=1,'計算A'!DJ$117=1,HI46=0),2000,0))),1000000))</f>
        <v/>
      </c>
      <c r="SM46">
        <f>IF($B46=0,1000000,IF(INDEX('計算A'!$D$60:$EQ$104,$B46,112)*HI46=1,IF(AND($E46=2,MX46=0),1000000,IF($I46&gt;0,IF(5=$J46,IF(OR(AND(112=$I46+1,OR($K46&lt;&gt;'計算A'!$A$3,'計算A'!$A$4=0)),AND(112=$I46-1,OR(16&lt;&gt;'計算A'!$A$3,'計算A'!$A$4=0))),0,IF(16=$K46,200000,ABS(16-$K46)*100)),100000+ABS(5-$J46)*1000+160)+'計算A'!DK$5*50+IF(AND($E46=1,MX46=0),25,0),IF($F46&gt;0,INDEX('計算A'!DK$110:DK$114,$F46+1)+IF(AND($E46=1,MX46=0),1000,0),MIN(TY46,20)*400+(IF('計算A'!DJ$106=1,1-HH46,0)+IF('計算A'!DK$106=1,1-HJ46,0))*150+165+'計算A'!DK$5*100000+IF(AND($E46=1,MX46=0),50000,0))+IF($H46=1,(IF('計算A'!DJ$117=1,INDEX('計算A'!DJ$10:DJ$54,$B46),0)+IF('計算A'!DK$117=1,INDEX('計算A'!DL$10:DL$54,$B46),0))*4000,0)-IF(AND('計算A'!DJ$117=1,YH46&gt;0),2000,0)-IF(AND($L46=1,'計算A'!DK$117=1,HJ46=0),2000,0))),1000000))</f>
        <v/>
      </c>
      <c r="SN46">
        <f>IF($B46=0,1000000,IF(INDEX('計算A'!$D$60:$EQ$104,$B46,113)*HJ46=1,IF(AND($E46=2,MY46=0),1000000,IF($I46&gt;0,IF(5=$J46,IF(OR(AND(113=$I46+1,OR($K46&lt;&gt;'計算A'!$A$3,'計算A'!$A$4=0)),AND(113=$I46-1,OR(17&lt;&gt;'計算A'!$A$3,'計算A'!$A$4=0))),0,IF(17=$K46,200000,ABS(17-$K46)*100)),100000+ABS(5-$J46)*1000+170)+'計算A'!DL$5*50+IF(AND($E46=1,MY46=0),25,0),IF($F46&gt;0,INDEX('計算A'!DL$110:DL$114,$F46+1)+IF(AND($E46=1,MY46=0),1000,0),MIN(TY46,20)*400+(IF('計算A'!DK$106=1,1-HI46,0)+IF('計算A'!DL$106=1,1-HK46,0))*150+175+'計算A'!DL$5*100000+IF(AND($E46=1,MY46=0),50000,0))+IF($H46=1,(IF('計算A'!DK$117=1,INDEX('計算A'!DK$10:DK$54,$B46),0)+IF('計算A'!DL$117=1,INDEX('計算A'!DM$10:DM$54,$B46),0))*4000,0)-IF(AND('計算A'!DK$117=1,YI46&gt;0),2000,0)-IF(AND($L46=1,'計算A'!DL$117=1,HK46=0),2000,0))),1000000))</f>
        <v/>
      </c>
      <c r="SO46">
        <f>IF($B46=0,1000000,IF(INDEX('計算A'!$D$60:$EQ$104,$B46,114)*HK46=1,IF(AND($E46=2,MZ46=0),1000000,IF($I46&gt;0,IF(5=$J46,IF(OR(AND(114=$I46+1,OR($K46&lt;&gt;'計算A'!$A$3,'計算A'!$A$4=0)),AND(114=$I46-1,OR(18&lt;&gt;'計算A'!$A$3,'計算A'!$A$4=0))),0,IF(18=$K46,200000,ABS(18-$K46)*100)),100000+ABS(5-$J46)*1000+180)+'計算A'!DM$5*50+IF(AND($E46=1,MZ46=0),25,0),IF($F46&gt;0,INDEX('計算A'!DM$110:DM$114,$F46+1)+IF(AND($E46=1,MZ46=0),1000,0),MIN(TY46,20)*400+(IF('計算A'!DL$106=1,1-HJ46,0)+IF('計算A'!DM$106=1,1-HL46,0))*150+185+'計算A'!DM$5*100000+IF(AND($E46=1,MZ46=0),50000,0))+IF($H46=1,(IF('計算A'!DL$117=1,INDEX('計算A'!DL$10:DL$54,$B46),0)+IF('計算A'!DM$117=1,INDEX('計算A'!DN$10:DN$54,$B46),0))*4000,0)-IF(AND('計算A'!DL$117=1,YJ46&gt;0),2000,0)-IF(AND($L46=1,'計算A'!DM$117=1,HL46=0),2000,0))),1000000))</f>
        <v/>
      </c>
      <c r="SP46">
        <f>IF($B46=0,1000000,IF(INDEX('計算A'!$D$60:$EQ$104,$B46,115)*HL46=1,IF(AND($E46=2,NA46=0),1000000,IF($I46&gt;0,IF(5=$J46,IF(OR(AND(115=$I46+1,OR($K46&lt;&gt;'計算A'!$A$3,'計算A'!$A$4=0)),AND(115=$I46-1,OR(19&lt;&gt;'計算A'!$A$3,'計算A'!$A$4=0))),0,IF(19=$K46,200000,ABS(19-$K46)*100)),100000+ABS(5-$J46)*1000+190)+'計算A'!DN$5*50+IF(AND($E46=1,NA46=0),25,0),IF($F46&gt;0,INDEX('計算A'!DN$110:DN$114,$F46+1)+IF(AND($E46=1,NA46=0),1000,0),MIN(TY46,20)*400+(IF('計算A'!DM$106=1,1-HK46,0)+IF('計算A'!DN$106=1,1-HM46,0))*150+195+'計算A'!DN$5*100000+IF(AND($E46=1,NA46=0),50000,0))+IF($H46=1,(IF('計算A'!DM$117=1,INDEX('計算A'!DM$10:DM$54,$B46),0)+IF('計算A'!DN$117=1,INDEX('計算A'!DO$10:DO$54,$B46),0))*4000,0)-IF(AND('計算A'!DM$117=1,YK46&gt;0),2000,0)-IF(AND($L46=1,'計算A'!DN$117=1,HM46=0),2000,0))),1000000))</f>
        <v/>
      </c>
      <c r="SQ46">
        <f>IF($B46=0,1000000,IF(INDEX('計算A'!$D$60:$EQ$104,$B46,116)*HM46=1,IF(AND($E46=2,NB46=0),1000000,IF($I46&gt;0,IF(5=$J46,IF(OR(AND(116=$I46+1,OR($K46&lt;&gt;'計算A'!$A$3,'計算A'!$A$4=0)),AND(116=$I46-1,OR(20&lt;&gt;'計算A'!$A$3,'計算A'!$A$4=0))),0,IF(20=$K46,200000,ABS(20-$K46)*100)),100000+ABS(5-$J46)*1000+200)+'計算A'!DO$5*50+IF(AND($E46=1,NB46=0),25,0),IF($F46&gt;0,INDEX('計算A'!DO$110:DO$114,$F46+1)+IF(AND($E46=1,NB46=0),1000,0),MIN(TY46,20)*400+(IF('計算A'!DN$106=1,1-HL46,0)+IF('計算A'!DO$106=1,1-HN46,0))*150+205+'計算A'!DO$5*100000+IF(AND($E46=1,NB46=0),50000,0))+IF($H46=1,(IF('計算A'!DN$117=1,INDEX('計算A'!DN$10:DN$54,$B46),0)+IF('計算A'!DO$117=1,INDEX('計算A'!DP$10:DP$54,$B46),0))*4000,0)-IF(AND('計算A'!DN$117=1,YL46&gt;0),2000,0)-IF(AND($L46=1,'計算A'!DO$117=1,HN46=0),2000,0))),1000000))</f>
        <v/>
      </c>
      <c r="SR46">
        <f>IF($B46=0,1000000,IF(INDEX('計算A'!$D$60:$EQ$104,$B46,117)*HN46=1,IF(AND($E46=2,NC46=0),1000000,IF($I46&gt;0,IF(5=$J46,IF(OR(AND(117=$I46+1,OR($K46&lt;&gt;'計算A'!$A$3,'計算A'!$A$4=0)),AND(117=$I46-1,OR(21&lt;&gt;'計算A'!$A$3,'計算A'!$A$4=0))),0,IF(21=$K46,200000,ABS(21-$K46)*100)),100000+ABS(5-$J46)*1000+210)+'計算A'!DP$5*50+IF(AND($E46=1,NC46=0),25,0),IF($F46&gt;0,INDEX('計算A'!DP$110:DP$114,$F46+1)+IF(AND($E46=1,NC46=0),1000,0),MIN(TY46,20)*400+(IF('計算A'!DO$106=1,1-HM46,0)+IF('計算A'!DP$106=1,1-HO46,0))*150+215+'計算A'!DP$5*100000+IF(AND($E46=1,NC46=0),50000,0))+IF($H46=1,(IF('計算A'!DO$117=1,INDEX('計算A'!DO$10:DO$54,$B46),0)+IF('計算A'!DP$117=1,INDEX('計算A'!DQ$10:DQ$54,$B46),0))*4000,0)-IF(AND('計算A'!DO$117=1,YM46&gt;0),2000,0)-IF(AND($L46=1,'計算A'!DP$117=1,HO46=0),2000,0))),1000000))</f>
        <v/>
      </c>
      <c r="SS46">
        <f>IF($B46=0,1000000,IF(INDEX('計算A'!$D$60:$EQ$104,$B46,118)*HO46=1,IF(AND($E46=2,ND46=0),1000000,IF($I46&gt;0,IF(5=$J46,IF(OR(AND(118=$I46+1,OR($K46&lt;&gt;'計算A'!$A$3,'計算A'!$A$4=0)),AND(118=$I46-1,OR(22&lt;&gt;'計算A'!$A$3,'計算A'!$A$4=0))),0,IF(22=$K46,200000,ABS(22-$K46)*100)),100000+ABS(5-$J46)*1000+220)+'計算A'!DQ$5*50+IF(AND($E46=1,ND46=0),25,0),IF($F46&gt;0,INDEX('計算A'!DQ$110:DQ$114,$F46+1)+IF(AND($E46=1,ND46=0),1000,0),MIN(TY46,20)*400+(IF('計算A'!DP$106=1,1-HN46,0)+IF('計算A'!DQ$106=1,1-HP46,0))*150+225+'計算A'!DQ$5*100000+IF(AND($E46=1,ND46=0),50000,0))+IF($H46=1,(IF('計算A'!DP$117=1,INDEX('計算A'!DP$10:DP$54,$B46),0)+IF('計算A'!DQ$117=1,INDEX('計算A'!DR$10:DR$54,$B46),0))*4000,0)-IF(AND('計算A'!DP$117=1,YN46&gt;0),2000,0)-IF(AND($L46=1,'計算A'!DQ$117=1,HP46=0),2000,0))),1000000))</f>
        <v/>
      </c>
      <c r="ST46">
        <f>IF($B46=0,1000000,IF(INDEX('計算A'!$D$60:$EQ$104,$B46,119)*HP46=1,IF(AND($E46=2,NE46=0),1000000,IF($I46&gt;0,IF(5=$J46,IF(OR(AND(119=$I46+1,OR($K46&lt;&gt;'計算A'!$A$3,'計算A'!$A$4=0)),AND(119=$I46-1,OR(23&lt;&gt;'計算A'!$A$3,'計算A'!$A$4=0))),0,IF(23=$K46,200000,ABS(23-$K46)*100)),100000+ABS(5-$J46)*1000+230)+'計算A'!DR$5*50+IF(AND($E46=1,NE46=0),25,0),IF($F46&gt;0,INDEX('計算A'!DR$110:DR$114,$F46+1)+IF(AND($E46=1,NE46=0),1000,0),MIN(TY46,20)*400+(IF('計算A'!DQ$106=1,1-HO46,0)+IF('計算A'!DR$106=1,1-HQ46,0))*150+235+'計算A'!DR$5*100000+IF(AND($E46=1,NE46=0),50000,0))+IF($H46=1,(IF('計算A'!DQ$117=1,INDEX('計算A'!DQ$10:DQ$54,$B46),0)+IF('計算A'!DR$117=1,INDEX('計算A'!DS$10:DS$54,$B46),0))*4000,0)-IF(AND('計算A'!DQ$117=1,YO46&gt;0),2000,0)-IF(AND($L46=1,'計算A'!DR$117=1,HQ46=0),2000,0))),1000000))</f>
        <v/>
      </c>
      <c r="SU46">
        <f>IF($B46=0,1000000,IF(INDEX('計算A'!$D$60:$EQ$104,$B46,120)*HQ46=1,IF(AND($E46=2,NF46=0),1000000,IF($I46&gt;0,IF(5=$J46,IF(OR(AND(120=$I46+1,OR($K46&lt;&gt;'計算A'!$A$3,'計算A'!$A$4=0)),AND(120=$I46-1,OR(24&lt;&gt;'計算A'!$A$3,'計算A'!$A$4=0))),0,IF(24=$K46,200000,ABS(24-$K46)*100)),100000+ABS(5-$J46)*1000+240)+'計算A'!DS$5*50+IF(AND($E46=1,NF46=0),25,0),IF($F46&gt;0,INDEX('計算A'!DS$110:DS$114,$F46+1)+IF(AND($E46=1,NF46=0),1000,0),MIN(TY46,20)*400+(IF('計算A'!DR$106=1,1-HP46,0))*150+245+'計算A'!DS$5*100000+IF(AND($E46=1,NF46=0),50000,0))+IF($H46=1,(IF('計算A'!DR$117=1,INDEX('計算A'!DR$10:DR$54,$B46),0))*4000,0)-IF(AND('計算A'!DR$117=1,YP46&gt;0),2000,0))),1000000))</f>
        <v/>
      </c>
      <c r="SV46">
        <f>IF($B46=0,1000000,IF(INDEX('計算A'!$D$60:$EQ$104,$B46,121)*HR46=1,IF(AND($E46=2,NG46=0),1000000,IF($I46&gt;0,IF(6=$J46,IF(OR(AND(121=$I46+1,OR($K46&lt;&gt;'計算A'!$A$3,'計算A'!$A$4=0)),AND(121=$I46-1,OR(1&lt;&gt;'計算A'!$A$3,'計算A'!$A$4=0))),0,IF(1=$K46,200000,ABS(1-$K46)*100)),100000+ABS(6-$J46)*1000+10)+'計算A'!DT$5*50+IF(AND($E46=1,NG46=0),25,0),IF($F46&gt;0,INDEX('計算A'!DT$110:DT$114,$F46+1)+IF(AND($E46=1,NG46=0),1000,0),MIN(TZ46,20)*400+(IF('計算A'!DT$106=1,1-HS46,0))*150+16+'計算A'!DT$5*100000+IF(AND($E46=1,NG46=0),50000,0))+IF($H46=1,(IF('計算A'!DT$117=1,INDEX('計算A'!DU$10:DU$54,$B46),0))*4000,0)-IF(AND($L46=1,'計算A'!DT$117=1,HS46=0),2000,0))),1000000))</f>
        <v/>
      </c>
      <c r="SW46">
        <f>IF($B46=0,1000000,IF(INDEX('計算A'!$D$60:$EQ$104,$B46,122)*HS46=1,IF(AND($E46=2,NH46=0),1000000,IF($I46&gt;0,IF(6=$J46,IF(OR(AND(122=$I46+1,OR($K46&lt;&gt;'計算A'!$A$3,'計算A'!$A$4=0)),AND(122=$I46-1,OR(2&lt;&gt;'計算A'!$A$3,'計算A'!$A$4=0))),0,IF(2=$K46,200000,ABS(2-$K46)*100)),100000+ABS(6-$J46)*1000+20)+'計算A'!DU$5*50+IF(AND($E46=1,NH46=0),25,0),IF($F46&gt;0,INDEX('計算A'!DU$110:DU$114,$F46+1)+IF(AND($E46=1,NH46=0),1000,0),MIN(TZ46,20)*400+(IF('計算A'!DT$106=1,1-HR46,0)+IF('計算A'!DU$106=1,1-HT46,0))*150+26+'計算A'!DU$5*100000+IF(AND($E46=1,NH46=0),50000,0))+IF($H46=1,(IF('計算A'!DT$117=1,INDEX('計算A'!DT$10:DT$54,$B46),0)+IF('計算A'!DU$117=1,INDEX('計算A'!DV$10:DV$54,$B46),0))*4000,0)-IF(AND('計算A'!DT$117=1,YR46&gt;0),2000,0)-IF(AND($L46=1,'計算A'!DU$117=1,HT46=0),2000,0))),1000000))</f>
        <v/>
      </c>
      <c r="SX46">
        <f>IF($B46=0,1000000,IF(INDEX('計算A'!$D$60:$EQ$104,$B46,123)*HT46=1,IF(AND($E46=2,NI46=0),1000000,IF($I46&gt;0,IF(6=$J46,IF(OR(AND(123=$I46+1,OR($K46&lt;&gt;'計算A'!$A$3,'計算A'!$A$4=0)),AND(123=$I46-1,OR(3&lt;&gt;'計算A'!$A$3,'計算A'!$A$4=0))),0,IF(3=$K46,200000,ABS(3-$K46)*100)),100000+ABS(6-$J46)*1000+30)+'計算A'!DV$5*50+IF(AND($E46=1,NI46=0),25,0),IF($F46&gt;0,INDEX('計算A'!DV$110:DV$114,$F46+1)+IF(AND($E46=1,NI46=0),1000,0),MIN(TZ46,20)*400+(IF('計算A'!DU$106=1,1-HS46,0)+IF('計算A'!DV$106=1,1-HU46,0))*150+36+'計算A'!DV$5*100000+IF(AND($E46=1,NI46=0),50000,0))+IF($H46=1,(IF('計算A'!DU$117=1,INDEX('計算A'!DU$10:DU$54,$B46),0)+IF('計算A'!DV$117=1,INDEX('計算A'!DW$10:DW$54,$B46),0))*4000,0)-IF(AND('計算A'!DU$117=1,YS46&gt;0),2000,0)-IF(AND($L46=1,'計算A'!DV$117=1,HU46=0),2000,0))),1000000))</f>
        <v/>
      </c>
      <c r="SY46">
        <f>IF($B46=0,1000000,IF(INDEX('計算A'!$D$60:$EQ$104,$B46,124)*HU46=1,IF(AND($E46=2,NJ46=0),1000000,IF($I46&gt;0,IF(6=$J46,IF(OR(AND(124=$I46+1,OR($K46&lt;&gt;'計算A'!$A$3,'計算A'!$A$4=0)),AND(124=$I46-1,OR(4&lt;&gt;'計算A'!$A$3,'計算A'!$A$4=0))),0,IF(4=$K46,200000,ABS(4-$K46)*100)),100000+ABS(6-$J46)*1000+40)+'計算A'!DW$5*50+IF(AND($E46=1,NJ46=0),25,0),IF($F46&gt;0,INDEX('計算A'!DW$110:DW$114,$F46+1)+IF(AND($E46=1,NJ46=0),1000,0),MIN(TZ46,20)*400+(IF('計算A'!DV$106=1,1-HT46,0)+IF('計算A'!DW$106=1,1-HV46,0))*150+46+'計算A'!DW$5*100000+IF(AND($E46=1,NJ46=0),50000,0))+IF($H46=1,(IF('計算A'!DV$117=1,INDEX('計算A'!DV$10:DV$54,$B46),0)+IF('計算A'!DW$117=1,INDEX('計算A'!DX$10:DX$54,$B46),0))*4000,0)-IF(AND('計算A'!DV$117=1,YT46&gt;0),2000,0)-IF(AND($L46=1,'計算A'!DW$117=1,HV46=0),2000,0))),1000000))</f>
        <v/>
      </c>
      <c r="SZ46">
        <f>IF($B46=0,1000000,IF(INDEX('計算A'!$D$60:$EQ$104,$B46,125)*HV46=1,IF(AND($E46=2,NK46=0),1000000,IF($I46&gt;0,IF(6=$J46,IF(OR(AND(125=$I46+1,OR($K46&lt;&gt;'計算A'!$A$3,'計算A'!$A$4=0)),AND(125=$I46-1,OR(5&lt;&gt;'計算A'!$A$3,'計算A'!$A$4=0))),0,IF(5=$K46,200000,ABS(5-$K46)*100)),100000+ABS(6-$J46)*1000+50)+'計算A'!DX$5*50+IF(AND($E46=1,NK46=0),25,0),IF($F46&gt;0,INDEX('計算A'!DX$110:DX$114,$F46+1)+IF(AND($E46=1,NK46=0),1000,0),MIN(TZ46,20)*400+(IF('計算A'!DW$106=1,1-HU46,0)+IF('計算A'!DX$106=1,1-HW46,0))*150+56+'計算A'!DX$5*100000+IF(AND($E46=1,NK46=0),50000,0))+IF($H46=1,(IF('計算A'!DW$117=1,INDEX('計算A'!DW$10:DW$54,$B46),0)+IF('計算A'!DX$117=1,INDEX('計算A'!DY$10:DY$54,$B46),0))*4000,0)-IF(AND('計算A'!DW$117=1,YU46&gt;0),2000,0)-IF(AND($L46=1,'計算A'!DX$117=1,HW46=0),2000,0))),1000000))</f>
        <v/>
      </c>
      <c r="TA46">
        <f>IF($B46=0,1000000,IF(INDEX('計算A'!$D$60:$EQ$104,$B46,126)*HW46=1,IF(AND($E46=2,NL46=0),1000000,IF($I46&gt;0,IF(6=$J46,IF(OR(AND(126=$I46+1,OR($K46&lt;&gt;'計算A'!$A$3,'計算A'!$A$4=0)),AND(126=$I46-1,OR(6&lt;&gt;'計算A'!$A$3,'計算A'!$A$4=0))),0,IF(6=$K46,200000,ABS(6-$K46)*100)),100000+ABS(6-$J46)*1000+60)+'計算A'!DY$5*50+IF(AND($E46=1,NL46=0),25,0),IF($F46&gt;0,INDEX('計算A'!DY$110:DY$114,$F46+1)+IF(AND($E46=1,NL46=0),1000,0),MIN(TZ46,20)*400+(IF('計算A'!DX$106=1,1-HV46,0)+IF('計算A'!DY$106=1,1-HX46,0))*150+66+'計算A'!DY$5*100000+IF(AND($E46=1,NL46=0),50000,0))+IF($H46=1,(IF('計算A'!DX$117=1,INDEX('計算A'!DX$10:DX$54,$B46),0)+IF('計算A'!DY$117=1,INDEX('計算A'!DZ$10:DZ$54,$B46),0))*4000,0)-IF(AND('計算A'!DX$117=1,YV46&gt;0),2000,0)-IF(AND($L46=1,'計算A'!DY$117=1,HX46=0),2000,0))),1000000))</f>
        <v/>
      </c>
      <c r="TB46">
        <f>IF($B46=0,1000000,IF(INDEX('計算A'!$D$60:$EQ$104,$B46,127)*HX46=1,IF(AND($E46=2,NM46=0),1000000,IF($I46&gt;0,IF(6=$J46,IF(OR(AND(127=$I46+1,OR($K46&lt;&gt;'計算A'!$A$3,'計算A'!$A$4=0)),AND(127=$I46-1,OR(7&lt;&gt;'計算A'!$A$3,'計算A'!$A$4=0))),0,IF(7=$K46,200000,ABS(7-$K46)*100)),100000+ABS(6-$J46)*1000+70)+'計算A'!DZ$5*50+IF(AND($E46=1,NM46=0),25,0),IF($F46&gt;0,INDEX('計算A'!DZ$110:DZ$114,$F46+1)+IF(AND($E46=1,NM46=0),1000,0),MIN(TZ46,20)*400+(IF('計算A'!DY$106=1,1-HW46,0)+IF('計算A'!DZ$106=1,1-HY46,0))*150+76+'計算A'!DZ$5*100000+IF(AND($E46=1,NM46=0),50000,0))+IF($H46=1,(IF('計算A'!DY$117=1,INDEX('計算A'!DY$10:DY$54,$B46),0)+IF('計算A'!DZ$117=1,INDEX('計算A'!EA$10:EA$54,$B46),0))*4000,0)-IF(AND('計算A'!DY$117=1,YW46&gt;0),2000,0)-IF(AND($L46=1,'計算A'!DZ$117=1,HY46=0),2000,0))),1000000))</f>
        <v/>
      </c>
      <c r="TC46">
        <f>IF($B46=0,1000000,IF(INDEX('計算A'!$D$60:$EQ$104,$B46,128)*HY46=1,IF(AND($E46=2,NN46=0),1000000,IF($I46&gt;0,IF(6=$J46,IF(OR(AND(128=$I46+1,OR($K46&lt;&gt;'計算A'!$A$3,'計算A'!$A$4=0)),AND(128=$I46-1,OR(8&lt;&gt;'計算A'!$A$3,'計算A'!$A$4=0))),0,IF(8=$K46,200000,ABS(8-$K46)*100)),100000+ABS(6-$J46)*1000+80)+'計算A'!EA$5*50+IF(AND($E46=1,NN46=0),25,0),IF($F46&gt;0,INDEX('計算A'!EA$110:EA$114,$F46+1)+IF(AND($E46=1,NN46=0),1000,0),MIN(TZ46,20)*400+(IF('計算A'!DZ$106=1,1-HX46,0)+IF('計算A'!EA$106=1,1-HZ46,0))*150+86+'計算A'!EA$5*100000+IF(AND($E46=1,NN46=0),50000,0))+IF($H46=1,(IF('計算A'!DZ$117=1,INDEX('計算A'!DZ$10:DZ$54,$B46),0)+IF('計算A'!EA$117=1,INDEX('計算A'!EB$10:EB$54,$B46),0))*4000,0)-IF(AND('計算A'!DZ$117=1,YX46&gt;0),2000,0)-IF(AND($L46=1,'計算A'!EA$117=1,HZ46=0),2000,0))),1000000))</f>
        <v/>
      </c>
      <c r="TD46">
        <f>IF($B46=0,1000000,IF(INDEX('計算A'!$D$60:$EQ$104,$B46,129)*HZ46=1,IF(AND($E46=2,NO46=0),1000000,IF($I46&gt;0,IF(6=$J46,IF(OR(AND(129=$I46+1,OR($K46&lt;&gt;'計算A'!$A$3,'計算A'!$A$4=0)),AND(129=$I46-1,OR(9&lt;&gt;'計算A'!$A$3,'計算A'!$A$4=0))),0,IF(9=$K46,200000,ABS(9-$K46)*100)),100000+ABS(6-$J46)*1000+90)+'計算A'!EB$5*50+IF(AND($E46=1,NO46=0),25,0),IF($F46&gt;0,INDEX('計算A'!EB$110:EB$114,$F46+1)+IF(AND($E46=1,NO46=0),1000,0),MIN(TZ46,20)*400+(IF('計算A'!EA$106=1,1-HY46,0)+IF('計算A'!EB$106=1,1-IA46,0))*150+96+'計算A'!EB$5*100000+IF(AND($E46=1,NO46=0),50000,0))+IF($H46=1,(IF('計算A'!EA$117=1,INDEX('計算A'!EA$10:EA$54,$B46),0)+IF('計算A'!EB$117=1,INDEX('計算A'!EC$10:EC$54,$B46),0))*4000,0)-IF(AND('計算A'!EA$117=1,YY46&gt;0),2000,0)-IF(AND($L46=1,'計算A'!EB$117=1,IA46=0),2000,0))),1000000))</f>
        <v/>
      </c>
      <c r="TE46">
        <f>IF($B46=0,1000000,IF(INDEX('計算A'!$D$60:$EQ$104,$B46,130)*IA46=1,IF(AND($E46=2,NP46=0),1000000,IF($I46&gt;0,IF(6=$J46,IF(OR(AND(130=$I46+1,OR($K46&lt;&gt;'計算A'!$A$3,'計算A'!$A$4=0)),AND(130=$I46-1,OR(10&lt;&gt;'計算A'!$A$3,'計算A'!$A$4=0))),0,IF(10=$K46,200000,ABS(10-$K46)*100)),100000+ABS(6-$J46)*1000+100)+'計算A'!EC$5*50+IF(AND($E46=1,NP46=0),25,0),IF($F46&gt;0,INDEX('計算A'!EC$110:EC$114,$F46+1)+IF(AND($E46=1,NP46=0),1000,0),MIN(TZ46,20)*400+(IF('計算A'!EB$106=1,1-HZ46,0)+IF('計算A'!EC$106=1,1-IB46,0))*150+106+'計算A'!EC$5*100000+IF(AND($E46=1,NP46=0),50000,0))+IF($H46=1,(IF('計算A'!EB$117=1,INDEX('計算A'!EB$10:EB$54,$B46),0)+IF('計算A'!EC$117=1,INDEX('計算A'!ED$10:ED$54,$B46),0))*4000,0)-IF(AND('計算A'!EB$117=1,YZ46&gt;0),2000,0)-IF(AND($L46=1,'計算A'!EC$117=1,IB46=0),2000,0))),1000000))</f>
        <v/>
      </c>
      <c r="TF46">
        <f>IF($B46=0,1000000,IF(INDEX('計算A'!$D$60:$EQ$104,$B46,131)*IB46=1,IF(AND($E46=2,NQ46=0),1000000,IF($I46&gt;0,IF(6=$J46,IF(OR(AND(131=$I46+1,OR($K46&lt;&gt;'計算A'!$A$3,'計算A'!$A$4=0)),AND(131=$I46-1,OR(11&lt;&gt;'計算A'!$A$3,'計算A'!$A$4=0))),0,IF(11=$K46,200000,ABS(11-$K46)*100)),100000+ABS(6-$J46)*1000+110)+'計算A'!ED$5*50+IF(AND($E46=1,NQ46=0),25,0),IF($F46&gt;0,INDEX('計算A'!ED$110:ED$114,$F46+1)+IF(AND($E46=1,NQ46=0),1000,0),MIN(TZ46,20)*400+(IF('計算A'!EC$106=1,1-IA46,0)+IF('計算A'!ED$106=1,1-IC46,0))*150+116+'計算A'!ED$5*100000+IF(AND($E46=1,NQ46=0),50000,0))+IF($H46=1,(IF('計算A'!EC$117=1,INDEX('計算A'!EC$10:EC$54,$B46),0)+IF('計算A'!ED$117=1,INDEX('計算A'!EE$10:EE$54,$B46),0))*4000,0)-IF(AND('計算A'!EC$117=1,ZA46&gt;0),2000,0)-IF(AND($L46=1,'計算A'!ED$117=1,IC46=0),2000,0))),1000000))</f>
        <v/>
      </c>
      <c r="TG46">
        <f>IF($B46=0,1000000,IF(INDEX('計算A'!$D$60:$EQ$104,$B46,132)*IC46=1,IF(AND($E46=2,NR46=0),1000000,IF($I46&gt;0,IF(6=$J46,IF(OR(AND(132=$I46+1,OR($K46&lt;&gt;'計算A'!$A$3,'計算A'!$A$4=0)),AND(132=$I46-1,OR(12&lt;&gt;'計算A'!$A$3,'計算A'!$A$4=0))),0,IF(12=$K46,200000,ABS(12-$K46)*100)),100000+ABS(6-$J46)*1000+120)+'計算A'!EE$5*50+IF(AND($E46=1,NR46=0),25,0),IF($F46&gt;0,INDEX('計算A'!EE$110:EE$114,$F46+1)+IF(AND($E46=1,NR46=0),1000,0),MIN(TZ46,20)*400+(IF('計算A'!ED$106=1,1-IB46,0)+IF('計算A'!EE$106=1,1-ID46,0))*150+126+'計算A'!EE$5*100000+IF(AND($E46=1,NR46=0),50000,0))+IF($H46=1,(IF('計算A'!ED$117=1,INDEX('計算A'!ED$10:ED$54,$B46),0)+IF('計算A'!EE$117=1,INDEX('計算A'!EF$10:EF$54,$B46),0))*4000,0)-IF(AND('計算A'!ED$117=1,ZB46&gt;0),2000,0)-IF(AND($L46=1,'計算A'!EE$117=1,ID46=0),2000,0))),1000000))</f>
        <v/>
      </c>
      <c r="TH46">
        <f>IF($B46=0,1000000,IF(INDEX('計算A'!$D$60:$EQ$104,$B46,133)*ID46=1,IF(AND($E46=2,NS46=0),1000000,IF($I46&gt;0,IF(6=$J46,IF(OR(AND(133=$I46+1,OR($K46&lt;&gt;'計算A'!$A$3,'計算A'!$A$4=0)),AND(133=$I46-1,OR(13&lt;&gt;'計算A'!$A$3,'計算A'!$A$4=0))),0,IF(13=$K46,200000,ABS(13-$K46)*100)),100000+ABS(6-$J46)*1000+130)+'計算A'!EF$5*50+IF(AND($E46=1,NS46=0),25,0),IF($F46&gt;0,INDEX('計算A'!EF$110:EF$114,$F46+1)+IF(AND($E46=1,NS46=0),1000,0),MIN(TZ46,20)*400+(IF('計算A'!EE$106=1,1-IC46,0)+IF('計算A'!EF$106=1,1-IE46,0))*150+136+'計算A'!EF$5*100000+IF(AND($E46=1,NS46=0),50000,0))+IF($H46=1,(IF('計算A'!EE$117=1,INDEX('計算A'!EE$10:EE$54,$B46),0)+IF('計算A'!EF$117=1,INDEX('計算A'!EG$10:EG$54,$B46),0))*4000,0)-IF(AND('計算A'!EE$117=1,ZC46&gt;0),2000,0)-IF(AND($L46=1,'計算A'!EF$117=1,IE46=0),2000,0))),1000000))</f>
        <v/>
      </c>
      <c r="TI46">
        <f>IF($B46=0,1000000,IF(INDEX('計算A'!$D$60:$EQ$104,$B46,134)*IE46=1,IF(AND($E46=2,NT46=0),1000000,IF($I46&gt;0,IF(6=$J46,IF(OR(AND(134=$I46+1,OR($K46&lt;&gt;'計算A'!$A$3,'計算A'!$A$4=0)),AND(134=$I46-1,OR(14&lt;&gt;'計算A'!$A$3,'計算A'!$A$4=0))),0,IF(14=$K46,200000,ABS(14-$K46)*100)),100000+ABS(6-$J46)*1000+140)+'計算A'!EG$5*50+IF(AND($E46=1,NT46=0),25,0),IF($F46&gt;0,INDEX('計算A'!EG$110:EG$114,$F46+1)+IF(AND($E46=1,NT46=0),1000,0),MIN(TZ46,20)*400+(IF('計算A'!EF$106=1,1-ID46,0)+IF('計算A'!EG$106=1,1-IF46,0))*150+146+'計算A'!EG$5*100000+IF(AND($E46=1,NT46=0),50000,0))+IF($H46=1,(IF('計算A'!EF$117=1,INDEX('計算A'!EF$10:EF$54,$B46),0)+IF('計算A'!EG$117=1,INDEX('計算A'!EH$10:EH$54,$B46),0))*4000,0)-IF(AND('計算A'!EF$117=1,ZD46&gt;0),2000,0)-IF(AND($L46=1,'計算A'!EG$117=1,IF46=0),2000,0))),1000000))</f>
        <v/>
      </c>
      <c r="TJ46">
        <f>IF($B46=0,1000000,IF(INDEX('計算A'!$D$60:$EQ$104,$B46,135)*IF46=1,IF(AND($E46=2,NU46=0),1000000,IF($I46&gt;0,IF(6=$J46,IF(OR(AND(135=$I46+1,OR($K46&lt;&gt;'計算A'!$A$3,'計算A'!$A$4=0)),AND(135=$I46-1,OR(15&lt;&gt;'計算A'!$A$3,'計算A'!$A$4=0))),0,IF(15=$K46,200000,ABS(15-$K46)*100)),100000+ABS(6-$J46)*1000+150)+'計算A'!EH$5*50+IF(AND($E46=1,NU46=0),25,0),IF($F46&gt;0,INDEX('計算A'!EH$110:EH$114,$F46+1)+IF(AND($E46=1,NU46=0),1000,0),MIN(TZ46,20)*400+(IF('計算A'!EG$106=1,1-IE46,0)+IF('計算A'!EH$106=1,1-IG46,0))*150+156+'計算A'!EH$5*100000+IF(AND($E46=1,NU46=0),50000,0))+IF($H46=1,(IF('計算A'!EG$117=1,INDEX('計算A'!EG$10:EG$54,$B46),0)+IF('計算A'!EH$117=1,INDEX('計算A'!EI$10:EI$54,$B46),0))*4000,0)-IF(AND('計算A'!EG$117=1,ZE46&gt;0),2000,0)-IF(AND($L46=1,'計算A'!EH$117=1,IG46=0),2000,0))),1000000))</f>
        <v/>
      </c>
      <c r="TK46">
        <f>IF($B46=0,1000000,IF(INDEX('計算A'!$D$60:$EQ$104,$B46,136)*IG46=1,IF(AND($E46=2,NV46=0),1000000,IF($I46&gt;0,IF(6=$J46,IF(OR(AND(136=$I46+1,OR($K46&lt;&gt;'計算A'!$A$3,'計算A'!$A$4=0)),AND(136=$I46-1,OR(16&lt;&gt;'計算A'!$A$3,'計算A'!$A$4=0))),0,IF(16=$K46,200000,ABS(16-$K46)*100)),100000+ABS(6-$J46)*1000+160)+'計算A'!EI$5*50+IF(AND($E46=1,NV46=0),25,0),IF($F46&gt;0,INDEX('計算A'!EI$110:EI$114,$F46+1)+IF(AND($E46=1,NV46=0),1000,0),MIN(TZ46,20)*400+(IF('計算A'!EH$106=1,1-IF46,0)+IF('計算A'!EI$106=1,1-IH46,0))*150+166+'計算A'!EI$5*100000+IF(AND($E46=1,NV46=0),50000,0))+IF($H46=1,(IF('計算A'!EH$117=1,INDEX('計算A'!EH$10:EH$54,$B46),0)+IF('計算A'!EI$117=1,INDEX('計算A'!EJ$10:EJ$54,$B46),0))*4000,0)-IF(AND('計算A'!EH$117=1,ZF46&gt;0),2000,0)-IF(AND($L46=1,'計算A'!EI$117=1,IH46=0),2000,0))),1000000))</f>
        <v/>
      </c>
      <c r="TL46">
        <f>IF($B46=0,1000000,IF(INDEX('計算A'!$D$60:$EQ$104,$B46,137)*IH46=1,IF(AND($E46=2,NW46=0),1000000,IF($I46&gt;0,IF(6=$J46,IF(OR(AND(137=$I46+1,OR($K46&lt;&gt;'計算A'!$A$3,'計算A'!$A$4=0)),AND(137=$I46-1,OR(17&lt;&gt;'計算A'!$A$3,'計算A'!$A$4=0))),0,IF(17=$K46,200000,ABS(17-$K46)*100)),100000+ABS(6-$J46)*1000+170)+'計算A'!EJ$5*50+IF(AND($E46=1,NW46=0),25,0),IF($F46&gt;0,INDEX('計算A'!EJ$110:EJ$114,$F46+1)+IF(AND($E46=1,NW46=0),1000,0),MIN(TZ46,20)*400+(IF('計算A'!EI$106=1,1-IG46,0)+IF('計算A'!EJ$106=1,1-II46,0))*150+176+'計算A'!EJ$5*100000+IF(AND($E46=1,NW46=0),50000,0))+IF($H46=1,(IF('計算A'!EI$117=1,INDEX('計算A'!EI$10:EI$54,$B46),0)+IF('計算A'!EJ$117=1,INDEX('計算A'!EK$10:EK$54,$B46),0))*4000,0)-IF(AND('計算A'!EI$117=1,ZG46&gt;0),2000,0)-IF(AND($L46=1,'計算A'!EJ$117=1,II46=0),2000,0))),1000000))</f>
        <v/>
      </c>
      <c r="TM46">
        <f>IF($B46=0,1000000,IF(INDEX('計算A'!$D$60:$EQ$104,$B46,138)*II46=1,IF(AND($E46=2,NX46=0),1000000,IF($I46&gt;0,IF(6=$J46,IF(OR(AND(138=$I46+1,OR($K46&lt;&gt;'計算A'!$A$3,'計算A'!$A$4=0)),AND(138=$I46-1,OR(18&lt;&gt;'計算A'!$A$3,'計算A'!$A$4=0))),0,IF(18=$K46,200000,ABS(18-$K46)*100)),100000+ABS(6-$J46)*1000+180)+'計算A'!EK$5*50+IF(AND($E46=1,NX46=0),25,0),IF($F46&gt;0,INDEX('計算A'!EK$110:EK$114,$F46+1)+IF(AND($E46=1,NX46=0),1000,0),MIN(TZ46,20)*400+(IF('計算A'!EJ$106=1,1-IH46,0)+IF('計算A'!EK$106=1,1-IJ46,0))*150+186+'計算A'!EK$5*100000+IF(AND($E46=1,NX46=0),50000,0))+IF($H46=1,(IF('計算A'!EJ$117=1,INDEX('計算A'!EJ$10:EJ$54,$B46),0)+IF('計算A'!EK$117=1,INDEX('計算A'!EL$10:EL$54,$B46),0))*4000,0)-IF(AND('計算A'!EJ$117=1,ZH46&gt;0),2000,0)-IF(AND($L46=1,'計算A'!EK$117=1,IJ46=0),2000,0))),1000000))</f>
        <v/>
      </c>
      <c r="TN46">
        <f>IF($B46=0,1000000,IF(INDEX('計算A'!$D$60:$EQ$104,$B46,139)*IJ46=1,IF(AND($E46=2,NY46=0),1000000,IF($I46&gt;0,IF(6=$J46,IF(OR(AND(139=$I46+1,OR($K46&lt;&gt;'計算A'!$A$3,'計算A'!$A$4=0)),AND(139=$I46-1,OR(19&lt;&gt;'計算A'!$A$3,'計算A'!$A$4=0))),0,IF(19=$K46,200000,ABS(19-$K46)*100)),100000+ABS(6-$J46)*1000+190)+'計算A'!EL$5*50+IF(AND($E46=1,NY46=0),25,0),IF($F46&gt;0,INDEX('計算A'!EL$110:EL$114,$F46+1)+IF(AND($E46=1,NY46=0),1000,0),MIN(TZ46,20)*400+(IF('計算A'!EK$106=1,1-II46,0)+IF('計算A'!EL$106=1,1-IK46,0))*150+196+'計算A'!EL$5*100000+IF(AND($E46=1,NY46=0),50000,0))+IF($H46=1,(IF('計算A'!EK$117=1,INDEX('計算A'!EK$10:EK$54,$B46),0)+IF('計算A'!EL$117=1,INDEX('計算A'!EM$10:EM$54,$B46),0))*4000,0)-IF(AND('計算A'!EK$117=1,ZI46&gt;0),2000,0)-IF(AND($L46=1,'計算A'!EL$117=1,IK46=0),2000,0))),1000000))</f>
        <v/>
      </c>
      <c r="TO46">
        <f>IF($B46=0,1000000,IF(INDEX('計算A'!$D$60:$EQ$104,$B46,140)*IK46=1,IF(AND($E46=2,NZ46=0),1000000,IF($I46&gt;0,IF(6=$J46,IF(OR(AND(140=$I46+1,OR($K46&lt;&gt;'計算A'!$A$3,'計算A'!$A$4=0)),AND(140=$I46-1,OR(20&lt;&gt;'計算A'!$A$3,'計算A'!$A$4=0))),0,IF(20=$K46,200000,ABS(20-$K46)*100)),100000+ABS(6-$J46)*1000+200)+'計算A'!EM$5*50+IF(AND($E46=1,NZ46=0),25,0),IF($F46&gt;0,INDEX('計算A'!EM$110:EM$114,$F46+1)+IF(AND($E46=1,NZ46=0),1000,0),MIN(TZ46,20)*400+(IF('計算A'!EL$106=1,1-IJ46,0)+IF('計算A'!EM$106=1,1-IL46,0))*150+206+'計算A'!EM$5*100000+IF(AND($E46=1,NZ46=0),50000,0))+IF($H46=1,(IF('計算A'!EL$117=1,INDEX('計算A'!EL$10:EL$54,$B46),0)+IF('計算A'!EM$117=1,INDEX('計算A'!EN$10:EN$54,$B46),0))*4000,0)-IF(AND('計算A'!EL$117=1,ZJ46&gt;0),2000,0)-IF(AND($L46=1,'計算A'!EM$117=1,IL46=0),2000,0))),1000000))</f>
        <v/>
      </c>
      <c r="TP46">
        <f>IF($B46=0,1000000,IF(INDEX('計算A'!$D$60:$EQ$104,$B46,141)*IL46=1,IF(AND($E46=2,OA46=0),1000000,IF($I46&gt;0,IF(6=$J46,IF(OR(AND(141=$I46+1,OR($K46&lt;&gt;'計算A'!$A$3,'計算A'!$A$4=0)),AND(141=$I46-1,OR(21&lt;&gt;'計算A'!$A$3,'計算A'!$A$4=0))),0,IF(21=$K46,200000,ABS(21-$K46)*100)),100000+ABS(6-$J46)*1000+210)+'計算A'!EN$5*50+IF(AND($E46=1,OA46=0),25,0),IF($F46&gt;0,INDEX('計算A'!EN$110:EN$114,$F46+1)+IF(AND($E46=1,OA46=0),1000,0),MIN(TZ46,20)*400+(IF('計算A'!EM$106=1,1-IK46,0)+IF('計算A'!EN$106=1,1-IM46,0))*150+216+'計算A'!EN$5*100000+IF(AND($E46=1,OA46=0),50000,0))+IF($H46=1,(IF('計算A'!EM$117=1,INDEX('計算A'!EM$10:EM$54,$B46),0)+IF('計算A'!EN$117=1,INDEX('計算A'!EO$10:EO$54,$B46),0))*4000,0)-IF(AND('計算A'!EM$117=1,ZK46&gt;0),2000,0)-IF(AND($L46=1,'計算A'!EN$117=1,IM46=0),2000,0))),1000000))</f>
        <v/>
      </c>
      <c r="TQ46">
        <f>IF($B46=0,1000000,IF(INDEX('計算A'!$D$60:$EQ$104,$B46,142)*IM46=1,IF(AND($E46=2,OB46=0),1000000,IF($I46&gt;0,IF(6=$J46,IF(OR(AND(142=$I46+1,OR($K46&lt;&gt;'計算A'!$A$3,'計算A'!$A$4=0)),AND(142=$I46-1,OR(22&lt;&gt;'計算A'!$A$3,'計算A'!$A$4=0))),0,IF(22=$K46,200000,ABS(22-$K46)*100)),100000+ABS(6-$J46)*1000+220)+'計算A'!EO$5*50+IF(AND($E46=1,OB46=0),25,0),IF($F46&gt;0,INDEX('計算A'!EO$110:EO$114,$F46+1)+IF(AND($E46=1,OB46=0),1000,0),MIN(TZ46,20)*400+(IF('計算A'!EN$106=1,1-IL46,0)+IF('計算A'!EO$106=1,1-IN46,0))*150+226+'計算A'!EO$5*100000+IF(AND($E46=1,OB46=0),50000,0))+IF($H46=1,(IF('計算A'!EN$117=1,INDEX('計算A'!EN$10:EN$54,$B46),0)+IF('計算A'!EO$117=1,INDEX('計算A'!EP$10:EP$54,$B46),0))*4000,0)-IF(AND('計算A'!EN$117=1,ZL46&gt;0),2000,0)-IF(AND($L46=1,'計算A'!EO$117=1,IN46=0),2000,0))),1000000))</f>
        <v/>
      </c>
      <c r="TR46">
        <f>IF($B46=0,1000000,IF(INDEX('計算A'!$D$60:$EQ$104,$B46,143)*IN46=1,IF(AND($E46=2,OC46=0),1000000,IF($I46&gt;0,IF(6=$J46,IF(OR(AND(143=$I46+1,OR($K46&lt;&gt;'計算A'!$A$3,'計算A'!$A$4=0)),AND(143=$I46-1,OR(23&lt;&gt;'計算A'!$A$3,'計算A'!$A$4=0))),0,IF(23=$K46,200000,ABS(23-$K46)*100)),100000+ABS(6-$J46)*1000+230)+'計算A'!EP$5*50+IF(AND($E46=1,OC46=0),25,0),IF($F46&gt;0,INDEX('計算A'!EP$110:EP$114,$F46+1)+IF(AND($E46=1,OC46=0),1000,0),MIN(TZ46,20)*400+(IF('計算A'!EO$106=1,1-IM46,0)+IF('計算A'!EP$106=1,1-IO46,0))*150+236+'計算A'!EP$5*100000+IF(AND($E46=1,OC46=0),50000,0))+IF($H46=1,(IF('計算A'!EO$117=1,INDEX('計算A'!EO$10:EO$54,$B46),0)+IF('計算A'!EP$117=1,INDEX('計算A'!EQ$10:EQ$54,$B46),0))*4000,0)-IF(AND('計算A'!EO$117=1,ZM46&gt;0),2000,0)-IF(AND($L46=1,'計算A'!EP$117=1,IO46=0),2000,0))),1000000))</f>
        <v/>
      </c>
      <c r="TS46">
        <f>IF($B46=0,1000000,IF(INDEX('計算A'!$D$60:$EQ$104,$B46,144)*IO46=1,IF(AND($E46=2,OD46=0),1000000,IF($I46&gt;0,IF(6=$J46,IF(OR(AND(144=$I46+1,OR($K46&lt;&gt;'計算A'!$A$3,'計算A'!$A$4=0)),AND(144=$I46-1,OR(24&lt;&gt;'計算A'!$A$3,'計算A'!$A$4=0))),0,IF(24=$K46,200000,ABS(24-$K46)*100)),100000+ABS(6-$J46)*1000+240)+'計算A'!EQ$5*50+IF(AND($E46=1,OD46=0),25,0),IF($F46&gt;0,INDEX('計算A'!EQ$110:EQ$114,$F46+1)+IF(AND($E46=1,OD46=0),1000,0),MIN(TZ46,20)*400+(IF('計算A'!EP$106=1,1-IN46,0))*150+246+'計算A'!EQ$5*100000+IF(AND($E46=1,OD46=0),50000,0))+IF($H46=1,(IF('計算A'!EP$117=1,INDEX('計算A'!EP$10:EP$54,$B46),0))*4000,0)-IF(AND('計算A'!EP$117=1,ZN46&gt;0),2000,0))),1000000))</f>
        <v/>
      </c>
      <c r="TU46">
        <f>TU45+IF($C45&gt;0,IF(INDEX('計算A'!$D$2:$EQ$2,$C45)=1,1,0),0)</f>
        <v/>
      </c>
      <c r="TV46">
        <f>TV45+IF($C45&gt;0,IF(INDEX('計算A'!$D$2:$EQ$2,$C45)=2,1,0),0)</f>
        <v/>
      </c>
      <c r="TW46">
        <f>TW45+IF($C45&gt;0,IF(INDEX('計算A'!$D$2:$EQ$2,$C45)=3,1,0),0)</f>
        <v/>
      </c>
      <c r="TX46">
        <f>TX45+IF($C45&gt;0,IF(INDEX('計算A'!$D$2:$EQ$2,$C45)=4,1,0),0)</f>
        <v/>
      </c>
      <c r="TY46">
        <f>TY45+IF($C45&gt;0,IF(INDEX('計算A'!$D$2:$EQ$2,$C45)=5,1,0),0)</f>
        <v/>
      </c>
      <c r="TZ46">
        <f>TZ45+IF($C45&gt;0,IF(INDEX('計算A'!$D$2:$EQ$2,$C45)=6,1,0),0)</f>
        <v/>
      </c>
      <c r="UB46">
        <f>UB45+IF(AND($C45=1,$L45=1),1,0)</f>
        <v/>
      </c>
      <c r="UC46">
        <f>UC45+IF(AND($C45=2,$L45=1),1,0)</f>
        <v/>
      </c>
      <c r="UD46">
        <f>UD45+IF(AND($C45=3,$L45=1),1,0)</f>
        <v/>
      </c>
      <c r="UE46">
        <f>UE45+IF(AND($C45=4,$L45=1),1,0)</f>
        <v/>
      </c>
      <c r="UF46">
        <f>UF45+IF(AND($C45=5,$L45=1),1,0)</f>
        <v/>
      </c>
      <c r="UG46">
        <f>UG45+IF(AND($C45=6,$L45=1),1,0)</f>
        <v/>
      </c>
      <c r="UH46">
        <f>UH45+IF(AND($C45=7,$L45=1),1,0)</f>
        <v/>
      </c>
      <c r="UI46">
        <f>UI45+IF(AND($C45=8,$L45=1),1,0)</f>
        <v/>
      </c>
      <c r="UJ46">
        <f>UJ45+IF(AND($C45=9,$L45=1),1,0)</f>
        <v/>
      </c>
      <c r="UK46">
        <f>UK45+IF(AND($C45=10,$L45=1),1,0)</f>
        <v/>
      </c>
      <c r="UL46">
        <f>UL45+IF(AND($C45=11,$L45=1),1,0)</f>
        <v/>
      </c>
      <c r="UM46">
        <f>UM45+IF(AND($C45=12,$L45=1),1,0)</f>
        <v/>
      </c>
      <c r="UN46">
        <f>UN45+IF(AND($C45=13,$L45=1),1,0)</f>
        <v/>
      </c>
      <c r="UO46">
        <f>UO45+IF(AND($C45=14,$L45=1),1,0)</f>
        <v/>
      </c>
      <c r="UP46">
        <f>UP45+IF(AND($C45=15,$L45=1),1,0)</f>
        <v/>
      </c>
      <c r="UQ46">
        <f>UQ45+IF(AND($C45=16,$L45=1),1,0)</f>
        <v/>
      </c>
      <c r="UR46">
        <f>UR45+IF(AND($C45=17,$L45=1),1,0)</f>
        <v/>
      </c>
      <c r="US46">
        <f>US45+IF(AND($C45=18,$L45=1),1,0)</f>
        <v/>
      </c>
      <c r="UT46">
        <f>UT45+IF(AND($C45=19,$L45=1),1,0)</f>
        <v/>
      </c>
      <c r="UU46">
        <f>UU45+IF(AND($C45=20,$L45=1),1,0)</f>
        <v/>
      </c>
      <c r="UV46">
        <f>UV45+IF(AND($C45=21,$L45=1),1,0)</f>
        <v/>
      </c>
      <c r="UW46">
        <f>UW45+IF(AND($C45=22,$L45=1),1,0)</f>
        <v/>
      </c>
      <c r="UX46">
        <f>UX45+IF(AND($C45=23,$L45=1),1,0)</f>
        <v/>
      </c>
      <c r="UY46">
        <f>UY45+IF(AND($C45=24,$L45=1),1,0)</f>
        <v/>
      </c>
      <c r="UZ46">
        <f>UZ45+IF(AND($C45=25,$L45=1),1,0)</f>
        <v/>
      </c>
      <c r="VA46">
        <f>VA45+IF(AND($C45=26,$L45=1),1,0)</f>
        <v/>
      </c>
      <c r="VB46">
        <f>VB45+IF(AND($C45=27,$L45=1),1,0)</f>
        <v/>
      </c>
      <c r="VC46">
        <f>VC45+IF(AND($C45=28,$L45=1),1,0)</f>
        <v/>
      </c>
      <c r="VD46">
        <f>VD45+IF(AND($C45=29,$L45=1),1,0)</f>
        <v/>
      </c>
      <c r="VE46">
        <f>VE45+IF(AND($C45=30,$L45=1),1,0)</f>
        <v/>
      </c>
      <c r="VF46">
        <f>VF45+IF(AND($C45=31,$L45=1),1,0)</f>
        <v/>
      </c>
      <c r="VG46">
        <f>VG45+IF(AND($C45=32,$L45=1),1,0)</f>
        <v/>
      </c>
      <c r="VH46">
        <f>VH45+IF(AND($C45=33,$L45=1),1,0)</f>
        <v/>
      </c>
      <c r="VI46">
        <f>VI45+IF(AND($C45=34,$L45=1),1,0)</f>
        <v/>
      </c>
      <c r="VJ46">
        <f>VJ45+IF(AND($C45=35,$L45=1),1,0)</f>
        <v/>
      </c>
      <c r="VK46">
        <f>VK45+IF(AND($C45=36,$L45=1),1,0)</f>
        <v/>
      </c>
      <c r="VL46">
        <f>VL45+IF(AND($C45=37,$L45=1),1,0)</f>
        <v/>
      </c>
      <c r="VM46">
        <f>VM45+IF(AND($C45=38,$L45=1),1,0)</f>
        <v/>
      </c>
      <c r="VN46">
        <f>VN45+IF(AND($C45=39,$L45=1),1,0)</f>
        <v/>
      </c>
      <c r="VO46">
        <f>VO45+IF(AND($C45=40,$L45=1),1,0)</f>
        <v/>
      </c>
      <c r="VP46">
        <f>VP45+IF(AND($C45=41,$L45=1),1,0)</f>
        <v/>
      </c>
      <c r="VQ46">
        <f>VQ45+IF(AND($C45=42,$L45=1),1,0)</f>
        <v/>
      </c>
      <c r="VR46">
        <f>VR45+IF(AND($C45=43,$L45=1),1,0)</f>
        <v/>
      </c>
      <c r="VS46">
        <f>VS45+IF(AND($C45=44,$L45=1),1,0)</f>
        <v/>
      </c>
      <c r="VT46">
        <f>VT45+IF(AND($C45=45,$L45=1),1,0)</f>
        <v/>
      </c>
      <c r="VU46">
        <f>VU45+IF(AND($C45=46,$L45=1),1,0)</f>
        <v/>
      </c>
      <c r="VV46">
        <f>VV45+IF(AND($C45=47,$L45=1),1,0)</f>
        <v/>
      </c>
      <c r="VW46">
        <f>VW45+IF(AND($C45=48,$L45=1),1,0)</f>
        <v/>
      </c>
      <c r="VX46">
        <f>VX45+IF(AND($C45=49,$L45=1),1,0)</f>
        <v/>
      </c>
      <c r="VY46">
        <f>VY45+IF(AND($C45=50,$L45=1),1,0)</f>
        <v/>
      </c>
      <c r="VZ46">
        <f>VZ45+IF(AND($C45=51,$L45=1),1,0)</f>
        <v/>
      </c>
      <c r="WA46">
        <f>WA45+IF(AND($C45=52,$L45=1),1,0)</f>
        <v/>
      </c>
      <c r="WB46">
        <f>WB45+IF(AND($C45=53,$L45=1),1,0)</f>
        <v/>
      </c>
      <c r="WC46">
        <f>WC45+IF(AND($C45=54,$L45=1),1,0)</f>
        <v/>
      </c>
      <c r="WD46">
        <f>WD45+IF(AND($C45=55,$L45=1),1,0)</f>
        <v/>
      </c>
      <c r="WE46">
        <f>WE45+IF(AND($C45=56,$L45=1),1,0)</f>
        <v/>
      </c>
      <c r="WF46">
        <f>WF45+IF(AND($C45=57,$L45=1),1,0)</f>
        <v/>
      </c>
      <c r="WG46">
        <f>WG45+IF(AND($C45=58,$L45=1),1,0)</f>
        <v/>
      </c>
      <c r="WH46">
        <f>WH45+IF(AND($C45=59,$L45=1),1,0)</f>
        <v/>
      </c>
      <c r="WI46">
        <f>WI45+IF(AND($C45=60,$L45=1),1,0)</f>
        <v/>
      </c>
      <c r="WJ46">
        <f>WJ45+IF(AND($C45=61,$L45=1),1,0)</f>
        <v/>
      </c>
      <c r="WK46">
        <f>WK45+IF(AND($C45=62,$L45=1),1,0)</f>
        <v/>
      </c>
      <c r="WL46">
        <f>WL45+IF(AND($C45=63,$L45=1),1,0)</f>
        <v/>
      </c>
      <c r="WM46">
        <f>WM45+IF(AND($C45=64,$L45=1),1,0)</f>
        <v/>
      </c>
      <c r="WN46">
        <f>WN45+IF(AND($C45=65,$L45=1),1,0)</f>
        <v/>
      </c>
      <c r="WO46">
        <f>WO45+IF(AND($C45=66,$L45=1),1,0)</f>
        <v/>
      </c>
      <c r="WP46">
        <f>WP45+IF(AND($C45=67,$L45=1),1,0)</f>
        <v/>
      </c>
      <c r="WQ46">
        <f>WQ45+IF(AND($C45=68,$L45=1),1,0)</f>
        <v/>
      </c>
      <c r="WR46">
        <f>WR45+IF(AND($C45=69,$L45=1),1,0)</f>
        <v/>
      </c>
      <c r="WS46">
        <f>WS45+IF(AND($C45=70,$L45=1),1,0)</f>
        <v/>
      </c>
      <c r="WT46">
        <f>WT45+IF(AND($C45=71,$L45=1),1,0)</f>
        <v/>
      </c>
      <c r="WU46">
        <f>WU45+IF(AND($C45=72,$L45=1),1,0)</f>
        <v/>
      </c>
      <c r="WV46">
        <f>WV45+IF(AND($C45=73,$L45=1),1,0)</f>
        <v/>
      </c>
      <c r="WW46">
        <f>WW45+IF(AND($C45=74,$L45=1),1,0)</f>
        <v/>
      </c>
      <c r="WX46">
        <f>WX45+IF(AND($C45=75,$L45=1),1,0)</f>
        <v/>
      </c>
      <c r="WY46">
        <f>WY45+IF(AND($C45=76,$L45=1),1,0)</f>
        <v/>
      </c>
      <c r="WZ46">
        <f>WZ45+IF(AND($C45=77,$L45=1),1,0)</f>
        <v/>
      </c>
      <c r="XA46">
        <f>XA45+IF(AND($C45=78,$L45=1),1,0)</f>
        <v/>
      </c>
      <c r="XB46">
        <f>XB45+IF(AND($C45=79,$L45=1),1,0)</f>
        <v/>
      </c>
      <c r="XC46">
        <f>XC45+IF(AND($C45=80,$L45=1),1,0)</f>
        <v/>
      </c>
      <c r="XD46">
        <f>XD45+IF(AND($C45=81,$L45=1),1,0)</f>
        <v/>
      </c>
      <c r="XE46">
        <f>XE45+IF(AND($C45=82,$L45=1),1,0)</f>
        <v/>
      </c>
      <c r="XF46">
        <f>XF45+IF(AND($C45=83,$L45=1),1,0)</f>
        <v/>
      </c>
      <c r="XG46">
        <f>XG45+IF(AND($C45=84,$L45=1),1,0)</f>
        <v/>
      </c>
      <c r="XH46">
        <f>XH45+IF(AND($C45=85,$L45=1),1,0)</f>
        <v/>
      </c>
      <c r="XI46">
        <f>XI45+IF(AND($C45=86,$L45=1),1,0)</f>
        <v/>
      </c>
      <c r="XJ46">
        <f>XJ45+IF(AND($C45=87,$L45=1),1,0)</f>
        <v/>
      </c>
      <c r="XK46">
        <f>XK45+IF(AND($C45=88,$L45=1),1,0)</f>
        <v/>
      </c>
      <c r="XL46">
        <f>XL45+IF(AND($C45=89,$L45=1),1,0)</f>
        <v/>
      </c>
      <c r="XM46">
        <f>XM45+IF(AND($C45=90,$L45=1),1,0)</f>
        <v/>
      </c>
      <c r="XN46">
        <f>XN45+IF(AND($C45=91,$L45=1),1,0)</f>
        <v/>
      </c>
      <c r="XO46">
        <f>XO45+IF(AND($C45=92,$L45=1),1,0)</f>
        <v/>
      </c>
      <c r="XP46">
        <f>XP45+IF(AND($C45=93,$L45=1),1,0)</f>
        <v/>
      </c>
      <c r="XQ46">
        <f>XQ45+IF(AND($C45=94,$L45=1),1,0)</f>
        <v/>
      </c>
      <c r="XR46">
        <f>XR45+IF(AND($C45=95,$L45=1),1,0)</f>
        <v/>
      </c>
      <c r="XS46">
        <f>XS45+IF(AND($C45=96,$L45=1),1,0)</f>
        <v/>
      </c>
      <c r="XT46">
        <f>XT45+IF(AND($C45=97,$L45=1),1,0)</f>
        <v/>
      </c>
      <c r="XU46">
        <f>XU45+IF(AND($C45=98,$L45=1),1,0)</f>
        <v/>
      </c>
      <c r="XV46">
        <f>XV45+IF(AND($C45=99,$L45=1),1,0)</f>
        <v/>
      </c>
      <c r="XW46">
        <f>XW45+IF(AND($C45=100,$L45=1),1,0)</f>
        <v/>
      </c>
      <c r="XX46">
        <f>XX45+IF(AND($C45=101,$L45=1),1,0)</f>
        <v/>
      </c>
      <c r="XY46">
        <f>XY45+IF(AND($C45=102,$L45=1),1,0)</f>
        <v/>
      </c>
      <c r="XZ46">
        <f>XZ45+IF(AND($C45=103,$L45=1),1,0)</f>
        <v/>
      </c>
      <c r="YA46">
        <f>YA45+IF(AND($C45=104,$L45=1),1,0)</f>
        <v/>
      </c>
      <c r="YB46">
        <f>YB45+IF(AND($C45=105,$L45=1),1,0)</f>
        <v/>
      </c>
      <c r="YC46">
        <f>YC45+IF(AND($C45=106,$L45=1),1,0)</f>
        <v/>
      </c>
      <c r="YD46">
        <f>YD45+IF(AND($C45=107,$L45=1),1,0)</f>
        <v/>
      </c>
      <c r="YE46">
        <f>YE45+IF(AND($C45=108,$L45=1),1,0)</f>
        <v/>
      </c>
      <c r="YF46">
        <f>YF45+IF(AND($C45=109,$L45=1),1,0)</f>
        <v/>
      </c>
      <c r="YG46">
        <f>YG45+IF(AND($C45=110,$L45=1),1,0)</f>
        <v/>
      </c>
      <c r="YH46">
        <f>YH45+IF(AND($C45=111,$L45=1),1,0)</f>
        <v/>
      </c>
      <c r="YI46">
        <f>YI45+IF(AND($C45=112,$L45=1),1,0)</f>
        <v/>
      </c>
      <c r="YJ46">
        <f>YJ45+IF(AND($C45=113,$L45=1),1,0)</f>
        <v/>
      </c>
      <c r="YK46">
        <f>YK45+IF(AND($C45=114,$L45=1),1,0)</f>
        <v/>
      </c>
      <c r="YL46">
        <f>YL45+IF(AND($C45=115,$L45=1),1,0)</f>
        <v/>
      </c>
      <c r="YM46">
        <f>YM45+IF(AND($C45=116,$L45=1),1,0)</f>
        <v/>
      </c>
      <c r="YN46">
        <f>YN45+IF(AND($C45=117,$L45=1),1,0)</f>
        <v/>
      </c>
      <c r="YO46">
        <f>YO45+IF(AND($C45=118,$L45=1),1,0)</f>
        <v/>
      </c>
      <c r="YP46">
        <f>YP45+IF(AND($C45=119,$L45=1),1,0)</f>
        <v/>
      </c>
      <c r="YQ46">
        <f>YQ45+IF(AND($C45=120,$L45=1),1,0)</f>
        <v/>
      </c>
      <c r="YR46">
        <f>YR45+IF(AND($C45=121,$L45=1),1,0)</f>
        <v/>
      </c>
      <c r="YS46">
        <f>YS45+IF(AND($C45=122,$L45=1),1,0)</f>
        <v/>
      </c>
      <c r="YT46">
        <f>YT45+IF(AND($C45=123,$L45=1),1,0)</f>
        <v/>
      </c>
      <c r="YU46">
        <f>YU45+IF(AND($C45=124,$L45=1),1,0)</f>
        <v/>
      </c>
      <c r="YV46">
        <f>YV45+IF(AND($C45=125,$L45=1),1,0)</f>
        <v/>
      </c>
      <c r="YW46">
        <f>YW45+IF(AND($C45=126,$L45=1),1,0)</f>
        <v/>
      </c>
      <c r="YX46">
        <f>YX45+IF(AND($C45=127,$L45=1),1,0)</f>
        <v/>
      </c>
      <c r="YY46">
        <f>YY45+IF(AND($C45=128,$L45=1),1,0)</f>
        <v/>
      </c>
      <c r="YZ46">
        <f>YZ45+IF(AND($C45=129,$L45=1),1,0)</f>
        <v/>
      </c>
      <c r="ZA46">
        <f>ZA45+IF(AND($C45=130,$L45=1),1,0)</f>
        <v/>
      </c>
      <c r="ZB46">
        <f>ZB45+IF(AND($C45=131,$L45=1),1,0)</f>
        <v/>
      </c>
      <c r="ZC46">
        <f>ZC45+IF(AND($C45=132,$L45=1),1,0)</f>
        <v/>
      </c>
      <c r="ZD46">
        <f>ZD45+IF(AND($C45=133,$L45=1),1,0)</f>
        <v/>
      </c>
      <c r="ZE46">
        <f>ZE45+IF(AND($C45=134,$L45=1),1,0)</f>
        <v/>
      </c>
      <c r="ZF46">
        <f>ZF45+IF(AND($C45=135,$L45=1),1,0)</f>
        <v/>
      </c>
      <c r="ZG46">
        <f>ZG45+IF(AND($C45=136,$L45=1),1,0)</f>
        <v/>
      </c>
      <c r="ZH46">
        <f>ZH45+IF(AND($C45=137,$L45=1),1,0)</f>
        <v/>
      </c>
      <c r="ZI46">
        <f>ZI45+IF(AND($C45=138,$L45=1),1,0)</f>
        <v/>
      </c>
      <c r="ZJ46">
        <f>ZJ45+IF(AND($C45=139,$L45=1),1,0)</f>
        <v/>
      </c>
      <c r="ZK46">
        <f>ZK45+IF(AND($C45=140,$L45=1),1,0)</f>
        <v/>
      </c>
      <c r="ZL46">
        <f>ZL45+IF(AND($C45=141,$L45=1),1,0)</f>
        <v/>
      </c>
      <c r="ZM46">
        <f>ZM45+IF(AND($C45=142,$L45=1),1,0)</f>
        <v/>
      </c>
      <c r="ZN46">
        <f>ZN45+IF(AND($C45=143,$L45=1),1,0)</f>
        <v/>
      </c>
      <c r="ZO46">
        <f>ZO45+IF(AND($C45=144,$L45=1),1,0)</f>
        <v/>
      </c>
    </row>
    <row r="47">
      <c r="A47" t="n">
        <v>45</v>
      </c>
      <c r="B47">
        <f>IF(MIN(BH47:CZ47)&gt;=1000000,0,MATCH(MIN(BH47:CZ47),BH47:CZ47,0))</f>
        <v/>
      </c>
      <c r="C47">
        <f>IF(MIN(OF47:TS47)&gt;=1000000,0,MATCH(MIN(OF47:TS47),OF47:TS47,0))</f>
        <v/>
      </c>
      <c r="D47">
        <f>IF(C47&gt;0,INDEX('計算A'!$D$5:$EQ$5,C47),0)</f>
        <v/>
      </c>
      <c r="E47">
        <f>IF(B47=0,0,INDEX('計算A'!$IQ$10:$IQ$54,B47))</f>
        <v/>
      </c>
      <c r="F47">
        <f>IF(B47=0,0,INDEX('計算A'!$IP$10:$IP$54,B47))</f>
        <v/>
      </c>
      <c r="G47">
        <f>IF(AND(C47&gt;0,E47&gt;0),IF(AND(INDEX('計算A'!$D$106:$EQ$106,C47)=1,INDEX($IQ47:$OD47,C47)=1),C47+1,0),0)</f>
        <v/>
      </c>
      <c r="H47">
        <f>IF(B47=0,0,INDEX('計算A'!$IW$10:$IW$54,B47))</f>
        <v/>
      </c>
      <c r="I47">
        <f>IF(B47=0,0,MAX(0,INDEX('計算A'!$IT$10:$IT$54,B47)))</f>
        <v/>
      </c>
      <c r="J47">
        <f>IF(I47=0,0,INDEX('計算A'!$D$2:$EQ$2,I47))</f>
        <v/>
      </c>
      <c r="K47">
        <f>IF(I47=0,0,INDEX('計算A'!$D$3:$EQ$3,I47))</f>
        <v/>
      </c>
      <c r="L47">
        <f>IF(B47=0,0,INDEX('計算A'!$IX$10:$IX$54,B47))</f>
        <v/>
      </c>
      <c r="N47">
        <f>MAX(N46,IF($B46=1,1,0))</f>
        <v/>
      </c>
      <c r="O47">
        <f>MAX(O46,IF($B46=2,1,0))</f>
        <v/>
      </c>
      <c r="P47">
        <f>MAX(P46,IF($B46=3,1,0))</f>
        <v/>
      </c>
      <c r="Q47">
        <f>MAX(Q46,IF($B46=4,1,0))</f>
        <v/>
      </c>
      <c r="R47">
        <f>MAX(R46,IF($B46=5,1,0))</f>
        <v/>
      </c>
      <c r="S47">
        <f>MAX(S46,IF($B46=6,1,0))</f>
        <v/>
      </c>
      <c r="T47">
        <f>MAX(T46,IF($B46=7,1,0))</f>
        <v/>
      </c>
      <c r="U47">
        <f>MAX(U46,IF($B46=8,1,0))</f>
        <v/>
      </c>
      <c r="V47">
        <f>MAX(V46,IF($B46=9,1,0))</f>
        <v/>
      </c>
      <c r="W47">
        <f>MAX(W46,IF($B46=10,1,0))</f>
        <v/>
      </c>
      <c r="X47">
        <f>MAX(X46,IF($B46=11,1,0))</f>
        <v/>
      </c>
      <c r="Y47">
        <f>MAX(Y46,IF($B46=12,1,0))</f>
        <v/>
      </c>
      <c r="Z47">
        <f>MAX(Z46,IF($B46=13,1,0))</f>
        <v/>
      </c>
      <c r="AA47">
        <f>MAX(AA46,IF($B46=14,1,0))</f>
        <v/>
      </c>
      <c r="AB47">
        <f>MAX(AB46,IF($B46=15,1,0))</f>
        <v/>
      </c>
      <c r="AC47">
        <f>MAX(AC46,IF($B46=16,1,0))</f>
        <v/>
      </c>
      <c r="AD47">
        <f>MAX(AD46,IF($B46=17,1,0))</f>
        <v/>
      </c>
      <c r="AE47">
        <f>MAX(AE46,IF($B46=18,1,0))</f>
        <v/>
      </c>
      <c r="AF47">
        <f>MAX(AF46,IF($B46=19,1,0))</f>
        <v/>
      </c>
      <c r="AG47">
        <f>MAX(AG46,IF($B46=20,1,0))</f>
        <v/>
      </c>
      <c r="AH47">
        <f>MAX(AH46,IF($B46=21,1,0))</f>
        <v/>
      </c>
      <c r="AI47">
        <f>MAX(AI46,IF($B46=22,1,0))</f>
        <v/>
      </c>
      <c r="AJ47">
        <f>MAX(AJ46,IF($B46=23,1,0))</f>
        <v/>
      </c>
      <c r="AK47">
        <f>MAX(AK46,IF($B46=24,1,0))</f>
        <v/>
      </c>
      <c r="AL47">
        <f>MAX(AL46,IF($B46=25,1,0))</f>
        <v/>
      </c>
      <c r="AM47">
        <f>MAX(AM46,IF($B46=26,1,0))</f>
        <v/>
      </c>
      <c r="AN47">
        <f>MAX(AN46,IF($B46=27,1,0))</f>
        <v/>
      </c>
      <c r="AO47">
        <f>MAX(AO46,IF($B46=28,1,0))</f>
        <v/>
      </c>
      <c r="AP47">
        <f>MAX(AP46,IF($B46=29,1,0))</f>
        <v/>
      </c>
      <c r="AQ47">
        <f>MAX(AQ46,IF($B46=30,1,0))</f>
        <v/>
      </c>
      <c r="AR47">
        <f>MAX(AR46,IF($B46=31,1,0))</f>
        <v/>
      </c>
      <c r="AS47">
        <f>MAX(AS46,IF($B46=32,1,0))</f>
        <v/>
      </c>
      <c r="AT47">
        <f>MAX(AT46,IF($B46=33,1,0))</f>
        <v/>
      </c>
      <c r="AU47">
        <f>MAX(AU46,IF($B46=34,1,0))</f>
        <v/>
      </c>
      <c r="AV47">
        <f>MAX(AV46,IF($B46=35,1,0))</f>
        <v/>
      </c>
      <c r="AW47">
        <f>MAX(AW46,IF($B46=36,1,0))</f>
        <v/>
      </c>
      <c r="AX47">
        <f>MAX(AX46,IF($B46=37,1,0))</f>
        <v/>
      </c>
      <c r="AY47">
        <f>MAX(AY46,IF($B46=38,1,0))</f>
        <v/>
      </c>
      <c r="AZ47">
        <f>MAX(AZ46,IF($B46=39,1,0))</f>
        <v/>
      </c>
      <c r="BA47">
        <f>MAX(BA46,IF($B46=40,1,0))</f>
        <v/>
      </c>
      <c r="BB47">
        <f>MAX(BB46,IF($B46=41,1,0))</f>
        <v/>
      </c>
      <c r="BC47">
        <f>MAX(BC46,IF($B46=42,1,0))</f>
        <v/>
      </c>
      <c r="BD47">
        <f>MAX(BD46,IF($B46=43,1,0))</f>
        <v/>
      </c>
      <c r="BE47">
        <f>MAX(BE46,IF($B46=44,1,0))</f>
        <v/>
      </c>
      <c r="BF47">
        <f>MAX(BF46,IF($B46=45,1,0))</f>
        <v/>
      </c>
      <c r="BH47">
        <f>IF(N47=1,1000000,IF('計算A'!$IT$10&gt;0,0,500000)+IF('計算A'!$IQ$10=2,SUMPRODUCT('計算A'!$D$60:$EQ$60,$DB47:$IO47,$IQ47:$OD47),SUMPRODUCT('計算A'!$D$60:$EQ$60,$DB47:$IO47))*1000+1)</f>
        <v/>
      </c>
      <c r="BI47">
        <f>IF(O47=1,1000000,IF('計算A'!$IT$11&gt;0,0,500000)+IF('計算A'!$IQ$11=2,SUMPRODUCT('計算A'!$D$61:$EQ$61,$DB47:$IO47,$IQ47:$OD47),SUMPRODUCT('計算A'!$D$61:$EQ$61,$DB47:$IO47))*1000+2)</f>
        <v/>
      </c>
      <c r="BJ47">
        <f>IF(P47=1,1000000,IF('計算A'!$IT$12&gt;0,0,500000)+IF('計算A'!$IQ$12=2,SUMPRODUCT('計算A'!$D$62:$EQ$62,$DB47:$IO47,$IQ47:$OD47),SUMPRODUCT('計算A'!$D$62:$EQ$62,$DB47:$IO47))*1000+3)</f>
        <v/>
      </c>
      <c r="BK47">
        <f>IF(Q47=1,1000000,IF('計算A'!$IT$13&gt;0,0,500000)+IF('計算A'!$IQ$13=2,SUMPRODUCT('計算A'!$D$63:$EQ$63,$DB47:$IO47,$IQ47:$OD47),SUMPRODUCT('計算A'!$D$63:$EQ$63,$DB47:$IO47))*1000+4)</f>
        <v/>
      </c>
      <c r="BL47">
        <f>IF(R47=1,1000000,IF('計算A'!$IT$14&gt;0,0,500000)+IF('計算A'!$IQ$14=2,SUMPRODUCT('計算A'!$D$64:$EQ$64,$DB47:$IO47,$IQ47:$OD47),SUMPRODUCT('計算A'!$D$64:$EQ$64,$DB47:$IO47))*1000+5)</f>
        <v/>
      </c>
      <c r="BM47">
        <f>IF(S47=1,1000000,IF('計算A'!$IT$15&gt;0,0,500000)+IF('計算A'!$IQ$15=2,SUMPRODUCT('計算A'!$D$65:$EQ$65,$DB47:$IO47,$IQ47:$OD47),SUMPRODUCT('計算A'!$D$65:$EQ$65,$DB47:$IO47))*1000+6)</f>
        <v/>
      </c>
      <c r="BN47">
        <f>IF(T47=1,1000000,IF('計算A'!$IT$16&gt;0,0,500000)+IF('計算A'!$IQ$16=2,SUMPRODUCT('計算A'!$D$66:$EQ$66,$DB47:$IO47,$IQ47:$OD47),SUMPRODUCT('計算A'!$D$66:$EQ$66,$DB47:$IO47))*1000+7)</f>
        <v/>
      </c>
      <c r="BO47">
        <f>IF(U47=1,1000000,IF('計算A'!$IT$17&gt;0,0,500000)+IF('計算A'!$IQ$17=2,SUMPRODUCT('計算A'!$D$67:$EQ$67,$DB47:$IO47,$IQ47:$OD47),SUMPRODUCT('計算A'!$D$67:$EQ$67,$DB47:$IO47))*1000+8)</f>
        <v/>
      </c>
      <c r="BP47">
        <f>IF(V47=1,1000000,IF('計算A'!$IT$18&gt;0,0,500000)+IF('計算A'!$IQ$18=2,SUMPRODUCT('計算A'!$D$68:$EQ$68,$DB47:$IO47,$IQ47:$OD47),SUMPRODUCT('計算A'!$D$68:$EQ$68,$DB47:$IO47))*1000+9)</f>
        <v/>
      </c>
      <c r="BQ47">
        <f>IF(W47=1,1000000,IF('計算A'!$IT$19&gt;0,0,500000)+IF('計算A'!$IQ$19=2,SUMPRODUCT('計算A'!$D$69:$EQ$69,$DB47:$IO47,$IQ47:$OD47),SUMPRODUCT('計算A'!$D$69:$EQ$69,$DB47:$IO47))*1000+10)</f>
        <v/>
      </c>
      <c r="BR47">
        <f>IF(X47=1,1000000,IF('計算A'!$IT$20&gt;0,0,500000)+IF('計算A'!$IQ$20=2,SUMPRODUCT('計算A'!$D$70:$EQ$70,$DB47:$IO47,$IQ47:$OD47),SUMPRODUCT('計算A'!$D$70:$EQ$70,$DB47:$IO47))*1000+11)</f>
        <v/>
      </c>
      <c r="BS47">
        <f>IF(Y47=1,1000000,IF('計算A'!$IT$21&gt;0,0,500000)+IF('計算A'!$IQ$21=2,SUMPRODUCT('計算A'!$D$71:$EQ$71,$DB47:$IO47,$IQ47:$OD47),SUMPRODUCT('計算A'!$D$71:$EQ$71,$DB47:$IO47))*1000+12)</f>
        <v/>
      </c>
      <c r="BT47">
        <f>IF(Z47=1,1000000,IF('計算A'!$IT$22&gt;0,0,500000)+IF('計算A'!$IQ$22=2,SUMPRODUCT('計算A'!$D$72:$EQ$72,$DB47:$IO47,$IQ47:$OD47),SUMPRODUCT('計算A'!$D$72:$EQ$72,$DB47:$IO47))*1000+13)</f>
        <v/>
      </c>
      <c r="BU47">
        <f>IF(AA47=1,1000000,IF('計算A'!$IT$23&gt;0,0,500000)+IF('計算A'!$IQ$23=2,SUMPRODUCT('計算A'!$D$73:$EQ$73,$DB47:$IO47,$IQ47:$OD47),SUMPRODUCT('計算A'!$D$73:$EQ$73,$DB47:$IO47))*1000+14)</f>
        <v/>
      </c>
      <c r="BV47">
        <f>IF(AB47=1,1000000,IF('計算A'!$IT$24&gt;0,0,500000)+IF('計算A'!$IQ$24=2,SUMPRODUCT('計算A'!$D$74:$EQ$74,$DB47:$IO47,$IQ47:$OD47),SUMPRODUCT('計算A'!$D$74:$EQ$74,$DB47:$IO47))*1000+15)</f>
        <v/>
      </c>
      <c r="BW47">
        <f>IF(AC47=1,1000000,IF('計算A'!$IT$25&gt;0,0,500000)+IF('計算A'!$IQ$25=2,SUMPRODUCT('計算A'!$D$75:$EQ$75,$DB47:$IO47,$IQ47:$OD47),SUMPRODUCT('計算A'!$D$75:$EQ$75,$DB47:$IO47))*1000+16)</f>
        <v/>
      </c>
      <c r="BX47">
        <f>IF(AD47=1,1000000,IF('計算A'!$IT$26&gt;0,0,500000)+IF('計算A'!$IQ$26=2,SUMPRODUCT('計算A'!$D$76:$EQ$76,$DB47:$IO47,$IQ47:$OD47),SUMPRODUCT('計算A'!$D$76:$EQ$76,$DB47:$IO47))*1000+17)</f>
        <v/>
      </c>
      <c r="BY47">
        <f>IF(AE47=1,1000000,IF('計算A'!$IT$27&gt;0,0,500000)+IF('計算A'!$IQ$27=2,SUMPRODUCT('計算A'!$D$77:$EQ$77,$DB47:$IO47,$IQ47:$OD47),SUMPRODUCT('計算A'!$D$77:$EQ$77,$DB47:$IO47))*1000+18)</f>
        <v/>
      </c>
      <c r="BZ47">
        <f>IF(AF47=1,1000000,IF('計算A'!$IT$28&gt;0,0,500000)+IF('計算A'!$IQ$28=2,SUMPRODUCT('計算A'!$D$78:$EQ$78,$DB47:$IO47,$IQ47:$OD47),SUMPRODUCT('計算A'!$D$78:$EQ$78,$DB47:$IO47))*1000+19)</f>
        <v/>
      </c>
      <c r="CA47">
        <f>IF(AG47=1,1000000,IF('計算A'!$IT$29&gt;0,0,500000)+IF('計算A'!$IQ$29=2,SUMPRODUCT('計算A'!$D$79:$EQ$79,$DB47:$IO47,$IQ47:$OD47),SUMPRODUCT('計算A'!$D$79:$EQ$79,$DB47:$IO47))*1000+20)</f>
        <v/>
      </c>
      <c r="CB47">
        <f>IF(AH47=1,1000000,IF('計算A'!$IT$30&gt;0,0,500000)+IF('計算A'!$IQ$30=2,SUMPRODUCT('計算A'!$D$80:$EQ$80,$DB47:$IO47,$IQ47:$OD47),SUMPRODUCT('計算A'!$D$80:$EQ$80,$DB47:$IO47))*1000+21)</f>
        <v/>
      </c>
      <c r="CC47">
        <f>IF(AI47=1,1000000,IF('計算A'!$IT$31&gt;0,0,500000)+IF('計算A'!$IQ$31=2,SUMPRODUCT('計算A'!$D$81:$EQ$81,$DB47:$IO47,$IQ47:$OD47),SUMPRODUCT('計算A'!$D$81:$EQ$81,$DB47:$IO47))*1000+22)</f>
        <v/>
      </c>
      <c r="CD47">
        <f>IF(AJ47=1,1000000,IF('計算A'!$IT$32&gt;0,0,500000)+IF('計算A'!$IQ$32=2,SUMPRODUCT('計算A'!$D$82:$EQ$82,$DB47:$IO47,$IQ47:$OD47),SUMPRODUCT('計算A'!$D$82:$EQ$82,$DB47:$IO47))*1000+23)</f>
        <v/>
      </c>
      <c r="CE47">
        <f>IF(AK47=1,1000000,IF('計算A'!$IT$33&gt;0,0,500000)+IF('計算A'!$IQ$33=2,SUMPRODUCT('計算A'!$D$83:$EQ$83,$DB47:$IO47,$IQ47:$OD47),SUMPRODUCT('計算A'!$D$83:$EQ$83,$DB47:$IO47))*1000+24)</f>
        <v/>
      </c>
      <c r="CF47">
        <f>IF(AL47=1,1000000,IF('計算A'!$IT$34&gt;0,0,500000)+IF('計算A'!$IQ$34=2,SUMPRODUCT('計算A'!$D$84:$EQ$84,$DB47:$IO47,$IQ47:$OD47),SUMPRODUCT('計算A'!$D$84:$EQ$84,$DB47:$IO47))*1000+25)</f>
        <v/>
      </c>
      <c r="CG47">
        <f>IF(AM47=1,1000000,IF('計算A'!$IT$35&gt;0,0,500000)+IF('計算A'!$IQ$35=2,SUMPRODUCT('計算A'!$D$85:$EQ$85,$DB47:$IO47,$IQ47:$OD47),SUMPRODUCT('計算A'!$D$85:$EQ$85,$DB47:$IO47))*1000+26)</f>
        <v/>
      </c>
      <c r="CH47">
        <f>IF(AN47=1,1000000,IF('計算A'!$IT$36&gt;0,0,500000)+IF('計算A'!$IQ$36=2,SUMPRODUCT('計算A'!$D$86:$EQ$86,$DB47:$IO47,$IQ47:$OD47),SUMPRODUCT('計算A'!$D$86:$EQ$86,$DB47:$IO47))*1000+27)</f>
        <v/>
      </c>
      <c r="CI47">
        <f>IF(AO47=1,1000000,IF('計算A'!$IT$37&gt;0,0,500000)+IF('計算A'!$IQ$37=2,SUMPRODUCT('計算A'!$D$87:$EQ$87,$DB47:$IO47,$IQ47:$OD47),SUMPRODUCT('計算A'!$D$87:$EQ$87,$DB47:$IO47))*1000+28)</f>
        <v/>
      </c>
      <c r="CJ47">
        <f>IF(AP47=1,1000000,IF('計算A'!$IT$38&gt;0,0,500000)+IF('計算A'!$IQ$38=2,SUMPRODUCT('計算A'!$D$88:$EQ$88,$DB47:$IO47,$IQ47:$OD47),SUMPRODUCT('計算A'!$D$88:$EQ$88,$DB47:$IO47))*1000+29)</f>
        <v/>
      </c>
      <c r="CK47">
        <f>IF(AQ47=1,1000000,IF('計算A'!$IT$39&gt;0,0,500000)+IF('計算A'!$IQ$39=2,SUMPRODUCT('計算A'!$D$89:$EQ$89,$DB47:$IO47,$IQ47:$OD47),SUMPRODUCT('計算A'!$D$89:$EQ$89,$DB47:$IO47))*1000+30)</f>
        <v/>
      </c>
      <c r="CL47">
        <f>IF(AR47=1,1000000,IF('計算A'!$IT$40&gt;0,0,500000)+IF('計算A'!$IQ$40=2,SUMPRODUCT('計算A'!$D$90:$EQ$90,$DB47:$IO47,$IQ47:$OD47),SUMPRODUCT('計算A'!$D$90:$EQ$90,$DB47:$IO47))*1000+31)</f>
        <v/>
      </c>
      <c r="CM47">
        <f>IF(AS47=1,1000000,IF('計算A'!$IT$41&gt;0,0,500000)+IF('計算A'!$IQ$41=2,SUMPRODUCT('計算A'!$D$91:$EQ$91,$DB47:$IO47,$IQ47:$OD47),SUMPRODUCT('計算A'!$D$91:$EQ$91,$DB47:$IO47))*1000+32)</f>
        <v/>
      </c>
      <c r="CN47">
        <f>IF(AT47=1,1000000,IF('計算A'!$IT$42&gt;0,0,500000)+IF('計算A'!$IQ$42=2,SUMPRODUCT('計算A'!$D$92:$EQ$92,$DB47:$IO47,$IQ47:$OD47),SUMPRODUCT('計算A'!$D$92:$EQ$92,$DB47:$IO47))*1000+33)</f>
        <v/>
      </c>
      <c r="CO47">
        <f>IF(AU47=1,1000000,IF('計算A'!$IT$43&gt;0,0,500000)+IF('計算A'!$IQ$43=2,SUMPRODUCT('計算A'!$D$93:$EQ$93,$DB47:$IO47,$IQ47:$OD47),SUMPRODUCT('計算A'!$D$93:$EQ$93,$DB47:$IO47))*1000+34)</f>
        <v/>
      </c>
      <c r="CP47">
        <f>IF(AV47=1,1000000,IF('計算A'!$IT$44&gt;0,0,500000)+IF('計算A'!$IQ$44=2,SUMPRODUCT('計算A'!$D$94:$EQ$94,$DB47:$IO47,$IQ47:$OD47),SUMPRODUCT('計算A'!$D$94:$EQ$94,$DB47:$IO47))*1000+35)</f>
        <v/>
      </c>
      <c r="CQ47">
        <f>IF(AW47=1,1000000,IF('計算A'!$IT$45&gt;0,0,500000)+IF('計算A'!$IQ$45=2,SUMPRODUCT('計算A'!$D$95:$EQ$95,$DB47:$IO47,$IQ47:$OD47),SUMPRODUCT('計算A'!$D$95:$EQ$95,$DB47:$IO47))*1000+36)</f>
        <v/>
      </c>
      <c r="CR47">
        <f>IF(AX47=1,1000000,IF('計算A'!$IT$46&gt;0,0,500000)+IF('計算A'!$IQ$46=2,SUMPRODUCT('計算A'!$D$96:$EQ$96,$DB47:$IO47,$IQ47:$OD47),SUMPRODUCT('計算A'!$D$96:$EQ$96,$DB47:$IO47))*1000+37)</f>
        <v/>
      </c>
      <c r="CS47">
        <f>IF(AY47=1,1000000,IF('計算A'!$IT$47&gt;0,0,500000)+IF('計算A'!$IQ$47=2,SUMPRODUCT('計算A'!$D$97:$EQ$97,$DB47:$IO47,$IQ47:$OD47),SUMPRODUCT('計算A'!$D$97:$EQ$97,$DB47:$IO47))*1000+38)</f>
        <v/>
      </c>
      <c r="CT47">
        <f>IF(AZ47=1,1000000,IF('計算A'!$IT$48&gt;0,0,500000)+IF('計算A'!$IQ$48=2,SUMPRODUCT('計算A'!$D$98:$EQ$98,$DB47:$IO47,$IQ47:$OD47),SUMPRODUCT('計算A'!$D$98:$EQ$98,$DB47:$IO47))*1000+39)</f>
        <v/>
      </c>
      <c r="CU47">
        <f>IF(BA47=1,1000000,IF('計算A'!$IT$49&gt;0,0,500000)+IF('計算A'!$IQ$49=2,SUMPRODUCT('計算A'!$D$99:$EQ$99,$DB47:$IO47,$IQ47:$OD47),SUMPRODUCT('計算A'!$D$99:$EQ$99,$DB47:$IO47))*1000+40)</f>
        <v/>
      </c>
      <c r="CV47">
        <f>IF(BB47=1,1000000,IF('計算A'!$IT$50&gt;0,0,500000)+IF('計算A'!$IQ$50=2,SUMPRODUCT('計算A'!$D$100:$EQ$100,$DB47:$IO47,$IQ47:$OD47),SUMPRODUCT('計算A'!$D$100:$EQ$100,$DB47:$IO47))*1000+41)</f>
        <v/>
      </c>
      <c r="CW47">
        <f>IF(BC47=1,1000000,IF('計算A'!$IT$51&gt;0,0,500000)+IF('計算A'!$IQ$51=2,SUMPRODUCT('計算A'!$D$101:$EQ$101,$DB47:$IO47,$IQ47:$OD47),SUMPRODUCT('計算A'!$D$101:$EQ$101,$DB47:$IO47))*1000+42)</f>
        <v/>
      </c>
      <c r="CX47">
        <f>IF(BD47=1,1000000,IF('計算A'!$IT$52&gt;0,0,500000)+IF('計算A'!$IQ$52=2,SUMPRODUCT('計算A'!$D$102:$EQ$102,$DB47:$IO47,$IQ47:$OD47),SUMPRODUCT('計算A'!$D$102:$EQ$102,$DB47:$IO47))*1000+43)</f>
        <v/>
      </c>
      <c r="CY47">
        <f>IF(BE47=1,1000000,IF('計算A'!$IT$53&gt;0,0,500000)+IF('計算A'!$IQ$53=2,SUMPRODUCT('計算A'!$D$103:$EQ$103,$DB47:$IO47,$IQ47:$OD47),SUMPRODUCT('計算A'!$D$103:$EQ$103,$DB47:$IO47))*1000+44)</f>
        <v/>
      </c>
      <c r="CZ47">
        <f>IF(BF47=1,1000000,IF('計算A'!$IT$54&gt;0,0,500000)+IF('計算A'!$IQ$54=2,SUMPRODUCT('計算A'!$D$104:$EQ$104,$DB47:$IO47,$IQ47:$OD47),SUMPRODUCT('計算A'!$D$104:$EQ$104,$DB47:$IO47))*1000+45)</f>
        <v/>
      </c>
      <c r="DB47">
        <f>DB46*IF(OR($C46=1,$G46=1),0,1)</f>
        <v/>
      </c>
      <c r="DC47">
        <f>DC46*IF(OR($C46=2,$G46=2),0,1)</f>
        <v/>
      </c>
      <c r="DD47">
        <f>DD46*IF(OR($C46=3,$G46=3),0,1)</f>
        <v/>
      </c>
      <c r="DE47">
        <f>DE46*IF(OR($C46=4,$G46=4),0,1)</f>
        <v/>
      </c>
      <c r="DF47">
        <f>DF46*IF(OR($C46=5,$G46=5),0,1)</f>
        <v/>
      </c>
      <c r="DG47">
        <f>DG46*IF(OR($C46=6,$G46=6),0,1)</f>
        <v/>
      </c>
      <c r="DH47">
        <f>DH46*IF(OR($C46=7,$G46=7),0,1)</f>
        <v/>
      </c>
      <c r="DI47">
        <f>DI46*IF(OR($C46=8,$G46=8),0,1)</f>
        <v/>
      </c>
      <c r="DJ47">
        <f>DJ46*IF(OR($C46=9,$G46=9),0,1)</f>
        <v/>
      </c>
      <c r="DK47">
        <f>DK46*IF(OR($C46=10,$G46=10),0,1)</f>
        <v/>
      </c>
      <c r="DL47">
        <f>DL46*IF(OR($C46=11,$G46=11),0,1)</f>
        <v/>
      </c>
      <c r="DM47">
        <f>DM46*IF(OR($C46=12,$G46=12),0,1)</f>
        <v/>
      </c>
      <c r="DN47">
        <f>DN46*IF(OR($C46=13,$G46=13),0,1)</f>
        <v/>
      </c>
      <c r="DO47">
        <f>DO46*IF(OR($C46=14,$G46=14),0,1)</f>
        <v/>
      </c>
      <c r="DP47">
        <f>DP46*IF(OR($C46=15,$G46=15),0,1)</f>
        <v/>
      </c>
      <c r="DQ47">
        <f>DQ46*IF(OR($C46=16,$G46=16),0,1)</f>
        <v/>
      </c>
      <c r="DR47">
        <f>DR46*IF(OR($C46=17,$G46=17),0,1)</f>
        <v/>
      </c>
      <c r="DS47">
        <f>DS46*IF(OR($C46=18,$G46=18),0,1)</f>
        <v/>
      </c>
      <c r="DT47">
        <f>DT46*IF(OR($C46=19,$G46=19),0,1)</f>
        <v/>
      </c>
      <c r="DU47">
        <f>DU46*IF(OR($C46=20,$G46=20),0,1)</f>
        <v/>
      </c>
      <c r="DV47">
        <f>DV46*IF(OR($C46=21,$G46=21),0,1)</f>
        <v/>
      </c>
      <c r="DW47">
        <f>DW46*IF(OR($C46=22,$G46=22),0,1)</f>
        <v/>
      </c>
      <c r="DX47">
        <f>DX46*IF(OR($C46=23,$G46=23),0,1)</f>
        <v/>
      </c>
      <c r="DY47">
        <f>DY46*IF(OR($C46=24,$G46=24),0,1)</f>
        <v/>
      </c>
      <c r="DZ47">
        <f>DZ46*IF(OR($C46=25,$G46=25),0,1)</f>
        <v/>
      </c>
      <c r="EA47">
        <f>EA46*IF(OR($C46=26,$G46=26),0,1)</f>
        <v/>
      </c>
      <c r="EB47">
        <f>EB46*IF(OR($C46=27,$G46=27),0,1)</f>
        <v/>
      </c>
      <c r="EC47">
        <f>EC46*IF(OR($C46=28,$G46=28),0,1)</f>
        <v/>
      </c>
      <c r="ED47">
        <f>ED46*IF(OR($C46=29,$G46=29),0,1)</f>
        <v/>
      </c>
      <c r="EE47">
        <f>EE46*IF(OR($C46=30,$G46=30),0,1)</f>
        <v/>
      </c>
      <c r="EF47">
        <f>EF46*IF(OR($C46=31,$G46=31),0,1)</f>
        <v/>
      </c>
      <c r="EG47">
        <f>EG46*IF(OR($C46=32,$G46=32),0,1)</f>
        <v/>
      </c>
      <c r="EH47">
        <f>EH46*IF(OR($C46=33,$G46=33),0,1)</f>
        <v/>
      </c>
      <c r="EI47">
        <f>EI46*IF(OR($C46=34,$G46=34),0,1)</f>
        <v/>
      </c>
      <c r="EJ47">
        <f>EJ46*IF(OR($C46=35,$G46=35),0,1)</f>
        <v/>
      </c>
      <c r="EK47">
        <f>EK46*IF(OR($C46=36,$G46=36),0,1)</f>
        <v/>
      </c>
      <c r="EL47">
        <f>EL46*IF(OR($C46=37,$G46=37),0,1)</f>
        <v/>
      </c>
      <c r="EM47">
        <f>EM46*IF(OR($C46=38,$G46=38),0,1)</f>
        <v/>
      </c>
      <c r="EN47">
        <f>EN46*IF(OR($C46=39,$G46=39),0,1)</f>
        <v/>
      </c>
      <c r="EO47">
        <f>EO46*IF(OR($C46=40,$G46=40),0,1)</f>
        <v/>
      </c>
      <c r="EP47">
        <f>EP46*IF(OR($C46=41,$G46=41),0,1)</f>
        <v/>
      </c>
      <c r="EQ47">
        <f>EQ46*IF(OR($C46=42,$G46=42),0,1)</f>
        <v/>
      </c>
      <c r="ER47">
        <f>ER46*IF(OR($C46=43,$G46=43),0,1)</f>
        <v/>
      </c>
      <c r="ES47">
        <f>ES46*IF(OR($C46=44,$G46=44),0,1)</f>
        <v/>
      </c>
      <c r="ET47">
        <f>ET46*IF(OR($C46=45,$G46=45),0,1)</f>
        <v/>
      </c>
      <c r="EU47">
        <f>EU46*IF(OR($C46=46,$G46=46),0,1)</f>
        <v/>
      </c>
      <c r="EV47">
        <f>EV46*IF(OR($C46=47,$G46=47),0,1)</f>
        <v/>
      </c>
      <c r="EW47">
        <f>EW46*IF(OR($C46=48,$G46=48),0,1)</f>
        <v/>
      </c>
      <c r="EX47">
        <f>EX46*IF(OR($C46=49,$G46=49),0,1)</f>
        <v/>
      </c>
      <c r="EY47">
        <f>EY46*IF(OR($C46=50,$G46=50),0,1)</f>
        <v/>
      </c>
      <c r="EZ47">
        <f>EZ46*IF(OR($C46=51,$G46=51),0,1)</f>
        <v/>
      </c>
      <c r="FA47">
        <f>FA46*IF(OR($C46=52,$G46=52),0,1)</f>
        <v/>
      </c>
      <c r="FB47">
        <f>FB46*IF(OR($C46=53,$G46=53),0,1)</f>
        <v/>
      </c>
      <c r="FC47">
        <f>FC46*IF(OR($C46=54,$G46=54),0,1)</f>
        <v/>
      </c>
      <c r="FD47">
        <f>FD46*IF(OR($C46=55,$G46=55),0,1)</f>
        <v/>
      </c>
      <c r="FE47">
        <f>FE46*IF(OR($C46=56,$G46=56),0,1)</f>
        <v/>
      </c>
      <c r="FF47">
        <f>FF46*IF(OR($C46=57,$G46=57),0,1)</f>
        <v/>
      </c>
      <c r="FG47">
        <f>FG46*IF(OR($C46=58,$G46=58),0,1)</f>
        <v/>
      </c>
      <c r="FH47">
        <f>FH46*IF(OR($C46=59,$G46=59),0,1)</f>
        <v/>
      </c>
      <c r="FI47">
        <f>FI46*IF(OR($C46=60,$G46=60),0,1)</f>
        <v/>
      </c>
      <c r="FJ47">
        <f>FJ46*IF(OR($C46=61,$G46=61),0,1)</f>
        <v/>
      </c>
      <c r="FK47">
        <f>FK46*IF(OR($C46=62,$G46=62),0,1)</f>
        <v/>
      </c>
      <c r="FL47">
        <f>FL46*IF(OR($C46=63,$G46=63),0,1)</f>
        <v/>
      </c>
      <c r="FM47">
        <f>FM46*IF(OR($C46=64,$G46=64),0,1)</f>
        <v/>
      </c>
      <c r="FN47">
        <f>FN46*IF(OR($C46=65,$G46=65),0,1)</f>
        <v/>
      </c>
      <c r="FO47">
        <f>FO46*IF(OR($C46=66,$G46=66),0,1)</f>
        <v/>
      </c>
      <c r="FP47">
        <f>FP46*IF(OR($C46=67,$G46=67),0,1)</f>
        <v/>
      </c>
      <c r="FQ47">
        <f>FQ46*IF(OR($C46=68,$G46=68),0,1)</f>
        <v/>
      </c>
      <c r="FR47">
        <f>FR46*IF(OR($C46=69,$G46=69),0,1)</f>
        <v/>
      </c>
      <c r="FS47">
        <f>FS46*IF(OR($C46=70,$G46=70),0,1)</f>
        <v/>
      </c>
      <c r="FT47">
        <f>FT46*IF(OR($C46=71,$G46=71),0,1)</f>
        <v/>
      </c>
      <c r="FU47">
        <f>FU46*IF(OR($C46=72,$G46=72),0,1)</f>
        <v/>
      </c>
      <c r="FV47">
        <f>FV46*IF(OR($C46=73,$G46=73),0,1)</f>
        <v/>
      </c>
      <c r="FW47">
        <f>FW46*IF(OR($C46=74,$G46=74),0,1)</f>
        <v/>
      </c>
      <c r="FX47">
        <f>FX46*IF(OR($C46=75,$G46=75),0,1)</f>
        <v/>
      </c>
      <c r="FY47">
        <f>FY46*IF(OR($C46=76,$G46=76),0,1)</f>
        <v/>
      </c>
      <c r="FZ47">
        <f>FZ46*IF(OR($C46=77,$G46=77),0,1)</f>
        <v/>
      </c>
      <c r="GA47">
        <f>GA46*IF(OR($C46=78,$G46=78),0,1)</f>
        <v/>
      </c>
      <c r="GB47">
        <f>GB46*IF(OR($C46=79,$G46=79),0,1)</f>
        <v/>
      </c>
      <c r="GC47">
        <f>GC46*IF(OR($C46=80,$G46=80),0,1)</f>
        <v/>
      </c>
      <c r="GD47">
        <f>GD46*IF(OR($C46=81,$G46=81),0,1)</f>
        <v/>
      </c>
      <c r="GE47">
        <f>GE46*IF(OR($C46=82,$G46=82),0,1)</f>
        <v/>
      </c>
      <c r="GF47">
        <f>GF46*IF(OR($C46=83,$G46=83),0,1)</f>
        <v/>
      </c>
      <c r="GG47">
        <f>GG46*IF(OR($C46=84,$G46=84),0,1)</f>
        <v/>
      </c>
      <c r="GH47">
        <f>GH46*IF(OR($C46=85,$G46=85),0,1)</f>
        <v/>
      </c>
      <c r="GI47">
        <f>GI46*IF(OR($C46=86,$G46=86),0,1)</f>
        <v/>
      </c>
      <c r="GJ47">
        <f>GJ46*IF(OR($C46=87,$G46=87),0,1)</f>
        <v/>
      </c>
      <c r="GK47">
        <f>GK46*IF(OR($C46=88,$G46=88),0,1)</f>
        <v/>
      </c>
      <c r="GL47">
        <f>GL46*IF(OR($C46=89,$G46=89),0,1)</f>
        <v/>
      </c>
      <c r="GM47">
        <f>GM46*IF(OR($C46=90,$G46=90),0,1)</f>
        <v/>
      </c>
      <c r="GN47">
        <f>GN46*IF(OR($C46=91,$G46=91),0,1)</f>
        <v/>
      </c>
      <c r="GO47">
        <f>GO46*IF(OR($C46=92,$G46=92),0,1)</f>
        <v/>
      </c>
      <c r="GP47">
        <f>GP46*IF(OR($C46=93,$G46=93),0,1)</f>
        <v/>
      </c>
      <c r="GQ47">
        <f>GQ46*IF(OR($C46=94,$G46=94),0,1)</f>
        <v/>
      </c>
      <c r="GR47">
        <f>GR46*IF(OR($C46=95,$G46=95),0,1)</f>
        <v/>
      </c>
      <c r="GS47">
        <f>GS46*IF(OR($C46=96,$G46=96),0,1)</f>
        <v/>
      </c>
      <c r="GT47">
        <f>GT46*IF(OR($C46=97,$G46=97),0,1)</f>
        <v/>
      </c>
      <c r="GU47">
        <f>GU46*IF(OR($C46=98,$G46=98),0,1)</f>
        <v/>
      </c>
      <c r="GV47">
        <f>GV46*IF(OR($C46=99,$G46=99),0,1)</f>
        <v/>
      </c>
      <c r="GW47">
        <f>GW46*IF(OR($C46=100,$G46=100),0,1)</f>
        <v/>
      </c>
      <c r="GX47">
        <f>GX46*IF(OR($C46=101,$G46=101),0,1)</f>
        <v/>
      </c>
      <c r="GY47">
        <f>GY46*IF(OR($C46=102,$G46=102),0,1)</f>
        <v/>
      </c>
      <c r="GZ47">
        <f>GZ46*IF(OR($C46=103,$G46=103),0,1)</f>
        <v/>
      </c>
      <c r="HA47">
        <f>HA46*IF(OR($C46=104,$G46=104),0,1)</f>
        <v/>
      </c>
      <c r="HB47">
        <f>HB46*IF(OR($C46=105,$G46=105),0,1)</f>
        <v/>
      </c>
      <c r="HC47">
        <f>HC46*IF(OR($C46=106,$G46=106),0,1)</f>
        <v/>
      </c>
      <c r="HD47">
        <f>HD46*IF(OR($C46=107,$G46=107),0,1)</f>
        <v/>
      </c>
      <c r="HE47">
        <f>HE46*IF(OR($C46=108,$G46=108),0,1)</f>
        <v/>
      </c>
      <c r="HF47">
        <f>HF46*IF(OR($C46=109,$G46=109),0,1)</f>
        <v/>
      </c>
      <c r="HG47">
        <f>HG46*IF(OR($C46=110,$G46=110),0,1)</f>
        <v/>
      </c>
      <c r="HH47">
        <f>HH46*IF(OR($C46=111,$G46=111),0,1)</f>
        <v/>
      </c>
      <c r="HI47">
        <f>HI46*IF(OR($C46=112,$G46=112),0,1)</f>
        <v/>
      </c>
      <c r="HJ47">
        <f>HJ46*IF(OR($C46=113,$G46=113),0,1)</f>
        <v/>
      </c>
      <c r="HK47">
        <f>HK46*IF(OR($C46=114,$G46=114),0,1)</f>
        <v/>
      </c>
      <c r="HL47">
        <f>HL46*IF(OR($C46=115,$G46=115),0,1)</f>
        <v/>
      </c>
      <c r="HM47">
        <f>HM46*IF(OR($C46=116,$G46=116),0,1)</f>
        <v/>
      </c>
      <c r="HN47">
        <f>HN46*IF(OR($C46=117,$G46=117),0,1)</f>
        <v/>
      </c>
      <c r="HO47">
        <f>HO46*IF(OR($C46=118,$G46=118),0,1)</f>
        <v/>
      </c>
      <c r="HP47">
        <f>HP46*IF(OR($C46=119,$G46=119),0,1)</f>
        <v/>
      </c>
      <c r="HQ47">
        <f>HQ46*IF(OR($C46=120,$G46=120),0,1)</f>
        <v/>
      </c>
      <c r="HR47">
        <f>HR46*IF(OR($C46=121,$G46=121),0,1)</f>
        <v/>
      </c>
      <c r="HS47">
        <f>HS46*IF(OR($C46=122,$G46=122),0,1)</f>
        <v/>
      </c>
      <c r="HT47">
        <f>HT46*IF(OR($C46=123,$G46=123),0,1)</f>
        <v/>
      </c>
      <c r="HU47">
        <f>HU46*IF(OR($C46=124,$G46=124),0,1)</f>
        <v/>
      </c>
      <c r="HV47">
        <f>HV46*IF(OR($C46=125,$G46=125),0,1)</f>
        <v/>
      </c>
      <c r="HW47">
        <f>HW46*IF(OR($C46=126,$G46=126),0,1)</f>
        <v/>
      </c>
      <c r="HX47">
        <f>HX46*IF(OR($C46=127,$G46=127),0,1)</f>
        <v/>
      </c>
      <c r="HY47">
        <f>HY46*IF(OR($C46=128,$G46=128),0,1)</f>
        <v/>
      </c>
      <c r="HZ47">
        <f>HZ46*IF(OR($C46=129,$G46=129),0,1)</f>
        <v/>
      </c>
      <c r="IA47">
        <f>IA46*IF(OR($C46=130,$G46=130),0,1)</f>
        <v/>
      </c>
      <c r="IB47">
        <f>IB46*IF(OR($C46=131,$G46=131),0,1)</f>
        <v/>
      </c>
      <c r="IC47">
        <f>IC46*IF(OR($C46=132,$G46=132),0,1)</f>
        <v/>
      </c>
      <c r="ID47">
        <f>ID46*IF(OR($C46=133,$G46=133),0,1)</f>
        <v/>
      </c>
      <c r="IE47">
        <f>IE46*IF(OR($C46=134,$G46=134),0,1)</f>
        <v/>
      </c>
      <c r="IF47">
        <f>IF46*IF(OR($C46=135,$G46=135),0,1)</f>
        <v/>
      </c>
      <c r="IG47">
        <f>IG46*IF(OR($C46=136,$G46=136),0,1)</f>
        <v/>
      </c>
      <c r="IH47">
        <f>IH46*IF(OR($C46=137,$G46=137),0,1)</f>
        <v/>
      </c>
      <c r="II47">
        <f>II46*IF(OR($C46=138,$G46=138),0,1)</f>
        <v/>
      </c>
      <c r="IJ47">
        <f>IJ46*IF(OR($C46=139,$G46=139),0,1)</f>
        <v/>
      </c>
      <c r="IK47">
        <f>IK46*IF(OR($C46=140,$G46=140),0,1)</f>
        <v/>
      </c>
      <c r="IL47">
        <f>IL46*IF(OR($C46=141,$G46=141),0,1)</f>
        <v/>
      </c>
      <c r="IM47">
        <f>IM46*IF(OR($C46=142,$G46=142),0,1)</f>
        <v/>
      </c>
      <c r="IN47">
        <f>IN46*IF(OR($C46=143,$G46=143),0,1)</f>
        <v/>
      </c>
      <c r="IO47">
        <f>IO46*IF(OR($C46=144,$G46=144),0,1)</f>
        <v/>
      </c>
      <c r="IQ47">
        <f>IF('計算A'!D$106=1,DC47,1)</f>
        <v/>
      </c>
      <c r="IR47">
        <f>IF('計算A'!E$106=1,DD47,1)</f>
        <v/>
      </c>
      <c r="IS47">
        <f>IF('計算A'!F$106=1,DE47,1)</f>
        <v/>
      </c>
      <c r="IT47">
        <f>IF('計算A'!G$106=1,DF47,1)</f>
        <v/>
      </c>
      <c r="IU47">
        <f>IF('計算A'!H$106=1,DG47,1)</f>
        <v/>
      </c>
      <c r="IV47">
        <f>IF('計算A'!I$106=1,DH47,1)</f>
        <v/>
      </c>
      <c r="IW47">
        <f>IF('計算A'!J$106=1,DI47,1)</f>
        <v/>
      </c>
      <c r="IX47">
        <f>IF('計算A'!K$106=1,DJ47,1)</f>
        <v/>
      </c>
      <c r="IY47">
        <f>IF('計算A'!L$106=1,DK47,1)</f>
        <v/>
      </c>
      <c r="IZ47">
        <f>IF('計算A'!M$106=1,DL47,1)</f>
        <v/>
      </c>
      <c r="JA47">
        <f>IF('計算A'!N$106=1,DM47,1)</f>
        <v/>
      </c>
      <c r="JB47">
        <f>IF('計算A'!O$106=1,DN47,1)</f>
        <v/>
      </c>
      <c r="JC47">
        <f>IF('計算A'!P$106=1,DO47,1)</f>
        <v/>
      </c>
      <c r="JD47">
        <f>IF('計算A'!Q$106=1,DP47,1)</f>
        <v/>
      </c>
      <c r="JE47">
        <f>IF('計算A'!R$106=1,DQ47,1)</f>
        <v/>
      </c>
      <c r="JF47">
        <f>IF('計算A'!S$106=1,DR47,1)</f>
        <v/>
      </c>
      <c r="JG47">
        <f>IF('計算A'!T$106=1,DS47,1)</f>
        <v/>
      </c>
      <c r="JH47">
        <f>IF('計算A'!U$106=1,DT47,1)</f>
        <v/>
      </c>
      <c r="JI47">
        <f>IF('計算A'!V$106=1,DU47,1)</f>
        <v/>
      </c>
      <c r="JJ47">
        <f>IF('計算A'!W$106=1,DV47,1)</f>
        <v/>
      </c>
      <c r="JK47">
        <f>IF('計算A'!X$106=1,DW47,1)</f>
        <v/>
      </c>
      <c r="JL47">
        <f>IF('計算A'!Y$106=1,DX47,1)</f>
        <v/>
      </c>
      <c r="JM47">
        <f>IF('計算A'!Z$106=1,DY47,1)</f>
        <v/>
      </c>
      <c r="JN47">
        <f>IF('計算A'!AA$106=1,DZ47,1)</f>
        <v/>
      </c>
      <c r="JO47">
        <f>IF('計算A'!AB$106=1,EA47,1)</f>
        <v/>
      </c>
      <c r="JP47">
        <f>IF('計算A'!AC$106=1,EB47,1)</f>
        <v/>
      </c>
      <c r="JQ47">
        <f>IF('計算A'!AD$106=1,EC47,1)</f>
        <v/>
      </c>
      <c r="JR47">
        <f>IF('計算A'!AE$106=1,ED47,1)</f>
        <v/>
      </c>
      <c r="JS47">
        <f>IF('計算A'!AF$106=1,EE47,1)</f>
        <v/>
      </c>
      <c r="JT47">
        <f>IF('計算A'!AG$106=1,EF47,1)</f>
        <v/>
      </c>
      <c r="JU47">
        <f>IF('計算A'!AH$106=1,EG47,1)</f>
        <v/>
      </c>
      <c r="JV47">
        <f>IF('計算A'!AI$106=1,EH47,1)</f>
        <v/>
      </c>
      <c r="JW47">
        <f>IF('計算A'!AJ$106=1,EI47,1)</f>
        <v/>
      </c>
      <c r="JX47">
        <f>IF('計算A'!AK$106=1,EJ47,1)</f>
        <v/>
      </c>
      <c r="JY47">
        <f>IF('計算A'!AL$106=1,EK47,1)</f>
        <v/>
      </c>
      <c r="JZ47">
        <f>IF('計算A'!AM$106=1,EL47,1)</f>
        <v/>
      </c>
      <c r="KA47">
        <f>IF('計算A'!AN$106=1,EM47,1)</f>
        <v/>
      </c>
      <c r="KB47">
        <f>IF('計算A'!AO$106=1,EN47,1)</f>
        <v/>
      </c>
      <c r="KC47">
        <f>IF('計算A'!AP$106=1,EO47,1)</f>
        <v/>
      </c>
      <c r="KD47">
        <f>IF('計算A'!AQ$106=1,EP47,1)</f>
        <v/>
      </c>
      <c r="KE47">
        <f>IF('計算A'!AR$106=1,EQ47,1)</f>
        <v/>
      </c>
      <c r="KF47">
        <f>IF('計算A'!AS$106=1,ER47,1)</f>
        <v/>
      </c>
      <c r="KG47">
        <f>IF('計算A'!AT$106=1,ES47,1)</f>
        <v/>
      </c>
      <c r="KH47">
        <f>IF('計算A'!AU$106=1,ET47,1)</f>
        <v/>
      </c>
      <c r="KI47">
        <f>IF('計算A'!AV$106=1,EU47,1)</f>
        <v/>
      </c>
      <c r="KJ47">
        <f>IF('計算A'!AW$106=1,EV47,1)</f>
        <v/>
      </c>
      <c r="KK47">
        <f>IF('計算A'!AX$106=1,EW47,1)</f>
        <v/>
      </c>
      <c r="KL47">
        <f>IF('計算A'!AY$106=1,EX47,1)</f>
        <v/>
      </c>
      <c r="KM47">
        <f>IF('計算A'!AZ$106=1,EY47,1)</f>
        <v/>
      </c>
      <c r="KN47">
        <f>IF('計算A'!BA$106=1,EZ47,1)</f>
        <v/>
      </c>
      <c r="KO47">
        <f>IF('計算A'!BB$106=1,FA47,1)</f>
        <v/>
      </c>
      <c r="KP47">
        <f>IF('計算A'!BC$106=1,FB47,1)</f>
        <v/>
      </c>
      <c r="KQ47">
        <f>IF('計算A'!BD$106=1,FC47,1)</f>
        <v/>
      </c>
      <c r="KR47">
        <f>IF('計算A'!BE$106=1,FD47,1)</f>
        <v/>
      </c>
      <c r="KS47">
        <f>IF('計算A'!BF$106=1,FE47,1)</f>
        <v/>
      </c>
      <c r="KT47">
        <f>IF('計算A'!BG$106=1,FF47,1)</f>
        <v/>
      </c>
      <c r="KU47">
        <f>IF('計算A'!BH$106=1,FG47,1)</f>
        <v/>
      </c>
      <c r="KV47">
        <f>IF('計算A'!BI$106=1,FH47,1)</f>
        <v/>
      </c>
      <c r="KW47">
        <f>IF('計算A'!BJ$106=1,FI47,1)</f>
        <v/>
      </c>
      <c r="KX47">
        <f>IF('計算A'!BK$106=1,FJ47,1)</f>
        <v/>
      </c>
      <c r="KY47">
        <f>IF('計算A'!BL$106=1,FK47,1)</f>
        <v/>
      </c>
      <c r="KZ47">
        <f>IF('計算A'!BM$106=1,FL47,1)</f>
        <v/>
      </c>
      <c r="LA47">
        <f>IF('計算A'!BN$106=1,FM47,1)</f>
        <v/>
      </c>
      <c r="LB47">
        <f>IF('計算A'!BO$106=1,FN47,1)</f>
        <v/>
      </c>
      <c r="LC47">
        <f>IF('計算A'!BP$106=1,FO47,1)</f>
        <v/>
      </c>
      <c r="LD47">
        <f>IF('計算A'!BQ$106=1,FP47,1)</f>
        <v/>
      </c>
      <c r="LE47">
        <f>IF('計算A'!BR$106=1,FQ47,1)</f>
        <v/>
      </c>
      <c r="LF47">
        <f>IF('計算A'!BS$106=1,FR47,1)</f>
        <v/>
      </c>
      <c r="LG47">
        <f>IF('計算A'!BT$106=1,FS47,1)</f>
        <v/>
      </c>
      <c r="LH47">
        <f>IF('計算A'!BU$106=1,FT47,1)</f>
        <v/>
      </c>
      <c r="LI47">
        <f>IF('計算A'!BV$106=1,FU47,1)</f>
        <v/>
      </c>
      <c r="LJ47">
        <f>IF('計算A'!BW$106=1,FV47,1)</f>
        <v/>
      </c>
      <c r="LK47">
        <f>IF('計算A'!BX$106=1,FW47,1)</f>
        <v/>
      </c>
      <c r="LL47">
        <f>IF('計算A'!BY$106=1,FX47,1)</f>
        <v/>
      </c>
      <c r="LM47">
        <f>IF('計算A'!BZ$106=1,FY47,1)</f>
        <v/>
      </c>
      <c r="LN47">
        <f>IF('計算A'!CA$106=1,FZ47,1)</f>
        <v/>
      </c>
      <c r="LO47">
        <f>IF('計算A'!CB$106=1,GA47,1)</f>
        <v/>
      </c>
      <c r="LP47">
        <f>IF('計算A'!CC$106=1,GB47,1)</f>
        <v/>
      </c>
      <c r="LQ47">
        <f>IF('計算A'!CD$106=1,GC47,1)</f>
        <v/>
      </c>
      <c r="LR47">
        <f>IF('計算A'!CE$106=1,GD47,1)</f>
        <v/>
      </c>
      <c r="LS47">
        <f>IF('計算A'!CF$106=1,GE47,1)</f>
        <v/>
      </c>
      <c r="LT47">
        <f>IF('計算A'!CG$106=1,GF47,1)</f>
        <v/>
      </c>
      <c r="LU47">
        <f>IF('計算A'!CH$106=1,GG47,1)</f>
        <v/>
      </c>
      <c r="LV47">
        <f>IF('計算A'!CI$106=1,GH47,1)</f>
        <v/>
      </c>
      <c r="LW47">
        <f>IF('計算A'!CJ$106=1,GI47,1)</f>
        <v/>
      </c>
      <c r="LX47">
        <f>IF('計算A'!CK$106=1,GJ47,1)</f>
        <v/>
      </c>
      <c r="LY47">
        <f>IF('計算A'!CL$106=1,GK47,1)</f>
        <v/>
      </c>
      <c r="LZ47">
        <f>IF('計算A'!CM$106=1,GL47,1)</f>
        <v/>
      </c>
      <c r="MA47">
        <f>IF('計算A'!CN$106=1,GM47,1)</f>
        <v/>
      </c>
      <c r="MB47">
        <f>IF('計算A'!CO$106=1,GN47,1)</f>
        <v/>
      </c>
      <c r="MC47">
        <f>IF('計算A'!CP$106=1,GO47,1)</f>
        <v/>
      </c>
      <c r="MD47">
        <f>IF('計算A'!CQ$106=1,GP47,1)</f>
        <v/>
      </c>
      <c r="ME47">
        <f>IF('計算A'!CR$106=1,GQ47,1)</f>
        <v/>
      </c>
      <c r="MF47">
        <f>IF('計算A'!CS$106=1,GR47,1)</f>
        <v/>
      </c>
      <c r="MG47">
        <f>IF('計算A'!CT$106=1,GS47,1)</f>
        <v/>
      </c>
      <c r="MH47">
        <f>IF('計算A'!CU$106=1,GT47,1)</f>
        <v/>
      </c>
      <c r="MI47">
        <f>IF('計算A'!CV$106=1,GU47,1)</f>
        <v/>
      </c>
      <c r="MJ47">
        <f>IF('計算A'!CW$106=1,GV47,1)</f>
        <v/>
      </c>
      <c r="MK47">
        <f>IF('計算A'!CX$106=1,GW47,1)</f>
        <v/>
      </c>
      <c r="ML47">
        <f>IF('計算A'!CY$106=1,GX47,1)</f>
        <v/>
      </c>
      <c r="MM47">
        <f>IF('計算A'!CZ$106=1,GY47,1)</f>
        <v/>
      </c>
      <c r="MN47">
        <f>IF('計算A'!DA$106=1,GZ47,1)</f>
        <v/>
      </c>
      <c r="MO47">
        <f>IF('計算A'!DB$106=1,HA47,1)</f>
        <v/>
      </c>
      <c r="MP47">
        <f>IF('計算A'!DC$106=1,HB47,1)</f>
        <v/>
      </c>
      <c r="MQ47">
        <f>IF('計算A'!DD$106=1,HC47,1)</f>
        <v/>
      </c>
      <c r="MR47">
        <f>IF('計算A'!DE$106=1,HD47,1)</f>
        <v/>
      </c>
      <c r="MS47">
        <f>IF('計算A'!DF$106=1,HE47,1)</f>
        <v/>
      </c>
      <c r="MT47">
        <f>IF('計算A'!DG$106=1,HF47,1)</f>
        <v/>
      </c>
      <c r="MU47">
        <f>IF('計算A'!DH$106=1,HG47,1)</f>
        <v/>
      </c>
      <c r="MV47">
        <f>IF('計算A'!DI$106=1,HH47,1)</f>
        <v/>
      </c>
      <c r="MW47">
        <f>IF('計算A'!DJ$106=1,HI47,1)</f>
        <v/>
      </c>
      <c r="MX47">
        <f>IF('計算A'!DK$106=1,HJ47,1)</f>
        <v/>
      </c>
      <c r="MY47">
        <f>IF('計算A'!DL$106=1,HK47,1)</f>
        <v/>
      </c>
      <c r="MZ47">
        <f>IF('計算A'!DM$106=1,HL47,1)</f>
        <v/>
      </c>
      <c r="NA47">
        <f>IF('計算A'!DN$106=1,HM47,1)</f>
        <v/>
      </c>
      <c r="NB47">
        <f>IF('計算A'!DO$106=1,HN47,1)</f>
        <v/>
      </c>
      <c r="NC47">
        <f>IF('計算A'!DP$106=1,HO47,1)</f>
        <v/>
      </c>
      <c r="ND47">
        <f>IF('計算A'!DQ$106=1,HP47,1)</f>
        <v/>
      </c>
      <c r="NE47">
        <f>IF('計算A'!DR$106=1,HQ47,1)</f>
        <v/>
      </c>
      <c r="NF47">
        <f>IF('計算A'!DS$106=1,HR47,1)</f>
        <v/>
      </c>
      <c r="NG47">
        <f>IF('計算A'!DT$106=1,HS47,1)</f>
        <v/>
      </c>
      <c r="NH47">
        <f>IF('計算A'!DU$106=1,HT47,1)</f>
        <v/>
      </c>
      <c r="NI47">
        <f>IF('計算A'!DV$106=1,HU47,1)</f>
        <v/>
      </c>
      <c r="NJ47">
        <f>IF('計算A'!DW$106=1,HV47,1)</f>
        <v/>
      </c>
      <c r="NK47">
        <f>IF('計算A'!DX$106=1,HW47,1)</f>
        <v/>
      </c>
      <c r="NL47">
        <f>IF('計算A'!DY$106=1,HX47,1)</f>
        <v/>
      </c>
      <c r="NM47">
        <f>IF('計算A'!DZ$106=1,HY47,1)</f>
        <v/>
      </c>
      <c r="NN47">
        <f>IF('計算A'!EA$106=1,HZ47,1)</f>
        <v/>
      </c>
      <c r="NO47">
        <f>IF('計算A'!EB$106=1,IA47,1)</f>
        <v/>
      </c>
      <c r="NP47">
        <f>IF('計算A'!EC$106=1,IB47,1)</f>
        <v/>
      </c>
      <c r="NQ47">
        <f>IF('計算A'!ED$106=1,IC47,1)</f>
        <v/>
      </c>
      <c r="NR47">
        <f>IF('計算A'!EE$106=1,ID47,1)</f>
        <v/>
      </c>
      <c r="NS47">
        <f>IF('計算A'!EF$106=1,IE47,1)</f>
        <v/>
      </c>
      <c r="NT47">
        <f>IF('計算A'!EG$106=1,IF47,1)</f>
        <v/>
      </c>
      <c r="NU47">
        <f>IF('計算A'!EH$106=1,IG47,1)</f>
        <v/>
      </c>
      <c r="NV47">
        <f>IF('計算A'!EI$106=1,IH47,1)</f>
        <v/>
      </c>
      <c r="NW47">
        <f>IF('計算A'!EJ$106=1,II47,1)</f>
        <v/>
      </c>
      <c r="NX47">
        <f>IF('計算A'!EK$106=1,IJ47,1)</f>
        <v/>
      </c>
      <c r="NY47">
        <f>IF('計算A'!EL$106=1,IK47,1)</f>
        <v/>
      </c>
      <c r="NZ47">
        <f>IF('計算A'!EM$106=1,IL47,1)</f>
        <v/>
      </c>
      <c r="OA47">
        <f>IF('計算A'!EN$106=1,IM47,1)</f>
        <v/>
      </c>
      <c r="OB47">
        <f>IF('計算A'!EO$106=1,IN47,1)</f>
        <v/>
      </c>
      <c r="OC47">
        <f>IF('計算A'!EP$106=1,IO47,1)</f>
        <v/>
      </c>
      <c r="OD47" t="n">
        <v>1</v>
      </c>
      <c r="OF47">
        <f>IF($B47=0,1000000,IF(INDEX('計算A'!$D$60:$EQ$104,$B47,1)*DB47=1,IF(AND($E47=2,IQ47=0),1000000,IF($I47&gt;0,IF(1=$J47,IF(OR(AND(1=$I47+1,OR($K47&lt;&gt;'計算A'!$A$3,'計算A'!$A$4=0)),AND(1=$I47-1,OR(1&lt;&gt;'計算A'!$A$3,'計算A'!$A$4=0))),0,IF(1=$K47,200000,ABS(1-$K47)*100)),100000+ABS(1-$J47)*1000+10)+'計算A'!D$5*50+IF(AND($E47=1,IQ47=0),25,0),IF($F47&gt;0,INDEX('計算A'!D$110:D$114,$F47+1)+IF(AND($E47=1,IQ47=0),1000,0),MIN(TU47,20)*400+(IF('計算A'!D$106=1,1-DC47,0))*150+11+'計算A'!D$5*100000+IF(AND($E47=1,IQ47=0),50000,0))+IF($H47=1,(IF('計算A'!D$117=1,INDEX('計算A'!E$10:E$54,$B47),0))*4000,0)-IF(AND($L47=1,'計算A'!D$117=1,DC47=0),2000,0))),1000000))</f>
        <v/>
      </c>
      <c r="OG47">
        <f>IF($B47=0,1000000,IF(INDEX('計算A'!$D$60:$EQ$104,$B47,2)*DC47=1,IF(AND($E47=2,IR47=0),1000000,IF($I47&gt;0,IF(1=$J47,IF(OR(AND(2=$I47+1,OR($K47&lt;&gt;'計算A'!$A$3,'計算A'!$A$4=0)),AND(2=$I47-1,OR(2&lt;&gt;'計算A'!$A$3,'計算A'!$A$4=0))),0,IF(2=$K47,200000,ABS(2-$K47)*100)),100000+ABS(1-$J47)*1000+20)+'計算A'!E$5*50+IF(AND($E47=1,IR47=0),25,0),IF($F47&gt;0,INDEX('計算A'!E$110:E$114,$F47+1)+IF(AND($E47=1,IR47=0),1000,0),MIN(TU47,20)*400+(IF('計算A'!D$106=1,1-DB47,0)+IF('計算A'!E$106=1,1-DD47,0))*150+21+'計算A'!E$5*100000+IF(AND($E47=1,IR47=0),50000,0))+IF($H47=1,(IF('計算A'!D$117=1,INDEX('計算A'!D$10:D$54,$B47),0)+IF('計算A'!E$117=1,INDEX('計算A'!F$10:F$54,$B47),0))*4000,0)-IF(AND('計算A'!D$117=1,UB47&gt;0),2000,0)-IF(AND($L47=1,'計算A'!E$117=1,DD47=0),2000,0))),1000000))</f>
        <v/>
      </c>
      <c r="OH47">
        <f>IF($B47=0,1000000,IF(INDEX('計算A'!$D$60:$EQ$104,$B47,3)*DD47=1,IF(AND($E47=2,IS47=0),1000000,IF($I47&gt;0,IF(1=$J47,IF(OR(AND(3=$I47+1,OR($K47&lt;&gt;'計算A'!$A$3,'計算A'!$A$4=0)),AND(3=$I47-1,OR(3&lt;&gt;'計算A'!$A$3,'計算A'!$A$4=0))),0,IF(3=$K47,200000,ABS(3-$K47)*100)),100000+ABS(1-$J47)*1000+30)+'計算A'!F$5*50+IF(AND($E47=1,IS47=0),25,0),IF($F47&gt;0,INDEX('計算A'!F$110:F$114,$F47+1)+IF(AND($E47=1,IS47=0),1000,0),MIN(TU47,20)*400+(IF('計算A'!E$106=1,1-DC47,0)+IF('計算A'!F$106=1,1-DE47,0))*150+31+'計算A'!F$5*100000+IF(AND($E47=1,IS47=0),50000,0))+IF($H47=1,(IF('計算A'!E$117=1,INDEX('計算A'!E$10:E$54,$B47),0)+IF('計算A'!F$117=1,INDEX('計算A'!G$10:G$54,$B47),0))*4000,0)-IF(AND('計算A'!E$117=1,UC47&gt;0),2000,0)-IF(AND($L47=1,'計算A'!F$117=1,DE47=0),2000,0))),1000000))</f>
        <v/>
      </c>
      <c r="OI47">
        <f>IF($B47=0,1000000,IF(INDEX('計算A'!$D$60:$EQ$104,$B47,4)*DE47=1,IF(AND($E47=2,IT47=0),1000000,IF($I47&gt;0,IF(1=$J47,IF(OR(AND(4=$I47+1,OR($K47&lt;&gt;'計算A'!$A$3,'計算A'!$A$4=0)),AND(4=$I47-1,OR(4&lt;&gt;'計算A'!$A$3,'計算A'!$A$4=0))),0,IF(4=$K47,200000,ABS(4-$K47)*100)),100000+ABS(1-$J47)*1000+40)+'計算A'!G$5*50+IF(AND($E47=1,IT47=0),25,0),IF($F47&gt;0,INDEX('計算A'!G$110:G$114,$F47+1)+IF(AND($E47=1,IT47=0),1000,0),MIN(TU47,20)*400+(IF('計算A'!F$106=1,1-DD47,0)+IF('計算A'!G$106=1,1-DF47,0))*150+41+'計算A'!G$5*100000+IF(AND($E47=1,IT47=0),50000,0))+IF($H47=1,(IF('計算A'!F$117=1,INDEX('計算A'!F$10:F$54,$B47),0)+IF('計算A'!G$117=1,INDEX('計算A'!H$10:H$54,$B47),0))*4000,0)-IF(AND('計算A'!F$117=1,UD47&gt;0),2000,0)-IF(AND($L47=1,'計算A'!G$117=1,DF47=0),2000,0))),1000000))</f>
        <v/>
      </c>
      <c r="OJ47">
        <f>IF($B47=0,1000000,IF(INDEX('計算A'!$D$60:$EQ$104,$B47,5)*DF47=1,IF(AND($E47=2,IU47=0),1000000,IF($I47&gt;0,IF(1=$J47,IF(OR(AND(5=$I47+1,OR($K47&lt;&gt;'計算A'!$A$3,'計算A'!$A$4=0)),AND(5=$I47-1,OR(5&lt;&gt;'計算A'!$A$3,'計算A'!$A$4=0))),0,IF(5=$K47,200000,ABS(5-$K47)*100)),100000+ABS(1-$J47)*1000+50)+'計算A'!H$5*50+IF(AND($E47=1,IU47=0),25,0),IF($F47&gt;0,INDEX('計算A'!H$110:H$114,$F47+1)+IF(AND($E47=1,IU47=0),1000,0),MIN(TU47,20)*400+(IF('計算A'!G$106=1,1-DE47,0)+IF('計算A'!H$106=1,1-DG47,0))*150+51+'計算A'!H$5*100000+IF(AND($E47=1,IU47=0),50000,0))+IF($H47=1,(IF('計算A'!G$117=1,INDEX('計算A'!G$10:G$54,$B47),0)+IF('計算A'!H$117=1,INDEX('計算A'!I$10:I$54,$B47),0))*4000,0)-IF(AND('計算A'!G$117=1,UE47&gt;0),2000,0)-IF(AND($L47=1,'計算A'!H$117=1,DG47=0),2000,0))),1000000))</f>
        <v/>
      </c>
      <c r="OK47">
        <f>IF($B47=0,1000000,IF(INDEX('計算A'!$D$60:$EQ$104,$B47,6)*DG47=1,IF(AND($E47=2,IV47=0),1000000,IF($I47&gt;0,IF(1=$J47,IF(OR(AND(6=$I47+1,OR($K47&lt;&gt;'計算A'!$A$3,'計算A'!$A$4=0)),AND(6=$I47-1,OR(6&lt;&gt;'計算A'!$A$3,'計算A'!$A$4=0))),0,IF(6=$K47,200000,ABS(6-$K47)*100)),100000+ABS(1-$J47)*1000+60)+'計算A'!I$5*50+IF(AND($E47=1,IV47=0),25,0),IF($F47&gt;0,INDEX('計算A'!I$110:I$114,$F47+1)+IF(AND($E47=1,IV47=0),1000,0),MIN(TU47,20)*400+(IF('計算A'!H$106=1,1-DF47,0)+IF('計算A'!I$106=1,1-DH47,0))*150+61+'計算A'!I$5*100000+IF(AND($E47=1,IV47=0),50000,0))+IF($H47=1,(IF('計算A'!H$117=1,INDEX('計算A'!H$10:H$54,$B47),0)+IF('計算A'!I$117=1,INDEX('計算A'!J$10:J$54,$B47),0))*4000,0)-IF(AND('計算A'!H$117=1,UF47&gt;0),2000,0)-IF(AND($L47=1,'計算A'!I$117=1,DH47=0),2000,0))),1000000))</f>
        <v/>
      </c>
      <c r="OL47">
        <f>IF($B47=0,1000000,IF(INDEX('計算A'!$D$60:$EQ$104,$B47,7)*DH47=1,IF(AND($E47=2,IW47=0),1000000,IF($I47&gt;0,IF(1=$J47,IF(OR(AND(7=$I47+1,OR($K47&lt;&gt;'計算A'!$A$3,'計算A'!$A$4=0)),AND(7=$I47-1,OR(7&lt;&gt;'計算A'!$A$3,'計算A'!$A$4=0))),0,IF(7=$K47,200000,ABS(7-$K47)*100)),100000+ABS(1-$J47)*1000+70)+'計算A'!J$5*50+IF(AND($E47=1,IW47=0),25,0),IF($F47&gt;0,INDEX('計算A'!J$110:J$114,$F47+1)+IF(AND($E47=1,IW47=0),1000,0),MIN(TU47,20)*400+(IF('計算A'!I$106=1,1-DG47,0)+IF('計算A'!J$106=1,1-DI47,0))*150+71+'計算A'!J$5*100000+IF(AND($E47=1,IW47=0),50000,0))+IF($H47=1,(IF('計算A'!I$117=1,INDEX('計算A'!I$10:I$54,$B47),0)+IF('計算A'!J$117=1,INDEX('計算A'!K$10:K$54,$B47),0))*4000,0)-IF(AND('計算A'!I$117=1,UG47&gt;0),2000,0)-IF(AND($L47=1,'計算A'!J$117=1,DI47=0),2000,0))),1000000))</f>
        <v/>
      </c>
      <c r="OM47">
        <f>IF($B47=0,1000000,IF(INDEX('計算A'!$D$60:$EQ$104,$B47,8)*DI47=1,IF(AND($E47=2,IX47=0),1000000,IF($I47&gt;0,IF(1=$J47,IF(OR(AND(8=$I47+1,OR($K47&lt;&gt;'計算A'!$A$3,'計算A'!$A$4=0)),AND(8=$I47-1,OR(8&lt;&gt;'計算A'!$A$3,'計算A'!$A$4=0))),0,IF(8=$K47,200000,ABS(8-$K47)*100)),100000+ABS(1-$J47)*1000+80)+'計算A'!K$5*50+IF(AND($E47=1,IX47=0),25,0),IF($F47&gt;0,INDEX('計算A'!K$110:K$114,$F47+1)+IF(AND($E47=1,IX47=0),1000,0),MIN(TU47,20)*400+(IF('計算A'!J$106=1,1-DH47,0)+IF('計算A'!K$106=1,1-DJ47,0))*150+81+'計算A'!K$5*100000+IF(AND($E47=1,IX47=0),50000,0))+IF($H47=1,(IF('計算A'!J$117=1,INDEX('計算A'!J$10:J$54,$B47),0)+IF('計算A'!K$117=1,INDEX('計算A'!L$10:L$54,$B47),0))*4000,0)-IF(AND('計算A'!J$117=1,UH47&gt;0),2000,0)-IF(AND($L47=1,'計算A'!K$117=1,DJ47=0),2000,0))),1000000))</f>
        <v/>
      </c>
      <c r="ON47">
        <f>IF($B47=0,1000000,IF(INDEX('計算A'!$D$60:$EQ$104,$B47,9)*DJ47=1,IF(AND($E47=2,IY47=0),1000000,IF($I47&gt;0,IF(1=$J47,IF(OR(AND(9=$I47+1,OR($K47&lt;&gt;'計算A'!$A$3,'計算A'!$A$4=0)),AND(9=$I47-1,OR(9&lt;&gt;'計算A'!$A$3,'計算A'!$A$4=0))),0,IF(9=$K47,200000,ABS(9-$K47)*100)),100000+ABS(1-$J47)*1000+90)+'計算A'!L$5*50+IF(AND($E47=1,IY47=0),25,0),IF($F47&gt;0,INDEX('計算A'!L$110:L$114,$F47+1)+IF(AND($E47=1,IY47=0),1000,0),MIN(TU47,20)*400+(IF('計算A'!K$106=1,1-DI47,0)+IF('計算A'!L$106=1,1-DK47,0))*150+91+'計算A'!L$5*100000+IF(AND($E47=1,IY47=0),50000,0))+IF($H47=1,(IF('計算A'!K$117=1,INDEX('計算A'!K$10:K$54,$B47),0)+IF('計算A'!L$117=1,INDEX('計算A'!M$10:M$54,$B47),0))*4000,0)-IF(AND('計算A'!K$117=1,UI47&gt;0),2000,0)-IF(AND($L47=1,'計算A'!L$117=1,DK47=0),2000,0))),1000000))</f>
        <v/>
      </c>
      <c r="OO47">
        <f>IF($B47=0,1000000,IF(INDEX('計算A'!$D$60:$EQ$104,$B47,10)*DK47=1,IF(AND($E47=2,IZ47=0),1000000,IF($I47&gt;0,IF(1=$J47,IF(OR(AND(10=$I47+1,OR($K47&lt;&gt;'計算A'!$A$3,'計算A'!$A$4=0)),AND(10=$I47-1,OR(10&lt;&gt;'計算A'!$A$3,'計算A'!$A$4=0))),0,IF(10=$K47,200000,ABS(10-$K47)*100)),100000+ABS(1-$J47)*1000+100)+'計算A'!M$5*50+IF(AND($E47=1,IZ47=0),25,0),IF($F47&gt;0,INDEX('計算A'!M$110:M$114,$F47+1)+IF(AND($E47=1,IZ47=0),1000,0),MIN(TU47,20)*400+(IF('計算A'!L$106=1,1-DJ47,0)+IF('計算A'!M$106=1,1-DL47,0))*150+101+'計算A'!M$5*100000+IF(AND($E47=1,IZ47=0),50000,0))+IF($H47=1,(IF('計算A'!L$117=1,INDEX('計算A'!L$10:L$54,$B47),0)+IF('計算A'!M$117=1,INDEX('計算A'!N$10:N$54,$B47),0))*4000,0)-IF(AND('計算A'!L$117=1,UJ47&gt;0),2000,0)-IF(AND($L47=1,'計算A'!M$117=1,DL47=0),2000,0))),1000000))</f>
        <v/>
      </c>
      <c r="OP47">
        <f>IF($B47=0,1000000,IF(INDEX('計算A'!$D$60:$EQ$104,$B47,11)*DL47=1,IF(AND($E47=2,JA47=0),1000000,IF($I47&gt;0,IF(1=$J47,IF(OR(AND(11=$I47+1,OR($K47&lt;&gt;'計算A'!$A$3,'計算A'!$A$4=0)),AND(11=$I47-1,OR(11&lt;&gt;'計算A'!$A$3,'計算A'!$A$4=0))),0,IF(11=$K47,200000,ABS(11-$K47)*100)),100000+ABS(1-$J47)*1000+110)+'計算A'!N$5*50+IF(AND($E47=1,JA47=0),25,0),IF($F47&gt;0,INDEX('計算A'!N$110:N$114,$F47+1)+IF(AND($E47=1,JA47=0),1000,0),MIN(TU47,20)*400+(IF('計算A'!M$106=1,1-DK47,0)+IF('計算A'!N$106=1,1-DM47,0))*150+111+'計算A'!N$5*100000+IF(AND($E47=1,JA47=0),50000,0))+IF($H47=1,(IF('計算A'!M$117=1,INDEX('計算A'!M$10:M$54,$B47),0)+IF('計算A'!N$117=1,INDEX('計算A'!O$10:O$54,$B47),0))*4000,0)-IF(AND('計算A'!M$117=1,UK47&gt;0),2000,0)-IF(AND($L47=1,'計算A'!N$117=1,DM47=0),2000,0))),1000000))</f>
        <v/>
      </c>
      <c r="OQ47">
        <f>IF($B47=0,1000000,IF(INDEX('計算A'!$D$60:$EQ$104,$B47,12)*DM47=1,IF(AND($E47=2,JB47=0),1000000,IF($I47&gt;0,IF(1=$J47,IF(OR(AND(12=$I47+1,OR($K47&lt;&gt;'計算A'!$A$3,'計算A'!$A$4=0)),AND(12=$I47-1,OR(12&lt;&gt;'計算A'!$A$3,'計算A'!$A$4=0))),0,IF(12=$K47,200000,ABS(12-$K47)*100)),100000+ABS(1-$J47)*1000+120)+'計算A'!O$5*50+IF(AND($E47=1,JB47=0),25,0),IF($F47&gt;0,INDEX('計算A'!O$110:O$114,$F47+1)+IF(AND($E47=1,JB47=0),1000,0),MIN(TU47,20)*400+(IF('計算A'!N$106=1,1-DL47,0)+IF('計算A'!O$106=1,1-DN47,0))*150+121+'計算A'!O$5*100000+IF(AND($E47=1,JB47=0),50000,0))+IF($H47=1,(IF('計算A'!N$117=1,INDEX('計算A'!N$10:N$54,$B47),0)+IF('計算A'!O$117=1,INDEX('計算A'!P$10:P$54,$B47),0))*4000,0)-IF(AND('計算A'!N$117=1,UL47&gt;0),2000,0)-IF(AND($L47=1,'計算A'!O$117=1,DN47=0),2000,0))),1000000))</f>
        <v/>
      </c>
      <c r="OR47">
        <f>IF($B47=0,1000000,IF(INDEX('計算A'!$D$60:$EQ$104,$B47,13)*DN47=1,IF(AND($E47=2,JC47=0),1000000,IF($I47&gt;0,IF(1=$J47,IF(OR(AND(13=$I47+1,OR($K47&lt;&gt;'計算A'!$A$3,'計算A'!$A$4=0)),AND(13=$I47-1,OR(13&lt;&gt;'計算A'!$A$3,'計算A'!$A$4=0))),0,IF(13=$K47,200000,ABS(13-$K47)*100)),100000+ABS(1-$J47)*1000+130)+'計算A'!P$5*50+IF(AND($E47=1,JC47=0),25,0),IF($F47&gt;0,INDEX('計算A'!P$110:P$114,$F47+1)+IF(AND($E47=1,JC47=0),1000,0),MIN(TU47,20)*400+(IF('計算A'!O$106=1,1-DM47,0)+IF('計算A'!P$106=1,1-DO47,0))*150+131+'計算A'!P$5*100000+IF(AND($E47=1,JC47=0),50000,0))+IF($H47=1,(IF('計算A'!O$117=1,INDEX('計算A'!O$10:O$54,$B47),0)+IF('計算A'!P$117=1,INDEX('計算A'!Q$10:Q$54,$B47),0))*4000,0)-IF(AND('計算A'!O$117=1,UM47&gt;0),2000,0)-IF(AND($L47=1,'計算A'!P$117=1,DO47=0),2000,0))),1000000))</f>
        <v/>
      </c>
      <c r="OS47">
        <f>IF($B47=0,1000000,IF(INDEX('計算A'!$D$60:$EQ$104,$B47,14)*DO47=1,IF(AND($E47=2,JD47=0),1000000,IF($I47&gt;0,IF(1=$J47,IF(OR(AND(14=$I47+1,OR($K47&lt;&gt;'計算A'!$A$3,'計算A'!$A$4=0)),AND(14=$I47-1,OR(14&lt;&gt;'計算A'!$A$3,'計算A'!$A$4=0))),0,IF(14=$K47,200000,ABS(14-$K47)*100)),100000+ABS(1-$J47)*1000+140)+'計算A'!Q$5*50+IF(AND($E47=1,JD47=0),25,0),IF($F47&gt;0,INDEX('計算A'!Q$110:Q$114,$F47+1)+IF(AND($E47=1,JD47=0),1000,0),MIN(TU47,20)*400+(IF('計算A'!P$106=1,1-DN47,0)+IF('計算A'!Q$106=1,1-DP47,0))*150+141+'計算A'!Q$5*100000+IF(AND($E47=1,JD47=0),50000,0))+IF($H47=1,(IF('計算A'!P$117=1,INDEX('計算A'!P$10:P$54,$B47),0)+IF('計算A'!Q$117=1,INDEX('計算A'!R$10:R$54,$B47),0))*4000,0)-IF(AND('計算A'!P$117=1,UN47&gt;0),2000,0)-IF(AND($L47=1,'計算A'!Q$117=1,DP47=0),2000,0))),1000000))</f>
        <v/>
      </c>
      <c r="OT47">
        <f>IF($B47=0,1000000,IF(INDEX('計算A'!$D$60:$EQ$104,$B47,15)*DP47=1,IF(AND($E47=2,JE47=0),1000000,IF($I47&gt;0,IF(1=$J47,IF(OR(AND(15=$I47+1,OR($K47&lt;&gt;'計算A'!$A$3,'計算A'!$A$4=0)),AND(15=$I47-1,OR(15&lt;&gt;'計算A'!$A$3,'計算A'!$A$4=0))),0,IF(15=$K47,200000,ABS(15-$K47)*100)),100000+ABS(1-$J47)*1000+150)+'計算A'!R$5*50+IF(AND($E47=1,JE47=0),25,0),IF($F47&gt;0,INDEX('計算A'!R$110:R$114,$F47+1)+IF(AND($E47=1,JE47=0),1000,0),MIN(TU47,20)*400+(IF('計算A'!Q$106=1,1-DO47,0)+IF('計算A'!R$106=1,1-DQ47,0))*150+151+'計算A'!R$5*100000+IF(AND($E47=1,JE47=0),50000,0))+IF($H47=1,(IF('計算A'!Q$117=1,INDEX('計算A'!Q$10:Q$54,$B47),0)+IF('計算A'!R$117=1,INDEX('計算A'!S$10:S$54,$B47),0))*4000,0)-IF(AND('計算A'!Q$117=1,UO47&gt;0),2000,0)-IF(AND($L47=1,'計算A'!R$117=1,DQ47=0),2000,0))),1000000))</f>
        <v/>
      </c>
      <c r="OU47">
        <f>IF($B47=0,1000000,IF(INDEX('計算A'!$D$60:$EQ$104,$B47,16)*DQ47=1,IF(AND($E47=2,JF47=0),1000000,IF($I47&gt;0,IF(1=$J47,IF(OR(AND(16=$I47+1,OR($K47&lt;&gt;'計算A'!$A$3,'計算A'!$A$4=0)),AND(16=$I47-1,OR(16&lt;&gt;'計算A'!$A$3,'計算A'!$A$4=0))),0,IF(16=$K47,200000,ABS(16-$K47)*100)),100000+ABS(1-$J47)*1000+160)+'計算A'!S$5*50+IF(AND($E47=1,JF47=0),25,0),IF($F47&gt;0,INDEX('計算A'!S$110:S$114,$F47+1)+IF(AND($E47=1,JF47=0),1000,0),MIN(TU47,20)*400+(IF('計算A'!R$106=1,1-DP47,0)+IF('計算A'!S$106=1,1-DR47,0))*150+161+'計算A'!S$5*100000+IF(AND($E47=1,JF47=0),50000,0))+IF($H47=1,(IF('計算A'!R$117=1,INDEX('計算A'!R$10:R$54,$B47),0)+IF('計算A'!S$117=1,INDEX('計算A'!T$10:T$54,$B47),0))*4000,0)-IF(AND('計算A'!R$117=1,UP47&gt;0),2000,0)-IF(AND($L47=1,'計算A'!S$117=1,DR47=0),2000,0))),1000000))</f>
        <v/>
      </c>
      <c r="OV47">
        <f>IF($B47=0,1000000,IF(INDEX('計算A'!$D$60:$EQ$104,$B47,17)*DR47=1,IF(AND($E47=2,JG47=0),1000000,IF($I47&gt;0,IF(1=$J47,IF(OR(AND(17=$I47+1,OR($K47&lt;&gt;'計算A'!$A$3,'計算A'!$A$4=0)),AND(17=$I47-1,OR(17&lt;&gt;'計算A'!$A$3,'計算A'!$A$4=0))),0,IF(17=$K47,200000,ABS(17-$K47)*100)),100000+ABS(1-$J47)*1000+170)+'計算A'!T$5*50+IF(AND($E47=1,JG47=0),25,0),IF($F47&gt;0,INDEX('計算A'!T$110:T$114,$F47+1)+IF(AND($E47=1,JG47=0),1000,0),MIN(TU47,20)*400+(IF('計算A'!S$106=1,1-DQ47,0)+IF('計算A'!T$106=1,1-DS47,0))*150+171+'計算A'!T$5*100000+IF(AND($E47=1,JG47=0),50000,0))+IF($H47=1,(IF('計算A'!S$117=1,INDEX('計算A'!S$10:S$54,$B47),0)+IF('計算A'!T$117=1,INDEX('計算A'!U$10:U$54,$B47),0))*4000,0)-IF(AND('計算A'!S$117=1,UQ47&gt;0),2000,0)-IF(AND($L47=1,'計算A'!T$117=1,DS47=0),2000,0))),1000000))</f>
        <v/>
      </c>
      <c r="OW47">
        <f>IF($B47=0,1000000,IF(INDEX('計算A'!$D$60:$EQ$104,$B47,18)*DS47=1,IF(AND($E47=2,JH47=0),1000000,IF($I47&gt;0,IF(1=$J47,IF(OR(AND(18=$I47+1,OR($K47&lt;&gt;'計算A'!$A$3,'計算A'!$A$4=0)),AND(18=$I47-1,OR(18&lt;&gt;'計算A'!$A$3,'計算A'!$A$4=0))),0,IF(18=$K47,200000,ABS(18-$K47)*100)),100000+ABS(1-$J47)*1000+180)+'計算A'!U$5*50+IF(AND($E47=1,JH47=0),25,0),IF($F47&gt;0,INDEX('計算A'!U$110:U$114,$F47+1)+IF(AND($E47=1,JH47=0),1000,0),MIN(TU47,20)*400+(IF('計算A'!T$106=1,1-DR47,0)+IF('計算A'!U$106=1,1-DT47,0))*150+181+'計算A'!U$5*100000+IF(AND($E47=1,JH47=0),50000,0))+IF($H47=1,(IF('計算A'!T$117=1,INDEX('計算A'!T$10:T$54,$B47),0)+IF('計算A'!U$117=1,INDEX('計算A'!V$10:V$54,$B47),0))*4000,0)-IF(AND('計算A'!T$117=1,UR47&gt;0),2000,0)-IF(AND($L47=1,'計算A'!U$117=1,DT47=0),2000,0))),1000000))</f>
        <v/>
      </c>
      <c r="OX47">
        <f>IF($B47=0,1000000,IF(INDEX('計算A'!$D$60:$EQ$104,$B47,19)*DT47=1,IF(AND($E47=2,JI47=0),1000000,IF($I47&gt;0,IF(1=$J47,IF(OR(AND(19=$I47+1,OR($K47&lt;&gt;'計算A'!$A$3,'計算A'!$A$4=0)),AND(19=$I47-1,OR(19&lt;&gt;'計算A'!$A$3,'計算A'!$A$4=0))),0,IF(19=$K47,200000,ABS(19-$K47)*100)),100000+ABS(1-$J47)*1000+190)+'計算A'!V$5*50+IF(AND($E47=1,JI47=0),25,0),IF($F47&gt;0,INDEX('計算A'!V$110:V$114,$F47+1)+IF(AND($E47=1,JI47=0),1000,0),MIN(TU47,20)*400+(IF('計算A'!U$106=1,1-DS47,0)+IF('計算A'!V$106=1,1-DU47,0))*150+191+'計算A'!V$5*100000+IF(AND($E47=1,JI47=0),50000,0))+IF($H47=1,(IF('計算A'!U$117=1,INDEX('計算A'!U$10:U$54,$B47),0)+IF('計算A'!V$117=1,INDEX('計算A'!W$10:W$54,$B47),0))*4000,0)-IF(AND('計算A'!U$117=1,US47&gt;0),2000,0)-IF(AND($L47=1,'計算A'!V$117=1,DU47=0),2000,0))),1000000))</f>
        <v/>
      </c>
      <c r="OY47">
        <f>IF($B47=0,1000000,IF(INDEX('計算A'!$D$60:$EQ$104,$B47,20)*DU47=1,IF(AND($E47=2,JJ47=0),1000000,IF($I47&gt;0,IF(1=$J47,IF(OR(AND(20=$I47+1,OR($K47&lt;&gt;'計算A'!$A$3,'計算A'!$A$4=0)),AND(20=$I47-1,OR(20&lt;&gt;'計算A'!$A$3,'計算A'!$A$4=0))),0,IF(20=$K47,200000,ABS(20-$K47)*100)),100000+ABS(1-$J47)*1000+200)+'計算A'!W$5*50+IF(AND($E47=1,JJ47=0),25,0),IF($F47&gt;0,INDEX('計算A'!W$110:W$114,$F47+1)+IF(AND($E47=1,JJ47=0),1000,0),MIN(TU47,20)*400+(IF('計算A'!V$106=1,1-DT47,0)+IF('計算A'!W$106=1,1-DV47,0))*150+201+'計算A'!W$5*100000+IF(AND($E47=1,JJ47=0),50000,0))+IF($H47=1,(IF('計算A'!V$117=1,INDEX('計算A'!V$10:V$54,$B47),0)+IF('計算A'!W$117=1,INDEX('計算A'!X$10:X$54,$B47),0))*4000,0)-IF(AND('計算A'!V$117=1,UT47&gt;0),2000,0)-IF(AND($L47=1,'計算A'!W$117=1,DV47=0),2000,0))),1000000))</f>
        <v/>
      </c>
      <c r="OZ47">
        <f>IF($B47=0,1000000,IF(INDEX('計算A'!$D$60:$EQ$104,$B47,21)*DV47=1,IF(AND($E47=2,JK47=0),1000000,IF($I47&gt;0,IF(1=$J47,IF(OR(AND(21=$I47+1,OR($K47&lt;&gt;'計算A'!$A$3,'計算A'!$A$4=0)),AND(21=$I47-1,OR(21&lt;&gt;'計算A'!$A$3,'計算A'!$A$4=0))),0,IF(21=$K47,200000,ABS(21-$K47)*100)),100000+ABS(1-$J47)*1000+210)+'計算A'!X$5*50+IF(AND($E47=1,JK47=0),25,0),IF($F47&gt;0,INDEX('計算A'!X$110:X$114,$F47+1)+IF(AND($E47=1,JK47=0),1000,0),MIN(TU47,20)*400+(IF('計算A'!W$106=1,1-DU47,0)+IF('計算A'!X$106=1,1-DW47,0))*150+211+'計算A'!X$5*100000+IF(AND($E47=1,JK47=0),50000,0))+IF($H47=1,(IF('計算A'!W$117=1,INDEX('計算A'!W$10:W$54,$B47),0)+IF('計算A'!X$117=1,INDEX('計算A'!Y$10:Y$54,$B47),0))*4000,0)-IF(AND('計算A'!W$117=1,UU47&gt;0),2000,0)-IF(AND($L47=1,'計算A'!X$117=1,DW47=0),2000,0))),1000000))</f>
        <v/>
      </c>
      <c r="PA47">
        <f>IF($B47=0,1000000,IF(INDEX('計算A'!$D$60:$EQ$104,$B47,22)*DW47=1,IF(AND($E47=2,JL47=0),1000000,IF($I47&gt;0,IF(1=$J47,IF(OR(AND(22=$I47+1,OR($K47&lt;&gt;'計算A'!$A$3,'計算A'!$A$4=0)),AND(22=$I47-1,OR(22&lt;&gt;'計算A'!$A$3,'計算A'!$A$4=0))),0,IF(22=$K47,200000,ABS(22-$K47)*100)),100000+ABS(1-$J47)*1000+220)+'計算A'!Y$5*50+IF(AND($E47=1,JL47=0),25,0),IF($F47&gt;0,INDEX('計算A'!Y$110:Y$114,$F47+1)+IF(AND($E47=1,JL47=0),1000,0),MIN(TU47,20)*400+(IF('計算A'!X$106=1,1-DV47,0)+IF('計算A'!Y$106=1,1-DX47,0))*150+221+'計算A'!Y$5*100000+IF(AND($E47=1,JL47=0),50000,0))+IF($H47=1,(IF('計算A'!X$117=1,INDEX('計算A'!X$10:X$54,$B47),0)+IF('計算A'!Y$117=1,INDEX('計算A'!Z$10:Z$54,$B47),0))*4000,0)-IF(AND('計算A'!X$117=1,UV47&gt;0),2000,0)-IF(AND($L47=1,'計算A'!Y$117=1,DX47=0),2000,0))),1000000))</f>
        <v/>
      </c>
      <c r="PB47">
        <f>IF($B47=0,1000000,IF(INDEX('計算A'!$D$60:$EQ$104,$B47,23)*DX47=1,IF(AND($E47=2,JM47=0),1000000,IF($I47&gt;0,IF(1=$J47,IF(OR(AND(23=$I47+1,OR($K47&lt;&gt;'計算A'!$A$3,'計算A'!$A$4=0)),AND(23=$I47-1,OR(23&lt;&gt;'計算A'!$A$3,'計算A'!$A$4=0))),0,IF(23=$K47,200000,ABS(23-$K47)*100)),100000+ABS(1-$J47)*1000+230)+'計算A'!Z$5*50+IF(AND($E47=1,JM47=0),25,0),IF($F47&gt;0,INDEX('計算A'!Z$110:Z$114,$F47+1)+IF(AND($E47=1,JM47=0),1000,0),MIN(TU47,20)*400+(IF('計算A'!Y$106=1,1-DW47,0)+IF('計算A'!Z$106=1,1-DY47,0))*150+231+'計算A'!Z$5*100000+IF(AND($E47=1,JM47=0),50000,0))+IF($H47=1,(IF('計算A'!Y$117=1,INDEX('計算A'!Y$10:Y$54,$B47),0)+IF('計算A'!Z$117=1,INDEX('計算A'!AA$10:AA$54,$B47),0))*4000,0)-IF(AND('計算A'!Y$117=1,UW47&gt;0),2000,0)-IF(AND($L47=1,'計算A'!Z$117=1,DY47=0),2000,0))),1000000))</f>
        <v/>
      </c>
      <c r="PC47">
        <f>IF($B47=0,1000000,IF(INDEX('計算A'!$D$60:$EQ$104,$B47,24)*DY47=1,IF(AND($E47=2,JN47=0),1000000,IF($I47&gt;0,IF(1=$J47,IF(OR(AND(24=$I47+1,OR($K47&lt;&gt;'計算A'!$A$3,'計算A'!$A$4=0)),AND(24=$I47-1,OR(24&lt;&gt;'計算A'!$A$3,'計算A'!$A$4=0))),0,IF(24=$K47,200000,ABS(24-$K47)*100)),100000+ABS(1-$J47)*1000+240)+'計算A'!AA$5*50+IF(AND($E47=1,JN47=0),25,0),IF($F47&gt;0,INDEX('計算A'!AA$110:AA$114,$F47+1)+IF(AND($E47=1,JN47=0),1000,0),MIN(TU47,20)*400+(IF('計算A'!Z$106=1,1-DX47,0))*150+241+'計算A'!AA$5*100000+IF(AND($E47=1,JN47=0),50000,0))+IF($H47=1,(IF('計算A'!Z$117=1,INDEX('計算A'!Z$10:Z$54,$B47),0))*4000,0)-IF(AND('計算A'!Z$117=1,UX47&gt;0),2000,0))),1000000))</f>
        <v/>
      </c>
      <c r="PD47">
        <f>IF($B47=0,1000000,IF(INDEX('計算A'!$D$60:$EQ$104,$B47,25)*DZ47=1,IF(AND($E47=2,JO47=0),1000000,IF($I47&gt;0,IF(2=$J47,IF(OR(AND(25=$I47+1,OR($K47&lt;&gt;'計算A'!$A$3,'計算A'!$A$4=0)),AND(25=$I47-1,OR(1&lt;&gt;'計算A'!$A$3,'計算A'!$A$4=0))),0,IF(1=$K47,200000,ABS(1-$K47)*100)),100000+ABS(2-$J47)*1000+10)+'計算A'!AB$5*50+IF(AND($E47=1,JO47=0),25,0),IF($F47&gt;0,INDEX('計算A'!AB$110:AB$114,$F47+1)+IF(AND($E47=1,JO47=0),1000,0),MIN(TV47,20)*400+(IF('計算A'!AB$106=1,1-EA47,0))*150+12+'計算A'!AB$5*100000+IF(AND($E47=1,JO47=0),50000,0))+IF($H47=1,(IF('計算A'!AB$117=1,INDEX('計算A'!AC$10:AC$54,$B47),0))*4000,0)-IF(AND($L47=1,'計算A'!AB$117=1,EA47=0),2000,0))),1000000))</f>
        <v/>
      </c>
      <c r="PE47">
        <f>IF($B47=0,1000000,IF(INDEX('計算A'!$D$60:$EQ$104,$B47,26)*EA47=1,IF(AND($E47=2,JP47=0),1000000,IF($I47&gt;0,IF(2=$J47,IF(OR(AND(26=$I47+1,OR($K47&lt;&gt;'計算A'!$A$3,'計算A'!$A$4=0)),AND(26=$I47-1,OR(2&lt;&gt;'計算A'!$A$3,'計算A'!$A$4=0))),0,IF(2=$K47,200000,ABS(2-$K47)*100)),100000+ABS(2-$J47)*1000+20)+'計算A'!AC$5*50+IF(AND($E47=1,JP47=0),25,0),IF($F47&gt;0,INDEX('計算A'!AC$110:AC$114,$F47+1)+IF(AND($E47=1,JP47=0),1000,0),MIN(TV47,20)*400+(IF('計算A'!AB$106=1,1-DZ47,0)+IF('計算A'!AC$106=1,1-EB47,0))*150+22+'計算A'!AC$5*100000+IF(AND($E47=1,JP47=0),50000,0))+IF($H47=1,(IF('計算A'!AB$117=1,INDEX('計算A'!AB$10:AB$54,$B47),0)+IF('計算A'!AC$117=1,INDEX('計算A'!AD$10:AD$54,$B47),0))*4000,0)-IF(AND('計算A'!AB$117=1,UZ47&gt;0),2000,0)-IF(AND($L47=1,'計算A'!AC$117=1,EB47=0),2000,0))),1000000))</f>
        <v/>
      </c>
      <c r="PF47">
        <f>IF($B47=0,1000000,IF(INDEX('計算A'!$D$60:$EQ$104,$B47,27)*EB47=1,IF(AND($E47=2,JQ47=0),1000000,IF($I47&gt;0,IF(2=$J47,IF(OR(AND(27=$I47+1,OR($K47&lt;&gt;'計算A'!$A$3,'計算A'!$A$4=0)),AND(27=$I47-1,OR(3&lt;&gt;'計算A'!$A$3,'計算A'!$A$4=0))),0,IF(3=$K47,200000,ABS(3-$K47)*100)),100000+ABS(2-$J47)*1000+30)+'計算A'!AD$5*50+IF(AND($E47=1,JQ47=0),25,0),IF($F47&gt;0,INDEX('計算A'!AD$110:AD$114,$F47+1)+IF(AND($E47=1,JQ47=0),1000,0),MIN(TV47,20)*400+(IF('計算A'!AC$106=1,1-EA47,0)+IF('計算A'!AD$106=1,1-EC47,0))*150+32+'計算A'!AD$5*100000+IF(AND($E47=1,JQ47=0),50000,0))+IF($H47=1,(IF('計算A'!AC$117=1,INDEX('計算A'!AC$10:AC$54,$B47),0)+IF('計算A'!AD$117=1,INDEX('計算A'!AE$10:AE$54,$B47),0))*4000,0)-IF(AND('計算A'!AC$117=1,VA47&gt;0),2000,0)-IF(AND($L47=1,'計算A'!AD$117=1,EC47=0),2000,0))),1000000))</f>
        <v/>
      </c>
      <c r="PG47">
        <f>IF($B47=0,1000000,IF(INDEX('計算A'!$D$60:$EQ$104,$B47,28)*EC47=1,IF(AND($E47=2,JR47=0),1000000,IF($I47&gt;0,IF(2=$J47,IF(OR(AND(28=$I47+1,OR($K47&lt;&gt;'計算A'!$A$3,'計算A'!$A$4=0)),AND(28=$I47-1,OR(4&lt;&gt;'計算A'!$A$3,'計算A'!$A$4=0))),0,IF(4=$K47,200000,ABS(4-$K47)*100)),100000+ABS(2-$J47)*1000+40)+'計算A'!AE$5*50+IF(AND($E47=1,JR47=0),25,0),IF($F47&gt;0,INDEX('計算A'!AE$110:AE$114,$F47+1)+IF(AND($E47=1,JR47=0),1000,0),MIN(TV47,20)*400+(IF('計算A'!AD$106=1,1-EB47,0)+IF('計算A'!AE$106=1,1-ED47,0))*150+42+'計算A'!AE$5*100000+IF(AND($E47=1,JR47=0),50000,0))+IF($H47=1,(IF('計算A'!AD$117=1,INDEX('計算A'!AD$10:AD$54,$B47),0)+IF('計算A'!AE$117=1,INDEX('計算A'!AF$10:AF$54,$B47),0))*4000,0)-IF(AND('計算A'!AD$117=1,VB47&gt;0),2000,0)-IF(AND($L47=1,'計算A'!AE$117=1,ED47=0),2000,0))),1000000))</f>
        <v/>
      </c>
      <c r="PH47">
        <f>IF($B47=0,1000000,IF(INDEX('計算A'!$D$60:$EQ$104,$B47,29)*ED47=1,IF(AND($E47=2,JS47=0),1000000,IF($I47&gt;0,IF(2=$J47,IF(OR(AND(29=$I47+1,OR($K47&lt;&gt;'計算A'!$A$3,'計算A'!$A$4=0)),AND(29=$I47-1,OR(5&lt;&gt;'計算A'!$A$3,'計算A'!$A$4=0))),0,IF(5=$K47,200000,ABS(5-$K47)*100)),100000+ABS(2-$J47)*1000+50)+'計算A'!AF$5*50+IF(AND($E47=1,JS47=0),25,0),IF($F47&gt;0,INDEX('計算A'!AF$110:AF$114,$F47+1)+IF(AND($E47=1,JS47=0),1000,0),MIN(TV47,20)*400+(IF('計算A'!AE$106=1,1-EC47,0)+IF('計算A'!AF$106=1,1-EE47,0))*150+52+'計算A'!AF$5*100000+IF(AND($E47=1,JS47=0),50000,0))+IF($H47=1,(IF('計算A'!AE$117=1,INDEX('計算A'!AE$10:AE$54,$B47),0)+IF('計算A'!AF$117=1,INDEX('計算A'!AG$10:AG$54,$B47),0))*4000,0)-IF(AND('計算A'!AE$117=1,VC47&gt;0),2000,0)-IF(AND($L47=1,'計算A'!AF$117=1,EE47=0),2000,0))),1000000))</f>
        <v/>
      </c>
      <c r="PI47">
        <f>IF($B47=0,1000000,IF(INDEX('計算A'!$D$60:$EQ$104,$B47,30)*EE47=1,IF(AND($E47=2,JT47=0),1000000,IF($I47&gt;0,IF(2=$J47,IF(OR(AND(30=$I47+1,OR($K47&lt;&gt;'計算A'!$A$3,'計算A'!$A$4=0)),AND(30=$I47-1,OR(6&lt;&gt;'計算A'!$A$3,'計算A'!$A$4=0))),0,IF(6=$K47,200000,ABS(6-$K47)*100)),100000+ABS(2-$J47)*1000+60)+'計算A'!AG$5*50+IF(AND($E47=1,JT47=0),25,0),IF($F47&gt;0,INDEX('計算A'!AG$110:AG$114,$F47+1)+IF(AND($E47=1,JT47=0),1000,0),MIN(TV47,20)*400+(IF('計算A'!AF$106=1,1-ED47,0)+IF('計算A'!AG$106=1,1-EF47,0))*150+62+'計算A'!AG$5*100000+IF(AND($E47=1,JT47=0),50000,0))+IF($H47=1,(IF('計算A'!AF$117=1,INDEX('計算A'!AF$10:AF$54,$B47),0)+IF('計算A'!AG$117=1,INDEX('計算A'!AH$10:AH$54,$B47),0))*4000,0)-IF(AND('計算A'!AF$117=1,VD47&gt;0),2000,0)-IF(AND($L47=1,'計算A'!AG$117=1,EF47=0),2000,0))),1000000))</f>
        <v/>
      </c>
      <c r="PJ47">
        <f>IF($B47=0,1000000,IF(INDEX('計算A'!$D$60:$EQ$104,$B47,31)*EF47=1,IF(AND($E47=2,JU47=0),1000000,IF($I47&gt;0,IF(2=$J47,IF(OR(AND(31=$I47+1,OR($K47&lt;&gt;'計算A'!$A$3,'計算A'!$A$4=0)),AND(31=$I47-1,OR(7&lt;&gt;'計算A'!$A$3,'計算A'!$A$4=0))),0,IF(7=$K47,200000,ABS(7-$K47)*100)),100000+ABS(2-$J47)*1000+70)+'計算A'!AH$5*50+IF(AND($E47=1,JU47=0),25,0),IF($F47&gt;0,INDEX('計算A'!AH$110:AH$114,$F47+1)+IF(AND($E47=1,JU47=0),1000,0),MIN(TV47,20)*400+(IF('計算A'!AG$106=1,1-EE47,0)+IF('計算A'!AH$106=1,1-EG47,0))*150+72+'計算A'!AH$5*100000+IF(AND($E47=1,JU47=0),50000,0))+IF($H47=1,(IF('計算A'!AG$117=1,INDEX('計算A'!AG$10:AG$54,$B47),0)+IF('計算A'!AH$117=1,INDEX('計算A'!AI$10:AI$54,$B47),0))*4000,0)-IF(AND('計算A'!AG$117=1,VE47&gt;0),2000,0)-IF(AND($L47=1,'計算A'!AH$117=1,EG47=0),2000,0))),1000000))</f>
        <v/>
      </c>
      <c r="PK47">
        <f>IF($B47=0,1000000,IF(INDEX('計算A'!$D$60:$EQ$104,$B47,32)*EG47=1,IF(AND($E47=2,JV47=0),1000000,IF($I47&gt;0,IF(2=$J47,IF(OR(AND(32=$I47+1,OR($K47&lt;&gt;'計算A'!$A$3,'計算A'!$A$4=0)),AND(32=$I47-1,OR(8&lt;&gt;'計算A'!$A$3,'計算A'!$A$4=0))),0,IF(8=$K47,200000,ABS(8-$K47)*100)),100000+ABS(2-$J47)*1000+80)+'計算A'!AI$5*50+IF(AND($E47=1,JV47=0),25,0),IF($F47&gt;0,INDEX('計算A'!AI$110:AI$114,$F47+1)+IF(AND($E47=1,JV47=0),1000,0),MIN(TV47,20)*400+(IF('計算A'!AH$106=1,1-EF47,0)+IF('計算A'!AI$106=1,1-EH47,0))*150+82+'計算A'!AI$5*100000+IF(AND($E47=1,JV47=0),50000,0))+IF($H47=1,(IF('計算A'!AH$117=1,INDEX('計算A'!AH$10:AH$54,$B47),0)+IF('計算A'!AI$117=1,INDEX('計算A'!AJ$10:AJ$54,$B47),0))*4000,0)-IF(AND('計算A'!AH$117=1,VF47&gt;0),2000,0)-IF(AND($L47=1,'計算A'!AI$117=1,EH47=0),2000,0))),1000000))</f>
        <v/>
      </c>
      <c r="PL47">
        <f>IF($B47=0,1000000,IF(INDEX('計算A'!$D$60:$EQ$104,$B47,33)*EH47=1,IF(AND($E47=2,JW47=0),1000000,IF($I47&gt;0,IF(2=$J47,IF(OR(AND(33=$I47+1,OR($K47&lt;&gt;'計算A'!$A$3,'計算A'!$A$4=0)),AND(33=$I47-1,OR(9&lt;&gt;'計算A'!$A$3,'計算A'!$A$4=0))),0,IF(9=$K47,200000,ABS(9-$K47)*100)),100000+ABS(2-$J47)*1000+90)+'計算A'!AJ$5*50+IF(AND($E47=1,JW47=0),25,0),IF($F47&gt;0,INDEX('計算A'!AJ$110:AJ$114,$F47+1)+IF(AND($E47=1,JW47=0),1000,0),MIN(TV47,20)*400+(IF('計算A'!AI$106=1,1-EG47,0)+IF('計算A'!AJ$106=1,1-EI47,0))*150+92+'計算A'!AJ$5*100000+IF(AND($E47=1,JW47=0),50000,0))+IF($H47=1,(IF('計算A'!AI$117=1,INDEX('計算A'!AI$10:AI$54,$B47),0)+IF('計算A'!AJ$117=1,INDEX('計算A'!AK$10:AK$54,$B47),0))*4000,0)-IF(AND('計算A'!AI$117=1,VG47&gt;0),2000,0)-IF(AND($L47=1,'計算A'!AJ$117=1,EI47=0),2000,0))),1000000))</f>
        <v/>
      </c>
      <c r="PM47">
        <f>IF($B47=0,1000000,IF(INDEX('計算A'!$D$60:$EQ$104,$B47,34)*EI47=1,IF(AND($E47=2,JX47=0),1000000,IF($I47&gt;0,IF(2=$J47,IF(OR(AND(34=$I47+1,OR($K47&lt;&gt;'計算A'!$A$3,'計算A'!$A$4=0)),AND(34=$I47-1,OR(10&lt;&gt;'計算A'!$A$3,'計算A'!$A$4=0))),0,IF(10=$K47,200000,ABS(10-$K47)*100)),100000+ABS(2-$J47)*1000+100)+'計算A'!AK$5*50+IF(AND($E47=1,JX47=0),25,0),IF($F47&gt;0,INDEX('計算A'!AK$110:AK$114,$F47+1)+IF(AND($E47=1,JX47=0),1000,0),MIN(TV47,20)*400+(IF('計算A'!AJ$106=1,1-EH47,0)+IF('計算A'!AK$106=1,1-EJ47,0))*150+102+'計算A'!AK$5*100000+IF(AND($E47=1,JX47=0),50000,0))+IF($H47=1,(IF('計算A'!AJ$117=1,INDEX('計算A'!AJ$10:AJ$54,$B47),0)+IF('計算A'!AK$117=1,INDEX('計算A'!AL$10:AL$54,$B47),0))*4000,0)-IF(AND('計算A'!AJ$117=1,VH47&gt;0),2000,0)-IF(AND($L47=1,'計算A'!AK$117=1,EJ47=0),2000,0))),1000000))</f>
        <v/>
      </c>
      <c r="PN47">
        <f>IF($B47=0,1000000,IF(INDEX('計算A'!$D$60:$EQ$104,$B47,35)*EJ47=1,IF(AND($E47=2,JY47=0),1000000,IF($I47&gt;0,IF(2=$J47,IF(OR(AND(35=$I47+1,OR($K47&lt;&gt;'計算A'!$A$3,'計算A'!$A$4=0)),AND(35=$I47-1,OR(11&lt;&gt;'計算A'!$A$3,'計算A'!$A$4=0))),0,IF(11=$K47,200000,ABS(11-$K47)*100)),100000+ABS(2-$J47)*1000+110)+'計算A'!AL$5*50+IF(AND($E47=1,JY47=0),25,0),IF($F47&gt;0,INDEX('計算A'!AL$110:AL$114,$F47+1)+IF(AND($E47=1,JY47=0),1000,0),MIN(TV47,20)*400+(IF('計算A'!AK$106=1,1-EI47,0)+IF('計算A'!AL$106=1,1-EK47,0))*150+112+'計算A'!AL$5*100000+IF(AND($E47=1,JY47=0),50000,0))+IF($H47=1,(IF('計算A'!AK$117=1,INDEX('計算A'!AK$10:AK$54,$B47),0)+IF('計算A'!AL$117=1,INDEX('計算A'!AM$10:AM$54,$B47),0))*4000,0)-IF(AND('計算A'!AK$117=1,VI47&gt;0),2000,0)-IF(AND($L47=1,'計算A'!AL$117=1,EK47=0),2000,0))),1000000))</f>
        <v/>
      </c>
      <c r="PO47">
        <f>IF($B47=0,1000000,IF(INDEX('計算A'!$D$60:$EQ$104,$B47,36)*EK47=1,IF(AND($E47=2,JZ47=0),1000000,IF($I47&gt;0,IF(2=$J47,IF(OR(AND(36=$I47+1,OR($K47&lt;&gt;'計算A'!$A$3,'計算A'!$A$4=0)),AND(36=$I47-1,OR(12&lt;&gt;'計算A'!$A$3,'計算A'!$A$4=0))),0,IF(12=$K47,200000,ABS(12-$K47)*100)),100000+ABS(2-$J47)*1000+120)+'計算A'!AM$5*50+IF(AND($E47=1,JZ47=0),25,0),IF($F47&gt;0,INDEX('計算A'!AM$110:AM$114,$F47+1)+IF(AND($E47=1,JZ47=0),1000,0),MIN(TV47,20)*400+(IF('計算A'!AL$106=1,1-EJ47,0)+IF('計算A'!AM$106=1,1-EL47,0))*150+122+'計算A'!AM$5*100000+IF(AND($E47=1,JZ47=0),50000,0))+IF($H47=1,(IF('計算A'!AL$117=1,INDEX('計算A'!AL$10:AL$54,$B47),0)+IF('計算A'!AM$117=1,INDEX('計算A'!AN$10:AN$54,$B47),0))*4000,0)-IF(AND('計算A'!AL$117=1,VJ47&gt;0),2000,0)-IF(AND($L47=1,'計算A'!AM$117=1,EL47=0),2000,0))),1000000))</f>
        <v/>
      </c>
      <c r="PP47">
        <f>IF($B47=0,1000000,IF(INDEX('計算A'!$D$60:$EQ$104,$B47,37)*EL47=1,IF(AND($E47=2,KA47=0),1000000,IF($I47&gt;0,IF(2=$J47,IF(OR(AND(37=$I47+1,OR($K47&lt;&gt;'計算A'!$A$3,'計算A'!$A$4=0)),AND(37=$I47-1,OR(13&lt;&gt;'計算A'!$A$3,'計算A'!$A$4=0))),0,IF(13=$K47,200000,ABS(13-$K47)*100)),100000+ABS(2-$J47)*1000+130)+'計算A'!AN$5*50+IF(AND($E47=1,KA47=0),25,0),IF($F47&gt;0,INDEX('計算A'!AN$110:AN$114,$F47+1)+IF(AND($E47=1,KA47=0),1000,0),MIN(TV47,20)*400+(IF('計算A'!AM$106=1,1-EK47,0)+IF('計算A'!AN$106=1,1-EM47,0))*150+132+'計算A'!AN$5*100000+IF(AND($E47=1,KA47=0),50000,0))+IF($H47=1,(IF('計算A'!AM$117=1,INDEX('計算A'!AM$10:AM$54,$B47),0)+IF('計算A'!AN$117=1,INDEX('計算A'!AO$10:AO$54,$B47),0))*4000,0)-IF(AND('計算A'!AM$117=1,VK47&gt;0),2000,0)-IF(AND($L47=1,'計算A'!AN$117=1,EM47=0),2000,0))),1000000))</f>
        <v/>
      </c>
      <c r="PQ47">
        <f>IF($B47=0,1000000,IF(INDEX('計算A'!$D$60:$EQ$104,$B47,38)*EM47=1,IF(AND($E47=2,KB47=0),1000000,IF($I47&gt;0,IF(2=$J47,IF(OR(AND(38=$I47+1,OR($K47&lt;&gt;'計算A'!$A$3,'計算A'!$A$4=0)),AND(38=$I47-1,OR(14&lt;&gt;'計算A'!$A$3,'計算A'!$A$4=0))),0,IF(14=$K47,200000,ABS(14-$K47)*100)),100000+ABS(2-$J47)*1000+140)+'計算A'!AO$5*50+IF(AND($E47=1,KB47=0),25,0),IF($F47&gt;0,INDEX('計算A'!AO$110:AO$114,$F47+1)+IF(AND($E47=1,KB47=0),1000,0),MIN(TV47,20)*400+(IF('計算A'!AN$106=1,1-EL47,0)+IF('計算A'!AO$106=1,1-EN47,0))*150+142+'計算A'!AO$5*100000+IF(AND($E47=1,KB47=0),50000,0))+IF($H47=1,(IF('計算A'!AN$117=1,INDEX('計算A'!AN$10:AN$54,$B47),0)+IF('計算A'!AO$117=1,INDEX('計算A'!AP$10:AP$54,$B47),0))*4000,0)-IF(AND('計算A'!AN$117=1,VL47&gt;0),2000,0)-IF(AND($L47=1,'計算A'!AO$117=1,EN47=0),2000,0))),1000000))</f>
        <v/>
      </c>
      <c r="PR47">
        <f>IF($B47=0,1000000,IF(INDEX('計算A'!$D$60:$EQ$104,$B47,39)*EN47=1,IF(AND($E47=2,KC47=0),1000000,IF($I47&gt;0,IF(2=$J47,IF(OR(AND(39=$I47+1,OR($K47&lt;&gt;'計算A'!$A$3,'計算A'!$A$4=0)),AND(39=$I47-1,OR(15&lt;&gt;'計算A'!$A$3,'計算A'!$A$4=0))),0,IF(15=$K47,200000,ABS(15-$K47)*100)),100000+ABS(2-$J47)*1000+150)+'計算A'!AP$5*50+IF(AND($E47=1,KC47=0),25,0),IF($F47&gt;0,INDEX('計算A'!AP$110:AP$114,$F47+1)+IF(AND($E47=1,KC47=0),1000,0),MIN(TV47,20)*400+(IF('計算A'!AO$106=1,1-EM47,0)+IF('計算A'!AP$106=1,1-EO47,0))*150+152+'計算A'!AP$5*100000+IF(AND($E47=1,KC47=0),50000,0))+IF($H47=1,(IF('計算A'!AO$117=1,INDEX('計算A'!AO$10:AO$54,$B47),0)+IF('計算A'!AP$117=1,INDEX('計算A'!AQ$10:AQ$54,$B47),0))*4000,0)-IF(AND('計算A'!AO$117=1,VM47&gt;0),2000,0)-IF(AND($L47=1,'計算A'!AP$117=1,EO47=0),2000,0))),1000000))</f>
        <v/>
      </c>
      <c r="PS47">
        <f>IF($B47=0,1000000,IF(INDEX('計算A'!$D$60:$EQ$104,$B47,40)*EO47=1,IF(AND($E47=2,KD47=0),1000000,IF($I47&gt;0,IF(2=$J47,IF(OR(AND(40=$I47+1,OR($K47&lt;&gt;'計算A'!$A$3,'計算A'!$A$4=0)),AND(40=$I47-1,OR(16&lt;&gt;'計算A'!$A$3,'計算A'!$A$4=0))),0,IF(16=$K47,200000,ABS(16-$K47)*100)),100000+ABS(2-$J47)*1000+160)+'計算A'!AQ$5*50+IF(AND($E47=1,KD47=0),25,0),IF($F47&gt;0,INDEX('計算A'!AQ$110:AQ$114,$F47+1)+IF(AND($E47=1,KD47=0),1000,0),MIN(TV47,20)*400+(IF('計算A'!AP$106=1,1-EN47,0)+IF('計算A'!AQ$106=1,1-EP47,0))*150+162+'計算A'!AQ$5*100000+IF(AND($E47=1,KD47=0),50000,0))+IF($H47=1,(IF('計算A'!AP$117=1,INDEX('計算A'!AP$10:AP$54,$B47),0)+IF('計算A'!AQ$117=1,INDEX('計算A'!AR$10:AR$54,$B47),0))*4000,0)-IF(AND('計算A'!AP$117=1,VN47&gt;0),2000,0)-IF(AND($L47=1,'計算A'!AQ$117=1,EP47=0),2000,0))),1000000))</f>
        <v/>
      </c>
      <c r="PT47">
        <f>IF($B47=0,1000000,IF(INDEX('計算A'!$D$60:$EQ$104,$B47,41)*EP47=1,IF(AND($E47=2,KE47=0),1000000,IF($I47&gt;0,IF(2=$J47,IF(OR(AND(41=$I47+1,OR($K47&lt;&gt;'計算A'!$A$3,'計算A'!$A$4=0)),AND(41=$I47-1,OR(17&lt;&gt;'計算A'!$A$3,'計算A'!$A$4=0))),0,IF(17=$K47,200000,ABS(17-$K47)*100)),100000+ABS(2-$J47)*1000+170)+'計算A'!AR$5*50+IF(AND($E47=1,KE47=0),25,0),IF($F47&gt;0,INDEX('計算A'!AR$110:AR$114,$F47+1)+IF(AND($E47=1,KE47=0),1000,0),MIN(TV47,20)*400+(IF('計算A'!AQ$106=1,1-EO47,0)+IF('計算A'!AR$106=1,1-EQ47,0))*150+172+'計算A'!AR$5*100000+IF(AND($E47=1,KE47=0),50000,0))+IF($H47=1,(IF('計算A'!AQ$117=1,INDEX('計算A'!AQ$10:AQ$54,$B47),0)+IF('計算A'!AR$117=1,INDEX('計算A'!AS$10:AS$54,$B47),0))*4000,0)-IF(AND('計算A'!AQ$117=1,VO47&gt;0),2000,0)-IF(AND($L47=1,'計算A'!AR$117=1,EQ47=0),2000,0))),1000000))</f>
        <v/>
      </c>
      <c r="PU47">
        <f>IF($B47=0,1000000,IF(INDEX('計算A'!$D$60:$EQ$104,$B47,42)*EQ47=1,IF(AND($E47=2,KF47=0),1000000,IF($I47&gt;0,IF(2=$J47,IF(OR(AND(42=$I47+1,OR($K47&lt;&gt;'計算A'!$A$3,'計算A'!$A$4=0)),AND(42=$I47-1,OR(18&lt;&gt;'計算A'!$A$3,'計算A'!$A$4=0))),0,IF(18=$K47,200000,ABS(18-$K47)*100)),100000+ABS(2-$J47)*1000+180)+'計算A'!AS$5*50+IF(AND($E47=1,KF47=0),25,0),IF($F47&gt;0,INDEX('計算A'!AS$110:AS$114,$F47+1)+IF(AND($E47=1,KF47=0),1000,0),MIN(TV47,20)*400+(IF('計算A'!AR$106=1,1-EP47,0)+IF('計算A'!AS$106=1,1-ER47,0))*150+182+'計算A'!AS$5*100000+IF(AND($E47=1,KF47=0),50000,0))+IF($H47=1,(IF('計算A'!AR$117=1,INDEX('計算A'!AR$10:AR$54,$B47),0)+IF('計算A'!AS$117=1,INDEX('計算A'!AT$10:AT$54,$B47),0))*4000,0)-IF(AND('計算A'!AR$117=1,VP47&gt;0),2000,0)-IF(AND($L47=1,'計算A'!AS$117=1,ER47=0),2000,0))),1000000))</f>
        <v/>
      </c>
      <c r="PV47">
        <f>IF($B47=0,1000000,IF(INDEX('計算A'!$D$60:$EQ$104,$B47,43)*ER47=1,IF(AND($E47=2,KG47=0),1000000,IF($I47&gt;0,IF(2=$J47,IF(OR(AND(43=$I47+1,OR($K47&lt;&gt;'計算A'!$A$3,'計算A'!$A$4=0)),AND(43=$I47-1,OR(19&lt;&gt;'計算A'!$A$3,'計算A'!$A$4=0))),0,IF(19=$K47,200000,ABS(19-$K47)*100)),100000+ABS(2-$J47)*1000+190)+'計算A'!AT$5*50+IF(AND($E47=1,KG47=0),25,0),IF($F47&gt;0,INDEX('計算A'!AT$110:AT$114,$F47+1)+IF(AND($E47=1,KG47=0),1000,0),MIN(TV47,20)*400+(IF('計算A'!AS$106=1,1-EQ47,0)+IF('計算A'!AT$106=1,1-ES47,0))*150+192+'計算A'!AT$5*100000+IF(AND($E47=1,KG47=0),50000,0))+IF($H47=1,(IF('計算A'!AS$117=1,INDEX('計算A'!AS$10:AS$54,$B47),0)+IF('計算A'!AT$117=1,INDEX('計算A'!AU$10:AU$54,$B47),0))*4000,0)-IF(AND('計算A'!AS$117=1,VQ47&gt;0),2000,0)-IF(AND($L47=1,'計算A'!AT$117=1,ES47=0),2000,0))),1000000))</f>
        <v/>
      </c>
      <c r="PW47">
        <f>IF($B47=0,1000000,IF(INDEX('計算A'!$D$60:$EQ$104,$B47,44)*ES47=1,IF(AND($E47=2,KH47=0),1000000,IF($I47&gt;0,IF(2=$J47,IF(OR(AND(44=$I47+1,OR($K47&lt;&gt;'計算A'!$A$3,'計算A'!$A$4=0)),AND(44=$I47-1,OR(20&lt;&gt;'計算A'!$A$3,'計算A'!$A$4=0))),0,IF(20=$K47,200000,ABS(20-$K47)*100)),100000+ABS(2-$J47)*1000+200)+'計算A'!AU$5*50+IF(AND($E47=1,KH47=0),25,0),IF($F47&gt;0,INDEX('計算A'!AU$110:AU$114,$F47+1)+IF(AND($E47=1,KH47=0),1000,0),MIN(TV47,20)*400+(IF('計算A'!AT$106=1,1-ER47,0)+IF('計算A'!AU$106=1,1-ET47,0))*150+202+'計算A'!AU$5*100000+IF(AND($E47=1,KH47=0),50000,0))+IF($H47=1,(IF('計算A'!AT$117=1,INDEX('計算A'!AT$10:AT$54,$B47),0)+IF('計算A'!AU$117=1,INDEX('計算A'!AV$10:AV$54,$B47),0))*4000,0)-IF(AND('計算A'!AT$117=1,VR47&gt;0),2000,0)-IF(AND($L47=1,'計算A'!AU$117=1,ET47=0),2000,0))),1000000))</f>
        <v/>
      </c>
      <c r="PX47">
        <f>IF($B47=0,1000000,IF(INDEX('計算A'!$D$60:$EQ$104,$B47,45)*ET47=1,IF(AND($E47=2,KI47=0),1000000,IF($I47&gt;0,IF(2=$J47,IF(OR(AND(45=$I47+1,OR($K47&lt;&gt;'計算A'!$A$3,'計算A'!$A$4=0)),AND(45=$I47-1,OR(21&lt;&gt;'計算A'!$A$3,'計算A'!$A$4=0))),0,IF(21=$K47,200000,ABS(21-$K47)*100)),100000+ABS(2-$J47)*1000+210)+'計算A'!AV$5*50+IF(AND($E47=1,KI47=0),25,0),IF($F47&gt;0,INDEX('計算A'!AV$110:AV$114,$F47+1)+IF(AND($E47=1,KI47=0),1000,0),MIN(TV47,20)*400+(IF('計算A'!AU$106=1,1-ES47,0)+IF('計算A'!AV$106=1,1-EU47,0))*150+212+'計算A'!AV$5*100000+IF(AND($E47=1,KI47=0),50000,0))+IF($H47=1,(IF('計算A'!AU$117=1,INDEX('計算A'!AU$10:AU$54,$B47),0)+IF('計算A'!AV$117=1,INDEX('計算A'!AW$10:AW$54,$B47),0))*4000,0)-IF(AND('計算A'!AU$117=1,VS47&gt;0),2000,0)-IF(AND($L47=1,'計算A'!AV$117=1,EU47=0),2000,0))),1000000))</f>
        <v/>
      </c>
      <c r="PY47">
        <f>IF($B47=0,1000000,IF(INDEX('計算A'!$D$60:$EQ$104,$B47,46)*EU47=1,IF(AND($E47=2,KJ47=0),1000000,IF($I47&gt;0,IF(2=$J47,IF(OR(AND(46=$I47+1,OR($K47&lt;&gt;'計算A'!$A$3,'計算A'!$A$4=0)),AND(46=$I47-1,OR(22&lt;&gt;'計算A'!$A$3,'計算A'!$A$4=0))),0,IF(22=$K47,200000,ABS(22-$K47)*100)),100000+ABS(2-$J47)*1000+220)+'計算A'!AW$5*50+IF(AND($E47=1,KJ47=0),25,0),IF($F47&gt;0,INDEX('計算A'!AW$110:AW$114,$F47+1)+IF(AND($E47=1,KJ47=0),1000,0),MIN(TV47,20)*400+(IF('計算A'!AV$106=1,1-ET47,0)+IF('計算A'!AW$106=1,1-EV47,0))*150+222+'計算A'!AW$5*100000+IF(AND($E47=1,KJ47=0),50000,0))+IF($H47=1,(IF('計算A'!AV$117=1,INDEX('計算A'!AV$10:AV$54,$B47),0)+IF('計算A'!AW$117=1,INDEX('計算A'!AX$10:AX$54,$B47),0))*4000,0)-IF(AND('計算A'!AV$117=1,VT47&gt;0),2000,0)-IF(AND($L47=1,'計算A'!AW$117=1,EV47=0),2000,0))),1000000))</f>
        <v/>
      </c>
      <c r="PZ47">
        <f>IF($B47=0,1000000,IF(INDEX('計算A'!$D$60:$EQ$104,$B47,47)*EV47=1,IF(AND($E47=2,KK47=0),1000000,IF($I47&gt;0,IF(2=$J47,IF(OR(AND(47=$I47+1,OR($K47&lt;&gt;'計算A'!$A$3,'計算A'!$A$4=0)),AND(47=$I47-1,OR(23&lt;&gt;'計算A'!$A$3,'計算A'!$A$4=0))),0,IF(23=$K47,200000,ABS(23-$K47)*100)),100000+ABS(2-$J47)*1000+230)+'計算A'!AX$5*50+IF(AND($E47=1,KK47=0),25,0),IF($F47&gt;0,INDEX('計算A'!AX$110:AX$114,$F47+1)+IF(AND($E47=1,KK47=0),1000,0),MIN(TV47,20)*400+(IF('計算A'!AW$106=1,1-EU47,0)+IF('計算A'!AX$106=1,1-EW47,0))*150+232+'計算A'!AX$5*100000+IF(AND($E47=1,KK47=0),50000,0))+IF($H47=1,(IF('計算A'!AW$117=1,INDEX('計算A'!AW$10:AW$54,$B47),0)+IF('計算A'!AX$117=1,INDEX('計算A'!AY$10:AY$54,$B47),0))*4000,0)-IF(AND('計算A'!AW$117=1,VU47&gt;0),2000,0)-IF(AND($L47=1,'計算A'!AX$117=1,EW47=0),2000,0))),1000000))</f>
        <v/>
      </c>
      <c r="QA47">
        <f>IF($B47=0,1000000,IF(INDEX('計算A'!$D$60:$EQ$104,$B47,48)*EW47=1,IF(AND($E47=2,KL47=0),1000000,IF($I47&gt;0,IF(2=$J47,IF(OR(AND(48=$I47+1,OR($K47&lt;&gt;'計算A'!$A$3,'計算A'!$A$4=0)),AND(48=$I47-1,OR(24&lt;&gt;'計算A'!$A$3,'計算A'!$A$4=0))),0,IF(24=$K47,200000,ABS(24-$K47)*100)),100000+ABS(2-$J47)*1000+240)+'計算A'!AY$5*50+IF(AND($E47=1,KL47=0),25,0),IF($F47&gt;0,INDEX('計算A'!AY$110:AY$114,$F47+1)+IF(AND($E47=1,KL47=0),1000,0),MIN(TV47,20)*400+(IF('計算A'!AX$106=1,1-EV47,0))*150+242+'計算A'!AY$5*100000+IF(AND($E47=1,KL47=0),50000,0))+IF($H47=1,(IF('計算A'!AX$117=1,INDEX('計算A'!AX$10:AX$54,$B47),0))*4000,0)-IF(AND('計算A'!AX$117=1,VV47&gt;0),2000,0))),1000000))</f>
        <v/>
      </c>
      <c r="QB47">
        <f>IF($B47=0,1000000,IF(INDEX('計算A'!$D$60:$EQ$104,$B47,49)*EX47=1,IF(AND($E47=2,KM47=0),1000000,IF($I47&gt;0,IF(3=$J47,IF(OR(AND(49=$I47+1,OR($K47&lt;&gt;'計算A'!$A$3,'計算A'!$A$4=0)),AND(49=$I47-1,OR(1&lt;&gt;'計算A'!$A$3,'計算A'!$A$4=0))),0,IF(1=$K47,200000,ABS(1-$K47)*100)),100000+ABS(3-$J47)*1000+10)+'計算A'!AZ$5*50+IF(AND($E47=1,KM47=0),25,0),IF($F47&gt;0,INDEX('計算A'!AZ$110:AZ$114,$F47+1)+IF(AND($E47=1,KM47=0),1000,0),MIN(TW47,20)*400+(IF('計算A'!AZ$106=1,1-EY47,0))*150+13+'計算A'!AZ$5*100000+IF(AND($E47=1,KM47=0),50000,0))+IF($H47=1,(IF('計算A'!AZ$117=1,INDEX('計算A'!BA$10:BA$54,$B47),0))*4000,0)-IF(AND($L47=1,'計算A'!AZ$117=1,EY47=0),2000,0))),1000000))</f>
        <v/>
      </c>
      <c r="QC47">
        <f>IF($B47=0,1000000,IF(INDEX('計算A'!$D$60:$EQ$104,$B47,50)*EY47=1,IF(AND($E47=2,KN47=0),1000000,IF($I47&gt;0,IF(3=$J47,IF(OR(AND(50=$I47+1,OR($K47&lt;&gt;'計算A'!$A$3,'計算A'!$A$4=0)),AND(50=$I47-1,OR(2&lt;&gt;'計算A'!$A$3,'計算A'!$A$4=0))),0,IF(2=$K47,200000,ABS(2-$K47)*100)),100000+ABS(3-$J47)*1000+20)+'計算A'!BA$5*50+IF(AND($E47=1,KN47=0),25,0),IF($F47&gt;0,INDEX('計算A'!BA$110:BA$114,$F47+1)+IF(AND($E47=1,KN47=0),1000,0),MIN(TW47,20)*400+(IF('計算A'!AZ$106=1,1-EX47,0)+IF('計算A'!BA$106=1,1-EZ47,0))*150+23+'計算A'!BA$5*100000+IF(AND($E47=1,KN47=0),50000,0))+IF($H47=1,(IF('計算A'!AZ$117=1,INDEX('計算A'!AZ$10:AZ$54,$B47),0)+IF('計算A'!BA$117=1,INDEX('計算A'!BB$10:BB$54,$B47),0))*4000,0)-IF(AND('計算A'!AZ$117=1,VX47&gt;0),2000,0)-IF(AND($L47=1,'計算A'!BA$117=1,EZ47=0),2000,0))),1000000))</f>
        <v/>
      </c>
      <c r="QD47">
        <f>IF($B47=0,1000000,IF(INDEX('計算A'!$D$60:$EQ$104,$B47,51)*EZ47=1,IF(AND($E47=2,KO47=0),1000000,IF($I47&gt;0,IF(3=$J47,IF(OR(AND(51=$I47+1,OR($K47&lt;&gt;'計算A'!$A$3,'計算A'!$A$4=0)),AND(51=$I47-1,OR(3&lt;&gt;'計算A'!$A$3,'計算A'!$A$4=0))),0,IF(3=$K47,200000,ABS(3-$K47)*100)),100000+ABS(3-$J47)*1000+30)+'計算A'!BB$5*50+IF(AND($E47=1,KO47=0),25,0),IF($F47&gt;0,INDEX('計算A'!BB$110:BB$114,$F47+1)+IF(AND($E47=1,KO47=0),1000,0),MIN(TW47,20)*400+(IF('計算A'!BA$106=1,1-EY47,0)+IF('計算A'!BB$106=1,1-FA47,0))*150+33+'計算A'!BB$5*100000+IF(AND($E47=1,KO47=0),50000,0))+IF($H47=1,(IF('計算A'!BA$117=1,INDEX('計算A'!BA$10:BA$54,$B47),0)+IF('計算A'!BB$117=1,INDEX('計算A'!BC$10:BC$54,$B47),0))*4000,0)-IF(AND('計算A'!BA$117=1,VY47&gt;0),2000,0)-IF(AND($L47=1,'計算A'!BB$117=1,FA47=0),2000,0))),1000000))</f>
        <v/>
      </c>
      <c r="QE47">
        <f>IF($B47=0,1000000,IF(INDEX('計算A'!$D$60:$EQ$104,$B47,52)*FA47=1,IF(AND($E47=2,KP47=0),1000000,IF($I47&gt;0,IF(3=$J47,IF(OR(AND(52=$I47+1,OR($K47&lt;&gt;'計算A'!$A$3,'計算A'!$A$4=0)),AND(52=$I47-1,OR(4&lt;&gt;'計算A'!$A$3,'計算A'!$A$4=0))),0,IF(4=$K47,200000,ABS(4-$K47)*100)),100000+ABS(3-$J47)*1000+40)+'計算A'!BC$5*50+IF(AND($E47=1,KP47=0),25,0),IF($F47&gt;0,INDEX('計算A'!BC$110:BC$114,$F47+1)+IF(AND($E47=1,KP47=0),1000,0),MIN(TW47,20)*400+(IF('計算A'!BB$106=1,1-EZ47,0)+IF('計算A'!BC$106=1,1-FB47,0))*150+43+'計算A'!BC$5*100000+IF(AND($E47=1,KP47=0),50000,0))+IF($H47=1,(IF('計算A'!BB$117=1,INDEX('計算A'!BB$10:BB$54,$B47),0)+IF('計算A'!BC$117=1,INDEX('計算A'!BD$10:BD$54,$B47),0))*4000,0)-IF(AND('計算A'!BB$117=1,VZ47&gt;0),2000,0)-IF(AND($L47=1,'計算A'!BC$117=1,FB47=0),2000,0))),1000000))</f>
        <v/>
      </c>
      <c r="QF47">
        <f>IF($B47=0,1000000,IF(INDEX('計算A'!$D$60:$EQ$104,$B47,53)*FB47=1,IF(AND($E47=2,KQ47=0),1000000,IF($I47&gt;0,IF(3=$J47,IF(OR(AND(53=$I47+1,OR($K47&lt;&gt;'計算A'!$A$3,'計算A'!$A$4=0)),AND(53=$I47-1,OR(5&lt;&gt;'計算A'!$A$3,'計算A'!$A$4=0))),0,IF(5=$K47,200000,ABS(5-$K47)*100)),100000+ABS(3-$J47)*1000+50)+'計算A'!BD$5*50+IF(AND($E47=1,KQ47=0),25,0),IF($F47&gt;0,INDEX('計算A'!BD$110:BD$114,$F47+1)+IF(AND($E47=1,KQ47=0),1000,0),MIN(TW47,20)*400+(IF('計算A'!BC$106=1,1-FA47,0)+IF('計算A'!BD$106=1,1-FC47,0))*150+53+'計算A'!BD$5*100000+IF(AND($E47=1,KQ47=0),50000,0))+IF($H47=1,(IF('計算A'!BC$117=1,INDEX('計算A'!BC$10:BC$54,$B47),0)+IF('計算A'!BD$117=1,INDEX('計算A'!BE$10:BE$54,$B47),0))*4000,0)-IF(AND('計算A'!BC$117=1,WA47&gt;0),2000,0)-IF(AND($L47=1,'計算A'!BD$117=1,FC47=0),2000,0))),1000000))</f>
        <v/>
      </c>
      <c r="QG47">
        <f>IF($B47=0,1000000,IF(INDEX('計算A'!$D$60:$EQ$104,$B47,54)*FC47=1,IF(AND($E47=2,KR47=0),1000000,IF($I47&gt;0,IF(3=$J47,IF(OR(AND(54=$I47+1,OR($K47&lt;&gt;'計算A'!$A$3,'計算A'!$A$4=0)),AND(54=$I47-1,OR(6&lt;&gt;'計算A'!$A$3,'計算A'!$A$4=0))),0,IF(6=$K47,200000,ABS(6-$K47)*100)),100000+ABS(3-$J47)*1000+60)+'計算A'!BE$5*50+IF(AND($E47=1,KR47=0),25,0),IF($F47&gt;0,INDEX('計算A'!BE$110:BE$114,$F47+1)+IF(AND($E47=1,KR47=0),1000,0),MIN(TW47,20)*400+(IF('計算A'!BD$106=1,1-FB47,0)+IF('計算A'!BE$106=1,1-FD47,0))*150+63+'計算A'!BE$5*100000+IF(AND($E47=1,KR47=0),50000,0))+IF($H47=1,(IF('計算A'!BD$117=1,INDEX('計算A'!BD$10:BD$54,$B47),0)+IF('計算A'!BE$117=1,INDEX('計算A'!BF$10:BF$54,$B47),0))*4000,0)-IF(AND('計算A'!BD$117=1,WB47&gt;0),2000,0)-IF(AND($L47=1,'計算A'!BE$117=1,FD47=0),2000,0))),1000000))</f>
        <v/>
      </c>
      <c r="QH47">
        <f>IF($B47=0,1000000,IF(INDEX('計算A'!$D$60:$EQ$104,$B47,55)*FD47=1,IF(AND($E47=2,KS47=0),1000000,IF($I47&gt;0,IF(3=$J47,IF(OR(AND(55=$I47+1,OR($K47&lt;&gt;'計算A'!$A$3,'計算A'!$A$4=0)),AND(55=$I47-1,OR(7&lt;&gt;'計算A'!$A$3,'計算A'!$A$4=0))),0,IF(7=$K47,200000,ABS(7-$K47)*100)),100000+ABS(3-$J47)*1000+70)+'計算A'!BF$5*50+IF(AND($E47=1,KS47=0),25,0),IF($F47&gt;0,INDEX('計算A'!BF$110:BF$114,$F47+1)+IF(AND($E47=1,KS47=0),1000,0),MIN(TW47,20)*400+(IF('計算A'!BE$106=1,1-FC47,0)+IF('計算A'!BF$106=1,1-FE47,0))*150+73+'計算A'!BF$5*100000+IF(AND($E47=1,KS47=0),50000,0))+IF($H47=1,(IF('計算A'!BE$117=1,INDEX('計算A'!BE$10:BE$54,$B47),0)+IF('計算A'!BF$117=1,INDEX('計算A'!BG$10:BG$54,$B47),0))*4000,0)-IF(AND('計算A'!BE$117=1,WC47&gt;0),2000,0)-IF(AND($L47=1,'計算A'!BF$117=1,FE47=0),2000,0))),1000000))</f>
        <v/>
      </c>
      <c r="QI47">
        <f>IF($B47=0,1000000,IF(INDEX('計算A'!$D$60:$EQ$104,$B47,56)*FE47=1,IF(AND($E47=2,KT47=0),1000000,IF($I47&gt;0,IF(3=$J47,IF(OR(AND(56=$I47+1,OR($K47&lt;&gt;'計算A'!$A$3,'計算A'!$A$4=0)),AND(56=$I47-1,OR(8&lt;&gt;'計算A'!$A$3,'計算A'!$A$4=0))),0,IF(8=$K47,200000,ABS(8-$K47)*100)),100000+ABS(3-$J47)*1000+80)+'計算A'!BG$5*50+IF(AND($E47=1,KT47=0),25,0),IF($F47&gt;0,INDEX('計算A'!BG$110:BG$114,$F47+1)+IF(AND($E47=1,KT47=0),1000,0),MIN(TW47,20)*400+(IF('計算A'!BF$106=1,1-FD47,0)+IF('計算A'!BG$106=1,1-FF47,0))*150+83+'計算A'!BG$5*100000+IF(AND($E47=1,KT47=0),50000,0))+IF($H47=1,(IF('計算A'!BF$117=1,INDEX('計算A'!BF$10:BF$54,$B47),0)+IF('計算A'!BG$117=1,INDEX('計算A'!BH$10:BH$54,$B47),0))*4000,0)-IF(AND('計算A'!BF$117=1,WD47&gt;0),2000,0)-IF(AND($L47=1,'計算A'!BG$117=1,FF47=0),2000,0))),1000000))</f>
        <v/>
      </c>
      <c r="QJ47">
        <f>IF($B47=0,1000000,IF(INDEX('計算A'!$D$60:$EQ$104,$B47,57)*FF47=1,IF(AND($E47=2,KU47=0),1000000,IF($I47&gt;0,IF(3=$J47,IF(OR(AND(57=$I47+1,OR($K47&lt;&gt;'計算A'!$A$3,'計算A'!$A$4=0)),AND(57=$I47-1,OR(9&lt;&gt;'計算A'!$A$3,'計算A'!$A$4=0))),0,IF(9=$K47,200000,ABS(9-$K47)*100)),100000+ABS(3-$J47)*1000+90)+'計算A'!BH$5*50+IF(AND($E47=1,KU47=0),25,0),IF($F47&gt;0,INDEX('計算A'!BH$110:BH$114,$F47+1)+IF(AND($E47=1,KU47=0),1000,0),MIN(TW47,20)*400+(IF('計算A'!BG$106=1,1-FE47,0)+IF('計算A'!BH$106=1,1-FG47,0))*150+93+'計算A'!BH$5*100000+IF(AND($E47=1,KU47=0),50000,0))+IF($H47=1,(IF('計算A'!BG$117=1,INDEX('計算A'!BG$10:BG$54,$B47),0)+IF('計算A'!BH$117=1,INDEX('計算A'!BI$10:BI$54,$B47),0))*4000,0)-IF(AND('計算A'!BG$117=1,WE47&gt;0),2000,0)-IF(AND($L47=1,'計算A'!BH$117=1,FG47=0),2000,0))),1000000))</f>
        <v/>
      </c>
      <c r="QK47">
        <f>IF($B47=0,1000000,IF(INDEX('計算A'!$D$60:$EQ$104,$B47,58)*FG47=1,IF(AND($E47=2,KV47=0),1000000,IF($I47&gt;0,IF(3=$J47,IF(OR(AND(58=$I47+1,OR($K47&lt;&gt;'計算A'!$A$3,'計算A'!$A$4=0)),AND(58=$I47-1,OR(10&lt;&gt;'計算A'!$A$3,'計算A'!$A$4=0))),0,IF(10=$K47,200000,ABS(10-$K47)*100)),100000+ABS(3-$J47)*1000+100)+'計算A'!BI$5*50+IF(AND($E47=1,KV47=0),25,0),IF($F47&gt;0,INDEX('計算A'!BI$110:BI$114,$F47+1)+IF(AND($E47=1,KV47=0),1000,0),MIN(TW47,20)*400+(IF('計算A'!BH$106=1,1-FF47,0)+IF('計算A'!BI$106=1,1-FH47,0))*150+103+'計算A'!BI$5*100000+IF(AND($E47=1,KV47=0),50000,0))+IF($H47=1,(IF('計算A'!BH$117=1,INDEX('計算A'!BH$10:BH$54,$B47),0)+IF('計算A'!BI$117=1,INDEX('計算A'!BJ$10:BJ$54,$B47),0))*4000,0)-IF(AND('計算A'!BH$117=1,WF47&gt;0),2000,0)-IF(AND($L47=1,'計算A'!BI$117=1,FH47=0),2000,0))),1000000))</f>
        <v/>
      </c>
      <c r="QL47">
        <f>IF($B47=0,1000000,IF(INDEX('計算A'!$D$60:$EQ$104,$B47,59)*FH47=1,IF(AND($E47=2,KW47=0),1000000,IF($I47&gt;0,IF(3=$J47,IF(OR(AND(59=$I47+1,OR($K47&lt;&gt;'計算A'!$A$3,'計算A'!$A$4=0)),AND(59=$I47-1,OR(11&lt;&gt;'計算A'!$A$3,'計算A'!$A$4=0))),0,IF(11=$K47,200000,ABS(11-$K47)*100)),100000+ABS(3-$J47)*1000+110)+'計算A'!BJ$5*50+IF(AND($E47=1,KW47=0),25,0),IF($F47&gt;0,INDEX('計算A'!BJ$110:BJ$114,$F47+1)+IF(AND($E47=1,KW47=0),1000,0),MIN(TW47,20)*400+(IF('計算A'!BI$106=1,1-FG47,0)+IF('計算A'!BJ$106=1,1-FI47,0))*150+113+'計算A'!BJ$5*100000+IF(AND($E47=1,KW47=0),50000,0))+IF($H47=1,(IF('計算A'!BI$117=1,INDEX('計算A'!BI$10:BI$54,$B47),0)+IF('計算A'!BJ$117=1,INDEX('計算A'!BK$10:BK$54,$B47),0))*4000,0)-IF(AND('計算A'!BI$117=1,WG47&gt;0),2000,0)-IF(AND($L47=1,'計算A'!BJ$117=1,FI47=0),2000,0))),1000000))</f>
        <v/>
      </c>
      <c r="QM47">
        <f>IF($B47=0,1000000,IF(INDEX('計算A'!$D$60:$EQ$104,$B47,60)*FI47=1,IF(AND($E47=2,KX47=0),1000000,IF($I47&gt;0,IF(3=$J47,IF(OR(AND(60=$I47+1,OR($K47&lt;&gt;'計算A'!$A$3,'計算A'!$A$4=0)),AND(60=$I47-1,OR(12&lt;&gt;'計算A'!$A$3,'計算A'!$A$4=0))),0,IF(12=$K47,200000,ABS(12-$K47)*100)),100000+ABS(3-$J47)*1000+120)+'計算A'!BK$5*50+IF(AND($E47=1,KX47=0),25,0),IF($F47&gt;0,INDEX('計算A'!BK$110:BK$114,$F47+1)+IF(AND($E47=1,KX47=0),1000,0),MIN(TW47,20)*400+(IF('計算A'!BJ$106=1,1-FH47,0)+IF('計算A'!BK$106=1,1-FJ47,0))*150+123+'計算A'!BK$5*100000+IF(AND($E47=1,KX47=0),50000,0))+IF($H47=1,(IF('計算A'!BJ$117=1,INDEX('計算A'!BJ$10:BJ$54,$B47),0)+IF('計算A'!BK$117=1,INDEX('計算A'!BL$10:BL$54,$B47),0))*4000,0)-IF(AND('計算A'!BJ$117=1,WH47&gt;0),2000,0)-IF(AND($L47=1,'計算A'!BK$117=1,FJ47=0),2000,0))),1000000))</f>
        <v/>
      </c>
      <c r="QN47">
        <f>IF($B47=0,1000000,IF(INDEX('計算A'!$D$60:$EQ$104,$B47,61)*FJ47=1,IF(AND($E47=2,KY47=0),1000000,IF($I47&gt;0,IF(3=$J47,IF(OR(AND(61=$I47+1,OR($K47&lt;&gt;'計算A'!$A$3,'計算A'!$A$4=0)),AND(61=$I47-1,OR(13&lt;&gt;'計算A'!$A$3,'計算A'!$A$4=0))),0,IF(13=$K47,200000,ABS(13-$K47)*100)),100000+ABS(3-$J47)*1000+130)+'計算A'!BL$5*50+IF(AND($E47=1,KY47=0),25,0),IF($F47&gt;0,INDEX('計算A'!BL$110:BL$114,$F47+1)+IF(AND($E47=1,KY47=0),1000,0),MIN(TW47,20)*400+(IF('計算A'!BK$106=1,1-FI47,0)+IF('計算A'!BL$106=1,1-FK47,0))*150+133+'計算A'!BL$5*100000+IF(AND($E47=1,KY47=0),50000,0))+IF($H47=1,(IF('計算A'!BK$117=1,INDEX('計算A'!BK$10:BK$54,$B47),0)+IF('計算A'!BL$117=1,INDEX('計算A'!BM$10:BM$54,$B47),0))*4000,0)-IF(AND('計算A'!BK$117=1,WI47&gt;0),2000,0)-IF(AND($L47=1,'計算A'!BL$117=1,FK47=0),2000,0))),1000000))</f>
        <v/>
      </c>
      <c r="QO47">
        <f>IF($B47=0,1000000,IF(INDEX('計算A'!$D$60:$EQ$104,$B47,62)*FK47=1,IF(AND($E47=2,KZ47=0),1000000,IF($I47&gt;0,IF(3=$J47,IF(OR(AND(62=$I47+1,OR($K47&lt;&gt;'計算A'!$A$3,'計算A'!$A$4=0)),AND(62=$I47-1,OR(14&lt;&gt;'計算A'!$A$3,'計算A'!$A$4=0))),0,IF(14=$K47,200000,ABS(14-$K47)*100)),100000+ABS(3-$J47)*1000+140)+'計算A'!BM$5*50+IF(AND($E47=1,KZ47=0),25,0),IF($F47&gt;0,INDEX('計算A'!BM$110:BM$114,$F47+1)+IF(AND($E47=1,KZ47=0),1000,0),MIN(TW47,20)*400+(IF('計算A'!BL$106=1,1-FJ47,0)+IF('計算A'!BM$106=1,1-FL47,0))*150+143+'計算A'!BM$5*100000+IF(AND($E47=1,KZ47=0),50000,0))+IF($H47=1,(IF('計算A'!BL$117=1,INDEX('計算A'!BL$10:BL$54,$B47),0)+IF('計算A'!BM$117=1,INDEX('計算A'!BN$10:BN$54,$B47),0))*4000,0)-IF(AND('計算A'!BL$117=1,WJ47&gt;0),2000,0)-IF(AND($L47=1,'計算A'!BM$117=1,FL47=0),2000,0))),1000000))</f>
        <v/>
      </c>
      <c r="QP47">
        <f>IF($B47=0,1000000,IF(INDEX('計算A'!$D$60:$EQ$104,$B47,63)*FL47=1,IF(AND($E47=2,LA47=0),1000000,IF($I47&gt;0,IF(3=$J47,IF(OR(AND(63=$I47+1,OR($K47&lt;&gt;'計算A'!$A$3,'計算A'!$A$4=0)),AND(63=$I47-1,OR(15&lt;&gt;'計算A'!$A$3,'計算A'!$A$4=0))),0,IF(15=$K47,200000,ABS(15-$K47)*100)),100000+ABS(3-$J47)*1000+150)+'計算A'!BN$5*50+IF(AND($E47=1,LA47=0),25,0),IF($F47&gt;0,INDEX('計算A'!BN$110:BN$114,$F47+1)+IF(AND($E47=1,LA47=0),1000,0),MIN(TW47,20)*400+(IF('計算A'!BM$106=1,1-FK47,0)+IF('計算A'!BN$106=1,1-FM47,0))*150+153+'計算A'!BN$5*100000+IF(AND($E47=1,LA47=0),50000,0))+IF($H47=1,(IF('計算A'!BM$117=1,INDEX('計算A'!BM$10:BM$54,$B47),0)+IF('計算A'!BN$117=1,INDEX('計算A'!BO$10:BO$54,$B47),0))*4000,0)-IF(AND('計算A'!BM$117=1,WK47&gt;0),2000,0)-IF(AND($L47=1,'計算A'!BN$117=1,FM47=0),2000,0))),1000000))</f>
        <v/>
      </c>
      <c r="QQ47">
        <f>IF($B47=0,1000000,IF(INDEX('計算A'!$D$60:$EQ$104,$B47,64)*FM47=1,IF(AND($E47=2,LB47=0),1000000,IF($I47&gt;0,IF(3=$J47,IF(OR(AND(64=$I47+1,OR($K47&lt;&gt;'計算A'!$A$3,'計算A'!$A$4=0)),AND(64=$I47-1,OR(16&lt;&gt;'計算A'!$A$3,'計算A'!$A$4=0))),0,IF(16=$K47,200000,ABS(16-$K47)*100)),100000+ABS(3-$J47)*1000+160)+'計算A'!BO$5*50+IF(AND($E47=1,LB47=0),25,0),IF($F47&gt;0,INDEX('計算A'!BO$110:BO$114,$F47+1)+IF(AND($E47=1,LB47=0),1000,0),MIN(TW47,20)*400+(IF('計算A'!BN$106=1,1-FL47,0)+IF('計算A'!BO$106=1,1-FN47,0))*150+163+'計算A'!BO$5*100000+IF(AND($E47=1,LB47=0),50000,0))+IF($H47=1,(IF('計算A'!BN$117=1,INDEX('計算A'!BN$10:BN$54,$B47),0)+IF('計算A'!BO$117=1,INDEX('計算A'!BP$10:BP$54,$B47),0))*4000,0)-IF(AND('計算A'!BN$117=1,WL47&gt;0),2000,0)-IF(AND($L47=1,'計算A'!BO$117=1,FN47=0),2000,0))),1000000))</f>
        <v/>
      </c>
      <c r="QR47">
        <f>IF($B47=0,1000000,IF(INDEX('計算A'!$D$60:$EQ$104,$B47,65)*FN47=1,IF(AND($E47=2,LC47=0),1000000,IF($I47&gt;0,IF(3=$J47,IF(OR(AND(65=$I47+1,OR($K47&lt;&gt;'計算A'!$A$3,'計算A'!$A$4=0)),AND(65=$I47-1,OR(17&lt;&gt;'計算A'!$A$3,'計算A'!$A$4=0))),0,IF(17=$K47,200000,ABS(17-$K47)*100)),100000+ABS(3-$J47)*1000+170)+'計算A'!BP$5*50+IF(AND($E47=1,LC47=0),25,0),IF($F47&gt;0,INDEX('計算A'!BP$110:BP$114,$F47+1)+IF(AND($E47=1,LC47=0),1000,0),MIN(TW47,20)*400+(IF('計算A'!BO$106=1,1-FM47,0)+IF('計算A'!BP$106=1,1-FO47,0))*150+173+'計算A'!BP$5*100000+IF(AND($E47=1,LC47=0),50000,0))+IF($H47=1,(IF('計算A'!BO$117=1,INDEX('計算A'!BO$10:BO$54,$B47),0)+IF('計算A'!BP$117=1,INDEX('計算A'!BQ$10:BQ$54,$B47),0))*4000,0)-IF(AND('計算A'!BO$117=1,WM47&gt;0),2000,0)-IF(AND($L47=1,'計算A'!BP$117=1,FO47=0),2000,0))),1000000))</f>
        <v/>
      </c>
      <c r="QS47">
        <f>IF($B47=0,1000000,IF(INDEX('計算A'!$D$60:$EQ$104,$B47,66)*FO47=1,IF(AND($E47=2,LD47=0),1000000,IF($I47&gt;0,IF(3=$J47,IF(OR(AND(66=$I47+1,OR($K47&lt;&gt;'計算A'!$A$3,'計算A'!$A$4=0)),AND(66=$I47-1,OR(18&lt;&gt;'計算A'!$A$3,'計算A'!$A$4=0))),0,IF(18=$K47,200000,ABS(18-$K47)*100)),100000+ABS(3-$J47)*1000+180)+'計算A'!BQ$5*50+IF(AND($E47=1,LD47=0),25,0),IF($F47&gt;0,INDEX('計算A'!BQ$110:BQ$114,$F47+1)+IF(AND($E47=1,LD47=0),1000,0),MIN(TW47,20)*400+(IF('計算A'!BP$106=1,1-FN47,0)+IF('計算A'!BQ$106=1,1-FP47,0))*150+183+'計算A'!BQ$5*100000+IF(AND($E47=1,LD47=0),50000,0))+IF($H47=1,(IF('計算A'!BP$117=1,INDEX('計算A'!BP$10:BP$54,$B47),0)+IF('計算A'!BQ$117=1,INDEX('計算A'!BR$10:BR$54,$B47),0))*4000,0)-IF(AND('計算A'!BP$117=1,WN47&gt;0),2000,0)-IF(AND($L47=1,'計算A'!BQ$117=1,FP47=0),2000,0))),1000000))</f>
        <v/>
      </c>
      <c r="QT47">
        <f>IF($B47=0,1000000,IF(INDEX('計算A'!$D$60:$EQ$104,$B47,67)*FP47=1,IF(AND($E47=2,LE47=0),1000000,IF($I47&gt;0,IF(3=$J47,IF(OR(AND(67=$I47+1,OR($K47&lt;&gt;'計算A'!$A$3,'計算A'!$A$4=0)),AND(67=$I47-1,OR(19&lt;&gt;'計算A'!$A$3,'計算A'!$A$4=0))),0,IF(19=$K47,200000,ABS(19-$K47)*100)),100000+ABS(3-$J47)*1000+190)+'計算A'!BR$5*50+IF(AND($E47=1,LE47=0),25,0),IF($F47&gt;0,INDEX('計算A'!BR$110:BR$114,$F47+1)+IF(AND($E47=1,LE47=0),1000,0),MIN(TW47,20)*400+(IF('計算A'!BQ$106=1,1-FO47,0)+IF('計算A'!BR$106=1,1-FQ47,0))*150+193+'計算A'!BR$5*100000+IF(AND($E47=1,LE47=0),50000,0))+IF($H47=1,(IF('計算A'!BQ$117=1,INDEX('計算A'!BQ$10:BQ$54,$B47),0)+IF('計算A'!BR$117=1,INDEX('計算A'!BS$10:BS$54,$B47),0))*4000,0)-IF(AND('計算A'!BQ$117=1,WO47&gt;0),2000,0)-IF(AND($L47=1,'計算A'!BR$117=1,FQ47=0),2000,0))),1000000))</f>
        <v/>
      </c>
      <c r="QU47">
        <f>IF($B47=0,1000000,IF(INDEX('計算A'!$D$60:$EQ$104,$B47,68)*FQ47=1,IF(AND($E47=2,LF47=0),1000000,IF($I47&gt;0,IF(3=$J47,IF(OR(AND(68=$I47+1,OR($K47&lt;&gt;'計算A'!$A$3,'計算A'!$A$4=0)),AND(68=$I47-1,OR(20&lt;&gt;'計算A'!$A$3,'計算A'!$A$4=0))),0,IF(20=$K47,200000,ABS(20-$K47)*100)),100000+ABS(3-$J47)*1000+200)+'計算A'!BS$5*50+IF(AND($E47=1,LF47=0),25,0),IF($F47&gt;0,INDEX('計算A'!BS$110:BS$114,$F47+1)+IF(AND($E47=1,LF47=0),1000,0),MIN(TW47,20)*400+(IF('計算A'!BR$106=1,1-FP47,0)+IF('計算A'!BS$106=1,1-FR47,0))*150+203+'計算A'!BS$5*100000+IF(AND($E47=1,LF47=0),50000,0))+IF($H47=1,(IF('計算A'!BR$117=1,INDEX('計算A'!BR$10:BR$54,$B47),0)+IF('計算A'!BS$117=1,INDEX('計算A'!BT$10:BT$54,$B47),0))*4000,0)-IF(AND('計算A'!BR$117=1,WP47&gt;0),2000,0)-IF(AND($L47=1,'計算A'!BS$117=1,FR47=0),2000,0))),1000000))</f>
        <v/>
      </c>
      <c r="QV47">
        <f>IF($B47=0,1000000,IF(INDEX('計算A'!$D$60:$EQ$104,$B47,69)*FR47=1,IF(AND($E47=2,LG47=0),1000000,IF($I47&gt;0,IF(3=$J47,IF(OR(AND(69=$I47+1,OR($K47&lt;&gt;'計算A'!$A$3,'計算A'!$A$4=0)),AND(69=$I47-1,OR(21&lt;&gt;'計算A'!$A$3,'計算A'!$A$4=0))),0,IF(21=$K47,200000,ABS(21-$K47)*100)),100000+ABS(3-$J47)*1000+210)+'計算A'!BT$5*50+IF(AND($E47=1,LG47=0),25,0),IF($F47&gt;0,INDEX('計算A'!BT$110:BT$114,$F47+1)+IF(AND($E47=1,LG47=0),1000,0),MIN(TW47,20)*400+(IF('計算A'!BS$106=1,1-FQ47,0)+IF('計算A'!BT$106=1,1-FS47,0))*150+213+'計算A'!BT$5*100000+IF(AND($E47=1,LG47=0),50000,0))+IF($H47=1,(IF('計算A'!BS$117=1,INDEX('計算A'!BS$10:BS$54,$B47),0)+IF('計算A'!BT$117=1,INDEX('計算A'!BU$10:BU$54,$B47),0))*4000,0)-IF(AND('計算A'!BS$117=1,WQ47&gt;0),2000,0)-IF(AND($L47=1,'計算A'!BT$117=1,FS47=0),2000,0))),1000000))</f>
        <v/>
      </c>
      <c r="QW47">
        <f>IF($B47=0,1000000,IF(INDEX('計算A'!$D$60:$EQ$104,$B47,70)*FS47=1,IF(AND($E47=2,LH47=0),1000000,IF($I47&gt;0,IF(3=$J47,IF(OR(AND(70=$I47+1,OR($K47&lt;&gt;'計算A'!$A$3,'計算A'!$A$4=0)),AND(70=$I47-1,OR(22&lt;&gt;'計算A'!$A$3,'計算A'!$A$4=0))),0,IF(22=$K47,200000,ABS(22-$K47)*100)),100000+ABS(3-$J47)*1000+220)+'計算A'!BU$5*50+IF(AND($E47=1,LH47=0),25,0),IF($F47&gt;0,INDEX('計算A'!BU$110:BU$114,$F47+1)+IF(AND($E47=1,LH47=0),1000,0),MIN(TW47,20)*400+(IF('計算A'!BT$106=1,1-FR47,0)+IF('計算A'!BU$106=1,1-FT47,0))*150+223+'計算A'!BU$5*100000+IF(AND($E47=1,LH47=0),50000,0))+IF($H47=1,(IF('計算A'!BT$117=1,INDEX('計算A'!BT$10:BT$54,$B47),0)+IF('計算A'!BU$117=1,INDEX('計算A'!BV$10:BV$54,$B47),0))*4000,0)-IF(AND('計算A'!BT$117=1,WR47&gt;0),2000,0)-IF(AND($L47=1,'計算A'!BU$117=1,FT47=0),2000,0))),1000000))</f>
        <v/>
      </c>
      <c r="QX47">
        <f>IF($B47=0,1000000,IF(INDEX('計算A'!$D$60:$EQ$104,$B47,71)*FT47=1,IF(AND($E47=2,LI47=0),1000000,IF($I47&gt;0,IF(3=$J47,IF(OR(AND(71=$I47+1,OR($K47&lt;&gt;'計算A'!$A$3,'計算A'!$A$4=0)),AND(71=$I47-1,OR(23&lt;&gt;'計算A'!$A$3,'計算A'!$A$4=0))),0,IF(23=$K47,200000,ABS(23-$K47)*100)),100000+ABS(3-$J47)*1000+230)+'計算A'!BV$5*50+IF(AND($E47=1,LI47=0),25,0),IF($F47&gt;0,INDEX('計算A'!BV$110:BV$114,$F47+1)+IF(AND($E47=1,LI47=0),1000,0),MIN(TW47,20)*400+(IF('計算A'!BU$106=1,1-FS47,0)+IF('計算A'!BV$106=1,1-FU47,0))*150+233+'計算A'!BV$5*100000+IF(AND($E47=1,LI47=0),50000,0))+IF($H47=1,(IF('計算A'!BU$117=1,INDEX('計算A'!BU$10:BU$54,$B47),0)+IF('計算A'!BV$117=1,INDEX('計算A'!BW$10:BW$54,$B47),0))*4000,0)-IF(AND('計算A'!BU$117=1,WS47&gt;0),2000,0)-IF(AND($L47=1,'計算A'!BV$117=1,FU47=0),2000,0))),1000000))</f>
        <v/>
      </c>
      <c r="QY47">
        <f>IF($B47=0,1000000,IF(INDEX('計算A'!$D$60:$EQ$104,$B47,72)*FU47=1,IF(AND($E47=2,LJ47=0),1000000,IF($I47&gt;0,IF(3=$J47,IF(OR(AND(72=$I47+1,OR($K47&lt;&gt;'計算A'!$A$3,'計算A'!$A$4=0)),AND(72=$I47-1,OR(24&lt;&gt;'計算A'!$A$3,'計算A'!$A$4=0))),0,IF(24=$K47,200000,ABS(24-$K47)*100)),100000+ABS(3-$J47)*1000+240)+'計算A'!BW$5*50+IF(AND($E47=1,LJ47=0),25,0),IF($F47&gt;0,INDEX('計算A'!BW$110:BW$114,$F47+1)+IF(AND($E47=1,LJ47=0),1000,0),MIN(TW47,20)*400+(IF('計算A'!BV$106=1,1-FT47,0))*150+243+'計算A'!BW$5*100000+IF(AND($E47=1,LJ47=0),50000,0))+IF($H47=1,(IF('計算A'!BV$117=1,INDEX('計算A'!BV$10:BV$54,$B47),0))*4000,0)-IF(AND('計算A'!BV$117=1,WT47&gt;0),2000,0))),1000000))</f>
        <v/>
      </c>
      <c r="QZ47">
        <f>IF($B47=0,1000000,IF(INDEX('計算A'!$D$60:$EQ$104,$B47,73)*FV47=1,IF(AND($E47=2,LK47=0),1000000,IF($I47&gt;0,IF(4=$J47,IF(OR(AND(73=$I47+1,OR($K47&lt;&gt;'計算A'!$A$3,'計算A'!$A$4=0)),AND(73=$I47-1,OR(1&lt;&gt;'計算A'!$A$3,'計算A'!$A$4=0))),0,IF(1=$K47,200000,ABS(1-$K47)*100)),100000+ABS(4-$J47)*1000+10)+'計算A'!BX$5*50+IF(AND($E47=1,LK47=0),25,0),IF($F47&gt;0,INDEX('計算A'!BX$110:BX$114,$F47+1)+IF(AND($E47=1,LK47=0),1000,0),MIN(TX47,20)*400+(IF('計算A'!BX$106=1,1-FW47,0))*150+14+'計算A'!BX$5*100000+IF(AND($E47=1,LK47=0),50000,0))+IF($H47=1,(IF('計算A'!BX$117=1,INDEX('計算A'!BY$10:BY$54,$B47),0))*4000,0)-IF(AND($L47=1,'計算A'!BX$117=1,FW47=0),2000,0))),1000000))</f>
        <v/>
      </c>
      <c r="RA47">
        <f>IF($B47=0,1000000,IF(INDEX('計算A'!$D$60:$EQ$104,$B47,74)*FW47=1,IF(AND($E47=2,LL47=0),1000000,IF($I47&gt;0,IF(4=$J47,IF(OR(AND(74=$I47+1,OR($K47&lt;&gt;'計算A'!$A$3,'計算A'!$A$4=0)),AND(74=$I47-1,OR(2&lt;&gt;'計算A'!$A$3,'計算A'!$A$4=0))),0,IF(2=$K47,200000,ABS(2-$K47)*100)),100000+ABS(4-$J47)*1000+20)+'計算A'!BY$5*50+IF(AND($E47=1,LL47=0),25,0),IF($F47&gt;0,INDEX('計算A'!BY$110:BY$114,$F47+1)+IF(AND($E47=1,LL47=0),1000,0),MIN(TX47,20)*400+(IF('計算A'!BX$106=1,1-FV47,0)+IF('計算A'!BY$106=1,1-FX47,0))*150+24+'計算A'!BY$5*100000+IF(AND($E47=1,LL47=0),50000,0))+IF($H47=1,(IF('計算A'!BX$117=1,INDEX('計算A'!BX$10:BX$54,$B47),0)+IF('計算A'!BY$117=1,INDEX('計算A'!BZ$10:BZ$54,$B47),0))*4000,0)-IF(AND('計算A'!BX$117=1,WV47&gt;0),2000,0)-IF(AND($L47=1,'計算A'!BY$117=1,FX47=0),2000,0))),1000000))</f>
        <v/>
      </c>
      <c r="RB47">
        <f>IF($B47=0,1000000,IF(INDEX('計算A'!$D$60:$EQ$104,$B47,75)*FX47=1,IF(AND($E47=2,LM47=0),1000000,IF($I47&gt;0,IF(4=$J47,IF(OR(AND(75=$I47+1,OR($K47&lt;&gt;'計算A'!$A$3,'計算A'!$A$4=0)),AND(75=$I47-1,OR(3&lt;&gt;'計算A'!$A$3,'計算A'!$A$4=0))),0,IF(3=$K47,200000,ABS(3-$K47)*100)),100000+ABS(4-$J47)*1000+30)+'計算A'!BZ$5*50+IF(AND($E47=1,LM47=0),25,0),IF($F47&gt;0,INDEX('計算A'!BZ$110:BZ$114,$F47+1)+IF(AND($E47=1,LM47=0),1000,0),MIN(TX47,20)*400+(IF('計算A'!BY$106=1,1-FW47,0)+IF('計算A'!BZ$106=1,1-FY47,0))*150+34+'計算A'!BZ$5*100000+IF(AND($E47=1,LM47=0),50000,0))+IF($H47=1,(IF('計算A'!BY$117=1,INDEX('計算A'!BY$10:BY$54,$B47),0)+IF('計算A'!BZ$117=1,INDEX('計算A'!CA$10:CA$54,$B47),0))*4000,0)-IF(AND('計算A'!BY$117=1,WW47&gt;0),2000,0)-IF(AND($L47=1,'計算A'!BZ$117=1,FY47=0),2000,0))),1000000))</f>
        <v/>
      </c>
      <c r="RC47">
        <f>IF($B47=0,1000000,IF(INDEX('計算A'!$D$60:$EQ$104,$B47,76)*FY47=1,IF(AND($E47=2,LN47=0),1000000,IF($I47&gt;0,IF(4=$J47,IF(OR(AND(76=$I47+1,OR($K47&lt;&gt;'計算A'!$A$3,'計算A'!$A$4=0)),AND(76=$I47-1,OR(4&lt;&gt;'計算A'!$A$3,'計算A'!$A$4=0))),0,IF(4=$K47,200000,ABS(4-$K47)*100)),100000+ABS(4-$J47)*1000+40)+'計算A'!CA$5*50+IF(AND($E47=1,LN47=0),25,0),IF($F47&gt;0,INDEX('計算A'!CA$110:CA$114,$F47+1)+IF(AND($E47=1,LN47=0),1000,0),MIN(TX47,20)*400+(IF('計算A'!BZ$106=1,1-FX47,0)+IF('計算A'!CA$106=1,1-FZ47,0))*150+44+'計算A'!CA$5*100000+IF(AND($E47=1,LN47=0),50000,0))+IF($H47=1,(IF('計算A'!BZ$117=1,INDEX('計算A'!BZ$10:BZ$54,$B47),0)+IF('計算A'!CA$117=1,INDEX('計算A'!CB$10:CB$54,$B47),0))*4000,0)-IF(AND('計算A'!BZ$117=1,WX47&gt;0),2000,0)-IF(AND($L47=1,'計算A'!CA$117=1,FZ47=0),2000,0))),1000000))</f>
        <v/>
      </c>
      <c r="RD47">
        <f>IF($B47=0,1000000,IF(INDEX('計算A'!$D$60:$EQ$104,$B47,77)*FZ47=1,IF(AND($E47=2,LO47=0),1000000,IF($I47&gt;0,IF(4=$J47,IF(OR(AND(77=$I47+1,OR($K47&lt;&gt;'計算A'!$A$3,'計算A'!$A$4=0)),AND(77=$I47-1,OR(5&lt;&gt;'計算A'!$A$3,'計算A'!$A$4=0))),0,IF(5=$K47,200000,ABS(5-$K47)*100)),100000+ABS(4-$J47)*1000+50)+'計算A'!CB$5*50+IF(AND($E47=1,LO47=0),25,0),IF($F47&gt;0,INDEX('計算A'!CB$110:CB$114,$F47+1)+IF(AND($E47=1,LO47=0),1000,0),MIN(TX47,20)*400+(IF('計算A'!CA$106=1,1-FY47,0)+IF('計算A'!CB$106=1,1-GA47,0))*150+54+'計算A'!CB$5*100000+IF(AND($E47=1,LO47=0),50000,0))+IF($H47=1,(IF('計算A'!CA$117=1,INDEX('計算A'!CA$10:CA$54,$B47),0)+IF('計算A'!CB$117=1,INDEX('計算A'!CC$10:CC$54,$B47),0))*4000,0)-IF(AND('計算A'!CA$117=1,WY47&gt;0),2000,0)-IF(AND($L47=1,'計算A'!CB$117=1,GA47=0),2000,0))),1000000))</f>
        <v/>
      </c>
      <c r="RE47">
        <f>IF($B47=0,1000000,IF(INDEX('計算A'!$D$60:$EQ$104,$B47,78)*GA47=1,IF(AND($E47=2,LP47=0),1000000,IF($I47&gt;0,IF(4=$J47,IF(OR(AND(78=$I47+1,OR($K47&lt;&gt;'計算A'!$A$3,'計算A'!$A$4=0)),AND(78=$I47-1,OR(6&lt;&gt;'計算A'!$A$3,'計算A'!$A$4=0))),0,IF(6=$K47,200000,ABS(6-$K47)*100)),100000+ABS(4-$J47)*1000+60)+'計算A'!CC$5*50+IF(AND($E47=1,LP47=0),25,0),IF($F47&gt;0,INDEX('計算A'!CC$110:CC$114,$F47+1)+IF(AND($E47=1,LP47=0),1000,0),MIN(TX47,20)*400+(IF('計算A'!CB$106=1,1-FZ47,0)+IF('計算A'!CC$106=1,1-GB47,0))*150+64+'計算A'!CC$5*100000+IF(AND($E47=1,LP47=0),50000,0))+IF($H47=1,(IF('計算A'!CB$117=1,INDEX('計算A'!CB$10:CB$54,$B47),0)+IF('計算A'!CC$117=1,INDEX('計算A'!CD$10:CD$54,$B47),0))*4000,0)-IF(AND('計算A'!CB$117=1,WZ47&gt;0),2000,0)-IF(AND($L47=1,'計算A'!CC$117=1,GB47=0),2000,0))),1000000))</f>
        <v/>
      </c>
      <c r="RF47">
        <f>IF($B47=0,1000000,IF(INDEX('計算A'!$D$60:$EQ$104,$B47,79)*GB47=1,IF(AND($E47=2,LQ47=0),1000000,IF($I47&gt;0,IF(4=$J47,IF(OR(AND(79=$I47+1,OR($K47&lt;&gt;'計算A'!$A$3,'計算A'!$A$4=0)),AND(79=$I47-1,OR(7&lt;&gt;'計算A'!$A$3,'計算A'!$A$4=0))),0,IF(7=$K47,200000,ABS(7-$K47)*100)),100000+ABS(4-$J47)*1000+70)+'計算A'!CD$5*50+IF(AND($E47=1,LQ47=0),25,0),IF($F47&gt;0,INDEX('計算A'!CD$110:CD$114,$F47+1)+IF(AND($E47=1,LQ47=0),1000,0),MIN(TX47,20)*400+(IF('計算A'!CC$106=1,1-GA47,0)+IF('計算A'!CD$106=1,1-GC47,0))*150+74+'計算A'!CD$5*100000+IF(AND($E47=1,LQ47=0),50000,0))+IF($H47=1,(IF('計算A'!CC$117=1,INDEX('計算A'!CC$10:CC$54,$B47),0)+IF('計算A'!CD$117=1,INDEX('計算A'!CE$10:CE$54,$B47),0))*4000,0)-IF(AND('計算A'!CC$117=1,XA47&gt;0),2000,0)-IF(AND($L47=1,'計算A'!CD$117=1,GC47=0),2000,0))),1000000))</f>
        <v/>
      </c>
      <c r="RG47">
        <f>IF($B47=0,1000000,IF(INDEX('計算A'!$D$60:$EQ$104,$B47,80)*GC47=1,IF(AND($E47=2,LR47=0),1000000,IF($I47&gt;0,IF(4=$J47,IF(OR(AND(80=$I47+1,OR($K47&lt;&gt;'計算A'!$A$3,'計算A'!$A$4=0)),AND(80=$I47-1,OR(8&lt;&gt;'計算A'!$A$3,'計算A'!$A$4=0))),0,IF(8=$K47,200000,ABS(8-$K47)*100)),100000+ABS(4-$J47)*1000+80)+'計算A'!CE$5*50+IF(AND($E47=1,LR47=0),25,0),IF($F47&gt;0,INDEX('計算A'!CE$110:CE$114,$F47+1)+IF(AND($E47=1,LR47=0),1000,0),MIN(TX47,20)*400+(IF('計算A'!CD$106=1,1-GB47,0)+IF('計算A'!CE$106=1,1-GD47,0))*150+84+'計算A'!CE$5*100000+IF(AND($E47=1,LR47=0),50000,0))+IF($H47=1,(IF('計算A'!CD$117=1,INDEX('計算A'!CD$10:CD$54,$B47),0)+IF('計算A'!CE$117=1,INDEX('計算A'!CF$10:CF$54,$B47),0))*4000,0)-IF(AND('計算A'!CD$117=1,XB47&gt;0),2000,0)-IF(AND($L47=1,'計算A'!CE$117=1,GD47=0),2000,0))),1000000))</f>
        <v/>
      </c>
      <c r="RH47">
        <f>IF($B47=0,1000000,IF(INDEX('計算A'!$D$60:$EQ$104,$B47,81)*GD47=1,IF(AND($E47=2,LS47=0),1000000,IF($I47&gt;0,IF(4=$J47,IF(OR(AND(81=$I47+1,OR($K47&lt;&gt;'計算A'!$A$3,'計算A'!$A$4=0)),AND(81=$I47-1,OR(9&lt;&gt;'計算A'!$A$3,'計算A'!$A$4=0))),0,IF(9=$K47,200000,ABS(9-$K47)*100)),100000+ABS(4-$J47)*1000+90)+'計算A'!CF$5*50+IF(AND($E47=1,LS47=0),25,0),IF($F47&gt;0,INDEX('計算A'!CF$110:CF$114,$F47+1)+IF(AND($E47=1,LS47=0),1000,0),MIN(TX47,20)*400+(IF('計算A'!CE$106=1,1-GC47,0)+IF('計算A'!CF$106=1,1-GE47,0))*150+94+'計算A'!CF$5*100000+IF(AND($E47=1,LS47=0),50000,0))+IF($H47=1,(IF('計算A'!CE$117=1,INDEX('計算A'!CE$10:CE$54,$B47),0)+IF('計算A'!CF$117=1,INDEX('計算A'!CG$10:CG$54,$B47),0))*4000,0)-IF(AND('計算A'!CE$117=1,XC47&gt;0),2000,0)-IF(AND($L47=1,'計算A'!CF$117=1,GE47=0),2000,0))),1000000))</f>
        <v/>
      </c>
      <c r="RI47">
        <f>IF($B47=0,1000000,IF(INDEX('計算A'!$D$60:$EQ$104,$B47,82)*GE47=1,IF(AND($E47=2,LT47=0),1000000,IF($I47&gt;0,IF(4=$J47,IF(OR(AND(82=$I47+1,OR($K47&lt;&gt;'計算A'!$A$3,'計算A'!$A$4=0)),AND(82=$I47-1,OR(10&lt;&gt;'計算A'!$A$3,'計算A'!$A$4=0))),0,IF(10=$K47,200000,ABS(10-$K47)*100)),100000+ABS(4-$J47)*1000+100)+'計算A'!CG$5*50+IF(AND($E47=1,LT47=0),25,0),IF($F47&gt;0,INDEX('計算A'!CG$110:CG$114,$F47+1)+IF(AND($E47=1,LT47=0),1000,0),MIN(TX47,20)*400+(IF('計算A'!CF$106=1,1-GD47,0)+IF('計算A'!CG$106=1,1-GF47,0))*150+104+'計算A'!CG$5*100000+IF(AND($E47=1,LT47=0),50000,0))+IF($H47=1,(IF('計算A'!CF$117=1,INDEX('計算A'!CF$10:CF$54,$B47),0)+IF('計算A'!CG$117=1,INDEX('計算A'!CH$10:CH$54,$B47),0))*4000,0)-IF(AND('計算A'!CF$117=1,XD47&gt;0),2000,0)-IF(AND($L47=1,'計算A'!CG$117=1,GF47=0),2000,0))),1000000))</f>
        <v/>
      </c>
      <c r="RJ47">
        <f>IF($B47=0,1000000,IF(INDEX('計算A'!$D$60:$EQ$104,$B47,83)*GF47=1,IF(AND($E47=2,LU47=0),1000000,IF($I47&gt;0,IF(4=$J47,IF(OR(AND(83=$I47+1,OR($K47&lt;&gt;'計算A'!$A$3,'計算A'!$A$4=0)),AND(83=$I47-1,OR(11&lt;&gt;'計算A'!$A$3,'計算A'!$A$4=0))),0,IF(11=$K47,200000,ABS(11-$K47)*100)),100000+ABS(4-$J47)*1000+110)+'計算A'!CH$5*50+IF(AND($E47=1,LU47=0),25,0),IF($F47&gt;0,INDEX('計算A'!CH$110:CH$114,$F47+1)+IF(AND($E47=1,LU47=0),1000,0),MIN(TX47,20)*400+(IF('計算A'!CG$106=1,1-GE47,0)+IF('計算A'!CH$106=1,1-GG47,0))*150+114+'計算A'!CH$5*100000+IF(AND($E47=1,LU47=0),50000,0))+IF($H47=1,(IF('計算A'!CG$117=1,INDEX('計算A'!CG$10:CG$54,$B47),0)+IF('計算A'!CH$117=1,INDEX('計算A'!CI$10:CI$54,$B47),0))*4000,0)-IF(AND('計算A'!CG$117=1,XE47&gt;0),2000,0)-IF(AND($L47=1,'計算A'!CH$117=1,GG47=0),2000,0))),1000000))</f>
        <v/>
      </c>
      <c r="RK47">
        <f>IF($B47=0,1000000,IF(INDEX('計算A'!$D$60:$EQ$104,$B47,84)*GG47=1,IF(AND($E47=2,LV47=0),1000000,IF($I47&gt;0,IF(4=$J47,IF(OR(AND(84=$I47+1,OR($K47&lt;&gt;'計算A'!$A$3,'計算A'!$A$4=0)),AND(84=$I47-1,OR(12&lt;&gt;'計算A'!$A$3,'計算A'!$A$4=0))),0,IF(12=$K47,200000,ABS(12-$K47)*100)),100000+ABS(4-$J47)*1000+120)+'計算A'!CI$5*50+IF(AND($E47=1,LV47=0),25,0),IF($F47&gt;0,INDEX('計算A'!CI$110:CI$114,$F47+1)+IF(AND($E47=1,LV47=0),1000,0),MIN(TX47,20)*400+(IF('計算A'!CH$106=1,1-GF47,0)+IF('計算A'!CI$106=1,1-GH47,0))*150+124+'計算A'!CI$5*100000+IF(AND($E47=1,LV47=0),50000,0))+IF($H47=1,(IF('計算A'!CH$117=1,INDEX('計算A'!CH$10:CH$54,$B47),0)+IF('計算A'!CI$117=1,INDEX('計算A'!CJ$10:CJ$54,$B47),0))*4000,0)-IF(AND('計算A'!CH$117=1,XF47&gt;0),2000,0)-IF(AND($L47=1,'計算A'!CI$117=1,GH47=0),2000,0))),1000000))</f>
        <v/>
      </c>
      <c r="RL47">
        <f>IF($B47=0,1000000,IF(INDEX('計算A'!$D$60:$EQ$104,$B47,85)*GH47=1,IF(AND($E47=2,LW47=0),1000000,IF($I47&gt;0,IF(4=$J47,IF(OR(AND(85=$I47+1,OR($K47&lt;&gt;'計算A'!$A$3,'計算A'!$A$4=0)),AND(85=$I47-1,OR(13&lt;&gt;'計算A'!$A$3,'計算A'!$A$4=0))),0,IF(13=$K47,200000,ABS(13-$K47)*100)),100000+ABS(4-$J47)*1000+130)+'計算A'!CJ$5*50+IF(AND($E47=1,LW47=0),25,0),IF($F47&gt;0,INDEX('計算A'!CJ$110:CJ$114,$F47+1)+IF(AND($E47=1,LW47=0),1000,0),MIN(TX47,20)*400+(IF('計算A'!CI$106=1,1-GG47,0)+IF('計算A'!CJ$106=1,1-GI47,0))*150+134+'計算A'!CJ$5*100000+IF(AND($E47=1,LW47=0),50000,0))+IF($H47=1,(IF('計算A'!CI$117=1,INDEX('計算A'!CI$10:CI$54,$B47),0)+IF('計算A'!CJ$117=1,INDEX('計算A'!CK$10:CK$54,$B47),0))*4000,0)-IF(AND('計算A'!CI$117=1,XG47&gt;0),2000,0)-IF(AND($L47=1,'計算A'!CJ$117=1,GI47=0),2000,0))),1000000))</f>
        <v/>
      </c>
      <c r="RM47">
        <f>IF($B47=0,1000000,IF(INDEX('計算A'!$D$60:$EQ$104,$B47,86)*GI47=1,IF(AND($E47=2,LX47=0),1000000,IF($I47&gt;0,IF(4=$J47,IF(OR(AND(86=$I47+1,OR($K47&lt;&gt;'計算A'!$A$3,'計算A'!$A$4=0)),AND(86=$I47-1,OR(14&lt;&gt;'計算A'!$A$3,'計算A'!$A$4=0))),0,IF(14=$K47,200000,ABS(14-$K47)*100)),100000+ABS(4-$J47)*1000+140)+'計算A'!CK$5*50+IF(AND($E47=1,LX47=0),25,0),IF($F47&gt;0,INDEX('計算A'!CK$110:CK$114,$F47+1)+IF(AND($E47=1,LX47=0),1000,0),MIN(TX47,20)*400+(IF('計算A'!CJ$106=1,1-GH47,0)+IF('計算A'!CK$106=1,1-GJ47,0))*150+144+'計算A'!CK$5*100000+IF(AND($E47=1,LX47=0),50000,0))+IF($H47=1,(IF('計算A'!CJ$117=1,INDEX('計算A'!CJ$10:CJ$54,$B47),0)+IF('計算A'!CK$117=1,INDEX('計算A'!CL$10:CL$54,$B47),0))*4000,0)-IF(AND('計算A'!CJ$117=1,XH47&gt;0),2000,0)-IF(AND($L47=1,'計算A'!CK$117=1,GJ47=0),2000,0))),1000000))</f>
        <v/>
      </c>
      <c r="RN47">
        <f>IF($B47=0,1000000,IF(INDEX('計算A'!$D$60:$EQ$104,$B47,87)*GJ47=1,IF(AND($E47=2,LY47=0),1000000,IF($I47&gt;0,IF(4=$J47,IF(OR(AND(87=$I47+1,OR($K47&lt;&gt;'計算A'!$A$3,'計算A'!$A$4=0)),AND(87=$I47-1,OR(15&lt;&gt;'計算A'!$A$3,'計算A'!$A$4=0))),0,IF(15=$K47,200000,ABS(15-$K47)*100)),100000+ABS(4-$J47)*1000+150)+'計算A'!CL$5*50+IF(AND($E47=1,LY47=0),25,0),IF($F47&gt;0,INDEX('計算A'!CL$110:CL$114,$F47+1)+IF(AND($E47=1,LY47=0),1000,0),MIN(TX47,20)*400+(IF('計算A'!CK$106=1,1-GI47,0)+IF('計算A'!CL$106=1,1-GK47,0))*150+154+'計算A'!CL$5*100000+IF(AND($E47=1,LY47=0),50000,0))+IF($H47=1,(IF('計算A'!CK$117=1,INDEX('計算A'!CK$10:CK$54,$B47),0)+IF('計算A'!CL$117=1,INDEX('計算A'!CM$10:CM$54,$B47),0))*4000,0)-IF(AND('計算A'!CK$117=1,XI47&gt;0),2000,0)-IF(AND($L47=1,'計算A'!CL$117=1,GK47=0),2000,0))),1000000))</f>
        <v/>
      </c>
      <c r="RO47">
        <f>IF($B47=0,1000000,IF(INDEX('計算A'!$D$60:$EQ$104,$B47,88)*GK47=1,IF(AND($E47=2,LZ47=0),1000000,IF($I47&gt;0,IF(4=$J47,IF(OR(AND(88=$I47+1,OR($K47&lt;&gt;'計算A'!$A$3,'計算A'!$A$4=0)),AND(88=$I47-1,OR(16&lt;&gt;'計算A'!$A$3,'計算A'!$A$4=0))),0,IF(16=$K47,200000,ABS(16-$K47)*100)),100000+ABS(4-$J47)*1000+160)+'計算A'!CM$5*50+IF(AND($E47=1,LZ47=0),25,0),IF($F47&gt;0,INDEX('計算A'!CM$110:CM$114,$F47+1)+IF(AND($E47=1,LZ47=0),1000,0),MIN(TX47,20)*400+(IF('計算A'!CL$106=1,1-GJ47,0)+IF('計算A'!CM$106=1,1-GL47,0))*150+164+'計算A'!CM$5*100000+IF(AND($E47=1,LZ47=0),50000,0))+IF($H47=1,(IF('計算A'!CL$117=1,INDEX('計算A'!CL$10:CL$54,$B47),0)+IF('計算A'!CM$117=1,INDEX('計算A'!CN$10:CN$54,$B47),0))*4000,0)-IF(AND('計算A'!CL$117=1,XJ47&gt;0),2000,0)-IF(AND($L47=1,'計算A'!CM$117=1,GL47=0),2000,0))),1000000))</f>
        <v/>
      </c>
      <c r="RP47">
        <f>IF($B47=0,1000000,IF(INDEX('計算A'!$D$60:$EQ$104,$B47,89)*GL47=1,IF(AND($E47=2,MA47=0),1000000,IF($I47&gt;0,IF(4=$J47,IF(OR(AND(89=$I47+1,OR($K47&lt;&gt;'計算A'!$A$3,'計算A'!$A$4=0)),AND(89=$I47-1,OR(17&lt;&gt;'計算A'!$A$3,'計算A'!$A$4=0))),0,IF(17=$K47,200000,ABS(17-$K47)*100)),100000+ABS(4-$J47)*1000+170)+'計算A'!CN$5*50+IF(AND($E47=1,MA47=0),25,0),IF($F47&gt;0,INDEX('計算A'!CN$110:CN$114,$F47+1)+IF(AND($E47=1,MA47=0),1000,0),MIN(TX47,20)*400+(IF('計算A'!CM$106=1,1-GK47,0)+IF('計算A'!CN$106=1,1-GM47,0))*150+174+'計算A'!CN$5*100000+IF(AND($E47=1,MA47=0),50000,0))+IF($H47=1,(IF('計算A'!CM$117=1,INDEX('計算A'!CM$10:CM$54,$B47),0)+IF('計算A'!CN$117=1,INDEX('計算A'!CO$10:CO$54,$B47),0))*4000,0)-IF(AND('計算A'!CM$117=1,XK47&gt;0),2000,0)-IF(AND($L47=1,'計算A'!CN$117=1,GM47=0),2000,0))),1000000))</f>
        <v/>
      </c>
      <c r="RQ47">
        <f>IF($B47=0,1000000,IF(INDEX('計算A'!$D$60:$EQ$104,$B47,90)*GM47=1,IF(AND($E47=2,MB47=0),1000000,IF($I47&gt;0,IF(4=$J47,IF(OR(AND(90=$I47+1,OR($K47&lt;&gt;'計算A'!$A$3,'計算A'!$A$4=0)),AND(90=$I47-1,OR(18&lt;&gt;'計算A'!$A$3,'計算A'!$A$4=0))),0,IF(18=$K47,200000,ABS(18-$K47)*100)),100000+ABS(4-$J47)*1000+180)+'計算A'!CO$5*50+IF(AND($E47=1,MB47=0),25,0),IF($F47&gt;0,INDEX('計算A'!CO$110:CO$114,$F47+1)+IF(AND($E47=1,MB47=0),1000,0),MIN(TX47,20)*400+(IF('計算A'!CN$106=1,1-GL47,0)+IF('計算A'!CO$106=1,1-GN47,0))*150+184+'計算A'!CO$5*100000+IF(AND($E47=1,MB47=0),50000,0))+IF($H47=1,(IF('計算A'!CN$117=1,INDEX('計算A'!CN$10:CN$54,$B47),0)+IF('計算A'!CO$117=1,INDEX('計算A'!CP$10:CP$54,$B47),0))*4000,0)-IF(AND('計算A'!CN$117=1,XL47&gt;0),2000,0)-IF(AND($L47=1,'計算A'!CO$117=1,GN47=0),2000,0))),1000000))</f>
        <v/>
      </c>
      <c r="RR47">
        <f>IF($B47=0,1000000,IF(INDEX('計算A'!$D$60:$EQ$104,$B47,91)*GN47=1,IF(AND($E47=2,MC47=0),1000000,IF($I47&gt;0,IF(4=$J47,IF(OR(AND(91=$I47+1,OR($K47&lt;&gt;'計算A'!$A$3,'計算A'!$A$4=0)),AND(91=$I47-1,OR(19&lt;&gt;'計算A'!$A$3,'計算A'!$A$4=0))),0,IF(19=$K47,200000,ABS(19-$K47)*100)),100000+ABS(4-$J47)*1000+190)+'計算A'!CP$5*50+IF(AND($E47=1,MC47=0),25,0),IF($F47&gt;0,INDEX('計算A'!CP$110:CP$114,$F47+1)+IF(AND($E47=1,MC47=0),1000,0),MIN(TX47,20)*400+(IF('計算A'!CO$106=1,1-GM47,0)+IF('計算A'!CP$106=1,1-GO47,0))*150+194+'計算A'!CP$5*100000+IF(AND($E47=1,MC47=0),50000,0))+IF($H47=1,(IF('計算A'!CO$117=1,INDEX('計算A'!CO$10:CO$54,$B47),0)+IF('計算A'!CP$117=1,INDEX('計算A'!CQ$10:CQ$54,$B47),0))*4000,0)-IF(AND('計算A'!CO$117=1,XM47&gt;0),2000,0)-IF(AND($L47=1,'計算A'!CP$117=1,GO47=0),2000,0))),1000000))</f>
        <v/>
      </c>
      <c r="RS47">
        <f>IF($B47=0,1000000,IF(INDEX('計算A'!$D$60:$EQ$104,$B47,92)*GO47=1,IF(AND($E47=2,MD47=0),1000000,IF($I47&gt;0,IF(4=$J47,IF(OR(AND(92=$I47+1,OR($K47&lt;&gt;'計算A'!$A$3,'計算A'!$A$4=0)),AND(92=$I47-1,OR(20&lt;&gt;'計算A'!$A$3,'計算A'!$A$4=0))),0,IF(20=$K47,200000,ABS(20-$K47)*100)),100000+ABS(4-$J47)*1000+200)+'計算A'!CQ$5*50+IF(AND($E47=1,MD47=0),25,0),IF($F47&gt;0,INDEX('計算A'!CQ$110:CQ$114,$F47+1)+IF(AND($E47=1,MD47=0),1000,0),MIN(TX47,20)*400+(IF('計算A'!CP$106=1,1-GN47,0)+IF('計算A'!CQ$106=1,1-GP47,0))*150+204+'計算A'!CQ$5*100000+IF(AND($E47=1,MD47=0),50000,0))+IF($H47=1,(IF('計算A'!CP$117=1,INDEX('計算A'!CP$10:CP$54,$B47),0)+IF('計算A'!CQ$117=1,INDEX('計算A'!CR$10:CR$54,$B47),0))*4000,0)-IF(AND('計算A'!CP$117=1,XN47&gt;0),2000,0)-IF(AND($L47=1,'計算A'!CQ$117=1,GP47=0),2000,0))),1000000))</f>
        <v/>
      </c>
      <c r="RT47">
        <f>IF($B47=0,1000000,IF(INDEX('計算A'!$D$60:$EQ$104,$B47,93)*GP47=1,IF(AND($E47=2,ME47=0),1000000,IF($I47&gt;0,IF(4=$J47,IF(OR(AND(93=$I47+1,OR($K47&lt;&gt;'計算A'!$A$3,'計算A'!$A$4=0)),AND(93=$I47-1,OR(21&lt;&gt;'計算A'!$A$3,'計算A'!$A$4=0))),0,IF(21=$K47,200000,ABS(21-$K47)*100)),100000+ABS(4-$J47)*1000+210)+'計算A'!CR$5*50+IF(AND($E47=1,ME47=0),25,0),IF($F47&gt;0,INDEX('計算A'!CR$110:CR$114,$F47+1)+IF(AND($E47=1,ME47=0),1000,0),MIN(TX47,20)*400+(IF('計算A'!CQ$106=1,1-GO47,0)+IF('計算A'!CR$106=1,1-GQ47,0))*150+214+'計算A'!CR$5*100000+IF(AND($E47=1,ME47=0),50000,0))+IF($H47=1,(IF('計算A'!CQ$117=1,INDEX('計算A'!CQ$10:CQ$54,$B47),0)+IF('計算A'!CR$117=1,INDEX('計算A'!CS$10:CS$54,$B47),0))*4000,0)-IF(AND('計算A'!CQ$117=1,XO47&gt;0),2000,0)-IF(AND($L47=1,'計算A'!CR$117=1,GQ47=0),2000,0))),1000000))</f>
        <v/>
      </c>
      <c r="RU47">
        <f>IF($B47=0,1000000,IF(INDEX('計算A'!$D$60:$EQ$104,$B47,94)*GQ47=1,IF(AND($E47=2,MF47=0),1000000,IF($I47&gt;0,IF(4=$J47,IF(OR(AND(94=$I47+1,OR($K47&lt;&gt;'計算A'!$A$3,'計算A'!$A$4=0)),AND(94=$I47-1,OR(22&lt;&gt;'計算A'!$A$3,'計算A'!$A$4=0))),0,IF(22=$K47,200000,ABS(22-$K47)*100)),100000+ABS(4-$J47)*1000+220)+'計算A'!CS$5*50+IF(AND($E47=1,MF47=0),25,0),IF($F47&gt;0,INDEX('計算A'!CS$110:CS$114,$F47+1)+IF(AND($E47=1,MF47=0),1000,0),MIN(TX47,20)*400+(IF('計算A'!CR$106=1,1-GP47,0)+IF('計算A'!CS$106=1,1-GR47,0))*150+224+'計算A'!CS$5*100000+IF(AND($E47=1,MF47=0),50000,0))+IF($H47=1,(IF('計算A'!CR$117=1,INDEX('計算A'!CR$10:CR$54,$B47),0)+IF('計算A'!CS$117=1,INDEX('計算A'!CT$10:CT$54,$B47),0))*4000,0)-IF(AND('計算A'!CR$117=1,XP47&gt;0),2000,0)-IF(AND($L47=1,'計算A'!CS$117=1,GR47=0),2000,0))),1000000))</f>
        <v/>
      </c>
      <c r="RV47">
        <f>IF($B47=0,1000000,IF(INDEX('計算A'!$D$60:$EQ$104,$B47,95)*GR47=1,IF(AND($E47=2,MG47=0),1000000,IF($I47&gt;0,IF(4=$J47,IF(OR(AND(95=$I47+1,OR($K47&lt;&gt;'計算A'!$A$3,'計算A'!$A$4=0)),AND(95=$I47-1,OR(23&lt;&gt;'計算A'!$A$3,'計算A'!$A$4=0))),0,IF(23=$K47,200000,ABS(23-$K47)*100)),100000+ABS(4-$J47)*1000+230)+'計算A'!CT$5*50+IF(AND($E47=1,MG47=0),25,0),IF($F47&gt;0,INDEX('計算A'!CT$110:CT$114,$F47+1)+IF(AND($E47=1,MG47=0),1000,0),MIN(TX47,20)*400+(IF('計算A'!CS$106=1,1-GQ47,0)+IF('計算A'!CT$106=1,1-GS47,0))*150+234+'計算A'!CT$5*100000+IF(AND($E47=1,MG47=0),50000,0))+IF($H47=1,(IF('計算A'!CS$117=1,INDEX('計算A'!CS$10:CS$54,$B47),0)+IF('計算A'!CT$117=1,INDEX('計算A'!CU$10:CU$54,$B47),0))*4000,0)-IF(AND('計算A'!CS$117=1,XQ47&gt;0),2000,0)-IF(AND($L47=1,'計算A'!CT$117=1,GS47=0),2000,0))),1000000))</f>
        <v/>
      </c>
      <c r="RW47">
        <f>IF($B47=0,1000000,IF(INDEX('計算A'!$D$60:$EQ$104,$B47,96)*GS47=1,IF(AND($E47=2,MH47=0),1000000,IF($I47&gt;0,IF(4=$J47,IF(OR(AND(96=$I47+1,OR($K47&lt;&gt;'計算A'!$A$3,'計算A'!$A$4=0)),AND(96=$I47-1,OR(24&lt;&gt;'計算A'!$A$3,'計算A'!$A$4=0))),0,IF(24=$K47,200000,ABS(24-$K47)*100)),100000+ABS(4-$J47)*1000+240)+'計算A'!CU$5*50+IF(AND($E47=1,MH47=0),25,0),IF($F47&gt;0,INDEX('計算A'!CU$110:CU$114,$F47+1)+IF(AND($E47=1,MH47=0),1000,0),MIN(TX47,20)*400+(IF('計算A'!CT$106=1,1-GR47,0))*150+244+'計算A'!CU$5*100000+IF(AND($E47=1,MH47=0),50000,0))+IF($H47=1,(IF('計算A'!CT$117=1,INDEX('計算A'!CT$10:CT$54,$B47),0))*4000,0)-IF(AND('計算A'!CT$117=1,XR47&gt;0),2000,0))),1000000))</f>
        <v/>
      </c>
      <c r="RX47">
        <f>IF($B47=0,1000000,IF(INDEX('計算A'!$D$60:$EQ$104,$B47,97)*GT47=1,IF(AND($E47=2,MI47=0),1000000,IF($I47&gt;0,IF(5=$J47,IF(OR(AND(97=$I47+1,OR($K47&lt;&gt;'計算A'!$A$3,'計算A'!$A$4=0)),AND(97=$I47-1,OR(1&lt;&gt;'計算A'!$A$3,'計算A'!$A$4=0))),0,IF(1=$K47,200000,ABS(1-$K47)*100)),100000+ABS(5-$J47)*1000+10)+'計算A'!CV$5*50+IF(AND($E47=1,MI47=0),25,0),IF($F47&gt;0,INDEX('計算A'!CV$110:CV$114,$F47+1)+IF(AND($E47=1,MI47=0),1000,0),MIN(TY47,20)*400+(IF('計算A'!CV$106=1,1-GU47,0))*150+15+'計算A'!CV$5*100000+IF(AND($E47=1,MI47=0),50000,0))+IF($H47=1,(IF('計算A'!CV$117=1,INDEX('計算A'!CW$10:CW$54,$B47),0))*4000,0)-IF(AND($L47=1,'計算A'!CV$117=1,GU47=0),2000,0))),1000000))</f>
        <v/>
      </c>
      <c r="RY47">
        <f>IF($B47=0,1000000,IF(INDEX('計算A'!$D$60:$EQ$104,$B47,98)*GU47=1,IF(AND($E47=2,MJ47=0),1000000,IF($I47&gt;0,IF(5=$J47,IF(OR(AND(98=$I47+1,OR($K47&lt;&gt;'計算A'!$A$3,'計算A'!$A$4=0)),AND(98=$I47-1,OR(2&lt;&gt;'計算A'!$A$3,'計算A'!$A$4=0))),0,IF(2=$K47,200000,ABS(2-$K47)*100)),100000+ABS(5-$J47)*1000+20)+'計算A'!CW$5*50+IF(AND($E47=1,MJ47=0),25,0),IF($F47&gt;0,INDEX('計算A'!CW$110:CW$114,$F47+1)+IF(AND($E47=1,MJ47=0),1000,0),MIN(TY47,20)*400+(IF('計算A'!CV$106=1,1-GT47,0)+IF('計算A'!CW$106=1,1-GV47,0))*150+25+'計算A'!CW$5*100000+IF(AND($E47=1,MJ47=0),50000,0))+IF($H47=1,(IF('計算A'!CV$117=1,INDEX('計算A'!CV$10:CV$54,$B47),0)+IF('計算A'!CW$117=1,INDEX('計算A'!CX$10:CX$54,$B47),0))*4000,0)-IF(AND('計算A'!CV$117=1,XT47&gt;0),2000,0)-IF(AND($L47=1,'計算A'!CW$117=1,GV47=0),2000,0))),1000000))</f>
        <v/>
      </c>
      <c r="RZ47">
        <f>IF($B47=0,1000000,IF(INDEX('計算A'!$D$60:$EQ$104,$B47,99)*GV47=1,IF(AND($E47=2,MK47=0),1000000,IF($I47&gt;0,IF(5=$J47,IF(OR(AND(99=$I47+1,OR($K47&lt;&gt;'計算A'!$A$3,'計算A'!$A$4=0)),AND(99=$I47-1,OR(3&lt;&gt;'計算A'!$A$3,'計算A'!$A$4=0))),0,IF(3=$K47,200000,ABS(3-$K47)*100)),100000+ABS(5-$J47)*1000+30)+'計算A'!CX$5*50+IF(AND($E47=1,MK47=0),25,0),IF($F47&gt;0,INDEX('計算A'!CX$110:CX$114,$F47+1)+IF(AND($E47=1,MK47=0),1000,0),MIN(TY47,20)*400+(IF('計算A'!CW$106=1,1-GU47,0)+IF('計算A'!CX$106=1,1-GW47,0))*150+35+'計算A'!CX$5*100000+IF(AND($E47=1,MK47=0),50000,0))+IF($H47=1,(IF('計算A'!CW$117=1,INDEX('計算A'!CW$10:CW$54,$B47),0)+IF('計算A'!CX$117=1,INDEX('計算A'!CY$10:CY$54,$B47),0))*4000,0)-IF(AND('計算A'!CW$117=1,XU47&gt;0),2000,0)-IF(AND($L47=1,'計算A'!CX$117=1,GW47=0),2000,0))),1000000))</f>
        <v/>
      </c>
      <c r="SA47">
        <f>IF($B47=0,1000000,IF(INDEX('計算A'!$D$60:$EQ$104,$B47,100)*GW47=1,IF(AND($E47=2,ML47=0),1000000,IF($I47&gt;0,IF(5=$J47,IF(OR(AND(100=$I47+1,OR($K47&lt;&gt;'計算A'!$A$3,'計算A'!$A$4=0)),AND(100=$I47-1,OR(4&lt;&gt;'計算A'!$A$3,'計算A'!$A$4=0))),0,IF(4=$K47,200000,ABS(4-$K47)*100)),100000+ABS(5-$J47)*1000+40)+'計算A'!CY$5*50+IF(AND($E47=1,ML47=0),25,0),IF($F47&gt;0,INDEX('計算A'!CY$110:CY$114,$F47+1)+IF(AND($E47=1,ML47=0),1000,0),MIN(TY47,20)*400+(IF('計算A'!CX$106=1,1-GV47,0)+IF('計算A'!CY$106=1,1-GX47,0))*150+45+'計算A'!CY$5*100000+IF(AND($E47=1,ML47=0),50000,0))+IF($H47=1,(IF('計算A'!CX$117=1,INDEX('計算A'!CX$10:CX$54,$B47),0)+IF('計算A'!CY$117=1,INDEX('計算A'!CZ$10:CZ$54,$B47),0))*4000,0)-IF(AND('計算A'!CX$117=1,XV47&gt;0),2000,0)-IF(AND($L47=1,'計算A'!CY$117=1,GX47=0),2000,0))),1000000))</f>
        <v/>
      </c>
      <c r="SB47">
        <f>IF($B47=0,1000000,IF(INDEX('計算A'!$D$60:$EQ$104,$B47,101)*GX47=1,IF(AND($E47=2,MM47=0),1000000,IF($I47&gt;0,IF(5=$J47,IF(OR(AND(101=$I47+1,OR($K47&lt;&gt;'計算A'!$A$3,'計算A'!$A$4=0)),AND(101=$I47-1,OR(5&lt;&gt;'計算A'!$A$3,'計算A'!$A$4=0))),0,IF(5=$K47,200000,ABS(5-$K47)*100)),100000+ABS(5-$J47)*1000+50)+'計算A'!CZ$5*50+IF(AND($E47=1,MM47=0),25,0),IF($F47&gt;0,INDEX('計算A'!CZ$110:CZ$114,$F47+1)+IF(AND($E47=1,MM47=0),1000,0),MIN(TY47,20)*400+(IF('計算A'!CY$106=1,1-GW47,0)+IF('計算A'!CZ$106=1,1-GY47,0))*150+55+'計算A'!CZ$5*100000+IF(AND($E47=1,MM47=0),50000,0))+IF($H47=1,(IF('計算A'!CY$117=1,INDEX('計算A'!CY$10:CY$54,$B47),0)+IF('計算A'!CZ$117=1,INDEX('計算A'!DA$10:DA$54,$B47),0))*4000,0)-IF(AND('計算A'!CY$117=1,XW47&gt;0),2000,0)-IF(AND($L47=1,'計算A'!CZ$117=1,GY47=0),2000,0))),1000000))</f>
        <v/>
      </c>
      <c r="SC47">
        <f>IF($B47=0,1000000,IF(INDEX('計算A'!$D$60:$EQ$104,$B47,102)*GY47=1,IF(AND($E47=2,MN47=0),1000000,IF($I47&gt;0,IF(5=$J47,IF(OR(AND(102=$I47+1,OR($K47&lt;&gt;'計算A'!$A$3,'計算A'!$A$4=0)),AND(102=$I47-1,OR(6&lt;&gt;'計算A'!$A$3,'計算A'!$A$4=0))),0,IF(6=$K47,200000,ABS(6-$K47)*100)),100000+ABS(5-$J47)*1000+60)+'計算A'!DA$5*50+IF(AND($E47=1,MN47=0),25,0),IF($F47&gt;0,INDEX('計算A'!DA$110:DA$114,$F47+1)+IF(AND($E47=1,MN47=0),1000,0),MIN(TY47,20)*400+(IF('計算A'!CZ$106=1,1-GX47,0)+IF('計算A'!DA$106=1,1-GZ47,0))*150+65+'計算A'!DA$5*100000+IF(AND($E47=1,MN47=0),50000,0))+IF($H47=1,(IF('計算A'!CZ$117=1,INDEX('計算A'!CZ$10:CZ$54,$B47),0)+IF('計算A'!DA$117=1,INDEX('計算A'!DB$10:DB$54,$B47),0))*4000,0)-IF(AND('計算A'!CZ$117=1,XX47&gt;0),2000,0)-IF(AND($L47=1,'計算A'!DA$117=1,GZ47=0),2000,0))),1000000))</f>
        <v/>
      </c>
      <c r="SD47">
        <f>IF($B47=0,1000000,IF(INDEX('計算A'!$D$60:$EQ$104,$B47,103)*GZ47=1,IF(AND($E47=2,MO47=0),1000000,IF($I47&gt;0,IF(5=$J47,IF(OR(AND(103=$I47+1,OR($K47&lt;&gt;'計算A'!$A$3,'計算A'!$A$4=0)),AND(103=$I47-1,OR(7&lt;&gt;'計算A'!$A$3,'計算A'!$A$4=0))),0,IF(7=$K47,200000,ABS(7-$K47)*100)),100000+ABS(5-$J47)*1000+70)+'計算A'!DB$5*50+IF(AND($E47=1,MO47=0),25,0),IF($F47&gt;0,INDEX('計算A'!DB$110:DB$114,$F47+1)+IF(AND($E47=1,MO47=0),1000,0),MIN(TY47,20)*400+(IF('計算A'!DA$106=1,1-GY47,0)+IF('計算A'!DB$106=1,1-HA47,0))*150+75+'計算A'!DB$5*100000+IF(AND($E47=1,MO47=0),50000,0))+IF($H47=1,(IF('計算A'!DA$117=1,INDEX('計算A'!DA$10:DA$54,$B47),0)+IF('計算A'!DB$117=1,INDEX('計算A'!DC$10:DC$54,$B47),0))*4000,0)-IF(AND('計算A'!DA$117=1,XY47&gt;0),2000,0)-IF(AND($L47=1,'計算A'!DB$117=1,HA47=0),2000,0))),1000000))</f>
        <v/>
      </c>
      <c r="SE47">
        <f>IF($B47=0,1000000,IF(INDEX('計算A'!$D$60:$EQ$104,$B47,104)*HA47=1,IF(AND($E47=2,MP47=0),1000000,IF($I47&gt;0,IF(5=$J47,IF(OR(AND(104=$I47+1,OR($K47&lt;&gt;'計算A'!$A$3,'計算A'!$A$4=0)),AND(104=$I47-1,OR(8&lt;&gt;'計算A'!$A$3,'計算A'!$A$4=0))),0,IF(8=$K47,200000,ABS(8-$K47)*100)),100000+ABS(5-$J47)*1000+80)+'計算A'!DC$5*50+IF(AND($E47=1,MP47=0),25,0),IF($F47&gt;0,INDEX('計算A'!DC$110:DC$114,$F47+1)+IF(AND($E47=1,MP47=0),1000,0),MIN(TY47,20)*400+(IF('計算A'!DB$106=1,1-GZ47,0)+IF('計算A'!DC$106=1,1-HB47,0))*150+85+'計算A'!DC$5*100000+IF(AND($E47=1,MP47=0),50000,0))+IF($H47=1,(IF('計算A'!DB$117=1,INDEX('計算A'!DB$10:DB$54,$B47),0)+IF('計算A'!DC$117=1,INDEX('計算A'!DD$10:DD$54,$B47),0))*4000,0)-IF(AND('計算A'!DB$117=1,XZ47&gt;0),2000,0)-IF(AND($L47=1,'計算A'!DC$117=1,HB47=0),2000,0))),1000000))</f>
        <v/>
      </c>
      <c r="SF47">
        <f>IF($B47=0,1000000,IF(INDEX('計算A'!$D$60:$EQ$104,$B47,105)*HB47=1,IF(AND($E47=2,MQ47=0),1000000,IF($I47&gt;0,IF(5=$J47,IF(OR(AND(105=$I47+1,OR($K47&lt;&gt;'計算A'!$A$3,'計算A'!$A$4=0)),AND(105=$I47-1,OR(9&lt;&gt;'計算A'!$A$3,'計算A'!$A$4=0))),0,IF(9=$K47,200000,ABS(9-$K47)*100)),100000+ABS(5-$J47)*1000+90)+'計算A'!DD$5*50+IF(AND($E47=1,MQ47=0),25,0),IF($F47&gt;0,INDEX('計算A'!DD$110:DD$114,$F47+1)+IF(AND($E47=1,MQ47=0),1000,0),MIN(TY47,20)*400+(IF('計算A'!DC$106=1,1-HA47,0)+IF('計算A'!DD$106=1,1-HC47,0))*150+95+'計算A'!DD$5*100000+IF(AND($E47=1,MQ47=0),50000,0))+IF($H47=1,(IF('計算A'!DC$117=1,INDEX('計算A'!DC$10:DC$54,$B47),0)+IF('計算A'!DD$117=1,INDEX('計算A'!DE$10:DE$54,$B47),0))*4000,0)-IF(AND('計算A'!DC$117=1,YA47&gt;0),2000,0)-IF(AND($L47=1,'計算A'!DD$117=1,HC47=0),2000,0))),1000000))</f>
        <v/>
      </c>
      <c r="SG47">
        <f>IF($B47=0,1000000,IF(INDEX('計算A'!$D$60:$EQ$104,$B47,106)*HC47=1,IF(AND($E47=2,MR47=0),1000000,IF($I47&gt;0,IF(5=$J47,IF(OR(AND(106=$I47+1,OR($K47&lt;&gt;'計算A'!$A$3,'計算A'!$A$4=0)),AND(106=$I47-1,OR(10&lt;&gt;'計算A'!$A$3,'計算A'!$A$4=0))),0,IF(10=$K47,200000,ABS(10-$K47)*100)),100000+ABS(5-$J47)*1000+100)+'計算A'!DE$5*50+IF(AND($E47=1,MR47=0),25,0),IF($F47&gt;0,INDEX('計算A'!DE$110:DE$114,$F47+1)+IF(AND($E47=1,MR47=0),1000,0),MIN(TY47,20)*400+(IF('計算A'!DD$106=1,1-HB47,0)+IF('計算A'!DE$106=1,1-HD47,0))*150+105+'計算A'!DE$5*100000+IF(AND($E47=1,MR47=0),50000,0))+IF($H47=1,(IF('計算A'!DD$117=1,INDEX('計算A'!DD$10:DD$54,$B47),0)+IF('計算A'!DE$117=1,INDEX('計算A'!DF$10:DF$54,$B47),0))*4000,0)-IF(AND('計算A'!DD$117=1,YB47&gt;0),2000,0)-IF(AND($L47=1,'計算A'!DE$117=1,HD47=0),2000,0))),1000000))</f>
        <v/>
      </c>
      <c r="SH47">
        <f>IF($B47=0,1000000,IF(INDEX('計算A'!$D$60:$EQ$104,$B47,107)*HD47=1,IF(AND($E47=2,MS47=0),1000000,IF($I47&gt;0,IF(5=$J47,IF(OR(AND(107=$I47+1,OR($K47&lt;&gt;'計算A'!$A$3,'計算A'!$A$4=0)),AND(107=$I47-1,OR(11&lt;&gt;'計算A'!$A$3,'計算A'!$A$4=0))),0,IF(11=$K47,200000,ABS(11-$K47)*100)),100000+ABS(5-$J47)*1000+110)+'計算A'!DF$5*50+IF(AND($E47=1,MS47=0),25,0),IF($F47&gt;0,INDEX('計算A'!DF$110:DF$114,$F47+1)+IF(AND($E47=1,MS47=0),1000,0),MIN(TY47,20)*400+(IF('計算A'!DE$106=1,1-HC47,0)+IF('計算A'!DF$106=1,1-HE47,0))*150+115+'計算A'!DF$5*100000+IF(AND($E47=1,MS47=0),50000,0))+IF($H47=1,(IF('計算A'!DE$117=1,INDEX('計算A'!DE$10:DE$54,$B47),0)+IF('計算A'!DF$117=1,INDEX('計算A'!DG$10:DG$54,$B47),0))*4000,0)-IF(AND('計算A'!DE$117=1,YC47&gt;0),2000,0)-IF(AND($L47=1,'計算A'!DF$117=1,HE47=0),2000,0))),1000000))</f>
        <v/>
      </c>
      <c r="SI47">
        <f>IF($B47=0,1000000,IF(INDEX('計算A'!$D$60:$EQ$104,$B47,108)*HE47=1,IF(AND($E47=2,MT47=0),1000000,IF($I47&gt;0,IF(5=$J47,IF(OR(AND(108=$I47+1,OR($K47&lt;&gt;'計算A'!$A$3,'計算A'!$A$4=0)),AND(108=$I47-1,OR(12&lt;&gt;'計算A'!$A$3,'計算A'!$A$4=0))),0,IF(12=$K47,200000,ABS(12-$K47)*100)),100000+ABS(5-$J47)*1000+120)+'計算A'!DG$5*50+IF(AND($E47=1,MT47=0),25,0),IF($F47&gt;0,INDEX('計算A'!DG$110:DG$114,$F47+1)+IF(AND($E47=1,MT47=0),1000,0),MIN(TY47,20)*400+(IF('計算A'!DF$106=1,1-HD47,0)+IF('計算A'!DG$106=1,1-HF47,0))*150+125+'計算A'!DG$5*100000+IF(AND($E47=1,MT47=0),50000,0))+IF($H47=1,(IF('計算A'!DF$117=1,INDEX('計算A'!DF$10:DF$54,$B47),0)+IF('計算A'!DG$117=1,INDEX('計算A'!DH$10:DH$54,$B47),0))*4000,0)-IF(AND('計算A'!DF$117=1,YD47&gt;0),2000,0)-IF(AND($L47=1,'計算A'!DG$117=1,HF47=0),2000,0))),1000000))</f>
        <v/>
      </c>
      <c r="SJ47">
        <f>IF($B47=0,1000000,IF(INDEX('計算A'!$D$60:$EQ$104,$B47,109)*HF47=1,IF(AND($E47=2,MU47=0),1000000,IF($I47&gt;0,IF(5=$J47,IF(OR(AND(109=$I47+1,OR($K47&lt;&gt;'計算A'!$A$3,'計算A'!$A$4=0)),AND(109=$I47-1,OR(13&lt;&gt;'計算A'!$A$3,'計算A'!$A$4=0))),0,IF(13=$K47,200000,ABS(13-$K47)*100)),100000+ABS(5-$J47)*1000+130)+'計算A'!DH$5*50+IF(AND($E47=1,MU47=0),25,0),IF($F47&gt;0,INDEX('計算A'!DH$110:DH$114,$F47+1)+IF(AND($E47=1,MU47=0),1000,0),MIN(TY47,20)*400+(IF('計算A'!DG$106=1,1-HE47,0)+IF('計算A'!DH$106=1,1-HG47,0))*150+135+'計算A'!DH$5*100000+IF(AND($E47=1,MU47=0),50000,0))+IF($H47=1,(IF('計算A'!DG$117=1,INDEX('計算A'!DG$10:DG$54,$B47),0)+IF('計算A'!DH$117=1,INDEX('計算A'!DI$10:DI$54,$B47),0))*4000,0)-IF(AND('計算A'!DG$117=1,YE47&gt;0),2000,0)-IF(AND($L47=1,'計算A'!DH$117=1,HG47=0),2000,0))),1000000))</f>
        <v/>
      </c>
      <c r="SK47">
        <f>IF($B47=0,1000000,IF(INDEX('計算A'!$D$60:$EQ$104,$B47,110)*HG47=1,IF(AND($E47=2,MV47=0),1000000,IF($I47&gt;0,IF(5=$J47,IF(OR(AND(110=$I47+1,OR($K47&lt;&gt;'計算A'!$A$3,'計算A'!$A$4=0)),AND(110=$I47-1,OR(14&lt;&gt;'計算A'!$A$3,'計算A'!$A$4=0))),0,IF(14=$K47,200000,ABS(14-$K47)*100)),100000+ABS(5-$J47)*1000+140)+'計算A'!DI$5*50+IF(AND($E47=1,MV47=0),25,0),IF($F47&gt;0,INDEX('計算A'!DI$110:DI$114,$F47+1)+IF(AND($E47=1,MV47=0),1000,0),MIN(TY47,20)*400+(IF('計算A'!DH$106=1,1-HF47,0)+IF('計算A'!DI$106=1,1-HH47,0))*150+145+'計算A'!DI$5*100000+IF(AND($E47=1,MV47=0),50000,0))+IF($H47=1,(IF('計算A'!DH$117=1,INDEX('計算A'!DH$10:DH$54,$B47),0)+IF('計算A'!DI$117=1,INDEX('計算A'!DJ$10:DJ$54,$B47),0))*4000,0)-IF(AND('計算A'!DH$117=1,YF47&gt;0),2000,0)-IF(AND($L47=1,'計算A'!DI$117=1,HH47=0),2000,0))),1000000))</f>
        <v/>
      </c>
      <c r="SL47">
        <f>IF($B47=0,1000000,IF(INDEX('計算A'!$D$60:$EQ$104,$B47,111)*HH47=1,IF(AND($E47=2,MW47=0),1000000,IF($I47&gt;0,IF(5=$J47,IF(OR(AND(111=$I47+1,OR($K47&lt;&gt;'計算A'!$A$3,'計算A'!$A$4=0)),AND(111=$I47-1,OR(15&lt;&gt;'計算A'!$A$3,'計算A'!$A$4=0))),0,IF(15=$K47,200000,ABS(15-$K47)*100)),100000+ABS(5-$J47)*1000+150)+'計算A'!DJ$5*50+IF(AND($E47=1,MW47=0),25,0),IF($F47&gt;0,INDEX('計算A'!DJ$110:DJ$114,$F47+1)+IF(AND($E47=1,MW47=0),1000,0),MIN(TY47,20)*400+(IF('計算A'!DI$106=1,1-HG47,0)+IF('計算A'!DJ$106=1,1-HI47,0))*150+155+'計算A'!DJ$5*100000+IF(AND($E47=1,MW47=0),50000,0))+IF($H47=1,(IF('計算A'!DI$117=1,INDEX('計算A'!DI$10:DI$54,$B47),0)+IF('計算A'!DJ$117=1,INDEX('計算A'!DK$10:DK$54,$B47),0))*4000,0)-IF(AND('計算A'!DI$117=1,YG47&gt;0),2000,0)-IF(AND($L47=1,'計算A'!DJ$117=1,HI47=0),2000,0))),1000000))</f>
        <v/>
      </c>
      <c r="SM47">
        <f>IF($B47=0,1000000,IF(INDEX('計算A'!$D$60:$EQ$104,$B47,112)*HI47=1,IF(AND($E47=2,MX47=0),1000000,IF($I47&gt;0,IF(5=$J47,IF(OR(AND(112=$I47+1,OR($K47&lt;&gt;'計算A'!$A$3,'計算A'!$A$4=0)),AND(112=$I47-1,OR(16&lt;&gt;'計算A'!$A$3,'計算A'!$A$4=0))),0,IF(16=$K47,200000,ABS(16-$K47)*100)),100000+ABS(5-$J47)*1000+160)+'計算A'!DK$5*50+IF(AND($E47=1,MX47=0),25,0),IF($F47&gt;0,INDEX('計算A'!DK$110:DK$114,$F47+1)+IF(AND($E47=1,MX47=0),1000,0),MIN(TY47,20)*400+(IF('計算A'!DJ$106=1,1-HH47,0)+IF('計算A'!DK$106=1,1-HJ47,0))*150+165+'計算A'!DK$5*100000+IF(AND($E47=1,MX47=0),50000,0))+IF($H47=1,(IF('計算A'!DJ$117=1,INDEX('計算A'!DJ$10:DJ$54,$B47),0)+IF('計算A'!DK$117=1,INDEX('計算A'!DL$10:DL$54,$B47),0))*4000,0)-IF(AND('計算A'!DJ$117=1,YH47&gt;0),2000,0)-IF(AND($L47=1,'計算A'!DK$117=1,HJ47=0),2000,0))),1000000))</f>
        <v/>
      </c>
      <c r="SN47">
        <f>IF($B47=0,1000000,IF(INDEX('計算A'!$D$60:$EQ$104,$B47,113)*HJ47=1,IF(AND($E47=2,MY47=0),1000000,IF($I47&gt;0,IF(5=$J47,IF(OR(AND(113=$I47+1,OR($K47&lt;&gt;'計算A'!$A$3,'計算A'!$A$4=0)),AND(113=$I47-1,OR(17&lt;&gt;'計算A'!$A$3,'計算A'!$A$4=0))),0,IF(17=$K47,200000,ABS(17-$K47)*100)),100000+ABS(5-$J47)*1000+170)+'計算A'!DL$5*50+IF(AND($E47=1,MY47=0),25,0),IF($F47&gt;0,INDEX('計算A'!DL$110:DL$114,$F47+1)+IF(AND($E47=1,MY47=0),1000,0),MIN(TY47,20)*400+(IF('計算A'!DK$106=1,1-HI47,0)+IF('計算A'!DL$106=1,1-HK47,0))*150+175+'計算A'!DL$5*100000+IF(AND($E47=1,MY47=0),50000,0))+IF($H47=1,(IF('計算A'!DK$117=1,INDEX('計算A'!DK$10:DK$54,$B47),0)+IF('計算A'!DL$117=1,INDEX('計算A'!DM$10:DM$54,$B47),0))*4000,0)-IF(AND('計算A'!DK$117=1,YI47&gt;0),2000,0)-IF(AND($L47=1,'計算A'!DL$117=1,HK47=0),2000,0))),1000000))</f>
        <v/>
      </c>
      <c r="SO47">
        <f>IF($B47=0,1000000,IF(INDEX('計算A'!$D$60:$EQ$104,$B47,114)*HK47=1,IF(AND($E47=2,MZ47=0),1000000,IF($I47&gt;0,IF(5=$J47,IF(OR(AND(114=$I47+1,OR($K47&lt;&gt;'計算A'!$A$3,'計算A'!$A$4=0)),AND(114=$I47-1,OR(18&lt;&gt;'計算A'!$A$3,'計算A'!$A$4=0))),0,IF(18=$K47,200000,ABS(18-$K47)*100)),100000+ABS(5-$J47)*1000+180)+'計算A'!DM$5*50+IF(AND($E47=1,MZ47=0),25,0),IF($F47&gt;0,INDEX('計算A'!DM$110:DM$114,$F47+1)+IF(AND($E47=1,MZ47=0),1000,0),MIN(TY47,20)*400+(IF('計算A'!DL$106=1,1-HJ47,0)+IF('計算A'!DM$106=1,1-HL47,0))*150+185+'計算A'!DM$5*100000+IF(AND($E47=1,MZ47=0),50000,0))+IF($H47=1,(IF('計算A'!DL$117=1,INDEX('計算A'!DL$10:DL$54,$B47),0)+IF('計算A'!DM$117=1,INDEX('計算A'!DN$10:DN$54,$B47),0))*4000,0)-IF(AND('計算A'!DL$117=1,YJ47&gt;0),2000,0)-IF(AND($L47=1,'計算A'!DM$117=1,HL47=0),2000,0))),1000000))</f>
        <v/>
      </c>
      <c r="SP47">
        <f>IF($B47=0,1000000,IF(INDEX('計算A'!$D$60:$EQ$104,$B47,115)*HL47=1,IF(AND($E47=2,NA47=0),1000000,IF($I47&gt;0,IF(5=$J47,IF(OR(AND(115=$I47+1,OR($K47&lt;&gt;'計算A'!$A$3,'計算A'!$A$4=0)),AND(115=$I47-1,OR(19&lt;&gt;'計算A'!$A$3,'計算A'!$A$4=0))),0,IF(19=$K47,200000,ABS(19-$K47)*100)),100000+ABS(5-$J47)*1000+190)+'計算A'!DN$5*50+IF(AND($E47=1,NA47=0),25,0),IF($F47&gt;0,INDEX('計算A'!DN$110:DN$114,$F47+1)+IF(AND($E47=1,NA47=0),1000,0),MIN(TY47,20)*400+(IF('計算A'!DM$106=1,1-HK47,0)+IF('計算A'!DN$106=1,1-HM47,0))*150+195+'計算A'!DN$5*100000+IF(AND($E47=1,NA47=0),50000,0))+IF($H47=1,(IF('計算A'!DM$117=1,INDEX('計算A'!DM$10:DM$54,$B47),0)+IF('計算A'!DN$117=1,INDEX('計算A'!DO$10:DO$54,$B47),0))*4000,0)-IF(AND('計算A'!DM$117=1,YK47&gt;0),2000,0)-IF(AND($L47=1,'計算A'!DN$117=1,HM47=0),2000,0))),1000000))</f>
        <v/>
      </c>
      <c r="SQ47">
        <f>IF($B47=0,1000000,IF(INDEX('計算A'!$D$60:$EQ$104,$B47,116)*HM47=1,IF(AND($E47=2,NB47=0),1000000,IF($I47&gt;0,IF(5=$J47,IF(OR(AND(116=$I47+1,OR($K47&lt;&gt;'計算A'!$A$3,'計算A'!$A$4=0)),AND(116=$I47-1,OR(20&lt;&gt;'計算A'!$A$3,'計算A'!$A$4=0))),0,IF(20=$K47,200000,ABS(20-$K47)*100)),100000+ABS(5-$J47)*1000+200)+'計算A'!DO$5*50+IF(AND($E47=1,NB47=0),25,0),IF($F47&gt;0,INDEX('計算A'!DO$110:DO$114,$F47+1)+IF(AND($E47=1,NB47=0),1000,0),MIN(TY47,20)*400+(IF('計算A'!DN$106=1,1-HL47,0)+IF('計算A'!DO$106=1,1-HN47,0))*150+205+'計算A'!DO$5*100000+IF(AND($E47=1,NB47=0),50000,0))+IF($H47=1,(IF('計算A'!DN$117=1,INDEX('計算A'!DN$10:DN$54,$B47),0)+IF('計算A'!DO$117=1,INDEX('計算A'!DP$10:DP$54,$B47),0))*4000,0)-IF(AND('計算A'!DN$117=1,YL47&gt;0),2000,0)-IF(AND($L47=1,'計算A'!DO$117=1,HN47=0),2000,0))),1000000))</f>
        <v/>
      </c>
      <c r="SR47">
        <f>IF($B47=0,1000000,IF(INDEX('計算A'!$D$60:$EQ$104,$B47,117)*HN47=1,IF(AND($E47=2,NC47=0),1000000,IF($I47&gt;0,IF(5=$J47,IF(OR(AND(117=$I47+1,OR($K47&lt;&gt;'計算A'!$A$3,'計算A'!$A$4=0)),AND(117=$I47-1,OR(21&lt;&gt;'計算A'!$A$3,'計算A'!$A$4=0))),0,IF(21=$K47,200000,ABS(21-$K47)*100)),100000+ABS(5-$J47)*1000+210)+'計算A'!DP$5*50+IF(AND($E47=1,NC47=0),25,0),IF($F47&gt;0,INDEX('計算A'!DP$110:DP$114,$F47+1)+IF(AND($E47=1,NC47=0),1000,0),MIN(TY47,20)*400+(IF('計算A'!DO$106=1,1-HM47,0)+IF('計算A'!DP$106=1,1-HO47,0))*150+215+'計算A'!DP$5*100000+IF(AND($E47=1,NC47=0),50000,0))+IF($H47=1,(IF('計算A'!DO$117=1,INDEX('計算A'!DO$10:DO$54,$B47),0)+IF('計算A'!DP$117=1,INDEX('計算A'!DQ$10:DQ$54,$B47),0))*4000,0)-IF(AND('計算A'!DO$117=1,YM47&gt;0),2000,0)-IF(AND($L47=1,'計算A'!DP$117=1,HO47=0),2000,0))),1000000))</f>
        <v/>
      </c>
      <c r="SS47">
        <f>IF($B47=0,1000000,IF(INDEX('計算A'!$D$60:$EQ$104,$B47,118)*HO47=1,IF(AND($E47=2,ND47=0),1000000,IF($I47&gt;0,IF(5=$J47,IF(OR(AND(118=$I47+1,OR($K47&lt;&gt;'計算A'!$A$3,'計算A'!$A$4=0)),AND(118=$I47-1,OR(22&lt;&gt;'計算A'!$A$3,'計算A'!$A$4=0))),0,IF(22=$K47,200000,ABS(22-$K47)*100)),100000+ABS(5-$J47)*1000+220)+'計算A'!DQ$5*50+IF(AND($E47=1,ND47=0),25,0),IF($F47&gt;0,INDEX('計算A'!DQ$110:DQ$114,$F47+1)+IF(AND($E47=1,ND47=0),1000,0),MIN(TY47,20)*400+(IF('計算A'!DP$106=1,1-HN47,0)+IF('計算A'!DQ$106=1,1-HP47,0))*150+225+'計算A'!DQ$5*100000+IF(AND($E47=1,ND47=0),50000,0))+IF($H47=1,(IF('計算A'!DP$117=1,INDEX('計算A'!DP$10:DP$54,$B47),0)+IF('計算A'!DQ$117=1,INDEX('計算A'!DR$10:DR$54,$B47),0))*4000,0)-IF(AND('計算A'!DP$117=1,YN47&gt;0),2000,0)-IF(AND($L47=1,'計算A'!DQ$117=1,HP47=0),2000,0))),1000000))</f>
        <v/>
      </c>
      <c r="ST47">
        <f>IF($B47=0,1000000,IF(INDEX('計算A'!$D$60:$EQ$104,$B47,119)*HP47=1,IF(AND($E47=2,NE47=0),1000000,IF($I47&gt;0,IF(5=$J47,IF(OR(AND(119=$I47+1,OR($K47&lt;&gt;'計算A'!$A$3,'計算A'!$A$4=0)),AND(119=$I47-1,OR(23&lt;&gt;'計算A'!$A$3,'計算A'!$A$4=0))),0,IF(23=$K47,200000,ABS(23-$K47)*100)),100000+ABS(5-$J47)*1000+230)+'計算A'!DR$5*50+IF(AND($E47=1,NE47=0),25,0),IF($F47&gt;0,INDEX('計算A'!DR$110:DR$114,$F47+1)+IF(AND($E47=1,NE47=0),1000,0),MIN(TY47,20)*400+(IF('計算A'!DQ$106=1,1-HO47,0)+IF('計算A'!DR$106=1,1-HQ47,0))*150+235+'計算A'!DR$5*100000+IF(AND($E47=1,NE47=0),50000,0))+IF($H47=1,(IF('計算A'!DQ$117=1,INDEX('計算A'!DQ$10:DQ$54,$B47),0)+IF('計算A'!DR$117=1,INDEX('計算A'!DS$10:DS$54,$B47),0))*4000,0)-IF(AND('計算A'!DQ$117=1,YO47&gt;0),2000,0)-IF(AND($L47=1,'計算A'!DR$117=1,HQ47=0),2000,0))),1000000))</f>
        <v/>
      </c>
      <c r="SU47">
        <f>IF($B47=0,1000000,IF(INDEX('計算A'!$D$60:$EQ$104,$B47,120)*HQ47=1,IF(AND($E47=2,NF47=0),1000000,IF($I47&gt;0,IF(5=$J47,IF(OR(AND(120=$I47+1,OR($K47&lt;&gt;'計算A'!$A$3,'計算A'!$A$4=0)),AND(120=$I47-1,OR(24&lt;&gt;'計算A'!$A$3,'計算A'!$A$4=0))),0,IF(24=$K47,200000,ABS(24-$K47)*100)),100000+ABS(5-$J47)*1000+240)+'計算A'!DS$5*50+IF(AND($E47=1,NF47=0),25,0),IF($F47&gt;0,INDEX('計算A'!DS$110:DS$114,$F47+1)+IF(AND($E47=1,NF47=0),1000,0),MIN(TY47,20)*400+(IF('計算A'!DR$106=1,1-HP47,0))*150+245+'計算A'!DS$5*100000+IF(AND($E47=1,NF47=0),50000,0))+IF($H47=1,(IF('計算A'!DR$117=1,INDEX('計算A'!DR$10:DR$54,$B47),0))*4000,0)-IF(AND('計算A'!DR$117=1,YP47&gt;0),2000,0))),1000000))</f>
        <v/>
      </c>
      <c r="SV47">
        <f>IF($B47=0,1000000,IF(INDEX('計算A'!$D$60:$EQ$104,$B47,121)*HR47=1,IF(AND($E47=2,NG47=0),1000000,IF($I47&gt;0,IF(6=$J47,IF(OR(AND(121=$I47+1,OR($K47&lt;&gt;'計算A'!$A$3,'計算A'!$A$4=0)),AND(121=$I47-1,OR(1&lt;&gt;'計算A'!$A$3,'計算A'!$A$4=0))),0,IF(1=$K47,200000,ABS(1-$K47)*100)),100000+ABS(6-$J47)*1000+10)+'計算A'!DT$5*50+IF(AND($E47=1,NG47=0),25,0),IF($F47&gt;0,INDEX('計算A'!DT$110:DT$114,$F47+1)+IF(AND($E47=1,NG47=0),1000,0),MIN(TZ47,20)*400+(IF('計算A'!DT$106=1,1-HS47,0))*150+16+'計算A'!DT$5*100000+IF(AND($E47=1,NG47=0),50000,0))+IF($H47=1,(IF('計算A'!DT$117=1,INDEX('計算A'!DU$10:DU$54,$B47),0))*4000,0)-IF(AND($L47=1,'計算A'!DT$117=1,HS47=0),2000,0))),1000000))</f>
        <v/>
      </c>
      <c r="SW47">
        <f>IF($B47=0,1000000,IF(INDEX('計算A'!$D$60:$EQ$104,$B47,122)*HS47=1,IF(AND($E47=2,NH47=0),1000000,IF($I47&gt;0,IF(6=$J47,IF(OR(AND(122=$I47+1,OR($K47&lt;&gt;'計算A'!$A$3,'計算A'!$A$4=0)),AND(122=$I47-1,OR(2&lt;&gt;'計算A'!$A$3,'計算A'!$A$4=0))),0,IF(2=$K47,200000,ABS(2-$K47)*100)),100000+ABS(6-$J47)*1000+20)+'計算A'!DU$5*50+IF(AND($E47=1,NH47=0),25,0),IF($F47&gt;0,INDEX('計算A'!DU$110:DU$114,$F47+1)+IF(AND($E47=1,NH47=0),1000,0),MIN(TZ47,20)*400+(IF('計算A'!DT$106=1,1-HR47,0)+IF('計算A'!DU$106=1,1-HT47,0))*150+26+'計算A'!DU$5*100000+IF(AND($E47=1,NH47=0),50000,0))+IF($H47=1,(IF('計算A'!DT$117=1,INDEX('計算A'!DT$10:DT$54,$B47),0)+IF('計算A'!DU$117=1,INDEX('計算A'!DV$10:DV$54,$B47),0))*4000,0)-IF(AND('計算A'!DT$117=1,YR47&gt;0),2000,0)-IF(AND($L47=1,'計算A'!DU$117=1,HT47=0),2000,0))),1000000))</f>
        <v/>
      </c>
      <c r="SX47">
        <f>IF($B47=0,1000000,IF(INDEX('計算A'!$D$60:$EQ$104,$B47,123)*HT47=1,IF(AND($E47=2,NI47=0),1000000,IF($I47&gt;0,IF(6=$J47,IF(OR(AND(123=$I47+1,OR($K47&lt;&gt;'計算A'!$A$3,'計算A'!$A$4=0)),AND(123=$I47-1,OR(3&lt;&gt;'計算A'!$A$3,'計算A'!$A$4=0))),0,IF(3=$K47,200000,ABS(3-$K47)*100)),100000+ABS(6-$J47)*1000+30)+'計算A'!DV$5*50+IF(AND($E47=1,NI47=0),25,0),IF($F47&gt;0,INDEX('計算A'!DV$110:DV$114,$F47+1)+IF(AND($E47=1,NI47=0),1000,0),MIN(TZ47,20)*400+(IF('計算A'!DU$106=1,1-HS47,0)+IF('計算A'!DV$106=1,1-HU47,0))*150+36+'計算A'!DV$5*100000+IF(AND($E47=1,NI47=0),50000,0))+IF($H47=1,(IF('計算A'!DU$117=1,INDEX('計算A'!DU$10:DU$54,$B47),0)+IF('計算A'!DV$117=1,INDEX('計算A'!DW$10:DW$54,$B47),0))*4000,0)-IF(AND('計算A'!DU$117=1,YS47&gt;0),2000,0)-IF(AND($L47=1,'計算A'!DV$117=1,HU47=0),2000,0))),1000000))</f>
        <v/>
      </c>
      <c r="SY47">
        <f>IF($B47=0,1000000,IF(INDEX('計算A'!$D$60:$EQ$104,$B47,124)*HU47=1,IF(AND($E47=2,NJ47=0),1000000,IF($I47&gt;0,IF(6=$J47,IF(OR(AND(124=$I47+1,OR($K47&lt;&gt;'計算A'!$A$3,'計算A'!$A$4=0)),AND(124=$I47-1,OR(4&lt;&gt;'計算A'!$A$3,'計算A'!$A$4=0))),0,IF(4=$K47,200000,ABS(4-$K47)*100)),100000+ABS(6-$J47)*1000+40)+'計算A'!DW$5*50+IF(AND($E47=1,NJ47=0),25,0),IF($F47&gt;0,INDEX('計算A'!DW$110:DW$114,$F47+1)+IF(AND($E47=1,NJ47=0),1000,0),MIN(TZ47,20)*400+(IF('計算A'!DV$106=1,1-HT47,0)+IF('計算A'!DW$106=1,1-HV47,0))*150+46+'計算A'!DW$5*100000+IF(AND($E47=1,NJ47=0),50000,0))+IF($H47=1,(IF('計算A'!DV$117=1,INDEX('計算A'!DV$10:DV$54,$B47),0)+IF('計算A'!DW$117=1,INDEX('計算A'!DX$10:DX$54,$B47),0))*4000,0)-IF(AND('計算A'!DV$117=1,YT47&gt;0),2000,0)-IF(AND($L47=1,'計算A'!DW$117=1,HV47=0),2000,0))),1000000))</f>
        <v/>
      </c>
      <c r="SZ47">
        <f>IF($B47=0,1000000,IF(INDEX('計算A'!$D$60:$EQ$104,$B47,125)*HV47=1,IF(AND($E47=2,NK47=0),1000000,IF($I47&gt;0,IF(6=$J47,IF(OR(AND(125=$I47+1,OR($K47&lt;&gt;'計算A'!$A$3,'計算A'!$A$4=0)),AND(125=$I47-1,OR(5&lt;&gt;'計算A'!$A$3,'計算A'!$A$4=0))),0,IF(5=$K47,200000,ABS(5-$K47)*100)),100000+ABS(6-$J47)*1000+50)+'計算A'!DX$5*50+IF(AND($E47=1,NK47=0),25,0),IF($F47&gt;0,INDEX('計算A'!DX$110:DX$114,$F47+1)+IF(AND($E47=1,NK47=0),1000,0),MIN(TZ47,20)*400+(IF('計算A'!DW$106=1,1-HU47,0)+IF('計算A'!DX$106=1,1-HW47,0))*150+56+'計算A'!DX$5*100000+IF(AND($E47=1,NK47=0),50000,0))+IF($H47=1,(IF('計算A'!DW$117=1,INDEX('計算A'!DW$10:DW$54,$B47),0)+IF('計算A'!DX$117=1,INDEX('計算A'!DY$10:DY$54,$B47),0))*4000,0)-IF(AND('計算A'!DW$117=1,YU47&gt;0),2000,0)-IF(AND($L47=1,'計算A'!DX$117=1,HW47=0),2000,0))),1000000))</f>
        <v/>
      </c>
      <c r="TA47">
        <f>IF($B47=0,1000000,IF(INDEX('計算A'!$D$60:$EQ$104,$B47,126)*HW47=1,IF(AND($E47=2,NL47=0),1000000,IF($I47&gt;0,IF(6=$J47,IF(OR(AND(126=$I47+1,OR($K47&lt;&gt;'計算A'!$A$3,'計算A'!$A$4=0)),AND(126=$I47-1,OR(6&lt;&gt;'計算A'!$A$3,'計算A'!$A$4=0))),0,IF(6=$K47,200000,ABS(6-$K47)*100)),100000+ABS(6-$J47)*1000+60)+'計算A'!DY$5*50+IF(AND($E47=1,NL47=0),25,0),IF($F47&gt;0,INDEX('計算A'!DY$110:DY$114,$F47+1)+IF(AND($E47=1,NL47=0),1000,0),MIN(TZ47,20)*400+(IF('計算A'!DX$106=1,1-HV47,0)+IF('計算A'!DY$106=1,1-HX47,0))*150+66+'計算A'!DY$5*100000+IF(AND($E47=1,NL47=0),50000,0))+IF($H47=1,(IF('計算A'!DX$117=1,INDEX('計算A'!DX$10:DX$54,$B47),0)+IF('計算A'!DY$117=1,INDEX('計算A'!DZ$10:DZ$54,$B47),0))*4000,0)-IF(AND('計算A'!DX$117=1,YV47&gt;0),2000,0)-IF(AND($L47=1,'計算A'!DY$117=1,HX47=0),2000,0))),1000000))</f>
        <v/>
      </c>
      <c r="TB47">
        <f>IF($B47=0,1000000,IF(INDEX('計算A'!$D$60:$EQ$104,$B47,127)*HX47=1,IF(AND($E47=2,NM47=0),1000000,IF($I47&gt;0,IF(6=$J47,IF(OR(AND(127=$I47+1,OR($K47&lt;&gt;'計算A'!$A$3,'計算A'!$A$4=0)),AND(127=$I47-1,OR(7&lt;&gt;'計算A'!$A$3,'計算A'!$A$4=0))),0,IF(7=$K47,200000,ABS(7-$K47)*100)),100000+ABS(6-$J47)*1000+70)+'計算A'!DZ$5*50+IF(AND($E47=1,NM47=0),25,0),IF($F47&gt;0,INDEX('計算A'!DZ$110:DZ$114,$F47+1)+IF(AND($E47=1,NM47=0),1000,0),MIN(TZ47,20)*400+(IF('計算A'!DY$106=1,1-HW47,0)+IF('計算A'!DZ$106=1,1-HY47,0))*150+76+'計算A'!DZ$5*100000+IF(AND($E47=1,NM47=0),50000,0))+IF($H47=1,(IF('計算A'!DY$117=1,INDEX('計算A'!DY$10:DY$54,$B47),0)+IF('計算A'!DZ$117=1,INDEX('計算A'!EA$10:EA$54,$B47),0))*4000,0)-IF(AND('計算A'!DY$117=1,YW47&gt;0),2000,0)-IF(AND($L47=1,'計算A'!DZ$117=1,HY47=0),2000,0))),1000000))</f>
        <v/>
      </c>
      <c r="TC47">
        <f>IF($B47=0,1000000,IF(INDEX('計算A'!$D$60:$EQ$104,$B47,128)*HY47=1,IF(AND($E47=2,NN47=0),1000000,IF($I47&gt;0,IF(6=$J47,IF(OR(AND(128=$I47+1,OR($K47&lt;&gt;'計算A'!$A$3,'計算A'!$A$4=0)),AND(128=$I47-1,OR(8&lt;&gt;'計算A'!$A$3,'計算A'!$A$4=0))),0,IF(8=$K47,200000,ABS(8-$K47)*100)),100000+ABS(6-$J47)*1000+80)+'計算A'!EA$5*50+IF(AND($E47=1,NN47=0),25,0),IF($F47&gt;0,INDEX('計算A'!EA$110:EA$114,$F47+1)+IF(AND($E47=1,NN47=0),1000,0),MIN(TZ47,20)*400+(IF('計算A'!DZ$106=1,1-HX47,0)+IF('計算A'!EA$106=1,1-HZ47,0))*150+86+'計算A'!EA$5*100000+IF(AND($E47=1,NN47=0),50000,0))+IF($H47=1,(IF('計算A'!DZ$117=1,INDEX('計算A'!DZ$10:DZ$54,$B47),0)+IF('計算A'!EA$117=1,INDEX('計算A'!EB$10:EB$54,$B47),0))*4000,0)-IF(AND('計算A'!DZ$117=1,YX47&gt;0),2000,0)-IF(AND($L47=1,'計算A'!EA$117=1,HZ47=0),2000,0))),1000000))</f>
        <v/>
      </c>
      <c r="TD47">
        <f>IF($B47=0,1000000,IF(INDEX('計算A'!$D$60:$EQ$104,$B47,129)*HZ47=1,IF(AND($E47=2,NO47=0),1000000,IF($I47&gt;0,IF(6=$J47,IF(OR(AND(129=$I47+1,OR($K47&lt;&gt;'計算A'!$A$3,'計算A'!$A$4=0)),AND(129=$I47-1,OR(9&lt;&gt;'計算A'!$A$3,'計算A'!$A$4=0))),0,IF(9=$K47,200000,ABS(9-$K47)*100)),100000+ABS(6-$J47)*1000+90)+'計算A'!EB$5*50+IF(AND($E47=1,NO47=0),25,0),IF($F47&gt;0,INDEX('計算A'!EB$110:EB$114,$F47+1)+IF(AND($E47=1,NO47=0),1000,0),MIN(TZ47,20)*400+(IF('計算A'!EA$106=1,1-HY47,0)+IF('計算A'!EB$106=1,1-IA47,0))*150+96+'計算A'!EB$5*100000+IF(AND($E47=1,NO47=0),50000,0))+IF($H47=1,(IF('計算A'!EA$117=1,INDEX('計算A'!EA$10:EA$54,$B47),0)+IF('計算A'!EB$117=1,INDEX('計算A'!EC$10:EC$54,$B47),0))*4000,0)-IF(AND('計算A'!EA$117=1,YY47&gt;0),2000,0)-IF(AND($L47=1,'計算A'!EB$117=1,IA47=0),2000,0))),1000000))</f>
        <v/>
      </c>
      <c r="TE47">
        <f>IF($B47=0,1000000,IF(INDEX('計算A'!$D$60:$EQ$104,$B47,130)*IA47=1,IF(AND($E47=2,NP47=0),1000000,IF($I47&gt;0,IF(6=$J47,IF(OR(AND(130=$I47+1,OR($K47&lt;&gt;'計算A'!$A$3,'計算A'!$A$4=0)),AND(130=$I47-1,OR(10&lt;&gt;'計算A'!$A$3,'計算A'!$A$4=0))),0,IF(10=$K47,200000,ABS(10-$K47)*100)),100000+ABS(6-$J47)*1000+100)+'計算A'!EC$5*50+IF(AND($E47=1,NP47=0),25,0),IF($F47&gt;0,INDEX('計算A'!EC$110:EC$114,$F47+1)+IF(AND($E47=1,NP47=0),1000,0),MIN(TZ47,20)*400+(IF('計算A'!EB$106=1,1-HZ47,0)+IF('計算A'!EC$106=1,1-IB47,0))*150+106+'計算A'!EC$5*100000+IF(AND($E47=1,NP47=0),50000,0))+IF($H47=1,(IF('計算A'!EB$117=1,INDEX('計算A'!EB$10:EB$54,$B47),0)+IF('計算A'!EC$117=1,INDEX('計算A'!ED$10:ED$54,$B47),0))*4000,0)-IF(AND('計算A'!EB$117=1,YZ47&gt;0),2000,0)-IF(AND($L47=1,'計算A'!EC$117=1,IB47=0),2000,0))),1000000))</f>
        <v/>
      </c>
      <c r="TF47">
        <f>IF($B47=0,1000000,IF(INDEX('計算A'!$D$60:$EQ$104,$B47,131)*IB47=1,IF(AND($E47=2,NQ47=0),1000000,IF($I47&gt;0,IF(6=$J47,IF(OR(AND(131=$I47+1,OR($K47&lt;&gt;'計算A'!$A$3,'計算A'!$A$4=0)),AND(131=$I47-1,OR(11&lt;&gt;'計算A'!$A$3,'計算A'!$A$4=0))),0,IF(11=$K47,200000,ABS(11-$K47)*100)),100000+ABS(6-$J47)*1000+110)+'計算A'!ED$5*50+IF(AND($E47=1,NQ47=0),25,0),IF($F47&gt;0,INDEX('計算A'!ED$110:ED$114,$F47+1)+IF(AND($E47=1,NQ47=0),1000,0),MIN(TZ47,20)*400+(IF('計算A'!EC$106=1,1-IA47,0)+IF('計算A'!ED$106=1,1-IC47,0))*150+116+'計算A'!ED$5*100000+IF(AND($E47=1,NQ47=0),50000,0))+IF($H47=1,(IF('計算A'!EC$117=1,INDEX('計算A'!EC$10:EC$54,$B47),0)+IF('計算A'!ED$117=1,INDEX('計算A'!EE$10:EE$54,$B47),0))*4000,0)-IF(AND('計算A'!EC$117=1,ZA47&gt;0),2000,0)-IF(AND($L47=1,'計算A'!ED$117=1,IC47=0),2000,0))),1000000))</f>
        <v/>
      </c>
      <c r="TG47">
        <f>IF($B47=0,1000000,IF(INDEX('計算A'!$D$60:$EQ$104,$B47,132)*IC47=1,IF(AND($E47=2,NR47=0),1000000,IF($I47&gt;0,IF(6=$J47,IF(OR(AND(132=$I47+1,OR($K47&lt;&gt;'計算A'!$A$3,'計算A'!$A$4=0)),AND(132=$I47-1,OR(12&lt;&gt;'計算A'!$A$3,'計算A'!$A$4=0))),0,IF(12=$K47,200000,ABS(12-$K47)*100)),100000+ABS(6-$J47)*1000+120)+'計算A'!EE$5*50+IF(AND($E47=1,NR47=0),25,0),IF($F47&gt;0,INDEX('計算A'!EE$110:EE$114,$F47+1)+IF(AND($E47=1,NR47=0),1000,0),MIN(TZ47,20)*400+(IF('計算A'!ED$106=1,1-IB47,0)+IF('計算A'!EE$106=1,1-ID47,0))*150+126+'計算A'!EE$5*100000+IF(AND($E47=1,NR47=0),50000,0))+IF($H47=1,(IF('計算A'!ED$117=1,INDEX('計算A'!ED$10:ED$54,$B47),0)+IF('計算A'!EE$117=1,INDEX('計算A'!EF$10:EF$54,$B47),0))*4000,0)-IF(AND('計算A'!ED$117=1,ZB47&gt;0),2000,0)-IF(AND($L47=1,'計算A'!EE$117=1,ID47=0),2000,0))),1000000))</f>
        <v/>
      </c>
      <c r="TH47">
        <f>IF($B47=0,1000000,IF(INDEX('計算A'!$D$60:$EQ$104,$B47,133)*ID47=1,IF(AND($E47=2,NS47=0),1000000,IF($I47&gt;0,IF(6=$J47,IF(OR(AND(133=$I47+1,OR($K47&lt;&gt;'計算A'!$A$3,'計算A'!$A$4=0)),AND(133=$I47-1,OR(13&lt;&gt;'計算A'!$A$3,'計算A'!$A$4=0))),0,IF(13=$K47,200000,ABS(13-$K47)*100)),100000+ABS(6-$J47)*1000+130)+'計算A'!EF$5*50+IF(AND($E47=1,NS47=0),25,0),IF($F47&gt;0,INDEX('計算A'!EF$110:EF$114,$F47+1)+IF(AND($E47=1,NS47=0),1000,0),MIN(TZ47,20)*400+(IF('計算A'!EE$106=1,1-IC47,0)+IF('計算A'!EF$106=1,1-IE47,0))*150+136+'計算A'!EF$5*100000+IF(AND($E47=1,NS47=0),50000,0))+IF($H47=1,(IF('計算A'!EE$117=1,INDEX('計算A'!EE$10:EE$54,$B47),0)+IF('計算A'!EF$117=1,INDEX('計算A'!EG$10:EG$54,$B47),0))*4000,0)-IF(AND('計算A'!EE$117=1,ZC47&gt;0),2000,0)-IF(AND($L47=1,'計算A'!EF$117=1,IE47=0),2000,0))),1000000))</f>
        <v/>
      </c>
      <c r="TI47">
        <f>IF($B47=0,1000000,IF(INDEX('計算A'!$D$60:$EQ$104,$B47,134)*IE47=1,IF(AND($E47=2,NT47=0),1000000,IF($I47&gt;0,IF(6=$J47,IF(OR(AND(134=$I47+1,OR($K47&lt;&gt;'計算A'!$A$3,'計算A'!$A$4=0)),AND(134=$I47-1,OR(14&lt;&gt;'計算A'!$A$3,'計算A'!$A$4=0))),0,IF(14=$K47,200000,ABS(14-$K47)*100)),100000+ABS(6-$J47)*1000+140)+'計算A'!EG$5*50+IF(AND($E47=1,NT47=0),25,0),IF($F47&gt;0,INDEX('計算A'!EG$110:EG$114,$F47+1)+IF(AND($E47=1,NT47=0),1000,0),MIN(TZ47,20)*400+(IF('計算A'!EF$106=1,1-ID47,0)+IF('計算A'!EG$106=1,1-IF47,0))*150+146+'計算A'!EG$5*100000+IF(AND($E47=1,NT47=0),50000,0))+IF($H47=1,(IF('計算A'!EF$117=1,INDEX('計算A'!EF$10:EF$54,$B47),0)+IF('計算A'!EG$117=1,INDEX('計算A'!EH$10:EH$54,$B47),0))*4000,0)-IF(AND('計算A'!EF$117=1,ZD47&gt;0),2000,0)-IF(AND($L47=1,'計算A'!EG$117=1,IF47=0),2000,0))),1000000))</f>
        <v/>
      </c>
      <c r="TJ47">
        <f>IF($B47=0,1000000,IF(INDEX('計算A'!$D$60:$EQ$104,$B47,135)*IF47=1,IF(AND($E47=2,NU47=0),1000000,IF($I47&gt;0,IF(6=$J47,IF(OR(AND(135=$I47+1,OR($K47&lt;&gt;'計算A'!$A$3,'計算A'!$A$4=0)),AND(135=$I47-1,OR(15&lt;&gt;'計算A'!$A$3,'計算A'!$A$4=0))),0,IF(15=$K47,200000,ABS(15-$K47)*100)),100000+ABS(6-$J47)*1000+150)+'計算A'!EH$5*50+IF(AND($E47=1,NU47=0),25,0),IF($F47&gt;0,INDEX('計算A'!EH$110:EH$114,$F47+1)+IF(AND($E47=1,NU47=0),1000,0),MIN(TZ47,20)*400+(IF('計算A'!EG$106=1,1-IE47,0)+IF('計算A'!EH$106=1,1-IG47,0))*150+156+'計算A'!EH$5*100000+IF(AND($E47=1,NU47=0),50000,0))+IF($H47=1,(IF('計算A'!EG$117=1,INDEX('計算A'!EG$10:EG$54,$B47),0)+IF('計算A'!EH$117=1,INDEX('計算A'!EI$10:EI$54,$B47),0))*4000,0)-IF(AND('計算A'!EG$117=1,ZE47&gt;0),2000,0)-IF(AND($L47=1,'計算A'!EH$117=1,IG47=0),2000,0))),1000000))</f>
        <v/>
      </c>
      <c r="TK47">
        <f>IF($B47=0,1000000,IF(INDEX('計算A'!$D$60:$EQ$104,$B47,136)*IG47=1,IF(AND($E47=2,NV47=0),1000000,IF($I47&gt;0,IF(6=$J47,IF(OR(AND(136=$I47+1,OR($K47&lt;&gt;'計算A'!$A$3,'計算A'!$A$4=0)),AND(136=$I47-1,OR(16&lt;&gt;'計算A'!$A$3,'計算A'!$A$4=0))),0,IF(16=$K47,200000,ABS(16-$K47)*100)),100000+ABS(6-$J47)*1000+160)+'計算A'!EI$5*50+IF(AND($E47=1,NV47=0),25,0),IF($F47&gt;0,INDEX('計算A'!EI$110:EI$114,$F47+1)+IF(AND($E47=1,NV47=0),1000,0),MIN(TZ47,20)*400+(IF('計算A'!EH$106=1,1-IF47,0)+IF('計算A'!EI$106=1,1-IH47,0))*150+166+'計算A'!EI$5*100000+IF(AND($E47=1,NV47=0),50000,0))+IF($H47=1,(IF('計算A'!EH$117=1,INDEX('計算A'!EH$10:EH$54,$B47),0)+IF('計算A'!EI$117=1,INDEX('計算A'!EJ$10:EJ$54,$B47),0))*4000,0)-IF(AND('計算A'!EH$117=1,ZF47&gt;0),2000,0)-IF(AND($L47=1,'計算A'!EI$117=1,IH47=0),2000,0))),1000000))</f>
        <v/>
      </c>
      <c r="TL47">
        <f>IF($B47=0,1000000,IF(INDEX('計算A'!$D$60:$EQ$104,$B47,137)*IH47=1,IF(AND($E47=2,NW47=0),1000000,IF($I47&gt;0,IF(6=$J47,IF(OR(AND(137=$I47+1,OR($K47&lt;&gt;'計算A'!$A$3,'計算A'!$A$4=0)),AND(137=$I47-1,OR(17&lt;&gt;'計算A'!$A$3,'計算A'!$A$4=0))),0,IF(17=$K47,200000,ABS(17-$K47)*100)),100000+ABS(6-$J47)*1000+170)+'計算A'!EJ$5*50+IF(AND($E47=1,NW47=0),25,0),IF($F47&gt;0,INDEX('計算A'!EJ$110:EJ$114,$F47+1)+IF(AND($E47=1,NW47=0),1000,0),MIN(TZ47,20)*400+(IF('計算A'!EI$106=1,1-IG47,0)+IF('計算A'!EJ$106=1,1-II47,0))*150+176+'計算A'!EJ$5*100000+IF(AND($E47=1,NW47=0),50000,0))+IF($H47=1,(IF('計算A'!EI$117=1,INDEX('計算A'!EI$10:EI$54,$B47),0)+IF('計算A'!EJ$117=1,INDEX('計算A'!EK$10:EK$54,$B47),0))*4000,0)-IF(AND('計算A'!EI$117=1,ZG47&gt;0),2000,0)-IF(AND($L47=1,'計算A'!EJ$117=1,II47=0),2000,0))),1000000))</f>
        <v/>
      </c>
      <c r="TM47">
        <f>IF($B47=0,1000000,IF(INDEX('計算A'!$D$60:$EQ$104,$B47,138)*II47=1,IF(AND($E47=2,NX47=0),1000000,IF($I47&gt;0,IF(6=$J47,IF(OR(AND(138=$I47+1,OR($K47&lt;&gt;'計算A'!$A$3,'計算A'!$A$4=0)),AND(138=$I47-1,OR(18&lt;&gt;'計算A'!$A$3,'計算A'!$A$4=0))),0,IF(18=$K47,200000,ABS(18-$K47)*100)),100000+ABS(6-$J47)*1000+180)+'計算A'!EK$5*50+IF(AND($E47=1,NX47=0),25,0),IF($F47&gt;0,INDEX('計算A'!EK$110:EK$114,$F47+1)+IF(AND($E47=1,NX47=0),1000,0),MIN(TZ47,20)*400+(IF('計算A'!EJ$106=1,1-IH47,0)+IF('計算A'!EK$106=1,1-IJ47,0))*150+186+'計算A'!EK$5*100000+IF(AND($E47=1,NX47=0),50000,0))+IF($H47=1,(IF('計算A'!EJ$117=1,INDEX('計算A'!EJ$10:EJ$54,$B47),0)+IF('計算A'!EK$117=1,INDEX('計算A'!EL$10:EL$54,$B47),0))*4000,0)-IF(AND('計算A'!EJ$117=1,ZH47&gt;0),2000,0)-IF(AND($L47=1,'計算A'!EK$117=1,IJ47=0),2000,0))),1000000))</f>
        <v/>
      </c>
      <c r="TN47">
        <f>IF($B47=0,1000000,IF(INDEX('計算A'!$D$60:$EQ$104,$B47,139)*IJ47=1,IF(AND($E47=2,NY47=0),1000000,IF($I47&gt;0,IF(6=$J47,IF(OR(AND(139=$I47+1,OR($K47&lt;&gt;'計算A'!$A$3,'計算A'!$A$4=0)),AND(139=$I47-1,OR(19&lt;&gt;'計算A'!$A$3,'計算A'!$A$4=0))),0,IF(19=$K47,200000,ABS(19-$K47)*100)),100000+ABS(6-$J47)*1000+190)+'計算A'!EL$5*50+IF(AND($E47=1,NY47=0),25,0),IF($F47&gt;0,INDEX('計算A'!EL$110:EL$114,$F47+1)+IF(AND($E47=1,NY47=0),1000,0),MIN(TZ47,20)*400+(IF('計算A'!EK$106=1,1-II47,0)+IF('計算A'!EL$106=1,1-IK47,0))*150+196+'計算A'!EL$5*100000+IF(AND($E47=1,NY47=0),50000,0))+IF($H47=1,(IF('計算A'!EK$117=1,INDEX('計算A'!EK$10:EK$54,$B47),0)+IF('計算A'!EL$117=1,INDEX('計算A'!EM$10:EM$54,$B47),0))*4000,0)-IF(AND('計算A'!EK$117=1,ZI47&gt;0),2000,0)-IF(AND($L47=1,'計算A'!EL$117=1,IK47=0),2000,0))),1000000))</f>
        <v/>
      </c>
      <c r="TO47">
        <f>IF($B47=0,1000000,IF(INDEX('計算A'!$D$60:$EQ$104,$B47,140)*IK47=1,IF(AND($E47=2,NZ47=0),1000000,IF($I47&gt;0,IF(6=$J47,IF(OR(AND(140=$I47+1,OR($K47&lt;&gt;'計算A'!$A$3,'計算A'!$A$4=0)),AND(140=$I47-1,OR(20&lt;&gt;'計算A'!$A$3,'計算A'!$A$4=0))),0,IF(20=$K47,200000,ABS(20-$K47)*100)),100000+ABS(6-$J47)*1000+200)+'計算A'!EM$5*50+IF(AND($E47=1,NZ47=0),25,0),IF($F47&gt;0,INDEX('計算A'!EM$110:EM$114,$F47+1)+IF(AND($E47=1,NZ47=0),1000,0),MIN(TZ47,20)*400+(IF('計算A'!EL$106=1,1-IJ47,0)+IF('計算A'!EM$106=1,1-IL47,0))*150+206+'計算A'!EM$5*100000+IF(AND($E47=1,NZ47=0),50000,0))+IF($H47=1,(IF('計算A'!EL$117=1,INDEX('計算A'!EL$10:EL$54,$B47),0)+IF('計算A'!EM$117=1,INDEX('計算A'!EN$10:EN$54,$B47),0))*4000,0)-IF(AND('計算A'!EL$117=1,ZJ47&gt;0),2000,0)-IF(AND($L47=1,'計算A'!EM$117=1,IL47=0),2000,0))),1000000))</f>
        <v/>
      </c>
      <c r="TP47">
        <f>IF($B47=0,1000000,IF(INDEX('計算A'!$D$60:$EQ$104,$B47,141)*IL47=1,IF(AND($E47=2,OA47=0),1000000,IF($I47&gt;0,IF(6=$J47,IF(OR(AND(141=$I47+1,OR($K47&lt;&gt;'計算A'!$A$3,'計算A'!$A$4=0)),AND(141=$I47-1,OR(21&lt;&gt;'計算A'!$A$3,'計算A'!$A$4=0))),0,IF(21=$K47,200000,ABS(21-$K47)*100)),100000+ABS(6-$J47)*1000+210)+'計算A'!EN$5*50+IF(AND($E47=1,OA47=0),25,0),IF($F47&gt;0,INDEX('計算A'!EN$110:EN$114,$F47+1)+IF(AND($E47=1,OA47=0),1000,0),MIN(TZ47,20)*400+(IF('計算A'!EM$106=1,1-IK47,0)+IF('計算A'!EN$106=1,1-IM47,0))*150+216+'計算A'!EN$5*100000+IF(AND($E47=1,OA47=0),50000,0))+IF($H47=1,(IF('計算A'!EM$117=1,INDEX('計算A'!EM$10:EM$54,$B47),0)+IF('計算A'!EN$117=1,INDEX('計算A'!EO$10:EO$54,$B47),0))*4000,0)-IF(AND('計算A'!EM$117=1,ZK47&gt;0),2000,0)-IF(AND($L47=1,'計算A'!EN$117=1,IM47=0),2000,0))),1000000))</f>
        <v/>
      </c>
      <c r="TQ47">
        <f>IF($B47=0,1000000,IF(INDEX('計算A'!$D$60:$EQ$104,$B47,142)*IM47=1,IF(AND($E47=2,OB47=0),1000000,IF($I47&gt;0,IF(6=$J47,IF(OR(AND(142=$I47+1,OR($K47&lt;&gt;'計算A'!$A$3,'計算A'!$A$4=0)),AND(142=$I47-1,OR(22&lt;&gt;'計算A'!$A$3,'計算A'!$A$4=0))),0,IF(22=$K47,200000,ABS(22-$K47)*100)),100000+ABS(6-$J47)*1000+220)+'計算A'!EO$5*50+IF(AND($E47=1,OB47=0),25,0),IF($F47&gt;0,INDEX('計算A'!EO$110:EO$114,$F47+1)+IF(AND($E47=1,OB47=0),1000,0),MIN(TZ47,20)*400+(IF('計算A'!EN$106=1,1-IL47,0)+IF('計算A'!EO$106=1,1-IN47,0))*150+226+'計算A'!EO$5*100000+IF(AND($E47=1,OB47=0),50000,0))+IF($H47=1,(IF('計算A'!EN$117=1,INDEX('計算A'!EN$10:EN$54,$B47),0)+IF('計算A'!EO$117=1,INDEX('計算A'!EP$10:EP$54,$B47),0))*4000,0)-IF(AND('計算A'!EN$117=1,ZL47&gt;0),2000,0)-IF(AND($L47=1,'計算A'!EO$117=1,IN47=0),2000,0))),1000000))</f>
        <v/>
      </c>
      <c r="TR47">
        <f>IF($B47=0,1000000,IF(INDEX('計算A'!$D$60:$EQ$104,$B47,143)*IN47=1,IF(AND($E47=2,OC47=0),1000000,IF($I47&gt;0,IF(6=$J47,IF(OR(AND(143=$I47+1,OR($K47&lt;&gt;'計算A'!$A$3,'計算A'!$A$4=0)),AND(143=$I47-1,OR(23&lt;&gt;'計算A'!$A$3,'計算A'!$A$4=0))),0,IF(23=$K47,200000,ABS(23-$K47)*100)),100000+ABS(6-$J47)*1000+230)+'計算A'!EP$5*50+IF(AND($E47=1,OC47=0),25,0),IF($F47&gt;0,INDEX('計算A'!EP$110:EP$114,$F47+1)+IF(AND($E47=1,OC47=0),1000,0),MIN(TZ47,20)*400+(IF('計算A'!EO$106=1,1-IM47,0)+IF('計算A'!EP$106=1,1-IO47,0))*150+236+'計算A'!EP$5*100000+IF(AND($E47=1,OC47=0),50000,0))+IF($H47=1,(IF('計算A'!EO$117=1,INDEX('計算A'!EO$10:EO$54,$B47),0)+IF('計算A'!EP$117=1,INDEX('計算A'!EQ$10:EQ$54,$B47),0))*4000,0)-IF(AND('計算A'!EO$117=1,ZM47&gt;0),2000,0)-IF(AND($L47=1,'計算A'!EP$117=1,IO47=0),2000,0))),1000000))</f>
        <v/>
      </c>
      <c r="TS47">
        <f>IF($B47=0,1000000,IF(INDEX('計算A'!$D$60:$EQ$104,$B47,144)*IO47=1,IF(AND($E47=2,OD47=0),1000000,IF($I47&gt;0,IF(6=$J47,IF(OR(AND(144=$I47+1,OR($K47&lt;&gt;'計算A'!$A$3,'計算A'!$A$4=0)),AND(144=$I47-1,OR(24&lt;&gt;'計算A'!$A$3,'計算A'!$A$4=0))),0,IF(24=$K47,200000,ABS(24-$K47)*100)),100000+ABS(6-$J47)*1000+240)+'計算A'!EQ$5*50+IF(AND($E47=1,OD47=0),25,0),IF($F47&gt;0,INDEX('計算A'!EQ$110:EQ$114,$F47+1)+IF(AND($E47=1,OD47=0),1000,0),MIN(TZ47,20)*400+(IF('計算A'!EP$106=1,1-IN47,0))*150+246+'計算A'!EQ$5*100000+IF(AND($E47=1,OD47=0),50000,0))+IF($H47=1,(IF('計算A'!EP$117=1,INDEX('計算A'!EP$10:EP$54,$B47),0))*4000,0)-IF(AND('計算A'!EP$117=1,ZN47&gt;0),2000,0))),1000000))</f>
        <v/>
      </c>
      <c r="TU47">
        <f>TU46+IF($C46&gt;0,IF(INDEX('計算A'!$D$2:$EQ$2,$C46)=1,1,0),0)</f>
        <v/>
      </c>
      <c r="TV47">
        <f>TV46+IF($C46&gt;0,IF(INDEX('計算A'!$D$2:$EQ$2,$C46)=2,1,0),0)</f>
        <v/>
      </c>
      <c r="TW47">
        <f>TW46+IF($C46&gt;0,IF(INDEX('計算A'!$D$2:$EQ$2,$C46)=3,1,0),0)</f>
        <v/>
      </c>
      <c r="TX47">
        <f>TX46+IF($C46&gt;0,IF(INDEX('計算A'!$D$2:$EQ$2,$C46)=4,1,0),0)</f>
        <v/>
      </c>
      <c r="TY47">
        <f>TY46+IF($C46&gt;0,IF(INDEX('計算A'!$D$2:$EQ$2,$C46)=5,1,0),0)</f>
        <v/>
      </c>
      <c r="TZ47">
        <f>TZ46+IF($C46&gt;0,IF(INDEX('計算A'!$D$2:$EQ$2,$C46)=6,1,0),0)</f>
        <v/>
      </c>
      <c r="UB47">
        <f>UB46+IF(AND($C46=1,$L46=1),1,0)</f>
        <v/>
      </c>
      <c r="UC47">
        <f>UC46+IF(AND($C46=2,$L46=1),1,0)</f>
        <v/>
      </c>
      <c r="UD47">
        <f>UD46+IF(AND($C46=3,$L46=1),1,0)</f>
        <v/>
      </c>
      <c r="UE47">
        <f>UE46+IF(AND($C46=4,$L46=1),1,0)</f>
        <v/>
      </c>
      <c r="UF47">
        <f>UF46+IF(AND($C46=5,$L46=1),1,0)</f>
        <v/>
      </c>
      <c r="UG47">
        <f>UG46+IF(AND($C46=6,$L46=1),1,0)</f>
        <v/>
      </c>
      <c r="UH47">
        <f>UH46+IF(AND($C46=7,$L46=1),1,0)</f>
        <v/>
      </c>
      <c r="UI47">
        <f>UI46+IF(AND($C46=8,$L46=1),1,0)</f>
        <v/>
      </c>
      <c r="UJ47">
        <f>UJ46+IF(AND($C46=9,$L46=1),1,0)</f>
        <v/>
      </c>
      <c r="UK47">
        <f>UK46+IF(AND($C46=10,$L46=1),1,0)</f>
        <v/>
      </c>
      <c r="UL47">
        <f>UL46+IF(AND($C46=11,$L46=1),1,0)</f>
        <v/>
      </c>
      <c r="UM47">
        <f>UM46+IF(AND($C46=12,$L46=1),1,0)</f>
        <v/>
      </c>
      <c r="UN47">
        <f>UN46+IF(AND($C46=13,$L46=1),1,0)</f>
        <v/>
      </c>
      <c r="UO47">
        <f>UO46+IF(AND($C46=14,$L46=1),1,0)</f>
        <v/>
      </c>
      <c r="UP47">
        <f>UP46+IF(AND($C46=15,$L46=1),1,0)</f>
        <v/>
      </c>
      <c r="UQ47">
        <f>UQ46+IF(AND($C46=16,$L46=1),1,0)</f>
        <v/>
      </c>
      <c r="UR47">
        <f>UR46+IF(AND($C46=17,$L46=1),1,0)</f>
        <v/>
      </c>
      <c r="US47">
        <f>US46+IF(AND($C46=18,$L46=1),1,0)</f>
        <v/>
      </c>
      <c r="UT47">
        <f>UT46+IF(AND($C46=19,$L46=1),1,0)</f>
        <v/>
      </c>
      <c r="UU47">
        <f>UU46+IF(AND($C46=20,$L46=1),1,0)</f>
        <v/>
      </c>
      <c r="UV47">
        <f>UV46+IF(AND($C46=21,$L46=1),1,0)</f>
        <v/>
      </c>
      <c r="UW47">
        <f>UW46+IF(AND($C46=22,$L46=1),1,0)</f>
        <v/>
      </c>
      <c r="UX47">
        <f>UX46+IF(AND($C46=23,$L46=1),1,0)</f>
        <v/>
      </c>
      <c r="UY47">
        <f>UY46+IF(AND($C46=24,$L46=1),1,0)</f>
        <v/>
      </c>
      <c r="UZ47">
        <f>UZ46+IF(AND($C46=25,$L46=1),1,0)</f>
        <v/>
      </c>
      <c r="VA47">
        <f>VA46+IF(AND($C46=26,$L46=1),1,0)</f>
        <v/>
      </c>
      <c r="VB47">
        <f>VB46+IF(AND($C46=27,$L46=1),1,0)</f>
        <v/>
      </c>
      <c r="VC47">
        <f>VC46+IF(AND($C46=28,$L46=1),1,0)</f>
        <v/>
      </c>
      <c r="VD47">
        <f>VD46+IF(AND($C46=29,$L46=1),1,0)</f>
        <v/>
      </c>
      <c r="VE47">
        <f>VE46+IF(AND($C46=30,$L46=1),1,0)</f>
        <v/>
      </c>
      <c r="VF47">
        <f>VF46+IF(AND($C46=31,$L46=1),1,0)</f>
        <v/>
      </c>
      <c r="VG47">
        <f>VG46+IF(AND($C46=32,$L46=1),1,0)</f>
        <v/>
      </c>
      <c r="VH47">
        <f>VH46+IF(AND($C46=33,$L46=1),1,0)</f>
        <v/>
      </c>
      <c r="VI47">
        <f>VI46+IF(AND($C46=34,$L46=1),1,0)</f>
        <v/>
      </c>
      <c r="VJ47">
        <f>VJ46+IF(AND($C46=35,$L46=1),1,0)</f>
        <v/>
      </c>
      <c r="VK47">
        <f>VK46+IF(AND($C46=36,$L46=1),1,0)</f>
        <v/>
      </c>
      <c r="VL47">
        <f>VL46+IF(AND($C46=37,$L46=1),1,0)</f>
        <v/>
      </c>
      <c r="VM47">
        <f>VM46+IF(AND($C46=38,$L46=1),1,0)</f>
        <v/>
      </c>
      <c r="VN47">
        <f>VN46+IF(AND($C46=39,$L46=1),1,0)</f>
        <v/>
      </c>
      <c r="VO47">
        <f>VO46+IF(AND($C46=40,$L46=1),1,0)</f>
        <v/>
      </c>
      <c r="VP47">
        <f>VP46+IF(AND($C46=41,$L46=1),1,0)</f>
        <v/>
      </c>
      <c r="VQ47">
        <f>VQ46+IF(AND($C46=42,$L46=1),1,0)</f>
        <v/>
      </c>
      <c r="VR47">
        <f>VR46+IF(AND($C46=43,$L46=1),1,0)</f>
        <v/>
      </c>
      <c r="VS47">
        <f>VS46+IF(AND($C46=44,$L46=1),1,0)</f>
        <v/>
      </c>
      <c r="VT47">
        <f>VT46+IF(AND($C46=45,$L46=1),1,0)</f>
        <v/>
      </c>
      <c r="VU47">
        <f>VU46+IF(AND($C46=46,$L46=1),1,0)</f>
        <v/>
      </c>
      <c r="VV47">
        <f>VV46+IF(AND($C46=47,$L46=1),1,0)</f>
        <v/>
      </c>
      <c r="VW47">
        <f>VW46+IF(AND($C46=48,$L46=1),1,0)</f>
        <v/>
      </c>
      <c r="VX47">
        <f>VX46+IF(AND($C46=49,$L46=1),1,0)</f>
        <v/>
      </c>
      <c r="VY47">
        <f>VY46+IF(AND($C46=50,$L46=1),1,0)</f>
        <v/>
      </c>
      <c r="VZ47">
        <f>VZ46+IF(AND($C46=51,$L46=1),1,0)</f>
        <v/>
      </c>
      <c r="WA47">
        <f>WA46+IF(AND($C46=52,$L46=1),1,0)</f>
        <v/>
      </c>
      <c r="WB47">
        <f>WB46+IF(AND($C46=53,$L46=1),1,0)</f>
        <v/>
      </c>
      <c r="WC47">
        <f>WC46+IF(AND($C46=54,$L46=1),1,0)</f>
        <v/>
      </c>
      <c r="WD47">
        <f>WD46+IF(AND($C46=55,$L46=1),1,0)</f>
        <v/>
      </c>
      <c r="WE47">
        <f>WE46+IF(AND($C46=56,$L46=1),1,0)</f>
        <v/>
      </c>
      <c r="WF47">
        <f>WF46+IF(AND($C46=57,$L46=1),1,0)</f>
        <v/>
      </c>
      <c r="WG47">
        <f>WG46+IF(AND($C46=58,$L46=1),1,0)</f>
        <v/>
      </c>
      <c r="WH47">
        <f>WH46+IF(AND($C46=59,$L46=1),1,0)</f>
        <v/>
      </c>
      <c r="WI47">
        <f>WI46+IF(AND($C46=60,$L46=1),1,0)</f>
        <v/>
      </c>
      <c r="WJ47">
        <f>WJ46+IF(AND($C46=61,$L46=1),1,0)</f>
        <v/>
      </c>
      <c r="WK47">
        <f>WK46+IF(AND($C46=62,$L46=1),1,0)</f>
        <v/>
      </c>
      <c r="WL47">
        <f>WL46+IF(AND($C46=63,$L46=1),1,0)</f>
        <v/>
      </c>
      <c r="WM47">
        <f>WM46+IF(AND($C46=64,$L46=1),1,0)</f>
        <v/>
      </c>
      <c r="WN47">
        <f>WN46+IF(AND($C46=65,$L46=1),1,0)</f>
        <v/>
      </c>
      <c r="WO47">
        <f>WO46+IF(AND($C46=66,$L46=1),1,0)</f>
        <v/>
      </c>
      <c r="WP47">
        <f>WP46+IF(AND($C46=67,$L46=1),1,0)</f>
        <v/>
      </c>
      <c r="WQ47">
        <f>WQ46+IF(AND($C46=68,$L46=1),1,0)</f>
        <v/>
      </c>
      <c r="WR47">
        <f>WR46+IF(AND($C46=69,$L46=1),1,0)</f>
        <v/>
      </c>
      <c r="WS47">
        <f>WS46+IF(AND($C46=70,$L46=1),1,0)</f>
        <v/>
      </c>
      <c r="WT47">
        <f>WT46+IF(AND($C46=71,$L46=1),1,0)</f>
        <v/>
      </c>
      <c r="WU47">
        <f>WU46+IF(AND($C46=72,$L46=1),1,0)</f>
        <v/>
      </c>
      <c r="WV47">
        <f>WV46+IF(AND($C46=73,$L46=1),1,0)</f>
        <v/>
      </c>
      <c r="WW47">
        <f>WW46+IF(AND($C46=74,$L46=1),1,0)</f>
        <v/>
      </c>
      <c r="WX47">
        <f>WX46+IF(AND($C46=75,$L46=1),1,0)</f>
        <v/>
      </c>
      <c r="WY47">
        <f>WY46+IF(AND($C46=76,$L46=1),1,0)</f>
        <v/>
      </c>
      <c r="WZ47">
        <f>WZ46+IF(AND($C46=77,$L46=1),1,0)</f>
        <v/>
      </c>
      <c r="XA47">
        <f>XA46+IF(AND($C46=78,$L46=1),1,0)</f>
        <v/>
      </c>
      <c r="XB47">
        <f>XB46+IF(AND($C46=79,$L46=1),1,0)</f>
        <v/>
      </c>
      <c r="XC47">
        <f>XC46+IF(AND($C46=80,$L46=1),1,0)</f>
        <v/>
      </c>
      <c r="XD47">
        <f>XD46+IF(AND($C46=81,$L46=1),1,0)</f>
        <v/>
      </c>
      <c r="XE47">
        <f>XE46+IF(AND($C46=82,$L46=1),1,0)</f>
        <v/>
      </c>
      <c r="XF47">
        <f>XF46+IF(AND($C46=83,$L46=1),1,0)</f>
        <v/>
      </c>
      <c r="XG47">
        <f>XG46+IF(AND($C46=84,$L46=1),1,0)</f>
        <v/>
      </c>
      <c r="XH47">
        <f>XH46+IF(AND($C46=85,$L46=1),1,0)</f>
        <v/>
      </c>
      <c r="XI47">
        <f>XI46+IF(AND($C46=86,$L46=1),1,0)</f>
        <v/>
      </c>
      <c r="XJ47">
        <f>XJ46+IF(AND($C46=87,$L46=1),1,0)</f>
        <v/>
      </c>
      <c r="XK47">
        <f>XK46+IF(AND($C46=88,$L46=1),1,0)</f>
        <v/>
      </c>
      <c r="XL47">
        <f>XL46+IF(AND($C46=89,$L46=1),1,0)</f>
        <v/>
      </c>
      <c r="XM47">
        <f>XM46+IF(AND($C46=90,$L46=1),1,0)</f>
        <v/>
      </c>
      <c r="XN47">
        <f>XN46+IF(AND($C46=91,$L46=1),1,0)</f>
        <v/>
      </c>
      <c r="XO47">
        <f>XO46+IF(AND($C46=92,$L46=1),1,0)</f>
        <v/>
      </c>
      <c r="XP47">
        <f>XP46+IF(AND($C46=93,$L46=1),1,0)</f>
        <v/>
      </c>
      <c r="XQ47">
        <f>XQ46+IF(AND($C46=94,$L46=1),1,0)</f>
        <v/>
      </c>
      <c r="XR47">
        <f>XR46+IF(AND($C46=95,$L46=1),1,0)</f>
        <v/>
      </c>
      <c r="XS47">
        <f>XS46+IF(AND($C46=96,$L46=1),1,0)</f>
        <v/>
      </c>
      <c r="XT47">
        <f>XT46+IF(AND($C46=97,$L46=1),1,0)</f>
        <v/>
      </c>
      <c r="XU47">
        <f>XU46+IF(AND($C46=98,$L46=1),1,0)</f>
        <v/>
      </c>
      <c r="XV47">
        <f>XV46+IF(AND($C46=99,$L46=1),1,0)</f>
        <v/>
      </c>
      <c r="XW47">
        <f>XW46+IF(AND($C46=100,$L46=1),1,0)</f>
        <v/>
      </c>
      <c r="XX47">
        <f>XX46+IF(AND($C46=101,$L46=1),1,0)</f>
        <v/>
      </c>
      <c r="XY47">
        <f>XY46+IF(AND($C46=102,$L46=1),1,0)</f>
        <v/>
      </c>
      <c r="XZ47">
        <f>XZ46+IF(AND($C46=103,$L46=1),1,0)</f>
        <v/>
      </c>
      <c r="YA47">
        <f>YA46+IF(AND($C46=104,$L46=1),1,0)</f>
        <v/>
      </c>
      <c r="YB47">
        <f>YB46+IF(AND($C46=105,$L46=1),1,0)</f>
        <v/>
      </c>
      <c r="YC47">
        <f>YC46+IF(AND($C46=106,$L46=1),1,0)</f>
        <v/>
      </c>
      <c r="YD47">
        <f>YD46+IF(AND($C46=107,$L46=1),1,0)</f>
        <v/>
      </c>
      <c r="YE47">
        <f>YE46+IF(AND($C46=108,$L46=1),1,0)</f>
        <v/>
      </c>
      <c r="YF47">
        <f>YF46+IF(AND($C46=109,$L46=1),1,0)</f>
        <v/>
      </c>
      <c r="YG47">
        <f>YG46+IF(AND($C46=110,$L46=1),1,0)</f>
        <v/>
      </c>
      <c r="YH47">
        <f>YH46+IF(AND($C46=111,$L46=1),1,0)</f>
        <v/>
      </c>
      <c r="YI47">
        <f>YI46+IF(AND($C46=112,$L46=1),1,0)</f>
        <v/>
      </c>
      <c r="YJ47">
        <f>YJ46+IF(AND($C46=113,$L46=1),1,0)</f>
        <v/>
      </c>
      <c r="YK47">
        <f>YK46+IF(AND($C46=114,$L46=1),1,0)</f>
        <v/>
      </c>
      <c r="YL47">
        <f>YL46+IF(AND($C46=115,$L46=1),1,0)</f>
        <v/>
      </c>
      <c r="YM47">
        <f>YM46+IF(AND($C46=116,$L46=1),1,0)</f>
        <v/>
      </c>
      <c r="YN47">
        <f>YN46+IF(AND($C46=117,$L46=1),1,0)</f>
        <v/>
      </c>
      <c r="YO47">
        <f>YO46+IF(AND($C46=118,$L46=1),1,0)</f>
        <v/>
      </c>
      <c r="YP47">
        <f>YP46+IF(AND($C46=119,$L46=1),1,0)</f>
        <v/>
      </c>
      <c r="YQ47">
        <f>YQ46+IF(AND($C46=120,$L46=1),1,0)</f>
        <v/>
      </c>
      <c r="YR47">
        <f>YR46+IF(AND($C46=121,$L46=1),1,0)</f>
        <v/>
      </c>
      <c r="YS47">
        <f>YS46+IF(AND($C46=122,$L46=1),1,0)</f>
        <v/>
      </c>
      <c r="YT47">
        <f>YT46+IF(AND($C46=123,$L46=1),1,0)</f>
        <v/>
      </c>
      <c r="YU47">
        <f>YU46+IF(AND($C46=124,$L46=1),1,0)</f>
        <v/>
      </c>
      <c r="YV47">
        <f>YV46+IF(AND($C46=125,$L46=1),1,0)</f>
        <v/>
      </c>
      <c r="YW47">
        <f>YW46+IF(AND($C46=126,$L46=1),1,0)</f>
        <v/>
      </c>
      <c r="YX47">
        <f>YX46+IF(AND($C46=127,$L46=1),1,0)</f>
        <v/>
      </c>
      <c r="YY47">
        <f>YY46+IF(AND($C46=128,$L46=1),1,0)</f>
        <v/>
      </c>
      <c r="YZ47">
        <f>YZ46+IF(AND($C46=129,$L46=1),1,0)</f>
        <v/>
      </c>
      <c r="ZA47">
        <f>ZA46+IF(AND($C46=130,$L46=1),1,0)</f>
        <v/>
      </c>
      <c r="ZB47">
        <f>ZB46+IF(AND($C46=131,$L46=1),1,0)</f>
        <v/>
      </c>
      <c r="ZC47">
        <f>ZC46+IF(AND($C46=132,$L46=1),1,0)</f>
        <v/>
      </c>
      <c r="ZD47">
        <f>ZD46+IF(AND($C46=133,$L46=1),1,0)</f>
        <v/>
      </c>
      <c r="ZE47">
        <f>ZE46+IF(AND($C46=134,$L46=1),1,0)</f>
        <v/>
      </c>
      <c r="ZF47">
        <f>ZF46+IF(AND($C46=135,$L46=1),1,0)</f>
        <v/>
      </c>
      <c r="ZG47">
        <f>ZG46+IF(AND($C46=136,$L46=1),1,0)</f>
        <v/>
      </c>
      <c r="ZH47">
        <f>ZH46+IF(AND($C46=137,$L46=1),1,0)</f>
        <v/>
      </c>
      <c r="ZI47">
        <f>ZI46+IF(AND($C46=138,$L46=1),1,0)</f>
        <v/>
      </c>
      <c r="ZJ47">
        <f>ZJ46+IF(AND($C46=139,$L46=1),1,0)</f>
        <v/>
      </c>
      <c r="ZK47">
        <f>ZK46+IF(AND($C46=140,$L46=1),1,0)</f>
        <v/>
      </c>
      <c r="ZL47">
        <f>ZL46+IF(AND($C46=141,$L46=1),1,0)</f>
        <v/>
      </c>
      <c r="ZM47">
        <f>ZM46+IF(AND($C46=142,$L46=1),1,0)</f>
        <v/>
      </c>
      <c r="ZN47">
        <f>ZN46+IF(AND($C46=143,$L46=1),1,0)</f>
        <v/>
      </c>
      <c r="ZO47">
        <f>ZO46+IF(AND($C46=144,$L46=1),1,0)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2026-10-23T02:52:23Z</dcterms:created>
  <dcterms:modified xmlns:dcterms="http://purl.org/dc/terms/" xmlns:xsi="http://www.w3.org/2001/XMLSchema-instance" xsi:type="dcterms:W3CDTF">2026-10-23T02:52:24Z</dcterms:modified>
</cp:coreProperties>
</file>